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9"/>
  </bookViews>
  <sheets>
    <sheet name="Instructions" sheetId="1" state="visible" r:id="rId3"/>
    <sheet name="Chart of Accounts" sheetId="2" state="visible" r:id="rId4"/>
    <sheet name="Caregiver Roster" sheetId="3" state="visible" r:id="rId5"/>
    <sheet name="Client Roster" sheetId="4" state="visible" r:id="rId6"/>
    <sheet name="Client Authorizations" sheetId="5" state="visible" r:id="rId7"/>
    <sheet name="Caregiver Certifications" sheetId="6" state="visible" r:id="rId8"/>
    <sheet name="Fixed Asset Register" sheetId="7" state="visible" r:id="rId9"/>
    <sheet name="Daily Visit Register" sheetId="8" state="visible" r:id="rId10"/>
    <sheet name="Daily Payroll Register" sheetId="9" state="visible" r:id="rId11"/>
    <sheet name="Missed Visits Log" sheetId="10" state="visible" r:id="rId12"/>
    <sheet name="Payroll Summary" sheetId="11" state="visible" r:id="rId13"/>
    <sheet name="Revenue by Payer" sheetId="12" state="visible" r:id="rId14"/>
    <sheet name="AR Aging" sheetId="13" state="visible" r:id="rId15"/>
    <sheet name="AR Detail Ledger" sheetId="14" state="visible" r:id="rId16"/>
    <sheet name="AR Aging Buckets" sheetId="15" state="visible" r:id="rId17"/>
    <sheet name="Daily Overhead Register" sheetId="16" state="visible" r:id="rId18"/>
    <sheet name="Overhead (Opex)" sheetId="17" state="visible" r:id="rId19"/>
    <sheet name="Line of Credit" sheetId="18" state="visible" r:id="rId20"/>
    <sheet name="Vendor Master" sheetId="19" state="visible" r:id="rId21"/>
    <sheet name="Bills Register" sheetId="20" state="visible" r:id="rId22"/>
    <sheet name="AP Aging" sheetId="21" state="visible" r:id="rId23"/>
    <sheet name="Monthly P&amp;L" sheetId="22" state="visible" r:id="rId24"/>
    <sheet name="Custom Date-Range P&amp;L" sheetId="23" state="visible" r:id="rId25"/>
    <sheet name="Balance Sheet" sheetId="24" state="visible" r:id="rId26"/>
    <sheet name="Statement of Owner's Equity" sheetId="25" state="visible" r:id="rId27"/>
    <sheet name="Cash Flow" sheetId="26" state="visible" r:id="rId28"/>
    <sheet name="Bank Reconciliation" sheetId="27" state="visible" r:id="rId29"/>
    <sheet name="Payroll-GL Reconciliation" sheetId="28" state="visible" r:id="rId30"/>
    <sheet name="AR-Remittance Reconciliation" sheetId="29" state="visible" r:id="rId31"/>
    <sheet name="KPI Dashboard" sheetId="30" state="visible" r:id="rId3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<sst xmlns="http://schemas.openxmlformats.org/spreadsheetml/2006/main" count="109039" uniqueCount="24555">
  <si>
    <t xml:space="preserve">Home Health Agency - Full Financial System (Daily Detail, Full Year)</t>
  </si>
  <si>
    <t xml:space="preserve">Sample Agency: Meridian Home Care Services  |  Illustrative Full-Year Demo (FY2025), Day-Level Detail</t>
  </si>
  <si>
    <t xml:space="preserve">PURPOSE</t>
  </si>
  <si>
    <t xml:space="preserve">A complete financial system for a mid-size home health agency, built at daily transaction granularity so any date range can be analyzed. All names, figures, and transactions are fictional/randomly generated for demonstration - they represent no real agency, client, or employee.</t>
  </si>
  <si>
    <t xml:space="preserve">TAB GUIDE</t>
  </si>
  <si>
    <t xml:space="preserve">Chart of Accounts</t>
  </si>
  <si>
    <t xml:space="preserve">Full account structure including balance sheet accounts, plus key rate/assumption cells.</t>
  </si>
  <si>
    <t xml:space="preserve">Caregiver Roster</t>
  </si>
  <si>
    <t xml:space="preserve">All 40 caregivers - role, pay type, rate, hire/term dates, certification tracking.</t>
  </si>
  <si>
    <t xml:space="preserve">Client Roster</t>
  </si>
  <si>
    <t xml:space="preserve">All 65 clients - payer, authorized units, service dates.</t>
  </si>
  <si>
    <t xml:space="preserve">Client Authorizations</t>
  </si>
  <si>
    <t xml:space="preserve">Medicaid/insurance authorization periods per client - flags expired/expiring authorizations.</t>
  </si>
  <si>
    <t xml:space="preserve">Caregiver Certifications</t>
  </si>
  <si>
    <t xml:space="preserve">Background check dates and certification expiry per caregiver - compliance tracking.</t>
  </si>
  <si>
    <t xml:space="preserve">Fixed Asset Register</t>
  </si>
  <si>
    <t xml:space="preserve">Vehicles, office/medical equipment - cost, useful life, monthly depreciation, net book value.</t>
  </si>
  <si>
    <t xml:space="preserve">Daily Visit Register</t>
  </si>
  <si>
    <t xml:space="preserve">Every single visit for the year (8,124 rows) - the source of truth for all revenue.</t>
  </si>
  <si>
    <t xml:space="preserve">Daily Payroll Register</t>
  </si>
  <si>
    <t xml:space="preserve">Every caregiver's pay every day (5,973 rows) - the source of truth for all labor cost.</t>
  </si>
  <si>
    <t xml:space="preserve">Missed Visits Log</t>
  </si>
  <si>
    <t xml:space="preserve">Uncovered/cancelled visits and the revenue lost - an operational KPI source.</t>
  </si>
  <si>
    <t xml:space="preserve">Payroll Summary</t>
  </si>
  <si>
    <t xml:space="preserve">Monthly payroll rollup from the Daily Payroll Register, with employer burden.</t>
  </si>
  <si>
    <t xml:space="preserve">Revenue by Payer</t>
  </si>
  <si>
    <t xml:space="preserve">Monthly revenue rollup from the Daily Visit Register, by payer.</t>
  </si>
  <si>
    <t xml:space="preserve">AR Aging</t>
  </si>
  <si>
    <t xml:space="preserve">Month-end receivable balance by payer, reflecting each payer's collection speed.</t>
  </si>
  <si>
    <t xml:space="preserve">Overhead (Opex)</t>
  </si>
  <si>
    <t xml:space="preserve">Monthly operating costs including depreciation and LOC interest.</t>
  </si>
  <si>
    <t xml:space="preserve">Line of Credit</t>
  </si>
  <si>
    <t xml:space="preserve">Draw/repayment schedule - models the working-capital gap from slow-paying payers.</t>
  </si>
  <si>
    <t xml:space="preserve">Monthly P&amp;L</t>
  </si>
  <si>
    <t xml:space="preserve">Full monthly income statement, revenue through net income.</t>
  </si>
  <si>
    <t xml:space="preserve">Custom Date-Range P&amp;L</t>
  </si>
  <si>
    <t xml:space="preserve">Enter any start/end date - P&amp;L recalculates for exactly that period from daily data.</t>
  </si>
  <si>
    <t xml:space="preserve">Balance Sheet</t>
  </si>
  <si>
    <t xml:space="preserve">Month-end snapshots - Assets = Liabilities + Equity, verified to balance.</t>
  </si>
  <si>
    <t xml:space="preserve">Statement of Owner's Equity</t>
  </si>
  <si>
    <t xml:space="preserve">Opening capital, net income, closing capital - ties to the Balance Sheet.</t>
  </si>
  <si>
    <t xml:space="preserve">Cash Flow</t>
  </si>
  <si>
    <t xml:space="preserve">Monthly cash movement including LOC draws/repayments.</t>
  </si>
  <si>
    <t xml:space="preserve">Bank Reconciliation</t>
  </si>
  <si>
    <t xml:space="preserve">Book cash vs. bank statement cash, with reconciling items.</t>
  </si>
  <si>
    <t xml:space="preserve">Payroll-GL Reconciliation</t>
  </si>
  <si>
    <t xml:space="preserve">Payroll register totals reconciled to what's booked in the P&amp;L.</t>
  </si>
  <si>
    <t xml:space="preserve">AR-Remittance Reconciliation</t>
  </si>
  <si>
    <t xml:space="preserve">Claim-level billed vs. paid vs. adjusted, sample month detail.</t>
  </si>
  <si>
    <t xml:space="preserve">KPI Dashboard</t>
  </si>
  <si>
    <t xml:space="preserve">Profitability by caregiver and by client, utilization, turnover, missed-visit rate, and more.</t>
  </si>
  <si>
    <t xml:space="preserve">COLOR KEY</t>
  </si>
  <si>
    <t xml:space="preserve">Blue text</t>
  </si>
  <si>
    <t xml:space="preserve">Hardcoded input / source data.</t>
  </si>
  <si>
    <t xml:space="preserve">Black text</t>
  </si>
  <si>
    <t xml:space="preserve">Formula calculated from other cells.</t>
  </si>
  <si>
    <t xml:space="preserve">Green text</t>
  </si>
  <si>
    <t xml:space="preserve">Link pulling from another tab.</t>
  </si>
  <si>
    <t xml:space="preserve">Yellow fill</t>
  </si>
  <si>
    <t xml:space="preserve">Key assumption/rate, or a date-range input cell to edit.</t>
  </si>
  <si>
    <t xml:space="preserve">KEY DESIGN NOTE: DAILY DATA VOLUME</t>
  </si>
  <si>
    <t xml:space="preserve">The Daily Visit Register and Daily Payroll Register contain full day-level transaction detail (~14,000 rows combined) so any custom date range can be analyzed precisely. Monthly summary tabs (Payroll Summary, Revenue by Payer, AR Aging, Overhead, P&amp;L) roll this up via formulas for readability and faster recalculation. The Custom Date-Range P&amp;L tab queries the daily registers directly for any period you specify.</t>
  </si>
  <si>
    <t xml:space="preserve">Chart of Accounts - Home Health Agency Structure</t>
  </si>
  <si>
    <t xml:space="preserve">Full structure including balance sheet accounts for the daily-detail financial system.</t>
  </si>
  <si>
    <t xml:space="preserve">Acct #</t>
  </si>
  <si>
    <t xml:space="preserve">Account Name</t>
  </si>
  <si>
    <t xml:space="preserve">Type</t>
  </si>
  <si>
    <t xml:space="preserve">Notes</t>
  </si>
  <si>
    <t xml:space="preserve">1000 - ASSETS</t>
  </si>
  <si>
    <t xml:space="preserve">Cash - Operating Account</t>
  </si>
  <si>
    <t xml:space="preserve">Asset</t>
  </si>
  <si>
    <t xml:space="preserve">See Bank Reconciliation and Cash Flow tabs</t>
  </si>
  <si>
    <t xml:space="preserve">Accounts Receivable - Medicaid Waiver</t>
  </si>
  <si>
    <t xml:space="preserve">See AR Aging tab</t>
  </si>
  <si>
    <t xml:space="preserve">Accounts Receivable - Private Pay</t>
  </si>
  <si>
    <t xml:space="preserve">Accounts Receivable - Medicare</t>
  </si>
  <si>
    <t xml:space="preserve">Accounts Receivable - Private Insurance</t>
  </si>
  <si>
    <t xml:space="preserve">Fixed Assets - Vehicles</t>
  </si>
  <si>
    <t xml:space="preserve">See Fixed Asset Register</t>
  </si>
  <si>
    <t xml:space="preserve">Fixed Assets - Office Equipment</t>
  </si>
  <si>
    <t xml:space="preserve">Fixed Assets - Medical Equipment</t>
  </si>
  <si>
    <t xml:space="preserve">Accumulated Depreciation</t>
  </si>
  <si>
    <t xml:space="preserve">Contra-Asset</t>
  </si>
  <si>
    <t xml:space="preserve">Reduces gross fixed assets to net book value</t>
  </si>
  <si>
    <t xml:space="preserve">2000 - LIABILITIES</t>
  </si>
  <si>
    <t xml:space="preserve">Accrued Payroll Payable</t>
  </si>
  <si>
    <t xml:space="preserve">Liability</t>
  </si>
  <si>
    <t xml:space="preserve">Payroll earned but unpaid at period-end</t>
  </si>
  <si>
    <t xml:space="preserve">Payroll Taxes Payable</t>
  </si>
  <si>
    <t xml:space="preserve">Employer + withheld employee taxes due</t>
  </si>
  <si>
    <t xml:space="preserve">Line of Credit Payable</t>
  </si>
  <si>
    <t xml:space="preserve">See Line of Credit tab - revolving facility</t>
  </si>
  <si>
    <t xml:space="preserve">3000 - EQUITY</t>
  </si>
  <si>
    <t xml:space="preserve">Owner's Capital Contribution</t>
  </si>
  <si>
    <t xml:space="preserve">Equity</t>
  </si>
  <si>
    <t xml:space="preserve">See Statement of Owner's Equity</t>
  </si>
  <si>
    <t xml:space="preserve">Owner's Draws</t>
  </si>
  <si>
    <t xml:space="preserve">Distributions to owner, reduces equity</t>
  </si>
  <si>
    <t xml:space="preserve">Retained Earnings</t>
  </si>
  <si>
    <t xml:space="preserve">Cumulative net income</t>
  </si>
  <si>
    <t xml:space="preserve">4000 - REVENUE (by Payer)</t>
  </si>
  <si>
    <t xml:space="preserve">Revenue - Medicaid Waiver (Hourly)</t>
  </si>
  <si>
    <t xml:space="preserve">Income</t>
  </si>
  <si>
    <t xml:space="preserve">Billed at contracted hourly rate</t>
  </si>
  <si>
    <t xml:space="preserve">Revenue - Private Pay (Hourly)</t>
  </si>
  <si>
    <t xml:space="preserve">Fastest-collecting payer</t>
  </si>
  <si>
    <t xml:space="preserve">Revenue - Medicare Skilled (Per-Visit)</t>
  </si>
  <si>
    <t xml:space="preserve">Billed per visit/episode</t>
  </si>
  <si>
    <t xml:space="preserve">Revenue - Private Insurance (Per-Visit)</t>
  </si>
  <si>
    <t xml:space="preserve">Billed per payer fee schedule</t>
  </si>
  <si>
    <t xml:space="preserve">Contra - Claim Denials &amp; Write-offs</t>
  </si>
  <si>
    <t xml:space="preserve">Contra-Income</t>
  </si>
  <si>
    <t xml:space="preserve">Netted against gross billed revenue</t>
  </si>
  <si>
    <t xml:space="preserve">5000 - COST OF SERVICES (Direct Caregiver Labor)</t>
  </si>
  <si>
    <t xml:space="preserve">Caregiver Wages - Regular (Hourly)</t>
  </si>
  <si>
    <t xml:space="preserve">COGS</t>
  </si>
  <si>
    <t xml:space="preserve">Caregiver Wages - Overtime (Hourly)</t>
  </si>
  <si>
    <t xml:space="preserve">1.5x, weekly threshold basis</t>
  </si>
  <si>
    <t xml:space="preserve">Caregiver Pay - Per-Visit (LPN/RN/Therapy)</t>
  </si>
  <si>
    <t xml:space="preserve">Mileage Reimbursement</t>
  </si>
  <si>
    <t xml:space="preserve">IRS standard mileage rate</t>
  </si>
  <si>
    <t xml:space="preserve">Payroll Tax &amp; Burden (Employer Share)</t>
  </si>
  <si>
    <t xml:space="preserve">FICA, FUTA/SUTA, workers' comp, benefits</t>
  </si>
  <si>
    <t xml:space="preserve">6000 - OPERATING EXPENSES (Overhead)</t>
  </si>
  <si>
    <t xml:space="preserve">Office Rent</t>
  </si>
  <si>
    <t xml:space="preserve">Opex</t>
  </si>
  <si>
    <t xml:space="preserve">Office Utilities</t>
  </si>
  <si>
    <t xml:space="preserve">Admin Salaries (Office/Scheduling Staff)</t>
  </si>
  <si>
    <t xml:space="preserve">Owner / Executive Compensation</t>
  </si>
  <si>
    <t xml:space="preserve">Scheduling / EVV Software</t>
  </si>
  <si>
    <t xml:space="preserve">Federally mandated for Medicaid personal care</t>
  </si>
  <si>
    <t xml:space="preserve">Accounting Software</t>
  </si>
  <si>
    <t xml:space="preserve">Payroll Processing Fees</t>
  </si>
  <si>
    <t xml:space="preserve">Insurance (Liability &amp; Bonding)</t>
  </si>
  <si>
    <t xml:space="preserve">Background Checks &amp; Licensing</t>
  </si>
  <si>
    <t xml:space="preserve">Marketing &amp; Referral Development</t>
  </si>
  <si>
    <t xml:space="preserve">Office Supplies</t>
  </si>
  <si>
    <t xml:space="preserve">Telephone / Communications</t>
  </si>
  <si>
    <t xml:space="preserve">Legal &amp; Professional Fees</t>
  </si>
  <si>
    <t xml:space="preserve">Includes outside tax preparer/CPA coordination</t>
  </si>
  <si>
    <t xml:space="preserve">Bank &amp; Merchant Fees</t>
  </si>
  <si>
    <t xml:space="preserve">Vehicle Fuel &amp; Maintenance</t>
  </si>
  <si>
    <t xml:space="preserve">Continuing Education / Training</t>
  </si>
  <si>
    <t xml:space="preserve">Misc / Other Admin</t>
  </si>
  <si>
    <t xml:space="preserve">Depreciation Expense</t>
  </si>
  <si>
    <t xml:space="preserve">Non-cash; from Fixed Asset Register</t>
  </si>
  <si>
    <t xml:space="preserve">Line of Credit Interest</t>
  </si>
  <si>
    <t xml:space="preserve">See Line of Credit tab</t>
  </si>
  <si>
    <t xml:space="preserve">KEY ASSUMPTION: PAYER RATES</t>
  </si>
  <si>
    <t xml:space="preserve">Payer</t>
  </si>
  <si>
    <t xml:space="preserve">Billing Unit</t>
  </si>
  <si>
    <t xml:space="preserve">Rate</t>
  </si>
  <si>
    <t xml:space="preserve">Avg Days to Pay</t>
  </si>
  <si>
    <t xml:space="preserve">Denial/Write-off %</t>
  </si>
  <si>
    <t xml:space="preserve">Medicaid Waiver</t>
  </si>
  <si>
    <t xml:space="preserve">Per Hour</t>
  </si>
  <si>
    <t xml:space="preserve">Private Pay</t>
  </si>
  <si>
    <t xml:space="preserve">Medicare (Skilled)</t>
  </si>
  <si>
    <t xml:space="preserve">Per Visit</t>
  </si>
  <si>
    <t xml:space="preserve">Private Insurance</t>
  </si>
  <si>
    <t xml:space="preserve">KEY ASSUMPTIONS: PAYROLL, MILEAGE, LOC</t>
  </si>
  <si>
    <t xml:space="preserve">Employer Payroll Burden Rate (FICA + FUTA/SUTA + Workers Comp + Benefits)</t>
  </si>
  <si>
    <t xml:space="preserve">IRS Standard Mileage Reimbursement Rate ($/mile)</t>
  </si>
  <si>
    <t xml:space="preserve">Weekly Overtime Threshold (hours)</t>
  </si>
  <si>
    <t xml:space="preserve">Owner Capital Injection (Opening)</t>
  </si>
  <si>
    <t xml:space="preserve">Line of Credit Limit</t>
  </si>
  <si>
    <t xml:space="preserve">Line of Credit Annual Interest Rate</t>
  </si>
  <si>
    <t xml:space="preserve">All caregivers for the demo year. Pay type and rate drive the Daily Payroll Register.</t>
  </si>
  <si>
    <t xml:space="preserve">Caregiver ID</t>
  </si>
  <si>
    <t xml:space="preserve">Name</t>
  </si>
  <si>
    <t xml:space="preserve">Role</t>
  </si>
  <si>
    <t xml:space="preserve">Pay Type</t>
  </si>
  <si>
    <t xml:space="preserve">Pay Rate</t>
  </si>
  <si>
    <t xml:space="preserve">Mileage Eligible</t>
  </si>
  <si>
    <t xml:space="preserve">Hire Date</t>
  </si>
  <si>
    <t xml:space="preserve">Term Date</t>
  </si>
  <si>
    <t xml:space="preserve">Status</t>
  </si>
  <si>
    <t xml:space="preserve">CG-001</t>
  </si>
  <si>
    <t xml:space="preserve">Maria Garcia</t>
  </si>
  <si>
    <t xml:space="preserve">Personal Care Aide</t>
  </si>
  <si>
    <t xml:space="preserve">Hourly</t>
  </si>
  <si>
    <t xml:space="preserve">Yes</t>
  </si>
  <si>
    <t xml:space="preserve">-</t>
  </si>
  <si>
    <t xml:space="preserve">Active</t>
  </si>
  <si>
    <t xml:space="preserve">CG-002</t>
  </si>
  <si>
    <t xml:space="preserve">James Smith</t>
  </si>
  <si>
    <t xml:space="preserve">Home Health Aide</t>
  </si>
  <si>
    <t xml:space="preserve">CG-003</t>
  </si>
  <si>
    <t xml:space="preserve">Linda Johnson</t>
  </si>
  <si>
    <t xml:space="preserve">RN</t>
  </si>
  <si>
    <t xml:space="preserve">No</t>
  </si>
  <si>
    <t xml:space="preserve">CG-004</t>
  </si>
  <si>
    <t xml:space="preserve">Robert Williams</t>
  </si>
  <si>
    <t xml:space="preserve">Terminated</t>
  </si>
  <si>
    <t xml:space="preserve">CG-005</t>
  </si>
  <si>
    <t xml:space="preserve">Patricia Brown</t>
  </si>
  <si>
    <t xml:space="preserve">CG-006</t>
  </si>
  <si>
    <t xml:space="preserve">John Jones</t>
  </si>
  <si>
    <t xml:space="preserve">CG-007</t>
  </si>
  <si>
    <t xml:space="preserve">Barbara Miller</t>
  </si>
  <si>
    <t xml:space="preserve">LPN</t>
  </si>
  <si>
    <t xml:space="preserve">CG-008</t>
  </si>
  <si>
    <t xml:space="preserve">Michael Davis</t>
  </si>
  <si>
    <t xml:space="preserve">CG-009</t>
  </si>
  <si>
    <t xml:space="preserve">Jennifer Rodriguez</t>
  </si>
  <si>
    <t xml:space="preserve">CG-010</t>
  </si>
  <si>
    <t xml:space="preserve">David Martinez</t>
  </si>
  <si>
    <t xml:space="preserve">CG-011</t>
  </si>
  <si>
    <t xml:space="preserve">Susan Hernandez</t>
  </si>
  <si>
    <t xml:space="preserve">CG-012</t>
  </si>
  <si>
    <t xml:space="preserve">Richard Lopez</t>
  </si>
  <si>
    <t xml:space="preserve">PT/OT Therapist</t>
  </si>
  <si>
    <t xml:space="preserve">CG-013</t>
  </si>
  <si>
    <t xml:space="preserve">Jessica Wilson</t>
  </si>
  <si>
    <t xml:space="preserve">CG-014</t>
  </si>
  <si>
    <t xml:space="preserve">Charles Anderson</t>
  </si>
  <si>
    <t xml:space="preserve">CG-015</t>
  </si>
  <si>
    <t xml:space="preserve">Karen Thomas</t>
  </si>
  <si>
    <t xml:space="preserve">CG-016</t>
  </si>
  <si>
    <t xml:space="preserve">Joseph Taylor</t>
  </si>
  <si>
    <t xml:space="preserve">CG-017</t>
  </si>
  <si>
    <t xml:space="preserve">Nancy Moore</t>
  </si>
  <si>
    <t xml:space="preserve">CG-018</t>
  </si>
  <si>
    <t xml:space="preserve">Thomas Jackson</t>
  </si>
  <si>
    <t xml:space="preserve">CG-019</t>
  </si>
  <si>
    <t xml:space="preserve">Betty Martin</t>
  </si>
  <si>
    <t xml:space="preserve">CG-020</t>
  </si>
  <si>
    <t xml:space="preserve">Christopher Lee</t>
  </si>
  <si>
    <t xml:space="preserve">CG-021</t>
  </si>
  <si>
    <t xml:space="preserve">Sandra Perez</t>
  </si>
  <si>
    <t xml:space="preserve">CG-022</t>
  </si>
  <si>
    <t xml:space="preserve">Daniel Thompson</t>
  </si>
  <si>
    <t xml:space="preserve">CG-023</t>
  </si>
  <si>
    <t xml:space="preserve">Ashley White</t>
  </si>
  <si>
    <t xml:space="preserve">CG-024</t>
  </si>
  <si>
    <t xml:space="preserve">Paul Harris</t>
  </si>
  <si>
    <t xml:space="preserve">CG-025</t>
  </si>
  <si>
    <t xml:space="preserve">Kimberly Sanchez</t>
  </si>
  <si>
    <t xml:space="preserve">CG-026</t>
  </si>
  <si>
    <t xml:space="preserve">Mark Clark</t>
  </si>
  <si>
    <t xml:space="preserve">CG-027</t>
  </si>
  <si>
    <t xml:space="preserve">Emily Ramirez</t>
  </si>
  <si>
    <t xml:space="preserve">CG-028</t>
  </si>
  <si>
    <t xml:space="preserve">Donald Lewis</t>
  </si>
  <si>
    <t xml:space="preserve">CG-029</t>
  </si>
  <si>
    <t xml:space="preserve">Donna Robinson</t>
  </si>
  <si>
    <t xml:space="preserve">CG-030</t>
  </si>
  <si>
    <t xml:space="preserve">George Walker</t>
  </si>
  <si>
    <t xml:space="preserve">CG-031</t>
  </si>
  <si>
    <t xml:space="preserve">Michelle Young</t>
  </si>
  <si>
    <t xml:space="preserve">CG-032</t>
  </si>
  <si>
    <t xml:space="preserve">Steven Allen</t>
  </si>
  <si>
    <t xml:space="preserve">CG-033</t>
  </si>
  <si>
    <t xml:space="preserve">Carol King</t>
  </si>
  <si>
    <t xml:space="preserve">CG-034</t>
  </si>
  <si>
    <t xml:space="preserve">Edward Wright</t>
  </si>
  <si>
    <t xml:space="preserve">CG-035</t>
  </si>
  <si>
    <t xml:space="preserve">Amanda Scott</t>
  </si>
  <si>
    <t xml:space="preserve">CG-036</t>
  </si>
  <si>
    <t xml:space="preserve">Brian Torres</t>
  </si>
  <si>
    <t xml:space="preserve">CG-037</t>
  </si>
  <si>
    <t xml:space="preserve">Melissa Nguyen</t>
  </si>
  <si>
    <t xml:space="preserve">CG-038</t>
  </si>
  <si>
    <t xml:space="preserve">Ronald Hill</t>
  </si>
  <si>
    <t xml:space="preserve">CG-039</t>
  </si>
  <si>
    <t xml:space="preserve">Deborah Flores</t>
  </si>
  <si>
    <t xml:space="preserve">CG-040</t>
  </si>
  <si>
    <t xml:space="preserve">Anthony Green</t>
  </si>
  <si>
    <t xml:space="preserve">Total Caregivers: 40</t>
  </si>
  <si>
    <t xml:space="preserve">Active at Year-End:</t>
  </si>
  <si>
    <t xml:space="preserve">Terminated During Year (Turnover Count):</t>
  </si>
  <si>
    <t xml:space="preserve">Annualized Turnover Rate (Terminated ÷ Avg Headcount):</t>
  </si>
  <si>
    <t xml:space="preserve">All clients for the demo year, by payer type, with authorized vs. actual weekly units.</t>
  </si>
  <si>
    <t xml:space="preserve">Client ID</t>
  </si>
  <si>
    <t xml:space="preserve">Client (Household)</t>
  </si>
  <si>
    <t xml:space="preserve">Weekly Units (Actual)</t>
  </si>
  <si>
    <t xml:space="preserve">Weekly Units (Authorized)</t>
  </si>
  <si>
    <t xml:space="preserve">Unit Type</t>
  </si>
  <si>
    <t xml:space="preserve">Start Date</t>
  </si>
  <si>
    <t xml:space="preserve">End Date</t>
  </si>
  <si>
    <t xml:space="preserve">CL-001</t>
  </si>
  <si>
    <t xml:space="preserve">Adams Household</t>
  </si>
  <si>
    <t xml:space="preserve">Visits/wk</t>
  </si>
  <si>
    <t xml:space="preserve">Discharged</t>
  </si>
  <si>
    <t xml:space="preserve">CL-002</t>
  </si>
  <si>
    <t xml:space="preserve">Baker Household</t>
  </si>
  <si>
    <t xml:space="preserve">CL-003</t>
  </si>
  <si>
    <t xml:space="preserve">Carter Household</t>
  </si>
  <si>
    <t xml:space="preserve">CL-004</t>
  </si>
  <si>
    <t xml:space="preserve">Diaz Household</t>
  </si>
  <si>
    <t xml:space="preserve">Hours/wk</t>
  </si>
  <si>
    <t xml:space="preserve">CL-005</t>
  </si>
  <si>
    <t xml:space="preserve">Evans Household</t>
  </si>
  <si>
    <t xml:space="preserve">CL-006</t>
  </si>
  <si>
    <t xml:space="preserve">Fisher Household</t>
  </si>
  <si>
    <t xml:space="preserve">CL-007</t>
  </si>
  <si>
    <t xml:space="preserve">Gray Household</t>
  </si>
  <si>
    <t xml:space="preserve">CL-008</t>
  </si>
  <si>
    <t xml:space="preserve">Hughes Household</t>
  </si>
  <si>
    <t xml:space="preserve">CL-009</t>
  </si>
  <si>
    <t xml:space="preserve">Irwin Household</t>
  </si>
  <si>
    <t xml:space="preserve">CL-010</t>
  </si>
  <si>
    <t xml:space="preserve">Jenkins Household</t>
  </si>
  <si>
    <t xml:space="preserve">CL-011</t>
  </si>
  <si>
    <t xml:space="preserve">Kelly Household</t>
  </si>
  <si>
    <t xml:space="preserve">CL-012</t>
  </si>
  <si>
    <t xml:space="preserve">Lambert Household</t>
  </si>
  <si>
    <t xml:space="preserve">CL-013</t>
  </si>
  <si>
    <t xml:space="preserve">Morgan Household</t>
  </si>
  <si>
    <t xml:space="preserve">CL-014</t>
  </si>
  <si>
    <t xml:space="preserve">Nash Household</t>
  </si>
  <si>
    <t xml:space="preserve">CL-015</t>
  </si>
  <si>
    <t xml:space="preserve">Owens Household</t>
  </si>
  <si>
    <t xml:space="preserve">CL-016</t>
  </si>
  <si>
    <t xml:space="preserve">Parker Household</t>
  </si>
  <si>
    <t xml:space="preserve">CL-017</t>
  </si>
  <si>
    <t xml:space="preserve">Quinn Household</t>
  </si>
  <si>
    <t xml:space="preserve">CL-018</t>
  </si>
  <si>
    <t xml:space="preserve">Reed Household</t>
  </si>
  <si>
    <t xml:space="preserve">CL-019</t>
  </si>
  <si>
    <t xml:space="preserve">Stevens Household</t>
  </si>
  <si>
    <t xml:space="preserve">CL-020</t>
  </si>
  <si>
    <t xml:space="preserve">Turner Household</t>
  </si>
  <si>
    <t xml:space="preserve">CL-021</t>
  </si>
  <si>
    <t xml:space="preserve">Underwood Household</t>
  </si>
  <si>
    <t xml:space="preserve">CL-022</t>
  </si>
  <si>
    <t xml:space="preserve">Vance Household</t>
  </si>
  <si>
    <t xml:space="preserve">CL-023</t>
  </si>
  <si>
    <t xml:space="preserve">Ward Household</t>
  </si>
  <si>
    <t xml:space="preserve">CL-024</t>
  </si>
  <si>
    <t xml:space="preserve">Xu Household</t>
  </si>
  <si>
    <t xml:space="preserve">CL-025</t>
  </si>
  <si>
    <t xml:space="preserve">Yates Household</t>
  </si>
  <si>
    <t xml:space="preserve">CL-026</t>
  </si>
  <si>
    <t xml:space="preserve">Zimmerman Household</t>
  </si>
  <si>
    <t xml:space="preserve">CL-027</t>
  </si>
  <si>
    <t xml:space="preserve">Bell Household</t>
  </si>
  <si>
    <t xml:space="preserve">CL-028</t>
  </si>
  <si>
    <t xml:space="preserve">Cole Household</t>
  </si>
  <si>
    <t xml:space="preserve">CL-029</t>
  </si>
  <si>
    <t xml:space="preserve">Dunn Household</t>
  </si>
  <si>
    <t xml:space="preserve">CL-030</t>
  </si>
  <si>
    <t xml:space="preserve">Ellis Household</t>
  </si>
  <si>
    <t xml:space="preserve">CL-031</t>
  </si>
  <si>
    <t xml:space="preserve">Ford Household</t>
  </si>
  <si>
    <t xml:space="preserve">CL-032</t>
  </si>
  <si>
    <t xml:space="preserve">Grant Household</t>
  </si>
  <si>
    <t xml:space="preserve">CL-033</t>
  </si>
  <si>
    <t xml:space="preserve">Hart Household</t>
  </si>
  <si>
    <t xml:space="preserve">CL-034</t>
  </si>
  <si>
    <t xml:space="preserve">Ingram Household</t>
  </si>
  <si>
    <t xml:space="preserve">CL-035</t>
  </si>
  <si>
    <t xml:space="preserve">Jordan Household</t>
  </si>
  <si>
    <t xml:space="preserve">CL-036</t>
  </si>
  <si>
    <t xml:space="preserve">Knight Household</t>
  </si>
  <si>
    <t xml:space="preserve">CL-037</t>
  </si>
  <si>
    <t xml:space="preserve">Lane Household</t>
  </si>
  <si>
    <t xml:space="preserve">CL-038</t>
  </si>
  <si>
    <t xml:space="preserve">Mills Household</t>
  </si>
  <si>
    <t xml:space="preserve">CL-039</t>
  </si>
  <si>
    <t xml:space="preserve">Norris Household</t>
  </si>
  <si>
    <t xml:space="preserve">CL-040</t>
  </si>
  <si>
    <t xml:space="preserve">Ortiz Household</t>
  </si>
  <si>
    <t xml:space="preserve">CL-041</t>
  </si>
  <si>
    <t xml:space="preserve">Pratt Household</t>
  </si>
  <si>
    <t xml:space="preserve">CL-042</t>
  </si>
  <si>
    <t xml:space="preserve">Quincy Household</t>
  </si>
  <si>
    <t xml:space="preserve">CL-043</t>
  </si>
  <si>
    <t xml:space="preserve">Ross Household</t>
  </si>
  <si>
    <t xml:space="preserve">CL-044</t>
  </si>
  <si>
    <t xml:space="preserve">Shaw Household</t>
  </si>
  <si>
    <t xml:space="preserve">CL-045</t>
  </si>
  <si>
    <t xml:space="preserve">Tate Household</t>
  </si>
  <si>
    <t xml:space="preserve">CL-046</t>
  </si>
  <si>
    <t xml:space="preserve">Usher Household</t>
  </si>
  <si>
    <t xml:space="preserve">CL-047</t>
  </si>
  <si>
    <t xml:space="preserve">Vega Household</t>
  </si>
  <si>
    <t xml:space="preserve">CL-048</t>
  </si>
  <si>
    <t xml:space="preserve">Webb Household</t>
  </si>
  <si>
    <t xml:space="preserve">CL-049</t>
  </si>
  <si>
    <t xml:space="preserve">York Household</t>
  </si>
  <si>
    <t xml:space="preserve">CL-050</t>
  </si>
  <si>
    <t xml:space="preserve">Abbott Household</t>
  </si>
  <si>
    <t xml:space="preserve">CL-051</t>
  </si>
  <si>
    <t xml:space="preserve">Booth Household</t>
  </si>
  <si>
    <t xml:space="preserve">CL-052</t>
  </si>
  <si>
    <t xml:space="preserve">Crane Household</t>
  </si>
  <si>
    <t xml:space="preserve">CL-053</t>
  </si>
  <si>
    <t xml:space="preserve">Dean Household</t>
  </si>
  <si>
    <t xml:space="preserve">CL-054</t>
  </si>
  <si>
    <t xml:space="preserve">Estes Household</t>
  </si>
  <si>
    <t xml:space="preserve">CL-055</t>
  </si>
  <si>
    <t xml:space="preserve">Frost Household</t>
  </si>
  <si>
    <t xml:space="preserve">CL-056</t>
  </si>
  <si>
    <t xml:space="preserve">Gill Household</t>
  </si>
  <si>
    <t xml:space="preserve">CL-057</t>
  </si>
  <si>
    <t xml:space="preserve">Hood Household</t>
  </si>
  <si>
    <t xml:space="preserve">CL-058</t>
  </si>
  <si>
    <t xml:space="preserve">Ives Household</t>
  </si>
  <si>
    <t xml:space="preserve">CL-059</t>
  </si>
  <si>
    <t xml:space="preserve">Judd Household</t>
  </si>
  <si>
    <t xml:space="preserve">CL-060</t>
  </si>
  <si>
    <t xml:space="preserve">Kemp Household</t>
  </si>
  <si>
    <t xml:space="preserve">CL-061</t>
  </si>
  <si>
    <t xml:space="preserve">Lowe Household</t>
  </si>
  <si>
    <t xml:space="preserve">CL-062</t>
  </si>
  <si>
    <t xml:space="preserve">Marsh Household</t>
  </si>
  <si>
    <t xml:space="preserve">CL-063</t>
  </si>
  <si>
    <t xml:space="preserve">Nolan Household</t>
  </si>
  <si>
    <t xml:space="preserve">CL-064</t>
  </si>
  <si>
    <t xml:space="preserve">Page Household</t>
  </si>
  <si>
    <t xml:space="preserve">CL-065</t>
  </si>
  <si>
    <t xml:space="preserve">Reyes Household</t>
  </si>
  <si>
    <t xml:space="preserve">Total Clients (Year): 65</t>
  </si>
  <si>
    <t xml:space="preserve">Client Authorization Register</t>
  </si>
  <si>
    <t xml:space="preserve">Medicaid/insurance authorization periods. Billing against an expired authorization is a real audit exposure.</t>
  </si>
  <si>
    <t xml:space="preserve">Client</t>
  </si>
  <si>
    <t xml:space="preserve">Auth Start</t>
  </si>
  <si>
    <t xml:space="preserve">Auth End</t>
  </si>
  <si>
    <t xml:space="preserve">Days Until Expiry (as of 12/31)</t>
  </si>
  <si>
    <t xml:space="preserve">Action Needed</t>
  </si>
  <si>
    <t xml:space="preserve">Authorizations Expired or Expiring Within 30 Days:</t>
  </si>
  <si>
    <t xml:space="preserve">Caregiver Certification &amp; Background Check Register</t>
  </si>
  <si>
    <t xml:space="preserve">Background check and certification renewal tracking - lapses are a compliance/liability exposure.</t>
  </si>
  <si>
    <t xml:space="preserve">Background Check Date</t>
  </si>
  <si>
    <t xml:space="preserve">Cert Expiry Date</t>
  </si>
  <si>
    <t xml:space="preserve">Certifications Expired or Expiring Within 60 Days:</t>
  </si>
  <si>
    <t xml:space="preserve">Vehicles and equipment, with straight-line monthly depreciation and net book value as of year-end.</t>
  </si>
  <si>
    <t xml:space="preserve">Asset ID</t>
  </si>
  <si>
    <t xml:space="preserve">Description</t>
  </si>
  <si>
    <t xml:space="preserve">Category</t>
  </si>
  <si>
    <t xml:space="preserve">Acquisition Date</t>
  </si>
  <si>
    <t xml:space="preserve">Cost</t>
  </si>
  <si>
    <t xml:space="preserve">Useful Life (Yrs)</t>
  </si>
  <si>
    <t xml:space="preserve">Salvage Value</t>
  </si>
  <si>
    <t xml:space="preserve">Monthly Depreciation</t>
  </si>
  <si>
    <t xml:space="preserve">Months Depreciated (FY)</t>
  </si>
  <si>
    <t xml:space="preserve">Accum. Depreciation (FY)</t>
  </si>
  <si>
    <t xml:space="preserve">Net Book Value (12/31)</t>
  </si>
  <si>
    <t xml:space="preserve">FA-001</t>
  </si>
  <si>
    <t xml:space="preserve">2023 Toyota Sienna (Agency Vehicle - Client Transport)</t>
  </si>
  <si>
    <t xml:space="preserve">Vehicle</t>
  </si>
  <si>
    <t xml:space="preserve">FA-002</t>
  </si>
  <si>
    <t xml:space="preserve">2022 Honda CR-V (Agency Vehicle - Supervisor Use)</t>
  </si>
  <si>
    <t xml:space="preserve">FA-003</t>
  </si>
  <si>
    <t xml:space="preserve">Office Computers and Workstations (5 units)</t>
  </si>
  <si>
    <t xml:space="preserve">Office Equipment</t>
  </si>
  <si>
    <t xml:space="preserve">FA-004</t>
  </si>
  <si>
    <t xml:space="preserve">Office Furniture (desks, chairs, filing)</t>
  </si>
  <si>
    <t xml:space="preserve">FA-005</t>
  </si>
  <si>
    <t xml:space="preserve">Medical Equipment (BP cuffs, scales, gait belts, pulse-ox - shared pool)</t>
  </si>
  <si>
    <t xml:space="preserve">Medical Equipment</t>
  </si>
  <si>
    <t xml:space="preserve">FA-006</t>
  </si>
  <si>
    <t xml:space="preserve">EVV / Scheduling System - Hardware and Setup (tablets for field staff)</t>
  </si>
  <si>
    <t xml:space="preserve">FA-007</t>
  </si>
  <si>
    <t xml:space="preserve">2024 Ford Transit Connect (Agency Vehicle - Added for Growth)</t>
  </si>
  <si>
    <t xml:space="preserve">FA-008</t>
  </si>
  <si>
    <t xml:space="preserve">2021 Honda Odyssey (Agency Vehicle - Added for Q4 Growth)</t>
  </si>
  <si>
    <t xml:space="preserve">FA-009</t>
  </si>
  <si>
    <t xml:space="preserve">Additional Medical Equipment (wheelchairs, hospital bed rails - 2nd batch)</t>
  </si>
  <si>
    <t xml:space="preserve">FA-010</t>
  </si>
  <si>
    <t xml:space="preserve">Server / Network Infrastructure Upgrade</t>
  </si>
  <si>
    <t xml:space="preserve">FA-011</t>
  </si>
  <si>
    <t xml:space="preserve">Office Security System (cameras, access control)</t>
  </si>
  <si>
    <t xml:space="preserve">FA-012</t>
  </si>
  <si>
    <t xml:space="preserve">Leasehold Improvements (office buildout, ADA ramp)</t>
  </si>
  <si>
    <t xml:space="preserve">Leasehold Improvements</t>
  </si>
  <si>
    <t xml:space="preserve">TOTALS</t>
  </si>
  <si>
    <t xml:space="preserve">MONTHLY DEPRECIATION SCHEDULE</t>
  </si>
  <si>
    <t xml:space="preserve">Jan-2025</t>
  </si>
  <si>
    <t xml:space="preserve">Feb-2025</t>
  </si>
  <si>
    <t xml:space="preserve">Mar-2025</t>
  </si>
  <si>
    <t xml:space="preserve">Apr-2025</t>
  </si>
  <si>
    <t xml:space="preserve">May-2025</t>
  </si>
  <si>
    <t xml:space="preserve">Jun-2025</t>
  </si>
  <si>
    <t xml:space="preserve">Jul-2025</t>
  </si>
  <si>
    <t xml:space="preserve">Aug-2025</t>
  </si>
  <si>
    <t xml:space="preserve">Sep-2025</t>
  </si>
  <si>
    <t xml:space="preserve">Oct-2025</t>
  </si>
  <si>
    <t xml:space="preserve">Nov-2025</t>
  </si>
  <si>
    <t xml:space="preserve">Dec-2025</t>
  </si>
  <si>
    <t xml:space="preserve">Total Monthly Depreciation</t>
  </si>
  <si>
    <t xml:space="preserve">OTHER ASSETS (Non-Depreciable)</t>
  </si>
  <si>
    <t xml:space="preserve">Item</t>
  </si>
  <si>
    <t xml:space="preserve">Date</t>
  </si>
  <si>
    <t xml:space="preserve">Amount</t>
  </si>
  <si>
    <t xml:space="preserve">Office Lease Security Deposit</t>
  </si>
  <si>
    <t xml:space="preserve">Security Deposit</t>
  </si>
  <si>
    <t xml:space="preserve">Refundable at end of lease term</t>
  </si>
  <si>
    <t xml:space="preserve">General Liability Insurance - Annual Premium (Prepaid)</t>
  </si>
  <si>
    <t xml:space="preserve">Prepaid Expense</t>
  </si>
  <si>
    <t xml:space="preserve">12-month policy, amortized monthly to Insurance expense</t>
  </si>
  <si>
    <t xml:space="preserve">TOTAL OTHER ASSETS</t>
  </si>
  <si>
    <t xml:space="preserve">Daily Visit Register - Every Visit, Full Year</t>
  </si>
  <si>
    <t xml:space="preserve">8,124 visit records. Source of truth for all revenue calculations across the workbook.</t>
  </si>
  <si>
    <t xml:space="preserve">Visit ID</t>
  </si>
  <si>
    <t xml:space="preserve">Gross Units</t>
  </si>
  <si>
    <t xml:space="preserve">Denied Units</t>
  </si>
  <si>
    <t xml:space="preserve">Net Units</t>
  </si>
  <si>
    <t xml:space="preserve">Net Revenue</t>
  </si>
  <si>
    <t xml:space="preserve">Attributed Labor Cost</t>
  </si>
  <si>
    <t xml:space="preserve">V-000001</t>
  </si>
  <si>
    <t xml:space="preserve">Visits</t>
  </si>
  <si>
    <t xml:space="preserve">V-000002</t>
  </si>
  <si>
    <t xml:space="preserve">V-000003</t>
  </si>
  <si>
    <t xml:space="preserve">Hours</t>
  </si>
  <si>
    <t xml:space="preserve">V-000004</t>
  </si>
  <si>
    <t xml:space="preserve">V-000005</t>
  </si>
  <si>
    <t xml:space="preserve">V-000006</t>
  </si>
  <si>
    <t xml:space="preserve">V-000007</t>
  </si>
  <si>
    <t xml:space="preserve">V-000008</t>
  </si>
  <si>
    <t xml:space="preserve">V-000009</t>
  </si>
  <si>
    <t xml:space="preserve">V-000010</t>
  </si>
  <si>
    <t xml:space="preserve">V-000011</t>
  </si>
  <si>
    <t xml:space="preserve">V-000012</t>
  </si>
  <si>
    <t xml:space="preserve">V-000013</t>
  </si>
  <si>
    <t xml:space="preserve">V-000014</t>
  </si>
  <si>
    <t xml:space="preserve">V-000015</t>
  </si>
  <si>
    <t xml:space="preserve">V-000016</t>
  </si>
  <si>
    <t xml:space="preserve">V-000017</t>
  </si>
  <si>
    <t xml:space="preserve">V-000018</t>
  </si>
  <si>
    <t xml:space="preserve">V-000019</t>
  </si>
  <si>
    <t xml:space="preserve">V-000020</t>
  </si>
  <si>
    <t xml:space="preserve">V-000021</t>
  </si>
  <si>
    <t xml:space="preserve">V-000022</t>
  </si>
  <si>
    <t xml:space="preserve">V-000023</t>
  </si>
  <si>
    <t xml:space="preserve">V-000024</t>
  </si>
  <si>
    <t xml:space="preserve">V-000025</t>
  </si>
  <si>
    <t xml:space="preserve">V-000026</t>
  </si>
  <si>
    <t xml:space="preserve">V-000027</t>
  </si>
  <si>
    <t xml:space="preserve">V-000028</t>
  </si>
  <si>
    <t xml:space="preserve">V-000029</t>
  </si>
  <si>
    <t xml:space="preserve">V-000030</t>
  </si>
  <si>
    <t xml:space="preserve">V-000031</t>
  </si>
  <si>
    <t xml:space="preserve">V-000032</t>
  </si>
  <si>
    <t xml:space="preserve">V-000033</t>
  </si>
  <si>
    <t xml:space="preserve">V-000034</t>
  </si>
  <si>
    <t xml:space="preserve">V-000035</t>
  </si>
  <si>
    <t xml:space="preserve">V-000036</t>
  </si>
  <si>
    <t xml:space="preserve">V-000037</t>
  </si>
  <si>
    <t xml:space="preserve">V-000038</t>
  </si>
  <si>
    <t xml:space="preserve">V-000039</t>
  </si>
  <si>
    <t xml:space="preserve">V-000040</t>
  </si>
  <si>
    <t xml:space="preserve">V-000041</t>
  </si>
  <si>
    <t xml:space="preserve">V-000042</t>
  </si>
  <si>
    <t xml:space="preserve">V-000043</t>
  </si>
  <si>
    <t xml:space="preserve">V-000044</t>
  </si>
  <si>
    <t xml:space="preserve">V-000045</t>
  </si>
  <si>
    <t xml:space="preserve">V-000046</t>
  </si>
  <si>
    <t xml:space="preserve">V-000047</t>
  </si>
  <si>
    <t xml:space="preserve">V-000048</t>
  </si>
  <si>
    <t xml:space="preserve">V-000049</t>
  </si>
  <si>
    <t xml:space="preserve">V-000050</t>
  </si>
  <si>
    <t xml:space="preserve">V-000051</t>
  </si>
  <si>
    <t xml:space="preserve">V-000052</t>
  </si>
  <si>
    <t xml:space="preserve">V-000053</t>
  </si>
  <si>
    <t xml:space="preserve">V-000054</t>
  </si>
  <si>
    <t xml:space="preserve">V-000055</t>
  </si>
  <si>
    <t xml:space="preserve">V-000056</t>
  </si>
  <si>
    <t xml:space="preserve">V-000057</t>
  </si>
  <si>
    <t xml:space="preserve">V-000058</t>
  </si>
  <si>
    <t xml:space="preserve">V-000059</t>
  </si>
  <si>
    <t xml:space="preserve">V-000060</t>
  </si>
  <si>
    <t xml:space="preserve">V-000061</t>
  </si>
  <si>
    <t xml:space="preserve">V-000062</t>
  </si>
  <si>
    <t xml:space="preserve">V-000063</t>
  </si>
  <si>
    <t xml:space="preserve">V-000064</t>
  </si>
  <si>
    <t xml:space="preserve">V-000065</t>
  </si>
  <si>
    <t xml:space="preserve">V-000066</t>
  </si>
  <si>
    <t xml:space="preserve">V-000067</t>
  </si>
  <si>
    <t xml:space="preserve">V-000068</t>
  </si>
  <si>
    <t xml:space="preserve">V-000069</t>
  </si>
  <si>
    <t xml:space="preserve">V-000070</t>
  </si>
  <si>
    <t xml:space="preserve">V-000071</t>
  </si>
  <si>
    <t xml:space="preserve">V-000072</t>
  </si>
  <si>
    <t xml:space="preserve">V-000073</t>
  </si>
  <si>
    <t xml:space="preserve">V-000074</t>
  </si>
  <si>
    <t xml:space="preserve">V-000075</t>
  </si>
  <si>
    <t xml:space="preserve">V-000076</t>
  </si>
  <si>
    <t xml:space="preserve">V-000077</t>
  </si>
  <si>
    <t xml:space="preserve">V-000078</t>
  </si>
  <si>
    <t xml:space="preserve">V-000079</t>
  </si>
  <si>
    <t xml:space="preserve">V-000080</t>
  </si>
  <si>
    <t xml:space="preserve">V-000081</t>
  </si>
  <si>
    <t xml:space="preserve">V-000082</t>
  </si>
  <si>
    <t xml:space="preserve">V-000083</t>
  </si>
  <si>
    <t xml:space="preserve">V-000084</t>
  </si>
  <si>
    <t xml:space="preserve">V-000085</t>
  </si>
  <si>
    <t xml:space="preserve">V-000086</t>
  </si>
  <si>
    <t xml:space="preserve">V-000087</t>
  </si>
  <si>
    <t xml:space="preserve">V-000088</t>
  </si>
  <si>
    <t xml:space="preserve">V-000089</t>
  </si>
  <si>
    <t xml:space="preserve">V-000090</t>
  </si>
  <si>
    <t xml:space="preserve">V-000091</t>
  </si>
  <si>
    <t xml:space="preserve">V-000092</t>
  </si>
  <si>
    <t xml:space="preserve">V-000093</t>
  </si>
  <si>
    <t xml:space="preserve">V-000094</t>
  </si>
  <si>
    <t xml:space="preserve">V-000095</t>
  </si>
  <si>
    <t xml:space="preserve">V-000096</t>
  </si>
  <si>
    <t xml:space="preserve">V-000097</t>
  </si>
  <si>
    <t xml:space="preserve">V-000098</t>
  </si>
  <si>
    <t xml:space="preserve">V-000099</t>
  </si>
  <si>
    <t xml:space="preserve">V-000100</t>
  </si>
  <si>
    <t xml:space="preserve">V-000101</t>
  </si>
  <si>
    <t xml:space="preserve">V-000102</t>
  </si>
  <si>
    <t xml:space="preserve">V-000103</t>
  </si>
  <si>
    <t xml:space="preserve">V-000104</t>
  </si>
  <si>
    <t xml:space="preserve">V-000105</t>
  </si>
  <si>
    <t xml:space="preserve">V-000106</t>
  </si>
  <si>
    <t xml:space="preserve">V-000107</t>
  </si>
  <si>
    <t xml:space="preserve">V-000108</t>
  </si>
  <si>
    <t xml:space="preserve">V-000109</t>
  </si>
  <si>
    <t xml:space="preserve">V-000110</t>
  </si>
  <si>
    <t xml:space="preserve">V-000111</t>
  </si>
  <si>
    <t xml:space="preserve">V-000112</t>
  </si>
  <si>
    <t xml:space="preserve">V-000113</t>
  </si>
  <si>
    <t xml:space="preserve">V-000114</t>
  </si>
  <si>
    <t xml:space="preserve">V-000115</t>
  </si>
  <si>
    <t xml:space="preserve">V-000116</t>
  </si>
  <si>
    <t xml:space="preserve">V-000117</t>
  </si>
  <si>
    <t xml:space="preserve">V-000118</t>
  </si>
  <si>
    <t xml:space="preserve">V-000119</t>
  </si>
  <si>
    <t xml:space="preserve">V-000120</t>
  </si>
  <si>
    <t xml:space="preserve">V-000121</t>
  </si>
  <si>
    <t xml:space="preserve">V-000122</t>
  </si>
  <si>
    <t xml:space="preserve">V-000123</t>
  </si>
  <si>
    <t xml:space="preserve">V-000124</t>
  </si>
  <si>
    <t xml:space="preserve">V-000125</t>
  </si>
  <si>
    <t xml:space="preserve">V-000126</t>
  </si>
  <si>
    <t xml:space="preserve">V-000127</t>
  </si>
  <si>
    <t xml:space="preserve">V-000128</t>
  </si>
  <si>
    <t xml:space="preserve">V-000129</t>
  </si>
  <si>
    <t xml:space="preserve">V-000130</t>
  </si>
  <si>
    <t xml:space="preserve">V-000131</t>
  </si>
  <si>
    <t xml:space="preserve">V-000132</t>
  </si>
  <si>
    <t xml:space="preserve">V-000133</t>
  </si>
  <si>
    <t xml:space="preserve">V-000134</t>
  </si>
  <si>
    <t xml:space="preserve">V-000135</t>
  </si>
  <si>
    <t xml:space="preserve">V-000136</t>
  </si>
  <si>
    <t xml:space="preserve">V-000137</t>
  </si>
  <si>
    <t xml:space="preserve">V-000138</t>
  </si>
  <si>
    <t xml:space="preserve">V-000139</t>
  </si>
  <si>
    <t xml:space="preserve">V-000140</t>
  </si>
  <si>
    <t xml:space="preserve">V-000141</t>
  </si>
  <si>
    <t xml:space="preserve">V-000142</t>
  </si>
  <si>
    <t xml:space="preserve">V-000143</t>
  </si>
  <si>
    <t xml:space="preserve">V-000144</t>
  </si>
  <si>
    <t xml:space="preserve">V-000145</t>
  </si>
  <si>
    <t xml:space="preserve">V-000146</t>
  </si>
  <si>
    <t xml:space="preserve">V-000147</t>
  </si>
  <si>
    <t xml:space="preserve">V-000148</t>
  </si>
  <si>
    <t xml:space="preserve">V-000149</t>
  </si>
  <si>
    <t xml:space="preserve">V-000150</t>
  </si>
  <si>
    <t xml:space="preserve">V-000151</t>
  </si>
  <si>
    <t xml:space="preserve">V-000152</t>
  </si>
  <si>
    <t xml:space="preserve">V-000153</t>
  </si>
  <si>
    <t xml:space="preserve">V-000154</t>
  </si>
  <si>
    <t xml:space="preserve">V-000155</t>
  </si>
  <si>
    <t xml:space="preserve">V-000156</t>
  </si>
  <si>
    <t xml:space="preserve">V-000157</t>
  </si>
  <si>
    <t xml:space="preserve">V-000158</t>
  </si>
  <si>
    <t xml:space="preserve">V-000159</t>
  </si>
  <si>
    <t xml:space="preserve">V-000160</t>
  </si>
  <si>
    <t xml:space="preserve">V-000161</t>
  </si>
  <si>
    <t xml:space="preserve">V-000162</t>
  </si>
  <si>
    <t xml:space="preserve">V-000163</t>
  </si>
  <si>
    <t xml:space="preserve">V-000164</t>
  </si>
  <si>
    <t xml:space="preserve">V-000165</t>
  </si>
  <si>
    <t xml:space="preserve">V-000166</t>
  </si>
  <si>
    <t xml:space="preserve">V-000167</t>
  </si>
  <si>
    <t xml:space="preserve">V-000168</t>
  </si>
  <si>
    <t xml:space="preserve">V-000169</t>
  </si>
  <si>
    <t xml:space="preserve">V-000170</t>
  </si>
  <si>
    <t xml:space="preserve">V-000171</t>
  </si>
  <si>
    <t xml:space="preserve">V-000172</t>
  </si>
  <si>
    <t xml:space="preserve">V-000173</t>
  </si>
  <si>
    <t xml:space="preserve">V-000174</t>
  </si>
  <si>
    <t xml:space="preserve">V-000175</t>
  </si>
  <si>
    <t xml:space="preserve">V-000176</t>
  </si>
  <si>
    <t xml:space="preserve">V-000177</t>
  </si>
  <si>
    <t xml:space="preserve">V-000178</t>
  </si>
  <si>
    <t xml:space="preserve">V-000179</t>
  </si>
  <si>
    <t xml:space="preserve">V-000180</t>
  </si>
  <si>
    <t xml:space="preserve">V-000181</t>
  </si>
  <si>
    <t xml:space="preserve">V-000182</t>
  </si>
  <si>
    <t xml:space="preserve">V-000183</t>
  </si>
  <si>
    <t xml:space="preserve">V-000184</t>
  </si>
  <si>
    <t xml:space="preserve">V-000185</t>
  </si>
  <si>
    <t xml:space="preserve">V-000186</t>
  </si>
  <si>
    <t xml:space="preserve">V-000187</t>
  </si>
  <si>
    <t xml:space="preserve">V-000188</t>
  </si>
  <si>
    <t xml:space="preserve">V-000189</t>
  </si>
  <si>
    <t xml:space="preserve">V-000190</t>
  </si>
  <si>
    <t xml:space="preserve">V-000191</t>
  </si>
  <si>
    <t xml:space="preserve">V-000192</t>
  </si>
  <si>
    <t xml:space="preserve">V-000193</t>
  </si>
  <si>
    <t xml:space="preserve">V-000194</t>
  </si>
  <si>
    <t xml:space="preserve">V-000195</t>
  </si>
  <si>
    <t xml:space="preserve">V-000196</t>
  </si>
  <si>
    <t xml:space="preserve">V-000197</t>
  </si>
  <si>
    <t xml:space="preserve">V-000198</t>
  </si>
  <si>
    <t xml:space="preserve">V-000199</t>
  </si>
  <si>
    <t xml:space="preserve">V-000200</t>
  </si>
  <si>
    <t xml:space="preserve">V-000201</t>
  </si>
  <si>
    <t xml:space="preserve">V-000202</t>
  </si>
  <si>
    <t xml:space="preserve">V-000203</t>
  </si>
  <si>
    <t xml:space="preserve">V-000204</t>
  </si>
  <si>
    <t xml:space="preserve">V-000205</t>
  </si>
  <si>
    <t xml:space="preserve">V-000206</t>
  </si>
  <si>
    <t xml:space="preserve">V-000207</t>
  </si>
  <si>
    <t xml:space="preserve">V-000208</t>
  </si>
  <si>
    <t xml:space="preserve">V-000209</t>
  </si>
  <si>
    <t xml:space="preserve">V-000210</t>
  </si>
  <si>
    <t xml:space="preserve">V-000211</t>
  </si>
  <si>
    <t xml:space="preserve">V-000212</t>
  </si>
  <si>
    <t xml:space="preserve">V-000213</t>
  </si>
  <si>
    <t xml:space="preserve">V-000214</t>
  </si>
  <si>
    <t xml:space="preserve">V-000215</t>
  </si>
  <si>
    <t xml:space="preserve">V-000216</t>
  </si>
  <si>
    <t xml:space="preserve">V-000217</t>
  </si>
  <si>
    <t xml:space="preserve">V-000218</t>
  </si>
  <si>
    <t xml:space="preserve">V-000219</t>
  </si>
  <si>
    <t xml:space="preserve">V-000220</t>
  </si>
  <si>
    <t xml:space="preserve">V-000221</t>
  </si>
  <si>
    <t xml:space="preserve">V-000222</t>
  </si>
  <si>
    <t xml:space="preserve">V-000223</t>
  </si>
  <si>
    <t xml:space="preserve">V-000224</t>
  </si>
  <si>
    <t xml:space="preserve">V-000225</t>
  </si>
  <si>
    <t xml:space="preserve">V-000226</t>
  </si>
  <si>
    <t xml:space="preserve">V-000227</t>
  </si>
  <si>
    <t xml:space="preserve">V-000228</t>
  </si>
  <si>
    <t xml:space="preserve">V-000229</t>
  </si>
  <si>
    <t xml:space="preserve">V-000230</t>
  </si>
  <si>
    <t xml:space="preserve">V-000231</t>
  </si>
  <si>
    <t xml:space="preserve">V-000232</t>
  </si>
  <si>
    <t xml:space="preserve">V-000233</t>
  </si>
  <si>
    <t xml:space="preserve">V-000234</t>
  </si>
  <si>
    <t xml:space="preserve">V-000235</t>
  </si>
  <si>
    <t xml:space="preserve">V-000236</t>
  </si>
  <si>
    <t xml:space="preserve">V-000237</t>
  </si>
  <si>
    <t xml:space="preserve">V-000238</t>
  </si>
  <si>
    <t xml:space="preserve">V-000239</t>
  </si>
  <si>
    <t xml:space="preserve">V-000240</t>
  </si>
  <si>
    <t xml:space="preserve">V-000241</t>
  </si>
  <si>
    <t xml:space="preserve">V-000242</t>
  </si>
  <si>
    <t xml:space="preserve">V-000243</t>
  </si>
  <si>
    <t xml:space="preserve">V-000244</t>
  </si>
  <si>
    <t xml:space="preserve">V-000245</t>
  </si>
  <si>
    <t xml:space="preserve">V-000246</t>
  </si>
  <si>
    <t xml:space="preserve">V-000247</t>
  </si>
  <si>
    <t xml:space="preserve">V-000248</t>
  </si>
  <si>
    <t xml:space="preserve">V-000249</t>
  </si>
  <si>
    <t xml:space="preserve">V-000250</t>
  </si>
  <si>
    <t xml:space="preserve">V-000251</t>
  </si>
  <si>
    <t xml:space="preserve">V-000252</t>
  </si>
  <si>
    <t xml:space="preserve">V-000253</t>
  </si>
  <si>
    <t xml:space="preserve">V-000254</t>
  </si>
  <si>
    <t xml:space="preserve">V-000255</t>
  </si>
  <si>
    <t xml:space="preserve">V-000256</t>
  </si>
  <si>
    <t xml:space="preserve">V-000257</t>
  </si>
  <si>
    <t xml:space="preserve">V-000258</t>
  </si>
  <si>
    <t xml:space="preserve">V-000259</t>
  </si>
  <si>
    <t xml:space="preserve">V-000260</t>
  </si>
  <si>
    <t xml:space="preserve">V-000261</t>
  </si>
  <si>
    <t xml:space="preserve">V-000262</t>
  </si>
  <si>
    <t xml:space="preserve">V-000263</t>
  </si>
  <si>
    <t xml:space="preserve">V-000264</t>
  </si>
  <si>
    <t xml:space="preserve">V-000265</t>
  </si>
  <si>
    <t xml:space="preserve">V-000266</t>
  </si>
  <si>
    <t xml:space="preserve">V-000267</t>
  </si>
  <si>
    <t xml:space="preserve">V-000268</t>
  </si>
  <si>
    <t xml:space="preserve">V-000269</t>
  </si>
  <si>
    <t xml:space="preserve">V-000270</t>
  </si>
  <si>
    <t xml:space="preserve">V-000271</t>
  </si>
  <si>
    <t xml:space="preserve">V-000272</t>
  </si>
  <si>
    <t xml:space="preserve">V-000273</t>
  </si>
  <si>
    <t xml:space="preserve">V-000274</t>
  </si>
  <si>
    <t xml:space="preserve">V-000275</t>
  </si>
  <si>
    <t xml:space="preserve">V-000276</t>
  </si>
  <si>
    <t xml:space="preserve">V-000277</t>
  </si>
  <si>
    <t xml:space="preserve">V-000278</t>
  </si>
  <si>
    <t xml:space="preserve">V-000279</t>
  </si>
  <si>
    <t xml:space="preserve">V-000280</t>
  </si>
  <si>
    <t xml:space="preserve">V-000281</t>
  </si>
  <si>
    <t xml:space="preserve">V-000282</t>
  </si>
  <si>
    <t xml:space="preserve">V-000283</t>
  </si>
  <si>
    <t xml:space="preserve">V-000284</t>
  </si>
  <si>
    <t xml:space="preserve">V-000285</t>
  </si>
  <si>
    <t xml:space="preserve">V-000286</t>
  </si>
  <si>
    <t xml:space="preserve">V-000287</t>
  </si>
  <si>
    <t xml:space="preserve">V-000288</t>
  </si>
  <si>
    <t xml:space="preserve">V-000289</t>
  </si>
  <si>
    <t xml:space="preserve">V-000290</t>
  </si>
  <si>
    <t xml:space="preserve">V-000291</t>
  </si>
  <si>
    <t xml:space="preserve">V-000292</t>
  </si>
  <si>
    <t xml:space="preserve">V-000293</t>
  </si>
  <si>
    <t xml:space="preserve">V-000294</t>
  </si>
  <si>
    <t xml:space="preserve">V-000295</t>
  </si>
  <si>
    <t xml:space="preserve">V-000296</t>
  </si>
  <si>
    <t xml:space="preserve">V-000297</t>
  </si>
  <si>
    <t xml:space="preserve">V-000298</t>
  </si>
  <si>
    <t xml:space="preserve">V-000299</t>
  </si>
  <si>
    <t xml:space="preserve">V-000300</t>
  </si>
  <si>
    <t xml:space="preserve">V-000301</t>
  </si>
  <si>
    <t xml:space="preserve">V-000302</t>
  </si>
  <si>
    <t xml:space="preserve">V-000303</t>
  </si>
  <si>
    <t xml:space="preserve">V-000304</t>
  </si>
  <si>
    <t xml:space="preserve">V-000305</t>
  </si>
  <si>
    <t xml:space="preserve">V-000306</t>
  </si>
  <si>
    <t xml:space="preserve">V-000307</t>
  </si>
  <si>
    <t xml:space="preserve">V-000308</t>
  </si>
  <si>
    <t xml:space="preserve">V-000309</t>
  </si>
  <si>
    <t xml:space="preserve">V-000310</t>
  </si>
  <si>
    <t xml:space="preserve">V-000311</t>
  </si>
  <si>
    <t xml:space="preserve">V-000312</t>
  </si>
  <si>
    <t xml:space="preserve">V-000313</t>
  </si>
  <si>
    <t xml:space="preserve">V-000314</t>
  </si>
  <si>
    <t xml:space="preserve">V-000315</t>
  </si>
  <si>
    <t xml:space="preserve">V-000316</t>
  </si>
  <si>
    <t xml:space="preserve">V-000317</t>
  </si>
  <si>
    <t xml:space="preserve">V-000318</t>
  </si>
  <si>
    <t xml:space="preserve">V-000319</t>
  </si>
  <si>
    <t xml:space="preserve">V-000320</t>
  </si>
  <si>
    <t xml:space="preserve">V-000321</t>
  </si>
  <si>
    <t xml:space="preserve">V-000322</t>
  </si>
  <si>
    <t xml:space="preserve">V-000323</t>
  </si>
  <si>
    <t xml:space="preserve">V-000324</t>
  </si>
  <si>
    <t xml:space="preserve">V-000325</t>
  </si>
  <si>
    <t xml:space="preserve">V-000326</t>
  </si>
  <si>
    <t xml:space="preserve">V-000327</t>
  </si>
  <si>
    <t xml:space="preserve">V-000328</t>
  </si>
  <si>
    <t xml:space="preserve">V-000329</t>
  </si>
  <si>
    <t xml:space="preserve">V-000330</t>
  </si>
  <si>
    <t xml:space="preserve">V-000331</t>
  </si>
  <si>
    <t xml:space="preserve">V-000332</t>
  </si>
  <si>
    <t xml:space="preserve">V-000333</t>
  </si>
  <si>
    <t xml:space="preserve">V-000334</t>
  </si>
  <si>
    <t xml:space="preserve">V-000335</t>
  </si>
  <si>
    <t xml:space="preserve">V-000336</t>
  </si>
  <si>
    <t xml:space="preserve">V-000337</t>
  </si>
  <si>
    <t xml:space="preserve">V-000338</t>
  </si>
  <si>
    <t xml:space="preserve">V-000339</t>
  </si>
  <si>
    <t xml:space="preserve">V-000340</t>
  </si>
  <si>
    <t xml:space="preserve">V-000341</t>
  </si>
  <si>
    <t xml:space="preserve">V-000342</t>
  </si>
  <si>
    <t xml:space="preserve">V-000343</t>
  </si>
  <si>
    <t xml:space="preserve">V-000344</t>
  </si>
  <si>
    <t xml:space="preserve">V-000345</t>
  </si>
  <si>
    <t xml:space="preserve">V-000346</t>
  </si>
  <si>
    <t xml:space="preserve">V-000347</t>
  </si>
  <si>
    <t xml:space="preserve">V-000348</t>
  </si>
  <si>
    <t xml:space="preserve">V-000349</t>
  </si>
  <si>
    <t xml:space="preserve">V-000350</t>
  </si>
  <si>
    <t xml:space="preserve">V-000351</t>
  </si>
  <si>
    <t xml:space="preserve">V-000352</t>
  </si>
  <si>
    <t xml:space="preserve">V-000353</t>
  </si>
  <si>
    <t xml:space="preserve">V-000354</t>
  </si>
  <si>
    <t xml:space="preserve">V-000355</t>
  </si>
  <si>
    <t xml:space="preserve">V-000356</t>
  </si>
  <si>
    <t xml:space="preserve">V-000357</t>
  </si>
  <si>
    <t xml:space="preserve">V-000358</t>
  </si>
  <si>
    <t xml:space="preserve">V-000359</t>
  </si>
  <si>
    <t xml:space="preserve">V-000360</t>
  </si>
  <si>
    <t xml:space="preserve">V-000361</t>
  </si>
  <si>
    <t xml:space="preserve">V-000362</t>
  </si>
  <si>
    <t xml:space="preserve">V-000363</t>
  </si>
  <si>
    <t xml:space="preserve">V-000364</t>
  </si>
  <si>
    <t xml:space="preserve">V-000365</t>
  </si>
  <si>
    <t xml:space="preserve">V-000366</t>
  </si>
  <si>
    <t xml:space="preserve">V-000367</t>
  </si>
  <si>
    <t xml:space="preserve">V-000368</t>
  </si>
  <si>
    <t xml:space="preserve">V-000369</t>
  </si>
  <si>
    <t xml:space="preserve">V-000370</t>
  </si>
  <si>
    <t xml:space="preserve">V-000371</t>
  </si>
  <si>
    <t xml:space="preserve">V-000372</t>
  </si>
  <si>
    <t xml:space="preserve">V-000373</t>
  </si>
  <si>
    <t xml:space="preserve">V-000374</t>
  </si>
  <si>
    <t xml:space="preserve">V-000375</t>
  </si>
  <si>
    <t xml:space="preserve">V-000376</t>
  </si>
  <si>
    <t xml:space="preserve">V-000377</t>
  </si>
  <si>
    <t xml:space="preserve">V-000378</t>
  </si>
  <si>
    <t xml:space="preserve">V-000379</t>
  </si>
  <si>
    <t xml:space="preserve">V-000380</t>
  </si>
  <si>
    <t xml:space="preserve">V-000381</t>
  </si>
  <si>
    <t xml:space="preserve">V-000382</t>
  </si>
  <si>
    <t xml:space="preserve">V-000383</t>
  </si>
  <si>
    <t xml:space="preserve">V-000384</t>
  </si>
  <si>
    <t xml:space="preserve">V-000385</t>
  </si>
  <si>
    <t xml:space="preserve">V-000386</t>
  </si>
  <si>
    <t xml:space="preserve">V-000387</t>
  </si>
  <si>
    <t xml:space="preserve">V-000388</t>
  </si>
  <si>
    <t xml:space="preserve">V-000389</t>
  </si>
  <si>
    <t xml:space="preserve">V-000390</t>
  </si>
  <si>
    <t xml:space="preserve">V-000391</t>
  </si>
  <si>
    <t xml:space="preserve">V-000392</t>
  </si>
  <si>
    <t xml:space="preserve">V-000393</t>
  </si>
  <si>
    <t xml:space="preserve">V-000394</t>
  </si>
  <si>
    <t xml:space="preserve">V-000395</t>
  </si>
  <si>
    <t xml:space="preserve">V-000396</t>
  </si>
  <si>
    <t xml:space="preserve">V-000397</t>
  </si>
  <si>
    <t xml:space="preserve">V-000398</t>
  </si>
  <si>
    <t xml:space="preserve">V-000399</t>
  </si>
  <si>
    <t xml:space="preserve">V-000400</t>
  </si>
  <si>
    <t xml:space="preserve">V-000401</t>
  </si>
  <si>
    <t xml:space="preserve">V-000402</t>
  </si>
  <si>
    <t xml:space="preserve">V-000403</t>
  </si>
  <si>
    <t xml:space="preserve">V-000404</t>
  </si>
  <si>
    <t xml:space="preserve">V-000405</t>
  </si>
  <si>
    <t xml:space="preserve">V-000406</t>
  </si>
  <si>
    <t xml:space="preserve">V-000407</t>
  </si>
  <si>
    <t xml:space="preserve">V-000408</t>
  </si>
  <si>
    <t xml:space="preserve">V-000409</t>
  </si>
  <si>
    <t xml:space="preserve">V-000410</t>
  </si>
  <si>
    <t xml:space="preserve">V-000411</t>
  </si>
  <si>
    <t xml:space="preserve">V-000412</t>
  </si>
  <si>
    <t xml:space="preserve">V-000413</t>
  </si>
  <si>
    <t xml:space="preserve">V-000414</t>
  </si>
  <si>
    <t xml:space="preserve">V-000415</t>
  </si>
  <si>
    <t xml:space="preserve">V-000416</t>
  </si>
  <si>
    <t xml:space="preserve">V-000417</t>
  </si>
  <si>
    <t xml:space="preserve">V-000418</t>
  </si>
  <si>
    <t xml:space="preserve">V-000419</t>
  </si>
  <si>
    <t xml:space="preserve">V-000420</t>
  </si>
  <si>
    <t xml:space="preserve">V-000421</t>
  </si>
  <si>
    <t xml:space="preserve">V-000422</t>
  </si>
  <si>
    <t xml:space="preserve">V-000423</t>
  </si>
  <si>
    <t xml:space="preserve">V-000424</t>
  </si>
  <si>
    <t xml:space="preserve">V-000425</t>
  </si>
  <si>
    <t xml:space="preserve">V-000426</t>
  </si>
  <si>
    <t xml:space="preserve">V-000427</t>
  </si>
  <si>
    <t xml:space="preserve">V-000428</t>
  </si>
  <si>
    <t xml:space="preserve">V-000429</t>
  </si>
  <si>
    <t xml:space="preserve">V-000430</t>
  </si>
  <si>
    <t xml:space="preserve">V-000431</t>
  </si>
  <si>
    <t xml:space="preserve">V-000432</t>
  </si>
  <si>
    <t xml:space="preserve">V-000433</t>
  </si>
  <si>
    <t xml:space="preserve">V-000434</t>
  </si>
  <si>
    <t xml:space="preserve">V-000435</t>
  </si>
  <si>
    <t xml:space="preserve">V-000436</t>
  </si>
  <si>
    <t xml:space="preserve">V-000437</t>
  </si>
  <si>
    <t xml:space="preserve">V-000438</t>
  </si>
  <si>
    <t xml:space="preserve">V-000439</t>
  </si>
  <si>
    <t xml:space="preserve">V-000440</t>
  </si>
  <si>
    <t xml:space="preserve">V-000441</t>
  </si>
  <si>
    <t xml:space="preserve">V-000442</t>
  </si>
  <si>
    <t xml:space="preserve">V-000443</t>
  </si>
  <si>
    <t xml:space="preserve">V-000444</t>
  </si>
  <si>
    <t xml:space="preserve">V-000445</t>
  </si>
  <si>
    <t xml:space="preserve">V-000446</t>
  </si>
  <si>
    <t xml:space="preserve">V-000447</t>
  </si>
  <si>
    <t xml:space="preserve">V-000448</t>
  </si>
  <si>
    <t xml:space="preserve">V-000449</t>
  </si>
  <si>
    <t xml:space="preserve">V-000450</t>
  </si>
  <si>
    <t xml:space="preserve">V-000451</t>
  </si>
  <si>
    <t xml:space="preserve">V-000452</t>
  </si>
  <si>
    <t xml:space="preserve">V-000453</t>
  </si>
  <si>
    <t xml:space="preserve">V-000454</t>
  </si>
  <si>
    <t xml:space="preserve">V-000455</t>
  </si>
  <si>
    <t xml:space="preserve">V-000456</t>
  </si>
  <si>
    <t xml:space="preserve">V-000457</t>
  </si>
  <si>
    <t xml:space="preserve">V-000458</t>
  </si>
  <si>
    <t xml:space="preserve">V-000459</t>
  </si>
  <si>
    <t xml:space="preserve">V-000460</t>
  </si>
  <si>
    <t xml:space="preserve">V-000461</t>
  </si>
  <si>
    <t xml:space="preserve">V-000462</t>
  </si>
  <si>
    <t xml:space="preserve">V-000463</t>
  </si>
  <si>
    <t xml:space="preserve">V-000464</t>
  </si>
  <si>
    <t xml:space="preserve">V-000465</t>
  </si>
  <si>
    <t xml:space="preserve">V-000466</t>
  </si>
  <si>
    <t xml:space="preserve">V-000467</t>
  </si>
  <si>
    <t xml:space="preserve">V-000468</t>
  </si>
  <si>
    <t xml:space="preserve">V-000469</t>
  </si>
  <si>
    <t xml:space="preserve">V-000470</t>
  </si>
  <si>
    <t xml:space="preserve">V-000471</t>
  </si>
  <si>
    <t xml:space="preserve">V-000472</t>
  </si>
  <si>
    <t xml:space="preserve">V-000473</t>
  </si>
  <si>
    <t xml:space="preserve">V-000474</t>
  </si>
  <si>
    <t xml:space="preserve">V-000475</t>
  </si>
  <si>
    <t xml:space="preserve">V-000476</t>
  </si>
  <si>
    <t xml:space="preserve">V-000477</t>
  </si>
  <si>
    <t xml:space="preserve">V-000478</t>
  </si>
  <si>
    <t xml:space="preserve">V-000479</t>
  </si>
  <si>
    <t xml:space="preserve">V-000480</t>
  </si>
  <si>
    <t xml:space="preserve">V-000481</t>
  </si>
  <si>
    <t xml:space="preserve">V-000482</t>
  </si>
  <si>
    <t xml:space="preserve">V-000483</t>
  </si>
  <si>
    <t xml:space="preserve">V-000484</t>
  </si>
  <si>
    <t xml:space="preserve">V-000485</t>
  </si>
  <si>
    <t xml:space="preserve">V-000486</t>
  </si>
  <si>
    <t xml:space="preserve">V-000487</t>
  </si>
  <si>
    <t xml:space="preserve">V-000488</t>
  </si>
  <si>
    <t xml:space="preserve">V-000489</t>
  </si>
  <si>
    <t xml:space="preserve">V-000490</t>
  </si>
  <si>
    <t xml:space="preserve">V-000491</t>
  </si>
  <si>
    <t xml:space="preserve">V-000492</t>
  </si>
  <si>
    <t xml:space="preserve">V-000493</t>
  </si>
  <si>
    <t xml:space="preserve">V-000494</t>
  </si>
  <si>
    <t xml:space="preserve">V-000495</t>
  </si>
  <si>
    <t xml:space="preserve">V-000496</t>
  </si>
  <si>
    <t xml:space="preserve">V-000497</t>
  </si>
  <si>
    <t xml:space="preserve">V-000498</t>
  </si>
  <si>
    <t xml:space="preserve">V-000499</t>
  </si>
  <si>
    <t xml:space="preserve">V-000500</t>
  </si>
  <si>
    <t xml:space="preserve">V-000501</t>
  </si>
  <si>
    <t xml:space="preserve">V-000502</t>
  </si>
  <si>
    <t xml:space="preserve">V-000503</t>
  </si>
  <si>
    <t xml:space="preserve">V-000504</t>
  </si>
  <si>
    <t xml:space="preserve">V-000505</t>
  </si>
  <si>
    <t xml:space="preserve">V-000506</t>
  </si>
  <si>
    <t xml:space="preserve">V-000507</t>
  </si>
  <si>
    <t xml:space="preserve">V-000508</t>
  </si>
  <si>
    <t xml:space="preserve">V-000509</t>
  </si>
  <si>
    <t xml:space="preserve">V-000510</t>
  </si>
  <si>
    <t xml:space="preserve">V-000511</t>
  </si>
  <si>
    <t xml:space="preserve">V-000512</t>
  </si>
  <si>
    <t xml:space="preserve">V-000513</t>
  </si>
  <si>
    <t xml:space="preserve">V-000514</t>
  </si>
  <si>
    <t xml:space="preserve">V-000515</t>
  </si>
  <si>
    <t xml:space="preserve">V-000516</t>
  </si>
  <si>
    <t xml:space="preserve">V-000517</t>
  </si>
  <si>
    <t xml:space="preserve">V-000518</t>
  </si>
  <si>
    <t xml:space="preserve">V-000519</t>
  </si>
  <si>
    <t xml:space="preserve">V-000520</t>
  </si>
  <si>
    <t xml:space="preserve">V-000521</t>
  </si>
  <si>
    <t xml:space="preserve">V-000522</t>
  </si>
  <si>
    <t xml:space="preserve">V-000523</t>
  </si>
  <si>
    <t xml:space="preserve">V-000524</t>
  </si>
  <si>
    <t xml:space="preserve">V-000525</t>
  </si>
  <si>
    <t xml:space="preserve">V-000526</t>
  </si>
  <si>
    <t xml:space="preserve">V-000527</t>
  </si>
  <si>
    <t xml:space="preserve">V-000528</t>
  </si>
  <si>
    <t xml:space="preserve">V-000529</t>
  </si>
  <si>
    <t xml:space="preserve">V-000530</t>
  </si>
  <si>
    <t xml:space="preserve">V-000531</t>
  </si>
  <si>
    <t xml:space="preserve">V-000532</t>
  </si>
  <si>
    <t xml:space="preserve">V-000533</t>
  </si>
  <si>
    <t xml:space="preserve">V-000534</t>
  </si>
  <si>
    <t xml:space="preserve">V-000535</t>
  </si>
  <si>
    <t xml:space="preserve">V-000536</t>
  </si>
  <si>
    <t xml:space="preserve">V-000537</t>
  </si>
  <si>
    <t xml:space="preserve">V-000538</t>
  </si>
  <si>
    <t xml:space="preserve">V-000539</t>
  </si>
  <si>
    <t xml:space="preserve">V-000540</t>
  </si>
  <si>
    <t xml:space="preserve">V-000541</t>
  </si>
  <si>
    <t xml:space="preserve">V-000542</t>
  </si>
  <si>
    <t xml:space="preserve">V-000543</t>
  </si>
  <si>
    <t xml:space="preserve">V-000544</t>
  </si>
  <si>
    <t xml:space="preserve">V-000545</t>
  </si>
  <si>
    <t xml:space="preserve">V-000546</t>
  </si>
  <si>
    <t xml:space="preserve">V-000547</t>
  </si>
  <si>
    <t xml:space="preserve">V-000548</t>
  </si>
  <si>
    <t xml:space="preserve">V-000549</t>
  </si>
  <si>
    <t xml:space="preserve">V-000550</t>
  </si>
  <si>
    <t xml:space="preserve">V-000551</t>
  </si>
  <si>
    <t xml:space="preserve">V-000552</t>
  </si>
  <si>
    <t xml:space="preserve">V-000553</t>
  </si>
  <si>
    <t xml:space="preserve">V-000554</t>
  </si>
  <si>
    <t xml:space="preserve">V-000555</t>
  </si>
  <si>
    <t xml:space="preserve">V-000556</t>
  </si>
  <si>
    <t xml:space="preserve">V-000557</t>
  </si>
  <si>
    <t xml:space="preserve">V-000558</t>
  </si>
  <si>
    <t xml:space="preserve">V-000559</t>
  </si>
  <si>
    <t xml:space="preserve">V-000560</t>
  </si>
  <si>
    <t xml:space="preserve">V-000561</t>
  </si>
  <si>
    <t xml:space="preserve">V-000562</t>
  </si>
  <si>
    <t xml:space="preserve">V-000563</t>
  </si>
  <si>
    <t xml:space="preserve">V-000564</t>
  </si>
  <si>
    <t xml:space="preserve">V-000565</t>
  </si>
  <si>
    <t xml:space="preserve">V-000566</t>
  </si>
  <si>
    <t xml:space="preserve">V-000567</t>
  </si>
  <si>
    <t xml:space="preserve">V-000568</t>
  </si>
  <si>
    <t xml:space="preserve">V-000569</t>
  </si>
  <si>
    <t xml:space="preserve">V-000570</t>
  </si>
  <si>
    <t xml:space="preserve">V-000571</t>
  </si>
  <si>
    <t xml:space="preserve">V-000572</t>
  </si>
  <si>
    <t xml:space="preserve">V-000573</t>
  </si>
  <si>
    <t xml:space="preserve">V-000574</t>
  </si>
  <si>
    <t xml:space="preserve">V-000575</t>
  </si>
  <si>
    <t xml:space="preserve">V-000576</t>
  </si>
  <si>
    <t xml:space="preserve">V-000577</t>
  </si>
  <si>
    <t xml:space="preserve">V-000578</t>
  </si>
  <si>
    <t xml:space="preserve">V-000579</t>
  </si>
  <si>
    <t xml:space="preserve">V-000580</t>
  </si>
  <si>
    <t xml:space="preserve">V-000581</t>
  </si>
  <si>
    <t xml:space="preserve">V-000582</t>
  </si>
  <si>
    <t xml:space="preserve">V-000583</t>
  </si>
  <si>
    <t xml:space="preserve">V-000584</t>
  </si>
  <si>
    <t xml:space="preserve">V-000585</t>
  </si>
  <si>
    <t xml:space="preserve">V-000586</t>
  </si>
  <si>
    <t xml:space="preserve">V-000587</t>
  </si>
  <si>
    <t xml:space="preserve">V-000588</t>
  </si>
  <si>
    <t xml:space="preserve">V-000589</t>
  </si>
  <si>
    <t xml:space="preserve">V-000590</t>
  </si>
  <si>
    <t xml:space="preserve">V-000591</t>
  </si>
  <si>
    <t xml:space="preserve">V-000592</t>
  </si>
  <si>
    <t xml:space="preserve">V-000593</t>
  </si>
  <si>
    <t xml:space="preserve">V-000594</t>
  </si>
  <si>
    <t xml:space="preserve">V-000595</t>
  </si>
  <si>
    <t xml:space="preserve">V-000596</t>
  </si>
  <si>
    <t xml:space="preserve">V-000597</t>
  </si>
  <si>
    <t xml:space="preserve">V-000598</t>
  </si>
  <si>
    <t xml:space="preserve">V-000599</t>
  </si>
  <si>
    <t xml:space="preserve">V-000600</t>
  </si>
  <si>
    <t xml:space="preserve">V-000601</t>
  </si>
  <si>
    <t xml:space="preserve">V-000602</t>
  </si>
  <si>
    <t xml:space="preserve">V-000603</t>
  </si>
  <si>
    <t xml:space="preserve">V-000604</t>
  </si>
  <si>
    <t xml:space="preserve">V-000605</t>
  </si>
  <si>
    <t xml:space="preserve">V-000606</t>
  </si>
  <si>
    <t xml:space="preserve">V-000607</t>
  </si>
  <si>
    <t xml:space="preserve">V-000608</t>
  </si>
  <si>
    <t xml:space="preserve">V-000609</t>
  </si>
  <si>
    <t xml:space="preserve">V-000610</t>
  </si>
  <si>
    <t xml:space="preserve">V-000611</t>
  </si>
  <si>
    <t xml:space="preserve">V-000612</t>
  </si>
  <si>
    <t xml:space="preserve">V-000613</t>
  </si>
  <si>
    <t xml:space="preserve">V-000614</t>
  </si>
  <si>
    <t xml:space="preserve">V-000615</t>
  </si>
  <si>
    <t xml:space="preserve">V-000616</t>
  </si>
  <si>
    <t xml:space="preserve">V-000617</t>
  </si>
  <si>
    <t xml:space="preserve">V-000618</t>
  </si>
  <si>
    <t xml:space="preserve">V-000619</t>
  </si>
  <si>
    <t xml:space="preserve">V-000620</t>
  </si>
  <si>
    <t xml:space="preserve">V-000621</t>
  </si>
  <si>
    <t xml:space="preserve">V-000622</t>
  </si>
  <si>
    <t xml:space="preserve">V-000623</t>
  </si>
  <si>
    <t xml:space="preserve">V-000624</t>
  </si>
  <si>
    <t xml:space="preserve">V-000625</t>
  </si>
  <si>
    <t xml:space="preserve">V-000626</t>
  </si>
  <si>
    <t xml:space="preserve">V-000627</t>
  </si>
  <si>
    <t xml:space="preserve">V-000628</t>
  </si>
  <si>
    <t xml:space="preserve">V-000629</t>
  </si>
  <si>
    <t xml:space="preserve">V-000630</t>
  </si>
  <si>
    <t xml:space="preserve">V-000631</t>
  </si>
  <si>
    <t xml:space="preserve">V-000632</t>
  </si>
  <si>
    <t xml:space="preserve">V-000633</t>
  </si>
  <si>
    <t xml:space="preserve">V-000634</t>
  </si>
  <si>
    <t xml:space="preserve">V-000635</t>
  </si>
  <si>
    <t xml:space="preserve">V-000636</t>
  </si>
  <si>
    <t xml:space="preserve">V-000637</t>
  </si>
  <si>
    <t xml:space="preserve">V-000638</t>
  </si>
  <si>
    <t xml:space="preserve">V-000639</t>
  </si>
  <si>
    <t xml:space="preserve">V-000640</t>
  </si>
  <si>
    <t xml:space="preserve">V-000641</t>
  </si>
  <si>
    <t xml:space="preserve">V-000642</t>
  </si>
  <si>
    <t xml:space="preserve">V-000643</t>
  </si>
  <si>
    <t xml:space="preserve">V-000644</t>
  </si>
  <si>
    <t xml:space="preserve">V-000645</t>
  </si>
  <si>
    <t xml:space="preserve">V-000646</t>
  </si>
  <si>
    <t xml:space="preserve">V-000647</t>
  </si>
  <si>
    <t xml:space="preserve">V-000648</t>
  </si>
  <si>
    <t xml:space="preserve">V-000649</t>
  </si>
  <si>
    <t xml:space="preserve">V-000650</t>
  </si>
  <si>
    <t xml:space="preserve">V-000651</t>
  </si>
  <si>
    <t xml:space="preserve">V-000652</t>
  </si>
  <si>
    <t xml:space="preserve">V-000653</t>
  </si>
  <si>
    <t xml:space="preserve">V-000654</t>
  </si>
  <si>
    <t xml:space="preserve">V-000655</t>
  </si>
  <si>
    <t xml:space="preserve">V-000656</t>
  </si>
  <si>
    <t xml:space="preserve">V-000657</t>
  </si>
  <si>
    <t xml:space="preserve">V-000658</t>
  </si>
  <si>
    <t xml:space="preserve">V-000659</t>
  </si>
  <si>
    <t xml:space="preserve">V-000660</t>
  </si>
  <si>
    <t xml:space="preserve">V-000661</t>
  </si>
  <si>
    <t xml:space="preserve">V-000662</t>
  </si>
  <si>
    <t xml:space="preserve">V-000663</t>
  </si>
  <si>
    <t xml:space="preserve">V-000664</t>
  </si>
  <si>
    <t xml:space="preserve">V-000665</t>
  </si>
  <si>
    <t xml:space="preserve">V-000666</t>
  </si>
  <si>
    <t xml:space="preserve">V-000667</t>
  </si>
  <si>
    <t xml:space="preserve">V-000668</t>
  </si>
  <si>
    <t xml:space="preserve">V-000669</t>
  </si>
  <si>
    <t xml:space="preserve">V-000670</t>
  </si>
  <si>
    <t xml:space="preserve">V-000671</t>
  </si>
  <si>
    <t xml:space="preserve">V-000672</t>
  </si>
  <si>
    <t xml:space="preserve">V-000673</t>
  </si>
  <si>
    <t xml:space="preserve">V-000674</t>
  </si>
  <si>
    <t xml:space="preserve">V-000675</t>
  </si>
  <si>
    <t xml:space="preserve">V-000676</t>
  </si>
  <si>
    <t xml:space="preserve">V-000677</t>
  </si>
  <si>
    <t xml:space="preserve">V-000678</t>
  </si>
  <si>
    <t xml:space="preserve">V-000679</t>
  </si>
  <si>
    <t xml:space="preserve">V-000680</t>
  </si>
  <si>
    <t xml:space="preserve">V-000681</t>
  </si>
  <si>
    <t xml:space="preserve">V-000682</t>
  </si>
  <si>
    <t xml:space="preserve">V-000683</t>
  </si>
  <si>
    <t xml:space="preserve">V-000684</t>
  </si>
  <si>
    <t xml:space="preserve">V-000685</t>
  </si>
  <si>
    <t xml:space="preserve">V-000686</t>
  </si>
  <si>
    <t xml:space="preserve">V-000687</t>
  </si>
  <si>
    <t xml:space="preserve">V-000688</t>
  </si>
  <si>
    <t xml:space="preserve">V-000689</t>
  </si>
  <si>
    <t xml:space="preserve">V-000690</t>
  </si>
  <si>
    <t xml:space="preserve">V-000691</t>
  </si>
  <si>
    <t xml:space="preserve">V-000692</t>
  </si>
  <si>
    <t xml:space="preserve">V-000693</t>
  </si>
  <si>
    <t xml:space="preserve">V-000694</t>
  </si>
  <si>
    <t xml:space="preserve">V-000695</t>
  </si>
  <si>
    <t xml:space="preserve">V-000696</t>
  </si>
  <si>
    <t xml:space="preserve">V-000697</t>
  </si>
  <si>
    <t xml:space="preserve">V-000698</t>
  </si>
  <si>
    <t xml:space="preserve">V-000699</t>
  </si>
  <si>
    <t xml:space="preserve">V-000700</t>
  </si>
  <si>
    <t xml:space="preserve">V-000701</t>
  </si>
  <si>
    <t xml:space="preserve">V-000702</t>
  </si>
  <si>
    <t xml:space="preserve">V-000703</t>
  </si>
  <si>
    <t xml:space="preserve">V-000704</t>
  </si>
  <si>
    <t xml:space="preserve">V-000705</t>
  </si>
  <si>
    <t xml:space="preserve">V-000706</t>
  </si>
  <si>
    <t xml:space="preserve">V-000707</t>
  </si>
  <si>
    <t xml:space="preserve">V-000708</t>
  </si>
  <si>
    <t xml:space="preserve">V-000709</t>
  </si>
  <si>
    <t xml:space="preserve">V-000710</t>
  </si>
  <si>
    <t xml:space="preserve">V-000711</t>
  </si>
  <si>
    <t xml:space="preserve">V-000712</t>
  </si>
  <si>
    <t xml:space="preserve">V-000713</t>
  </si>
  <si>
    <t xml:space="preserve">V-000714</t>
  </si>
  <si>
    <t xml:space="preserve">V-000715</t>
  </si>
  <si>
    <t xml:space="preserve">V-000716</t>
  </si>
  <si>
    <t xml:space="preserve">V-000717</t>
  </si>
  <si>
    <t xml:space="preserve">V-000718</t>
  </si>
  <si>
    <t xml:space="preserve">V-000719</t>
  </si>
  <si>
    <t xml:space="preserve">V-000720</t>
  </si>
  <si>
    <t xml:space="preserve">V-000721</t>
  </si>
  <si>
    <t xml:space="preserve">V-000722</t>
  </si>
  <si>
    <t xml:space="preserve">V-000723</t>
  </si>
  <si>
    <t xml:space="preserve">V-000724</t>
  </si>
  <si>
    <t xml:space="preserve">V-000725</t>
  </si>
  <si>
    <t xml:space="preserve">V-000726</t>
  </si>
  <si>
    <t xml:space="preserve">V-000727</t>
  </si>
  <si>
    <t xml:space="preserve">V-000728</t>
  </si>
  <si>
    <t xml:space="preserve">V-000729</t>
  </si>
  <si>
    <t xml:space="preserve">V-000730</t>
  </si>
  <si>
    <t xml:space="preserve">V-000731</t>
  </si>
  <si>
    <t xml:space="preserve">V-000732</t>
  </si>
  <si>
    <t xml:space="preserve">V-000733</t>
  </si>
  <si>
    <t xml:space="preserve">V-000734</t>
  </si>
  <si>
    <t xml:space="preserve">V-000735</t>
  </si>
  <si>
    <t xml:space="preserve">V-000736</t>
  </si>
  <si>
    <t xml:space="preserve">V-000737</t>
  </si>
  <si>
    <t xml:space="preserve">V-000738</t>
  </si>
  <si>
    <t xml:space="preserve">V-000739</t>
  </si>
  <si>
    <t xml:space="preserve">V-000740</t>
  </si>
  <si>
    <t xml:space="preserve">V-000741</t>
  </si>
  <si>
    <t xml:space="preserve">V-000742</t>
  </si>
  <si>
    <t xml:space="preserve">V-000743</t>
  </si>
  <si>
    <t xml:space="preserve">V-000744</t>
  </si>
  <si>
    <t xml:space="preserve">V-000745</t>
  </si>
  <si>
    <t xml:space="preserve">V-000746</t>
  </si>
  <si>
    <t xml:space="preserve">V-000747</t>
  </si>
  <si>
    <t xml:space="preserve">V-000748</t>
  </si>
  <si>
    <t xml:space="preserve">V-000749</t>
  </si>
  <si>
    <t xml:space="preserve">V-000750</t>
  </si>
  <si>
    <t xml:space="preserve">V-000751</t>
  </si>
  <si>
    <t xml:space="preserve">V-000752</t>
  </si>
  <si>
    <t xml:space="preserve">V-000753</t>
  </si>
  <si>
    <t xml:space="preserve">V-000754</t>
  </si>
  <si>
    <t xml:space="preserve">V-000755</t>
  </si>
  <si>
    <t xml:space="preserve">V-000756</t>
  </si>
  <si>
    <t xml:space="preserve">V-000757</t>
  </si>
  <si>
    <t xml:space="preserve">V-000758</t>
  </si>
  <si>
    <t xml:space="preserve">V-000759</t>
  </si>
  <si>
    <t xml:space="preserve">V-000760</t>
  </si>
  <si>
    <t xml:space="preserve">V-000761</t>
  </si>
  <si>
    <t xml:space="preserve">V-000762</t>
  </si>
  <si>
    <t xml:space="preserve">V-000763</t>
  </si>
  <si>
    <t xml:space="preserve">V-000764</t>
  </si>
  <si>
    <t xml:space="preserve">V-000765</t>
  </si>
  <si>
    <t xml:space="preserve">V-000766</t>
  </si>
  <si>
    <t xml:space="preserve">V-000767</t>
  </si>
  <si>
    <t xml:space="preserve">V-000768</t>
  </si>
  <si>
    <t xml:space="preserve">V-000769</t>
  </si>
  <si>
    <t xml:space="preserve">V-000770</t>
  </si>
  <si>
    <t xml:space="preserve">V-000771</t>
  </si>
  <si>
    <t xml:space="preserve">V-000772</t>
  </si>
  <si>
    <t xml:space="preserve">V-000773</t>
  </si>
  <si>
    <t xml:space="preserve">V-000774</t>
  </si>
  <si>
    <t xml:space="preserve">V-000775</t>
  </si>
  <si>
    <t xml:space="preserve">V-000776</t>
  </si>
  <si>
    <t xml:space="preserve">V-000777</t>
  </si>
  <si>
    <t xml:space="preserve">V-000778</t>
  </si>
  <si>
    <t xml:space="preserve">V-000779</t>
  </si>
  <si>
    <t xml:space="preserve">V-000780</t>
  </si>
  <si>
    <t xml:space="preserve">V-000781</t>
  </si>
  <si>
    <t xml:space="preserve">V-000782</t>
  </si>
  <si>
    <t xml:space="preserve">V-000783</t>
  </si>
  <si>
    <t xml:space="preserve">V-000784</t>
  </si>
  <si>
    <t xml:space="preserve">V-000785</t>
  </si>
  <si>
    <t xml:space="preserve">V-000786</t>
  </si>
  <si>
    <t xml:space="preserve">V-000787</t>
  </si>
  <si>
    <t xml:space="preserve">V-000788</t>
  </si>
  <si>
    <t xml:space="preserve">V-000789</t>
  </si>
  <si>
    <t xml:space="preserve">V-000790</t>
  </si>
  <si>
    <t xml:space="preserve">V-000791</t>
  </si>
  <si>
    <t xml:space="preserve">V-000792</t>
  </si>
  <si>
    <t xml:space="preserve">V-000793</t>
  </si>
  <si>
    <t xml:space="preserve">V-000794</t>
  </si>
  <si>
    <t xml:space="preserve">V-000795</t>
  </si>
  <si>
    <t xml:space="preserve">V-000796</t>
  </si>
  <si>
    <t xml:space="preserve">V-000797</t>
  </si>
  <si>
    <t xml:space="preserve">V-000798</t>
  </si>
  <si>
    <t xml:space="preserve">V-000799</t>
  </si>
  <si>
    <t xml:space="preserve">V-000800</t>
  </si>
  <si>
    <t xml:space="preserve">V-000801</t>
  </si>
  <si>
    <t xml:space="preserve">V-000802</t>
  </si>
  <si>
    <t xml:space="preserve">V-000803</t>
  </si>
  <si>
    <t xml:space="preserve">V-000804</t>
  </si>
  <si>
    <t xml:space="preserve">V-000805</t>
  </si>
  <si>
    <t xml:space="preserve">V-000806</t>
  </si>
  <si>
    <t xml:space="preserve">V-000807</t>
  </si>
  <si>
    <t xml:space="preserve">V-000808</t>
  </si>
  <si>
    <t xml:space="preserve">V-000809</t>
  </si>
  <si>
    <t xml:space="preserve">V-000810</t>
  </si>
  <si>
    <t xml:space="preserve">V-000811</t>
  </si>
  <si>
    <t xml:space="preserve">V-000812</t>
  </si>
  <si>
    <t xml:space="preserve">V-000813</t>
  </si>
  <si>
    <t xml:space="preserve">V-000814</t>
  </si>
  <si>
    <t xml:space="preserve">V-000815</t>
  </si>
  <si>
    <t xml:space="preserve">V-000816</t>
  </si>
  <si>
    <t xml:space="preserve">V-000817</t>
  </si>
  <si>
    <t xml:space="preserve">V-000818</t>
  </si>
  <si>
    <t xml:space="preserve">V-000819</t>
  </si>
  <si>
    <t xml:space="preserve">V-000820</t>
  </si>
  <si>
    <t xml:space="preserve">V-000821</t>
  </si>
  <si>
    <t xml:space="preserve">V-000822</t>
  </si>
  <si>
    <t xml:space="preserve">V-000823</t>
  </si>
  <si>
    <t xml:space="preserve">V-000824</t>
  </si>
  <si>
    <t xml:space="preserve">V-000825</t>
  </si>
  <si>
    <t xml:space="preserve">V-000826</t>
  </si>
  <si>
    <t xml:space="preserve">V-000827</t>
  </si>
  <si>
    <t xml:space="preserve">V-000828</t>
  </si>
  <si>
    <t xml:space="preserve">V-000829</t>
  </si>
  <si>
    <t xml:space="preserve">V-000830</t>
  </si>
  <si>
    <t xml:space="preserve">V-000831</t>
  </si>
  <si>
    <t xml:space="preserve">V-000832</t>
  </si>
  <si>
    <t xml:space="preserve">V-000833</t>
  </si>
  <si>
    <t xml:space="preserve">V-000834</t>
  </si>
  <si>
    <t xml:space="preserve">V-000835</t>
  </si>
  <si>
    <t xml:space="preserve">V-000836</t>
  </si>
  <si>
    <t xml:space="preserve">V-000837</t>
  </si>
  <si>
    <t xml:space="preserve">V-000838</t>
  </si>
  <si>
    <t xml:space="preserve">V-000839</t>
  </si>
  <si>
    <t xml:space="preserve">V-000840</t>
  </si>
  <si>
    <t xml:space="preserve">V-000841</t>
  </si>
  <si>
    <t xml:space="preserve">V-000842</t>
  </si>
  <si>
    <t xml:space="preserve">V-000843</t>
  </si>
  <si>
    <t xml:space="preserve">V-000844</t>
  </si>
  <si>
    <t xml:space="preserve">V-000845</t>
  </si>
  <si>
    <t xml:space="preserve">V-000846</t>
  </si>
  <si>
    <t xml:space="preserve">V-000847</t>
  </si>
  <si>
    <t xml:space="preserve">V-000848</t>
  </si>
  <si>
    <t xml:space="preserve">V-000849</t>
  </si>
  <si>
    <t xml:space="preserve">V-000850</t>
  </si>
  <si>
    <t xml:space="preserve">V-000851</t>
  </si>
  <si>
    <t xml:space="preserve">V-000852</t>
  </si>
  <si>
    <t xml:space="preserve">V-000853</t>
  </si>
  <si>
    <t xml:space="preserve">V-000854</t>
  </si>
  <si>
    <t xml:space="preserve">V-000855</t>
  </si>
  <si>
    <t xml:space="preserve">V-000856</t>
  </si>
  <si>
    <t xml:space="preserve">V-000857</t>
  </si>
  <si>
    <t xml:space="preserve">V-000858</t>
  </si>
  <si>
    <t xml:space="preserve">V-000859</t>
  </si>
  <si>
    <t xml:space="preserve">V-000860</t>
  </si>
  <si>
    <t xml:space="preserve">V-000861</t>
  </si>
  <si>
    <t xml:space="preserve">V-000862</t>
  </si>
  <si>
    <t xml:space="preserve">V-000863</t>
  </si>
  <si>
    <t xml:space="preserve">V-000864</t>
  </si>
  <si>
    <t xml:space="preserve">V-000865</t>
  </si>
  <si>
    <t xml:space="preserve">V-000866</t>
  </si>
  <si>
    <t xml:space="preserve">V-000867</t>
  </si>
  <si>
    <t xml:space="preserve">V-000868</t>
  </si>
  <si>
    <t xml:space="preserve">V-000869</t>
  </si>
  <si>
    <t xml:space="preserve">V-000870</t>
  </si>
  <si>
    <t xml:space="preserve">V-000871</t>
  </si>
  <si>
    <t xml:space="preserve">V-000872</t>
  </si>
  <si>
    <t xml:space="preserve">V-000873</t>
  </si>
  <si>
    <t xml:space="preserve">V-000874</t>
  </si>
  <si>
    <t xml:space="preserve">V-000875</t>
  </si>
  <si>
    <t xml:space="preserve">V-000876</t>
  </si>
  <si>
    <t xml:space="preserve">V-000877</t>
  </si>
  <si>
    <t xml:space="preserve">V-000878</t>
  </si>
  <si>
    <t xml:space="preserve">V-000879</t>
  </si>
  <si>
    <t xml:space="preserve">V-000880</t>
  </si>
  <si>
    <t xml:space="preserve">V-000881</t>
  </si>
  <si>
    <t xml:space="preserve">V-000882</t>
  </si>
  <si>
    <t xml:space="preserve">V-000883</t>
  </si>
  <si>
    <t xml:space="preserve">V-000884</t>
  </si>
  <si>
    <t xml:space="preserve">V-000885</t>
  </si>
  <si>
    <t xml:space="preserve">V-000886</t>
  </si>
  <si>
    <t xml:space="preserve">V-000887</t>
  </si>
  <si>
    <t xml:space="preserve">V-000888</t>
  </si>
  <si>
    <t xml:space="preserve">V-000889</t>
  </si>
  <si>
    <t xml:space="preserve">V-000890</t>
  </si>
  <si>
    <t xml:space="preserve">V-000891</t>
  </si>
  <si>
    <t xml:space="preserve">V-000892</t>
  </si>
  <si>
    <t xml:space="preserve">V-000893</t>
  </si>
  <si>
    <t xml:space="preserve">V-000894</t>
  </si>
  <si>
    <t xml:space="preserve">V-000895</t>
  </si>
  <si>
    <t xml:space="preserve">V-000896</t>
  </si>
  <si>
    <t xml:space="preserve">V-000897</t>
  </si>
  <si>
    <t xml:space="preserve">V-000898</t>
  </si>
  <si>
    <t xml:space="preserve">V-000899</t>
  </si>
  <si>
    <t xml:space="preserve">V-000900</t>
  </si>
  <si>
    <t xml:space="preserve">V-000901</t>
  </si>
  <si>
    <t xml:space="preserve">V-000902</t>
  </si>
  <si>
    <t xml:space="preserve">V-000903</t>
  </si>
  <si>
    <t xml:space="preserve">V-000904</t>
  </si>
  <si>
    <t xml:space="preserve">V-000905</t>
  </si>
  <si>
    <t xml:space="preserve">V-000906</t>
  </si>
  <si>
    <t xml:space="preserve">V-000907</t>
  </si>
  <si>
    <t xml:space="preserve">V-000908</t>
  </si>
  <si>
    <t xml:space="preserve">V-000909</t>
  </si>
  <si>
    <t xml:space="preserve">V-000910</t>
  </si>
  <si>
    <t xml:space="preserve">V-000911</t>
  </si>
  <si>
    <t xml:space="preserve">V-000912</t>
  </si>
  <si>
    <t xml:space="preserve">V-000913</t>
  </si>
  <si>
    <t xml:space="preserve">V-000914</t>
  </si>
  <si>
    <t xml:space="preserve">V-000915</t>
  </si>
  <si>
    <t xml:space="preserve">V-000916</t>
  </si>
  <si>
    <t xml:space="preserve">V-000917</t>
  </si>
  <si>
    <t xml:space="preserve">V-000918</t>
  </si>
  <si>
    <t xml:space="preserve">V-000919</t>
  </si>
  <si>
    <t xml:space="preserve">V-000920</t>
  </si>
  <si>
    <t xml:space="preserve">V-000921</t>
  </si>
  <si>
    <t xml:space="preserve">V-000922</t>
  </si>
  <si>
    <t xml:space="preserve">V-000923</t>
  </si>
  <si>
    <t xml:space="preserve">V-000924</t>
  </si>
  <si>
    <t xml:space="preserve">V-000925</t>
  </si>
  <si>
    <t xml:space="preserve">V-000926</t>
  </si>
  <si>
    <t xml:space="preserve">V-000927</t>
  </si>
  <si>
    <t xml:space="preserve">V-000928</t>
  </si>
  <si>
    <t xml:space="preserve">V-000929</t>
  </si>
  <si>
    <t xml:space="preserve">V-000930</t>
  </si>
  <si>
    <t xml:space="preserve">V-000931</t>
  </si>
  <si>
    <t xml:space="preserve">V-000932</t>
  </si>
  <si>
    <t xml:space="preserve">V-000933</t>
  </si>
  <si>
    <t xml:space="preserve">V-000934</t>
  </si>
  <si>
    <t xml:space="preserve">V-000935</t>
  </si>
  <si>
    <t xml:space="preserve">V-000936</t>
  </si>
  <si>
    <t xml:space="preserve">V-000937</t>
  </si>
  <si>
    <t xml:space="preserve">V-000938</t>
  </si>
  <si>
    <t xml:space="preserve">V-000939</t>
  </si>
  <si>
    <t xml:space="preserve">V-000940</t>
  </si>
  <si>
    <t xml:space="preserve">V-000941</t>
  </si>
  <si>
    <t xml:space="preserve">V-000942</t>
  </si>
  <si>
    <t xml:space="preserve">V-000943</t>
  </si>
  <si>
    <t xml:space="preserve">V-000944</t>
  </si>
  <si>
    <t xml:space="preserve">V-000945</t>
  </si>
  <si>
    <t xml:space="preserve">V-000946</t>
  </si>
  <si>
    <t xml:space="preserve">V-000947</t>
  </si>
  <si>
    <t xml:space="preserve">V-000948</t>
  </si>
  <si>
    <t xml:space="preserve">V-000949</t>
  </si>
  <si>
    <t xml:space="preserve">V-000950</t>
  </si>
  <si>
    <t xml:space="preserve">V-000951</t>
  </si>
  <si>
    <t xml:space="preserve">V-000952</t>
  </si>
  <si>
    <t xml:space="preserve">V-000953</t>
  </si>
  <si>
    <t xml:space="preserve">V-000954</t>
  </si>
  <si>
    <t xml:space="preserve">V-000955</t>
  </si>
  <si>
    <t xml:space="preserve">V-000956</t>
  </si>
  <si>
    <t xml:space="preserve">V-000957</t>
  </si>
  <si>
    <t xml:space="preserve">V-000958</t>
  </si>
  <si>
    <t xml:space="preserve">V-000959</t>
  </si>
  <si>
    <t xml:space="preserve">V-000960</t>
  </si>
  <si>
    <t xml:space="preserve">V-000961</t>
  </si>
  <si>
    <t xml:space="preserve">V-000962</t>
  </si>
  <si>
    <t xml:space="preserve">V-000963</t>
  </si>
  <si>
    <t xml:space="preserve">V-000964</t>
  </si>
  <si>
    <t xml:space="preserve">V-000965</t>
  </si>
  <si>
    <t xml:space="preserve">V-000966</t>
  </si>
  <si>
    <t xml:space="preserve">V-000967</t>
  </si>
  <si>
    <t xml:space="preserve">V-000968</t>
  </si>
  <si>
    <t xml:space="preserve">V-000969</t>
  </si>
  <si>
    <t xml:space="preserve">V-000970</t>
  </si>
  <si>
    <t xml:space="preserve">V-000971</t>
  </si>
  <si>
    <t xml:space="preserve">V-000972</t>
  </si>
  <si>
    <t xml:space="preserve">V-000973</t>
  </si>
  <si>
    <t xml:space="preserve">V-000974</t>
  </si>
  <si>
    <t xml:space="preserve">V-000975</t>
  </si>
  <si>
    <t xml:space="preserve">V-000976</t>
  </si>
  <si>
    <t xml:space="preserve">V-000977</t>
  </si>
  <si>
    <t xml:space="preserve">V-000978</t>
  </si>
  <si>
    <t xml:space="preserve">V-000979</t>
  </si>
  <si>
    <t xml:space="preserve">V-000980</t>
  </si>
  <si>
    <t xml:space="preserve">V-000981</t>
  </si>
  <si>
    <t xml:space="preserve">V-000982</t>
  </si>
  <si>
    <t xml:space="preserve">V-000983</t>
  </si>
  <si>
    <t xml:space="preserve">V-000984</t>
  </si>
  <si>
    <t xml:space="preserve">V-000985</t>
  </si>
  <si>
    <t xml:space="preserve">V-000986</t>
  </si>
  <si>
    <t xml:space="preserve">V-000987</t>
  </si>
  <si>
    <t xml:space="preserve">V-000988</t>
  </si>
  <si>
    <t xml:space="preserve">V-000989</t>
  </si>
  <si>
    <t xml:space="preserve">V-000990</t>
  </si>
  <si>
    <t xml:space="preserve">V-000991</t>
  </si>
  <si>
    <t xml:space="preserve">V-000992</t>
  </si>
  <si>
    <t xml:space="preserve">V-000993</t>
  </si>
  <si>
    <t xml:space="preserve">V-000994</t>
  </si>
  <si>
    <t xml:space="preserve">V-000995</t>
  </si>
  <si>
    <t xml:space="preserve">V-000996</t>
  </si>
  <si>
    <t xml:space="preserve">V-000997</t>
  </si>
  <si>
    <t xml:space="preserve">V-000998</t>
  </si>
  <si>
    <t xml:space="preserve">V-000999</t>
  </si>
  <si>
    <t xml:space="preserve">V-001000</t>
  </si>
  <si>
    <t xml:space="preserve">V-001001</t>
  </si>
  <si>
    <t xml:space="preserve">V-001002</t>
  </si>
  <si>
    <t xml:space="preserve">V-001003</t>
  </si>
  <si>
    <t xml:space="preserve">V-001004</t>
  </si>
  <si>
    <t xml:space="preserve">V-001005</t>
  </si>
  <si>
    <t xml:space="preserve">V-001006</t>
  </si>
  <si>
    <t xml:space="preserve">V-001007</t>
  </si>
  <si>
    <t xml:space="preserve">V-001008</t>
  </si>
  <si>
    <t xml:space="preserve">V-001009</t>
  </si>
  <si>
    <t xml:space="preserve">V-001010</t>
  </si>
  <si>
    <t xml:space="preserve">V-001011</t>
  </si>
  <si>
    <t xml:space="preserve">V-001012</t>
  </si>
  <si>
    <t xml:space="preserve">V-001013</t>
  </si>
  <si>
    <t xml:space="preserve">V-001014</t>
  </si>
  <si>
    <t xml:space="preserve">V-001015</t>
  </si>
  <si>
    <t xml:space="preserve">V-001016</t>
  </si>
  <si>
    <t xml:space="preserve">V-001017</t>
  </si>
  <si>
    <t xml:space="preserve">V-001018</t>
  </si>
  <si>
    <t xml:space="preserve">V-001019</t>
  </si>
  <si>
    <t xml:space="preserve">V-001020</t>
  </si>
  <si>
    <t xml:space="preserve">V-001021</t>
  </si>
  <si>
    <t xml:space="preserve">V-001022</t>
  </si>
  <si>
    <t xml:space="preserve">V-001023</t>
  </si>
  <si>
    <t xml:space="preserve">V-001024</t>
  </si>
  <si>
    <t xml:space="preserve">V-001025</t>
  </si>
  <si>
    <t xml:space="preserve">V-001026</t>
  </si>
  <si>
    <t xml:space="preserve">V-001027</t>
  </si>
  <si>
    <t xml:space="preserve">V-001028</t>
  </si>
  <si>
    <t xml:space="preserve">V-001029</t>
  </si>
  <si>
    <t xml:space="preserve">V-001030</t>
  </si>
  <si>
    <t xml:space="preserve">V-001031</t>
  </si>
  <si>
    <t xml:space="preserve">V-001032</t>
  </si>
  <si>
    <t xml:space="preserve">V-001033</t>
  </si>
  <si>
    <t xml:space="preserve">V-001034</t>
  </si>
  <si>
    <t xml:space="preserve">V-001035</t>
  </si>
  <si>
    <t xml:space="preserve">V-001036</t>
  </si>
  <si>
    <t xml:space="preserve">V-001037</t>
  </si>
  <si>
    <t xml:space="preserve">V-001038</t>
  </si>
  <si>
    <t xml:space="preserve">V-001039</t>
  </si>
  <si>
    <t xml:space="preserve">V-001040</t>
  </si>
  <si>
    <t xml:space="preserve">V-001041</t>
  </si>
  <si>
    <t xml:space="preserve">V-001042</t>
  </si>
  <si>
    <t xml:space="preserve">V-001043</t>
  </si>
  <si>
    <t xml:space="preserve">V-001044</t>
  </si>
  <si>
    <t xml:space="preserve">V-001045</t>
  </si>
  <si>
    <t xml:space="preserve">V-001046</t>
  </si>
  <si>
    <t xml:space="preserve">V-001047</t>
  </si>
  <si>
    <t xml:space="preserve">V-001048</t>
  </si>
  <si>
    <t xml:space="preserve">V-001049</t>
  </si>
  <si>
    <t xml:space="preserve">V-001050</t>
  </si>
  <si>
    <t xml:space="preserve">V-001051</t>
  </si>
  <si>
    <t xml:space="preserve">V-001052</t>
  </si>
  <si>
    <t xml:space="preserve">V-001053</t>
  </si>
  <si>
    <t xml:space="preserve">V-001054</t>
  </si>
  <si>
    <t xml:space="preserve">V-001055</t>
  </si>
  <si>
    <t xml:space="preserve">V-001056</t>
  </si>
  <si>
    <t xml:space="preserve">V-001057</t>
  </si>
  <si>
    <t xml:space="preserve">V-001058</t>
  </si>
  <si>
    <t xml:space="preserve">V-001059</t>
  </si>
  <si>
    <t xml:space="preserve">V-001060</t>
  </si>
  <si>
    <t xml:space="preserve">V-001061</t>
  </si>
  <si>
    <t xml:space="preserve">V-001062</t>
  </si>
  <si>
    <t xml:space="preserve">V-001063</t>
  </si>
  <si>
    <t xml:space="preserve">V-001064</t>
  </si>
  <si>
    <t xml:space="preserve">V-001065</t>
  </si>
  <si>
    <t xml:space="preserve">V-001066</t>
  </si>
  <si>
    <t xml:space="preserve">V-001067</t>
  </si>
  <si>
    <t xml:space="preserve">V-001068</t>
  </si>
  <si>
    <t xml:space="preserve">V-001069</t>
  </si>
  <si>
    <t xml:space="preserve">V-001070</t>
  </si>
  <si>
    <t xml:space="preserve">V-001071</t>
  </si>
  <si>
    <t xml:space="preserve">V-001072</t>
  </si>
  <si>
    <t xml:space="preserve">V-001073</t>
  </si>
  <si>
    <t xml:space="preserve">V-001074</t>
  </si>
  <si>
    <t xml:space="preserve">V-001075</t>
  </si>
  <si>
    <t xml:space="preserve">V-001076</t>
  </si>
  <si>
    <t xml:space="preserve">V-001077</t>
  </si>
  <si>
    <t xml:space="preserve">V-001078</t>
  </si>
  <si>
    <t xml:space="preserve">V-001079</t>
  </si>
  <si>
    <t xml:space="preserve">V-001080</t>
  </si>
  <si>
    <t xml:space="preserve">V-001081</t>
  </si>
  <si>
    <t xml:space="preserve">V-001082</t>
  </si>
  <si>
    <t xml:space="preserve">V-001083</t>
  </si>
  <si>
    <t xml:space="preserve">V-001084</t>
  </si>
  <si>
    <t xml:space="preserve">V-001085</t>
  </si>
  <si>
    <t xml:space="preserve">V-001086</t>
  </si>
  <si>
    <t xml:space="preserve">V-001087</t>
  </si>
  <si>
    <t xml:space="preserve">V-001088</t>
  </si>
  <si>
    <t xml:space="preserve">V-001089</t>
  </si>
  <si>
    <t xml:space="preserve">V-001090</t>
  </si>
  <si>
    <t xml:space="preserve">V-001091</t>
  </si>
  <si>
    <t xml:space="preserve">V-001092</t>
  </si>
  <si>
    <t xml:space="preserve">V-001093</t>
  </si>
  <si>
    <t xml:space="preserve">V-001094</t>
  </si>
  <si>
    <t xml:space="preserve">V-001095</t>
  </si>
  <si>
    <t xml:space="preserve">V-001096</t>
  </si>
  <si>
    <t xml:space="preserve">V-001097</t>
  </si>
  <si>
    <t xml:space="preserve">V-001098</t>
  </si>
  <si>
    <t xml:space="preserve">V-001099</t>
  </si>
  <si>
    <t xml:space="preserve">V-001100</t>
  </si>
  <si>
    <t xml:space="preserve">V-001101</t>
  </si>
  <si>
    <t xml:space="preserve">V-001102</t>
  </si>
  <si>
    <t xml:space="preserve">V-001103</t>
  </si>
  <si>
    <t xml:space="preserve">V-001104</t>
  </si>
  <si>
    <t xml:space="preserve">V-001105</t>
  </si>
  <si>
    <t xml:space="preserve">V-001106</t>
  </si>
  <si>
    <t xml:space="preserve">V-001107</t>
  </si>
  <si>
    <t xml:space="preserve">V-001108</t>
  </si>
  <si>
    <t xml:space="preserve">V-001109</t>
  </si>
  <si>
    <t xml:space="preserve">V-001110</t>
  </si>
  <si>
    <t xml:space="preserve">V-001111</t>
  </si>
  <si>
    <t xml:space="preserve">V-001112</t>
  </si>
  <si>
    <t xml:space="preserve">V-001113</t>
  </si>
  <si>
    <t xml:space="preserve">V-001114</t>
  </si>
  <si>
    <t xml:space="preserve">V-001115</t>
  </si>
  <si>
    <t xml:space="preserve">V-001116</t>
  </si>
  <si>
    <t xml:space="preserve">V-001117</t>
  </si>
  <si>
    <t xml:space="preserve">V-001118</t>
  </si>
  <si>
    <t xml:space="preserve">V-001119</t>
  </si>
  <si>
    <t xml:space="preserve">V-001120</t>
  </si>
  <si>
    <t xml:space="preserve">V-001121</t>
  </si>
  <si>
    <t xml:space="preserve">V-001122</t>
  </si>
  <si>
    <t xml:space="preserve">V-001123</t>
  </si>
  <si>
    <t xml:space="preserve">V-001124</t>
  </si>
  <si>
    <t xml:space="preserve">V-001125</t>
  </si>
  <si>
    <t xml:space="preserve">V-001126</t>
  </si>
  <si>
    <t xml:space="preserve">V-001127</t>
  </si>
  <si>
    <t xml:space="preserve">V-001128</t>
  </si>
  <si>
    <t xml:space="preserve">V-001129</t>
  </si>
  <si>
    <t xml:space="preserve">V-001130</t>
  </si>
  <si>
    <t xml:space="preserve">V-001131</t>
  </si>
  <si>
    <t xml:space="preserve">V-001132</t>
  </si>
  <si>
    <t xml:space="preserve">V-001133</t>
  </si>
  <si>
    <t xml:space="preserve">V-001134</t>
  </si>
  <si>
    <t xml:space="preserve">V-001135</t>
  </si>
  <si>
    <t xml:space="preserve">V-001136</t>
  </si>
  <si>
    <t xml:space="preserve">V-001137</t>
  </si>
  <si>
    <t xml:space="preserve">V-001138</t>
  </si>
  <si>
    <t xml:space="preserve">V-001139</t>
  </si>
  <si>
    <t xml:space="preserve">V-001140</t>
  </si>
  <si>
    <t xml:space="preserve">V-001141</t>
  </si>
  <si>
    <t xml:space="preserve">V-001142</t>
  </si>
  <si>
    <t xml:space="preserve">V-001143</t>
  </si>
  <si>
    <t xml:space="preserve">V-001144</t>
  </si>
  <si>
    <t xml:space="preserve">V-001145</t>
  </si>
  <si>
    <t xml:space="preserve">V-001146</t>
  </si>
  <si>
    <t xml:space="preserve">V-001147</t>
  </si>
  <si>
    <t xml:space="preserve">V-001148</t>
  </si>
  <si>
    <t xml:space="preserve">V-001149</t>
  </si>
  <si>
    <t xml:space="preserve">V-001150</t>
  </si>
  <si>
    <t xml:space="preserve">V-001151</t>
  </si>
  <si>
    <t xml:space="preserve">V-001152</t>
  </si>
  <si>
    <t xml:space="preserve">V-001153</t>
  </si>
  <si>
    <t xml:space="preserve">V-001154</t>
  </si>
  <si>
    <t xml:space="preserve">V-001155</t>
  </si>
  <si>
    <t xml:space="preserve">V-001156</t>
  </si>
  <si>
    <t xml:space="preserve">V-001157</t>
  </si>
  <si>
    <t xml:space="preserve">V-001158</t>
  </si>
  <si>
    <t xml:space="preserve">V-001159</t>
  </si>
  <si>
    <t xml:space="preserve">V-001160</t>
  </si>
  <si>
    <t xml:space="preserve">V-001161</t>
  </si>
  <si>
    <t xml:space="preserve">V-001162</t>
  </si>
  <si>
    <t xml:space="preserve">V-001163</t>
  </si>
  <si>
    <t xml:space="preserve">V-001164</t>
  </si>
  <si>
    <t xml:space="preserve">V-001165</t>
  </si>
  <si>
    <t xml:space="preserve">V-001166</t>
  </si>
  <si>
    <t xml:space="preserve">V-001167</t>
  </si>
  <si>
    <t xml:space="preserve">V-001168</t>
  </si>
  <si>
    <t xml:space="preserve">V-001169</t>
  </si>
  <si>
    <t xml:space="preserve">V-001170</t>
  </si>
  <si>
    <t xml:space="preserve">V-001171</t>
  </si>
  <si>
    <t xml:space="preserve">V-001172</t>
  </si>
  <si>
    <t xml:space="preserve">V-001173</t>
  </si>
  <si>
    <t xml:space="preserve">V-001174</t>
  </si>
  <si>
    <t xml:space="preserve">V-001175</t>
  </si>
  <si>
    <t xml:space="preserve">V-001176</t>
  </si>
  <si>
    <t xml:space="preserve">V-001177</t>
  </si>
  <si>
    <t xml:space="preserve">V-001178</t>
  </si>
  <si>
    <t xml:space="preserve">V-001179</t>
  </si>
  <si>
    <t xml:space="preserve">V-001180</t>
  </si>
  <si>
    <t xml:space="preserve">V-001181</t>
  </si>
  <si>
    <t xml:space="preserve">V-001182</t>
  </si>
  <si>
    <t xml:space="preserve">V-001183</t>
  </si>
  <si>
    <t xml:space="preserve">V-001184</t>
  </si>
  <si>
    <t xml:space="preserve">V-001185</t>
  </si>
  <si>
    <t xml:space="preserve">V-001186</t>
  </si>
  <si>
    <t xml:space="preserve">V-001187</t>
  </si>
  <si>
    <t xml:space="preserve">V-001188</t>
  </si>
  <si>
    <t xml:space="preserve">V-001189</t>
  </si>
  <si>
    <t xml:space="preserve">V-001190</t>
  </si>
  <si>
    <t xml:space="preserve">V-001191</t>
  </si>
  <si>
    <t xml:space="preserve">V-001192</t>
  </si>
  <si>
    <t xml:space="preserve">V-001193</t>
  </si>
  <si>
    <t xml:space="preserve">V-001194</t>
  </si>
  <si>
    <t xml:space="preserve">V-001195</t>
  </si>
  <si>
    <t xml:space="preserve">V-001196</t>
  </si>
  <si>
    <t xml:space="preserve">V-001197</t>
  </si>
  <si>
    <t xml:space="preserve">V-001198</t>
  </si>
  <si>
    <t xml:space="preserve">V-001199</t>
  </si>
  <si>
    <t xml:space="preserve">V-001200</t>
  </si>
  <si>
    <t xml:space="preserve">V-001201</t>
  </si>
  <si>
    <t xml:space="preserve">V-001202</t>
  </si>
  <si>
    <t xml:space="preserve">V-001203</t>
  </si>
  <si>
    <t xml:space="preserve">V-001204</t>
  </si>
  <si>
    <t xml:space="preserve">V-001205</t>
  </si>
  <si>
    <t xml:space="preserve">V-001206</t>
  </si>
  <si>
    <t xml:space="preserve">V-001207</t>
  </si>
  <si>
    <t xml:space="preserve">V-001208</t>
  </si>
  <si>
    <t xml:space="preserve">V-001209</t>
  </si>
  <si>
    <t xml:space="preserve">V-001210</t>
  </si>
  <si>
    <t xml:space="preserve">V-001211</t>
  </si>
  <si>
    <t xml:space="preserve">V-001212</t>
  </si>
  <si>
    <t xml:space="preserve">V-001213</t>
  </si>
  <si>
    <t xml:space="preserve">V-001214</t>
  </si>
  <si>
    <t xml:space="preserve">V-001215</t>
  </si>
  <si>
    <t xml:space="preserve">V-001216</t>
  </si>
  <si>
    <t xml:space="preserve">V-001217</t>
  </si>
  <si>
    <t xml:space="preserve">V-001218</t>
  </si>
  <si>
    <t xml:space="preserve">V-001219</t>
  </si>
  <si>
    <t xml:space="preserve">V-001220</t>
  </si>
  <si>
    <t xml:space="preserve">V-001221</t>
  </si>
  <si>
    <t xml:space="preserve">V-001222</t>
  </si>
  <si>
    <t xml:space="preserve">V-001223</t>
  </si>
  <si>
    <t xml:space="preserve">V-001224</t>
  </si>
  <si>
    <t xml:space="preserve">V-001225</t>
  </si>
  <si>
    <t xml:space="preserve">V-001226</t>
  </si>
  <si>
    <t xml:space="preserve">V-001227</t>
  </si>
  <si>
    <t xml:space="preserve">V-001228</t>
  </si>
  <si>
    <t xml:space="preserve">V-001229</t>
  </si>
  <si>
    <t xml:space="preserve">V-001230</t>
  </si>
  <si>
    <t xml:space="preserve">V-001231</t>
  </si>
  <si>
    <t xml:space="preserve">V-001232</t>
  </si>
  <si>
    <t xml:space="preserve">V-001233</t>
  </si>
  <si>
    <t xml:space="preserve">V-001234</t>
  </si>
  <si>
    <t xml:space="preserve">V-001235</t>
  </si>
  <si>
    <t xml:space="preserve">V-001236</t>
  </si>
  <si>
    <t xml:space="preserve">V-001237</t>
  </si>
  <si>
    <t xml:space="preserve">V-001238</t>
  </si>
  <si>
    <t xml:space="preserve">V-001239</t>
  </si>
  <si>
    <t xml:space="preserve">V-001240</t>
  </si>
  <si>
    <t xml:space="preserve">V-001241</t>
  </si>
  <si>
    <t xml:space="preserve">V-001242</t>
  </si>
  <si>
    <t xml:space="preserve">V-001243</t>
  </si>
  <si>
    <t xml:space="preserve">V-001244</t>
  </si>
  <si>
    <t xml:space="preserve">V-001245</t>
  </si>
  <si>
    <t xml:space="preserve">V-001246</t>
  </si>
  <si>
    <t xml:space="preserve">V-001247</t>
  </si>
  <si>
    <t xml:space="preserve">V-001248</t>
  </si>
  <si>
    <t xml:space="preserve">V-001249</t>
  </si>
  <si>
    <t xml:space="preserve">V-001250</t>
  </si>
  <si>
    <t xml:space="preserve">V-001251</t>
  </si>
  <si>
    <t xml:space="preserve">V-001252</t>
  </si>
  <si>
    <t xml:space="preserve">V-001253</t>
  </si>
  <si>
    <t xml:space="preserve">V-001254</t>
  </si>
  <si>
    <t xml:space="preserve">V-001255</t>
  </si>
  <si>
    <t xml:space="preserve">V-001256</t>
  </si>
  <si>
    <t xml:space="preserve">V-001257</t>
  </si>
  <si>
    <t xml:space="preserve">V-001258</t>
  </si>
  <si>
    <t xml:space="preserve">V-001259</t>
  </si>
  <si>
    <t xml:space="preserve">V-001260</t>
  </si>
  <si>
    <t xml:space="preserve">V-001261</t>
  </si>
  <si>
    <t xml:space="preserve">V-001262</t>
  </si>
  <si>
    <t xml:space="preserve">V-001263</t>
  </si>
  <si>
    <t xml:space="preserve">V-001264</t>
  </si>
  <si>
    <t xml:space="preserve">V-001265</t>
  </si>
  <si>
    <t xml:space="preserve">V-001266</t>
  </si>
  <si>
    <t xml:space="preserve">V-001267</t>
  </si>
  <si>
    <t xml:space="preserve">V-001268</t>
  </si>
  <si>
    <t xml:space="preserve">V-001269</t>
  </si>
  <si>
    <t xml:space="preserve">V-001270</t>
  </si>
  <si>
    <t xml:space="preserve">V-001271</t>
  </si>
  <si>
    <t xml:space="preserve">V-001272</t>
  </si>
  <si>
    <t xml:space="preserve">V-001273</t>
  </si>
  <si>
    <t xml:space="preserve">V-001274</t>
  </si>
  <si>
    <t xml:space="preserve">V-001275</t>
  </si>
  <si>
    <t xml:space="preserve">V-001276</t>
  </si>
  <si>
    <t xml:space="preserve">V-001277</t>
  </si>
  <si>
    <t xml:space="preserve">V-001278</t>
  </si>
  <si>
    <t xml:space="preserve">V-001279</t>
  </si>
  <si>
    <t xml:space="preserve">V-001280</t>
  </si>
  <si>
    <t xml:space="preserve">V-001281</t>
  </si>
  <si>
    <t xml:space="preserve">V-001282</t>
  </si>
  <si>
    <t xml:space="preserve">V-001283</t>
  </si>
  <si>
    <t xml:space="preserve">V-001284</t>
  </si>
  <si>
    <t xml:space="preserve">V-001285</t>
  </si>
  <si>
    <t xml:space="preserve">V-001286</t>
  </si>
  <si>
    <t xml:space="preserve">V-001287</t>
  </si>
  <si>
    <t xml:space="preserve">V-001288</t>
  </si>
  <si>
    <t xml:space="preserve">V-001289</t>
  </si>
  <si>
    <t xml:space="preserve">V-001290</t>
  </si>
  <si>
    <t xml:space="preserve">V-001291</t>
  </si>
  <si>
    <t xml:space="preserve">V-001292</t>
  </si>
  <si>
    <t xml:space="preserve">V-001293</t>
  </si>
  <si>
    <t xml:space="preserve">V-001294</t>
  </si>
  <si>
    <t xml:space="preserve">V-001295</t>
  </si>
  <si>
    <t xml:space="preserve">V-001296</t>
  </si>
  <si>
    <t xml:space="preserve">V-001297</t>
  </si>
  <si>
    <t xml:space="preserve">V-001298</t>
  </si>
  <si>
    <t xml:space="preserve">V-001299</t>
  </si>
  <si>
    <t xml:space="preserve">V-001300</t>
  </si>
  <si>
    <t xml:space="preserve">V-001301</t>
  </si>
  <si>
    <t xml:space="preserve">V-001302</t>
  </si>
  <si>
    <t xml:space="preserve">V-001303</t>
  </si>
  <si>
    <t xml:space="preserve">V-001304</t>
  </si>
  <si>
    <t xml:space="preserve">V-001305</t>
  </si>
  <si>
    <t xml:space="preserve">V-001306</t>
  </si>
  <si>
    <t xml:space="preserve">V-001307</t>
  </si>
  <si>
    <t xml:space="preserve">V-001308</t>
  </si>
  <si>
    <t xml:space="preserve">V-001309</t>
  </si>
  <si>
    <t xml:space="preserve">V-001310</t>
  </si>
  <si>
    <t xml:space="preserve">V-001311</t>
  </si>
  <si>
    <t xml:space="preserve">V-001312</t>
  </si>
  <si>
    <t xml:space="preserve">V-001313</t>
  </si>
  <si>
    <t xml:space="preserve">V-001314</t>
  </si>
  <si>
    <t xml:space="preserve">V-001315</t>
  </si>
  <si>
    <t xml:space="preserve">V-001316</t>
  </si>
  <si>
    <t xml:space="preserve">V-001317</t>
  </si>
  <si>
    <t xml:space="preserve">V-001318</t>
  </si>
  <si>
    <t xml:space="preserve">V-001319</t>
  </si>
  <si>
    <t xml:space="preserve">V-001320</t>
  </si>
  <si>
    <t xml:space="preserve">V-001321</t>
  </si>
  <si>
    <t xml:space="preserve">V-001322</t>
  </si>
  <si>
    <t xml:space="preserve">V-001323</t>
  </si>
  <si>
    <t xml:space="preserve">V-001324</t>
  </si>
  <si>
    <t xml:space="preserve">V-001325</t>
  </si>
  <si>
    <t xml:space="preserve">V-001326</t>
  </si>
  <si>
    <t xml:space="preserve">V-001327</t>
  </si>
  <si>
    <t xml:space="preserve">V-001328</t>
  </si>
  <si>
    <t xml:space="preserve">V-001329</t>
  </si>
  <si>
    <t xml:space="preserve">V-001330</t>
  </si>
  <si>
    <t xml:space="preserve">V-001331</t>
  </si>
  <si>
    <t xml:space="preserve">V-001332</t>
  </si>
  <si>
    <t xml:space="preserve">V-001333</t>
  </si>
  <si>
    <t xml:space="preserve">V-001334</t>
  </si>
  <si>
    <t xml:space="preserve">V-001335</t>
  </si>
  <si>
    <t xml:space="preserve">V-001336</t>
  </si>
  <si>
    <t xml:space="preserve">V-001337</t>
  </si>
  <si>
    <t xml:space="preserve">V-001338</t>
  </si>
  <si>
    <t xml:space="preserve">V-001339</t>
  </si>
  <si>
    <t xml:space="preserve">V-001340</t>
  </si>
  <si>
    <t xml:space="preserve">V-001341</t>
  </si>
  <si>
    <t xml:space="preserve">V-001342</t>
  </si>
  <si>
    <t xml:space="preserve">V-001343</t>
  </si>
  <si>
    <t xml:space="preserve">V-001344</t>
  </si>
  <si>
    <t xml:space="preserve">V-001345</t>
  </si>
  <si>
    <t xml:space="preserve">V-001346</t>
  </si>
  <si>
    <t xml:space="preserve">V-001347</t>
  </si>
  <si>
    <t xml:space="preserve">V-001348</t>
  </si>
  <si>
    <t xml:space="preserve">V-001349</t>
  </si>
  <si>
    <t xml:space="preserve">V-001350</t>
  </si>
  <si>
    <t xml:space="preserve">V-001351</t>
  </si>
  <si>
    <t xml:space="preserve">V-001352</t>
  </si>
  <si>
    <t xml:space="preserve">V-001353</t>
  </si>
  <si>
    <t xml:space="preserve">V-001354</t>
  </si>
  <si>
    <t xml:space="preserve">V-001355</t>
  </si>
  <si>
    <t xml:space="preserve">V-001356</t>
  </si>
  <si>
    <t xml:space="preserve">V-001357</t>
  </si>
  <si>
    <t xml:space="preserve">V-001358</t>
  </si>
  <si>
    <t xml:space="preserve">V-001359</t>
  </si>
  <si>
    <t xml:space="preserve">V-001360</t>
  </si>
  <si>
    <t xml:space="preserve">V-001361</t>
  </si>
  <si>
    <t xml:space="preserve">V-001362</t>
  </si>
  <si>
    <t xml:space="preserve">V-001363</t>
  </si>
  <si>
    <t xml:space="preserve">V-001364</t>
  </si>
  <si>
    <t xml:space="preserve">V-001365</t>
  </si>
  <si>
    <t xml:space="preserve">V-001366</t>
  </si>
  <si>
    <t xml:space="preserve">V-001367</t>
  </si>
  <si>
    <t xml:space="preserve">V-001368</t>
  </si>
  <si>
    <t xml:space="preserve">V-001369</t>
  </si>
  <si>
    <t xml:space="preserve">V-001370</t>
  </si>
  <si>
    <t xml:space="preserve">V-001371</t>
  </si>
  <si>
    <t xml:space="preserve">V-001372</t>
  </si>
  <si>
    <t xml:space="preserve">V-001373</t>
  </si>
  <si>
    <t xml:space="preserve">V-001374</t>
  </si>
  <si>
    <t xml:space="preserve">V-001375</t>
  </si>
  <si>
    <t xml:space="preserve">V-001376</t>
  </si>
  <si>
    <t xml:space="preserve">V-001377</t>
  </si>
  <si>
    <t xml:space="preserve">V-001378</t>
  </si>
  <si>
    <t xml:space="preserve">V-001379</t>
  </si>
  <si>
    <t xml:space="preserve">V-001380</t>
  </si>
  <si>
    <t xml:space="preserve">V-001381</t>
  </si>
  <si>
    <t xml:space="preserve">V-001382</t>
  </si>
  <si>
    <t xml:space="preserve">V-001383</t>
  </si>
  <si>
    <t xml:space="preserve">V-001384</t>
  </si>
  <si>
    <t xml:space="preserve">V-001385</t>
  </si>
  <si>
    <t xml:space="preserve">V-001386</t>
  </si>
  <si>
    <t xml:space="preserve">V-001387</t>
  </si>
  <si>
    <t xml:space="preserve">V-001388</t>
  </si>
  <si>
    <t xml:space="preserve">V-001389</t>
  </si>
  <si>
    <t xml:space="preserve">V-001390</t>
  </si>
  <si>
    <t xml:space="preserve">V-001391</t>
  </si>
  <si>
    <t xml:space="preserve">V-001392</t>
  </si>
  <si>
    <t xml:space="preserve">V-001393</t>
  </si>
  <si>
    <t xml:space="preserve">V-001394</t>
  </si>
  <si>
    <t xml:space="preserve">V-001395</t>
  </si>
  <si>
    <t xml:space="preserve">V-001396</t>
  </si>
  <si>
    <t xml:space="preserve">V-001397</t>
  </si>
  <si>
    <t xml:space="preserve">V-001398</t>
  </si>
  <si>
    <t xml:space="preserve">V-001399</t>
  </si>
  <si>
    <t xml:space="preserve">V-001400</t>
  </si>
  <si>
    <t xml:space="preserve">V-001401</t>
  </si>
  <si>
    <t xml:space="preserve">V-001402</t>
  </si>
  <si>
    <t xml:space="preserve">V-001403</t>
  </si>
  <si>
    <t xml:space="preserve">V-001404</t>
  </si>
  <si>
    <t xml:space="preserve">V-001405</t>
  </si>
  <si>
    <t xml:space="preserve">V-001406</t>
  </si>
  <si>
    <t xml:space="preserve">V-001407</t>
  </si>
  <si>
    <t xml:space="preserve">V-001408</t>
  </si>
  <si>
    <t xml:space="preserve">V-001409</t>
  </si>
  <si>
    <t xml:space="preserve">V-001410</t>
  </si>
  <si>
    <t xml:space="preserve">V-001411</t>
  </si>
  <si>
    <t xml:space="preserve">V-001412</t>
  </si>
  <si>
    <t xml:space="preserve">V-001413</t>
  </si>
  <si>
    <t xml:space="preserve">V-001414</t>
  </si>
  <si>
    <t xml:space="preserve">V-001415</t>
  </si>
  <si>
    <t xml:space="preserve">V-001416</t>
  </si>
  <si>
    <t xml:space="preserve">V-001417</t>
  </si>
  <si>
    <t xml:space="preserve">V-001418</t>
  </si>
  <si>
    <t xml:space="preserve">V-001419</t>
  </si>
  <si>
    <t xml:space="preserve">V-001420</t>
  </si>
  <si>
    <t xml:space="preserve">V-001421</t>
  </si>
  <si>
    <t xml:space="preserve">V-001422</t>
  </si>
  <si>
    <t xml:space="preserve">V-001423</t>
  </si>
  <si>
    <t xml:space="preserve">V-001424</t>
  </si>
  <si>
    <t xml:space="preserve">V-001425</t>
  </si>
  <si>
    <t xml:space="preserve">V-001426</t>
  </si>
  <si>
    <t xml:space="preserve">V-001427</t>
  </si>
  <si>
    <t xml:space="preserve">V-001428</t>
  </si>
  <si>
    <t xml:space="preserve">V-001429</t>
  </si>
  <si>
    <t xml:space="preserve">V-001430</t>
  </si>
  <si>
    <t xml:space="preserve">V-001431</t>
  </si>
  <si>
    <t xml:space="preserve">V-001432</t>
  </si>
  <si>
    <t xml:space="preserve">V-001433</t>
  </si>
  <si>
    <t xml:space="preserve">V-001434</t>
  </si>
  <si>
    <t xml:space="preserve">V-001435</t>
  </si>
  <si>
    <t xml:space="preserve">V-001436</t>
  </si>
  <si>
    <t xml:space="preserve">V-001437</t>
  </si>
  <si>
    <t xml:space="preserve">V-001438</t>
  </si>
  <si>
    <t xml:space="preserve">V-001439</t>
  </si>
  <si>
    <t xml:space="preserve">V-001440</t>
  </si>
  <si>
    <t xml:space="preserve">V-001441</t>
  </si>
  <si>
    <t xml:space="preserve">V-001442</t>
  </si>
  <si>
    <t xml:space="preserve">V-001443</t>
  </si>
  <si>
    <t xml:space="preserve">V-001444</t>
  </si>
  <si>
    <t xml:space="preserve">V-001445</t>
  </si>
  <si>
    <t xml:space="preserve">V-001446</t>
  </si>
  <si>
    <t xml:space="preserve">V-001447</t>
  </si>
  <si>
    <t xml:space="preserve">V-001448</t>
  </si>
  <si>
    <t xml:space="preserve">V-001449</t>
  </si>
  <si>
    <t xml:space="preserve">V-001450</t>
  </si>
  <si>
    <t xml:space="preserve">V-001451</t>
  </si>
  <si>
    <t xml:space="preserve">V-001452</t>
  </si>
  <si>
    <t xml:space="preserve">V-001453</t>
  </si>
  <si>
    <t xml:space="preserve">V-001454</t>
  </si>
  <si>
    <t xml:space="preserve">V-001455</t>
  </si>
  <si>
    <t xml:space="preserve">V-001456</t>
  </si>
  <si>
    <t xml:space="preserve">V-001457</t>
  </si>
  <si>
    <t xml:space="preserve">V-001458</t>
  </si>
  <si>
    <t xml:space="preserve">V-001459</t>
  </si>
  <si>
    <t xml:space="preserve">V-001460</t>
  </si>
  <si>
    <t xml:space="preserve">V-001461</t>
  </si>
  <si>
    <t xml:space="preserve">V-001462</t>
  </si>
  <si>
    <t xml:space="preserve">V-001463</t>
  </si>
  <si>
    <t xml:space="preserve">V-001464</t>
  </si>
  <si>
    <t xml:space="preserve">V-001465</t>
  </si>
  <si>
    <t xml:space="preserve">V-001466</t>
  </si>
  <si>
    <t xml:space="preserve">V-001467</t>
  </si>
  <si>
    <t xml:space="preserve">V-001468</t>
  </si>
  <si>
    <t xml:space="preserve">V-001469</t>
  </si>
  <si>
    <t xml:space="preserve">V-001470</t>
  </si>
  <si>
    <t xml:space="preserve">V-001471</t>
  </si>
  <si>
    <t xml:space="preserve">V-001472</t>
  </si>
  <si>
    <t xml:space="preserve">V-001473</t>
  </si>
  <si>
    <t xml:space="preserve">V-001474</t>
  </si>
  <si>
    <t xml:space="preserve">V-001475</t>
  </si>
  <si>
    <t xml:space="preserve">V-001476</t>
  </si>
  <si>
    <t xml:space="preserve">V-001477</t>
  </si>
  <si>
    <t xml:space="preserve">V-001478</t>
  </si>
  <si>
    <t xml:space="preserve">V-001479</t>
  </si>
  <si>
    <t xml:space="preserve">V-001480</t>
  </si>
  <si>
    <t xml:space="preserve">V-001481</t>
  </si>
  <si>
    <t xml:space="preserve">V-001482</t>
  </si>
  <si>
    <t xml:space="preserve">V-001483</t>
  </si>
  <si>
    <t xml:space="preserve">V-001484</t>
  </si>
  <si>
    <t xml:space="preserve">V-001485</t>
  </si>
  <si>
    <t xml:space="preserve">V-001486</t>
  </si>
  <si>
    <t xml:space="preserve">V-001487</t>
  </si>
  <si>
    <t xml:space="preserve">V-001488</t>
  </si>
  <si>
    <t xml:space="preserve">V-001489</t>
  </si>
  <si>
    <t xml:space="preserve">V-001490</t>
  </si>
  <si>
    <t xml:space="preserve">V-001491</t>
  </si>
  <si>
    <t xml:space="preserve">V-001492</t>
  </si>
  <si>
    <t xml:space="preserve">V-001493</t>
  </si>
  <si>
    <t xml:space="preserve">V-001494</t>
  </si>
  <si>
    <t xml:space="preserve">V-001495</t>
  </si>
  <si>
    <t xml:space="preserve">V-001496</t>
  </si>
  <si>
    <t xml:space="preserve">V-001497</t>
  </si>
  <si>
    <t xml:space="preserve">V-001498</t>
  </si>
  <si>
    <t xml:space="preserve">V-001499</t>
  </si>
  <si>
    <t xml:space="preserve">V-001500</t>
  </si>
  <si>
    <t xml:space="preserve">V-001501</t>
  </si>
  <si>
    <t xml:space="preserve">V-001502</t>
  </si>
  <si>
    <t xml:space="preserve">V-001503</t>
  </si>
  <si>
    <t xml:space="preserve">V-001504</t>
  </si>
  <si>
    <t xml:space="preserve">V-001505</t>
  </si>
  <si>
    <t xml:space="preserve">V-001506</t>
  </si>
  <si>
    <t xml:space="preserve">V-001507</t>
  </si>
  <si>
    <t xml:space="preserve">V-001508</t>
  </si>
  <si>
    <t xml:space="preserve">V-001509</t>
  </si>
  <si>
    <t xml:space="preserve">V-001510</t>
  </si>
  <si>
    <t xml:space="preserve">V-001511</t>
  </si>
  <si>
    <t xml:space="preserve">V-001512</t>
  </si>
  <si>
    <t xml:space="preserve">V-001513</t>
  </si>
  <si>
    <t xml:space="preserve">V-001514</t>
  </si>
  <si>
    <t xml:space="preserve">V-001515</t>
  </si>
  <si>
    <t xml:space="preserve">V-001516</t>
  </si>
  <si>
    <t xml:space="preserve">V-001517</t>
  </si>
  <si>
    <t xml:space="preserve">V-001518</t>
  </si>
  <si>
    <t xml:space="preserve">V-001519</t>
  </si>
  <si>
    <t xml:space="preserve">V-001520</t>
  </si>
  <si>
    <t xml:space="preserve">V-001521</t>
  </si>
  <si>
    <t xml:space="preserve">V-001522</t>
  </si>
  <si>
    <t xml:space="preserve">V-001523</t>
  </si>
  <si>
    <t xml:space="preserve">V-001524</t>
  </si>
  <si>
    <t xml:space="preserve">V-001525</t>
  </si>
  <si>
    <t xml:space="preserve">V-001526</t>
  </si>
  <si>
    <t xml:space="preserve">V-001527</t>
  </si>
  <si>
    <t xml:space="preserve">V-001528</t>
  </si>
  <si>
    <t xml:space="preserve">V-001529</t>
  </si>
  <si>
    <t xml:space="preserve">V-001530</t>
  </si>
  <si>
    <t xml:space="preserve">V-001531</t>
  </si>
  <si>
    <t xml:space="preserve">V-001532</t>
  </si>
  <si>
    <t xml:space="preserve">V-001533</t>
  </si>
  <si>
    <t xml:space="preserve">V-001534</t>
  </si>
  <si>
    <t xml:space="preserve">V-001535</t>
  </si>
  <si>
    <t xml:space="preserve">V-001536</t>
  </si>
  <si>
    <t xml:space="preserve">V-001537</t>
  </si>
  <si>
    <t xml:space="preserve">V-001538</t>
  </si>
  <si>
    <t xml:space="preserve">V-001539</t>
  </si>
  <si>
    <t xml:space="preserve">V-001540</t>
  </si>
  <si>
    <t xml:space="preserve">V-001541</t>
  </si>
  <si>
    <t xml:space="preserve">V-001542</t>
  </si>
  <si>
    <t xml:space="preserve">V-001543</t>
  </si>
  <si>
    <t xml:space="preserve">V-001544</t>
  </si>
  <si>
    <t xml:space="preserve">V-001545</t>
  </si>
  <si>
    <t xml:space="preserve">V-001546</t>
  </si>
  <si>
    <t xml:space="preserve">V-001547</t>
  </si>
  <si>
    <t xml:space="preserve">V-001548</t>
  </si>
  <si>
    <t xml:space="preserve">V-001549</t>
  </si>
  <si>
    <t xml:space="preserve">V-001550</t>
  </si>
  <si>
    <t xml:space="preserve">V-001551</t>
  </si>
  <si>
    <t xml:space="preserve">V-001552</t>
  </si>
  <si>
    <t xml:space="preserve">V-001553</t>
  </si>
  <si>
    <t xml:space="preserve">V-001554</t>
  </si>
  <si>
    <t xml:space="preserve">V-001555</t>
  </si>
  <si>
    <t xml:space="preserve">V-001556</t>
  </si>
  <si>
    <t xml:space="preserve">V-001557</t>
  </si>
  <si>
    <t xml:space="preserve">V-001558</t>
  </si>
  <si>
    <t xml:space="preserve">V-001559</t>
  </si>
  <si>
    <t xml:space="preserve">V-001560</t>
  </si>
  <si>
    <t xml:space="preserve">V-001561</t>
  </si>
  <si>
    <t xml:space="preserve">V-001562</t>
  </si>
  <si>
    <t xml:space="preserve">V-001563</t>
  </si>
  <si>
    <t xml:space="preserve">V-001564</t>
  </si>
  <si>
    <t xml:space="preserve">V-001565</t>
  </si>
  <si>
    <t xml:space="preserve">V-001566</t>
  </si>
  <si>
    <t xml:space="preserve">V-001567</t>
  </si>
  <si>
    <t xml:space="preserve">V-001568</t>
  </si>
  <si>
    <t xml:space="preserve">V-001569</t>
  </si>
  <si>
    <t xml:space="preserve">V-001570</t>
  </si>
  <si>
    <t xml:space="preserve">V-001571</t>
  </si>
  <si>
    <t xml:space="preserve">V-001572</t>
  </si>
  <si>
    <t xml:space="preserve">V-001573</t>
  </si>
  <si>
    <t xml:space="preserve">V-001574</t>
  </si>
  <si>
    <t xml:space="preserve">V-001575</t>
  </si>
  <si>
    <t xml:space="preserve">V-001576</t>
  </si>
  <si>
    <t xml:space="preserve">V-001577</t>
  </si>
  <si>
    <t xml:space="preserve">V-001578</t>
  </si>
  <si>
    <t xml:space="preserve">V-001579</t>
  </si>
  <si>
    <t xml:space="preserve">V-001580</t>
  </si>
  <si>
    <t xml:space="preserve">V-001581</t>
  </si>
  <si>
    <t xml:space="preserve">V-001582</t>
  </si>
  <si>
    <t xml:space="preserve">V-001583</t>
  </si>
  <si>
    <t xml:space="preserve">V-001584</t>
  </si>
  <si>
    <t xml:space="preserve">V-001585</t>
  </si>
  <si>
    <t xml:space="preserve">V-001586</t>
  </si>
  <si>
    <t xml:space="preserve">V-001587</t>
  </si>
  <si>
    <t xml:space="preserve">V-001588</t>
  </si>
  <si>
    <t xml:space="preserve">V-001589</t>
  </si>
  <si>
    <t xml:space="preserve">V-001590</t>
  </si>
  <si>
    <t xml:space="preserve">V-001591</t>
  </si>
  <si>
    <t xml:space="preserve">V-001592</t>
  </si>
  <si>
    <t xml:space="preserve">V-001593</t>
  </si>
  <si>
    <t xml:space="preserve">V-001594</t>
  </si>
  <si>
    <t xml:space="preserve">V-001595</t>
  </si>
  <si>
    <t xml:space="preserve">V-001596</t>
  </si>
  <si>
    <t xml:space="preserve">V-001597</t>
  </si>
  <si>
    <t xml:space="preserve">V-001598</t>
  </si>
  <si>
    <t xml:space="preserve">V-001599</t>
  </si>
  <si>
    <t xml:space="preserve">V-001600</t>
  </si>
  <si>
    <t xml:space="preserve">V-001601</t>
  </si>
  <si>
    <t xml:space="preserve">V-001602</t>
  </si>
  <si>
    <t xml:space="preserve">V-001603</t>
  </si>
  <si>
    <t xml:space="preserve">V-001604</t>
  </si>
  <si>
    <t xml:space="preserve">V-001605</t>
  </si>
  <si>
    <t xml:space="preserve">V-001606</t>
  </si>
  <si>
    <t xml:space="preserve">V-001607</t>
  </si>
  <si>
    <t xml:space="preserve">V-001608</t>
  </si>
  <si>
    <t xml:space="preserve">V-001609</t>
  </si>
  <si>
    <t xml:space="preserve">V-001610</t>
  </si>
  <si>
    <t xml:space="preserve">V-001611</t>
  </si>
  <si>
    <t xml:space="preserve">V-001612</t>
  </si>
  <si>
    <t xml:space="preserve">V-001613</t>
  </si>
  <si>
    <t xml:space="preserve">V-001614</t>
  </si>
  <si>
    <t xml:space="preserve">V-001615</t>
  </si>
  <si>
    <t xml:space="preserve">V-001616</t>
  </si>
  <si>
    <t xml:space="preserve">V-001617</t>
  </si>
  <si>
    <t xml:space="preserve">V-001618</t>
  </si>
  <si>
    <t xml:space="preserve">V-001619</t>
  </si>
  <si>
    <t xml:space="preserve">V-001620</t>
  </si>
  <si>
    <t xml:space="preserve">V-001621</t>
  </si>
  <si>
    <t xml:space="preserve">V-001622</t>
  </si>
  <si>
    <t xml:space="preserve">V-001623</t>
  </si>
  <si>
    <t xml:space="preserve">V-001624</t>
  </si>
  <si>
    <t xml:space="preserve">V-001625</t>
  </si>
  <si>
    <t xml:space="preserve">V-001626</t>
  </si>
  <si>
    <t xml:space="preserve">V-001627</t>
  </si>
  <si>
    <t xml:space="preserve">V-001628</t>
  </si>
  <si>
    <t xml:space="preserve">V-001629</t>
  </si>
  <si>
    <t xml:space="preserve">V-001630</t>
  </si>
  <si>
    <t xml:space="preserve">V-001631</t>
  </si>
  <si>
    <t xml:space="preserve">V-001632</t>
  </si>
  <si>
    <t xml:space="preserve">V-001633</t>
  </si>
  <si>
    <t xml:space="preserve">V-001634</t>
  </si>
  <si>
    <t xml:space="preserve">V-001635</t>
  </si>
  <si>
    <t xml:space="preserve">V-001636</t>
  </si>
  <si>
    <t xml:space="preserve">V-001637</t>
  </si>
  <si>
    <t xml:space="preserve">V-001638</t>
  </si>
  <si>
    <t xml:space="preserve">V-001639</t>
  </si>
  <si>
    <t xml:space="preserve">V-001640</t>
  </si>
  <si>
    <t xml:space="preserve">V-001641</t>
  </si>
  <si>
    <t xml:space="preserve">V-001642</t>
  </si>
  <si>
    <t xml:space="preserve">V-001643</t>
  </si>
  <si>
    <t xml:space="preserve">V-001644</t>
  </si>
  <si>
    <t xml:space="preserve">V-001645</t>
  </si>
  <si>
    <t xml:space="preserve">V-001646</t>
  </si>
  <si>
    <t xml:space="preserve">V-001647</t>
  </si>
  <si>
    <t xml:space="preserve">V-001648</t>
  </si>
  <si>
    <t xml:space="preserve">V-001649</t>
  </si>
  <si>
    <t xml:space="preserve">V-001650</t>
  </si>
  <si>
    <t xml:space="preserve">V-001651</t>
  </si>
  <si>
    <t xml:space="preserve">V-001652</t>
  </si>
  <si>
    <t xml:space="preserve">V-001653</t>
  </si>
  <si>
    <t xml:space="preserve">V-001654</t>
  </si>
  <si>
    <t xml:space="preserve">V-001655</t>
  </si>
  <si>
    <t xml:space="preserve">V-001656</t>
  </si>
  <si>
    <t xml:space="preserve">V-001657</t>
  </si>
  <si>
    <t xml:space="preserve">V-001658</t>
  </si>
  <si>
    <t xml:space="preserve">V-001659</t>
  </si>
  <si>
    <t xml:space="preserve">V-001660</t>
  </si>
  <si>
    <t xml:space="preserve">V-001661</t>
  </si>
  <si>
    <t xml:space="preserve">V-001662</t>
  </si>
  <si>
    <t xml:space="preserve">V-001663</t>
  </si>
  <si>
    <t xml:space="preserve">V-001664</t>
  </si>
  <si>
    <t xml:space="preserve">V-001665</t>
  </si>
  <si>
    <t xml:space="preserve">V-001666</t>
  </si>
  <si>
    <t xml:space="preserve">V-001667</t>
  </si>
  <si>
    <t xml:space="preserve">V-001668</t>
  </si>
  <si>
    <t xml:space="preserve">V-001669</t>
  </si>
  <si>
    <t xml:space="preserve">V-001670</t>
  </si>
  <si>
    <t xml:space="preserve">V-001671</t>
  </si>
  <si>
    <t xml:space="preserve">V-001672</t>
  </si>
  <si>
    <t xml:space="preserve">V-001673</t>
  </si>
  <si>
    <t xml:space="preserve">V-001674</t>
  </si>
  <si>
    <t xml:space="preserve">V-001675</t>
  </si>
  <si>
    <t xml:space="preserve">V-001676</t>
  </si>
  <si>
    <t xml:space="preserve">V-001677</t>
  </si>
  <si>
    <t xml:space="preserve">V-001678</t>
  </si>
  <si>
    <t xml:space="preserve">V-001679</t>
  </si>
  <si>
    <t xml:space="preserve">V-001680</t>
  </si>
  <si>
    <t xml:space="preserve">V-001681</t>
  </si>
  <si>
    <t xml:space="preserve">V-001682</t>
  </si>
  <si>
    <t xml:space="preserve">V-001683</t>
  </si>
  <si>
    <t xml:space="preserve">V-001684</t>
  </si>
  <si>
    <t xml:space="preserve">V-001685</t>
  </si>
  <si>
    <t xml:space="preserve">V-001686</t>
  </si>
  <si>
    <t xml:space="preserve">V-001687</t>
  </si>
  <si>
    <t xml:space="preserve">V-001688</t>
  </si>
  <si>
    <t xml:space="preserve">V-001689</t>
  </si>
  <si>
    <t xml:space="preserve">V-001690</t>
  </si>
  <si>
    <t xml:space="preserve">V-001691</t>
  </si>
  <si>
    <t xml:space="preserve">V-001692</t>
  </si>
  <si>
    <t xml:space="preserve">V-001693</t>
  </si>
  <si>
    <t xml:space="preserve">V-001694</t>
  </si>
  <si>
    <t xml:space="preserve">V-001695</t>
  </si>
  <si>
    <t xml:space="preserve">V-001696</t>
  </si>
  <si>
    <t xml:space="preserve">V-001697</t>
  </si>
  <si>
    <t xml:space="preserve">V-001698</t>
  </si>
  <si>
    <t xml:space="preserve">V-001699</t>
  </si>
  <si>
    <t xml:space="preserve">V-001700</t>
  </si>
  <si>
    <t xml:space="preserve">V-001701</t>
  </si>
  <si>
    <t xml:space="preserve">V-001702</t>
  </si>
  <si>
    <t xml:space="preserve">V-001703</t>
  </si>
  <si>
    <t xml:space="preserve">V-001704</t>
  </si>
  <si>
    <t xml:space="preserve">V-001705</t>
  </si>
  <si>
    <t xml:space="preserve">V-001706</t>
  </si>
  <si>
    <t xml:space="preserve">V-001707</t>
  </si>
  <si>
    <t xml:space="preserve">V-001708</t>
  </si>
  <si>
    <t xml:space="preserve">V-001709</t>
  </si>
  <si>
    <t xml:space="preserve">V-001710</t>
  </si>
  <si>
    <t xml:space="preserve">V-001711</t>
  </si>
  <si>
    <t xml:space="preserve">V-001712</t>
  </si>
  <si>
    <t xml:space="preserve">V-001713</t>
  </si>
  <si>
    <t xml:space="preserve">V-001714</t>
  </si>
  <si>
    <t xml:space="preserve">V-001715</t>
  </si>
  <si>
    <t xml:space="preserve">V-001716</t>
  </si>
  <si>
    <t xml:space="preserve">V-001717</t>
  </si>
  <si>
    <t xml:space="preserve">V-001718</t>
  </si>
  <si>
    <t xml:space="preserve">V-001719</t>
  </si>
  <si>
    <t xml:space="preserve">V-001720</t>
  </si>
  <si>
    <t xml:space="preserve">V-001721</t>
  </si>
  <si>
    <t xml:space="preserve">V-001722</t>
  </si>
  <si>
    <t xml:space="preserve">V-001723</t>
  </si>
  <si>
    <t xml:space="preserve">V-001724</t>
  </si>
  <si>
    <t xml:space="preserve">V-001725</t>
  </si>
  <si>
    <t xml:space="preserve">V-001726</t>
  </si>
  <si>
    <t xml:space="preserve">V-001727</t>
  </si>
  <si>
    <t xml:space="preserve">V-001728</t>
  </si>
  <si>
    <t xml:space="preserve">V-001729</t>
  </si>
  <si>
    <t xml:space="preserve">V-001730</t>
  </si>
  <si>
    <t xml:space="preserve">V-001731</t>
  </si>
  <si>
    <t xml:space="preserve">V-001732</t>
  </si>
  <si>
    <t xml:space="preserve">V-001733</t>
  </si>
  <si>
    <t xml:space="preserve">V-001734</t>
  </si>
  <si>
    <t xml:space="preserve">V-001735</t>
  </si>
  <si>
    <t xml:space="preserve">V-001736</t>
  </si>
  <si>
    <t xml:space="preserve">V-001737</t>
  </si>
  <si>
    <t xml:space="preserve">V-001738</t>
  </si>
  <si>
    <t xml:space="preserve">V-001739</t>
  </si>
  <si>
    <t xml:space="preserve">V-001740</t>
  </si>
  <si>
    <t xml:space="preserve">V-001741</t>
  </si>
  <si>
    <t xml:space="preserve">V-001742</t>
  </si>
  <si>
    <t xml:space="preserve">V-001743</t>
  </si>
  <si>
    <t xml:space="preserve">V-001744</t>
  </si>
  <si>
    <t xml:space="preserve">V-001745</t>
  </si>
  <si>
    <t xml:space="preserve">V-001746</t>
  </si>
  <si>
    <t xml:space="preserve">V-001747</t>
  </si>
  <si>
    <t xml:space="preserve">V-001748</t>
  </si>
  <si>
    <t xml:space="preserve">V-001749</t>
  </si>
  <si>
    <t xml:space="preserve">V-001750</t>
  </si>
  <si>
    <t xml:space="preserve">V-001751</t>
  </si>
  <si>
    <t xml:space="preserve">V-001752</t>
  </si>
  <si>
    <t xml:space="preserve">V-001753</t>
  </si>
  <si>
    <t xml:space="preserve">V-001754</t>
  </si>
  <si>
    <t xml:space="preserve">V-001755</t>
  </si>
  <si>
    <t xml:space="preserve">V-001756</t>
  </si>
  <si>
    <t xml:space="preserve">V-001757</t>
  </si>
  <si>
    <t xml:space="preserve">V-001758</t>
  </si>
  <si>
    <t xml:space="preserve">V-001759</t>
  </si>
  <si>
    <t xml:space="preserve">V-001760</t>
  </si>
  <si>
    <t xml:space="preserve">V-001761</t>
  </si>
  <si>
    <t xml:space="preserve">V-001762</t>
  </si>
  <si>
    <t xml:space="preserve">V-001763</t>
  </si>
  <si>
    <t xml:space="preserve">V-001764</t>
  </si>
  <si>
    <t xml:space="preserve">V-001765</t>
  </si>
  <si>
    <t xml:space="preserve">V-001766</t>
  </si>
  <si>
    <t xml:space="preserve">V-001767</t>
  </si>
  <si>
    <t xml:space="preserve">V-001768</t>
  </si>
  <si>
    <t xml:space="preserve">V-001769</t>
  </si>
  <si>
    <t xml:space="preserve">V-001770</t>
  </si>
  <si>
    <t xml:space="preserve">V-001771</t>
  </si>
  <si>
    <t xml:space="preserve">V-001772</t>
  </si>
  <si>
    <t xml:space="preserve">V-001773</t>
  </si>
  <si>
    <t xml:space="preserve">V-001774</t>
  </si>
  <si>
    <t xml:space="preserve">V-001775</t>
  </si>
  <si>
    <t xml:space="preserve">V-001776</t>
  </si>
  <si>
    <t xml:space="preserve">V-001777</t>
  </si>
  <si>
    <t xml:space="preserve">V-001778</t>
  </si>
  <si>
    <t xml:space="preserve">V-001779</t>
  </si>
  <si>
    <t xml:space="preserve">V-001780</t>
  </si>
  <si>
    <t xml:space="preserve">V-001781</t>
  </si>
  <si>
    <t xml:space="preserve">V-001782</t>
  </si>
  <si>
    <t xml:space="preserve">V-001783</t>
  </si>
  <si>
    <t xml:space="preserve">V-001784</t>
  </si>
  <si>
    <t xml:space="preserve">V-001785</t>
  </si>
  <si>
    <t xml:space="preserve">V-001786</t>
  </si>
  <si>
    <t xml:space="preserve">V-001787</t>
  </si>
  <si>
    <t xml:space="preserve">V-001788</t>
  </si>
  <si>
    <t xml:space="preserve">V-001789</t>
  </si>
  <si>
    <t xml:space="preserve">V-001790</t>
  </si>
  <si>
    <t xml:space="preserve">V-001791</t>
  </si>
  <si>
    <t xml:space="preserve">V-001792</t>
  </si>
  <si>
    <t xml:space="preserve">V-001793</t>
  </si>
  <si>
    <t xml:space="preserve">V-001794</t>
  </si>
  <si>
    <t xml:space="preserve">V-001795</t>
  </si>
  <si>
    <t xml:space="preserve">V-001796</t>
  </si>
  <si>
    <t xml:space="preserve">V-001797</t>
  </si>
  <si>
    <t xml:space="preserve">V-001798</t>
  </si>
  <si>
    <t xml:space="preserve">V-001799</t>
  </si>
  <si>
    <t xml:space="preserve">V-001800</t>
  </si>
  <si>
    <t xml:space="preserve">V-001801</t>
  </si>
  <si>
    <t xml:space="preserve">V-001802</t>
  </si>
  <si>
    <t xml:space="preserve">V-001803</t>
  </si>
  <si>
    <t xml:space="preserve">V-001804</t>
  </si>
  <si>
    <t xml:space="preserve">V-001805</t>
  </si>
  <si>
    <t xml:space="preserve">V-001806</t>
  </si>
  <si>
    <t xml:space="preserve">V-001807</t>
  </si>
  <si>
    <t xml:space="preserve">V-001808</t>
  </si>
  <si>
    <t xml:space="preserve">V-001809</t>
  </si>
  <si>
    <t xml:space="preserve">V-001810</t>
  </si>
  <si>
    <t xml:space="preserve">V-001811</t>
  </si>
  <si>
    <t xml:space="preserve">V-001812</t>
  </si>
  <si>
    <t xml:space="preserve">V-001813</t>
  </si>
  <si>
    <t xml:space="preserve">V-001814</t>
  </si>
  <si>
    <t xml:space="preserve">V-001815</t>
  </si>
  <si>
    <t xml:space="preserve">V-001816</t>
  </si>
  <si>
    <t xml:space="preserve">V-001817</t>
  </si>
  <si>
    <t xml:space="preserve">V-001818</t>
  </si>
  <si>
    <t xml:space="preserve">V-001819</t>
  </si>
  <si>
    <t xml:space="preserve">V-001820</t>
  </si>
  <si>
    <t xml:space="preserve">V-001821</t>
  </si>
  <si>
    <t xml:space="preserve">V-001822</t>
  </si>
  <si>
    <t xml:space="preserve">V-001823</t>
  </si>
  <si>
    <t xml:space="preserve">V-001824</t>
  </si>
  <si>
    <t xml:space="preserve">V-001825</t>
  </si>
  <si>
    <t xml:space="preserve">V-001826</t>
  </si>
  <si>
    <t xml:space="preserve">V-001827</t>
  </si>
  <si>
    <t xml:space="preserve">V-001828</t>
  </si>
  <si>
    <t xml:space="preserve">V-001829</t>
  </si>
  <si>
    <t xml:space="preserve">V-001830</t>
  </si>
  <si>
    <t xml:space="preserve">V-001831</t>
  </si>
  <si>
    <t xml:space="preserve">V-001832</t>
  </si>
  <si>
    <t xml:space="preserve">V-001833</t>
  </si>
  <si>
    <t xml:space="preserve">V-001834</t>
  </si>
  <si>
    <t xml:space="preserve">V-001835</t>
  </si>
  <si>
    <t xml:space="preserve">V-001836</t>
  </si>
  <si>
    <t xml:space="preserve">V-001837</t>
  </si>
  <si>
    <t xml:space="preserve">V-001838</t>
  </si>
  <si>
    <t xml:space="preserve">V-001839</t>
  </si>
  <si>
    <t xml:space="preserve">V-001840</t>
  </si>
  <si>
    <t xml:space="preserve">V-001841</t>
  </si>
  <si>
    <t xml:space="preserve">V-001842</t>
  </si>
  <si>
    <t xml:space="preserve">V-001843</t>
  </si>
  <si>
    <t xml:space="preserve">V-001844</t>
  </si>
  <si>
    <t xml:space="preserve">V-001845</t>
  </si>
  <si>
    <t xml:space="preserve">V-001846</t>
  </si>
  <si>
    <t xml:space="preserve">V-001847</t>
  </si>
  <si>
    <t xml:space="preserve">V-001848</t>
  </si>
  <si>
    <t xml:space="preserve">V-001849</t>
  </si>
  <si>
    <t xml:space="preserve">V-001850</t>
  </si>
  <si>
    <t xml:space="preserve">V-001851</t>
  </si>
  <si>
    <t xml:space="preserve">V-001852</t>
  </si>
  <si>
    <t xml:space="preserve">V-001853</t>
  </si>
  <si>
    <t xml:space="preserve">V-001854</t>
  </si>
  <si>
    <t xml:space="preserve">V-001855</t>
  </si>
  <si>
    <t xml:space="preserve">V-001856</t>
  </si>
  <si>
    <t xml:space="preserve">V-001857</t>
  </si>
  <si>
    <t xml:space="preserve">V-001858</t>
  </si>
  <si>
    <t xml:space="preserve">V-001859</t>
  </si>
  <si>
    <t xml:space="preserve">V-001860</t>
  </si>
  <si>
    <t xml:space="preserve">V-001861</t>
  </si>
  <si>
    <t xml:space="preserve">V-001862</t>
  </si>
  <si>
    <t xml:space="preserve">V-001863</t>
  </si>
  <si>
    <t xml:space="preserve">V-001864</t>
  </si>
  <si>
    <t xml:space="preserve">V-001865</t>
  </si>
  <si>
    <t xml:space="preserve">V-001866</t>
  </si>
  <si>
    <t xml:space="preserve">V-001867</t>
  </si>
  <si>
    <t xml:space="preserve">V-001868</t>
  </si>
  <si>
    <t xml:space="preserve">V-001869</t>
  </si>
  <si>
    <t xml:space="preserve">V-001870</t>
  </si>
  <si>
    <t xml:space="preserve">V-001871</t>
  </si>
  <si>
    <t xml:space="preserve">V-001872</t>
  </si>
  <si>
    <t xml:space="preserve">V-001873</t>
  </si>
  <si>
    <t xml:space="preserve">V-001874</t>
  </si>
  <si>
    <t xml:space="preserve">V-001875</t>
  </si>
  <si>
    <t xml:space="preserve">V-001876</t>
  </si>
  <si>
    <t xml:space="preserve">V-001877</t>
  </si>
  <si>
    <t xml:space="preserve">V-001878</t>
  </si>
  <si>
    <t xml:space="preserve">V-001879</t>
  </si>
  <si>
    <t xml:space="preserve">V-001880</t>
  </si>
  <si>
    <t xml:space="preserve">V-001881</t>
  </si>
  <si>
    <t xml:space="preserve">V-001882</t>
  </si>
  <si>
    <t xml:space="preserve">V-001883</t>
  </si>
  <si>
    <t xml:space="preserve">V-001884</t>
  </si>
  <si>
    <t xml:space="preserve">V-001885</t>
  </si>
  <si>
    <t xml:space="preserve">V-001886</t>
  </si>
  <si>
    <t xml:space="preserve">V-001887</t>
  </si>
  <si>
    <t xml:space="preserve">V-001888</t>
  </si>
  <si>
    <t xml:space="preserve">V-001889</t>
  </si>
  <si>
    <t xml:space="preserve">V-001890</t>
  </si>
  <si>
    <t xml:space="preserve">V-001891</t>
  </si>
  <si>
    <t xml:space="preserve">V-001892</t>
  </si>
  <si>
    <t xml:space="preserve">V-001893</t>
  </si>
  <si>
    <t xml:space="preserve">V-001894</t>
  </si>
  <si>
    <t xml:space="preserve">V-001895</t>
  </si>
  <si>
    <t xml:space="preserve">V-001896</t>
  </si>
  <si>
    <t xml:space="preserve">V-001897</t>
  </si>
  <si>
    <t xml:space="preserve">V-001898</t>
  </si>
  <si>
    <t xml:space="preserve">V-001899</t>
  </si>
  <si>
    <t xml:space="preserve">V-001900</t>
  </si>
  <si>
    <t xml:space="preserve">V-001901</t>
  </si>
  <si>
    <t xml:space="preserve">V-001902</t>
  </si>
  <si>
    <t xml:space="preserve">V-001903</t>
  </si>
  <si>
    <t xml:space="preserve">V-001904</t>
  </si>
  <si>
    <t xml:space="preserve">V-001905</t>
  </si>
  <si>
    <t xml:space="preserve">V-001906</t>
  </si>
  <si>
    <t xml:space="preserve">V-001907</t>
  </si>
  <si>
    <t xml:space="preserve">V-001908</t>
  </si>
  <si>
    <t xml:space="preserve">V-001909</t>
  </si>
  <si>
    <t xml:space="preserve">V-001910</t>
  </si>
  <si>
    <t xml:space="preserve">V-001911</t>
  </si>
  <si>
    <t xml:space="preserve">V-001912</t>
  </si>
  <si>
    <t xml:space="preserve">V-001913</t>
  </si>
  <si>
    <t xml:space="preserve">V-001914</t>
  </si>
  <si>
    <t xml:space="preserve">V-001915</t>
  </si>
  <si>
    <t xml:space="preserve">V-001916</t>
  </si>
  <si>
    <t xml:space="preserve">V-001917</t>
  </si>
  <si>
    <t xml:space="preserve">V-001918</t>
  </si>
  <si>
    <t xml:space="preserve">V-001919</t>
  </si>
  <si>
    <t xml:space="preserve">V-001920</t>
  </si>
  <si>
    <t xml:space="preserve">V-001921</t>
  </si>
  <si>
    <t xml:space="preserve">V-001922</t>
  </si>
  <si>
    <t xml:space="preserve">V-001923</t>
  </si>
  <si>
    <t xml:space="preserve">V-001924</t>
  </si>
  <si>
    <t xml:space="preserve">V-001925</t>
  </si>
  <si>
    <t xml:space="preserve">V-001926</t>
  </si>
  <si>
    <t xml:space="preserve">V-001927</t>
  </si>
  <si>
    <t xml:space="preserve">V-001928</t>
  </si>
  <si>
    <t xml:space="preserve">V-001929</t>
  </si>
  <si>
    <t xml:space="preserve">V-001930</t>
  </si>
  <si>
    <t xml:space="preserve">V-001931</t>
  </si>
  <si>
    <t xml:space="preserve">V-001932</t>
  </si>
  <si>
    <t xml:space="preserve">V-001933</t>
  </si>
  <si>
    <t xml:space="preserve">V-001934</t>
  </si>
  <si>
    <t xml:space="preserve">V-001935</t>
  </si>
  <si>
    <t xml:space="preserve">V-001936</t>
  </si>
  <si>
    <t xml:space="preserve">V-001937</t>
  </si>
  <si>
    <t xml:space="preserve">V-001938</t>
  </si>
  <si>
    <t xml:space="preserve">V-001939</t>
  </si>
  <si>
    <t xml:space="preserve">V-001940</t>
  </si>
  <si>
    <t xml:space="preserve">V-001941</t>
  </si>
  <si>
    <t xml:space="preserve">V-001942</t>
  </si>
  <si>
    <t xml:space="preserve">V-001943</t>
  </si>
  <si>
    <t xml:space="preserve">V-001944</t>
  </si>
  <si>
    <t xml:space="preserve">V-001945</t>
  </si>
  <si>
    <t xml:space="preserve">V-001946</t>
  </si>
  <si>
    <t xml:space="preserve">V-001947</t>
  </si>
  <si>
    <t xml:space="preserve">V-001948</t>
  </si>
  <si>
    <t xml:space="preserve">V-001949</t>
  </si>
  <si>
    <t xml:space="preserve">V-001950</t>
  </si>
  <si>
    <t xml:space="preserve">V-001951</t>
  </si>
  <si>
    <t xml:space="preserve">V-001952</t>
  </si>
  <si>
    <t xml:space="preserve">V-001953</t>
  </si>
  <si>
    <t xml:space="preserve">V-001954</t>
  </si>
  <si>
    <t xml:space="preserve">V-001955</t>
  </si>
  <si>
    <t xml:space="preserve">V-001956</t>
  </si>
  <si>
    <t xml:space="preserve">V-001957</t>
  </si>
  <si>
    <t xml:space="preserve">V-001958</t>
  </si>
  <si>
    <t xml:space="preserve">V-001959</t>
  </si>
  <si>
    <t xml:space="preserve">V-001960</t>
  </si>
  <si>
    <t xml:space="preserve">V-001961</t>
  </si>
  <si>
    <t xml:space="preserve">V-001962</t>
  </si>
  <si>
    <t xml:space="preserve">V-001963</t>
  </si>
  <si>
    <t xml:space="preserve">V-001964</t>
  </si>
  <si>
    <t xml:space="preserve">V-001965</t>
  </si>
  <si>
    <t xml:space="preserve">V-001966</t>
  </si>
  <si>
    <t xml:space="preserve">V-001967</t>
  </si>
  <si>
    <t xml:space="preserve">V-001968</t>
  </si>
  <si>
    <t xml:space="preserve">V-001969</t>
  </si>
  <si>
    <t xml:space="preserve">V-001970</t>
  </si>
  <si>
    <t xml:space="preserve">V-001971</t>
  </si>
  <si>
    <t xml:space="preserve">V-001972</t>
  </si>
  <si>
    <t xml:space="preserve">V-001973</t>
  </si>
  <si>
    <t xml:space="preserve">V-001974</t>
  </si>
  <si>
    <t xml:space="preserve">V-001975</t>
  </si>
  <si>
    <t xml:space="preserve">V-001976</t>
  </si>
  <si>
    <t xml:space="preserve">V-001977</t>
  </si>
  <si>
    <t xml:space="preserve">V-001978</t>
  </si>
  <si>
    <t xml:space="preserve">V-001979</t>
  </si>
  <si>
    <t xml:space="preserve">V-001980</t>
  </si>
  <si>
    <t xml:space="preserve">V-001981</t>
  </si>
  <si>
    <t xml:space="preserve">V-001982</t>
  </si>
  <si>
    <t xml:space="preserve">V-001983</t>
  </si>
  <si>
    <t xml:space="preserve">V-001984</t>
  </si>
  <si>
    <t xml:space="preserve">V-001985</t>
  </si>
  <si>
    <t xml:space="preserve">V-001986</t>
  </si>
  <si>
    <t xml:space="preserve">V-001987</t>
  </si>
  <si>
    <t xml:space="preserve">V-001988</t>
  </si>
  <si>
    <t xml:space="preserve">V-001989</t>
  </si>
  <si>
    <t xml:space="preserve">V-001990</t>
  </si>
  <si>
    <t xml:space="preserve">V-001991</t>
  </si>
  <si>
    <t xml:space="preserve">V-001992</t>
  </si>
  <si>
    <t xml:space="preserve">V-001993</t>
  </si>
  <si>
    <t xml:space="preserve">V-001994</t>
  </si>
  <si>
    <t xml:space="preserve">V-001995</t>
  </si>
  <si>
    <t xml:space="preserve">V-001996</t>
  </si>
  <si>
    <t xml:space="preserve">V-001997</t>
  </si>
  <si>
    <t xml:space="preserve">V-001998</t>
  </si>
  <si>
    <t xml:space="preserve">V-001999</t>
  </si>
  <si>
    <t xml:space="preserve">V-002000</t>
  </si>
  <si>
    <t xml:space="preserve">V-002001</t>
  </si>
  <si>
    <t xml:space="preserve">V-002002</t>
  </si>
  <si>
    <t xml:space="preserve">V-002003</t>
  </si>
  <si>
    <t xml:space="preserve">V-002004</t>
  </si>
  <si>
    <t xml:space="preserve">V-002005</t>
  </si>
  <si>
    <t xml:space="preserve">V-002006</t>
  </si>
  <si>
    <t xml:space="preserve">V-002007</t>
  </si>
  <si>
    <t xml:space="preserve">V-002008</t>
  </si>
  <si>
    <t xml:space="preserve">V-002009</t>
  </si>
  <si>
    <t xml:space="preserve">V-002010</t>
  </si>
  <si>
    <t xml:space="preserve">V-002011</t>
  </si>
  <si>
    <t xml:space="preserve">V-002012</t>
  </si>
  <si>
    <t xml:space="preserve">V-002013</t>
  </si>
  <si>
    <t xml:space="preserve">V-002014</t>
  </si>
  <si>
    <t xml:space="preserve">V-002015</t>
  </si>
  <si>
    <t xml:space="preserve">V-002016</t>
  </si>
  <si>
    <t xml:space="preserve">V-002017</t>
  </si>
  <si>
    <t xml:space="preserve">V-002018</t>
  </si>
  <si>
    <t xml:space="preserve">V-002019</t>
  </si>
  <si>
    <t xml:space="preserve">V-002020</t>
  </si>
  <si>
    <t xml:space="preserve">V-002021</t>
  </si>
  <si>
    <t xml:space="preserve">V-002022</t>
  </si>
  <si>
    <t xml:space="preserve">V-002023</t>
  </si>
  <si>
    <t xml:space="preserve">V-002024</t>
  </si>
  <si>
    <t xml:space="preserve">V-002025</t>
  </si>
  <si>
    <t xml:space="preserve">V-002026</t>
  </si>
  <si>
    <t xml:space="preserve">V-002027</t>
  </si>
  <si>
    <t xml:space="preserve">V-002028</t>
  </si>
  <si>
    <t xml:space="preserve">V-002029</t>
  </si>
  <si>
    <t xml:space="preserve">V-002030</t>
  </si>
  <si>
    <t xml:space="preserve">V-002031</t>
  </si>
  <si>
    <t xml:space="preserve">V-002032</t>
  </si>
  <si>
    <t xml:space="preserve">V-002033</t>
  </si>
  <si>
    <t xml:space="preserve">V-002034</t>
  </si>
  <si>
    <t xml:space="preserve">V-002035</t>
  </si>
  <si>
    <t xml:space="preserve">V-002036</t>
  </si>
  <si>
    <t xml:space="preserve">V-002037</t>
  </si>
  <si>
    <t xml:space="preserve">V-002038</t>
  </si>
  <si>
    <t xml:space="preserve">V-002039</t>
  </si>
  <si>
    <t xml:space="preserve">V-002040</t>
  </si>
  <si>
    <t xml:space="preserve">V-002041</t>
  </si>
  <si>
    <t xml:space="preserve">V-002042</t>
  </si>
  <si>
    <t xml:space="preserve">V-002043</t>
  </si>
  <si>
    <t xml:space="preserve">V-002044</t>
  </si>
  <si>
    <t xml:space="preserve">V-002045</t>
  </si>
  <si>
    <t xml:space="preserve">V-002046</t>
  </si>
  <si>
    <t xml:space="preserve">V-002047</t>
  </si>
  <si>
    <t xml:space="preserve">V-002048</t>
  </si>
  <si>
    <t xml:space="preserve">V-002049</t>
  </si>
  <si>
    <t xml:space="preserve">V-002050</t>
  </si>
  <si>
    <t xml:space="preserve">V-002051</t>
  </si>
  <si>
    <t xml:space="preserve">V-002052</t>
  </si>
  <si>
    <t xml:space="preserve">V-002053</t>
  </si>
  <si>
    <t xml:space="preserve">V-002054</t>
  </si>
  <si>
    <t xml:space="preserve">V-002055</t>
  </si>
  <si>
    <t xml:space="preserve">V-002056</t>
  </si>
  <si>
    <t xml:space="preserve">V-002057</t>
  </si>
  <si>
    <t xml:space="preserve">V-002058</t>
  </si>
  <si>
    <t xml:space="preserve">V-002059</t>
  </si>
  <si>
    <t xml:space="preserve">V-002060</t>
  </si>
  <si>
    <t xml:space="preserve">V-002061</t>
  </si>
  <si>
    <t xml:space="preserve">V-002062</t>
  </si>
  <si>
    <t xml:space="preserve">V-002063</t>
  </si>
  <si>
    <t xml:space="preserve">V-002064</t>
  </si>
  <si>
    <t xml:space="preserve">V-002065</t>
  </si>
  <si>
    <t xml:space="preserve">V-002066</t>
  </si>
  <si>
    <t xml:space="preserve">V-002067</t>
  </si>
  <si>
    <t xml:space="preserve">V-002068</t>
  </si>
  <si>
    <t xml:space="preserve">V-002069</t>
  </si>
  <si>
    <t xml:space="preserve">V-002070</t>
  </si>
  <si>
    <t xml:space="preserve">V-002071</t>
  </si>
  <si>
    <t xml:space="preserve">V-002072</t>
  </si>
  <si>
    <t xml:space="preserve">V-002073</t>
  </si>
  <si>
    <t xml:space="preserve">V-002074</t>
  </si>
  <si>
    <t xml:space="preserve">V-002075</t>
  </si>
  <si>
    <t xml:space="preserve">V-002076</t>
  </si>
  <si>
    <t xml:space="preserve">V-002077</t>
  </si>
  <si>
    <t xml:space="preserve">V-002078</t>
  </si>
  <si>
    <t xml:space="preserve">V-002079</t>
  </si>
  <si>
    <t xml:space="preserve">V-002080</t>
  </si>
  <si>
    <t xml:space="preserve">V-002081</t>
  </si>
  <si>
    <t xml:space="preserve">V-002082</t>
  </si>
  <si>
    <t xml:space="preserve">V-002083</t>
  </si>
  <si>
    <t xml:space="preserve">V-002084</t>
  </si>
  <si>
    <t xml:space="preserve">V-002085</t>
  </si>
  <si>
    <t xml:space="preserve">V-002086</t>
  </si>
  <si>
    <t xml:space="preserve">V-002087</t>
  </si>
  <si>
    <t xml:space="preserve">V-002088</t>
  </si>
  <si>
    <t xml:space="preserve">V-002089</t>
  </si>
  <si>
    <t xml:space="preserve">V-002090</t>
  </si>
  <si>
    <t xml:space="preserve">V-002091</t>
  </si>
  <si>
    <t xml:space="preserve">V-002092</t>
  </si>
  <si>
    <t xml:space="preserve">V-002093</t>
  </si>
  <si>
    <t xml:space="preserve">V-002094</t>
  </si>
  <si>
    <t xml:space="preserve">V-002095</t>
  </si>
  <si>
    <t xml:space="preserve">V-002096</t>
  </si>
  <si>
    <t xml:space="preserve">V-002097</t>
  </si>
  <si>
    <t xml:space="preserve">V-002098</t>
  </si>
  <si>
    <t xml:space="preserve">V-002099</t>
  </si>
  <si>
    <t xml:space="preserve">V-002100</t>
  </si>
  <si>
    <t xml:space="preserve">V-002101</t>
  </si>
  <si>
    <t xml:space="preserve">V-002102</t>
  </si>
  <si>
    <t xml:space="preserve">V-002103</t>
  </si>
  <si>
    <t xml:space="preserve">V-002104</t>
  </si>
  <si>
    <t xml:space="preserve">V-002105</t>
  </si>
  <si>
    <t xml:space="preserve">V-002106</t>
  </si>
  <si>
    <t xml:space="preserve">V-002107</t>
  </si>
  <si>
    <t xml:space="preserve">V-002108</t>
  </si>
  <si>
    <t xml:space="preserve">V-002109</t>
  </si>
  <si>
    <t xml:space="preserve">V-002110</t>
  </si>
  <si>
    <t xml:space="preserve">V-002111</t>
  </si>
  <si>
    <t xml:space="preserve">V-002112</t>
  </si>
  <si>
    <t xml:space="preserve">V-002113</t>
  </si>
  <si>
    <t xml:space="preserve">V-002114</t>
  </si>
  <si>
    <t xml:space="preserve">V-002115</t>
  </si>
  <si>
    <t xml:space="preserve">V-002116</t>
  </si>
  <si>
    <t xml:space="preserve">V-002117</t>
  </si>
  <si>
    <t xml:space="preserve">V-002118</t>
  </si>
  <si>
    <t xml:space="preserve">V-002119</t>
  </si>
  <si>
    <t xml:space="preserve">V-002120</t>
  </si>
  <si>
    <t xml:space="preserve">V-002121</t>
  </si>
  <si>
    <t xml:space="preserve">V-002122</t>
  </si>
  <si>
    <t xml:space="preserve">V-002123</t>
  </si>
  <si>
    <t xml:space="preserve">V-002124</t>
  </si>
  <si>
    <t xml:space="preserve">V-002125</t>
  </si>
  <si>
    <t xml:space="preserve">V-002126</t>
  </si>
  <si>
    <t xml:space="preserve">V-002127</t>
  </si>
  <si>
    <t xml:space="preserve">V-002128</t>
  </si>
  <si>
    <t xml:space="preserve">V-002129</t>
  </si>
  <si>
    <t xml:space="preserve">V-002130</t>
  </si>
  <si>
    <t xml:space="preserve">V-002131</t>
  </si>
  <si>
    <t xml:space="preserve">V-002132</t>
  </si>
  <si>
    <t xml:space="preserve">V-002133</t>
  </si>
  <si>
    <t xml:space="preserve">V-002134</t>
  </si>
  <si>
    <t xml:space="preserve">V-002135</t>
  </si>
  <si>
    <t xml:space="preserve">V-002136</t>
  </si>
  <si>
    <t xml:space="preserve">V-002137</t>
  </si>
  <si>
    <t xml:space="preserve">V-002138</t>
  </si>
  <si>
    <t xml:space="preserve">V-002139</t>
  </si>
  <si>
    <t xml:space="preserve">V-002140</t>
  </si>
  <si>
    <t xml:space="preserve">V-002141</t>
  </si>
  <si>
    <t xml:space="preserve">V-002142</t>
  </si>
  <si>
    <t xml:space="preserve">V-002143</t>
  </si>
  <si>
    <t xml:space="preserve">V-002144</t>
  </si>
  <si>
    <t xml:space="preserve">V-002145</t>
  </si>
  <si>
    <t xml:space="preserve">V-002146</t>
  </si>
  <si>
    <t xml:space="preserve">V-002147</t>
  </si>
  <si>
    <t xml:space="preserve">V-002148</t>
  </si>
  <si>
    <t xml:space="preserve">V-002149</t>
  </si>
  <si>
    <t xml:space="preserve">V-002150</t>
  </si>
  <si>
    <t xml:space="preserve">V-002151</t>
  </si>
  <si>
    <t xml:space="preserve">V-002152</t>
  </si>
  <si>
    <t xml:space="preserve">V-002153</t>
  </si>
  <si>
    <t xml:space="preserve">V-002154</t>
  </si>
  <si>
    <t xml:space="preserve">V-002155</t>
  </si>
  <si>
    <t xml:space="preserve">V-002156</t>
  </si>
  <si>
    <t xml:space="preserve">V-002157</t>
  </si>
  <si>
    <t xml:space="preserve">V-002158</t>
  </si>
  <si>
    <t xml:space="preserve">V-002159</t>
  </si>
  <si>
    <t xml:space="preserve">V-002160</t>
  </si>
  <si>
    <t xml:space="preserve">V-002161</t>
  </si>
  <si>
    <t xml:space="preserve">V-002162</t>
  </si>
  <si>
    <t xml:space="preserve">V-002163</t>
  </si>
  <si>
    <t xml:space="preserve">V-002164</t>
  </si>
  <si>
    <t xml:space="preserve">V-002165</t>
  </si>
  <si>
    <t xml:space="preserve">V-002166</t>
  </si>
  <si>
    <t xml:space="preserve">V-002167</t>
  </si>
  <si>
    <t xml:space="preserve">V-002168</t>
  </si>
  <si>
    <t xml:space="preserve">V-002169</t>
  </si>
  <si>
    <t xml:space="preserve">V-002170</t>
  </si>
  <si>
    <t xml:space="preserve">V-002171</t>
  </si>
  <si>
    <t xml:space="preserve">V-002172</t>
  </si>
  <si>
    <t xml:space="preserve">V-002173</t>
  </si>
  <si>
    <t xml:space="preserve">V-002174</t>
  </si>
  <si>
    <t xml:space="preserve">V-002175</t>
  </si>
  <si>
    <t xml:space="preserve">V-002176</t>
  </si>
  <si>
    <t xml:space="preserve">V-002177</t>
  </si>
  <si>
    <t xml:space="preserve">V-002178</t>
  </si>
  <si>
    <t xml:space="preserve">V-002179</t>
  </si>
  <si>
    <t xml:space="preserve">V-002180</t>
  </si>
  <si>
    <t xml:space="preserve">V-002181</t>
  </si>
  <si>
    <t xml:space="preserve">V-002182</t>
  </si>
  <si>
    <t xml:space="preserve">V-002183</t>
  </si>
  <si>
    <t xml:space="preserve">V-002184</t>
  </si>
  <si>
    <t xml:space="preserve">V-002185</t>
  </si>
  <si>
    <t xml:space="preserve">V-002186</t>
  </si>
  <si>
    <t xml:space="preserve">V-002187</t>
  </si>
  <si>
    <t xml:space="preserve">V-002188</t>
  </si>
  <si>
    <t xml:space="preserve">V-002189</t>
  </si>
  <si>
    <t xml:space="preserve">V-002190</t>
  </si>
  <si>
    <t xml:space="preserve">V-002191</t>
  </si>
  <si>
    <t xml:space="preserve">V-002192</t>
  </si>
  <si>
    <t xml:space="preserve">V-002193</t>
  </si>
  <si>
    <t xml:space="preserve">V-002194</t>
  </si>
  <si>
    <t xml:space="preserve">V-002195</t>
  </si>
  <si>
    <t xml:space="preserve">V-002196</t>
  </si>
  <si>
    <t xml:space="preserve">V-002197</t>
  </si>
  <si>
    <t xml:space="preserve">V-002198</t>
  </si>
  <si>
    <t xml:space="preserve">V-002199</t>
  </si>
  <si>
    <t xml:space="preserve">V-002200</t>
  </si>
  <si>
    <t xml:space="preserve">V-002201</t>
  </si>
  <si>
    <t xml:space="preserve">V-002202</t>
  </si>
  <si>
    <t xml:space="preserve">V-002203</t>
  </si>
  <si>
    <t xml:space="preserve">V-002204</t>
  </si>
  <si>
    <t xml:space="preserve">V-002205</t>
  </si>
  <si>
    <t xml:space="preserve">V-002206</t>
  </si>
  <si>
    <t xml:space="preserve">V-002207</t>
  </si>
  <si>
    <t xml:space="preserve">V-002208</t>
  </si>
  <si>
    <t xml:space="preserve">V-002209</t>
  </si>
  <si>
    <t xml:space="preserve">V-002210</t>
  </si>
  <si>
    <t xml:space="preserve">V-002211</t>
  </si>
  <si>
    <t xml:space="preserve">V-002212</t>
  </si>
  <si>
    <t xml:space="preserve">V-002213</t>
  </si>
  <si>
    <t xml:space="preserve">V-002214</t>
  </si>
  <si>
    <t xml:space="preserve">V-002215</t>
  </si>
  <si>
    <t xml:space="preserve">V-002216</t>
  </si>
  <si>
    <t xml:space="preserve">V-002217</t>
  </si>
  <si>
    <t xml:space="preserve">V-002218</t>
  </si>
  <si>
    <t xml:space="preserve">V-002219</t>
  </si>
  <si>
    <t xml:space="preserve">V-002220</t>
  </si>
  <si>
    <t xml:space="preserve">V-002221</t>
  </si>
  <si>
    <t xml:space="preserve">V-002222</t>
  </si>
  <si>
    <t xml:space="preserve">V-002223</t>
  </si>
  <si>
    <t xml:space="preserve">V-002224</t>
  </si>
  <si>
    <t xml:space="preserve">V-002225</t>
  </si>
  <si>
    <t xml:space="preserve">V-002226</t>
  </si>
  <si>
    <t xml:space="preserve">V-002227</t>
  </si>
  <si>
    <t xml:space="preserve">V-002228</t>
  </si>
  <si>
    <t xml:space="preserve">V-002229</t>
  </si>
  <si>
    <t xml:space="preserve">V-002230</t>
  </si>
  <si>
    <t xml:space="preserve">V-002231</t>
  </si>
  <si>
    <t xml:space="preserve">V-002232</t>
  </si>
  <si>
    <t xml:space="preserve">V-002233</t>
  </si>
  <si>
    <t xml:space="preserve">V-002234</t>
  </si>
  <si>
    <t xml:space="preserve">V-002235</t>
  </si>
  <si>
    <t xml:space="preserve">V-002236</t>
  </si>
  <si>
    <t xml:space="preserve">V-002237</t>
  </si>
  <si>
    <t xml:space="preserve">V-002238</t>
  </si>
  <si>
    <t xml:space="preserve">V-002239</t>
  </si>
  <si>
    <t xml:space="preserve">V-002240</t>
  </si>
  <si>
    <t xml:space="preserve">V-002241</t>
  </si>
  <si>
    <t xml:space="preserve">V-002242</t>
  </si>
  <si>
    <t xml:space="preserve">V-002243</t>
  </si>
  <si>
    <t xml:space="preserve">V-002244</t>
  </si>
  <si>
    <t xml:space="preserve">V-002245</t>
  </si>
  <si>
    <t xml:space="preserve">V-002246</t>
  </si>
  <si>
    <t xml:space="preserve">V-002247</t>
  </si>
  <si>
    <t xml:space="preserve">V-002248</t>
  </si>
  <si>
    <t xml:space="preserve">V-002249</t>
  </si>
  <si>
    <t xml:space="preserve">V-002250</t>
  </si>
  <si>
    <t xml:space="preserve">V-002251</t>
  </si>
  <si>
    <t xml:space="preserve">V-002252</t>
  </si>
  <si>
    <t xml:space="preserve">V-002253</t>
  </si>
  <si>
    <t xml:space="preserve">V-002254</t>
  </si>
  <si>
    <t xml:space="preserve">V-002255</t>
  </si>
  <si>
    <t xml:space="preserve">V-002256</t>
  </si>
  <si>
    <t xml:space="preserve">V-002257</t>
  </si>
  <si>
    <t xml:space="preserve">V-002258</t>
  </si>
  <si>
    <t xml:space="preserve">V-002259</t>
  </si>
  <si>
    <t xml:space="preserve">V-002260</t>
  </si>
  <si>
    <t xml:space="preserve">V-002261</t>
  </si>
  <si>
    <t xml:space="preserve">V-002262</t>
  </si>
  <si>
    <t xml:space="preserve">V-002263</t>
  </si>
  <si>
    <t xml:space="preserve">V-002264</t>
  </si>
  <si>
    <t xml:space="preserve">V-002265</t>
  </si>
  <si>
    <t xml:space="preserve">V-002266</t>
  </si>
  <si>
    <t xml:space="preserve">V-002267</t>
  </si>
  <si>
    <t xml:space="preserve">V-002268</t>
  </si>
  <si>
    <t xml:space="preserve">V-002269</t>
  </si>
  <si>
    <t xml:space="preserve">V-002270</t>
  </si>
  <si>
    <t xml:space="preserve">V-002271</t>
  </si>
  <si>
    <t xml:space="preserve">V-002272</t>
  </si>
  <si>
    <t xml:space="preserve">V-002273</t>
  </si>
  <si>
    <t xml:space="preserve">V-002274</t>
  </si>
  <si>
    <t xml:space="preserve">V-002275</t>
  </si>
  <si>
    <t xml:space="preserve">V-002276</t>
  </si>
  <si>
    <t xml:space="preserve">V-002277</t>
  </si>
  <si>
    <t xml:space="preserve">V-002278</t>
  </si>
  <si>
    <t xml:space="preserve">V-002279</t>
  </si>
  <si>
    <t xml:space="preserve">V-002280</t>
  </si>
  <si>
    <t xml:space="preserve">V-002281</t>
  </si>
  <si>
    <t xml:space="preserve">V-002282</t>
  </si>
  <si>
    <t xml:space="preserve">V-002283</t>
  </si>
  <si>
    <t xml:space="preserve">V-002284</t>
  </si>
  <si>
    <t xml:space="preserve">V-002285</t>
  </si>
  <si>
    <t xml:space="preserve">V-002286</t>
  </si>
  <si>
    <t xml:space="preserve">V-002287</t>
  </si>
  <si>
    <t xml:space="preserve">V-002288</t>
  </si>
  <si>
    <t xml:space="preserve">V-002289</t>
  </si>
  <si>
    <t xml:space="preserve">V-002290</t>
  </si>
  <si>
    <t xml:space="preserve">V-002291</t>
  </si>
  <si>
    <t xml:space="preserve">V-002292</t>
  </si>
  <si>
    <t xml:space="preserve">V-002293</t>
  </si>
  <si>
    <t xml:space="preserve">V-002294</t>
  </si>
  <si>
    <t xml:space="preserve">V-002295</t>
  </si>
  <si>
    <t xml:space="preserve">V-002296</t>
  </si>
  <si>
    <t xml:space="preserve">V-002297</t>
  </si>
  <si>
    <t xml:space="preserve">V-002298</t>
  </si>
  <si>
    <t xml:space="preserve">V-002299</t>
  </si>
  <si>
    <t xml:space="preserve">V-002300</t>
  </si>
  <si>
    <t xml:space="preserve">V-002301</t>
  </si>
  <si>
    <t xml:space="preserve">V-002302</t>
  </si>
  <si>
    <t xml:space="preserve">V-002303</t>
  </si>
  <si>
    <t xml:space="preserve">V-002304</t>
  </si>
  <si>
    <t xml:space="preserve">V-002305</t>
  </si>
  <si>
    <t xml:space="preserve">V-002306</t>
  </si>
  <si>
    <t xml:space="preserve">V-002307</t>
  </si>
  <si>
    <t xml:space="preserve">V-002308</t>
  </si>
  <si>
    <t xml:space="preserve">V-002309</t>
  </si>
  <si>
    <t xml:space="preserve">V-002310</t>
  </si>
  <si>
    <t xml:space="preserve">V-002311</t>
  </si>
  <si>
    <t xml:space="preserve">V-002312</t>
  </si>
  <si>
    <t xml:space="preserve">V-002313</t>
  </si>
  <si>
    <t xml:space="preserve">V-002314</t>
  </si>
  <si>
    <t xml:space="preserve">V-002315</t>
  </si>
  <si>
    <t xml:space="preserve">V-002316</t>
  </si>
  <si>
    <t xml:space="preserve">V-002317</t>
  </si>
  <si>
    <t xml:space="preserve">V-002318</t>
  </si>
  <si>
    <t xml:space="preserve">V-002319</t>
  </si>
  <si>
    <t xml:space="preserve">V-002320</t>
  </si>
  <si>
    <t xml:space="preserve">V-002321</t>
  </si>
  <si>
    <t xml:space="preserve">V-002322</t>
  </si>
  <si>
    <t xml:space="preserve">V-002323</t>
  </si>
  <si>
    <t xml:space="preserve">V-002324</t>
  </si>
  <si>
    <t xml:space="preserve">V-002325</t>
  </si>
  <si>
    <t xml:space="preserve">V-002326</t>
  </si>
  <si>
    <t xml:space="preserve">V-002327</t>
  </si>
  <si>
    <t xml:space="preserve">V-002328</t>
  </si>
  <si>
    <t xml:space="preserve">V-002329</t>
  </si>
  <si>
    <t xml:space="preserve">V-002330</t>
  </si>
  <si>
    <t xml:space="preserve">V-002331</t>
  </si>
  <si>
    <t xml:space="preserve">V-002332</t>
  </si>
  <si>
    <t xml:space="preserve">V-002333</t>
  </si>
  <si>
    <t xml:space="preserve">V-002334</t>
  </si>
  <si>
    <t xml:space="preserve">V-002335</t>
  </si>
  <si>
    <t xml:space="preserve">V-002336</t>
  </si>
  <si>
    <t xml:space="preserve">V-002337</t>
  </si>
  <si>
    <t xml:space="preserve">V-002338</t>
  </si>
  <si>
    <t xml:space="preserve">V-002339</t>
  </si>
  <si>
    <t xml:space="preserve">V-002340</t>
  </si>
  <si>
    <t xml:space="preserve">V-002341</t>
  </si>
  <si>
    <t xml:space="preserve">V-002342</t>
  </si>
  <si>
    <t xml:space="preserve">V-002343</t>
  </si>
  <si>
    <t xml:space="preserve">V-002344</t>
  </si>
  <si>
    <t xml:space="preserve">V-002345</t>
  </si>
  <si>
    <t xml:space="preserve">V-002346</t>
  </si>
  <si>
    <t xml:space="preserve">V-002347</t>
  </si>
  <si>
    <t xml:space="preserve">V-002348</t>
  </si>
  <si>
    <t xml:space="preserve">V-002349</t>
  </si>
  <si>
    <t xml:space="preserve">V-002350</t>
  </si>
  <si>
    <t xml:space="preserve">V-002351</t>
  </si>
  <si>
    <t xml:space="preserve">V-002352</t>
  </si>
  <si>
    <t xml:space="preserve">V-002353</t>
  </si>
  <si>
    <t xml:space="preserve">V-002354</t>
  </si>
  <si>
    <t xml:space="preserve">V-002355</t>
  </si>
  <si>
    <t xml:space="preserve">V-002356</t>
  </si>
  <si>
    <t xml:space="preserve">V-002357</t>
  </si>
  <si>
    <t xml:space="preserve">V-002358</t>
  </si>
  <si>
    <t xml:space="preserve">V-002359</t>
  </si>
  <si>
    <t xml:space="preserve">V-002360</t>
  </si>
  <si>
    <t xml:space="preserve">V-002361</t>
  </si>
  <si>
    <t xml:space="preserve">V-002362</t>
  </si>
  <si>
    <t xml:space="preserve">V-002363</t>
  </si>
  <si>
    <t xml:space="preserve">V-002364</t>
  </si>
  <si>
    <t xml:space="preserve">V-002365</t>
  </si>
  <si>
    <t xml:space="preserve">V-002366</t>
  </si>
  <si>
    <t xml:space="preserve">V-002367</t>
  </si>
  <si>
    <t xml:space="preserve">V-002368</t>
  </si>
  <si>
    <t xml:space="preserve">V-002369</t>
  </si>
  <si>
    <t xml:space="preserve">V-002370</t>
  </si>
  <si>
    <t xml:space="preserve">V-002371</t>
  </si>
  <si>
    <t xml:space="preserve">V-002372</t>
  </si>
  <si>
    <t xml:space="preserve">V-002373</t>
  </si>
  <si>
    <t xml:space="preserve">V-002374</t>
  </si>
  <si>
    <t xml:space="preserve">V-002375</t>
  </si>
  <si>
    <t xml:space="preserve">V-002376</t>
  </si>
  <si>
    <t xml:space="preserve">V-002377</t>
  </si>
  <si>
    <t xml:space="preserve">V-002378</t>
  </si>
  <si>
    <t xml:space="preserve">V-002379</t>
  </si>
  <si>
    <t xml:space="preserve">V-002380</t>
  </si>
  <si>
    <t xml:space="preserve">V-002381</t>
  </si>
  <si>
    <t xml:space="preserve">V-002382</t>
  </si>
  <si>
    <t xml:space="preserve">V-002383</t>
  </si>
  <si>
    <t xml:space="preserve">V-002384</t>
  </si>
  <si>
    <t xml:space="preserve">V-002385</t>
  </si>
  <si>
    <t xml:space="preserve">V-002386</t>
  </si>
  <si>
    <t xml:space="preserve">V-002387</t>
  </si>
  <si>
    <t xml:space="preserve">V-002388</t>
  </si>
  <si>
    <t xml:space="preserve">V-002389</t>
  </si>
  <si>
    <t xml:space="preserve">V-002390</t>
  </si>
  <si>
    <t xml:space="preserve">V-002391</t>
  </si>
  <si>
    <t xml:space="preserve">V-002392</t>
  </si>
  <si>
    <t xml:space="preserve">V-002393</t>
  </si>
  <si>
    <t xml:space="preserve">V-002394</t>
  </si>
  <si>
    <t xml:space="preserve">V-002395</t>
  </si>
  <si>
    <t xml:space="preserve">V-002396</t>
  </si>
  <si>
    <t xml:space="preserve">V-002397</t>
  </si>
  <si>
    <t xml:space="preserve">V-002398</t>
  </si>
  <si>
    <t xml:space="preserve">V-002399</t>
  </si>
  <si>
    <t xml:space="preserve">V-002400</t>
  </si>
  <si>
    <t xml:space="preserve">V-002401</t>
  </si>
  <si>
    <t xml:space="preserve">V-002402</t>
  </si>
  <si>
    <t xml:space="preserve">V-002403</t>
  </si>
  <si>
    <t xml:space="preserve">V-002404</t>
  </si>
  <si>
    <t xml:space="preserve">V-002405</t>
  </si>
  <si>
    <t xml:space="preserve">V-002406</t>
  </si>
  <si>
    <t xml:space="preserve">V-002407</t>
  </si>
  <si>
    <t xml:space="preserve">V-002408</t>
  </si>
  <si>
    <t xml:space="preserve">V-002409</t>
  </si>
  <si>
    <t xml:space="preserve">V-002410</t>
  </si>
  <si>
    <t xml:space="preserve">V-002411</t>
  </si>
  <si>
    <t xml:space="preserve">V-002412</t>
  </si>
  <si>
    <t xml:space="preserve">V-002413</t>
  </si>
  <si>
    <t xml:space="preserve">V-002414</t>
  </si>
  <si>
    <t xml:space="preserve">V-002415</t>
  </si>
  <si>
    <t xml:space="preserve">V-002416</t>
  </si>
  <si>
    <t xml:space="preserve">V-002417</t>
  </si>
  <si>
    <t xml:space="preserve">V-002418</t>
  </si>
  <si>
    <t xml:space="preserve">V-002419</t>
  </si>
  <si>
    <t xml:space="preserve">V-002420</t>
  </si>
  <si>
    <t xml:space="preserve">V-002421</t>
  </si>
  <si>
    <t xml:space="preserve">V-002422</t>
  </si>
  <si>
    <t xml:space="preserve">V-002423</t>
  </si>
  <si>
    <t xml:space="preserve">V-002424</t>
  </si>
  <si>
    <t xml:space="preserve">V-002425</t>
  </si>
  <si>
    <t xml:space="preserve">V-002426</t>
  </si>
  <si>
    <t xml:space="preserve">V-002427</t>
  </si>
  <si>
    <t xml:space="preserve">V-002428</t>
  </si>
  <si>
    <t xml:space="preserve">V-002429</t>
  </si>
  <si>
    <t xml:space="preserve">V-002430</t>
  </si>
  <si>
    <t xml:space="preserve">V-002431</t>
  </si>
  <si>
    <t xml:space="preserve">V-002432</t>
  </si>
  <si>
    <t xml:space="preserve">V-002433</t>
  </si>
  <si>
    <t xml:space="preserve">V-002434</t>
  </si>
  <si>
    <t xml:space="preserve">V-002435</t>
  </si>
  <si>
    <t xml:space="preserve">V-002436</t>
  </si>
  <si>
    <t xml:space="preserve">V-002437</t>
  </si>
  <si>
    <t xml:space="preserve">V-002438</t>
  </si>
  <si>
    <t xml:space="preserve">V-002439</t>
  </si>
  <si>
    <t xml:space="preserve">V-002440</t>
  </si>
  <si>
    <t xml:space="preserve">V-002441</t>
  </si>
  <si>
    <t xml:space="preserve">V-002442</t>
  </si>
  <si>
    <t xml:space="preserve">V-002443</t>
  </si>
  <si>
    <t xml:space="preserve">V-002444</t>
  </si>
  <si>
    <t xml:space="preserve">V-002445</t>
  </si>
  <si>
    <t xml:space="preserve">V-002446</t>
  </si>
  <si>
    <t xml:space="preserve">V-002447</t>
  </si>
  <si>
    <t xml:space="preserve">V-002448</t>
  </si>
  <si>
    <t xml:space="preserve">V-002449</t>
  </si>
  <si>
    <t xml:space="preserve">V-002450</t>
  </si>
  <si>
    <t xml:space="preserve">V-002451</t>
  </si>
  <si>
    <t xml:space="preserve">V-002452</t>
  </si>
  <si>
    <t xml:space="preserve">V-002453</t>
  </si>
  <si>
    <t xml:space="preserve">V-002454</t>
  </si>
  <si>
    <t xml:space="preserve">V-002455</t>
  </si>
  <si>
    <t xml:space="preserve">V-002456</t>
  </si>
  <si>
    <t xml:space="preserve">V-002457</t>
  </si>
  <si>
    <t xml:space="preserve">V-002458</t>
  </si>
  <si>
    <t xml:space="preserve">V-002459</t>
  </si>
  <si>
    <t xml:space="preserve">V-002460</t>
  </si>
  <si>
    <t xml:space="preserve">V-002461</t>
  </si>
  <si>
    <t xml:space="preserve">V-002462</t>
  </si>
  <si>
    <t xml:space="preserve">V-002463</t>
  </si>
  <si>
    <t xml:space="preserve">V-002464</t>
  </si>
  <si>
    <t xml:space="preserve">V-002465</t>
  </si>
  <si>
    <t xml:space="preserve">V-002466</t>
  </si>
  <si>
    <t xml:space="preserve">V-002467</t>
  </si>
  <si>
    <t xml:space="preserve">V-002468</t>
  </si>
  <si>
    <t xml:space="preserve">V-002469</t>
  </si>
  <si>
    <t xml:space="preserve">V-002470</t>
  </si>
  <si>
    <t xml:space="preserve">V-002471</t>
  </si>
  <si>
    <t xml:space="preserve">V-002472</t>
  </si>
  <si>
    <t xml:space="preserve">V-002473</t>
  </si>
  <si>
    <t xml:space="preserve">V-002474</t>
  </si>
  <si>
    <t xml:space="preserve">V-002475</t>
  </si>
  <si>
    <t xml:space="preserve">V-002476</t>
  </si>
  <si>
    <t xml:space="preserve">V-002477</t>
  </si>
  <si>
    <t xml:space="preserve">V-002478</t>
  </si>
  <si>
    <t xml:space="preserve">V-002479</t>
  </si>
  <si>
    <t xml:space="preserve">V-002480</t>
  </si>
  <si>
    <t xml:space="preserve">V-002481</t>
  </si>
  <si>
    <t xml:space="preserve">V-002482</t>
  </si>
  <si>
    <t xml:space="preserve">V-002483</t>
  </si>
  <si>
    <t xml:space="preserve">V-002484</t>
  </si>
  <si>
    <t xml:space="preserve">V-002485</t>
  </si>
  <si>
    <t xml:space="preserve">V-002486</t>
  </si>
  <si>
    <t xml:space="preserve">V-002487</t>
  </si>
  <si>
    <t xml:space="preserve">V-002488</t>
  </si>
  <si>
    <t xml:space="preserve">V-002489</t>
  </si>
  <si>
    <t xml:space="preserve">V-002490</t>
  </si>
  <si>
    <t xml:space="preserve">V-002491</t>
  </si>
  <si>
    <t xml:space="preserve">V-002492</t>
  </si>
  <si>
    <t xml:space="preserve">V-002493</t>
  </si>
  <si>
    <t xml:space="preserve">V-002494</t>
  </si>
  <si>
    <t xml:space="preserve">V-002495</t>
  </si>
  <si>
    <t xml:space="preserve">V-002496</t>
  </si>
  <si>
    <t xml:space="preserve">V-002497</t>
  </si>
  <si>
    <t xml:space="preserve">V-002498</t>
  </si>
  <si>
    <t xml:space="preserve">V-002499</t>
  </si>
  <si>
    <t xml:space="preserve">V-002500</t>
  </si>
  <si>
    <t xml:space="preserve">V-002501</t>
  </si>
  <si>
    <t xml:space="preserve">V-002502</t>
  </si>
  <si>
    <t xml:space="preserve">V-002503</t>
  </si>
  <si>
    <t xml:space="preserve">V-002504</t>
  </si>
  <si>
    <t xml:space="preserve">V-002505</t>
  </si>
  <si>
    <t xml:space="preserve">V-002506</t>
  </si>
  <si>
    <t xml:space="preserve">V-002507</t>
  </si>
  <si>
    <t xml:space="preserve">V-002508</t>
  </si>
  <si>
    <t xml:space="preserve">V-002509</t>
  </si>
  <si>
    <t xml:space="preserve">V-002510</t>
  </si>
  <si>
    <t xml:space="preserve">V-002511</t>
  </si>
  <si>
    <t xml:space="preserve">V-002512</t>
  </si>
  <si>
    <t xml:space="preserve">V-002513</t>
  </si>
  <si>
    <t xml:space="preserve">V-002514</t>
  </si>
  <si>
    <t xml:space="preserve">V-002515</t>
  </si>
  <si>
    <t xml:space="preserve">V-002516</t>
  </si>
  <si>
    <t xml:space="preserve">V-002517</t>
  </si>
  <si>
    <t xml:space="preserve">V-002518</t>
  </si>
  <si>
    <t xml:space="preserve">V-002519</t>
  </si>
  <si>
    <t xml:space="preserve">V-002520</t>
  </si>
  <si>
    <t xml:space="preserve">V-002521</t>
  </si>
  <si>
    <t xml:space="preserve">V-002522</t>
  </si>
  <si>
    <t xml:space="preserve">V-002523</t>
  </si>
  <si>
    <t xml:space="preserve">V-002524</t>
  </si>
  <si>
    <t xml:space="preserve">V-002525</t>
  </si>
  <si>
    <t xml:space="preserve">V-002526</t>
  </si>
  <si>
    <t xml:space="preserve">V-002527</t>
  </si>
  <si>
    <t xml:space="preserve">V-002528</t>
  </si>
  <si>
    <t xml:space="preserve">V-002529</t>
  </si>
  <si>
    <t xml:space="preserve">V-002530</t>
  </si>
  <si>
    <t xml:space="preserve">V-002531</t>
  </si>
  <si>
    <t xml:space="preserve">V-002532</t>
  </si>
  <si>
    <t xml:space="preserve">V-002533</t>
  </si>
  <si>
    <t xml:space="preserve">V-002534</t>
  </si>
  <si>
    <t xml:space="preserve">V-002535</t>
  </si>
  <si>
    <t xml:space="preserve">V-002536</t>
  </si>
  <si>
    <t xml:space="preserve">V-002537</t>
  </si>
  <si>
    <t xml:space="preserve">V-002538</t>
  </si>
  <si>
    <t xml:space="preserve">V-002539</t>
  </si>
  <si>
    <t xml:space="preserve">V-002540</t>
  </si>
  <si>
    <t xml:space="preserve">V-002541</t>
  </si>
  <si>
    <t xml:space="preserve">V-002542</t>
  </si>
  <si>
    <t xml:space="preserve">V-002543</t>
  </si>
  <si>
    <t xml:space="preserve">V-002544</t>
  </si>
  <si>
    <t xml:space="preserve">V-002545</t>
  </si>
  <si>
    <t xml:space="preserve">V-002546</t>
  </si>
  <si>
    <t xml:space="preserve">V-002547</t>
  </si>
  <si>
    <t xml:space="preserve">V-002548</t>
  </si>
  <si>
    <t xml:space="preserve">V-002549</t>
  </si>
  <si>
    <t xml:space="preserve">V-002550</t>
  </si>
  <si>
    <t xml:space="preserve">V-002551</t>
  </si>
  <si>
    <t xml:space="preserve">V-002552</t>
  </si>
  <si>
    <t xml:space="preserve">V-002553</t>
  </si>
  <si>
    <t xml:space="preserve">V-002554</t>
  </si>
  <si>
    <t xml:space="preserve">V-002555</t>
  </si>
  <si>
    <t xml:space="preserve">V-002556</t>
  </si>
  <si>
    <t xml:space="preserve">V-002557</t>
  </si>
  <si>
    <t xml:space="preserve">V-002558</t>
  </si>
  <si>
    <t xml:space="preserve">V-002559</t>
  </si>
  <si>
    <t xml:space="preserve">V-002560</t>
  </si>
  <si>
    <t xml:space="preserve">V-002561</t>
  </si>
  <si>
    <t xml:space="preserve">V-002562</t>
  </si>
  <si>
    <t xml:space="preserve">V-002563</t>
  </si>
  <si>
    <t xml:space="preserve">V-002564</t>
  </si>
  <si>
    <t xml:space="preserve">V-002565</t>
  </si>
  <si>
    <t xml:space="preserve">V-002566</t>
  </si>
  <si>
    <t xml:space="preserve">V-002567</t>
  </si>
  <si>
    <t xml:space="preserve">V-002568</t>
  </si>
  <si>
    <t xml:space="preserve">V-002569</t>
  </si>
  <si>
    <t xml:space="preserve">V-002570</t>
  </si>
  <si>
    <t xml:space="preserve">V-002571</t>
  </si>
  <si>
    <t xml:space="preserve">V-002572</t>
  </si>
  <si>
    <t xml:space="preserve">V-002573</t>
  </si>
  <si>
    <t xml:space="preserve">V-002574</t>
  </si>
  <si>
    <t xml:space="preserve">V-002575</t>
  </si>
  <si>
    <t xml:space="preserve">V-002576</t>
  </si>
  <si>
    <t xml:space="preserve">V-002577</t>
  </si>
  <si>
    <t xml:space="preserve">V-002578</t>
  </si>
  <si>
    <t xml:space="preserve">V-002579</t>
  </si>
  <si>
    <t xml:space="preserve">V-002580</t>
  </si>
  <si>
    <t xml:space="preserve">V-002581</t>
  </si>
  <si>
    <t xml:space="preserve">V-002582</t>
  </si>
  <si>
    <t xml:space="preserve">V-002583</t>
  </si>
  <si>
    <t xml:space="preserve">V-002584</t>
  </si>
  <si>
    <t xml:space="preserve">V-002585</t>
  </si>
  <si>
    <t xml:space="preserve">V-002586</t>
  </si>
  <si>
    <t xml:space="preserve">V-002587</t>
  </si>
  <si>
    <t xml:space="preserve">V-002588</t>
  </si>
  <si>
    <t xml:space="preserve">V-002589</t>
  </si>
  <si>
    <t xml:space="preserve">V-002590</t>
  </si>
  <si>
    <t xml:space="preserve">V-002591</t>
  </si>
  <si>
    <t xml:space="preserve">V-002592</t>
  </si>
  <si>
    <t xml:space="preserve">V-002593</t>
  </si>
  <si>
    <t xml:space="preserve">V-002594</t>
  </si>
  <si>
    <t xml:space="preserve">V-002595</t>
  </si>
  <si>
    <t xml:space="preserve">V-002596</t>
  </si>
  <si>
    <t xml:space="preserve">V-002597</t>
  </si>
  <si>
    <t xml:space="preserve">V-002598</t>
  </si>
  <si>
    <t xml:space="preserve">V-002599</t>
  </si>
  <si>
    <t xml:space="preserve">V-002600</t>
  </si>
  <si>
    <t xml:space="preserve">V-002601</t>
  </si>
  <si>
    <t xml:space="preserve">V-002602</t>
  </si>
  <si>
    <t xml:space="preserve">V-002603</t>
  </si>
  <si>
    <t xml:space="preserve">V-002604</t>
  </si>
  <si>
    <t xml:space="preserve">V-002605</t>
  </si>
  <si>
    <t xml:space="preserve">V-002606</t>
  </si>
  <si>
    <t xml:space="preserve">V-002607</t>
  </si>
  <si>
    <t xml:space="preserve">V-002608</t>
  </si>
  <si>
    <t xml:space="preserve">V-002609</t>
  </si>
  <si>
    <t xml:space="preserve">V-002610</t>
  </si>
  <si>
    <t xml:space="preserve">V-002611</t>
  </si>
  <si>
    <t xml:space="preserve">V-002612</t>
  </si>
  <si>
    <t xml:space="preserve">V-002613</t>
  </si>
  <si>
    <t xml:space="preserve">V-002614</t>
  </si>
  <si>
    <t xml:space="preserve">V-002615</t>
  </si>
  <si>
    <t xml:space="preserve">V-002616</t>
  </si>
  <si>
    <t xml:space="preserve">V-002617</t>
  </si>
  <si>
    <t xml:space="preserve">V-002618</t>
  </si>
  <si>
    <t xml:space="preserve">V-002619</t>
  </si>
  <si>
    <t xml:space="preserve">V-002620</t>
  </si>
  <si>
    <t xml:space="preserve">V-002621</t>
  </si>
  <si>
    <t xml:space="preserve">V-002622</t>
  </si>
  <si>
    <t xml:space="preserve">V-002623</t>
  </si>
  <si>
    <t xml:space="preserve">V-002624</t>
  </si>
  <si>
    <t xml:space="preserve">V-002625</t>
  </si>
  <si>
    <t xml:space="preserve">V-002626</t>
  </si>
  <si>
    <t xml:space="preserve">V-002627</t>
  </si>
  <si>
    <t xml:space="preserve">V-002628</t>
  </si>
  <si>
    <t xml:space="preserve">V-002629</t>
  </si>
  <si>
    <t xml:space="preserve">V-002630</t>
  </si>
  <si>
    <t xml:space="preserve">V-002631</t>
  </si>
  <si>
    <t xml:space="preserve">V-002632</t>
  </si>
  <si>
    <t xml:space="preserve">V-002633</t>
  </si>
  <si>
    <t xml:space="preserve">V-002634</t>
  </si>
  <si>
    <t xml:space="preserve">V-002635</t>
  </si>
  <si>
    <t xml:space="preserve">V-002636</t>
  </si>
  <si>
    <t xml:space="preserve">V-002637</t>
  </si>
  <si>
    <t xml:space="preserve">V-002638</t>
  </si>
  <si>
    <t xml:space="preserve">V-002639</t>
  </si>
  <si>
    <t xml:space="preserve">V-002640</t>
  </si>
  <si>
    <t xml:space="preserve">V-002641</t>
  </si>
  <si>
    <t xml:space="preserve">V-002642</t>
  </si>
  <si>
    <t xml:space="preserve">V-002643</t>
  </si>
  <si>
    <t xml:space="preserve">V-002644</t>
  </si>
  <si>
    <t xml:space="preserve">V-002645</t>
  </si>
  <si>
    <t xml:space="preserve">V-002646</t>
  </si>
  <si>
    <t xml:space="preserve">V-002647</t>
  </si>
  <si>
    <t xml:space="preserve">V-002648</t>
  </si>
  <si>
    <t xml:space="preserve">V-002649</t>
  </si>
  <si>
    <t xml:space="preserve">V-002650</t>
  </si>
  <si>
    <t xml:space="preserve">V-002651</t>
  </si>
  <si>
    <t xml:space="preserve">V-002652</t>
  </si>
  <si>
    <t xml:space="preserve">V-002653</t>
  </si>
  <si>
    <t xml:space="preserve">V-002654</t>
  </si>
  <si>
    <t xml:space="preserve">V-002655</t>
  </si>
  <si>
    <t xml:space="preserve">V-002656</t>
  </si>
  <si>
    <t xml:space="preserve">V-002657</t>
  </si>
  <si>
    <t xml:space="preserve">V-002658</t>
  </si>
  <si>
    <t xml:space="preserve">V-002659</t>
  </si>
  <si>
    <t xml:space="preserve">V-002660</t>
  </si>
  <si>
    <t xml:space="preserve">V-002661</t>
  </si>
  <si>
    <t xml:space="preserve">V-002662</t>
  </si>
  <si>
    <t xml:space="preserve">V-002663</t>
  </si>
  <si>
    <t xml:space="preserve">V-002664</t>
  </si>
  <si>
    <t xml:space="preserve">V-002665</t>
  </si>
  <si>
    <t xml:space="preserve">V-002666</t>
  </si>
  <si>
    <t xml:space="preserve">V-002667</t>
  </si>
  <si>
    <t xml:space="preserve">V-002668</t>
  </si>
  <si>
    <t xml:space="preserve">V-002669</t>
  </si>
  <si>
    <t xml:space="preserve">V-002670</t>
  </si>
  <si>
    <t xml:space="preserve">V-002671</t>
  </si>
  <si>
    <t xml:space="preserve">V-002672</t>
  </si>
  <si>
    <t xml:space="preserve">V-002673</t>
  </si>
  <si>
    <t xml:space="preserve">V-002674</t>
  </si>
  <si>
    <t xml:space="preserve">V-002675</t>
  </si>
  <si>
    <t xml:space="preserve">V-002676</t>
  </si>
  <si>
    <t xml:space="preserve">V-002677</t>
  </si>
  <si>
    <t xml:space="preserve">V-002678</t>
  </si>
  <si>
    <t xml:space="preserve">V-002679</t>
  </si>
  <si>
    <t xml:space="preserve">V-002680</t>
  </si>
  <si>
    <t xml:space="preserve">V-002681</t>
  </si>
  <si>
    <t xml:space="preserve">V-002682</t>
  </si>
  <si>
    <t xml:space="preserve">V-002683</t>
  </si>
  <si>
    <t xml:space="preserve">V-002684</t>
  </si>
  <si>
    <t xml:space="preserve">V-002685</t>
  </si>
  <si>
    <t xml:space="preserve">V-002686</t>
  </si>
  <si>
    <t xml:space="preserve">V-002687</t>
  </si>
  <si>
    <t xml:space="preserve">V-002688</t>
  </si>
  <si>
    <t xml:space="preserve">V-002689</t>
  </si>
  <si>
    <t xml:space="preserve">V-002690</t>
  </si>
  <si>
    <t xml:space="preserve">V-002691</t>
  </si>
  <si>
    <t xml:space="preserve">V-002692</t>
  </si>
  <si>
    <t xml:space="preserve">V-002693</t>
  </si>
  <si>
    <t xml:space="preserve">V-002694</t>
  </si>
  <si>
    <t xml:space="preserve">V-002695</t>
  </si>
  <si>
    <t xml:space="preserve">V-002696</t>
  </si>
  <si>
    <t xml:space="preserve">V-002697</t>
  </si>
  <si>
    <t xml:space="preserve">V-002698</t>
  </si>
  <si>
    <t xml:space="preserve">V-002699</t>
  </si>
  <si>
    <t xml:space="preserve">V-002700</t>
  </si>
  <si>
    <t xml:space="preserve">V-002701</t>
  </si>
  <si>
    <t xml:space="preserve">V-002702</t>
  </si>
  <si>
    <t xml:space="preserve">V-002703</t>
  </si>
  <si>
    <t xml:space="preserve">V-002704</t>
  </si>
  <si>
    <t xml:space="preserve">V-002705</t>
  </si>
  <si>
    <t xml:space="preserve">V-002706</t>
  </si>
  <si>
    <t xml:space="preserve">V-002707</t>
  </si>
  <si>
    <t xml:space="preserve">V-002708</t>
  </si>
  <si>
    <t xml:space="preserve">V-002709</t>
  </si>
  <si>
    <t xml:space="preserve">V-002710</t>
  </si>
  <si>
    <t xml:space="preserve">V-002711</t>
  </si>
  <si>
    <t xml:space="preserve">V-002712</t>
  </si>
  <si>
    <t xml:space="preserve">V-002713</t>
  </si>
  <si>
    <t xml:space="preserve">V-002714</t>
  </si>
  <si>
    <t xml:space="preserve">V-002715</t>
  </si>
  <si>
    <t xml:space="preserve">V-002716</t>
  </si>
  <si>
    <t xml:space="preserve">V-002717</t>
  </si>
  <si>
    <t xml:space="preserve">V-002718</t>
  </si>
  <si>
    <t xml:space="preserve">V-002719</t>
  </si>
  <si>
    <t xml:space="preserve">V-002720</t>
  </si>
  <si>
    <t xml:space="preserve">V-002721</t>
  </si>
  <si>
    <t xml:space="preserve">V-002722</t>
  </si>
  <si>
    <t xml:space="preserve">V-002723</t>
  </si>
  <si>
    <t xml:space="preserve">V-002724</t>
  </si>
  <si>
    <t xml:space="preserve">V-002725</t>
  </si>
  <si>
    <t xml:space="preserve">V-002726</t>
  </si>
  <si>
    <t xml:space="preserve">V-002727</t>
  </si>
  <si>
    <t xml:space="preserve">V-002728</t>
  </si>
  <si>
    <t xml:space="preserve">V-002729</t>
  </si>
  <si>
    <t xml:space="preserve">V-002730</t>
  </si>
  <si>
    <t xml:space="preserve">V-002731</t>
  </si>
  <si>
    <t xml:space="preserve">V-002732</t>
  </si>
  <si>
    <t xml:space="preserve">V-002733</t>
  </si>
  <si>
    <t xml:space="preserve">V-002734</t>
  </si>
  <si>
    <t xml:space="preserve">V-002735</t>
  </si>
  <si>
    <t xml:space="preserve">V-002736</t>
  </si>
  <si>
    <t xml:space="preserve">V-002737</t>
  </si>
  <si>
    <t xml:space="preserve">V-002738</t>
  </si>
  <si>
    <t xml:space="preserve">V-002739</t>
  </si>
  <si>
    <t xml:space="preserve">V-002740</t>
  </si>
  <si>
    <t xml:space="preserve">V-002741</t>
  </si>
  <si>
    <t xml:space="preserve">V-002742</t>
  </si>
  <si>
    <t xml:space="preserve">V-002743</t>
  </si>
  <si>
    <t xml:space="preserve">V-002744</t>
  </si>
  <si>
    <t xml:space="preserve">V-002745</t>
  </si>
  <si>
    <t xml:space="preserve">V-002746</t>
  </si>
  <si>
    <t xml:space="preserve">V-002747</t>
  </si>
  <si>
    <t xml:space="preserve">V-002748</t>
  </si>
  <si>
    <t xml:space="preserve">V-002749</t>
  </si>
  <si>
    <t xml:space="preserve">V-002750</t>
  </si>
  <si>
    <t xml:space="preserve">V-002751</t>
  </si>
  <si>
    <t xml:space="preserve">V-002752</t>
  </si>
  <si>
    <t xml:space="preserve">V-002753</t>
  </si>
  <si>
    <t xml:space="preserve">V-002754</t>
  </si>
  <si>
    <t xml:space="preserve">V-002755</t>
  </si>
  <si>
    <t xml:space="preserve">V-002756</t>
  </si>
  <si>
    <t xml:space="preserve">V-002757</t>
  </si>
  <si>
    <t xml:space="preserve">V-002758</t>
  </si>
  <si>
    <t xml:space="preserve">V-002759</t>
  </si>
  <si>
    <t xml:space="preserve">V-002760</t>
  </si>
  <si>
    <t xml:space="preserve">V-002761</t>
  </si>
  <si>
    <t xml:space="preserve">V-002762</t>
  </si>
  <si>
    <t xml:space="preserve">V-002763</t>
  </si>
  <si>
    <t xml:space="preserve">V-002764</t>
  </si>
  <si>
    <t xml:space="preserve">V-002765</t>
  </si>
  <si>
    <t xml:space="preserve">V-002766</t>
  </si>
  <si>
    <t xml:space="preserve">V-002767</t>
  </si>
  <si>
    <t xml:space="preserve">V-002768</t>
  </si>
  <si>
    <t xml:space="preserve">V-002769</t>
  </si>
  <si>
    <t xml:space="preserve">V-002770</t>
  </si>
  <si>
    <t xml:space="preserve">V-002771</t>
  </si>
  <si>
    <t xml:space="preserve">V-002772</t>
  </si>
  <si>
    <t xml:space="preserve">V-002773</t>
  </si>
  <si>
    <t xml:space="preserve">V-002774</t>
  </si>
  <si>
    <t xml:space="preserve">V-002775</t>
  </si>
  <si>
    <t xml:space="preserve">V-002776</t>
  </si>
  <si>
    <t xml:space="preserve">V-002777</t>
  </si>
  <si>
    <t xml:space="preserve">V-002778</t>
  </si>
  <si>
    <t xml:space="preserve">V-002779</t>
  </si>
  <si>
    <t xml:space="preserve">V-002780</t>
  </si>
  <si>
    <t xml:space="preserve">V-002781</t>
  </si>
  <si>
    <t xml:space="preserve">V-002782</t>
  </si>
  <si>
    <t xml:space="preserve">V-002783</t>
  </si>
  <si>
    <t xml:space="preserve">V-002784</t>
  </si>
  <si>
    <t xml:space="preserve">V-002785</t>
  </si>
  <si>
    <t xml:space="preserve">V-002786</t>
  </si>
  <si>
    <t xml:space="preserve">V-002787</t>
  </si>
  <si>
    <t xml:space="preserve">V-002788</t>
  </si>
  <si>
    <t xml:space="preserve">V-002789</t>
  </si>
  <si>
    <t xml:space="preserve">V-002790</t>
  </si>
  <si>
    <t xml:space="preserve">V-002791</t>
  </si>
  <si>
    <t xml:space="preserve">V-002792</t>
  </si>
  <si>
    <t xml:space="preserve">V-002793</t>
  </si>
  <si>
    <t xml:space="preserve">V-002794</t>
  </si>
  <si>
    <t xml:space="preserve">V-002795</t>
  </si>
  <si>
    <t xml:space="preserve">V-002796</t>
  </si>
  <si>
    <t xml:space="preserve">V-002797</t>
  </si>
  <si>
    <t xml:space="preserve">V-002798</t>
  </si>
  <si>
    <t xml:space="preserve">V-002799</t>
  </si>
  <si>
    <t xml:space="preserve">V-002800</t>
  </si>
  <si>
    <t xml:space="preserve">V-002801</t>
  </si>
  <si>
    <t xml:space="preserve">V-002802</t>
  </si>
  <si>
    <t xml:space="preserve">V-002803</t>
  </si>
  <si>
    <t xml:space="preserve">V-002804</t>
  </si>
  <si>
    <t xml:space="preserve">V-002805</t>
  </si>
  <si>
    <t xml:space="preserve">V-002806</t>
  </si>
  <si>
    <t xml:space="preserve">V-002807</t>
  </si>
  <si>
    <t xml:space="preserve">V-002808</t>
  </si>
  <si>
    <t xml:space="preserve">V-002809</t>
  </si>
  <si>
    <t xml:space="preserve">V-002810</t>
  </si>
  <si>
    <t xml:space="preserve">V-002811</t>
  </si>
  <si>
    <t xml:space="preserve">V-002812</t>
  </si>
  <si>
    <t xml:space="preserve">V-002813</t>
  </si>
  <si>
    <t xml:space="preserve">V-002814</t>
  </si>
  <si>
    <t xml:space="preserve">V-002815</t>
  </si>
  <si>
    <t xml:space="preserve">V-002816</t>
  </si>
  <si>
    <t xml:space="preserve">V-002817</t>
  </si>
  <si>
    <t xml:space="preserve">V-002818</t>
  </si>
  <si>
    <t xml:space="preserve">V-002819</t>
  </si>
  <si>
    <t xml:space="preserve">V-002820</t>
  </si>
  <si>
    <t xml:space="preserve">V-002821</t>
  </si>
  <si>
    <t xml:space="preserve">V-002822</t>
  </si>
  <si>
    <t xml:space="preserve">V-002823</t>
  </si>
  <si>
    <t xml:space="preserve">V-002824</t>
  </si>
  <si>
    <t xml:space="preserve">V-002825</t>
  </si>
  <si>
    <t xml:space="preserve">V-002826</t>
  </si>
  <si>
    <t xml:space="preserve">V-002827</t>
  </si>
  <si>
    <t xml:space="preserve">V-002828</t>
  </si>
  <si>
    <t xml:space="preserve">V-002829</t>
  </si>
  <si>
    <t xml:space="preserve">V-002830</t>
  </si>
  <si>
    <t xml:space="preserve">V-002831</t>
  </si>
  <si>
    <t xml:space="preserve">V-002832</t>
  </si>
  <si>
    <t xml:space="preserve">V-002833</t>
  </si>
  <si>
    <t xml:space="preserve">V-002834</t>
  </si>
  <si>
    <t xml:space="preserve">V-002835</t>
  </si>
  <si>
    <t xml:space="preserve">V-002836</t>
  </si>
  <si>
    <t xml:space="preserve">V-002837</t>
  </si>
  <si>
    <t xml:space="preserve">V-002838</t>
  </si>
  <si>
    <t xml:space="preserve">V-002839</t>
  </si>
  <si>
    <t xml:space="preserve">V-002840</t>
  </si>
  <si>
    <t xml:space="preserve">V-002841</t>
  </si>
  <si>
    <t xml:space="preserve">V-002842</t>
  </si>
  <si>
    <t xml:space="preserve">V-002843</t>
  </si>
  <si>
    <t xml:space="preserve">V-002844</t>
  </si>
  <si>
    <t xml:space="preserve">V-002845</t>
  </si>
  <si>
    <t xml:space="preserve">V-002846</t>
  </si>
  <si>
    <t xml:space="preserve">V-002847</t>
  </si>
  <si>
    <t xml:space="preserve">V-002848</t>
  </si>
  <si>
    <t xml:space="preserve">V-002849</t>
  </si>
  <si>
    <t xml:space="preserve">V-002850</t>
  </si>
  <si>
    <t xml:space="preserve">V-002851</t>
  </si>
  <si>
    <t xml:space="preserve">V-002852</t>
  </si>
  <si>
    <t xml:space="preserve">V-002853</t>
  </si>
  <si>
    <t xml:space="preserve">V-002854</t>
  </si>
  <si>
    <t xml:space="preserve">V-002855</t>
  </si>
  <si>
    <t xml:space="preserve">V-002856</t>
  </si>
  <si>
    <t xml:space="preserve">V-002857</t>
  </si>
  <si>
    <t xml:space="preserve">V-002858</t>
  </si>
  <si>
    <t xml:space="preserve">V-002859</t>
  </si>
  <si>
    <t xml:space="preserve">V-002860</t>
  </si>
  <si>
    <t xml:space="preserve">V-002861</t>
  </si>
  <si>
    <t xml:space="preserve">V-002862</t>
  </si>
  <si>
    <t xml:space="preserve">V-002863</t>
  </si>
  <si>
    <t xml:space="preserve">V-002864</t>
  </si>
  <si>
    <t xml:space="preserve">V-002865</t>
  </si>
  <si>
    <t xml:space="preserve">V-002866</t>
  </si>
  <si>
    <t xml:space="preserve">V-002867</t>
  </si>
  <si>
    <t xml:space="preserve">V-002868</t>
  </si>
  <si>
    <t xml:space="preserve">V-002869</t>
  </si>
  <si>
    <t xml:space="preserve">V-002870</t>
  </si>
  <si>
    <t xml:space="preserve">V-002871</t>
  </si>
  <si>
    <t xml:space="preserve">V-002872</t>
  </si>
  <si>
    <t xml:space="preserve">V-002873</t>
  </si>
  <si>
    <t xml:space="preserve">V-002874</t>
  </si>
  <si>
    <t xml:space="preserve">V-002875</t>
  </si>
  <si>
    <t xml:space="preserve">V-002876</t>
  </si>
  <si>
    <t xml:space="preserve">V-002877</t>
  </si>
  <si>
    <t xml:space="preserve">V-002878</t>
  </si>
  <si>
    <t xml:space="preserve">V-002879</t>
  </si>
  <si>
    <t xml:space="preserve">V-002880</t>
  </si>
  <si>
    <t xml:space="preserve">V-002881</t>
  </si>
  <si>
    <t xml:space="preserve">V-002882</t>
  </si>
  <si>
    <t xml:space="preserve">V-002883</t>
  </si>
  <si>
    <t xml:space="preserve">V-002884</t>
  </si>
  <si>
    <t xml:space="preserve">V-002885</t>
  </si>
  <si>
    <t xml:space="preserve">V-002886</t>
  </si>
  <si>
    <t xml:space="preserve">V-002887</t>
  </si>
  <si>
    <t xml:space="preserve">V-002888</t>
  </si>
  <si>
    <t xml:space="preserve">V-002889</t>
  </si>
  <si>
    <t xml:space="preserve">V-002890</t>
  </si>
  <si>
    <t xml:space="preserve">V-002891</t>
  </si>
  <si>
    <t xml:space="preserve">V-002892</t>
  </si>
  <si>
    <t xml:space="preserve">V-002893</t>
  </si>
  <si>
    <t xml:space="preserve">V-002894</t>
  </si>
  <si>
    <t xml:space="preserve">V-002895</t>
  </si>
  <si>
    <t xml:space="preserve">V-002896</t>
  </si>
  <si>
    <t xml:space="preserve">V-002897</t>
  </si>
  <si>
    <t xml:space="preserve">V-002898</t>
  </si>
  <si>
    <t xml:space="preserve">V-002899</t>
  </si>
  <si>
    <t xml:space="preserve">V-002900</t>
  </si>
  <si>
    <t xml:space="preserve">V-002901</t>
  </si>
  <si>
    <t xml:space="preserve">V-002902</t>
  </si>
  <si>
    <t xml:space="preserve">V-002903</t>
  </si>
  <si>
    <t xml:space="preserve">V-002904</t>
  </si>
  <si>
    <t xml:space="preserve">V-002905</t>
  </si>
  <si>
    <t xml:space="preserve">V-002906</t>
  </si>
  <si>
    <t xml:space="preserve">V-002907</t>
  </si>
  <si>
    <t xml:space="preserve">V-002908</t>
  </si>
  <si>
    <t xml:space="preserve">V-002909</t>
  </si>
  <si>
    <t xml:space="preserve">V-002910</t>
  </si>
  <si>
    <t xml:space="preserve">V-002911</t>
  </si>
  <si>
    <t xml:space="preserve">V-002912</t>
  </si>
  <si>
    <t xml:space="preserve">V-002913</t>
  </si>
  <si>
    <t xml:space="preserve">V-002914</t>
  </si>
  <si>
    <t xml:space="preserve">V-002915</t>
  </si>
  <si>
    <t xml:space="preserve">V-002916</t>
  </si>
  <si>
    <t xml:space="preserve">V-002917</t>
  </si>
  <si>
    <t xml:space="preserve">V-002918</t>
  </si>
  <si>
    <t xml:space="preserve">V-002919</t>
  </si>
  <si>
    <t xml:space="preserve">V-002920</t>
  </si>
  <si>
    <t xml:space="preserve">V-002921</t>
  </si>
  <si>
    <t xml:space="preserve">V-002922</t>
  </si>
  <si>
    <t xml:space="preserve">V-002923</t>
  </si>
  <si>
    <t xml:space="preserve">V-002924</t>
  </si>
  <si>
    <t xml:space="preserve">V-002925</t>
  </si>
  <si>
    <t xml:space="preserve">V-002926</t>
  </si>
  <si>
    <t xml:space="preserve">V-002927</t>
  </si>
  <si>
    <t xml:space="preserve">V-002928</t>
  </si>
  <si>
    <t xml:space="preserve">V-002929</t>
  </si>
  <si>
    <t xml:space="preserve">V-002930</t>
  </si>
  <si>
    <t xml:space="preserve">V-002931</t>
  </si>
  <si>
    <t xml:space="preserve">V-002932</t>
  </si>
  <si>
    <t xml:space="preserve">V-002933</t>
  </si>
  <si>
    <t xml:space="preserve">V-002934</t>
  </si>
  <si>
    <t xml:space="preserve">V-002935</t>
  </si>
  <si>
    <t xml:space="preserve">V-002936</t>
  </si>
  <si>
    <t xml:space="preserve">V-002937</t>
  </si>
  <si>
    <t xml:space="preserve">V-002938</t>
  </si>
  <si>
    <t xml:space="preserve">V-002939</t>
  </si>
  <si>
    <t xml:space="preserve">V-002940</t>
  </si>
  <si>
    <t xml:space="preserve">V-002941</t>
  </si>
  <si>
    <t xml:space="preserve">V-002942</t>
  </si>
  <si>
    <t xml:space="preserve">V-002943</t>
  </si>
  <si>
    <t xml:space="preserve">V-002944</t>
  </si>
  <si>
    <t xml:space="preserve">V-002945</t>
  </si>
  <si>
    <t xml:space="preserve">V-002946</t>
  </si>
  <si>
    <t xml:space="preserve">V-002947</t>
  </si>
  <si>
    <t xml:space="preserve">V-002948</t>
  </si>
  <si>
    <t xml:space="preserve">V-002949</t>
  </si>
  <si>
    <t xml:space="preserve">V-002950</t>
  </si>
  <si>
    <t xml:space="preserve">V-002951</t>
  </si>
  <si>
    <t xml:space="preserve">V-002952</t>
  </si>
  <si>
    <t xml:space="preserve">V-002953</t>
  </si>
  <si>
    <t xml:space="preserve">V-002954</t>
  </si>
  <si>
    <t xml:space="preserve">V-002955</t>
  </si>
  <si>
    <t xml:space="preserve">V-002956</t>
  </si>
  <si>
    <t xml:space="preserve">V-002957</t>
  </si>
  <si>
    <t xml:space="preserve">V-002958</t>
  </si>
  <si>
    <t xml:space="preserve">V-002959</t>
  </si>
  <si>
    <t xml:space="preserve">V-002960</t>
  </si>
  <si>
    <t xml:space="preserve">V-002961</t>
  </si>
  <si>
    <t xml:space="preserve">V-002962</t>
  </si>
  <si>
    <t xml:space="preserve">V-002963</t>
  </si>
  <si>
    <t xml:space="preserve">V-002964</t>
  </si>
  <si>
    <t xml:space="preserve">V-002965</t>
  </si>
  <si>
    <t xml:space="preserve">V-002966</t>
  </si>
  <si>
    <t xml:space="preserve">V-002967</t>
  </si>
  <si>
    <t xml:space="preserve">V-002968</t>
  </si>
  <si>
    <t xml:space="preserve">V-002969</t>
  </si>
  <si>
    <t xml:space="preserve">V-002970</t>
  </si>
  <si>
    <t xml:space="preserve">V-002971</t>
  </si>
  <si>
    <t xml:space="preserve">V-002972</t>
  </si>
  <si>
    <t xml:space="preserve">V-002973</t>
  </si>
  <si>
    <t xml:space="preserve">V-002974</t>
  </si>
  <si>
    <t xml:space="preserve">V-002975</t>
  </si>
  <si>
    <t xml:space="preserve">V-002976</t>
  </si>
  <si>
    <t xml:space="preserve">V-002977</t>
  </si>
  <si>
    <t xml:space="preserve">V-002978</t>
  </si>
  <si>
    <t xml:space="preserve">V-002979</t>
  </si>
  <si>
    <t xml:space="preserve">V-002980</t>
  </si>
  <si>
    <t xml:space="preserve">V-002981</t>
  </si>
  <si>
    <t xml:space="preserve">V-002982</t>
  </si>
  <si>
    <t xml:space="preserve">V-002983</t>
  </si>
  <si>
    <t xml:space="preserve">V-002984</t>
  </si>
  <si>
    <t xml:space="preserve">V-002985</t>
  </si>
  <si>
    <t xml:space="preserve">V-002986</t>
  </si>
  <si>
    <t xml:space="preserve">V-002987</t>
  </si>
  <si>
    <t xml:space="preserve">V-002988</t>
  </si>
  <si>
    <t xml:space="preserve">V-002989</t>
  </si>
  <si>
    <t xml:space="preserve">V-002990</t>
  </si>
  <si>
    <t xml:space="preserve">V-002991</t>
  </si>
  <si>
    <t xml:space="preserve">V-002992</t>
  </si>
  <si>
    <t xml:space="preserve">V-002993</t>
  </si>
  <si>
    <t xml:space="preserve">V-002994</t>
  </si>
  <si>
    <t xml:space="preserve">V-002995</t>
  </si>
  <si>
    <t xml:space="preserve">V-002996</t>
  </si>
  <si>
    <t xml:space="preserve">V-002997</t>
  </si>
  <si>
    <t xml:space="preserve">V-002998</t>
  </si>
  <si>
    <t xml:space="preserve">V-002999</t>
  </si>
  <si>
    <t xml:space="preserve">V-003000</t>
  </si>
  <si>
    <t xml:space="preserve">V-003001</t>
  </si>
  <si>
    <t xml:space="preserve">V-003002</t>
  </si>
  <si>
    <t xml:space="preserve">V-003003</t>
  </si>
  <si>
    <t xml:space="preserve">V-003004</t>
  </si>
  <si>
    <t xml:space="preserve">V-003005</t>
  </si>
  <si>
    <t xml:space="preserve">V-003006</t>
  </si>
  <si>
    <t xml:space="preserve">V-003007</t>
  </si>
  <si>
    <t xml:space="preserve">V-003008</t>
  </si>
  <si>
    <t xml:space="preserve">V-003009</t>
  </si>
  <si>
    <t xml:space="preserve">V-003010</t>
  </si>
  <si>
    <t xml:space="preserve">V-003011</t>
  </si>
  <si>
    <t xml:space="preserve">V-003012</t>
  </si>
  <si>
    <t xml:space="preserve">V-003013</t>
  </si>
  <si>
    <t xml:space="preserve">V-003014</t>
  </si>
  <si>
    <t xml:space="preserve">V-003015</t>
  </si>
  <si>
    <t xml:space="preserve">V-003016</t>
  </si>
  <si>
    <t xml:space="preserve">V-003017</t>
  </si>
  <si>
    <t xml:space="preserve">V-003018</t>
  </si>
  <si>
    <t xml:space="preserve">V-003019</t>
  </si>
  <si>
    <t xml:space="preserve">V-003020</t>
  </si>
  <si>
    <t xml:space="preserve">V-003021</t>
  </si>
  <si>
    <t xml:space="preserve">V-003022</t>
  </si>
  <si>
    <t xml:space="preserve">V-003023</t>
  </si>
  <si>
    <t xml:space="preserve">V-003024</t>
  </si>
  <si>
    <t xml:space="preserve">V-003025</t>
  </si>
  <si>
    <t xml:space="preserve">V-003026</t>
  </si>
  <si>
    <t xml:space="preserve">V-003027</t>
  </si>
  <si>
    <t xml:space="preserve">V-003028</t>
  </si>
  <si>
    <t xml:space="preserve">V-003029</t>
  </si>
  <si>
    <t xml:space="preserve">V-003030</t>
  </si>
  <si>
    <t xml:space="preserve">V-003031</t>
  </si>
  <si>
    <t xml:space="preserve">V-003032</t>
  </si>
  <si>
    <t xml:space="preserve">V-003033</t>
  </si>
  <si>
    <t xml:space="preserve">V-003034</t>
  </si>
  <si>
    <t xml:space="preserve">V-003035</t>
  </si>
  <si>
    <t xml:space="preserve">V-003036</t>
  </si>
  <si>
    <t xml:space="preserve">V-003037</t>
  </si>
  <si>
    <t xml:space="preserve">V-003038</t>
  </si>
  <si>
    <t xml:space="preserve">V-003039</t>
  </si>
  <si>
    <t xml:space="preserve">V-003040</t>
  </si>
  <si>
    <t xml:space="preserve">V-003041</t>
  </si>
  <si>
    <t xml:space="preserve">V-003042</t>
  </si>
  <si>
    <t xml:space="preserve">V-003043</t>
  </si>
  <si>
    <t xml:space="preserve">V-003044</t>
  </si>
  <si>
    <t xml:space="preserve">V-003045</t>
  </si>
  <si>
    <t xml:space="preserve">V-003046</t>
  </si>
  <si>
    <t xml:space="preserve">V-003047</t>
  </si>
  <si>
    <t xml:space="preserve">V-003048</t>
  </si>
  <si>
    <t xml:space="preserve">V-003049</t>
  </si>
  <si>
    <t xml:space="preserve">V-003050</t>
  </si>
  <si>
    <t xml:space="preserve">V-003051</t>
  </si>
  <si>
    <t xml:space="preserve">V-003052</t>
  </si>
  <si>
    <t xml:space="preserve">V-003053</t>
  </si>
  <si>
    <t xml:space="preserve">V-003054</t>
  </si>
  <si>
    <t xml:space="preserve">V-003055</t>
  </si>
  <si>
    <t xml:space="preserve">V-003056</t>
  </si>
  <si>
    <t xml:space="preserve">V-003057</t>
  </si>
  <si>
    <t xml:space="preserve">V-003058</t>
  </si>
  <si>
    <t xml:space="preserve">V-003059</t>
  </si>
  <si>
    <t xml:space="preserve">V-003060</t>
  </si>
  <si>
    <t xml:space="preserve">V-003061</t>
  </si>
  <si>
    <t xml:space="preserve">V-003062</t>
  </si>
  <si>
    <t xml:space="preserve">V-003063</t>
  </si>
  <si>
    <t xml:space="preserve">V-003064</t>
  </si>
  <si>
    <t xml:space="preserve">V-003065</t>
  </si>
  <si>
    <t xml:space="preserve">V-003066</t>
  </si>
  <si>
    <t xml:space="preserve">V-003067</t>
  </si>
  <si>
    <t xml:space="preserve">V-003068</t>
  </si>
  <si>
    <t xml:space="preserve">V-003069</t>
  </si>
  <si>
    <t xml:space="preserve">V-003070</t>
  </si>
  <si>
    <t xml:space="preserve">V-003071</t>
  </si>
  <si>
    <t xml:space="preserve">V-003072</t>
  </si>
  <si>
    <t xml:space="preserve">V-003073</t>
  </si>
  <si>
    <t xml:space="preserve">V-003074</t>
  </si>
  <si>
    <t xml:space="preserve">V-003075</t>
  </si>
  <si>
    <t xml:space="preserve">V-003076</t>
  </si>
  <si>
    <t xml:space="preserve">V-003077</t>
  </si>
  <si>
    <t xml:space="preserve">V-003078</t>
  </si>
  <si>
    <t xml:space="preserve">V-003079</t>
  </si>
  <si>
    <t xml:space="preserve">V-003080</t>
  </si>
  <si>
    <t xml:space="preserve">V-003081</t>
  </si>
  <si>
    <t xml:space="preserve">V-003082</t>
  </si>
  <si>
    <t xml:space="preserve">V-003083</t>
  </si>
  <si>
    <t xml:space="preserve">V-003084</t>
  </si>
  <si>
    <t xml:space="preserve">V-003085</t>
  </si>
  <si>
    <t xml:space="preserve">V-003086</t>
  </si>
  <si>
    <t xml:space="preserve">V-003087</t>
  </si>
  <si>
    <t xml:space="preserve">V-003088</t>
  </si>
  <si>
    <t xml:space="preserve">V-003089</t>
  </si>
  <si>
    <t xml:space="preserve">V-003090</t>
  </si>
  <si>
    <t xml:space="preserve">V-003091</t>
  </si>
  <si>
    <t xml:space="preserve">V-003092</t>
  </si>
  <si>
    <t xml:space="preserve">V-003093</t>
  </si>
  <si>
    <t xml:space="preserve">V-003094</t>
  </si>
  <si>
    <t xml:space="preserve">V-003095</t>
  </si>
  <si>
    <t xml:space="preserve">V-003096</t>
  </si>
  <si>
    <t xml:space="preserve">V-003097</t>
  </si>
  <si>
    <t xml:space="preserve">V-003098</t>
  </si>
  <si>
    <t xml:space="preserve">V-003099</t>
  </si>
  <si>
    <t xml:space="preserve">V-003100</t>
  </si>
  <si>
    <t xml:space="preserve">V-003101</t>
  </si>
  <si>
    <t xml:space="preserve">V-003102</t>
  </si>
  <si>
    <t xml:space="preserve">V-003103</t>
  </si>
  <si>
    <t xml:space="preserve">V-003104</t>
  </si>
  <si>
    <t xml:space="preserve">V-003105</t>
  </si>
  <si>
    <t xml:space="preserve">V-003106</t>
  </si>
  <si>
    <t xml:space="preserve">V-003107</t>
  </si>
  <si>
    <t xml:space="preserve">V-003108</t>
  </si>
  <si>
    <t xml:space="preserve">V-003109</t>
  </si>
  <si>
    <t xml:space="preserve">V-003110</t>
  </si>
  <si>
    <t xml:space="preserve">V-003111</t>
  </si>
  <si>
    <t xml:space="preserve">V-003112</t>
  </si>
  <si>
    <t xml:space="preserve">V-003113</t>
  </si>
  <si>
    <t xml:space="preserve">V-003114</t>
  </si>
  <si>
    <t xml:space="preserve">V-003115</t>
  </si>
  <si>
    <t xml:space="preserve">V-003116</t>
  </si>
  <si>
    <t xml:space="preserve">V-003117</t>
  </si>
  <si>
    <t xml:space="preserve">V-003118</t>
  </si>
  <si>
    <t xml:space="preserve">V-003119</t>
  </si>
  <si>
    <t xml:space="preserve">V-003120</t>
  </si>
  <si>
    <t xml:space="preserve">V-003121</t>
  </si>
  <si>
    <t xml:space="preserve">V-003122</t>
  </si>
  <si>
    <t xml:space="preserve">V-003123</t>
  </si>
  <si>
    <t xml:space="preserve">V-003124</t>
  </si>
  <si>
    <t xml:space="preserve">V-003125</t>
  </si>
  <si>
    <t xml:space="preserve">V-003126</t>
  </si>
  <si>
    <t xml:space="preserve">V-003127</t>
  </si>
  <si>
    <t xml:space="preserve">V-003128</t>
  </si>
  <si>
    <t xml:space="preserve">V-003129</t>
  </si>
  <si>
    <t xml:space="preserve">V-003130</t>
  </si>
  <si>
    <t xml:space="preserve">V-003131</t>
  </si>
  <si>
    <t xml:space="preserve">V-003132</t>
  </si>
  <si>
    <t xml:space="preserve">V-003133</t>
  </si>
  <si>
    <t xml:space="preserve">V-003134</t>
  </si>
  <si>
    <t xml:space="preserve">V-003135</t>
  </si>
  <si>
    <t xml:space="preserve">V-003136</t>
  </si>
  <si>
    <t xml:space="preserve">V-003137</t>
  </si>
  <si>
    <t xml:space="preserve">V-003138</t>
  </si>
  <si>
    <t xml:space="preserve">V-003139</t>
  </si>
  <si>
    <t xml:space="preserve">V-003140</t>
  </si>
  <si>
    <t xml:space="preserve">V-003141</t>
  </si>
  <si>
    <t xml:space="preserve">V-003142</t>
  </si>
  <si>
    <t xml:space="preserve">V-003143</t>
  </si>
  <si>
    <t xml:space="preserve">V-003144</t>
  </si>
  <si>
    <t xml:space="preserve">V-003145</t>
  </si>
  <si>
    <t xml:space="preserve">V-003146</t>
  </si>
  <si>
    <t xml:space="preserve">V-003147</t>
  </si>
  <si>
    <t xml:space="preserve">V-003148</t>
  </si>
  <si>
    <t xml:space="preserve">V-003149</t>
  </si>
  <si>
    <t xml:space="preserve">V-003150</t>
  </si>
  <si>
    <t xml:space="preserve">V-003151</t>
  </si>
  <si>
    <t xml:space="preserve">V-003152</t>
  </si>
  <si>
    <t xml:space="preserve">V-003153</t>
  </si>
  <si>
    <t xml:space="preserve">V-003154</t>
  </si>
  <si>
    <t xml:space="preserve">V-003155</t>
  </si>
  <si>
    <t xml:space="preserve">V-003156</t>
  </si>
  <si>
    <t xml:space="preserve">V-003157</t>
  </si>
  <si>
    <t xml:space="preserve">V-003158</t>
  </si>
  <si>
    <t xml:space="preserve">V-003159</t>
  </si>
  <si>
    <t xml:space="preserve">V-003160</t>
  </si>
  <si>
    <t xml:space="preserve">V-003161</t>
  </si>
  <si>
    <t xml:space="preserve">V-003162</t>
  </si>
  <si>
    <t xml:space="preserve">V-003163</t>
  </si>
  <si>
    <t xml:space="preserve">V-003164</t>
  </si>
  <si>
    <t xml:space="preserve">V-003165</t>
  </si>
  <si>
    <t xml:space="preserve">V-003166</t>
  </si>
  <si>
    <t xml:space="preserve">V-003167</t>
  </si>
  <si>
    <t xml:space="preserve">V-003168</t>
  </si>
  <si>
    <t xml:space="preserve">V-003169</t>
  </si>
  <si>
    <t xml:space="preserve">V-003170</t>
  </si>
  <si>
    <t xml:space="preserve">V-003171</t>
  </si>
  <si>
    <t xml:space="preserve">V-003172</t>
  </si>
  <si>
    <t xml:space="preserve">V-003173</t>
  </si>
  <si>
    <t xml:space="preserve">V-003174</t>
  </si>
  <si>
    <t xml:space="preserve">V-003175</t>
  </si>
  <si>
    <t xml:space="preserve">V-003176</t>
  </si>
  <si>
    <t xml:space="preserve">V-003177</t>
  </si>
  <si>
    <t xml:space="preserve">V-003178</t>
  </si>
  <si>
    <t xml:space="preserve">V-003179</t>
  </si>
  <si>
    <t xml:space="preserve">V-003180</t>
  </si>
  <si>
    <t xml:space="preserve">V-003181</t>
  </si>
  <si>
    <t xml:space="preserve">V-003182</t>
  </si>
  <si>
    <t xml:space="preserve">V-003183</t>
  </si>
  <si>
    <t xml:space="preserve">V-003184</t>
  </si>
  <si>
    <t xml:space="preserve">V-003185</t>
  </si>
  <si>
    <t xml:space="preserve">V-003186</t>
  </si>
  <si>
    <t xml:space="preserve">V-003187</t>
  </si>
  <si>
    <t xml:space="preserve">V-003188</t>
  </si>
  <si>
    <t xml:space="preserve">V-003189</t>
  </si>
  <si>
    <t xml:space="preserve">V-003190</t>
  </si>
  <si>
    <t xml:space="preserve">V-003191</t>
  </si>
  <si>
    <t xml:space="preserve">V-003192</t>
  </si>
  <si>
    <t xml:space="preserve">V-003193</t>
  </si>
  <si>
    <t xml:space="preserve">V-003194</t>
  </si>
  <si>
    <t xml:space="preserve">V-003195</t>
  </si>
  <si>
    <t xml:space="preserve">V-003196</t>
  </si>
  <si>
    <t xml:space="preserve">V-003197</t>
  </si>
  <si>
    <t xml:space="preserve">V-003198</t>
  </si>
  <si>
    <t xml:space="preserve">V-003199</t>
  </si>
  <si>
    <t xml:space="preserve">V-003200</t>
  </si>
  <si>
    <t xml:space="preserve">V-003201</t>
  </si>
  <si>
    <t xml:space="preserve">V-003202</t>
  </si>
  <si>
    <t xml:space="preserve">V-003203</t>
  </si>
  <si>
    <t xml:space="preserve">V-003204</t>
  </si>
  <si>
    <t xml:space="preserve">V-003205</t>
  </si>
  <si>
    <t xml:space="preserve">V-003206</t>
  </si>
  <si>
    <t xml:space="preserve">V-003207</t>
  </si>
  <si>
    <t xml:space="preserve">V-003208</t>
  </si>
  <si>
    <t xml:space="preserve">V-003209</t>
  </si>
  <si>
    <t xml:space="preserve">V-003210</t>
  </si>
  <si>
    <t xml:space="preserve">V-003211</t>
  </si>
  <si>
    <t xml:space="preserve">V-003212</t>
  </si>
  <si>
    <t xml:space="preserve">V-003213</t>
  </si>
  <si>
    <t xml:space="preserve">V-003214</t>
  </si>
  <si>
    <t xml:space="preserve">V-003215</t>
  </si>
  <si>
    <t xml:space="preserve">V-003216</t>
  </si>
  <si>
    <t xml:space="preserve">V-003217</t>
  </si>
  <si>
    <t xml:space="preserve">V-003218</t>
  </si>
  <si>
    <t xml:space="preserve">V-003219</t>
  </si>
  <si>
    <t xml:space="preserve">V-003220</t>
  </si>
  <si>
    <t xml:space="preserve">V-003221</t>
  </si>
  <si>
    <t xml:space="preserve">V-003222</t>
  </si>
  <si>
    <t xml:space="preserve">V-003223</t>
  </si>
  <si>
    <t xml:space="preserve">V-003224</t>
  </si>
  <si>
    <t xml:space="preserve">V-003225</t>
  </si>
  <si>
    <t xml:space="preserve">V-003226</t>
  </si>
  <si>
    <t xml:space="preserve">V-003227</t>
  </si>
  <si>
    <t xml:space="preserve">V-003228</t>
  </si>
  <si>
    <t xml:space="preserve">V-003229</t>
  </si>
  <si>
    <t xml:space="preserve">V-003230</t>
  </si>
  <si>
    <t xml:space="preserve">V-003231</t>
  </si>
  <si>
    <t xml:space="preserve">V-003232</t>
  </si>
  <si>
    <t xml:space="preserve">V-003233</t>
  </si>
  <si>
    <t xml:space="preserve">V-003234</t>
  </si>
  <si>
    <t xml:space="preserve">V-003235</t>
  </si>
  <si>
    <t xml:space="preserve">V-003236</t>
  </si>
  <si>
    <t xml:space="preserve">V-003237</t>
  </si>
  <si>
    <t xml:space="preserve">V-003238</t>
  </si>
  <si>
    <t xml:space="preserve">V-003239</t>
  </si>
  <si>
    <t xml:space="preserve">V-003240</t>
  </si>
  <si>
    <t xml:space="preserve">V-003241</t>
  </si>
  <si>
    <t xml:space="preserve">V-003242</t>
  </si>
  <si>
    <t xml:space="preserve">V-003243</t>
  </si>
  <si>
    <t xml:space="preserve">V-003244</t>
  </si>
  <si>
    <t xml:space="preserve">V-003245</t>
  </si>
  <si>
    <t xml:space="preserve">V-003246</t>
  </si>
  <si>
    <t xml:space="preserve">V-003247</t>
  </si>
  <si>
    <t xml:space="preserve">V-003248</t>
  </si>
  <si>
    <t xml:space="preserve">V-003249</t>
  </si>
  <si>
    <t xml:space="preserve">V-003250</t>
  </si>
  <si>
    <t xml:space="preserve">V-003251</t>
  </si>
  <si>
    <t xml:space="preserve">V-003252</t>
  </si>
  <si>
    <t xml:space="preserve">V-003253</t>
  </si>
  <si>
    <t xml:space="preserve">V-003254</t>
  </si>
  <si>
    <t xml:space="preserve">V-003255</t>
  </si>
  <si>
    <t xml:space="preserve">V-003256</t>
  </si>
  <si>
    <t xml:space="preserve">V-003257</t>
  </si>
  <si>
    <t xml:space="preserve">V-003258</t>
  </si>
  <si>
    <t xml:space="preserve">V-003259</t>
  </si>
  <si>
    <t xml:space="preserve">V-003260</t>
  </si>
  <si>
    <t xml:space="preserve">V-003261</t>
  </si>
  <si>
    <t xml:space="preserve">V-003262</t>
  </si>
  <si>
    <t xml:space="preserve">V-003263</t>
  </si>
  <si>
    <t xml:space="preserve">V-003264</t>
  </si>
  <si>
    <t xml:space="preserve">V-003265</t>
  </si>
  <si>
    <t xml:space="preserve">V-003266</t>
  </si>
  <si>
    <t xml:space="preserve">V-003267</t>
  </si>
  <si>
    <t xml:space="preserve">V-003268</t>
  </si>
  <si>
    <t xml:space="preserve">V-003269</t>
  </si>
  <si>
    <t xml:space="preserve">V-003270</t>
  </si>
  <si>
    <t xml:space="preserve">V-003271</t>
  </si>
  <si>
    <t xml:space="preserve">V-003272</t>
  </si>
  <si>
    <t xml:space="preserve">V-003273</t>
  </si>
  <si>
    <t xml:space="preserve">V-003274</t>
  </si>
  <si>
    <t xml:space="preserve">V-003275</t>
  </si>
  <si>
    <t xml:space="preserve">V-003276</t>
  </si>
  <si>
    <t xml:space="preserve">V-003277</t>
  </si>
  <si>
    <t xml:space="preserve">V-003278</t>
  </si>
  <si>
    <t xml:space="preserve">V-003279</t>
  </si>
  <si>
    <t xml:space="preserve">V-003280</t>
  </si>
  <si>
    <t xml:space="preserve">V-003281</t>
  </si>
  <si>
    <t xml:space="preserve">V-003282</t>
  </si>
  <si>
    <t xml:space="preserve">V-003283</t>
  </si>
  <si>
    <t xml:space="preserve">V-003284</t>
  </si>
  <si>
    <t xml:space="preserve">V-003285</t>
  </si>
  <si>
    <t xml:space="preserve">V-003286</t>
  </si>
  <si>
    <t xml:space="preserve">V-003287</t>
  </si>
  <si>
    <t xml:space="preserve">V-003288</t>
  </si>
  <si>
    <t xml:space="preserve">V-003289</t>
  </si>
  <si>
    <t xml:space="preserve">V-003290</t>
  </si>
  <si>
    <t xml:space="preserve">V-003291</t>
  </si>
  <si>
    <t xml:space="preserve">V-003292</t>
  </si>
  <si>
    <t xml:space="preserve">V-003293</t>
  </si>
  <si>
    <t xml:space="preserve">V-003294</t>
  </si>
  <si>
    <t xml:space="preserve">V-003295</t>
  </si>
  <si>
    <t xml:space="preserve">V-003296</t>
  </si>
  <si>
    <t xml:space="preserve">V-003297</t>
  </si>
  <si>
    <t xml:space="preserve">V-003298</t>
  </si>
  <si>
    <t xml:space="preserve">V-003299</t>
  </si>
  <si>
    <t xml:space="preserve">V-003300</t>
  </si>
  <si>
    <t xml:space="preserve">V-003301</t>
  </si>
  <si>
    <t xml:space="preserve">V-003302</t>
  </si>
  <si>
    <t xml:space="preserve">V-003303</t>
  </si>
  <si>
    <t xml:space="preserve">V-003304</t>
  </si>
  <si>
    <t xml:space="preserve">V-003305</t>
  </si>
  <si>
    <t xml:space="preserve">V-003306</t>
  </si>
  <si>
    <t xml:space="preserve">V-003307</t>
  </si>
  <si>
    <t xml:space="preserve">V-003308</t>
  </si>
  <si>
    <t xml:space="preserve">V-003309</t>
  </si>
  <si>
    <t xml:space="preserve">V-003310</t>
  </si>
  <si>
    <t xml:space="preserve">V-003311</t>
  </si>
  <si>
    <t xml:space="preserve">V-003312</t>
  </si>
  <si>
    <t xml:space="preserve">V-003313</t>
  </si>
  <si>
    <t xml:space="preserve">V-003314</t>
  </si>
  <si>
    <t xml:space="preserve">V-003315</t>
  </si>
  <si>
    <t xml:space="preserve">V-003316</t>
  </si>
  <si>
    <t xml:space="preserve">V-003317</t>
  </si>
  <si>
    <t xml:space="preserve">V-003318</t>
  </si>
  <si>
    <t xml:space="preserve">V-003319</t>
  </si>
  <si>
    <t xml:space="preserve">V-003320</t>
  </si>
  <si>
    <t xml:space="preserve">V-003321</t>
  </si>
  <si>
    <t xml:space="preserve">V-003322</t>
  </si>
  <si>
    <t xml:space="preserve">V-003323</t>
  </si>
  <si>
    <t xml:space="preserve">V-003324</t>
  </si>
  <si>
    <t xml:space="preserve">V-003325</t>
  </si>
  <si>
    <t xml:space="preserve">V-003326</t>
  </si>
  <si>
    <t xml:space="preserve">V-003327</t>
  </si>
  <si>
    <t xml:space="preserve">V-003328</t>
  </si>
  <si>
    <t xml:space="preserve">V-003329</t>
  </si>
  <si>
    <t xml:space="preserve">V-003330</t>
  </si>
  <si>
    <t xml:space="preserve">V-003331</t>
  </si>
  <si>
    <t xml:space="preserve">V-003332</t>
  </si>
  <si>
    <t xml:space="preserve">V-003333</t>
  </si>
  <si>
    <t xml:space="preserve">V-003334</t>
  </si>
  <si>
    <t xml:space="preserve">V-003335</t>
  </si>
  <si>
    <t xml:space="preserve">V-003336</t>
  </si>
  <si>
    <t xml:space="preserve">V-003337</t>
  </si>
  <si>
    <t xml:space="preserve">V-003338</t>
  </si>
  <si>
    <t xml:space="preserve">V-003339</t>
  </si>
  <si>
    <t xml:space="preserve">V-003340</t>
  </si>
  <si>
    <t xml:space="preserve">V-003341</t>
  </si>
  <si>
    <t xml:space="preserve">V-003342</t>
  </si>
  <si>
    <t xml:space="preserve">V-003343</t>
  </si>
  <si>
    <t xml:space="preserve">V-003344</t>
  </si>
  <si>
    <t xml:space="preserve">V-003345</t>
  </si>
  <si>
    <t xml:space="preserve">V-003346</t>
  </si>
  <si>
    <t xml:space="preserve">V-003347</t>
  </si>
  <si>
    <t xml:space="preserve">V-003348</t>
  </si>
  <si>
    <t xml:space="preserve">V-003349</t>
  </si>
  <si>
    <t xml:space="preserve">V-003350</t>
  </si>
  <si>
    <t xml:space="preserve">V-003351</t>
  </si>
  <si>
    <t xml:space="preserve">V-003352</t>
  </si>
  <si>
    <t xml:space="preserve">V-003353</t>
  </si>
  <si>
    <t xml:space="preserve">V-003354</t>
  </si>
  <si>
    <t xml:space="preserve">V-003355</t>
  </si>
  <si>
    <t xml:space="preserve">V-003356</t>
  </si>
  <si>
    <t xml:space="preserve">V-003357</t>
  </si>
  <si>
    <t xml:space="preserve">V-003358</t>
  </si>
  <si>
    <t xml:space="preserve">V-003359</t>
  </si>
  <si>
    <t xml:space="preserve">V-003360</t>
  </si>
  <si>
    <t xml:space="preserve">V-003361</t>
  </si>
  <si>
    <t xml:space="preserve">V-003362</t>
  </si>
  <si>
    <t xml:space="preserve">V-003363</t>
  </si>
  <si>
    <t xml:space="preserve">V-003364</t>
  </si>
  <si>
    <t xml:space="preserve">V-003365</t>
  </si>
  <si>
    <t xml:space="preserve">V-003366</t>
  </si>
  <si>
    <t xml:space="preserve">V-003367</t>
  </si>
  <si>
    <t xml:space="preserve">V-003368</t>
  </si>
  <si>
    <t xml:space="preserve">V-003369</t>
  </si>
  <si>
    <t xml:space="preserve">V-003370</t>
  </si>
  <si>
    <t xml:space="preserve">V-003371</t>
  </si>
  <si>
    <t xml:space="preserve">V-003372</t>
  </si>
  <si>
    <t xml:space="preserve">V-003373</t>
  </si>
  <si>
    <t xml:space="preserve">V-003374</t>
  </si>
  <si>
    <t xml:space="preserve">V-003375</t>
  </si>
  <si>
    <t xml:space="preserve">V-003376</t>
  </si>
  <si>
    <t xml:space="preserve">V-003377</t>
  </si>
  <si>
    <t xml:space="preserve">V-003378</t>
  </si>
  <si>
    <t xml:space="preserve">V-003379</t>
  </si>
  <si>
    <t xml:space="preserve">V-003380</t>
  </si>
  <si>
    <t xml:space="preserve">V-003381</t>
  </si>
  <si>
    <t xml:space="preserve">V-003382</t>
  </si>
  <si>
    <t xml:space="preserve">V-003383</t>
  </si>
  <si>
    <t xml:space="preserve">V-003384</t>
  </si>
  <si>
    <t xml:space="preserve">V-003385</t>
  </si>
  <si>
    <t xml:space="preserve">V-003386</t>
  </si>
  <si>
    <t xml:space="preserve">V-003387</t>
  </si>
  <si>
    <t xml:space="preserve">V-003388</t>
  </si>
  <si>
    <t xml:space="preserve">V-003389</t>
  </si>
  <si>
    <t xml:space="preserve">V-003390</t>
  </si>
  <si>
    <t xml:space="preserve">V-003391</t>
  </si>
  <si>
    <t xml:space="preserve">V-003392</t>
  </si>
  <si>
    <t xml:space="preserve">V-003393</t>
  </si>
  <si>
    <t xml:space="preserve">V-003394</t>
  </si>
  <si>
    <t xml:space="preserve">V-003395</t>
  </si>
  <si>
    <t xml:space="preserve">V-003396</t>
  </si>
  <si>
    <t xml:space="preserve">V-003397</t>
  </si>
  <si>
    <t xml:space="preserve">V-003398</t>
  </si>
  <si>
    <t xml:space="preserve">V-003399</t>
  </si>
  <si>
    <t xml:space="preserve">V-003400</t>
  </si>
  <si>
    <t xml:space="preserve">V-003401</t>
  </si>
  <si>
    <t xml:space="preserve">V-003402</t>
  </si>
  <si>
    <t xml:space="preserve">V-003403</t>
  </si>
  <si>
    <t xml:space="preserve">V-003404</t>
  </si>
  <si>
    <t xml:space="preserve">V-003405</t>
  </si>
  <si>
    <t xml:space="preserve">V-003406</t>
  </si>
  <si>
    <t xml:space="preserve">V-003407</t>
  </si>
  <si>
    <t xml:space="preserve">V-003408</t>
  </si>
  <si>
    <t xml:space="preserve">V-003409</t>
  </si>
  <si>
    <t xml:space="preserve">V-003410</t>
  </si>
  <si>
    <t xml:space="preserve">V-003411</t>
  </si>
  <si>
    <t xml:space="preserve">V-003412</t>
  </si>
  <si>
    <t xml:space="preserve">V-003413</t>
  </si>
  <si>
    <t xml:space="preserve">V-003414</t>
  </si>
  <si>
    <t xml:space="preserve">V-003415</t>
  </si>
  <si>
    <t xml:space="preserve">V-003416</t>
  </si>
  <si>
    <t xml:space="preserve">V-003417</t>
  </si>
  <si>
    <t xml:space="preserve">V-003418</t>
  </si>
  <si>
    <t xml:space="preserve">V-003419</t>
  </si>
  <si>
    <t xml:space="preserve">V-003420</t>
  </si>
  <si>
    <t xml:space="preserve">V-003421</t>
  </si>
  <si>
    <t xml:space="preserve">V-003422</t>
  </si>
  <si>
    <t xml:space="preserve">V-003423</t>
  </si>
  <si>
    <t xml:space="preserve">V-003424</t>
  </si>
  <si>
    <t xml:space="preserve">V-003425</t>
  </si>
  <si>
    <t xml:space="preserve">V-003426</t>
  </si>
  <si>
    <t xml:space="preserve">V-003427</t>
  </si>
  <si>
    <t xml:space="preserve">V-003428</t>
  </si>
  <si>
    <t xml:space="preserve">V-003429</t>
  </si>
  <si>
    <t xml:space="preserve">V-003430</t>
  </si>
  <si>
    <t xml:space="preserve">V-003431</t>
  </si>
  <si>
    <t xml:space="preserve">V-003432</t>
  </si>
  <si>
    <t xml:space="preserve">V-003433</t>
  </si>
  <si>
    <t xml:space="preserve">V-003434</t>
  </si>
  <si>
    <t xml:space="preserve">V-003435</t>
  </si>
  <si>
    <t xml:space="preserve">V-003436</t>
  </si>
  <si>
    <t xml:space="preserve">V-003437</t>
  </si>
  <si>
    <t xml:space="preserve">V-003438</t>
  </si>
  <si>
    <t xml:space="preserve">V-003439</t>
  </si>
  <si>
    <t xml:space="preserve">V-003440</t>
  </si>
  <si>
    <t xml:space="preserve">V-003441</t>
  </si>
  <si>
    <t xml:space="preserve">V-003442</t>
  </si>
  <si>
    <t xml:space="preserve">V-003443</t>
  </si>
  <si>
    <t xml:space="preserve">V-003444</t>
  </si>
  <si>
    <t xml:space="preserve">V-003445</t>
  </si>
  <si>
    <t xml:space="preserve">V-003446</t>
  </si>
  <si>
    <t xml:space="preserve">V-003447</t>
  </si>
  <si>
    <t xml:space="preserve">V-003448</t>
  </si>
  <si>
    <t xml:space="preserve">V-003449</t>
  </si>
  <si>
    <t xml:space="preserve">V-003450</t>
  </si>
  <si>
    <t xml:space="preserve">V-003451</t>
  </si>
  <si>
    <t xml:space="preserve">V-003452</t>
  </si>
  <si>
    <t xml:space="preserve">V-003453</t>
  </si>
  <si>
    <t xml:space="preserve">V-003454</t>
  </si>
  <si>
    <t xml:space="preserve">V-003455</t>
  </si>
  <si>
    <t xml:space="preserve">V-003456</t>
  </si>
  <si>
    <t xml:space="preserve">V-003457</t>
  </si>
  <si>
    <t xml:space="preserve">V-003458</t>
  </si>
  <si>
    <t xml:space="preserve">V-003459</t>
  </si>
  <si>
    <t xml:space="preserve">V-003460</t>
  </si>
  <si>
    <t xml:space="preserve">V-003461</t>
  </si>
  <si>
    <t xml:space="preserve">V-003462</t>
  </si>
  <si>
    <t xml:space="preserve">V-003463</t>
  </si>
  <si>
    <t xml:space="preserve">V-003464</t>
  </si>
  <si>
    <t xml:space="preserve">V-003465</t>
  </si>
  <si>
    <t xml:space="preserve">V-003466</t>
  </si>
  <si>
    <t xml:space="preserve">V-003467</t>
  </si>
  <si>
    <t xml:space="preserve">V-003468</t>
  </si>
  <si>
    <t xml:space="preserve">V-003469</t>
  </si>
  <si>
    <t xml:space="preserve">V-003470</t>
  </si>
  <si>
    <t xml:space="preserve">V-003471</t>
  </si>
  <si>
    <t xml:space="preserve">V-003472</t>
  </si>
  <si>
    <t xml:space="preserve">V-003473</t>
  </si>
  <si>
    <t xml:space="preserve">V-003474</t>
  </si>
  <si>
    <t xml:space="preserve">V-003475</t>
  </si>
  <si>
    <t xml:space="preserve">V-003476</t>
  </si>
  <si>
    <t xml:space="preserve">V-003477</t>
  </si>
  <si>
    <t xml:space="preserve">V-003478</t>
  </si>
  <si>
    <t xml:space="preserve">V-003479</t>
  </si>
  <si>
    <t xml:space="preserve">V-003480</t>
  </si>
  <si>
    <t xml:space="preserve">V-003481</t>
  </si>
  <si>
    <t xml:space="preserve">V-003482</t>
  </si>
  <si>
    <t xml:space="preserve">V-003483</t>
  </si>
  <si>
    <t xml:space="preserve">V-003484</t>
  </si>
  <si>
    <t xml:space="preserve">V-003485</t>
  </si>
  <si>
    <t xml:space="preserve">V-003486</t>
  </si>
  <si>
    <t xml:space="preserve">V-003487</t>
  </si>
  <si>
    <t xml:space="preserve">V-003488</t>
  </si>
  <si>
    <t xml:space="preserve">V-003489</t>
  </si>
  <si>
    <t xml:space="preserve">V-003490</t>
  </si>
  <si>
    <t xml:space="preserve">V-003491</t>
  </si>
  <si>
    <t xml:space="preserve">V-003492</t>
  </si>
  <si>
    <t xml:space="preserve">V-003493</t>
  </si>
  <si>
    <t xml:space="preserve">V-003494</t>
  </si>
  <si>
    <t xml:space="preserve">V-003495</t>
  </si>
  <si>
    <t xml:space="preserve">V-003496</t>
  </si>
  <si>
    <t xml:space="preserve">V-003497</t>
  </si>
  <si>
    <t xml:space="preserve">V-003498</t>
  </si>
  <si>
    <t xml:space="preserve">V-003499</t>
  </si>
  <si>
    <t xml:space="preserve">V-003500</t>
  </si>
  <si>
    <t xml:space="preserve">V-003501</t>
  </si>
  <si>
    <t xml:space="preserve">V-003502</t>
  </si>
  <si>
    <t xml:space="preserve">V-003503</t>
  </si>
  <si>
    <t xml:space="preserve">V-003504</t>
  </si>
  <si>
    <t xml:space="preserve">V-003505</t>
  </si>
  <si>
    <t xml:space="preserve">V-003506</t>
  </si>
  <si>
    <t xml:space="preserve">V-003507</t>
  </si>
  <si>
    <t xml:space="preserve">V-003508</t>
  </si>
  <si>
    <t xml:space="preserve">V-003509</t>
  </si>
  <si>
    <t xml:space="preserve">V-003510</t>
  </si>
  <si>
    <t xml:space="preserve">V-003511</t>
  </si>
  <si>
    <t xml:space="preserve">V-003512</t>
  </si>
  <si>
    <t xml:space="preserve">V-003513</t>
  </si>
  <si>
    <t xml:space="preserve">V-003514</t>
  </si>
  <si>
    <t xml:space="preserve">V-003515</t>
  </si>
  <si>
    <t xml:space="preserve">V-003516</t>
  </si>
  <si>
    <t xml:space="preserve">V-003517</t>
  </si>
  <si>
    <t xml:space="preserve">V-003518</t>
  </si>
  <si>
    <t xml:space="preserve">V-003519</t>
  </si>
  <si>
    <t xml:space="preserve">V-003520</t>
  </si>
  <si>
    <t xml:space="preserve">V-003521</t>
  </si>
  <si>
    <t xml:space="preserve">V-003522</t>
  </si>
  <si>
    <t xml:space="preserve">V-003523</t>
  </si>
  <si>
    <t xml:space="preserve">V-003524</t>
  </si>
  <si>
    <t xml:space="preserve">V-003525</t>
  </si>
  <si>
    <t xml:space="preserve">V-003526</t>
  </si>
  <si>
    <t xml:space="preserve">V-003527</t>
  </si>
  <si>
    <t xml:space="preserve">V-003528</t>
  </si>
  <si>
    <t xml:space="preserve">V-003529</t>
  </si>
  <si>
    <t xml:space="preserve">V-003530</t>
  </si>
  <si>
    <t xml:space="preserve">V-003531</t>
  </si>
  <si>
    <t xml:space="preserve">V-003532</t>
  </si>
  <si>
    <t xml:space="preserve">V-003533</t>
  </si>
  <si>
    <t xml:space="preserve">V-003534</t>
  </si>
  <si>
    <t xml:space="preserve">V-003535</t>
  </si>
  <si>
    <t xml:space="preserve">V-003536</t>
  </si>
  <si>
    <t xml:space="preserve">V-003537</t>
  </si>
  <si>
    <t xml:space="preserve">V-003538</t>
  </si>
  <si>
    <t xml:space="preserve">V-003539</t>
  </si>
  <si>
    <t xml:space="preserve">V-003540</t>
  </si>
  <si>
    <t xml:space="preserve">V-003541</t>
  </si>
  <si>
    <t xml:space="preserve">V-003542</t>
  </si>
  <si>
    <t xml:space="preserve">V-003543</t>
  </si>
  <si>
    <t xml:space="preserve">V-003544</t>
  </si>
  <si>
    <t xml:space="preserve">V-003545</t>
  </si>
  <si>
    <t xml:space="preserve">V-003546</t>
  </si>
  <si>
    <t xml:space="preserve">V-003547</t>
  </si>
  <si>
    <t xml:space="preserve">V-003548</t>
  </si>
  <si>
    <t xml:space="preserve">V-003549</t>
  </si>
  <si>
    <t xml:space="preserve">V-003550</t>
  </si>
  <si>
    <t xml:space="preserve">V-003551</t>
  </si>
  <si>
    <t xml:space="preserve">V-003552</t>
  </si>
  <si>
    <t xml:space="preserve">V-003553</t>
  </si>
  <si>
    <t xml:space="preserve">V-003554</t>
  </si>
  <si>
    <t xml:space="preserve">V-003555</t>
  </si>
  <si>
    <t xml:space="preserve">V-003556</t>
  </si>
  <si>
    <t xml:space="preserve">V-003557</t>
  </si>
  <si>
    <t xml:space="preserve">V-003558</t>
  </si>
  <si>
    <t xml:space="preserve">V-003559</t>
  </si>
  <si>
    <t xml:space="preserve">V-003560</t>
  </si>
  <si>
    <t xml:space="preserve">V-003561</t>
  </si>
  <si>
    <t xml:space="preserve">V-003562</t>
  </si>
  <si>
    <t xml:space="preserve">V-003563</t>
  </si>
  <si>
    <t xml:space="preserve">V-003564</t>
  </si>
  <si>
    <t xml:space="preserve">V-003565</t>
  </si>
  <si>
    <t xml:space="preserve">V-003566</t>
  </si>
  <si>
    <t xml:space="preserve">V-003567</t>
  </si>
  <si>
    <t xml:space="preserve">V-003568</t>
  </si>
  <si>
    <t xml:space="preserve">V-003569</t>
  </si>
  <si>
    <t xml:space="preserve">V-003570</t>
  </si>
  <si>
    <t xml:space="preserve">V-003571</t>
  </si>
  <si>
    <t xml:space="preserve">V-003572</t>
  </si>
  <si>
    <t xml:space="preserve">V-003573</t>
  </si>
  <si>
    <t xml:space="preserve">V-003574</t>
  </si>
  <si>
    <t xml:space="preserve">V-003575</t>
  </si>
  <si>
    <t xml:space="preserve">V-003576</t>
  </si>
  <si>
    <t xml:space="preserve">V-003577</t>
  </si>
  <si>
    <t xml:space="preserve">V-003578</t>
  </si>
  <si>
    <t xml:space="preserve">V-003579</t>
  </si>
  <si>
    <t xml:space="preserve">V-003580</t>
  </si>
  <si>
    <t xml:space="preserve">V-003581</t>
  </si>
  <si>
    <t xml:space="preserve">V-003582</t>
  </si>
  <si>
    <t xml:space="preserve">V-003583</t>
  </si>
  <si>
    <t xml:space="preserve">V-003584</t>
  </si>
  <si>
    <t xml:space="preserve">V-003585</t>
  </si>
  <si>
    <t xml:space="preserve">V-003586</t>
  </si>
  <si>
    <t xml:space="preserve">V-003587</t>
  </si>
  <si>
    <t xml:space="preserve">V-003588</t>
  </si>
  <si>
    <t xml:space="preserve">V-003589</t>
  </si>
  <si>
    <t xml:space="preserve">V-003590</t>
  </si>
  <si>
    <t xml:space="preserve">V-003591</t>
  </si>
  <si>
    <t xml:space="preserve">V-003592</t>
  </si>
  <si>
    <t xml:space="preserve">V-003593</t>
  </si>
  <si>
    <t xml:space="preserve">V-003594</t>
  </si>
  <si>
    <t xml:space="preserve">V-003595</t>
  </si>
  <si>
    <t xml:space="preserve">V-003596</t>
  </si>
  <si>
    <t xml:space="preserve">V-003597</t>
  </si>
  <si>
    <t xml:space="preserve">V-003598</t>
  </si>
  <si>
    <t xml:space="preserve">V-003599</t>
  </si>
  <si>
    <t xml:space="preserve">V-003600</t>
  </si>
  <si>
    <t xml:space="preserve">V-003601</t>
  </si>
  <si>
    <t xml:space="preserve">V-003602</t>
  </si>
  <si>
    <t xml:space="preserve">V-003603</t>
  </si>
  <si>
    <t xml:space="preserve">V-003604</t>
  </si>
  <si>
    <t xml:space="preserve">V-003605</t>
  </si>
  <si>
    <t xml:space="preserve">V-003606</t>
  </si>
  <si>
    <t xml:space="preserve">V-003607</t>
  </si>
  <si>
    <t xml:space="preserve">V-003608</t>
  </si>
  <si>
    <t xml:space="preserve">V-003609</t>
  </si>
  <si>
    <t xml:space="preserve">V-003610</t>
  </si>
  <si>
    <t xml:space="preserve">V-003611</t>
  </si>
  <si>
    <t xml:space="preserve">V-003612</t>
  </si>
  <si>
    <t xml:space="preserve">V-003613</t>
  </si>
  <si>
    <t xml:space="preserve">V-003614</t>
  </si>
  <si>
    <t xml:space="preserve">V-003615</t>
  </si>
  <si>
    <t xml:space="preserve">V-003616</t>
  </si>
  <si>
    <t xml:space="preserve">V-003617</t>
  </si>
  <si>
    <t xml:space="preserve">V-003618</t>
  </si>
  <si>
    <t xml:space="preserve">V-003619</t>
  </si>
  <si>
    <t xml:space="preserve">V-003620</t>
  </si>
  <si>
    <t xml:space="preserve">V-003621</t>
  </si>
  <si>
    <t xml:space="preserve">V-003622</t>
  </si>
  <si>
    <t xml:space="preserve">V-003623</t>
  </si>
  <si>
    <t xml:space="preserve">V-003624</t>
  </si>
  <si>
    <t xml:space="preserve">V-003625</t>
  </si>
  <si>
    <t xml:space="preserve">V-003626</t>
  </si>
  <si>
    <t xml:space="preserve">V-003627</t>
  </si>
  <si>
    <t xml:space="preserve">V-003628</t>
  </si>
  <si>
    <t xml:space="preserve">V-003629</t>
  </si>
  <si>
    <t xml:space="preserve">V-003630</t>
  </si>
  <si>
    <t xml:space="preserve">V-003631</t>
  </si>
  <si>
    <t xml:space="preserve">V-003632</t>
  </si>
  <si>
    <t xml:space="preserve">V-003633</t>
  </si>
  <si>
    <t xml:space="preserve">V-003634</t>
  </si>
  <si>
    <t xml:space="preserve">V-003635</t>
  </si>
  <si>
    <t xml:space="preserve">V-003636</t>
  </si>
  <si>
    <t xml:space="preserve">V-003637</t>
  </si>
  <si>
    <t xml:space="preserve">V-003638</t>
  </si>
  <si>
    <t xml:space="preserve">V-003639</t>
  </si>
  <si>
    <t xml:space="preserve">V-003640</t>
  </si>
  <si>
    <t xml:space="preserve">V-003641</t>
  </si>
  <si>
    <t xml:space="preserve">V-003642</t>
  </si>
  <si>
    <t xml:space="preserve">V-003643</t>
  </si>
  <si>
    <t xml:space="preserve">V-003644</t>
  </si>
  <si>
    <t xml:space="preserve">V-003645</t>
  </si>
  <si>
    <t xml:space="preserve">V-003646</t>
  </si>
  <si>
    <t xml:space="preserve">V-003647</t>
  </si>
  <si>
    <t xml:space="preserve">V-003648</t>
  </si>
  <si>
    <t xml:space="preserve">V-003649</t>
  </si>
  <si>
    <t xml:space="preserve">V-003650</t>
  </si>
  <si>
    <t xml:space="preserve">V-003651</t>
  </si>
  <si>
    <t xml:space="preserve">V-003652</t>
  </si>
  <si>
    <t xml:space="preserve">V-003653</t>
  </si>
  <si>
    <t xml:space="preserve">V-003654</t>
  </si>
  <si>
    <t xml:space="preserve">V-003655</t>
  </si>
  <si>
    <t xml:space="preserve">V-003656</t>
  </si>
  <si>
    <t xml:space="preserve">V-003657</t>
  </si>
  <si>
    <t xml:space="preserve">V-003658</t>
  </si>
  <si>
    <t xml:space="preserve">V-003659</t>
  </si>
  <si>
    <t xml:space="preserve">V-003660</t>
  </si>
  <si>
    <t xml:space="preserve">V-003661</t>
  </si>
  <si>
    <t xml:space="preserve">V-003662</t>
  </si>
  <si>
    <t xml:space="preserve">V-003663</t>
  </si>
  <si>
    <t xml:space="preserve">V-003664</t>
  </si>
  <si>
    <t xml:space="preserve">V-003665</t>
  </si>
  <si>
    <t xml:space="preserve">V-003666</t>
  </si>
  <si>
    <t xml:space="preserve">V-003667</t>
  </si>
  <si>
    <t xml:space="preserve">V-003668</t>
  </si>
  <si>
    <t xml:space="preserve">V-003669</t>
  </si>
  <si>
    <t xml:space="preserve">V-003670</t>
  </si>
  <si>
    <t xml:space="preserve">V-003671</t>
  </si>
  <si>
    <t xml:space="preserve">V-003672</t>
  </si>
  <si>
    <t xml:space="preserve">V-003673</t>
  </si>
  <si>
    <t xml:space="preserve">V-003674</t>
  </si>
  <si>
    <t xml:space="preserve">V-003675</t>
  </si>
  <si>
    <t xml:space="preserve">V-003676</t>
  </si>
  <si>
    <t xml:space="preserve">V-003677</t>
  </si>
  <si>
    <t xml:space="preserve">V-003678</t>
  </si>
  <si>
    <t xml:space="preserve">V-003679</t>
  </si>
  <si>
    <t xml:space="preserve">V-003680</t>
  </si>
  <si>
    <t xml:space="preserve">V-003681</t>
  </si>
  <si>
    <t xml:space="preserve">V-003682</t>
  </si>
  <si>
    <t xml:space="preserve">V-003683</t>
  </si>
  <si>
    <t xml:space="preserve">V-003684</t>
  </si>
  <si>
    <t xml:space="preserve">V-003685</t>
  </si>
  <si>
    <t xml:space="preserve">V-003686</t>
  </si>
  <si>
    <t xml:space="preserve">V-003687</t>
  </si>
  <si>
    <t xml:space="preserve">V-003688</t>
  </si>
  <si>
    <t xml:space="preserve">V-003689</t>
  </si>
  <si>
    <t xml:space="preserve">V-003690</t>
  </si>
  <si>
    <t xml:space="preserve">V-003691</t>
  </si>
  <si>
    <t xml:space="preserve">V-003692</t>
  </si>
  <si>
    <t xml:space="preserve">V-003693</t>
  </si>
  <si>
    <t xml:space="preserve">V-003694</t>
  </si>
  <si>
    <t xml:space="preserve">V-003695</t>
  </si>
  <si>
    <t xml:space="preserve">V-003696</t>
  </si>
  <si>
    <t xml:space="preserve">V-003697</t>
  </si>
  <si>
    <t xml:space="preserve">V-003698</t>
  </si>
  <si>
    <t xml:space="preserve">V-003699</t>
  </si>
  <si>
    <t xml:space="preserve">V-003700</t>
  </si>
  <si>
    <t xml:space="preserve">V-003701</t>
  </si>
  <si>
    <t xml:space="preserve">V-003702</t>
  </si>
  <si>
    <t xml:space="preserve">V-003703</t>
  </si>
  <si>
    <t xml:space="preserve">V-003704</t>
  </si>
  <si>
    <t xml:space="preserve">V-003705</t>
  </si>
  <si>
    <t xml:space="preserve">V-003706</t>
  </si>
  <si>
    <t xml:space="preserve">V-003707</t>
  </si>
  <si>
    <t xml:space="preserve">V-003708</t>
  </si>
  <si>
    <t xml:space="preserve">V-003709</t>
  </si>
  <si>
    <t xml:space="preserve">V-003710</t>
  </si>
  <si>
    <t xml:space="preserve">V-003711</t>
  </si>
  <si>
    <t xml:space="preserve">V-003712</t>
  </si>
  <si>
    <t xml:space="preserve">V-003713</t>
  </si>
  <si>
    <t xml:space="preserve">V-003714</t>
  </si>
  <si>
    <t xml:space="preserve">V-003715</t>
  </si>
  <si>
    <t xml:space="preserve">V-003716</t>
  </si>
  <si>
    <t xml:space="preserve">V-003717</t>
  </si>
  <si>
    <t xml:space="preserve">V-003718</t>
  </si>
  <si>
    <t xml:space="preserve">V-003719</t>
  </si>
  <si>
    <t xml:space="preserve">V-003720</t>
  </si>
  <si>
    <t xml:space="preserve">V-003721</t>
  </si>
  <si>
    <t xml:space="preserve">V-003722</t>
  </si>
  <si>
    <t xml:space="preserve">V-003723</t>
  </si>
  <si>
    <t xml:space="preserve">V-003724</t>
  </si>
  <si>
    <t xml:space="preserve">V-003725</t>
  </si>
  <si>
    <t xml:space="preserve">V-003726</t>
  </si>
  <si>
    <t xml:space="preserve">V-003727</t>
  </si>
  <si>
    <t xml:space="preserve">V-003728</t>
  </si>
  <si>
    <t xml:space="preserve">V-003729</t>
  </si>
  <si>
    <t xml:space="preserve">V-003730</t>
  </si>
  <si>
    <t xml:space="preserve">V-003731</t>
  </si>
  <si>
    <t xml:space="preserve">V-003732</t>
  </si>
  <si>
    <t xml:space="preserve">V-003733</t>
  </si>
  <si>
    <t xml:space="preserve">V-003734</t>
  </si>
  <si>
    <t xml:space="preserve">V-003735</t>
  </si>
  <si>
    <t xml:space="preserve">V-003736</t>
  </si>
  <si>
    <t xml:space="preserve">V-003737</t>
  </si>
  <si>
    <t xml:space="preserve">V-003738</t>
  </si>
  <si>
    <t xml:space="preserve">V-003739</t>
  </si>
  <si>
    <t xml:space="preserve">V-003740</t>
  </si>
  <si>
    <t xml:space="preserve">V-003741</t>
  </si>
  <si>
    <t xml:space="preserve">V-003742</t>
  </si>
  <si>
    <t xml:space="preserve">V-003743</t>
  </si>
  <si>
    <t xml:space="preserve">V-003744</t>
  </si>
  <si>
    <t xml:space="preserve">V-003745</t>
  </si>
  <si>
    <t xml:space="preserve">V-003746</t>
  </si>
  <si>
    <t xml:space="preserve">V-003747</t>
  </si>
  <si>
    <t xml:space="preserve">V-003748</t>
  </si>
  <si>
    <t xml:space="preserve">V-003749</t>
  </si>
  <si>
    <t xml:space="preserve">V-003750</t>
  </si>
  <si>
    <t xml:space="preserve">V-003751</t>
  </si>
  <si>
    <t xml:space="preserve">V-003752</t>
  </si>
  <si>
    <t xml:space="preserve">V-003753</t>
  </si>
  <si>
    <t xml:space="preserve">V-003754</t>
  </si>
  <si>
    <t xml:space="preserve">V-003755</t>
  </si>
  <si>
    <t xml:space="preserve">V-003756</t>
  </si>
  <si>
    <t xml:space="preserve">V-003757</t>
  </si>
  <si>
    <t xml:space="preserve">V-003758</t>
  </si>
  <si>
    <t xml:space="preserve">V-003759</t>
  </si>
  <si>
    <t xml:space="preserve">V-003760</t>
  </si>
  <si>
    <t xml:space="preserve">V-003761</t>
  </si>
  <si>
    <t xml:space="preserve">V-003762</t>
  </si>
  <si>
    <t xml:space="preserve">V-003763</t>
  </si>
  <si>
    <t xml:space="preserve">V-003764</t>
  </si>
  <si>
    <t xml:space="preserve">V-003765</t>
  </si>
  <si>
    <t xml:space="preserve">V-003766</t>
  </si>
  <si>
    <t xml:space="preserve">V-003767</t>
  </si>
  <si>
    <t xml:space="preserve">V-003768</t>
  </si>
  <si>
    <t xml:space="preserve">V-003769</t>
  </si>
  <si>
    <t xml:space="preserve">V-003770</t>
  </si>
  <si>
    <t xml:space="preserve">V-003771</t>
  </si>
  <si>
    <t xml:space="preserve">V-003772</t>
  </si>
  <si>
    <t xml:space="preserve">V-003773</t>
  </si>
  <si>
    <t xml:space="preserve">V-003774</t>
  </si>
  <si>
    <t xml:space="preserve">V-003775</t>
  </si>
  <si>
    <t xml:space="preserve">V-003776</t>
  </si>
  <si>
    <t xml:space="preserve">V-003777</t>
  </si>
  <si>
    <t xml:space="preserve">V-003778</t>
  </si>
  <si>
    <t xml:space="preserve">V-003779</t>
  </si>
  <si>
    <t xml:space="preserve">V-003780</t>
  </si>
  <si>
    <t xml:space="preserve">V-003781</t>
  </si>
  <si>
    <t xml:space="preserve">V-003782</t>
  </si>
  <si>
    <t xml:space="preserve">V-003783</t>
  </si>
  <si>
    <t xml:space="preserve">V-003784</t>
  </si>
  <si>
    <t xml:space="preserve">V-003785</t>
  </si>
  <si>
    <t xml:space="preserve">V-003786</t>
  </si>
  <si>
    <t xml:space="preserve">V-003787</t>
  </si>
  <si>
    <t xml:space="preserve">V-003788</t>
  </si>
  <si>
    <t xml:space="preserve">V-003789</t>
  </si>
  <si>
    <t xml:space="preserve">V-003790</t>
  </si>
  <si>
    <t xml:space="preserve">V-003791</t>
  </si>
  <si>
    <t xml:space="preserve">V-003792</t>
  </si>
  <si>
    <t xml:space="preserve">V-003793</t>
  </si>
  <si>
    <t xml:space="preserve">V-003794</t>
  </si>
  <si>
    <t xml:space="preserve">V-003795</t>
  </si>
  <si>
    <t xml:space="preserve">V-003796</t>
  </si>
  <si>
    <t xml:space="preserve">V-003797</t>
  </si>
  <si>
    <t xml:space="preserve">V-003798</t>
  </si>
  <si>
    <t xml:space="preserve">V-003799</t>
  </si>
  <si>
    <t xml:space="preserve">V-003800</t>
  </si>
  <si>
    <t xml:space="preserve">V-003801</t>
  </si>
  <si>
    <t xml:space="preserve">V-003802</t>
  </si>
  <si>
    <t xml:space="preserve">V-003803</t>
  </si>
  <si>
    <t xml:space="preserve">V-003804</t>
  </si>
  <si>
    <t xml:space="preserve">V-003805</t>
  </si>
  <si>
    <t xml:space="preserve">V-003806</t>
  </si>
  <si>
    <t xml:space="preserve">V-003807</t>
  </si>
  <si>
    <t xml:space="preserve">V-003808</t>
  </si>
  <si>
    <t xml:space="preserve">V-003809</t>
  </si>
  <si>
    <t xml:space="preserve">V-003810</t>
  </si>
  <si>
    <t xml:space="preserve">V-003811</t>
  </si>
  <si>
    <t xml:space="preserve">V-003812</t>
  </si>
  <si>
    <t xml:space="preserve">V-003813</t>
  </si>
  <si>
    <t xml:space="preserve">V-003814</t>
  </si>
  <si>
    <t xml:space="preserve">V-003815</t>
  </si>
  <si>
    <t xml:space="preserve">V-003816</t>
  </si>
  <si>
    <t xml:space="preserve">V-003817</t>
  </si>
  <si>
    <t xml:space="preserve">V-003818</t>
  </si>
  <si>
    <t xml:space="preserve">V-003819</t>
  </si>
  <si>
    <t xml:space="preserve">V-003820</t>
  </si>
  <si>
    <t xml:space="preserve">V-003821</t>
  </si>
  <si>
    <t xml:space="preserve">V-003822</t>
  </si>
  <si>
    <t xml:space="preserve">V-003823</t>
  </si>
  <si>
    <t xml:space="preserve">V-003824</t>
  </si>
  <si>
    <t xml:space="preserve">V-003825</t>
  </si>
  <si>
    <t xml:space="preserve">V-003826</t>
  </si>
  <si>
    <t xml:space="preserve">V-003827</t>
  </si>
  <si>
    <t xml:space="preserve">V-003828</t>
  </si>
  <si>
    <t xml:space="preserve">V-003829</t>
  </si>
  <si>
    <t xml:space="preserve">V-003830</t>
  </si>
  <si>
    <t xml:space="preserve">V-003831</t>
  </si>
  <si>
    <t xml:space="preserve">V-003832</t>
  </si>
  <si>
    <t xml:space="preserve">V-003833</t>
  </si>
  <si>
    <t xml:space="preserve">V-003834</t>
  </si>
  <si>
    <t xml:space="preserve">V-003835</t>
  </si>
  <si>
    <t xml:space="preserve">V-003836</t>
  </si>
  <si>
    <t xml:space="preserve">V-003837</t>
  </si>
  <si>
    <t xml:space="preserve">V-003838</t>
  </si>
  <si>
    <t xml:space="preserve">V-003839</t>
  </si>
  <si>
    <t xml:space="preserve">V-003840</t>
  </si>
  <si>
    <t xml:space="preserve">V-003841</t>
  </si>
  <si>
    <t xml:space="preserve">V-003842</t>
  </si>
  <si>
    <t xml:space="preserve">V-003843</t>
  </si>
  <si>
    <t xml:space="preserve">V-003844</t>
  </si>
  <si>
    <t xml:space="preserve">V-003845</t>
  </si>
  <si>
    <t xml:space="preserve">V-003846</t>
  </si>
  <si>
    <t xml:space="preserve">V-003847</t>
  </si>
  <si>
    <t xml:space="preserve">V-003848</t>
  </si>
  <si>
    <t xml:space="preserve">V-003849</t>
  </si>
  <si>
    <t xml:space="preserve">V-003850</t>
  </si>
  <si>
    <t xml:space="preserve">V-003851</t>
  </si>
  <si>
    <t xml:space="preserve">V-003852</t>
  </si>
  <si>
    <t xml:space="preserve">V-003853</t>
  </si>
  <si>
    <t xml:space="preserve">V-003854</t>
  </si>
  <si>
    <t xml:space="preserve">V-003855</t>
  </si>
  <si>
    <t xml:space="preserve">V-003856</t>
  </si>
  <si>
    <t xml:space="preserve">V-003857</t>
  </si>
  <si>
    <t xml:space="preserve">V-003858</t>
  </si>
  <si>
    <t xml:space="preserve">V-003859</t>
  </si>
  <si>
    <t xml:space="preserve">V-003860</t>
  </si>
  <si>
    <t xml:space="preserve">V-003861</t>
  </si>
  <si>
    <t xml:space="preserve">V-003862</t>
  </si>
  <si>
    <t xml:space="preserve">V-003863</t>
  </si>
  <si>
    <t xml:space="preserve">V-003864</t>
  </si>
  <si>
    <t xml:space="preserve">V-003865</t>
  </si>
  <si>
    <t xml:space="preserve">V-003866</t>
  </si>
  <si>
    <t xml:space="preserve">V-003867</t>
  </si>
  <si>
    <t xml:space="preserve">V-003868</t>
  </si>
  <si>
    <t xml:space="preserve">V-003869</t>
  </si>
  <si>
    <t xml:space="preserve">V-003870</t>
  </si>
  <si>
    <t xml:space="preserve">V-003871</t>
  </si>
  <si>
    <t xml:space="preserve">V-003872</t>
  </si>
  <si>
    <t xml:space="preserve">V-003873</t>
  </si>
  <si>
    <t xml:space="preserve">V-003874</t>
  </si>
  <si>
    <t xml:space="preserve">V-003875</t>
  </si>
  <si>
    <t xml:space="preserve">V-003876</t>
  </si>
  <si>
    <t xml:space="preserve">V-003877</t>
  </si>
  <si>
    <t xml:space="preserve">V-003878</t>
  </si>
  <si>
    <t xml:space="preserve">V-003879</t>
  </si>
  <si>
    <t xml:space="preserve">V-003880</t>
  </si>
  <si>
    <t xml:space="preserve">V-003881</t>
  </si>
  <si>
    <t xml:space="preserve">V-003882</t>
  </si>
  <si>
    <t xml:space="preserve">V-003883</t>
  </si>
  <si>
    <t xml:space="preserve">V-003884</t>
  </si>
  <si>
    <t xml:space="preserve">V-003885</t>
  </si>
  <si>
    <t xml:space="preserve">V-003886</t>
  </si>
  <si>
    <t xml:space="preserve">V-003887</t>
  </si>
  <si>
    <t xml:space="preserve">V-003888</t>
  </si>
  <si>
    <t xml:space="preserve">V-003889</t>
  </si>
  <si>
    <t xml:space="preserve">V-003890</t>
  </si>
  <si>
    <t xml:space="preserve">V-003891</t>
  </si>
  <si>
    <t xml:space="preserve">V-003892</t>
  </si>
  <si>
    <t xml:space="preserve">V-003893</t>
  </si>
  <si>
    <t xml:space="preserve">V-003894</t>
  </si>
  <si>
    <t xml:space="preserve">V-003895</t>
  </si>
  <si>
    <t xml:space="preserve">V-003896</t>
  </si>
  <si>
    <t xml:space="preserve">V-003897</t>
  </si>
  <si>
    <t xml:space="preserve">V-003898</t>
  </si>
  <si>
    <t xml:space="preserve">V-003899</t>
  </si>
  <si>
    <t xml:space="preserve">V-003900</t>
  </si>
  <si>
    <t xml:space="preserve">V-003901</t>
  </si>
  <si>
    <t xml:space="preserve">V-003902</t>
  </si>
  <si>
    <t xml:space="preserve">V-003903</t>
  </si>
  <si>
    <t xml:space="preserve">V-003904</t>
  </si>
  <si>
    <t xml:space="preserve">V-003905</t>
  </si>
  <si>
    <t xml:space="preserve">V-003906</t>
  </si>
  <si>
    <t xml:space="preserve">V-003907</t>
  </si>
  <si>
    <t xml:space="preserve">V-003908</t>
  </si>
  <si>
    <t xml:space="preserve">V-003909</t>
  </si>
  <si>
    <t xml:space="preserve">V-003910</t>
  </si>
  <si>
    <t xml:space="preserve">V-003911</t>
  </si>
  <si>
    <t xml:space="preserve">V-003912</t>
  </si>
  <si>
    <t xml:space="preserve">V-003913</t>
  </si>
  <si>
    <t xml:space="preserve">V-003914</t>
  </si>
  <si>
    <t xml:space="preserve">V-003915</t>
  </si>
  <si>
    <t xml:space="preserve">V-003916</t>
  </si>
  <si>
    <t xml:space="preserve">V-003917</t>
  </si>
  <si>
    <t xml:space="preserve">V-003918</t>
  </si>
  <si>
    <t xml:space="preserve">V-003919</t>
  </si>
  <si>
    <t xml:space="preserve">V-003920</t>
  </si>
  <si>
    <t xml:space="preserve">V-003921</t>
  </si>
  <si>
    <t xml:space="preserve">V-003922</t>
  </si>
  <si>
    <t xml:space="preserve">V-003923</t>
  </si>
  <si>
    <t xml:space="preserve">V-003924</t>
  </si>
  <si>
    <t xml:space="preserve">V-003925</t>
  </si>
  <si>
    <t xml:space="preserve">V-003926</t>
  </si>
  <si>
    <t xml:space="preserve">V-003927</t>
  </si>
  <si>
    <t xml:space="preserve">V-003928</t>
  </si>
  <si>
    <t xml:space="preserve">V-003929</t>
  </si>
  <si>
    <t xml:space="preserve">V-003930</t>
  </si>
  <si>
    <t xml:space="preserve">V-003931</t>
  </si>
  <si>
    <t xml:space="preserve">V-003932</t>
  </si>
  <si>
    <t xml:space="preserve">V-003933</t>
  </si>
  <si>
    <t xml:space="preserve">V-003934</t>
  </si>
  <si>
    <t xml:space="preserve">V-003935</t>
  </si>
  <si>
    <t xml:space="preserve">V-003936</t>
  </si>
  <si>
    <t xml:space="preserve">V-003937</t>
  </si>
  <si>
    <t xml:space="preserve">V-003938</t>
  </si>
  <si>
    <t xml:space="preserve">V-003939</t>
  </si>
  <si>
    <t xml:space="preserve">V-003940</t>
  </si>
  <si>
    <t xml:space="preserve">V-003941</t>
  </si>
  <si>
    <t xml:space="preserve">V-003942</t>
  </si>
  <si>
    <t xml:space="preserve">V-003943</t>
  </si>
  <si>
    <t xml:space="preserve">V-003944</t>
  </si>
  <si>
    <t xml:space="preserve">V-003945</t>
  </si>
  <si>
    <t xml:space="preserve">V-003946</t>
  </si>
  <si>
    <t xml:space="preserve">V-003947</t>
  </si>
  <si>
    <t xml:space="preserve">V-003948</t>
  </si>
  <si>
    <t xml:space="preserve">V-003949</t>
  </si>
  <si>
    <t xml:space="preserve">V-003950</t>
  </si>
  <si>
    <t xml:space="preserve">V-003951</t>
  </si>
  <si>
    <t xml:space="preserve">V-003952</t>
  </si>
  <si>
    <t xml:space="preserve">V-003953</t>
  </si>
  <si>
    <t xml:space="preserve">V-003954</t>
  </si>
  <si>
    <t xml:space="preserve">V-003955</t>
  </si>
  <si>
    <t xml:space="preserve">V-003956</t>
  </si>
  <si>
    <t xml:space="preserve">V-003957</t>
  </si>
  <si>
    <t xml:space="preserve">V-003958</t>
  </si>
  <si>
    <t xml:space="preserve">V-003959</t>
  </si>
  <si>
    <t xml:space="preserve">V-003960</t>
  </si>
  <si>
    <t xml:space="preserve">V-003961</t>
  </si>
  <si>
    <t xml:space="preserve">V-003962</t>
  </si>
  <si>
    <t xml:space="preserve">V-003963</t>
  </si>
  <si>
    <t xml:space="preserve">V-003964</t>
  </si>
  <si>
    <t xml:space="preserve">V-003965</t>
  </si>
  <si>
    <t xml:space="preserve">V-003966</t>
  </si>
  <si>
    <t xml:space="preserve">V-003967</t>
  </si>
  <si>
    <t xml:space="preserve">V-003968</t>
  </si>
  <si>
    <t xml:space="preserve">V-003969</t>
  </si>
  <si>
    <t xml:space="preserve">V-003970</t>
  </si>
  <si>
    <t xml:space="preserve">V-003971</t>
  </si>
  <si>
    <t xml:space="preserve">V-003972</t>
  </si>
  <si>
    <t xml:space="preserve">V-003973</t>
  </si>
  <si>
    <t xml:space="preserve">V-003974</t>
  </si>
  <si>
    <t xml:space="preserve">V-003975</t>
  </si>
  <si>
    <t xml:space="preserve">V-003976</t>
  </si>
  <si>
    <t xml:space="preserve">V-003977</t>
  </si>
  <si>
    <t xml:space="preserve">V-003978</t>
  </si>
  <si>
    <t xml:space="preserve">V-003979</t>
  </si>
  <si>
    <t xml:space="preserve">V-003980</t>
  </si>
  <si>
    <t xml:space="preserve">V-003981</t>
  </si>
  <si>
    <t xml:space="preserve">V-003982</t>
  </si>
  <si>
    <t xml:space="preserve">V-003983</t>
  </si>
  <si>
    <t xml:space="preserve">V-003984</t>
  </si>
  <si>
    <t xml:space="preserve">V-003985</t>
  </si>
  <si>
    <t xml:space="preserve">V-003986</t>
  </si>
  <si>
    <t xml:space="preserve">V-003987</t>
  </si>
  <si>
    <t xml:space="preserve">V-003988</t>
  </si>
  <si>
    <t xml:space="preserve">V-003989</t>
  </si>
  <si>
    <t xml:space="preserve">V-003990</t>
  </si>
  <si>
    <t xml:space="preserve">V-003991</t>
  </si>
  <si>
    <t xml:space="preserve">V-003992</t>
  </si>
  <si>
    <t xml:space="preserve">V-003993</t>
  </si>
  <si>
    <t xml:space="preserve">V-003994</t>
  </si>
  <si>
    <t xml:space="preserve">V-003995</t>
  </si>
  <si>
    <t xml:space="preserve">V-003996</t>
  </si>
  <si>
    <t xml:space="preserve">V-003997</t>
  </si>
  <si>
    <t xml:space="preserve">V-003998</t>
  </si>
  <si>
    <t xml:space="preserve">V-003999</t>
  </si>
  <si>
    <t xml:space="preserve">V-004000</t>
  </si>
  <si>
    <t xml:space="preserve">V-004001</t>
  </si>
  <si>
    <t xml:space="preserve">V-004002</t>
  </si>
  <si>
    <t xml:space="preserve">V-004003</t>
  </si>
  <si>
    <t xml:space="preserve">V-004004</t>
  </si>
  <si>
    <t xml:space="preserve">V-004005</t>
  </si>
  <si>
    <t xml:space="preserve">V-004006</t>
  </si>
  <si>
    <t xml:space="preserve">V-004007</t>
  </si>
  <si>
    <t xml:space="preserve">V-004008</t>
  </si>
  <si>
    <t xml:space="preserve">V-004009</t>
  </si>
  <si>
    <t xml:space="preserve">V-004010</t>
  </si>
  <si>
    <t xml:space="preserve">V-004011</t>
  </si>
  <si>
    <t xml:space="preserve">V-004012</t>
  </si>
  <si>
    <t xml:space="preserve">V-004013</t>
  </si>
  <si>
    <t xml:space="preserve">V-004014</t>
  </si>
  <si>
    <t xml:space="preserve">V-004015</t>
  </si>
  <si>
    <t xml:space="preserve">V-004016</t>
  </si>
  <si>
    <t xml:space="preserve">V-004017</t>
  </si>
  <si>
    <t xml:space="preserve">V-004018</t>
  </si>
  <si>
    <t xml:space="preserve">V-004019</t>
  </si>
  <si>
    <t xml:space="preserve">V-004020</t>
  </si>
  <si>
    <t xml:space="preserve">V-004021</t>
  </si>
  <si>
    <t xml:space="preserve">V-004022</t>
  </si>
  <si>
    <t xml:space="preserve">V-004023</t>
  </si>
  <si>
    <t xml:space="preserve">V-004024</t>
  </si>
  <si>
    <t xml:space="preserve">V-004025</t>
  </si>
  <si>
    <t xml:space="preserve">V-004026</t>
  </si>
  <si>
    <t xml:space="preserve">V-004027</t>
  </si>
  <si>
    <t xml:space="preserve">V-004028</t>
  </si>
  <si>
    <t xml:space="preserve">V-004029</t>
  </si>
  <si>
    <t xml:space="preserve">V-004030</t>
  </si>
  <si>
    <t xml:space="preserve">V-004031</t>
  </si>
  <si>
    <t xml:space="preserve">V-004032</t>
  </si>
  <si>
    <t xml:space="preserve">V-004033</t>
  </si>
  <si>
    <t xml:space="preserve">V-004034</t>
  </si>
  <si>
    <t xml:space="preserve">V-004035</t>
  </si>
  <si>
    <t xml:space="preserve">V-004036</t>
  </si>
  <si>
    <t xml:space="preserve">V-004037</t>
  </si>
  <si>
    <t xml:space="preserve">V-004038</t>
  </si>
  <si>
    <t xml:space="preserve">V-004039</t>
  </si>
  <si>
    <t xml:space="preserve">V-004040</t>
  </si>
  <si>
    <t xml:space="preserve">V-004041</t>
  </si>
  <si>
    <t xml:space="preserve">V-004042</t>
  </si>
  <si>
    <t xml:space="preserve">V-004043</t>
  </si>
  <si>
    <t xml:space="preserve">V-004044</t>
  </si>
  <si>
    <t xml:space="preserve">V-004045</t>
  </si>
  <si>
    <t xml:space="preserve">V-004046</t>
  </si>
  <si>
    <t xml:space="preserve">V-004047</t>
  </si>
  <si>
    <t xml:space="preserve">V-004048</t>
  </si>
  <si>
    <t xml:space="preserve">V-004049</t>
  </si>
  <si>
    <t xml:space="preserve">V-004050</t>
  </si>
  <si>
    <t xml:space="preserve">V-004051</t>
  </si>
  <si>
    <t xml:space="preserve">V-004052</t>
  </si>
  <si>
    <t xml:space="preserve">V-004053</t>
  </si>
  <si>
    <t xml:space="preserve">V-004054</t>
  </si>
  <si>
    <t xml:space="preserve">V-004055</t>
  </si>
  <si>
    <t xml:space="preserve">V-004056</t>
  </si>
  <si>
    <t xml:space="preserve">V-004057</t>
  </si>
  <si>
    <t xml:space="preserve">V-004058</t>
  </si>
  <si>
    <t xml:space="preserve">V-004059</t>
  </si>
  <si>
    <t xml:space="preserve">V-004060</t>
  </si>
  <si>
    <t xml:space="preserve">V-004061</t>
  </si>
  <si>
    <t xml:space="preserve">V-004062</t>
  </si>
  <si>
    <t xml:space="preserve">V-004063</t>
  </si>
  <si>
    <t xml:space="preserve">V-004064</t>
  </si>
  <si>
    <t xml:space="preserve">V-004065</t>
  </si>
  <si>
    <t xml:space="preserve">V-004066</t>
  </si>
  <si>
    <t xml:space="preserve">V-004067</t>
  </si>
  <si>
    <t xml:space="preserve">V-004068</t>
  </si>
  <si>
    <t xml:space="preserve">V-004069</t>
  </si>
  <si>
    <t xml:space="preserve">V-004070</t>
  </si>
  <si>
    <t xml:space="preserve">V-004071</t>
  </si>
  <si>
    <t xml:space="preserve">V-004072</t>
  </si>
  <si>
    <t xml:space="preserve">V-004073</t>
  </si>
  <si>
    <t xml:space="preserve">V-004074</t>
  </si>
  <si>
    <t xml:space="preserve">V-004075</t>
  </si>
  <si>
    <t xml:space="preserve">V-004076</t>
  </si>
  <si>
    <t xml:space="preserve">V-004077</t>
  </si>
  <si>
    <t xml:space="preserve">V-004078</t>
  </si>
  <si>
    <t xml:space="preserve">V-004079</t>
  </si>
  <si>
    <t xml:space="preserve">V-004080</t>
  </si>
  <si>
    <t xml:space="preserve">V-004081</t>
  </si>
  <si>
    <t xml:space="preserve">V-004082</t>
  </si>
  <si>
    <t xml:space="preserve">V-004083</t>
  </si>
  <si>
    <t xml:space="preserve">V-004084</t>
  </si>
  <si>
    <t xml:space="preserve">V-004085</t>
  </si>
  <si>
    <t xml:space="preserve">V-004086</t>
  </si>
  <si>
    <t xml:space="preserve">V-004087</t>
  </si>
  <si>
    <t xml:space="preserve">V-004088</t>
  </si>
  <si>
    <t xml:space="preserve">V-004089</t>
  </si>
  <si>
    <t xml:space="preserve">V-004090</t>
  </si>
  <si>
    <t xml:space="preserve">V-004091</t>
  </si>
  <si>
    <t xml:space="preserve">V-004092</t>
  </si>
  <si>
    <t xml:space="preserve">V-004093</t>
  </si>
  <si>
    <t xml:space="preserve">V-004094</t>
  </si>
  <si>
    <t xml:space="preserve">V-004095</t>
  </si>
  <si>
    <t xml:space="preserve">V-004096</t>
  </si>
  <si>
    <t xml:space="preserve">V-004097</t>
  </si>
  <si>
    <t xml:space="preserve">V-004098</t>
  </si>
  <si>
    <t xml:space="preserve">V-004099</t>
  </si>
  <si>
    <t xml:space="preserve">V-004100</t>
  </si>
  <si>
    <t xml:space="preserve">V-004101</t>
  </si>
  <si>
    <t xml:space="preserve">V-004102</t>
  </si>
  <si>
    <t xml:space="preserve">V-004103</t>
  </si>
  <si>
    <t xml:space="preserve">V-004104</t>
  </si>
  <si>
    <t xml:space="preserve">V-004105</t>
  </si>
  <si>
    <t xml:space="preserve">V-004106</t>
  </si>
  <si>
    <t xml:space="preserve">V-004107</t>
  </si>
  <si>
    <t xml:space="preserve">V-004108</t>
  </si>
  <si>
    <t xml:space="preserve">V-004109</t>
  </si>
  <si>
    <t xml:space="preserve">V-004110</t>
  </si>
  <si>
    <t xml:space="preserve">V-004111</t>
  </si>
  <si>
    <t xml:space="preserve">V-004112</t>
  </si>
  <si>
    <t xml:space="preserve">V-004113</t>
  </si>
  <si>
    <t xml:space="preserve">V-004114</t>
  </si>
  <si>
    <t xml:space="preserve">V-004115</t>
  </si>
  <si>
    <t xml:space="preserve">V-004116</t>
  </si>
  <si>
    <t xml:space="preserve">V-004117</t>
  </si>
  <si>
    <t xml:space="preserve">V-004118</t>
  </si>
  <si>
    <t xml:space="preserve">V-004119</t>
  </si>
  <si>
    <t xml:space="preserve">V-004120</t>
  </si>
  <si>
    <t xml:space="preserve">V-004121</t>
  </si>
  <si>
    <t xml:space="preserve">V-004122</t>
  </si>
  <si>
    <t xml:space="preserve">V-004123</t>
  </si>
  <si>
    <t xml:space="preserve">V-004124</t>
  </si>
  <si>
    <t xml:space="preserve">V-004125</t>
  </si>
  <si>
    <t xml:space="preserve">V-004126</t>
  </si>
  <si>
    <t xml:space="preserve">V-004127</t>
  </si>
  <si>
    <t xml:space="preserve">V-004128</t>
  </si>
  <si>
    <t xml:space="preserve">V-004129</t>
  </si>
  <si>
    <t xml:space="preserve">V-004130</t>
  </si>
  <si>
    <t xml:space="preserve">V-004131</t>
  </si>
  <si>
    <t xml:space="preserve">V-004132</t>
  </si>
  <si>
    <t xml:space="preserve">V-004133</t>
  </si>
  <si>
    <t xml:space="preserve">V-004134</t>
  </si>
  <si>
    <t xml:space="preserve">V-004135</t>
  </si>
  <si>
    <t xml:space="preserve">V-004136</t>
  </si>
  <si>
    <t xml:space="preserve">V-004137</t>
  </si>
  <si>
    <t xml:space="preserve">V-004138</t>
  </si>
  <si>
    <t xml:space="preserve">V-004139</t>
  </si>
  <si>
    <t xml:space="preserve">V-004140</t>
  </si>
  <si>
    <t xml:space="preserve">V-004141</t>
  </si>
  <si>
    <t xml:space="preserve">V-004142</t>
  </si>
  <si>
    <t xml:space="preserve">V-004143</t>
  </si>
  <si>
    <t xml:space="preserve">V-004144</t>
  </si>
  <si>
    <t xml:space="preserve">V-004145</t>
  </si>
  <si>
    <t xml:space="preserve">V-004146</t>
  </si>
  <si>
    <t xml:space="preserve">V-004147</t>
  </si>
  <si>
    <t xml:space="preserve">V-004148</t>
  </si>
  <si>
    <t xml:space="preserve">V-004149</t>
  </si>
  <si>
    <t xml:space="preserve">V-004150</t>
  </si>
  <si>
    <t xml:space="preserve">V-004151</t>
  </si>
  <si>
    <t xml:space="preserve">V-004152</t>
  </si>
  <si>
    <t xml:space="preserve">V-004153</t>
  </si>
  <si>
    <t xml:space="preserve">V-004154</t>
  </si>
  <si>
    <t xml:space="preserve">V-004155</t>
  </si>
  <si>
    <t xml:space="preserve">V-004156</t>
  </si>
  <si>
    <t xml:space="preserve">V-004157</t>
  </si>
  <si>
    <t xml:space="preserve">V-004158</t>
  </si>
  <si>
    <t xml:space="preserve">V-004159</t>
  </si>
  <si>
    <t xml:space="preserve">V-004160</t>
  </si>
  <si>
    <t xml:space="preserve">V-004161</t>
  </si>
  <si>
    <t xml:space="preserve">V-004162</t>
  </si>
  <si>
    <t xml:space="preserve">V-004163</t>
  </si>
  <si>
    <t xml:space="preserve">V-004164</t>
  </si>
  <si>
    <t xml:space="preserve">V-004165</t>
  </si>
  <si>
    <t xml:space="preserve">V-004166</t>
  </si>
  <si>
    <t xml:space="preserve">V-004167</t>
  </si>
  <si>
    <t xml:space="preserve">V-004168</t>
  </si>
  <si>
    <t xml:space="preserve">V-004169</t>
  </si>
  <si>
    <t xml:space="preserve">V-004170</t>
  </si>
  <si>
    <t xml:space="preserve">V-004171</t>
  </si>
  <si>
    <t xml:space="preserve">V-004172</t>
  </si>
  <si>
    <t xml:space="preserve">V-004173</t>
  </si>
  <si>
    <t xml:space="preserve">V-004174</t>
  </si>
  <si>
    <t xml:space="preserve">V-004175</t>
  </si>
  <si>
    <t xml:space="preserve">V-004176</t>
  </si>
  <si>
    <t xml:space="preserve">V-004177</t>
  </si>
  <si>
    <t xml:space="preserve">V-004178</t>
  </si>
  <si>
    <t xml:space="preserve">V-004179</t>
  </si>
  <si>
    <t xml:space="preserve">V-004180</t>
  </si>
  <si>
    <t xml:space="preserve">V-004181</t>
  </si>
  <si>
    <t xml:space="preserve">V-004182</t>
  </si>
  <si>
    <t xml:space="preserve">V-004183</t>
  </si>
  <si>
    <t xml:space="preserve">V-004184</t>
  </si>
  <si>
    <t xml:space="preserve">V-004185</t>
  </si>
  <si>
    <t xml:space="preserve">V-004186</t>
  </si>
  <si>
    <t xml:space="preserve">V-004187</t>
  </si>
  <si>
    <t xml:space="preserve">V-004188</t>
  </si>
  <si>
    <t xml:space="preserve">V-004189</t>
  </si>
  <si>
    <t xml:space="preserve">V-004190</t>
  </si>
  <si>
    <t xml:space="preserve">V-004191</t>
  </si>
  <si>
    <t xml:space="preserve">V-004192</t>
  </si>
  <si>
    <t xml:space="preserve">V-004193</t>
  </si>
  <si>
    <t xml:space="preserve">V-004194</t>
  </si>
  <si>
    <t xml:space="preserve">V-004195</t>
  </si>
  <si>
    <t xml:space="preserve">V-004196</t>
  </si>
  <si>
    <t xml:space="preserve">V-004197</t>
  </si>
  <si>
    <t xml:space="preserve">V-004198</t>
  </si>
  <si>
    <t xml:space="preserve">V-004199</t>
  </si>
  <si>
    <t xml:space="preserve">V-004200</t>
  </si>
  <si>
    <t xml:space="preserve">V-004201</t>
  </si>
  <si>
    <t xml:space="preserve">V-004202</t>
  </si>
  <si>
    <t xml:space="preserve">V-004203</t>
  </si>
  <si>
    <t xml:space="preserve">V-004204</t>
  </si>
  <si>
    <t xml:space="preserve">V-004205</t>
  </si>
  <si>
    <t xml:space="preserve">V-004206</t>
  </si>
  <si>
    <t xml:space="preserve">V-004207</t>
  </si>
  <si>
    <t xml:space="preserve">V-004208</t>
  </si>
  <si>
    <t xml:space="preserve">V-004209</t>
  </si>
  <si>
    <t xml:space="preserve">V-004210</t>
  </si>
  <si>
    <t xml:space="preserve">V-004211</t>
  </si>
  <si>
    <t xml:space="preserve">V-004212</t>
  </si>
  <si>
    <t xml:space="preserve">V-004213</t>
  </si>
  <si>
    <t xml:space="preserve">V-004214</t>
  </si>
  <si>
    <t xml:space="preserve">V-004215</t>
  </si>
  <si>
    <t xml:space="preserve">V-004216</t>
  </si>
  <si>
    <t xml:space="preserve">V-004217</t>
  </si>
  <si>
    <t xml:space="preserve">V-004218</t>
  </si>
  <si>
    <t xml:space="preserve">V-004219</t>
  </si>
  <si>
    <t xml:space="preserve">V-004220</t>
  </si>
  <si>
    <t xml:space="preserve">V-004221</t>
  </si>
  <si>
    <t xml:space="preserve">V-004222</t>
  </si>
  <si>
    <t xml:space="preserve">V-004223</t>
  </si>
  <si>
    <t xml:space="preserve">V-004224</t>
  </si>
  <si>
    <t xml:space="preserve">V-004225</t>
  </si>
  <si>
    <t xml:space="preserve">V-004226</t>
  </si>
  <si>
    <t xml:space="preserve">V-004227</t>
  </si>
  <si>
    <t xml:space="preserve">V-004228</t>
  </si>
  <si>
    <t xml:space="preserve">V-004229</t>
  </si>
  <si>
    <t xml:space="preserve">V-004230</t>
  </si>
  <si>
    <t xml:space="preserve">V-004231</t>
  </si>
  <si>
    <t xml:space="preserve">V-004232</t>
  </si>
  <si>
    <t xml:space="preserve">V-004233</t>
  </si>
  <si>
    <t xml:space="preserve">V-004234</t>
  </si>
  <si>
    <t xml:space="preserve">V-004235</t>
  </si>
  <si>
    <t xml:space="preserve">V-004236</t>
  </si>
  <si>
    <t xml:space="preserve">V-004237</t>
  </si>
  <si>
    <t xml:space="preserve">V-004238</t>
  </si>
  <si>
    <t xml:space="preserve">V-004239</t>
  </si>
  <si>
    <t xml:space="preserve">V-004240</t>
  </si>
  <si>
    <t xml:space="preserve">V-004241</t>
  </si>
  <si>
    <t xml:space="preserve">V-004242</t>
  </si>
  <si>
    <t xml:space="preserve">V-004243</t>
  </si>
  <si>
    <t xml:space="preserve">V-004244</t>
  </si>
  <si>
    <t xml:space="preserve">V-004245</t>
  </si>
  <si>
    <t xml:space="preserve">V-004246</t>
  </si>
  <si>
    <t xml:space="preserve">V-004247</t>
  </si>
  <si>
    <t xml:space="preserve">V-004248</t>
  </si>
  <si>
    <t xml:space="preserve">V-004249</t>
  </si>
  <si>
    <t xml:space="preserve">V-004250</t>
  </si>
  <si>
    <t xml:space="preserve">V-004251</t>
  </si>
  <si>
    <t xml:space="preserve">V-004252</t>
  </si>
  <si>
    <t xml:space="preserve">V-004253</t>
  </si>
  <si>
    <t xml:space="preserve">V-004254</t>
  </si>
  <si>
    <t xml:space="preserve">V-004255</t>
  </si>
  <si>
    <t xml:space="preserve">V-004256</t>
  </si>
  <si>
    <t xml:space="preserve">V-004257</t>
  </si>
  <si>
    <t xml:space="preserve">V-004258</t>
  </si>
  <si>
    <t xml:space="preserve">V-004259</t>
  </si>
  <si>
    <t xml:space="preserve">V-004260</t>
  </si>
  <si>
    <t xml:space="preserve">V-004261</t>
  </si>
  <si>
    <t xml:space="preserve">V-004262</t>
  </si>
  <si>
    <t xml:space="preserve">V-004263</t>
  </si>
  <si>
    <t xml:space="preserve">V-004264</t>
  </si>
  <si>
    <t xml:space="preserve">V-004265</t>
  </si>
  <si>
    <t xml:space="preserve">V-004266</t>
  </si>
  <si>
    <t xml:space="preserve">V-004267</t>
  </si>
  <si>
    <t xml:space="preserve">V-004268</t>
  </si>
  <si>
    <t xml:space="preserve">V-004269</t>
  </si>
  <si>
    <t xml:space="preserve">V-004270</t>
  </si>
  <si>
    <t xml:space="preserve">V-004271</t>
  </si>
  <si>
    <t xml:space="preserve">V-004272</t>
  </si>
  <si>
    <t xml:space="preserve">V-004273</t>
  </si>
  <si>
    <t xml:space="preserve">V-004274</t>
  </si>
  <si>
    <t xml:space="preserve">V-004275</t>
  </si>
  <si>
    <t xml:space="preserve">V-004276</t>
  </si>
  <si>
    <t xml:space="preserve">V-004277</t>
  </si>
  <si>
    <t xml:space="preserve">V-004278</t>
  </si>
  <si>
    <t xml:space="preserve">V-004279</t>
  </si>
  <si>
    <t xml:space="preserve">V-004280</t>
  </si>
  <si>
    <t xml:space="preserve">V-004281</t>
  </si>
  <si>
    <t xml:space="preserve">V-004282</t>
  </si>
  <si>
    <t xml:space="preserve">V-004283</t>
  </si>
  <si>
    <t xml:space="preserve">V-004284</t>
  </si>
  <si>
    <t xml:space="preserve">V-004285</t>
  </si>
  <si>
    <t xml:space="preserve">V-004286</t>
  </si>
  <si>
    <t xml:space="preserve">V-004287</t>
  </si>
  <si>
    <t xml:space="preserve">V-004288</t>
  </si>
  <si>
    <t xml:space="preserve">V-004289</t>
  </si>
  <si>
    <t xml:space="preserve">V-004290</t>
  </si>
  <si>
    <t xml:space="preserve">V-004291</t>
  </si>
  <si>
    <t xml:space="preserve">V-004292</t>
  </si>
  <si>
    <t xml:space="preserve">V-004293</t>
  </si>
  <si>
    <t xml:space="preserve">V-004294</t>
  </si>
  <si>
    <t xml:space="preserve">V-004295</t>
  </si>
  <si>
    <t xml:space="preserve">V-004296</t>
  </si>
  <si>
    <t xml:space="preserve">V-004297</t>
  </si>
  <si>
    <t xml:space="preserve">V-004298</t>
  </si>
  <si>
    <t xml:space="preserve">V-004299</t>
  </si>
  <si>
    <t xml:space="preserve">V-004300</t>
  </si>
  <si>
    <t xml:space="preserve">V-004301</t>
  </si>
  <si>
    <t xml:space="preserve">V-004302</t>
  </si>
  <si>
    <t xml:space="preserve">V-004303</t>
  </si>
  <si>
    <t xml:space="preserve">V-004304</t>
  </si>
  <si>
    <t xml:space="preserve">V-004305</t>
  </si>
  <si>
    <t xml:space="preserve">V-004306</t>
  </si>
  <si>
    <t xml:space="preserve">V-004307</t>
  </si>
  <si>
    <t xml:space="preserve">V-004308</t>
  </si>
  <si>
    <t xml:space="preserve">V-004309</t>
  </si>
  <si>
    <t xml:space="preserve">V-004310</t>
  </si>
  <si>
    <t xml:space="preserve">V-004311</t>
  </si>
  <si>
    <t xml:space="preserve">V-004312</t>
  </si>
  <si>
    <t xml:space="preserve">V-004313</t>
  </si>
  <si>
    <t xml:space="preserve">V-004314</t>
  </si>
  <si>
    <t xml:space="preserve">V-004315</t>
  </si>
  <si>
    <t xml:space="preserve">V-004316</t>
  </si>
  <si>
    <t xml:space="preserve">V-004317</t>
  </si>
  <si>
    <t xml:space="preserve">V-004318</t>
  </si>
  <si>
    <t xml:space="preserve">V-004319</t>
  </si>
  <si>
    <t xml:space="preserve">V-004320</t>
  </si>
  <si>
    <t xml:space="preserve">V-004321</t>
  </si>
  <si>
    <t xml:space="preserve">V-004322</t>
  </si>
  <si>
    <t xml:space="preserve">V-004323</t>
  </si>
  <si>
    <t xml:space="preserve">V-004324</t>
  </si>
  <si>
    <t xml:space="preserve">V-004325</t>
  </si>
  <si>
    <t xml:space="preserve">V-004326</t>
  </si>
  <si>
    <t xml:space="preserve">V-004327</t>
  </si>
  <si>
    <t xml:space="preserve">V-004328</t>
  </si>
  <si>
    <t xml:space="preserve">V-004329</t>
  </si>
  <si>
    <t xml:space="preserve">V-004330</t>
  </si>
  <si>
    <t xml:space="preserve">V-004331</t>
  </si>
  <si>
    <t xml:space="preserve">V-004332</t>
  </si>
  <si>
    <t xml:space="preserve">V-004333</t>
  </si>
  <si>
    <t xml:space="preserve">V-004334</t>
  </si>
  <si>
    <t xml:space="preserve">V-004335</t>
  </si>
  <si>
    <t xml:space="preserve">V-004336</t>
  </si>
  <si>
    <t xml:space="preserve">V-004337</t>
  </si>
  <si>
    <t xml:space="preserve">V-004338</t>
  </si>
  <si>
    <t xml:space="preserve">V-004339</t>
  </si>
  <si>
    <t xml:space="preserve">V-004340</t>
  </si>
  <si>
    <t xml:space="preserve">V-004341</t>
  </si>
  <si>
    <t xml:space="preserve">V-004342</t>
  </si>
  <si>
    <t xml:space="preserve">V-004343</t>
  </si>
  <si>
    <t xml:space="preserve">V-004344</t>
  </si>
  <si>
    <t xml:space="preserve">V-004345</t>
  </si>
  <si>
    <t xml:space="preserve">V-004346</t>
  </si>
  <si>
    <t xml:space="preserve">V-004347</t>
  </si>
  <si>
    <t xml:space="preserve">V-004348</t>
  </si>
  <si>
    <t xml:space="preserve">V-004349</t>
  </si>
  <si>
    <t xml:space="preserve">V-004350</t>
  </si>
  <si>
    <t xml:space="preserve">V-004351</t>
  </si>
  <si>
    <t xml:space="preserve">V-004352</t>
  </si>
  <si>
    <t xml:space="preserve">V-004353</t>
  </si>
  <si>
    <t xml:space="preserve">V-004354</t>
  </si>
  <si>
    <t xml:space="preserve">V-004355</t>
  </si>
  <si>
    <t xml:space="preserve">V-004356</t>
  </si>
  <si>
    <t xml:space="preserve">V-004357</t>
  </si>
  <si>
    <t xml:space="preserve">V-004358</t>
  </si>
  <si>
    <t xml:space="preserve">V-004359</t>
  </si>
  <si>
    <t xml:space="preserve">V-004360</t>
  </si>
  <si>
    <t xml:space="preserve">V-004361</t>
  </si>
  <si>
    <t xml:space="preserve">V-004362</t>
  </si>
  <si>
    <t xml:space="preserve">V-004363</t>
  </si>
  <si>
    <t xml:space="preserve">V-004364</t>
  </si>
  <si>
    <t xml:space="preserve">V-004365</t>
  </si>
  <si>
    <t xml:space="preserve">V-004366</t>
  </si>
  <si>
    <t xml:space="preserve">V-004367</t>
  </si>
  <si>
    <t xml:space="preserve">V-004368</t>
  </si>
  <si>
    <t xml:space="preserve">V-004369</t>
  </si>
  <si>
    <t xml:space="preserve">V-004370</t>
  </si>
  <si>
    <t xml:space="preserve">V-004371</t>
  </si>
  <si>
    <t xml:space="preserve">V-004372</t>
  </si>
  <si>
    <t xml:space="preserve">V-004373</t>
  </si>
  <si>
    <t xml:space="preserve">V-004374</t>
  </si>
  <si>
    <t xml:space="preserve">V-004375</t>
  </si>
  <si>
    <t xml:space="preserve">V-004376</t>
  </si>
  <si>
    <t xml:space="preserve">V-004377</t>
  </si>
  <si>
    <t xml:space="preserve">V-004378</t>
  </si>
  <si>
    <t xml:space="preserve">V-004379</t>
  </si>
  <si>
    <t xml:space="preserve">V-004380</t>
  </si>
  <si>
    <t xml:space="preserve">V-004381</t>
  </si>
  <si>
    <t xml:space="preserve">V-004382</t>
  </si>
  <si>
    <t xml:space="preserve">V-004383</t>
  </si>
  <si>
    <t xml:space="preserve">V-004384</t>
  </si>
  <si>
    <t xml:space="preserve">V-004385</t>
  </si>
  <si>
    <t xml:space="preserve">V-004386</t>
  </si>
  <si>
    <t xml:space="preserve">V-004387</t>
  </si>
  <si>
    <t xml:space="preserve">V-004388</t>
  </si>
  <si>
    <t xml:space="preserve">V-004389</t>
  </si>
  <si>
    <t xml:space="preserve">V-004390</t>
  </si>
  <si>
    <t xml:space="preserve">V-004391</t>
  </si>
  <si>
    <t xml:space="preserve">V-004392</t>
  </si>
  <si>
    <t xml:space="preserve">V-004393</t>
  </si>
  <si>
    <t xml:space="preserve">V-004394</t>
  </si>
  <si>
    <t xml:space="preserve">V-004395</t>
  </si>
  <si>
    <t xml:space="preserve">V-004396</t>
  </si>
  <si>
    <t xml:space="preserve">V-004397</t>
  </si>
  <si>
    <t xml:space="preserve">V-004398</t>
  </si>
  <si>
    <t xml:space="preserve">V-004399</t>
  </si>
  <si>
    <t xml:space="preserve">V-004400</t>
  </si>
  <si>
    <t xml:space="preserve">V-004401</t>
  </si>
  <si>
    <t xml:space="preserve">V-004402</t>
  </si>
  <si>
    <t xml:space="preserve">V-004403</t>
  </si>
  <si>
    <t xml:space="preserve">V-004404</t>
  </si>
  <si>
    <t xml:space="preserve">V-004405</t>
  </si>
  <si>
    <t xml:space="preserve">V-004406</t>
  </si>
  <si>
    <t xml:space="preserve">V-004407</t>
  </si>
  <si>
    <t xml:space="preserve">V-004408</t>
  </si>
  <si>
    <t xml:space="preserve">V-004409</t>
  </si>
  <si>
    <t xml:space="preserve">V-004410</t>
  </si>
  <si>
    <t xml:space="preserve">V-004411</t>
  </si>
  <si>
    <t xml:space="preserve">V-004412</t>
  </si>
  <si>
    <t xml:space="preserve">V-004413</t>
  </si>
  <si>
    <t xml:space="preserve">V-004414</t>
  </si>
  <si>
    <t xml:space="preserve">V-004415</t>
  </si>
  <si>
    <t xml:space="preserve">V-004416</t>
  </si>
  <si>
    <t xml:space="preserve">V-004417</t>
  </si>
  <si>
    <t xml:space="preserve">V-004418</t>
  </si>
  <si>
    <t xml:space="preserve">V-004419</t>
  </si>
  <si>
    <t xml:space="preserve">V-004420</t>
  </si>
  <si>
    <t xml:space="preserve">V-004421</t>
  </si>
  <si>
    <t xml:space="preserve">V-004422</t>
  </si>
  <si>
    <t xml:space="preserve">V-004423</t>
  </si>
  <si>
    <t xml:space="preserve">V-004424</t>
  </si>
  <si>
    <t xml:space="preserve">V-004425</t>
  </si>
  <si>
    <t xml:space="preserve">V-004426</t>
  </si>
  <si>
    <t xml:space="preserve">V-004427</t>
  </si>
  <si>
    <t xml:space="preserve">V-004428</t>
  </si>
  <si>
    <t xml:space="preserve">V-004429</t>
  </si>
  <si>
    <t xml:space="preserve">V-004430</t>
  </si>
  <si>
    <t xml:space="preserve">V-004431</t>
  </si>
  <si>
    <t xml:space="preserve">V-004432</t>
  </si>
  <si>
    <t xml:space="preserve">V-004433</t>
  </si>
  <si>
    <t xml:space="preserve">V-004434</t>
  </si>
  <si>
    <t xml:space="preserve">V-004435</t>
  </si>
  <si>
    <t xml:space="preserve">V-004436</t>
  </si>
  <si>
    <t xml:space="preserve">V-004437</t>
  </si>
  <si>
    <t xml:space="preserve">V-004438</t>
  </si>
  <si>
    <t xml:space="preserve">V-004439</t>
  </si>
  <si>
    <t xml:space="preserve">V-004440</t>
  </si>
  <si>
    <t xml:space="preserve">V-004441</t>
  </si>
  <si>
    <t xml:space="preserve">V-004442</t>
  </si>
  <si>
    <t xml:space="preserve">V-004443</t>
  </si>
  <si>
    <t xml:space="preserve">V-004444</t>
  </si>
  <si>
    <t xml:space="preserve">V-004445</t>
  </si>
  <si>
    <t xml:space="preserve">V-004446</t>
  </si>
  <si>
    <t xml:space="preserve">V-004447</t>
  </si>
  <si>
    <t xml:space="preserve">V-004448</t>
  </si>
  <si>
    <t xml:space="preserve">V-004449</t>
  </si>
  <si>
    <t xml:space="preserve">V-004450</t>
  </si>
  <si>
    <t xml:space="preserve">V-004451</t>
  </si>
  <si>
    <t xml:space="preserve">V-004452</t>
  </si>
  <si>
    <t xml:space="preserve">V-004453</t>
  </si>
  <si>
    <t xml:space="preserve">V-004454</t>
  </si>
  <si>
    <t xml:space="preserve">V-004455</t>
  </si>
  <si>
    <t xml:space="preserve">V-004456</t>
  </si>
  <si>
    <t xml:space="preserve">V-004457</t>
  </si>
  <si>
    <t xml:space="preserve">V-004458</t>
  </si>
  <si>
    <t xml:space="preserve">V-004459</t>
  </si>
  <si>
    <t xml:space="preserve">V-004460</t>
  </si>
  <si>
    <t xml:space="preserve">V-004461</t>
  </si>
  <si>
    <t xml:space="preserve">V-004462</t>
  </si>
  <si>
    <t xml:space="preserve">V-004463</t>
  </si>
  <si>
    <t xml:space="preserve">V-004464</t>
  </si>
  <si>
    <t xml:space="preserve">V-004465</t>
  </si>
  <si>
    <t xml:space="preserve">V-004466</t>
  </si>
  <si>
    <t xml:space="preserve">V-004467</t>
  </si>
  <si>
    <t xml:space="preserve">V-004468</t>
  </si>
  <si>
    <t xml:space="preserve">V-004469</t>
  </si>
  <si>
    <t xml:space="preserve">V-004470</t>
  </si>
  <si>
    <t xml:space="preserve">V-004471</t>
  </si>
  <si>
    <t xml:space="preserve">V-004472</t>
  </si>
  <si>
    <t xml:space="preserve">V-004473</t>
  </si>
  <si>
    <t xml:space="preserve">V-004474</t>
  </si>
  <si>
    <t xml:space="preserve">V-004475</t>
  </si>
  <si>
    <t xml:space="preserve">V-004476</t>
  </si>
  <si>
    <t xml:space="preserve">V-004477</t>
  </si>
  <si>
    <t xml:space="preserve">V-004478</t>
  </si>
  <si>
    <t xml:space="preserve">V-004479</t>
  </si>
  <si>
    <t xml:space="preserve">V-004480</t>
  </si>
  <si>
    <t xml:space="preserve">V-004481</t>
  </si>
  <si>
    <t xml:space="preserve">V-004482</t>
  </si>
  <si>
    <t xml:space="preserve">V-004483</t>
  </si>
  <si>
    <t xml:space="preserve">V-004484</t>
  </si>
  <si>
    <t xml:space="preserve">V-004485</t>
  </si>
  <si>
    <t xml:space="preserve">V-004486</t>
  </si>
  <si>
    <t xml:space="preserve">V-004487</t>
  </si>
  <si>
    <t xml:space="preserve">V-004488</t>
  </si>
  <si>
    <t xml:space="preserve">V-004489</t>
  </si>
  <si>
    <t xml:space="preserve">V-004490</t>
  </si>
  <si>
    <t xml:space="preserve">V-004491</t>
  </si>
  <si>
    <t xml:space="preserve">V-004492</t>
  </si>
  <si>
    <t xml:space="preserve">V-004493</t>
  </si>
  <si>
    <t xml:space="preserve">V-004494</t>
  </si>
  <si>
    <t xml:space="preserve">V-004495</t>
  </si>
  <si>
    <t xml:space="preserve">V-004496</t>
  </si>
  <si>
    <t xml:space="preserve">V-004497</t>
  </si>
  <si>
    <t xml:space="preserve">V-004498</t>
  </si>
  <si>
    <t xml:space="preserve">V-004499</t>
  </si>
  <si>
    <t xml:space="preserve">V-004500</t>
  </si>
  <si>
    <t xml:space="preserve">V-004501</t>
  </si>
  <si>
    <t xml:space="preserve">V-004502</t>
  </si>
  <si>
    <t xml:space="preserve">V-004503</t>
  </si>
  <si>
    <t xml:space="preserve">V-004504</t>
  </si>
  <si>
    <t xml:space="preserve">V-004505</t>
  </si>
  <si>
    <t xml:space="preserve">V-004506</t>
  </si>
  <si>
    <t xml:space="preserve">V-004507</t>
  </si>
  <si>
    <t xml:space="preserve">V-004508</t>
  </si>
  <si>
    <t xml:space="preserve">V-004509</t>
  </si>
  <si>
    <t xml:space="preserve">V-004510</t>
  </si>
  <si>
    <t xml:space="preserve">V-004511</t>
  </si>
  <si>
    <t xml:space="preserve">V-004512</t>
  </si>
  <si>
    <t xml:space="preserve">V-004513</t>
  </si>
  <si>
    <t xml:space="preserve">V-004514</t>
  </si>
  <si>
    <t xml:space="preserve">V-004515</t>
  </si>
  <si>
    <t xml:space="preserve">V-004516</t>
  </si>
  <si>
    <t xml:space="preserve">V-004517</t>
  </si>
  <si>
    <t xml:space="preserve">V-004518</t>
  </si>
  <si>
    <t xml:space="preserve">V-004519</t>
  </si>
  <si>
    <t xml:space="preserve">V-004520</t>
  </si>
  <si>
    <t xml:space="preserve">V-004521</t>
  </si>
  <si>
    <t xml:space="preserve">V-004522</t>
  </si>
  <si>
    <t xml:space="preserve">V-004523</t>
  </si>
  <si>
    <t xml:space="preserve">V-004524</t>
  </si>
  <si>
    <t xml:space="preserve">V-004525</t>
  </si>
  <si>
    <t xml:space="preserve">V-004526</t>
  </si>
  <si>
    <t xml:space="preserve">V-004527</t>
  </si>
  <si>
    <t xml:space="preserve">V-004528</t>
  </si>
  <si>
    <t xml:space="preserve">V-004529</t>
  </si>
  <si>
    <t xml:space="preserve">V-004530</t>
  </si>
  <si>
    <t xml:space="preserve">V-004531</t>
  </si>
  <si>
    <t xml:space="preserve">V-004532</t>
  </si>
  <si>
    <t xml:space="preserve">V-004533</t>
  </si>
  <si>
    <t xml:space="preserve">V-004534</t>
  </si>
  <si>
    <t xml:space="preserve">V-004535</t>
  </si>
  <si>
    <t xml:space="preserve">V-004536</t>
  </si>
  <si>
    <t xml:space="preserve">V-004537</t>
  </si>
  <si>
    <t xml:space="preserve">V-004538</t>
  </si>
  <si>
    <t xml:space="preserve">V-004539</t>
  </si>
  <si>
    <t xml:space="preserve">V-004540</t>
  </si>
  <si>
    <t xml:space="preserve">V-004541</t>
  </si>
  <si>
    <t xml:space="preserve">V-004542</t>
  </si>
  <si>
    <t xml:space="preserve">V-004543</t>
  </si>
  <si>
    <t xml:space="preserve">V-004544</t>
  </si>
  <si>
    <t xml:space="preserve">V-004545</t>
  </si>
  <si>
    <t xml:space="preserve">V-004546</t>
  </si>
  <si>
    <t xml:space="preserve">V-004547</t>
  </si>
  <si>
    <t xml:space="preserve">V-004548</t>
  </si>
  <si>
    <t xml:space="preserve">V-004549</t>
  </si>
  <si>
    <t xml:space="preserve">V-004550</t>
  </si>
  <si>
    <t xml:space="preserve">V-004551</t>
  </si>
  <si>
    <t xml:space="preserve">V-004552</t>
  </si>
  <si>
    <t xml:space="preserve">V-004553</t>
  </si>
  <si>
    <t xml:space="preserve">V-004554</t>
  </si>
  <si>
    <t xml:space="preserve">V-004555</t>
  </si>
  <si>
    <t xml:space="preserve">V-004556</t>
  </si>
  <si>
    <t xml:space="preserve">V-004557</t>
  </si>
  <si>
    <t xml:space="preserve">V-004558</t>
  </si>
  <si>
    <t xml:space="preserve">V-004559</t>
  </si>
  <si>
    <t xml:space="preserve">V-004560</t>
  </si>
  <si>
    <t xml:space="preserve">V-004561</t>
  </si>
  <si>
    <t xml:space="preserve">V-004562</t>
  </si>
  <si>
    <t xml:space="preserve">V-004563</t>
  </si>
  <si>
    <t xml:space="preserve">V-004564</t>
  </si>
  <si>
    <t xml:space="preserve">V-004565</t>
  </si>
  <si>
    <t xml:space="preserve">V-004566</t>
  </si>
  <si>
    <t xml:space="preserve">V-004567</t>
  </si>
  <si>
    <t xml:space="preserve">V-004568</t>
  </si>
  <si>
    <t xml:space="preserve">V-004569</t>
  </si>
  <si>
    <t xml:space="preserve">V-004570</t>
  </si>
  <si>
    <t xml:space="preserve">V-004571</t>
  </si>
  <si>
    <t xml:space="preserve">V-004572</t>
  </si>
  <si>
    <t xml:space="preserve">V-004573</t>
  </si>
  <si>
    <t xml:space="preserve">V-004574</t>
  </si>
  <si>
    <t xml:space="preserve">V-004575</t>
  </si>
  <si>
    <t xml:space="preserve">V-004576</t>
  </si>
  <si>
    <t xml:space="preserve">V-004577</t>
  </si>
  <si>
    <t xml:space="preserve">V-004578</t>
  </si>
  <si>
    <t xml:space="preserve">V-004579</t>
  </si>
  <si>
    <t xml:space="preserve">V-004580</t>
  </si>
  <si>
    <t xml:space="preserve">V-004581</t>
  </si>
  <si>
    <t xml:space="preserve">V-004582</t>
  </si>
  <si>
    <t xml:space="preserve">V-004583</t>
  </si>
  <si>
    <t xml:space="preserve">V-004584</t>
  </si>
  <si>
    <t xml:space="preserve">V-004585</t>
  </si>
  <si>
    <t xml:space="preserve">V-004586</t>
  </si>
  <si>
    <t xml:space="preserve">V-004587</t>
  </si>
  <si>
    <t xml:space="preserve">V-004588</t>
  </si>
  <si>
    <t xml:space="preserve">V-004589</t>
  </si>
  <si>
    <t xml:space="preserve">V-004590</t>
  </si>
  <si>
    <t xml:space="preserve">V-004591</t>
  </si>
  <si>
    <t xml:space="preserve">V-004592</t>
  </si>
  <si>
    <t xml:space="preserve">V-004593</t>
  </si>
  <si>
    <t xml:space="preserve">V-004594</t>
  </si>
  <si>
    <t xml:space="preserve">V-004595</t>
  </si>
  <si>
    <t xml:space="preserve">V-004596</t>
  </si>
  <si>
    <t xml:space="preserve">V-004597</t>
  </si>
  <si>
    <t xml:space="preserve">V-004598</t>
  </si>
  <si>
    <t xml:space="preserve">V-004599</t>
  </si>
  <si>
    <t xml:space="preserve">V-004600</t>
  </si>
  <si>
    <t xml:space="preserve">V-004601</t>
  </si>
  <si>
    <t xml:space="preserve">V-004602</t>
  </si>
  <si>
    <t xml:space="preserve">V-004603</t>
  </si>
  <si>
    <t xml:space="preserve">V-004604</t>
  </si>
  <si>
    <t xml:space="preserve">V-004605</t>
  </si>
  <si>
    <t xml:space="preserve">V-004606</t>
  </si>
  <si>
    <t xml:space="preserve">V-004607</t>
  </si>
  <si>
    <t xml:space="preserve">V-004608</t>
  </si>
  <si>
    <t xml:space="preserve">V-004609</t>
  </si>
  <si>
    <t xml:space="preserve">V-004610</t>
  </si>
  <si>
    <t xml:space="preserve">V-004611</t>
  </si>
  <si>
    <t xml:space="preserve">V-004612</t>
  </si>
  <si>
    <t xml:space="preserve">V-004613</t>
  </si>
  <si>
    <t xml:space="preserve">V-004614</t>
  </si>
  <si>
    <t xml:space="preserve">V-004615</t>
  </si>
  <si>
    <t xml:space="preserve">V-004616</t>
  </si>
  <si>
    <t xml:space="preserve">V-004617</t>
  </si>
  <si>
    <t xml:space="preserve">V-004618</t>
  </si>
  <si>
    <t xml:space="preserve">V-004619</t>
  </si>
  <si>
    <t xml:space="preserve">V-004620</t>
  </si>
  <si>
    <t xml:space="preserve">V-004621</t>
  </si>
  <si>
    <t xml:space="preserve">V-004622</t>
  </si>
  <si>
    <t xml:space="preserve">V-004623</t>
  </si>
  <si>
    <t xml:space="preserve">V-004624</t>
  </si>
  <si>
    <t xml:space="preserve">V-004625</t>
  </si>
  <si>
    <t xml:space="preserve">V-004626</t>
  </si>
  <si>
    <t xml:space="preserve">V-004627</t>
  </si>
  <si>
    <t xml:space="preserve">V-004628</t>
  </si>
  <si>
    <t xml:space="preserve">V-004629</t>
  </si>
  <si>
    <t xml:space="preserve">V-004630</t>
  </si>
  <si>
    <t xml:space="preserve">V-004631</t>
  </si>
  <si>
    <t xml:space="preserve">V-004632</t>
  </si>
  <si>
    <t xml:space="preserve">V-004633</t>
  </si>
  <si>
    <t xml:space="preserve">V-004634</t>
  </si>
  <si>
    <t xml:space="preserve">V-004635</t>
  </si>
  <si>
    <t xml:space="preserve">V-004636</t>
  </si>
  <si>
    <t xml:space="preserve">V-004637</t>
  </si>
  <si>
    <t xml:space="preserve">V-004638</t>
  </si>
  <si>
    <t xml:space="preserve">V-004639</t>
  </si>
  <si>
    <t xml:space="preserve">V-004640</t>
  </si>
  <si>
    <t xml:space="preserve">V-004641</t>
  </si>
  <si>
    <t xml:space="preserve">V-004642</t>
  </si>
  <si>
    <t xml:space="preserve">V-004643</t>
  </si>
  <si>
    <t xml:space="preserve">V-004644</t>
  </si>
  <si>
    <t xml:space="preserve">V-004645</t>
  </si>
  <si>
    <t xml:space="preserve">V-004646</t>
  </si>
  <si>
    <t xml:space="preserve">V-004647</t>
  </si>
  <si>
    <t xml:space="preserve">V-004648</t>
  </si>
  <si>
    <t xml:space="preserve">V-004649</t>
  </si>
  <si>
    <t xml:space="preserve">V-004650</t>
  </si>
  <si>
    <t xml:space="preserve">V-004651</t>
  </si>
  <si>
    <t xml:space="preserve">V-004652</t>
  </si>
  <si>
    <t xml:space="preserve">V-004653</t>
  </si>
  <si>
    <t xml:space="preserve">V-004654</t>
  </si>
  <si>
    <t xml:space="preserve">V-004655</t>
  </si>
  <si>
    <t xml:space="preserve">V-004656</t>
  </si>
  <si>
    <t xml:space="preserve">V-004657</t>
  </si>
  <si>
    <t xml:space="preserve">V-004658</t>
  </si>
  <si>
    <t xml:space="preserve">V-004659</t>
  </si>
  <si>
    <t xml:space="preserve">V-004660</t>
  </si>
  <si>
    <t xml:space="preserve">V-004661</t>
  </si>
  <si>
    <t xml:space="preserve">V-004662</t>
  </si>
  <si>
    <t xml:space="preserve">V-004663</t>
  </si>
  <si>
    <t xml:space="preserve">V-004664</t>
  </si>
  <si>
    <t xml:space="preserve">V-004665</t>
  </si>
  <si>
    <t xml:space="preserve">V-004666</t>
  </si>
  <si>
    <t xml:space="preserve">V-004667</t>
  </si>
  <si>
    <t xml:space="preserve">V-004668</t>
  </si>
  <si>
    <t xml:space="preserve">V-004669</t>
  </si>
  <si>
    <t xml:space="preserve">V-004670</t>
  </si>
  <si>
    <t xml:space="preserve">V-004671</t>
  </si>
  <si>
    <t xml:space="preserve">V-004672</t>
  </si>
  <si>
    <t xml:space="preserve">V-004673</t>
  </si>
  <si>
    <t xml:space="preserve">V-004674</t>
  </si>
  <si>
    <t xml:space="preserve">V-004675</t>
  </si>
  <si>
    <t xml:space="preserve">V-004676</t>
  </si>
  <si>
    <t xml:space="preserve">V-004677</t>
  </si>
  <si>
    <t xml:space="preserve">V-004678</t>
  </si>
  <si>
    <t xml:space="preserve">V-004679</t>
  </si>
  <si>
    <t xml:space="preserve">V-004680</t>
  </si>
  <si>
    <t xml:space="preserve">V-004681</t>
  </si>
  <si>
    <t xml:space="preserve">V-004682</t>
  </si>
  <si>
    <t xml:space="preserve">V-004683</t>
  </si>
  <si>
    <t xml:space="preserve">V-004684</t>
  </si>
  <si>
    <t xml:space="preserve">V-004685</t>
  </si>
  <si>
    <t xml:space="preserve">V-004686</t>
  </si>
  <si>
    <t xml:space="preserve">V-004687</t>
  </si>
  <si>
    <t xml:space="preserve">V-004688</t>
  </si>
  <si>
    <t xml:space="preserve">V-004689</t>
  </si>
  <si>
    <t xml:space="preserve">V-004690</t>
  </si>
  <si>
    <t xml:space="preserve">V-004691</t>
  </si>
  <si>
    <t xml:space="preserve">V-004692</t>
  </si>
  <si>
    <t xml:space="preserve">V-004693</t>
  </si>
  <si>
    <t xml:space="preserve">V-004694</t>
  </si>
  <si>
    <t xml:space="preserve">V-004695</t>
  </si>
  <si>
    <t xml:space="preserve">V-004696</t>
  </si>
  <si>
    <t xml:space="preserve">V-004697</t>
  </si>
  <si>
    <t xml:space="preserve">V-004698</t>
  </si>
  <si>
    <t xml:space="preserve">V-004699</t>
  </si>
  <si>
    <t xml:space="preserve">V-004700</t>
  </si>
  <si>
    <t xml:space="preserve">V-004701</t>
  </si>
  <si>
    <t xml:space="preserve">V-004702</t>
  </si>
  <si>
    <t xml:space="preserve">V-004703</t>
  </si>
  <si>
    <t xml:space="preserve">V-004704</t>
  </si>
  <si>
    <t xml:space="preserve">V-004705</t>
  </si>
  <si>
    <t xml:space="preserve">V-004706</t>
  </si>
  <si>
    <t xml:space="preserve">V-004707</t>
  </si>
  <si>
    <t xml:space="preserve">V-004708</t>
  </si>
  <si>
    <t xml:space="preserve">V-004709</t>
  </si>
  <si>
    <t xml:space="preserve">V-004710</t>
  </si>
  <si>
    <t xml:space="preserve">V-004711</t>
  </si>
  <si>
    <t xml:space="preserve">V-004712</t>
  </si>
  <si>
    <t xml:space="preserve">V-004713</t>
  </si>
  <si>
    <t xml:space="preserve">V-004714</t>
  </si>
  <si>
    <t xml:space="preserve">V-004715</t>
  </si>
  <si>
    <t xml:space="preserve">V-004716</t>
  </si>
  <si>
    <t xml:space="preserve">V-004717</t>
  </si>
  <si>
    <t xml:space="preserve">V-004718</t>
  </si>
  <si>
    <t xml:space="preserve">V-004719</t>
  </si>
  <si>
    <t xml:space="preserve">V-004720</t>
  </si>
  <si>
    <t xml:space="preserve">V-004721</t>
  </si>
  <si>
    <t xml:space="preserve">V-004722</t>
  </si>
  <si>
    <t xml:space="preserve">V-004723</t>
  </si>
  <si>
    <t xml:space="preserve">V-004724</t>
  </si>
  <si>
    <t xml:space="preserve">V-004725</t>
  </si>
  <si>
    <t xml:space="preserve">V-004726</t>
  </si>
  <si>
    <t xml:space="preserve">V-004727</t>
  </si>
  <si>
    <t xml:space="preserve">V-004728</t>
  </si>
  <si>
    <t xml:space="preserve">V-004729</t>
  </si>
  <si>
    <t xml:space="preserve">V-004730</t>
  </si>
  <si>
    <t xml:space="preserve">V-004731</t>
  </si>
  <si>
    <t xml:space="preserve">V-004732</t>
  </si>
  <si>
    <t xml:space="preserve">V-004733</t>
  </si>
  <si>
    <t xml:space="preserve">V-004734</t>
  </si>
  <si>
    <t xml:space="preserve">V-004735</t>
  </si>
  <si>
    <t xml:space="preserve">V-004736</t>
  </si>
  <si>
    <t xml:space="preserve">V-004737</t>
  </si>
  <si>
    <t xml:space="preserve">V-004738</t>
  </si>
  <si>
    <t xml:space="preserve">V-004739</t>
  </si>
  <si>
    <t xml:space="preserve">V-004740</t>
  </si>
  <si>
    <t xml:space="preserve">V-004741</t>
  </si>
  <si>
    <t xml:space="preserve">V-004742</t>
  </si>
  <si>
    <t xml:space="preserve">V-004743</t>
  </si>
  <si>
    <t xml:space="preserve">V-004744</t>
  </si>
  <si>
    <t xml:space="preserve">V-004745</t>
  </si>
  <si>
    <t xml:space="preserve">V-004746</t>
  </si>
  <si>
    <t xml:space="preserve">V-004747</t>
  </si>
  <si>
    <t xml:space="preserve">V-004748</t>
  </si>
  <si>
    <t xml:space="preserve">V-004749</t>
  </si>
  <si>
    <t xml:space="preserve">V-004750</t>
  </si>
  <si>
    <t xml:space="preserve">V-004751</t>
  </si>
  <si>
    <t xml:space="preserve">V-004752</t>
  </si>
  <si>
    <t xml:space="preserve">V-004753</t>
  </si>
  <si>
    <t xml:space="preserve">V-004754</t>
  </si>
  <si>
    <t xml:space="preserve">V-004755</t>
  </si>
  <si>
    <t xml:space="preserve">V-004756</t>
  </si>
  <si>
    <t xml:space="preserve">V-004757</t>
  </si>
  <si>
    <t xml:space="preserve">V-004758</t>
  </si>
  <si>
    <t xml:space="preserve">V-004759</t>
  </si>
  <si>
    <t xml:space="preserve">V-004760</t>
  </si>
  <si>
    <t xml:space="preserve">V-004761</t>
  </si>
  <si>
    <t xml:space="preserve">V-004762</t>
  </si>
  <si>
    <t xml:space="preserve">V-004763</t>
  </si>
  <si>
    <t xml:space="preserve">V-004764</t>
  </si>
  <si>
    <t xml:space="preserve">V-004765</t>
  </si>
  <si>
    <t xml:space="preserve">V-004766</t>
  </si>
  <si>
    <t xml:space="preserve">V-004767</t>
  </si>
  <si>
    <t xml:space="preserve">V-004768</t>
  </si>
  <si>
    <t xml:space="preserve">V-004769</t>
  </si>
  <si>
    <t xml:space="preserve">V-004770</t>
  </si>
  <si>
    <t xml:space="preserve">V-004771</t>
  </si>
  <si>
    <t xml:space="preserve">V-004772</t>
  </si>
  <si>
    <t xml:space="preserve">V-004773</t>
  </si>
  <si>
    <t xml:space="preserve">V-004774</t>
  </si>
  <si>
    <t xml:space="preserve">V-004775</t>
  </si>
  <si>
    <t xml:space="preserve">V-004776</t>
  </si>
  <si>
    <t xml:space="preserve">V-004777</t>
  </si>
  <si>
    <t xml:space="preserve">V-004778</t>
  </si>
  <si>
    <t xml:space="preserve">V-004779</t>
  </si>
  <si>
    <t xml:space="preserve">V-004780</t>
  </si>
  <si>
    <t xml:space="preserve">V-004781</t>
  </si>
  <si>
    <t xml:space="preserve">V-004782</t>
  </si>
  <si>
    <t xml:space="preserve">V-004783</t>
  </si>
  <si>
    <t xml:space="preserve">V-004784</t>
  </si>
  <si>
    <t xml:space="preserve">V-004785</t>
  </si>
  <si>
    <t xml:space="preserve">V-004786</t>
  </si>
  <si>
    <t xml:space="preserve">V-004787</t>
  </si>
  <si>
    <t xml:space="preserve">V-004788</t>
  </si>
  <si>
    <t xml:space="preserve">V-004789</t>
  </si>
  <si>
    <t xml:space="preserve">V-004790</t>
  </si>
  <si>
    <t xml:space="preserve">V-004791</t>
  </si>
  <si>
    <t xml:space="preserve">V-004792</t>
  </si>
  <si>
    <t xml:space="preserve">V-004793</t>
  </si>
  <si>
    <t xml:space="preserve">V-004794</t>
  </si>
  <si>
    <t xml:space="preserve">V-004795</t>
  </si>
  <si>
    <t xml:space="preserve">V-004796</t>
  </si>
  <si>
    <t xml:space="preserve">V-004797</t>
  </si>
  <si>
    <t xml:space="preserve">V-004798</t>
  </si>
  <si>
    <t xml:space="preserve">V-004799</t>
  </si>
  <si>
    <t xml:space="preserve">V-004800</t>
  </si>
  <si>
    <t xml:space="preserve">V-004801</t>
  </si>
  <si>
    <t xml:space="preserve">V-004802</t>
  </si>
  <si>
    <t xml:space="preserve">V-004803</t>
  </si>
  <si>
    <t xml:space="preserve">V-004804</t>
  </si>
  <si>
    <t xml:space="preserve">V-004805</t>
  </si>
  <si>
    <t xml:space="preserve">V-004806</t>
  </si>
  <si>
    <t xml:space="preserve">V-004807</t>
  </si>
  <si>
    <t xml:space="preserve">V-004808</t>
  </si>
  <si>
    <t xml:space="preserve">V-004809</t>
  </si>
  <si>
    <t xml:space="preserve">V-004810</t>
  </si>
  <si>
    <t xml:space="preserve">V-004811</t>
  </si>
  <si>
    <t xml:space="preserve">V-004812</t>
  </si>
  <si>
    <t xml:space="preserve">V-004813</t>
  </si>
  <si>
    <t xml:space="preserve">V-004814</t>
  </si>
  <si>
    <t xml:space="preserve">V-004815</t>
  </si>
  <si>
    <t xml:space="preserve">V-004816</t>
  </si>
  <si>
    <t xml:space="preserve">V-004817</t>
  </si>
  <si>
    <t xml:space="preserve">V-004818</t>
  </si>
  <si>
    <t xml:space="preserve">V-004819</t>
  </si>
  <si>
    <t xml:space="preserve">V-004820</t>
  </si>
  <si>
    <t xml:space="preserve">V-004821</t>
  </si>
  <si>
    <t xml:space="preserve">V-004822</t>
  </si>
  <si>
    <t xml:space="preserve">V-004823</t>
  </si>
  <si>
    <t xml:space="preserve">V-004824</t>
  </si>
  <si>
    <t xml:space="preserve">V-004825</t>
  </si>
  <si>
    <t xml:space="preserve">V-004826</t>
  </si>
  <si>
    <t xml:space="preserve">V-004827</t>
  </si>
  <si>
    <t xml:space="preserve">V-004828</t>
  </si>
  <si>
    <t xml:space="preserve">V-004829</t>
  </si>
  <si>
    <t xml:space="preserve">V-004830</t>
  </si>
  <si>
    <t xml:space="preserve">V-004831</t>
  </si>
  <si>
    <t xml:space="preserve">V-004832</t>
  </si>
  <si>
    <t xml:space="preserve">V-004833</t>
  </si>
  <si>
    <t xml:space="preserve">V-004834</t>
  </si>
  <si>
    <t xml:space="preserve">V-004835</t>
  </si>
  <si>
    <t xml:space="preserve">V-004836</t>
  </si>
  <si>
    <t xml:space="preserve">V-004837</t>
  </si>
  <si>
    <t xml:space="preserve">V-004838</t>
  </si>
  <si>
    <t xml:space="preserve">V-004839</t>
  </si>
  <si>
    <t xml:space="preserve">V-004840</t>
  </si>
  <si>
    <t xml:space="preserve">V-004841</t>
  </si>
  <si>
    <t xml:space="preserve">V-004842</t>
  </si>
  <si>
    <t xml:space="preserve">V-004843</t>
  </si>
  <si>
    <t xml:space="preserve">V-004844</t>
  </si>
  <si>
    <t xml:space="preserve">V-004845</t>
  </si>
  <si>
    <t xml:space="preserve">V-004846</t>
  </si>
  <si>
    <t xml:space="preserve">V-004847</t>
  </si>
  <si>
    <t xml:space="preserve">V-004848</t>
  </si>
  <si>
    <t xml:space="preserve">V-004849</t>
  </si>
  <si>
    <t xml:space="preserve">V-004850</t>
  </si>
  <si>
    <t xml:space="preserve">V-004851</t>
  </si>
  <si>
    <t xml:space="preserve">V-004852</t>
  </si>
  <si>
    <t xml:space="preserve">V-004853</t>
  </si>
  <si>
    <t xml:space="preserve">V-004854</t>
  </si>
  <si>
    <t xml:space="preserve">V-004855</t>
  </si>
  <si>
    <t xml:space="preserve">V-004856</t>
  </si>
  <si>
    <t xml:space="preserve">V-004857</t>
  </si>
  <si>
    <t xml:space="preserve">V-004858</t>
  </si>
  <si>
    <t xml:space="preserve">V-004859</t>
  </si>
  <si>
    <t xml:space="preserve">V-004860</t>
  </si>
  <si>
    <t xml:space="preserve">V-004861</t>
  </si>
  <si>
    <t xml:space="preserve">V-004862</t>
  </si>
  <si>
    <t xml:space="preserve">V-004863</t>
  </si>
  <si>
    <t xml:space="preserve">V-004864</t>
  </si>
  <si>
    <t xml:space="preserve">V-004865</t>
  </si>
  <si>
    <t xml:space="preserve">V-004866</t>
  </si>
  <si>
    <t xml:space="preserve">V-004867</t>
  </si>
  <si>
    <t xml:space="preserve">V-004868</t>
  </si>
  <si>
    <t xml:space="preserve">V-004869</t>
  </si>
  <si>
    <t xml:space="preserve">V-004870</t>
  </si>
  <si>
    <t xml:space="preserve">V-004871</t>
  </si>
  <si>
    <t xml:space="preserve">V-004872</t>
  </si>
  <si>
    <t xml:space="preserve">V-004873</t>
  </si>
  <si>
    <t xml:space="preserve">V-004874</t>
  </si>
  <si>
    <t xml:space="preserve">V-004875</t>
  </si>
  <si>
    <t xml:space="preserve">V-004876</t>
  </si>
  <si>
    <t xml:space="preserve">V-004877</t>
  </si>
  <si>
    <t xml:space="preserve">V-004878</t>
  </si>
  <si>
    <t xml:space="preserve">V-004879</t>
  </si>
  <si>
    <t xml:space="preserve">V-004880</t>
  </si>
  <si>
    <t xml:space="preserve">V-004881</t>
  </si>
  <si>
    <t xml:space="preserve">V-004882</t>
  </si>
  <si>
    <t xml:space="preserve">V-004883</t>
  </si>
  <si>
    <t xml:space="preserve">V-004884</t>
  </si>
  <si>
    <t xml:space="preserve">V-004885</t>
  </si>
  <si>
    <t xml:space="preserve">V-004886</t>
  </si>
  <si>
    <t xml:space="preserve">V-004887</t>
  </si>
  <si>
    <t xml:space="preserve">V-004888</t>
  </si>
  <si>
    <t xml:space="preserve">V-004889</t>
  </si>
  <si>
    <t xml:space="preserve">V-004890</t>
  </si>
  <si>
    <t xml:space="preserve">V-004891</t>
  </si>
  <si>
    <t xml:space="preserve">V-004892</t>
  </si>
  <si>
    <t xml:space="preserve">V-004893</t>
  </si>
  <si>
    <t xml:space="preserve">V-004894</t>
  </si>
  <si>
    <t xml:space="preserve">V-004895</t>
  </si>
  <si>
    <t xml:space="preserve">V-004896</t>
  </si>
  <si>
    <t xml:space="preserve">V-004897</t>
  </si>
  <si>
    <t xml:space="preserve">V-004898</t>
  </si>
  <si>
    <t xml:space="preserve">V-004899</t>
  </si>
  <si>
    <t xml:space="preserve">V-004900</t>
  </si>
  <si>
    <t xml:space="preserve">V-004901</t>
  </si>
  <si>
    <t xml:space="preserve">V-004902</t>
  </si>
  <si>
    <t xml:space="preserve">V-004903</t>
  </si>
  <si>
    <t xml:space="preserve">V-004904</t>
  </si>
  <si>
    <t xml:space="preserve">V-004905</t>
  </si>
  <si>
    <t xml:space="preserve">V-004906</t>
  </si>
  <si>
    <t xml:space="preserve">V-004907</t>
  </si>
  <si>
    <t xml:space="preserve">V-004908</t>
  </si>
  <si>
    <t xml:space="preserve">V-004909</t>
  </si>
  <si>
    <t xml:space="preserve">V-004910</t>
  </si>
  <si>
    <t xml:space="preserve">V-004911</t>
  </si>
  <si>
    <t xml:space="preserve">V-004912</t>
  </si>
  <si>
    <t xml:space="preserve">V-004913</t>
  </si>
  <si>
    <t xml:space="preserve">V-004914</t>
  </si>
  <si>
    <t xml:space="preserve">V-004915</t>
  </si>
  <si>
    <t xml:space="preserve">V-004916</t>
  </si>
  <si>
    <t xml:space="preserve">V-004917</t>
  </si>
  <si>
    <t xml:space="preserve">V-004918</t>
  </si>
  <si>
    <t xml:space="preserve">V-004919</t>
  </si>
  <si>
    <t xml:space="preserve">V-004920</t>
  </si>
  <si>
    <t xml:space="preserve">V-004921</t>
  </si>
  <si>
    <t xml:space="preserve">V-004922</t>
  </si>
  <si>
    <t xml:space="preserve">V-004923</t>
  </si>
  <si>
    <t xml:space="preserve">V-004924</t>
  </si>
  <si>
    <t xml:space="preserve">V-004925</t>
  </si>
  <si>
    <t xml:space="preserve">V-004926</t>
  </si>
  <si>
    <t xml:space="preserve">V-004927</t>
  </si>
  <si>
    <t xml:space="preserve">V-004928</t>
  </si>
  <si>
    <t xml:space="preserve">V-004929</t>
  </si>
  <si>
    <t xml:space="preserve">V-004930</t>
  </si>
  <si>
    <t xml:space="preserve">V-004931</t>
  </si>
  <si>
    <t xml:space="preserve">V-004932</t>
  </si>
  <si>
    <t xml:space="preserve">V-004933</t>
  </si>
  <si>
    <t xml:space="preserve">V-004934</t>
  </si>
  <si>
    <t xml:space="preserve">V-004935</t>
  </si>
  <si>
    <t xml:space="preserve">V-004936</t>
  </si>
  <si>
    <t xml:space="preserve">V-004937</t>
  </si>
  <si>
    <t xml:space="preserve">V-004938</t>
  </si>
  <si>
    <t xml:space="preserve">V-004939</t>
  </si>
  <si>
    <t xml:space="preserve">V-004940</t>
  </si>
  <si>
    <t xml:space="preserve">V-004941</t>
  </si>
  <si>
    <t xml:space="preserve">V-004942</t>
  </si>
  <si>
    <t xml:space="preserve">V-004943</t>
  </si>
  <si>
    <t xml:space="preserve">V-004944</t>
  </si>
  <si>
    <t xml:space="preserve">V-004945</t>
  </si>
  <si>
    <t xml:space="preserve">V-004946</t>
  </si>
  <si>
    <t xml:space="preserve">V-004947</t>
  </si>
  <si>
    <t xml:space="preserve">V-004948</t>
  </si>
  <si>
    <t xml:space="preserve">V-004949</t>
  </si>
  <si>
    <t xml:space="preserve">V-004950</t>
  </si>
  <si>
    <t xml:space="preserve">V-004951</t>
  </si>
  <si>
    <t xml:space="preserve">V-004952</t>
  </si>
  <si>
    <t xml:space="preserve">V-004953</t>
  </si>
  <si>
    <t xml:space="preserve">V-004954</t>
  </si>
  <si>
    <t xml:space="preserve">V-004955</t>
  </si>
  <si>
    <t xml:space="preserve">V-004956</t>
  </si>
  <si>
    <t xml:space="preserve">V-004957</t>
  </si>
  <si>
    <t xml:space="preserve">V-004958</t>
  </si>
  <si>
    <t xml:space="preserve">V-004959</t>
  </si>
  <si>
    <t xml:space="preserve">V-004960</t>
  </si>
  <si>
    <t xml:space="preserve">V-004961</t>
  </si>
  <si>
    <t xml:space="preserve">V-004962</t>
  </si>
  <si>
    <t xml:space="preserve">V-004963</t>
  </si>
  <si>
    <t xml:space="preserve">V-004964</t>
  </si>
  <si>
    <t xml:space="preserve">V-004965</t>
  </si>
  <si>
    <t xml:space="preserve">V-004966</t>
  </si>
  <si>
    <t xml:space="preserve">V-004967</t>
  </si>
  <si>
    <t xml:space="preserve">V-004968</t>
  </si>
  <si>
    <t xml:space="preserve">V-004969</t>
  </si>
  <si>
    <t xml:space="preserve">V-004970</t>
  </si>
  <si>
    <t xml:space="preserve">V-004971</t>
  </si>
  <si>
    <t xml:space="preserve">V-004972</t>
  </si>
  <si>
    <t xml:space="preserve">V-004973</t>
  </si>
  <si>
    <t xml:space="preserve">V-004974</t>
  </si>
  <si>
    <t xml:space="preserve">V-004975</t>
  </si>
  <si>
    <t xml:space="preserve">V-004976</t>
  </si>
  <si>
    <t xml:space="preserve">V-004977</t>
  </si>
  <si>
    <t xml:space="preserve">V-004978</t>
  </si>
  <si>
    <t xml:space="preserve">V-004979</t>
  </si>
  <si>
    <t xml:space="preserve">V-004980</t>
  </si>
  <si>
    <t xml:space="preserve">V-004981</t>
  </si>
  <si>
    <t xml:space="preserve">V-004982</t>
  </si>
  <si>
    <t xml:space="preserve">V-004983</t>
  </si>
  <si>
    <t xml:space="preserve">V-004984</t>
  </si>
  <si>
    <t xml:space="preserve">V-004985</t>
  </si>
  <si>
    <t xml:space="preserve">V-004986</t>
  </si>
  <si>
    <t xml:space="preserve">V-004987</t>
  </si>
  <si>
    <t xml:space="preserve">V-004988</t>
  </si>
  <si>
    <t xml:space="preserve">V-004989</t>
  </si>
  <si>
    <t xml:space="preserve">V-004990</t>
  </si>
  <si>
    <t xml:space="preserve">V-004991</t>
  </si>
  <si>
    <t xml:space="preserve">V-004992</t>
  </si>
  <si>
    <t xml:space="preserve">V-004993</t>
  </si>
  <si>
    <t xml:space="preserve">V-004994</t>
  </si>
  <si>
    <t xml:space="preserve">V-004995</t>
  </si>
  <si>
    <t xml:space="preserve">V-004996</t>
  </si>
  <si>
    <t xml:space="preserve">V-004997</t>
  </si>
  <si>
    <t xml:space="preserve">V-004998</t>
  </si>
  <si>
    <t xml:space="preserve">V-004999</t>
  </si>
  <si>
    <t xml:space="preserve">V-005000</t>
  </si>
  <si>
    <t xml:space="preserve">V-005001</t>
  </si>
  <si>
    <t xml:space="preserve">V-005002</t>
  </si>
  <si>
    <t xml:space="preserve">V-005003</t>
  </si>
  <si>
    <t xml:space="preserve">V-005004</t>
  </si>
  <si>
    <t xml:space="preserve">V-005005</t>
  </si>
  <si>
    <t xml:space="preserve">V-005006</t>
  </si>
  <si>
    <t xml:space="preserve">V-005007</t>
  </si>
  <si>
    <t xml:space="preserve">V-005008</t>
  </si>
  <si>
    <t xml:space="preserve">V-005009</t>
  </si>
  <si>
    <t xml:space="preserve">V-005010</t>
  </si>
  <si>
    <t xml:space="preserve">V-005011</t>
  </si>
  <si>
    <t xml:space="preserve">V-005012</t>
  </si>
  <si>
    <t xml:space="preserve">V-005013</t>
  </si>
  <si>
    <t xml:space="preserve">V-005014</t>
  </si>
  <si>
    <t xml:space="preserve">V-005015</t>
  </si>
  <si>
    <t xml:space="preserve">V-005016</t>
  </si>
  <si>
    <t xml:space="preserve">V-005017</t>
  </si>
  <si>
    <t xml:space="preserve">V-005018</t>
  </si>
  <si>
    <t xml:space="preserve">V-005019</t>
  </si>
  <si>
    <t xml:space="preserve">V-005020</t>
  </si>
  <si>
    <t xml:space="preserve">V-005021</t>
  </si>
  <si>
    <t xml:space="preserve">V-005022</t>
  </si>
  <si>
    <t xml:space="preserve">V-005023</t>
  </si>
  <si>
    <t xml:space="preserve">V-005024</t>
  </si>
  <si>
    <t xml:space="preserve">V-005025</t>
  </si>
  <si>
    <t xml:space="preserve">V-005026</t>
  </si>
  <si>
    <t xml:space="preserve">V-005027</t>
  </si>
  <si>
    <t xml:space="preserve">V-005028</t>
  </si>
  <si>
    <t xml:space="preserve">V-005029</t>
  </si>
  <si>
    <t xml:space="preserve">V-005030</t>
  </si>
  <si>
    <t xml:space="preserve">V-005031</t>
  </si>
  <si>
    <t xml:space="preserve">V-005032</t>
  </si>
  <si>
    <t xml:space="preserve">V-005033</t>
  </si>
  <si>
    <t xml:space="preserve">V-005034</t>
  </si>
  <si>
    <t xml:space="preserve">V-005035</t>
  </si>
  <si>
    <t xml:space="preserve">V-005036</t>
  </si>
  <si>
    <t xml:space="preserve">V-005037</t>
  </si>
  <si>
    <t xml:space="preserve">V-005038</t>
  </si>
  <si>
    <t xml:space="preserve">V-005039</t>
  </si>
  <si>
    <t xml:space="preserve">V-005040</t>
  </si>
  <si>
    <t xml:space="preserve">V-005041</t>
  </si>
  <si>
    <t xml:space="preserve">V-005042</t>
  </si>
  <si>
    <t xml:space="preserve">V-005043</t>
  </si>
  <si>
    <t xml:space="preserve">V-005044</t>
  </si>
  <si>
    <t xml:space="preserve">V-005045</t>
  </si>
  <si>
    <t xml:space="preserve">V-005046</t>
  </si>
  <si>
    <t xml:space="preserve">V-005047</t>
  </si>
  <si>
    <t xml:space="preserve">V-005048</t>
  </si>
  <si>
    <t xml:space="preserve">V-005049</t>
  </si>
  <si>
    <t xml:space="preserve">V-005050</t>
  </si>
  <si>
    <t xml:space="preserve">V-005051</t>
  </si>
  <si>
    <t xml:space="preserve">V-005052</t>
  </si>
  <si>
    <t xml:space="preserve">V-005053</t>
  </si>
  <si>
    <t xml:space="preserve">V-005054</t>
  </si>
  <si>
    <t xml:space="preserve">V-005055</t>
  </si>
  <si>
    <t xml:space="preserve">V-005056</t>
  </si>
  <si>
    <t xml:space="preserve">V-005057</t>
  </si>
  <si>
    <t xml:space="preserve">V-005058</t>
  </si>
  <si>
    <t xml:space="preserve">V-005059</t>
  </si>
  <si>
    <t xml:space="preserve">V-005060</t>
  </si>
  <si>
    <t xml:space="preserve">V-005061</t>
  </si>
  <si>
    <t xml:space="preserve">V-005062</t>
  </si>
  <si>
    <t xml:space="preserve">V-005063</t>
  </si>
  <si>
    <t xml:space="preserve">V-005064</t>
  </si>
  <si>
    <t xml:space="preserve">V-005065</t>
  </si>
  <si>
    <t xml:space="preserve">V-005066</t>
  </si>
  <si>
    <t xml:space="preserve">V-005067</t>
  </si>
  <si>
    <t xml:space="preserve">V-005068</t>
  </si>
  <si>
    <t xml:space="preserve">V-005069</t>
  </si>
  <si>
    <t xml:space="preserve">V-005070</t>
  </si>
  <si>
    <t xml:space="preserve">V-005071</t>
  </si>
  <si>
    <t xml:space="preserve">V-005072</t>
  </si>
  <si>
    <t xml:space="preserve">V-005073</t>
  </si>
  <si>
    <t xml:space="preserve">V-005074</t>
  </si>
  <si>
    <t xml:space="preserve">V-005075</t>
  </si>
  <si>
    <t xml:space="preserve">V-005076</t>
  </si>
  <si>
    <t xml:space="preserve">V-005077</t>
  </si>
  <si>
    <t xml:space="preserve">V-005078</t>
  </si>
  <si>
    <t xml:space="preserve">V-005079</t>
  </si>
  <si>
    <t xml:space="preserve">V-005080</t>
  </si>
  <si>
    <t xml:space="preserve">V-005081</t>
  </si>
  <si>
    <t xml:space="preserve">V-005082</t>
  </si>
  <si>
    <t xml:space="preserve">V-005083</t>
  </si>
  <si>
    <t xml:space="preserve">V-005084</t>
  </si>
  <si>
    <t xml:space="preserve">V-005085</t>
  </si>
  <si>
    <t xml:space="preserve">V-005086</t>
  </si>
  <si>
    <t xml:space="preserve">V-005087</t>
  </si>
  <si>
    <t xml:space="preserve">V-005088</t>
  </si>
  <si>
    <t xml:space="preserve">V-005089</t>
  </si>
  <si>
    <t xml:space="preserve">V-005090</t>
  </si>
  <si>
    <t xml:space="preserve">V-005091</t>
  </si>
  <si>
    <t xml:space="preserve">V-005092</t>
  </si>
  <si>
    <t xml:space="preserve">V-005093</t>
  </si>
  <si>
    <t xml:space="preserve">V-005094</t>
  </si>
  <si>
    <t xml:space="preserve">V-005095</t>
  </si>
  <si>
    <t xml:space="preserve">V-005096</t>
  </si>
  <si>
    <t xml:space="preserve">V-005097</t>
  </si>
  <si>
    <t xml:space="preserve">V-005098</t>
  </si>
  <si>
    <t xml:space="preserve">V-005099</t>
  </si>
  <si>
    <t xml:space="preserve">V-005100</t>
  </si>
  <si>
    <t xml:space="preserve">V-005101</t>
  </si>
  <si>
    <t xml:space="preserve">V-005102</t>
  </si>
  <si>
    <t xml:space="preserve">V-005103</t>
  </si>
  <si>
    <t xml:space="preserve">V-005104</t>
  </si>
  <si>
    <t xml:space="preserve">V-005105</t>
  </si>
  <si>
    <t xml:space="preserve">V-005106</t>
  </si>
  <si>
    <t xml:space="preserve">V-005107</t>
  </si>
  <si>
    <t xml:space="preserve">V-005108</t>
  </si>
  <si>
    <t xml:space="preserve">V-005109</t>
  </si>
  <si>
    <t xml:space="preserve">V-005110</t>
  </si>
  <si>
    <t xml:space="preserve">V-005111</t>
  </si>
  <si>
    <t xml:space="preserve">V-005112</t>
  </si>
  <si>
    <t xml:space="preserve">V-005113</t>
  </si>
  <si>
    <t xml:space="preserve">V-005114</t>
  </si>
  <si>
    <t xml:space="preserve">V-005115</t>
  </si>
  <si>
    <t xml:space="preserve">V-005116</t>
  </si>
  <si>
    <t xml:space="preserve">V-005117</t>
  </si>
  <si>
    <t xml:space="preserve">V-005118</t>
  </si>
  <si>
    <t xml:space="preserve">V-005119</t>
  </si>
  <si>
    <t xml:space="preserve">V-005120</t>
  </si>
  <si>
    <t xml:space="preserve">V-005121</t>
  </si>
  <si>
    <t xml:space="preserve">V-005122</t>
  </si>
  <si>
    <t xml:space="preserve">V-005123</t>
  </si>
  <si>
    <t xml:space="preserve">V-005124</t>
  </si>
  <si>
    <t xml:space="preserve">V-005125</t>
  </si>
  <si>
    <t xml:space="preserve">V-005126</t>
  </si>
  <si>
    <t xml:space="preserve">V-005127</t>
  </si>
  <si>
    <t xml:space="preserve">V-005128</t>
  </si>
  <si>
    <t xml:space="preserve">V-005129</t>
  </si>
  <si>
    <t xml:space="preserve">V-005130</t>
  </si>
  <si>
    <t xml:space="preserve">V-005131</t>
  </si>
  <si>
    <t xml:space="preserve">V-005132</t>
  </si>
  <si>
    <t xml:space="preserve">V-005133</t>
  </si>
  <si>
    <t xml:space="preserve">V-005134</t>
  </si>
  <si>
    <t xml:space="preserve">V-005135</t>
  </si>
  <si>
    <t xml:space="preserve">V-005136</t>
  </si>
  <si>
    <t xml:space="preserve">V-005137</t>
  </si>
  <si>
    <t xml:space="preserve">V-005138</t>
  </si>
  <si>
    <t xml:space="preserve">V-005139</t>
  </si>
  <si>
    <t xml:space="preserve">V-005140</t>
  </si>
  <si>
    <t xml:space="preserve">V-005141</t>
  </si>
  <si>
    <t xml:space="preserve">V-005142</t>
  </si>
  <si>
    <t xml:space="preserve">V-005143</t>
  </si>
  <si>
    <t xml:space="preserve">V-005144</t>
  </si>
  <si>
    <t xml:space="preserve">V-005145</t>
  </si>
  <si>
    <t xml:space="preserve">V-005146</t>
  </si>
  <si>
    <t xml:space="preserve">V-005147</t>
  </si>
  <si>
    <t xml:space="preserve">V-005148</t>
  </si>
  <si>
    <t xml:space="preserve">V-005149</t>
  </si>
  <si>
    <t xml:space="preserve">V-005150</t>
  </si>
  <si>
    <t xml:space="preserve">V-005151</t>
  </si>
  <si>
    <t xml:space="preserve">V-005152</t>
  </si>
  <si>
    <t xml:space="preserve">V-005153</t>
  </si>
  <si>
    <t xml:space="preserve">V-005154</t>
  </si>
  <si>
    <t xml:space="preserve">V-005155</t>
  </si>
  <si>
    <t xml:space="preserve">V-005156</t>
  </si>
  <si>
    <t xml:space="preserve">V-005157</t>
  </si>
  <si>
    <t xml:space="preserve">V-005158</t>
  </si>
  <si>
    <t xml:space="preserve">V-005159</t>
  </si>
  <si>
    <t xml:space="preserve">V-005160</t>
  </si>
  <si>
    <t xml:space="preserve">V-005161</t>
  </si>
  <si>
    <t xml:space="preserve">V-005162</t>
  </si>
  <si>
    <t xml:space="preserve">V-005163</t>
  </si>
  <si>
    <t xml:space="preserve">V-005164</t>
  </si>
  <si>
    <t xml:space="preserve">V-005165</t>
  </si>
  <si>
    <t xml:space="preserve">V-005166</t>
  </si>
  <si>
    <t xml:space="preserve">V-005167</t>
  </si>
  <si>
    <t xml:space="preserve">V-005168</t>
  </si>
  <si>
    <t xml:space="preserve">V-005169</t>
  </si>
  <si>
    <t xml:space="preserve">V-005170</t>
  </si>
  <si>
    <t xml:space="preserve">V-005171</t>
  </si>
  <si>
    <t xml:space="preserve">V-005172</t>
  </si>
  <si>
    <t xml:space="preserve">V-005173</t>
  </si>
  <si>
    <t xml:space="preserve">V-005174</t>
  </si>
  <si>
    <t xml:space="preserve">V-005175</t>
  </si>
  <si>
    <t xml:space="preserve">V-005176</t>
  </si>
  <si>
    <t xml:space="preserve">V-005177</t>
  </si>
  <si>
    <t xml:space="preserve">V-005178</t>
  </si>
  <si>
    <t xml:space="preserve">V-005179</t>
  </si>
  <si>
    <t xml:space="preserve">V-005180</t>
  </si>
  <si>
    <t xml:space="preserve">V-005181</t>
  </si>
  <si>
    <t xml:space="preserve">V-005182</t>
  </si>
  <si>
    <t xml:space="preserve">V-005183</t>
  </si>
  <si>
    <t xml:space="preserve">V-005184</t>
  </si>
  <si>
    <t xml:space="preserve">V-005185</t>
  </si>
  <si>
    <t xml:space="preserve">V-005186</t>
  </si>
  <si>
    <t xml:space="preserve">V-005187</t>
  </si>
  <si>
    <t xml:space="preserve">V-005188</t>
  </si>
  <si>
    <t xml:space="preserve">V-005189</t>
  </si>
  <si>
    <t xml:space="preserve">V-005190</t>
  </si>
  <si>
    <t xml:space="preserve">V-005191</t>
  </si>
  <si>
    <t xml:space="preserve">V-005192</t>
  </si>
  <si>
    <t xml:space="preserve">V-005193</t>
  </si>
  <si>
    <t xml:space="preserve">V-005194</t>
  </si>
  <si>
    <t xml:space="preserve">V-005195</t>
  </si>
  <si>
    <t xml:space="preserve">V-005196</t>
  </si>
  <si>
    <t xml:space="preserve">V-005197</t>
  </si>
  <si>
    <t xml:space="preserve">V-005198</t>
  </si>
  <si>
    <t xml:space="preserve">V-005199</t>
  </si>
  <si>
    <t xml:space="preserve">V-005200</t>
  </si>
  <si>
    <t xml:space="preserve">V-005201</t>
  </si>
  <si>
    <t xml:space="preserve">V-005202</t>
  </si>
  <si>
    <t xml:space="preserve">V-005203</t>
  </si>
  <si>
    <t xml:space="preserve">V-005204</t>
  </si>
  <si>
    <t xml:space="preserve">V-005205</t>
  </si>
  <si>
    <t xml:space="preserve">V-005206</t>
  </si>
  <si>
    <t xml:space="preserve">V-005207</t>
  </si>
  <si>
    <t xml:space="preserve">V-005208</t>
  </si>
  <si>
    <t xml:space="preserve">V-005209</t>
  </si>
  <si>
    <t xml:space="preserve">V-005210</t>
  </si>
  <si>
    <t xml:space="preserve">V-005211</t>
  </si>
  <si>
    <t xml:space="preserve">V-005212</t>
  </si>
  <si>
    <t xml:space="preserve">V-005213</t>
  </si>
  <si>
    <t xml:space="preserve">V-005214</t>
  </si>
  <si>
    <t xml:space="preserve">V-005215</t>
  </si>
  <si>
    <t xml:space="preserve">V-005216</t>
  </si>
  <si>
    <t xml:space="preserve">V-005217</t>
  </si>
  <si>
    <t xml:space="preserve">V-005218</t>
  </si>
  <si>
    <t xml:space="preserve">V-005219</t>
  </si>
  <si>
    <t xml:space="preserve">V-005220</t>
  </si>
  <si>
    <t xml:space="preserve">V-005221</t>
  </si>
  <si>
    <t xml:space="preserve">V-005222</t>
  </si>
  <si>
    <t xml:space="preserve">V-005223</t>
  </si>
  <si>
    <t xml:space="preserve">V-005224</t>
  </si>
  <si>
    <t xml:space="preserve">V-005225</t>
  </si>
  <si>
    <t xml:space="preserve">V-005226</t>
  </si>
  <si>
    <t xml:space="preserve">V-005227</t>
  </si>
  <si>
    <t xml:space="preserve">V-005228</t>
  </si>
  <si>
    <t xml:space="preserve">V-005229</t>
  </si>
  <si>
    <t xml:space="preserve">V-005230</t>
  </si>
  <si>
    <t xml:space="preserve">V-005231</t>
  </si>
  <si>
    <t xml:space="preserve">V-005232</t>
  </si>
  <si>
    <t xml:space="preserve">V-005233</t>
  </si>
  <si>
    <t xml:space="preserve">V-005234</t>
  </si>
  <si>
    <t xml:space="preserve">V-005235</t>
  </si>
  <si>
    <t xml:space="preserve">V-005236</t>
  </si>
  <si>
    <t xml:space="preserve">V-005237</t>
  </si>
  <si>
    <t xml:space="preserve">V-005238</t>
  </si>
  <si>
    <t xml:space="preserve">V-005239</t>
  </si>
  <si>
    <t xml:space="preserve">V-005240</t>
  </si>
  <si>
    <t xml:space="preserve">V-005241</t>
  </si>
  <si>
    <t xml:space="preserve">V-005242</t>
  </si>
  <si>
    <t xml:space="preserve">V-005243</t>
  </si>
  <si>
    <t xml:space="preserve">V-005244</t>
  </si>
  <si>
    <t xml:space="preserve">V-005245</t>
  </si>
  <si>
    <t xml:space="preserve">V-005246</t>
  </si>
  <si>
    <t xml:space="preserve">V-005247</t>
  </si>
  <si>
    <t xml:space="preserve">V-005248</t>
  </si>
  <si>
    <t xml:space="preserve">V-005249</t>
  </si>
  <si>
    <t xml:space="preserve">V-005250</t>
  </si>
  <si>
    <t xml:space="preserve">V-005251</t>
  </si>
  <si>
    <t xml:space="preserve">V-005252</t>
  </si>
  <si>
    <t xml:space="preserve">V-005253</t>
  </si>
  <si>
    <t xml:space="preserve">V-005254</t>
  </si>
  <si>
    <t xml:space="preserve">V-005255</t>
  </si>
  <si>
    <t xml:space="preserve">V-005256</t>
  </si>
  <si>
    <t xml:space="preserve">V-005257</t>
  </si>
  <si>
    <t xml:space="preserve">V-005258</t>
  </si>
  <si>
    <t xml:space="preserve">V-005259</t>
  </si>
  <si>
    <t xml:space="preserve">V-005260</t>
  </si>
  <si>
    <t xml:space="preserve">V-005261</t>
  </si>
  <si>
    <t xml:space="preserve">V-005262</t>
  </si>
  <si>
    <t xml:space="preserve">V-005263</t>
  </si>
  <si>
    <t xml:space="preserve">V-005264</t>
  </si>
  <si>
    <t xml:space="preserve">V-005265</t>
  </si>
  <si>
    <t xml:space="preserve">V-005266</t>
  </si>
  <si>
    <t xml:space="preserve">V-005267</t>
  </si>
  <si>
    <t xml:space="preserve">V-005268</t>
  </si>
  <si>
    <t xml:space="preserve">V-005269</t>
  </si>
  <si>
    <t xml:space="preserve">V-005270</t>
  </si>
  <si>
    <t xml:space="preserve">V-005271</t>
  </si>
  <si>
    <t xml:space="preserve">V-005272</t>
  </si>
  <si>
    <t xml:space="preserve">V-005273</t>
  </si>
  <si>
    <t xml:space="preserve">V-005274</t>
  </si>
  <si>
    <t xml:space="preserve">V-005275</t>
  </si>
  <si>
    <t xml:space="preserve">V-005276</t>
  </si>
  <si>
    <t xml:space="preserve">V-005277</t>
  </si>
  <si>
    <t xml:space="preserve">V-005278</t>
  </si>
  <si>
    <t xml:space="preserve">V-005279</t>
  </si>
  <si>
    <t xml:space="preserve">V-005280</t>
  </si>
  <si>
    <t xml:space="preserve">V-005281</t>
  </si>
  <si>
    <t xml:space="preserve">V-005282</t>
  </si>
  <si>
    <t xml:space="preserve">V-005283</t>
  </si>
  <si>
    <t xml:space="preserve">V-005284</t>
  </si>
  <si>
    <t xml:space="preserve">V-005285</t>
  </si>
  <si>
    <t xml:space="preserve">V-005286</t>
  </si>
  <si>
    <t xml:space="preserve">V-005287</t>
  </si>
  <si>
    <t xml:space="preserve">V-005288</t>
  </si>
  <si>
    <t xml:space="preserve">V-005289</t>
  </si>
  <si>
    <t xml:space="preserve">V-005290</t>
  </si>
  <si>
    <t xml:space="preserve">V-005291</t>
  </si>
  <si>
    <t xml:space="preserve">V-005292</t>
  </si>
  <si>
    <t xml:space="preserve">V-005293</t>
  </si>
  <si>
    <t xml:space="preserve">V-005294</t>
  </si>
  <si>
    <t xml:space="preserve">V-005295</t>
  </si>
  <si>
    <t xml:space="preserve">V-005296</t>
  </si>
  <si>
    <t xml:space="preserve">V-005297</t>
  </si>
  <si>
    <t xml:space="preserve">V-005298</t>
  </si>
  <si>
    <t xml:space="preserve">V-005299</t>
  </si>
  <si>
    <t xml:space="preserve">V-005300</t>
  </si>
  <si>
    <t xml:space="preserve">V-005301</t>
  </si>
  <si>
    <t xml:space="preserve">V-005302</t>
  </si>
  <si>
    <t xml:space="preserve">V-005303</t>
  </si>
  <si>
    <t xml:space="preserve">V-005304</t>
  </si>
  <si>
    <t xml:space="preserve">V-005305</t>
  </si>
  <si>
    <t xml:space="preserve">V-005306</t>
  </si>
  <si>
    <t xml:space="preserve">V-005307</t>
  </si>
  <si>
    <t xml:space="preserve">V-005308</t>
  </si>
  <si>
    <t xml:space="preserve">V-005309</t>
  </si>
  <si>
    <t xml:space="preserve">V-005310</t>
  </si>
  <si>
    <t xml:space="preserve">V-005311</t>
  </si>
  <si>
    <t xml:space="preserve">V-005312</t>
  </si>
  <si>
    <t xml:space="preserve">V-005313</t>
  </si>
  <si>
    <t xml:space="preserve">V-005314</t>
  </si>
  <si>
    <t xml:space="preserve">V-005315</t>
  </si>
  <si>
    <t xml:space="preserve">V-005316</t>
  </si>
  <si>
    <t xml:space="preserve">V-005317</t>
  </si>
  <si>
    <t xml:space="preserve">V-005318</t>
  </si>
  <si>
    <t xml:space="preserve">V-005319</t>
  </si>
  <si>
    <t xml:space="preserve">V-005320</t>
  </si>
  <si>
    <t xml:space="preserve">V-005321</t>
  </si>
  <si>
    <t xml:space="preserve">V-005322</t>
  </si>
  <si>
    <t xml:space="preserve">V-005323</t>
  </si>
  <si>
    <t xml:space="preserve">V-005324</t>
  </si>
  <si>
    <t xml:space="preserve">V-005325</t>
  </si>
  <si>
    <t xml:space="preserve">V-005326</t>
  </si>
  <si>
    <t xml:space="preserve">V-005327</t>
  </si>
  <si>
    <t xml:space="preserve">V-005328</t>
  </si>
  <si>
    <t xml:space="preserve">V-005329</t>
  </si>
  <si>
    <t xml:space="preserve">V-005330</t>
  </si>
  <si>
    <t xml:space="preserve">V-005331</t>
  </si>
  <si>
    <t xml:space="preserve">V-005332</t>
  </si>
  <si>
    <t xml:space="preserve">V-005333</t>
  </si>
  <si>
    <t xml:space="preserve">V-005334</t>
  </si>
  <si>
    <t xml:space="preserve">V-005335</t>
  </si>
  <si>
    <t xml:space="preserve">V-005336</t>
  </si>
  <si>
    <t xml:space="preserve">V-005337</t>
  </si>
  <si>
    <t xml:space="preserve">V-005338</t>
  </si>
  <si>
    <t xml:space="preserve">V-005339</t>
  </si>
  <si>
    <t xml:space="preserve">V-005340</t>
  </si>
  <si>
    <t xml:space="preserve">V-005341</t>
  </si>
  <si>
    <t xml:space="preserve">V-005342</t>
  </si>
  <si>
    <t xml:space="preserve">V-005343</t>
  </si>
  <si>
    <t xml:space="preserve">V-005344</t>
  </si>
  <si>
    <t xml:space="preserve">V-005345</t>
  </si>
  <si>
    <t xml:space="preserve">V-005346</t>
  </si>
  <si>
    <t xml:space="preserve">V-005347</t>
  </si>
  <si>
    <t xml:space="preserve">V-005348</t>
  </si>
  <si>
    <t xml:space="preserve">V-005349</t>
  </si>
  <si>
    <t xml:space="preserve">V-005350</t>
  </si>
  <si>
    <t xml:space="preserve">V-005351</t>
  </si>
  <si>
    <t xml:space="preserve">V-005352</t>
  </si>
  <si>
    <t xml:space="preserve">V-005353</t>
  </si>
  <si>
    <t xml:space="preserve">V-005354</t>
  </si>
  <si>
    <t xml:space="preserve">V-005355</t>
  </si>
  <si>
    <t xml:space="preserve">V-005356</t>
  </si>
  <si>
    <t xml:space="preserve">V-005357</t>
  </si>
  <si>
    <t xml:space="preserve">V-005358</t>
  </si>
  <si>
    <t xml:space="preserve">V-005359</t>
  </si>
  <si>
    <t xml:space="preserve">V-005360</t>
  </si>
  <si>
    <t xml:space="preserve">V-005361</t>
  </si>
  <si>
    <t xml:space="preserve">V-005362</t>
  </si>
  <si>
    <t xml:space="preserve">V-005363</t>
  </si>
  <si>
    <t xml:space="preserve">V-005364</t>
  </si>
  <si>
    <t xml:space="preserve">V-005365</t>
  </si>
  <si>
    <t xml:space="preserve">V-005366</t>
  </si>
  <si>
    <t xml:space="preserve">V-005367</t>
  </si>
  <si>
    <t xml:space="preserve">V-005368</t>
  </si>
  <si>
    <t xml:space="preserve">V-005369</t>
  </si>
  <si>
    <t xml:space="preserve">V-005370</t>
  </si>
  <si>
    <t xml:space="preserve">V-005371</t>
  </si>
  <si>
    <t xml:space="preserve">V-005372</t>
  </si>
  <si>
    <t xml:space="preserve">V-005373</t>
  </si>
  <si>
    <t xml:space="preserve">V-005374</t>
  </si>
  <si>
    <t xml:space="preserve">V-005375</t>
  </si>
  <si>
    <t xml:space="preserve">V-005376</t>
  </si>
  <si>
    <t xml:space="preserve">V-005377</t>
  </si>
  <si>
    <t xml:space="preserve">V-005378</t>
  </si>
  <si>
    <t xml:space="preserve">V-005379</t>
  </si>
  <si>
    <t xml:space="preserve">V-005380</t>
  </si>
  <si>
    <t xml:space="preserve">V-005381</t>
  </si>
  <si>
    <t xml:space="preserve">V-005382</t>
  </si>
  <si>
    <t xml:space="preserve">V-005383</t>
  </si>
  <si>
    <t xml:space="preserve">V-005384</t>
  </si>
  <si>
    <t xml:space="preserve">V-005385</t>
  </si>
  <si>
    <t xml:space="preserve">V-005386</t>
  </si>
  <si>
    <t xml:space="preserve">V-005387</t>
  </si>
  <si>
    <t xml:space="preserve">V-005388</t>
  </si>
  <si>
    <t xml:space="preserve">V-005389</t>
  </si>
  <si>
    <t xml:space="preserve">V-005390</t>
  </si>
  <si>
    <t xml:space="preserve">V-005391</t>
  </si>
  <si>
    <t xml:space="preserve">V-005392</t>
  </si>
  <si>
    <t xml:space="preserve">V-005393</t>
  </si>
  <si>
    <t xml:space="preserve">V-005394</t>
  </si>
  <si>
    <t xml:space="preserve">V-005395</t>
  </si>
  <si>
    <t xml:space="preserve">V-005396</t>
  </si>
  <si>
    <t xml:space="preserve">V-005397</t>
  </si>
  <si>
    <t xml:space="preserve">V-005398</t>
  </si>
  <si>
    <t xml:space="preserve">V-005399</t>
  </si>
  <si>
    <t xml:space="preserve">V-005400</t>
  </si>
  <si>
    <t xml:space="preserve">V-005401</t>
  </si>
  <si>
    <t xml:space="preserve">V-005402</t>
  </si>
  <si>
    <t xml:space="preserve">V-005403</t>
  </si>
  <si>
    <t xml:space="preserve">V-005404</t>
  </si>
  <si>
    <t xml:space="preserve">V-005405</t>
  </si>
  <si>
    <t xml:space="preserve">V-005406</t>
  </si>
  <si>
    <t xml:space="preserve">V-005407</t>
  </si>
  <si>
    <t xml:space="preserve">V-005408</t>
  </si>
  <si>
    <t xml:space="preserve">V-005409</t>
  </si>
  <si>
    <t xml:space="preserve">V-005410</t>
  </si>
  <si>
    <t xml:space="preserve">V-005411</t>
  </si>
  <si>
    <t xml:space="preserve">V-005412</t>
  </si>
  <si>
    <t xml:space="preserve">V-005413</t>
  </si>
  <si>
    <t xml:space="preserve">V-005414</t>
  </si>
  <si>
    <t xml:space="preserve">V-005415</t>
  </si>
  <si>
    <t xml:space="preserve">V-005416</t>
  </si>
  <si>
    <t xml:space="preserve">V-005417</t>
  </si>
  <si>
    <t xml:space="preserve">V-005418</t>
  </si>
  <si>
    <t xml:space="preserve">V-005419</t>
  </si>
  <si>
    <t xml:space="preserve">V-005420</t>
  </si>
  <si>
    <t xml:space="preserve">V-005421</t>
  </si>
  <si>
    <t xml:space="preserve">V-005422</t>
  </si>
  <si>
    <t xml:space="preserve">V-005423</t>
  </si>
  <si>
    <t xml:space="preserve">V-005424</t>
  </si>
  <si>
    <t xml:space="preserve">V-005425</t>
  </si>
  <si>
    <t xml:space="preserve">V-005426</t>
  </si>
  <si>
    <t xml:space="preserve">V-005427</t>
  </si>
  <si>
    <t xml:space="preserve">V-005428</t>
  </si>
  <si>
    <t xml:space="preserve">V-005429</t>
  </si>
  <si>
    <t xml:space="preserve">V-005430</t>
  </si>
  <si>
    <t xml:space="preserve">V-005431</t>
  </si>
  <si>
    <t xml:space="preserve">V-005432</t>
  </si>
  <si>
    <t xml:space="preserve">V-005433</t>
  </si>
  <si>
    <t xml:space="preserve">V-005434</t>
  </si>
  <si>
    <t xml:space="preserve">V-005435</t>
  </si>
  <si>
    <t xml:space="preserve">V-005436</t>
  </si>
  <si>
    <t xml:space="preserve">V-005437</t>
  </si>
  <si>
    <t xml:space="preserve">V-005438</t>
  </si>
  <si>
    <t xml:space="preserve">V-005439</t>
  </si>
  <si>
    <t xml:space="preserve">V-005440</t>
  </si>
  <si>
    <t xml:space="preserve">V-005441</t>
  </si>
  <si>
    <t xml:space="preserve">V-005442</t>
  </si>
  <si>
    <t xml:space="preserve">V-005443</t>
  </si>
  <si>
    <t xml:space="preserve">V-005444</t>
  </si>
  <si>
    <t xml:space="preserve">V-005445</t>
  </si>
  <si>
    <t xml:space="preserve">V-005446</t>
  </si>
  <si>
    <t xml:space="preserve">V-005447</t>
  </si>
  <si>
    <t xml:space="preserve">V-005448</t>
  </si>
  <si>
    <t xml:space="preserve">V-005449</t>
  </si>
  <si>
    <t xml:space="preserve">V-005450</t>
  </si>
  <si>
    <t xml:space="preserve">V-005451</t>
  </si>
  <si>
    <t xml:space="preserve">V-005452</t>
  </si>
  <si>
    <t xml:space="preserve">V-005453</t>
  </si>
  <si>
    <t xml:space="preserve">V-005454</t>
  </si>
  <si>
    <t xml:space="preserve">V-005455</t>
  </si>
  <si>
    <t xml:space="preserve">V-005456</t>
  </si>
  <si>
    <t xml:space="preserve">V-005457</t>
  </si>
  <si>
    <t xml:space="preserve">V-005458</t>
  </si>
  <si>
    <t xml:space="preserve">V-005459</t>
  </si>
  <si>
    <t xml:space="preserve">V-005460</t>
  </si>
  <si>
    <t xml:space="preserve">V-005461</t>
  </si>
  <si>
    <t xml:space="preserve">V-005462</t>
  </si>
  <si>
    <t xml:space="preserve">V-005463</t>
  </si>
  <si>
    <t xml:space="preserve">V-005464</t>
  </si>
  <si>
    <t xml:space="preserve">V-005465</t>
  </si>
  <si>
    <t xml:space="preserve">V-005466</t>
  </si>
  <si>
    <t xml:space="preserve">V-005467</t>
  </si>
  <si>
    <t xml:space="preserve">V-005468</t>
  </si>
  <si>
    <t xml:space="preserve">V-005469</t>
  </si>
  <si>
    <t xml:space="preserve">V-005470</t>
  </si>
  <si>
    <t xml:space="preserve">V-005471</t>
  </si>
  <si>
    <t xml:space="preserve">V-005472</t>
  </si>
  <si>
    <t xml:space="preserve">V-005473</t>
  </si>
  <si>
    <t xml:space="preserve">V-005474</t>
  </si>
  <si>
    <t xml:space="preserve">V-005475</t>
  </si>
  <si>
    <t xml:space="preserve">V-005476</t>
  </si>
  <si>
    <t xml:space="preserve">V-005477</t>
  </si>
  <si>
    <t xml:space="preserve">V-005478</t>
  </si>
  <si>
    <t xml:space="preserve">V-005479</t>
  </si>
  <si>
    <t xml:space="preserve">V-005480</t>
  </si>
  <si>
    <t xml:space="preserve">V-005481</t>
  </si>
  <si>
    <t xml:space="preserve">V-005482</t>
  </si>
  <si>
    <t xml:space="preserve">V-005483</t>
  </si>
  <si>
    <t xml:space="preserve">V-005484</t>
  </si>
  <si>
    <t xml:space="preserve">V-005485</t>
  </si>
  <si>
    <t xml:space="preserve">V-005486</t>
  </si>
  <si>
    <t xml:space="preserve">V-005487</t>
  </si>
  <si>
    <t xml:space="preserve">V-005488</t>
  </si>
  <si>
    <t xml:space="preserve">V-005489</t>
  </si>
  <si>
    <t xml:space="preserve">V-005490</t>
  </si>
  <si>
    <t xml:space="preserve">V-005491</t>
  </si>
  <si>
    <t xml:space="preserve">V-005492</t>
  </si>
  <si>
    <t xml:space="preserve">V-005493</t>
  </si>
  <si>
    <t xml:space="preserve">V-005494</t>
  </si>
  <si>
    <t xml:space="preserve">V-005495</t>
  </si>
  <si>
    <t xml:space="preserve">V-005496</t>
  </si>
  <si>
    <t xml:space="preserve">V-005497</t>
  </si>
  <si>
    <t xml:space="preserve">V-005498</t>
  </si>
  <si>
    <t xml:space="preserve">V-005499</t>
  </si>
  <si>
    <t xml:space="preserve">V-005500</t>
  </si>
  <si>
    <t xml:space="preserve">V-005501</t>
  </si>
  <si>
    <t xml:space="preserve">V-005502</t>
  </si>
  <si>
    <t xml:space="preserve">V-005503</t>
  </si>
  <si>
    <t xml:space="preserve">V-005504</t>
  </si>
  <si>
    <t xml:space="preserve">V-005505</t>
  </si>
  <si>
    <t xml:space="preserve">V-005506</t>
  </si>
  <si>
    <t xml:space="preserve">V-005507</t>
  </si>
  <si>
    <t xml:space="preserve">V-005508</t>
  </si>
  <si>
    <t xml:space="preserve">V-005509</t>
  </si>
  <si>
    <t xml:space="preserve">V-005510</t>
  </si>
  <si>
    <t xml:space="preserve">V-005511</t>
  </si>
  <si>
    <t xml:space="preserve">V-005512</t>
  </si>
  <si>
    <t xml:space="preserve">V-005513</t>
  </si>
  <si>
    <t xml:space="preserve">V-005514</t>
  </si>
  <si>
    <t xml:space="preserve">V-005515</t>
  </si>
  <si>
    <t xml:space="preserve">V-005516</t>
  </si>
  <si>
    <t xml:space="preserve">V-005517</t>
  </si>
  <si>
    <t xml:space="preserve">V-005518</t>
  </si>
  <si>
    <t xml:space="preserve">V-005519</t>
  </si>
  <si>
    <t xml:space="preserve">V-005520</t>
  </si>
  <si>
    <t xml:space="preserve">V-005521</t>
  </si>
  <si>
    <t xml:space="preserve">V-005522</t>
  </si>
  <si>
    <t xml:space="preserve">V-005523</t>
  </si>
  <si>
    <t xml:space="preserve">V-005524</t>
  </si>
  <si>
    <t xml:space="preserve">V-005525</t>
  </si>
  <si>
    <t xml:space="preserve">V-005526</t>
  </si>
  <si>
    <t xml:space="preserve">V-005527</t>
  </si>
  <si>
    <t xml:space="preserve">V-005528</t>
  </si>
  <si>
    <t xml:space="preserve">V-005529</t>
  </si>
  <si>
    <t xml:space="preserve">V-005530</t>
  </si>
  <si>
    <t xml:space="preserve">V-005531</t>
  </si>
  <si>
    <t xml:space="preserve">V-005532</t>
  </si>
  <si>
    <t xml:space="preserve">V-005533</t>
  </si>
  <si>
    <t xml:space="preserve">V-005534</t>
  </si>
  <si>
    <t xml:space="preserve">V-005535</t>
  </si>
  <si>
    <t xml:space="preserve">V-005536</t>
  </si>
  <si>
    <t xml:space="preserve">V-005537</t>
  </si>
  <si>
    <t xml:space="preserve">V-005538</t>
  </si>
  <si>
    <t xml:space="preserve">V-005539</t>
  </si>
  <si>
    <t xml:space="preserve">V-005540</t>
  </si>
  <si>
    <t xml:space="preserve">V-005541</t>
  </si>
  <si>
    <t xml:space="preserve">V-005542</t>
  </si>
  <si>
    <t xml:space="preserve">V-005543</t>
  </si>
  <si>
    <t xml:space="preserve">V-005544</t>
  </si>
  <si>
    <t xml:space="preserve">V-005545</t>
  </si>
  <si>
    <t xml:space="preserve">V-005546</t>
  </si>
  <si>
    <t xml:space="preserve">V-005547</t>
  </si>
  <si>
    <t xml:space="preserve">V-005548</t>
  </si>
  <si>
    <t xml:space="preserve">V-005549</t>
  </si>
  <si>
    <t xml:space="preserve">V-005550</t>
  </si>
  <si>
    <t xml:space="preserve">V-005551</t>
  </si>
  <si>
    <t xml:space="preserve">V-005552</t>
  </si>
  <si>
    <t xml:space="preserve">V-005553</t>
  </si>
  <si>
    <t xml:space="preserve">V-005554</t>
  </si>
  <si>
    <t xml:space="preserve">V-005555</t>
  </si>
  <si>
    <t xml:space="preserve">V-005556</t>
  </si>
  <si>
    <t xml:space="preserve">V-005557</t>
  </si>
  <si>
    <t xml:space="preserve">V-005558</t>
  </si>
  <si>
    <t xml:space="preserve">V-005559</t>
  </si>
  <si>
    <t xml:space="preserve">V-005560</t>
  </si>
  <si>
    <t xml:space="preserve">V-005561</t>
  </si>
  <si>
    <t xml:space="preserve">V-005562</t>
  </si>
  <si>
    <t xml:space="preserve">V-005563</t>
  </si>
  <si>
    <t xml:space="preserve">V-005564</t>
  </si>
  <si>
    <t xml:space="preserve">V-005565</t>
  </si>
  <si>
    <t xml:space="preserve">V-005566</t>
  </si>
  <si>
    <t xml:space="preserve">V-005567</t>
  </si>
  <si>
    <t xml:space="preserve">V-005568</t>
  </si>
  <si>
    <t xml:space="preserve">V-005569</t>
  </si>
  <si>
    <t xml:space="preserve">V-005570</t>
  </si>
  <si>
    <t xml:space="preserve">V-005571</t>
  </si>
  <si>
    <t xml:space="preserve">V-005572</t>
  </si>
  <si>
    <t xml:space="preserve">V-005573</t>
  </si>
  <si>
    <t xml:space="preserve">V-005574</t>
  </si>
  <si>
    <t xml:space="preserve">V-005575</t>
  </si>
  <si>
    <t xml:space="preserve">V-005576</t>
  </si>
  <si>
    <t xml:space="preserve">V-005577</t>
  </si>
  <si>
    <t xml:space="preserve">V-005578</t>
  </si>
  <si>
    <t xml:space="preserve">V-005579</t>
  </si>
  <si>
    <t xml:space="preserve">V-005580</t>
  </si>
  <si>
    <t xml:space="preserve">V-005581</t>
  </si>
  <si>
    <t xml:space="preserve">V-005582</t>
  </si>
  <si>
    <t xml:space="preserve">V-005583</t>
  </si>
  <si>
    <t xml:space="preserve">V-005584</t>
  </si>
  <si>
    <t xml:space="preserve">V-005585</t>
  </si>
  <si>
    <t xml:space="preserve">V-005586</t>
  </si>
  <si>
    <t xml:space="preserve">V-005587</t>
  </si>
  <si>
    <t xml:space="preserve">V-005588</t>
  </si>
  <si>
    <t xml:space="preserve">V-005589</t>
  </si>
  <si>
    <t xml:space="preserve">V-005590</t>
  </si>
  <si>
    <t xml:space="preserve">V-005591</t>
  </si>
  <si>
    <t xml:space="preserve">V-005592</t>
  </si>
  <si>
    <t xml:space="preserve">V-005593</t>
  </si>
  <si>
    <t xml:space="preserve">V-005594</t>
  </si>
  <si>
    <t xml:space="preserve">V-005595</t>
  </si>
  <si>
    <t xml:space="preserve">V-005596</t>
  </si>
  <si>
    <t xml:space="preserve">V-005597</t>
  </si>
  <si>
    <t xml:space="preserve">V-005598</t>
  </si>
  <si>
    <t xml:space="preserve">V-005599</t>
  </si>
  <si>
    <t xml:space="preserve">V-005600</t>
  </si>
  <si>
    <t xml:space="preserve">V-005601</t>
  </si>
  <si>
    <t xml:space="preserve">V-005602</t>
  </si>
  <si>
    <t xml:space="preserve">V-005603</t>
  </si>
  <si>
    <t xml:space="preserve">V-005604</t>
  </si>
  <si>
    <t xml:space="preserve">V-005605</t>
  </si>
  <si>
    <t xml:space="preserve">V-005606</t>
  </si>
  <si>
    <t xml:space="preserve">V-005607</t>
  </si>
  <si>
    <t xml:space="preserve">V-005608</t>
  </si>
  <si>
    <t xml:space="preserve">V-005609</t>
  </si>
  <si>
    <t xml:space="preserve">V-005610</t>
  </si>
  <si>
    <t xml:space="preserve">V-005611</t>
  </si>
  <si>
    <t xml:space="preserve">V-005612</t>
  </si>
  <si>
    <t xml:space="preserve">V-005613</t>
  </si>
  <si>
    <t xml:space="preserve">V-005614</t>
  </si>
  <si>
    <t xml:space="preserve">V-005615</t>
  </si>
  <si>
    <t xml:space="preserve">V-005616</t>
  </si>
  <si>
    <t xml:space="preserve">V-005617</t>
  </si>
  <si>
    <t xml:space="preserve">V-005618</t>
  </si>
  <si>
    <t xml:space="preserve">V-005619</t>
  </si>
  <si>
    <t xml:space="preserve">V-005620</t>
  </si>
  <si>
    <t xml:space="preserve">V-005621</t>
  </si>
  <si>
    <t xml:space="preserve">V-005622</t>
  </si>
  <si>
    <t xml:space="preserve">V-005623</t>
  </si>
  <si>
    <t xml:space="preserve">V-005624</t>
  </si>
  <si>
    <t xml:space="preserve">V-005625</t>
  </si>
  <si>
    <t xml:space="preserve">V-005626</t>
  </si>
  <si>
    <t xml:space="preserve">V-005627</t>
  </si>
  <si>
    <t xml:space="preserve">V-005628</t>
  </si>
  <si>
    <t xml:space="preserve">V-005629</t>
  </si>
  <si>
    <t xml:space="preserve">V-005630</t>
  </si>
  <si>
    <t xml:space="preserve">V-005631</t>
  </si>
  <si>
    <t xml:space="preserve">V-005632</t>
  </si>
  <si>
    <t xml:space="preserve">V-005633</t>
  </si>
  <si>
    <t xml:space="preserve">V-005634</t>
  </si>
  <si>
    <t xml:space="preserve">V-005635</t>
  </si>
  <si>
    <t xml:space="preserve">V-005636</t>
  </si>
  <si>
    <t xml:space="preserve">V-005637</t>
  </si>
  <si>
    <t xml:space="preserve">V-005638</t>
  </si>
  <si>
    <t xml:space="preserve">V-005639</t>
  </si>
  <si>
    <t xml:space="preserve">V-005640</t>
  </si>
  <si>
    <t xml:space="preserve">V-005641</t>
  </si>
  <si>
    <t xml:space="preserve">V-005642</t>
  </si>
  <si>
    <t xml:space="preserve">V-005643</t>
  </si>
  <si>
    <t xml:space="preserve">V-005644</t>
  </si>
  <si>
    <t xml:space="preserve">V-005645</t>
  </si>
  <si>
    <t xml:space="preserve">V-005646</t>
  </si>
  <si>
    <t xml:space="preserve">V-005647</t>
  </si>
  <si>
    <t xml:space="preserve">V-005648</t>
  </si>
  <si>
    <t xml:space="preserve">V-005649</t>
  </si>
  <si>
    <t xml:space="preserve">V-005650</t>
  </si>
  <si>
    <t xml:space="preserve">V-005651</t>
  </si>
  <si>
    <t xml:space="preserve">V-005652</t>
  </si>
  <si>
    <t xml:space="preserve">V-005653</t>
  </si>
  <si>
    <t xml:space="preserve">V-005654</t>
  </si>
  <si>
    <t xml:space="preserve">V-005655</t>
  </si>
  <si>
    <t xml:space="preserve">V-005656</t>
  </si>
  <si>
    <t xml:space="preserve">V-005657</t>
  </si>
  <si>
    <t xml:space="preserve">V-005658</t>
  </si>
  <si>
    <t xml:space="preserve">V-005659</t>
  </si>
  <si>
    <t xml:space="preserve">V-005660</t>
  </si>
  <si>
    <t xml:space="preserve">V-005661</t>
  </si>
  <si>
    <t xml:space="preserve">V-005662</t>
  </si>
  <si>
    <t xml:space="preserve">V-005663</t>
  </si>
  <si>
    <t xml:space="preserve">V-005664</t>
  </si>
  <si>
    <t xml:space="preserve">V-005665</t>
  </si>
  <si>
    <t xml:space="preserve">V-005666</t>
  </si>
  <si>
    <t xml:space="preserve">V-005667</t>
  </si>
  <si>
    <t xml:space="preserve">V-005668</t>
  </si>
  <si>
    <t xml:space="preserve">V-005669</t>
  </si>
  <si>
    <t xml:space="preserve">V-005670</t>
  </si>
  <si>
    <t xml:space="preserve">V-005671</t>
  </si>
  <si>
    <t xml:space="preserve">V-005672</t>
  </si>
  <si>
    <t xml:space="preserve">V-005673</t>
  </si>
  <si>
    <t xml:space="preserve">V-005674</t>
  </si>
  <si>
    <t xml:space="preserve">V-005675</t>
  </si>
  <si>
    <t xml:space="preserve">V-005676</t>
  </si>
  <si>
    <t xml:space="preserve">V-005677</t>
  </si>
  <si>
    <t xml:space="preserve">V-005678</t>
  </si>
  <si>
    <t xml:space="preserve">V-005679</t>
  </si>
  <si>
    <t xml:space="preserve">V-005680</t>
  </si>
  <si>
    <t xml:space="preserve">V-005681</t>
  </si>
  <si>
    <t xml:space="preserve">V-005682</t>
  </si>
  <si>
    <t xml:space="preserve">V-005683</t>
  </si>
  <si>
    <t xml:space="preserve">V-005684</t>
  </si>
  <si>
    <t xml:space="preserve">V-005685</t>
  </si>
  <si>
    <t xml:space="preserve">V-005686</t>
  </si>
  <si>
    <t xml:space="preserve">V-005687</t>
  </si>
  <si>
    <t xml:space="preserve">V-005688</t>
  </si>
  <si>
    <t xml:space="preserve">V-005689</t>
  </si>
  <si>
    <t xml:space="preserve">V-005690</t>
  </si>
  <si>
    <t xml:space="preserve">V-005691</t>
  </si>
  <si>
    <t xml:space="preserve">V-005692</t>
  </si>
  <si>
    <t xml:space="preserve">V-005693</t>
  </si>
  <si>
    <t xml:space="preserve">V-005694</t>
  </si>
  <si>
    <t xml:space="preserve">V-005695</t>
  </si>
  <si>
    <t xml:space="preserve">V-005696</t>
  </si>
  <si>
    <t xml:space="preserve">V-005697</t>
  </si>
  <si>
    <t xml:space="preserve">V-005698</t>
  </si>
  <si>
    <t xml:space="preserve">V-005699</t>
  </si>
  <si>
    <t xml:space="preserve">V-005700</t>
  </si>
  <si>
    <t xml:space="preserve">V-005701</t>
  </si>
  <si>
    <t xml:space="preserve">V-005702</t>
  </si>
  <si>
    <t xml:space="preserve">V-005703</t>
  </si>
  <si>
    <t xml:space="preserve">V-005704</t>
  </si>
  <si>
    <t xml:space="preserve">V-005705</t>
  </si>
  <si>
    <t xml:space="preserve">V-005706</t>
  </si>
  <si>
    <t xml:space="preserve">V-005707</t>
  </si>
  <si>
    <t xml:space="preserve">V-005708</t>
  </si>
  <si>
    <t xml:space="preserve">V-005709</t>
  </si>
  <si>
    <t xml:space="preserve">V-005710</t>
  </si>
  <si>
    <t xml:space="preserve">V-005711</t>
  </si>
  <si>
    <t xml:space="preserve">V-005712</t>
  </si>
  <si>
    <t xml:space="preserve">V-005713</t>
  </si>
  <si>
    <t xml:space="preserve">V-005714</t>
  </si>
  <si>
    <t xml:space="preserve">V-005715</t>
  </si>
  <si>
    <t xml:space="preserve">V-005716</t>
  </si>
  <si>
    <t xml:space="preserve">V-005717</t>
  </si>
  <si>
    <t xml:space="preserve">V-005718</t>
  </si>
  <si>
    <t xml:space="preserve">V-005719</t>
  </si>
  <si>
    <t xml:space="preserve">V-005720</t>
  </si>
  <si>
    <t xml:space="preserve">V-005721</t>
  </si>
  <si>
    <t xml:space="preserve">V-005722</t>
  </si>
  <si>
    <t xml:space="preserve">V-005723</t>
  </si>
  <si>
    <t xml:space="preserve">V-005724</t>
  </si>
  <si>
    <t xml:space="preserve">V-005725</t>
  </si>
  <si>
    <t xml:space="preserve">V-005726</t>
  </si>
  <si>
    <t xml:space="preserve">V-005727</t>
  </si>
  <si>
    <t xml:space="preserve">V-005728</t>
  </si>
  <si>
    <t xml:space="preserve">V-005729</t>
  </si>
  <si>
    <t xml:space="preserve">V-005730</t>
  </si>
  <si>
    <t xml:space="preserve">V-005731</t>
  </si>
  <si>
    <t xml:space="preserve">V-005732</t>
  </si>
  <si>
    <t xml:space="preserve">V-005733</t>
  </si>
  <si>
    <t xml:space="preserve">V-005734</t>
  </si>
  <si>
    <t xml:space="preserve">V-005735</t>
  </si>
  <si>
    <t xml:space="preserve">V-005736</t>
  </si>
  <si>
    <t xml:space="preserve">V-005737</t>
  </si>
  <si>
    <t xml:space="preserve">V-005738</t>
  </si>
  <si>
    <t xml:space="preserve">V-005739</t>
  </si>
  <si>
    <t xml:space="preserve">V-005740</t>
  </si>
  <si>
    <t xml:space="preserve">V-005741</t>
  </si>
  <si>
    <t xml:space="preserve">V-005742</t>
  </si>
  <si>
    <t xml:space="preserve">V-005743</t>
  </si>
  <si>
    <t xml:space="preserve">V-005744</t>
  </si>
  <si>
    <t xml:space="preserve">V-005745</t>
  </si>
  <si>
    <t xml:space="preserve">V-005746</t>
  </si>
  <si>
    <t xml:space="preserve">V-005747</t>
  </si>
  <si>
    <t xml:space="preserve">V-005748</t>
  </si>
  <si>
    <t xml:space="preserve">V-005749</t>
  </si>
  <si>
    <t xml:space="preserve">V-005750</t>
  </si>
  <si>
    <t xml:space="preserve">V-005751</t>
  </si>
  <si>
    <t xml:space="preserve">V-005752</t>
  </si>
  <si>
    <t xml:space="preserve">V-005753</t>
  </si>
  <si>
    <t xml:space="preserve">V-005754</t>
  </si>
  <si>
    <t xml:space="preserve">V-005755</t>
  </si>
  <si>
    <t xml:space="preserve">V-005756</t>
  </si>
  <si>
    <t xml:space="preserve">V-005757</t>
  </si>
  <si>
    <t xml:space="preserve">V-005758</t>
  </si>
  <si>
    <t xml:space="preserve">V-005759</t>
  </si>
  <si>
    <t xml:space="preserve">V-005760</t>
  </si>
  <si>
    <t xml:space="preserve">V-005761</t>
  </si>
  <si>
    <t xml:space="preserve">V-005762</t>
  </si>
  <si>
    <t xml:space="preserve">V-005763</t>
  </si>
  <si>
    <t xml:space="preserve">V-005764</t>
  </si>
  <si>
    <t xml:space="preserve">V-005765</t>
  </si>
  <si>
    <t xml:space="preserve">V-005766</t>
  </si>
  <si>
    <t xml:space="preserve">V-005767</t>
  </si>
  <si>
    <t xml:space="preserve">V-005768</t>
  </si>
  <si>
    <t xml:space="preserve">V-005769</t>
  </si>
  <si>
    <t xml:space="preserve">V-005770</t>
  </si>
  <si>
    <t xml:space="preserve">V-005771</t>
  </si>
  <si>
    <t xml:space="preserve">V-005772</t>
  </si>
  <si>
    <t xml:space="preserve">V-005773</t>
  </si>
  <si>
    <t xml:space="preserve">V-005774</t>
  </si>
  <si>
    <t xml:space="preserve">V-005775</t>
  </si>
  <si>
    <t xml:space="preserve">V-005776</t>
  </si>
  <si>
    <t xml:space="preserve">V-005777</t>
  </si>
  <si>
    <t xml:space="preserve">V-005778</t>
  </si>
  <si>
    <t xml:space="preserve">V-005779</t>
  </si>
  <si>
    <t xml:space="preserve">V-005780</t>
  </si>
  <si>
    <t xml:space="preserve">V-005781</t>
  </si>
  <si>
    <t xml:space="preserve">V-005782</t>
  </si>
  <si>
    <t xml:space="preserve">V-005783</t>
  </si>
  <si>
    <t xml:space="preserve">V-005784</t>
  </si>
  <si>
    <t xml:space="preserve">V-005785</t>
  </si>
  <si>
    <t xml:space="preserve">V-005786</t>
  </si>
  <si>
    <t xml:space="preserve">V-005787</t>
  </si>
  <si>
    <t xml:space="preserve">V-005788</t>
  </si>
  <si>
    <t xml:space="preserve">V-005789</t>
  </si>
  <si>
    <t xml:space="preserve">V-005790</t>
  </si>
  <si>
    <t xml:space="preserve">V-005791</t>
  </si>
  <si>
    <t xml:space="preserve">V-005792</t>
  </si>
  <si>
    <t xml:space="preserve">V-005793</t>
  </si>
  <si>
    <t xml:space="preserve">V-005794</t>
  </si>
  <si>
    <t xml:space="preserve">V-005795</t>
  </si>
  <si>
    <t xml:space="preserve">V-005796</t>
  </si>
  <si>
    <t xml:space="preserve">V-005797</t>
  </si>
  <si>
    <t xml:space="preserve">V-005798</t>
  </si>
  <si>
    <t xml:space="preserve">V-005799</t>
  </si>
  <si>
    <t xml:space="preserve">V-005800</t>
  </si>
  <si>
    <t xml:space="preserve">V-005801</t>
  </si>
  <si>
    <t xml:space="preserve">V-005802</t>
  </si>
  <si>
    <t xml:space="preserve">V-005803</t>
  </si>
  <si>
    <t xml:space="preserve">V-005804</t>
  </si>
  <si>
    <t xml:space="preserve">V-005805</t>
  </si>
  <si>
    <t xml:space="preserve">V-005806</t>
  </si>
  <si>
    <t xml:space="preserve">V-005807</t>
  </si>
  <si>
    <t xml:space="preserve">V-005808</t>
  </si>
  <si>
    <t xml:space="preserve">V-005809</t>
  </si>
  <si>
    <t xml:space="preserve">V-005810</t>
  </si>
  <si>
    <t xml:space="preserve">V-005811</t>
  </si>
  <si>
    <t xml:space="preserve">V-005812</t>
  </si>
  <si>
    <t xml:space="preserve">V-005813</t>
  </si>
  <si>
    <t xml:space="preserve">V-005814</t>
  </si>
  <si>
    <t xml:space="preserve">V-005815</t>
  </si>
  <si>
    <t xml:space="preserve">V-005816</t>
  </si>
  <si>
    <t xml:space="preserve">V-005817</t>
  </si>
  <si>
    <t xml:space="preserve">V-005818</t>
  </si>
  <si>
    <t xml:space="preserve">V-005819</t>
  </si>
  <si>
    <t xml:space="preserve">V-005820</t>
  </si>
  <si>
    <t xml:space="preserve">V-005821</t>
  </si>
  <si>
    <t xml:space="preserve">V-005822</t>
  </si>
  <si>
    <t xml:space="preserve">V-005823</t>
  </si>
  <si>
    <t xml:space="preserve">V-005824</t>
  </si>
  <si>
    <t xml:space="preserve">V-005825</t>
  </si>
  <si>
    <t xml:space="preserve">V-005826</t>
  </si>
  <si>
    <t xml:space="preserve">V-005827</t>
  </si>
  <si>
    <t xml:space="preserve">V-005828</t>
  </si>
  <si>
    <t xml:space="preserve">V-005829</t>
  </si>
  <si>
    <t xml:space="preserve">V-005830</t>
  </si>
  <si>
    <t xml:space="preserve">V-005831</t>
  </si>
  <si>
    <t xml:space="preserve">V-005832</t>
  </si>
  <si>
    <t xml:space="preserve">V-005833</t>
  </si>
  <si>
    <t xml:space="preserve">V-005834</t>
  </si>
  <si>
    <t xml:space="preserve">V-005835</t>
  </si>
  <si>
    <t xml:space="preserve">V-005836</t>
  </si>
  <si>
    <t xml:space="preserve">V-005837</t>
  </si>
  <si>
    <t xml:space="preserve">V-005838</t>
  </si>
  <si>
    <t xml:space="preserve">V-005839</t>
  </si>
  <si>
    <t xml:space="preserve">V-005840</t>
  </si>
  <si>
    <t xml:space="preserve">V-005841</t>
  </si>
  <si>
    <t xml:space="preserve">V-005842</t>
  </si>
  <si>
    <t xml:space="preserve">V-005843</t>
  </si>
  <si>
    <t xml:space="preserve">V-005844</t>
  </si>
  <si>
    <t xml:space="preserve">V-005845</t>
  </si>
  <si>
    <t xml:space="preserve">V-005846</t>
  </si>
  <si>
    <t xml:space="preserve">V-005847</t>
  </si>
  <si>
    <t xml:space="preserve">V-005848</t>
  </si>
  <si>
    <t xml:space="preserve">V-005849</t>
  </si>
  <si>
    <t xml:space="preserve">V-005850</t>
  </si>
  <si>
    <t xml:space="preserve">V-005851</t>
  </si>
  <si>
    <t xml:space="preserve">V-005852</t>
  </si>
  <si>
    <t xml:space="preserve">V-005853</t>
  </si>
  <si>
    <t xml:space="preserve">V-005854</t>
  </si>
  <si>
    <t xml:space="preserve">V-005855</t>
  </si>
  <si>
    <t xml:space="preserve">V-005856</t>
  </si>
  <si>
    <t xml:space="preserve">V-005857</t>
  </si>
  <si>
    <t xml:space="preserve">V-005858</t>
  </si>
  <si>
    <t xml:space="preserve">V-005859</t>
  </si>
  <si>
    <t xml:space="preserve">V-005860</t>
  </si>
  <si>
    <t xml:space="preserve">V-005861</t>
  </si>
  <si>
    <t xml:space="preserve">V-005862</t>
  </si>
  <si>
    <t xml:space="preserve">V-005863</t>
  </si>
  <si>
    <t xml:space="preserve">V-005864</t>
  </si>
  <si>
    <t xml:space="preserve">V-005865</t>
  </si>
  <si>
    <t xml:space="preserve">V-005866</t>
  </si>
  <si>
    <t xml:space="preserve">V-005867</t>
  </si>
  <si>
    <t xml:space="preserve">V-005868</t>
  </si>
  <si>
    <t xml:space="preserve">V-005869</t>
  </si>
  <si>
    <t xml:space="preserve">V-005870</t>
  </si>
  <si>
    <t xml:space="preserve">V-005871</t>
  </si>
  <si>
    <t xml:space="preserve">V-005872</t>
  </si>
  <si>
    <t xml:space="preserve">V-005873</t>
  </si>
  <si>
    <t xml:space="preserve">V-005874</t>
  </si>
  <si>
    <t xml:space="preserve">V-005875</t>
  </si>
  <si>
    <t xml:space="preserve">V-005876</t>
  </si>
  <si>
    <t xml:space="preserve">V-005877</t>
  </si>
  <si>
    <t xml:space="preserve">V-005878</t>
  </si>
  <si>
    <t xml:space="preserve">V-005879</t>
  </si>
  <si>
    <t xml:space="preserve">V-005880</t>
  </si>
  <si>
    <t xml:space="preserve">V-005881</t>
  </si>
  <si>
    <t xml:space="preserve">V-005882</t>
  </si>
  <si>
    <t xml:space="preserve">V-005883</t>
  </si>
  <si>
    <t xml:space="preserve">V-005884</t>
  </si>
  <si>
    <t xml:space="preserve">V-005885</t>
  </si>
  <si>
    <t xml:space="preserve">V-005886</t>
  </si>
  <si>
    <t xml:space="preserve">V-005887</t>
  </si>
  <si>
    <t xml:space="preserve">V-005888</t>
  </si>
  <si>
    <t xml:space="preserve">V-005889</t>
  </si>
  <si>
    <t xml:space="preserve">V-005890</t>
  </si>
  <si>
    <t xml:space="preserve">V-005891</t>
  </si>
  <si>
    <t xml:space="preserve">V-005892</t>
  </si>
  <si>
    <t xml:space="preserve">V-005893</t>
  </si>
  <si>
    <t xml:space="preserve">V-005894</t>
  </si>
  <si>
    <t xml:space="preserve">V-005895</t>
  </si>
  <si>
    <t xml:space="preserve">V-005896</t>
  </si>
  <si>
    <t xml:space="preserve">V-005897</t>
  </si>
  <si>
    <t xml:space="preserve">V-005898</t>
  </si>
  <si>
    <t xml:space="preserve">V-005899</t>
  </si>
  <si>
    <t xml:space="preserve">V-005900</t>
  </si>
  <si>
    <t xml:space="preserve">V-005901</t>
  </si>
  <si>
    <t xml:space="preserve">V-005902</t>
  </si>
  <si>
    <t xml:space="preserve">V-005903</t>
  </si>
  <si>
    <t xml:space="preserve">V-005904</t>
  </si>
  <si>
    <t xml:space="preserve">V-005905</t>
  </si>
  <si>
    <t xml:space="preserve">V-005906</t>
  </si>
  <si>
    <t xml:space="preserve">V-005907</t>
  </si>
  <si>
    <t xml:space="preserve">V-005908</t>
  </si>
  <si>
    <t xml:space="preserve">V-005909</t>
  </si>
  <si>
    <t xml:space="preserve">V-005910</t>
  </si>
  <si>
    <t xml:space="preserve">V-005911</t>
  </si>
  <si>
    <t xml:space="preserve">V-005912</t>
  </si>
  <si>
    <t xml:space="preserve">V-005913</t>
  </si>
  <si>
    <t xml:space="preserve">V-005914</t>
  </si>
  <si>
    <t xml:space="preserve">V-005915</t>
  </si>
  <si>
    <t xml:space="preserve">V-005916</t>
  </si>
  <si>
    <t xml:space="preserve">V-005917</t>
  </si>
  <si>
    <t xml:space="preserve">V-005918</t>
  </si>
  <si>
    <t xml:space="preserve">V-005919</t>
  </si>
  <si>
    <t xml:space="preserve">V-005920</t>
  </si>
  <si>
    <t xml:space="preserve">V-005921</t>
  </si>
  <si>
    <t xml:space="preserve">V-005922</t>
  </si>
  <si>
    <t xml:space="preserve">V-005923</t>
  </si>
  <si>
    <t xml:space="preserve">V-005924</t>
  </si>
  <si>
    <t xml:space="preserve">V-005925</t>
  </si>
  <si>
    <t xml:space="preserve">V-005926</t>
  </si>
  <si>
    <t xml:space="preserve">V-005927</t>
  </si>
  <si>
    <t xml:space="preserve">V-005928</t>
  </si>
  <si>
    <t xml:space="preserve">V-005929</t>
  </si>
  <si>
    <t xml:space="preserve">V-005930</t>
  </si>
  <si>
    <t xml:space="preserve">V-005931</t>
  </si>
  <si>
    <t xml:space="preserve">V-005932</t>
  </si>
  <si>
    <t xml:space="preserve">V-005933</t>
  </si>
  <si>
    <t xml:space="preserve">V-005934</t>
  </si>
  <si>
    <t xml:space="preserve">V-005935</t>
  </si>
  <si>
    <t xml:space="preserve">V-005936</t>
  </si>
  <si>
    <t xml:space="preserve">V-005937</t>
  </si>
  <si>
    <t xml:space="preserve">V-005938</t>
  </si>
  <si>
    <t xml:space="preserve">V-005939</t>
  </si>
  <si>
    <t xml:space="preserve">V-005940</t>
  </si>
  <si>
    <t xml:space="preserve">V-005941</t>
  </si>
  <si>
    <t xml:space="preserve">V-005942</t>
  </si>
  <si>
    <t xml:space="preserve">V-005943</t>
  </si>
  <si>
    <t xml:space="preserve">V-005944</t>
  </si>
  <si>
    <t xml:space="preserve">V-005945</t>
  </si>
  <si>
    <t xml:space="preserve">V-005946</t>
  </si>
  <si>
    <t xml:space="preserve">V-005947</t>
  </si>
  <si>
    <t xml:space="preserve">V-005948</t>
  </si>
  <si>
    <t xml:space="preserve">V-005949</t>
  </si>
  <si>
    <t xml:space="preserve">V-005950</t>
  </si>
  <si>
    <t xml:space="preserve">V-005951</t>
  </si>
  <si>
    <t xml:space="preserve">V-005952</t>
  </si>
  <si>
    <t xml:space="preserve">V-005953</t>
  </si>
  <si>
    <t xml:space="preserve">V-005954</t>
  </si>
  <si>
    <t xml:space="preserve">V-005955</t>
  </si>
  <si>
    <t xml:space="preserve">V-005956</t>
  </si>
  <si>
    <t xml:space="preserve">V-005957</t>
  </si>
  <si>
    <t xml:space="preserve">V-005958</t>
  </si>
  <si>
    <t xml:space="preserve">V-005959</t>
  </si>
  <si>
    <t xml:space="preserve">V-005960</t>
  </si>
  <si>
    <t xml:space="preserve">V-005961</t>
  </si>
  <si>
    <t xml:space="preserve">V-005962</t>
  </si>
  <si>
    <t xml:space="preserve">V-005963</t>
  </si>
  <si>
    <t xml:space="preserve">V-005964</t>
  </si>
  <si>
    <t xml:space="preserve">V-005965</t>
  </si>
  <si>
    <t xml:space="preserve">V-005966</t>
  </si>
  <si>
    <t xml:space="preserve">V-005967</t>
  </si>
  <si>
    <t xml:space="preserve">V-005968</t>
  </si>
  <si>
    <t xml:space="preserve">V-005969</t>
  </si>
  <si>
    <t xml:space="preserve">V-005970</t>
  </si>
  <si>
    <t xml:space="preserve">V-005971</t>
  </si>
  <si>
    <t xml:space="preserve">V-005972</t>
  </si>
  <si>
    <t xml:space="preserve">V-005973</t>
  </si>
  <si>
    <t xml:space="preserve">V-005974</t>
  </si>
  <si>
    <t xml:space="preserve">V-005975</t>
  </si>
  <si>
    <t xml:space="preserve">V-005976</t>
  </si>
  <si>
    <t xml:space="preserve">V-005977</t>
  </si>
  <si>
    <t xml:space="preserve">V-005978</t>
  </si>
  <si>
    <t xml:space="preserve">V-005979</t>
  </si>
  <si>
    <t xml:space="preserve">V-005980</t>
  </si>
  <si>
    <t xml:space="preserve">V-005981</t>
  </si>
  <si>
    <t xml:space="preserve">V-005982</t>
  </si>
  <si>
    <t xml:space="preserve">V-005983</t>
  </si>
  <si>
    <t xml:space="preserve">V-005984</t>
  </si>
  <si>
    <t xml:space="preserve">V-005985</t>
  </si>
  <si>
    <t xml:space="preserve">V-005986</t>
  </si>
  <si>
    <t xml:space="preserve">V-005987</t>
  </si>
  <si>
    <t xml:space="preserve">V-005988</t>
  </si>
  <si>
    <t xml:space="preserve">V-005989</t>
  </si>
  <si>
    <t xml:space="preserve">V-005990</t>
  </si>
  <si>
    <t xml:space="preserve">V-005991</t>
  </si>
  <si>
    <t xml:space="preserve">V-005992</t>
  </si>
  <si>
    <t xml:space="preserve">V-005993</t>
  </si>
  <si>
    <t xml:space="preserve">V-005994</t>
  </si>
  <si>
    <t xml:space="preserve">V-005995</t>
  </si>
  <si>
    <t xml:space="preserve">V-005996</t>
  </si>
  <si>
    <t xml:space="preserve">V-005997</t>
  </si>
  <si>
    <t xml:space="preserve">V-005998</t>
  </si>
  <si>
    <t xml:space="preserve">V-005999</t>
  </si>
  <si>
    <t xml:space="preserve">V-006000</t>
  </si>
  <si>
    <t xml:space="preserve">V-006001</t>
  </si>
  <si>
    <t xml:space="preserve">V-006002</t>
  </si>
  <si>
    <t xml:space="preserve">V-006003</t>
  </si>
  <si>
    <t xml:space="preserve">V-006004</t>
  </si>
  <si>
    <t xml:space="preserve">V-006005</t>
  </si>
  <si>
    <t xml:space="preserve">V-006006</t>
  </si>
  <si>
    <t xml:space="preserve">V-006007</t>
  </si>
  <si>
    <t xml:space="preserve">V-006008</t>
  </si>
  <si>
    <t xml:space="preserve">V-006009</t>
  </si>
  <si>
    <t xml:space="preserve">V-006010</t>
  </si>
  <si>
    <t xml:space="preserve">V-006011</t>
  </si>
  <si>
    <t xml:space="preserve">V-006012</t>
  </si>
  <si>
    <t xml:space="preserve">V-006013</t>
  </si>
  <si>
    <t xml:space="preserve">V-006014</t>
  </si>
  <si>
    <t xml:space="preserve">V-006015</t>
  </si>
  <si>
    <t xml:space="preserve">V-006016</t>
  </si>
  <si>
    <t xml:space="preserve">V-006017</t>
  </si>
  <si>
    <t xml:space="preserve">V-006018</t>
  </si>
  <si>
    <t xml:space="preserve">V-006019</t>
  </si>
  <si>
    <t xml:space="preserve">V-006020</t>
  </si>
  <si>
    <t xml:space="preserve">V-006021</t>
  </si>
  <si>
    <t xml:space="preserve">V-006022</t>
  </si>
  <si>
    <t xml:space="preserve">V-006023</t>
  </si>
  <si>
    <t xml:space="preserve">V-006024</t>
  </si>
  <si>
    <t xml:space="preserve">V-006025</t>
  </si>
  <si>
    <t xml:space="preserve">V-006026</t>
  </si>
  <si>
    <t xml:space="preserve">V-006027</t>
  </si>
  <si>
    <t xml:space="preserve">V-006028</t>
  </si>
  <si>
    <t xml:space="preserve">V-006029</t>
  </si>
  <si>
    <t xml:space="preserve">V-006030</t>
  </si>
  <si>
    <t xml:space="preserve">V-006031</t>
  </si>
  <si>
    <t xml:space="preserve">V-006032</t>
  </si>
  <si>
    <t xml:space="preserve">V-006033</t>
  </si>
  <si>
    <t xml:space="preserve">V-006034</t>
  </si>
  <si>
    <t xml:space="preserve">V-006035</t>
  </si>
  <si>
    <t xml:space="preserve">V-006036</t>
  </si>
  <si>
    <t xml:space="preserve">V-006037</t>
  </si>
  <si>
    <t xml:space="preserve">V-006038</t>
  </si>
  <si>
    <t xml:space="preserve">V-006039</t>
  </si>
  <si>
    <t xml:space="preserve">V-006040</t>
  </si>
  <si>
    <t xml:space="preserve">V-006041</t>
  </si>
  <si>
    <t xml:space="preserve">V-006042</t>
  </si>
  <si>
    <t xml:space="preserve">V-006043</t>
  </si>
  <si>
    <t xml:space="preserve">V-006044</t>
  </si>
  <si>
    <t xml:space="preserve">V-006045</t>
  </si>
  <si>
    <t xml:space="preserve">V-006046</t>
  </si>
  <si>
    <t xml:space="preserve">V-006047</t>
  </si>
  <si>
    <t xml:space="preserve">V-006048</t>
  </si>
  <si>
    <t xml:space="preserve">V-006049</t>
  </si>
  <si>
    <t xml:space="preserve">V-006050</t>
  </si>
  <si>
    <t xml:space="preserve">V-006051</t>
  </si>
  <si>
    <t xml:space="preserve">V-006052</t>
  </si>
  <si>
    <t xml:space="preserve">V-006053</t>
  </si>
  <si>
    <t xml:space="preserve">V-006054</t>
  </si>
  <si>
    <t xml:space="preserve">V-006055</t>
  </si>
  <si>
    <t xml:space="preserve">V-006056</t>
  </si>
  <si>
    <t xml:space="preserve">V-006057</t>
  </si>
  <si>
    <t xml:space="preserve">V-006058</t>
  </si>
  <si>
    <t xml:space="preserve">V-006059</t>
  </si>
  <si>
    <t xml:space="preserve">V-006060</t>
  </si>
  <si>
    <t xml:space="preserve">V-006061</t>
  </si>
  <si>
    <t xml:space="preserve">V-006062</t>
  </si>
  <si>
    <t xml:space="preserve">V-006063</t>
  </si>
  <si>
    <t xml:space="preserve">V-006064</t>
  </si>
  <si>
    <t xml:space="preserve">V-006065</t>
  </si>
  <si>
    <t xml:space="preserve">V-006066</t>
  </si>
  <si>
    <t xml:space="preserve">V-006067</t>
  </si>
  <si>
    <t xml:space="preserve">V-006068</t>
  </si>
  <si>
    <t xml:space="preserve">V-006069</t>
  </si>
  <si>
    <t xml:space="preserve">V-006070</t>
  </si>
  <si>
    <t xml:space="preserve">V-006071</t>
  </si>
  <si>
    <t xml:space="preserve">V-006072</t>
  </si>
  <si>
    <t xml:space="preserve">V-006073</t>
  </si>
  <si>
    <t xml:space="preserve">V-006074</t>
  </si>
  <si>
    <t xml:space="preserve">V-006075</t>
  </si>
  <si>
    <t xml:space="preserve">V-006076</t>
  </si>
  <si>
    <t xml:space="preserve">V-006077</t>
  </si>
  <si>
    <t xml:space="preserve">V-006078</t>
  </si>
  <si>
    <t xml:space="preserve">V-006079</t>
  </si>
  <si>
    <t xml:space="preserve">V-006080</t>
  </si>
  <si>
    <t xml:space="preserve">V-006081</t>
  </si>
  <si>
    <t xml:space="preserve">V-006082</t>
  </si>
  <si>
    <t xml:space="preserve">V-006083</t>
  </si>
  <si>
    <t xml:space="preserve">V-006084</t>
  </si>
  <si>
    <t xml:space="preserve">V-006085</t>
  </si>
  <si>
    <t xml:space="preserve">V-006086</t>
  </si>
  <si>
    <t xml:space="preserve">V-006087</t>
  </si>
  <si>
    <t xml:space="preserve">V-006088</t>
  </si>
  <si>
    <t xml:space="preserve">V-006089</t>
  </si>
  <si>
    <t xml:space="preserve">V-006090</t>
  </si>
  <si>
    <t xml:space="preserve">V-006091</t>
  </si>
  <si>
    <t xml:space="preserve">V-006092</t>
  </si>
  <si>
    <t xml:space="preserve">V-006093</t>
  </si>
  <si>
    <t xml:space="preserve">V-006094</t>
  </si>
  <si>
    <t xml:space="preserve">V-006095</t>
  </si>
  <si>
    <t xml:space="preserve">V-006096</t>
  </si>
  <si>
    <t xml:space="preserve">V-006097</t>
  </si>
  <si>
    <t xml:space="preserve">V-006098</t>
  </si>
  <si>
    <t xml:space="preserve">V-006099</t>
  </si>
  <si>
    <t xml:space="preserve">V-006100</t>
  </si>
  <si>
    <t xml:space="preserve">V-006101</t>
  </si>
  <si>
    <t xml:space="preserve">V-006102</t>
  </si>
  <si>
    <t xml:space="preserve">V-006103</t>
  </si>
  <si>
    <t xml:space="preserve">V-006104</t>
  </si>
  <si>
    <t xml:space="preserve">V-006105</t>
  </si>
  <si>
    <t xml:space="preserve">V-006106</t>
  </si>
  <si>
    <t xml:space="preserve">V-006107</t>
  </si>
  <si>
    <t xml:space="preserve">V-006108</t>
  </si>
  <si>
    <t xml:space="preserve">V-006109</t>
  </si>
  <si>
    <t xml:space="preserve">V-006110</t>
  </si>
  <si>
    <t xml:space="preserve">V-006111</t>
  </si>
  <si>
    <t xml:space="preserve">V-006112</t>
  </si>
  <si>
    <t xml:space="preserve">V-006113</t>
  </si>
  <si>
    <t xml:space="preserve">V-006114</t>
  </si>
  <si>
    <t xml:space="preserve">V-006115</t>
  </si>
  <si>
    <t xml:space="preserve">V-006116</t>
  </si>
  <si>
    <t xml:space="preserve">V-006117</t>
  </si>
  <si>
    <t xml:space="preserve">V-006118</t>
  </si>
  <si>
    <t xml:space="preserve">V-006119</t>
  </si>
  <si>
    <t xml:space="preserve">V-006120</t>
  </si>
  <si>
    <t xml:space="preserve">V-006121</t>
  </si>
  <si>
    <t xml:space="preserve">V-006122</t>
  </si>
  <si>
    <t xml:space="preserve">V-006123</t>
  </si>
  <si>
    <t xml:space="preserve">V-006124</t>
  </si>
  <si>
    <t xml:space="preserve">V-006125</t>
  </si>
  <si>
    <t xml:space="preserve">V-006126</t>
  </si>
  <si>
    <t xml:space="preserve">V-006127</t>
  </si>
  <si>
    <t xml:space="preserve">V-006128</t>
  </si>
  <si>
    <t xml:space="preserve">V-006129</t>
  </si>
  <si>
    <t xml:space="preserve">V-006130</t>
  </si>
  <si>
    <t xml:space="preserve">V-006131</t>
  </si>
  <si>
    <t xml:space="preserve">V-006132</t>
  </si>
  <si>
    <t xml:space="preserve">V-006133</t>
  </si>
  <si>
    <t xml:space="preserve">V-006134</t>
  </si>
  <si>
    <t xml:space="preserve">V-006135</t>
  </si>
  <si>
    <t xml:space="preserve">V-006136</t>
  </si>
  <si>
    <t xml:space="preserve">V-006137</t>
  </si>
  <si>
    <t xml:space="preserve">V-006138</t>
  </si>
  <si>
    <t xml:space="preserve">V-006139</t>
  </si>
  <si>
    <t xml:space="preserve">V-006140</t>
  </si>
  <si>
    <t xml:space="preserve">V-006141</t>
  </si>
  <si>
    <t xml:space="preserve">V-006142</t>
  </si>
  <si>
    <t xml:space="preserve">V-006143</t>
  </si>
  <si>
    <t xml:space="preserve">V-006144</t>
  </si>
  <si>
    <t xml:space="preserve">V-006145</t>
  </si>
  <si>
    <t xml:space="preserve">V-006146</t>
  </si>
  <si>
    <t xml:space="preserve">V-006147</t>
  </si>
  <si>
    <t xml:space="preserve">V-006148</t>
  </si>
  <si>
    <t xml:space="preserve">V-006149</t>
  </si>
  <si>
    <t xml:space="preserve">V-006150</t>
  </si>
  <si>
    <t xml:space="preserve">V-006151</t>
  </si>
  <si>
    <t xml:space="preserve">V-006152</t>
  </si>
  <si>
    <t xml:space="preserve">V-006153</t>
  </si>
  <si>
    <t xml:space="preserve">V-006154</t>
  </si>
  <si>
    <t xml:space="preserve">V-006155</t>
  </si>
  <si>
    <t xml:space="preserve">V-006156</t>
  </si>
  <si>
    <t xml:space="preserve">V-006157</t>
  </si>
  <si>
    <t xml:space="preserve">V-006158</t>
  </si>
  <si>
    <t xml:space="preserve">V-006159</t>
  </si>
  <si>
    <t xml:space="preserve">V-006160</t>
  </si>
  <si>
    <t xml:space="preserve">V-006161</t>
  </si>
  <si>
    <t xml:space="preserve">V-006162</t>
  </si>
  <si>
    <t xml:space="preserve">V-006163</t>
  </si>
  <si>
    <t xml:space="preserve">V-006164</t>
  </si>
  <si>
    <t xml:space="preserve">V-006165</t>
  </si>
  <si>
    <t xml:space="preserve">V-006166</t>
  </si>
  <si>
    <t xml:space="preserve">V-006167</t>
  </si>
  <si>
    <t xml:space="preserve">V-006168</t>
  </si>
  <si>
    <t xml:space="preserve">V-006169</t>
  </si>
  <si>
    <t xml:space="preserve">V-006170</t>
  </si>
  <si>
    <t xml:space="preserve">V-006171</t>
  </si>
  <si>
    <t xml:space="preserve">V-006172</t>
  </si>
  <si>
    <t xml:space="preserve">V-006173</t>
  </si>
  <si>
    <t xml:space="preserve">V-006174</t>
  </si>
  <si>
    <t xml:space="preserve">V-006175</t>
  </si>
  <si>
    <t xml:space="preserve">V-006176</t>
  </si>
  <si>
    <t xml:space="preserve">V-006177</t>
  </si>
  <si>
    <t xml:space="preserve">V-006178</t>
  </si>
  <si>
    <t xml:space="preserve">V-006179</t>
  </si>
  <si>
    <t xml:space="preserve">V-006180</t>
  </si>
  <si>
    <t xml:space="preserve">V-006181</t>
  </si>
  <si>
    <t xml:space="preserve">V-006182</t>
  </si>
  <si>
    <t xml:space="preserve">V-006183</t>
  </si>
  <si>
    <t xml:space="preserve">V-006184</t>
  </si>
  <si>
    <t xml:space="preserve">V-006185</t>
  </si>
  <si>
    <t xml:space="preserve">V-006186</t>
  </si>
  <si>
    <t xml:space="preserve">V-006187</t>
  </si>
  <si>
    <t xml:space="preserve">V-006188</t>
  </si>
  <si>
    <t xml:space="preserve">V-006189</t>
  </si>
  <si>
    <t xml:space="preserve">V-006190</t>
  </si>
  <si>
    <t xml:space="preserve">V-006191</t>
  </si>
  <si>
    <t xml:space="preserve">V-006192</t>
  </si>
  <si>
    <t xml:space="preserve">V-006193</t>
  </si>
  <si>
    <t xml:space="preserve">V-006194</t>
  </si>
  <si>
    <t xml:space="preserve">V-006195</t>
  </si>
  <si>
    <t xml:space="preserve">V-006196</t>
  </si>
  <si>
    <t xml:space="preserve">V-006197</t>
  </si>
  <si>
    <t xml:space="preserve">V-006198</t>
  </si>
  <si>
    <t xml:space="preserve">V-006199</t>
  </si>
  <si>
    <t xml:space="preserve">V-006200</t>
  </si>
  <si>
    <t xml:space="preserve">V-006201</t>
  </si>
  <si>
    <t xml:space="preserve">V-006202</t>
  </si>
  <si>
    <t xml:space="preserve">V-006203</t>
  </si>
  <si>
    <t xml:space="preserve">V-006204</t>
  </si>
  <si>
    <t xml:space="preserve">V-006205</t>
  </si>
  <si>
    <t xml:space="preserve">V-006206</t>
  </si>
  <si>
    <t xml:space="preserve">V-006207</t>
  </si>
  <si>
    <t xml:space="preserve">V-006208</t>
  </si>
  <si>
    <t xml:space="preserve">V-006209</t>
  </si>
  <si>
    <t xml:space="preserve">V-006210</t>
  </si>
  <si>
    <t xml:space="preserve">V-006211</t>
  </si>
  <si>
    <t xml:space="preserve">V-006212</t>
  </si>
  <si>
    <t xml:space="preserve">V-006213</t>
  </si>
  <si>
    <t xml:space="preserve">V-006214</t>
  </si>
  <si>
    <t xml:space="preserve">V-006215</t>
  </si>
  <si>
    <t xml:space="preserve">V-006216</t>
  </si>
  <si>
    <t xml:space="preserve">V-006217</t>
  </si>
  <si>
    <t xml:space="preserve">V-006218</t>
  </si>
  <si>
    <t xml:space="preserve">V-006219</t>
  </si>
  <si>
    <t xml:space="preserve">V-006220</t>
  </si>
  <si>
    <t xml:space="preserve">V-006221</t>
  </si>
  <si>
    <t xml:space="preserve">V-006222</t>
  </si>
  <si>
    <t xml:space="preserve">V-006223</t>
  </si>
  <si>
    <t xml:space="preserve">V-006224</t>
  </si>
  <si>
    <t xml:space="preserve">V-006225</t>
  </si>
  <si>
    <t xml:space="preserve">V-006226</t>
  </si>
  <si>
    <t xml:space="preserve">V-006227</t>
  </si>
  <si>
    <t xml:space="preserve">V-006228</t>
  </si>
  <si>
    <t xml:space="preserve">V-006229</t>
  </si>
  <si>
    <t xml:space="preserve">V-006230</t>
  </si>
  <si>
    <t xml:space="preserve">V-006231</t>
  </si>
  <si>
    <t xml:space="preserve">V-006232</t>
  </si>
  <si>
    <t xml:space="preserve">V-006233</t>
  </si>
  <si>
    <t xml:space="preserve">V-006234</t>
  </si>
  <si>
    <t xml:space="preserve">V-006235</t>
  </si>
  <si>
    <t xml:space="preserve">V-006236</t>
  </si>
  <si>
    <t xml:space="preserve">V-006237</t>
  </si>
  <si>
    <t xml:space="preserve">V-006238</t>
  </si>
  <si>
    <t xml:space="preserve">V-006239</t>
  </si>
  <si>
    <t xml:space="preserve">V-006240</t>
  </si>
  <si>
    <t xml:space="preserve">V-006241</t>
  </si>
  <si>
    <t xml:space="preserve">V-006242</t>
  </si>
  <si>
    <t xml:space="preserve">V-006243</t>
  </si>
  <si>
    <t xml:space="preserve">V-006244</t>
  </si>
  <si>
    <t xml:space="preserve">V-006245</t>
  </si>
  <si>
    <t xml:space="preserve">V-006246</t>
  </si>
  <si>
    <t xml:space="preserve">V-006247</t>
  </si>
  <si>
    <t xml:space="preserve">V-006248</t>
  </si>
  <si>
    <t xml:space="preserve">V-006249</t>
  </si>
  <si>
    <t xml:space="preserve">V-006250</t>
  </si>
  <si>
    <t xml:space="preserve">V-006251</t>
  </si>
  <si>
    <t xml:space="preserve">V-006252</t>
  </si>
  <si>
    <t xml:space="preserve">V-006253</t>
  </si>
  <si>
    <t xml:space="preserve">V-006254</t>
  </si>
  <si>
    <t xml:space="preserve">V-006255</t>
  </si>
  <si>
    <t xml:space="preserve">V-006256</t>
  </si>
  <si>
    <t xml:space="preserve">V-006257</t>
  </si>
  <si>
    <t xml:space="preserve">V-006258</t>
  </si>
  <si>
    <t xml:space="preserve">V-006259</t>
  </si>
  <si>
    <t xml:space="preserve">V-006260</t>
  </si>
  <si>
    <t xml:space="preserve">V-006261</t>
  </si>
  <si>
    <t xml:space="preserve">V-006262</t>
  </si>
  <si>
    <t xml:space="preserve">V-006263</t>
  </si>
  <si>
    <t xml:space="preserve">V-006264</t>
  </si>
  <si>
    <t xml:space="preserve">V-006265</t>
  </si>
  <si>
    <t xml:space="preserve">V-006266</t>
  </si>
  <si>
    <t xml:space="preserve">V-006267</t>
  </si>
  <si>
    <t xml:space="preserve">V-006268</t>
  </si>
  <si>
    <t xml:space="preserve">V-006269</t>
  </si>
  <si>
    <t xml:space="preserve">V-006270</t>
  </si>
  <si>
    <t xml:space="preserve">V-006271</t>
  </si>
  <si>
    <t xml:space="preserve">V-006272</t>
  </si>
  <si>
    <t xml:space="preserve">V-006273</t>
  </si>
  <si>
    <t xml:space="preserve">V-006274</t>
  </si>
  <si>
    <t xml:space="preserve">V-006275</t>
  </si>
  <si>
    <t xml:space="preserve">V-006276</t>
  </si>
  <si>
    <t xml:space="preserve">V-006277</t>
  </si>
  <si>
    <t xml:space="preserve">V-006278</t>
  </si>
  <si>
    <t xml:space="preserve">V-006279</t>
  </si>
  <si>
    <t xml:space="preserve">V-006280</t>
  </si>
  <si>
    <t xml:space="preserve">V-006281</t>
  </si>
  <si>
    <t xml:space="preserve">V-006282</t>
  </si>
  <si>
    <t xml:space="preserve">V-006283</t>
  </si>
  <si>
    <t xml:space="preserve">V-006284</t>
  </si>
  <si>
    <t xml:space="preserve">V-006285</t>
  </si>
  <si>
    <t xml:space="preserve">V-006286</t>
  </si>
  <si>
    <t xml:space="preserve">V-006287</t>
  </si>
  <si>
    <t xml:space="preserve">V-006288</t>
  </si>
  <si>
    <t xml:space="preserve">V-006289</t>
  </si>
  <si>
    <t xml:space="preserve">V-006290</t>
  </si>
  <si>
    <t xml:space="preserve">V-006291</t>
  </si>
  <si>
    <t xml:space="preserve">V-006292</t>
  </si>
  <si>
    <t xml:space="preserve">V-006293</t>
  </si>
  <si>
    <t xml:space="preserve">V-006294</t>
  </si>
  <si>
    <t xml:space="preserve">V-006295</t>
  </si>
  <si>
    <t xml:space="preserve">V-006296</t>
  </si>
  <si>
    <t xml:space="preserve">V-006297</t>
  </si>
  <si>
    <t xml:space="preserve">V-006298</t>
  </si>
  <si>
    <t xml:space="preserve">V-006299</t>
  </si>
  <si>
    <t xml:space="preserve">V-006300</t>
  </si>
  <si>
    <t xml:space="preserve">V-006301</t>
  </si>
  <si>
    <t xml:space="preserve">V-006302</t>
  </si>
  <si>
    <t xml:space="preserve">V-006303</t>
  </si>
  <si>
    <t xml:space="preserve">V-006304</t>
  </si>
  <si>
    <t xml:space="preserve">V-006305</t>
  </si>
  <si>
    <t xml:space="preserve">V-006306</t>
  </si>
  <si>
    <t xml:space="preserve">V-006307</t>
  </si>
  <si>
    <t xml:space="preserve">V-006308</t>
  </si>
  <si>
    <t xml:space="preserve">V-006309</t>
  </si>
  <si>
    <t xml:space="preserve">V-006310</t>
  </si>
  <si>
    <t xml:space="preserve">V-006311</t>
  </si>
  <si>
    <t xml:space="preserve">V-006312</t>
  </si>
  <si>
    <t xml:space="preserve">V-006313</t>
  </si>
  <si>
    <t xml:space="preserve">V-006314</t>
  </si>
  <si>
    <t xml:space="preserve">V-006315</t>
  </si>
  <si>
    <t xml:space="preserve">V-006316</t>
  </si>
  <si>
    <t xml:space="preserve">V-006317</t>
  </si>
  <si>
    <t xml:space="preserve">V-006318</t>
  </si>
  <si>
    <t xml:space="preserve">V-006319</t>
  </si>
  <si>
    <t xml:space="preserve">V-006320</t>
  </si>
  <si>
    <t xml:space="preserve">V-006321</t>
  </si>
  <si>
    <t xml:space="preserve">V-006322</t>
  </si>
  <si>
    <t xml:space="preserve">V-006323</t>
  </si>
  <si>
    <t xml:space="preserve">V-006324</t>
  </si>
  <si>
    <t xml:space="preserve">V-006325</t>
  </si>
  <si>
    <t xml:space="preserve">V-006326</t>
  </si>
  <si>
    <t xml:space="preserve">V-006327</t>
  </si>
  <si>
    <t xml:space="preserve">V-006328</t>
  </si>
  <si>
    <t xml:space="preserve">V-006329</t>
  </si>
  <si>
    <t xml:space="preserve">V-006330</t>
  </si>
  <si>
    <t xml:space="preserve">V-006331</t>
  </si>
  <si>
    <t xml:space="preserve">V-006332</t>
  </si>
  <si>
    <t xml:space="preserve">V-006333</t>
  </si>
  <si>
    <t xml:space="preserve">V-006334</t>
  </si>
  <si>
    <t xml:space="preserve">V-006335</t>
  </si>
  <si>
    <t xml:space="preserve">V-006336</t>
  </si>
  <si>
    <t xml:space="preserve">V-006337</t>
  </si>
  <si>
    <t xml:space="preserve">V-006338</t>
  </si>
  <si>
    <t xml:space="preserve">V-006339</t>
  </si>
  <si>
    <t xml:space="preserve">V-006340</t>
  </si>
  <si>
    <t xml:space="preserve">V-006341</t>
  </si>
  <si>
    <t xml:space="preserve">V-006342</t>
  </si>
  <si>
    <t xml:space="preserve">V-006343</t>
  </si>
  <si>
    <t xml:space="preserve">V-006344</t>
  </si>
  <si>
    <t xml:space="preserve">V-006345</t>
  </si>
  <si>
    <t xml:space="preserve">V-006346</t>
  </si>
  <si>
    <t xml:space="preserve">V-006347</t>
  </si>
  <si>
    <t xml:space="preserve">V-006348</t>
  </si>
  <si>
    <t xml:space="preserve">V-006349</t>
  </si>
  <si>
    <t xml:space="preserve">V-006350</t>
  </si>
  <si>
    <t xml:space="preserve">V-006351</t>
  </si>
  <si>
    <t xml:space="preserve">V-006352</t>
  </si>
  <si>
    <t xml:space="preserve">V-006353</t>
  </si>
  <si>
    <t xml:space="preserve">V-006354</t>
  </si>
  <si>
    <t xml:space="preserve">V-006355</t>
  </si>
  <si>
    <t xml:space="preserve">V-006356</t>
  </si>
  <si>
    <t xml:space="preserve">V-006357</t>
  </si>
  <si>
    <t xml:space="preserve">V-006358</t>
  </si>
  <si>
    <t xml:space="preserve">V-006359</t>
  </si>
  <si>
    <t xml:space="preserve">V-006360</t>
  </si>
  <si>
    <t xml:space="preserve">V-006361</t>
  </si>
  <si>
    <t xml:space="preserve">V-006362</t>
  </si>
  <si>
    <t xml:space="preserve">V-006363</t>
  </si>
  <si>
    <t xml:space="preserve">V-006364</t>
  </si>
  <si>
    <t xml:space="preserve">V-006365</t>
  </si>
  <si>
    <t xml:space="preserve">V-006366</t>
  </si>
  <si>
    <t xml:space="preserve">V-006367</t>
  </si>
  <si>
    <t xml:space="preserve">V-006368</t>
  </si>
  <si>
    <t xml:space="preserve">V-006369</t>
  </si>
  <si>
    <t xml:space="preserve">V-006370</t>
  </si>
  <si>
    <t xml:space="preserve">V-006371</t>
  </si>
  <si>
    <t xml:space="preserve">V-006372</t>
  </si>
  <si>
    <t xml:space="preserve">V-006373</t>
  </si>
  <si>
    <t xml:space="preserve">V-006374</t>
  </si>
  <si>
    <t xml:space="preserve">V-006375</t>
  </si>
  <si>
    <t xml:space="preserve">V-006376</t>
  </si>
  <si>
    <t xml:space="preserve">V-006377</t>
  </si>
  <si>
    <t xml:space="preserve">V-006378</t>
  </si>
  <si>
    <t xml:space="preserve">V-006379</t>
  </si>
  <si>
    <t xml:space="preserve">V-006380</t>
  </si>
  <si>
    <t xml:space="preserve">V-006381</t>
  </si>
  <si>
    <t xml:space="preserve">V-006382</t>
  </si>
  <si>
    <t xml:space="preserve">V-006383</t>
  </si>
  <si>
    <t xml:space="preserve">V-006384</t>
  </si>
  <si>
    <t xml:space="preserve">V-006385</t>
  </si>
  <si>
    <t xml:space="preserve">V-006386</t>
  </si>
  <si>
    <t xml:space="preserve">V-006387</t>
  </si>
  <si>
    <t xml:space="preserve">V-006388</t>
  </si>
  <si>
    <t xml:space="preserve">V-006389</t>
  </si>
  <si>
    <t xml:space="preserve">V-006390</t>
  </si>
  <si>
    <t xml:space="preserve">V-006391</t>
  </si>
  <si>
    <t xml:space="preserve">V-006392</t>
  </si>
  <si>
    <t xml:space="preserve">V-006393</t>
  </si>
  <si>
    <t xml:space="preserve">V-006394</t>
  </si>
  <si>
    <t xml:space="preserve">V-006395</t>
  </si>
  <si>
    <t xml:space="preserve">V-006396</t>
  </si>
  <si>
    <t xml:space="preserve">V-006397</t>
  </si>
  <si>
    <t xml:space="preserve">V-006398</t>
  </si>
  <si>
    <t xml:space="preserve">V-006399</t>
  </si>
  <si>
    <t xml:space="preserve">V-006400</t>
  </si>
  <si>
    <t xml:space="preserve">V-006401</t>
  </si>
  <si>
    <t xml:space="preserve">V-006402</t>
  </si>
  <si>
    <t xml:space="preserve">V-006403</t>
  </si>
  <si>
    <t xml:space="preserve">V-006404</t>
  </si>
  <si>
    <t xml:space="preserve">V-006405</t>
  </si>
  <si>
    <t xml:space="preserve">V-006406</t>
  </si>
  <si>
    <t xml:space="preserve">V-006407</t>
  </si>
  <si>
    <t xml:space="preserve">V-006408</t>
  </si>
  <si>
    <t xml:space="preserve">V-006409</t>
  </si>
  <si>
    <t xml:space="preserve">V-006410</t>
  </si>
  <si>
    <t xml:space="preserve">V-006411</t>
  </si>
  <si>
    <t xml:space="preserve">V-006412</t>
  </si>
  <si>
    <t xml:space="preserve">V-006413</t>
  </si>
  <si>
    <t xml:space="preserve">V-006414</t>
  </si>
  <si>
    <t xml:space="preserve">V-006415</t>
  </si>
  <si>
    <t xml:space="preserve">V-006416</t>
  </si>
  <si>
    <t xml:space="preserve">V-006417</t>
  </si>
  <si>
    <t xml:space="preserve">V-006418</t>
  </si>
  <si>
    <t xml:space="preserve">V-006419</t>
  </si>
  <si>
    <t xml:space="preserve">V-006420</t>
  </si>
  <si>
    <t xml:space="preserve">V-006421</t>
  </si>
  <si>
    <t xml:space="preserve">V-006422</t>
  </si>
  <si>
    <t xml:space="preserve">V-006423</t>
  </si>
  <si>
    <t xml:space="preserve">V-006424</t>
  </si>
  <si>
    <t xml:space="preserve">V-006425</t>
  </si>
  <si>
    <t xml:space="preserve">V-006426</t>
  </si>
  <si>
    <t xml:space="preserve">V-006427</t>
  </si>
  <si>
    <t xml:space="preserve">V-006428</t>
  </si>
  <si>
    <t xml:space="preserve">V-006429</t>
  </si>
  <si>
    <t xml:space="preserve">V-006430</t>
  </si>
  <si>
    <t xml:space="preserve">V-006431</t>
  </si>
  <si>
    <t xml:space="preserve">V-006432</t>
  </si>
  <si>
    <t xml:space="preserve">V-006433</t>
  </si>
  <si>
    <t xml:space="preserve">V-006434</t>
  </si>
  <si>
    <t xml:space="preserve">V-006435</t>
  </si>
  <si>
    <t xml:space="preserve">V-006436</t>
  </si>
  <si>
    <t xml:space="preserve">V-006437</t>
  </si>
  <si>
    <t xml:space="preserve">V-006438</t>
  </si>
  <si>
    <t xml:space="preserve">V-006439</t>
  </si>
  <si>
    <t xml:space="preserve">V-006440</t>
  </si>
  <si>
    <t xml:space="preserve">V-006441</t>
  </si>
  <si>
    <t xml:space="preserve">V-006442</t>
  </si>
  <si>
    <t xml:space="preserve">V-006443</t>
  </si>
  <si>
    <t xml:space="preserve">V-006444</t>
  </si>
  <si>
    <t xml:space="preserve">V-006445</t>
  </si>
  <si>
    <t xml:space="preserve">V-006446</t>
  </si>
  <si>
    <t xml:space="preserve">V-006447</t>
  </si>
  <si>
    <t xml:space="preserve">V-006448</t>
  </si>
  <si>
    <t xml:space="preserve">V-006449</t>
  </si>
  <si>
    <t xml:space="preserve">V-006450</t>
  </si>
  <si>
    <t xml:space="preserve">V-006451</t>
  </si>
  <si>
    <t xml:space="preserve">V-006452</t>
  </si>
  <si>
    <t xml:space="preserve">V-006453</t>
  </si>
  <si>
    <t xml:space="preserve">V-006454</t>
  </si>
  <si>
    <t xml:space="preserve">V-006455</t>
  </si>
  <si>
    <t xml:space="preserve">V-006456</t>
  </si>
  <si>
    <t xml:space="preserve">V-006457</t>
  </si>
  <si>
    <t xml:space="preserve">V-006458</t>
  </si>
  <si>
    <t xml:space="preserve">V-006459</t>
  </si>
  <si>
    <t xml:space="preserve">V-006460</t>
  </si>
  <si>
    <t xml:space="preserve">V-006461</t>
  </si>
  <si>
    <t xml:space="preserve">V-006462</t>
  </si>
  <si>
    <t xml:space="preserve">V-006463</t>
  </si>
  <si>
    <t xml:space="preserve">V-006464</t>
  </si>
  <si>
    <t xml:space="preserve">V-006465</t>
  </si>
  <si>
    <t xml:space="preserve">V-006466</t>
  </si>
  <si>
    <t xml:space="preserve">V-006467</t>
  </si>
  <si>
    <t xml:space="preserve">V-006468</t>
  </si>
  <si>
    <t xml:space="preserve">V-006469</t>
  </si>
  <si>
    <t xml:space="preserve">V-006470</t>
  </si>
  <si>
    <t xml:space="preserve">V-006471</t>
  </si>
  <si>
    <t xml:space="preserve">V-006472</t>
  </si>
  <si>
    <t xml:space="preserve">V-006473</t>
  </si>
  <si>
    <t xml:space="preserve">V-006474</t>
  </si>
  <si>
    <t xml:space="preserve">V-006475</t>
  </si>
  <si>
    <t xml:space="preserve">V-006476</t>
  </si>
  <si>
    <t xml:space="preserve">V-006477</t>
  </si>
  <si>
    <t xml:space="preserve">V-006478</t>
  </si>
  <si>
    <t xml:space="preserve">V-006479</t>
  </si>
  <si>
    <t xml:space="preserve">V-006480</t>
  </si>
  <si>
    <t xml:space="preserve">V-006481</t>
  </si>
  <si>
    <t xml:space="preserve">V-006482</t>
  </si>
  <si>
    <t xml:space="preserve">V-006483</t>
  </si>
  <si>
    <t xml:space="preserve">V-006484</t>
  </si>
  <si>
    <t xml:space="preserve">V-006485</t>
  </si>
  <si>
    <t xml:space="preserve">V-006486</t>
  </si>
  <si>
    <t xml:space="preserve">V-006487</t>
  </si>
  <si>
    <t xml:space="preserve">V-006488</t>
  </si>
  <si>
    <t xml:space="preserve">V-006489</t>
  </si>
  <si>
    <t xml:space="preserve">V-006490</t>
  </si>
  <si>
    <t xml:space="preserve">V-006491</t>
  </si>
  <si>
    <t xml:space="preserve">V-006492</t>
  </si>
  <si>
    <t xml:space="preserve">V-006493</t>
  </si>
  <si>
    <t xml:space="preserve">V-006494</t>
  </si>
  <si>
    <t xml:space="preserve">V-006495</t>
  </si>
  <si>
    <t xml:space="preserve">V-006496</t>
  </si>
  <si>
    <t xml:space="preserve">V-006497</t>
  </si>
  <si>
    <t xml:space="preserve">V-006498</t>
  </si>
  <si>
    <t xml:space="preserve">V-006499</t>
  </si>
  <si>
    <t xml:space="preserve">V-006500</t>
  </si>
  <si>
    <t xml:space="preserve">V-006501</t>
  </si>
  <si>
    <t xml:space="preserve">V-006502</t>
  </si>
  <si>
    <t xml:space="preserve">V-006503</t>
  </si>
  <si>
    <t xml:space="preserve">V-006504</t>
  </si>
  <si>
    <t xml:space="preserve">V-006505</t>
  </si>
  <si>
    <t xml:space="preserve">V-006506</t>
  </si>
  <si>
    <t xml:space="preserve">V-006507</t>
  </si>
  <si>
    <t xml:space="preserve">V-006508</t>
  </si>
  <si>
    <t xml:space="preserve">V-006509</t>
  </si>
  <si>
    <t xml:space="preserve">V-006510</t>
  </si>
  <si>
    <t xml:space="preserve">V-006511</t>
  </si>
  <si>
    <t xml:space="preserve">V-006512</t>
  </si>
  <si>
    <t xml:space="preserve">V-006513</t>
  </si>
  <si>
    <t xml:space="preserve">V-006514</t>
  </si>
  <si>
    <t xml:space="preserve">V-006515</t>
  </si>
  <si>
    <t xml:space="preserve">V-006516</t>
  </si>
  <si>
    <t xml:space="preserve">V-006517</t>
  </si>
  <si>
    <t xml:space="preserve">V-006518</t>
  </si>
  <si>
    <t xml:space="preserve">V-006519</t>
  </si>
  <si>
    <t xml:space="preserve">V-006520</t>
  </si>
  <si>
    <t xml:space="preserve">V-006521</t>
  </si>
  <si>
    <t xml:space="preserve">V-006522</t>
  </si>
  <si>
    <t xml:space="preserve">V-006523</t>
  </si>
  <si>
    <t xml:space="preserve">V-006524</t>
  </si>
  <si>
    <t xml:space="preserve">V-006525</t>
  </si>
  <si>
    <t xml:space="preserve">V-006526</t>
  </si>
  <si>
    <t xml:space="preserve">V-006527</t>
  </si>
  <si>
    <t xml:space="preserve">V-006528</t>
  </si>
  <si>
    <t xml:space="preserve">V-006529</t>
  </si>
  <si>
    <t xml:space="preserve">V-006530</t>
  </si>
  <si>
    <t xml:space="preserve">V-006531</t>
  </si>
  <si>
    <t xml:space="preserve">V-006532</t>
  </si>
  <si>
    <t xml:space="preserve">V-006533</t>
  </si>
  <si>
    <t xml:space="preserve">V-006534</t>
  </si>
  <si>
    <t xml:space="preserve">V-006535</t>
  </si>
  <si>
    <t xml:space="preserve">V-006536</t>
  </si>
  <si>
    <t xml:space="preserve">V-006537</t>
  </si>
  <si>
    <t xml:space="preserve">V-006538</t>
  </si>
  <si>
    <t xml:space="preserve">V-006539</t>
  </si>
  <si>
    <t xml:space="preserve">V-006540</t>
  </si>
  <si>
    <t xml:space="preserve">V-006541</t>
  </si>
  <si>
    <t xml:space="preserve">V-006542</t>
  </si>
  <si>
    <t xml:space="preserve">V-006543</t>
  </si>
  <si>
    <t xml:space="preserve">V-006544</t>
  </si>
  <si>
    <t xml:space="preserve">V-006545</t>
  </si>
  <si>
    <t xml:space="preserve">V-006546</t>
  </si>
  <si>
    <t xml:space="preserve">V-006547</t>
  </si>
  <si>
    <t xml:space="preserve">V-006548</t>
  </si>
  <si>
    <t xml:space="preserve">V-006549</t>
  </si>
  <si>
    <t xml:space="preserve">V-006550</t>
  </si>
  <si>
    <t xml:space="preserve">V-006551</t>
  </si>
  <si>
    <t xml:space="preserve">V-006552</t>
  </si>
  <si>
    <t xml:space="preserve">V-006553</t>
  </si>
  <si>
    <t xml:space="preserve">V-006554</t>
  </si>
  <si>
    <t xml:space="preserve">V-006555</t>
  </si>
  <si>
    <t xml:space="preserve">V-006556</t>
  </si>
  <si>
    <t xml:space="preserve">V-006557</t>
  </si>
  <si>
    <t xml:space="preserve">V-006558</t>
  </si>
  <si>
    <t xml:space="preserve">V-006559</t>
  </si>
  <si>
    <t xml:space="preserve">V-006560</t>
  </si>
  <si>
    <t xml:space="preserve">V-006561</t>
  </si>
  <si>
    <t xml:space="preserve">V-006562</t>
  </si>
  <si>
    <t xml:space="preserve">V-006563</t>
  </si>
  <si>
    <t xml:space="preserve">V-006564</t>
  </si>
  <si>
    <t xml:space="preserve">V-006565</t>
  </si>
  <si>
    <t xml:space="preserve">V-006566</t>
  </si>
  <si>
    <t xml:space="preserve">V-006567</t>
  </si>
  <si>
    <t xml:space="preserve">V-006568</t>
  </si>
  <si>
    <t xml:space="preserve">V-006569</t>
  </si>
  <si>
    <t xml:space="preserve">V-006570</t>
  </si>
  <si>
    <t xml:space="preserve">V-006571</t>
  </si>
  <si>
    <t xml:space="preserve">V-006572</t>
  </si>
  <si>
    <t xml:space="preserve">V-006573</t>
  </si>
  <si>
    <t xml:space="preserve">V-006574</t>
  </si>
  <si>
    <t xml:space="preserve">V-006575</t>
  </si>
  <si>
    <t xml:space="preserve">V-006576</t>
  </si>
  <si>
    <t xml:space="preserve">V-006577</t>
  </si>
  <si>
    <t xml:space="preserve">V-006578</t>
  </si>
  <si>
    <t xml:space="preserve">V-006579</t>
  </si>
  <si>
    <t xml:space="preserve">V-006580</t>
  </si>
  <si>
    <t xml:space="preserve">V-006581</t>
  </si>
  <si>
    <t xml:space="preserve">V-006582</t>
  </si>
  <si>
    <t xml:space="preserve">V-006583</t>
  </si>
  <si>
    <t xml:space="preserve">V-006584</t>
  </si>
  <si>
    <t xml:space="preserve">V-006585</t>
  </si>
  <si>
    <t xml:space="preserve">V-006586</t>
  </si>
  <si>
    <t xml:space="preserve">V-006587</t>
  </si>
  <si>
    <t xml:space="preserve">V-006588</t>
  </si>
  <si>
    <t xml:space="preserve">V-006589</t>
  </si>
  <si>
    <t xml:space="preserve">V-006590</t>
  </si>
  <si>
    <t xml:space="preserve">V-006591</t>
  </si>
  <si>
    <t xml:space="preserve">V-006592</t>
  </si>
  <si>
    <t xml:space="preserve">V-006593</t>
  </si>
  <si>
    <t xml:space="preserve">V-006594</t>
  </si>
  <si>
    <t xml:space="preserve">V-006595</t>
  </si>
  <si>
    <t xml:space="preserve">V-006596</t>
  </si>
  <si>
    <t xml:space="preserve">V-006597</t>
  </si>
  <si>
    <t xml:space="preserve">V-006598</t>
  </si>
  <si>
    <t xml:space="preserve">V-006599</t>
  </si>
  <si>
    <t xml:space="preserve">V-006600</t>
  </si>
  <si>
    <t xml:space="preserve">V-006601</t>
  </si>
  <si>
    <t xml:space="preserve">V-006602</t>
  </si>
  <si>
    <t xml:space="preserve">V-006603</t>
  </si>
  <si>
    <t xml:space="preserve">V-006604</t>
  </si>
  <si>
    <t xml:space="preserve">V-006605</t>
  </si>
  <si>
    <t xml:space="preserve">V-006606</t>
  </si>
  <si>
    <t xml:space="preserve">V-006607</t>
  </si>
  <si>
    <t xml:space="preserve">V-006608</t>
  </si>
  <si>
    <t xml:space="preserve">V-006609</t>
  </si>
  <si>
    <t xml:space="preserve">V-006610</t>
  </si>
  <si>
    <t xml:space="preserve">V-006611</t>
  </si>
  <si>
    <t xml:space="preserve">V-006612</t>
  </si>
  <si>
    <t xml:space="preserve">V-006613</t>
  </si>
  <si>
    <t xml:space="preserve">V-006614</t>
  </si>
  <si>
    <t xml:space="preserve">V-006615</t>
  </si>
  <si>
    <t xml:space="preserve">V-006616</t>
  </si>
  <si>
    <t xml:space="preserve">V-006617</t>
  </si>
  <si>
    <t xml:space="preserve">V-006618</t>
  </si>
  <si>
    <t xml:space="preserve">V-006619</t>
  </si>
  <si>
    <t xml:space="preserve">V-006620</t>
  </si>
  <si>
    <t xml:space="preserve">V-006621</t>
  </si>
  <si>
    <t xml:space="preserve">V-006622</t>
  </si>
  <si>
    <t xml:space="preserve">V-006623</t>
  </si>
  <si>
    <t xml:space="preserve">V-006624</t>
  </si>
  <si>
    <t xml:space="preserve">V-006625</t>
  </si>
  <si>
    <t xml:space="preserve">V-006626</t>
  </si>
  <si>
    <t xml:space="preserve">V-006627</t>
  </si>
  <si>
    <t xml:space="preserve">V-006628</t>
  </si>
  <si>
    <t xml:space="preserve">V-006629</t>
  </si>
  <si>
    <t xml:space="preserve">V-006630</t>
  </si>
  <si>
    <t xml:space="preserve">V-006631</t>
  </si>
  <si>
    <t xml:space="preserve">V-006632</t>
  </si>
  <si>
    <t xml:space="preserve">V-006633</t>
  </si>
  <si>
    <t xml:space="preserve">V-006634</t>
  </si>
  <si>
    <t xml:space="preserve">V-006635</t>
  </si>
  <si>
    <t xml:space="preserve">V-006636</t>
  </si>
  <si>
    <t xml:space="preserve">V-006637</t>
  </si>
  <si>
    <t xml:space="preserve">V-006638</t>
  </si>
  <si>
    <t xml:space="preserve">V-006639</t>
  </si>
  <si>
    <t xml:space="preserve">V-006640</t>
  </si>
  <si>
    <t xml:space="preserve">V-006641</t>
  </si>
  <si>
    <t xml:space="preserve">V-006642</t>
  </si>
  <si>
    <t xml:space="preserve">V-006643</t>
  </si>
  <si>
    <t xml:space="preserve">V-006644</t>
  </si>
  <si>
    <t xml:space="preserve">V-006645</t>
  </si>
  <si>
    <t xml:space="preserve">V-006646</t>
  </si>
  <si>
    <t xml:space="preserve">V-006647</t>
  </si>
  <si>
    <t xml:space="preserve">V-006648</t>
  </si>
  <si>
    <t xml:space="preserve">V-006649</t>
  </si>
  <si>
    <t xml:space="preserve">V-006650</t>
  </si>
  <si>
    <t xml:space="preserve">V-006651</t>
  </si>
  <si>
    <t xml:space="preserve">V-006652</t>
  </si>
  <si>
    <t xml:space="preserve">V-006653</t>
  </si>
  <si>
    <t xml:space="preserve">V-006654</t>
  </si>
  <si>
    <t xml:space="preserve">V-006655</t>
  </si>
  <si>
    <t xml:space="preserve">V-006656</t>
  </si>
  <si>
    <t xml:space="preserve">V-006657</t>
  </si>
  <si>
    <t xml:space="preserve">V-006658</t>
  </si>
  <si>
    <t xml:space="preserve">V-006659</t>
  </si>
  <si>
    <t xml:space="preserve">V-006660</t>
  </si>
  <si>
    <t xml:space="preserve">V-006661</t>
  </si>
  <si>
    <t xml:space="preserve">V-006662</t>
  </si>
  <si>
    <t xml:space="preserve">V-006663</t>
  </si>
  <si>
    <t xml:space="preserve">V-006664</t>
  </si>
  <si>
    <t xml:space="preserve">V-006665</t>
  </si>
  <si>
    <t xml:space="preserve">V-006666</t>
  </si>
  <si>
    <t xml:space="preserve">V-006667</t>
  </si>
  <si>
    <t xml:space="preserve">V-006668</t>
  </si>
  <si>
    <t xml:space="preserve">V-006669</t>
  </si>
  <si>
    <t xml:space="preserve">V-006670</t>
  </si>
  <si>
    <t xml:space="preserve">V-006671</t>
  </si>
  <si>
    <t xml:space="preserve">V-006672</t>
  </si>
  <si>
    <t xml:space="preserve">V-006673</t>
  </si>
  <si>
    <t xml:space="preserve">V-006674</t>
  </si>
  <si>
    <t xml:space="preserve">V-006675</t>
  </si>
  <si>
    <t xml:space="preserve">V-006676</t>
  </si>
  <si>
    <t xml:space="preserve">V-006677</t>
  </si>
  <si>
    <t xml:space="preserve">V-006678</t>
  </si>
  <si>
    <t xml:space="preserve">V-006679</t>
  </si>
  <si>
    <t xml:space="preserve">V-006680</t>
  </si>
  <si>
    <t xml:space="preserve">V-006681</t>
  </si>
  <si>
    <t xml:space="preserve">V-006682</t>
  </si>
  <si>
    <t xml:space="preserve">V-006683</t>
  </si>
  <si>
    <t xml:space="preserve">V-006684</t>
  </si>
  <si>
    <t xml:space="preserve">V-006685</t>
  </si>
  <si>
    <t xml:space="preserve">V-006686</t>
  </si>
  <si>
    <t xml:space="preserve">V-006687</t>
  </si>
  <si>
    <t xml:space="preserve">V-006688</t>
  </si>
  <si>
    <t xml:space="preserve">V-006689</t>
  </si>
  <si>
    <t xml:space="preserve">V-006690</t>
  </si>
  <si>
    <t xml:space="preserve">V-006691</t>
  </si>
  <si>
    <t xml:space="preserve">V-006692</t>
  </si>
  <si>
    <t xml:space="preserve">V-006693</t>
  </si>
  <si>
    <t xml:space="preserve">V-006694</t>
  </si>
  <si>
    <t xml:space="preserve">V-006695</t>
  </si>
  <si>
    <t xml:space="preserve">V-006696</t>
  </si>
  <si>
    <t xml:space="preserve">V-006697</t>
  </si>
  <si>
    <t xml:space="preserve">V-006698</t>
  </si>
  <si>
    <t xml:space="preserve">V-006699</t>
  </si>
  <si>
    <t xml:space="preserve">V-006700</t>
  </si>
  <si>
    <t xml:space="preserve">V-006701</t>
  </si>
  <si>
    <t xml:space="preserve">V-006702</t>
  </si>
  <si>
    <t xml:space="preserve">V-006703</t>
  </si>
  <si>
    <t xml:space="preserve">V-006704</t>
  </si>
  <si>
    <t xml:space="preserve">V-006705</t>
  </si>
  <si>
    <t xml:space="preserve">V-006706</t>
  </si>
  <si>
    <t xml:space="preserve">V-006707</t>
  </si>
  <si>
    <t xml:space="preserve">V-006708</t>
  </si>
  <si>
    <t xml:space="preserve">V-006709</t>
  </si>
  <si>
    <t xml:space="preserve">V-006710</t>
  </si>
  <si>
    <t xml:space="preserve">V-006711</t>
  </si>
  <si>
    <t xml:space="preserve">V-006712</t>
  </si>
  <si>
    <t xml:space="preserve">V-006713</t>
  </si>
  <si>
    <t xml:space="preserve">V-006714</t>
  </si>
  <si>
    <t xml:space="preserve">V-006715</t>
  </si>
  <si>
    <t xml:space="preserve">V-006716</t>
  </si>
  <si>
    <t xml:space="preserve">V-006717</t>
  </si>
  <si>
    <t xml:space="preserve">V-006718</t>
  </si>
  <si>
    <t xml:space="preserve">V-006719</t>
  </si>
  <si>
    <t xml:space="preserve">V-006720</t>
  </si>
  <si>
    <t xml:space="preserve">V-006721</t>
  </si>
  <si>
    <t xml:space="preserve">V-006722</t>
  </si>
  <si>
    <t xml:space="preserve">V-006723</t>
  </si>
  <si>
    <t xml:space="preserve">V-006724</t>
  </si>
  <si>
    <t xml:space="preserve">V-006725</t>
  </si>
  <si>
    <t xml:space="preserve">V-006726</t>
  </si>
  <si>
    <t xml:space="preserve">V-006727</t>
  </si>
  <si>
    <t xml:space="preserve">V-006728</t>
  </si>
  <si>
    <t xml:space="preserve">V-006729</t>
  </si>
  <si>
    <t xml:space="preserve">V-006730</t>
  </si>
  <si>
    <t xml:space="preserve">V-006731</t>
  </si>
  <si>
    <t xml:space="preserve">V-006732</t>
  </si>
  <si>
    <t xml:space="preserve">V-006733</t>
  </si>
  <si>
    <t xml:space="preserve">V-006734</t>
  </si>
  <si>
    <t xml:space="preserve">V-006735</t>
  </si>
  <si>
    <t xml:space="preserve">V-006736</t>
  </si>
  <si>
    <t xml:space="preserve">V-006737</t>
  </si>
  <si>
    <t xml:space="preserve">V-006738</t>
  </si>
  <si>
    <t xml:space="preserve">V-006739</t>
  </si>
  <si>
    <t xml:space="preserve">V-006740</t>
  </si>
  <si>
    <t xml:space="preserve">V-006741</t>
  </si>
  <si>
    <t xml:space="preserve">V-006742</t>
  </si>
  <si>
    <t xml:space="preserve">V-006743</t>
  </si>
  <si>
    <t xml:space="preserve">V-006744</t>
  </si>
  <si>
    <t xml:space="preserve">V-006745</t>
  </si>
  <si>
    <t xml:space="preserve">V-006746</t>
  </si>
  <si>
    <t xml:space="preserve">V-006747</t>
  </si>
  <si>
    <t xml:space="preserve">V-006748</t>
  </si>
  <si>
    <t xml:space="preserve">V-006749</t>
  </si>
  <si>
    <t xml:space="preserve">V-006750</t>
  </si>
  <si>
    <t xml:space="preserve">V-006751</t>
  </si>
  <si>
    <t xml:space="preserve">V-006752</t>
  </si>
  <si>
    <t xml:space="preserve">V-006753</t>
  </si>
  <si>
    <t xml:space="preserve">V-006754</t>
  </si>
  <si>
    <t xml:space="preserve">V-006755</t>
  </si>
  <si>
    <t xml:space="preserve">V-006756</t>
  </si>
  <si>
    <t xml:space="preserve">V-006757</t>
  </si>
  <si>
    <t xml:space="preserve">V-006758</t>
  </si>
  <si>
    <t xml:space="preserve">V-006759</t>
  </si>
  <si>
    <t xml:space="preserve">V-006760</t>
  </si>
  <si>
    <t xml:space="preserve">V-006761</t>
  </si>
  <si>
    <t xml:space="preserve">V-006762</t>
  </si>
  <si>
    <t xml:space="preserve">V-006763</t>
  </si>
  <si>
    <t xml:space="preserve">V-006764</t>
  </si>
  <si>
    <t xml:space="preserve">V-006765</t>
  </si>
  <si>
    <t xml:space="preserve">V-006766</t>
  </si>
  <si>
    <t xml:space="preserve">V-006767</t>
  </si>
  <si>
    <t xml:space="preserve">V-006768</t>
  </si>
  <si>
    <t xml:space="preserve">V-006769</t>
  </si>
  <si>
    <t xml:space="preserve">V-006770</t>
  </si>
  <si>
    <t xml:space="preserve">V-006771</t>
  </si>
  <si>
    <t xml:space="preserve">V-006772</t>
  </si>
  <si>
    <t xml:space="preserve">V-006773</t>
  </si>
  <si>
    <t xml:space="preserve">V-006774</t>
  </si>
  <si>
    <t xml:space="preserve">V-006775</t>
  </si>
  <si>
    <t xml:space="preserve">V-006776</t>
  </si>
  <si>
    <t xml:space="preserve">V-006777</t>
  </si>
  <si>
    <t xml:space="preserve">V-006778</t>
  </si>
  <si>
    <t xml:space="preserve">V-006779</t>
  </si>
  <si>
    <t xml:space="preserve">V-006780</t>
  </si>
  <si>
    <t xml:space="preserve">V-006781</t>
  </si>
  <si>
    <t xml:space="preserve">V-006782</t>
  </si>
  <si>
    <t xml:space="preserve">V-006783</t>
  </si>
  <si>
    <t xml:space="preserve">V-006784</t>
  </si>
  <si>
    <t xml:space="preserve">V-006785</t>
  </si>
  <si>
    <t xml:space="preserve">V-006786</t>
  </si>
  <si>
    <t xml:space="preserve">V-006787</t>
  </si>
  <si>
    <t xml:space="preserve">V-006788</t>
  </si>
  <si>
    <t xml:space="preserve">V-006789</t>
  </si>
  <si>
    <t xml:space="preserve">V-006790</t>
  </si>
  <si>
    <t xml:space="preserve">V-006791</t>
  </si>
  <si>
    <t xml:space="preserve">V-006792</t>
  </si>
  <si>
    <t xml:space="preserve">V-006793</t>
  </si>
  <si>
    <t xml:space="preserve">V-006794</t>
  </si>
  <si>
    <t xml:space="preserve">V-006795</t>
  </si>
  <si>
    <t xml:space="preserve">V-006796</t>
  </si>
  <si>
    <t xml:space="preserve">V-006797</t>
  </si>
  <si>
    <t xml:space="preserve">V-006798</t>
  </si>
  <si>
    <t xml:space="preserve">V-006799</t>
  </si>
  <si>
    <t xml:space="preserve">V-006800</t>
  </si>
  <si>
    <t xml:space="preserve">V-006801</t>
  </si>
  <si>
    <t xml:space="preserve">V-006802</t>
  </si>
  <si>
    <t xml:space="preserve">V-006803</t>
  </si>
  <si>
    <t xml:space="preserve">V-006804</t>
  </si>
  <si>
    <t xml:space="preserve">V-006805</t>
  </si>
  <si>
    <t xml:space="preserve">V-006806</t>
  </si>
  <si>
    <t xml:space="preserve">V-006807</t>
  </si>
  <si>
    <t xml:space="preserve">V-006808</t>
  </si>
  <si>
    <t xml:space="preserve">V-006809</t>
  </si>
  <si>
    <t xml:space="preserve">V-006810</t>
  </si>
  <si>
    <t xml:space="preserve">V-006811</t>
  </si>
  <si>
    <t xml:space="preserve">V-006812</t>
  </si>
  <si>
    <t xml:space="preserve">V-006813</t>
  </si>
  <si>
    <t xml:space="preserve">V-006814</t>
  </si>
  <si>
    <t xml:space="preserve">V-006815</t>
  </si>
  <si>
    <t xml:space="preserve">V-006816</t>
  </si>
  <si>
    <t xml:space="preserve">V-006817</t>
  </si>
  <si>
    <t xml:space="preserve">V-006818</t>
  </si>
  <si>
    <t xml:space="preserve">V-006819</t>
  </si>
  <si>
    <t xml:space="preserve">V-006820</t>
  </si>
  <si>
    <t xml:space="preserve">V-006821</t>
  </si>
  <si>
    <t xml:space="preserve">V-006822</t>
  </si>
  <si>
    <t xml:space="preserve">V-006823</t>
  </si>
  <si>
    <t xml:space="preserve">V-006824</t>
  </si>
  <si>
    <t xml:space="preserve">V-006825</t>
  </si>
  <si>
    <t xml:space="preserve">V-006826</t>
  </si>
  <si>
    <t xml:space="preserve">V-006827</t>
  </si>
  <si>
    <t xml:space="preserve">V-006828</t>
  </si>
  <si>
    <t xml:space="preserve">V-006829</t>
  </si>
  <si>
    <t xml:space="preserve">V-006830</t>
  </si>
  <si>
    <t xml:space="preserve">V-006831</t>
  </si>
  <si>
    <t xml:space="preserve">V-006832</t>
  </si>
  <si>
    <t xml:space="preserve">V-006833</t>
  </si>
  <si>
    <t xml:space="preserve">V-006834</t>
  </si>
  <si>
    <t xml:space="preserve">V-006835</t>
  </si>
  <si>
    <t xml:space="preserve">V-006836</t>
  </si>
  <si>
    <t xml:space="preserve">V-006837</t>
  </si>
  <si>
    <t xml:space="preserve">V-006838</t>
  </si>
  <si>
    <t xml:space="preserve">V-006839</t>
  </si>
  <si>
    <t xml:space="preserve">V-006840</t>
  </si>
  <si>
    <t xml:space="preserve">V-006841</t>
  </si>
  <si>
    <t xml:space="preserve">V-006842</t>
  </si>
  <si>
    <t xml:space="preserve">V-006843</t>
  </si>
  <si>
    <t xml:space="preserve">V-006844</t>
  </si>
  <si>
    <t xml:space="preserve">V-006845</t>
  </si>
  <si>
    <t xml:space="preserve">V-006846</t>
  </si>
  <si>
    <t xml:space="preserve">V-006847</t>
  </si>
  <si>
    <t xml:space="preserve">V-006848</t>
  </si>
  <si>
    <t xml:space="preserve">V-006849</t>
  </si>
  <si>
    <t xml:space="preserve">V-006850</t>
  </si>
  <si>
    <t xml:space="preserve">V-006851</t>
  </si>
  <si>
    <t xml:space="preserve">V-006852</t>
  </si>
  <si>
    <t xml:space="preserve">V-006853</t>
  </si>
  <si>
    <t xml:space="preserve">V-006854</t>
  </si>
  <si>
    <t xml:space="preserve">V-006855</t>
  </si>
  <si>
    <t xml:space="preserve">V-006856</t>
  </si>
  <si>
    <t xml:space="preserve">V-006857</t>
  </si>
  <si>
    <t xml:space="preserve">V-006858</t>
  </si>
  <si>
    <t xml:space="preserve">V-006859</t>
  </si>
  <si>
    <t xml:space="preserve">V-006860</t>
  </si>
  <si>
    <t xml:space="preserve">V-006861</t>
  </si>
  <si>
    <t xml:space="preserve">V-006862</t>
  </si>
  <si>
    <t xml:space="preserve">V-006863</t>
  </si>
  <si>
    <t xml:space="preserve">V-006864</t>
  </si>
  <si>
    <t xml:space="preserve">V-006865</t>
  </si>
  <si>
    <t xml:space="preserve">V-006866</t>
  </si>
  <si>
    <t xml:space="preserve">V-006867</t>
  </si>
  <si>
    <t xml:space="preserve">V-006868</t>
  </si>
  <si>
    <t xml:space="preserve">V-006869</t>
  </si>
  <si>
    <t xml:space="preserve">V-006870</t>
  </si>
  <si>
    <t xml:space="preserve">V-006871</t>
  </si>
  <si>
    <t xml:space="preserve">V-006872</t>
  </si>
  <si>
    <t xml:space="preserve">V-006873</t>
  </si>
  <si>
    <t xml:space="preserve">V-006874</t>
  </si>
  <si>
    <t xml:space="preserve">V-006875</t>
  </si>
  <si>
    <t xml:space="preserve">V-006876</t>
  </si>
  <si>
    <t xml:space="preserve">V-006877</t>
  </si>
  <si>
    <t xml:space="preserve">V-006878</t>
  </si>
  <si>
    <t xml:space="preserve">V-006879</t>
  </si>
  <si>
    <t xml:space="preserve">V-006880</t>
  </si>
  <si>
    <t xml:space="preserve">V-006881</t>
  </si>
  <si>
    <t xml:space="preserve">V-006882</t>
  </si>
  <si>
    <t xml:space="preserve">V-006883</t>
  </si>
  <si>
    <t xml:space="preserve">V-006884</t>
  </si>
  <si>
    <t xml:space="preserve">V-006885</t>
  </si>
  <si>
    <t xml:space="preserve">V-006886</t>
  </si>
  <si>
    <t xml:space="preserve">V-006887</t>
  </si>
  <si>
    <t xml:space="preserve">V-006888</t>
  </si>
  <si>
    <t xml:space="preserve">V-006889</t>
  </si>
  <si>
    <t xml:space="preserve">V-006890</t>
  </si>
  <si>
    <t xml:space="preserve">V-006891</t>
  </si>
  <si>
    <t xml:space="preserve">V-006892</t>
  </si>
  <si>
    <t xml:space="preserve">V-006893</t>
  </si>
  <si>
    <t xml:space="preserve">V-006894</t>
  </si>
  <si>
    <t xml:space="preserve">V-006895</t>
  </si>
  <si>
    <t xml:space="preserve">V-006896</t>
  </si>
  <si>
    <t xml:space="preserve">V-006897</t>
  </si>
  <si>
    <t xml:space="preserve">V-006898</t>
  </si>
  <si>
    <t xml:space="preserve">V-006899</t>
  </si>
  <si>
    <t xml:space="preserve">V-006900</t>
  </si>
  <si>
    <t xml:space="preserve">V-006901</t>
  </si>
  <si>
    <t xml:space="preserve">V-006902</t>
  </si>
  <si>
    <t xml:space="preserve">V-006903</t>
  </si>
  <si>
    <t xml:space="preserve">V-006904</t>
  </si>
  <si>
    <t xml:space="preserve">V-006905</t>
  </si>
  <si>
    <t xml:space="preserve">V-006906</t>
  </si>
  <si>
    <t xml:space="preserve">V-006907</t>
  </si>
  <si>
    <t xml:space="preserve">V-006908</t>
  </si>
  <si>
    <t xml:space="preserve">V-006909</t>
  </si>
  <si>
    <t xml:space="preserve">V-006910</t>
  </si>
  <si>
    <t xml:space="preserve">V-006911</t>
  </si>
  <si>
    <t xml:space="preserve">V-006912</t>
  </si>
  <si>
    <t xml:space="preserve">V-006913</t>
  </si>
  <si>
    <t xml:space="preserve">V-006914</t>
  </si>
  <si>
    <t xml:space="preserve">V-006915</t>
  </si>
  <si>
    <t xml:space="preserve">V-006916</t>
  </si>
  <si>
    <t xml:space="preserve">V-006917</t>
  </si>
  <si>
    <t xml:space="preserve">V-006918</t>
  </si>
  <si>
    <t xml:space="preserve">V-006919</t>
  </si>
  <si>
    <t xml:space="preserve">V-006920</t>
  </si>
  <si>
    <t xml:space="preserve">V-006921</t>
  </si>
  <si>
    <t xml:space="preserve">V-006922</t>
  </si>
  <si>
    <t xml:space="preserve">V-006923</t>
  </si>
  <si>
    <t xml:space="preserve">V-006924</t>
  </si>
  <si>
    <t xml:space="preserve">V-006925</t>
  </si>
  <si>
    <t xml:space="preserve">V-006926</t>
  </si>
  <si>
    <t xml:space="preserve">V-006927</t>
  </si>
  <si>
    <t xml:space="preserve">V-006928</t>
  </si>
  <si>
    <t xml:space="preserve">V-006929</t>
  </si>
  <si>
    <t xml:space="preserve">V-006930</t>
  </si>
  <si>
    <t xml:space="preserve">V-006931</t>
  </si>
  <si>
    <t xml:space="preserve">V-006932</t>
  </si>
  <si>
    <t xml:space="preserve">V-006933</t>
  </si>
  <si>
    <t xml:space="preserve">V-006934</t>
  </si>
  <si>
    <t xml:space="preserve">V-006935</t>
  </si>
  <si>
    <t xml:space="preserve">V-006936</t>
  </si>
  <si>
    <t xml:space="preserve">V-006937</t>
  </si>
  <si>
    <t xml:space="preserve">V-006938</t>
  </si>
  <si>
    <t xml:space="preserve">V-006939</t>
  </si>
  <si>
    <t xml:space="preserve">V-006940</t>
  </si>
  <si>
    <t xml:space="preserve">V-006941</t>
  </si>
  <si>
    <t xml:space="preserve">V-006942</t>
  </si>
  <si>
    <t xml:space="preserve">V-006943</t>
  </si>
  <si>
    <t xml:space="preserve">V-006944</t>
  </si>
  <si>
    <t xml:space="preserve">V-006945</t>
  </si>
  <si>
    <t xml:space="preserve">V-006946</t>
  </si>
  <si>
    <t xml:space="preserve">V-006947</t>
  </si>
  <si>
    <t xml:space="preserve">V-006948</t>
  </si>
  <si>
    <t xml:space="preserve">V-006949</t>
  </si>
  <si>
    <t xml:space="preserve">V-006950</t>
  </si>
  <si>
    <t xml:space="preserve">V-006951</t>
  </si>
  <si>
    <t xml:space="preserve">V-006952</t>
  </si>
  <si>
    <t xml:space="preserve">V-006953</t>
  </si>
  <si>
    <t xml:space="preserve">V-006954</t>
  </si>
  <si>
    <t xml:space="preserve">V-006955</t>
  </si>
  <si>
    <t xml:space="preserve">V-006956</t>
  </si>
  <si>
    <t xml:space="preserve">V-006957</t>
  </si>
  <si>
    <t xml:space="preserve">V-006958</t>
  </si>
  <si>
    <t xml:space="preserve">V-006959</t>
  </si>
  <si>
    <t xml:space="preserve">V-006960</t>
  </si>
  <si>
    <t xml:space="preserve">V-006961</t>
  </si>
  <si>
    <t xml:space="preserve">V-006962</t>
  </si>
  <si>
    <t xml:space="preserve">V-006963</t>
  </si>
  <si>
    <t xml:space="preserve">V-006964</t>
  </si>
  <si>
    <t xml:space="preserve">V-006965</t>
  </si>
  <si>
    <t xml:space="preserve">V-006966</t>
  </si>
  <si>
    <t xml:space="preserve">V-006967</t>
  </si>
  <si>
    <t xml:space="preserve">V-006968</t>
  </si>
  <si>
    <t xml:space="preserve">V-006969</t>
  </si>
  <si>
    <t xml:space="preserve">V-006970</t>
  </si>
  <si>
    <t xml:space="preserve">V-006971</t>
  </si>
  <si>
    <t xml:space="preserve">V-006972</t>
  </si>
  <si>
    <t xml:space="preserve">V-006973</t>
  </si>
  <si>
    <t xml:space="preserve">V-006974</t>
  </si>
  <si>
    <t xml:space="preserve">V-006975</t>
  </si>
  <si>
    <t xml:space="preserve">V-006976</t>
  </si>
  <si>
    <t xml:space="preserve">V-006977</t>
  </si>
  <si>
    <t xml:space="preserve">V-006978</t>
  </si>
  <si>
    <t xml:space="preserve">V-006979</t>
  </si>
  <si>
    <t xml:space="preserve">V-006980</t>
  </si>
  <si>
    <t xml:space="preserve">V-006981</t>
  </si>
  <si>
    <t xml:space="preserve">V-006982</t>
  </si>
  <si>
    <t xml:space="preserve">V-006983</t>
  </si>
  <si>
    <t xml:space="preserve">V-006984</t>
  </si>
  <si>
    <t xml:space="preserve">V-006985</t>
  </si>
  <si>
    <t xml:space="preserve">V-006986</t>
  </si>
  <si>
    <t xml:space="preserve">V-006987</t>
  </si>
  <si>
    <t xml:space="preserve">V-006988</t>
  </si>
  <si>
    <t xml:space="preserve">V-006989</t>
  </si>
  <si>
    <t xml:space="preserve">V-006990</t>
  </si>
  <si>
    <t xml:space="preserve">V-006991</t>
  </si>
  <si>
    <t xml:space="preserve">V-006992</t>
  </si>
  <si>
    <t xml:space="preserve">V-006993</t>
  </si>
  <si>
    <t xml:space="preserve">V-006994</t>
  </si>
  <si>
    <t xml:space="preserve">V-006995</t>
  </si>
  <si>
    <t xml:space="preserve">V-006996</t>
  </si>
  <si>
    <t xml:space="preserve">V-006997</t>
  </si>
  <si>
    <t xml:space="preserve">V-006998</t>
  </si>
  <si>
    <t xml:space="preserve">V-006999</t>
  </si>
  <si>
    <t xml:space="preserve">V-007000</t>
  </si>
  <si>
    <t xml:space="preserve">V-007001</t>
  </si>
  <si>
    <t xml:space="preserve">V-007002</t>
  </si>
  <si>
    <t xml:space="preserve">V-007003</t>
  </si>
  <si>
    <t xml:space="preserve">V-007004</t>
  </si>
  <si>
    <t xml:space="preserve">V-007005</t>
  </si>
  <si>
    <t xml:space="preserve">V-007006</t>
  </si>
  <si>
    <t xml:space="preserve">V-007007</t>
  </si>
  <si>
    <t xml:space="preserve">V-007008</t>
  </si>
  <si>
    <t xml:space="preserve">V-007009</t>
  </si>
  <si>
    <t xml:space="preserve">V-007010</t>
  </si>
  <si>
    <t xml:space="preserve">V-007011</t>
  </si>
  <si>
    <t xml:space="preserve">V-007012</t>
  </si>
  <si>
    <t xml:space="preserve">V-007013</t>
  </si>
  <si>
    <t xml:space="preserve">V-007014</t>
  </si>
  <si>
    <t xml:space="preserve">V-007015</t>
  </si>
  <si>
    <t xml:space="preserve">V-007016</t>
  </si>
  <si>
    <t xml:space="preserve">V-007017</t>
  </si>
  <si>
    <t xml:space="preserve">V-007018</t>
  </si>
  <si>
    <t xml:space="preserve">V-007019</t>
  </si>
  <si>
    <t xml:space="preserve">V-007020</t>
  </si>
  <si>
    <t xml:space="preserve">V-007021</t>
  </si>
  <si>
    <t xml:space="preserve">V-007022</t>
  </si>
  <si>
    <t xml:space="preserve">V-007023</t>
  </si>
  <si>
    <t xml:space="preserve">V-007024</t>
  </si>
  <si>
    <t xml:space="preserve">V-007025</t>
  </si>
  <si>
    <t xml:space="preserve">V-007026</t>
  </si>
  <si>
    <t xml:space="preserve">V-007027</t>
  </si>
  <si>
    <t xml:space="preserve">V-007028</t>
  </si>
  <si>
    <t xml:space="preserve">V-007029</t>
  </si>
  <si>
    <t xml:space="preserve">V-007030</t>
  </si>
  <si>
    <t xml:space="preserve">V-007031</t>
  </si>
  <si>
    <t xml:space="preserve">V-007032</t>
  </si>
  <si>
    <t xml:space="preserve">V-007033</t>
  </si>
  <si>
    <t xml:space="preserve">V-007034</t>
  </si>
  <si>
    <t xml:space="preserve">V-007035</t>
  </si>
  <si>
    <t xml:space="preserve">V-007036</t>
  </si>
  <si>
    <t xml:space="preserve">V-007037</t>
  </si>
  <si>
    <t xml:space="preserve">V-007038</t>
  </si>
  <si>
    <t xml:space="preserve">V-007039</t>
  </si>
  <si>
    <t xml:space="preserve">V-007040</t>
  </si>
  <si>
    <t xml:space="preserve">V-007041</t>
  </si>
  <si>
    <t xml:space="preserve">V-007042</t>
  </si>
  <si>
    <t xml:space="preserve">V-007043</t>
  </si>
  <si>
    <t xml:space="preserve">V-007044</t>
  </si>
  <si>
    <t xml:space="preserve">V-007045</t>
  </si>
  <si>
    <t xml:space="preserve">V-007046</t>
  </si>
  <si>
    <t xml:space="preserve">V-007047</t>
  </si>
  <si>
    <t xml:space="preserve">V-007048</t>
  </si>
  <si>
    <t xml:space="preserve">V-007049</t>
  </si>
  <si>
    <t xml:space="preserve">V-007050</t>
  </si>
  <si>
    <t xml:space="preserve">V-007051</t>
  </si>
  <si>
    <t xml:space="preserve">V-007052</t>
  </si>
  <si>
    <t xml:space="preserve">V-007053</t>
  </si>
  <si>
    <t xml:space="preserve">V-007054</t>
  </si>
  <si>
    <t xml:space="preserve">V-007055</t>
  </si>
  <si>
    <t xml:space="preserve">V-007056</t>
  </si>
  <si>
    <t xml:space="preserve">V-007057</t>
  </si>
  <si>
    <t xml:space="preserve">V-007058</t>
  </si>
  <si>
    <t xml:space="preserve">V-007059</t>
  </si>
  <si>
    <t xml:space="preserve">V-007060</t>
  </si>
  <si>
    <t xml:space="preserve">V-007061</t>
  </si>
  <si>
    <t xml:space="preserve">V-007062</t>
  </si>
  <si>
    <t xml:space="preserve">V-007063</t>
  </si>
  <si>
    <t xml:space="preserve">V-007064</t>
  </si>
  <si>
    <t xml:space="preserve">V-007065</t>
  </si>
  <si>
    <t xml:space="preserve">V-007066</t>
  </si>
  <si>
    <t xml:space="preserve">V-007067</t>
  </si>
  <si>
    <t xml:space="preserve">V-007068</t>
  </si>
  <si>
    <t xml:space="preserve">V-007069</t>
  </si>
  <si>
    <t xml:space="preserve">V-007070</t>
  </si>
  <si>
    <t xml:space="preserve">V-007071</t>
  </si>
  <si>
    <t xml:space="preserve">V-007072</t>
  </si>
  <si>
    <t xml:space="preserve">V-007073</t>
  </si>
  <si>
    <t xml:space="preserve">V-007074</t>
  </si>
  <si>
    <t xml:space="preserve">V-007075</t>
  </si>
  <si>
    <t xml:space="preserve">V-007076</t>
  </si>
  <si>
    <t xml:space="preserve">V-007077</t>
  </si>
  <si>
    <t xml:space="preserve">V-007078</t>
  </si>
  <si>
    <t xml:space="preserve">V-007079</t>
  </si>
  <si>
    <t xml:space="preserve">V-007080</t>
  </si>
  <si>
    <t xml:space="preserve">V-007081</t>
  </si>
  <si>
    <t xml:space="preserve">V-007082</t>
  </si>
  <si>
    <t xml:space="preserve">V-007083</t>
  </si>
  <si>
    <t xml:space="preserve">V-007084</t>
  </si>
  <si>
    <t xml:space="preserve">V-007085</t>
  </si>
  <si>
    <t xml:space="preserve">V-007086</t>
  </si>
  <si>
    <t xml:space="preserve">V-007087</t>
  </si>
  <si>
    <t xml:space="preserve">V-007088</t>
  </si>
  <si>
    <t xml:space="preserve">V-007089</t>
  </si>
  <si>
    <t xml:space="preserve">V-007090</t>
  </si>
  <si>
    <t xml:space="preserve">V-007091</t>
  </si>
  <si>
    <t xml:space="preserve">V-007092</t>
  </si>
  <si>
    <t xml:space="preserve">V-007093</t>
  </si>
  <si>
    <t xml:space="preserve">V-007094</t>
  </si>
  <si>
    <t xml:space="preserve">V-007095</t>
  </si>
  <si>
    <t xml:space="preserve">V-007096</t>
  </si>
  <si>
    <t xml:space="preserve">V-007097</t>
  </si>
  <si>
    <t xml:space="preserve">V-007098</t>
  </si>
  <si>
    <t xml:space="preserve">V-007099</t>
  </si>
  <si>
    <t xml:space="preserve">V-007100</t>
  </si>
  <si>
    <t xml:space="preserve">V-007101</t>
  </si>
  <si>
    <t xml:space="preserve">V-007102</t>
  </si>
  <si>
    <t xml:space="preserve">V-007103</t>
  </si>
  <si>
    <t xml:space="preserve">V-007104</t>
  </si>
  <si>
    <t xml:space="preserve">V-007105</t>
  </si>
  <si>
    <t xml:space="preserve">V-007106</t>
  </si>
  <si>
    <t xml:space="preserve">V-007107</t>
  </si>
  <si>
    <t xml:space="preserve">V-007108</t>
  </si>
  <si>
    <t xml:space="preserve">V-007109</t>
  </si>
  <si>
    <t xml:space="preserve">V-007110</t>
  </si>
  <si>
    <t xml:space="preserve">V-007111</t>
  </si>
  <si>
    <t xml:space="preserve">V-007112</t>
  </si>
  <si>
    <t xml:space="preserve">V-007113</t>
  </si>
  <si>
    <t xml:space="preserve">V-007114</t>
  </si>
  <si>
    <t xml:space="preserve">V-007115</t>
  </si>
  <si>
    <t xml:space="preserve">V-007116</t>
  </si>
  <si>
    <t xml:space="preserve">V-007117</t>
  </si>
  <si>
    <t xml:space="preserve">V-007118</t>
  </si>
  <si>
    <t xml:space="preserve">V-007119</t>
  </si>
  <si>
    <t xml:space="preserve">V-007120</t>
  </si>
  <si>
    <t xml:space="preserve">V-007121</t>
  </si>
  <si>
    <t xml:space="preserve">V-007122</t>
  </si>
  <si>
    <t xml:space="preserve">V-007123</t>
  </si>
  <si>
    <t xml:space="preserve">V-007124</t>
  </si>
  <si>
    <t xml:space="preserve">V-007125</t>
  </si>
  <si>
    <t xml:space="preserve">V-007126</t>
  </si>
  <si>
    <t xml:space="preserve">V-007127</t>
  </si>
  <si>
    <t xml:space="preserve">V-007128</t>
  </si>
  <si>
    <t xml:space="preserve">V-007129</t>
  </si>
  <si>
    <t xml:space="preserve">V-007130</t>
  </si>
  <si>
    <t xml:space="preserve">V-007131</t>
  </si>
  <si>
    <t xml:space="preserve">V-007132</t>
  </si>
  <si>
    <t xml:space="preserve">V-007133</t>
  </si>
  <si>
    <t xml:space="preserve">V-007134</t>
  </si>
  <si>
    <t xml:space="preserve">V-007135</t>
  </si>
  <si>
    <t xml:space="preserve">V-007136</t>
  </si>
  <si>
    <t xml:space="preserve">V-007137</t>
  </si>
  <si>
    <t xml:space="preserve">V-007138</t>
  </si>
  <si>
    <t xml:space="preserve">V-007139</t>
  </si>
  <si>
    <t xml:space="preserve">V-007140</t>
  </si>
  <si>
    <t xml:space="preserve">V-007141</t>
  </si>
  <si>
    <t xml:space="preserve">V-007142</t>
  </si>
  <si>
    <t xml:space="preserve">V-007143</t>
  </si>
  <si>
    <t xml:space="preserve">V-007144</t>
  </si>
  <si>
    <t xml:space="preserve">V-007145</t>
  </si>
  <si>
    <t xml:space="preserve">V-007146</t>
  </si>
  <si>
    <t xml:space="preserve">V-007147</t>
  </si>
  <si>
    <t xml:space="preserve">V-007148</t>
  </si>
  <si>
    <t xml:space="preserve">V-007149</t>
  </si>
  <si>
    <t xml:space="preserve">V-007150</t>
  </si>
  <si>
    <t xml:space="preserve">V-007151</t>
  </si>
  <si>
    <t xml:space="preserve">V-007152</t>
  </si>
  <si>
    <t xml:space="preserve">V-007153</t>
  </si>
  <si>
    <t xml:space="preserve">V-007154</t>
  </si>
  <si>
    <t xml:space="preserve">V-007155</t>
  </si>
  <si>
    <t xml:space="preserve">V-007156</t>
  </si>
  <si>
    <t xml:space="preserve">V-007157</t>
  </si>
  <si>
    <t xml:space="preserve">V-007158</t>
  </si>
  <si>
    <t xml:space="preserve">V-007159</t>
  </si>
  <si>
    <t xml:space="preserve">V-007160</t>
  </si>
  <si>
    <t xml:space="preserve">V-007161</t>
  </si>
  <si>
    <t xml:space="preserve">V-007162</t>
  </si>
  <si>
    <t xml:space="preserve">V-007163</t>
  </si>
  <si>
    <t xml:space="preserve">V-007164</t>
  </si>
  <si>
    <t xml:space="preserve">V-007165</t>
  </si>
  <si>
    <t xml:space="preserve">V-007166</t>
  </si>
  <si>
    <t xml:space="preserve">V-007167</t>
  </si>
  <si>
    <t xml:space="preserve">V-007168</t>
  </si>
  <si>
    <t xml:space="preserve">V-007169</t>
  </si>
  <si>
    <t xml:space="preserve">V-007170</t>
  </si>
  <si>
    <t xml:space="preserve">V-007171</t>
  </si>
  <si>
    <t xml:space="preserve">V-007172</t>
  </si>
  <si>
    <t xml:space="preserve">V-007173</t>
  </si>
  <si>
    <t xml:space="preserve">V-007174</t>
  </si>
  <si>
    <t xml:space="preserve">V-007175</t>
  </si>
  <si>
    <t xml:space="preserve">V-007176</t>
  </si>
  <si>
    <t xml:space="preserve">V-007177</t>
  </si>
  <si>
    <t xml:space="preserve">V-007178</t>
  </si>
  <si>
    <t xml:space="preserve">V-007179</t>
  </si>
  <si>
    <t xml:space="preserve">V-007180</t>
  </si>
  <si>
    <t xml:space="preserve">V-007181</t>
  </si>
  <si>
    <t xml:space="preserve">V-007182</t>
  </si>
  <si>
    <t xml:space="preserve">V-007183</t>
  </si>
  <si>
    <t xml:space="preserve">V-007184</t>
  </si>
  <si>
    <t xml:space="preserve">V-007185</t>
  </si>
  <si>
    <t xml:space="preserve">V-007186</t>
  </si>
  <si>
    <t xml:space="preserve">V-007187</t>
  </si>
  <si>
    <t xml:space="preserve">V-007188</t>
  </si>
  <si>
    <t xml:space="preserve">V-007189</t>
  </si>
  <si>
    <t xml:space="preserve">V-007190</t>
  </si>
  <si>
    <t xml:space="preserve">V-007191</t>
  </si>
  <si>
    <t xml:space="preserve">V-007192</t>
  </si>
  <si>
    <t xml:space="preserve">V-007193</t>
  </si>
  <si>
    <t xml:space="preserve">V-007194</t>
  </si>
  <si>
    <t xml:space="preserve">V-007195</t>
  </si>
  <si>
    <t xml:space="preserve">V-007196</t>
  </si>
  <si>
    <t xml:space="preserve">V-007197</t>
  </si>
  <si>
    <t xml:space="preserve">V-007198</t>
  </si>
  <si>
    <t xml:space="preserve">V-007199</t>
  </si>
  <si>
    <t xml:space="preserve">V-007200</t>
  </si>
  <si>
    <t xml:space="preserve">V-007201</t>
  </si>
  <si>
    <t xml:space="preserve">V-007202</t>
  </si>
  <si>
    <t xml:space="preserve">V-007203</t>
  </si>
  <si>
    <t xml:space="preserve">V-007204</t>
  </si>
  <si>
    <t xml:space="preserve">V-007205</t>
  </si>
  <si>
    <t xml:space="preserve">V-007206</t>
  </si>
  <si>
    <t xml:space="preserve">V-007207</t>
  </si>
  <si>
    <t xml:space="preserve">V-007208</t>
  </si>
  <si>
    <t xml:space="preserve">V-007209</t>
  </si>
  <si>
    <t xml:space="preserve">V-007210</t>
  </si>
  <si>
    <t xml:space="preserve">V-007211</t>
  </si>
  <si>
    <t xml:space="preserve">V-007212</t>
  </si>
  <si>
    <t xml:space="preserve">V-007213</t>
  </si>
  <si>
    <t xml:space="preserve">V-007214</t>
  </si>
  <si>
    <t xml:space="preserve">V-007215</t>
  </si>
  <si>
    <t xml:space="preserve">V-007216</t>
  </si>
  <si>
    <t xml:space="preserve">V-007217</t>
  </si>
  <si>
    <t xml:space="preserve">V-007218</t>
  </si>
  <si>
    <t xml:space="preserve">V-007219</t>
  </si>
  <si>
    <t xml:space="preserve">V-007220</t>
  </si>
  <si>
    <t xml:space="preserve">V-007221</t>
  </si>
  <si>
    <t xml:space="preserve">V-007222</t>
  </si>
  <si>
    <t xml:space="preserve">V-007223</t>
  </si>
  <si>
    <t xml:space="preserve">V-007224</t>
  </si>
  <si>
    <t xml:space="preserve">V-007225</t>
  </si>
  <si>
    <t xml:space="preserve">V-007226</t>
  </si>
  <si>
    <t xml:space="preserve">V-007227</t>
  </si>
  <si>
    <t xml:space="preserve">V-007228</t>
  </si>
  <si>
    <t xml:space="preserve">V-007229</t>
  </si>
  <si>
    <t xml:space="preserve">V-007230</t>
  </si>
  <si>
    <t xml:space="preserve">V-007231</t>
  </si>
  <si>
    <t xml:space="preserve">V-007232</t>
  </si>
  <si>
    <t xml:space="preserve">V-007233</t>
  </si>
  <si>
    <t xml:space="preserve">V-007234</t>
  </si>
  <si>
    <t xml:space="preserve">V-007235</t>
  </si>
  <si>
    <t xml:space="preserve">V-007236</t>
  </si>
  <si>
    <t xml:space="preserve">V-007237</t>
  </si>
  <si>
    <t xml:space="preserve">V-007238</t>
  </si>
  <si>
    <t xml:space="preserve">V-007239</t>
  </si>
  <si>
    <t xml:space="preserve">V-007240</t>
  </si>
  <si>
    <t xml:space="preserve">V-007241</t>
  </si>
  <si>
    <t xml:space="preserve">V-007242</t>
  </si>
  <si>
    <t xml:space="preserve">V-007243</t>
  </si>
  <si>
    <t xml:space="preserve">V-007244</t>
  </si>
  <si>
    <t xml:space="preserve">V-007245</t>
  </si>
  <si>
    <t xml:space="preserve">V-007246</t>
  </si>
  <si>
    <t xml:space="preserve">V-007247</t>
  </si>
  <si>
    <t xml:space="preserve">V-007248</t>
  </si>
  <si>
    <t xml:space="preserve">V-007249</t>
  </si>
  <si>
    <t xml:space="preserve">V-007250</t>
  </si>
  <si>
    <t xml:space="preserve">V-007251</t>
  </si>
  <si>
    <t xml:space="preserve">V-007252</t>
  </si>
  <si>
    <t xml:space="preserve">V-007253</t>
  </si>
  <si>
    <t xml:space="preserve">V-007254</t>
  </si>
  <si>
    <t xml:space="preserve">V-007255</t>
  </si>
  <si>
    <t xml:space="preserve">V-007256</t>
  </si>
  <si>
    <t xml:space="preserve">V-007257</t>
  </si>
  <si>
    <t xml:space="preserve">V-007258</t>
  </si>
  <si>
    <t xml:space="preserve">V-007259</t>
  </si>
  <si>
    <t xml:space="preserve">V-007260</t>
  </si>
  <si>
    <t xml:space="preserve">V-007261</t>
  </si>
  <si>
    <t xml:space="preserve">V-007262</t>
  </si>
  <si>
    <t xml:space="preserve">V-007263</t>
  </si>
  <si>
    <t xml:space="preserve">V-007264</t>
  </si>
  <si>
    <t xml:space="preserve">V-007265</t>
  </si>
  <si>
    <t xml:space="preserve">V-007266</t>
  </si>
  <si>
    <t xml:space="preserve">V-007267</t>
  </si>
  <si>
    <t xml:space="preserve">V-007268</t>
  </si>
  <si>
    <t xml:space="preserve">V-007269</t>
  </si>
  <si>
    <t xml:space="preserve">V-007270</t>
  </si>
  <si>
    <t xml:space="preserve">V-007271</t>
  </si>
  <si>
    <t xml:space="preserve">V-007272</t>
  </si>
  <si>
    <t xml:space="preserve">V-007273</t>
  </si>
  <si>
    <t xml:space="preserve">V-007274</t>
  </si>
  <si>
    <t xml:space="preserve">V-007275</t>
  </si>
  <si>
    <t xml:space="preserve">V-007276</t>
  </si>
  <si>
    <t xml:space="preserve">V-007277</t>
  </si>
  <si>
    <t xml:space="preserve">V-007278</t>
  </si>
  <si>
    <t xml:space="preserve">V-007279</t>
  </si>
  <si>
    <t xml:space="preserve">V-007280</t>
  </si>
  <si>
    <t xml:space="preserve">V-007281</t>
  </si>
  <si>
    <t xml:space="preserve">V-007282</t>
  </si>
  <si>
    <t xml:space="preserve">V-007283</t>
  </si>
  <si>
    <t xml:space="preserve">V-007284</t>
  </si>
  <si>
    <t xml:space="preserve">V-007285</t>
  </si>
  <si>
    <t xml:space="preserve">V-007286</t>
  </si>
  <si>
    <t xml:space="preserve">V-007287</t>
  </si>
  <si>
    <t xml:space="preserve">V-007288</t>
  </si>
  <si>
    <t xml:space="preserve">V-007289</t>
  </si>
  <si>
    <t xml:space="preserve">V-007290</t>
  </si>
  <si>
    <t xml:space="preserve">V-007291</t>
  </si>
  <si>
    <t xml:space="preserve">V-007292</t>
  </si>
  <si>
    <t xml:space="preserve">V-007293</t>
  </si>
  <si>
    <t xml:space="preserve">V-007294</t>
  </si>
  <si>
    <t xml:space="preserve">V-007295</t>
  </si>
  <si>
    <t xml:space="preserve">V-007296</t>
  </si>
  <si>
    <t xml:space="preserve">V-007297</t>
  </si>
  <si>
    <t xml:space="preserve">V-007298</t>
  </si>
  <si>
    <t xml:space="preserve">V-007299</t>
  </si>
  <si>
    <t xml:space="preserve">V-007300</t>
  </si>
  <si>
    <t xml:space="preserve">V-007301</t>
  </si>
  <si>
    <t xml:space="preserve">V-007302</t>
  </si>
  <si>
    <t xml:space="preserve">V-007303</t>
  </si>
  <si>
    <t xml:space="preserve">V-007304</t>
  </si>
  <si>
    <t xml:space="preserve">V-007305</t>
  </si>
  <si>
    <t xml:space="preserve">V-007306</t>
  </si>
  <si>
    <t xml:space="preserve">V-007307</t>
  </si>
  <si>
    <t xml:space="preserve">V-007308</t>
  </si>
  <si>
    <t xml:space="preserve">V-007309</t>
  </si>
  <si>
    <t xml:space="preserve">V-007310</t>
  </si>
  <si>
    <t xml:space="preserve">V-007311</t>
  </si>
  <si>
    <t xml:space="preserve">V-007312</t>
  </si>
  <si>
    <t xml:space="preserve">V-007313</t>
  </si>
  <si>
    <t xml:space="preserve">V-007314</t>
  </si>
  <si>
    <t xml:space="preserve">V-007315</t>
  </si>
  <si>
    <t xml:space="preserve">V-007316</t>
  </si>
  <si>
    <t xml:space="preserve">V-007317</t>
  </si>
  <si>
    <t xml:space="preserve">V-007318</t>
  </si>
  <si>
    <t xml:space="preserve">V-007319</t>
  </si>
  <si>
    <t xml:space="preserve">V-007320</t>
  </si>
  <si>
    <t xml:space="preserve">V-007321</t>
  </si>
  <si>
    <t xml:space="preserve">V-007322</t>
  </si>
  <si>
    <t xml:space="preserve">V-007323</t>
  </si>
  <si>
    <t xml:space="preserve">V-007324</t>
  </si>
  <si>
    <t xml:space="preserve">V-007325</t>
  </si>
  <si>
    <t xml:space="preserve">V-007326</t>
  </si>
  <si>
    <t xml:space="preserve">V-007327</t>
  </si>
  <si>
    <t xml:space="preserve">V-007328</t>
  </si>
  <si>
    <t xml:space="preserve">V-007329</t>
  </si>
  <si>
    <t xml:space="preserve">V-007330</t>
  </si>
  <si>
    <t xml:space="preserve">V-007331</t>
  </si>
  <si>
    <t xml:space="preserve">V-007332</t>
  </si>
  <si>
    <t xml:space="preserve">V-007333</t>
  </si>
  <si>
    <t xml:space="preserve">V-007334</t>
  </si>
  <si>
    <t xml:space="preserve">V-007335</t>
  </si>
  <si>
    <t xml:space="preserve">V-007336</t>
  </si>
  <si>
    <t xml:space="preserve">V-007337</t>
  </si>
  <si>
    <t xml:space="preserve">V-007338</t>
  </si>
  <si>
    <t xml:space="preserve">V-007339</t>
  </si>
  <si>
    <t xml:space="preserve">V-007340</t>
  </si>
  <si>
    <t xml:space="preserve">V-007341</t>
  </si>
  <si>
    <t xml:space="preserve">V-007342</t>
  </si>
  <si>
    <t xml:space="preserve">V-007343</t>
  </si>
  <si>
    <t xml:space="preserve">V-007344</t>
  </si>
  <si>
    <t xml:space="preserve">V-007345</t>
  </si>
  <si>
    <t xml:space="preserve">V-007346</t>
  </si>
  <si>
    <t xml:space="preserve">V-007347</t>
  </si>
  <si>
    <t xml:space="preserve">V-007348</t>
  </si>
  <si>
    <t xml:space="preserve">V-007349</t>
  </si>
  <si>
    <t xml:space="preserve">V-007350</t>
  </si>
  <si>
    <t xml:space="preserve">V-007351</t>
  </si>
  <si>
    <t xml:space="preserve">V-007352</t>
  </si>
  <si>
    <t xml:space="preserve">V-007353</t>
  </si>
  <si>
    <t xml:space="preserve">V-007354</t>
  </si>
  <si>
    <t xml:space="preserve">V-007355</t>
  </si>
  <si>
    <t xml:space="preserve">V-007356</t>
  </si>
  <si>
    <t xml:space="preserve">V-007357</t>
  </si>
  <si>
    <t xml:space="preserve">V-007358</t>
  </si>
  <si>
    <t xml:space="preserve">V-007359</t>
  </si>
  <si>
    <t xml:space="preserve">V-007360</t>
  </si>
  <si>
    <t xml:space="preserve">V-007361</t>
  </si>
  <si>
    <t xml:space="preserve">V-007362</t>
  </si>
  <si>
    <t xml:space="preserve">V-007363</t>
  </si>
  <si>
    <t xml:space="preserve">V-007364</t>
  </si>
  <si>
    <t xml:space="preserve">V-007365</t>
  </si>
  <si>
    <t xml:space="preserve">V-007366</t>
  </si>
  <si>
    <t xml:space="preserve">V-007367</t>
  </si>
  <si>
    <t xml:space="preserve">V-007368</t>
  </si>
  <si>
    <t xml:space="preserve">V-007369</t>
  </si>
  <si>
    <t xml:space="preserve">V-007370</t>
  </si>
  <si>
    <t xml:space="preserve">V-007371</t>
  </si>
  <si>
    <t xml:space="preserve">V-007372</t>
  </si>
  <si>
    <t xml:space="preserve">V-007373</t>
  </si>
  <si>
    <t xml:space="preserve">V-007374</t>
  </si>
  <si>
    <t xml:space="preserve">V-007375</t>
  </si>
  <si>
    <t xml:space="preserve">V-007376</t>
  </si>
  <si>
    <t xml:space="preserve">V-007377</t>
  </si>
  <si>
    <t xml:space="preserve">V-007378</t>
  </si>
  <si>
    <t xml:space="preserve">V-007379</t>
  </si>
  <si>
    <t xml:space="preserve">V-007380</t>
  </si>
  <si>
    <t xml:space="preserve">V-007381</t>
  </si>
  <si>
    <t xml:space="preserve">V-007382</t>
  </si>
  <si>
    <t xml:space="preserve">V-007383</t>
  </si>
  <si>
    <t xml:space="preserve">V-007384</t>
  </si>
  <si>
    <t xml:space="preserve">V-007385</t>
  </si>
  <si>
    <t xml:space="preserve">V-007386</t>
  </si>
  <si>
    <t xml:space="preserve">V-007387</t>
  </si>
  <si>
    <t xml:space="preserve">V-007388</t>
  </si>
  <si>
    <t xml:space="preserve">V-007389</t>
  </si>
  <si>
    <t xml:space="preserve">V-007390</t>
  </si>
  <si>
    <t xml:space="preserve">V-007391</t>
  </si>
  <si>
    <t xml:space="preserve">V-007392</t>
  </si>
  <si>
    <t xml:space="preserve">V-007393</t>
  </si>
  <si>
    <t xml:space="preserve">V-007394</t>
  </si>
  <si>
    <t xml:space="preserve">V-007395</t>
  </si>
  <si>
    <t xml:space="preserve">V-007396</t>
  </si>
  <si>
    <t xml:space="preserve">V-007397</t>
  </si>
  <si>
    <t xml:space="preserve">V-007398</t>
  </si>
  <si>
    <t xml:space="preserve">V-007399</t>
  </si>
  <si>
    <t xml:space="preserve">V-007400</t>
  </si>
  <si>
    <t xml:space="preserve">V-007401</t>
  </si>
  <si>
    <t xml:space="preserve">V-007402</t>
  </si>
  <si>
    <t xml:space="preserve">V-007403</t>
  </si>
  <si>
    <t xml:space="preserve">V-007404</t>
  </si>
  <si>
    <t xml:space="preserve">V-007405</t>
  </si>
  <si>
    <t xml:space="preserve">V-007406</t>
  </si>
  <si>
    <t xml:space="preserve">V-007407</t>
  </si>
  <si>
    <t xml:space="preserve">V-007408</t>
  </si>
  <si>
    <t xml:space="preserve">V-007409</t>
  </si>
  <si>
    <t xml:space="preserve">V-007410</t>
  </si>
  <si>
    <t xml:space="preserve">V-007411</t>
  </si>
  <si>
    <t xml:space="preserve">V-007412</t>
  </si>
  <si>
    <t xml:space="preserve">V-007413</t>
  </si>
  <si>
    <t xml:space="preserve">V-007414</t>
  </si>
  <si>
    <t xml:space="preserve">V-007415</t>
  </si>
  <si>
    <t xml:space="preserve">V-007416</t>
  </si>
  <si>
    <t xml:space="preserve">V-007417</t>
  </si>
  <si>
    <t xml:space="preserve">V-007418</t>
  </si>
  <si>
    <t xml:space="preserve">V-007419</t>
  </si>
  <si>
    <t xml:space="preserve">V-007420</t>
  </si>
  <si>
    <t xml:space="preserve">V-007421</t>
  </si>
  <si>
    <t xml:space="preserve">V-007422</t>
  </si>
  <si>
    <t xml:space="preserve">V-007423</t>
  </si>
  <si>
    <t xml:space="preserve">V-007424</t>
  </si>
  <si>
    <t xml:space="preserve">V-007425</t>
  </si>
  <si>
    <t xml:space="preserve">V-007426</t>
  </si>
  <si>
    <t xml:space="preserve">V-007427</t>
  </si>
  <si>
    <t xml:space="preserve">V-007428</t>
  </si>
  <si>
    <t xml:space="preserve">V-007429</t>
  </si>
  <si>
    <t xml:space="preserve">V-007430</t>
  </si>
  <si>
    <t xml:space="preserve">V-007431</t>
  </si>
  <si>
    <t xml:space="preserve">V-007432</t>
  </si>
  <si>
    <t xml:space="preserve">V-007433</t>
  </si>
  <si>
    <t xml:space="preserve">V-007434</t>
  </si>
  <si>
    <t xml:space="preserve">V-007435</t>
  </si>
  <si>
    <t xml:space="preserve">V-007436</t>
  </si>
  <si>
    <t xml:space="preserve">V-007437</t>
  </si>
  <si>
    <t xml:space="preserve">V-007438</t>
  </si>
  <si>
    <t xml:space="preserve">V-007439</t>
  </si>
  <si>
    <t xml:space="preserve">V-007440</t>
  </si>
  <si>
    <t xml:space="preserve">V-007441</t>
  </si>
  <si>
    <t xml:space="preserve">V-007442</t>
  </si>
  <si>
    <t xml:space="preserve">V-007443</t>
  </si>
  <si>
    <t xml:space="preserve">V-007444</t>
  </si>
  <si>
    <t xml:space="preserve">V-007445</t>
  </si>
  <si>
    <t xml:space="preserve">V-007446</t>
  </si>
  <si>
    <t xml:space="preserve">V-007447</t>
  </si>
  <si>
    <t xml:space="preserve">V-007448</t>
  </si>
  <si>
    <t xml:space="preserve">V-007449</t>
  </si>
  <si>
    <t xml:space="preserve">V-007450</t>
  </si>
  <si>
    <t xml:space="preserve">V-007451</t>
  </si>
  <si>
    <t xml:space="preserve">V-007452</t>
  </si>
  <si>
    <t xml:space="preserve">V-007453</t>
  </si>
  <si>
    <t xml:space="preserve">V-007454</t>
  </si>
  <si>
    <t xml:space="preserve">V-007455</t>
  </si>
  <si>
    <t xml:space="preserve">V-007456</t>
  </si>
  <si>
    <t xml:space="preserve">V-007457</t>
  </si>
  <si>
    <t xml:space="preserve">V-007458</t>
  </si>
  <si>
    <t xml:space="preserve">V-007459</t>
  </si>
  <si>
    <t xml:space="preserve">V-007460</t>
  </si>
  <si>
    <t xml:space="preserve">V-007461</t>
  </si>
  <si>
    <t xml:space="preserve">V-007462</t>
  </si>
  <si>
    <t xml:space="preserve">V-007463</t>
  </si>
  <si>
    <t xml:space="preserve">V-007464</t>
  </si>
  <si>
    <t xml:space="preserve">V-007465</t>
  </si>
  <si>
    <t xml:space="preserve">V-007466</t>
  </si>
  <si>
    <t xml:space="preserve">V-007467</t>
  </si>
  <si>
    <t xml:space="preserve">V-007468</t>
  </si>
  <si>
    <t xml:space="preserve">V-007469</t>
  </si>
  <si>
    <t xml:space="preserve">V-007470</t>
  </si>
  <si>
    <t xml:space="preserve">V-007471</t>
  </si>
  <si>
    <t xml:space="preserve">V-007472</t>
  </si>
  <si>
    <t xml:space="preserve">V-007473</t>
  </si>
  <si>
    <t xml:space="preserve">V-007474</t>
  </si>
  <si>
    <t xml:space="preserve">V-007475</t>
  </si>
  <si>
    <t xml:space="preserve">V-007476</t>
  </si>
  <si>
    <t xml:space="preserve">V-007477</t>
  </si>
  <si>
    <t xml:space="preserve">V-007478</t>
  </si>
  <si>
    <t xml:space="preserve">V-007479</t>
  </si>
  <si>
    <t xml:space="preserve">V-007480</t>
  </si>
  <si>
    <t xml:space="preserve">V-007481</t>
  </si>
  <si>
    <t xml:space="preserve">V-007482</t>
  </si>
  <si>
    <t xml:space="preserve">V-007483</t>
  </si>
  <si>
    <t xml:space="preserve">V-007484</t>
  </si>
  <si>
    <t xml:space="preserve">V-007485</t>
  </si>
  <si>
    <t xml:space="preserve">V-007486</t>
  </si>
  <si>
    <t xml:space="preserve">V-007487</t>
  </si>
  <si>
    <t xml:space="preserve">V-007488</t>
  </si>
  <si>
    <t xml:space="preserve">V-007489</t>
  </si>
  <si>
    <t xml:space="preserve">V-007490</t>
  </si>
  <si>
    <t xml:space="preserve">V-007491</t>
  </si>
  <si>
    <t xml:space="preserve">V-007492</t>
  </si>
  <si>
    <t xml:space="preserve">V-007493</t>
  </si>
  <si>
    <t xml:space="preserve">V-007494</t>
  </si>
  <si>
    <t xml:space="preserve">V-007495</t>
  </si>
  <si>
    <t xml:space="preserve">V-007496</t>
  </si>
  <si>
    <t xml:space="preserve">V-007497</t>
  </si>
  <si>
    <t xml:space="preserve">V-007498</t>
  </si>
  <si>
    <t xml:space="preserve">V-007499</t>
  </si>
  <si>
    <t xml:space="preserve">V-007500</t>
  </si>
  <si>
    <t xml:space="preserve">V-007501</t>
  </si>
  <si>
    <t xml:space="preserve">V-007502</t>
  </si>
  <si>
    <t xml:space="preserve">V-007503</t>
  </si>
  <si>
    <t xml:space="preserve">V-007504</t>
  </si>
  <si>
    <t xml:space="preserve">V-007505</t>
  </si>
  <si>
    <t xml:space="preserve">V-007506</t>
  </si>
  <si>
    <t xml:space="preserve">V-007507</t>
  </si>
  <si>
    <t xml:space="preserve">V-007508</t>
  </si>
  <si>
    <t xml:space="preserve">V-007509</t>
  </si>
  <si>
    <t xml:space="preserve">V-007510</t>
  </si>
  <si>
    <t xml:space="preserve">V-007511</t>
  </si>
  <si>
    <t xml:space="preserve">V-007512</t>
  </si>
  <si>
    <t xml:space="preserve">V-007513</t>
  </si>
  <si>
    <t xml:space="preserve">V-007514</t>
  </si>
  <si>
    <t xml:space="preserve">V-007515</t>
  </si>
  <si>
    <t xml:space="preserve">V-007516</t>
  </si>
  <si>
    <t xml:space="preserve">V-007517</t>
  </si>
  <si>
    <t xml:space="preserve">V-007518</t>
  </si>
  <si>
    <t xml:space="preserve">V-007519</t>
  </si>
  <si>
    <t xml:space="preserve">V-007520</t>
  </si>
  <si>
    <t xml:space="preserve">V-007521</t>
  </si>
  <si>
    <t xml:space="preserve">V-007522</t>
  </si>
  <si>
    <t xml:space="preserve">V-007523</t>
  </si>
  <si>
    <t xml:space="preserve">V-007524</t>
  </si>
  <si>
    <t xml:space="preserve">V-007525</t>
  </si>
  <si>
    <t xml:space="preserve">V-007526</t>
  </si>
  <si>
    <t xml:space="preserve">V-007527</t>
  </si>
  <si>
    <t xml:space="preserve">V-007528</t>
  </si>
  <si>
    <t xml:space="preserve">V-007529</t>
  </si>
  <si>
    <t xml:space="preserve">V-007530</t>
  </si>
  <si>
    <t xml:space="preserve">V-007531</t>
  </si>
  <si>
    <t xml:space="preserve">V-007532</t>
  </si>
  <si>
    <t xml:space="preserve">V-007533</t>
  </si>
  <si>
    <t xml:space="preserve">V-007534</t>
  </si>
  <si>
    <t xml:space="preserve">V-007535</t>
  </si>
  <si>
    <t xml:space="preserve">V-007536</t>
  </si>
  <si>
    <t xml:space="preserve">V-007537</t>
  </si>
  <si>
    <t xml:space="preserve">V-007538</t>
  </si>
  <si>
    <t xml:space="preserve">V-007539</t>
  </si>
  <si>
    <t xml:space="preserve">V-007540</t>
  </si>
  <si>
    <t xml:space="preserve">V-007541</t>
  </si>
  <si>
    <t xml:space="preserve">V-007542</t>
  </si>
  <si>
    <t xml:space="preserve">V-007543</t>
  </si>
  <si>
    <t xml:space="preserve">V-007544</t>
  </si>
  <si>
    <t xml:space="preserve">V-007545</t>
  </si>
  <si>
    <t xml:space="preserve">V-007546</t>
  </si>
  <si>
    <t xml:space="preserve">V-007547</t>
  </si>
  <si>
    <t xml:space="preserve">V-007548</t>
  </si>
  <si>
    <t xml:space="preserve">V-007549</t>
  </si>
  <si>
    <t xml:space="preserve">V-007550</t>
  </si>
  <si>
    <t xml:space="preserve">V-007551</t>
  </si>
  <si>
    <t xml:space="preserve">V-007552</t>
  </si>
  <si>
    <t xml:space="preserve">V-007553</t>
  </si>
  <si>
    <t xml:space="preserve">V-007554</t>
  </si>
  <si>
    <t xml:space="preserve">V-007555</t>
  </si>
  <si>
    <t xml:space="preserve">V-007556</t>
  </si>
  <si>
    <t xml:space="preserve">V-007557</t>
  </si>
  <si>
    <t xml:space="preserve">V-007558</t>
  </si>
  <si>
    <t xml:space="preserve">V-007559</t>
  </si>
  <si>
    <t xml:space="preserve">V-007560</t>
  </si>
  <si>
    <t xml:space="preserve">V-007561</t>
  </si>
  <si>
    <t xml:space="preserve">V-007562</t>
  </si>
  <si>
    <t xml:space="preserve">V-007563</t>
  </si>
  <si>
    <t xml:space="preserve">V-007564</t>
  </si>
  <si>
    <t xml:space="preserve">V-007565</t>
  </si>
  <si>
    <t xml:space="preserve">V-007566</t>
  </si>
  <si>
    <t xml:space="preserve">V-007567</t>
  </si>
  <si>
    <t xml:space="preserve">V-007568</t>
  </si>
  <si>
    <t xml:space="preserve">V-007569</t>
  </si>
  <si>
    <t xml:space="preserve">V-007570</t>
  </si>
  <si>
    <t xml:space="preserve">V-007571</t>
  </si>
  <si>
    <t xml:space="preserve">V-007572</t>
  </si>
  <si>
    <t xml:space="preserve">V-007573</t>
  </si>
  <si>
    <t xml:space="preserve">V-007574</t>
  </si>
  <si>
    <t xml:space="preserve">V-007575</t>
  </si>
  <si>
    <t xml:space="preserve">V-007576</t>
  </si>
  <si>
    <t xml:space="preserve">V-007577</t>
  </si>
  <si>
    <t xml:space="preserve">V-007578</t>
  </si>
  <si>
    <t xml:space="preserve">V-007579</t>
  </si>
  <si>
    <t xml:space="preserve">V-007580</t>
  </si>
  <si>
    <t xml:space="preserve">V-007581</t>
  </si>
  <si>
    <t xml:space="preserve">V-007582</t>
  </si>
  <si>
    <t xml:space="preserve">V-007583</t>
  </si>
  <si>
    <t xml:space="preserve">V-007584</t>
  </si>
  <si>
    <t xml:space="preserve">V-007585</t>
  </si>
  <si>
    <t xml:space="preserve">V-007586</t>
  </si>
  <si>
    <t xml:space="preserve">V-007587</t>
  </si>
  <si>
    <t xml:space="preserve">V-007588</t>
  </si>
  <si>
    <t xml:space="preserve">V-007589</t>
  </si>
  <si>
    <t xml:space="preserve">V-007590</t>
  </si>
  <si>
    <t xml:space="preserve">V-007591</t>
  </si>
  <si>
    <t xml:space="preserve">V-007592</t>
  </si>
  <si>
    <t xml:space="preserve">V-007593</t>
  </si>
  <si>
    <t xml:space="preserve">V-007594</t>
  </si>
  <si>
    <t xml:space="preserve">V-007595</t>
  </si>
  <si>
    <t xml:space="preserve">V-007596</t>
  </si>
  <si>
    <t xml:space="preserve">V-007597</t>
  </si>
  <si>
    <t xml:space="preserve">V-007598</t>
  </si>
  <si>
    <t xml:space="preserve">V-007599</t>
  </si>
  <si>
    <t xml:space="preserve">V-007600</t>
  </si>
  <si>
    <t xml:space="preserve">V-007601</t>
  </si>
  <si>
    <t xml:space="preserve">V-007602</t>
  </si>
  <si>
    <t xml:space="preserve">V-007603</t>
  </si>
  <si>
    <t xml:space="preserve">V-007604</t>
  </si>
  <si>
    <t xml:space="preserve">V-007605</t>
  </si>
  <si>
    <t xml:space="preserve">V-007606</t>
  </si>
  <si>
    <t xml:space="preserve">V-007607</t>
  </si>
  <si>
    <t xml:space="preserve">V-007608</t>
  </si>
  <si>
    <t xml:space="preserve">V-007609</t>
  </si>
  <si>
    <t xml:space="preserve">V-007610</t>
  </si>
  <si>
    <t xml:space="preserve">V-007611</t>
  </si>
  <si>
    <t xml:space="preserve">V-007612</t>
  </si>
  <si>
    <t xml:space="preserve">V-007613</t>
  </si>
  <si>
    <t xml:space="preserve">V-007614</t>
  </si>
  <si>
    <t xml:space="preserve">V-007615</t>
  </si>
  <si>
    <t xml:space="preserve">V-007616</t>
  </si>
  <si>
    <t xml:space="preserve">V-007617</t>
  </si>
  <si>
    <t xml:space="preserve">V-007618</t>
  </si>
  <si>
    <t xml:space="preserve">V-007619</t>
  </si>
  <si>
    <t xml:space="preserve">V-007620</t>
  </si>
  <si>
    <t xml:space="preserve">V-007621</t>
  </si>
  <si>
    <t xml:space="preserve">V-007622</t>
  </si>
  <si>
    <t xml:space="preserve">V-007623</t>
  </si>
  <si>
    <t xml:space="preserve">V-007624</t>
  </si>
  <si>
    <t xml:space="preserve">V-007625</t>
  </si>
  <si>
    <t xml:space="preserve">V-007626</t>
  </si>
  <si>
    <t xml:space="preserve">V-007627</t>
  </si>
  <si>
    <t xml:space="preserve">V-007628</t>
  </si>
  <si>
    <t xml:space="preserve">V-007629</t>
  </si>
  <si>
    <t xml:space="preserve">V-007630</t>
  </si>
  <si>
    <t xml:space="preserve">V-007631</t>
  </si>
  <si>
    <t xml:space="preserve">V-007632</t>
  </si>
  <si>
    <t xml:space="preserve">V-007633</t>
  </si>
  <si>
    <t xml:space="preserve">V-007634</t>
  </si>
  <si>
    <t xml:space="preserve">V-007635</t>
  </si>
  <si>
    <t xml:space="preserve">V-007636</t>
  </si>
  <si>
    <t xml:space="preserve">V-007637</t>
  </si>
  <si>
    <t xml:space="preserve">V-007638</t>
  </si>
  <si>
    <t xml:space="preserve">V-007639</t>
  </si>
  <si>
    <t xml:space="preserve">V-007640</t>
  </si>
  <si>
    <t xml:space="preserve">V-007641</t>
  </si>
  <si>
    <t xml:space="preserve">V-007642</t>
  </si>
  <si>
    <t xml:space="preserve">V-007643</t>
  </si>
  <si>
    <t xml:space="preserve">V-007644</t>
  </si>
  <si>
    <t xml:space="preserve">V-007645</t>
  </si>
  <si>
    <t xml:space="preserve">V-007646</t>
  </si>
  <si>
    <t xml:space="preserve">V-007647</t>
  </si>
  <si>
    <t xml:space="preserve">V-007648</t>
  </si>
  <si>
    <t xml:space="preserve">V-007649</t>
  </si>
  <si>
    <t xml:space="preserve">V-007650</t>
  </si>
  <si>
    <t xml:space="preserve">V-007651</t>
  </si>
  <si>
    <t xml:space="preserve">V-007652</t>
  </si>
  <si>
    <t xml:space="preserve">V-007653</t>
  </si>
  <si>
    <t xml:space="preserve">V-007654</t>
  </si>
  <si>
    <t xml:space="preserve">V-007655</t>
  </si>
  <si>
    <t xml:space="preserve">V-007656</t>
  </si>
  <si>
    <t xml:space="preserve">V-007657</t>
  </si>
  <si>
    <t xml:space="preserve">V-007658</t>
  </si>
  <si>
    <t xml:space="preserve">V-007659</t>
  </si>
  <si>
    <t xml:space="preserve">V-007660</t>
  </si>
  <si>
    <t xml:space="preserve">V-007661</t>
  </si>
  <si>
    <t xml:space="preserve">V-007662</t>
  </si>
  <si>
    <t xml:space="preserve">V-007663</t>
  </si>
  <si>
    <t xml:space="preserve">V-007664</t>
  </si>
  <si>
    <t xml:space="preserve">V-007665</t>
  </si>
  <si>
    <t xml:space="preserve">V-007666</t>
  </si>
  <si>
    <t xml:space="preserve">V-007667</t>
  </si>
  <si>
    <t xml:space="preserve">V-007668</t>
  </si>
  <si>
    <t xml:space="preserve">V-007669</t>
  </si>
  <si>
    <t xml:space="preserve">V-007670</t>
  </si>
  <si>
    <t xml:space="preserve">V-007671</t>
  </si>
  <si>
    <t xml:space="preserve">V-007672</t>
  </si>
  <si>
    <t xml:space="preserve">V-007673</t>
  </si>
  <si>
    <t xml:space="preserve">V-007674</t>
  </si>
  <si>
    <t xml:space="preserve">V-007675</t>
  </si>
  <si>
    <t xml:space="preserve">V-007676</t>
  </si>
  <si>
    <t xml:space="preserve">V-007677</t>
  </si>
  <si>
    <t xml:space="preserve">V-007678</t>
  </si>
  <si>
    <t xml:space="preserve">V-007679</t>
  </si>
  <si>
    <t xml:space="preserve">V-007680</t>
  </si>
  <si>
    <t xml:space="preserve">V-007681</t>
  </si>
  <si>
    <t xml:space="preserve">V-007682</t>
  </si>
  <si>
    <t xml:space="preserve">V-007683</t>
  </si>
  <si>
    <t xml:space="preserve">V-007684</t>
  </si>
  <si>
    <t xml:space="preserve">V-007685</t>
  </si>
  <si>
    <t xml:space="preserve">V-007686</t>
  </si>
  <si>
    <t xml:space="preserve">V-007687</t>
  </si>
  <si>
    <t xml:space="preserve">V-007688</t>
  </si>
  <si>
    <t xml:space="preserve">V-007689</t>
  </si>
  <si>
    <t xml:space="preserve">V-007690</t>
  </si>
  <si>
    <t xml:space="preserve">V-007691</t>
  </si>
  <si>
    <t xml:space="preserve">V-007692</t>
  </si>
  <si>
    <t xml:space="preserve">V-007693</t>
  </si>
  <si>
    <t xml:space="preserve">V-007694</t>
  </si>
  <si>
    <t xml:space="preserve">V-007695</t>
  </si>
  <si>
    <t xml:space="preserve">V-007696</t>
  </si>
  <si>
    <t xml:space="preserve">V-007697</t>
  </si>
  <si>
    <t xml:space="preserve">V-007698</t>
  </si>
  <si>
    <t xml:space="preserve">V-007699</t>
  </si>
  <si>
    <t xml:space="preserve">V-007700</t>
  </si>
  <si>
    <t xml:space="preserve">V-007701</t>
  </si>
  <si>
    <t xml:space="preserve">V-007702</t>
  </si>
  <si>
    <t xml:space="preserve">V-007703</t>
  </si>
  <si>
    <t xml:space="preserve">V-007704</t>
  </si>
  <si>
    <t xml:space="preserve">V-007705</t>
  </si>
  <si>
    <t xml:space="preserve">V-007706</t>
  </si>
  <si>
    <t xml:space="preserve">V-007707</t>
  </si>
  <si>
    <t xml:space="preserve">V-007708</t>
  </si>
  <si>
    <t xml:space="preserve">V-007709</t>
  </si>
  <si>
    <t xml:space="preserve">V-007710</t>
  </si>
  <si>
    <t xml:space="preserve">V-007711</t>
  </si>
  <si>
    <t xml:space="preserve">V-007712</t>
  </si>
  <si>
    <t xml:space="preserve">V-007713</t>
  </si>
  <si>
    <t xml:space="preserve">V-007714</t>
  </si>
  <si>
    <t xml:space="preserve">V-007715</t>
  </si>
  <si>
    <t xml:space="preserve">V-007716</t>
  </si>
  <si>
    <t xml:space="preserve">V-007717</t>
  </si>
  <si>
    <t xml:space="preserve">V-007718</t>
  </si>
  <si>
    <t xml:space="preserve">V-007719</t>
  </si>
  <si>
    <t xml:space="preserve">V-007720</t>
  </si>
  <si>
    <t xml:space="preserve">V-007721</t>
  </si>
  <si>
    <t xml:space="preserve">V-007722</t>
  </si>
  <si>
    <t xml:space="preserve">V-007723</t>
  </si>
  <si>
    <t xml:space="preserve">V-007724</t>
  </si>
  <si>
    <t xml:space="preserve">V-007725</t>
  </si>
  <si>
    <t xml:space="preserve">V-007726</t>
  </si>
  <si>
    <t xml:space="preserve">V-007727</t>
  </si>
  <si>
    <t xml:space="preserve">V-007728</t>
  </si>
  <si>
    <t xml:space="preserve">V-007729</t>
  </si>
  <si>
    <t xml:space="preserve">V-007730</t>
  </si>
  <si>
    <t xml:space="preserve">V-007731</t>
  </si>
  <si>
    <t xml:space="preserve">V-007732</t>
  </si>
  <si>
    <t xml:space="preserve">V-007733</t>
  </si>
  <si>
    <t xml:space="preserve">V-007734</t>
  </si>
  <si>
    <t xml:space="preserve">V-007735</t>
  </si>
  <si>
    <t xml:space="preserve">V-007736</t>
  </si>
  <si>
    <t xml:space="preserve">V-007737</t>
  </si>
  <si>
    <t xml:space="preserve">V-007738</t>
  </si>
  <si>
    <t xml:space="preserve">V-007739</t>
  </si>
  <si>
    <t xml:space="preserve">V-007740</t>
  </si>
  <si>
    <t xml:space="preserve">V-007741</t>
  </si>
  <si>
    <t xml:space="preserve">V-007742</t>
  </si>
  <si>
    <t xml:space="preserve">V-007743</t>
  </si>
  <si>
    <t xml:space="preserve">V-007744</t>
  </si>
  <si>
    <t xml:space="preserve">V-007745</t>
  </si>
  <si>
    <t xml:space="preserve">V-007746</t>
  </si>
  <si>
    <t xml:space="preserve">V-007747</t>
  </si>
  <si>
    <t xml:space="preserve">V-007748</t>
  </si>
  <si>
    <t xml:space="preserve">V-007749</t>
  </si>
  <si>
    <t xml:space="preserve">V-007750</t>
  </si>
  <si>
    <t xml:space="preserve">V-007751</t>
  </si>
  <si>
    <t xml:space="preserve">V-007752</t>
  </si>
  <si>
    <t xml:space="preserve">V-007753</t>
  </si>
  <si>
    <t xml:space="preserve">V-007754</t>
  </si>
  <si>
    <t xml:space="preserve">V-007755</t>
  </si>
  <si>
    <t xml:space="preserve">V-007756</t>
  </si>
  <si>
    <t xml:space="preserve">V-007757</t>
  </si>
  <si>
    <t xml:space="preserve">V-007758</t>
  </si>
  <si>
    <t xml:space="preserve">V-007759</t>
  </si>
  <si>
    <t xml:space="preserve">V-007760</t>
  </si>
  <si>
    <t xml:space="preserve">V-007761</t>
  </si>
  <si>
    <t xml:space="preserve">V-007762</t>
  </si>
  <si>
    <t xml:space="preserve">V-007763</t>
  </si>
  <si>
    <t xml:space="preserve">V-007764</t>
  </si>
  <si>
    <t xml:space="preserve">V-007765</t>
  </si>
  <si>
    <t xml:space="preserve">V-007766</t>
  </si>
  <si>
    <t xml:space="preserve">V-007767</t>
  </si>
  <si>
    <t xml:space="preserve">V-007768</t>
  </si>
  <si>
    <t xml:space="preserve">V-007769</t>
  </si>
  <si>
    <t xml:space="preserve">V-007770</t>
  </si>
  <si>
    <t xml:space="preserve">V-007771</t>
  </si>
  <si>
    <t xml:space="preserve">V-007772</t>
  </si>
  <si>
    <t xml:space="preserve">V-007773</t>
  </si>
  <si>
    <t xml:space="preserve">V-007774</t>
  </si>
  <si>
    <t xml:space="preserve">V-007775</t>
  </si>
  <si>
    <t xml:space="preserve">V-007776</t>
  </si>
  <si>
    <t xml:space="preserve">V-007777</t>
  </si>
  <si>
    <t xml:space="preserve">V-007778</t>
  </si>
  <si>
    <t xml:space="preserve">V-007779</t>
  </si>
  <si>
    <t xml:space="preserve">V-007780</t>
  </si>
  <si>
    <t xml:space="preserve">V-007781</t>
  </si>
  <si>
    <t xml:space="preserve">V-007782</t>
  </si>
  <si>
    <t xml:space="preserve">V-007783</t>
  </si>
  <si>
    <t xml:space="preserve">V-007784</t>
  </si>
  <si>
    <t xml:space="preserve">V-007785</t>
  </si>
  <si>
    <t xml:space="preserve">V-007786</t>
  </si>
  <si>
    <t xml:space="preserve">V-007787</t>
  </si>
  <si>
    <t xml:space="preserve">V-007788</t>
  </si>
  <si>
    <t xml:space="preserve">V-007789</t>
  </si>
  <si>
    <t xml:space="preserve">V-007790</t>
  </si>
  <si>
    <t xml:space="preserve">V-007791</t>
  </si>
  <si>
    <t xml:space="preserve">V-007792</t>
  </si>
  <si>
    <t xml:space="preserve">V-007793</t>
  </si>
  <si>
    <t xml:space="preserve">V-007794</t>
  </si>
  <si>
    <t xml:space="preserve">V-007795</t>
  </si>
  <si>
    <t xml:space="preserve">V-007796</t>
  </si>
  <si>
    <t xml:space="preserve">V-007797</t>
  </si>
  <si>
    <t xml:space="preserve">V-007798</t>
  </si>
  <si>
    <t xml:space="preserve">V-007799</t>
  </si>
  <si>
    <t xml:space="preserve">V-007800</t>
  </si>
  <si>
    <t xml:space="preserve">V-007801</t>
  </si>
  <si>
    <t xml:space="preserve">V-007802</t>
  </si>
  <si>
    <t xml:space="preserve">V-007803</t>
  </si>
  <si>
    <t xml:space="preserve">V-007804</t>
  </si>
  <si>
    <t xml:space="preserve">V-007805</t>
  </si>
  <si>
    <t xml:space="preserve">V-007806</t>
  </si>
  <si>
    <t xml:space="preserve">V-007807</t>
  </si>
  <si>
    <t xml:space="preserve">V-007808</t>
  </si>
  <si>
    <t xml:space="preserve">V-007809</t>
  </si>
  <si>
    <t xml:space="preserve">V-007810</t>
  </si>
  <si>
    <t xml:space="preserve">V-007811</t>
  </si>
  <si>
    <t xml:space="preserve">V-007812</t>
  </si>
  <si>
    <t xml:space="preserve">V-007813</t>
  </si>
  <si>
    <t xml:space="preserve">V-007814</t>
  </si>
  <si>
    <t xml:space="preserve">V-007815</t>
  </si>
  <si>
    <t xml:space="preserve">V-007816</t>
  </si>
  <si>
    <t xml:space="preserve">V-007817</t>
  </si>
  <si>
    <t xml:space="preserve">V-007818</t>
  </si>
  <si>
    <t xml:space="preserve">V-007819</t>
  </si>
  <si>
    <t xml:space="preserve">V-007820</t>
  </si>
  <si>
    <t xml:space="preserve">V-007821</t>
  </si>
  <si>
    <t xml:space="preserve">V-007822</t>
  </si>
  <si>
    <t xml:space="preserve">V-007823</t>
  </si>
  <si>
    <t xml:space="preserve">V-007824</t>
  </si>
  <si>
    <t xml:space="preserve">V-007825</t>
  </si>
  <si>
    <t xml:space="preserve">V-007826</t>
  </si>
  <si>
    <t xml:space="preserve">V-007827</t>
  </si>
  <si>
    <t xml:space="preserve">V-007828</t>
  </si>
  <si>
    <t xml:space="preserve">V-007829</t>
  </si>
  <si>
    <t xml:space="preserve">V-007830</t>
  </si>
  <si>
    <t xml:space="preserve">V-007831</t>
  </si>
  <si>
    <t xml:space="preserve">V-007832</t>
  </si>
  <si>
    <t xml:space="preserve">V-007833</t>
  </si>
  <si>
    <t xml:space="preserve">V-007834</t>
  </si>
  <si>
    <t xml:space="preserve">V-007835</t>
  </si>
  <si>
    <t xml:space="preserve">V-007836</t>
  </si>
  <si>
    <t xml:space="preserve">V-007837</t>
  </si>
  <si>
    <t xml:space="preserve">V-007838</t>
  </si>
  <si>
    <t xml:space="preserve">V-007839</t>
  </si>
  <si>
    <t xml:space="preserve">V-007840</t>
  </si>
  <si>
    <t xml:space="preserve">V-007841</t>
  </si>
  <si>
    <t xml:space="preserve">V-007842</t>
  </si>
  <si>
    <t xml:space="preserve">V-007843</t>
  </si>
  <si>
    <t xml:space="preserve">V-007844</t>
  </si>
  <si>
    <t xml:space="preserve">V-007845</t>
  </si>
  <si>
    <t xml:space="preserve">V-007846</t>
  </si>
  <si>
    <t xml:space="preserve">V-007847</t>
  </si>
  <si>
    <t xml:space="preserve">V-007848</t>
  </si>
  <si>
    <t xml:space="preserve">V-007849</t>
  </si>
  <si>
    <t xml:space="preserve">V-007850</t>
  </si>
  <si>
    <t xml:space="preserve">V-007851</t>
  </si>
  <si>
    <t xml:space="preserve">V-007852</t>
  </si>
  <si>
    <t xml:space="preserve">V-007853</t>
  </si>
  <si>
    <t xml:space="preserve">V-007854</t>
  </si>
  <si>
    <t xml:space="preserve">V-007855</t>
  </si>
  <si>
    <t xml:space="preserve">V-007856</t>
  </si>
  <si>
    <t xml:space="preserve">V-007857</t>
  </si>
  <si>
    <t xml:space="preserve">V-007858</t>
  </si>
  <si>
    <t xml:space="preserve">V-007859</t>
  </si>
  <si>
    <t xml:space="preserve">V-007860</t>
  </si>
  <si>
    <t xml:space="preserve">V-007861</t>
  </si>
  <si>
    <t xml:space="preserve">V-007862</t>
  </si>
  <si>
    <t xml:space="preserve">V-007863</t>
  </si>
  <si>
    <t xml:space="preserve">V-007864</t>
  </si>
  <si>
    <t xml:space="preserve">V-007865</t>
  </si>
  <si>
    <t xml:space="preserve">V-007866</t>
  </si>
  <si>
    <t xml:space="preserve">V-007867</t>
  </si>
  <si>
    <t xml:space="preserve">V-007868</t>
  </si>
  <si>
    <t xml:space="preserve">V-007869</t>
  </si>
  <si>
    <t xml:space="preserve">V-007870</t>
  </si>
  <si>
    <t xml:space="preserve">V-007871</t>
  </si>
  <si>
    <t xml:space="preserve">V-007872</t>
  </si>
  <si>
    <t xml:space="preserve">V-007873</t>
  </si>
  <si>
    <t xml:space="preserve">V-007874</t>
  </si>
  <si>
    <t xml:space="preserve">V-007875</t>
  </si>
  <si>
    <t xml:space="preserve">V-007876</t>
  </si>
  <si>
    <t xml:space="preserve">V-007877</t>
  </si>
  <si>
    <t xml:space="preserve">V-007878</t>
  </si>
  <si>
    <t xml:space="preserve">V-007879</t>
  </si>
  <si>
    <t xml:space="preserve">V-007880</t>
  </si>
  <si>
    <t xml:space="preserve">V-007881</t>
  </si>
  <si>
    <t xml:space="preserve">V-007882</t>
  </si>
  <si>
    <t xml:space="preserve">V-007883</t>
  </si>
  <si>
    <t xml:space="preserve">V-007884</t>
  </si>
  <si>
    <t xml:space="preserve">V-007885</t>
  </si>
  <si>
    <t xml:space="preserve">V-007886</t>
  </si>
  <si>
    <t xml:space="preserve">V-007887</t>
  </si>
  <si>
    <t xml:space="preserve">V-007888</t>
  </si>
  <si>
    <t xml:space="preserve">V-007889</t>
  </si>
  <si>
    <t xml:space="preserve">V-007890</t>
  </si>
  <si>
    <t xml:space="preserve">V-007891</t>
  </si>
  <si>
    <t xml:space="preserve">V-007892</t>
  </si>
  <si>
    <t xml:space="preserve">V-007893</t>
  </si>
  <si>
    <t xml:space="preserve">V-007894</t>
  </si>
  <si>
    <t xml:space="preserve">V-007895</t>
  </si>
  <si>
    <t xml:space="preserve">V-007896</t>
  </si>
  <si>
    <t xml:space="preserve">V-007897</t>
  </si>
  <si>
    <t xml:space="preserve">V-007898</t>
  </si>
  <si>
    <t xml:space="preserve">V-007899</t>
  </si>
  <si>
    <t xml:space="preserve">V-007900</t>
  </si>
  <si>
    <t xml:space="preserve">V-007901</t>
  </si>
  <si>
    <t xml:space="preserve">V-007902</t>
  </si>
  <si>
    <t xml:space="preserve">V-007903</t>
  </si>
  <si>
    <t xml:space="preserve">V-007904</t>
  </si>
  <si>
    <t xml:space="preserve">V-007905</t>
  </si>
  <si>
    <t xml:space="preserve">V-007906</t>
  </si>
  <si>
    <t xml:space="preserve">V-007907</t>
  </si>
  <si>
    <t xml:space="preserve">V-007908</t>
  </si>
  <si>
    <t xml:space="preserve">V-007909</t>
  </si>
  <si>
    <t xml:space="preserve">V-007910</t>
  </si>
  <si>
    <t xml:space="preserve">V-007911</t>
  </si>
  <si>
    <t xml:space="preserve">V-007912</t>
  </si>
  <si>
    <t xml:space="preserve">V-007913</t>
  </si>
  <si>
    <t xml:space="preserve">V-007914</t>
  </si>
  <si>
    <t xml:space="preserve">V-007915</t>
  </si>
  <si>
    <t xml:space="preserve">V-007916</t>
  </si>
  <si>
    <t xml:space="preserve">V-007917</t>
  </si>
  <si>
    <t xml:space="preserve">V-007918</t>
  </si>
  <si>
    <t xml:space="preserve">V-007919</t>
  </si>
  <si>
    <t xml:space="preserve">V-007920</t>
  </si>
  <si>
    <t xml:space="preserve">V-007921</t>
  </si>
  <si>
    <t xml:space="preserve">V-007922</t>
  </si>
  <si>
    <t xml:space="preserve">V-007923</t>
  </si>
  <si>
    <t xml:space="preserve">V-007924</t>
  </si>
  <si>
    <t xml:space="preserve">V-007925</t>
  </si>
  <si>
    <t xml:space="preserve">V-007926</t>
  </si>
  <si>
    <t xml:space="preserve">V-007927</t>
  </si>
  <si>
    <t xml:space="preserve">V-007928</t>
  </si>
  <si>
    <t xml:space="preserve">V-007929</t>
  </si>
  <si>
    <t xml:space="preserve">V-007930</t>
  </si>
  <si>
    <t xml:space="preserve">V-007931</t>
  </si>
  <si>
    <t xml:space="preserve">V-007932</t>
  </si>
  <si>
    <t xml:space="preserve">V-007933</t>
  </si>
  <si>
    <t xml:space="preserve">V-007934</t>
  </si>
  <si>
    <t xml:space="preserve">V-007935</t>
  </si>
  <si>
    <t xml:space="preserve">V-007936</t>
  </si>
  <si>
    <t xml:space="preserve">V-007937</t>
  </si>
  <si>
    <t xml:space="preserve">V-007938</t>
  </si>
  <si>
    <t xml:space="preserve">V-007939</t>
  </si>
  <si>
    <t xml:space="preserve">V-007940</t>
  </si>
  <si>
    <t xml:space="preserve">V-007941</t>
  </si>
  <si>
    <t xml:space="preserve">V-007942</t>
  </si>
  <si>
    <t xml:space="preserve">V-007943</t>
  </si>
  <si>
    <t xml:space="preserve">V-007944</t>
  </si>
  <si>
    <t xml:space="preserve">V-007945</t>
  </si>
  <si>
    <t xml:space="preserve">V-007946</t>
  </si>
  <si>
    <t xml:space="preserve">V-007947</t>
  </si>
  <si>
    <t xml:space="preserve">V-007948</t>
  </si>
  <si>
    <t xml:space="preserve">V-007949</t>
  </si>
  <si>
    <t xml:space="preserve">V-007950</t>
  </si>
  <si>
    <t xml:space="preserve">V-007951</t>
  </si>
  <si>
    <t xml:space="preserve">V-007952</t>
  </si>
  <si>
    <t xml:space="preserve">V-007953</t>
  </si>
  <si>
    <t xml:space="preserve">V-007954</t>
  </si>
  <si>
    <t xml:space="preserve">V-007955</t>
  </si>
  <si>
    <t xml:space="preserve">V-007956</t>
  </si>
  <si>
    <t xml:space="preserve">V-007957</t>
  </si>
  <si>
    <t xml:space="preserve">V-007958</t>
  </si>
  <si>
    <t xml:space="preserve">V-007959</t>
  </si>
  <si>
    <t xml:space="preserve">V-007960</t>
  </si>
  <si>
    <t xml:space="preserve">V-007961</t>
  </si>
  <si>
    <t xml:space="preserve">V-007962</t>
  </si>
  <si>
    <t xml:space="preserve">V-007963</t>
  </si>
  <si>
    <t xml:space="preserve">V-007964</t>
  </si>
  <si>
    <t xml:space="preserve">V-007965</t>
  </si>
  <si>
    <t xml:space="preserve">V-007966</t>
  </si>
  <si>
    <t xml:space="preserve">V-007967</t>
  </si>
  <si>
    <t xml:space="preserve">V-007968</t>
  </si>
  <si>
    <t xml:space="preserve">V-007969</t>
  </si>
  <si>
    <t xml:space="preserve">V-007970</t>
  </si>
  <si>
    <t xml:space="preserve">V-007971</t>
  </si>
  <si>
    <t xml:space="preserve">V-007972</t>
  </si>
  <si>
    <t xml:space="preserve">V-007973</t>
  </si>
  <si>
    <t xml:space="preserve">V-007974</t>
  </si>
  <si>
    <t xml:space="preserve">V-007975</t>
  </si>
  <si>
    <t xml:space="preserve">V-007976</t>
  </si>
  <si>
    <t xml:space="preserve">V-007977</t>
  </si>
  <si>
    <t xml:space="preserve">V-007978</t>
  </si>
  <si>
    <t xml:space="preserve">V-007979</t>
  </si>
  <si>
    <t xml:space="preserve">V-007980</t>
  </si>
  <si>
    <t xml:space="preserve">V-007981</t>
  </si>
  <si>
    <t xml:space="preserve">V-007982</t>
  </si>
  <si>
    <t xml:space="preserve">V-007983</t>
  </si>
  <si>
    <t xml:space="preserve">V-007984</t>
  </si>
  <si>
    <t xml:space="preserve">V-007985</t>
  </si>
  <si>
    <t xml:space="preserve">V-007986</t>
  </si>
  <si>
    <t xml:space="preserve">V-007987</t>
  </si>
  <si>
    <t xml:space="preserve">V-007988</t>
  </si>
  <si>
    <t xml:space="preserve">V-007989</t>
  </si>
  <si>
    <t xml:space="preserve">V-007990</t>
  </si>
  <si>
    <t xml:space="preserve">V-007991</t>
  </si>
  <si>
    <t xml:space="preserve">V-007992</t>
  </si>
  <si>
    <t xml:space="preserve">V-007993</t>
  </si>
  <si>
    <t xml:space="preserve">V-007994</t>
  </si>
  <si>
    <t xml:space="preserve">V-007995</t>
  </si>
  <si>
    <t xml:space="preserve">V-007996</t>
  </si>
  <si>
    <t xml:space="preserve">V-007997</t>
  </si>
  <si>
    <t xml:space="preserve">V-007998</t>
  </si>
  <si>
    <t xml:space="preserve">V-007999</t>
  </si>
  <si>
    <t xml:space="preserve">V-008000</t>
  </si>
  <si>
    <t xml:space="preserve">V-008001</t>
  </si>
  <si>
    <t xml:space="preserve">V-008002</t>
  </si>
  <si>
    <t xml:space="preserve">V-008003</t>
  </si>
  <si>
    <t xml:space="preserve">V-008004</t>
  </si>
  <si>
    <t xml:space="preserve">V-008005</t>
  </si>
  <si>
    <t xml:space="preserve">V-008006</t>
  </si>
  <si>
    <t xml:space="preserve">V-008007</t>
  </si>
  <si>
    <t xml:space="preserve">V-008008</t>
  </si>
  <si>
    <t xml:space="preserve">V-008009</t>
  </si>
  <si>
    <t xml:space="preserve">V-008010</t>
  </si>
  <si>
    <t xml:space="preserve">V-008011</t>
  </si>
  <si>
    <t xml:space="preserve">V-008012</t>
  </si>
  <si>
    <t xml:space="preserve">V-008013</t>
  </si>
  <si>
    <t xml:space="preserve">V-008014</t>
  </si>
  <si>
    <t xml:space="preserve">V-008015</t>
  </si>
  <si>
    <t xml:space="preserve">V-008016</t>
  </si>
  <si>
    <t xml:space="preserve">V-008017</t>
  </si>
  <si>
    <t xml:space="preserve">V-008018</t>
  </si>
  <si>
    <t xml:space="preserve">V-008019</t>
  </si>
  <si>
    <t xml:space="preserve">V-008020</t>
  </si>
  <si>
    <t xml:space="preserve">V-008021</t>
  </si>
  <si>
    <t xml:space="preserve">V-008022</t>
  </si>
  <si>
    <t xml:space="preserve">V-008023</t>
  </si>
  <si>
    <t xml:space="preserve">V-008024</t>
  </si>
  <si>
    <t xml:space="preserve">V-008025</t>
  </si>
  <si>
    <t xml:space="preserve">V-008026</t>
  </si>
  <si>
    <t xml:space="preserve">V-008027</t>
  </si>
  <si>
    <t xml:space="preserve">V-008028</t>
  </si>
  <si>
    <t xml:space="preserve">V-008029</t>
  </si>
  <si>
    <t xml:space="preserve">V-008030</t>
  </si>
  <si>
    <t xml:space="preserve">V-008031</t>
  </si>
  <si>
    <t xml:space="preserve">V-008032</t>
  </si>
  <si>
    <t xml:space="preserve">V-008033</t>
  </si>
  <si>
    <t xml:space="preserve">V-008034</t>
  </si>
  <si>
    <t xml:space="preserve">V-008035</t>
  </si>
  <si>
    <t xml:space="preserve">V-008036</t>
  </si>
  <si>
    <t xml:space="preserve">V-008037</t>
  </si>
  <si>
    <t xml:space="preserve">V-008038</t>
  </si>
  <si>
    <t xml:space="preserve">V-008039</t>
  </si>
  <si>
    <t xml:space="preserve">V-008040</t>
  </si>
  <si>
    <t xml:space="preserve">V-008041</t>
  </si>
  <si>
    <t xml:space="preserve">V-008042</t>
  </si>
  <si>
    <t xml:space="preserve">V-008043</t>
  </si>
  <si>
    <t xml:space="preserve">V-008044</t>
  </si>
  <si>
    <t xml:space="preserve">V-008045</t>
  </si>
  <si>
    <t xml:space="preserve">V-008046</t>
  </si>
  <si>
    <t xml:space="preserve">V-008047</t>
  </si>
  <si>
    <t xml:space="preserve">V-008048</t>
  </si>
  <si>
    <t xml:space="preserve">V-008049</t>
  </si>
  <si>
    <t xml:space="preserve">V-008050</t>
  </si>
  <si>
    <t xml:space="preserve">V-008051</t>
  </si>
  <si>
    <t xml:space="preserve">V-008052</t>
  </si>
  <si>
    <t xml:space="preserve">V-008053</t>
  </si>
  <si>
    <t xml:space="preserve">V-008054</t>
  </si>
  <si>
    <t xml:space="preserve">V-008055</t>
  </si>
  <si>
    <t xml:space="preserve">V-008056</t>
  </si>
  <si>
    <t xml:space="preserve">V-008057</t>
  </si>
  <si>
    <t xml:space="preserve">V-008058</t>
  </si>
  <si>
    <t xml:space="preserve">V-008059</t>
  </si>
  <si>
    <t xml:space="preserve">V-008060</t>
  </si>
  <si>
    <t xml:space="preserve">V-008061</t>
  </si>
  <si>
    <t xml:space="preserve">V-008062</t>
  </si>
  <si>
    <t xml:space="preserve">V-008063</t>
  </si>
  <si>
    <t xml:space="preserve">V-008064</t>
  </si>
  <si>
    <t xml:space="preserve">V-008065</t>
  </si>
  <si>
    <t xml:space="preserve">V-008066</t>
  </si>
  <si>
    <t xml:space="preserve">V-008067</t>
  </si>
  <si>
    <t xml:space="preserve">V-008068</t>
  </si>
  <si>
    <t xml:space="preserve">V-008069</t>
  </si>
  <si>
    <t xml:space="preserve">V-008070</t>
  </si>
  <si>
    <t xml:space="preserve">V-008071</t>
  </si>
  <si>
    <t xml:space="preserve">V-008072</t>
  </si>
  <si>
    <t xml:space="preserve">V-008073</t>
  </si>
  <si>
    <t xml:space="preserve">V-008074</t>
  </si>
  <si>
    <t xml:space="preserve">V-008075</t>
  </si>
  <si>
    <t xml:space="preserve">V-008076</t>
  </si>
  <si>
    <t xml:space="preserve">V-008077</t>
  </si>
  <si>
    <t xml:space="preserve">V-008078</t>
  </si>
  <si>
    <t xml:space="preserve">V-008079</t>
  </si>
  <si>
    <t xml:space="preserve">V-008080</t>
  </si>
  <si>
    <t xml:space="preserve">V-008081</t>
  </si>
  <si>
    <t xml:space="preserve">V-008082</t>
  </si>
  <si>
    <t xml:space="preserve">V-008083</t>
  </si>
  <si>
    <t xml:space="preserve">V-008084</t>
  </si>
  <si>
    <t xml:space="preserve">V-008085</t>
  </si>
  <si>
    <t xml:space="preserve">V-008086</t>
  </si>
  <si>
    <t xml:space="preserve">V-008087</t>
  </si>
  <si>
    <t xml:space="preserve">V-008088</t>
  </si>
  <si>
    <t xml:space="preserve">V-008089</t>
  </si>
  <si>
    <t xml:space="preserve">V-008090</t>
  </si>
  <si>
    <t xml:space="preserve">V-008091</t>
  </si>
  <si>
    <t xml:space="preserve">V-008092</t>
  </si>
  <si>
    <t xml:space="preserve">V-008093</t>
  </si>
  <si>
    <t xml:space="preserve">V-008094</t>
  </si>
  <si>
    <t xml:space="preserve">V-008095</t>
  </si>
  <si>
    <t xml:space="preserve">V-008096</t>
  </si>
  <si>
    <t xml:space="preserve">V-008097</t>
  </si>
  <si>
    <t xml:space="preserve">V-008098</t>
  </si>
  <si>
    <t xml:space="preserve">V-008099</t>
  </si>
  <si>
    <t xml:space="preserve">V-008100</t>
  </si>
  <si>
    <t xml:space="preserve">V-008101</t>
  </si>
  <si>
    <t xml:space="preserve">V-008102</t>
  </si>
  <si>
    <t xml:space="preserve">V-008103</t>
  </si>
  <si>
    <t xml:space="preserve">V-008104</t>
  </si>
  <si>
    <t xml:space="preserve">V-008105</t>
  </si>
  <si>
    <t xml:space="preserve">V-008106</t>
  </si>
  <si>
    <t xml:space="preserve">V-008107</t>
  </si>
  <si>
    <t xml:space="preserve">V-008108</t>
  </si>
  <si>
    <t xml:space="preserve">V-008109</t>
  </si>
  <si>
    <t xml:space="preserve">V-008110</t>
  </si>
  <si>
    <t xml:space="preserve">V-008111</t>
  </si>
  <si>
    <t xml:space="preserve">V-008112</t>
  </si>
  <si>
    <t xml:space="preserve">V-008113</t>
  </si>
  <si>
    <t xml:space="preserve">V-008114</t>
  </si>
  <si>
    <t xml:space="preserve">V-008115</t>
  </si>
  <si>
    <t xml:space="preserve">V-008116</t>
  </si>
  <si>
    <t xml:space="preserve">V-008117</t>
  </si>
  <si>
    <t xml:space="preserve">V-008118</t>
  </si>
  <si>
    <t xml:space="preserve">V-008119</t>
  </si>
  <si>
    <t xml:space="preserve">V-008120</t>
  </si>
  <si>
    <t xml:space="preserve">V-008121</t>
  </si>
  <si>
    <t xml:space="preserve">V-008122</t>
  </si>
  <si>
    <t xml:space="preserve">V-008123</t>
  </si>
  <si>
    <t xml:space="preserve">V-008124</t>
  </si>
  <si>
    <t xml:space="preserve">TOTAL NET REVENUE (Year)</t>
  </si>
  <si>
    <t xml:space="preserve">Daily Payroll Register - Every Caregiver, Every Day, Full Year</t>
  </si>
  <si>
    <t xml:space="preserve">5,973 payroll records. Source of truth for all direct labor cost across the workbook.</t>
  </si>
  <si>
    <t xml:space="preserve">Pay ID</t>
  </si>
  <si>
    <t xml:space="preserve">Reg Hours</t>
  </si>
  <si>
    <t xml:space="preserve">OT Hours</t>
  </si>
  <si>
    <t xml:space="preserve">Reg Pay</t>
  </si>
  <si>
    <t xml:space="preserve">OT Pay</t>
  </si>
  <si>
    <t xml:space="preserve">Miles</t>
  </si>
  <si>
    <t xml:space="preserve">Mileage Pay</t>
  </si>
  <si>
    <t xml:space="preserve">Per-Visit Pay</t>
  </si>
  <si>
    <t xml:space="preserve">Gross Pay</t>
  </si>
  <si>
    <t xml:space="preserve">P-000001</t>
  </si>
  <si>
    <t xml:space="preserve">P-000002</t>
  </si>
  <si>
    <t xml:space="preserve">P-000003</t>
  </si>
  <si>
    <t xml:space="preserve">P-000004</t>
  </si>
  <si>
    <t xml:space="preserve">P-000005</t>
  </si>
  <si>
    <t xml:space="preserve">P-000006</t>
  </si>
  <si>
    <t xml:space="preserve">P-000007</t>
  </si>
  <si>
    <t xml:space="preserve">P-000008</t>
  </si>
  <si>
    <t xml:space="preserve">P-000009</t>
  </si>
  <si>
    <t xml:space="preserve">P-000010</t>
  </si>
  <si>
    <t xml:space="preserve">P-000011</t>
  </si>
  <si>
    <t xml:space="preserve">P-000012</t>
  </si>
  <si>
    <t xml:space="preserve">P-000013</t>
  </si>
  <si>
    <t xml:space="preserve">P-000014</t>
  </si>
  <si>
    <t xml:space="preserve">P-000015</t>
  </si>
  <si>
    <t xml:space="preserve">P-000016</t>
  </si>
  <si>
    <t xml:space="preserve">P-000017</t>
  </si>
  <si>
    <t xml:space="preserve">P-000018</t>
  </si>
  <si>
    <t xml:space="preserve">P-000019</t>
  </si>
  <si>
    <t xml:space="preserve">P-000020</t>
  </si>
  <si>
    <t xml:space="preserve">P-000021</t>
  </si>
  <si>
    <t xml:space="preserve">P-000022</t>
  </si>
  <si>
    <t xml:space="preserve">P-000023</t>
  </si>
  <si>
    <t xml:space="preserve">P-000024</t>
  </si>
  <si>
    <t xml:space="preserve">P-000025</t>
  </si>
  <si>
    <t xml:space="preserve">P-000026</t>
  </si>
  <si>
    <t xml:space="preserve">P-000027</t>
  </si>
  <si>
    <t xml:space="preserve">P-000028</t>
  </si>
  <si>
    <t xml:space="preserve">P-000029</t>
  </si>
  <si>
    <t xml:space="preserve">P-000030</t>
  </si>
  <si>
    <t xml:space="preserve">P-000031</t>
  </si>
  <si>
    <t xml:space="preserve">P-000032</t>
  </si>
  <si>
    <t xml:space="preserve">P-000033</t>
  </si>
  <si>
    <t xml:space="preserve">P-000034</t>
  </si>
  <si>
    <t xml:space="preserve">P-000035</t>
  </si>
  <si>
    <t xml:space="preserve">P-000036</t>
  </si>
  <si>
    <t xml:space="preserve">P-000037</t>
  </si>
  <si>
    <t xml:space="preserve">P-000038</t>
  </si>
  <si>
    <t xml:space="preserve">P-000039</t>
  </si>
  <si>
    <t xml:space="preserve">P-000040</t>
  </si>
  <si>
    <t xml:space="preserve">P-000041</t>
  </si>
  <si>
    <t xml:space="preserve">P-000042</t>
  </si>
  <si>
    <t xml:space="preserve">P-000043</t>
  </si>
  <si>
    <t xml:space="preserve">P-000044</t>
  </si>
  <si>
    <t xml:space="preserve">P-000045</t>
  </si>
  <si>
    <t xml:space="preserve">P-000046</t>
  </si>
  <si>
    <t xml:space="preserve">P-000047</t>
  </si>
  <si>
    <t xml:space="preserve">P-000048</t>
  </si>
  <si>
    <t xml:space="preserve">P-000049</t>
  </si>
  <si>
    <t xml:space="preserve">P-000050</t>
  </si>
  <si>
    <t xml:space="preserve">P-000051</t>
  </si>
  <si>
    <t xml:space="preserve">P-000052</t>
  </si>
  <si>
    <t xml:space="preserve">P-000053</t>
  </si>
  <si>
    <t xml:space="preserve">P-000054</t>
  </si>
  <si>
    <t xml:space="preserve">P-000055</t>
  </si>
  <si>
    <t xml:space="preserve">P-000056</t>
  </si>
  <si>
    <t xml:space="preserve">P-000057</t>
  </si>
  <si>
    <t xml:space="preserve">P-000058</t>
  </si>
  <si>
    <t xml:space="preserve">P-000059</t>
  </si>
  <si>
    <t xml:space="preserve">P-000060</t>
  </si>
  <si>
    <t xml:space="preserve">P-000061</t>
  </si>
  <si>
    <t xml:space="preserve">P-000062</t>
  </si>
  <si>
    <t xml:space="preserve">P-000063</t>
  </si>
  <si>
    <t xml:space="preserve">P-000064</t>
  </si>
  <si>
    <t xml:space="preserve">P-000065</t>
  </si>
  <si>
    <t xml:space="preserve">P-000066</t>
  </si>
  <si>
    <t xml:space="preserve">P-000067</t>
  </si>
  <si>
    <t xml:space="preserve">P-000068</t>
  </si>
  <si>
    <t xml:space="preserve">P-000069</t>
  </si>
  <si>
    <t xml:space="preserve">P-000070</t>
  </si>
  <si>
    <t xml:space="preserve">P-000071</t>
  </si>
  <si>
    <t xml:space="preserve">P-000072</t>
  </si>
  <si>
    <t xml:space="preserve">P-000073</t>
  </si>
  <si>
    <t xml:space="preserve">P-000074</t>
  </si>
  <si>
    <t xml:space="preserve">P-000075</t>
  </si>
  <si>
    <t xml:space="preserve">P-000076</t>
  </si>
  <si>
    <t xml:space="preserve">P-000077</t>
  </si>
  <si>
    <t xml:space="preserve">P-000078</t>
  </si>
  <si>
    <t xml:space="preserve">P-000079</t>
  </si>
  <si>
    <t xml:space="preserve">P-000080</t>
  </si>
  <si>
    <t xml:space="preserve">P-000081</t>
  </si>
  <si>
    <t xml:space="preserve">P-000082</t>
  </si>
  <si>
    <t xml:space="preserve">P-000083</t>
  </si>
  <si>
    <t xml:space="preserve">P-000084</t>
  </si>
  <si>
    <t xml:space="preserve">P-000085</t>
  </si>
  <si>
    <t xml:space="preserve">P-000086</t>
  </si>
  <si>
    <t xml:space="preserve">P-000087</t>
  </si>
  <si>
    <t xml:space="preserve">P-000088</t>
  </si>
  <si>
    <t xml:space="preserve">P-000089</t>
  </si>
  <si>
    <t xml:space="preserve">P-000090</t>
  </si>
  <si>
    <t xml:space="preserve">P-000091</t>
  </si>
  <si>
    <t xml:space="preserve">P-000092</t>
  </si>
  <si>
    <t xml:space="preserve">P-000093</t>
  </si>
  <si>
    <t xml:space="preserve">P-000094</t>
  </si>
  <si>
    <t xml:space="preserve">P-000095</t>
  </si>
  <si>
    <t xml:space="preserve">P-000096</t>
  </si>
  <si>
    <t xml:space="preserve">P-000097</t>
  </si>
  <si>
    <t xml:space="preserve">P-000098</t>
  </si>
  <si>
    <t xml:space="preserve">P-000099</t>
  </si>
  <si>
    <t xml:space="preserve">P-000100</t>
  </si>
  <si>
    <t xml:space="preserve">P-000101</t>
  </si>
  <si>
    <t xml:space="preserve">P-000102</t>
  </si>
  <si>
    <t xml:space="preserve">P-000103</t>
  </si>
  <si>
    <t xml:space="preserve">P-000104</t>
  </si>
  <si>
    <t xml:space="preserve">P-000105</t>
  </si>
  <si>
    <t xml:space="preserve">P-000106</t>
  </si>
  <si>
    <t xml:space="preserve">P-000107</t>
  </si>
  <si>
    <t xml:space="preserve">P-000108</t>
  </si>
  <si>
    <t xml:space="preserve">P-000109</t>
  </si>
  <si>
    <t xml:space="preserve">P-000110</t>
  </si>
  <si>
    <t xml:space="preserve">P-000111</t>
  </si>
  <si>
    <t xml:space="preserve">P-000112</t>
  </si>
  <si>
    <t xml:space="preserve">P-000113</t>
  </si>
  <si>
    <t xml:space="preserve">P-000114</t>
  </si>
  <si>
    <t xml:space="preserve">P-000115</t>
  </si>
  <si>
    <t xml:space="preserve">P-000116</t>
  </si>
  <si>
    <t xml:space="preserve">P-000117</t>
  </si>
  <si>
    <t xml:space="preserve">P-000118</t>
  </si>
  <si>
    <t xml:space="preserve">P-000119</t>
  </si>
  <si>
    <t xml:space="preserve">P-000120</t>
  </si>
  <si>
    <t xml:space="preserve">P-000121</t>
  </si>
  <si>
    <t xml:space="preserve">P-000122</t>
  </si>
  <si>
    <t xml:space="preserve">P-000123</t>
  </si>
  <si>
    <t xml:space="preserve">P-000124</t>
  </si>
  <si>
    <t xml:space="preserve">P-000125</t>
  </si>
  <si>
    <t xml:space="preserve">P-000126</t>
  </si>
  <si>
    <t xml:space="preserve">P-000127</t>
  </si>
  <si>
    <t xml:space="preserve">P-000128</t>
  </si>
  <si>
    <t xml:space="preserve">P-000129</t>
  </si>
  <si>
    <t xml:space="preserve">P-000130</t>
  </si>
  <si>
    <t xml:space="preserve">P-000131</t>
  </si>
  <si>
    <t xml:space="preserve">P-000132</t>
  </si>
  <si>
    <t xml:space="preserve">P-000133</t>
  </si>
  <si>
    <t xml:space="preserve">P-000134</t>
  </si>
  <si>
    <t xml:space="preserve">P-000135</t>
  </si>
  <si>
    <t xml:space="preserve">P-000136</t>
  </si>
  <si>
    <t xml:space="preserve">P-000137</t>
  </si>
  <si>
    <t xml:space="preserve">P-000138</t>
  </si>
  <si>
    <t xml:space="preserve">P-000139</t>
  </si>
  <si>
    <t xml:space="preserve">P-000140</t>
  </si>
  <si>
    <t xml:space="preserve">P-000141</t>
  </si>
  <si>
    <t xml:space="preserve">P-000142</t>
  </si>
  <si>
    <t xml:space="preserve">P-000143</t>
  </si>
  <si>
    <t xml:space="preserve">P-000144</t>
  </si>
  <si>
    <t xml:space="preserve">P-000145</t>
  </si>
  <si>
    <t xml:space="preserve">P-000146</t>
  </si>
  <si>
    <t xml:space="preserve">P-000147</t>
  </si>
  <si>
    <t xml:space="preserve">P-000148</t>
  </si>
  <si>
    <t xml:space="preserve">P-000149</t>
  </si>
  <si>
    <t xml:space="preserve">P-000150</t>
  </si>
  <si>
    <t xml:space="preserve">P-000151</t>
  </si>
  <si>
    <t xml:space="preserve">P-000152</t>
  </si>
  <si>
    <t xml:space="preserve">P-000153</t>
  </si>
  <si>
    <t xml:space="preserve">P-000154</t>
  </si>
  <si>
    <t xml:space="preserve">P-000155</t>
  </si>
  <si>
    <t xml:space="preserve">P-000156</t>
  </si>
  <si>
    <t xml:space="preserve">P-000157</t>
  </si>
  <si>
    <t xml:space="preserve">P-000158</t>
  </si>
  <si>
    <t xml:space="preserve">P-000159</t>
  </si>
  <si>
    <t xml:space="preserve">P-000160</t>
  </si>
  <si>
    <t xml:space="preserve">P-000161</t>
  </si>
  <si>
    <t xml:space="preserve">P-000162</t>
  </si>
  <si>
    <t xml:space="preserve">P-000163</t>
  </si>
  <si>
    <t xml:space="preserve">P-000164</t>
  </si>
  <si>
    <t xml:space="preserve">P-000165</t>
  </si>
  <si>
    <t xml:space="preserve">P-000166</t>
  </si>
  <si>
    <t xml:space="preserve">P-000167</t>
  </si>
  <si>
    <t xml:space="preserve">P-000168</t>
  </si>
  <si>
    <t xml:space="preserve">P-000169</t>
  </si>
  <si>
    <t xml:space="preserve">P-000170</t>
  </si>
  <si>
    <t xml:space="preserve">P-000171</t>
  </si>
  <si>
    <t xml:space="preserve">P-000172</t>
  </si>
  <si>
    <t xml:space="preserve">P-000173</t>
  </si>
  <si>
    <t xml:space="preserve">P-000174</t>
  </si>
  <si>
    <t xml:space="preserve">P-000175</t>
  </si>
  <si>
    <t xml:space="preserve">P-000176</t>
  </si>
  <si>
    <t xml:space="preserve">P-000177</t>
  </si>
  <si>
    <t xml:space="preserve">P-000178</t>
  </si>
  <si>
    <t xml:space="preserve">P-000179</t>
  </si>
  <si>
    <t xml:space="preserve">P-000180</t>
  </si>
  <si>
    <t xml:space="preserve">P-000181</t>
  </si>
  <si>
    <t xml:space="preserve">P-000182</t>
  </si>
  <si>
    <t xml:space="preserve">P-000183</t>
  </si>
  <si>
    <t xml:space="preserve">P-000184</t>
  </si>
  <si>
    <t xml:space="preserve">P-000185</t>
  </si>
  <si>
    <t xml:space="preserve">P-000186</t>
  </si>
  <si>
    <t xml:space="preserve">P-000187</t>
  </si>
  <si>
    <t xml:space="preserve">P-000188</t>
  </si>
  <si>
    <t xml:space="preserve">P-000189</t>
  </si>
  <si>
    <t xml:space="preserve">P-000190</t>
  </si>
  <si>
    <t xml:space="preserve">P-000191</t>
  </si>
  <si>
    <t xml:space="preserve">P-000192</t>
  </si>
  <si>
    <t xml:space="preserve">P-000193</t>
  </si>
  <si>
    <t xml:space="preserve">P-000194</t>
  </si>
  <si>
    <t xml:space="preserve">P-000195</t>
  </si>
  <si>
    <t xml:space="preserve">P-000196</t>
  </si>
  <si>
    <t xml:space="preserve">P-000197</t>
  </si>
  <si>
    <t xml:space="preserve">P-000198</t>
  </si>
  <si>
    <t xml:space="preserve">P-000199</t>
  </si>
  <si>
    <t xml:space="preserve">P-000200</t>
  </si>
  <si>
    <t xml:space="preserve">P-000201</t>
  </si>
  <si>
    <t xml:space="preserve">P-000202</t>
  </si>
  <si>
    <t xml:space="preserve">P-000203</t>
  </si>
  <si>
    <t xml:space="preserve">P-000204</t>
  </si>
  <si>
    <t xml:space="preserve">P-000205</t>
  </si>
  <si>
    <t xml:space="preserve">P-000206</t>
  </si>
  <si>
    <t xml:space="preserve">P-000207</t>
  </si>
  <si>
    <t xml:space="preserve">P-000208</t>
  </si>
  <si>
    <t xml:space="preserve">P-000209</t>
  </si>
  <si>
    <t xml:space="preserve">P-000210</t>
  </si>
  <si>
    <t xml:space="preserve">P-000211</t>
  </si>
  <si>
    <t xml:space="preserve">P-000212</t>
  </si>
  <si>
    <t xml:space="preserve">P-000213</t>
  </si>
  <si>
    <t xml:space="preserve">P-000214</t>
  </si>
  <si>
    <t xml:space="preserve">P-000215</t>
  </si>
  <si>
    <t xml:space="preserve">P-000216</t>
  </si>
  <si>
    <t xml:space="preserve">P-000217</t>
  </si>
  <si>
    <t xml:space="preserve">P-000218</t>
  </si>
  <si>
    <t xml:space="preserve">P-000219</t>
  </si>
  <si>
    <t xml:space="preserve">P-000220</t>
  </si>
  <si>
    <t xml:space="preserve">P-000221</t>
  </si>
  <si>
    <t xml:space="preserve">P-000222</t>
  </si>
  <si>
    <t xml:space="preserve">P-000223</t>
  </si>
  <si>
    <t xml:space="preserve">P-000224</t>
  </si>
  <si>
    <t xml:space="preserve">P-000225</t>
  </si>
  <si>
    <t xml:space="preserve">P-000226</t>
  </si>
  <si>
    <t xml:space="preserve">P-000227</t>
  </si>
  <si>
    <t xml:space="preserve">P-000228</t>
  </si>
  <si>
    <t xml:space="preserve">P-000229</t>
  </si>
  <si>
    <t xml:space="preserve">P-000230</t>
  </si>
  <si>
    <t xml:space="preserve">P-000231</t>
  </si>
  <si>
    <t xml:space="preserve">P-000232</t>
  </si>
  <si>
    <t xml:space="preserve">P-000233</t>
  </si>
  <si>
    <t xml:space="preserve">P-000234</t>
  </si>
  <si>
    <t xml:space="preserve">P-000235</t>
  </si>
  <si>
    <t xml:space="preserve">P-000236</t>
  </si>
  <si>
    <t xml:space="preserve">P-000237</t>
  </si>
  <si>
    <t xml:space="preserve">P-000238</t>
  </si>
  <si>
    <t xml:space="preserve">P-000239</t>
  </si>
  <si>
    <t xml:space="preserve">P-000240</t>
  </si>
  <si>
    <t xml:space="preserve">P-000241</t>
  </si>
  <si>
    <t xml:space="preserve">P-000242</t>
  </si>
  <si>
    <t xml:space="preserve">P-000243</t>
  </si>
  <si>
    <t xml:space="preserve">P-000244</t>
  </si>
  <si>
    <t xml:space="preserve">P-000245</t>
  </si>
  <si>
    <t xml:space="preserve">P-000246</t>
  </si>
  <si>
    <t xml:space="preserve">P-000247</t>
  </si>
  <si>
    <t xml:space="preserve">P-000248</t>
  </si>
  <si>
    <t xml:space="preserve">P-000249</t>
  </si>
  <si>
    <t xml:space="preserve">P-000250</t>
  </si>
  <si>
    <t xml:space="preserve">P-000251</t>
  </si>
  <si>
    <t xml:space="preserve">P-000252</t>
  </si>
  <si>
    <t xml:space="preserve">P-000253</t>
  </si>
  <si>
    <t xml:space="preserve">P-000254</t>
  </si>
  <si>
    <t xml:space="preserve">P-000255</t>
  </si>
  <si>
    <t xml:space="preserve">P-000256</t>
  </si>
  <si>
    <t xml:space="preserve">P-000257</t>
  </si>
  <si>
    <t xml:space="preserve">P-000258</t>
  </si>
  <si>
    <t xml:space="preserve">P-000259</t>
  </si>
  <si>
    <t xml:space="preserve">P-000260</t>
  </si>
  <si>
    <t xml:space="preserve">P-000261</t>
  </si>
  <si>
    <t xml:space="preserve">P-000262</t>
  </si>
  <si>
    <t xml:space="preserve">P-000263</t>
  </si>
  <si>
    <t xml:space="preserve">P-000264</t>
  </si>
  <si>
    <t xml:space="preserve">P-000265</t>
  </si>
  <si>
    <t xml:space="preserve">P-000266</t>
  </si>
  <si>
    <t xml:space="preserve">P-000267</t>
  </si>
  <si>
    <t xml:space="preserve">P-000268</t>
  </si>
  <si>
    <t xml:space="preserve">P-000269</t>
  </si>
  <si>
    <t xml:space="preserve">P-000270</t>
  </si>
  <si>
    <t xml:space="preserve">P-000271</t>
  </si>
  <si>
    <t xml:space="preserve">P-000272</t>
  </si>
  <si>
    <t xml:space="preserve">P-000273</t>
  </si>
  <si>
    <t xml:space="preserve">P-000274</t>
  </si>
  <si>
    <t xml:space="preserve">P-000275</t>
  </si>
  <si>
    <t xml:space="preserve">P-000276</t>
  </si>
  <si>
    <t xml:space="preserve">P-000277</t>
  </si>
  <si>
    <t xml:space="preserve">P-000278</t>
  </si>
  <si>
    <t xml:space="preserve">P-000279</t>
  </si>
  <si>
    <t xml:space="preserve">P-000280</t>
  </si>
  <si>
    <t xml:space="preserve">P-000281</t>
  </si>
  <si>
    <t xml:space="preserve">P-000282</t>
  </si>
  <si>
    <t xml:space="preserve">P-000283</t>
  </si>
  <si>
    <t xml:space="preserve">P-000284</t>
  </si>
  <si>
    <t xml:space="preserve">P-000285</t>
  </si>
  <si>
    <t xml:space="preserve">P-000286</t>
  </si>
  <si>
    <t xml:space="preserve">P-000287</t>
  </si>
  <si>
    <t xml:space="preserve">P-000288</t>
  </si>
  <si>
    <t xml:space="preserve">P-000289</t>
  </si>
  <si>
    <t xml:space="preserve">P-000290</t>
  </si>
  <si>
    <t xml:space="preserve">P-000291</t>
  </si>
  <si>
    <t xml:space="preserve">P-000292</t>
  </si>
  <si>
    <t xml:space="preserve">P-000293</t>
  </si>
  <si>
    <t xml:space="preserve">P-000294</t>
  </si>
  <si>
    <t xml:space="preserve">P-000295</t>
  </si>
  <si>
    <t xml:space="preserve">P-000296</t>
  </si>
  <si>
    <t xml:space="preserve">P-000297</t>
  </si>
  <si>
    <t xml:space="preserve">P-000298</t>
  </si>
  <si>
    <t xml:space="preserve">P-000299</t>
  </si>
  <si>
    <t xml:space="preserve">P-000300</t>
  </si>
  <si>
    <t xml:space="preserve">P-000301</t>
  </si>
  <si>
    <t xml:space="preserve">P-000302</t>
  </si>
  <si>
    <t xml:space="preserve">P-000303</t>
  </si>
  <si>
    <t xml:space="preserve">P-000304</t>
  </si>
  <si>
    <t xml:space="preserve">P-000305</t>
  </si>
  <si>
    <t xml:space="preserve">P-000306</t>
  </si>
  <si>
    <t xml:space="preserve">P-000307</t>
  </si>
  <si>
    <t xml:space="preserve">P-000308</t>
  </si>
  <si>
    <t xml:space="preserve">P-000309</t>
  </si>
  <si>
    <t xml:space="preserve">P-000310</t>
  </si>
  <si>
    <t xml:space="preserve">P-000311</t>
  </si>
  <si>
    <t xml:space="preserve">P-000312</t>
  </si>
  <si>
    <t xml:space="preserve">P-000313</t>
  </si>
  <si>
    <t xml:space="preserve">P-000314</t>
  </si>
  <si>
    <t xml:space="preserve">P-000315</t>
  </si>
  <si>
    <t xml:space="preserve">P-000316</t>
  </si>
  <si>
    <t xml:space="preserve">P-000317</t>
  </si>
  <si>
    <t xml:space="preserve">P-000318</t>
  </si>
  <si>
    <t xml:space="preserve">P-000319</t>
  </si>
  <si>
    <t xml:space="preserve">P-000320</t>
  </si>
  <si>
    <t xml:space="preserve">P-000321</t>
  </si>
  <si>
    <t xml:space="preserve">P-000322</t>
  </si>
  <si>
    <t xml:space="preserve">P-000323</t>
  </si>
  <si>
    <t xml:space="preserve">P-000324</t>
  </si>
  <si>
    <t xml:space="preserve">P-000325</t>
  </si>
  <si>
    <t xml:space="preserve">P-000326</t>
  </si>
  <si>
    <t xml:space="preserve">P-000327</t>
  </si>
  <si>
    <t xml:space="preserve">P-000328</t>
  </si>
  <si>
    <t xml:space="preserve">P-000329</t>
  </si>
  <si>
    <t xml:space="preserve">P-000330</t>
  </si>
  <si>
    <t xml:space="preserve">P-000331</t>
  </si>
  <si>
    <t xml:space="preserve">P-000332</t>
  </si>
  <si>
    <t xml:space="preserve">P-000333</t>
  </si>
  <si>
    <t xml:space="preserve">P-000334</t>
  </si>
  <si>
    <t xml:space="preserve">P-000335</t>
  </si>
  <si>
    <t xml:space="preserve">P-000336</t>
  </si>
  <si>
    <t xml:space="preserve">P-000337</t>
  </si>
  <si>
    <t xml:space="preserve">P-000338</t>
  </si>
  <si>
    <t xml:space="preserve">P-000339</t>
  </si>
  <si>
    <t xml:space="preserve">P-000340</t>
  </si>
  <si>
    <t xml:space="preserve">P-000341</t>
  </si>
  <si>
    <t xml:space="preserve">P-000342</t>
  </si>
  <si>
    <t xml:space="preserve">P-000343</t>
  </si>
  <si>
    <t xml:space="preserve">P-000344</t>
  </si>
  <si>
    <t xml:space="preserve">P-000345</t>
  </si>
  <si>
    <t xml:space="preserve">P-000346</t>
  </si>
  <si>
    <t xml:space="preserve">P-000347</t>
  </si>
  <si>
    <t xml:space="preserve">P-000348</t>
  </si>
  <si>
    <t xml:space="preserve">P-000349</t>
  </si>
  <si>
    <t xml:space="preserve">P-000350</t>
  </si>
  <si>
    <t xml:space="preserve">P-000351</t>
  </si>
  <si>
    <t xml:space="preserve">P-000352</t>
  </si>
  <si>
    <t xml:space="preserve">P-000353</t>
  </si>
  <si>
    <t xml:space="preserve">P-000354</t>
  </si>
  <si>
    <t xml:space="preserve">P-000355</t>
  </si>
  <si>
    <t xml:space="preserve">P-000356</t>
  </si>
  <si>
    <t xml:space="preserve">P-000357</t>
  </si>
  <si>
    <t xml:space="preserve">P-000358</t>
  </si>
  <si>
    <t xml:space="preserve">P-000359</t>
  </si>
  <si>
    <t xml:space="preserve">P-000360</t>
  </si>
  <si>
    <t xml:space="preserve">P-000361</t>
  </si>
  <si>
    <t xml:space="preserve">P-000362</t>
  </si>
  <si>
    <t xml:space="preserve">P-000363</t>
  </si>
  <si>
    <t xml:space="preserve">P-000364</t>
  </si>
  <si>
    <t xml:space="preserve">P-000365</t>
  </si>
  <si>
    <t xml:space="preserve">P-000366</t>
  </si>
  <si>
    <t xml:space="preserve">P-000367</t>
  </si>
  <si>
    <t xml:space="preserve">P-000368</t>
  </si>
  <si>
    <t xml:space="preserve">P-000369</t>
  </si>
  <si>
    <t xml:space="preserve">P-000370</t>
  </si>
  <si>
    <t xml:space="preserve">P-000371</t>
  </si>
  <si>
    <t xml:space="preserve">P-000372</t>
  </si>
  <si>
    <t xml:space="preserve">P-000373</t>
  </si>
  <si>
    <t xml:space="preserve">P-000374</t>
  </si>
  <si>
    <t xml:space="preserve">P-000375</t>
  </si>
  <si>
    <t xml:space="preserve">P-000376</t>
  </si>
  <si>
    <t xml:space="preserve">P-000377</t>
  </si>
  <si>
    <t xml:space="preserve">P-000378</t>
  </si>
  <si>
    <t xml:space="preserve">P-000379</t>
  </si>
  <si>
    <t xml:space="preserve">P-000380</t>
  </si>
  <si>
    <t xml:space="preserve">P-000381</t>
  </si>
  <si>
    <t xml:space="preserve">P-000382</t>
  </si>
  <si>
    <t xml:space="preserve">P-000383</t>
  </si>
  <si>
    <t xml:space="preserve">P-000384</t>
  </si>
  <si>
    <t xml:space="preserve">P-000385</t>
  </si>
  <si>
    <t xml:space="preserve">P-000386</t>
  </si>
  <si>
    <t xml:space="preserve">P-000387</t>
  </si>
  <si>
    <t xml:space="preserve">P-000388</t>
  </si>
  <si>
    <t xml:space="preserve">P-000389</t>
  </si>
  <si>
    <t xml:space="preserve">P-000390</t>
  </si>
  <si>
    <t xml:space="preserve">P-000391</t>
  </si>
  <si>
    <t xml:space="preserve">P-000392</t>
  </si>
  <si>
    <t xml:space="preserve">P-000393</t>
  </si>
  <si>
    <t xml:space="preserve">P-000394</t>
  </si>
  <si>
    <t xml:space="preserve">P-000395</t>
  </si>
  <si>
    <t xml:space="preserve">P-000396</t>
  </si>
  <si>
    <t xml:space="preserve">P-000397</t>
  </si>
  <si>
    <t xml:space="preserve">P-000398</t>
  </si>
  <si>
    <t xml:space="preserve">P-000399</t>
  </si>
  <si>
    <t xml:space="preserve">P-000400</t>
  </si>
  <si>
    <t xml:space="preserve">P-000401</t>
  </si>
  <si>
    <t xml:space="preserve">P-000402</t>
  </si>
  <si>
    <t xml:space="preserve">P-000403</t>
  </si>
  <si>
    <t xml:space="preserve">P-000404</t>
  </si>
  <si>
    <t xml:space="preserve">P-000405</t>
  </si>
  <si>
    <t xml:space="preserve">P-000406</t>
  </si>
  <si>
    <t xml:space="preserve">P-000407</t>
  </si>
  <si>
    <t xml:space="preserve">P-000408</t>
  </si>
  <si>
    <t xml:space="preserve">P-000409</t>
  </si>
  <si>
    <t xml:space="preserve">P-000410</t>
  </si>
  <si>
    <t xml:space="preserve">P-000411</t>
  </si>
  <si>
    <t xml:space="preserve">P-000412</t>
  </si>
  <si>
    <t xml:space="preserve">P-000413</t>
  </si>
  <si>
    <t xml:space="preserve">P-000414</t>
  </si>
  <si>
    <t xml:space="preserve">P-000415</t>
  </si>
  <si>
    <t xml:space="preserve">P-000416</t>
  </si>
  <si>
    <t xml:space="preserve">P-000417</t>
  </si>
  <si>
    <t xml:space="preserve">P-000418</t>
  </si>
  <si>
    <t xml:space="preserve">P-000419</t>
  </si>
  <si>
    <t xml:space="preserve">P-000420</t>
  </si>
  <si>
    <t xml:space="preserve">P-000421</t>
  </si>
  <si>
    <t xml:space="preserve">P-000422</t>
  </si>
  <si>
    <t xml:space="preserve">P-000423</t>
  </si>
  <si>
    <t xml:space="preserve">P-000424</t>
  </si>
  <si>
    <t xml:space="preserve">P-000425</t>
  </si>
  <si>
    <t xml:space="preserve">P-000426</t>
  </si>
  <si>
    <t xml:space="preserve">P-000427</t>
  </si>
  <si>
    <t xml:space="preserve">P-000428</t>
  </si>
  <si>
    <t xml:space="preserve">P-000429</t>
  </si>
  <si>
    <t xml:space="preserve">P-000430</t>
  </si>
  <si>
    <t xml:space="preserve">P-000431</t>
  </si>
  <si>
    <t xml:space="preserve">P-000432</t>
  </si>
  <si>
    <t xml:space="preserve">P-000433</t>
  </si>
  <si>
    <t xml:space="preserve">P-000434</t>
  </si>
  <si>
    <t xml:space="preserve">P-000435</t>
  </si>
  <si>
    <t xml:space="preserve">P-000436</t>
  </si>
  <si>
    <t xml:space="preserve">P-000437</t>
  </si>
  <si>
    <t xml:space="preserve">P-000438</t>
  </si>
  <si>
    <t xml:space="preserve">P-000439</t>
  </si>
  <si>
    <t xml:space="preserve">P-000440</t>
  </si>
  <si>
    <t xml:space="preserve">P-000441</t>
  </si>
  <si>
    <t xml:space="preserve">P-000442</t>
  </si>
  <si>
    <t xml:space="preserve">P-000443</t>
  </si>
  <si>
    <t xml:space="preserve">P-000444</t>
  </si>
  <si>
    <t xml:space="preserve">P-000445</t>
  </si>
  <si>
    <t xml:space="preserve">P-000446</t>
  </si>
  <si>
    <t xml:space="preserve">P-000447</t>
  </si>
  <si>
    <t xml:space="preserve">P-000448</t>
  </si>
  <si>
    <t xml:space="preserve">P-000449</t>
  </si>
  <si>
    <t xml:space="preserve">P-000450</t>
  </si>
  <si>
    <t xml:space="preserve">P-000451</t>
  </si>
  <si>
    <t xml:space="preserve">P-000452</t>
  </si>
  <si>
    <t xml:space="preserve">P-000453</t>
  </si>
  <si>
    <t xml:space="preserve">P-000454</t>
  </si>
  <si>
    <t xml:space="preserve">P-000455</t>
  </si>
  <si>
    <t xml:space="preserve">P-000456</t>
  </si>
  <si>
    <t xml:space="preserve">P-000457</t>
  </si>
  <si>
    <t xml:space="preserve">P-000458</t>
  </si>
  <si>
    <t xml:space="preserve">P-000459</t>
  </si>
  <si>
    <t xml:space="preserve">P-000460</t>
  </si>
  <si>
    <t xml:space="preserve">P-000461</t>
  </si>
  <si>
    <t xml:space="preserve">P-000462</t>
  </si>
  <si>
    <t xml:space="preserve">P-000463</t>
  </si>
  <si>
    <t xml:space="preserve">P-000464</t>
  </si>
  <si>
    <t xml:space="preserve">P-000465</t>
  </si>
  <si>
    <t xml:space="preserve">P-000466</t>
  </si>
  <si>
    <t xml:space="preserve">P-000467</t>
  </si>
  <si>
    <t xml:space="preserve">P-000468</t>
  </si>
  <si>
    <t xml:space="preserve">P-000469</t>
  </si>
  <si>
    <t xml:space="preserve">P-000470</t>
  </si>
  <si>
    <t xml:space="preserve">P-000471</t>
  </si>
  <si>
    <t xml:space="preserve">P-000472</t>
  </si>
  <si>
    <t xml:space="preserve">P-000473</t>
  </si>
  <si>
    <t xml:space="preserve">P-000474</t>
  </si>
  <si>
    <t xml:space="preserve">P-000475</t>
  </si>
  <si>
    <t xml:space="preserve">P-000476</t>
  </si>
  <si>
    <t xml:space="preserve">P-000477</t>
  </si>
  <si>
    <t xml:space="preserve">P-000478</t>
  </si>
  <si>
    <t xml:space="preserve">P-000479</t>
  </si>
  <si>
    <t xml:space="preserve">P-000480</t>
  </si>
  <si>
    <t xml:space="preserve">P-000481</t>
  </si>
  <si>
    <t xml:space="preserve">P-000482</t>
  </si>
  <si>
    <t xml:space="preserve">P-000483</t>
  </si>
  <si>
    <t xml:space="preserve">P-000484</t>
  </si>
  <si>
    <t xml:space="preserve">P-000485</t>
  </si>
  <si>
    <t xml:space="preserve">P-000486</t>
  </si>
  <si>
    <t xml:space="preserve">P-000487</t>
  </si>
  <si>
    <t xml:space="preserve">P-000488</t>
  </si>
  <si>
    <t xml:space="preserve">P-000489</t>
  </si>
  <si>
    <t xml:space="preserve">P-000490</t>
  </si>
  <si>
    <t xml:space="preserve">P-000491</t>
  </si>
  <si>
    <t xml:space="preserve">P-000492</t>
  </si>
  <si>
    <t xml:space="preserve">P-000493</t>
  </si>
  <si>
    <t xml:space="preserve">P-000494</t>
  </si>
  <si>
    <t xml:space="preserve">P-000495</t>
  </si>
  <si>
    <t xml:space="preserve">P-000496</t>
  </si>
  <si>
    <t xml:space="preserve">P-000497</t>
  </si>
  <si>
    <t xml:space="preserve">P-000498</t>
  </si>
  <si>
    <t xml:space="preserve">P-000499</t>
  </si>
  <si>
    <t xml:space="preserve">P-000500</t>
  </si>
  <si>
    <t xml:space="preserve">P-000501</t>
  </si>
  <si>
    <t xml:space="preserve">P-000502</t>
  </si>
  <si>
    <t xml:space="preserve">P-000503</t>
  </si>
  <si>
    <t xml:space="preserve">P-000504</t>
  </si>
  <si>
    <t xml:space="preserve">P-000505</t>
  </si>
  <si>
    <t xml:space="preserve">P-000506</t>
  </si>
  <si>
    <t xml:space="preserve">P-000507</t>
  </si>
  <si>
    <t xml:space="preserve">P-000508</t>
  </si>
  <si>
    <t xml:space="preserve">P-000509</t>
  </si>
  <si>
    <t xml:space="preserve">P-000510</t>
  </si>
  <si>
    <t xml:space="preserve">P-000511</t>
  </si>
  <si>
    <t xml:space="preserve">P-000512</t>
  </si>
  <si>
    <t xml:space="preserve">P-000513</t>
  </si>
  <si>
    <t xml:space="preserve">P-000514</t>
  </si>
  <si>
    <t xml:space="preserve">P-000515</t>
  </si>
  <si>
    <t xml:space="preserve">P-000516</t>
  </si>
  <si>
    <t xml:space="preserve">P-000517</t>
  </si>
  <si>
    <t xml:space="preserve">P-000518</t>
  </si>
  <si>
    <t xml:space="preserve">P-000519</t>
  </si>
  <si>
    <t xml:space="preserve">P-000520</t>
  </si>
  <si>
    <t xml:space="preserve">P-000521</t>
  </si>
  <si>
    <t xml:space="preserve">P-000522</t>
  </si>
  <si>
    <t xml:space="preserve">P-000523</t>
  </si>
  <si>
    <t xml:space="preserve">P-000524</t>
  </si>
  <si>
    <t xml:space="preserve">P-000525</t>
  </si>
  <si>
    <t xml:space="preserve">P-000526</t>
  </si>
  <si>
    <t xml:space="preserve">P-000527</t>
  </si>
  <si>
    <t xml:space="preserve">P-000528</t>
  </si>
  <si>
    <t xml:space="preserve">P-000529</t>
  </si>
  <si>
    <t xml:space="preserve">P-000530</t>
  </si>
  <si>
    <t xml:space="preserve">P-000531</t>
  </si>
  <si>
    <t xml:space="preserve">P-000532</t>
  </si>
  <si>
    <t xml:space="preserve">P-000533</t>
  </si>
  <si>
    <t xml:space="preserve">P-000534</t>
  </si>
  <si>
    <t xml:space="preserve">P-000535</t>
  </si>
  <si>
    <t xml:space="preserve">P-000536</t>
  </si>
  <si>
    <t xml:space="preserve">P-000537</t>
  </si>
  <si>
    <t xml:space="preserve">P-000538</t>
  </si>
  <si>
    <t xml:space="preserve">P-000539</t>
  </si>
  <si>
    <t xml:space="preserve">P-000540</t>
  </si>
  <si>
    <t xml:space="preserve">P-000541</t>
  </si>
  <si>
    <t xml:space="preserve">P-000542</t>
  </si>
  <si>
    <t xml:space="preserve">P-000543</t>
  </si>
  <si>
    <t xml:space="preserve">P-000544</t>
  </si>
  <si>
    <t xml:space="preserve">P-000545</t>
  </si>
  <si>
    <t xml:space="preserve">P-000546</t>
  </si>
  <si>
    <t xml:space="preserve">P-000547</t>
  </si>
  <si>
    <t xml:space="preserve">P-000548</t>
  </si>
  <si>
    <t xml:space="preserve">P-000549</t>
  </si>
  <si>
    <t xml:space="preserve">P-000550</t>
  </si>
  <si>
    <t xml:space="preserve">P-000551</t>
  </si>
  <si>
    <t xml:space="preserve">P-000552</t>
  </si>
  <si>
    <t xml:space="preserve">P-000553</t>
  </si>
  <si>
    <t xml:space="preserve">P-000554</t>
  </si>
  <si>
    <t xml:space="preserve">P-000555</t>
  </si>
  <si>
    <t xml:space="preserve">P-000556</t>
  </si>
  <si>
    <t xml:space="preserve">P-000557</t>
  </si>
  <si>
    <t xml:space="preserve">P-000558</t>
  </si>
  <si>
    <t xml:space="preserve">P-000559</t>
  </si>
  <si>
    <t xml:space="preserve">P-000560</t>
  </si>
  <si>
    <t xml:space="preserve">P-000561</t>
  </si>
  <si>
    <t xml:space="preserve">P-000562</t>
  </si>
  <si>
    <t xml:space="preserve">P-000563</t>
  </si>
  <si>
    <t xml:space="preserve">P-000564</t>
  </si>
  <si>
    <t xml:space="preserve">P-000565</t>
  </si>
  <si>
    <t xml:space="preserve">P-000566</t>
  </si>
  <si>
    <t xml:space="preserve">P-000567</t>
  </si>
  <si>
    <t xml:space="preserve">P-000568</t>
  </si>
  <si>
    <t xml:space="preserve">P-000569</t>
  </si>
  <si>
    <t xml:space="preserve">P-000570</t>
  </si>
  <si>
    <t xml:space="preserve">P-000571</t>
  </si>
  <si>
    <t xml:space="preserve">P-000572</t>
  </si>
  <si>
    <t xml:space="preserve">P-000573</t>
  </si>
  <si>
    <t xml:space="preserve">P-000574</t>
  </si>
  <si>
    <t xml:space="preserve">P-000575</t>
  </si>
  <si>
    <t xml:space="preserve">P-000576</t>
  </si>
  <si>
    <t xml:space="preserve">P-000577</t>
  </si>
  <si>
    <t xml:space="preserve">P-000578</t>
  </si>
  <si>
    <t xml:space="preserve">P-000579</t>
  </si>
  <si>
    <t xml:space="preserve">P-000580</t>
  </si>
  <si>
    <t xml:space="preserve">P-000581</t>
  </si>
  <si>
    <t xml:space="preserve">P-000582</t>
  </si>
  <si>
    <t xml:space="preserve">P-000583</t>
  </si>
  <si>
    <t xml:space="preserve">P-000584</t>
  </si>
  <si>
    <t xml:space="preserve">P-000585</t>
  </si>
  <si>
    <t xml:space="preserve">P-000586</t>
  </si>
  <si>
    <t xml:space="preserve">P-000587</t>
  </si>
  <si>
    <t xml:space="preserve">P-000588</t>
  </si>
  <si>
    <t xml:space="preserve">P-000589</t>
  </si>
  <si>
    <t xml:space="preserve">P-000590</t>
  </si>
  <si>
    <t xml:space="preserve">P-000591</t>
  </si>
  <si>
    <t xml:space="preserve">P-000592</t>
  </si>
  <si>
    <t xml:space="preserve">P-000593</t>
  </si>
  <si>
    <t xml:space="preserve">P-000594</t>
  </si>
  <si>
    <t xml:space="preserve">P-000595</t>
  </si>
  <si>
    <t xml:space="preserve">P-000596</t>
  </si>
  <si>
    <t xml:space="preserve">P-000597</t>
  </si>
  <si>
    <t xml:space="preserve">P-000598</t>
  </si>
  <si>
    <t xml:space="preserve">P-000599</t>
  </si>
  <si>
    <t xml:space="preserve">P-000600</t>
  </si>
  <si>
    <t xml:space="preserve">P-000601</t>
  </si>
  <si>
    <t xml:space="preserve">P-000602</t>
  </si>
  <si>
    <t xml:space="preserve">P-000603</t>
  </si>
  <si>
    <t xml:space="preserve">P-000604</t>
  </si>
  <si>
    <t xml:space="preserve">P-000605</t>
  </si>
  <si>
    <t xml:space="preserve">P-000606</t>
  </si>
  <si>
    <t xml:space="preserve">P-000607</t>
  </si>
  <si>
    <t xml:space="preserve">P-000608</t>
  </si>
  <si>
    <t xml:space="preserve">P-000609</t>
  </si>
  <si>
    <t xml:space="preserve">P-000610</t>
  </si>
  <si>
    <t xml:space="preserve">P-000611</t>
  </si>
  <si>
    <t xml:space="preserve">P-000612</t>
  </si>
  <si>
    <t xml:space="preserve">P-000613</t>
  </si>
  <si>
    <t xml:space="preserve">P-000614</t>
  </si>
  <si>
    <t xml:space="preserve">P-000615</t>
  </si>
  <si>
    <t xml:space="preserve">P-000616</t>
  </si>
  <si>
    <t xml:space="preserve">P-000617</t>
  </si>
  <si>
    <t xml:space="preserve">P-000618</t>
  </si>
  <si>
    <t xml:space="preserve">P-000619</t>
  </si>
  <si>
    <t xml:space="preserve">P-000620</t>
  </si>
  <si>
    <t xml:space="preserve">P-000621</t>
  </si>
  <si>
    <t xml:space="preserve">P-000622</t>
  </si>
  <si>
    <t xml:space="preserve">P-000623</t>
  </si>
  <si>
    <t xml:space="preserve">P-000624</t>
  </si>
  <si>
    <t xml:space="preserve">P-000625</t>
  </si>
  <si>
    <t xml:space="preserve">P-000626</t>
  </si>
  <si>
    <t xml:space="preserve">P-000627</t>
  </si>
  <si>
    <t xml:space="preserve">P-000628</t>
  </si>
  <si>
    <t xml:space="preserve">P-000629</t>
  </si>
  <si>
    <t xml:space="preserve">P-000630</t>
  </si>
  <si>
    <t xml:space="preserve">P-000631</t>
  </si>
  <si>
    <t xml:space="preserve">P-000632</t>
  </si>
  <si>
    <t xml:space="preserve">P-000633</t>
  </si>
  <si>
    <t xml:space="preserve">P-000634</t>
  </si>
  <si>
    <t xml:space="preserve">P-000635</t>
  </si>
  <si>
    <t xml:space="preserve">P-000636</t>
  </si>
  <si>
    <t xml:space="preserve">P-000637</t>
  </si>
  <si>
    <t xml:space="preserve">P-000638</t>
  </si>
  <si>
    <t xml:space="preserve">P-000639</t>
  </si>
  <si>
    <t xml:space="preserve">P-000640</t>
  </si>
  <si>
    <t xml:space="preserve">P-000641</t>
  </si>
  <si>
    <t xml:space="preserve">P-000642</t>
  </si>
  <si>
    <t xml:space="preserve">P-000643</t>
  </si>
  <si>
    <t xml:space="preserve">P-000644</t>
  </si>
  <si>
    <t xml:space="preserve">P-000645</t>
  </si>
  <si>
    <t xml:space="preserve">P-000646</t>
  </si>
  <si>
    <t xml:space="preserve">P-000647</t>
  </si>
  <si>
    <t xml:space="preserve">P-000648</t>
  </si>
  <si>
    <t xml:space="preserve">P-000649</t>
  </si>
  <si>
    <t xml:space="preserve">P-000650</t>
  </si>
  <si>
    <t xml:space="preserve">P-000651</t>
  </si>
  <si>
    <t xml:space="preserve">P-000652</t>
  </si>
  <si>
    <t xml:space="preserve">P-000653</t>
  </si>
  <si>
    <t xml:space="preserve">P-000654</t>
  </si>
  <si>
    <t xml:space="preserve">P-000655</t>
  </si>
  <si>
    <t xml:space="preserve">P-000656</t>
  </si>
  <si>
    <t xml:space="preserve">P-000657</t>
  </si>
  <si>
    <t xml:space="preserve">P-000658</t>
  </si>
  <si>
    <t xml:space="preserve">P-000659</t>
  </si>
  <si>
    <t xml:space="preserve">P-000660</t>
  </si>
  <si>
    <t xml:space="preserve">P-000661</t>
  </si>
  <si>
    <t xml:space="preserve">P-000662</t>
  </si>
  <si>
    <t xml:space="preserve">P-000663</t>
  </si>
  <si>
    <t xml:space="preserve">P-000664</t>
  </si>
  <si>
    <t xml:space="preserve">P-000665</t>
  </si>
  <si>
    <t xml:space="preserve">P-000666</t>
  </si>
  <si>
    <t xml:space="preserve">P-000667</t>
  </si>
  <si>
    <t xml:space="preserve">P-000668</t>
  </si>
  <si>
    <t xml:space="preserve">P-000669</t>
  </si>
  <si>
    <t xml:space="preserve">P-000670</t>
  </si>
  <si>
    <t xml:space="preserve">P-000671</t>
  </si>
  <si>
    <t xml:space="preserve">P-000672</t>
  </si>
  <si>
    <t xml:space="preserve">P-000673</t>
  </si>
  <si>
    <t xml:space="preserve">P-000674</t>
  </si>
  <si>
    <t xml:space="preserve">P-000675</t>
  </si>
  <si>
    <t xml:space="preserve">P-000676</t>
  </si>
  <si>
    <t xml:space="preserve">P-000677</t>
  </si>
  <si>
    <t xml:space="preserve">P-000678</t>
  </si>
  <si>
    <t xml:space="preserve">P-000679</t>
  </si>
  <si>
    <t xml:space="preserve">P-000680</t>
  </si>
  <si>
    <t xml:space="preserve">P-000681</t>
  </si>
  <si>
    <t xml:space="preserve">P-000682</t>
  </si>
  <si>
    <t xml:space="preserve">P-000683</t>
  </si>
  <si>
    <t xml:space="preserve">P-000684</t>
  </si>
  <si>
    <t xml:space="preserve">P-000685</t>
  </si>
  <si>
    <t xml:space="preserve">P-000686</t>
  </si>
  <si>
    <t xml:space="preserve">P-000687</t>
  </si>
  <si>
    <t xml:space="preserve">P-000688</t>
  </si>
  <si>
    <t xml:space="preserve">P-000689</t>
  </si>
  <si>
    <t xml:space="preserve">P-000690</t>
  </si>
  <si>
    <t xml:space="preserve">P-000691</t>
  </si>
  <si>
    <t xml:space="preserve">P-000692</t>
  </si>
  <si>
    <t xml:space="preserve">P-000693</t>
  </si>
  <si>
    <t xml:space="preserve">P-000694</t>
  </si>
  <si>
    <t xml:space="preserve">P-000695</t>
  </si>
  <si>
    <t xml:space="preserve">P-000696</t>
  </si>
  <si>
    <t xml:space="preserve">P-000697</t>
  </si>
  <si>
    <t xml:space="preserve">P-000698</t>
  </si>
  <si>
    <t xml:space="preserve">P-000699</t>
  </si>
  <si>
    <t xml:space="preserve">P-000700</t>
  </si>
  <si>
    <t xml:space="preserve">P-000701</t>
  </si>
  <si>
    <t xml:space="preserve">P-000702</t>
  </si>
  <si>
    <t xml:space="preserve">P-000703</t>
  </si>
  <si>
    <t xml:space="preserve">P-000704</t>
  </si>
  <si>
    <t xml:space="preserve">P-000705</t>
  </si>
  <si>
    <t xml:space="preserve">P-000706</t>
  </si>
  <si>
    <t xml:space="preserve">P-000707</t>
  </si>
  <si>
    <t xml:space="preserve">P-000708</t>
  </si>
  <si>
    <t xml:space="preserve">P-000709</t>
  </si>
  <si>
    <t xml:space="preserve">P-000710</t>
  </si>
  <si>
    <t xml:space="preserve">P-000711</t>
  </si>
  <si>
    <t xml:space="preserve">P-000712</t>
  </si>
  <si>
    <t xml:space="preserve">P-000713</t>
  </si>
  <si>
    <t xml:space="preserve">P-000714</t>
  </si>
  <si>
    <t xml:space="preserve">P-000715</t>
  </si>
  <si>
    <t xml:space="preserve">P-000716</t>
  </si>
  <si>
    <t xml:space="preserve">P-000717</t>
  </si>
  <si>
    <t xml:space="preserve">P-000718</t>
  </si>
  <si>
    <t xml:space="preserve">P-000719</t>
  </si>
  <si>
    <t xml:space="preserve">P-000720</t>
  </si>
  <si>
    <t xml:space="preserve">P-000721</t>
  </si>
  <si>
    <t xml:space="preserve">P-000722</t>
  </si>
  <si>
    <t xml:space="preserve">P-000723</t>
  </si>
  <si>
    <t xml:space="preserve">P-000724</t>
  </si>
  <si>
    <t xml:space="preserve">P-000725</t>
  </si>
  <si>
    <t xml:space="preserve">P-000726</t>
  </si>
  <si>
    <t xml:space="preserve">P-000727</t>
  </si>
  <si>
    <t xml:space="preserve">P-000728</t>
  </si>
  <si>
    <t xml:space="preserve">P-000729</t>
  </si>
  <si>
    <t xml:space="preserve">P-000730</t>
  </si>
  <si>
    <t xml:space="preserve">P-000731</t>
  </si>
  <si>
    <t xml:space="preserve">P-000732</t>
  </si>
  <si>
    <t xml:space="preserve">P-000733</t>
  </si>
  <si>
    <t xml:space="preserve">P-000734</t>
  </si>
  <si>
    <t xml:space="preserve">P-000735</t>
  </si>
  <si>
    <t xml:space="preserve">P-000736</t>
  </si>
  <si>
    <t xml:space="preserve">P-000737</t>
  </si>
  <si>
    <t xml:space="preserve">P-000738</t>
  </si>
  <si>
    <t xml:space="preserve">P-000739</t>
  </si>
  <si>
    <t xml:space="preserve">P-000740</t>
  </si>
  <si>
    <t xml:space="preserve">P-000741</t>
  </si>
  <si>
    <t xml:space="preserve">P-000742</t>
  </si>
  <si>
    <t xml:space="preserve">P-000743</t>
  </si>
  <si>
    <t xml:space="preserve">P-000744</t>
  </si>
  <si>
    <t xml:space="preserve">P-000745</t>
  </si>
  <si>
    <t xml:space="preserve">P-000746</t>
  </si>
  <si>
    <t xml:space="preserve">P-000747</t>
  </si>
  <si>
    <t xml:space="preserve">P-000748</t>
  </si>
  <si>
    <t xml:space="preserve">P-000749</t>
  </si>
  <si>
    <t xml:space="preserve">P-000750</t>
  </si>
  <si>
    <t xml:space="preserve">P-000751</t>
  </si>
  <si>
    <t xml:space="preserve">P-000752</t>
  </si>
  <si>
    <t xml:space="preserve">P-000753</t>
  </si>
  <si>
    <t xml:space="preserve">P-000754</t>
  </si>
  <si>
    <t xml:space="preserve">P-000755</t>
  </si>
  <si>
    <t xml:space="preserve">P-000756</t>
  </si>
  <si>
    <t xml:space="preserve">P-000757</t>
  </si>
  <si>
    <t xml:space="preserve">P-000758</t>
  </si>
  <si>
    <t xml:space="preserve">P-000759</t>
  </si>
  <si>
    <t xml:space="preserve">P-000760</t>
  </si>
  <si>
    <t xml:space="preserve">P-000761</t>
  </si>
  <si>
    <t xml:space="preserve">P-000762</t>
  </si>
  <si>
    <t xml:space="preserve">P-000763</t>
  </si>
  <si>
    <t xml:space="preserve">P-000764</t>
  </si>
  <si>
    <t xml:space="preserve">P-000765</t>
  </si>
  <si>
    <t xml:space="preserve">P-000766</t>
  </si>
  <si>
    <t xml:space="preserve">P-000767</t>
  </si>
  <si>
    <t xml:space="preserve">P-000768</t>
  </si>
  <si>
    <t xml:space="preserve">P-000769</t>
  </si>
  <si>
    <t xml:space="preserve">P-000770</t>
  </si>
  <si>
    <t xml:space="preserve">P-000771</t>
  </si>
  <si>
    <t xml:space="preserve">P-000772</t>
  </si>
  <si>
    <t xml:space="preserve">P-000773</t>
  </si>
  <si>
    <t xml:space="preserve">P-000774</t>
  </si>
  <si>
    <t xml:space="preserve">P-000775</t>
  </si>
  <si>
    <t xml:space="preserve">P-000776</t>
  </si>
  <si>
    <t xml:space="preserve">P-000777</t>
  </si>
  <si>
    <t xml:space="preserve">P-000778</t>
  </si>
  <si>
    <t xml:space="preserve">P-000779</t>
  </si>
  <si>
    <t xml:space="preserve">P-000780</t>
  </si>
  <si>
    <t xml:space="preserve">P-000781</t>
  </si>
  <si>
    <t xml:space="preserve">P-000782</t>
  </si>
  <si>
    <t xml:space="preserve">P-000783</t>
  </si>
  <si>
    <t xml:space="preserve">P-000784</t>
  </si>
  <si>
    <t xml:space="preserve">P-000785</t>
  </si>
  <si>
    <t xml:space="preserve">P-000786</t>
  </si>
  <si>
    <t xml:space="preserve">P-000787</t>
  </si>
  <si>
    <t xml:space="preserve">P-000788</t>
  </si>
  <si>
    <t xml:space="preserve">P-000789</t>
  </si>
  <si>
    <t xml:space="preserve">P-000790</t>
  </si>
  <si>
    <t xml:space="preserve">P-000791</t>
  </si>
  <si>
    <t xml:space="preserve">P-000792</t>
  </si>
  <si>
    <t xml:space="preserve">P-000793</t>
  </si>
  <si>
    <t xml:space="preserve">P-000794</t>
  </si>
  <si>
    <t xml:space="preserve">P-000795</t>
  </si>
  <si>
    <t xml:space="preserve">P-000796</t>
  </si>
  <si>
    <t xml:space="preserve">P-000797</t>
  </si>
  <si>
    <t xml:space="preserve">P-000798</t>
  </si>
  <si>
    <t xml:space="preserve">P-000799</t>
  </si>
  <si>
    <t xml:space="preserve">P-000800</t>
  </si>
  <si>
    <t xml:space="preserve">P-000801</t>
  </si>
  <si>
    <t xml:space="preserve">P-000802</t>
  </si>
  <si>
    <t xml:space="preserve">P-000803</t>
  </si>
  <si>
    <t xml:space="preserve">P-000804</t>
  </si>
  <si>
    <t xml:space="preserve">P-000805</t>
  </si>
  <si>
    <t xml:space="preserve">P-000806</t>
  </si>
  <si>
    <t xml:space="preserve">P-000807</t>
  </si>
  <si>
    <t xml:space="preserve">P-000808</t>
  </si>
  <si>
    <t xml:space="preserve">P-000809</t>
  </si>
  <si>
    <t xml:space="preserve">P-000810</t>
  </si>
  <si>
    <t xml:space="preserve">P-000811</t>
  </si>
  <si>
    <t xml:space="preserve">P-000812</t>
  </si>
  <si>
    <t xml:space="preserve">P-000813</t>
  </si>
  <si>
    <t xml:space="preserve">P-000814</t>
  </si>
  <si>
    <t xml:space="preserve">P-000815</t>
  </si>
  <si>
    <t xml:space="preserve">P-000816</t>
  </si>
  <si>
    <t xml:space="preserve">P-000817</t>
  </si>
  <si>
    <t xml:space="preserve">P-000818</t>
  </si>
  <si>
    <t xml:space="preserve">P-000819</t>
  </si>
  <si>
    <t xml:space="preserve">P-000820</t>
  </si>
  <si>
    <t xml:space="preserve">P-000821</t>
  </si>
  <si>
    <t xml:space="preserve">P-000822</t>
  </si>
  <si>
    <t xml:space="preserve">P-000823</t>
  </si>
  <si>
    <t xml:space="preserve">P-000824</t>
  </si>
  <si>
    <t xml:space="preserve">P-000825</t>
  </si>
  <si>
    <t xml:space="preserve">P-000826</t>
  </si>
  <si>
    <t xml:space="preserve">P-000827</t>
  </si>
  <si>
    <t xml:space="preserve">P-000828</t>
  </si>
  <si>
    <t xml:space="preserve">P-000829</t>
  </si>
  <si>
    <t xml:space="preserve">P-000830</t>
  </si>
  <si>
    <t xml:space="preserve">P-000831</t>
  </si>
  <si>
    <t xml:space="preserve">P-000832</t>
  </si>
  <si>
    <t xml:space="preserve">P-000833</t>
  </si>
  <si>
    <t xml:space="preserve">P-000834</t>
  </si>
  <si>
    <t xml:space="preserve">P-000835</t>
  </si>
  <si>
    <t xml:space="preserve">P-000836</t>
  </si>
  <si>
    <t xml:space="preserve">P-000837</t>
  </si>
  <si>
    <t xml:space="preserve">P-000838</t>
  </si>
  <si>
    <t xml:space="preserve">P-000839</t>
  </si>
  <si>
    <t xml:space="preserve">P-000840</t>
  </si>
  <si>
    <t xml:space="preserve">P-000841</t>
  </si>
  <si>
    <t xml:space="preserve">P-000842</t>
  </si>
  <si>
    <t xml:space="preserve">P-000843</t>
  </si>
  <si>
    <t xml:space="preserve">P-000844</t>
  </si>
  <si>
    <t xml:space="preserve">P-000845</t>
  </si>
  <si>
    <t xml:space="preserve">P-000846</t>
  </si>
  <si>
    <t xml:space="preserve">P-000847</t>
  </si>
  <si>
    <t xml:space="preserve">P-000848</t>
  </si>
  <si>
    <t xml:space="preserve">P-000849</t>
  </si>
  <si>
    <t xml:space="preserve">P-000850</t>
  </si>
  <si>
    <t xml:space="preserve">P-000851</t>
  </si>
  <si>
    <t xml:space="preserve">P-000852</t>
  </si>
  <si>
    <t xml:space="preserve">P-000853</t>
  </si>
  <si>
    <t xml:space="preserve">P-000854</t>
  </si>
  <si>
    <t xml:space="preserve">P-000855</t>
  </si>
  <si>
    <t xml:space="preserve">P-000856</t>
  </si>
  <si>
    <t xml:space="preserve">P-000857</t>
  </si>
  <si>
    <t xml:space="preserve">P-000858</t>
  </si>
  <si>
    <t xml:space="preserve">P-000859</t>
  </si>
  <si>
    <t xml:space="preserve">P-000860</t>
  </si>
  <si>
    <t xml:space="preserve">P-000861</t>
  </si>
  <si>
    <t xml:space="preserve">P-000862</t>
  </si>
  <si>
    <t xml:space="preserve">P-000863</t>
  </si>
  <si>
    <t xml:space="preserve">P-000864</t>
  </si>
  <si>
    <t xml:space="preserve">P-000865</t>
  </si>
  <si>
    <t xml:space="preserve">P-000866</t>
  </si>
  <si>
    <t xml:space="preserve">P-000867</t>
  </si>
  <si>
    <t xml:space="preserve">P-000868</t>
  </si>
  <si>
    <t xml:space="preserve">P-000869</t>
  </si>
  <si>
    <t xml:space="preserve">P-000870</t>
  </si>
  <si>
    <t xml:space="preserve">P-000871</t>
  </si>
  <si>
    <t xml:space="preserve">P-000872</t>
  </si>
  <si>
    <t xml:space="preserve">P-000873</t>
  </si>
  <si>
    <t xml:space="preserve">P-000874</t>
  </si>
  <si>
    <t xml:space="preserve">P-000875</t>
  </si>
  <si>
    <t xml:space="preserve">P-000876</t>
  </si>
  <si>
    <t xml:space="preserve">P-000877</t>
  </si>
  <si>
    <t xml:space="preserve">P-000878</t>
  </si>
  <si>
    <t xml:space="preserve">P-000879</t>
  </si>
  <si>
    <t xml:space="preserve">P-000880</t>
  </si>
  <si>
    <t xml:space="preserve">P-000881</t>
  </si>
  <si>
    <t xml:space="preserve">P-000882</t>
  </si>
  <si>
    <t xml:space="preserve">P-000883</t>
  </si>
  <si>
    <t xml:space="preserve">P-000884</t>
  </si>
  <si>
    <t xml:space="preserve">P-000885</t>
  </si>
  <si>
    <t xml:space="preserve">P-000886</t>
  </si>
  <si>
    <t xml:space="preserve">P-000887</t>
  </si>
  <si>
    <t xml:space="preserve">P-000888</t>
  </si>
  <si>
    <t xml:space="preserve">P-000889</t>
  </si>
  <si>
    <t xml:space="preserve">P-000890</t>
  </si>
  <si>
    <t xml:space="preserve">P-000891</t>
  </si>
  <si>
    <t xml:space="preserve">P-000892</t>
  </si>
  <si>
    <t xml:space="preserve">P-000893</t>
  </si>
  <si>
    <t xml:space="preserve">P-000894</t>
  </si>
  <si>
    <t xml:space="preserve">P-000895</t>
  </si>
  <si>
    <t xml:space="preserve">P-000896</t>
  </si>
  <si>
    <t xml:space="preserve">P-000897</t>
  </si>
  <si>
    <t xml:space="preserve">P-000898</t>
  </si>
  <si>
    <t xml:space="preserve">P-000899</t>
  </si>
  <si>
    <t xml:space="preserve">P-000900</t>
  </si>
  <si>
    <t xml:space="preserve">P-000901</t>
  </si>
  <si>
    <t xml:space="preserve">P-000902</t>
  </si>
  <si>
    <t xml:space="preserve">P-000903</t>
  </si>
  <si>
    <t xml:space="preserve">P-000904</t>
  </si>
  <si>
    <t xml:space="preserve">P-000905</t>
  </si>
  <si>
    <t xml:space="preserve">P-000906</t>
  </si>
  <si>
    <t xml:space="preserve">P-000907</t>
  </si>
  <si>
    <t xml:space="preserve">P-000908</t>
  </si>
  <si>
    <t xml:space="preserve">P-000909</t>
  </si>
  <si>
    <t xml:space="preserve">P-000910</t>
  </si>
  <si>
    <t xml:space="preserve">P-000911</t>
  </si>
  <si>
    <t xml:space="preserve">P-000912</t>
  </si>
  <si>
    <t xml:space="preserve">P-000913</t>
  </si>
  <si>
    <t xml:space="preserve">P-000914</t>
  </si>
  <si>
    <t xml:space="preserve">P-000915</t>
  </si>
  <si>
    <t xml:space="preserve">P-000916</t>
  </si>
  <si>
    <t xml:space="preserve">P-000917</t>
  </si>
  <si>
    <t xml:space="preserve">P-000918</t>
  </si>
  <si>
    <t xml:space="preserve">P-000919</t>
  </si>
  <si>
    <t xml:space="preserve">P-000920</t>
  </si>
  <si>
    <t xml:space="preserve">P-000921</t>
  </si>
  <si>
    <t xml:space="preserve">P-000922</t>
  </si>
  <si>
    <t xml:space="preserve">P-000923</t>
  </si>
  <si>
    <t xml:space="preserve">P-000924</t>
  </si>
  <si>
    <t xml:space="preserve">P-000925</t>
  </si>
  <si>
    <t xml:space="preserve">P-000926</t>
  </si>
  <si>
    <t xml:space="preserve">P-000927</t>
  </si>
  <si>
    <t xml:space="preserve">P-000928</t>
  </si>
  <si>
    <t xml:space="preserve">P-000929</t>
  </si>
  <si>
    <t xml:space="preserve">P-000930</t>
  </si>
  <si>
    <t xml:space="preserve">P-000931</t>
  </si>
  <si>
    <t xml:space="preserve">P-000932</t>
  </si>
  <si>
    <t xml:space="preserve">P-000933</t>
  </si>
  <si>
    <t xml:space="preserve">P-000934</t>
  </si>
  <si>
    <t xml:space="preserve">P-000935</t>
  </si>
  <si>
    <t xml:space="preserve">P-000936</t>
  </si>
  <si>
    <t xml:space="preserve">P-000937</t>
  </si>
  <si>
    <t xml:space="preserve">P-000938</t>
  </si>
  <si>
    <t xml:space="preserve">P-000939</t>
  </si>
  <si>
    <t xml:space="preserve">P-000940</t>
  </si>
  <si>
    <t xml:space="preserve">P-000941</t>
  </si>
  <si>
    <t xml:space="preserve">P-000942</t>
  </si>
  <si>
    <t xml:space="preserve">P-000943</t>
  </si>
  <si>
    <t xml:space="preserve">P-000944</t>
  </si>
  <si>
    <t xml:space="preserve">P-000945</t>
  </si>
  <si>
    <t xml:space="preserve">P-000946</t>
  </si>
  <si>
    <t xml:space="preserve">P-000947</t>
  </si>
  <si>
    <t xml:space="preserve">P-000948</t>
  </si>
  <si>
    <t xml:space="preserve">P-000949</t>
  </si>
  <si>
    <t xml:space="preserve">P-000950</t>
  </si>
  <si>
    <t xml:space="preserve">P-000951</t>
  </si>
  <si>
    <t xml:space="preserve">P-000952</t>
  </si>
  <si>
    <t xml:space="preserve">P-000953</t>
  </si>
  <si>
    <t xml:space="preserve">P-000954</t>
  </si>
  <si>
    <t xml:space="preserve">P-000955</t>
  </si>
  <si>
    <t xml:space="preserve">P-000956</t>
  </si>
  <si>
    <t xml:space="preserve">P-000957</t>
  </si>
  <si>
    <t xml:space="preserve">P-000958</t>
  </si>
  <si>
    <t xml:space="preserve">P-000959</t>
  </si>
  <si>
    <t xml:space="preserve">P-000960</t>
  </si>
  <si>
    <t xml:space="preserve">P-000961</t>
  </si>
  <si>
    <t xml:space="preserve">P-000962</t>
  </si>
  <si>
    <t xml:space="preserve">P-000963</t>
  </si>
  <si>
    <t xml:space="preserve">P-000964</t>
  </si>
  <si>
    <t xml:space="preserve">P-000965</t>
  </si>
  <si>
    <t xml:space="preserve">P-000966</t>
  </si>
  <si>
    <t xml:space="preserve">P-000967</t>
  </si>
  <si>
    <t xml:space="preserve">P-000968</t>
  </si>
  <si>
    <t xml:space="preserve">P-000969</t>
  </si>
  <si>
    <t xml:space="preserve">P-000970</t>
  </si>
  <si>
    <t xml:space="preserve">P-000971</t>
  </si>
  <si>
    <t xml:space="preserve">P-000972</t>
  </si>
  <si>
    <t xml:space="preserve">P-000973</t>
  </si>
  <si>
    <t xml:space="preserve">P-000974</t>
  </si>
  <si>
    <t xml:space="preserve">P-000975</t>
  </si>
  <si>
    <t xml:space="preserve">P-000976</t>
  </si>
  <si>
    <t xml:space="preserve">P-000977</t>
  </si>
  <si>
    <t xml:space="preserve">P-000978</t>
  </si>
  <si>
    <t xml:space="preserve">P-000979</t>
  </si>
  <si>
    <t xml:space="preserve">P-000980</t>
  </si>
  <si>
    <t xml:space="preserve">P-000981</t>
  </si>
  <si>
    <t xml:space="preserve">P-000982</t>
  </si>
  <si>
    <t xml:space="preserve">P-000983</t>
  </si>
  <si>
    <t xml:space="preserve">P-000984</t>
  </si>
  <si>
    <t xml:space="preserve">P-000985</t>
  </si>
  <si>
    <t xml:space="preserve">P-000986</t>
  </si>
  <si>
    <t xml:space="preserve">P-000987</t>
  </si>
  <si>
    <t xml:space="preserve">P-000988</t>
  </si>
  <si>
    <t xml:space="preserve">P-000989</t>
  </si>
  <si>
    <t xml:space="preserve">P-000990</t>
  </si>
  <si>
    <t xml:space="preserve">P-000991</t>
  </si>
  <si>
    <t xml:space="preserve">P-000992</t>
  </si>
  <si>
    <t xml:space="preserve">P-000993</t>
  </si>
  <si>
    <t xml:space="preserve">P-000994</t>
  </si>
  <si>
    <t xml:space="preserve">P-000995</t>
  </si>
  <si>
    <t xml:space="preserve">P-000996</t>
  </si>
  <si>
    <t xml:space="preserve">P-000997</t>
  </si>
  <si>
    <t xml:space="preserve">P-000998</t>
  </si>
  <si>
    <t xml:space="preserve">P-000999</t>
  </si>
  <si>
    <t xml:space="preserve">P-001000</t>
  </si>
  <si>
    <t xml:space="preserve">P-001001</t>
  </si>
  <si>
    <t xml:space="preserve">P-001002</t>
  </si>
  <si>
    <t xml:space="preserve">P-001003</t>
  </si>
  <si>
    <t xml:space="preserve">P-001004</t>
  </si>
  <si>
    <t xml:space="preserve">P-001005</t>
  </si>
  <si>
    <t xml:space="preserve">P-001006</t>
  </si>
  <si>
    <t xml:space="preserve">P-001007</t>
  </si>
  <si>
    <t xml:space="preserve">P-001008</t>
  </si>
  <si>
    <t xml:space="preserve">P-001009</t>
  </si>
  <si>
    <t xml:space="preserve">P-001010</t>
  </si>
  <si>
    <t xml:space="preserve">P-001011</t>
  </si>
  <si>
    <t xml:space="preserve">P-001012</t>
  </si>
  <si>
    <t xml:space="preserve">P-001013</t>
  </si>
  <si>
    <t xml:space="preserve">P-001014</t>
  </si>
  <si>
    <t xml:space="preserve">P-001015</t>
  </si>
  <si>
    <t xml:space="preserve">P-001016</t>
  </si>
  <si>
    <t xml:space="preserve">P-001017</t>
  </si>
  <si>
    <t xml:space="preserve">P-001018</t>
  </si>
  <si>
    <t xml:space="preserve">P-001019</t>
  </si>
  <si>
    <t xml:space="preserve">P-001020</t>
  </si>
  <si>
    <t xml:space="preserve">P-001021</t>
  </si>
  <si>
    <t xml:space="preserve">P-001022</t>
  </si>
  <si>
    <t xml:space="preserve">P-001023</t>
  </si>
  <si>
    <t xml:space="preserve">P-001024</t>
  </si>
  <si>
    <t xml:space="preserve">P-001025</t>
  </si>
  <si>
    <t xml:space="preserve">P-001026</t>
  </si>
  <si>
    <t xml:space="preserve">P-001027</t>
  </si>
  <si>
    <t xml:space="preserve">P-001028</t>
  </si>
  <si>
    <t xml:space="preserve">P-001029</t>
  </si>
  <si>
    <t xml:space="preserve">P-001030</t>
  </si>
  <si>
    <t xml:space="preserve">P-001031</t>
  </si>
  <si>
    <t xml:space="preserve">P-001032</t>
  </si>
  <si>
    <t xml:space="preserve">P-001033</t>
  </si>
  <si>
    <t xml:space="preserve">P-001034</t>
  </si>
  <si>
    <t xml:space="preserve">P-001035</t>
  </si>
  <si>
    <t xml:space="preserve">P-001036</t>
  </si>
  <si>
    <t xml:space="preserve">P-001037</t>
  </si>
  <si>
    <t xml:space="preserve">P-001038</t>
  </si>
  <si>
    <t xml:space="preserve">P-001039</t>
  </si>
  <si>
    <t xml:space="preserve">P-001040</t>
  </si>
  <si>
    <t xml:space="preserve">P-001041</t>
  </si>
  <si>
    <t xml:space="preserve">P-001042</t>
  </si>
  <si>
    <t xml:space="preserve">P-001043</t>
  </si>
  <si>
    <t xml:space="preserve">P-001044</t>
  </si>
  <si>
    <t xml:space="preserve">P-001045</t>
  </si>
  <si>
    <t xml:space="preserve">P-001046</t>
  </si>
  <si>
    <t xml:space="preserve">P-001047</t>
  </si>
  <si>
    <t xml:space="preserve">P-001048</t>
  </si>
  <si>
    <t xml:space="preserve">P-001049</t>
  </si>
  <si>
    <t xml:space="preserve">P-001050</t>
  </si>
  <si>
    <t xml:space="preserve">P-001051</t>
  </si>
  <si>
    <t xml:space="preserve">P-001052</t>
  </si>
  <si>
    <t xml:space="preserve">P-001053</t>
  </si>
  <si>
    <t xml:space="preserve">P-001054</t>
  </si>
  <si>
    <t xml:space="preserve">P-001055</t>
  </si>
  <si>
    <t xml:space="preserve">P-001056</t>
  </si>
  <si>
    <t xml:space="preserve">P-001057</t>
  </si>
  <si>
    <t xml:space="preserve">P-001058</t>
  </si>
  <si>
    <t xml:space="preserve">P-001059</t>
  </si>
  <si>
    <t xml:space="preserve">P-001060</t>
  </si>
  <si>
    <t xml:space="preserve">P-001061</t>
  </si>
  <si>
    <t xml:space="preserve">P-001062</t>
  </si>
  <si>
    <t xml:space="preserve">P-001063</t>
  </si>
  <si>
    <t xml:space="preserve">P-001064</t>
  </si>
  <si>
    <t xml:space="preserve">P-001065</t>
  </si>
  <si>
    <t xml:space="preserve">P-001066</t>
  </si>
  <si>
    <t xml:space="preserve">P-001067</t>
  </si>
  <si>
    <t xml:space="preserve">P-001068</t>
  </si>
  <si>
    <t xml:space="preserve">P-001069</t>
  </si>
  <si>
    <t xml:space="preserve">P-001070</t>
  </si>
  <si>
    <t xml:space="preserve">P-001071</t>
  </si>
  <si>
    <t xml:space="preserve">P-001072</t>
  </si>
  <si>
    <t xml:space="preserve">P-001073</t>
  </si>
  <si>
    <t xml:space="preserve">P-001074</t>
  </si>
  <si>
    <t xml:space="preserve">P-001075</t>
  </si>
  <si>
    <t xml:space="preserve">P-001076</t>
  </si>
  <si>
    <t xml:space="preserve">P-001077</t>
  </si>
  <si>
    <t xml:space="preserve">P-001078</t>
  </si>
  <si>
    <t xml:space="preserve">P-001079</t>
  </si>
  <si>
    <t xml:space="preserve">P-001080</t>
  </si>
  <si>
    <t xml:space="preserve">P-001081</t>
  </si>
  <si>
    <t xml:space="preserve">P-001082</t>
  </si>
  <si>
    <t xml:space="preserve">P-001083</t>
  </si>
  <si>
    <t xml:space="preserve">P-001084</t>
  </si>
  <si>
    <t xml:space="preserve">P-001085</t>
  </si>
  <si>
    <t xml:space="preserve">P-001086</t>
  </si>
  <si>
    <t xml:space="preserve">P-001087</t>
  </si>
  <si>
    <t xml:space="preserve">P-001088</t>
  </si>
  <si>
    <t xml:space="preserve">P-001089</t>
  </si>
  <si>
    <t xml:space="preserve">P-001090</t>
  </si>
  <si>
    <t xml:space="preserve">P-001091</t>
  </si>
  <si>
    <t xml:space="preserve">P-001092</t>
  </si>
  <si>
    <t xml:space="preserve">P-001093</t>
  </si>
  <si>
    <t xml:space="preserve">P-001094</t>
  </si>
  <si>
    <t xml:space="preserve">P-001095</t>
  </si>
  <si>
    <t xml:space="preserve">P-001096</t>
  </si>
  <si>
    <t xml:space="preserve">P-001097</t>
  </si>
  <si>
    <t xml:space="preserve">P-001098</t>
  </si>
  <si>
    <t xml:space="preserve">P-001099</t>
  </si>
  <si>
    <t xml:space="preserve">P-001100</t>
  </si>
  <si>
    <t xml:space="preserve">P-001101</t>
  </si>
  <si>
    <t xml:space="preserve">P-001102</t>
  </si>
  <si>
    <t xml:space="preserve">P-001103</t>
  </si>
  <si>
    <t xml:space="preserve">P-001104</t>
  </si>
  <si>
    <t xml:space="preserve">P-001105</t>
  </si>
  <si>
    <t xml:space="preserve">P-001106</t>
  </si>
  <si>
    <t xml:space="preserve">P-001107</t>
  </si>
  <si>
    <t xml:space="preserve">P-001108</t>
  </si>
  <si>
    <t xml:space="preserve">P-001109</t>
  </si>
  <si>
    <t xml:space="preserve">P-001110</t>
  </si>
  <si>
    <t xml:space="preserve">P-001111</t>
  </si>
  <si>
    <t xml:space="preserve">P-001112</t>
  </si>
  <si>
    <t xml:space="preserve">P-001113</t>
  </si>
  <si>
    <t xml:space="preserve">P-001114</t>
  </si>
  <si>
    <t xml:space="preserve">P-001115</t>
  </si>
  <si>
    <t xml:space="preserve">P-001116</t>
  </si>
  <si>
    <t xml:space="preserve">P-001117</t>
  </si>
  <si>
    <t xml:space="preserve">P-001118</t>
  </si>
  <si>
    <t xml:space="preserve">P-001119</t>
  </si>
  <si>
    <t xml:space="preserve">P-001120</t>
  </si>
  <si>
    <t xml:space="preserve">P-001121</t>
  </si>
  <si>
    <t xml:space="preserve">P-001122</t>
  </si>
  <si>
    <t xml:space="preserve">P-001123</t>
  </si>
  <si>
    <t xml:space="preserve">P-001124</t>
  </si>
  <si>
    <t xml:space="preserve">P-001125</t>
  </si>
  <si>
    <t xml:space="preserve">P-001126</t>
  </si>
  <si>
    <t xml:space="preserve">P-001127</t>
  </si>
  <si>
    <t xml:space="preserve">P-001128</t>
  </si>
  <si>
    <t xml:space="preserve">P-001129</t>
  </si>
  <si>
    <t xml:space="preserve">P-001130</t>
  </si>
  <si>
    <t xml:space="preserve">P-001131</t>
  </si>
  <si>
    <t xml:space="preserve">P-001132</t>
  </si>
  <si>
    <t xml:space="preserve">P-001133</t>
  </si>
  <si>
    <t xml:space="preserve">P-001134</t>
  </si>
  <si>
    <t xml:space="preserve">P-001135</t>
  </si>
  <si>
    <t xml:space="preserve">P-001136</t>
  </si>
  <si>
    <t xml:space="preserve">P-001137</t>
  </si>
  <si>
    <t xml:space="preserve">P-001138</t>
  </si>
  <si>
    <t xml:space="preserve">P-001139</t>
  </si>
  <si>
    <t xml:space="preserve">P-001140</t>
  </si>
  <si>
    <t xml:space="preserve">P-001141</t>
  </si>
  <si>
    <t xml:space="preserve">P-001142</t>
  </si>
  <si>
    <t xml:space="preserve">P-001143</t>
  </si>
  <si>
    <t xml:space="preserve">P-001144</t>
  </si>
  <si>
    <t xml:space="preserve">P-001145</t>
  </si>
  <si>
    <t xml:space="preserve">P-001146</t>
  </si>
  <si>
    <t xml:space="preserve">P-001147</t>
  </si>
  <si>
    <t xml:space="preserve">P-001148</t>
  </si>
  <si>
    <t xml:space="preserve">P-001149</t>
  </si>
  <si>
    <t xml:space="preserve">P-001150</t>
  </si>
  <si>
    <t xml:space="preserve">P-001151</t>
  </si>
  <si>
    <t xml:space="preserve">P-001152</t>
  </si>
  <si>
    <t xml:space="preserve">P-001153</t>
  </si>
  <si>
    <t xml:space="preserve">P-001154</t>
  </si>
  <si>
    <t xml:space="preserve">P-001155</t>
  </si>
  <si>
    <t xml:space="preserve">P-001156</t>
  </si>
  <si>
    <t xml:space="preserve">P-001157</t>
  </si>
  <si>
    <t xml:space="preserve">P-001158</t>
  </si>
  <si>
    <t xml:space="preserve">P-001159</t>
  </si>
  <si>
    <t xml:space="preserve">P-001160</t>
  </si>
  <si>
    <t xml:space="preserve">P-001161</t>
  </si>
  <si>
    <t xml:space="preserve">P-001162</t>
  </si>
  <si>
    <t xml:space="preserve">P-001163</t>
  </si>
  <si>
    <t xml:space="preserve">P-001164</t>
  </si>
  <si>
    <t xml:space="preserve">P-001165</t>
  </si>
  <si>
    <t xml:space="preserve">P-001166</t>
  </si>
  <si>
    <t xml:space="preserve">P-001167</t>
  </si>
  <si>
    <t xml:space="preserve">P-001168</t>
  </si>
  <si>
    <t xml:space="preserve">P-001169</t>
  </si>
  <si>
    <t xml:space="preserve">P-001170</t>
  </si>
  <si>
    <t xml:space="preserve">P-001171</t>
  </si>
  <si>
    <t xml:space="preserve">P-001172</t>
  </si>
  <si>
    <t xml:space="preserve">P-001173</t>
  </si>
  <si>
    <t xml:space="preserve">P-001174</t>
  </si>
  <si>
    <t xml:space="preserve">P-001175</t>
  </si>
  <si>
    <t xml:space="preserve">P-001176</t>
  </si>
  <si>
    <t xml:space="preserve">P-001177</t>
  </si>
  <si>
    <t xml:space="preserve">P-001178</t>
  </si>
  <si>
    <t xml:space="preserve">P-001179</t>
  </si>
  <si>
    <t xml:space="preserve">P-001180</t>
  </si>
  <si>
    <t xml:space="preserve">P-001181</t>
  </si>
  <si>
    <t xml:space="preserve">P-001182</t>
  </si>
  <si>
    <t xml:space="preserve">P-001183</t>
  </si>
  <si>
    <t xml:space="preserve">P-001184</t>
  </si>
  <si>
    <t xml:space="preserve">P-001185</t>
  </si>
  <si>
    <t xml:space="preserve">P-001186</t>
  </si>
  <si>
    <t xml:space="preserve">P-001187</t>
  </si>
  <si>
    <t xml:space="preserve">P-001188</t>
  </si>
  <si>
    <t xml:space="preserve">P-001189</t>
  </si>
  <si>
    <t xml:space="preserve">P-001190</t>
  </si>
  <si>
    <t xml:space="preserve">P-001191</t>
  </si>
  <si>
    <t xml:space="preserve">P-001192</t>
  </si>
  <si>
    <t xml:space="preserve">P-001193</t>
  </si>
  <si>
    <t xml:space="preserve">P-001194</t>
  </si>
  <si>
    <t xml:space="preserve">P-001195</t>
  </si>
  <si>
    <t xml:space="preserve">P-001196</t>
  </si>
  <si>
    <t xml:space="preserve">P-001197</t>
  </si>
  <si>
    <t xml:space="preserve">P-001198</t>
  </si>
  <si>
    <t xml:space="preserve">P-001199</t>
  </si>
  <si>
    <t xml:space="preserve">P-001200</t>
  </si>
  <si>
    <t xml:space="preserve">P-001201</t>
  </si>
  <si>
    <t xml:space="preserve">P-001202</t>
  </si>
  <si>
    <t xml:space="preserve">P-001203</t>
  </si>
  <si>
    <t xml:space="preserve">P-001204</t>
  </si>
  <si>
    <t xml:space="preserve">P-001205</t>
  </si>
  <si>
    <t xml:space="preserve">P-001206</t>
  </si>
  <si>
    <t xml:space="preserve">P-001207</t>
  </si>
  <si>
    <t xml:space="preserve">P-001208</t>
  </si>
  <si>
    <t xml:space="preserve">P-001209</t>
  </si>
  <si>
    <t xml:space="preserve">P-001210</t>
  </si>
  <si>
    <t xml:space="preserve">P-001211</t>
  </si>
  <si>
    <t xml:space="preserve">P-001212</t>
  </si>
  <si>
    <t xml:space="preserve">P-001213</t>
  </si>
  <si>
    <t xml:space="preserve">P-001214</t>
  </si>
  <si>
    <t xml:space="preserve">P-001215</t>
  </si>
  <si>
    <t xml:space="preserve">P-001216</t>
  </si>
  <si>
    <t xml:space="preserve">P-001217</t>
  </si>
  <si>
    <t xml:space="preserve">P-001218</t>
  </si>
  <si>
    <t xml:space="preserve">P-001219</t>
  </si>
  <si>
    <t xml:space="preserve">P-001220</t>
  </si>
  <si>
    <t xml:space="preserve">P-001221</t>
  </si>
  <si>
    <t xml:space="preserve">P-001222</t>
  </si>
  <si>
    <t xml:space="preserve">P-001223</t>
  </si>
  <si>
    <t xml:space="preserve">P-001224</t>
  </si>
  <si>
    <t xml:space="preserve">P-001225</t>
  </si>
  <si>
    <t xml:space="preserve">P-001226</t>
  </si>
  <si>
    <t xml:space="preserve">P-001227</t>
  </si>
  <si>
    <t xml:space="preserve">P-001228</t>
  </si>
  <si>
    <t xml:space="preserve">P-001229</t>
  </si>
  <si>
    <t xml:space="preserve">P-001230</t>
  </si>
  <si>
    <t xml:space="preserve">P-001231</t>
  </si>
  <si>
    <t xml:space="preserve">P-001232</t>
  </si>
  <si>
    <t xml:space="preserve">P-001233</t>
  </si>
  <si>
    <t xml:space="preserve">P-001234</t>
  </si>
  <si>
    <t xml:space="preserve">P-001235</t>
  </si>
  <si>
    <t xml:space="preserve">P-001236</t>
  </si>
  <si>
    <t xml:space="preserve">P-001237</t>
  </si>
  <si>
    <t xml:space="preserve">P-001238</t>
  </si>
  <si>
    <t xml:space="preserve">P-001239</t>
  </si>
  <si>
    <t xml:space="preserve">P-001240</t>
  </si>
  <si>
    <t xml:space="preserve">P-001241</t>
  </si>
  <si>
    <t xml:space="preserve">P-001242</t>
  </si>
  <si>
    <t xml:space="preserve">P-001243</t>
  </si>
  <si>
    <t xml:space="preserve">P-001244</t>
  </si>
  <si>
    <t xml:space="preserve">P-001245</t>
  </si>
  <si>
    <t xml:space="preserve">P-001246</t>
  </si>
  <si>
    <t xml:space="preserve">P-001247</t>
  </si>
  <si>
    <t xml:space="preserve">P-001248</t>
  </si>
  <si>
    <t xml:space="preserve">P-001249</t>
  </si>
  <si>
    <t xml:space="preserve">P-001250</t>
  </si>
  <si>
    <t xml:space="preserve">P-001251</t>
  </si>
  <si>
    <t xml:space="preserve">P-001252</t>
  </si>
  <si>
    <t xml:space="preserve">P-001253</t>
  </si>
  <si>
    <t xml:space="preserve">P-001254</t>
  </si>
  <si>
    <t xml:space="preserve">P-001255</t>
  </si>
  <si>
    <t xml:space="preserve">P-001256</t>
  </si>
  <si>
    <t xml:space="preserve">P-001257</t>
  </si>
  <si>
    <t xml:space="preserve">P-001258</t>
  </si>
  <si>
    <t xml:space="preserve">P-001259</t>
  </si>
  <si>
    <t xml:space="preserve">P-001260</t>
  </si>
  <si>
    <t xml:space="preserve">P-001261</t>
  </si>
  <si>
    <t xml:space="preserve">P-001262</t>
  </si>
  <si>
    <t xml:space="preserve">P-001263</t>
  </si>
  <si>
    <t xml:space="preserve">P-001264</t>
  </si>
  <si>
    <t xml:space="preserve">P-001265</t>
  </si>
  <si>
    <t xml:space="preserve">P-001266</t>
  </si>
  <si>
    <t xml:space="preserve">P-001267</t>
  </si>
  <si>
    <t xml:space="preserve">P-001268</t>
  </si>
  <si>
    <t xml:space="preserve">P-001269</t>
  </si>
  <si>
    <t xml:space="preserve">P-001270</t>
  </si>
  <si>
    <t xml:space="preserve">P-001271</t>
  </si>
  <si>
    <t xml:space="preserve">P-001272</t>
  </si>
  <si>
    <t xml:space="preserve">P-001273</t>
  </si>
  <si>
    <t xml:space="preserve">P-001274</t>
  </si>
  <si>
    <t xml:space="preserve">P-001275</t>
  </si>
  <si>
    <t xml:space="preserve">P-001276</t>
  </si>
  <si>
    <t xml:space="preserve">P-001277</t>
  </si>
  <si>
    <t xml:space="preserve">P-001278</t>
  </si>
  <si>
    <t xml:space="preserve">P-001279</t>
  </si>
  <si>
    <t xml:space="preserve">P-001280</t>
  </si>
  <si>
    <t xml:space="preserve">P-001281</t>
  </si>
  <si>
    <t xml:space="preserve">P-001282</t>
  </si>
  <si>
    <t xml:space="preserve">P-001283</t>
  </si>
  <si>
    <t xml:space="preserve">P-001284</t>
  </si>
  <si>
    <t xml:space="preserve">P-001285</t>
  </si>
  <si>
    <t xml:space="preserve">P-001286</t>
  </si>
  <si>
    <t xml:space="preserve">P-001287</t>
  </si>
  <si>
    <t xml:space="preserve">P-001288</t>
  </si>
  <si>
    <t xml:space="preserve">P-001289</t>
  </si>
  <si>
    <t xml:space="preserve">P-001290</t>
  </si>
  <si>
    <t xml:space="preserve">P-001291</t>
  </si>
  <si>
    <t xml:space="preserve">P-001292</t>
  </si>
  <si>
    <t xml:space="preserve">P-001293</t>
  </si>
  <si>
    <t xml:space="preserve">P-001294</t>
  </si>
  <si>
    <t xml:space="preserve">P-001295</t>
  </si>
  <si>
    <t xml:space="preserve">P-001296</t>
  </si>
  <si>
    <t xml:space="preserve">P-001297</t>
  </si>
  <si>
    <t xml:space="preserve">P-001298</t>
  </si>
  <si>
    <t xml:space="preserve">P-001299</t>
  </si>
  <si>
    <t xml:space="preserve">P-001300</t>
  </si>
  <si>
    <t xml:space="preserve">P-001301</t>
  </si>
  <si>
    <t xml:space="preserve">P-001302</t>
  </si>
  <si>
    <t xml:space="preserve">P-001303</t>
  </si>
  <si>
    <t xml:space="preserve">P-001304</t>
  </si>
  <si>
    <t xml:space="preserve">P-001305</t>
  </si>
  <si>
    <t xml:space="preserve">P-001306</t>
  </si>
  <si>
    <t xml:space="preserve">P-001307</t>
  </si>
  <si>
    <t xml:space="preserve">P-001308</t>
  </si>
  <si>
    <t xml:space="preserve">P-001309</t>
  </si>
  <si>
    <t xml:space="preserve">P-001310</t>
  </si>
  <si>
    <t xml:space="preserve">P-001311</t>
  </si>
  <si>
    <t xml:space="preserve">P-001312</t>
  </si>
  <si>
    <t xml:space="preserve">P-001313</t>
  </si>
  <si>
    <t xml:space="preserve">P-001314</t>
  </si>
  <si>
    <t xml:space="preserve">P-001315</t>
  </si>
  <si>
    <t xml:space="preserve">P-001316</t>
  </si>
  <si>
    <t xml:space="preserve">P-001317</t>
  </si>
  <si>
    <t xml:space="preserve">P-001318</t>
  </si>
  <si>
    <t xml:space="preserve">P-001319</t>
  </si>
  <si>
    <t xml:space="preserve">P-001320</t>
  </si>
  <si>
    <t xml:space="preserve">P-001321</t>
  </si>
  <si>
    <t xml:space="preserve">P-001322</t>
  </si>
  <si>
    <t xml:space="preserve">P-001323</t>
  </si>
  <si>
    <t xml:space="preserve">P-001324</t>
  </si>
  <si>
    <t xml:space="preserve">P-001325</t>
  </si>
  <si>
    <t xml:space="preserve">P-001326</t>
  </si>
  <si>
    <t xml:space="preserve">P-001327</t>
  </si>
  <si>
    <t xml:space="preserve">P-001328</t>
  </si>
  <si>
    <t xml:space="preserve">P-001329</t>
  </si>
  <si>
    <t xml:space="preserve">P-001330</t>
  </si>
  <si>
    <t xml:space="preserve">P-001331</t>
  </si>
  <si>
    <t xml:space="preserve">P-001332</t>
  </si>
  <si>
    <t xml:space="preserve">P-001333</t>
  </si>
  <si>
    <t xml:space="preserve">P-001334</t>
  </si>
  <si>
    <t xml:space="preserve">P-001335</t>
  </si>
  <si>
    <t xml:space="preserve">P-001336</t>
  </si>
  <si>
    <t xml:space="preserve">P-001337</t>
  </si>
  <si>
    <t xml:space="preserve">P-001338</t>
  </si>
  <si>
    <t xml:space="preserve">P-001339</t>
  </si>
  <si>
    <t xml:space="preserve">P-001340</t>
  </si>
  <si>
    <t xml:space="preserve">P-001341</t>
  </si>
  <si>
    <t xml:space="preserve">P-001342</t>
  </si>
  <si>
    <t xml:space="preserve">P-001343</t>
  </si>
  <si>
    <t xml:space="preserve">P-001344</t>
  </si>
  <si>
    <t xml:space="preserve">P-001345</t>
  </si>
  <si>
    <t xml:space="preserve">P-001346</t>
  </si>
  <si>
    <t xml:space="preserve">P-001347</t>
  </si>
  <si>
    <t xml:space="preserve">P-001348</t>
  </si>
  <si>
    <t xml:space="preserve">P-001349</t>
  </si>
  <si>
    <t xml:space="preserve">P-001350</t>
  </si>
  <si>
    <t xml:space="preserve">P-001351</t>
  </si>
  <si>
    <t xml:space="preserve">P-001352</t>
  </si>
  <si>
    <t xml:space="preserve">P-001353</t>
  </si>
  <si>
    <t xml:space="preserve">P-001354</t>
  </si>
  <si>
    <t xml:space="preserve">P-001355</t>
  </si>
  <si>
    <t xml:space="preserve">P-001356</t>
  </si>
  <si>
    <t xml:space="preserve">P-001357</t>
  </si>
  <si>
    <t xml:space="preserve">P-001358</t>
  </si>
  <si>
    <t xml:space="preserve">P-001359</t>
  </si>
  <si>
    <t xml:space="preserve">P-001360</t>
  </si>
  <si>
    <t xml:space="preserve">P-001361</t>
  </si>
  <si>
    <t xml:space="preserve">P-001362</t>
  </si>
  <si>
    <t xml:space="preserve">P-001363</t>
  </si>
  <si>
    <t xml:space="preserve">P-001364</t>
  </si>
  <si>
    <t xml:space="preserve">P-001365</t>
  </si>
  <si>
    <t xml:space="preserve">P-001366</t>
  </si>
  <si>
    <t xml:space="preserve">P-001367</t>
  </si>
  <si>
    <t xml:space="preserve">P-001368</t>
  </si>
  <si>
    <t xml:space="preserve">P-001369</t>
  </si>
  <si>
    <t xml:space="preserve">P-001370</t>
  </si>
  <si>
    <t xml:space="preserve">P-001371</t>
  </si>
  <si>
    <t xml:space="preserve">P-001372</t>
  </si>
  <si>
    <t xml:space="preserve">P-001373</t>
  </si>
  <si>
    <t xml:space="preserve">P-001374</t>
  </si>
  <si>
    <t xml:space="preserve">P-001375</t>
  </si>
  <si>
    <t xml:space="preserve">P-001376</t>
  </si>
  <si>
    <t xml:space="preserve">P-001377</t>
  </si>
  <si>
    <t xml:space="preserve">P-001378</t>
  </si>
  <si>
    <t xml:space="preserve">P-001379</t>
  </si>
  <si>
    <t xml:space="preserve">P-001380</t>
  </si>
  <si>
    <t xml:space="preserve">P-001381</t>
  </si>
  <si>
    <t xml:space="preserve">P-001382</t>
  </si>
  <si>
    <t xml:space="preserve">P-001383</t>
  </si>
  <si>
    <t xml:space="preserve">P-001384</t>
  </si>
  <si>
    <t xml:space="preserve">P-001385</t>
  </si>
  <si>
    <t xml:space="preserve">P-001386</t>
  </si>
  <si>
    <t xml:space="preserve">P-001387</t>
  </si>
  <si>
    <t xml:space="preserve">P-001388</t>
  </si>
  <si>
    <t xml:space="preserve">P-001389</t>
  </si>
  <si>
    <t xml:space="preserve">P-001390</t>
  </si>
  <si>
    <t xml:space="preserve">P-001391</t>
  </si>
  <si>
    <t xml:space="preserve">P-001392</t>
  </si>
  <si>
    <t xml:space="preserve">P-001393</t>
  </si>
  <si>
    <t xml:space="preserve">P-001394</t>
  </si>
  <si>
    <t xml:space="preserve">P-001395</t>
  </si>
  <si>
    <t xml:space="preserve">P-001396</t>
  </si>
  <si>
    <t xml:space="preserve">P-001397</t>
  </si>
  <si>
    <t xml:space="preserve">P-001398</t>
  </si>
  <si>
    <t xml:space="preserve">P-001399</t>
  </si>
  <si>
    <t xml:space="preserve">P-001400</t>
  </si>
  <si>
    <t xml:space="preserve">P-001401</t>
  </si>
  <si>
    <t xml:space="preserve">P-001402</t>
  </si>
  <si>
    <t xml:space="preserve">P-001403</t>
  </si>
  <si>
    <t xml:space="preserve">P-001404</t>
  </si>
  <si>
    <t xml:space="preserve">P-001405</t>
  </si>
  <si>
    <t xml:space="preserve">P-001406</t>
  </si>
  <si>
    <t xml:space="preserve">P-001407</t>
  </si>
  <si>
    <t xml:space="preserve">P-001408</t>
  </si>
  <si>
    <t xml:space="preserve">P-001409</t>
  </si>
  <si>
    <t xml:space="preserve">P-001410</t>
  </si>
  <si>
    <t xml:space="preserve">P-001411</t>
  </si>
  <si>
    <t xml:space="preserve">P-001412</t>
  </si>
  <si>
    <t xml:space="preserve">P-001413</t>
  </si>
  <si>
    <t xml:space="preserve">P-001414</t>
  </si>
  <si>
    <t xml:space="preserve">P-001415</t>
  </si>
  <si>
    <t xml:space="preserve">P-001416</t>
  </si>
  <si>
    <t xml:space="preserve">P-001417</t>
  </si>
  <si>
    <t xml:space="preserve">P-001418</t>
  </si>
  <si>
    <t xml:space="preserve">P-001419</t>
  </si>
  <si>
    <t xml:space="preserve">P-001420</t>
  </si>
  <si>
    <t xml:space="preserve">P-001421</t>
  </si>
  <si>
    <t xml:space="preserve">P-001422</t>
  </si>
  <si>
    <t xml:space="preserve">P-001423</t>
  </si>
  <si>
    <t xml:space="preserve">P-001424</t>
  </si>
  <si>
    <t xml:space="preserve">P-001425</t>
  </si>
  <si>
    <t xml:space="preserve">P-001426</t>
  </si>
  <si>
    <t xml:space="preserve">P-001427</t>
  </si>
  <si>
    <t xml:space="preserve">P-001428</t>
  </si>
  <si>
    <t xml:space="preserve">P-001429</t>
  </si>
  <si>
    <t xml:space="preserve">P-001430</t>
  </si>
  <si>
    <t xml:space="preserve">P-001431</t>
  </si>
  <si>
    <t xml:space="preserve">P-001432</t>
  </si>
  <si>
    <t xml:space="preserve">P-001433</t>
  </si>
  <si>
    <t xml:space="preserve">P-001434</t>
  </si>
  <si>
    <t xml:space="preserve">P-001435</t>
  </si>
  <si>
    <t xml:space="preserve">P-001436</t>
  </si>
  <si>
    <t xml:space="preserve">P-001437</t>
  </si>
  <si>
    <t xml:space="preserve">P-001438</t>
  </si>
  <si>
    <t xml:space="preserve">P-001439</t>
  </si>
  <si>
    <t xml:space="preserve">P-001440</t>
  </si>
  <si>
    <t xml:space="preserve">P-001441</t>
  </si>
  <si>
    <t xml:space="preserve">P-001442</t>
  </si>
  <si>
    <t xml:space="preserve">P-001443</t>
  </si>
  <si>
    <t xml:space="preserve">P-001444</t>
  </si>
  <si>
    <t xml:space="preserve">P-001445</t>
  </si>
  <si>
    <t xml:space="preserve">P-001446</t>
  </si>
  <si>
    <t xml:space="preserve">P-001447</t>
  </si>
  <si>
    <t xml:space="preserve">P-001448</t>
  </si>
  <si>
    <t xml:space="preserve">P-001449</t>
  </si>
  <si>
    <t xml:space="preserve">P-001450</t>
  </si>
  <si>
    <t xml:space="preserve">P-001451</t>
  </si>
  <si>
    <t xml:space="preserve">P-001452</t>
  </si>
  <si>
    <t xml:space="preserve">P-001453</t>
  </si>
  <si>
    <t xml:space="preserve">P-001454</t>
  </si>
  <si>
    <t xml:space="preserve">P-001455</t>
  </si>
  <si>
    <t xml:space="preserve">P-001456</t>
  </si>
  <si>
    <t xml:space="preserve">P-001457</t>
  </si>
  <si>
    <t xml:space="preserve">P-001458</t>
  </si>
  <si>
    <t xml:space="preserve">P-001459</t>
  </si>
  <si>
    <t xml:space="preserve">P-001460</t>
  </si>
  <si>
    <t xml:space="preserve">P-001461</t>
  </si>
  <si>
    <t xml:space="preserve">P-001462</t>
  </si>
  <si>
    <t xml:space="preserve">P-001463</t>
  </si>
  <si>
    <t xml:space="preserve">P-001464</t>
  </si>
  <si>
    <t xml:space="preserve">P-001465</t>
  </si>
  <si>
    <t xml:space="preserve">P-001466</t>
  </si>
  <si>
    <t xml:space="preserve">P-001467</t>
  </si>
  <si>
    <t xml:space="preserve">P-001468</t>
  </si>
  <si>
    <t xml:space="preserve">P-001469</t>
  </si>
  <si>
    <t xml:space="preserve">P-001470</t>
  </si>
  <si>
    <t xml:space="preserve">P-001471</t>
  </si>
  <si>
    <t xml:space="preserve">P-001472</t>
  </si>
  <si>
    <t xml:space="preserve">P-001473</t>
  </si>
  <si>
    <t xml:space="preserve">P-001474</t>
  </si>
  <si>
    <t xml:space="preserve">P-001475</t>
  </si>
  <si>
    <t xml:space="preserve">P-001476</t>
  </si>
  <si>
    <t xml:space="preserve">P-001477</t>
  </si>
  <si>
    <t xml:space="preserve">P-001478</t>
  </si>
  <si>
    <t xml:space="preserve">P-001479</t>
  </si>
  <si>
    <t xml:space="preserve">P-001480</t>
  </si>
  <si>
    <t xml:space="preserve">P-001481</t>
  </si>
  <si>
    <t xml:space="preserve">P-001482</t>
  </si>
  <si>
    <t xml:space="preserve">P-001483</t>
  </si>
  <si>
    <t xml:space="preserve">P-001484</t>
  </si>
  <si>
    <t xml:space="preserve">P-001485</t>
  </si>
  <si>
    <t xml:space="preserve">P-001486</t>
  </si>
  <si>
    <t xml:space="preserve">P-001487</t>
  </si>
  <si>
    <t xml:space="preserve">P-001488</t>
  </si>
  <si>
    <t xml:space="preserve">P-001489</t>
  </si>
  <si>
    <t xml:space="preserve">P-001490</t>
  </si>
  <si>
    <t xml:space="preserve">P-001491</t>
  </si>
  <si>
    <t xml:space="preserve">P-001492</t>
  </si>
  <si>
    <t xml:space="preserve">P-001493</t>
  </si>
  <si>
    <t xml:space="preserve">P-001494</t>
  </si>
  <si>
    <t xml:space="preserve">P-001495</t>
  </si>
  <si>
    <t xml:space="preserve">P-001496</t>
  </si>
  <si>
    <t xml:space="preserve">P-001497</t>
  </si>
  <si>
    <t xml:space="preserve">P-001498</t>
  </si>
  <si>
    <t xml:space="preserve">P-001499</t>
  </si>
  <si>
    <t xml:space="preserve">P-001500</t>
  </si>
  <si>
    <t xml:space="preserve">P-001501</t>
  </si>
  <si>
    <t xml:space="preserve">P-001502</t>
  </si>
  <si>
    <t xml:space="preserve">P-001503</t>
  </si>
  <si>
    <t xml:space="preserve">P-001504</t>
  </si>
  <si>
    <t xml:space="preserve">P-001505</t>
  </si>
  <si>
    <t xml:space="preserve">P-001506</t>
  </si>
  <si>
    <t xml:space="preserve">P-001507</t>
  </si>
  <si>
    <t xml:space="preserve">P-001508</t>
  </si>
  <si>
    <t xml:space="preserve">P-001509</t>
  </si>
  <si>
    <t xml:space="preserve">P-001510</t>
  </si>
  <si>
    <t xml:space="preserve">P-001511</t>
  </si>
  <si>
    <t xml:space="preserve">P-001512</t>
  </si>
  <si>
    <t xml:space="preserve">P-001513</t>
  </si>
  <si>
    <t xml:space="preserve">P-001514</t>
  </si>
  <si>
    <t xml:space="preserve">P-001515</t>
  </si>
  <si>
    <t xml:space="preserve">P-001516</t>
  </si>
  <si>
    <t xml:space="preserve">P-001517</t>
  </si>
  <si>
    <t xml:space="preserve">P-001518</t>
  </si>
  <si>
    <t xml:space="preserve">P-001519</t>
  </si>
  <si>
    <t xml:space="preserve">P-001520</t>
  </si>
  <si>
    <t xml:space="preserve">P-001521</t>
  </si>
  <si>
    <t xml:space="preserve">P-001522</t>
  </si>
  <si>
    <t xml:space="preserve">P-001523</t>
  </si>
  <si>
    <t xml:space="preserve">P-001524</t>
  </si>
  <si>
    <t xml:space="preserve">P-001525</t>
  </si>
  <si>
    <t xml:space="preserve">P-001526</t>
  </si>
  <si>
    <t xml:space="preserve">P-001527</t>
  </si>
  <si>
    <t xml:space="preserve">P-001528</t>
  </si>
  <si>
    <t xml:space="preserve">P-001529</t>
  </si>
  <si>
    <t xml:space="preserve">P-001530</t>
  </si>
  <si>
    <t xml:space="preserve">P-001531</t>
  </si>
  <si>
    <t xml:space="preserve">P-001532</t>
  </si>
  <si>
    <t xml:space="preserve">P-001533</t>
  </si>
  <si>
    <t xml:space="preserve">P-001534</t>
  </si>
  <si>
    <t xml:space="preserve">P-001535</t>
  </si>
  <si>
    <t xml:space="preserve">P-001536</t>
  </si>
  <si>
    <t xml:space="preserve">P-001537</t>
  </si>
  <si>
    <t xml:space="preserve">P-001538</t>
  </si>
  <si>
    <t xml:space="preserve">P-001539</t>
  </si>
  <si>
    <t xml:space="preserve">P-001540</t>
  </si>
  <si>
    <t xml:space="preserve">P-001541</t>
  </si>
  <si>
    <t xml:space="preserve">P-001542</t>
  </si>
  <si>
    <t xml:space="preserve">P-001543</t>
  </si>
  <si>
    <t xml:space="preserve">P-001544</t>
  </si>
  <si>
    <t xml:space="preserve">P-001545</t>
  </si>
  <si>
    <t xml:space="preserve">P-001546</t>
  </si>
  <si>
    <t xml:space="preserve">P-001547</t>
  </si>
  <si>
    <t xml:space="preserve">P-001548</t>
  </si>
  <si>
    <t xml:space="preserve">P-001549</t>
  </si>
  <si>
    <t xml:space="preserve">P-001550</t>
  </si>
  <si>
    <t xml:space="preserve">P-001551</t>
  </si>
  <si>
    <t xml:space="preserve">P-001552</t>
  </si>
  <si>
    <t xml:space="preserve">P-001553</t>
  </si>
  <si>
    <t xml:space="preserve">P-001554</t>
  </si>
  <si>
    <t xml:space="preserve">P-001555</t>
  </si>
  <si>
    <t xml:space="preserve">P-001556</t>
  </si>
  <si>
    <t xml:space="preserve">P-001557</t>
  </si>
  <si>
    <t xml:space="preserve">P-001558</t>
  </si>
  <si>
    <t xml:space="preserve">P-001559</t>
  </si>
  <si>
    <t xml:space="preserve">P-001560</t>
  </si>
  <si>
    <t xml:space="preserve">P-001561</t>
  </si>
  <si>
    <t xml:space="preserve">P-001562</t>
  </si>
  <si>
    <t xml:space="preserve">P-001563</t>
  </si>
  <si>
    <t xml:space="preserve">P-001564</t>
  </si>
  <si>
    <t xml:space="preserve">P-001565</t>
  </si>
  <si>
    <t xml:space="preserve">P-001566</t>
  </si>
  <si>
    <t xml:space="preserve">P-001567</t>
  </si>
  <si>
    <t xml:space="preserve">P-001568</t>
  </si>
  <si>
    <t xml:space="preserve">P-001569</t>
  </si>
  <si>
    <t xml:space="preserve">P-001570</t>
  </si>
  <si>
    <t xml:space="preserve">P-001571</t>
  </si>
  <si>
    <t xml:space="preserve">P-001572</t>
  </si>
  <si>
    <t xml:space="preserve">P-001573</t>
  </si>
  <si>
    <t xml:space="preserve">P-001574</t>
  </si>
  <si>
    <t xml:space="preserve">P-001575</t>
  </si>
  <si>
    <t xml:space="preserve">P-001576</t>
  </si>
  <si>
    <t xml:space="preserve">P-001577</t>
  </si>
  <si>
    <t xml:space="preserve">P-001578</t>
  </si>
  <si>
    <t xml:space="preserve">P-001579</t>
  </si>
  <si>
    <t xml:space="preserve">P-001580</t>
  </si>
  <si>
    <t xml:space="preserve">P-001581</t>
  </si>
  <si>
    <t xml:space="preserve">P-001582</t>
  </si>
  <si>
    <t xml:space="preserve">P-001583</t>
  </si>
  <si>
    <t xml:space="preserve">P-001584</t>
  </si>
  <si>
    <t xml:space="preserve">P-001585</t>
  </si>
  <si>
    <t xml:space="preserve">P-001586</t>
  </si>
  <si>
    <t xml:space="preserve">P-001587</t>
  </si>
  <si>
    <t xml:space="preserve">P-001588</t>
  </si>
  <si>
    <t xml:space="preserve">P-001589</t>
  </si>
  <si>
    <t xml:space="preserve">P-001590</t>
  </si>
  <si>
    <t xml:space="preserve">P-001591</t>
  </si>
  <si>
    <t xml:space="preserve">P-001592</t>
  </si>
  <si>
    <t xml:space="preserve">P-001593</t>
  </si>
  <si>
    <t xml:space="preserve">P-001594</t>
  </si>
  <si>
    <t xml:space="preserve">P-001595</t>
  </si>
  <si>
    <t xml:space="preserve">P-001596</t>
  </si>
  <si>
    <t xml:space="preserve">P-001597</t>
  </si>
  <si>
    <t xml:space="preserve">P-001598</t>
  </si>
  <si>
    <t xml:space="preserve">P-001599</t>
  </si>
  <si>
    <t xml:space="preserve">P-001600</t>
  </si>
  <si>
    <t xml:space="preserve">P-001601</t>
  </si>
  <si>
    <t xml:space="preserve">P-001602</t>
  </si>
  <si>
    <t xml:space="preserve">P-001603</t>
  </si>
  <si>
    <t xml:space="preserve">P-001604</t>
  </si>
  <si>
    <t xml:space="preserve">P-001605</t>
  </si>
  <si>
    <t xml:space="preserve">P-001606</t>
  </si>
  <si>
    <t xml:space="preserve">P-001607</t>
  </si>
  <si>
    <t xml:space="preserve">P-001608</t>
  </si>
  <si>
    <t xml:space="preserve">P-001609</t>
  </si>
  <si>
    <t xml:space="preserve">P-001610</t>
  </si>
  <si>
    <t xml:space="preserve">P-001611</t>
  </si>
  <si>
    <t xml:space="preserve">P-001612</t>
  </si>
  <si>
    <t xml:space="preserve">P-001613</t>
  </si>
  <si>
    <t xml:space="preserve">P-001614</t>
  </si>
  <si>
    <t xml:space="preserve">P-001615</t>
  </si>
  <si>
    <t xml:space="preserve">P-001616</t>
  </si>
  <si>
    <t xml:space="preserve">P-001617</t>
  </si>
  <si>
    <t xml:space="preserve">P-001618</t>
  </si>
  <si>
    <t xml:space="preserve">P-001619</t>
  </si>
  <si>
    <t xml:space="preserve">P-001620</t>
  </si>
  <si>
    <t xml:space="preserve">P-001621</t>
  </si>
  <si>
    <t xml:space="preserve">P-001622</t>
  </si>
  <si>
    <t xml:space="preserve">P-001623</t>
  </si>
  <si>
    <t xml:space="preserve">P-001624</t>
  </si>
  <si>
    <t xml:space="preserve">P-001625</t>
  </si>
  <si>
    <t xml:space="preserve">P-001626</t>
  </si>
  <si>
    <t xml:space="preserve">P-001627</t>
  </si>
  <si>
    <t xml:space="preserve">P-001628</t>
  </si>
  <si>
    <t xml:space="preserve">P-001629</t>
  </si>
  <si>
    <t xml:space="preserve">P-001630</t>
  </si>
  <si>
    <t xml:space="preserve">P-001631</t>
  </si>
  <si>
    <t xml:space="preserve">P-001632</t>
  </si>
  <si>
    <t xml:space="preserve">P-001633</t>
  </si>
  <si>
    <t xml:space="preserve">P-001634</t>
  </si>
  <si>
    <t xml:space="preserve">P-001635</t>
  </si>
  <si>
    <t xml:space="preserve">P-001636</t>
  </si>
  <si>
    <t xml:space="preserve">P-001637</t>
  </si>
  <si>
    <t xml:space="preserve">P-001638</t>
  </si>
  <si>
    <t xml:space="preserve">P-001639</t>
  </si>
  <si>
    <t xml:space="preserve">P-001640</t>
  </si>
  <si>
    <t xml:space="preserve">P-001641</t>
  </si>
  <si>
    <t xml:space="preserve">P-001642</t>
  </si>
  <si>
    <t xml:space="preserve">P-001643</t>
  </si>
  <si>
    <t xml:space="preserve">P-001644</t>
  </si>
  <si>
    <t xml:space="preserve">P-001645</t>
  </si>
  <si>
    <t xml:space="preserve">P-001646</t>
  </si>
  <si>
    <t xml:space="preserve">P-001647</t>
  </si>
  <si>
    <t xml:space="preserve">P-001648</t>
  </si>
  <si>
    <t xml:space="preserve">P-001649</t>
  </si>
  <si>
    <t xml:space="preserve">P-001650</t>
  </si>
  <si>
    <t xml:space="preserve">P-001651</t>
  </si>
  <si>
    <t xml:space="preserve">P-001652</t>
  </si>
  <si>
    <t xml:space="preserve">P-001653</t>
  </si>
  <si>
    <t xml:space="preserve">P-001654</t>
  </si>
  <si>
    <t xml:space="preserve">P-001655</t>
  </si>
  <si>
    <t xml:space="preserve">P-001656</t>
  </si>
  <si>
    <t xml:space="preserve">P-001657</t>
  </si>
  <si>
    <t xml:space="preserve">P-001658</t>
  </si>
  <si>
    <t xml:space="preserve">P-001659</t>
  </si>
  <si>
    <t xml:space="preserve">P-001660</t>
  </si>
  <si>
    <t xml:space="preserve">P-001661</t>
  </si>
  <si>
    <t xml:space="preserve">P-001662</t>
  </si>
  <si>
    <t xml:space="preserve">P-001663</t>
  </si>
  <si>
    <t xml:space="preserve">P-001664</t>
  </si>
  <si>
    <t xml:space="preserve">P-001665</t>
  </si>
  <si>
    <t xml:space="preserve">P-001666</t>
  </si>
  <si>
    <t xml:space="preserve">P-001667</t>
  </si>
  <si>
    <t xml:space="preserve">P-001668</t>
  </si>
  <si>
    <t xml:space="preserve">P-001669</t>
  </si>
  <si>
    <t xml:space="preserve">P-001670</t>
  </si>
  <si>
    <t xml:space="preserve">P-001671</t>
  </si>
  <si>
    <t xml:space="preserve">P-001672</t>
  </si>
  <si>
    <t xml:space="preserve">P-001673</t>
  </si>
  <si>
    <t xml:space="preserve">P-001674</t>
  </si>
  <si>
    <t xml:space="preserve">P-001675</t>
  </si>
  <si>
    <t xml:space="preserve">P-001676</t>
  </si>
  <si>
    <t xml:space="preserve">P-001677</t>
  </si>
  <si>
    <t xml:space="preserve">P-001678</t>
  </si>
  <si>
    <t xml:space="preserve">P-001679</t>
  </si>
  <si>
    <t xml:space="preserve">P-001680</t>
  </si>
  <si>
    <t xml:space="preserve">P-001681</t>
  </si>
  <si>
    <t xml:space="preserve">P-001682</t>
  </si>
  <si>
    <t xml:space="preserve">P-001683</t>
  </si>
  <si>
    <t xml:space="preserve">P-001684</t>
  </si>
  <si>
    <t xml:space="preserve">P-001685</t>
  </si>
  <si>
    <t xml:space="preserve">P-001686</t>
  </si>
  <si>
    <t xml:space="preserve">P-001687</t>
  </si>
  <si>
    <t xml:space="preserve">P-001688</t>
  </si>
  <si>
    <t xml:space="preserve">P-001689</t>
  </si>
  <si>
    <t xml:space="preserve">P-001690</t>
  </si>
  <si>
    <t xml:space="preserve">P-001691</t>
  </si>
  <si>
    <t xml:space="preserve">P-001692</t>
  </si>
  <si>
    <t xml:space="preserve">P-001693</t>
  </si>
  <si>
    <t xml:space="preserve">P-001694</t>
  </si>
  <si>
    <t xml:space="preserve">P-001695</t>
  </si>
  <si>
    <t xml:space="preserve">P-001696</t>
  </si>
  <si>
    <t xml:space="preserve">P-001697</t>
  </si>
  <si>
    <t xml:space="preserve">P-001698</t>
  </si>
  <si>
    <t xml:space="preserve">P-001699</t>
  </si>
  <si>
    <t xml:space="preserve">P-001700</t>
  </si>
  <si>
    <t xml:space="preserve">P-001701</t>
  </si>
  <si>
    <t xml:space="preserve">P-001702</t>
  </si>
  <si>
    <t xml:space="preserve">P-001703</t>
  </si>
  <si>
    <t xml:space="preserve">P-001704</t>
  </si>
  <si>
    <t xml:space="preserve">P-001705</t>
  </si>
  <si>
    <t xml:space="preserve">P-001706</t>
  </si>
  <si>
    <t xml:space="preserve">P-001707</t>
  </si>
  <si>
    <t xml:space="preserve">P-001708</t>
  </si>
  <si>
    <t xml:space="preserve">P-001709</t>
  </si>
  <si>
    <t xml:space="preserve">P-001710</t>
  </si>
  <si>
    <t xml:space="preserve">P-001711</t>
  </si>
  <si>
    <t xml:space="preserve">P-001712</t>
  </si>
  <si>
    <t xml:space="preserve">P-001713</t>
  </si>
  <si>
    <t xml:space="preserve">P-001714</t>
  </si>
  <si>
    <t xml:space="preserve">P-001715</t>
  </si>
  <si>
    <t xml:space="preserve">P-001716</t>
  </si>
  <si>
    <t xml:space="preserve">P-001717</t>
  </si>
  <si>
    <t xml:space="preserve">P-001718</t>
  </si>
  <si>
    <t xml:space="preserve">P-001719</t>
  </si>
  <si>
    <t xml:space="preserve">P-001720</t>
  </si>
  <si>
    <t xml:space="preserve">P-001721</t>
  </si>
  <si>
    <t xml:space="preserve">P-001722</t>
  </si>
  <si>
    <t xml:space="preserve">P-001723</t>
  </si>
  <si>
    <t xml:space="preserve">P-001724</t>
  </si>
  <si>
    <t xml:space="preserve">P-001725</t>
  </si>
  <si>
    <t xml:space="preserve">P-001726</t>
  </si>
  <si>
    <t xml:space="preserve">P-001727</t>
  </si>
  <si>
    <t xml:space="preserve">P-001728</t>
  </si>
  <si>
    <t xml:space="preserve">P-001729</t>
  </si>
  <si>
    <t xml:space="preserve">P-001730</t>
  </si>
  <si>
    <t xml:space="preserve">P-001731</t>
  </si>
  <si>
    <t xml:space="preserve">P-001732</t>
  </si>
  <si>
    <t xml:space="preserve">P-001733</t>
  </si>
  <si>
    <t xml:space="preserve">P-001734</t>
  </si>
  <si>
    <t xml:space="preserve">P-001735</t>
  </si>
  <si>
    <t xml:space="preserve">P-001736</t>
  </si>
  <si>
    <t xml:space="preserve">P-001737</t>
  </si>
  <si>
    <t xml:space="preserve">P-001738</t>
  </si>
  <si>
    <t xml:space="preserve">P-001739</t>
  </si>
  <si>
    <t xml:space="preserve">P-001740</t>
  </si>
  <si>
    <t xml:space="preserve">P-001741</t>
  </si>
  <si>
    <t xml:space="preserve">P-001742</t>
  </si>
  <si>
    <t xml:space="preserve">P-001743</t>
  </si>
  <si>
    <t xml:space="preserve">P-001744</t>
  </si>
  <si>
    <t xml:space="preserve">P-001745</t>
  </si>
  <si>
    <t xml:space="preserve">P-001746</t>
  </si>
  <si>
    <t xml:space="preserve">P-001747</t>
  </si>
  <si>
    <t xml:space="preserve">P-001748</t>
  </si>
  <si>
    <t xml:space="preserve">P-001749</t>
  </si>
  <si>
    <t xml:space="preserve">P-001750</t>
  </si>
  <si>
    <t xml:space="preserve">P-001751</t>
  </si>
  <si>
    <t xml:space="preserve">P-001752</t>
  </si>
  <si>
    <t xml:space="preserve">P-001753</t>
  </si>
  <si>
    <t xml:space="preserve">P-001754</t>
  </si>
  <si>
    <t xml:space="preserve">P-001755</t>
  </si>
  <si>
    <t xml:space="preserve">P-001756</t>
  </si>
  <si>
    <t xml:space="preserve">P-001757</t>
  </si>
  <si>
    <t xml:space="preserve">P-001758</t>
  </si>
  <si>
    <t xml:space="preserve">P-001759</t>
  </si>
  <si>
    <t xml:space="preserve">P-001760</t>
  </si>
  <si>
    <t xml:space="preserve">P-001761</t>
  </si>
  <si>
    <t xml:space="preserve">P-001762</t>
  </si>
  <si>
    <t xml:space="preserve">P-001763</t>
  </si>
  <si>
    <t xml:space="preserve">P-001764</t>
  </si>
  <si>
    <t xml:space="preserve">P-001765</t>
  </si>
  <si>
    <t xml:space="preserve">P-001766</t>
  </si>
  <si>
    <t xml:space="preserve">P-001767</t>
  </si>
  <si>
    <t xml:space="preserve">P-001768</t>
  </si>
  <si>
    <t xml:space="preserve">P-001769</t>
  </si>
  <si>
    <t xml:space="preserve">P-001770</t>
  </si>
  <si>
    <t xml:space="preserve">P-001771</t>
  </si>
  <si>
    <t xml:space="preserve">P-001772</t>
  </si>
  <si>
    <t xml:space="preserve">P-001773</t>
  </si>
  <si>
    <t xml:space="preserve">P-001774</t>
  </si>
  <si>
    <t xml:space="preserve">P-001775</t>
  </si>
  <si>
    <t xml:space="preserve">P-001776</t>
  </si>
  <si>
    <t xml:space="preserve">P-001777</t>
  </si>
  <si>
    <t xml:space="preserve">P-001778</t>
  </si>
  <si>
    <t xml:space="preserve">P-001779</t>
  </si>
  <si>
    <t xml:space="preserve">P-001780</t>
  </si>
  <si>
    <t xml:space="preserve">P-001781</t>
  </si>
  <si>
    <t xml:space="preserve">P-001782</t>
  </si>
  <si>
    <t xml:space="preserve">P-001783</t>
  </si>
  <si>
    <t xml:space="preserve">P-001784</t>
  </si>
  <si>
    <t xml:space="preserve">P-001785</t>
  </si>
  <si>
    <t xml:space="preserve">P-001786</t>
  </si>
  <si>
    <t xml:space="preserve">P-001787</t>
  </si>
  <si>
    <t xml:space="preserve">P-001788</t>
  </si>
  <si>
    <t xml:space="preserve">P-001789</t>
  </si>
  <si>
    <t xml:space="preserve">P-001790</t>
  </si>
  <si>
    <t xml:space="preserve">P-001791</t>
  </si>
  <si>
    <t xml:space="preserve">P-001792</t>
  </si>
  <si>
    <t xml:space="preserve">P-001793</t>
  </si>
  <si>
    <t xml:space="preserve">P-001794</t>
  </si>
  <si>
    <t xml:space="preserve">P-001795</t>
  </si>
  <si>
    <t xml:space="preserve">P-001796</t>
  </si>
  <si>
    <t xml:space="preserve">P-001797</t>
  </si>
  <si>
    <t xml:space="preserve">P-001798</t>
  </si>
  <si>
    <t xml:space="preserve">P-001799</t>
  </si>
  <si>
    <t xml:space="preserve">P-001800</t>
  </si>
  <si>
    <t xml:space="preserve">P-001801</t>
  </si>
  <si>
    <t xml:space="preserve">P-001802</t>
  </si>
  <si>
    <t xml:space="preserve">P-001803</t>
  </si>
  <si>
    <t xml:space="preserve">P-001804</t>
  </si>
  <si>
    <t xml:space="preserve">P-001805</t>
  </si>
  <si>
    <t xml:space="preserve">P-001806</t>
  </si>
  <si>
    <t xml:space="preserve">P-001807</t>
  </si>
  <si>
    <t xml:space="preserve">P-001808</t>
  </si>
  <si>
    <t xml:space="preserve">P-001809</t>
  </si>
  <si>
    <t xml:space="preserve">P-001810</t>
  </si>
  <si>
    <t xml:space="preserve">P-001811</t>
  </si>
  <si>
    <t xml:space="preserve">P-001812</t>
  </si>
  <si>
    <t xml:space="preserve">P-001813</t>
  </si>
  <si>
    <t xml:space="preserve">P-001814</t>
  </si>
  <si>
    <t xml:space="preserve">P-001815</t>
  </si>
  <si>
    <t xml:space="preserve">P-001816</t>
  </si>
  <si>
    <t xml:space="preserve">P-001817</t>
  </si>
  <si>
    <t xml:space="preserve">P-001818</t>
  </si>
  <si>
    <t xml:space="preserve">P-001819</t>
  </si>
  <si>
    <t xml:space="preserve">P-001820</t>
  </si>
  <si>
    <t xml:space="preserve">P-001821</t>
  </si>
  <si>
    <t xml:space="preserve">P-001822</t>
  </si>
  <si>
    <t xml:space="preserve">P-001823</t>
  </si>
  <si>
    <t xml:space="preserve">P-001824</t>
  </si>
  <si>
    <t xml:space="preserve">P-001825</t>
  </si>
  <si>
    <t xml:space="preserve">P-001826</t>
  </si>
  <si>
    <t xml:space="preserve">P-001827</t>
  </si>
  <si>
    <t xml:space="preserve">P-001828</t>
  </si>
  <si>
    <t xml:space="preserve">P-001829</t>
  </si>
  <si>
    <t xml:space="preserve">P-001830</t>
  </si>
  <si>
    <t xml:space="preserve">P-001831</t>
  </si>
  <si>
    <t xml:space="preserve">P-001832</t>
  </si>
  <si>
    <t xml:space="preserve">P-001833</t>
  </si>
  <si>
    <t xml:space="preserve">P-001834</t>
  </si>
  <si>
    <t xml:space="preserve">P-001835</t>
  </si>
  <si>
    <t xml:space="preserve">P-001836</t>
  </si>
  <si>
    <t xml:space="preserve">P-001837</t>
  </si>
  <si>
    <t xml:space="preserve">P-001838</t>
  </si>
  <si>
    <t xml:space="preserve">P-001839</t>
  </si>
  <si>
    <t xml:space="preserve">P-001840</t>
  </si>
  <si>
    <t xml:space="preserve">P-001841</t>
  </si>
  <si>
    <t xml:space="preserve">P-001842</t>
  </si>
  <si>
    <t xml:space="preserve">P-001843</t>
  </si>
  <si>
    <t xml:space="preserve">P-001844</t>
  </si>
  <si>
    <t xml:space="preserve">P-001845</t>
  </si>
  <si>
    <t xml:space="preserve">P-001846</t>
  </si>
  <si>
    <t xml:space="preserve">P-001847</t>
  </si>
  <si>
    <t xml:space="preserve">P-001848</t>
  </si>
  <si>
    <t xml:space="preserve">P-001849</t>
  </si>
  <si>
    <t xml:space="preserve">P-001850</t>
  </si>
  <si>
    <t xml:space="preserve">P-001851</t>
  </si>
  <si>
    <t xml:space="preserve">P-001852</t>
  </si>
  <si>
    <t xml:space="preserve">P-001853</t>
  </si>
  <si>
    <t xml:space="preserve">P-001854</t>
  </si>
  <si>
    <t xml:space="preserve">P-001855</t>
  </si>
  <si>
    <t xml:space="preserve">P-001856</t>
  </si>
  <si>
    <t xml:space="preserve">P-001857</t>
  </si>
  <si>
    <t xml:space="preserve">P-001858</t>
  </si>
  <si>
    <t xml:space="preserve">P-001859</t>
  </si>
  <si>
    <t xml:space="preserve">P-001860</t>
  </si>
  <si>
    <t xml:space="preserve">P-001861</t>
  </si>
  <si>
    <t xml:space="preserve">P-001862</t>
  </si>
  <si>
    <t xml:space="preserve">P-001863</t>
  </si>
  <si>
    <t xml:space="preserve">P-001864</t>
  </si>
  <si>
    <t xml:space="preserve">P-001865</t>
  </si>
  <si>
    <t xml:space="preserve">P-001866</t>
  </si>
  <si>
    <t xml:space="preserve">P-001867</t>
  </si>
  <si>
    <t xml:space="preserve">P-001868</t>
  </si>
  <si>
    <t xml:space="preserve">P-001869</t>
  </si>
  <si>
    <t xml:space="preserve">P-001870</t>
  </si>
  <si>
    <t xml:space="preserve">P-001871</t>
  </si>
  <si>
    <t xml:space="preserve">P-001872</t>
  </si>
  <si>
    <t xml:space="preserve">P-001873</t>
  </si>
  <si>
    <t xml:space="preserve">P-001874</t>
  </si>
  <si>
    <t xml:space="preserve">P-001875</t>
  </si>
  <si>
    <t xml:space="preserve">P-001876</t>
  </si>
  <si>
    <t xml:space="preserve">P-001877</t>
  </si>
  <si>
    <t xml:space="preserve">P-001878</t>
  </si>
  <si>
    <t xml:space="preserve">P-001879</t>
  </si>
  <si>
    <t xml:space="preserve">P-001880</t>
  </si>
  <si>
    <t xml:space="preserve">P-001881</t>
  </si>
  <si>
    <t xml:space="preserve">P-001882</t>
  </si>
  <si>
    <t xml:space="preserve">P-001883</t>
  </si>
  <si>
    <t xml:space="preserve">P-001884</t>
  </si>
  <si>
    <t xml:space="preserve">P-001885</t>
  </si>
  <si>
    <t xml:space="preserve">P-001886</t>
  </si>
  <si>
    <t xml:space="preserve">P-001887</t>
  </si>
  <si>
    <t xml:space="preserve">P-001888</t>
  </si>
  <si>
    <t xml:space="preserve">P-001889</t>
  </si>
  <si>
    <t xml:space="preserve">P-001890</t>
  </si>
  <si>
    <t xml:space="preserve">P-001891</t>
  </si>
  <si>
    <t xml:space="preserve">P-001892</t>
  </si>
  <si>
    <t xml:space="preserve">P-001893</t>
  </si>
  <si>
    <t xml:space="preserve">P-001894</t>
  </si>
  <si>
    <t xml:space="preserve">P-001895</t>
  </si>
  <si>
    <t xml:space="preserve">P-001896</t>
  </si>
  <si>
    <t xml:space="preserve">P-001897</t>
  </si>
  <si>
    <t xml:space="preserve">P-001898</t>
  </si>
  <si>
    <t xml:space="preserve">P-001899</t>
  </si>
  <si>
    <t xml:space="preserve">P-001900</t>
  </si>
  <si>
    <t xml:space="preserve">P-001901</t>
  </si>
  <si>
    <t xml:space="preserve">P-001902</t>
  </si>
  <si>
    <t xml:space="preserve">P-001903</t>
  </si>
  <si>
    <t xml:space="preserve">P-001904</t>
  </si>
  <si>
    <t xml:space="preserve">P-001905</t>
  </si>
  <si>
    <t xml:space="preserve">P-001906</t>
  </si>
  <si>
    <t xml:space="preserve">P-001907</t>
  </si>
  <si>
    <t xml:space="preserve">P-001908</t>
  </si>
  <si>
    <t xml:space="preserve">P-001909</t>
  </si>
  <si>
    <t xml:space="preserve">P-001910</t>
  </si>
  <si>
    <t xml:space="preserve">P-001911</t>
  </si>
  <si>
    <t xml:space="preserve">P-001912</t>
  </si>
  <si>
    <t xml:space="preserve">P-001913</t>
  </si>
  <si>
    <t xml:space="preserve">P-001914</t>
  </si>
  <si>
    <t xml:space="preserve">P-001915</t>
  </si>
  <si>
    <t xml:space="preserve">P-001916</t>
  </si>
  <si>
    <t xml:space="preserve">P-001917</t>
  </si>
  <si>
    <t xml:space="preserve">P-001918</t>
  </si>
  <si>
    <t xml:space="preserve">P-001919</t>
  </si>
  <si>
    <t xml:space="preserve">P-001920</t>
  </si>
  <si>
    <t xml:space="preserve">P-001921</t>
  </si>
  <si>
    <t xml:space="preserve">P-001922</t>
  </si>
  <si>
    <t xml:space="preserve">P-001923</t>
  </si>
  <si>
    <t xml:space="preserve">P-001924</t>
  </si>
  <si>
    <t xml:space="preserve">P-001925</t>
  </si>
  <si>
    <t xml:space="preserve">P-001926</t>
  </si>
  <si>
    <t xml:space="preserve">P-001927</t>
  </si>
  <si>
    <t xml:space="preserve">P-001928</t>
  </si>
  <si>
    <t xml:space="preserve">P-001929</t>
  </si>
  <si>
    <t xml:space="preserve">P-001930</t>
  </si>
  <si>
    <t xml:space="preserve">P-001931</t>
  </si>
  <si>
    <t xml:space="preserve">P-001932</t>
  </si>
  <si>
    <t xml:space="preserve">P-001933</t>
  </si>
  <si>
    <t xml:space="preserve">P-001934</t>
  </si>
  <si>
    <t xml:space="preserve">P-001935</t>
  </si>
  <si>
    <t xml:space="preserve">P-001936</t>
  </si>
  <si>
    <t xml:space="preserve">P-001937</t>
  </si>
  <si>
    <t xml:space="preserve">P-001938</t>
  </si>
  <si>
    <t xml:space="preserve">P-001939</t>
  </si>
  <si>
    <t xml:space="preserve">P-001940</t>
  </si>
  <si>
    <t xml:space="preserve">P-001941</t>
  </si>
  <si>
    <t xml:space="preserve">P-001942</t>
  </si>
  <si>
    <t xml:space="preserve">P-001943</t>
  </si>
  <si>
    <t xml:space="preserve">P-001944</t>
  </si>
  <si>
    <t xml:space="preserve">P-001945</t>
  </si>
  <si>
    <t xml:space="preserve">P-001946</t>
  </si>
  <si>
    <t xml:space="preserve">P-001947</t>
  </si>
  <si>
    <t xml:space="preserve">P-001948</t>
  </si>
  <si>
    <t xml:space="preserve">P-001949</t>
  </si>
  <si>
    <t xml:space="preserve">P-001950</t>
  </si>
  <si>
    <t xml:space="preserve">P-001951</t>
  </si>
  <si>
    <t xml:space="preserve">P-001952</t>
  </si>
  <si>
    <t xml:space="preserve">P-001953</t>
  </si>
  <si>
    <t xml:space="preserve">P-001954</t>
  </si>
  <si>
    <t xml:space="preserve">P-001955</t>
  </si>
  <si>
    <t xml:space="preserve">P-001956</t>
  </si>
  <si>
    <t xml:space="preserve">P-001957</t>
  </si>
  <si>
    <t xml:space="preserve">P-001958</t>
  </si>
  <si>
    <t xml:space="preserve">P-001959</t>
  </si>
  <si>
    <t xml:space="preserve">P-001960</t>
  </si>
  <si>
    <t xml:space="preserve">P-001961</t>
  </si>
  <si>
    <t xml:space="preserve">P-001962</t>
  </si>
  <si>
    <t xml:space="preserve">P-001963</t>
  </si>
  <si>
    <t xml:space="preserve">P-001964</t>
  </si>
  <si>
    <t xml:space="preserve">P-001965</t>
  </si>
  <si>
    <t xml:space="preserve">P-001966</t>
  </si>
  <si>
    <t xml:space="preserve">P-001967</t>
  </si>
  <si>
    <t xml:space="preserve">P-001968</t>
  </si>
  <si>
    <t xml:space="preserve">P-001969</t>
  </si>
  <si>
    <t xml:space="preserve">P-001970</t>
  </si>
  <si>
    <t xml:space="preserve">P-001971</t>
  </si>
  <si>
    <t xml:space="preserve">P-001972</t>
  </si>
  <si>
    <t xml:space="preserve">P-001973</t>
  </si>
  <si>
    <t xml:space="preserve">P-001974</t>
  </si>
  <si>
    <t xml:space="preserve">P-001975</t>
  </si>
  <si>
    <t xml:space="preserve">P-001976</t>
  </si>
  <si>
    <t xml:space="preserve">P-001977</t>
  </si>
  <si>
    <t xml:space="preserve">P-001978</t>
  </si>
  <si>
    <t xml:space="preserve">P-001979</t>
  </si>
  <si>
    <t xml:space="preserve">P-001980</t>
  </si>
  <si>
    <t xml:space="preserve">P-001981</t>
  </si>
  <si>
    <t xml:space="preserve">P-001982</t>
  </si>
  <si>
    <t xml:space="preserve">P-001983</t>
  </si>
  <si>
    <t xml:space="preserve">P-001984</t>
  </si>
  <si>
    <t xml:space="preserve">P-001985</t>
  </si>
  <si>
    <t xml:space="preserve">P-001986</t>
  </si>
  <si>
    <t xml:space="preserve">P-001987</t>
  </si>
  <si>
    <t xml:space="preserve">P-001988</t>
  </si>
  <si>
    <t xml:space="preserve">P-001989</t>
  </si>
  <si>
    <t xml:space="preserve">P-001990</t>
  </si>
  <si>
    <t xml:space="preserve">P-001991</t>
  </si>
  <si>
    <t xml:space="preserve">P-001992</t>
  </si>
  <si>
    <t xml:space="preserve">P-001993</t>
  </si>
  <si>
    <t xml:space="preserve">P-001994</t>
  </si>
  <si>
    <t xml:space="preserve">P-001995</t>
  </si>
  <si>
    <t xml:space="preserve">P-001996</t>
  </si>
  <si>
    <t xml:space="preserve">P-001997</t>
  </si>
  <si>
    <t xml:space="preserve">P-001998</t>
  </si>
  <si>
    <t xml:space="preserve">P-001999</t>
  </si>
  <si>
    <t xml:space="preserve">P-002000</t>
  </si>
  <si>
    <t xml:space="preserve">P-002001</t>
  </si>
  <si>
    <t xml:space="preserve">P-002002</t>
  </si>
  <si>
    <t xml:space="preserve">P-002003</t>
  </si>
  <si>
    <t xml:space="preserve">P-002004</t>
  </si>
  <si>
    <t xml:space="preserve">P-002005</t>
  </si>
  <si>
    <t xml:space="preserve">P-002006</t>
  </si>
  <si>
    <t xml:space="preserve">P-002007</t>
  </si>
  <si>
    <t xml:space="preserve">P-002008</t>
  </si>
  <si>
    <t xml:space="preserve">P-002009</t>
  </si>
  <si>
    <t xml:space="preserve">P-002010</t>
  </si>
  <si>
    <t xml:space="preserve">P-002011</t>
  </si>
  <si>
    <t xml:space="preserve">P-002012</t>
  </si>
  <si>
    <t xml:space="preserve">P-002013</t>
  </si>
  <si>
    <t xml:space="preserve">P-002014</t>
  </si>
  <si>
    <t xml:space="preserve">P-002015</t>
  </si>
  <si>
    <t xml:space="preserve">P-002016</t>
  </si>
  <si>
    <t xml:space="preserve">P-002017</t>
  </si>
  <si>
    <t xml:space="preserve">P-002018</t>
  </si>
  <si>
    <t xml:space="preserve">P-002019</t>
  </si>
  <si>
    <t xml:space="preserve">P-002020</t>
  </si>
  <si>
    <t xml:space="preserve">P-002021</t>
  </si>
  <si>
    <t xml:space="preserve">P-002022</t>
  </si>
  <si>
    <t xml:space="preserve">P-002023</t>
  </si>
  <si>
    <t xml:space="preserve">P-002024</t>
  </si>
  <si>
    <t xml:space="preserve">P-002025</t>
  </si>
  <si>
    <t xml:space="preserve">P-002026</t>
  </si>
  <si>
    <t xml:space="preserve">P-002027</t>
  </si>
  <si>
    <t xml:space="preserve">P-002028</t>
  </si>
  <si>
    <t xml:space="preserve">P-002029</t>
  </si>
  <si>
    <t xml:space="preserve">P-002030</t>
  </si>
  <si>
    <t xml:space="preserve">P-002031</t>
  </si>
  <si>
    <t xml:space="preserve">P-002032</t>
  </si>
  <si>
    <t xml:space="preserve">P-002033</t>
  </si>
  <si>
    <t xml:space="preserve">P-002034</t>
  </si>
  <si>
    <t xml:space="preserve">P-002035</t>
  </si>
  <si>
    <t xml:space="preserve">P-002036</t>
  </si>
  <si>
    <t xml:space="preserve">P-002037</t>
  </si>
  <si>
    <t xml:space="preserve">P-002038</t>
  </si>
  <si>
    <t xml:space="preserve">P-002039</t>
  </si>
  <si>
    <t xml:space="preserve">P-002040</t>
  </si>
  <si>
    <t xml:space="preserve">P-002041</t>
  </si>
  <si>
    <t xml:space="preserve">P-002042</t>
  </si>
  <si>
    <t xml:space="preserve">P-002043</t>
  </si>
  <si>
    <t xml:space="preserve">P-002044</t>
  </si>
  <si>
    <t xml:space="preserve">P-002045</t>
  </si>
  <si>
    <t xml:space="preserve">P-002046</t>
  </si>
  <si>
    <t xml:space="preserve">P-002047</t>
  </si>
  <si>
    <t xml:space="preserve">P-002048</t>
  </si>
  <si>
    <t xml:space="preserve">P-002049</t>
  </si>
  <si>
    <t xml:space="preserve">P-002050</t>
  </si>
  <si>
    <t xml:space="preserve">P-002051</t>
  </si>
  <si>
    <t xml:space="preserve">P-002052</t>
  </si>
  <si>
    <t xml:space="preserve">P-002053</t>
  </si>
  <si>
    <t xml:space="preserve">P-002054</t>
  </si>
  <si>
    <t xml:space="preserve">P-002055</t>
  </si>
  <si>
    <t xml:space="preserve">P-002056</t>
  </si>
  <si>
    <t xml:space="preserve">P-002057</t>
  </si>
  <si>
    <t xml:space="preserve">P-002058</t>
  </si>
  <si>
    <t xml:space="preserve">P-002059</t>
  </si>
  <si>
    <t xml:space="preserve">P-002060</t>
  </si>
  <si>
    <t xml:space="preserve">P-002061</t>
  </si>
  <si>
    <t xml:space="preserve">P-002062</t>
  </si>
  <si>
    <t xml:space="preserve">P-002063</t>
  </si>
  <si>
    <t xml:space="preserve">P-002064</t>
  </si>
  <si>
    <t xml:space="preserve">P-002065</t>
  </si>
  <si>
    <t xml:space="preserve">P-002066</t>
  </si>
  <si>
    <t xml:space="preserve">P-002067</t>
  </si>
  <si>
    <t xml:space="preserve">P-002068</t>
  </si>
  <si>
    <t xml:space="preserve">P-002069</t>
  </si>
  <si>
    <t xml:space="preserve">P-002070</t>
  </si>
  <si>
    <t xml:space="preserve">P-002071</t>
  </si>
  <si>
    <t xml:space="preserve">P-002072</t>
  </si>
  <si>
    <t xml:space="preserve">P-002073</t>
  </si>
  <si>
    <t xml:space="preserve">P-002074</t>
  </si>
  <si>
    <t xml:space="preserve">P-002075</t>
  </si>
  <si>
    <t xml:space="preserve">P-002076</t>
  </si>
  <si>
    <t xml:space="preserve">P-002077</t>
  </si>
  <si>
    <t xml:space="preserve">P-002078</t>
  </si>
  <si>
    <t xml:space="preserve">P-002079</t>
  </si>
  <si>
    <t xml:space="preserve">P-002080</t>
  </si>
  <si>
    <t xml:space="preserve">P-002081</t>
  </si>
  <si>
    <t xml:space="preserve">P-002082</t>
  </si>
  <si>
    <t xml:space="preserve">P-002083</t>
  </si>
  <si>
    <t xml:space="preserve">P-002084</t>
  </si>
  <si>
    <t xml:space="preserve">P-002085</t>
  </si>
  <si>
    <t xml:space="preserve">P-002086</t>
  </si>
  <si>
    <t xml:space="preserve">P-002087</t>
  </si>
  <si>
    <t xml:space="preserve">P-002088</t>
  </si>
  <si>
    <t xml:space="preserve">P-002089</t>
  </si>
  <si>
    <t xml:space="preserve">P-002090</t>
  </si>
  <si>
    <t xml:space="preserve">P-002091</t>
  </si>
  <si>
    <t xml:space="preserve">P-002092</t>
  </si>
  <si>
    <t xml:space="preserve">P-002093</t>
  </si>
  <si>
    <t xml:space="preserve">P-002094</t>
  </si>
  <si>
    <t xml:space="preserve">P-002095</t>
  </si>
  <si>
    <t xml:space="preserve">P-002096</t>
  </si>
  <si>
    <t xml:space="preserve">P-002097</t>
  </si>
  <si>
    <t xml:space="preserve">P-002098</t>
  </si>
  <si>
    <t xml:space="preserve">P-002099</t>
  </si>
  <si>
    <t xml:space="preserve">P-002100</t>
  </si>
  <si>
    <t xml:space="preserve">P-002101</t>
  </si>
  <si>
    <t xml:space="preserve">P-002102</t>
  </si>
  <si>
    <t xml:space="preserve">P-002103</t>
  </si>
  <si>
    <t xml:space="preserve">P-002104</t>
  </si>
  <si>
    <t xml:space="preserve">P-002105</t>
  </si>
  <si>
    <t xml:space="preserve">P-002106</t>
  </si>
  <si>
    <t xml:space="preserve">P-002107</t>
  </si>
  <si>
    <t xml:space="preserve">P-002108</t>
  </si>
  <si>
    <t xml:space="preserve">P-002109</t>
  </si>
  <si>
    <t xml:space="preserve">P-002110</t>
  </si>
  <si>
    <t xml:space="preserve">P-002111</t>
  </si>
  <si>
    <t xml:space="preserve">P-002112</t>
  </si>
  <si>
    <t xml:space="preserve">P-002113</t>
  </si>
  <si>
    <t xml:space="preserve">P-002114</t>
  </si>
  <si>
    <t xml:space="preserve">P-002115</t>
  </si>
  <si>
    <t xml:space="preserve">P-002116</t>
  </si>
  <si>
    <t xml:space="preserve">P-002117</t>
  </si>
  <si>
    <t xml:space="preserve">P-002118</t>
  </si>
  <si>
    <t xml:space="preserve">P-002119</t>
  </si>
  <si>
    <t xml:space="preserve">P-002120</t>
  </si>
  <si>
    <t xml:space="preserve">P-002121</t>
  </si>
  <si>
    <t xml:space="preserve">P-002122</t>
  </si>
  <si>
    <t xml:space="preserve">P-002123</t>
  </si>
  <si>
    <t xml:space="preserve">P-002124</t>
  </si>
  <si>
    <t xml:space="preserve">P-002125</t>
  </si>
  <si>
    <t xml:space="preserve">P-002126</t>
  </si>
  <si>
    <t xml:space="preserve">P-002127</t>
  </si>
  <si>
    <t xml:space="preserve">P-002128</t>
  </si>
  <si>
    <t xml:space="preserve">P-002129</t>
  </si>
  <si>
    <t xml:space="preserve">P-002130</t>
  </si>
  <si>
    <t xml:space="preserve">P-002131</t>
  </si>
  <si>
    <t xml:space="preserve">P-002132</t>
  </si>
  <si>
    <t xml:space="preserve">P-002133</t>
  </si>
  <si>
    <t xml:space="preserve">P-002134</t>
  </si>
  <si>
    <t xml:space="preserve">P-002135</t>
  </si>
  <si>
    <t xml:space="preserve">P-002136</t>
  </si>
  <si>
    <t xml:space="preserve">P-002137</t>
  </si>
  <si>
    <t xml:space="preserve">P-002138</t>
  </si>
  <si>
    <t xml:space="preserve">P-002139</t>
  </si>
  <si>
    <t xml:space="preserve">P-002140</t>
  </si>
  <si>
    <t xml:space="preserve">P-002141</t>
  </si>
  <si>
    <t xml:space="preserve">P-002142</t>
  </si>
  <si>
    <t xml:space="preserve">P-002143</t>
  </si>
  <si>
    <t xml:space="preserve">P-002144</t>
  </si>
  <si>
    <t xml:space="preserve">P-002145</t>
  </si>
  <si>
    <t xml:space="preserve">P-002146</t>
  </si>
  <si>
    <t xml:space="preserve">P-002147</t>
  </si>
  <si>
    <t xml:space="preserve">P-002148</t>
  </si>
  <si>
    <t xml:space="preserve">P-002149</t>
  </si>
  <si>
    <t xml:space="preserve">P-002150</t>
  </si>
  <si>
    <t xml:space="preserve">P-002151</t>
  </si>
  <si>
    <t xml:space="preserve">P-002152</t>
  </si>
  <si>
    <t xml:space="preserve">P-002153</t>
  </si>
  <si>
    <t xml:space="preserve">P-002154</t>
  </si>
  <si>
    <t xml:space="preserve">P-002155</t>
  </si>
  <si>
    <t xml:space="preserve">P-002156</t>
  </si>
  <si>
    <t xml:space="preserve">P-002157</t>
  </si>
  <si>
    <t xml:space="preserve">P-002158</t>
  </si>
  <si>
    <t xml:space="preserve">P-002159</t>
  </si>
  <si>
    <t xml:space="preserve">P-002160</t>
  </si>
  <si>
    <t xml:space="preserve">P-002161</t>
  </si>
  <si>
    <t xml:space="preserve">P-002162</t>
  </si>
  <si>
    <t xml:space="preserve">P-002163</t>
  </si>
  <si>
    <t xml:space="preserve">P-002164</t>
  </si>
  <si>
    <t xml:space="preserve">P-002165</t>
  </si>
  <si>
    <t xml:space="preserve">P-002166</t>
  </si>
  <si>
    <t xml:space="preserve">P-002167</t>
  </si>
  <si>
    <t xml:space="preserve">P-002168</t>
  </si>
  <si>
    <t xml:space="preserve">P-002169</t>
  </si>
  <si>
    <t xml:space="preserve">P-002170</t>
  </si>
  <si>
    <t xml:space="preserve">P-002171</t>
  </si>
  <si>
    <t xml:space="preserve">P-002172</t>
  </si>
  <si>
    <t xml:space="preserve">P-002173</t>
  </si>
  <si>
    <t xml:space="preserve">P-002174</t>
  </si>
  <si>
    <t xml:space="preserve">P-002175</t>
  </si>
  <si>
    <t xml:space="preserve">P-002176</t>
  </si>
  <si>
    <t xml:space="preserve">P-002177</t>
  </si>
  <si>
    <t xml:space="preserve">P-002178</t>
  </si>
  <si>
    <t xml:space="preserve">P-002179</t>
  </si>
  <si>
    <t xml:space="preserve">P-002180</t>
  </si>
  <si>
    <t xml:space="preserve">P-002181</t>
  </si>
  <si>
    <t xml:space="preserve">P-002182</t>
  </si>
  <si>
    <t xml:space="preserve">P-002183</t>
  </si>
  <si>
    <t xml:space="preserve">P-002184</t>
  </si>
  <si>
    <t xml:space="preserve">P-002185</t>
  </si>
  <si>
    <t xml:space="preserve">P-002186</t>
  </si>
  <si>
    <t xml:space="preserve">P-002187</t>
  </si>
  <si>
    <t xml:space="preserve">P-002188</t>
  </si>
  <si>
    <t xml:space="preserve">P-002189</t>
  </si>
  <si>
    <t xml:space="preserve">P-002190</t>
  </si>
  <si>
    <t xml:space="preserve">P-002191</t>
  </si>
  <si>
    <t xml:space="preserve">P-002192</t>
  </si>
  <si>
    <t xml:space="preserve">P-002193</t>
  </si>
  <si>
    <t xml:space="preserve">P-002194</t>
  </si>
  <si>
    <t xml:space="preserve">P-002195</t>
  </si>
  <si>
    <t xml:space="preserve">P-002196</t>
  </si>
  <si>
    <t xml:space="preserve">P-002197</t>
  </si>
  <si>
    <t xml:space="preserve">P-002198</t>
  </si>
  <si>
    <t xml:space="preserve">P-002199</t>
  </si>
  <si>
    <t xml:space="preserve">P-002200</t>
  </si>
  <si>
    <t xml:space="preserve">P-002201</t>
  </si>
  <si>
    <t xml:space="preserve">P-002202</t>
  </si>
  <si>
    <t xml:space="preserve">P-002203</t>
  </si>
  <si>
    <t xml:space="preserve">P-002204</t>
  </si>
  <si>
    <t xml:space="preserve">P-002205</t>
  </si>
  <si>
    <t xml:space="preserve">P-002206</t>
  </si>
  <si>
    <t xml:space="preserve">P-002207</t>
  </si>
  <si>
    <t xml:space="preserve">P-002208</t>
  </si>
  <si>
    <t xml:space="preserve">P-002209</t>
  </si>
  <si>
    <t xml:space="preserve">P-002210</t>
  </si>
  <si>
    <t xml:space="preserve">P-002211</t>
  </si>
  <si>
    <t xml:space="preserve">P-002212</t>
  </si>
  <si>
    <t xml:space="preserve">P-002213</t>
  </si>
  <si>
    <t xml:space="preserve">P-002214</t>
  </si>
  <si>
    <t xml:space="preserve">P-002215</t>
  </si>
  <si>
    <t xml:space="preserve">P-002216</t>
  </si>
  <si>
    <t xml:space="preserve">P-002217</t>
  </si>
  <si>
    <t xml:space="preserve">P-002218</t>
  </si>
  <si>
    <t xml:space="preserve">P-002219</t>
  </si>
  <si>
    <t xml:space="preserve">P-002220</t>
  </si>
  <si>
    <t xml:space="preserve">P-002221</t>
  </si>
  <si>
    <t xml:space="preserve">P-002222</t>
  </si>
  <si>
    <t xml:space="preserve">P-002223</t>
  </si>
  <si>
    <t xml:space="preserve">P-002224</t>
  </si>
  <si>
    <t xml:space="preserve">P-002225</t>
  </si>
  <si>
    <t xml:space="preserve">P-002226</t>
  </si>
  <si>
    <t xml:space="preserve">P-002227</t>
  </si>
  <si>
    <t xml:space="preserve">P-002228</t>
  </si>
  <si>
    <t xml:space="preserve">P-002229</t>
  </si>
  <si>
    <t xml:space="preserve">P-002230</t>
  </si>
  <si>
    <t xml:space="preserve">P-002231</t>
  </si>
  <si>
    <t xml:space="preserve">P-002232</t>
  </si>
  <si>
    <t xml:space="preserve">P-002233</t>
  </si>
  <si>
    <t xml:space="preserve">P-002234</t>
  </si>
  <si>
    <t xml:space="preserve">P-002235</t>
  </si>
  <si>
    <t xml:space="preserve">P-002236</t>
  </si>
  <si>
    <t xml:space="preserve">P-002237</t>
  </si>
  <si>
    <t xml:space="preserve">P-002238</t>
  </si>
  <si>
    <t xml:space="preserve">P-002239</t>
  </si>
  <si>
    <t xml:space="preserve">P-002240</t>
  </si>
  <si>
    <t xml:space="preserve">P-002241</t>
  </si>
  <si>
    <t xml:space="preserve">P-002242</t>
  </si>
  <si>
    <t xml:space="preserve">P-002243</t>
  </si>
  <si>
    <t xml:space="preserve">P-002244</t>
  </si>
  <si>
    <t xml:space="preserve">P-002245</t>
  </si>
  <si>
    <t xml:space="preserve">P-002246</t>
  </si>
  <si>
    <t xml:space="preserve">P-002247</t>
  </si>
  <si>
    <t xml:space="preserve">P-002248</t>
  </si>
  <si>
    <t xml:space="preserve">P-002249</t>
  </si>
  <si>
    <t xml:space="preserve">P-002250</t>
  </si>
  <si>
    <t xml:space="preserve">P-002251</t>
  </si>
  <si>
    <t xml:space="preserve">P-002252</t>
  </si>
  <si>
    <t xml:space="preserve">P-002253</t>
  </si>
  <si>
    <t xml:space="preserve">P-002254</t>
  </si>
  <si>
    <t xml:space="preserve">P-002255</t>
  </si>
  <si>
    <t xml:space="preserve">P-002256</t>
  </si>
  <si>
    <t xml:space="preserve">P-002257</t>
  </si>
  <si>
    <t xml:space="preserve">P-002258</t>
  </si>
  <si>
    <t xml:space="preserve">P-002259</t>
  </si>
  <si>
    <t xml:space="preserve">P-002260</t>
  </si>
  <si>
    <t xml:space="preserve">P-002261</t>
  </si>
  <si>
    <t xml:space="preserve">P-002262</t>
  </si>
  <si>
    <t xml:space="preserve">P-002263</t>
  </si>
  <si>
    <t xml:space="preserve">P-002264</t>
  </si>
  <si>
    <t xml:space="preserve">P-002265</t>
  </si>
  <si>
    <t xml:space="preserve">P-002266</t>
  </si>
  <si>
    <t xml:space="preserve">P-002267</t>
  </si>
  <si>
    <t xml:space="preserve">P-002268</t>
  </si>
  <si>
    <t xml:space="preserve">P-002269</t>
  </si>
  <si>
    <t xml:space="preserve">P-002270</t>
  </si>
  <si>
    <t xml:space="preserve">P-002271</t>
  </si>
  <si>
    <t xml:space="preserve">P-002272</t>
  </si>
  <si>
    <t xml:space="preserve">P-002273</t>
  </si>
  <si>
    <t xml:space="preserve">P-002274</t>
  </si>
  <si>
    <t xml:space="preserve">P-002275</t>
  </si>
  <si>
    <t xml:space="preserve">P-002276</t>
  </si>
  <si>
    <t xml:space="preserve">P-002277</t>
  </si>
  <si>
    <t xml:space="preserve">P-002278</t>
  </si>
  <si>
    <t xml:space="preserve">P-002279</t>
  </si>
  <si>
    <t xml:space="preserve">P-002280</t>
  </si>
  <si>
    <t xml:space="preserve">P-002281</t>
  </si>
  <si>
    <t xml:space="preserve">P-002282</t>
  </si>
  <si>
    <t xml:space="preserve">P-002283</t>
  </si>
  <si>
    <t xml:space="preserve">P-002284</t>
  </si>
  <si>
    <t xml:space="preserve">P-002285</t>
  </si>
  <si>
    <t xml:space="preserve">P-002286</t>
  </si>
  <si>
    <t xml:space="preserve">P-002287</t>
  </si>
  <si>
    <t xml:space="preserve">P-002288</t>
  </si>
  <si>
    <t xml:space="preserve">P-002289</t>
  </si>
  <si>
    <t xml:space="preserve">P-002290</t>
  </si>
  <si>
    <t xml:space="preserve">P-002291</t>
  </si>
  <si>
    <t xml:space="preserve">P-002292</t>
  </si>
  <si>
    <t xml:space="preserve">P-002293</t>
  </si>
  <si>
    <t xml:space="preserve">P-002294</t>
  </si>
  <si>
    <t xml:space="preserve">P-002295</t>
  </si>
  <si>
    <t xml:space="preserve">P-002296</t>
  </si>
  <si>
    <t xml:space="preserve">P-002297</t>
  </si>
  <si>
    <t xml:space="preserve">P-002298</t>
  </si>
  <si>
    <t xml:space="preserve">P-002299</t>
  </si>
  <si>
    <t xml:space="preserve">P-002300</t>
  </si>
  <si>
    <t xml:space="preserve">P-002301</t>
  </si>
  <si>
    <t xml:space="preserve">P-002302</t>
  </si>
  <si>
    <t xml:space="preserve">P-002303</t>
  </si>
  <si>
    <t xml:space="preserve">P-002304</t>
  </si>
  <si>
    <t xml:space="preserve">P-002305</t>
  </si>
  <si>
    <t xml:space="preserve">P-002306</t>
  </si>
  <si>
    <t xml:space="preserve">P-002307</t>
  </si>
  <si>
    <t xml:space="preserve">P-002308</t>
  </si>
  <si>
    <t xml:space="preserve">P-002309</t>
  </si>
  <si>
    <t xml:space="preserve">P-002310</t>
  </si>
  <si>
    <t xml:space="preserve">P-002311</t>
  </si>
  <si>
    <t xml:space="preserve">P-002312</t>
  </si>
  <si>
    <t xml:space="preserve">P-002313</t>
  </si>
  <si>
    <t xml:space="preserve">P-002314</t>
  </si>
  <si>
    <t xml:space="preserve">P-002315</t>
  </si>
  <si>
    <t xml:space="preserve">P-002316</t>
  </si>
  <si>
    <t xml:space="preserve">P-002317</t>
  </si>
  <si>
    <t xml:space="preserve">P-002318</t>
  </si>
  <si>
    <t xml:space="preserve">P-002319</t>
  </si>
  <si>
    <t xml:space="preserve">P-002320</t>
  </si>
  <si>
    <t xml:space="preserve">P-002321</t>
  </si>
  <si>
    <t xml:space="preserve">P-002322</t>
  </si>
  <si>
    <t xml:space="preserve">P-002323</t>
  </si>
  <si>
    <t xml:space="preserve">P-002324</t>
  </si>
  <si>
    <t xml:space="preserve">P-002325</t>
  </si>
  <si>
    <t xml:space="preserve">P-002326</t>
  </si>
  <si>
    <t xml:space="preserve">P-002327</t>
  </si>
  <si>
    <t xml:space="preserve">P-002328</t>
  </si>
  <si>
    <t xml:space="preserve">P-002329</t>
  </si>
  <si>
    <t xml:space="preserve">P-002330</t>
  </si>
  <si>
    <t xml:space="preserve">P-002331</t>
  </si>
  <si>
    <t xml:space="preserve">P-002332</t>
  </si>
  <si>
    <t xml:space="preserve">P-002333</t>
  </si>
  <si>
    <t xml:space="preserve">P-002334</t>
  </si>
  <si>
    <t xml:space="preserve">P-002335</t>
  </si>
  <si>
    <t xml:space="preserve">P-002336</t>
  </si>
  <si>
    <t xml:space="preserve">P-002337</t>
  </si>
  <si>
    <t xml:space="preserve">P-002338</t>
  </si>
  <si>
    <t xml:space="preserve">P-002339</t>
  </si>
  <si>
    <t xml:space="preserve">P-002340</t>
  </si>
  <si>
    <t xml:space="preserve">P-002341</t>
  </si>
  <si>
    <t xml:space="preserve">P-002342</t>
  </si>
  <si>
    <t xml:space="preserve">P-002343</t>
  </si>
  <si>
    <t xml:space="preserve">P-002344</t>
  </si>
  <si>
    <t xml:space="preserve">P-002345</t>
  </si>
  <si>
    <t xml:space="preserve">P-002346</t>
  </si>
  <si>
    <t xml:space="preserve">P-002347</t>
  </si>
  <si>
    <t xml:space="preserve">P-002348</t>
  </si>
  <si>
    <t xml:space="preserve">P-002349</t>
  </si>
  <si>
    <t xml:space="preserve">P-002350</t>
  </si>
  <si>
    <t xml:space="preserve">P-002351</t>
  </si>
  <si>
    <t xml:space="preserve">P-002352</t>
  </si>
  <si>
    <t xml:space="preserve">P-002353</t>
  </si>
  <si>
    <t xml:space="preserve">P-002354</t>
  </si>
  <si>
    <t xml:space="preserve">P-002355</t>
  </si>
  <si>
    <t xml:space="preserve">P-002356</t>
  </si>
  <si>
    <t xml:space="preserve">P-002357</t>
  </si>
  <si>
    <t xml:space="preserve">P-002358</t>
  </si>
  <si>
    <t xml:space="preserve">P-002359</t>
  </si>
  <si>
    <t xml:space="preserve">P-002360</t>
  </si>
  <si>
    <t xml:space="preserve">P-002361</t>
  </si>
  <si>
    <t xml:space="preserve">P-002362</t>
  </si>
  <si>
    <t xml:space="preserve">P-002363</t>
  </si>
  <si>
    <t xml:space="preserve">P-002364</t>
  </si>
  <si>
    <t xml:space="preserve">P-002365</t>
  </si>
  <si>
    <t xml:space="preserve">P-002366</t>
  </si>
  <si>
    <t xml:space="preserve">P-002367</t>
  </si>
  <si>
    <t xml:space="preserve">P-002368</t>
  </si>
  <si>
    <t xml:space="preserve">P-002369</t>
  </si>
  <si>
    <t xml:space="preserve">P-002370</t>
  </si>
  <si>
    <t xml:space="preserve">P-002371</t>
  </si>
  <si>
    <t xml:space="preserve">P-002372</t>
  </si>
  <si>
    <t xml:space="preserve">P-002373</t>
  </si>
  <si>
    <t xml:space="preserve">P-002374</t>
  </si>
  <si>
    <t xml:space="preserve">P-002375</t>
  </si>
  <si>
    <t xml:space="preserve">P-002376</t>
  </si>
  <si>
    <t xml:space="preserve">P-002377</t>
  </si>
  <si>
    <t xml:space="preserve">P-002378</t>
  </si>
  <si>
    <t xml:space="preserve">P-002379</t>
  </si>
  <si>
    <t xml:space="preserve">P-002380</t>
  </si>
  <si>
    <t xml:space="preserve">P-002381</t>
  </si>
  <si>
    <t xml:space="preserve">P-002382</t>
  </si>
  <si>
    <t xml:space="preserve">P-002383</t>
  </si>
  <si>
    <t xml:space="preserve">P-002384</t>
  </si>
  <si>
    <t xml:space="preserve">P-002385</t>
  </si>
  <si>
    <t xml:space="preserve">P-002386</t>
  </si>
  <si>
    <t xml:space="preserve">P-002387</t>
  </si>
  <si>
    <t xml:space="preserve">P-002388</t>
  </si>
  <si>
    <t xml:space="preserve">P-002389</t>
  </si>
  <si>
    <t xml:space="preserve">P-002390</t>
  </si>
  <si>
    <t xml:space="preserve">P-002391</t>
  </si>
  <si>
    <t xml:space="preserve">P-002392</t>
  </si>
  <si>
    <t xml:space="preserve">P-002393</t>
  </si>
  <si>
    <t xml:space="preserve">P-002394</t>
  </si>
  <si>
    <t xml:space="preserve">P-002395</t>
  </si>
  <si>
    <t xml:space="preserve">P-002396</t>
  </si>
  <si>
    <t xml:space="preserve">P-002397</t>
  </si>
  <si>
    <t xml:space="preserve">P-002398</t>
  </si>
  <si>
    <t xml:space="preserve">P-002399</t>
  </si>
  <si>
    <t xml:space="preserve">P-002400</t>
  </si>
  <si>
    <t xml:space="preserve">P-002401</t>
  </si>
  <si>
    <t xml:space="preserve">P-002402</t>
  </si>
  <si>
    <t xml:space="preserve">P-002403</t>
  </si>
  <si>
    <t xml:space="preserve">P-002404</t>
  </si>
  <si>
    <t xml:space="preserve">P-002405</t>
  </si>
  <si>
    <t xml:space="preserve">P-002406</t>
  </si>
  <si>
    <t xml:space="preserve">P-002407</t>
  </si>
  <si>
    <t xml:space="preserve">P-002408</t>
  </si>
  <si>
    <t xml:space="preserve">P-002409</t>
  </si>
  <si>
    <t xml:space="preserve">P-002410</t>
  </si>
  <si>
    <t xml:space="preserve">P-002411</t>
  </si>
  <si>
    <t xml:space="preserve">P-002412</t>
  </si>
  <si>
    <t xml:space="preserve">P-002413</t>
  </si>
  <si>
    <t xml:space="preserve">P-002414</t>
  </si>
  <si>
    <t xml:space="preserve">P-002415</t>
  </si>
  <si>
    <t xml:space="preserve">P-002416</t>
  </si>
  <si>
    <t xml:space="preserve">P-002417</t>
  </si>
  <si>
    <t xml:space="preserve">P-002418</t>
  </si>
  <si>
    <t xml:space="preserve">P-002419</t>
  </si>
  <si>
    <t xml:space="preserve">P-002420</t>
  </si>
  <si>
    <t xml:space="preserve">P-002421</t>
  </si>
  <si>
    <t xml:space="preserve">P-002422</t>
  </si>
  <si>
    <t xml:space="preserve">P-002423</t>
  </si>
  <si>
    <t xml:space="preserve">P-002424</t>
  </si>
  <si>
    <t xml:space="preserve">P-002425</t>
  </si>
  <si>
    <t xml:space="preserve">P-002426</t>
  </si>
  <si>
    <t xml:space="preserve">P-002427</t>
  </si>
  <si>
    <t xml:space="preserve">P-002428</t>
  </si>
  <si>
    <t xml:space="preserve">P-002429</t>
  </si>
  <si>
    <t xml:space="preserve">P-002430</t>
  </si>
  <si>
    <t xml:space="preserve">P-002431</t>
  </si>
  <si>
    <t xml:space="preserve">P-002432</t>
  </si>
  <si>
    <t xml:space="preserve">P-002433</t>
  </si>
  <si>
    <t xml:space="preserve">P-002434</t>
  </si>
  <si>
    <t xml:space="preserve">P-002435</t>
  </si>
  <si>
    <t xml:space="preserve">P-002436</t>
  </si>
  <si>
    <t xml:space="preserve">P-002437</t>
  </si>
  <si>
    <t xml:space="preserve">P-002438</t>
  </si>
  <si>
    <t xml:space="preserve">P-002439</t>
  </si>
  <si>
    <t xml:space="preserve">P-002440</t>
  </si>
  <si>
    <t xml:space="preserve">P-002441</t>
  </si>
  <si>
    <t xml:space="preserve">P-002442</t>
  </si>
  <si>
    <t xml:space="preserve">P-002443</t>
  </si>
  <si>
    <t xml:space="preserve">P-002444</t>
  </si>
  <si>
    <t xml:space="preserve">P-002445</t>
  </si>
  <si>
    <t xml:space="preserve">P-002446</t>
  </si>
  <si>
    <t xml:space="preserve">P-002447</t>
  </si>
  <si>
    <t xml:space="preserve">P-002448</t>
  </si>
  <si>
    <t xml:space="preserve">P-002449</t>
  </si>
  <si>
    <t xml:space="preserve">P-002450</t>
  </si>
  <si>
    <t xml:space="preserve">P-002451</t>
  </si>
  <si>
    <t xml:space="preserve">P-002452</t>
  </si>
  <si>
    <t xml:space="preserve">P-002453</t>
  </si>
  <si>
    <t xml:space="preserve">P-002454</t>
  </si>
  <si>
    <t xml:space="preserve">P-002455</t>
  </si>
  <si>
    <t xml:space="preserve">P-002456</t>
  </si>
  <si>
    <t xml:space="preserve">P-002457</t>
  </si>
  <si>
    <t xml:space="preserve">P-002458</t>
  </si>
  <si>
    <t xml:space="preserve">P-002459</t>
  </si>
  <si>
    <t xml:space="preserve">P-002460</t>
  </si>
  <si>
    <t xml:space="preserve">P-002461</t>
  </si>
  <si>
    <t xml:space="preserve">P-002462</t>
  </si>
  <si>
    <t xml:space="preserve">P-002463</t>
  </si>
  <si>
    <t xml:space="preserve">P-002464</t>
  </si>
  <si>
    <t xml:space="preserve">P-002465</t>
  </si>
  <si>
    <t xml:space="preserve">P-002466</t>
  </si>
  <si>
    <t xml:space="preserve">P-002467</t>
  </si>
  <si>
    <t xml:space="preserve">P-002468</t>
  </si>
  <si>
    <t xml:space="preserve">P-002469</t>
  </si>
  <si>
    <t xml:space="preserve">P-002470</t>
  </si>
  <si>
    <t xml:space="preserve">P-002471</t>
  </si>
  <si>
    <t xml:space="preserve">P-002472</t>
  </si>
  <si>
    <t xml:space="preserve">P-002473</t>
  </si>
  <si>
    <t xml:space="preserve">P-002474</t>
  </si>
  <si>
    <t xml:space="preserve">P-002475</t>
  </si>
  <si>
    <t xml:space="preserve">P-002476</t>
  </si>
  <si>
    <t xml:space="preserve">P-002477</t>
  </si>
  <si>
    <t xml:space="preserve">P-002478</t>
  </si>
  <si>
    <t xml:space="preserve">P-002479</t>
  </si>
  <si>
    <t xml:space="preserve">P-002480</t>
  </si>
  <si>
    <t xml:space="preserve">P-002481</t>
  </si>
  <si>
    <t xml:space="preserve">P-002482</t>
  </si>
  <si>
    <t xml:space="preserve">P-002483</t>
  </si>
  <si>
    <t xml:space="preserve">P-002484</t>
  </si>
  <si>
    <t xml:space="preserve">P-002485</t>
  </si>
  <si>
    <t xml:space="preserve">P-002486</t>
  </si>
  <si>
    <t xml:space="preserve">P-002487</t>
  </si>
  <si>
    <t xml:space="preserve">P-002488</t>
  </si>
  <si>
    <t xml:space="preserve">P-002489</t>
  </si>
  <si>
    <t xml:space="preserve">P-002490</t>
  </si>
  <si>
    <t xml:space="preserve">P-002491</t>
  </si>
  <si>
    <t xml:space="preserve">P-002492</t>
  </si>
  <si>
    <t xml:space="preserve">P-002493</t>
  </si>
  <si>
    <t xml:space="preserve">P-002494</t>
  </si>
  <si>
    <t xml:space="preserve">P-002495</t>
  </si>
  <si>
    <t xml:space="preserve">P-002496</t>
  </si>
  <si>
    <t xml:space="preserve">P-002497</t>
  </si>
  <si>
    <t xml:space="preserve">P-002498</t>
  </si>
  <si>
    <t xml:space="preserve">P-002499</t>
  </si>
  <si>
    <t xml:space="preserve">P-002500</t>
  </si>
  <si>
    <t xml:space="preserve">P-002501</t>
  </si>
  <si>
    <t xml:space="preserve">P-002502</t>
  </si>
  <si>
    <t xml:space="preserve">P-002503</t>
  </si>
  <si>
    <t xml:space="preserve">P-002504</t>
  </si>
  <si>
    <t xml:space="preserve">P-002505</t>
  </si>
  <si>
    <t xml:space="preserve">P-002506</t>
  </si>
  <si>
    <t xml:space="preserve">P-002507</t>
  </si>
  <si>
    <t xml:space="preserve">P-002508</t>
  </si>
  <si>
    <t xml:space="preserve">P-002509</t>
  </si>
  <si>
    <t xml:space="preserve">P-002510</t>
  </si>
  <si>
    <t xml:space="preserve">P-002511</t>
  </si>
  <si>
    <t xml:space="preserve">P-002512</t>
  </si>
  <si>
    <t xml:space="preserve">P-002513</t>
  </si>
  <si>
    <t xml:space="preserve">P-002514</t>
  </si>
  <si>
    <t xml:space="preserve">P-002515</t>
  </si>
  <si>
    <t xml:space="preserve">P-002516</t>
  </si>
  <si>
    <t xml:space="preserve">P-002517</t>
  </si>
  <si>
    <t xml:space="preserve">P-002518</t>
  </si>
  <si>
    <t xml:space="preserve">P-002519</t>
  </si>
  <si>
    <t xml:space="preserve">P-002520</t>
  </si>
  <si>
    <t xml:space="preserve">P-002521</t>
  </si>
  <si>
    <t xml:space="preserve">P-002522</t>
  </si>
  <si>
    <t xml:space="preserve">P-002523</t>
  </si>
  <si>
    <t xml:space="preserve">P-002524</t>
  </si>
  <si>
    <t xml:space="preserve">P-002525</t>
  </si>
  <si>
    <t xml:space="preserve">P-002526</t>
  </si>
  <si>
    <t xml:space="preserve">P-002527</t>
  </si>
  <si>
    <t xml:space="preserve">P-002528</t>
  </si>
  <si>
    <t xml:space="preserve">P-002529</t>
  </si>
  <si>
    <t xml:space="preserve">P-002530</t>
  </si>
  <si>
    <t xml:space="preserve">P-002531</t>
  </si>
  <si>
    <t xml:space="preserve">P-002532</t>
  </si>
  <si>
    <t xml:space="preserve">P-002533</t>
  </si>
  <si>
    <t xml:space="preserve">P-002534</t>
  </si>
  <si>
    <t xml:space="preserve">P-002535</t>
  </si>
  <si>
    <t xml:space="preserve">P-002536</t>
  </si>
  <si>
    <t xml:space="preserve">P-002537</t>
  </si>
  <si>
    <t xml:space="preserve">P-002538</t>
  </si>
  <si>
    <t xml:space="preserve">P-002539</t>
  </si>
  <si>
    <t xml:space="preserve">P-002540</t>
  </si>
  <si>
    <t xml:space="preserve">P-002541</t>
  </si>
  <si>
    <t xml:space="preserve">P-002542</t>
  </si>
  <si>
    <t xml:space="preserve">P-002543</t>
  </si>
  <si>
    <t xml:space="preserve">P-002544</t>
  </si>
  <si>
    <t xml:space="preserve">P-002545</t>
  </si>
  <si>
    <t xml:space="preserve">P-002546</t>
  </si>
  <si>
    <t xml:space="preserve">P-002547</t>
  </si>
  <si>
    <t xml:space="preserve">P-002548</t>
  </si>
  <si>
    <t xml:space="preserve">P-002549</t>
  </si>
  <si>
    <t xml:space="preserve">P-002550</t>
  </si>
  <si>
    <t xml:space="preserve">P-002551</t>
  </si>
  <si>
    <t xml:space="preserve">P-002552</t>
  </si>
  <si>
    <t xml:space="preserve">P-002553</t>
  </si>
  <si>
    <t xml:space="preserve">P-002554</t>
  </si>
  <si>
    <t xml:space="preserve">P-002555</t>
  </si>
  <si>
    <t xml:space="preserve">P-002556</t>
  </si>
  <si>
    <t xml:space="preserve">P-002557</t>
  </si>
  <si>
    <t xml:space="preserve">P-002558</t>
  </si>
  <si>
    <t xml:space="preserve">P-002559</t>
  </si>
  <si>
    <t xml:space="preserve">P-002560</t>
  </si>
  <si>
    <t xml:space="preserve">P-002561</t>
  </si>
  <si>
    <t xml:space="preserve">P-002562</t>
  </si>
  <si>
    <t xml:space="preserve">P-002563</t>
  </si>
  <si>
    <t xml:space="preserve">P-002564</t>
  </si>
  <si>
    <t xml:space="preserve">P-002565</t>
  </si>
  <si>
    <t xml:space="preserve">P-002566</t>
  </si>
  <si>
    <t xml:space="preserve">P-002567</t>
  </si>
  <si>
    <t xml:space="preserve">P-002568</t>
  </si>
  <si>
    <t xml:space="preserve">P-002569</t>
  </si>
  <si>
    <t xml:space="preserve">P-002570</t>
  </si>
  <si>
    <t xml:space="preserve">P-002571</t>
  </si>
  <si>
    <t xml:space="preserve">P-002572</t>
  </si>
  <si>
    <t xml:space="preserve">P-002573</t>
  </si>
  <si>
    <t xml:space="preserve">P-002574</t>
  </si>
  <si>
    <t xml:space="preserve">P-002575</t>
  </si>
  <si>
    <t xml:space="preserve">P-002576</t>
  </si>
  <si>
    <t xml:space="preserve">P-002577</t>
  </si>
  <si>
    <t xml:space="preserve">P-002578</t>
  </si>
  <si>
    <t xml:space="preserve">P-002579</t>
  </si>
  <si>
    <t xml:space="preserve">P-002580</t>
  </si>
  <si>
    <t xml:space="preserve">P-002581</t>
  </si>
  <si>
    <t xml:space="preserve">P-002582</t>
  </si>
  <si>
    <t xml:space="preserve">P-002583</t>
  </si>
  <si>
    <t xml:space="preserve">P-002584</t>
  </si>
  <si>
    <t xml:space="preserve">P-002585</t>
  </si>
  <si>
    <t xml:space="preserve">P-002586</t>
  </si>
  <si>
    <t xml:space="preserve">P-002587</t>
  </si>
  <si>
    <t xml:space="preserve">P-002588</t>
  </si>
  <si>
    <t xml:space="preserve">P-002589</t>
  </si>
  <si>
    <t xml:space="preserve">P-002590</t>
  </si>
  <si>
    <t xml:space="preserve">P-002591</t>
  </si>
  <si>
    <t xml:space="preserve">P-002592</t>
  </si>
  <si>
    <t xml:space="preserve">P-002593</t>
  </si>
  <si>
    <t xml:space="preserve">P-002594</t>
  </si>
  <si>
    <t xml:space="preserve">P-002595</t>
  </si>
  <si>
    <t xml:space="preserve">P-002596</t>
  </si>
  <si>
    <t xml:space="preserve">P-002597</t>
  </si>
  <si>
    <t xml:space="preserve">P-002598</t>
  </si>
  <si>
    <t xml:space="preserve">P-002599</t>
  </si>
  <si>
    <t xml:space="preserve">P-002600</t>
  </si>
  <si>
    <t xml:space="preserve">P-002601</t>
  </si>
  <si>
    <t xml:space="preserve">P-002602</t>
  </si>
  <si>
    <t xml:space="preserve">P-002603</t>
  </si>
  <si>
    <t xml:space="preserve">P-002604</t>
  </si>
  <si>
    <t xml:space="preserve">P-002605</t>
  </si>
  <si>
    <t xml:space="preserve">P-002606</t>
  </si>
  <si>
    <t xml:space="preserve">P-002607</t>
  </si>
  <si>
    <t xml:space="preserve">P-002608</t>
  </si>
  <si>
    <t xml:space="preserve">P-002609</t>
  </si>
  <si>
    <t xml:space="preserve">P-002610</t>
  </si>
  <si>
    <t xml:space="preserve">P-002611</t>
  </si>
  <si>
    <t xml:space="preserve">P-002612</t>
  </si>
  <si>
    <t xml:space="preserve">P-002613</t>
  </si>
  <si>
    <t xml:space="preserve">P-002614</t>
  </si>
  <si>
    <t xml:space="preserve">P-002615</t>
  </si>
  <si>
    <t xml:space="preserve">P-002616</t>
  </si>
  <si>
    <t xml:space="preserve">P-002617</t>
  </si>
  <si>
    <t xml:space="preserve">P-002618</t>
  </si>
  <si>
    <t xml:space="preserve">P-002619</t>
  </si>
  <si>
    <t xml:space="preserve">P-002620</t>
  </si>
  <si>
    <t xml:space="preserve">P-002621</t>
  </si>
  <si>
    <t xml:space="preserve">P-002622</t>
  </si>
  <si>
    <t xml:space="preserve">P-002623</t>
  </si>
  <si>
    <t xml:space="preserve">P-002624</t>
  </si>
  <si>
    <t xml:space="preserve">P-002625</t>
  </si>
  <si>
    <t xml:space="preserve">P-002626</t>
  </si>
  <si>
    <t xml:space="preserve">P-002627</t>
  </si>
  <si>
    <t xml:space="preserve">P-002628</t>
  </si>
  <si>
    <t xml:space="preserve">P-002629</t>
  </si>
  <si>
    <t xml:space="preserve">P-002630</t>
  </si>
  <si>
    <t xml:space="preserve">P-002631</t>
  </si>
  <si>
    <t xml:space="preserve">P-002632</t>
  </si>
  <si>
    <t xml:space="preserve">P-002633</t>
  </si>
  <si>
    <t xml:space="preserve">P-002634</t>
  </si>
  <si>
    <t xml:space="preserve">P-002635</t>
  </si>
  <si>
    <t xml:space="preserve">P-002636</t>
  </si>
  <si>
    <t xml:space="preserve">P-002637</t>
  </si>
  <si>
    <t xml:space="preserve">P-002638</t>
  </si>
  <si>
    <t xml:space="preserve">P-002639</t>
  </si>
  <si>
    <t xml:space="preserve">P-002640</t>
  </si>
  <si>
    <t xml:space="preserve">P-002641</t>
  </si>
  <si>
    <t xml:space="preserve">P-002642</t>
  </si>
  <si>
    <t xml:space="preserve">P-002643</t>
  </si>
  <si>
    <t xml:space="preserve">P-002644</t>
  </si>
  <si>
    <t xml:space="preserve">P-002645</t>
  </si>
  <si>
    <t xml:space="preserve">P-002646</t>
  </si>
  <si>
    <t xml:space="preserve">P-002647</t>
  </si>
  <si>
    <t xml:space="preserve">P-002648</t>
  </si>
  <si>
    <t xml:space="preserve">P-002649</t>
  </si>
  <si>
    <t xml:space="preserve">P-002650</t>
  </si>
  <si>
    <t xml:space="preserve">P-002651</t>
  </si>
  <si>
    <t xml:space="preserve">P-002652</t>
  </si>
  <si>
    <t xml:space="preserve">P-002653</t>
  </si>
  <si>
    <t xml:space="preserve">P-002654</t>
  </si>
  <si>
    <t xml:space="preserve">P-002655</t>
  </si>
  <si>
    <t xml:space="preserve">P-002656</t>
  </si>
  <si>
    <t xml:space="preserve">P-002657</t>
  </si>
  <si>
    <t xml:space="preserve">P-002658</t>
  </si>
  <si>
    <t xml:space="preserve">P-002659</t>
  </si>
  <si>
    <t xml:space="preserve">P-002660</t>
  </si>
  <si>
    <t xml:space="preserve">P-002661</t>
  </si>
  <si>
    <t xml:space="preserve">P-002662</t>
  </si>
  <si>
    <t xml:space="preserve">P-002663</t>
  </si>
  <si>
    <t xml:space="preserve">P-002664</t>
  </si>
  <si>
    <t xml:space="preserve">P-002665</t>
  </si>
  <si>
    <t xml:space="preserve">P-002666</t>
  </si>
  <si>
    <t xml:space="preserve">P-002667</t>
  </si>
  <si>
    <t xml:space="preserve">P-002668</t>
  </si>
  <si>
    <t xml:space="preserve">P-002669</t>
  </si>
  <si>
    <t xml:space="preserve">P-002670</t>
  </si>
  <si>
    <t xml:space="preserve">P-002671</t>
  </si>
  <si>
    <t xml:space="preserve">P-002672</t>
  </si>
  <si>
    <t xml:space="preserve">P-002673</t>
  </si>
  <si>
    <t xml:space="preserve">P-002674</t>
  </si>
  <si>
    <t xml:space="preserve">P-002675</t>
  </si>
  <si>
    <t xml:space="preserve">P-002676</t>
  </si>
  <si>
    <t xml:space="preserve">P-002677</t>
  </si>
  <si>
    <t xml:space="preserve">P-002678</t>
  </si>
  <si>
    <t xml:space="preserve">P-002679</t>
  </si>
  <si>
    <t xml:space="preserve">P-002680</t>
  </si>
  <si>
    <t xml:space="preserve">P-002681</t>
  </si>
  <si>
    <t xml:space="preserve">P-002682</t>
  </si>
  <si>
    <t xml:space="preserve">P-002683</t>
  </si>
  <si>
    <t xml:space="preserve">P-002684</t>
  </si>
  <si>
    <t xml:space="preserve">P-002685</t>
  </si>
  <si>
    <t xml:space="preserve">P-002686</t>
  </si>
  <si>
    <t xml:space="preserve">P-002687</t>
  </si>
  <si>
    <t xml:space="preserve">P-002688</t>
  </si>
  <si>
    <t xml:space="preserve">P-002689</t>
  </si>
  <si>
    <t xml:space="preserve">P-002690</t>
  </si>
  <si>
    <t xml:space="preserve">P-002691</t>
  </si>
  <si>
    <t xml:space="preserve">P-002692</t>
  </si>
  <si>
    <t xml:space="preserve">P-002693</t>
  </si>
  <si>
    <t xml:space="preserve">P-002694</t>
  </si>
  <si>
    <t xml:space="preserve">P-002695</t>
  </si>
  <si>
    <t xml:space="preserve">P-002696</t>
  </si>
  <si>
    <t xml:space="preserve">P-002697</t>
  </si>
  <si>
    <t xml:space="preserve">P-002698</t>
  </si>
  <si>
    <t xml:space="preserve">P-002699</t>
  </si>
  <si>
    <t xml:space="preserve">P-002700</t>
  </si>
  <si>
    <t xml:space="preserve">P-002701</t>
  </si>
  <si>
    <t xml:space="preserve">P-002702</t>
  </si>
  <si>
    <t xml:space="preserve">P-002703</t>
  </si>
  <si>
    <t xml:space="preserve">P-002704</t>
  </si>
  <si>
    <t xml:space="preserve">P-002705</t>
  </si>
  <si>
    <t xml:space="preserve">P-002706</t>
  </si>
  <si>
    <t xml:space="preserve">P-002707</t>
  </si>
  <si>
    <t xml:space="preserve">P-002708</t>
  </si>
  <si>
    <t xml:space="preserve">P-002709</t>
  </si>
  <si>
    <t xml:space="preserve">P-002710</t>
  </si>
  <si>
    <t xml:space="preserve">P-002711</t>
  </si>
  <si>
    <t xml:space="preserve">P-002712</t>
  </si>
  <si>
    <t xml:space="preserve">P-002713</t>
  </si>
  <si>
    <t xml:space="preserve">P-002714</t>
  </si>
  <si>
    <t xml:space="preserve">P-002715</t>
  </si>
  <si>
    <t xml:space="preserve">P-002716</t>
  </si>
  <si>
    <t xml:space="preserve">P-002717</t>
  </si>
  <si>
    <t xml:space="preserve">P-002718</t>
  </si>
  <si>
    <t xml:space="preserve">P-002719</t>
  </si>
  <si>
    <t xml:space="preserve">P-002720</t>
  </si>
  <si>
    <t xml:space="preserve">P-002721</t>
  </si>
  <si>
    <t xml:space="preserve">P-002722</t>
  </si>
  <si>
    <t xml:space="preserve">P-002723</t>
  </si>
  <si>
    <t xml:space="preserve">P-002724</t>
  </si>
  <si>
    <t xml:space="preserve">P-002725</t>
  </si>
  <si>
    <t xml:space="preserve">P-002726</t>
  </si>
  <si>
    <t xml:space="preserve">P-002727</t>
  </si>
  <si>
    <t xml:space="preserve">P-002728</t>
  </si>
  <si>
    <t xml:space="preserve">P-002729</t>
  </si>
  <si>
    <t xml:space="preserve">P-002730</t>
  </si>
  <si>
    <t xml:space="preserve">P-002731</t>
  </si>
  <si>
    <t xml:space="preserve">P-002732</t>
  </si>
  <si>
    <t xml:space="preserve">P-002733</t>
  </si>
  <si>
    <t xml:space="preserve">P-002734</t>
  </si>
  <si>
    <t xml:space="preserve">P-002735</t>
  </si>
  <si>
    <t xml:space="preserve">P-002736</t>
  </si>
  <si>
    <t xml:space="preserve">P-002737</t>
  </si>
  <si>
    <t xml:space="preserve">P-002738</t>
  </si>
  <si>
    <t xml:space="preserve">P-002739</t>
  </si>
  <si>
    <t xml:space="preserve">P-002740</t>
  </si>
  <si>
    <t xml:space="preserve">P-002741</t>
  </si>
  <si>
    <t xml:space="preserve">P-002742</t>
  </si>
  <si>
    <t xml:space="preserve">P-002743</t>
  </si>
  <si>
    <t xml:space="preserve">P-002744</t>
  </si>
  <si>
    <t xml:space="preserve">P-002745</t>
  </si>
  <si>
    <t xml:space="preserve">P-002746</t>
  </si>
  <si>
    <t xml:space="preserve">P-002747</t>
  </si>
  <si>
    <t xml:space="preserve">P-002748</t>
  </si>
  <si>
    <t xml:space="preserve">P-002749</t>
  </si>
  <si>
    <t xml:space="preserve">P-002750</t>
  </si>
  <si>
    <t xml:space="preserve">P-002751</t>
  </si>
  <si>
    <t xml:space="preserve">P-002752</t>
  </si>
  <si>
    <t xml:space="preserve">P-002753</t>
  </si>
  <si>
    <t xml:space="preserve">P-002754</t>
  </si>
  <si>
    <t xml:space="preserve">P-002755</t>
  </si>
  <si>
    <t xml:space="preserve">P-002756</t>
  </si>
  <si>
    <t xml:space="preserve">P-002757</t>
  </si>
  <si>
    <t xml:space="preserve">P-002758</t>
  </si>
  <si>
    <t xml:space="preserve">P-002759</t>
  </si>
  <si>
    <t xml:space="preserve">P-002760</t>
  </si>
  <si>
    <t xml:space="preserve">P-002761</t>
  </si>
  <si>
    <t xml:space="preserve">P-002762</t>
  </si>
  <si>
    <t xml:space="preserve">P-002763</t>
  </si>
  <si>
    <t xml:space="preserve">P-002764</t>
  </si>
  <si>
    <t xml:space="preserve">P-002765</t>
  </si>
  <si>
    <t xml:space="preserve">P-002766</t>
  </si>
  <si>
    <t xml:space="preserve">P-002767</t>
  </si>
  <si>
    <t xml:space="preserve">P-002768</t>
  </si>
  <si>
    <t xml:space="preserve">P-002769</t>
  </si>
  <si>
    <t xml:space="preserve">P-002770</t>
  </si>
  <si>
    <t xml:space="preserve">P-002771</t>
  </si>
  <si>
    <t xml:space="preserve">P-002772</t>
  </si>
  <si>
    <t xml:space="preserve">P-002773</t>
  </si>
  <si>
    <t xml:space="preserve">P-002774</t>
  </si>
  <si>
    <t xml:space="preserve">P-002775</t>
  </si>
  <si>
    <t xml:space="preserve">P-002776</t>
  </si>
  <si>
    <t xml:space="preserve">P-002777</t>
  </si>
  <si>
    <t xml:space="preserve">P-002778</t>
  </si>
  <si>
    <t xml:space="preserve">P-002779</t>
  </si>
  <si>
    <t xml:space="preserve">P-002780</t>
  </si>
  <si>
    <t xml:space="preserve">P-002781</t>
  </si>
  <si>
    <t xml:space="preserve">P-002782</t>
  </si>
  <si>
    <t xml:space="preserve">P-002783</t>
  </si>
  <si>
    <t xml:space="preserve">P-002784</t>
  </si>
  <si>
    <t xml:space="preserve">P-002785</t>
  </si>
  <si>
    <t xml:space="preserve">P-002786</t>
  </si>
  <si>
    <t xml:space="preserve">P-002787</t>
  </si>
  <si>
    <t xml:space="preserve">P-002788</t>
  </si>
  <si>
    <t xml:space="preserve">P-002789</t>
  </si>
  <si>
    <t xml:space="preserve">P-002790</t>
  </si>
  <si>
    <t xml:space="preserve">P-002791</t>
  </si>
  <si>
    <t xml:space="preserve">P-002792</t>
  </si>
  <si>
    <t xml:space="preserve">P-002793</t>
  </si>
  <si>
    <t xml:space="preserve">P-002794</t>
  </si>
  <si>
    <t xml:space="preserve">P-002795</t>
  </si>
  <si>
    <t xml:space="preserve">P-002796</t>
  </si>
  <si>
    <t xml:space="preserve">P-002797</t>
  </si>
  <si>
    <t xml:space="preserve">P-002798</t>
  </si>
  <si>
    <t xml:space="preserve">P-002799</t>
  </si>
  <si>
    <t xml:space="preserve">P-002800</t>
  </si>
  <si>
    <t xml:space="preserve">P-002801</t>
  </si>
  <si>
    <t xml:space="preserve">P-002802</t>
  </si>
  <si>
    <t xml:space="preserve">P-002803</t>
  </si>
  <si>
    <t xml:space="preserve">P-002804</t>
  </si>
  <si>
    <t xml:space="preserve">P-002805</t>
  </si>
  <si>
    <t xml:space="preserve">P-002806</t>
  </si>
  <si>
    <t xml:space="preserve">P-002807</t>
  </si>
  <si>
    <t xml:space="preserve">P-002808</t>
  </si>
  <si>
    <t xml:space="preserve">P-002809</t>
  </si>
  <si>
    <t xml:space="preserve">P-002810</t>
  </si>
  <si>
    <t xml:space="preserve">P-002811</t>
  </si>
  <si>
    <t xml:space="preserve">P-002812</t>
  </si>
  <si>
    <t xml:space="preserve">P-002813</t>
  </si>
  <si>
    <t xml:space="preserve">P-002814</t>
  </si>
  <si>
    <t xml:space="preserve">P-002815</t>
  </si>
  <si>
    <t xml:space="preserve">P-002816</t>
  </si>
  <si>
    <t xml:space="preserve">P-002817</t>
  </si>
  <si>
    <t xml:space="preserve">P-002818</t>
  </si>
  <si>
    <t xml:space="preserve">P-002819</t>
  </si>
  <si>
    <t xml:space="preserve">P-002820</t>
  </si>
  <si>
    <t xml:space="preserve">P-002821</t>
  </si>
  <si>
    <t xml:space="preserve">P-002822</t>
  </si>
  <si>
    <t xml:space="preserve">P-002823</t>
  </si>
  <si>
    <t xml:space="preserve">P-002824</t>
  </si>
  <si>
    <t xml:space="preserve">P-002825</t>
  </si>
  <si>
    <t xml:space="preserve">P-002826</t>
  </si>
  <si>
    <t xml:space="preserve">P-002827</t>
  </si>
  <si>
    <t xml:space="preserve">P-002828</t>
  </si>
  <si>
    <t xml:space="preserve">P-002829</t>
  </si>
  <si>
    <t xml:space="preserve">P-002830</t>
  </si>
  <si>
    <t xml:space="preserve">P-002831</t>
  </si>
  <si>
    <t xml:space="preserve">P-002832</t>
  </si>
  <si>
    <t xml:space="preserve">P-002833</t>
  </si>
  <si>
    <t xml:space="preserve">P-002834</t>
  </si>
  <si>
    <t xml:space="preserve">P-002835</t>
  </si>
  <si>
    <t xml:space="preserve">P-002836</t>
  </si>
  <si>
    <t xml:space="preserve">P-002837</t>
  </si>
  <si>
    <t xml:space="preserve">P-002838</t>
  </si>
  <si>
    <t xml:space="preserve">P-002839</t>
  </si>
  <si>
    <t xml:space="preserve">P-002840</t>
  </si>
  <si>
    <t xml:space="preserve">P-002841</t>
  </si>
  <si>
    <t xml:space="preserve">P-002842</t>
  </si>
  <si>
    <t xml:space="preserve">P-002843</t>
  </si>
  <si>
    <t xml:space="preserve">P-002844</t>
  </si>
  <si>
    <t xml:space="preserve">P-002845</t>
  </si>
  <si>
    <t xml:space="preserve">P-002846</t>
  </si>
  <si>
    <t xml:space="preserve">P-002847</t>
  </si>
  <si>
    <t xml:space="preserve">P-002848</t>
  </si>
  <si>
    <t xml:space="preserve">P-002849</t>
  </si>
  <si>
    <t xml:space="preserve">P-002850</t>
  </si>
  <si>
    <t xml:space="preserve">P-002851</t>
  </si>
  <si>
    <t xml:space="preserve">P-002852</t>
  </si>
  <si>
    <t xml:space="preserve">P-002853</t>
  </si>
  <si>
    <t xml:space="preserve">P-002854</t>
  </si>
  <si>
    <t xml:space="preserve">P-002855</t>
  </si>
  <si>
    <t xml:space="preserve">P-002856</t>
  </si>
  <si>
    <t xml:space="preserve">P-002857</t>
  </si>
  <si>
    <t xml:space="preserve">P-002858</t>
  </si>
  <si>
    <t xml:space="preserve">P-002859</t>
  </si>
  <si>
    <t xml:space="preserve">P-002860</t>
  </si>
  <si>
    <t xml:space="preserve">P-002861</t>
  </si>
  <si>
    <t xml:space="preserve">P-002862</t>
  </si>
  <si>
    <t xml:space="preserve">P-002863</t>
  </si>
  <si>
    <t xml:space="preserve">P-002864</t>
  </si>
  <si>
    <t xml:space="preserve">P-002865</t>
  </si>
  <si>
    <t xml:space="preserve">P-002866</t>
  </si>
  <si>
    <t xml:space="preserve">P-002867</t>
  </si>
  <si>
    <t xml:space="preserve">P-002868</t>
  </si>
  <si>
    <t xml:space="preserve">P-002869</t>
  </si>
  <si>
    <t xml:space="preserve">P-002870</t>
  </si>
  <si>
    <t xml:space="preserve">P-002871</t>
  </si>
  <si>
    <t xml:space="preserve">P-002872</t>
  </si>
  <si>
    <t xml:space="preserve">P-002873</t>
  </si>
  <si>
    <t xml:space="preserve">P-002874</t>
  </si>
  <si>
    <t xml:space="preserve">P-002875</t>
  </si>
  <si>
    <t xml:space="preserve">P-002876</t>
  </si>
  <si>
    <t xml:space="preserve">P-002877</t>
  </si>
  <si>
    <t xml:space="preserve">P-002878</t>
  </si>
  <si>
    <t xml:space="preserve">P-002879</t>
  </si>
  <si>
    <t xml:space="preserve">P-002880</t>
  </si>
  <si>
    <t xml:space="preserve">P-002881</t>
  </si>
  <si>
    <t xml:space="preserve">P-002882</t>
  </si>
  <si>
    <t xml:space="preserve">P-002883</t>
  </si>
  <si>
    <t xml:space="preserve">P-002884</t>
  </si>
  <si>
    <t xml:space="preserve">P-002885</t>
  </si>
  <si>
    <t xml:space="preserve">P-002886</t>
  </si>
  <si>
    <t xml:space="preserve">P-002887</t>
  </si>
  <si>
    <t xml:space="preserve">P-002888</t>
  </si>
  <si>
    <t xml:space="preserve">P-002889</t>
  </si>
  <si>
    <t xml:space="preserve">P-002890</t>
  </si>
  <si>
    <t xml:space="preserve">P-002891</t>
  </si>
  <si>
    <t xml:space="preserve">P-002892</t>
  </si>
  <si>
    <t xml:space="preserve">P-002893</t>
  </si>
  <si>
    <t xml:space="preserve">P-002894</t>
  </si>
  <si>
    <t xml:space="preserve">P-002895</t>
  </si>
  <si>
    <t xml:space="preserve">P-002896</t>
  </si>
  <si>
    <t xml:space="preserve">P-002897</t>
  </si>
  <si>
    <t xml:space="preserve">P-002898</t>
  </si>
  <si>
    <t xml:space="preserve">P-002899</t>
  </si>
  <si>
    <t xml:space="preserve">P-002900</t>
  </si>
  <si>
    <t xml:space="preserve">P-002901</t>
  </si>
  <si>
    <t xml:space="preserve">P-002902</t>
  </si>
  <si>
    <t xml:space="preserve">P-002903</t>
  </si>
  <si>
    <t xml:space="preserve">P-002904</t>
  </si>
  <si>
    <t xml:space="preserve">P-002905</t>
  </si>
  <si>
    <t xml:space="preserve">P-002906</t>
  </si>
  <si>
    <t xml:space="preserve">P-002907</t>
  </si>
  <si>
    <t xml:space="preserve">P-002908</t>
  </si>
  <si>
    <t xml:space="preserve">P-002909</t>
  </si>
  <si>
    <t xml:space="preserve">P-002910</t>
  </si>
  <si>
    <t xml:space="preserve">P-002911</t>
  </si>
  <si>
    <t xml:space="preserve">P-002912</t>
  </si>
  <si>
    <t xml:space="preserve">P-002913</t>
  </si>
  <si>
    <t xml:space="preserve">P-002914</t>
  </si>
  <si>
    <t xml:space="preserve">P-002915</t>
  </si>
  <si>
    <t xml:space="preserve">P-002916</t>
  </si>
  <si>
    <t xml:space="preserve">P-002917</t>
  </si>
  <si>
    <t xml:space="preserve">P-002918</t>
  </si>
  <si>
    <t xml:space="preserve">P-002919</t>
  </si>
  <si>
    <t xml:space="preserve">P-002920</t>
  </si>
  <si>
    <t xml:space="preserve">P-002921</t>
  </si>
  <si>
    <t xml:space="preserve">P-002922</t>
  </si>
  <si>
    <t xml:space="preserve">P-002923</t>
  </si>
  <si>
    <t xml:space="preserve">P-002924</t>
  </si>
  <si>
    <t xml:space="preserve">P-002925</t>
  </si>
  <si>
    <t xml:space="preserve">P-002926</t>
  </si>
  <si>
    <t xml:space="preserve">P-002927</t>
  </si>
  <si>
    <t xml:space="preserve">P-002928</t>
  </si>
  <si>
    <t xml:space="preserve">P-002929</t>
  </si>
  <si>
    <t xml:space="preserve">P-002930</t>
  </si>
  <si>
    <t xml:space="preserve">P-002931</t>
  </si>
  <si>
    <t xml:space="preserve">P-002932</t>
  </si>
  <si>
    <t xml:space="preserve">P-002933</t>
  </si>
  <si>
    <t xml:space="preserve">P-002934</t>
  </si>
  <si>
    <t xml:space="preserve">P-002935</t>
  </si>
  <si>
    <t xml:space="preserve">P-002936</t>
  </si>
  <si>
    <t xml:space="preserve">P-002937</t>
  </si>
  <si>
    <t xml:space="preserve">P-002938</t>
  </si>
  <si>
    <t xml:space="preserve">P-002939</t>
  </si>
  <si>
    <t xml:space="preserve">P-002940</t>
  </si>
  <si>
    <t xml:space="preserve">P-002941</t>
  </si>
  <si>
    <t xml:space="preserve">P-002942</t>
  </si>
  <si>
    <t xml:space="preserve">P-002943</t>
  </si>
  <si>
    <t xml:space="preserve">P-002944</t>
  </si>
  <si>
    <t xml:space="preserve">P-002945</t>
  </si>
  <si>
    <t xml:space="preserve">P-002946</t>
  </si>
  <si>
    <t xml:space="preserve">P-002947</t>
  </si>
  <si>
    <t xml:space="preserve">P-002948</t>
  </si>
  <si>
    <t xml:space="preserve">P-002949</t>
  </si>
  <si>
    <t xml:space="preserve">P-002950</t>
  </si>
  <si>
    <t xml:space="preserve">P-002951</t>
  </si>
  <si>
    <t xml:space="preserve">P-002952</t>
  </si>
  <si>
    <t xml:space="preserve">P-002953</t>
  </si>
  <si>
    <t xml:space="preserve">P-002954</t>
  </si>
  <si>
    <t xml:space="preserve">P-002955</t>
  </si>
  <si>
    <t xml:space="preserve">P-002956</t>
  </si>
  <si>
    <t xml:space="preserve">P-002957</t>
  </si>
  <si>
    <t xml:space="preserve">P-002958</t>
  </si>
  <si>
    <t xml:space="preserve">P-002959</t>
  </si>
  <si>
    <t xml:space="preserve">P-002960</t>
  </si>
  <si>
    <t xml:space="preserve">P-002961</t>
  </si>
  <si>
    <t xml:space="preserve">P-002962</t>
  </si>
  <si>
    <t xml:space="preserve">P-002963</t>
  </si>
  <si>
    <t xml:space="preserve">P-002964</t>
  </si>
  <si>
    <t xml:space="preserve">P-002965</t>
  </si>
  <si>
    <t xml:space="preserve">P-002966</t>
  </si>
  <si>
    <t xml:space="preserve">P-002967</t>
  </si>
  <si>
    <t xml:space="preserve">P-002968</t>
  </si>
  <si>
    <t xml:space="preserve">P-002969</t>
  </si>
  <si>
    <t xml:space="preserve">P-002970</t>
  </si>
  <si>
    <t xml:space="preserve">P-002971</t>
  </si>
  <si>
    <t xml:space="preserve">P-002972</t>
  </si>
  <si>
    <t xml:space="preserve">P-002973</t>
  </si>
  <si>
    <t xml:space="preserve">P-002974</t>
  </si>
  <si>
    <t xml:space="preserve">P-002975</t>
  </si>
  <si>
    <t xml:space="preserve">P-002976</t>
  </si>
  <si>
    <t xml:space="preserve">P-002977</t>
  </si>
  <si>
    <t xml:space="preserve">P-002978</t>
  </si>
  <si>
    <t xml:space="preserve">P-002979</t>
  </si>
  <si>
    <t xml:space="preserve">P-002980</t>
  </si>
  <si>
    <t xml:space="preserve">P-002981</t>
  </si>
  <si>
    <t xml:space="preserve">P-002982</t>
  </si>
  <si>
    <t xml:space="preserve">P-002983</t>
  </si>
  <si>
    <t xml:space="preserve">P-002984</t>
  </si>
  <si>
    <t xml:space="preserve">P-002985</t>
  </si>
  <si>
    <t xml:space="preserve">P-002986</t>
  </si>
  <si>
    <t xml:space="preserve">P-002987</t>
  </si>
  <si>
    <t xml:space="preserve">P-002988</t>
  </si>
  <si>
    <t xml:space="preserve">P-002989</t>
  </si>
  <si>
    <t xml:space="preserve">P-002990</t>
  </si>
  <si>
    <t xml:space="preserve">P-002991</t>
  </si>
  <si>
    <t xml:space="preserve">P-002992</t>
  </si>
  <si>
    <t xml:space="preserve">P-002993</t>
  </si>
  <si>
    <t xml:space="preserve">P-002994</t>
  </si>
  <si>
    <t xml:space="preserve">P-002995</t>
  </si>
  <si>
    <t xml:space="preserve">P-002996</t>
  </si>
  <si>
    <t xml:space="preserve">P-002997</t>
  </si>
  <si>
    <t xml:space="preserve">P-002998</t>
  </si>
  <si>
    <t xml:space="preserve">P-002999</t>
  </si>
  <si>
    <t xml:space="preserve">P-003000</t>
  </si>
  <si>
    <t xml:space="preserve">P-003001</t>
  </si>
  <si>
    <t xml:space="preserve">P-003002</t>
  </si>
  <si>
    <t xml:space="preserve">P-003003</t>
  </si>
  <si>
    <t xml:space="preserve">P-003004</t>
  </si>
  <si>
    <t xml:space="preserve">P-003005</t>
  </si>
  <si>
    <t xml:space="preserve">P-003006</t>
  </si>
  <si>
    <t xml:space="preserve">P-003007</t>
  </si>
  <si>
    <t xml:space="preserve">P-003008</t>
  </si>
  <si>
    <t xml:space="preserve">P-003009</t>
  </si>
  <si>
    <t xml:space="preserve">P-003010</t>
  </si>
  <si>
    <t xml:space="preserve">P-003011</t>
  </si>
  <si>
    <t xml:space="preserve">P-003012</t>
  </si>
  <si>
    <t xml:space="preserve">P-003013</t>
  </si>
  <si>
    <t xml:space="preserve">P-003014</t>
  </si>
  <si>
    <t xml:space="preserve">P-003015</t>
  </si>
  <si>
    <t xml:space="preserve">P-003016</t>
  </si>
  <si>
    <t xml:space="preserve">P-003017</t>
  </si>
  <si>
    <t xml:space="preserve">P-003018</t>
  </si>
  <si>
    <t xml:space="preserve">P-003019</t>
  </si>
  <si>
    <t xml:space="preserve">P-003020</t>
  </si>
  <si>
    <t xml:space="preserve">P-003021</t>
  </si>
  <si>
    <t xml:space="preserve">P-003022</t>
  </si>
  <si>
    <t xml:space="preserve">P-003023</t>
  </si>
  <si>
    <t xml:space="preserve">P-003024</t>
  </si>
  <si>
    <t xml:space="preserve">P-003025</t>
  </si>
  <si>
    <t xml:space="preserve">P-003026</t>
  </si>
  <si>
    <t xml:space="preserve">P-003027</t>
  </si>
  <si>
    <t xml:space="preserve">P-003028</t>
  </si>
  <si>
    <t xml:space="preserve">P-003029</t>
  </si>
  <si>
    <t xml:space="preserve">P-003030</t>
  </si>
  <si>
    <t xml:space="preserve">P-003031</t>
  </si>
  <si>
    <t xml:space="preserve">P-003032</t>
  </si>
  <si>
    <t xml:space="preserve">P-003033</t>
  </si>
  <si>
    <t xml:space="preserve">P-003034</t>
  </si>
  <si>
    <t xml:space="preserve">P-003035</t>
  </si>
  <si>
    <t xml:space="preserve">P-003036</t>
  </si>
  <si>
    <t xml:space="preserve">P-003037</t>
  </si>
  <si>
    <t xml:space="preserve">P-003038</t>
  </si>
  <si>
    <t xml:space="preserve">P-003039</t>
  </si>
  <si>
    <t xml:space="preserve">P-003040</t>
  </si>
  <si>
    <t xml:space="preserve">P-003041</t>
  </si>
  <si>
    <t xml:space="preserve">P-003042</t>
  </si>
  <si>
    <t xml:space="preserve">P-003043</t>
  </si>
  <si>
    <t xml:space="preserve">P-003044</t>
  </si>
  <si>
    <t xml:space="preserve">P-003045</t>
  </si>
  <si>
    <t xml:space="preserve">P-003046</t>
  </si>
  <si>
    <t xml:space="preserve">P-003047</t>
  </si>
  <si>
    <t xml:space="preserve">P-003048</t>
  </si>
  <si>
    <t xml:space="preserve">P-003049</t>
  </si>
  <si>
    <t xml:space="preserve">P-003050</t>
  </si>
  <si>
    <t xml:space="preserve">P-003051</t>
  </si>
  <si>
    <t xml:space="preserve">P-003052</t>
  </si>
  <si>
    <t xml:space="preserve">P-003053</t>
  </si>
  <si>
    <t xml:space="preserve">P-003054</t>
  </si>
  <si>
    <t xml:space="preserve">P-003055</t>
  </si>
  <si>
    <t xml:space="preserve">P-003056</t>
  </si>
  <si>
    <t xml:space="preserve">P-003057</t>
  </si>
  <si>
    <t xml:space="preserve">P-003058</t>
  </si>
  <si>
    <t xml:space="preserve">P-003059</t>
  </si>
  <si>
    <t xml:space="preserve">P-003060</t>
  </si>
  <si>
    <t xml:space="preserve">P-003061</t>
  </si>
  <si>
    <t xml:space="preserve">P-003062</t>
  </si>
  <si>
    <t xml:space="preserve">P-003063</t>
  </si>
  <si>
    <t xml:space="preserve">P-003064</t>
  </si>
  <si>
    <t xml:space="preserve">P-003065</t>
  </si>
  <si>
    <t xml:space="preserve">P-003066</t>
  </si>
  <si>
    <t xml:space="preserve">P-003067</t>
  </si>
  <si>
    <t xml:space="preserve">P-003068</t>
  </si>
  <si>
    <t xml:space="preserve">P-003069</t>
  </si>
  <si>
    <t xml:space="preserve">P-003070</t>
  </si>
  <si>
    <t xml:space="preserve">P-003071</t>
  </si>
  <si>
    <t xml:space="preserve">P-003072</t>
  </si>
  <si>
    <t xml:space="preserve">P-003073</t>
  </si>
  <si>
    <t xml:space="preserve">P-003074</t>
  </si>
  <si>
    <t xml:space="preserve">P-003075</t>
  </si>
  <si>
    <t xml:space="preserve">P-003076</t>
  </si>
  <si>
    <t xml:space="preserve">P-003077</t>
  </si>
  <si>
    <t xml:space="preserve">P-003078</t>
  </si>
  <si>
    <t xml:space="preserve">P-003079</t>
  </si>
  <si>
    <t xml:space="preserve">P-003080</t>
  </si>
  <si>
    <t xml:space="preserve">P-003081</t>
  </si>
  <si>
    <t xml:space="preserve">P-003082</t>
  </si>
  <si>
    <t xml:space="preserve">P-003083</t>
  </si>
  <si>
    <t xml:space="preserve">P-003084</t>
  </si>
  <si>
    <t xml:space="preserve">P-003085</t>
  </si>
  <si>
    <t xml:space="preserve">P-003086</t>
  </si>
  <si>
    <t xml:space="preserve">P-003087</t>
  </si>
  <si>
    <t xml:space="preserve">P-003088</t>
  </si>
  <si>
    <t xml:space="preserve">P-003089</t>
  </si>
  <si>
    <t xml:space="preserve">P-003090</t>
  </si>
  <si>
    <t xml:space="preserve">P-003091</t>
  </si>
  <si>
    <t xml:space="preserve">P-003092</t>
  </si>
  <si>
    <t xml:space="preserve">P-003093</t>
  </si>
  <si>
    <t xml:space="preserve">P-003094</t>
  </si>
  <si>
    <t xml:space="preserve">P-003095</t>
  </si>
  <si>
    <t xml:space="preserve">P-003096</t>
  </si>
  <si>
    <t xml:space="preserve">P-003097</t>
  </si>
  <si>
    <t xml:space="preserve">P-003098</t>
  </si>
  <si>
    <t xml:space="preserve">P-003099</t>
  </si>
  <si>
    <t xml:space="preserve">P-003100</t>
  </si>
  <si>
    <t xml:space="preserve">P-003101</t>
  </si>
  <si>
    <t xml:space="preserve">P-003102</t>
  </si>
  <si>
    <t xml:space="preserve">P-003103</t>
  </si>
  <si>
    <t xml:space="preserve">P-003104</t>
  </si>
  <si>
    <t xml:space="preserve">P-003105</t>
  </si>
  <si>
    <t xml:space="preserve">P-003106</t>
  </si>
  <si>
    <t xml:space="preserve">P-003107</t>
  </si>
  <si>
    <t xml:space="preserve">P-003108</t>
  </si>
  <si>
    <t xml:space="preserve">P-003109</t>
  </si>
  <si>
    <t xml:space="preserve">P-003110</t>
  </si>
  <si>
    <t xml:space="preserve">P-003111</t>
  </si>
  <si>
    <t xml:space="preserve">P-003112</t>
  </si>
  <si>
    <t xml:space="preserve">P-003113</t>
  </si>
  <si>
    <t xml:space="preserve">P-003114</t>
  </si>
  <si>
    <t xml:space="preserve">P-003115</t>
  </si>
  <si>
    <t xml:space="preserve">P-003116</t>
  </si>
  <si>
    <t xml:space="preserve">P-003117</t>
  </si>
  <si>
    <t xml:space="preserve">P-003118</t>
  </si>
  <si>
    <t xml:space="preserve">P-003119</t>
  </si>
  <si>
    <t xml:space="preserve">P-003120</t>
  </si>
  <si>
    <t xml:space="preserve">P-003121</t>
  </si>
  <si>
    <t xml:space="preserve">P-003122</t>
  </si>
  <si>
    <t xml:space="preserve">P-003123</t>
  </si>
  <si>
    <t xml:space="preserve">P-003124</t>
  </si>
  <si>
    <t xml:space="preserve">P-003125</t>
  </si>
  <si>
    <t xml:space="preserve">P-003126</t>
  </si>
  <si>
    <t xml:space="preserve">P-003127</t>
  </si>
  <si>
    <t xml:space="preserve">P-003128</t>
  </si>
  <si>
    <t xml:space="preserve">P-003129</t>
  </si>
  <si>
    <t xml:space="preserve">P-003130</t>
  </si>
  <si>
    <t xml:space="preserve">P-003131</t>
  </si>
  <si>
    <t xml:space="preserve">P-003132</t>
  </si>
  <si>
    <t xml:space="preserve">P-003133</t>
  </si>
  <si>
    <t xml:space="preserve">P-003134</t>
  </si>
  <si>
    <t xml:space="preserve">P-003135</t>
  </si>
  <si>
    <t xml:space="preserve">P-003136</t>
  </si>
  <si>
    <t xml:space="preserve">P-003137</t>
  </si>
  <si>
    <t xml:space="preserve">P-003138</t>
  </si>
  <si>
    <t xml:space="preserve">P-003139</t>
  </si>
  <si>
    <t xml:space="preserve">P-003140</t>
  </si>
  <si>
    <t xml:space="preserve">P-003141</t>
  </si>
  <si>
    <t xml:space="preserve">P-003142</t>
  </si>
  <si>
    <t xml:space="preserve">P-003143</t>
  </si>
  <si>
    <t xml:space="preserve">P-003144</t>
  </si>
  <si>
    <t xml:space="preserve">P-003145</t>
  </si>
  <si>
    <t xml:space="preserve">P-003146</t>
  </si>
  <si>
    <t xml:space="preserve">P-003147</t>
  </si>
  <si>
    <t xml:space="preserve">P-003148</t>
  </si>
  <si>
    <t xml:space="preserve">P-003149</t>
  </si>
  <si>
    <t xml:space="preserve">P-003150</t>
  </si>
  <si>
    <t xml:space="preserve">P-003151</t>
  </si>
  <si>
    <t xml:space="preserve">P-003152</t>
  </si>
  <si>
    <t xml:space="preserve">P-003153</t>
  </si>
  <si>
    <t xml:space="preserve">P-003154</t>
  </si>
  <si>
    <t xml:space="preserve">P-003155</t>
  </si>
  <si>
    <t xml:space="preserve">P-003156</t>
  </si>
  <si>
    <t xml:space="preserve">P-003157</t>
  </si>
  <si>
    <t xml:space="preserve">P-003158</t>
  </si>
  <si>
    <t xml:space="preserve">P-003159</t>
  </si>
  <si>
    <t xml:space="preserve">P-003160</t>
  </si>
  <si>
    <t xml:space="preserve">P-003161</t>
  </si>
  <si>
    <t xml:space="preserve">P-003162</t>
  </si>
  <si>
    <t xml:space="preserve">P-003163</t>
  </si>
  <si>
    <t xml:space="preserve">P-003164</t>
  </si>
  <si>
    <t xml:space="preserve">P-003165</t>
  </si>
  <si>
    <t xml:space="preserve">P-003166</t>
  </si>
  <si>
    <t xml:space="preserve">P-003167</t>
  </si>
  <si>
    <t xml:space="preserve">P-003168</t>
  </si>
  <si>
    <t xml:space="preserve">P-003169</t>
  </si>
  <si>
    <t xml:space="preserve">P-003170</t>
  </si>
  <si>
    <t xml:space="preserve">P-003171</t>
  </si>
  <si>
    <t xml:space="preserve">P-003172</t>
  </si>
  <si>
    <t xml:space="preserve">P-003173</t>
  </si>
  <si>
    <t xml:space="preserve">P-003174</t>
  </si>
  <si>
    <t xml:space="preserve">P-003175</t>
  </si>
  <si>
    <t xml:space="preserve">P-003176</t>
  </si>
  <si>
    <t xml:space="preserve">P-003177</t>
  </si>
  <si>
    <t xml:space="preserve">P-003178</t>
  </si>
  <si>
    <t xml:space="preserve">P-003179</t>
  </si>
  <si>
    <t xml:space="preserve">P-003180</t>
  </si>
  <si>
    <t xml:space="preserve">P-003181</t>
  </si>
  <si>
    <t xml:space="preserve">P-003182</t>
  </si>
  <si>
    <t xml:space="preserve">P-003183</t>
  </si>
  <si>
    <t xml:space="preserve">P-003184</t>
  </si>
  <si>
    <t xml:space="preserve">P-003185</t>
  </si>
  <si>
    <t xml:space="preserve">P-003186</t>
  </si>
  <si>
    <t xml:space="preserve">P-003187</t>
  </si>
  <si>
    <t xml:space="preserve">P-003188</t>
  </si>
  <si>
    <t xml:space="preserve">P-003189</t>
  </si>
  <si>
    <t xml:space="preserve">P-003190</t>
  </si>
  <si>
    <t xml:space="preserve">P-003191</t>
  </si>
  <si>
    <t xml:space="preserve">P-003192</t>
  </si>
  <si>
    <t xml:space="preserve">P-003193</t>
  </si>
  <si>
    <t xml:space="preserve">P-003194</t>
  </si>
  <si>
    <t xml:space="preserve">P-003195</t>
  </si>
  <si>
    <t xml:space="preserve">P-003196</t>
  </si>
  <si>
    <t xml:space="preserve">P-003197</t>
  </si>
  <si>
    <t xml:space="preserve">P-003198</t>
  </si>
  <si>
    <t xml:space="preserve">P-003199</t>
  </si>
  <si>
    <t xml:space="preserve">P-003200</t>
  </si>
  <si>
    <t xml:space="preserve">P-003201</t>
  </si>
  <si>
    <t xml:space="preserve">P-003202</t>
  </si>
  <si>
    <t xml:space="preserve">P-003203</t>
  </si>
  <si>
    <t xml:space="preserve">P-003204</t>
  </si>
  <si>
    <t xml:space="preserve">P-003205</t>
  </si>
  <si>
    <t xml:space="preserve">P-003206</t>
  </si>
  <si>
    <t xml:space="preserve">P-003207</t>
  </si>
  <si>
    <t xml:space="preserve">P-003208</t>
  </si>
  <si>
    <t xml:space="preserve">P-003209</t>
  </si>
  <si>
    <t xml:space="preserve">P-003210</t>
  </si>
  <si>
    <t xml:space="preserve">P-003211</t>
  </si>
  <si>
    <t xml:space="preserve">P-003212</t>
  </si>
  <si>
    <t xml:space="preserve">P-003213</t>
  </si>
  <si>
    <t xml:space="preserve">P-003214</t>
  </si>
  <si>
    <t xml:space="preserve">P-003215</t>
  </si>
  <si>
    <t xml:space="preserve">P-003216</t>
  </si>
  <si>
    <t xml:space="preserve">P-003217</t>
  </si>
  <si>
    <t xml:space="preserve">P-003218</t>
  </si>
  <si>
    <t xml:space="preserve">P-003219</t>
  </si>
  <si>
    <t xml:space="preserve">P-003220</t>
  </si>
  <si>
    <t xml:space="preserve">P-003221</t>
  </si>
  <si>
    <t xml:space="preserve">P-003222</t>
  </si>
  <si>
    <t xml:space="preserve">P-003223</t>
  </si>
  <si>
    <t xml:space="preserve">P-003224</t>
  </si>
  <si>
    <t xml:space="preserve">P-003225</t>
  </si>
  <si>
    <t xml:space="preserve">P-003226</t>
  </si>
  <si>
    <t xml:space="preserve">P-003227</t>
  </si>
  <si>
    <t xml:space="preserve">P-003228</t>
  </si>
  <si>
    <t xml:space="preserve">P-003229</t>
  </si>
  <si>
    <t xml:space="preserve">P-003230</t>
  </si>
  <si>
    <t xml:space="preserve">P-003231</t>
  </si>
  <si>
    <t xml:space="preserve">P-003232</t>
  </si>
  <si>
    <t xml:space="preserve">P-003233</t>
  </si>
  <si>
    <t xml:space="preserve">P-003234</t>
  </si>
  <si>
    <t xml:space="preserve">P-003235</t>
  </si>
  <si>
    <t xml:space="preserve">P-003236</t>
  </si>
  <si>
    <t xml:space="preserve">P-003237</t>
  </si>
  <si>
    <t xml:space="preserve">P-003238</t>
  </si>
  <si>
    <t xml:space="preserve">P-003239</t>
  </si>
  <si>
    <t xml:space="preserve">P-003240</t>
  </si>
  <si>
    <t xml:space="preserve">P-003241</t>
  </si>
  <si>
    <t xml:space="preserve">P-003242</t>
  </si>
  <si>
    <t xml:space="preserve">P-003243</t>
  </si>
  <si>
    <t xml:space="preserve">P-003244</t>
  </si>
  <si>
    <t xml:space="preserve">P-003245</t>
  </si>
  <si>
    <t xml:space="preserve">P-003246</t>
  </si>
  <si>
    <t xml:space="preserve">P-003247</t>
  </si>
  <si>
    <t xml:space="preserve">P-003248</t>
  </si>
  <si>
    <t xml:space="preserve">P-003249</t>
  </si>
  <si>
    <t xml:space="preserve">P-003250</t>
  </si>
  <si>
    <t xml:space="preserve">P-003251</t>
  </si>
  <si>
    <t xml:space="preserve">P-003252</t>
  </si>
  <si>
    <t xml:space="preserve">P-003253</t>
  </si>
  <si>
    <t xml:space="preserve">P-003254</t>
  </si>
  <si>
    <t xml:space="preserve">P-003255</t>
  </si>
  <si>
    <t xml:space="preserve">P-003256</t>
  </si>
  <si>
    <t xml:space="preserve">P-003257</t>
  </si>
  <si>
    <t xml:space="preserve">P-003258</t>
  </si>
  <si>
    <t xml:space="preserve">P-003259</t>
  </si>
  <si>
    <t xml:space="preserve">P-003260</t>
  </si>
  <si>
    <t xml:space="preserve">P-003261</t>
  </si>
  <si>
    <t xml:space="preserve">P-003262</t>
  </si>
  <si>
    <t xml:space="preserve">P-003263</t>
  </si>
  <si>
    <t xml:space="preserve">P-003264</t>
  </si>
  <si>
    <t xml:space="preserve">P-003265</t>
  </si>
  <si>
    <t xml:space="preserve">P-003266</t>
  </si>
  <si>
    <t xml:space="preserve">P-003267</t>
  </si>
  <si>
    <t xml:space="preserve">P-003268</t>
  </si>
  <si>
    <t xml:space="preserve">P-003269</t>
  </si>
  <si>
    <t xml:space="preserve">P-003270</t>
  </si>
  <si>
    <t xml:space="preserve">P-003271</t>
  </si>
  <si>
    <t xml:space="preserve">P-003272</t>
  </si>
  <si>
    <t xml:space="preserve">P-003273</t>
  </si>
  <si>
    <t xml:space="preserve">P-003274</t>
  </si>
  <si>
    <t xml:space="preserve">P-003275</t>
  </si>
  <si>
    <t xml:space="preserve">P-003276</t>
  </si>
  <si>
    <t xml:space="preserve">P-003277</t>
  </si>
  <si>
    <t xml:space="preserve">P-003278</t>
  </si>
  <si>
    <t xml:space="preserve">P-003279</t>
  </si>
  <si>
    <t xml:space="preserve">P-003280</t>
  </si>
  <si>
    <t xml:space="preserve">P-003281</t>
  </si>
  <si>
    <t xml:space="preserve">P-003282</t>
  </si>
  <si>
    <t xml:space="preserve">P-003283</t>
  </si>
  <si>
    <t xml:space="preserve">P-003284</t>
  </si>
  <si>
    <t xml:space="preserve">P-003285</t>
  </si>
  <si>
    <t xml:space="preserve">P-003286</t>
  </si>
  <si>
    <t xml:space="preserve">P-003287</t>
  </si>
  <si>
    <t xml:space="preserve">P-003288</t>
  </si>
  <si>
    <t xml:space="preserve">P-003289</t>
  </si>
  <si>
    <t xml:space="preserve">P-003290</t>
  </si>
  <si>
    <t xml:space="preserve">P-003291</t>
  </si>
  <si>
    <t xml:space="preserve">P-003292</t>
  </si>
  <si>
    <t xml:space="preserve">P-003293</t>
  </si>
  <si>
    <t xml:space="preserve">P-003294</t>
  </si>
  <si>
    <t xml:space="preserve">P-003295</t>
  </si>
  <si>
    <t xml:space="preserve">P-003296</t>
  </si>
  <si>
    <t xml:space="preserve">P-003297</t>
  </si>
  <si>
    <t xml:space="preserve">P-003298</t>
  </si>
  <si>
    <t xml:space="preserve">P-003299</t>
  </si>
  <si>
    <t xml:space="preserve">P-003300</t>
  </si>
  <si>
    <t xml:space="preserve">P-003301</t>
  </si>
  <si>
    <t xml:space="preserve">P-003302</t>
  </si>
  <si>
    <t xml:space="preserve">P-003303</t>
  </si>
  <si>
    <t xml:space="preserve">P-003304</t>
  </si>
  <si>
    <t xml:space="preserve">P-003305</t>
  </si>
  <si>
    <t xml:space="preserve">P-003306</t>
  </si>
  <si>
    <t xml:space="preserve">P-003307</t>
  </si>
  <si>
    <t xml:space="preserve">P-003308</t>
  </si>
  <si>
    <t xml:space="preserve">P-003309</t>
  </si>
  <si>
    <t xml:space="preserve">P-003310</t>
  </si>
  <si>
    <t xml:space="preserve">P-003311</t>
  </si>
  <si>
    <t xml:space="preserve">P-003312</t>
  </si>
  <si>
    <t xml:space="preserve">P-003313</t>
  </si>
  <si>
    <t xml:space="preserve">P-003314</t>
  </si>
  <si>
    <t xml:space="preserve">P-003315</t>
  </si>
  <si>
    <t xml:space="preserve">P-003316</t>
  </si>
  <si>
    <t xml:space="preserve">P-003317</t>
  </si>
  <si>
    <t xml:space="preserve">P-003318</t>
  </si>
  <si>
    <t xml:space="preserve">P-003319</t>
  </si>
  <si>
    <t xml:space="preserve">P-003320</t>
  </si>
  <si>
    <t xml:space="preserve">P-003321</t>
  </si>
  <si>
    <t xml:space="preserve">P-003322</t>
  </si>
  <si>
    <t xml:space="preserve">P-003323</t>
  </si>
  <si>
    <t xml:space="preserve">P-003324</t>
  </si>
  <si>
    <t xml:space="preserve">P-003325</t>
  </si>
  <si>
    <t xml:space="preserve">P-003326</t>
  </si>
  <si>
    <t xml:space="preserve">P-003327</t>
  </si>
  <si>
    <t xml:space="preserve">P-003328</t>
  </si>
  <si>
    <t xml:space="preserve">P-003329</t>
  </si>
  <si>
    <t xml:space="preserve">P-003330</t>
  </si>
  <si>
    <t xml:space="preserve">P-003331</t>
  </si>
  <si>
    <t xml:space="preserve">P-003332</t>
  </si>
  <si>
    <t xml:space="preserve">P-003333</t>
  </si>
  <si>
    <t xml:space="preserve">P-003334</t>
  </si>
  <si>
    <t xml:space="preserve">P-003335</t>
  </si>
  <si>
    <t xml:space="preserve">P-003336</t>
  </si>
  <si>
    <t xml:space="preserve">P-003337</t>
  </si>
  <si>
    <t xml:space="preserve">P-003338</t>
  </si>
  <si>
    <t xml:space="preserve">P-003339</t>
  </si>
  <si>
    <t xml:space="preserve">P-003340</t>
  </si>
  <si>
    <t xml:space="preserve">P-003341</t>
  </si>
  <si>
    <t xml:space="preserve">P-003342</t>
  </si>
  <si>
    <t xml:space="preserve">P-003343</t>
  </si>
  <si>
    <t xml:space="preserve">P-003344</t>
  </si>
  <si>
    <t xml:space="preserve">P-003345</t>
  </si>
  <si>
    <t xml:space="preserve">P-003346</t>
  </si>
  <si>
    <t xml:space="preserve">P-003347</t>
  </si>
  <si>
    <t xml:space="preserve">P-003348</t>
  </si>
  <si>
    <t xml:space="preserve">P-003349</t>
  </si>
  <si>
    <t xml:space="preserve">P-003350</t>
  </si>
  <si>
    <t xml:space="preserve">P-003351</t>
  </si>
  <si>
    <t xml:space="preserve">P-003352</t>
  </si>
  <si>
    <t xml:space="preserve">P-003353</t>
  </si>
  <si>
    <t xml:space="preserve">P-003354</t>
  </si>
  <si>
    <t xml:space="preserve">P-003355</t>
  </si>
  <si>
    <t xml:space="preserve">P-003356</t>
  </si>
  <si>
    <t xml:space="preserve">P-003357</t>
  </si>
  <si>
    <t xml:space="preserve">P-003358</t>
  </si>
  <si>
    <t xml:space="preserve">P-003359</t>
  </si>
  <si>
    <t xml:space="preserve">P-003360</t>
  </si>
  <si>
    <t xml:space="preserve">P-003361</t>
  </si>
  <si>
    <t xml:space="preserve">P-003362</t>
  </si>
  <si>
    <t xml:space="preserve">P-003363</t>
  </si>
  <si>
    <t xml:space="preserve">P-003364</t>
  </si>
  <si>
    <t xml:space="preserve">P-003365</t>
  </si>
  <si>
    <t xml:space="preserve">P-003366</t>
  </si>
  <si>
    <t xml:space="preserve">P-003367</t>
  </si>
  <si>
    <t xml:space="preserve">P-003368</t>
  </si>
  <si>
    <t xml:space="preserve">P-003369</t>
  </si>
  <si>
    <t xml:space="preserve">P-003370</t>
  </si>
  <si>
    <t xml:space="preserve">P-003371</t>
  </si>
  <si>
    <t xml:space="preserve">P-003372</t>
  </si>
  <si>
    <t xml:space="preserve">P-003373</t>
  </si>
  <si>
    <t xml:space="preserve">P-003374</t>
  </si>
  <si>
    <t xml:space="preserve">P-003375</t>
  </si>
  <si>
    <t xml:space="preserve">P-003376</t>
  </si>
  <si>
    <t xml:space="preserve">P-003377</t>
  </si>
  <si>
    <t xml:space="preserve">P-003378</t>
  </si>
  <si>
    <t xml:space="preserve">P-003379</t>
  </si>
  <si>
    <t xml:space="preserve">P-003380</t>
  </si>
  <si>
    <t xml:space="preserve">P-003381</t>
  </si>
  <si>
    <t xml:space="preserve">P-003382</t>
  </si>
  <si>
    <t xml:space="preserve">P-003383</t>
  </si>
  <si>
    <t xml:space="preserve">P-003384</t>
  </si>
  <si>
    <t xml:space="preserve">P-003385</t>
  </si>
  <si>
    <t xml:space="preserve">P-003386</t>
  </si>
  <si>
    <t xml:space="preserve">P-003387</t>
  </si>
  <si>
    <t xml:space="preserve">P-003388</t>
  </si>
  <si>
    <t xml:space="preserve">P-003389</t>
  </si>
  <si>
    <t xml:space="preserve">P-003390</t>
  </si>
  <si>
    <t xml:space="preserve">P-003391</t>
  </si>
  <si>
    <t xml:space="preserve">P-003392</t>
  </si>
  <si>
    <t xml:space="preserve">P-003393</t>
  </si>
  <si>
    <t xml:space="preserve">P-003394</t>
  </si>
  <si>
    <t xml:space="preserve">P-003395</t>
  </si>
  <si>
    <t xml:space="preserve">P-003396</t>
  </si>
  <si>
    <t xml:space="preserve">P-003397</t>
  </si>
  <si>
    <t xml:space="preserve">P-003398</t>
  </si>
  <si>
    <t xml:space="preserve">P-003399</t>
  </si>
  <si>
    <t xml:space="preserve">P-003400</t>
  </si>
  <si>
    <t xml:space="preserve">P-003401</t>
  </si>
  <si>
    <t xml:space="preserve">P-003402</t>
  </si>
  <si>
    <t xml:space="preserve">P-003403</t>
  </si>
  <si>
    <t xml:space="preserve">P-003404</t>
  </si>
  <si>
    <t xml:space="preserve">P-003405</t>
  </si>
  <si>
    <t xml:space="preserve">P-003406</t>
  </si>
  <si>
    <t xml:space="preserve">P-003407</t>
  </si>
  <si>
    <t xml:space="preserve">P-003408</t>
  </si>
  <si>
    <t xml:space="preserve">P-003409</t>
  </si>
  <si>
    <t xml:space="preserve">P-003410</t>
  </si>
  <si>
    <t xml:space="preserve">P-003411</t>
  </si>
  <si>
    <t xml:space="preserve">P-003412</t>
  </si>
  <si>
    <t xml:space="preserve">P-003413</t>
  </si>
  <si>
    <t xml:space="preserve">P-003414</t>
  </si>
  <si>
    <t xml:space="preserve">P-003415</t>
  </si>
  <si>
    <t xml:space="preserve">P-003416</t>
  </si>
  <si>
    <t xml:space="preserve">P-003417</t>
  </si>
  <si>
    <t xml:space="preserve">P-003418</t>
  </si>
  <si>
    <t xml:space="preserve">P-003419</t>
  </si>
  <si>
    <t xml:space="preserve">P-003420</t>
  </si>
  <si>
    <t xml:space="preserve">P-003421</t>
  </si>
  <si>
    <t xml:space="preserve">P-003422</t>
  </si>
  <si>
    <t xml:space="preserve">P-003423</t>
  </si>
  <si>
    <t xml:space="preserve">P-003424</t>
  </si>
  <si>
    <t xml:space="preserve">P-003425</t>
  </si>
  <si>
    <t xml:space="preserve">P-003426</t>
  </si>
  <si>
    <t xml:space="preserve">P-003427</t>
  </si>
  <si>
    <t xml:space="preserve">P-003428</t>
  </si>
  <si>
    <t xml:space="preserve">P-003429</t>
  </si>
  <si>
    <t xml:space="preserve">P-003430</t>
  </si>
  <si>
    <t xml:space="preserve">P-003431</t>
  </si>
  <si>
    <t xml:space="preserve">P-003432</t>
  </si>
  <si>
    <t xml:space="preserve">P-003433</t>
  </si>
  <si>
    <t xml:space="preserve">P-003434</t>
  </si>
  <si>
    <t xml:space="preserve">P-003435</t>
  </si>
  <si>
    <t xml:space="preserve">P-003436</t>
  </si>
  <si>
    <t xml:space="preserve">P-003437</t>
  </si>
  <si>
    <t xml:space="preserve">P-003438</t>
  </si>
  <si>
    <t xml:space="preserve">P-003439</t>
  </si>
  <si>
    <t xml:space="preserve">P-003440</t>
  </si>
  <si>
    <t xml:space="preserve">P-003441</t>
  </si>
  <si>
    <t xml:space="preserve">P-003442</t>
  </si>
  <si>
    <t xml:space="preserve">P-003443</t>
  </si>
  <si>
    <t xml:space="preserve">P-003444</t>
  </si>
  <si>
    <t xml:space="preserve">P-003445</t>
  </si>
  <si>
    <t xml:space="preserve">P-003446</t>
  </si>
  <si>
    <t xml:space="preserve">P-003447</t>
  </si>
  <si>
    <t xml:space="preserve">P-003448</t>
  </si>
  <si>
    <t xml:space="preserve">P-003449</t>
  </si>
  <si>
    <t xml:space="preserve">P-003450</t>
  </si>
  <si>
    <t xml:space="preserve">P-003451</t>
  </si>
  <si>
    <t xml:space="preserve">P-003452</t>
  </si>
  <si>
    <t xml:space="preserve">P-003453</t>
  </si>
  <si>
    <t xml:space="preserve">P-003454</t>
  </si>
  <si>
    <t xml:space="preserve">P-003455</t>
  </si>
  <si>
    <t xml:space="preserve">P-003456</t>
  </si>
  <si>
    <t xml:space="preserve">P-003457</t>
  </si>
  <si>
    <t xml:space="preserve">P-003458</t>
  </si>
  <si>
    <t xml:space="preserve">P-003459</t>
  </si>
  <si>
    <t xml:space="preserve">P-003460</t>
  </si>
  <si>
    <t xml:space="preserve">P-003461</t>
  </si>
  <si>
    <t xml:space="preserve">P-003462</t>
  </si>
  <si>
    <t xml:space="preserve">P-003463</t>
  </si>
  <si>
    <t xml:space="preserve">P-003464</t>
  </si>
  <si>
    <t xml:space="preserve">P-003465</t>
  </si>
  <si>
    <t xml:space="preserve">P-003466</t>
  </si>
  <si>
    <t xml:space="preserve">P-003467</t>
  </si>
  <si>
    <t xml:space="preserve">P-003468</t>
  </si>
  <si>
    <t xml:space="preserve">P-003469</t>
  </si>
  <si>
    <t xml:space="preserve">P-003470</t>
  </si>
  <si>
    <t xml:space="preserve">P-003471</t>
  </si>
  <si>
    <t xml:space="preserve">P-003472</t>
  </si>
  <si>
    <t xml:space="preserve">P-003473</t>
  </si>
  <si>
    <t xml:space="preserve">P-003474</t>
  </si>
  <si>
    <t xml:space="preserve">P-003475</t>
  </si>
  <si>
    <t xml:space="preserve">P-003476</t>
  </si>
  <si>
    <t xml:space="preserve">P-003477</t>
  </si>
  <si>
    <t xml:space="preserve">P-003478</t>
  </si>
  <si>
    <t xml:space="preserve">P-003479</t>
  </si>
  <si>
    <t xml:space="preserve">P-003480</t>
  </si>
  <si>
    <t xml:space="preserve">P-003481</t>
  </si>
  <si>
    <t xml:space="preserve">P-003482</t>
  </si>
  <si>
    <t xml:space="preserve">P-003483</t>
  </si>
  <si>
    <t xml:space="preserve">P-003484</t>
  </si>
  <si>
    <t xml:space="preserve">P-003485</t>
  </si>
  <si>
    <t xml:space="preserve">P-003486</t>
  </si>
  <si>
    <t xml:space="preserve">P-003487</t>
  </si>
  <si>
    <t xml:space="preserve">P-003488</t>
  </si>
  <si>
    <t xml:space="preserve">P-003489</t>
  </si>
  <si>
    <t xml:space="preserve">P-003490</t>
  </si>
  <si>
    <t xml:space="preserve">P-003491</t>
  </si>
  <si>
    <t xml:space="preserve">P-003492</t>
  </si>
  <si>
    <t xml:space="preserve">P-003493</t>
  </si>
  <si>
    <t xml:space="preserve">P-003494</t>
  </si>
  <si>
    <t xml:space="preserve">P-003495</t>
  </si>
  <si>
    <t xml:space="preserve">P-003496</t>
  </si>
  <si>
    <t xml:space="preserve">P-003497</t>
  </si>
  <si>
    <t xml:space="preserve">P-003498</t>
  </si>
  <si>
    <t xml:space="preserve">P-003499</t>
  </si>
  <si>
    <t xml:space="preserve">P-003500</t>
  </si>
  <si>
    <t xml:space="preserve">P-003501</t>
  </si>
  <si>
    <t xml:space="preserve">P-003502</t>
  </si>
  <si>
    <t xml:space="preserve">P-003503</t>
  </si>
  <si>
    <t xml:space="preserve">P-003504</t>
  </si>
  <si>
    <t xml:space="preserve">P-003505</t>
  </si>
  <si>
    <t xml:space="preserve">P-003506</t>
  </si>
  <si>
    <t xml:space="preserve">P-003507</t>
  </si>
  <si>
    <t xml:space="preserve">P-003508</t>
  </si>
  <si>
    <t xml:space="preserve">P-003509</t>
  </si>
  <si>
    <t xml:space="preserve">P-003510</t>
  </si>
  <si>
    <t xml:space="preserve">P-003511</t>
  </si>
  <si>
    <t xml:space="preserve">P-003512</t>
  </si>
  <si>
    <t xml:space="preserve">P-003513</t>
  </si>
  <si>
    <t xml:space="preserve">P-003514</t>
  </si>
  <si>
    <t xml:space="preserve">P-003515</t>
  </si>
  <si>
    <t xml:space="preserve">P-003516</t>
  </si>
  <si>
    <t xml:space="preserve">P-003517</t>
  </si>
  <si>
    <t xml:space="preserve">P-003518</t>
  </si>
  <si>
    <t xml:space="preserve">P-003519</t>
  </si>
  <si>
    <t xml:space="preserve">P-003520</t>
  </si>
  <si>
    <t xml:space="preserve">P-003521</t>
  </si>
  <si>
    <t xml:space="preserve">P-003522</t>
  </si>
  <si>
    <t xml:space="preserve">P-003523</t>
  </si>
  <si>
    <t xml:space="preserve">P-003524</t>
  </si>
  <si>
    <t xml:space="preserve">P-003525</t>
  </si>
  <si>
    <t xml:space="preserve">P-003526</t>
  </si>
  <si>
    <t xml:space="preserve">P-003527</t>
  </si>
  <si>
    <t xml:space="preserve">P-003528</t>
  </si>
  <si>
    <t xml:space="preserve">P-003529</t>
  </si>
  <si>
    <t xml:space="preserve">P-003530</t>
  </si>
  <si>
    <t xml:space="preserve">P-003531</t>
  </si>
  <si>
    <t xml:space="preserve">P-003532</t>
  </si>
  <si>
    <t xml:space="preserve">P-003533</t>
  </si>
  <si>
    <t xml:space="preserve">P-003534</t>
  </si>
  <si>
    <t xml:space="preserve">P-003535</t>
  </si>
  <si>
    <t xml:space="preserve">P-003536</t>
  </si>
  <si>
    <t xml:space="preserve">P-003537</t>
  </si>
  <si>
    <t xml:space="preserve">P-003538</t>
  </si>
  <si>
    <t xml:space="preserve">P-003539</t>
  </si>
  <si>
    <t xml:space="preserve">P-003540</t>
  </si>
  <si>
    <t xml:space="preserve">P-003541</t>
  </si>
  <si>
    <t xml:space="preserve">P-003542</t>
  </si>
  <si>
    <t xml:space="preserve">P-003543</t>
  </si>
  <si>
    <t xml:space="preserve">P-003544</t>
  </si>
  <si>
    <t xml:space="preserve">P-003545</t>
  </si>
  <si>
    <t xml:space="preserve">P-003546</t>
  </si>
  <si>
    <t xml:space="preserve">P-003547</t>
  </si>
  <si>
    <t xml:space="preserve">P-003548</t>
  </si>
  <si>
    <t xml:space="preserve">P-003549</t>
  </si>
  <si>
    <t xml:space="preserve">P-003550</t>
  </si>
  <si>
    <t xml:space="preserve">P-003551</t>
  </si>
  <si>
    <t xml:space="preserve">P-003552</t>
  </si>
  <si>
    <t xml:space="preserve">P-003553</t>
  </si>
  <si>
    <t xml:space="preserve">P-003554</t>
  </si>
  <si>
    <t xml:space="preserve">P-003555</t>
  </si>
  <si>
    <t xml:space="preserve">P-003556</t>
  </si>
  <si>
    <t xml:space="preserve">P-003557</t>
  </si>
  <si>
    <t xml:space="preserve">P-003558</t>
  </si>
  <si>
    <t xml:space="preserve">P-003559</t>
  </si>
  <si>
    <t xml:space="preserve">P-003560</t>
  </si>
  <si>
    <t xml:space="preserve">P-003561</t>
  </si>
  <si>
    <t xml:space="preserve">P-003562</t>
  </si>
  <si>
    <t xml:space="preserve">P-003563</t>
  </si>
  <si>
    <t xml:space="preserve">P-003564</t>
  </si>
  <si>
    <t xml:space="preserve">P-003565</t>
  </si>
  <si>
    <t xml:space="preserve">P-003566</t>
  </si>
  <si>
    <t xml:space="preserve">P-003567</t>
  </si>
  <si>
    <t xml:space="preserve">P-003568</t>
  </si>
  <si>
    <t xml:space="preserve">P-003569</t>
  </si>
  <si>
    <t xml:space="preserve">P-003570</t>
  </si>
  <si>
    <t xml:space="preserve">P-003571</t>
  </si>
  <si>
    <t xml:space="preserve">P-003572</t>
  </si>
  <si>
    <t xml:space="preserve">P-003573</t>
  </si>
  <si>
    <t xml:space="preserve">P-003574</t>
  </si>
  <si>
    <t xml:space="preserve">P-003575</t>
  </si>
  <si>
    <t xml:space="preserve">P-003576</t>
  </si>
  <si>
    <t xml:space="preserve">P-003577</t>
  </si>
  <si>
    <t xml:space="preserve">P-003578</t>
  </si>
  <si>
    <t xml:space="preserve">P-003579</t>
  </si>
  <si>
    <t xml:space="preserve">P-003580</t>
  </si>
  <si>
    <t xml:space="preserve">P-003581</t>
  </si>
  <si>
    <t xml:space="preserve">P-003582</t>
  </si>
  <si>
    <t xml:space="preserve">P-003583</t>
  </si>
  <si>
    <t xml:space="preserve">P-003584</t>
  </si>
  <si>
    <t xml:space="preserve">P-003585</t>
  </si>
  <si>
    <t xml:space="preserve">P-003586</t>
  </si>
  <si>
    <t xml:space="preserve">P-003587</t>
  </si>
  <si>
    <t xml:space="preserve">P-003588</t>
  </si>
  <si>
    <t xml:space="preserve">P-003589</t>
  </si>
  <si>
    <t xml:space="preserve">P-003590</t>
  </si>
  <si>
    <t xml:space="preserve">P-003591</t>
  </si>
  <si>
    <t xml:space="preserve">P-003592</t>
  </si>
  <si>
    <t xml:space="preserve">P-003593</t>
  </si>
  <si>
    <t xml:space="preserve">P-003594</t>
  </si>
  <si>
    <t xml:space="preserve">P-003595</t>
  </si>
  <si>
    <t xml:space="preserve">P-003596</t>
  </si>
  <si>
    <t xml:space="preserve">P-003597</t>
  </si>
  <si>
    <t xml:space="preserve">P-003598</t>
  </si>
  <si>
    <t xml:space="preserve">P-003599</t>
  </si>
  <si>
    <t xml:space="preserve">P-003600</t>
  </si>
  <si>
    <t xml:space="preserve">P-003601</t>
  </si>
  <si>
    <t xml:space="preserve">P-003602</t>
  </si>
  <si>
    <t xml:space="preserve">P-003603</t>
  </si>
  <si>
    <t xml:space="preserve">P-003604</t>
  </si>
  <si>
    <t xml:space="preserve">P-003605</t>
  </si>
  <si>
    <t xml:space="preserve">P-003606</t>
  </si>
  <si>
    <t xml:space="preserve">P-003607</t>
  </si>
  <si>
    <t xml:space="preserve">P-003608</t>
  </si>
  <si>
    <t xml:space="preserve">P-003609</t>
  </si>
  <si>
    <t xml:space="preserve">P-003610</t>
  </si>
  <si>
    <t xml:space="preserve">P-003611</t>
  </si>
  <si>
    <t xml:space="preserve">P-003612</t>
  </si>
  <si>
    <t xml:space="preserve">P-003613</t>
  </si>
  <si>
    <t xml:space="preserve">P-003614</t>
  </si>
  <si>
    <t xml:space="preserve">P-003615</t>
  </si>
  <si>
    <t xml:space="preserve">P-003616</t>
  </si>
  <si>
    <t xml:space="preserve">P-003617</t>
  </si>
  <si>
    <t xml:space="preserve">P-003618</t>
  </si>
  <si>
    <t xml:space="preserve">P-003619</t>
  </si>
  <si>
    <t xml:space="preserve">P-003620</t>
  </si>
  <si>
    <t xml:space="preserve">P-003621</t>
  </si>
  <si>
    <t xml:space="preserve">P-003622</t>
  </si>
  <si>
    <t xml:space="preserve">P-003623</t>
  </si>
  <si>
    <t xml:space="preserve">P-003624</t>
  </si>
  <si>
    <t xml:space="preserve">P-003625</t>
  </si>
  <si>
    <t xml:space="preserve">P-003626</t>
  </si>
  <si>
    <t xml:space="preserve">P-003627</t>
  </si>
  <si>
    <t xml:space="preserve">P-003628</t>
  </si>
  <si>
    <t xml:space="preserve">P-003629</t>
  </si>
  <si>
    <t xml:space="preserve">P-003630</t>
  </si>
  <si>
    <t xml:space="preserve">P-003631</t>
  </si>
  <si>
    <t xml:space="preserve">P-003632</t>
  </si>
  <si>
    <t xml:space="preserve">P-003633</t>
  </si>
  <si>
    <t xml:space="preserve">P-003634</t>
  </si>
  <si>
    <t xml:space="preserve">P-003635</t>
  </si>
  <si>
    <t xml:space="preserve">P-003636</t>
  </si>
  <si>
    <t xml:space="preserve">P-003637</t>
  </si>
  <si>
    <t xml:space="preserve">P-003638</t>
  </si>
  <si>
    <t xml:space="preserve">P-003639</t>
  </si>
  <si>
    <t xml:space="preserve">P-003640</t>
  </si>
  <si>
    <t xml:space="preserve">P-003641</t>
  </si>
  <si>
    <t xml:space="preserve">P-003642</t>
  </si>
  <si>
    <t xml:space="preserve">P-003643</t>
  </si>
  <si>
    <t xml:space="preserve">P-003644</t>
  </si>
  <si>
    <t xml:space="preserve">P-003645</t>
  </si>
  <si>
    <t xml:space="preserve">P-003646</t>
  </si>
  <si>
    <t xml:space="preserve">P-003647</t>
  </si>
  <si>
    <t xml:space="preserve">P-003648</t>
  </si>
  <si>
    <t xml:space="preserve">P-003649</t>
  </si>
  <si>
    <t xml:space="preserve">P-003650</t>
  </si>
  <si>
    <t xml:space="preserve">P-003651</t>
  </si>
  <si>
    <t xml:space="preserve">P-003652</t>
  </si>
  <si>
    <t xml:space="preserve">P-003653</t>
  </si>
  <si>
    <t xml:space="preserve">P-003654</t>
  </si>
  <si>
    <t xml:space="preserve">P-003655</t>
  </si>
  <si>
    <t xml:space="preserve">P-003656</t>
  </si>
  <si>
    <t xml:space="preserve">P-003657</t>
  </si>
  <si>
    <t xml:space="preserve">P-003658</t>
  </si>
  <si>
    <t xml:space="preserve">P-003659</t>
  </si>
  <si>
    <t xml:space="preserve">P-003660</t>
  </si>
  <si>
    <t xml:space="preserve">P-003661</t>
  </si>
  <si>
    <t xml:space="preserve">P-003662</t>
  </si>
  <si>
    <t xml:space="preserve">P-003663</t>
  </si>
  <si>
    <t xml:space="preserve">P-003664</t>
  </si>
  <si>
    <t xml:space="preserve">P-003665</t>
  </si>
  <si>
    <t xml:space="preserve">P-003666</t>
  </si>
  <si>
    <t xml:space="preserve">P-003667</t>
  </si>
  <si>
    <t xml:space="preserve">P-003668</t>
  </si>
  <si>
    <t xml:space="preserve">P-003669</t>
  </si>
  <si>
    <t xml:space="preserve">P-003670</t>
  </si>
  <si>
    <t xml:space="preserve">P-003671</t>
  </si>
  <si>
    <t xml:space="preserve">P-003672</t>
  </si>
  <si>
    <t xml:space="preserve">P-003673</t>
  </si>
  <si>
    <t xml:space="preserve">P-003674</t>
  </si>
  <si>
    <t xml:space="preserve">P-003675</t>
  </si>
  <si>
    <t xml:space="preserve">P-003676</t>
  </si>
  <si>
    <t xml:space="preserve">P-003677</t>
  </si>
  <si>
    <t xml:space="preserve">P-003678</t>
  </si>
  <si>
    <t xml:space="preserve">P-003679</t>
  </si>
  <si>
    <t xml:space="preserve">P-003680</t>
  </si>
  <si>
    <t xml:space="preserve">P-003681</t>
  </si>
  <si>
    <t xml:space="preserve">P-003682</t>
  </si>
  <si>
    <t xml:space="preserve">P-003683</t>
  </si>
  <si>
    <t xml:space="preserve">P-003684</t>
  </si>
  <si>
    <t xml:space="preserve">P-003685</t>
  </si>
  <si>
    <t xml:space="preserve">P-003686</t>
  </si>
  <si>
    <t xml:space="preserve">P-003687</t>
  </si>
  <si>
    <t xml:space="preserve">P-003688</t>
  </si>
  <si>
    <t xml:space="preserve">P-003689</t>
  </si>
  <si>
    <t xml:space="preserve">P-003690</t>
  </si>
  <si>
    <t xml:space="preserve">P-003691</t>
  </si>
  <si>
    <t xml:space="preserve">P-003692</t>
  </si>
  <si>
    <t xml:space="preserve">P-003693</t>
  </si>
  <si>
    <t xml:space="preserve">P-003694</t>
  </si>
  <si>
    <t xml:space="preserve">P-003695</t>
  </si>
  <si>
    <t xml:space="preserve">P-003696</t>
  </si>
  <si>
    <t xml:space="preserve">P-003697</t>
  </si>
  <si>
    <t xml:space="preserve">P-003698</t>
  </si>
  <si>
    <t xml:space="preserve">P-003699</t>
  </si>
  <si>
    <t xml:space="preserve">P-003700</t>
  </si>
  <si>
    <t xml:space="preserve">P-003701</t>
  </si>
  <si>
    <t xml:space="preserve">P-003702</t>
  </si>
  <si>
    <t xml:space="preserve">P-003703</t>
  </si>
  <si>
    <t xml:space="preserve">P-003704</t>
  </si>
  <si>
    <t xml:space="preserve">P-003705</t>
  </si>
  <si>
    <t xml:space="preserve">P-003706</t>
  </si>
  <si>
    <t xml:space="preserve">P-003707</t>
  </si>
  <si>
    <t xml:space="preserve">P-003708</t>
  </si>
  <si>
    <t xml:space="preserve">P-003709</t>
  </si>
  <si>
    <t xml:space="preserve">P-003710</t>
  </si>
  <si>
    <t xml:space="preserve">P-003711</t>
  </si>
  <si>
    <t xml:space="preserve">P-003712</t>
  </si>
  <si>
    <t xml:space="preserve">P-003713</t>
  </si>
  <si>
    <t xml:space="preserve">P-003714</t>
  </si>
  <si>
    <t xml:space="preserve">P-003715</t>
  </si>
  <si>
    <t xml:space="preserve">P-003716</t>
  </si>
  <si>
    <t xml:space="preserve">P-003717</t>
  </si>
  <si>
    <t xml:space="preserve">P-003718</t>
  </si>
  <si>
    <t xml:space="preserve">P-003719</t>
  </si>
  <si>
    <t xml:space="preserve">P-003720</t>
  </si>
  <si>
    <t xml:space="preserve">P-003721</t>
  </si>
  <si>
    <t xml:space="preserve">P-003722</t>
  </si>
  <si>
    <t xml:space="preserve">P-003723</t>
  </si>
  <si>
    <t xml:space="preserve">P-003724</t>
  </si>
  <si>
    <t xml:space="preserve">P-003725</t>
  </si>
  <si>
    <t xml:space="preserve">P-003726</t>
  </si>
  <si>
    <t xml:space="preserve">P-003727</t>
  </si>
  <si>
    <t xml:space="preserve">P-003728</t>
  </si>
  <si>
    <t xml:space="preserve">P-003729</t>
  </si>
  <si>
    <t xml:space="preserve">P-003730</t>
  </si>
  <si>
    <t xml:space="preserve">P-003731</t>
  </si>
  <si>
    <t xml:space="preserve">P-003732</t>
  </si>
  <si>
    <t xml:space="preserve">P-003733</t>
  </si>
  <si>
    <t xml:space="preserve">P-003734</t>
  </si>
  <si>
    <t xml:space="preserve">P-003735</t>
  </si>
  <si>
    <t xml:space="preserve">P-003736</t>
  </si>
  <si>
    <t xml:space="preserve">P-003737</t>
  </si>
  <si>
    <t xml:space="preserve">P-003738</t>
  </si>
  <si>
    <t xml:space="preserve">P-003739</t>
  </si>
  <si>
    <t xml:space="preserve">P-003740</t>
  </si>
  <si>
    <t xml:space="preserve">P-003741</t>
  </si>
  <si>
    <t xml:space="preserve">P-003742</t>
  </si>
  <si>
    <t xml:space="preserve">P-003743</t>
  </si>
  <si>
    <t xml:space="preserve">P-003744</t>
  </si>
  <si>
    <t xml:space="preserve">P-003745</t>
  </si>
  <si>
    <t xml:space="preserve">P-003746</t>
  </si>
  <si>
    <t xml:space="preserve">P-003747</t>
  </si>
  <si>
    <t xml:space="preserve">P-003748</t>
  </si>
  <si>
    <t xml:space="preserve">P-003749</t>
  </si>
  <si>
    <t xml:space="preserve">P-003750</t>
  </si>
  <si>
    <t xml:space="preserve">P-003751</t>
  </si>
  <si>
    <t xml:space="preserve">P-003752</t>
  </si>
  <si>
    <t xml:space="preserve">P-003753</t>
  </si>
  <si>
    <t xml:space="preserve">P-003754</t>
  </si>
  <si>
    <t xml:space="preserve">P-003755</t>
  </si>
  <si>
    <t xml:space="preserve">P-003756</t>
  </si>
  <si>
    <t xml:space="preserve">P-003757</t>
  </si>
  <si>
    <t xml:space="preserve">P-003758</t>
  </si>
  <si>
    <t xml:space="preserve">P-003759</t>
  </si>
  <si>
    <t xml:space="preserve">P-003760</t>
  </si>
  <si>
    <t xml:space="preserve">P-003761</t>
  </si>
  <si>
    <t xml:space="preserve">P-003762</t>
  </si>
  <si>
    <t xml:space="preserve">P-003763</t>
  </si>
  <si>
    <t xml:space="preserve">P-003764</t>
  </si>
  <si>
    <t xml:space="preserve">P-003765</t>
  </si>
  <si>
    <t xml:space="preserve">P-003766</t>
  </si>
  <si>
    <t xml:space="preserve">P-003767</t>
  </si>
  <si>
    <t xml:space="preserve">P-003768</t>
  </si>
  <si>
    <t xml:space="preserve">P-003769</t>
  </si>
  <si>
    <t xml:space="preserve">P-003770</t>
  </si>
  <si>
    <t xml:space="preserve">P-003771</t>
  </si>
  <si>
    <t xml:space="preserve">P-003772</t>
  </si>
  <si>
    <t xml:space="preserve">P-003773</t>
  </si>
  <si>
    <t xml:space="preserve">P-003774</t>
  </si>
  <si>
    <t xml:space="preserve">P-003775</t>
  </si>
  <si>
    <t xml:space="preserve">P-003776</t>
  </si>
  <si>
    <t xml:space="preserve">P-003777</t>
  </si>
  <si>
    <t xml:space="preserve">P-003778</t>
  </si>
  <si>
    <t xml:space="preserve">P-003779</t>
  </si>
  <si>
    <t xml:space="preserve">P-003780</t>
  </si>
  <si>
    <t xml:space="preserve">P-003781</t>
  </si>
  <si>
    <t xml:space="preserve">P-003782</t>
  </si>
  <si>
    <t xml:space="preserve">P-003783</t>
  </si>
  <si>
    <t xml:space="preserve">P-003784</t>
  </si>
  <si>
    <t xml:space="preserve">P-003785</t>
  </si>
  <si>
    <t xml:space="preserve">P-003786</t>
  </si>
  <si>
    <t xml:space="preserve">P-003787</t>
  </si>
  <si>
    <t xml:space="preserve">P-003788</t>
  </si>
  <si>
    <t xml:space="preserve">P-003789</t>
  </si>
  <si>
    <t xml:space="preserve">P-003790</t>
  </si>
  <si>
    <t xml:space="preserve">P-003791</t>
  </si>
  <si>
    <t xml:space="preserve">P-003792</t>
  </si>
  <si>
    <t xml:space="preserve">P-003793</t>
  </si>
  <si>
    <t xml:space="preserve">P-003794</t>
  </si>
  <si>
    <t xml:space="preserve">P-003795</t>
  </si>
  <si>
    <t xml:space="preserve">P-003796</t>
  </si>
  <si>
    <t xml:space="preserve">P-003797</t>
  </si>
  <si>
    <t xml:space="preserve">P-003798</t>
  </si>
  <si>
    <t xml:space="preserve">P-003799</t>
  </si>
  <si>
    <t xml:space="preserve">P-003800</t>
  </si>
  <si>
    <t xml:space="preserve">P-003801</t>
  </si>
  <si>
    <t xml:space="preserve">P-003802</t>
  </si>
  <si>
    <t xml:space="preserve">P-003803</t>
  </si>
  <si>
    <t xml:space="preserve">P-003804</t>
  </si>
  <si>
    <t xml:space="preserve">P-003805</t>
  </si>
  <si>
    <t xml:space="preserve">P-003806</t>
  </si>
  <si>
    <t xml:space="preserve">P-003807</t>
  </si>
  <si>
    <t xml:space="preserve">P-003808</t>
  </si>
  <si>
    <t xml:space="preserve">P-003809</t>
  </si>
  <si>
    <t xml:space="preserve">P-003810</t>
  </si>
  <si>
    <t xml:space="preserve">P-003811</t>
  </si>
  <si>
    <t xml:space="preserve">P-003812</t>
  </si>
  <si>
    <t xml:space="preserve">P-003813</t>
  </si>
  <si>
    <t xml:space="preserve">P-003814</t>
  </si>
  <si>
    <t xml:space="preserve">P-003815</t>
  </si>
  <si>
    <t xml:space="preserve">P-003816</t>
  </si>
  <si>
    <t xml:space="preserve">P-003817</t>
  </si>
  <si>
    <t xml:space="preserve">P-003818</t>
  </si>
  <si>
    <t xml:space="preserve">P-003819</t>
  </si>
  <si>
    <t xml:space="preserve">P-003820</t>
  </si>
  <si>
    <t xml:space="preserve">P-003821</t>
  </si>
  <si>
    <t xml:space="preserve">P-003822</t>
  </si>
  <si>
    <t xml:space="preserve">P-003823</t>
  </si>
  <si>
    <t xml:space="preserve">P-003824</t>
  </si>
  <si>
    <t xml:space="preserve">P-003825</t>
  </si>
  <si>
    <t xml:space="preserve">P-003826</t>
  </si>
  <si>
    <t xml:space="preserve">P-003827</t>
  </si>
  <si>
    <t xml:space="preserve">P-003828</t>
  </si>
  <si>
    <t xml:space="preserve">P-003829</t>
  </si>
  <si>
    <t xml:space="preserve">P-003830</t>
  </si>
  <si>
    <t xml:space="preserve">P-003831</t>
  </si>
  <si>
    <t xml:space="preserve">P-003832</t>
  </si>
  <si>
    <t xml:space="preserve">P-003833</t>
  </si>
  <si>
    <t xml:space="preserve">P-003834</t>
  </si>
  <si>
    <t xml:space="preserve">P-003835</t>
  </si>
  <si>
    <t xml:space="preserve">P-003836</t>
  </si>
  <si>
    <t xml:space="preserve">P-003837</t>
  </si>
  <si>
    <t xml:space="preserve">P-003838</t>
  </si>
  <si>
    <t xml:space="preserve">P-003839</t>
  </si>
  <si>
    <t xml:space="preserve">P-003840</t>
  </si>
  <si>
    <t xml:space="preserve">P-003841</t>
  </si>
  <si>
    <t xml:space="preserve">P-003842</t>
  </si>
  <si>
    <t xml:space="preserve">P-003843</t>
  </si>
  <si>
    <t xml:space="preserve">P-003844</t>
  </si>
  <si>
    <t xml:space="preserve">P-003845</t>
  </si>
  <si>
    <t xml:space="preserve">P-003846</t>
  </si>
  <si>
    <t xml:space="preserve">P-003847</t>
  </si>
  <si>
    <t xml:space="preserve">P-003848</t>
  </si>
  <si>
    <t xml:space="preserve">P-003849</t>
  </si>
  <si>
    <t xml:space="preserve">P-003850</t>
  </si>
  <si>
    <t xml:space="preserve">P-003851</t>
  </si>
  <si>
    <t xml:space="preserve">P-003852</t>
  </si>
  <si>
    <t xml:space="preserve">P-003853</t>
  </si>
  <si>
    <t xml:space="preserve">P-003854</t>
  </si>
  <si>
    <t xml:space="preserve">P-003855</t>
  </si>
  <si>
    <t xml:space="preserve">P-003856</t>
  </si>
  <si>
    <t xml:space="preserve">P-003857</t>
  </si>
  <si>
    <t xml:space="preserve">P-003858</t>
  </si>
  <si>
    <t xml:space="preserve">P-003859</t>
  </si>
  <si>
    <t xml:space="preserve">P-003860</t>
  </si>
  <si>
    <t xml:space="preserve">P-003861</t>
  </si>
  <si>
    <t xml:space="preserve">P-003862</t>
  </si>
  <si>
    <t xml:space="preserve">P-003863</t>
  </si>
  <si>
    <t xml:space="preserve">P-003864</t>
  </si>
  <si>
    <t xml:space="preserve">P-003865</t>
  </si>
  <si>
    <t xml:space="preserve">P-003866</t>
  </si>
  <si>
    <t xml:space="preserve">P-003867</t>
  </si>
  <si>
    <t xml:space="preserve">P-003868</t>
  </si>
  <si>
    <t xml:space="preserve">P-003869</t>
  </si>
  <si>
    <t xml:space="preserve">P-003870</t>
  </si>
  <si>
    <t xml:space="preserve">P-003871</t>
  </si>
  <si>
    <t xml:space="preserve">P-003872</t>
  </si>
  <si>
    <t xml:space="preserve">P-003873</t>
  </si>
  <si>
    <t xml:space="preserve">P-003874</t>
  </si>
  <si>
    <t xml:space="preserve">P-003875</t>
  </si>
  <si>
    <t xml:space="preserve">P-003876</t>
  </si>
  <si>
    <t xml:space="preserve">P-003877</t>
  </si>
  <si>
    <t xml:space="preserve">P-003878</t>
  </si>
  <si>
    <t xml:space="preserve">P-003879</t>
  </si>
  <si>
    <t xml:space="preserve">P-003880</t>
  </si>
  <si>
    <t xml:space="preserve">P-003881</t>
  </si>
  <si>
    <t xml:space="preserve">P-003882</t>
  </si>
  <si>
    <t xml:space="preserve">P-003883</t>
  </si>
  <si>
    <t xml:space="preserve">P-003884</t>
  </si>
  <si>
    <t xml:space="preserve">P-003885</t>
  </si>
  <si>
    <t xml:space="preserve">P-003886</t>
  </si>
  <si>
    <t xml:space="preserve">P-003887</t>
  </si>
  <si>
    <t xml:space="preserve">P-003888</t>
  </si>
  <si>
    <t xml:space="preserve">P-003889</t>
  </si>
  <si>
    <t xml:space="preserve">P-003890</t>
  </si>
  <si>
    <t xml:space="preserve">P-003891</t>
  </si>
  <si>
    <t xml:space="preserve">P-003892</t>
  </si>
  <si>
    <t xml:space="preserve">P-003893</t>
  </si>
  <si>
    <t xml:space="preserve">P-003894</t>
  </si>
  <si>
    <t xml:space="preserve">P-003895</t>
  </si>
  <si>
    <t xml:space="preserve">P-003896</t>
  </si>
  <si>
    <t xml:space="preserve">P-003897</t>
  </si>
  <si>
    <t xml:space="preserve">P-003898</t>
  </si>
  <si>
    <t xml:space="preserve">P-003899</t>
  </si>
  <si>
    <t xml:space="preserve">P-003900</t>
  </si>
  <si>
    <t xml:space="preserve">P-003901</t>
  </si>
  <si>
    <t xml:space="preserve">P-003902</t>
  </si>
  <si>
    <t xml:space="preserve">P-003903</t>
  </si>
  <si>
    <t xml:space="preserve">P-003904</t>
  </si>
  <si>
    <t xml:space="preserve">P-003905</t>
  </si>
  <si>
    <t xml:space="preserve">P-003906</t>
  </si>
  <si>
    <t xml:space="preserve">P-003907</t>
  </si>
  <si>
    <t xml:space="preserve">P-003908</t>
  </si>
  <si>
    <t xml:space="preserve">P-003909</t>
  </si>
  <si>
    <t xml:space="preserve">P-003910</t>
  </si>
  <si>
    <t xml:space="preserve">P-003911</t>
  </si>
  <si>
    <t xml:space="preserve">P-003912</t>
  </si>
  <si>
    <t xml:space="preserve">P-003913</t>
  </si>
  <si>
    <t xml:space="preserve">P-003914</t>
  </si>
  <si>
    <t xml:space="preserve">P-003915</t>
  </si>
  <si>
    <t xml:space="preserve">P-003916</t>
  </si>
  <si>
    <t xml:space="preserve">P-003917</t>
  </si>
  <si>
    <t xml:space="preserve">P-003918</t>
  </si>
  <si>
    <t xml:space="preserve">P-003919</t>
  </si>
  <si>
    <t xml:space="preserve">P-003920</t>
  </si>
  <si>
    <t xml:space="preserve">P-003921</t>
  </si>
  <si>
    <t xml:space="preserve">P-003922</t>
  </si>
  <si>
    <t xml:space="preserve">P-003923</t>
  </si>
  <si>
    <t xml:space="preserve">P-003924</t>
  </si>
  <si>
    <t xml:space="preserve">P-003925</t>
  </si>
  <si>
    <t xml:space="preserve">P-003926</t>
  </si>
  <si>
    <t xml:space="preserve">P-003927</t>
  </si>
  <si>
    <t xml:space="preserve">P-003928</t>
  </si>
  <si>
    <t xml:space="preserve">P-003929</t>
  </si>
  <si>
    <t xml:space="preserve">P-003930</t>
  </si>
  <si>
    <t xml:space="preserve">P-003931</t>
  </si>
  <si>
    <t xml:space="preserve">P-003932</t>
  </si>
  <si>
    <t xml:space="preserve">P-003933</t>
  </si>
  <si>
    <t xml:space="preserve">P-003934</t>
  </si>
  <si>
    <t xml:space="preserve">P-003935</t>
  </si>
  <si>
    <t xml:space="preserve">P-003936</t>
  </si>
  <si>
    <t xml:space="preserve">P-003937</t>
  </si>
  <si>
    <t xml:space="preserve">P-003938</t>
  </si>
  <si>
    <t xml:space="preserve">P-003939</t>
  </si>
  <si>
    <t xml:space="preserve">P-003940</t>
  </si>
  <si>
    <t xml:space="preserve">P-003941</t>
  </si>
  <si>
    <t xml:space="preserve">P-003942</t>
  </si>
  <si>
    <t xml:space="preserve">P-003943</t>
  </si>
  <si>
    <t xml:space="preserve">P-003944</t>
  </si>
  <si>
    <t xml:space="preserve">P-003945</t>
  </si>
  <si>
    <t xml:space="preserve">P-003946</t>
  </si>
  <si>
    <t xml:space="preserve">P-003947</t>
  </si>
  <si>
    <t xml:space="preserve">P-003948</t>
  </si>
  <si>
    <t xml:space="preserve">P-003949</t>
  </si>
  <si>
    <t xml:space="preserve">P-003950</t>
  </si>
  <si>
    <t xml:space="preserve">P-003951</t>
  </si>
  <si>
    <t xml:space="preserve">P-003952</t>
  </si>
  <si>
    <t xml:space="preserve">P-003953</t>
  </si>
  <si>
    <t xml:space="preserve">P-003954</t>
  </si>
  <si>
    <t xml:space="preserve">P-003955</t>
  </si>
  <si>
    <t xml:space="preserve">P-003956</t>
  </si>
  <si>
    <t xml:space="preserve">P-003957</t>
  </si>
  <si>
    <t xml:space="preserve">P-003958</t>
  </si>
  <si>
    <t xml:space="preserve">P-003959</t>
  </si>
  <si>
    <t xml:space="preserve">P-003960</t>
  </si>
  <si>
    <t xml:space="preserve">P-003961</t>
  </si>
  <si>
    <t xml:space="preserve">P-003962</t>
  </si>
  <si>
    <t xml:space="preserve">P-003963</t>
  </si>
  <si>
    <t xml:space="preserve">P-003964</t>
  </si>
  <si>
    <t xml:space="preserve">P-003965</t>
  </si>
  <si>
    <t xml:space="preserve">P-003966</t>
  </si>
  <si>
    <t xml:space="preserve">P-003967</t>
  </si>
  <si>
    <t xml:space="preserve">P-003968</t>
  </si>
  <si>
    <t xml:space="preserve">P-003969</t>
  </si>
  <si>
    <t xml:space="preserve">P-003970</t>
  </si>
  <si>
    <t xml:space="preserve">P-003971</t>
  </si>
  <si>
    <t xml:space="preserve">P-003972</t>
  </si>
  <si>
    <t xml:space="preserve">P-003973</t>
  </si>
  <si>
    <t xml:space="preserve">P-003974</t>
  </si>
  <si>
    <t xml:space="preserve">P-003975</t>
  </si>
  <si>
    <t xml:space="preserve">P-003976</t>
  </si>
  <si>
    <t xml:space="preserve">P-003977</t>
  </si>
  <si>
    <t xml:space="preserve">P-003978</t>
  </si>
  <si>
    <t xml:space="preserve">P-003979</t>
  </si>
  <si>
    <t xml:space="preserve">P-003980</t>
  </si>
  <si>
    <t xml:space="preserve">P-003981</t>
  </si>
  <si>
    <t xml:space="preserve">P-003982</t>
  </si>
  <si>
    <t xml:space="preserve">P-003983</t>
  </si>
  <si>
    <t xml:space="preserve">P-003984</t>
  </si>
  <si>
    <t xml:space="preserve">P-003985</t>
  </si>
  <si>
    <t xml:space="preserve">P-003986</t>
  </si>
  <si>
    <t xml:space="preserve">P-003987</t>
  </si>
  <si>
    <t xml:space="preserve">P-003988</t>
  </si>
  <si>
    <t xml:space="preserve">P-003989</t>
  </si>
  <si>
    <t xml:space="preserve">P-003990</t>
  </si>
  <si>
    <t xml:space="preserve">P-003991</t>
  </si>
  <si>
    <t xml:space="preserve">P-003992</t>
  </si>
  <si>
    <t xml:space="preserve">P-003993</t>
  </si>
  <si>
    <t xml:space="preserve">P-003994</t>
  </si>
  <si>
    <t xml:space="preserve">P-003995</t>
  </si>
  <si>
    <t xml:space="preserve">P-003996</t>
  </si>
  <si>
    <t xml:space="preserve">P-003997</t>
  </si>
  <si>
    <t xml:space="preserve">P-003998</t>
  </si>
  <si>
    <t xml:space="preserve">P-003999</t>
  </si>
  <si>
    <t xml:space="preserve">P-004000</t>
  </si>
  <si>
    <t xml:space="preserve">P-004001</t>
  </si>
  <si>
    <t xml:space="preserve">P-004002</t>
  </si>
  <si>
    <t xml:space="preserve">P-004003</t>
  </si>
  <si>
    <t xml:space="preserve">P-004004</t>
  </si>
  <si>
    <t xml:space="preserve">P-004005</t>
  </si>
  <si>
    <t xml:space="preserve">P-004006</t>
  </si>
  <si>
    <t xml:space="preserve">P-004007</t>
  </si>
  <si>
    <t xml:space="preserve">P-004008</t>
  </si>
  <si>
    <t xml:space="preserve">P-004009</t>
  </si>
  <si>
    <t xml:space="preserve">P-004010</t>
  </si>
  <si>
    <t xml:space="preserve">P-004011</t>
  </si>
  <si>
    <t xml:space="preserve">P-004012</t>
  </si>
  <si>
    <t xml:space="preserve">P-004013</t>
  </si>
  <si>
    <t xml:space="preserve">P-004014</t>
  </si>
  <si>
    <t xml:space="preserve">P-004015</t>
  </si>
  <si>
    <t xml:space="preserve">P-004016</t>
  </si>
  <si>
    <t xml:space="preserve">P-004017</t>
  </si>
  <si>
    <t xml:space="preserve">P-004018</t>
  </si>
  <si>
    <t xml:space="preserve">P-004019</t>
  </si>
  <si>
    <t xml:space="preserve">P-004020</t>
  </si>
  <si>
    <t xml:space="preserve">P-004021</t>
  </si>
  <si>
    <t xml:space="preserve">P-004022</t>
  </si>
  <si>
    <t xml:space="preserve">P-004023</t>
  </si>
  <si>
    <t xml:space="preserve">P-004024</t>
  </si>
  <si>
    <t xml:space="preserve">P-004025</t>
  </si>
  <si>
    <t xml:space="preserve">P-004026</t>
  </si>
  <si>
    <t xml:space="preserve">P-004027</t>
  </si>
  <si>
    <t xml:space="preserve">P-004028</t>
  </si>
  <si>
    <t xml:space="preserve">P-004029</t>
  </si>
  <si>
    <t xml:space="preserve">P-004030</t>
  </si>
  <si>
    <t xml:space="preserve">P-004031</t>
  </si>
  <si>
    <t xml:space="preserve">P-004032</t>
  </si>
  <si>
    <t xml:space="preserve">P-004033</t>
  </si>
  <si>
    <t xml:space="preserve">P-004034</t>
  </si>
  <si>
    <t xml:space="preserve">P-004035</t>
  </si>
  <si>
    <t xml:space="preserve">P-004036</t>
  </si>
  <si>
    <t xml:space="preserve">P-004037</t>
  </si>
  <si>
    <t xml:space="preserve">P-004038</t>
  </si>
  <si>
    <t xml:space="preserve">P-004039</t>
  </si>
  <si>
    <t xml:space="preserve">P-004040</t>
  </si>
  <si>
    <t xml:space="preserve">P-004041</t>
  </si>
  <si>
    <t xml:space="preserve">P-004042</t>
  </si>
  <si>
    <t xml:space="preserve">P-004043</t>
  </si>
  <si>
    <t xml:space="preserve">P-004044</t>
  </si>
  <si>
    <t xml:space="preserve">P-004045</t>
  </si>
  <si>
    <t xml:space="preserve">P-004046</t>
  </si>
  <si>
    <t xml:space="preserve">P-004047</t>
  </si>
  <si>
    <t xml:space="preserve">P-004048</t>
  </si>
  <si>
    <t xml:space="preserve">P-004049</t>
  </si>
  <si>
    <t xml:space="preserve">P-004050</t>
  </si>
  <si>
    <t xml:space="preserve">P-004051</t>
  </si>
  <si>
    <t xml:space="preserve">P-004052</t>
  </si>
  <si>
    <t xml:space="preserve">P-004053</t>
  </si>
  <si>
    <t xml:space="preserve">P-004054</t>
  </si>
  <si>
    <t xml:space="preserve">P-004055</t>
  </si>
  <si>
    <t xml:space="preserve">P-004056</t>
  </si>
  <si>
    <t xml:space="preserve">P-004057</t>
  </si>
  <si>
    <t xml:space="preserve">P-004058</t>
  </si>
  <si>
    <t xml:space="preserve">P-004059</t>
  </si>
  <si>
    <t xml:space="preserve">P-004060</t>
  </si>
  <si>
    <t xml:space="preserve">P-004061</t>
  </si>
  <si>
    <t xml:space="preserve">P-004062</t>
  </si>
  <si>
    <t xml:space="preserve">P-004063</t>
  </si>
  <si>
    <t xml:space="preserve">P-004064</t>
  </si>
  <si>
    <t xml:space="preserve">P-004065</t>
  </si>
  <si>
    <t xml:space="preserve">P-004066</t>
  </si>
  <si>
    <t xml:space="preserve">P-004067</t>
  </si>
  <si>
    <t xml:space="preserve">P-004068</t>
  </si>
  <si>
    <t xml:space="preserve">P-004069</t>
  </si>
  <si>
    <t xml:space="preserve">P-004070</t>
  </si>
  <si>
    <t xml:space="preserve">P-004071</t>
  </si>
  <si>
    <t xml:space="preserve">P-004072</t>
  </si>
  <si>
    <t xml:space="preserve">P-004073</t>
  </si>
  <si>
    <t xml:space="preserve">P-004074</t>
  </si>
  <si>
    <t xml:space="preserve">P-004075</t>
  </si>
  <si>
    <t xml:space="preserve">P-004076</t>
  </si>
  <si>
    <t xml:space="preserve">P-004077</t>
  </si>
  <si>
    <t xml:space="preserve">P-004078</t>
  </si>
  <si>
    <t xml:space="preserve">P-004079</t>
  </si>
  <si>
    <t xml:space="preserve">P-004080</t>
  </si>
  <si>
    <t xml:space="preserve">P-004081</t>
  </si>
  <si>
    <t xml:space="preserve">P-004082</t>
  </si>
  <si>
    <t xml:space="preserve">P-004083</t>
  </si>
  <si>
    <t xml:space="preserve">P-004084</t>
  </si>
  <si>
    <t xml:space="preserve">P-004085</t>
  </si>
  <si>
    <t xml:space="preserve">P-004086</t>
  </si>
  <si>
    <t xml:space="preserve">P-004087</t>
  </si>
  <si>
    <t xml:space="preserve">P-004088</t>
  </si>
  <si>
    <t xml:space="preserve">P-004089</t>
  </si>
  <si>
    <t xml:space="preserve">P-004090</t>
  </si>
  <si>
    <t xml:space="preserve">P-004091</t>
  </si>
  <si>
    <t xml:space="preserve">P-004092</t>
  </si>
  <si>
    <t xml:space="preserve">P-004093</t>
  </si>
  <si>
    <t xml:space="preserve">P-004094</t>
  </si>
  <si>
    <t xml:space="preserve">P-004095</t>
  </si>
  <si>
    <t xml:space="preserve">P-004096</t>
  </si>
  <si>
    <t xml:space="preserve">P-004097</t>
  </si>
  <si>
    <t xml:space="preserve">P-004098</t>
  </si>
  <si>
    <t xml:space="preserve">P-004099</t>
  </si>
  <si>
    <t xml:space="preserve">P-004100</t>
  </si>
  <si>
    <t xml:space="preserve">P-004101</t>
  </si>
  <si>
    <t xml:space="preserve">P-004102</t>
  </si>
  <si>
    <t xml:space="preserve">P-004103</t>
  </si>
  <si>
    <t xml:space="preserve">P-004104</t>
  </si>
  <si>
    <t xml:space="preserve">P-004105</t>
  </si>
  <si>
    <t xml:space="preserve">P-004106</t>
  </si>
  <si>
    <t xml:space="preserve">P-004107</t>
  </si>
  <si>
    <t xml:space="preserve">P-004108</t>
  </si>
  <si>
    <t xml:space="preserve">P-004109</t>
  </si>
  <si>
    <t xml:space="preserve">P-004110</t>
  </si>
  <si>
    <t xml:space="preserve">P-004111</t>
  </si>
  <si>
    <t xml:space="preserve">P-004112</t>
  </si>
  <si>
    <t xml:space="preserve">P-004113</t>
  </si>
  <si>
    <t xml:space="preserve">P-004114</t>
  </si>
  <si>
    <t xml:space="preserve">P-004115</t>
  </si>
  <si>
    <t xml:space="preserve">P-004116</t>
  </si>
  <si>
    <t xml:space="preserve">P-004117</t>
  </si>
  <si>
    <t xml:space="preserve">P-004118</t>
  </si>
  <si>
    <t xml:space="preserve">P-004119</t>
  </si>
  <si>
    <t xml:space="preserve">P-004120</t>
  </si>
  <si>
    <t xml:space="preserve">P-004121</t>
  </si>
  <si>
    <t xml:space="preserve">P-004122</t>
  </si>
  <si>
    <t xml:space="preserve">P-004123</t>
  </si>
  <si>
    <t xml:space="preserve">P-004124</t>
  </si>
  <si>
    <t xml:space="preserve">P-004125</t>
  </si>
  <si>
    <t xml:space="preserve">P-004126</t>
  </si>
  <si>
    <t xml:space="preserve">P-004127</t>
  </si>
  <si>
    <t xml:space="preserve">P-004128</t>
  </si>
  <si>
    <t xml:space="preserve">P-004129</t>
  </si>
  <si>
    <t xml:space="preserve">P-004130</t>
  </si>
  <si>
    <t xml:space="preserve">P-004131</t>
  </si>
  <si>
    <t xml:space="preserve">P-004132</t>
  </si>
  <si>
    <t xml:space="preserve">P-004133</t>
  </si>
  <si>
    <t xml:space="preserve">P-004134</t>
  </si>
  <si>
    <t xml:space="preserve">P-004135</t>
  </si>
  <si>
    <t xml:space="preserve">P-004136</t>
  </si>
  <si>
    <t xml:space="preserve">P-004137</t>
  </si>
  <si>
    <t xml:space="preserve">P-004138</t>
  </si>
  <si>
    <t xml:space="preserve">P-004139</t>
  </si>
  <si>
    <t xml:space="preserve">P-004140</t>
  </si>
  <si>
    <t xml:space="preserve">P-004141</t>
  </si>
  <si>
    <t xml:space="preserve">P-004142</t>
  </si>
  <si>
    <t xml:space="preserve">P-004143</t>
  </si>
  <si>
    <t xml:space="preserve">P-004144</t>
  </si>
  <si>
    <t xml:space="preserve">P-004145</t>
  </si>
  <si>
    <t xml:space="preserve">P-004146</t>
  </si>
  <si>
    <t xml:space="preserve">P-004147</t>
  </si>
  <si>
    <t xml:space="preserve">P-004148</t>
  </si>
  <si>
    <t xml:space="preserve">P-004149</t>
  </si>
  <si>
    <t xml:space="preserve">P-004150</t>
  </si>
  <si>
    <t xml:space="preserve">P-004151</t>
  </si>
  <si>
    <t xml:space="preserve">P-004152</t>
  </si>
  <si>
    <t xml:space="preserve">P-004153</t>
  </si>
  <si>
    <t xml:space="preserve">P-004154</t>
  </si>
  <si>
    <t xml:space="preserve">P-004155</t>
  </si>
  <si>
    <t xml:space="preserve">P-004156</t>
  </si>
  <si>
    <t xml:space="preserve">P-004157</t>
  </si>
  <si>
    <t xml:space="preserve">P-004158</t>
  </si>
  <si>
    <t xml:space="preserve">P-004159</t>
  </si>
  <si>
    <t xml:space="preserve">P-004160</t>
  </si>
  <si>
    <t xml:space="preserve">P-004161</t>
  </si>
  <si>
    <t xml:space="preserve">P-004162</t>
  </si>
  <si>
    <t xml:space="preserve">P-004163</t>
  </si>
  <si>
    <t xml:space="preserve">P-004164</t>
  </si>
  <si>
    <t xml:space="preserve">P-004165</t>
  </si>
  <si>
    <t xml:space="preserve">P-004166</t>
  </si>
  <si>
    <t xml:space="preserve">P-004167</t>
  </si>
  <si>
    <t xml:space="preserve">P-004168</t>
  </si>
  <si>
    <t xml:space="preserve">P-004169</t>
  </si>
  <si>
    <t xml:space="preserve">P-004170</t>
  </si>
  <si>
    <t xml:space="preserve">P-004171</t>
  </si>
  <si>
    <t xml:space="preserve">P-004172</t>
  </si>
  <si>
    <t xml:space="preserve">P-004173</t>
  </si>
  <si>
    <t xml:space="preserve">P-004174</t>
  </si>
  <si>
    <t xml:space="preserve">P-004175</t>
  </si>
  <si>
    <t xml:space="preserve">P-004176</t>
  </si>
  <si>
    <t xml:space="preserve">P-004177</t>
  </si>
  <si>
    <t xml:space="preserve">P-004178</t>
  </si>
  <si>
    <t xml:space="preserve">P-004179</t>
  </si>
  <si>
    <t xml:space="preserve">P-004180</t>
  </si>
  <si>
    <t xml:space="preserve">P-004181</t>
  </si>
  <si>
    <t xml:space="preserve">P-004182</t>
  </si>
  <si>
    <t xml:space="preserve">P-004183</t>
  </si>
  <si>
    <t xml:space="preserve">P-004184</t>
  </si>
  <si>
    <t xml:space="preserve">P-004185</t>
  </si>
  <si>
    <t xml:space="preserve">P-004186</t>
  </si>
  <si>
    <t xml:space="preserve">P-004187</t>
  </si>
  <si>
    <t xml:space="preserve">P-004188</t>
  </si>
  <si>
    <t xml:space="preserve">P-004189</t>
  </si>
  <si>
    <t xml:space="preserve">P-004190</t>
  </si>
  <si>
    <t xml:space="preserve">P-004191</t>
  </si>
  <si>
    <t xml:space="preserve">P-004192</t>
  </si>
  <si>
    <t xml:space="preserve">P-004193</t>
  </si>
  <si>
    <t xml:space="preserve">P-004194</t>
  </si>
  <si>
    <t xml:space="preserve">P-004195</t>
  </si>
  <si>
    <t xml:space="preserve">P-004196</t>
  </si>
  <si>
    <t xml:space="preserve">P-004197</t>
  </si>
  <si>
    <t xml:space="preserve">P-004198</t>
  </si>
  <si>
    <t xml:space="preserve">P-004199</t>
  </si>
  <si>
    <t xml:space="preserve">P-004200</t>
  </si>
  <si>
    <t xml:space="preserve">P-004201</t>
  </si>
  <si>
    <t xml:space="preserve">P-004202</t>
  </si>
  <si>
    <t xml:space="preserve">P-004203</t>
  </si>
  <si>
    <t xml:space="preserve">P-004204</t>
  </si>
  <si>
    <t xml:space="preserve">P-004205</t>
  </si>
  <si>
    <t xml:space="preserve">P-004206</t>
  </si>
  <si>
    <t xml:space="preserve">P-004207</t>
  </si>
  <si>
    <t xml:space="preserve">P-004208</t>
  </si>
  <si>
    <t xml:space="preserve">P-004209</t>
  </si>
  <si>
    <t xml:space="preserve">P-004210</t>
  </si>
  <si>
    <t xml:space="preserve">P-004211</t>
  </si>
  <si>
    <t xml:space="preserve">P-004212</t>
  </si>
  <si>
    <t xml:space="preserve">P-004213</t>
  </si>
  <si>
    <t xml:space="preserve">P-004214</t>
  </si>
  <si>
    <t xml:space="preserve">P-004215</t>
  </si>
  <si>
    <t xml:space="preserve">P-004216</t>
  </si>
  <si>
    <t xml:space="preserve">P-004217</t>
  </si>
  <si>
    <t xml:space="preserve">P-004218</t>
  </si>
  <si>
    <t xml:space="preserve">P-004219</t>
  </si>
  <si>
    <t xml:space="preserve">P-004220</t>
  </si>
  <si>
    <t xml:space="preserve">P-004221</t>
  </si>
  <si>
    <t xml:space="preserve">P-004222</t>
  </si>
  <si>
    <t xml:space="preserve">P-004223</t>
  </si>
  <si>
    <t xml:space="preserve">P-004224</t>
  </si>
  <si>
    <t xml:space="preserve">P-004225</t>
  </si>
  <si>
    <t xml:space="preserve">P-004226</t>
  </si>
  <si>
    <t xml:space="preserve">P-004227</t>
  </si>
  <si>
    <t xml:space="preserve">P-004228</t>
  </si>
  <si>
    <t xml:space="preserve">P-004229</t>
  </si>
  <si>
    <t xml:space="preserve">P-004230</t>
  </si>
  <si>
    <t xml:space="preserve">P-004231</t>
  </si>
  <si>
    <t xml:space="preserve">P-004232</t>
  </si>
  <si>
    <t xml:space="preserve">P-004233</t>
  </si>
  <si>
    <t xml:space="preserve">P-004234</t>
  </si>
  <si>
    <t xml:space="preserve">P-004235</t>
  </si>
  <si>
    <t xml:space="preserve">P-004236</t>
  </si>
  <si>
    <t xml:space="preserve">P-004237</t>
  </si>
  <si>
    <t xml:space="preserve">P-004238</t>
  </si>
  <si>
    <t xml:space="preserve">P-004239</t>
  </si>
  <si>
    <t xml:space="preserve">P-004240</t>
  </si>
  <si>
    <t xml:space="preserve">P-004241</t>
  </si>
  <si>
    <t xml:space="preserve">P-004242</t>
  </si>
  <si>
    <t xml:space="preserve">P-004243</t>
  </si>
  <si>
    <t xml:space="preserve">P-004244</t>
  </si>
  <si>
    <t xml:space="preserve">P-004245</t>
  </si>
  <si>
    <t xml:space="preserve">P-004246</t>
  </si>
  <si>
    <t xml:space="preserve">P-004247</t>
  </si>
  <si>
    <t xml:space="preserve">P-004248</t>
  </si>
  <si>
    <t xml:space="preserve">P-004249</t>
  </si>
  <si>
    <t xml:space="preserve">P-004250</t>
  </si>
  <si>
    <t xml:space="preserve">P-004251</t>
  </si>
  <si>
    <t xml:space="preserve">P-004252</t>
  </si>
  <si>
    <t xml:space="preserve">P-004253</t>
  </si>
  <si>
    <t xml:space="preserve">P-004254</t>
  </si>
  <si>
    <t xml:space="preserve">P-004255</t>
  </si>
  <si>
    <t xml:space="preserve">P-004256</t>
  </si>
  <si>
    <t xml:space="preserve">P-004257</t>
  </si>
  <si>
    <t xml:space="preserve">P-004258</t>
  </si>
  <si>
    <t xml:space="preserve">P-004259</t>
  </si>
  <si>
    <t xml:space="preserve">P-004260</t>
  </si>
  <si>
    <t xml:space="preserve">P-004261</t>
  </si>
  <si>
    <t xml:space="preserve">P-004262</t>
  </si>
  <si>
    <t xml:space="preserve">P-004263</t>
  </si>
  <si>
    <t xml:space="preserve">P-004264</t>
  </si>
  <si>
    <t xml:space="preserve">P-004265</t>
  </si>
  <si>
    <t xml:space="preserve">P-004266</t>
  </si>
  <si>
    <t xml:space="preserve">P-004267</t>
  </si>
  <si>
    <t xml:space="preserve">P-004268</t>
  </si>
  <si>
    <t xml:space="preserve">P-004269</t>
  </si>
  <si>
    <t xml:space="preserve">P-004270</t>
  </si>
  <si>
    <t xml:space="preserve">P-004271</t>
  </si>
  <si>
    <t xml:space="preserve">P-004272</t>
  </si>
  <si>
    <t xml:space="preserve">P-004273</t>
  </si>
  <si>
    <t xml:space="preserve">P-004274</t>
  </si>
  <si>
    <t xml:space="preserve">P-004275</t>
  </si>
  <si>
    <t xml:space="preserve">P-004276</t>
  </si>
  <si>
    <t xml:space="preserve">P-004277</t>
  </si>
  <si>
    <t xml:space="preserve">P-004278</t>
  </si>
  <si>
    <t xml:space="preserve">P-004279</t>
  </si>
  <si>
    <t xml:space="preserve">P-004280</t>
  </si>
  <si>
    <t xml:space="preserve">P-004281</t>
  </si>
  <si>
    <t xml:space="preserve">P-004282</t>
  </si>
  <si>
    <t xml:space="preserve">P-004283</t>
  </si>
  <si>
    <t xml:space="preserve">P-004284</t>
  </si>
  <si>
    <t xml:space="preserve">P-004285</t>
  </si>
  <si>
    <t xml:space="preserve">P-004286</t>
  </si>
  <si>
    <t xml:space="preserve">P-004287</t>
  </si>
  <si>
    <t xml:space="preserve">P-004288</t>
  </si>
  <si>
    <t xml:space="preserve">P-004289</t>
  </si>
  <si>
    <t xml:space="preserve">P-004290</t>
  </si>
  <si>
    <t xml:space="preserve">P-004291</t>
  </si>
  <si>
    <t xml:space="preserve">P-004292</t>
  </si>
  <si>
    <t xml:space="preserve">P-004293</t>
  </si>
  <si>
    <t xml:space="preserve">P-004294</t>
  </si>
  <si>
    <t xml:space="preserve">P-004295</t>
  </si>
  <si>
    <t xml:space="preserve">P-004296</t>
  </si>
  <si>
    <t xml:space="preserve">P-004297</t>
  </si>
  <si>
    <t xml:space="preserve">P-004298</t>
  </si>
  <si>
    <t xml:space="preserve">P-004299</t>
  </si>
  <si>
    <t xml:space="preserve">P-004300</t>
  </si>
  <si>
    <t xml:space="preserve">P-004301</t>
  </si>
  <si>
    <t xml:space="preserve">P-004302</t>
  </si>
  <si>
    <t xml:space="preserve">P-004303</t>
  </si>
  <si>
    <t xml:space="preserve">P-004304</t>
  </si>
  <si>
    <t xml:space="preserve">P-004305</t>
  </si>
  <si>
    <t xml:space="preserve">P-004306</t>
  </si>
  <si>
    <t xml:space="preserve">P-004307</t>
  </si>
  <si>
    <t xml:space="preserve">P-004308</t>
  </si>
  <si>
    <t xml:space="preserve">P-004309</t>
  </si>
  <si>
    <t xml:space="preserve">P-004310</t>
  </si>
  <si>
    <t xml:space="preserve">P-004311</t>
  </si>
  <si>
    <t xml:space="preserve">P-004312</t>
  </si>
  <si>
    <t xml:space="preserve">P-004313</t>
  </si>
  <si>
    <t xml:space="preserve">P-004314</t>
  </si>
  <si>
    <t xml:space="preserve">P-004315</t>
  </si>
  <si>
    <t xml:space="preserve">P-004316</t>
  </si>
  <si>
    <t xml:space="preserve">P-004317</t>
  </si>
  <si>
    <t xml:space="preserve">P-004318</t>
  </si>
  <si>
    <t xml:space="preserve">P-004319</t>
  </si>
  <si>
    <t xml:space="preserve">P-004320</t>
  </si>
  <si>
    <t xml:space="preserve">P-004321</t>
  </si>
  <si>
    <t xml:space="preserve">P-004322</t>
  </si>
  <si>
    <t xml:space="preserve">P-004323</t>
  </si>
  <si>
    <t xml:space="preserve">P-004324</t>
  </si>
  <si>
    <t xml:space="preserve">P-004325</t>
  </si>
  <si>
    <t xml:space="preserve">P-004326</t>
  </si>
  <si>
    <t xml:space="preserve">P-004327</t>
  </si>
  <si>
    <t xml:space="preserve">P-004328</t>
  </si>
  <si>
    <t xml:space="preserve">P-004329</t>
  </si>
  <si>
    <t xml:space="preserve">P-004330</t>
  </si>
  <si>
    <t xml:space="preserve">P-004331</t>
  </si>
  <si>
    <t xml:space="preserve">P-004332</t>
  </si>
  <si>
    <t xml:space="preserve">P-004333</t>
  </si>
  <si>
    <t xml:space="preserve">P-004334</t>
  </si>
  <si>
    <t xml:space="preserve">P-004335</t>
  </si>
  <si>
    <t xml:space="preserve">P-004336</t>
  </si>
  <si>
    <t xml:space="preserve">P-004337</t>
  </si>
  <si>
    <t xml:space="preserve">P-004338</t>
  </si>
  <si>
    <t xml:space="preserve">P-004339</t>
  </si>
  <si>
    <t xml:space="preserve">P-004340</t>
  </si>
  <si>
    <t xml:space="preserve">P-004341</t>
  </si>
  <si>
    <t xml:space="preserve">P-004342</t>
  </si>
  <si>
    <t xml:space="preserve">P-004343</t>
  </si>
  <si>
    <t xml:space="preserve">P-004344</t>
  </si>
  <si>
    <t xml:space="preserve">P-004345</t>
  </si>
  <si>
    <t xml:space="preserve">P-004346</t>
  </si>
  <si>
    <t xml:space="preserve">P-004347</t>
  </si>
  <si>
    <t xml:space="preserve">P-004348</t>
  </si>
  <si>
    <t xml:space="preserve">P-004349</t>
  </si>
  <si>
    <t xml:space="preserve">P-004350</t>
  </si>
  <si>
    <t xml:space="preserve">P-004351</t>
  </si>
  <si>
    <t xml:space="preserve">P-004352</t>
  </si>
  <si>
    <t xml:space="preserve">P-004353</t>
  </si>
  <si>
    <t xml:space="preserve">P-004354</t>
  </si>
  <si>
    <t xml:space="preserve">P-004355</t>
  </si>
  <si>
    <t xml:space="preserve">P-004356</t>
  </si>
  <si>
    <t xml:space="preserve">P-004357</t>
  </si>
  <si>
    <t xml:space="preserve">P-004358</t>
  </si>
  <si>
    <t xml:space="preserve">P-004359</t>
  </si>
  <si>
    <t xml:space="preserve">P-004360</t>
  </si>
  <si>
    <t xml:space="preserve">P-004361</t>
  </si>
  <si>
    <t xml:space="preserve">P-004362</t>
  </si>
  <si>
    <t xml:space="preserve">P-004363</t>
  </si>
  <si>
    <t xml:space="preserve">P-004364</t>
  </si>
  <si>
    <t xml:space="preserve">P-004365</t>
  </si>
  <si>
    <t xml:space="preserve">P-004366</t>
  </si>
  <si>
    <t xml:space="preserve">P-004367</t>
  </si>
  <si>
    <t xml:space="preserve">P-004368</t>
  </si>
  <si>
    <t xml:space="preserve">P-004369</t>
  </si>
  <si>
    <t xml:space="preserve">P-004370</t>
  </si>
  <si>
    <t xml:space="preserve">P-004371</t>
  </si>
  <si>
    <t xml:space="preserve">P-004372</t>
  </si>
  <si>
    <t xml:space="preserve">P-004373</t>
  </si>
  <si>
    <t xml:space="preserve">P-004374</t>
  </si>
  <si>
    <t xml:space="preserve">P-004375</t>
  </si>
  <si>
    <t xml:space="preserve">P-004376</t>
  </si>
  <si>
    <t xml:space="preserve">P-004377</t>
  </si>
  <si>
    <t xml:space="preserve">P-004378</t>
  </si>
  <si>
    <t xml:space="preserve">P-004379</t>
  </si>
  <si>
    <t xml:space="preserve">P-004380</t>
  </si>
  <si>
    <t xml:space="preserve">P-004381</t>
  </si>
  <si>
    <t xml:space="preserve">P-004382</t>
  </si>
  <si>
    <t xml:space="preserve">P-004383</t>
  </si>
  <si>
    <t xml:space="preserve">P-004384</t>
  </si>
  <si>
    <t xml:space="preserve">P-004385</t>
  </si>
  <si>
    <t xml:space="preserve">P-004386</t>
  </si>
  <si>
    <t xml:space="preserve">P-004387</t>
  </si>
  <si>
    <t xml:space="preserve">P-004388</t>
  </si>
  <si>
    <t xml:space="preserve">P-004389</t>
  </si>
  <si>
    <t xml:space="preserve">P-004390</t>
  </si>
  <si>
    <t xml:space="preserve">P-004391</t>
  </si>
  <si>
    <t xml:space="preserve">P-004392</t>
  </si>
  <si>
    <t xml:space="preserve">P-004393</t>
  </si>
  <si>
    <t xml:space="preserve">P-004394</t>
  </si>
  <si>
    <t xml:space="preserve">P-004395</t>
  </si>
  <si>
    <t xml:space="preserve">P-004396</t>
  </si>
  <si>
    <t xml:space="preserve">P-004397</t>
  </si>
  <si>
    <t xml:space="preserve">P-004398</t>
  </si>
  <si>
    <t xml:space="preserve">P-004399</t>
  </si>
  <si>
    <t xml:space="preserve">P-004400</t>
  </si>
  <si>
    <t xml:space="preserve">P-004401</t>
  </si>
  <si>
    <t xml:space="preserve">P-004402</t>
  </si>
  <si>
    <t xml:space="preserve">P-004403</t>
  </si>
  <si>
    <t xml:space="preserve">P-004404</t>
  </si>
  <si>
    <t xml:space="preserve">P-004405</t>
  </si>
  <si>
    <t xml:space="preserve">P-004406</t>
  </si>
  <si>
    <t xml:space="preserve">P-004407</t>
  </si>
  <si>
    <t xml:space="preserve">P-004408</t>
  </si>
  <si>
    <t xml:space="preserve">P-004409</t>
  </si>
  <si>
    <t xml:space="preserve">P-004410</t>
  </si>
  <si>
    <t xml:space="preserve">P-004411</t>
  </si>
  <si>
    <t xml:space="preserve">P-004412</t>
  </si>
  <si>
    <t xml:space="preserve">P-004413</t>
  </si>
  <si>
    <t xml:space="preserve">P-004414</t>
  </si>
  <si>
    <t xml:space="preserve">P-004415</t>
  </si>
  <si>
    <t xml:space="preserve">P-004416</t>
  </si>
  <si>
    <t xml:space="preserve">P-004417</t>
  </si>
  <si>
    <t xml:space="preserve">P-004418</t>
  </si>
  <si>
    <t xml:space="preserve">P-004419</t>
  </si>
  <si>
    <t xml:space="preserve">P-004420</t>
  </si>
  <si>
    <t xml:space="preserve">P-004421</t>
  </si>
  <si>
    <t xml:space="preserve">P-004422</t>
  </si>
  <si>
    <t xml:space="preserve">P-004423</t>
  </si>
  <si>
    <t xml:space="preserve">P-004424</t>
  </si>
  <si>
    <t xml:space="preserve">P-004425</t>
  </si>
  <si>
    <t xml:space="preserve">P-004426</t>
  </si>
  <si>
    <t xml:space="preserve">P-004427</t>
  </si>
  <si>
    <t xml:space="preserve">P-004428</t>
  </si>
  <si>
    <t xml:space="preserve">P-004429</t>
  </si>
  <si>
    <t xml:space="preserve">P-004430</t>
  </si>
  <si>
    <t xml:space="preserve">P-004431</t>
  </si>
  <si>
    <t xml:space="preserve">P-004432</t>
  </si>
  <si>
    <t xml:space="preserve">P-004433</t>
  </si>
  <si>
    <t xml:space="preserve">P-004434</t>
  </si>
  <si>
    <t xml:space="preserve">P-004435</t>
  </si>
  <si>
    <t xml:space="preserve">P-004436</t>
  </si>
  <si>
    <t xml:space="preserve">P-004437</t>
  </si>
  <si>
    <t xml:space="preserve">P-004438</t>
  </si>
  <si>
    <t xml:space="preserve">P-004439</t>
  </si>
  <si>
    <t xml:space="preserve">P-004440</t>
  </si>
  <si>
    <t xml:space="preserve">P-004441</t>
  </si>
  <si>
    <t xml:space="preserve">P-004442</t>
  </si>
  <si>
    <t xml:space="preserve">P-004443</t>
  </si>
  <si>
    <t xml:space="preserve">P-004444</t>
  </si>
  <si>
    <t xml:space="preserve">P-004445</t>
  </si>
  <si>
    <t xml:space="preserve">P-004446</t>
  </si>
  <si>
    <t xml:space="preserve">P-004447</t>
  </si>
  <si>
    <t xml:space="preserve">P-004448</t>
  </si>
  <si>
    <t xml:space="preserve">P-004449</t>
  </si>
  <si>
    <t xml:space="preserve">P-004450</t>
  </si>
  <si>
    <t xml:space="preserve">P-004451</t>
  </si>
  <si>
    <t xml:space="preserve">P-004452</t>
  </si>
  <si>
    <t xml:space="preserve">P-004453</t>
  </si>
  <si>
    <t xml:space="preserve">P-004454</t>
  </si>
  <si>
    <t xml:space="preserve">P-004455</t>
  </si>
  <si>
    <t xml:space="preserve">P-004456</t>
  </si>
  <si>
    <t xml:space="preserve">P-004457</t>
  </si>
  <si>
    <t xml:space="preserve">P-004458</t>
  </si>
  <si>
    <t xml:space="preserve">P-004459</t>
  </si>
  <si>
    <t xml:space="preserve">P-004460</t>
  </si>
  <si>
    <t xml:space="preserve">P-004461</t>
  </si>
  <si>
    <t xml:space="preserve">P-004462</t>
  </si>
  <si>
    <t xml:space="preserve">P-004463</t>
  </si>
  <si>
    <t xml:space="preserve">P-004464</t>
  </si>
  <si>
    <t xml:space="preserve">P-004465</t>
  </si>
  <si>
    <t xml:space="preserve">P-004466</t>
  </si>
  <si>
    <t xml:space="preserve">P-004467</t>
  </si>
  <si>
    <t xml:space="preserve">P-004468</t>
  </si>
  <si>
    <t xml:space="preserve">P-004469</t>
  </si>
  <si>
    <t xml:space="preserve">P-004470</t>
  </si>
  <si>
    <t xml:space="preserve">P-004471</t>
  </si>
  <si>
    <t xml:space="preserve">P-004472</t>
  </si>
  <si>
    <t xml:space="preserve">P-004473</t>
  </si>
  <si>
    <t xml:space="preserve">P-004474</t>
  </si>
  <si>
    <t xml:space="preserve">P-004475</t>
  </si>
  <si>
    <t xml:space="preserve">P-004476</t>
  </si>
  <si>
    <t xml:space="preserve">P-004477</t>
  </si>
  <si>
    <t xml:space="preserve">P-004478</t>
  </si>
  <si>
    <t xml:space="preserve">P-004479</t>
  </si>
  <si>
    <t xml:space="preserve">P-004480</t>
  </si>
  <si>
    <t xml:space="preserve">P-004481</t>
  </si>
  <si>
    <t xml:space="preserve">P-004482</t>
  </si>
  <si>
    <t xml:space="preserve">P-004483</t>
  </si>
  <si>
    <t xml:space="preserve">P-004484</t>
  </si>
  <si>
    <t xml:space="preserve">P-004485</t>
  </si>
  <si>
    <t xml:space="preserve">P-004486</t>
  </si>
  <si>
    <t xml:space="preserve">P-004487</t>
  </si>
  <si>
    <t xml:space="preserve">P-004488</t>
  </si>
  <si>
    <t xml:space="preserve">P-004489</t>
  </si>
  <si>
    <t xml:space="preserve">P-004490</t>
  </si>
  <si>
    <t xml:space="preserve">P-004491</t>
  </si>
  <si>
    <t xml:space="preserve">P-004492</t>
  </si>
  <si>
    <t xml:space="preserve">P-004493</t>
  </si>
  <si>
    <t xml:space="preserve">P-004494</t>
  </si>
  <si>
    <t xml:space="preserve">P-004495</t>
  </si>
  <si>
    <t xml:space="preserve">P-004496</t>
  </si>
  <si>
    <t xml:space="preserve">P-004497</t>
  </si>
  <si>
    <t xml:space="preserve">P-004498</t>
  </si>
  <si>
    <t xml:space="preserve">P-004499</t>
  </si>
  <si>
    <t xml:space="preserve">P-004500</t>
  </si>
  <si>
    <t xml:space="preserve">P-004501</t>
  </si>
  <si>
    <t xml:space="preserve">P-004502</t>
  </si>
  <si>
    <t xml:space="preserve">P-004503</t>
  </si>
  <si>
    <t xml:space="preserve">P-004504</t>
  </si>
  <si>
    <t xml:space="preserve">P-004505</t>
  </si>
  <si>
    <t xml:space="preserve">P-004506</t>
  </si>
  <si>
    <t xml:space="preserve">P-004507</t>
  </si>
  <si>
    <t xml:space="preserve">P-004508</t>
  </si>
  <si>
    <t xml:space="preserve">P-004509</t>
  </si>
  <si>
    <t xml:space="preserve">P-004510</t>
  </si>
  <si>
    <t xml:space="preserve">P-004511</t>
  </si>
  <si>
    <t xml:space="preserve">P-004512</t>
  </si>
  <si>
    <t xml:space="preserve">P-004513</t>
  </si>
  <si>
    <t xml:space="preserve">P-004514</t>
  </si>
  <si>
    <t xml:space="preserve">P-004515</t>
  </si>
  <si>
    <t xml:space="preserve">P-004516</t>
  </si>
  <si>
    <t xml:space="preserve">P-004517</t>
  </si>
  <si>
    <t xml:space="preserve">P-004518</t>
  </si>
  <si>
    <t xml:space="preserve">P-004519</t>
  </si>
  <si>
    <t xml:space="preserve">P-004520</t>
  </si>
  <si>
    <t xml:space="preserve">P-004521</t>
  </si>
  <si>
    <t xml:space="preserve">P-004522</t>
  </si>
  <si>
    <t xml:space="preserve">P-004523</t>
  </si>
  <si>
    <t xml:space="preserve">P-004524</t>
  </si>
  <si>
    <t xml:space="preserve">P-004525</t>
  </si>
  <si>
    <t xml:space="preserve">P-004526</t>
  </si>
  <si>
    <t xml:space="preserve">P-004527</t>
  </si>
  <si>
    <t xml:space="preserve">P-004528</t>
  </si>
  <si>
    <t xml:space="preserve">P-004529</t>
  </si>
  <si>
    <t xml:space="preserve">P-004530</t>
  </si>
  <si>
    <t xml:space="preserve">P-004531</t>
  </si>
  <si>
    <t xml:space="preserve">P-004532</t>
  </si>
  <si>
    <t xml:space="preserve">P-004533</t>
  </si>
  <si>
    <t xml:space="preserve">P-004534</t>
  </si>
  <si>
    <t xml:space="preserve">P-004535</t>
  </si>
  <si>
    <t xml:space="preserve">P-004536</t>
  </si>
  <si>
    <t xml:space="preserve">P-004537</t>
  </si>
  <si>
    <t xml:space="preserve">P-004538</t>
  </si>
  <si>
    <t xml:space="preserve">P-004539</t>
  </si>
  <si>
    <t xml:space="preserve">P-004540</t>
  </si>
  <si>
    <t xml:space="preserve">P-004541</t>
  </si>
  <si>
    <t xml:space="preserve">P-004542</t>
  </si>
  <si>
    <t xml:space="preserve">P-004543</t>
  </si>
  <si>
    <t xml:space="preserve">P-004544</t>
  </si>
  <si>
    <t xml:space="preserve">P-004545</t>
  </si>
  <si>
    <t xml:space="preserve">P-004546</t>
  </si>
  <si>
    <t xml:space="preserve">P-004547</t>
  </si>
  <si>
    <t xml:space="preserve">P-004548</t>
  </si>
  <si>
    <t xml:space="preserve">P-004549</t>
  </si>
  <si>
    <t xml:space="preserve">P-004550</t>
  </si>
  <si>
    <t xml:space="preserve">P-004551</t>
  </si>
  <si>
    <t xml:space="preserve">P-004552</t>
  </si>
  <si>
    <t xml:space="preserve">P-004553</t>
  </si>
  <si>
    <t xml:space="preserve">P-004554</t>
  </si>
  <si>
    <t xml:space="preserve">P-004555</t>
  </si>
  <si>
    <t xml:space="preserve">P-004556</t>
  </si>
  <si>
    <t xml:space="preserve">P-004557</t>
  </si>
  <si>
    <t xml:space="preserve">P-004558</t>
  </si>
  <si>
    <t xml:space="preserve">P-004559</t>
  </si>
  <si>
    <t xml:space="preserve">P-004560</t>
  </si>
  <si>
    <t xml:space="preserve">P-004561</t>
  </si>
  <si>
    <t xml:space="preserve">P-004562</t>
  </si>
  <si>
    <t xml:space="preserve">P-004563</t>
  </si>
  <si>
    <t xml:space="preserve">P-004564</t>
  </si>
  <si>
    <t xml:space="preserve">P-004565</t>
  </si>
  <si>
    <t xml:space="preserve">P-004566</t>
  </si>
  <si>
    <t xml:space="preserve">P-004567</t>
  </si>
  <si>
    <t xml:space="preserve">P-004568</t>
  </si>
  <si>
    <t xml:space="preserve">P-004569</t>
  </si>
  <si>
    <t xml:space="preserve">P-004570</t>
  </si>
  <si>
    <t xml:space="preserve">P-004571</t>
  </si>
  <si>
    <t xml:space="preserve">P-004572</t>
  </si>
  <si>
    <t xml:space="preserve">P-004573</t>
  </si>
  <si>
    <t xml:space="preserve">P-004574</t>
  </si>
  <si>
    <t xml:space="preserve">P-004575</t>
  </si>
  <si>
    <t xml:space="preserve">P-004576</t>
  </si>
  <si>
    <t xml:space="preserve">P-004577</t>
  </si>
  <si>
    <t xml:space="preserve">P-004578</t>
  </si>
  <si>
    <t xml:space="preserve">P-004579</t>
  </si>
  <si>
    <t xml:space="preserve">P-004580</t>
  </si>
  <si>
    <t xml:space="preserve">P-004581</t>
  </si>
  <si>
    <t xml:space="preserve">P-004582</t>
  </si>
  <si>
    <t xml:space="preserve">P-004583</t>
  </si>
  <si>
    <t xml:space="preserve">P-004584</t>
  </si>
  <si>
    <t xml:space="preserve">P-004585</t>
  </si>
  <si>
    <t xml:space="preserve">P-004586</t>
  </si>
  <si>
    <t xml:space="preserve">P-004587</t>
  </si>
  <si>
    <t xml:space="preserve">P-004588</t>
  </si>
  <si>
    <t xml:space="preserve">P-004589</t>
  </si>
  <si>
    <t xml:space="preserve">P-004590</t>
  </si>
  <si>
    <t xml:space="preserve">P-004591</t>
  </si>
  <si>
    <t xml:space="preserve">P-004592</t>
  </si>
  <si>
    <t xml:space="preserve">P-004593</t>
  </si>
  <si>
    <t xml:space="preserve">P-004594</t>
  </si>
  <si>
    <t xml:space="preserve">P-004595</t>
  </si>
  <si>
    <t xml:space="preserve">P-004596</t>
  </si>
  <si>
    <t xml:space="preserve">P-004597</t>
  </si>
  <si>
    <t xml:space="preserve">P-004598</t>
  </si>
  <si>
    <t xml:space="preserve">P-004599</t>
  </si>
  <si>
    <t xml:space="preserve">P-004600</t>
  </si>
  <si>
    <t xml:space="preserve">P-004601</t>
  </si>
  <si>
    <t xml:space="preserve">P-004602</t>
  </si>
  <si>
    <t xml:space="preserve">P-004603</t>
  </si>
  <si>
    <t xml:space="preserve">P-004604</t>
  </si>
  <si>
    <t xml:space="preserve">P-004605</t>
  </si>
  <si>
    <t xml:space="preserve">P-004606</t>
  </si>
  <si>
    <t xml:space="preserve">P-004607</t>
  </si>
  <si>
    <t xml:space="preserve">P-004608</t>
  </si>
  <si>
    <t xml:space="preserve">P-004609</t>
  </si>
  <si>
    <t xml:space="preserve">P-004610</t>
  </si>
  <si>
    <t xml:space="preserve">P-004611</t>
  </si>
  <si>
    <t xml:space="preserve">P-004612</t>
  </si>
  <si>
    <t xml:space="preserve">P-004613</t>
  </si>
  <si>
    <t xml:space="preserve">P-004614</t>
  </si>
  <si>
    <t xml:space="preserve">P-004615</t>
  </si>
  <si>
    <t xml:space="preserve">P-004616</t>
  </si>
  <si>
    <t xml:space="preserve">P-004617</t>
  </si>
  <si>
    <t xml:space="preserve">P-004618</t>
  </si>
  <si>
    <t xml:space="preserve">P-004619</t>
  </si>
  <si>
    <t xml:space="preserve">P-004620</t>
  </si>
  <si>
    <t xml:space="preserve">P-004621</t>
  </si>
  <si>
    <t xml:space="preserve">P-004622</t>
  </si>
  <si>
    <t xml:space="preserve">P-004623</t>
  </si>
  <si>
    <t xml:space="preserve">P-004624</t>
  </si>
  <si>
    <t xml:space="preserve">P-004625</t>
  </si>
  <si>
    <t xml:space="preserve">P-004626</t>
  </si>
  <si>
    <t xml:space="preserve">P-004627</t>
  </si>
  <si>
    <t xml:space="preserve">P-004628</t>
  </si>
  <si>
    <t xml:space="preserve">P-004629</t>
  </si>
  <si>
    <t xml:space="preserve">P-004630</t>
  </si>
  <si>
    <t xml:space="preserve">P-004631</t>
  </si>
  <si>
    <t xml:space="preserve">P-004632</t>
  </si>
  <si>
    <t xml:space="preserve">P-004633</t>
  </si>
  <si>
    <t xml:space="preserve">P-004634</t>
  </si>
  <si>
    <t xml:space="preserve">P-004635</t>
  </si>
  <si>
    <t xml:space="preserve">P-004636</t>
  </si>
  <si>
    <t xml:space="preserve">P-004637</t>
  </si>
  <si>
    <t xml:space="preserve">P-004638</t>
  </si>
  <si>
    <t xml:space="preserve">P-004639</t>
  </si>
  <si>
    <t xml:space="preserve">P-004640</t>
  </si>
  <si>
    <t xml:space="preserve">P-004641</t>
  </si>
  <si>
    <t xml:space="preserve">P-004642</t>
  </si>
  <si>
    <t xml:space="preserve">P-004643</t>
  </si>
  <si>
    <t xml:space="preserve">P-004644</t>
  </si>
  <si>
    <t xml:space="preserve">P-004645</t>
  </si>
  <si>
    <t xml:space="preserve">P-004646</t>
  </si>
  <si>
    <t xml:space="preserve">P-004647</t>
  </si>
  <si>
    <t xml:space="preserve">P-004648</t>
  </si>
  <si>
    <t xml:space="preserve">P-004649</t>
  </si>
  <si>
    <t xml:space="preserve">P-004650</t>
  </si>
  <si>
    <t xml:space="preserve">P-004651</t>
  </si>
  <si>
    <t xml:space="preserve">P-004652</t>
  </si>
  <si>
    <t xml:space="preserve">P-004653</t>
  </si>
  <si>
    <t xml:space="preserve">P-004654</t>
  </si>
  <si>
    <t xml:space="preserve">P-004655</t>
  </si>
  <si>
    <t xml:space="preserve">P-004656</t>
  </si>
  <si>
    <t xml:space="preserve">P-004657</t>
  </si>
  <si>
    <t xml:space="preserve">P-004658</t>
  </si>
  <si>
    <t xml:space="preserve">P-004659</t>
  </si>
  <si>
    <t xml:space="preserve">P-004660</t>
  </si>
  <si>
    <t xml:space="preserve">P-004661</t>
  </si>
  <si>
    <t xml:space="preserve">P-004662</t>
  </si>
  <si>
    <t xml:space="preserve">P-004663</t>
  </si>
  <si>
    <t xml:space="preserve">P-004664</t>
  </si>
  <si>
    <t xml:space="preserve">P-004665</t>
  </si>
  <si>
    <t xml:space="preserve">P-004666</t>
  </si>
  <si>
    <t xml:space="preserve">P-004667</t>
  </si>
  <si>
    <t xml:space="preserve">P-004668</t>
  </si>
  <si>
    <t xml:space="preserve">P-004669</t>
  </si>
  <si>
    <t xml:space="preserve">P-004670</t>
  </si>
  <si>
    <t xml:space="preserve">P-004671</t>
  </si>
  <si>
    <t xml:space="preserve">P-004672</t>
  </si>
  <si>
    <t xml:space="preserve">P-004673</t>
  </si>
  <si>
    <t xml:space="preserve">P-004674</t>
  </si>
  <si>
    <t xml:space="preserve">P-004675</t>
  </si>
  <si>
    <t xml:space="preserve">P-004676</t>
  </si>
  <si>
    <t xml:space="preserve">P-004677</t>
  </si>
  <si>
    <t xml:space="preserve">P-004678</t>
  </si>
  <si>
    <t xml:space="preserve">P-004679</t>
  </si>
  <si>
    <t xml:space="preserve">P-004680</t>
  </si>
  <si>
    <t xml:space="preserve">P-004681</t>
  </si>
  <si>
    <t xml:space="preserve">P-004682</t>
  </si>
  <si>
    <t xml:space="preserve">P-004683</t>
  </si>
  <si>
    <t xml:space="preserve">P-004684</t>
  </si>
  <si>
    <t xml:space="preserve">P-004685</t>
  </si>
  <si>
    <t xml:space="preserve">P-004686</t>
  </si>
  <si>
    <t xml:space="preserve">P-004687</t>
  </si>
  <si>
    <t xml:space="preserve">P-004688</t>
  </si>
  <si>
    <t xml:space="preserve">P-004689</t>
  </si>
  <si>
    <t xml:space="preserve">P-004690</t>
  </si>
  <si>
    <t xml:space="preserve">P-004691</t>
  </si>
  <si>
    <t xml:space="preserve">P-004692</t>
  </si>
  <si>
    <t xml:space="preserve">P-004693</t>
  </si>
  <si>
    <t xml:space="preserve">P-004694</t>
  </si>
  <si>
    <t xml:space="preserve">P-004695</t>
  </si>
  <si>
    <t xml:space="preserve">P-004696</t>
  </si>
  <si>
    <t xml:space="preserve">P-004697</t>
  </si>
  <si>
    <t xml:space="preserve">P-004698</t>
  </si>
  <si>
    <t xml:space="preserve">P-004699</t>
  </si>
  <si>
    <t xml:space="preserve">P-004700</t>
  </si>
  <si>
    <t xml:space="preserve">P-004701</t>
  </si>
  <si>
    <t xml:space="preserve">P-004702</t>
  </si>
  <si>
    <t xml:space="preserve">P-004703</t>
  </si>
  <si>
    <t xml:space="preserve">P-004704</t>
  </si>
  <si>
    <t xml:space="preserve">P-004705</t>
  </si>
  <si>
    <t xml:space="preserve">P-004706</t>
  </si>
  <si>
    <t xml:space="preserve">P-004707</t>
  </si>
  <si>
    <t xml:space="preserve">P-004708</t>
  </si>
  <si>
    <t xml:space="preserve">P-004709</t>
  </si>
  <si>
    <t xml:space="preserve">P-004710</t>
  </si>
  <si>
    <t xml:space="preserve">P-004711</t>
  </si>
  <si>
    <t xml:space="preserve">P-004712</t>
  </si>
  <si>
    <t xml:space="preserve">P-004713</t>
  </si>
  <si>
    <t xml:space="preserve">P-004714</t>
  </si>
  <si>
    <t xml:space="preserve">P-004715</t>
  </si>
  <si>
    <t xml:space="preserve">P-004716</t>
  </si>
  <si>
    <t xml:space="preserve">P-004717</t>
  </si>
  <si>
    <t xml:space="preserve">P-004718</t>
  </si>
  <si>
    <t xml:space="preserve">P-004719</t>
  </si>
  <si>
    <t xml:space="preserve">P-004720</t>
  </si>
  <si>
    <t xml:space="preserve">P-004721</t>
  </si>
  <si>
    <t xml:space="preserve">P-004722</t>
  </si>
  <si>
    <t xml:space="preserve">P-004723</t>
  </si>
  <si>
    <t xml:space="preserve">P-004724</t>
  </si>
  <si>
    <t xml:space="preserve">P-004725</t>
  </si>
  <si>
    <t xml:space="preserve">P-004726</t>
  </si>
  <si>
    <t xml:space="preserve">P-004727</t>
  </si>
  <si>
    <t xml:space="preserve">P-004728</t>
  </si>
  <si>
    <t xml:space="preserve">P-004729</t>
  </si>
  <si>
    <t xml:space="preserve">P-004730</t>
  </si>
  <si>
    <t xml:space="preserve">P-004731</t>
  </si>
  <si>
    <t xml:space="preserve">P-004732</t>
  </si>
  <si>
    <t xml:space="preserve">P-004733</t>
  </si>
  <si>
    <t xml:space="preserve">P-004734</t>
  </si>
  <si>
    <t xml:space="preserve">P-004735</t>
  </si>
  <si>
    <t xml:space="preserve">P-004736</t>
  </si>
  <si>
    <t xml:space="preserve">P-004737</t>
  </si>
  <si>
    <t xml:space="preserve">P-004738</t>
  </si>
  <si>
    <t xml:space="preserve">P-004739</t>
  </si>
  <si>
    <t xml:space="preserve">P-004740</t>
  </si>
  <si>
    <t xml:space="preserve">P-004741</t>
  </si>
  <si>
    <t xml:space="preserve">P-004742</t>
  </si>
  <si>
    <t xml:space="preserve">P-004743</t>
  </si>
  <si>
    <t xml:space="preserve">P-004744</t>
  </si>
  <si>
    <t xml:space="preserve">P-004745</t>
  </si>
  <si>
    <t xml:space="preserve">P-004746</t>
  </si>
  <si>
    <t xml:space="preserve">P-004747</t>
  </si>
  <si>
    <t xml:space="preserve">P-004748</t>
  </si>
  <si>
    <t xml:space="preserve">P-004749</t>
  </si>
  <si>
    <t xml:space="preserve">P-004750</t>
  </si>
  <si>
    <t xml:space="preserve">P-004751</t>
  </si>
  <si>
    <t xml:space="preserve">P-004752</t>
  </si>
  <si>
    <t xml:space="preserve">P-004753</t>
  </si>
  <si>
    <t xml:space="preserve">P-004754</t>
  </si>
  <si>
    <t xml:space="preserve">P-004755</t>
  </si>
  <si>
    <t xml:space="preserve">P-004756</t>
  </si>
  <si>
    <t xml:space="preserve">P-004757</t>
  </si>
  <si>
    <t xml:space="preserve">P-004758</t>
  </si>
  <si>
    <t xml:space="preserve">P-004759</t>
  </si>
  <si>
    <t xml:space="preserve">P-004760</t>
  </si>
  <si>
    <t xml:space="preserve">P-004761</t>
  </si>
  <si>
    <t xml:space="preserve">P-004762</t>
  </si>
  <si>
    <t xml:space="preserve">P-004763</t>
  </si>
  <si>
    <t xml:space="preserve">P-004764</t>
  </si>
  <si>
    <t xml:space="preserve">P-004765</t>
  </si>
  <si>
    <t xml:space="preserve">P-004766</t>
  </si>
  <si>
    <t xml:space="preserve">P-004767</t>
  </si>
  <si>
    <t xml:space="preserve">P-004768</t>
  </si>
  <si>
    <t xml:space="preserve">P-004769</t>
  </si>
  <si>
    <t xml:space="preserve">P-004770</t>
  </si>
  <si>
    <t xml:space="preserve">P-004771</t>
  </si>
  <si>
    <t xml:space="preserve">P-004772</t>
  </si>
  <si>
    <t xml:space="preserve">P-004773</t>
  </si>
  <si>
    <t xml:space="preserve">P-004774</t>
  </si>
  <si>
    <t xml:space="preserve">P-004775</t>
  </si>
  <si>
    <t xml:space="preserve">P-004776</t>
  </si>
  <si>
    <t xml:space="preserve">P-004777</t>
  </si>
  <si>
    <t xml:space="preserve">P-004778</t>
  </si>
  <si>
    <t xml:space="preserve">P-004779</t>
  </si>
  <si>
    <t xml:space="preserve">P-004780</t>
  </si>
  <si>
    <t xml:space="preserve">P-004781</t>
  </si>
  <si>
    <t xml:space="preserve">P-004782</t>
  </si>
  <si>
    <t xml:space="preserve">P-004783</t>
  </si>
  <si>
    <t xml:space="preserve">P-004784</t>
  </si>
  <si>
    <t xml:space="preserve">P-004785</t>
  </si>
  <si>
    <t xml:space="preserve">P-004786</t>
  </si>
  <si>
    <t xml:space="preserve">P-004787</t>
  </si>
  <si>
    <t xml:space="preserve">P-004788</t>
  </si>
  <si>
    <t xml:space="preserve">P-004789</t>
  </si>
  <si>
    <t xml:space="preserve">P-004790</t>
  </si>
  <si>
    <t xml:space="preserve">P-004791</t>
  </si>
  <si>
    <t xml:space="preserve">P-004792</t>
  </si>
  <si>
    <t xml:space="preserve">P-004793</t>
  </si>
  <si>
    <t xml:space="preserve">P-004794</t>
  </si>
  <si>
    <t xml:space="preserve">P-004795</t>
  </si>
  <si>
    <t xml:space="preserve">P-004796</t>
  </si>
  <si>
    <t xml:space="preserve">P-004797</t>
  </si>
  <si>
    <t xml:space="preserve">P-004798</t>
  </si>
  <si>
    <t xml:space="preserve">P-004799</t>
  </si>
  <si>
    <t xml:space="preserve">P-004800</t>
  </si>
  <si>
    <t xml:space="preserve">P-004801</t>
  </si>
  <si>
    <t xml:space="preserve">P-004802</t>
  </si>
  <si>
    <t xml:space="preserve">P-004803</t>
  </si>
  <si>
    <t xml:space="preserve">P-004804</t>
  </si>
  <si>
    <t xml:space="preserve">P-004805</t>
  </si>
  <si>
    <t xml:space="preserve">P-004806</t>
  </si>
  <si>
    <t xml:space="preserve">P-004807</t>
  </si>
  <si>
    <t xml:space="preserve">P-004808</t>
  </si>
  <si>
    <t xml:space="preserve">P-004809</t>
  </si>
  <si>
    <t xml:space="preserve">P-004810</t>
  </si>
  <si>
    <t xml:space="preserve">P-004811</t>
  </si>
  <si>
    <t xml:space="preserve">P-004812</t>
  </si>
  <si>
    <t xml:space="preserve">P-004813</t>
  </si>
  <si>
    <t xml:space="preserve">P-004814</t>
  </si>
  <si>
    <t xml:space="preserve">P-004815</t>
  </si>
  <si>
    <t xml:space="preserve">P-004816</t>
  </si>
  <si>
    <t xml:space="preserve">P-004817</t>
  </si>
  <si>
    <t xml:space="preserve">P-004818</t>
  </si>
  <si>
    <t xml:space="preserve">P-004819</t>
  </si>
  <si>
    <t xml:space="preserve">P-004820</t>
  </si>
  <si>
    <t xml:space="preserve">P-004821</t>
  </si>
  <si>
    <t xml:space="preserve">P-004822</t>
  </si>
  <si>
    <t xml:space="preserve">P-004823</t>
  </si>
  <si>
    <t xml:space="preserve">P-004824</t>
  </si>
  <si>
    <t xml:space="preserve">P-004825</t>
  </si>
  <si>
    <t xml:space="preserve">P-004826</t>
  </si>
  <si>
    <t xml:space="preserve">P-004827</t>
  </si>
  <si>
    <t xml:space="preserve">P-004828</t>
  </si>
  <si>
    <t xml:space="preserve">P-004829</t>
  </si>
  <si>
    <t xml:space="preserve">P-004830</t>
  </si>
  <si>
    <t xml:space="preserve">P-004831</t>
  </si>
  <si>
    <t xml:space="preserve">P-004832</t>
  </si>
  <si>
    <t xml:space="preserve">P-004833</t>
  </si>
  <si>
    <t xml:space="preserve">P-004834</t>
  </si>
  <si>
    <t xml:space="preserve">P-004835</t>
  </si>
  <si>
    <t xml:space="preserve">P-004836</t>
  </si>
  <si>
    <t xml:space="preserve">P-004837</t>
  </si>
  <si>
    <t xml:space="preserve">P-004838</t>
  </si>
  <si>
    <t xml:space="preserve">P-004839</t>
  </si>
  <si>
    <t xml:space="preserve">P-004840</t>
  </si>
  <si>
    <t xml:space="preserve">P-004841</t>
  </si>
  <si>
    <t xml:space="preserve">P-004842</t>
  </si>
  <si>
    <t xml:space="preserve">P-004843</t>
  </si>
  <si>
    <t xml:space="preserve">P-004844</t>
  </si>
  <si>
    <t xml:space="preserve">P-004845</t>
  </si>
  <si>
    <t xml:space="preserve">P-004846</t>
  </si>
  <si>
    <t xml:space="preserve">P-004847</t>
  </si>
  <si>
    <t xml:space="preserve">P-004848</t>
  </si>
  <si>
    <t xml:space="preserve">P-004849</t>
  </si>
  <si>
    <t xml:space="preserve">P-004850</t>
  </si>
  <si>
    <t xml:space="preserve">P-004851</t>
  </si>
  <si>
    <t xml:space="preserve">P-004852</t>
  </si>
  <si>
    <t xml:space="preserve">P-004853</t>
  </si>
  <si>
    <t xml:space="preserve">P-004854</t>
  </si>
  <si>
    <t xml:space="preserve">P-004855</t>
  </si>
  <si>
    <t xml:space="preserve">P-004856</t>
  </si>
  <si>
    <t xml:space="preserve">P-004857</t>
  </si>
  <si>
    <t xml:space="preserve">P-004858</t>
  </si>
  <si>
    <t xml:space="preserve">P-004859</t>
  </si>
  <si>
    <t xml:space="preserve">P-004860</t>
  </si>
  <si>
    <t xml:space="preserve">P-004861</t>
  </si>
  <si>
    <t xml:space="preserve">P-004862</t>
  </si>
  <si>
    <t xml:space="preserve">P-004863</t>
  </si>
  <si>
    <t xml:space="preserve">P-004864</t>
  </si>
  <si>
    <t xml:space="preserve">P-004865</t>
  </si>
  <si>
    <t xml:space="preserve">P-004866</t>
  </si>
  <si>
    <t xml:space="preserve">P-004867</t>
  </si>
  <si>
    <t xml:space="preserve">P-004868</t>
  </si>
  <si>
    <t xml:space="preserve">P-004869</t>
  </si>
  <si>
    <t xml:space="preserve">P-004870</t>
  </si>
  <si>
    <t xml:space="preserve">P-004871</t>
  </si>
  <si>
    <t xml:space="preserve">P-004872</t>
  </si>
  <si>
    <t xml:space="preserve">P-004873</t>
  </si>
  <si>
    <t xml:space="preserve">P-004874</t>
  </si>
  <si>
    <t xml:space="preserve">P-004875</t>
  </si>
  <si>
    <t xml:space="preserve">P-004876</t>
  </si>
  <si>
    <t xml:space="preserve">P-004877</t>
  </si>
  <si>
    <t xml:space="preserve">P-004878</t>
  </si>
  <si>
    <t xml:space="preserve">P-004879</t>
  </si>
  <si>
    <t xml:space="preserve">P-004880</t>
  </si>
  <si>
    <t xml:space="preserve">P-004881</t>
  </si>
  <si>
    <t xml:space="preserve">P-004882</t>
  </si>
  <si>
    <t xml:space="preserve">P-004883</t>
  </si>
  <si>
    <t xml:space="preserve">P-004884</t>
  </si>
  <si>
    <t xml:space="preserve">P-004885</t>
  </si>
  <si>
    <t xml:space="preserve">P-004886</t>
  </si>
  <si>
    <t xml:space="preserve">P-004887</t>
  </si>
  <si>
    <t xml:space="preserve">P-004888</t>
  </si>
  <si>
    <t xml:space="preserve">P-004889</t>
  </si>
  <si>
    <t xml:space="preserve">P-004890</t>
  </si>
  <si>
    <t xml:space="preserve">P-004891</t>
  </si>
  <si>
    <t xml:space="preserve">P-004892</t>
  </si>
  <si>
    <t xml:space="preserve">P-004893</t>
  </si>
  <si>
    <t xml:space="preserve">P-004894</t>
  </si>
  <si>
    <t xml:space="preserve">P-004895</t>
  </si>
  <si>
    <t xml:space="preserve">P-004896</t>
  </si>
  <si>
    <t xml:space="preserve">P-004897</t>
  </si>
  <si>
    <t xml:space="preserve">P-004898</t>
  </si>
  <si>
    <t xml:space="preserve">P-004899</t>
  </si>
  <si>
    <t xml:space="preserve">P-004900</t>
  </si>
  <si>
    <t xml:space="preserve">P-004901</t>
  </si>
  <si>
    <t xml:space="preserve">P-004902</t>
  </si>
  <si>
    <t xml:space="preserve">P-004903</t>
  </si>
  <si>
    <t xml:space="preserve">P-004904</t>
  </si>
  <si>
    <t xml:space="preserve">P-004905</t>
  </si>
  <si>
    <t xml:space="preserve">P-004906</t>
  </si>
  <si>
    <t xml:space="preserve">P-004907</t>
  </si>
  <si>
    <t xml:space="preserve">P-004908</t>
  </si>
  <si>
    <t xml:space="preserve">P-004909</t>
  </si>
  <si>
    <t xml:space="preserve">P-004910</t>
  </si>
  <si>
    <t xml:space="preserve">P-004911</t>
  </si>
  <si>
    <t xml:space="preserve">P-004912</t>
  </si>
  <si>
    <t xml:space="preserve">P-004913</t>
  </si>
  <si>
    <t xml:space="preserve">P-004914</t>
  </si>
  <si>
    <t xml:space="preserve">P-004915</t>
  </si>
  <si>
    <t xml:space="preserve">P-004916</t>
  </si>
  <si>
    <t xml:space="preserve">P-004917</t>
  </si>
  <si>
    <t xml:space="preserve">P-004918</t>
  </si>
  <si>
    <t xml:space="preserve">P-004919</t>
  </si>
  <si>
    <t xml:space="preserve">P-004920</t>
  </si>
  <si>
    <t xml:space="preserve">P-004921</t>
  </si>
  <si>
    <t xml:space="preserve">P-004922</t>
  </si>
  <si>
    <t xml:space="preserve">P-004923</t>
  </si>
  <si>
    <t xml:space="preserve">P-004924</t>
  </si>
  <si>
    <t xml:space="preserve">P-004925</t>
  </si>
  <si>
    <t xml:space="preserve">P-004926</t>
  </si>
  <si>
    <t xml:space="preserve">P-004927</t>
  </si>
  <si>
    <t xml:space="preserve">P-004928</t>
  </si>
  <si>
    <t xml:space="preserve">P-004929</t>
  </si>
  <si>
    <t xml:space="preserve">P-004930</t>
  </si>
  <si>
    <t xml:space="preserve">P-004931</t>
  </si>
  <si>
    <t xml:space="preserve">P-004932</t>
  </si>
  <si>
    <t xml:space="preserve">P-004933</t>
  </si>
  <si>
    <t xml:space="preserve">P-004934</t>
  </si>
  <si>
    <t xml:space="preserve">P-004935</t>
  </si>
  <si>
    <t xml:space="preserve">P-004936</t>
  </si>
  <si>
    <t xml:space="preserve">P-004937</t>
  </si>
  <si>
    <t xml:space="preserve">P-004938</t>
  </si>
  <si>
    <t xml:space="preserve">P-004939</t>
  </si>
  <si>
    <t xml:space="preserve">P-004940</t>
  </si>
  <si>
    <t xml:space="preserve">P-004941</t>
  </si>
  <si>
    <t xml:space="preserve">P-004942</t>
  </si>
  <si>
    <t xml:space="preserve">P-004943</t>
  </si>
  <si>
    <t xml:space="preserve">P-004944</t>
  </si>
  <si>
    <t xml:space="preserve">P-004945</t>
  </si>
  <si>
    <t xml:space="preserve">P-004946</t>
  </si>
  <si>
    <t xml:space="preserve">P-004947</t>
  </si>
  <si>
    <t xml:space="preserve">P-004948</t>
  </si>
  <si>
    <t xml:space="preserve">P-004949</t>
  </si>
  <si>
    <t xml:space="preserve">P-004950</t>
  </si>
  <si>
    <t xml:space="preserve">P-004951</t>
  </si>
  <si>
    <t xml:space="preserve">P-004952</t>
  </si>
  <si>
    <t xml:space="preserve">P-004953</t>
  </si>
  <si>
    <t xml:space="preserve">P-004954</t>
  </si>
  <si>
    <t xml:space="preserve">P-004955</t>
  </si>
  <si>
    <t xml:space="preserve">P-004956</t>
  </si>
  <si>
    <t xml:space="preserve">P-004957</t>
  </si>
  <si>
    <t xml:space="preserve">P-004958</t>
  </si>
  <si>
    <t xml:space="preserve">P-004959</t>
  </si>
  <si>
    <t xml:space="preserve">P-004960</t>
  </si>
  <si>
    <t xml:space="preserve">P-004961</t>
  </si>
  <si>
    <t xml:space="preserve">P-004962</t>
  </si>
  <si>
    <t xml:space="preserve">P-004963</t>
  </si>
  <si>
    <t xml:space="preserve">P-004964</t>
  </si>
  <si>
    <t xml:space="preserve">P-004965</t>
  </si>
  <si>
    <t xml:space="preserve">P-004966</t>
  </si>
  <si>
    <t xml:space="preserve">P-004967</t>
  </si>
  <si>
    <t xml:space="preserve">P-004968</t>
  </si>
  <si>
    <t xml:space="preserve">P-004969</t>
  </si>
  <si>
    <t xml:space="preserve">P-004970</t>
  </si>
  <si>
    <t xml:space="preserve">P-004971</t>
  </si>
  <si>
    <t xml:space="preserve">P-004972</t>
  </si>
  <si>
    <t xml:space="preserve">P-004973</t>
  </si>
  <si>
    <t xml:space="preserve">P-004974</t>
  </si>
  <si>
    <t xml:space="preserve">P-004975</t>
  </si>
  <si>
    <t xml:space="preserve">P-004976</t>
  </si>
  <si>
    <t xml:space="preserve">P-004977</t>
  </si>
  <si>
    <t xml:space="preserve">P-004978</t>
  </si>
  <si>
    <t xml:space="preserve">P-004979</t>
  </si>
  <si>
    <t xml:space="preserve">P-004980</t>
  </si>
  <si>
    <t xml:space="preserve">P-004981</t>
  </si>
  <si>
    <t xml:space="preserve">P-004982</t>
  </si>
  <si>
    <t xml:space="preserve">P-004983</t>
  </si>
  <si>
    <t xml:space="preserve">P-004984</t>
  </si>
  <si>
    <t xml:space="preserve">P-004985</t>
  </si>
  <si>
    <t xml:space="preserve">P-004986</t>
  </si>
  <si>
    <t xml:space="preserve">P-004987</t>
  </si>
  <si>
    <t xml:space="preserve">P-004988</t>
  </si>
  <si>
    <t xml:space="preserve">P-004989</t>
  </si>
  <si>
    <t xml:space="preserve">P-004990</t>
  </si>
  <si>
    <t xml:space="preserve">P-004991</t>
  </si>
  <si>
    <t xml:space="preserve">P-004992</t>
  </si>
  <si>
    <t xml:space="preserve">P-004993</t>
  </si>
  <si>
    <t xml:space="preserve">P-004994</t>
  </si>
  <si>
    <t xml:space="preserve">P-004995</t>
  </si>
  <si>
    <t xml:space="preserve">P-004996</t>
  </si>
  <si>
    <t xml:space="preserve">P-004997</t>
  </si>
  <si>
    <t xml:space="preserve">P-004998</t>
  </si>
  <si>
    <t xml:space="preserve">P-004999</t>
  </si>
  <si>
    <t xml:space="preserve">P-005000</t>
  </si>
  <si>
    <t xml:space="preserve">P-005001</t>
  </si>
  <si>
    <t xml:space="preserve">P-005002</t>
  </si>
  <si>
    <t xml:space="preserve">P-005003</t>
  </si>
  <si>
    <t xml:space="preserve">P-005004</t>
  </si>
  <si>
    <t xml:space="preserve">P-005005</t>
  </si>
  <si>
    <t xml:space="preserve">P-005006</t>
  </si>
  <si>
    <t xml:space="preserve">P-005007</t>
  </si>
  <si>
    <t xml:space="preserve">P-005008</t>
  </si>
  <si>
    <t xml:space="preserve">P-005009</t>
  </si>
  <si>
    <t xml:space="preserve">P-005010</t>
  </si>
  <si>
    <t xml:space="preserve">P-005011</t>
  </si>
  <si>
    <t xml:space="preserve">P-005012</t>
  </si>
  <si>
    <t xml:space="preserve">P-005013</t>
  </si>
  <si>
    <t xml:space="preserve">P-005014</t>
  </si>
  <si>
    <t xml:space="preserve">P-005015</t>
  </si>
  <si>
    <t xml:space="preserve">P-005016</t>
  </si>
  <si>
    <t xml:space="preserve">P-005017</t>
  </si>
  <si>
    <t xml:space="preserve">P-005018</t>
  </si>
  <si>
    <t xml:space="preserve">P-005019</t>
  </si>
  <si>
    <t xml:space="preserve">P-005020</t>
  </si>
  <si>
    <t xml:space="preserve">P-005021</t>
  </si>
  <si>
    <t xml:space="preserve">P-005022</t>
  </si>
  <si>
    <t xml:space="preserve">P-005023</t>
  </si>
  <si>
    <t xml:space="preserve">P-005024</t>
  </si>
  <si>
    <t xml:space="preserve">P-005025</t>
  </si>
  <si>
    <t xml:space="preserve">P-005026</t>
  </si>
  <si>
    <t xml:space="preserve">P-005027</t>
  </si>
  <si>
    <t xml:space="preserve">P-005028</t>
  </si>
  <si>
    <t xml:space="preserve">P-005029</t>
  </si>
  <si>
    <t xml:space="preserve">P-005030</t>
  </si>
  <si>
    <t xml:space="preserve">P-005031</t>
  </si>
  <si>
    <t xml:space="preserve">P-005032</t>
  </si>
  <si>
    <t xml:space="preserve">P-005033</t>
  </si>
  <si>
    <t xml:space="preserve">P-005034</t>
  </si>
  <si>
    <t xml:space="preserve">P-005035</t>
  </si>
  <si>
    <t xml:space="preserve">P-005036</t>
  </si>
  <si>
    <t xml:space="preserve">P-005037</t>
  </si>
  <si>
    <t xml:space="preserve">P-005038</t>
  </si>
  <si>
    <t xml:space="preserve">P-005039</t>
  </si>
  <si>
    <t xml:space="preserve">P-005040</t>
  </si>
  <si>
    <t xml:space="preserve">P-005041</t>
  </si>
  <si>
    <t xml:space="preserve">P-005042</t>
  </si>
  <si>
    <t xml:space="preserve">P-005043</t>
  </si>
  <si>
    <t xml:space="preserve">P-005044</t>
  </si>
  <si>
    <t xml:space="preserve">P-005045</t>
  </si>
  <si>
    <t xml:space="preserve">P-005046</t>
  </si>
  <si>
    <t xml:space="preserve">P-005047</t>
  </si>
  <si>
    <t xml:space="preserve">P-005048</t>
  </si>
  <si>
    <t xml:space="preserve">P-005049</t>
  </si>
  <si>
    <t xml:space="preserve">P-005050</t>
  </si>
  <si>
    <t xml:space="preserve">P-005051</t>
  </si>
  <si>
    <t xml:space="preserve">P-005052</t>
  </si>
  <si>
    <t xml:space="preserve">P-005053</t>
  </si>
  <si>
    <t xml:space="preserve">P-005054</t>
  </si>
  <si>
    <t xml:space="preserve">P-005055</t>
  </si>
  <si>
    <t xml:space="preserve">P-005056</t>
  </si>
  <si>
    <t xml:space="preserve">P-005057</t>
  </si>
  <si>
    <t xml:space="preserve">P-005058</t>
  </si>
  <si>
    <t xml:space="preserve">P-005059</t>
  </si>
  <si>
    <t xml:space="preserve">P-005060</t>
  </si>
  <si>
    <t xml:space="preserve">P-005061</t>
  </si>
  <si>
    <t xml:space="preserve">P-005062</t>
  </si>
  <si>
    <t xml:space="preserve">P-005063</t>
  </si>
  <si>
    <t xml:space="preserve">P-005064</t>
  </si>
  <si>
    <t xml:space="preserve">P-005065</t>
  </si>
  <si>
    <t xml:space="preserve">P-005066</t>
  </si>
  <si>
    <t xml:space="preserve">P-005067</t>
  </si>
  <si>
    <t xml:space="preserve">P-005068</t>
  </si>
  <si>
    <t xml:space="preserve">P-005069</t>
  </si>
  <si>
    <t xml:space="preserve">P-005070</t>
  </si>
  <si>
    <t xml:space="preserve">P-005071</t>
  </si>
  <si>
    <t xml:space="preserve">P-005072</t>
  </si>
  <si>
    <t xml:space="preserve">P-005073</t>
  </si>
  <si>
    <t xml:space="preserve">P-005074</t>
  </si>
  <si>
    <t xml:space="preserve">P-005075</t>
  </si>
  <si>
    <t xml:space="preserve">P-005076</t>
  </si>
  <si>
    <t xml:space="preserve">P-005077</t>
  </si>
  <si>
    <t xml:space="preserve">P-005078</t>
  </si>
  <si>
    <t xml:space="preserve">P-005079</t>
  </si>
  <si>
    <t xml:space="preserve">P-005080</t>
  </si>
  <si>
    <t xml:space="preserve">P-005081</t>
  </si>
  <si>
    <t xml:space="preserve">P-005082</t>
  </si>
  <si>
    <t xml:space="preserve">P-005083</t>
  </si>
  <si>
    <t xml:space="preserve">P-005084</t>
  </si>
  <si>
    <t xml:space="preserve">P-005085</t>
  </si>
  <si>
    <t xml:space="preserve">P-005086</t>
  </si>
  <si>
    <t xml:space="preserve">P-005087</t>
  </si>
  <si>
    <t xml:space="preserve">P-005088</t>
  </si>
  <si>
    <t xml:space="preserve">P-005089</t>
  </si>
  <si>
    <t xml:space="preserve">P-005090</t>
  </si>
  <si>
    <t xml:space="preserve">P-005091</t>
  </si>
  <si>
    <t xml:space="preserve">P-005092</t>
  </si>
  <si>
    <t xml:space="preserve">P-005093</t>
  </si>
  <si>
    <t xml:space="preserve">P-005094</t>
  </si>
  <si>
    <t xml:space="preserve">P-005095</t>
  </si>
  <si>
    <t xml:space="preserve">P-005096</t>
  </si>
  <si>
    <t xml:space="preserve">P-005097</t>
  </si>
  <si>
    <t xml:space="preserve">P-005098</t>
  </si>
  <si>
    <t xml:space="preserve">P-005099</t>
  </si>
  <si>
    <t xml:space="preserve">P-005100</t>
  </si>
  <si>
    <t xml:space="preserve">P-005101</t>
  </si>
  <si>
    <t xml:space="preserve">P-005102</t>
  </si>
  <si>
    <t xml:space="preserve">P-005103</t>
  </si>
  <si>
    <t xml:space="preserve">P-005104</t>
  </si>
  <si>
    <t xml:space="preserve">P-005105</t>
  </si>
  <si>
    <t xml:space="preserve">P-005106</t>
  </si>
  <si>
    <t xml:space="preserve">P-005107</t>
  </si>
  <si>
    <t xml:space="preserve">P-005108</t>
  </si>
  <si>
    <t xml:space="preserve">P-005109</t>
  </si>
  <si>
    <t xml:space="preserve">P-005110</t>
  </si>
  <si>
    <t xml:space="preserve">P-005111</t>
  </si>
  <si>
    <t xml:space="preserve">P-005112</t>
  </si>
  <si>
    <t xml:space="preserve">P-005113</t>
  </si>
  <si>
    <t xml:space="preserve">P-005114</t>
  </si>
  <si>
    <t xml:space="preserve">P-005115</t>
  </si>
  <si>
    <t xml:space="preserve">P-005116</t>
  </si>
  <si>
    <t xml:space="preserve">P-005117</t>
  </si>
  <si>
    <t xml:space="preserve">P-005118</t>
  </si>
  <si>
    <t xml:space="preserve">P-005119</t>
  </si>
  <si>
    <t xml:space="preserve">P-005120</t>
  </si>
  <si>
    <t xml:space="preserve">P-005121</t>
  </si>
  <si>
    <t xml:space="preserve">P-005122</t>
  </si>
  <si>
    <t xml:space="preserve">P-005123</t>
  </si>
  <si>
    <t xml:space="preserve">P-005124</t>
  </si>
  <si>
    <t xml:space="preserve">P-005125</t>
  </si>
  <si>
    <t xml:space="preserve">P-005126</t>
  </si>
  <si>
    <t xml:space="preserve">P-005127</t>
  </si>
  <si>
    <t xml:space="preserve">P-005128</t>
  </si>
  <si>
    <t xml:space="preserve">P-005129</t>
  </si>
  <si>
    <t xml:space="preserve">P-005130</t>
  </si>
  <si>
    <t xml:space="preserve">P-005131</t>
  </si>
  <si>
    <t xml:space="preserve">P-005132</t>
  </si>
  <si>
    <t xml:space="preserve">P-005133</t>
  </si>
  <si>
    <t xml:space="preserve">P-005134</t>
  </si>
  <si>
    <t xml:space="preserve">P-005135</t>
  </si>
  <si>
    <t xml:space="preserve">P-005136</t>
  </si>
  <si>
    <t xml:space="preserve">P-005137</t>
  </si>
  <si>
    <t xml:space="preserve">P-005138</t>
  </si>
  <si>
    <t xml:space="preserve">P-005139</t>
  </si>
  <si>
    <t xml:space="preserve">P-005140</t>
  </si>
  <si>
    <t xml:space="preserve">P-005141</t>
  </si>
  <si>
    <t xml:space="preserve">P-005142</t>
  </si>
  <si>
    <t xml:space="preserve">P-005143</t>
  </si>
  <si>
    <t xml:space="preserve">P-005144</t>
  </si>
  <si>
    <t xml:space="preserve">P-005145</t>
  </si>
  <si>
    <t xml:space="preserve">P-005146</t>
  </si>
  <si>
    <t xml:space="preserve">P-005147</t>
  </si>
  <si>
    <t xml:space="preserve">P-005148</t>
  </si>
  <si>
    <t xml:space="preserve">P-005149</t>
  </si>
  <si>
    <t xml:space="preserve">P-005150</t>
  </si>
  <si>
    <t xml:space="preserve">P-005151</t>
  </si>
  <si>
    <t xml:space="preserve">P-005152</t>
  </si>
  <si>
    <t xml:space="preserve">P-005153</t>
  </si>
  <si>
    <t xml:space="preserve">P-005154</t>
  </si>
  <si>
    <t xml:space="preserve">P-005155</t>
  </si>
  <si>
    <t xml:space="preserve">P-005156</t>
  </si>
  <si>
    <t xml:space="preserve">P-005157</t>
  </si>
  <si>
    <t xml:space="preserve">P-005158</t>
  </si>
  <si>
    <t xml:space="preserve">P-005159</t>
  </si>
  <si>
    <t xml:space="preserve">P-005160</t>
  </si>
  <si>
    <t xml:space="preserve">P-005161</t>
  </si>
  <si>
    <t xml:space="preserve">P-005162</t>
  </si>
  <si>
    <t xml:space="preserve">P-005163</t>
  </si>
  <si>
    <t xml:space="preserve">P-005164</t>
  </si>
  <si>
    <t xml:space="preserve">P-005165</t>
  </si>
  <si>
    <t xml:space="preserve">P-005166</t>
  </si>
  <si>
    <t xml:space="preserve">P-005167</t>
  </si>
  <si>
    <t xml:space="preserve">P-005168</t>
  </si>
  <si>
    <t xml:space="preserve">P-005169</t>
  </si>
  <si>
    <t xml:space="preserve">P-005170</t>
  </si>
  <si>
    <t xml:space="preserve">P-005171</t>
  </si>
  <si>
    <t xml:space="preserve">P-005172</t>
  </si>
  <si>
    <t xml:space="preserve">P-005173</t>
  </si>
  <si>
    <t xml:space="preserve">P-005174</t>
  </si>
  <si>
    <t xml:space="preserve">P-005175</t>
  </si>
  <si>
    <t xml:space="preserve">P-005176</t>
  </si>
  <si>
    <t xml:space="preserve">P-005177</t>
  </si>
  <si>
    <t xml:space="preserve">P-005178</t>
  </si>
  <si>
    <t xml:space="preserve">P-005179</t>
  </si>
  <si>
    <t xml:space="preserve">P-005180</t>
  </si>
  <si>
    <t xml:space="preserve">P-005181</t>
  </si>
  <si>
    <t xml:space="preserve">P-005182</t>
  </si>
  <si>
    <t xml:space="preserve">P-005183</t>
  </si>
  <si>
    <t xml:space="preserve">P-005184</t>
  </si>
  <si>
    <t xml:space="preserve">P-005185</t>
  </si>
  <si>
    <t xml:space="preserve">P-005186</t>
  </si>
  <si>
    <t xml:space="preserve">P-005187</t>
  </si>
  <si>
    <t xml:space="preserve">P-005188</t>
  </si>
  <si>
    <t xml:space="preserve">P-005189</t>
  </si>
  <si>
    <t xml:space="preserve">P-005190</t>
  </si>
  <si>
    <t xml:space="preserve">P-005191</t>
  </si>
  <si>
    <t xml:space="preserve">P-005192</t>
  </si>
  <si>
    <t xml:space="preserve">P-005193</t>
  </si>
  <si>
    <t xml:space="preserve">P-005194</t>
  </si>
  <si>
    <t xml:space="preserve">P-005195</t>
  </si>
  <si>
    <t xml:space="preserve">P-005196</t>
  </si>
  <si>
    <t xml:space="preserve">P-005197</t>
  </si>
  <si>
    <t xml:space="preserve">P-005198</t>
  </si>
  <si>
    <t xml:space="preserve">P-005199</t>
  </si>
  <si>
    <t xml:space="preserve">P-005200</t>
  </si>
  <si>
    <t xml:space="preserve">P-005201</t>
  </si>
  <si>
    <t xml:space="preserve">P-005202</t>
  </si>
  <si>
    <t xml:space="preserve">P-005203</t>
  </si>
  <si>
    <t xml:space="preserve">P-005204</t>
  </si>
  <si>
    <t xml:space="preserve">P-005205</t>
  </si>
  <si>
    <t xml:space="preserve">P-005206</t>
  </si>
  <si>
    <t xml:space="preserve">P-005207</t>
  </si>
  <si>
    <t xml:space="preserve">P-005208</t>
  </si>
  <si>
    <t xml:space="preserve">P-005209</t>
  </si>
  <si>
    <t xml:space="preserve">P-005210</t>
  </si>
  <si>
    <t xml:space="preserve">P-005211</t>
  </si>
  <si>
    <t xml:space="preserve">P-005212</t>
  </si>
  <si>
    <t xml:space="preserve">P-005213</t>
  </si>
  <si>
    <t xml:space="preserve">P-005214</t>
  </si>
  <si>
    <t xml:space="preserve">P-005215</t>
  </si>
  <si>
    <t xml:space="preserve">P-005216</t>
  </si>
  <si>
    <t xml:space="preserve">P-005217</t>
  </si>
  <si>
    <t xml:space="preserve">P-005218</t>
  </si>
  <si>
    <t xml:space="preserve">P-005219</t>
  </si>
  <si>
    <t xml:space="preserve">P-005220</t>
  </si>
  <si>
    <t xml:space="preserve">P-005221</t>
  </si>
  <si>
    <t xml:space="preserve">P-005222</t>
  </si>
  <si>
    <t xml:space="preserve">P-005223</t>
  </si>
  <si>
    <t xml:space="preserve">P-005224</t>
  </si>
  <si>
    <t xml:space="preserve">P-005225</t>
  </si>
  <si>
    <t xml:space="preserve">P-005226</t>
  </si>
  <si>
    <t xml:space="preserve">P-005227</t>
  </si>
  <si>
    <t xml:space="preserve">P-005228</t>
  </si>
  <si>
    <t xml:space="preserve">P-005229</t>
  </si>
  <si>
    <t xml:space="preserve">P-005230</t>
  </si>
  <si>
    <t xml:space="preserve">P-005231</t>
  </si>
  <si>
    <t xml:space="preserve">P-005232</t>
  </si>
  <si>
    <t xml:space="preserve">P-005233</t>
  </si>
  <si>
    <t xml:space="preserve">P-005234</t>
  </si>
  <si>
    <t xml:space="preserve">P-005235</t>
  </si>
  <si>
    <t xml:space="preserve">P-005236</t>
  </si>
  <si>
    <t xml:space="preserve">P-005237</t>
  </si>
  <si>
    <t xml:space="preserve">P-005238</t>
  </si>
  <si>
    <t xml:space="preserve">P-005239</t>
  </si>
  <si>
    <t xml:space="preserve">P-005240</t>
  </si>
  <si>
    <t xml:space="preserve">P-005241</t>
  </si>
  <si>
    <t xml:space="preserve">P-005242</t>
  </si>
  <si>
    <t xml:space="preserve">P-005243</t>
  </si>
  <si>
    <t xml:space="preserve">P-005244</t>
  </si>
  <si>
    <t xml:space="preserve">P-005245</t>
  </si>
  <si>
    <t xml:space="preserve">P-005246</t>
  </si>
  <si>
    <t xml:space="preserve">P-005247</t>
  </si>
  <si>
    <t xml:space="preserve">P-005248</t>
  </si>
  <si>
    <t xml:space="preserve">P-005249</t>
  </si>
  <si>
    <t xml:space="preserve">P-005250</t>
  </si>
  <si>
    <t xml:space="preserve">P-005251</t>
  </si>
  <si>
    <t xml:space="preserve">P-005252</t>
  </si>
  <si>
    <t xml:space="preserve">P-005253</t>
  </si>
  <si>
    <t xml:space="preserve">P-005254</t>
  </si>
  <si>
    <t xml:space="preserve">P-005255</t>
  </si>
  <si>
    <t xml:space="preserve">P-005256</t>
  </si>
  <si>
    <t xml:space="preserve">P-005257</t>
  </si>
  <si>
    <t xml:space="preserve">P-005258</t>
  </si>
  <si>
    <t xml:space="preserve">P-005259</t>
  </si>
  <si>
    <t xml:space="preserve">P-005260</t>
  </si>
  <si>
    <t xml:space="preserve">P-005261</t>
  </si>
  <si>
    <t xml:space="preserve">P-005262</t>
  </si>
  <si>
    <t xml:space="preserve">P-005263</t>
  </si>
  <si>
    <t xml:space="preserve">P-005264</t>
  </si>
  <si>
    <t xml:space="preserve">P-005265</t>
  </si>
  <si>
    <t xml:space="preserve">P-005266</t>
  </si>
  <si>
    <t xml:space="preserve">P-005267</t>
  </si>
  <si>
    <t xml:space="preserve">P-005268</t>
  </si>
  <si>
    <t xml:space="preserve">P-005269</t>
  </si>
  <si>
    <t xml:space="preserve">P-005270</t>
  </si>
  <si>
    <t xml:space="preserve">P-005271</t>
  </si>
  <si>
    <t xml:space="preserve">P-005272</t>
  </si>
  <si>
    <t xml:space="preserve">P-005273</t>
  </si>
  <si>
    <t xml:space="preserve">P-005274</t>
  </si>
  <si>
    <t xml:space="preserve">P-005275</t>
  </si>
  <si>
    <t xml:space="preserve">P-005276</t>
  </si>
  <si>
    <t xml:space="preserve">P-005277</t>
  </si>
  <si>
    <t xml:space="preserve">P-005278</t>
  </si>
  <si>
    <t xml:space="preserve">P-005279</t>
  </si>
  <si>
    <t xml:space="preserve">P-005280</t>
  </si>
  <si>
    <t xml:space="preserve">P-005281</t>
  </si>
  <si>
    <t xml:space="preserve">P-005282</t>
  </si>
  <si>
    <t xml:space="preserve">P-005283</t>
  </si>
  <si>
    <t xml:space="preserve">P-005284</t>
  </si>
  <si>
    <t xml:space="preserve">P-005285</t>
  </si>
  <si>
    <t xml:space="preserve">P-005286</t>
  </si>
  <si>
    <t xml:space="preserve">P-005287</t>
  </si>
  <si>
    <t xml:space="preserve">P-005288</t>
  </si>
  <si>
    <t xml:space="preserve">P-005289</t>
  </si>
  <si>
    <t xml:space="preserve">P-005290</t>
  </si>
  <si>
    <t xml:space="preserve">P-005291</t>
  </si>
  <si>
    <t xml:space="preserve">P-005292</t>
  </si>
  <si>
    <t xml:space="preserve">P-005293</t>
  </si>
  <si>
    <t xml:space="preserve">P-005294</t>
  </si>
  <si>
    <t xml:space="preserve">P-005295</t>
  </si>
  <si>
    <t xml:space="preserve">P-005296</t>
  </si>
  <si>
    <t xml:space="preserve">P-005297</t>
  </si>
  <si>
    <t xml:space="preserve">P-005298</t>
  </si>
  <si>
    <t xml:space="preserve">P-005299</t>
  </si>
  <si>
    <t xml:space="preserve">P-005300</t>
  </si>
  <si>
    <t xml:space="preserve">P-005301</t>
  </si>
  <si>
    <t xml:space="preserve">P-005302</t>
  </si>
  <si>
    <t xml:space="preserve">P-005303</t>
  </si>
  <si>
    <t xml:space="preserve">P-005304</t>
  </si>
  <si>
    <t xml:space="preserve">P-005305</t>
  </si>
  <si>
    <t xml:space="preserve">P-005306</t>
  </si>
  <si>
    <t xml:space="preserve">P-005307</t>
  </si>
  <si>
    <t xml:space="preserve">P-005308</t>
  </si>
  <si>
    <t xml:space="preserve">P-005309</t>
  </si>
  <si>
    <t xml:space="preserve">P-005310</t>
  </si>
  <si>
    <t xml:space="preserve">P-005311</t>
  </si>
  <si>
    <t xml:space="preserve">P-005312</t>
  </si>
  <si>
    <t xml:space="preserve">P-005313</t>
  </si>
  <si>
    <t xml:space="preserve">P-005314</t>
  </si>
  <si>
    <t xml:space="preserve">P-005315</t>
  </si>
  <si>
    <t xml:space="preserve">P-005316</t>
  </si>
  <si>
    <t xml:space="preserve">P-005317</t>
  </si>
  <si>
    <t xml:space="preserve">P-005318</t>
  </si>
  <si>
    <t xml:space="preserve">P-005319</t>
  </si>
  <si>
    <t xml:space="preserve">P-005320</t>
  </si>
  <si>
    <t xml:space="preserve">P-005321</t>
  </si>
  <si>
    <t xml:space="preserve">P-005322</t>
  </si>
  <si>
    <t xml:space="preserve">P-005323</t>
  </si>
  <si>
    <t xml:space="preserve">P-005324</t>
  </si>
  <si>
    <t xml:space="preserve">P-005325</t>
  </si>
  <si>
    <t xml:space="preserve">P-005326</t>
  </si>
  <si>
    <t xml:space="preserve">P-005327</t>
  </si>
  <si>
    <t xml:space="preserve">P-005328</t>
  </si>
  <si>
    <t xml:space="preserve">P-005329</t>
  </si>
  <si>
    <t xml:space="preserve">P-005330</t>
  </si>
  <si>
    <t xml:space="preserve">P-005331</t>
  </si>
  <si>
    <t xml:space="preserve">P-005332</t>
  </si>
  <si>
    <t xml:space="preserve">P-005333</t>
  </si>
  <si>
    <t xml:space="preserve">P-005334</t>
  </si>
  <si>
    <t xml:space="preserve">P-005335</t>
  </si>
  <si>
    <t xml:space="preserve">P-005336</t>
  </si>
  <si>
    <t xml:space="preserve">P-005337</t>
  </si>
  <si>
    <t xml:space="preserve">P-005338</t>
  </si>
  <si>
    <t xml:space="preserve">P-005339</t>
  </si>
  <si>
    <t xml:space="preserve">P-005340</t>
  </si>
  <si>
    <t xml:space="preserve">P-005341</t>
  </si>
  <si>
    <t xml:space="preserve">P-005342</t>
  </si>
  <si>
    <t xml:space="preserve">P-005343</t>
  </si>
  <si>
    <t xml:space="preserve">P-005344</t>
  </si>
  <si>
    <t xml:space="preserve">P-005345</t>
  </si>
  <si>
    <t xml:space="preserve">P-005346</t>
  </si>
  <si>
    <t xml:space="preserve">P-005347</t>
  </si>
  <si>
    <t xml:space="preserve">P-005348</t>
  </si>
  <si>
    <t xml:space="preserve">P-005349</t>
  </si>
  <si>
    <t xml:space="preserve">P-005350</t>
  </si>
  <si>
    <t xml:space="preserve">P-005351</t>
  </si>
  <si>
    <t xml:space="preserve">P-005352</t>
  </si>
  <si>
    <t xml:space="preserve">P-005353</t>
  </si>
  <si>
    <t xml:space="preserve">P-005354</t>
  </si>
  <si>
    <t xml:space="preserve">P-005355</t>
  </si>
  <si>
    <t xml:space="preserve">P-005356</t>
  </si>
  <si>
    <t xml:space="preserve">P-005357</t>
  </si>
  <si>
    <t xml:space="preserve">P-005358</t>
  </si>
  <si>
    <t xml:space="preserve">P-005359</t>
  </si>
  <si>
    <t xml:space="preserve">P-005360</t>
  </si>
  <si>
    <t xml:space="preserve">P-005361</t>
  </si>
  <si>
    <t xml:space="preserve">P-005362</t>
  </si>
  <si>
    <t xml:space="preserve">P-005363</t>
  </si>
  <si>
    <t xml:space="preserve">P-005364</t>
  </si>
  <si>
    <t xml:space="preserve">P-005365</t>
  </si>
  <si>
    <t xml:space="preserve">P-005366</t>
  </si>
  <si>
    <t xml:space="preserve">P-005367</t>
  </si>
  <si>
    <t xml:space="preserve">P-005368</t>
  </si>
  <si>
    <t xml:space="preserve">P-005369</t>
  </si>
  <si>
    <t xml:space="preserve">P-005370</t>
  </si>
  <si>
    <t xml:space="preserve">P-005371</t>
  </si>
  <si>
    <t xml:space="preserve">P-005372</t>
  </si>
  <si>
    <t xml:space="preserve">P-005373</t>
  </si>
  <si>
    <t xml:space="preserve">P-005374</t>
  </si>
  <si>
    <t xml:space="preserve">P-005375</t>
  </si>
  <si>
    <t xml:space="preserve">P-005376</t>
  </si>
  <si>
    <t xml:space="preserve">P-005377</t>
  </si>
  <si>
    <t xml:space="preserve">P-005378</t>
  </si>
  <si>
    <t xml:space="preserve">P-005379</t>
  </si>
  <si>
    <t xml:space="preserve">P-005380</t>
  </si>
  <si>
    <t xml:space="preserve">P-005381</t>
  </si>
  <si>
    <t xml:space="preserve">P-005382</t>
  </si>
  <si>
    <t xml:space="preserve">P-005383</t>
  </si>
  <si>
    <t xml:space="preserve">P-005384</t>
  </si>
  <si>
    <t xml:space="preserve">P-005385</t>
  </si>
  <si>
    <t xml:space="preserve">P-005386</t>
  </si>
  <si>
    <t xml:space="preserve">P-005387</t>
  </si>
  <si>
    <t xml:space="preserve">P-005388</t>
  </si>
  <si>
    <t xml:space="preserve">P-005389</t>
  </si>
  <si>
    <t xml:space="preserve">P-005390</t>
  </si>
  <si>
    <t xml:space="preserve">P-005391</t>
  </si>
  <si>
    <t xml:space="preserve">P-005392</t>
  </si>
  <si>
    <t xml:space="preserve">P-005393</t>
  </si>
  <si>
    <t xml:space="preserve">P-005394</t>
  </si>
  <si>
    <t xml:space="preserve">P-005395</t>
  </si>
  <si>
    <t xml:space="preserve">P-005396</t>
  </si>
  <si>
    <t xml:space="preserve">P-005397</t>
  </si>
  <si>
    <t xml:space="preserve">P-005398</t>
  </si>
  <si>
    <t xml:space="preserve">P-005399</t>
  </si>
  <si>
    <t xml:space="preserve">P-005400</t>
  </si>
  <si>
    <t xml:space="preserve">P-005401</t>
  </si>
  <si>
    <t xml:space="preserve">P-005402</t>
  </si>
  <si>
    <t xml:space="preserve">P-005403</t>
  </si>
  <si>
    <t xml:space="preserve">P-005404</t>
  </si>
  <si>
    <t xml:space="preserve">P-005405</t>
  </si>
  <si>
    <t xml:space="preserve">P-005406</t>
  </si>
  <si>
    <t xml:space="preserve">P-005407</t>
  </si>
  <si>
    <t xml:space="preserve">P-005408</t>
  </si>
  <si>
    <t xml:space="preserve">P-005409</t>
  </si>
  <si>
    <t xml:space="preserve">P-005410</t>
  </si>
  <si>
    <t xml:space="preserve">P-005411</t>
  </si>
  <si>
    <t xml:space="preserve">P-005412</t>
  </si>
  <si>
    <t xml:space="preserve">P-005413</t>
  </si>
  <si>
    <t xml:space="preserve">P-005414</t>
  </si>
  <si>
    <t xml:space="preserve">P-005415</t>
  </si>
  <si>
    <t xml:space="preserve">P-005416</t>
  </si>
  <si>
    <t xml:space="preserve">P-005417</t>
  </si>
  <si>
    <t xml:space="preserve">P-005418</t>
  </si>
  <si>
    <t xml:space="preserve">P-005419</t>
  </si>
  <si>
    <t xml:space="preserve">P-005420</t>
  </si>
  <si>
    <t xml:space="preserve">P-005421</t>
  </si>
  <si>
    <t xml:space="preserve">P-005422</t>
  </si>
  <si>
    <t xml:space="preserve">P-005423</t>
  </si>
  <si>
    <t xml:space="preserve">P-005424</t>
  </si>
  <si>
    <t xml:space="preserve">P-005425</t>
  </si>
  <si>
    <t xml:space="preserve">P-005426</t>
  </si>
  <si>
    <t xml:space="preserve">P-005427</t>
  </si>
  <si>
    <t xml:space="preserve">P-005428</t>
  </si>
  <si>
    <t xml:space="preserve">P-005429</t>
  </si>
  <si>
    <t xml:space="preserve">P-005430</t>
  </si>
  <si>
    <t xml:space="preserve">P-005431</t>
  </si>
  <si>
    <t xml:space="preserve">P-005432</t>
  </si>
  <si>
    <t xml:space="preserve">P-005433</t>
  </si>
  <si>
    <t xml:space="preserve">P-005434</t>
  </si>
  <si>
    <t xml:space="preserve">P-005435</t>
  </si>
  <si>
    <t xml:space="preserve">P-005436</t>
  </si>
  <si>
    <t xml:space="preserve">P-005437</t>
  </si>
  <si>
    <t xml:space="preserve">P-005438</t>
  </si>
  <si>
    <t xml:space="preserve">P-005439</t>
  </si>
  <si>
    <t xml:space="preserve">P-005440</t>
  </si>
  <si>
    <t xml:space="preserve">P-005441</t>
  </si>
  <si>
    <t xml:space="preserve">P-005442</t>
  </si>
  <si>
    <t xml:space="preserve">P-005443</t>
  </si>
  <si>
    <t xml:space="preserve">P-005444</t>
  </si>
  <si>
    <t xml:space="preserve">P-005445</t>
  </si>
  <si>
    <t xml:space="preserve">P-005446</t>
  </si>
  <si>
    <t xml:space="preserve">P-005447</t>
  </si>
  <si>
    <t xml:space="preserve">P-005448</t>
  </si>
  <si>
    <t xml:space="preserve">P-005449</t>
  </si>
  <si>
    <t xml:space="preserve">P-005450</t>
  </si>
  <si>
    <t xml:space="preserve">P-005451</t>
  </si>
  <si>
    <t xml:space="preserve">P-005452</t>
  </si>
  <si>
    <t xml:space="preserve">P-005453</t>
  </si>
  <si>
    <t xml:space="preserve">P-005454</t>
  </si>
  <si>
    <t xml:space="preserve">P-005455</t>
  </si>
  <si>
    <t xml:space="preserve">P-005456</t>
  </si>
  <si>
    <t xml:space="preserve">P-005457</t>
  </si>
  <si>
    <t xml:space="preserve">P-005458</t>
  </si>
  <si>
    <t xml:space="preserve">P-005459</t>
  </si>
  <si>
    <t xml:space="preserve">P-005460</t>
  </si>
  <si>
    <t xml:space="preserve">P-005461</t>
  </si>
  <si>
    <t xml:space="preserve">P-005462</t>
  </si>
  <si>
    <t xml:space="preserve">P-005463</t>
  </si>
  <si>
    <t xml:space="preserve">P-005464</t>
  </si>
  <si>
    <t xml:space="preserve">P-005465</t>
  </si>
  <si>
    <t xml:space="preserve">P-005466</t>
  </si>
  <si>
    <t xml:space="preserve">P-005467</t>
  </si>
  <si>
    <t xml:space="preserve">P-005468</t>
  </si>
  <si>
    <t xml:space="preserve">P-005469</t>
  </si>
  <si>
    <t xml:space="preserve">P-005470</t>
  </si>
  <si>
    <t xml:space="preserve">P-005471</t>
  </si>
  <si>
    <t xml:space="preserve">P-005472</t>
  </si>
  <si>
    <t xml:space="preserve">P-005473</t>
  </si>
  <si>
    <t xml:space="preserve">P-005474</t>
  </si>
  <si>
    <t xml:space="preserve">P-005475</t>
  </si>
  <si>
    <t xml:space="preserve">P-005476</t>
  </si>
  <si>
    <t xml:space="preserve">P-005477</t>
  </si>
  <si>
    <t xml:space="preserve">P-005478</t>
  </si>
  <si>
    <t xml:space="preserve">P-005479</t>
  </si>
  <si>
    <t xml:space="preserve">P-005480</t>
  </si>
  <si>
    <t xml:space="preserve">P-005481</t>
  </si>
  <si>
    <t xml:space="preserve">P-005482</t>
  </si>
  <si>
    <t xml:space="preserve">P-005483</t>
  </si>
  <si>
    <t xml:space="preserve">P-005484</t>
  </si>
  <si>
    <t xml:space="preserve">P-005485</t>
  </si>
  <si>
    <t xml:space="preserve">P-005486</t>
  </si>
  <si>
    <t xml:space="preserve">P-005487</t>
  </si>
  <si>
    <t xml:space="preserve">P-005488</t>
  </si>
  <si>
    <t xml:space="preserve">P-005489</t>
  </si>
  <si>
    <t xml:space="preserve">P-005490</t>
  </si>
  <si>
    <t xml:space="preserve">P-005491</t>
  </si>
  <si>
    <t xml:space="preserve">P-005492</t>
  </si>
  <si>
    <t xml:space="preserve">P-005493</t>
  </si>
  <si>
    <t xml:space="preserve">P-005494</t>
  </si>
  <si>
    <t xml:space="preserve">P-005495</t>
  </si>
  <si>
    <t xml:space="preserve">P-005496</t>
  </si>
  <si>
    <t xml:space="preserve">P-005497</t>
  </si>
  <si>
    <t xml:space="preserve">P-005498</t>
  </si>
  <si>
    <t xml:space="preserve">P-005499</t>
  </si>
  <si>
    <t xml:space="preserve">P-005500</t>
  </si>
  <si>
    <t xml:space="preserve">P-005501</t>
  </si>
  <si>
    <t xml:space="preserve">P-005502</t>
  </si>
  <si>
    <t xml:space="preserve">P-005503</t>
  </si>
  <si>
    <t xml:space="preserve">P-005504</t>
  </si>
  <si>
    <t xml:space="preserve">P-005505</t>
  </si>
  <si>
    <t xml:space="preserve">P-005506</t>
  </si>
  <si>
    <t xml:space="preserve">P-005507</t>
  </si>
  <si>
    <t xml:space="preserve">P-005508</t>
  </si>
  <si>
    <t xml:space="preserve">P-005509</t>
  </si>
  <si>
    <t xml:space="preserve">P-005510</t>
  </si>
  <si>
    <t xml:space="preserve">P-005511</t>
  </si>
  <si>
    <t xml:space="preserve">P-005512</t>
  </si>
  <si>
    <t xml:space="preserve">P-005513</t>
  </si>
  <si>
    <t xml:space="preserve">P-005514</t>
  </si>
  <si>
    <t xml:space="preserve">P-005515</t>
  </si>
  <si>
    <t xml:space="preserve">P-005516</t>
  </si>
  <si>
    <t xml:space="preserve">P-005517</t>
  </si>
  <si>
    <t xml:space="preserve">P-005518</t>
  </si>
  <si>
    <t xml:space="preserve">P-005519</t>
  </si>
  <si>
    <t xml:space="preserve">P-005520</t>
  </si>
  <si>
    <t xml:space="preserve">P-005521</t>
  </si>
  <si>
    <t xml:space="preserve">P-005522</t>
  </si>
  <si>
    <t xml:space="preserve">P-005523</t>
  </si>
  <si>
    <t xml:space="preserve">P-005524</t>
  </si>
  <si>
    <t xml:space="preserve">P-005525</t>
  </si>
  <si>
    <t xml:space="preserve">P-005526</t>
  </si>
  <si>
    <t xml:space="preserve">P-005527</t>
  </si>
  <si>
    <t xml:space="preserve">P-005528</t>
  </si>
  <si>
    <t xml:space="preserve">P-005529</t>
  </si>
  <si>
    <t xml:space="preserve">P-005530</t>
  </si>
  <si>
    <t xml:space="preserve">P-005531</t>
  </si>
  <si>
    <t xml:space="preserve">P-005532</t>
  </si>
  <si>
    <t xml:space="preserve">P-005533</t>
  </si>
  <si>
    <t xml:space="preserve">P-005534</t>
  </si>
  <si>
    <t xml:space="preserve">P-005535</t>
  </si>
  <si>
    <t xml:space="preserve">P-005536</t>
  </si>
  <si>
    <t xml:space="preserve">P-005537</t>
  </si>
  <si>
    <t xml:space="preserve">P-005538</t>
  </si>
  <si>
    <t xml:space="preserve">P-005539</t>
  </si>
  <si>
    <t xml:space="preserve">P-005540</t>
  </si>
  <si>
    <t xml:space="preserve">P-005541</t>
  </si>
  <si>
    <t xml:space="preserve">P-005542</t>
  </si>
  <si>
    <t xml:space="preserve">P-005543</t>
  </si>
  <si>
    <t xml:space="preserve">P-005544</t>
  </si>
  <si>
    <t xml:space="preserve">P-005545</t>
  </si>
  <si>
    <t xml:space="preserve">P-005546</t>
  </si>
  <si>
    <t xml:space="preserve">P-005547</t>
  </si>
  <si>
    <t xml:space="preserve">P-005548</t>
  </si>
  <si>
    <t xml:space="preserve">P-005549</t>
  </si>
  <si>
    <t xml:space="preserve">P-005550</t>
  </si>
  <si>
    <t xml:space="preserve">P-005551</t>
  </si>
  <si>
    <t xml:space="preserve">P-005552</t>
  </si>
  <si>
    <t xml:space="preserve">P-005553</t>
  </si>
  <si>
    <t xml:space="preserve">P-005554</t>
  </si>
  <si>
    <t xml:space="preserve">P-005555</t>
  </si>
  <si>
    <t xml:space="preserve">P-005556</t>
  </si>
  <si>
    <t xml:space="preserve">P-005557</t>
  </si>
  <si>
    <t xml:space="preserve">P-005558</t>
  </si>
  <si>
    <t xml:space="preserve">P-005559</t>
  </si>
  <si>
    <t xml:space="preserve">P-005560</t>
  </si>
  <si>
    <t xml:space="preserve">P-005561</t>
  </si>
  <si>
    <t xml:space="preserve">P-005562</t>
  </si>
  <si>
    <t xml:space="preserve">P-005563</t>
  </si>
  <si>
    <t xml:space="preserve">P-005564</t>
  </si>
  <si>
    <t xml:space="preserve">P-005565</t>
  </si>
  <si>
    <t xml:space="preserve">P-005566</t>
  </si>
  <si>
    <t xml:space="preserve">P-005567</t>
  </si>
  <si>
    <t xml:space="preserve">P-005568</t>
  </si>
  <si>
    <t xml:space="preserve">P-005569</t>
  </si>
  <si>
    <t xml:space="preserve">P-005570</t>
  </si>
  <si>
    <t xml:space="preserve">P-005571</t>
  </si>
  <si>
    <t xml:space="preserve">P-005572</t>
  </si>
  <si>
    <t xml:space="preserve">P-005573</t>
  </si>
  <si>
    <t xml:space="preserve">P-005574</t>
  </si>
  <si>
    <t xml:space="preserve">P-005575</t>
  </si>
  <si>
    <t xml:space="preserve">P-005576</t>
  </si>
  <si>
    <t xml:space="preserve">P-005577</t>
  </si>
  <si>
    <t xml:space="preserve">P-005578</t>
  </si>
  <si>
    <t xml:space="preserve">P-005579</t>
  </si>
  <si>
    <t xml:space="preserve">P-005580</t>
  </si>
  <si>
    <t xml:space="preserve">P-005581</t>
  </si>
  <si>
    <t xml:space="preserve">P-005582</t>
  </si>
  <si>
    <t xml:space="preserve">P-005583</t>
  </si>
  <si>
    <t xml:space="preserve">P-005584</t>
  </si>
  <si>
    <t xml:space="preserve">P-005585</t>
  </si>
  <si>
    <t xml:space="preserve">P-005586</t>
  </si>
  <si>
    <t xml:space="preserve">P-005587</t>
  </si>
  <si>
    <t xml:space="preserve">P-005588</t>
  </si>
  <si>
    <t xml:space="preserve">P-005589</t>
  </si>
  <si>
    <t xml:space="preserve">P-005590</t>
  </si>
  <si>
    <t xml:space="preserve">P-005591</t>
  </si>
  <si>
    <t xml:space="preserve">P-005592</t>
  </si>
  <si>
    <t xml:space="preserve">P-005593</t>
  </si>
  <si>
    <t xml:space="preserve">P-005594</t>
  </si>
  <si>
    <t xml:space="preserve">P-005595</t>
  </si>
  <si>
    <t xml:space="preserve">P-005596</t>
  </si>
  <si>
    <t xml:space="preserve">P-005597</t>
  </si>
  <si>
    <t xml:space="preserve">P-005598</t>
  </si>
  <si>
    <t xml:space="preserve">P-005599</t>
  </si>
  <si>
    <t xml:space="preserve">P-005600</t>
  </si>
  <si>
    <t xml:space="preserve">P-005601</t>
  </si>
  <si>
    <t xml:space="preserve">P-005602</t>
  </si>
  <si>
    <t xml:space="preserve">P-005603</t>
  </si>
  <si>
    <t xml:space="preserve">P-005604</t>
  </si>
  <si>
    <t xml:space="preserve">P-005605</t>
  </si>
  <si>
    <t xml:space="preserve">P-005606</t>
  </si>
  <si>
    <t xml:space="preserve">P-005607</t>
  </si>
  <si>
    <t xml:space="preserve">P-005608</t>
  </si>
  <si>
    <t xml:space="preserve">P-005609</t>
  </si>
  <si>
    <t xml:space="preserve">P-005610</t>
  </si>
  <si>
    <t xml:space="preserve">P-005611</t>
  </si>
  <si>
    <t xml:space="preserve">P-005612</t>
  </si>
  <si>
    <t xml:space="preserve">P-005613</t>
  </si>
  <si>
    <t xml:space="preserve">P-005614</t>
  </si>
  <si>
    <t xml:space="preserve">P-005615</t>
  </si>
  <si>
    <t xml:space="preserve">P-005616</t>
  </si>
  <si>
    <t xml:space="preserve">P-005617</t>
  </si>
  <si>
    <t xml:space="preserve">P-005618</t>
  </si>
  <si>
    <t xml:space="preserve">P-005619</t>
  </si>
  <si>
    <t xml:space="preserve">P-005620</t>
  </si>
  <si>
    <t xml:space="preserve">P-005621</t>
  </si>
  <si>
    <t xml:space="preserve">P-005622</t>
  </si>
  <si>
    <t xml:space="preserve">P-005623</t>
  </si>
  <si>
    <t xml:space="preserve">P-005624</t>
  </si>
  <si>
    <t xml:space="preserve">P-005625</t>
  </si>
  <si>
    <t xml:space="preserve">P-005626</t>
  </si>
  <si>
    <t xml:space="preserve">P-005627</t>
  </si>
  <si>
    <t xml:space="preserve">P-005628</t>
  </si>
  <si>
    <t xml:space="preserve">P-005629</t>
  </si>
  <si>
    <t xml:space="preserve">P-005630</t>
  </si>
  <si>
    <t xml:space="preserve">P-005631</t>
  </si>
  <si>
    <t xml:space="preserve">P-005632</t>
  </si>
  <si>
    <t xml:space="preserve">P-005633</t>
  </si>
  <si>
    <t xml:space="preserve">P-005634</t>
  </si>
  <si>
    <t xml:space="preserve">P-005635</t>
  </si>
  <si>
    <t xml:space="preserve">P-005636</t>
  </si>
  <si>
    <t xml:space="preserve">P-005637</t>
  </si>
  <si>
    <t xml:space="preserve">P-005638</t>
  </si>
  <si>
    <t xml:space="preserve">P-005639</t>
  </si>
  <si>
    <t xml:space="preserve">P-005640</t>
  </si>
  <si>
    <t xml:space="preserve">P-005641</t>
  </si>
  <si>
    <t xml:space="preserve">P-005642</t>
  </si>
  <si>
    <t xml:space="preserve">P-005643</t>
  </si>
  <si>
    <t xml:space="preserve">P-005644</t>
  </si>
  <si>
    <t xml:space="preserve">P-005645</t>
  </si>
  <si>
    <t xml:space="preserve">P-005646</t>
  </si>
  <si>
    <t xml:space="preserve">P-005647</t>
  </si>
  <si>
    <t xml:space="preserve">P-005648</t>
  </si>
  <si>
    <t xml:space="preserve">P-005649</t>
  </si>
  <si>
    <t xml:space="preserve">P-005650</t>
  </si>
  <si>
    <t xml:space="preserve">P-005651</t>
  </si>
  <si>
    <t xml:space="preserve">P-005652</t>
  </si>
  <si>
    <t xml:space="preserve">P-005653</t>
  </si>
  <si>
    <t xml:space="preserve">P-005654</t>
  </si>
  <si>
    <t xml:space="preserve">P-005655</t>
  </si>
  <si>
    <t xml:space="preserve">P-005656</t>
  </si>
  <si>
    <t xml:space="preserve">P-005657</t>
  </si>
  <si>
    <t xml:space="preserve">P-005658</t>
  </si>
  <si>
    <t xml:space="preserve">P-005659</t>
  </si>
  <si>
    <t xml:space="preserve">P-005660</t>
  </si>
  <si>
    <t xml:space="preserve">P-005661</t>
  </si>
  <si>
    <t xml:space="preserve">P-005662</t>
  </si>
  <si>
    <t xml:space="preserve">P-005663</t>
  </si>
  <si>
    <t xml:space="preserve">P-005664</t>
  </si>
  <si>
    <t xml:space="preserve">P-005665</t>
  </si>
  <si>
    <t xml:space="preserve">P-005666</t>
  </si>
  <si>
    <t xml:space="preserve">P-005667</t>
  </si>
  <si>
    <t xml:space="preserve">P-005668</t>
  </si>
  <si>
    <t xml:space="preserve">P-005669</t>
  </si>
  <si>
    <t xml:space="preserve">P-005670</t>
  </si>
  <si>
    <t xml:space="preserve">P-005671</t>
  </si>
  <si>
    <t xml:space="preserve">P-005672</t>
  </si>
  <si>
    <t xml:space="preserve">P-005673</t>
  </si>
  <si>
    <t xml:space="preserve">P-005674</t>
  </si>
  <si>
    <t xml:space="preserve">P-005675</t>
  </si>
  <si>
    <t xml:space="preserve">P-005676</t>
  </si>
  <si>
    <t xml:space="preserve">P-005677</t>
  </si>
  <si>
    <t xml:space="preserve">P-005678</t>
  </si>
  <si>
    <t xml:space="preserve">P-005679</t>
  </si>
  <si>
    <t xml:space="preserve">P-005680</t>
  </si>
  <si>
    <t xml:space="preserve">P-005681</t>
  </si>
  <si>
    <t xml:space="preserve">P-005682</t>
  </si>
  <si>
    <t xml:space="preserve">P-005683</t>
  </si>
  <si>
    <t xml:space="preserve">P-005684</t>
  </si>
  <si>
    <t xml:space="preserve">P-005685</t>
  </si>
  <si>
    <t xml:space="preserve">P-005686</t>
  </si>
  <si>
    <t xml:space="preserve">P-005687</t>
  </si>
  <si>
    <t xml:space="preserve">P-005688</t>
  </si>
  <si>
    <t xml:space="preserve">P-005689</t>
  </si>
  <si>
    <t xml:space="preserve">P-005690</t>
  </si>
  <si>
    <t xml:space="preserve">P-005691</t>
  </si>
  <si>
    <t xml:space="preserve">P-005692</t>
  </si>
  <si>
    <t xml:space="preserve">P-005693</t>
  </si>
  <si>
    <t xml:space="preserve">P-005694</t>
  </si>
  <si>
    <t xml:space="preserve">P-005695</t>
  </si>
  <si>
    <t xml:space="preserve">P-005696</t>
  </si>
  <si>
    <t xml:space="preserve">P-005697</t>
  </si>
  <si>
    <t xml:space="preserve">P-005698</t>
  </si>
  <si>
    <t xml:space="preserve">P-005699</t>
  </si>
  <si>
    <t xml:space="preserve">P-005700</t>
  </si>
  <si>
    <t xml:space="preserve">P-005701</t>
  </si>
  <si>
    <t xml:space="preserve">P-005702</t>
  </si>
  <si>
    <t xml:space="preserve">P-005703</t>
  </si>
  <si>
    <t xml:space="preserve">P-005704</t>
  </si>
  <si>
    <t xml:space="preserve">P-005705</t>
  </si>
  <si>
    <t xml:space="preserve">P-005706</t>
  </si>
  <si>
    <t xml:space="preserve">P-005707</t>
  </si>
  <si>
    <t xml:space="preserve">P-005708</t>
  </si>
  <si>
    <t xml:space="preserve">P-005709</t>
  </si>
  <si>
    <t xml:space="preserve">P-005710</t>
  </si>
  <si>
    <t xml:space="preserve">P-005711</t>
  </si>
  <si>
    <t xml:space="preserve">P-005712</t>
  </si>
  <si>
    <t xml:space="preserve">P-005713</t>
  </si>
  <si>
    <t xml:space="preserve">P-005714</t>
  </si>
  <si>
    <t xml:space="preserve">P-005715</t>
  </si>
  <si>
    <t xml:space="preserve">P-005716</t>
  </si>
  <si>
    <t xml:space="preserve">P-005717</t>
  </si>
  <si>
    <t xml:space="preserve">P-005718</t>
  </si>
  <si>
    <t xml:space="preserve">P-005719</t>
  </si>
  <si>
    <t xml:space="preserve">P-005720</t>
  </si>
  <si>
    <t xml:space="preserve">P-005721</t>
  </si>
  <si>
    <t xml:space="preserve">P-005722</t>
  </si>
  <si>
    <t xml:space="preserve">P-005723</t>
  </si>
  <si>
    <t xml:space="preserve">P-005724</t>
  </si>
  <si>
    <t xml:space="preserve">P-005725</t>
  </si>
  <si>
    <t xml:space="preserve">P-005726</t>
  </si>
  <si>
    <t xml:space="preserve">P-005727</t>
  </si>
  <si>
    <t xml:space="preserve">P-005728</t>
  </si>
  <si>
    <t xml:space="preserve">P-005729</t>
  </si>
  <si>
    <t xml:space="preserve">P-005730</t>
  </si>
  <si>
    <t xml:space="preserve">P-005731</t>
  </si>
  <si>
    <t xml:space="preserve">P-005732</t>
  </si>
  <si>
    <t xml:space="preserve">P-005733</t>
  </si>
  <si>
    <t xml:space="preserve">P-005734</t>
  </si>
  <si>
    <t xml:space="preserve">P-005735</t>
  </si>
  <si>
    <t xml:space="preserve">P-005736</t>
  </si>
  <si>
    <t xml:space="preserve">P-005737</t>
  </si>
  <si>
    <t xml:space="preserve">P-005738</t>
  </si>
  <si>
    <t xml:space="preserve">P-005739</t>
  </si>
  <si>
    <t xml:space="preserve">P-005740</t>
  </si>
  <si>
    <t xml:space="preserve">P-005741</t>
  </si>
  <si>
    <t xml:space="preserve">P-005742</t>
  </si>
  <si>
    <t xml:space="preserve">P-005743</t>
  </si>
  <si>
    <t xml:space="preserve">P-005744</t>
  </si>
  <si>
    <t xml:space="preserve">P-005745</t>
  </si>
  <si>
    <t xml:space="preserve">P-005746</t>
  </si>
  <si>
    <t xml:space="preserve">P-005747</t>
  </si>
  <si>
    <t xml:space="preserve">P-005748</t>
  </si>
  <si>
    <t xml:space="preserve">P-005749</t>
  </si>
  <si>
    <t xml:space="preserve">P-005750</t>
  </si>
  <si>
    <t xml:space="preserve">P-005751</t>
  </si>
  <si>
    <t xml:space="preserve">P-005752</t>
  </si>
  <si>
    <t xml:space="preserve">P-005753</t>
  </si>
  <si>
    <t xml:space="preserve">P-005754</t>
  </si>
  <si>
    <t xml:space="preserve">P-005755</t>
  </si>
  <si>
    <t xml:space="preserve">P-005756</t>
  </si>
  <si>
    <t xml:space="preserve">P-005757</t>
  </si>
  <si>
    <t xml:space="preserve">P-005758</t>
  </si>
  <si>
    <t xml:space="preserve">P-005759</t>
  </si>
  <si>
    <t xml:space="preserve">P-005760</t>
  </si>
  <si>
    <t xml:space="preserve">P-005761</t>
  </si>
  <si>
    <t xml:space="preserve">P-005762</t>
  </si>
  <si>
    <t xml:space="preserve">P-005763</t>
  </si>
  <si>
    <t xml:space="preserve">P-005764</t>
  </si>
  <si>
    <t xml:space="preserve">P-005765</t>
  </si>
  <si>
    <t xml:space="preserve">P-005766</t>
  </si>
  <si>
    <t xml:space="preserve">P-005767</t>
  </si>
  <si>
    <t xml:space="preserve">P-005768</t>
  </si>
  <si>
    <t xml:space="preserve">P-005769</t>
  </si>
  <si>
    <t xml:space="preserve">P-005770</t>
  </si>
  <si>
    <t xml:space="preserve">P-005771</t>
  </si>
  <si>
    <t xml:space="preserve">P-005772</t>
  </si>
  <si>
    <t xml:space="preserve">P-005773</t>
  </si>
  <si>
    <t xml:space="preserve">P-005774</t>
  </si>
  <si>
    <t xml:space="preserve">P-005775</t>
  </si>
  <si>
    <t xml:space="preserve">P-005776</t>
  </si>
  <si>
    <t xml:space="preserve">P-005777</t>
  </si>
  <si>
    <t xml:space="preserve">P-005778</t>
  </si>
  <si>
    <t xml:space="preserve">P-005779</t>
  </si>
  <si>
    <t xml:space="preserve">P-005780</t>
  </si>
  <si>
    <t xml:space="preserve">P-005781</t>
  </si>
  <si>
    <t xml:space="preserve">P-005782</t>
  </si>
  <si>
    <t xml:space="preserve">P-005783</t>
  </si>
  <si>
    <t xml:space="preserve">P-005784</t>
  </si>
  <si>
    <t xml:space="preserve">P-005785</t>
  </si>
  <si>
    <t xml:space="preserve">P-005786</t>
  </si>
  <si>
    <t xml:space="preserve">P-005787</t>
  </si>
  <si>
    <t xml:space="preserve">P-005788</t>
  </si>
  <si>
    <t xml:space="preserve">P-005789</t>
  </si>
  <si>
    <t xml:space="preserve">P-005790</t>
  </si>
  <si>
    <t xml:space="preserve">P-005791</t>
  </si>
  <si>
    <t xml:space="preserve">P-005792</t>
  </si>
  <si>
    <t xml:space="preserve">P-005793</t>
  </si>
  <si>
    <t xml:space="preserve">P-005794</t>
  </si>
  <si>
    <t xml:space="preserve">P-005795</t>
  </si>
  <si>
    <t xml:space="preserve">P-005796</t>
  </si>
  <si>
    <t xml:space="preserve">P-005797</t>
  </si>
  <si>
    <t xml:space="preserve">P-005798</t>
  </si>
  <si>
    <t xml:space="preserve">P-005799</t>
  </si>
  <si>
    <t xml:space="preserve">P-005800</t>
  </si>
  <si>
    <t xml:space="preserve">P-005801</t>
  </si>
  <si>
    <t xml:space="preserve">P-005802</t>
  </si>
  <si>
    <t xml:space="preserve">P-005803</t>
  </si>
  <si>
    <t xml:space="preserve">P-005804</t>
  </si>
  <si>
    <t xml:space="preserve">P-005805</t>
  </si>
  <si>
    <t xml:space="preserve">P-005806</t>
  </si>
  <si>
    <t xml:space="preserve">P-005807</t>
  </si>
  <si>
    <t xml:space="preserve">P-005808</t>
  </si>
  <si>
    <t xml:space="preserve">P-005809</t>
  </si>
  <si>
    <t xml:space="preserve">P-005810</t>
  </si>
  <si>
    <t xml:space="preserve">P-005811</t>
  </si>
  <si>
    <t xml:space="preserve">P-005812</t>
  </si>
  <si>
    <t xml:space="preserve">P-005813</t>
  </si>
  <si>
    <t xml:space="preserve">P-005814</t>
  </si>
  <si>
    <t xml:space="preserve">P-005815</t>
  </si>
  <si>
    <t xml:space="preserve">P-005816</t>
  </si>
  <si>
    <t xml:space="preserve">P-005817</t>
  </si>
  <si>
    <t xml:space="preserve">P-005818</t>
  </si>
  <si>
    <t xml:space="preserve">P-005819</t>
  </si>
  <si>
    <t xml:space="preserve">P-005820</t>
  </si>
  <si>
    <t xml:space="preserve">P-005821</t>
  </si>
  <si>
    <t xml:space="preserve">P-005822</t>
  </si>
  <si>
    <t xml:space="preserve">P-005823</t>
  </si>
  <si>
    <t xml:space="preserve">P-005824</t>
  </si>
  <si>
    <t xml:space="preserve">P-005825</t>
  </si>
  <si>
    <t xml:space="preserve">P-005826</t>
  </si>
  <si>
    <t xml:space="preserve">P-005827</t>
  </si>
  <si>
    <t xml:space="preserve">P-005828</t>
  </si>
  <si>
    <t xml:space="preserve">P-005829</t>
  </si>
  <si>
    <t xml:space="preserve">P-005830</t>
  </si>
  <si>
    <t xml:space="preserve">P-005831</t>
  </si>
  <si>
    <t xml:space="preserve">P-005832</t>
  </si>
  <si>
    <t xml:space="preserve">P-005833</t>
  </si>
  <si>
    <t xml:space="preserve">P-005834</t>
  </si>
  <si>
    <t xml:space="preserve">P-005835</t>
  </si>
  <si>
    <t xml:space="preserve">P-005836</t>
  </si>
  <si>
    <t xml:space="preserve">P-005837</t>
  </si>
  <si>
    <t xml:space="preserve">P-005838</t>
  </si>
  <si>
    <t xml:space="preserve">P-005839</t>
  </si>
  <si>
    <t xml:space="preserve">P-005840</t>
  </si>
  <si>
    <t xml:space="preserve">P-005841</t>
  </si>
  <si>
    <t xml:space="preserve">P-005842</t>
  </si>
  <si>
    <t xml:space="preserve">P-005843</t>
  </si>
  <si>
    <t xml:space="preserve">P-005844</t>
  </si>
  <si>
    <t xml:space="preserve">P-005845</t>
  </si>
  <si>
    <t xml:space="preserve">P-005846</t>
  </si>
  <si>
    <t xml:space="preserve">P-005847</t>
  </si>
  <si>
    <t xml:space="preserve">P-005848</t>
  </si>
  <si>
    <t xml:space="preserve">P-005849</t>
  </si>
  <si>
    <t xml:space="preserve">P-005850</t>
  </si>
  <si>
    <t xml:space="preserve">P-005851</t>
  </si>
  <si>
    <t xml:space="preserve">P-005852</t>
  </si>
  <si>
    <t xml:space="preserve">P-005853</t>
  </si>
  <si>
    <t xml:space="preserve">P-005854</t>
  </si>
  <si>
    <t xml:space="preserve">P-005855</t>
  </si>
  <si>
    <t xml:space="preserve">P-005856</t>
  </si>
  <si>
    <t xml:space="preserve">P-005857</t>
  </si>
  <si>
    <t xml:space="preserve">P-005858</t>
  </si>
  <si>
    <t xml:space="preserve">P-005859</t>
  </si>
  <si>
    <t xml:space="preserve">P-005860</t>
  </si>
  <si>
    <t xml:space="preserve">P-005861</t>
  </si>
  <si>
    <t xml:space="preserve">P-005862</t>
  </si>
  <si>
    <t xml:space="preserve">P-005863</t>
  </si>
  <si>
    <t xml:space="preserve">P-005864</t>
  </si>
  <si>
    <t xml:space="preserve">P-005865</t>
  </si>
  <si>
    <t xml:space="preserve">P-005866</t>
  </si>
  <si>
    <t xml:space="preserve">P-005867</t>
  </si>
  <si>
    <t xml:space="preserve">P-005868</t>
  </si>
  <si>
    <t xml:space="preserve">P-005869</t>
  </si>
  <si>
    <t xml:space="preserve">P-005870</t>
  </si>
  <si>
    <t xml:space="preserve">P-005871</t>
  </si>
  <si>
    <t xml:space="preserve">P-005872</t>
  </si>
  <si>
    <t xml:space="preserve">P-005873</t>
  </si>
  <si>
    <t xml:space="preserve">P-005874</t>
  </si>
  <si>
    <t xml:space="preserve">P-005875</t>
  </si>
  <si>
    <t xml:space="preserve">P-005876</t>
  </si>
  <si>
    <t xml:space="preserve">P-005877</t>
  </si>
  <si>
    <t xml:space="preserve">P-005878</t>
  </si>
  <si>
    <t xml:space="preserve">P-005879</t>
  </si>
  <si>
    <t xml:space="preserve">P-005880</t>
  </si>
  <si>
    <t xml:space="preserve">P-005881</t>
  </si>
  <si>
    <t xml:space="preserve">P-005882</t>
  </si>
  <si>
    <t xml:space="preserve">P-005883</t>
  </si>
  <si>
    <t xml:space="preserve">P-005884</t>
  </si>
  <si>
    <t xml:space="preserve">P-005885</t>
  </si>
  <si>
    <t xml:space="preserve">P-005886</t>
  </si>
  <si>
    <t xml:space="preserve">P-005887</t>
  </si>
  <si>
    <t xml:space="preserve">P-005888</t>
  </si>
  <si>
    <t xml:space="preserve">P-005889</t>
  </si>
  <si>
    <t xml:space="preserve">P-005890</t>
  </si>
  <si>
    <t xml:space="preserve">P-005891</t>
  </si>
  <si>
    <t xml:space="preserve">P-005892</t>
  </si>
  <si>
    <t xml:space="preserve">P-005893</t>
  </si>
  <si>
    <t xml:space="preserve">P-005894</t>
  </si>
  <si>
    <t xml:space="preserve">P-005895</t>
  </si>
  <si>
    <t xml:space="preserve">P-005896</t>
  </si>
  <si>
    <t xml:space="preserve">P-005897</t>
  </si>
  <si>
    <t xml:space="preserve">P-005898</t>
  </si>
  <si>
    <t xml:space="preserve">P-005899</t>
  </si>
  <si>
    <t xml:space="preserve">P-005900</t>
  </si>
  <si>
    <t xml:space="preserve">P-005901</t>
  </si>
  <si>
    <t xml:space="preserve">P-005902</t>
  </si>
  <si>
    <t xml:space="preserve">P-005903</t>
  </si>
  <si>
    <t xml:space="preserve">P-005904</t>
  </si>
  <si>
    <t xml:space="preserve">P-005905</t>
  </si>
  <si>
    <t xml:space="preserve">P-005906</t>
  </si>
  <si>
    <t xml:space="preserve">P-005907</t>
  </si>
  <si>
    <t xml:space="preserve">P-005908</t>
  </si>
  <si>
    <t xml:space="preserve">P-005909</t>
  </si>
  <si>
    <t xml:space="preserve">P-005910</t>
  </si>
  <si>
    <t xml:space="preserve">P-005911</t>
  </si>
  <si>
    <t xml:space="preserve">P-005912</t>
  </si>
  <si>
    <t xml:space="preserve">P-005913</t>
  </si>
  <si>
    <t xml:space="preserve">P-005914</t>
  </si>
  <si>
    <t xml:space="preserve">P-005915</t>
  </si>
  <si>
    <t xml:space="preserve">P-005916</t>
  </si>
  <si>
    <t xml:space="preserve">P-005917</t>
  </si>
  <si>
    <t xml:space="preserve">P-005918</t>
  </si>
  <si>
    <t xml:space="preserve">P-005919</t>
  </si>
  <si>
    <t xml:space="preserve">P-005920</t>
  </si>
  <si>
    <t xml:space="preserve">P-005921</t>
  </si>
  <si>
    <t xml:space="preserve">P-005922</t>
  </si>
  <si>
    <t xml:space="preserve">P-005923</t>
  </si>
  <si>
    <t xml:space="preserve">P-005924</t>
  </si>
  <si>
    <t xml:space="preserve">P-005925</t>
  </si>
  <si>
    <t xml:space="preserve">P-005926</t>
  </si>
  <si>
    <t xml:space="preserve">P-005927</t>
  </si>
  <si>
    <t xml:space="preserve">P-005928</t>
  </si>
  <si>
    <t xml:space="preserve">P-005929</t>
  </si>
  <si>
    <t xml:space="preserve">P-005930</t>
  </si>
  <si>
    <t xml:space="preserve">P-005931</t>
  </si>
  <si>
    <t xml:space="preserve">P-005932</t>
  </si>
  <si>
    <t xml:space="preserve">P-005933</t>
  </si>
  <si>
    <t xml:space="preserve">P-005934</t>
  </si>
  <si>
    <t xml:space="preserve">P-005935</t>
  </si>
  <si>
    <t xml:space="preserve">P-005936</t>
  </si>
  <si>
    <t xml:space="preserve">P-005937</t>
  </si>
  <si>
    <t xml:space="preserve">P-005938</t>
  </si>
  <si>
    <t xml:space="preserve">P-005939</t>
  </si>
  <si>
    <t xml:space="preserve">P-005940</t>
  </si>
  <si>
    <t xml:space="preserve">P-005941</t>
  </si>
  <si>
    <t xml:space="preserve">P-005942</t>
  </si>
  <si>
    <t xml:space="preserve">P-005943</t>
  </si>
  <si>
    <t xml:space="preserve">P-005944</t>
  </si>
  <si>
    <t xml:space="preserve">P-005945</t>
  </si>
  <si>
    <t xml:space="preserve">P-005946</t>
  </si>
  <si>
    <t xml:space="preserve">P-005947</t>
  </si>
  <si>
    <t xml:space="preserve">P-005948</t>
  </si>
  <si>
    <t xml:space="preserve">P-005949</t>
  </si>
  <si>
    <t xml:space="preserve">P-005950</t>
  </si>
  <si>
    <t xml:space="preserve">P-005951</t>
  </si>
  <si>
    <t xml:space="preserve">P-005952</t>
  </si>
  <si>
    <t xml:space="preserve">P-005953</t>
  </si>
  <si>
    <t xml:space="preserve">P-005954</t>
  </si>
  <si>
    <t xml:space="preserve">P-005955</t>
  </si>
  <si>
    <t xml:space="preserve">P-005956</t>
  </si>
  <si>
    <t xml:space="preserve">P-005957</t>
  </si>
  <si>
    <t xml:space="preserve">P-005958</t>
  </si>
  <si>
    <t xml:space="preserve">P-005959</t>
  </si>
  <si>
    <t xml:space="preserve">P-005960</t>
  </si>
  <si>
    <t xml:space="preserve">P-005961</t>
  </si>
  <si>
    <t xml:space="preserve">P-005962</t>
  </si>
  <si>
    <t xml:space="preserve">P-005963</t>
  </si>
  <si>
    <t xml:space="preserve">P-005964</t>
  </si>
  <si>
    <t xml:space="preserve">P-005965</t>
  </si>
  <si>
    <t xml:space="preserve">P-005966</t>
  </si>
  <si>
    <t xml:space="preserve">P-005967</t>
  </si>
  <si>
    <t xml:space="preserve">P-005968</t>
  </si>
  <si>
    <t xml:space="preserve">P-005969</t>
  </si>
  <si>
    <t xml:space="preserve">P-005970</t>
  </si>
  <si>
    <t xml:space="preserve">P-005971</t>
  </si>
  <si>
    <t xml:space="preserve">P-005972</t>
  </si>
  <si>
    <t xml:space="preserve">P-005973</t>
  </si>
  <si>
    <t xml:space="preserve">TOTAL GROSS PAYROLL (Year)</t>
  </si>
  <si>
    <t xml:space="preserve">Uncovered or cancelled visits and the revenue lost - an operational KPI, not just a billing gap.</t>
  </si>
  <si>
    <t xml:space="preserve">Reason</t>
  </si>
  <si>
    <t xml:space="preserve">Lost Units</t>
  </si>
  <si>
    <t xml:space="preserve">Lost Revenue</t>
  </si>
  <si>
    <t xml:space="preserve">Client cancelled same-day</t>
  </si>
  <si>
    <t xml:space="preserve">Weather/transportation issue</t>
  </si>
  <si>
    <t xml:space="preserve">Caregiver call-off, no replacement found</t>
  </si>
  <si>
    <t xml:space="preserve">TOTAL LOST REVENUE (Year)</t>
  </si>
  <si>
    <t xml:space="preserve">Total Missed Visit Events</t>
  </si>
  <si>
    <t xml:space="preserve">Payroll Summary - Monthly Rollup</t>
  </si>
  <si>
    <t xml:space="preserve">Aggregated from Daily Payroll Register via date-range SUMIFS. Employer burden applied to gross wages.</t>
  </si>
  <si>
    <t xml:space="preserve">FY Total</t>
  </si>
  <si>
    <t xml:space="preserve">Regular Wages (Hourly)</t>
  </si>
  <si>
    <t xml:space="preserve">Overtime Wages (Hourly)</t>
  </si>
  <si>
    <t xml:space="preserve">Per-Visit Pay (Skilled)</t>
  </si>
  <si>
    <t xml:space="preserve">Gross Payroll (Subtotal)</t>
  </si>
  <si>
    <t xml:space="preserve">Payroll Tax &amp; Burden (Employer)</t>
  </si>
  <si>
    <t xml:space="preserve">TOTAL FULLY-LOADED PAYROLL</t>
  </si>
  <si>
    <t xml:space="preserve">Revenue Summary by Payer - Monthly</t>
  </si>
  <si>
    <t xml:space="preserve">Net billed revenue by payer, rolled up from the Daily Visit Register via date-range SUMIFS.</t>
  </si>
  <si>
    <t xml:space="preserve">TOTAL NET REVENUE</t>
  </si>
  <si>
    <t xml:space="preserve">Accounts Receivable - Month-End Balance by Payer</t>
  </si>
  <si>
    <t xml:space="preserve">Reflects each payer's real collection speed: Private Pay collects fast, Medicaid/Medicare/Insurance lag.</t>
  </si>
  <si>
    <t xml:space="preserve">Cash Collected ($)</t>
  </si>
  <si>
    <t xml:space="preserve">Total Cash Collected</t>
  </si>
  <si>
    <t xml:space="preserve">AR Balance, Month-End ($)</t>
  </si>
  <si>
    <t xml:space="preserve">TOTAL AR OUTSTANDING</t>
  </si>
  <si>
    <t xml:space="preserve">Approx. Days Sales Outstanding (Year-End AR ÷ Avg Daily Revenue)</t>
  </si>
  <si>
    <t xml:space="preserve">Year-End AR</t>
  </si>
  <si>
    <t xml:space="preserve">Annual Revenue</t>
  </si>
  <si>
    <t xml:space="preserve">Approx DSO</t>
  </si>
  <si>
    <t xml:space="preserve">AR Detail Ledger - Every Invoice, Full Year</t>
  </si>
  <si>
    <t xml:space="preserve">8,124 invoices (one per visit). Shows exactly which claims remain open at year-end and how long they have been outstanding.</t>
  </si>
  <si>
    <t xml:space="preserve">Invoice ID</t>
  </si>
  <si>
    <t xml:space="preserve">Billed Date</t>
  </si>
  <si>
    <t xml:space="preserve">Paid Date</t>
  </si>
  <si>
    <t xml:space="preserve">Days Outstanding (at 12/31 if open)</t>
  </si>
  <si>
    <t xml:space="preserve">INV-000001</t>
  </si>
  <si>
    <t xml:space="preserve">Paid</t>
  </si>
  <si>
    <t xml:space="preserve">INV-000002</t>
  </si>
  <si>
    <t xml:space="preserve">INV-000003</t>
  </si>
  <si>
    <t xml:space="preserve">INV-000004</t>
  </si>
  <si>
    <t xml:space="preserve">INV-000005</t>
  </si>
  <si>
    <t xml:space="preserve">INV-000006</t>
  </si>
  <si>
    <t xml:space="preserve">INV-000007</t>
  </si>
  <si>
    <t xml:space="preserve">INV-000008</t>
  </si>
  <si>
    <t xml:space="preserve">INV-000009</t>
  </si>
  <si>
    <t xml:space="preserve">INV-000010</t>
  </si>
  <si>
    <t xml:space="preserve">INV-000011</t>
  </si>
  <si>
    <t xml:space="preserve">INV-000012</t>
  </si>
  <si>
    <t xml:space="preserve">INV-000013</t>
  </si>
  <si>
    <t xml:space="preserve">INV-000014</t>
  </si>
  <si>
    <t xml:space="preserve">INV-000015</t>
  </si>
  <si>
    <t xml:space="preserve">INV-000016</t>
  </si>
  <si>
    <t xml:space="preserve">INV-000017</t>
  </si>
  <si>
    <t xml:space="preserve">INV-000018</t>
  </si>
  <si>
    <t xml:space="preserve">INV-000019</t>
  </si>
  <si>
    <t xml:space="preserve">INV-000020</t>
  </si>
  <si>
    <t xml:space="preserve">INV-000021</t>
  </si>
  <si>
    <t xml:space="preserve">INV-000022</t>
  </si>
  <si>
    <t xml:space="preserve">INV-000023</t>
  </si>
  <si>
    <t xml:space="preserve">INV-000024</t>
  </si>
  <si>
    <t xml:space="preserve">INV-000025</t>
  </si>
  <si>
    <t xml:space="preserve">INV-000026</t>
  </si>
  <si>
    <t xml:space="preserve">INV-000027</t>
  </si>
  <si>
    <t xml:space="preserve">INV-000028</t>
  </si>
  <si>
    <t xml:space="preserve">INV-000029</t>
  </si>
  <si>
    <t xml:space="preserve">INV-000030</t>
  </si>
  <si>
    <t xml:space="preserve">INV-000031</t>
  </si>
  <si>
    <t xml:space="preserve">INV-000032</t>
  </si>
  <si>
    <t xml:space="preserve">INV-000033</t>
  </si>
  <si>
    <t xml:space="preserve">INV-000034</t>
  </si>
  <si>
    <t xml:space="preserve">INV-000035</t>
  </si>
  <si>
    <t xml:space="preserve">INV-000036</t>
  </si>
  <si>
    <t xml:space="preserve">INV-000037</t>
  </si>
  <si>
    <t xml:space="preserve">INV-000038</t>
  </si>
  <si>
    <t xml:space="preserve">INV-000039</t>
  </si>
  <si>
    <t xml:space="preserve">INV-000040</t>
  </si>
  <si>
    <t xml:space="preserve">INV-000041</t>
  </si>
  <si>
    <t xml:space="preserve">INV-000042</t>
  </si>
  <si>
    <t xml:space="preserve">INV-000043</t>
  </si>
  <si>
    <t xml:space="preserve">INV-000044</t>
  </si>
  <si>
    <t xml:space="preserve">INV-000045</t>
  </si>
  <si>
    <t xml:space="preserve">INV-000046</t>
  </si>
  <si>
    <t xml:space="preserve">INV-000047</t>
  </si>
  <si>
    <t xml:space="preserve">INV-000048</t>
  </si>
  <si>
    <t xml:space="preserve">INV-000049</t>
  </si>
  <si>
    <t xml:space="preserve">INV-000050</t>
  </si>
  <si>
    <t xml:space="preserve">INV-000051</t>
  </si>
  <si>
    <t xml:space="preserve">INV-000052</t>
  </si>
  <si>
    <t xml:space="preserve">INV-000053</t>
  </si>
  <si>
    <t xml:space="preserve">INV-000054</t>
  </si>
  <si>
    <t xml:space="preserve">INV-000055</t>
  </si>
  <si>
    <t xml:space="preserve">INV-000056</t>
  </si>
  <si>
    <t xml:space="preserve">INV-000057</t>
  </si>
  <si>
    <t xml:space="preserve">INV-000058</t>
  </si>
  <si>
    <t xml:space="preserve">INV-000059</t>
  </si>
  <si>
    <t xml:space="preserve">INV-000060</t>
  </si>
  <si>
    <t xml:space="preserve">INV-000061</t>
  </si>
  <si>
    <t xml:space="preserve">INV-000062</t>
  </si>
  <si>
    <t xml:space="preserve">INV-000063</t>
  </si>
  <si>
    <t xml:space="preserve">INV-000064</t>
  </si>
  <si>
    <t xml:space="preserve">INV-000065</t>
  </si>
  <si>
    <t xml:space="preserve">INV-000066</t>
  </si>
  <si>
    <t xml:space="preserve">INV-000067</t>
  </si>
  <si>
    <t xml:space="preserve">INV-000068</t>
  </si>
  <si>
    <t xml:space="preserve">INV-000069</t>
  </si>
  <si>
    <t xml:space="preserve">INV-000070</t>
  </si>
  <si>
    <t xml:space="preserve">INV-000071</t>
  </si>
  <si>
    <t xml:space="preserve">INV-000072</t>
  </si>
  <si>
    <t xml:space="preserve">INV-000073</t>
  </si>
  <si>
    <t xml:space="preserve">INV-000074</t>
  </si>
  <si>
    <t xml:space="preserve">INV-000075</t>
  </si>
  <si>
    <t xml:space="preserve">INV-000076</t>
  </si>
  <si>
    <t xml:space="preserve">INV-000077</t>
  </si>
  <si>
    <t xml:space="preserve">INV-000078</t>
  </si>
  <si>
    <t xml:space="preserve">INV-000079</t>
  </si>
  <si>
    <t xml:space="preserve">INV-000080</t>
  </si>
  <si>
    <t xml:space="preserve">INV-000081</t>
  </si>
  <si>
    <t xml:space="preserve">INV-000082</t>
  </si>
  <si>
    <t xml:space="preserve">INV-000083</t>
  </si>
  <si>
    <t xml:space="preserve">INV-000084</t>
  </si>
  <si>
    <t xml:space="preserve">INV-000085</t>
  </si>
  <si>
    <t xml:space="preserve">INV-000086</t>
  </si>
  <si>
    <t xml:space="preserve">INV-000087</t>
  </si>
  <si>
    <t xml:space="preserve">INV-000088</t>
  </si>
  <si>
    <t xml:space="preserve">INV-000089</t>
  </si>
  <si>
    <t xml:space="preserve">INV-000090</t>
  </si>
  <si>
    <t xml:space="preserve">INV-000091</t>
  </si>
  <si>
    <t xml:space="preserve">INV-000092</t>
  </si>
  <si>
    <t xml:space="preserve">INV-000093</t>
  </si>
  <si>
    <t xml:space="preserve">INV-000094</t>
  </si>
  <si>
    <t xml:space="preserve">INV-000095</t>
  </si>
  <si>
    <t xml:space="preserve">INV-000096</t>
  </si>
  <si>
    <t xml:space="preserve">INV-000097</t>
  </si>
  <si>
    <t xml:space="preserve">INV-000098</t>
  </si>
  <si>
    <t xml:space="preserve">INV-000099</t>
  </si>
  <si>
    <t xml:space="preserve">INV-000100</t>
  </si>
  <si>
    <t xml:space="preserve">INV-000101</t>
  </si>
  <si>
    <t xml:space="preserve">INV-000102</t>
  </si>
  <si>
    <t xml:space="preserve">INV-000103</t>
  </si>
  <si>
    <t xml:space="preserve">INV-000104</t>
  </si>
  <si>
    <t xml:space="preserve">INV-000105</t>
  </si>
  <si>
    <t xml:space="preserve">INV-000106</t>
  </si>
  <si>
    <t xml:space="preserve">INV-000107</t>
  </si>
  <si>
    <t xml:space="preserve">INV-000108</t>
  </si>
  <si>
    <t xml:space="preserve">INV-000109</t>
  </si>
  <si>
    <t xml:space="preserve">INV-000110</t>
  </si>
  <si>
    <t xml:space="preserve">INV-000111</t>
  </si>
  <si>
    <t xml:space="preserve">INV-000112</t>
  </si>
  <si>
    <t xml:space="preserve">INV-000113</t>
  </si>
  <si>
    <t xml:space="preserve">INV-000114</t>
  </si>
  <si>
    <t xml:space="preserve">INV-000115</t>
  </si>
  <si>
    <t xml:space="preserve">INV-000116</t>
  </si>
  <si>
    <t xml:space="preserve">INV-000117</t>
  </si>
  <si>
    <t xml:space="preserve">INV-000118</t>
  </si>
  <si>
    <t xml:space="preserve">INV-000119</t>
  </si>
  <si>
    <t xml:space="preserve">INV-000120</t>
  </si>
  <si>
    <t xml:space="preserve">INV-000121</t>
  </si>
  <si>
    <t xml:space="preserve">INV-000122</t>
  </si>
  <si>
    <t xml:space="preserve">INV-000123</t>
  </si>
  <si>
    <t xml:space="preserve">INV-000124</t>
  </si>
  <si>
    <t xml:space="preserve">INV-000125</t>
  </si>
  <si>
    <t xml:space="preserve">INV-000126</t>
  </si>
  <si>
    <t xml:space="preserve">INV-000127</t>
  </si>
  <si>
    <t xml:space="preserve">INV-000128</t>
  </si>
  <si>
    <t xml:space="preserve">INV-000129</t>
  </si>
  <si>
    <t xml:space="preserve">INV-000130</t>
  </si>
  <si>
    <t xml:space="preserve">INV-000131</t>
  </si>
  <si>
    <t xml:space="preserve">INV-000132</t>
  </si>
  <si>
    <t xml:space="preserve">INV-000133</t>
  </si>
  <si>
    <t xml:space="preserve">INV-000134</t>
  </si>
  <si>
    <t xml:space="preserve">INV-000135</t>
  </si>
  <si>
    <t xml:space="preserve">INV-000136</t>
  </si>
  <si>
    <t xml:space="preserve">INV-000137</t>
  </si>
  <si>
    <t xml:space="preserve">INV-000138</t>
  </si>
  <si>
    <t xml:space="preserve">INV-000139</t>
  </si>
  <si>
    <t xml:space="preserve">INV-000140</t>
  </si>
  <si>
    <t xml:space="preserve">INV-000141</t>
  </si>
  <si>
    <t xml:space="preserve">INV-000142</t>
  </si>
  <si>
    <t xml:space="preserve">INV-000143</t>
  </si>
  <si>
    <t xml:space="preserve">INV-000144</t>
  </si>
  <si>
    <t xml:space="preserve">INV-000145</t>
  </si>
  <si>
    <t xml:space="preserve">INV-000146</t>
  </si>
  <si>
    <t xml:space="preserve">INV-000147</t>
  </si>
  <si>
    <t xml:space="preserve">INV-000148</t>
  </si>
  <si>
    <t xml:space="preserve">INV-000149</t>
  </si>
  <si>
    <t xml:space="preserve">INV-000150</t>
  </si>
  <si>
    <t xml:space="preserve">INV-000151</t>
  </si>
  <si>
    <t xml:space="preserve">INV-000152</t>
  </si>
  <si>
    <t xml:space="preserve">INV-000153</t>
  </si>
  <si>
    <t xml:space="preserve">INV-000154</t>
  </si>
  <si>
    <t xml:space="preserve">INV-000155</t>
  </si>
  <si>
    <t xml:space="preserve">INV-000156</t>
  </si>
  <si>
    <t xml:space="preserve">INV-000157</t>
  </si>
  <si>
    <t xml:space="preserve">INV-000158</t>
  </si>
  <si>
    <t xml:space="preserve">INV-000159</t>
  </si>
  <si>
    <t xml:space="preserve">INV-000160</t>
  </si>
  <si>
    <t xml:space="preserve">INV-000161</t>
  </si>
  <si>
    <t xml:space="preserve">INV-000162</t>
  </si>
  <si>
    <t xml:space="preserve">INV-000163</t>
  </si>
  <si>
    <t xml:space="preserve">INV-000164</t>
  </si>
  <si>
    <t xml:space="preserve">INV-000165</t>
  </si>
  <si>
    <t xml:space="preserve">INV-000166</t>
  </si>
  <si>
    <t xml:space="preserve">INV-000167</t>
  </si>
  <si>
    <t xml:space="preserve">INV-000168</t>
  </si>
  <si>
    <t xml:space="preserve">INV-000169</t>
  </si>
  <si>
    <t xml:space="preserve">INV-000170</t>
  </si>
  <si>
    <t xml:space="preserve">INV-000171</t>
  </si>
  <si>
    <t xml:space="preserve">INV-000172</t>
  </si>
  <si>
    <t xml:space="preserve">INV-000173</t>
  </si>
  <si>
    <t xml:space="preserve">INV-000174</t>
  </si>
  <si>
    <t xml:space="preserve">INV-000175</t>
  </si>
  <si>
    <t xml:space="preserve">INV-000176</t>
  </si>
  <si>
    <t xml:space="preserve">INV-000177</t>
  </si>
  <si>
    <t xml:space="preserve">INV-000178</t>
  </si>
  <si>
    <t xml:space="preserve">INV-000179</t>
  </si>
  <si>
    <t xml:space="preserve">INV-000180</t>
  </si>
  <si>
    <t xml:space="preserve">INV-000181</t>
  </si>
  <si>
    <t xml:space="preserve">INV-000182</t>
  </si>
  <si>
    <t xml:space="preserve">INV-000183</t>
  </si>
  <si>
    <t xml:space="preserve">INV-000184</t>
  </si>
  <si>
    <t xml:space="preserve">INV-000185</t>
  </si>
  <si>
    <t xml:space="preserve">INV-000186</t>
  </si>
  <si>
    <t xml:space="preserve">INV-000187</t>
  </si>
  <si>
    <t xml:space="preserve">INV-000188</t>
  </si>
  <si>
    <t xml:space="preserve">INV-000189</t>
  </si>
  <si>
    <t xml:space="preserve">INV-000190</t>
  </si>
  <si>
    <t xml:space="preserve">INV-000191</t>
  </si>
  <si>
    <t xml:space="preserve">INV-000192</t>
  </si>
  <si>
    <t xml:space="preserve">INV-000193</t>
  </si>
  <si>
    <t xml:space="preserve">INV-000194</t>
  </si>
  <si>
    <t xml:space="preserve">INV-000195</t>
  </si>
  <si>
    <t xml:space="preserve">INV-000196</t>
  </si>
  <si>
    <t xml:space="preserve">INV-000197</t>
  </si>
  <si>
    <t xml:space="preserve">INV-000198</t>
  </si>
  <si>
    <t xml:space="preserve">INV-000199</t>
  </si>
  <si>
    <t xml:space="preserve">INV-000200</t>
  </si>
  <si>
    <t xml:space="preserve">INV-000201</t>
  </si>
  <si>
    <t xml:space="preserve">INV-000202</t>
  </si>
  <si>
    <t xml:space="preserve">INV-000203</t>
  </si>
  <si>
    <t xml:space="preserve">INV-000204</t>
  </si>
  <si>
    <t xml:space="preserve">INV-000205</t>
  </si>
  <si>
    <t xml:space="preserve">INV-000206</t>
  </si>
  <si>
    <t xml:space="preserve">INV-000207</t>
  </si>
  <si>
    <t xml:space="preserve">INV-000208</t>
  </si>
  <si>
    <t xml:space="preserve">INV-000209</t>
  </si>
  <si>
    <t xml:space="preserve">INV-000210</t>
  </si>
  <si>
    <t xml:space="preserve">INV-000211</t>
  </si>
  <si>
    <t xml:space="preserve">INV-000212</t>
  </si>
  <si>
    <t xml:space="preserve">INV-000213</t>
  </si>
  <si>
    <t xml:space="preserve">INV-000214</t>
  </si>
  <si>
    <t xml:space="preserve">INV-000215</t>
  </si>
  <si>
    <t xml:space="preserve">INV-000216</t>
  </si>
  <si>
    <t xml:space="preserve">INV-000217</t>
  </si>
  <si>
    <t xml:space="preserve">INV-000218</t>
  </si>
  <si>
    <t xml:space="preserve">INV-000219</t>
  </si>
  <si>
    <t xml:space="preserve">INV-000220</t>
  </si>
  <si>
    <t xml:space="preserve">INV-000221</t>
  </si>
  <si>
    <t xml:space="preserve">INV-000222</t>
  </si>
  <si>
    <t xml:space="preserve">INV-000223</t>
  </si>
  <si>
    <t xml:space="preserve">INV-000224</t>
  </si>
  <si>
    <t xml:space="preserve">INV-000225</t>
  </si>
  <si>
    <t xml:space="preserve">INV-000226</t>
  </si>
  <si>
    <t xml:space="preserve">INV-000227</t>
  </si>
  <si>
    <t xml:space="preserve">INV-000228</t>
  </si>
  <si>
    <t xml:space="preserve">INV-000229</t>
  </si>
  <si>
    <t xml:space="preserve">INV-000230</t>
  </si>
  <si>
    <t xml:space="preserve">INV-000231</t>
  </si>
  <si>
    <t xml:space="preserve">INV-000232</t>
  </si>
  <si>
    <t xml:space="preserve">INV-000233</t>
  </si>
  <si>
    <t xml:space="preserve">INV-000234</t>
  </si>
  <si>
    <t xml:space="preserve">INV-000235</t>
  </si>
  <si>
    <t xml:space="preserve">INV-000236</t>
  </si>
  <si>
    <t xml:space="preserve">INV-000237</t>
  </si>
  <si>
    <t xml:space="preserve">INV-000238</t>
  </si>
  <si>
    <t xml:space="preserve">INV-000239</t>
  </si>
  <si>
    <t xml:space="preserve">INV-000240</t>
  </si>
  <si>
    <t xml:space="preserve">INV-000241</t>
  </si>
  <si>
    <t xml:space="preserve">INV-000242</t>
  </si>
  <si>
    <t xml:space="preserve">INV-000243</t>
  </si>
  <si>
    <t xml:space="preserve">INV-000244</t>
  </si>
  <si>
    <t xml:space="preserve">INV-000245</t>
  </si>
  <si>
    <t xml:space="preserve">INV-000246</t>
  </si>
  <si>
    <t xml:space="preserve">INV-000247</t>
  </si>
  <si>
    <t xml:space="preserve">INV-000248</t>
  </si>
  <si>
    <t xml:space="preserve">INV-000249</t>
  </si>
  <si>
    <t xml:space="preserve">INV-000250</t>
  </si>
  <si>
    <t xml:space="preserve">INV-000251</t>
  </si>
  <si>
    <t xml:space="preserve">INV-000252</t>
  </si>
  <si>
    <t xml:space="preserve">INV-000253</t>
  </si>
  <si>
    <t xml:space="preserve">INV-000254</t>
  </si>
  <si>
    <t xml:space="preserve">INV-000255</t>
  </si>
  <si>
    <t xml:space="preserve">INV-000256</t>
  </si>
  <si>
    <t xml:space="preserve">INV-000257</t>
  </si>
  <si>
    <t xml:space="preserve">INV-000258</t>
  </si>
  <si>
    <t xml:space="preserve">INV-000259</t>
  </si>
  <si>
    <t xml:space="preserve">INV-000260</t>
  </si>
  <si>
    <t xml:space="preserve">INV-000261</t>
  </si>
  <si>
    <t xml:space="preserve">INV-000262</t>
  </si>
  <si>
    <t xml:space="preserve">INV-000263</t>
  </si>
  <si>
    <t xml:space="preserve">INV-000264</t>
  </si>
  <si>
    <t xml:space="preserve">INV-000265</t>
  </si>
  <si>
    <t xml:space="preserve">INV-000266</t>
  </si>
  <si>
    <t xml:space="preserve">INV-000267</t>
  </si>
  <si>
    <t xml:space="preserve">INV-000268</t>
  </si>
  <si>
    <t xml:space="preserve">INV-000269</t>
  </si>
  <si>
    <t xml:space="preserve">INV-000270</t>
  </si>
  <si>
    <t xml:space="preserve">INV-000271</t>
  </si>
  <si>
    <t xml:space="preserve">INV-000272</t>
  </si>
  <si>
    <t xml:space="preserve">INV-000273</t>
  </si>
  <si>
    <t xml:space="preserve">INV-000274</t>
  </si>
  <si>
    <t xml:space="preserve">INV-000275</t>
  </si>
  <si>
    <t xml:space="preserve">INV-000276</t>
  </si>
  <si>
    <t xml:space="preserve">INV-000277</t>
  </si>
  <si>
    <t xml:space="preserve">INV-000278</t>
  </si>
  <si>
    <t xml:space="preserve">INV-000279</t>
  </si>
  <si>
    <t xml:space="preserve">INV-000280</t>
  </si>
  <si>
    <t xml:space="preserve">INV-000281</t>
  </si>
  <si>
    <t xml:space="preserve">INV-000282</t>
  </si>
  <si>
    <t xml:space="preserve">INV-000283</t>
  </si>
  <si>
    <t xml:space="preserve">INV-000284</t>
  </si>
  <si>
    <t xml:space="preserve">INV-000285</t>
  </si>
  <si>
    <t xml:space="preserve">INV-000286</t>
  </si>
  <si>
    <t xml:space="preserve">INV-000287</t>
  </si>
  <si>
    <t xml:space="preserve">INV-000288</t>
  </si>
  <si>
    <t xml:space="preserve">INV-000289</t>
  </si>
  <si>
    <t xml:space="preserve">INV-000290</t>
  </si>
  <si>
    <t xml:space="preserve">INV-000291</t>
  </si>
  <si>
    <t xml:space="preserve">INV-000292</t>
  </si>
  <si>
    <t xml:space="preserve">INV-000293</t>
  </si>
  <si>
    <t xml:space="preserve">INV-000294</t>
  </si>
  <si>
    <t xml:space="preserve">INV-000295</t>
  </si>
  <si>
    <t xml:space="preserve">INV-000296</t>
  </si>
  <si>
    <t xml:space="preserve">INV-000297</t>
  </si>
  <si>
    <t xml:space="preserve">INV-000298</t>
  </si>
  <si>
    <t xml:space="preserve">INV-000299</t>
  </si>
  <si>
    <t xml:space="preserve">INV-000300</t>
  </si>
  <si>
    <t xml:space="preserve">INV-000301</t>
  </si>
  <si>
    <t xml:space="preserve">INV-000302</t>
  </si>
  <si>
    <t xml:space="preserve">INV-000303</t>
  </si>
  <si>
    <t xml:space="preserve">INV-000304</t>
  </si>
  <si>
    <t xml:space="preserve">INV-000305</t>
  </si>
  <si>
    <t xml:space="preserve">INV-000306</t>
  </si>
  <si>
    <t xml:space="preserve">INV-000307</t>
  </si>
  <si>
    <t xml:space="preserve">INV-000308</t>
  </si>
  <si>
    <t xml:space="preserve">INV-000309</t>
  </si>
  <si>
    <t xml:space="preserve">INV-000310</t>
  </si>
  <si>
    <t xml:space="preserve">INV-000311</t>
  </si>
  <si>
    <t xml:space="preserve">INV-000312</t>
  </si>
  <si>
    <t xml:space="preserve">INV-000313</t>
  </si>
  <si>
    <t xml:space="preserve">INV-000314</t>
  </si>
  <si>
    <t xml:space="preserve">INV-000315</t>
  </si>
  <si>
    <t xml:space="preserve">INV-000316</t>
  </si>
  <si>
    <t xml:space="preserve">INV-000317</t>
  </si>
  <si>
    <t xml:space="preserve">INV-000318</t>
  </si>
  <si>
    <t xml:space="preserve">INV-000319</t>
  </si>
  <si>
    <t xml:space="preserve">INV-000320</t>
  </si>
  <si>
    <t xml:space="preserve">INV-000321</t>
  </si>
  <si>
    <t xml:space="preserve">INV-000322</t>
  </si>
  <si>
    <t xml:space="preserve">INV-000323</t>
  </si>
  <si>
    <t xml:space="preserve">INV-000324</t>
  </si>
  <si>
    <t xml:space="preserve">INV-000325</t>
  </si>
  <si>
    <t xml:space="preserve">INV-000326</t>
  </si>
  <si>
    <t xml:space="preserve">INV-000327</t>
  </si>
  <si>
    <t xml:space="preserve">INV-000328</t>
  </si>
  <si>
    <t xml:space="preserve">INV-000329</t>
  </si>
  <si>
    <t xml:space="preserve">INV-000330</t>
  </si>
  <si>
    <t xml:space="preserve">INV-000331</t>
  </si>
  <si>
    <t xml:space="preserve">INV-000332</t>
  </si>
  <si>
    <t xml:space="preserve">INV-000333</t>
  </si>
  <si>
    <t xml:space="preserve">INV-000334</t>
  </si>
  <si>
    <t xml:space="preserve">INV-000335</t>
  </si>
  <si>
    <t xml:space="preserve">INV-000336</t>
  </si>
  <si>
    <t xml:space="preserve">INV-000337</t>
  </si>
  <si>
    <t xml:space="preserve">INV-000338</t>
  </si>
  <si>
    <t xml:space="preserve">INV-000339</t>
  </si>
  <si>
    <t xml:space="preserve">INV-000340</t>
  </si>
  <si>
    <t xml:space="preserve">INV-000341</t>
  </si>
  <si>
    <t xml:space="preserve">INV-000342</t>
  </si>
  <si>
    <t xml:space="preserve">INV-000343</t>
  </si>
  <si>
    <t xml:space="preserve">INV-000344</t>
  </si>
  <si>
    <t xml:space="preserve">INV-000345</t>
  </si>
  <si>
    <t xml:space="preserve">INV-000346</t>
  </si>
  <si>
    <t xml:space="preserve">INV-000347</t>
  </si>
  <si>
    <t xml:space="preserve">INV-000348</t>
  </si>
  <si>
    <t xml:space="preserve">INV-000349</t>
  </si>
  <si>
    <t xml:space="preserve">INV-000350</t>
  </si>
  <si>
    <t xml:space="preserve">INV-000351</t>
  </si>
  <si>
    <t xml:space="preserve">INV-000352</t>
  </si>
  <si>
    <t xml:space="preserve">INV-000353</t>
  </si>
  <si>
    <t xml:space="preserve">INV-000354</t>
  </si>
  <si>
    <t xml:space="preserve">INV-000355</t>
  </si>
  <si>
    <t xml:space="preserve">INV-000356</t>
  </si>
  <si>
    <t xml:space="preserve">INV-000357</t>
  </si>
  <si>
    <t xml:space="preserve">INV-000358</t>
  </si>
  <si>
    <t xml:space="preserve">INV-000359</t>
  </si>
  <si>
    <t xml:space="preserve">INV-000360</t>
  </si>
  <si>
    <t xml:space="preserve">INV-000361</t>
  </si>
  <si>
    <t xml:space="preserve">INV-000362</t>
  </si>
  <si>
    <t xml:space="preserve">INV-000363</t>
  </si>
  <si>
    <t xml:space="preserve">INV-000364</t>
  </si>
  <si>
    <t xml:space="preserve">INV-000365</t>
  </si>
  <si>
    <t xml:space="preserve">INV-000366</t>
  </si>
  <si>
    <t xml:space="preserve">INV-000367</t>
  </si>
  <si>
    <t xml:space="preserve">INV-000368</t>
  </si>
  <si>
    <t xml:space="preserve">INV-000369</t>
  </si>
  <si>
    <t xml:space="preserve">INV-000370</t>
  </si>
  <si>
    <t xml:space="preserve">INV-000371</t>
  </si>
  <si>
    <t xml:space="preserve">INV-000372</t>
  </si>
  <si>
    <t xml:space="preserve">INV-000373</t>
  </si>
  <si>
    <t xml:space="preserve">INV-000374</t>
  </si>
  <si>
    <t xml:space="preserve">INV-000375</t>
  </si>
  <si>
    <t xml:space="preserve">INV-000376</t>
  </si>
  <si>
    <t xml:space="preserve">INV-000377</t>
  </si>
  <si>
    <t xml:space="preserve">INV-000378</t>
  </si>
  <si>
    <t xml:space="preserve">INV-000379</t>
  </si>
  <si>
    <t xml:space="preserve">INV-000380</t>
  </si>
  <si>
    <t xml:space="preserve">INV-000381</t>
  </si>
  <si>
    <t xml:space="preserve">INV-000382</t>
  </si>
  <si>
    <t xml:space="preserve">INV-000383</t>
  </si>
  <si>
    <t xml:space="preserve">INV-000384</t>
  </si>
  <si>
    <t xml:space="preserve">INV-000385</t>
  </si>
  <si>
    <t xml:space="preserve">INV-000386</t>
  </si>
  <si>
    <t xml:space="preserve">INV-000387</t>
  </si>
  <si>
    <t xml:space="preserve">INV-000388</t>
  </si>
  <si>
    <t xml:space="preserve">INV-000389</t>
  </si>
  <si>
    <t xml:space="preserve">INV-000390</t>
  </si>
  <si>
    <t xml:space="preserve">INV-000391</t>
  </si>
  <si>
    <t xml:space="preserve">INV-000392</t>
  </si>
  <si>
    <t xml:space="preserve">INV-000393</t>
  </si>
  <si>
    <t xml:space="preserve">INV-000394</t>
  </si>
  <si>
    <t xml:space="preserve">INV-000395</t>
  </si>
  <si>
    <t xml:space="preserve">INV-000396</t>
  </si>
  <si>
    <t xml:space="preserve">INV-000397</t>
  </si>
  <si>
    <t xml:space="preserve">INV-000398</t>
  </si>
  <si>
    <t xml:space="preserve">INV-000399</t>
  </si>
  <si>
    <t xml:space="preserve">INV-000400</t>
  </si>
  <si>
    <t xml:space="preserve">INV-000401</t>
  </si>
  <si>
    <t xml:space="preserve">INV-000402</t>
  </si>
  <si>
    <t xml:space="preserve">INV-000403</t>
  </si>
  <si>
    <t xml:space="preserve">INV-000404</t>
  </si>
  <si>
    <t xml:space="preserve">INV-000405</t>
  </si>
  <si>
    <t xml:space="preserve">INV-000406</t>
  </si>
  <si>
    <t xml:space="preserve">INV-000407</t>
  </si>
  <si>
    <t xml:space="preserve">INV-000408</t>
  </si>
  <si>
    <t xml:space="preserve">INV-000409</t>
  </si>
  <si>
    <t xml:space="preserve">INV-000410</t>
  </si>
  <si>
    <t xml:space="preserve">INV-000411</t>
  </si>
  <si>
    <t xml:space="preserve">INV-000412</t>
  </si>
  <si>
    <t xml:space="preserve">INV-000413</t>
  </si>
  <si>
    <t xml:space="preserve">INV-000414</t>
  </si>
  <si>
    <t xml:space="preserve">INV-000415</t>
  </si>
  <si>
    <t xml:space="preserve">INV-000416</t>
  </si>
  <si>
    <t xml:space="preserve">INV-000417</t>
  </si>
  <si>
    <t xml:space="preserve">INV-000418</t>
  </si>
  <si>
    <t xml:space="preserve">INV-000419</t>
  </si>
  <si>
    <t xml:space="preserve">INV-000420</t>
  </si>
  <si>
    <t xml:space="preserve">INV-000421</t>
  </si>
  <si>
    <t xml:space="preserve">INV-000422</t>
  </si>
  <si>
    <t xml:space="preserve">INV-000423</t>
  </si>
  <si>
    <t xml:space="preserve">INV-000424</t>
  </si>
  <si>
    <t xml:space="preserve">INV-000425</t>
  </si>
  <si>
    <t xml:space="preserve">INV-000426</t>
  </si>
  <si>
    <t xml:space="preserve">INV-000427</t>
  </si>
  <si>
    <t xml:space="preserve">INV-000428</t>
  </si>
  <si>
    <t xml:space="preserve">INV-000429</t>
  </si>
  <si>
    <t xml:space="preserve">INV-000430</t>
  </si>
  <si>
    <t xml:space="preserve">INV-000431</t>
  </si>
  <si>
    <t xml:space="preserve">INV-000432</t>
  </si>
  <si>
    <t xml:space="preserve">INV-000433</t>
  </si>
  <si>
    <t xml:space="preserve">INV-000434</t>
  </si>
  <si>
    <t xml:space="preserve">INV-000435</t>
  </si>
  <si>
    <t xml:space="preserve">INV-000436</t>
  </si>
  <si>
    <t xml:space="preserve">INV-000437</t>
  </si>
  <si>
    <t xml:space="preserve">INV-000438</t>
  </si>
  <si>
    <t xml:space="preserve">INV-000439</t>
  </si>
  <si>
    <t xml:space="preserve">INV-000440</t>
  </si>
  <si>
    <t xml:space="preserve">INV-000441</t>
  </si>
  <si>
    <t xml:space="preserve">INV-000442</t>
  </si>
  <si>
    <t xml:space="preserve">INV-000443</t>
  </si>
  <si>
    <t xml:space="preserve">INV-000444</t>
  </si>
  <si>
    <t xml:space="preserve">INV-000445</t>
  </si>
  <si>
    <t xml:space="preserve">INV-000446</t>
  </si>
  <si>
    <t xml:space="preserve">INV-000447</t>
  </si>
  <si>
    <t xml:space="preserve">INV-000448</t>
  </si>
  <si>
    <t xml:space="preserve">INV-000449</t>
  </si>
  <si>
    <t xml:space="preserve">INV-000450</t>
  </si>
  <si>
    <t xml:space="preserve">INV-000451</t>
  </si>
  <si>
    <t xml:space="preserve">INV-000452</t>
  </si>
  <si>
    <t xml:space="preserve">INV-000453</t>
  </si>
  <si>
    <t xml:space="preserve">INV-000454</t>
  </si>
  <si>
    <t xml:space="preserve">INV-000455</t>
  </si>
  <si>
    <t xml:space="preserve">INV-000456</t>
  </si>
  <si>
    <t xml:space="preserve">INV-000457</t>
  </si>
  <si>
    <t xml:space="preserve">INV-000458</t>
  </si>
  <si>
    <t xml:space="preserve">INV-000459</t>
  </si>
  <si>
    <t xml:space="preserve">INV-000460</t>
  </si>
  <si>
    <t xml:space="preserve">INV-000461</t>
  </si>
  <si>
    <t xml:space="preserve">INV-000462</t>
  </si>
  <si>
    <t xml:space="preserve">INV-000463</t>
  </si>
  <si>
    <t xml:space="preserve">INV-000464</t>
  </si>
  <si>
    <t xml:space="preserve">INV-000465</t>
  </si>
  <si>
    <t xml:space="preserve">INV-000466</t>
  </si>
  <si>
    <t xml:space="preserve">INV-000467</t>
  </si>
  <si>
    <t xml:space="preserve">INV-000468</t>
  </si>
  <si>
    <t xml:space="preserve">INV-000469</t>
  </si>
  <si>
    <t xml:space="preserve">INV-000470</t>
  </si>
  <si>
    <t xml:space="preserve">INV-000471</t>
  </si>
  <si>
    <t xml:space="preserve">INV-000472</t>
  </si>
  <si>
    <t xml:space="preserve">INV-000473</t>
  </si>
  <si>
    <t xml:space="preserve">INV-000474</t>
  </si>
  <si>
    <t xml:space="preserve">INV-000475</t>
  </si>
  <si>
    <t xml:space="preserve">INV-000476</t>
  </si>
  <si>
    <t xml:space="preserve">INV-000477</t>
  </si>
  <si>
    <t xml:space="preserve">INV-000478</t>
  </si>
  <si>
    <t xml:space="preserve">INV-000479</t>
  </si>
  <si>
    <t xml:space="preserve">INV-000480</t>
  </si>
  <si>
    <t xml:space="preserve">INV-000481</t>
  </si>
  <si>
    <t xml:space="preserve">INV-000482</t>
  </si>
  <si>
    <t xml:space="preserve">INV-000483</t>
  </si>
  <si>
    <t xml:space="preserve">INV-000484</t>
  </si>
  <si>
    <t xml:space="preserve">INV-000485</t>
  </si>
  <si>
    <t xml:space="preserve">INV-000486</t>
  </si>
  <si>
    <t xml:space="preserve">INV-000487</t>
  </si>
  <si>
    <t xml:space="preserve">INV-000488</t>
  </si>
  <si>
    <t xml:space="preserve">INV-000489</t>
  </si>
  <si>
    <t xml:space="preserve">INV-000490</t>
  </si>
  <si>
    <t xml:space="preserve">INV-000491</t>
  </si>
  <si>
    <t xml:space="preserve">INV-000492</t>
  </si>
  <si>
    <t xml:space="preserve">INV-000493</t>
  </si>
  <si>
    <t xml:space="preserve">INV-000494</t>
  </si>
  <si>
    <t xml:space="preserve">INV-000495</t>
  </si>
  <si>
    <t xml:space="preserve">INV-000496</t>
  </si>
  <si>
    <t xml:space="preserve">INV-000497</t>
  </si>
  <si>
    <t xml:space="preserve">INV-000498</t>
  </si>
  <si>
    <t xml:space="preserve">INV-000499</t>
  </si>
  <si>
    <t xml:space="preserve">INV-000500</t>
  </si>
  <si>
    <t xml:space="preserve">INV-000501</t>
  </si>
  <si>
    <t xml:space="preserve">INV-000502</t>
  </si>
  <si>
    <t xml:space="preserve">INV-000503</t>
  </si>
  <si>
    <t xml:space="preserve">INV-000504</t>
  </si>
  <si>
    <t xml:space="preserve">INV-000505</t>
  </si>
  <si>
    <t xml:space="preserve">INV-000506</t>
  </si>
  <si>
    <t xml:space="preserve">INV-000507</t>
  </si>
  <si>
    <t xml:space="preserve">INV-000508</t>
  </si>
  <si>
    <t xml:space="preserve">INV-000509</t>
  </si>
  <si>
    <t xml:space="preserve">INV-000510</t>
  </si>
  <si>
    <t xml:space="preserve">INV-000511</t>
  </si>
  <si>
    <t xml:space="preserve">INV-000512</t>
  </si>
  <si>
    <t xml:space="preserve">INV-000513</t>
  </si>
  <si>
    <t xml:space="preserve">INV-000514</t>
  </si>
  <si>
    <t xml:space="preserve">INV-000515</t>
  </si>
  <si>
    <t xml:space="preserve">INV-000516</t>
  </si>
  <si>
    <t xml:space="preserve">INV-000517</t>
  </si>
  <si>
    <t xml:space="preserve">INV-000518</t>
  </si>
  <si>
    <t xml:space="preserve">INV-000519</t>
  </si>
  <si>
    <t xml:space="preserve">INV-000520</t>
  </si>
  <si>
    <t xml:space="preserve">INV-000521</t>
  </si>
  <si>
    <t xml:space="preserve">INV-000522</t>
  </si>
  <si>
    <t xml:space="preserve">INV-000523</t>
  </si>
  <si>
    <t xml:space="preserve">INV-000524</t>
  </si>
  <si>
    <t xml:space="preserve">INV-000525</t>
  </si>
  <si>
    <t xml:space="preserve">INV-000526</t>
  </si>
  <si>
    <t xml:space="preserve">INV-000527</t>
  </si>
  <si>
    <t xml:space="preserve">INV-000528</t>
  </si>
  <si>
    <t xml:space="preserve">INV-000529</t>
  </si>
  <si>
    <t xml:space="preserve">INV-000530</t>
  </si>
  <si>
    <t xml:space="preserve">INV-000531</t>
  </si>
  <si>
    <t xml:space="preserve">INV-000532</t>
  </si>
  <si>
    <t xml:space="preserve">INV-000533</t>
  </si>
  <si>
    <t xml:space="preserve">INV-000534</t>
  </si>
  <si>
    <t xml:space="preserve">INV-000535</t>
  </si>
  <si>
    <t xml:space="preserve">INV-000536</t>
  </si>
  <si>
    <t xml:space="preserve">INV-000537</t>
  </si>
  <si>
    <t xml:space="preserve">INV-000538</t>
  </si>
  <si>
    <t xml:space="preserve">INV-000539</t>
  </si>
  <si>
    <t xml:space="preserve">INV-000540</t>
  </si>
  <si>
    <t xml:space="preserve">INV-000541</t>
  </si>
  <si>
    <t xml:space="preserve">INV-000542</t>
  </si>
  <si>
    <t xml:space="preserve">INV-000543</t>
  </si>
  <si>
    <t xml:space="preserve">INV-000544</t>
  </si>
  <si>
    <t xml:space="preserve">INV-000545</t>
  </si>
  <si>
    <t xml:space="preserve">INV-000546</t>
  </si>
  <si>
    <t xml:space="preserve">INV-000547</t>
  </si>
  <si>
    <t xml:space="preserve">INV-000548</t>
  </si>
  <si>
    <t xml:space="preserve">INV-000549</t>
  </si>
  <si>
    <t xml:space="preserve">INV-000550</t>
  </si>
  <si>
    <t xml:space="preserve">INV-000551</t>
  </si>
  <si>
    <t xml:space="preserve">INV-000552</t>
  </si>
  <si>
    <t xml:space="preserve">INV-000553</t>
  </si>
  <si>
    <t xml:space="preserve">INV-000554</t>
  </si>
  <si>
    <t xml:space="preserve">INV-000555</t>
  </si>
  <si>
    <t xml:space="preserve">INV-000556</t>
  </si>
  <si>
    <t xml:space="preserve">INV-000557</t>
  </si>
  <si>
    <t xml:space="preserve">INV-000558</t>
  </si>
  <si>
    <t xml:space="preserve">INV-000559</t>
  </si>
  <si>
    <t xml:space="preserve">INV-000560</t>
  </si>
  <si>
    <t xml:space="preserve">INV-000561</t>
  </si>
  <si>
    <t xml:space="preserve">INV-000562</t>
  </si>
  <si>
    <t xml:space="preserve">INV-000563</t>
  </si>
  <si>
    <t xml:space="preserve">INV-000564</t>
  </si>
  <si>
    <t xml:space="preserve">INV-000565</t>
  </si>
  <si>
    <t xml:space="preserve">INV-000566</t>
  </si>
  <si>
    <t xml:space="preserve">INV-000567</t>
  </si>
  <si>
    <t xml:space="preserve">INV-000568</t>
  </si>
  <si>
    <t xml:space="preserve">INV-000569</t>
  </si>
  <si>
    <t xml:space="preserve">INV-000570</t>
  </si>
  <si>
    <t xml:space="preserve">INV-000571</t>
  </si>
  <si>
    <t xml:space="preserve">INV-000572</t>
  </si>
  <si>
    <t xml:space="preserve">INV-000573</t>
  </si>
  <si>
    <t xml:space="preserve">INV-000574</t>
  </si>
  <si>
    <t xml:space="preserve">INV-000575</t>
  </si>
  <si>
    <t xml:space="preserve">INV-000576</t>
  </si>
  <si>
    <t xml:space="preserve">INV-000577</t>
  </si>
  <si>
    <t xml:space="preserve">INV-000578</t>
  </si>
  <si>
    <t xml:space="preserve">INV-000579</t>
  </si>
  <si>
    <t xml:space="preserve">INV-000580</t>
  </si>
  <si>
    <t xml:space="preserve">INV-000581</t>
  </si>
  <si>
    <t xml:space="preserve">INV-000582</t>
  </si>
  <si>
    <t xml:space="preserve">INV-000583</t>
  </si>
  <si>
    <t xml:space="preserve">INV-000584</t>
  </si>
  <si>
    <t xml:space="preserve">INV-000585</t>
  </si>
  <si>
    <t xml:space="preserve">INV-000586</t>
  </si>
  <si>
    <t xml:space="preserve">INV-000587</t>
  </si>
  <si>
    <t xml:space="preserve">INV-000588</t>
  </si>
  <si>
    <t xml:space="preserve">INV-000589</t>
  </si>
  <si>
    <t xml:space="preserve">INV-000590</t>
  </si>
  <si>
    <t xml:space="preserve">INV-000591</t>
  </si>
  <si>
    <t xml:space="preserve">INV-000592</t>
  </si>
  <si>
    <t xml:space="preserve">INV-000593</t>
  </si>
  <si>
    <t xml:space="preserve">INV-000594</t>
  </si>
  <si>
    <t xml:space="preserve">INV-000595</t>
  </si>
  <si>
    <t xml:space="preserve">INV-000596</t>
  </si>
  <si>
    <t xml:space="preserve">INV-000597</t>
  </si>
  <si>
    <t xml:space="preserve">INV-000598</t>
  </si>
  <si>
    <t xml:space="preserve">INV-000599</t>
  </si>
  <si>
    <t xml:space="preserve">INV-000600</t>
  </si>
  <si>
    <t xml:space="preserve">INV-000601</t>
  </si>
  <si>
    <t xml:space="preserve">INV-000602</t>
  </si>
  <si>
    <t xml:space="preserve">INV-000603</t>
  </si>
  <si>
    <t xml:space="preserve">INV-000604</t>
  </si>
  <si>
    <t xml:space="preserve">INV-000605</t>
  </si>
  <si>
    <t xml:space="preserve">INV-000606</t>
  </si>
  <si>
    <t xml:space="preserve">INV-000607</t>
  </si>
  <si>
    <t xml:space="preserve">INV-000608</t>
  </si>
  <si>
    <t xml:space="preserve">INV-000609</t>
  </si>
  <si>
    <t xml:space="preserve">INV-000610</t>
  </si>
  <si>
    <t xml:space="preserve">INV-000611</t>
  </si>
  <si>
    <t xml:space="preserve">INV-000612</t>
  </si>
  <si>
    <t xml:space="preserve">INV-000613</t>
  </si>
  <si>
    <t xml:space="preserve">INV-000614</t>
  </si>
  <si>
    <t xml:space="preserve">INV-000615</t>
  </si>
  <si>
    <t xml:space="preserve">INV-000616</t>
  </si>
  <si>
    <t xml:space="preserve">INV-000617</t>
  </si>
  <si>
    <t xml:space="preserve">INV-000618</t>
  </si>
  <si>
    <t xml:space="preserve">INV-000619</t>
  </si>
  <si>
    <t xml:space="preserve">INV-000620</t>
  </si>
  <si>
    <t xml:space="preserve">INV-000621</t>
  </si>
  <si>
    <t xml:space="preserve">INV-000622</t>
  </si>
  <si>
    <t xml:space="preserve">INV-000623</t>
  </si>
  <si>
    <t xml:space="preserve">INV-000624</t>
  </si>
  <si>
    <t xml:space="preserve">INV-000625</t>
  </si>
  <si>
    <t xml:space="preserve">INV-000626</t>
  </si>
  <si>
    <t xml:space="preserve">INV-000627</t>
  </si>
  <si>
    <t xml:space="preserve">INV-000628</t>
  </si>
  <si>
    <t xml:space="preserve">INV-000629</t>
  </si>
  <si>
    <t xml:space="preserve">INV-000630</t>
  </si>
  <si>
    <t xml:space="preserve">INV-000631</t>
  </si>
  <si>
    <t xml:space="preserve">INV-000632</t>
  </si>
  <si>
    <t xml:space="preserve">INV-000633</t>
  </si>
  <si>
    <t xml:space="preserve">INV-000634</t>
  </si>
  <si>
    <t xml:space="preserve">INV-000635</t>
  </si>
  <si>
    <t xml:space="preserve">INV-000636</t>
  </si>
  <si>
    <t xml:space="preserve">INV-000637</t>
  </si>
  <si>
    <t xml:space="preserve">INV-000638</t>
  </si>
  <si>
    <t xml:space="preserve">INV-000639</t>
  </si>
  <si>
    <t xml:space="preserve">INV-000640</t>
  </si>
  <si>
    <t xml:space="preserve">INV-000641</t>
  </si>
  <si>
    <t xml:space="preserve">INV-000642</t>
  </si>
  <si>
    <t xml:space="preserve">INV-000643</t>
  </si>
  <si>
    <t xml:space="preserve">INV-000644</t>
  </si>
  <si>
    <t xml:space="preserve">INV-000645</t>
  </si>
  <si>
    <t xml:space="preserve">INV-000646</t>
  </si>
  <si>
    <t xml:space="preserve">INV-000647</t>
  </si>
  <si>
    <t xml:space="preserve">INV-000648</t>
  </si>
  <si>
    <t xml:space="preserve">INV-000649</t>
  </si>
  <si>
    <t xml:space="preserve">INV-000650</t>
  </si>
  <si>
    <t xml:space="preserve">INV-000651</t>
  </si>
  <si>
    <t xml:space="preserve">INV-000652</t>
  </si>
  <si>
    <t xml:space="preserve">INV-000653</t>
  </si>
  <si>
    <t xml:space="preserve">INV-000654</t>
  </si>
  <si>
    <t xml:space="preserve">INV-000655</t>
  </si>
  <si>
    <t xml:space="preserve">INV-000656</t>
  </si>
  <si>
    <t xml:space="preserve">INV-000657</t>
  </si>
  <si>
    <t xml:space="preserve">INV-000658</t>
  </si>
  <si>
    <t xml:space="preserve">INV-000659</t>
  </si>
  <si>
    <t xml:space="preserve">INV-000660</t>
  </si>
  <si>
    <t xml:space="preserve">INV-000661</t>
  </si>
  <si>
    <t xml:space="preserve">INV-000662</t>
  </si>
  <si>
    <t xml:space="preserve">INV-000663</t>
  </si>
  <si>
    <t xml:space="preserve">INV-000664</t>
  </si>
  <si>
    <t xml:space="preserve">INV-000665</t>
  </si>
  <si>
    <t xml:space="preserve">INV-000666</t>
  </si>
  <si>
    <t xml:space="preserve">INV-000667</t>
  </si>
  <si>
    <t xml:space="preserve">INV-000668</t>
  </si>
  <si>
    <t xml:space="preserve">INV-000669</t>
  </si>
  <si>
    <t xml:space="preserve">INV-000670</t>
  </si>
  <si>
    <t xml:space="preserve">INV-000671</t>
  </si>
  <si>
    <t xml:space="preserve">INV-000672</t>
  </si>
  <si>
    <t xml:space="preserve">INV-000673</t>
  </si>
  <si>
    <t xml:space="preserve">INV-000674</t>
  </si>
  <si>
    <t xml:space="preserve">INV-000675</t>
  </si>
  <si>
    <t xml:space="preserve">INV-000676</t>
  </si>
  <si>
    <t xml:space="preserve">INV-000677</t>
  </si>
  <si>
    <t xml:space="preserve">INV-000678</t>
  </si>
  <si>
    <t xml:space="preserve">INV-000679</t>
  </si>
  <si>
    <t xml:space="preserve">INV-000680</t>
  </si>
  <si>
    <t xml:space="preserve">INV-000681</t>
  </si>
  <si>
    <t xml:space="preserve">INV-000682</t>
  </si>
  <si>
    <t xml:space="preserve">INV-000683</t>
  </si>
  <si>
    <t xml:space="preserve">INV-000684</t>
  </si>
  <si>
    <t xml:space="preserve">INV-000685</t>
  </si>
  <si>
    <t xml:space="preserve">INV-000686</t>
  </si>
  <si>
    <t xml:space="preserve">INV-000687</t>
  </si>
  <si>
    <t xml:space="preserve">INV-000688</t>
  </si>
  <si>
    <t xml:space="preserve">INV-000689</t>
  </si>
  <si>
    <t xml:space="preserve">INV-000690</t>
  </si>
  <si>
    <t xml:space="preserve">INV-000691</t>
  </si>
  <si>
    <t xml:space="preserve">INV-000692</t>
  </si>
  <si>
    <t xml:space="preserve">INV-000693</t>
  </si>
  <si>
    <t xml:space="preserve">INV-000694</t>
  </si>
  <si>
    <t xml:space="preserve">INV-000695</t>
  </si>
  <si>
    <t xml:space="preserve">INV-000696</t>
  </si>
  <si>
    <t xml:space="preserve">INV-000697</t>
  </si>
  <si>
    <t xml:space="preserve">INV-000698</t>
  </si>
  <si>
    <t xml:space="preserve">INV-000699</t>
  </si>
  <si>
    <t xml:space="preserve">INV-000700</t>
  </si>
  <si>
    <t xml:space="preserve">INV-000701</t>
  </si>
  <si>
    <t xml:space="preserve">INV-000702</t>
  </si>
  <si>
    <t xml:space="preserve">INV-000703</t>
  </si>
  <si>
    <t xml:space="preserve">INV-000704</t>
  </si>
  <si>
    <t xml:space="preserve">INV-000705</t>
  </si>
  <si>
    <t xml:space="preserve">INV-000706</t>
  </si>
  <si>
    <t xml:space="preserve">INV-000707</t>
  </si>
  <si>
    <t xml:space="preserve">INV-000708</t>
  </si>
  <si>
    <t xml:space="preserve">INV-000709</t>
  </si>
  <si>
    <t xml:space="preserve">INV-000710</t>
  </si>
  <si>
    <t xml:space="preserve">INV-000711</t>
  </si>
  <si>
    <t xml:space="preserve">INV-000712</t>
  </si>
  <si>
    <t xml:space="preserve">INV-000713</t>
  </si>
  <si>
    <t xml:space="preserve">INV-000714</t>
  </si>
  <si>
    <t xml:space="preserve">INV-000715</t>
  </si>
  <si>
    <t xml:space="preserve">INV-000716</t>
  </si>
  <si>
    <t xml:space="preserve">INV-000717</t>
  </si>
  <si>
    <t xml:space="preserve">INV-000718</t>
  </si>
  <si>
    <t xml:space="preserve">INV-000719</t>
  </si>
  <si>
    <t xml:space="preserve">INV-000720</t>
  </si>
  <si>
    <t xml:space="preserve">INV-000721</t>
  </si>
  <si>
    <t xml:space="preserve">INV-000722</t>
  </si>
  <si>
    <t xml:space="preserve">INV-000723</t>
  </si>
  <si>
    <t xml:space="preserve">INV-000724</t>
  </si>
  <si>
    <t xml:space="preserve">INV-000725</t>
  </si>
  <si>
    <t xml:space="preserve">INV-000726</t>
  </si>
  <si>
    <t xml:space="preserve">INV-000727</t>
  </si>
  <si>
    <t xml:space="preserve">INV-000728</t>
  </si>
  <si>
    <t xml:space="preserve">INV-000729</t>
  </si>
  <si>
    <t xml:space="preserve">INV-000730</t>
  </si>
  <si>
    <t xml:space="preserve">INV-000731</t>
  </si>
  <si>
    <t xml:space="preserve">INV-000732</t>
  </si>
  <si>
    <t xml:space="preserve">INV-000733</t>
  </si>
  <si>
    <t xml:space="preserve">INV-000734</t>
  </si>
  <si>
    <t xml:space="preserve">INV-000735</t>
  </si>
  <si>
    <t xml:space="preserve">INV-000736</t>
  </si>
  <si>
    <t xml:space="preserve">INV-000737</t>
  </si>
  <si>
    <t xml:space="preserve">INV-000738</t>
  </si>
  <si>
    <t xml:space="preserve">INV-000739</t>
  </si>
  <si>
    <t xml:space="preserve">INV-000740</t>
  </si>
  <si>
    <t xml:space="preserve">INV-000741</t>
  </si>
  <si>
    <t xml:space="preserve">INV-000742</t>
  </si>
  <si>
    <t xml:space="preserve">INV-000743</t>
  </si>
  <si>
    <t xml:space="preserve">INV-000744</t>
  </si>
  <si>
    <t xml:space="preserve">INV-000745</t>
  </si>
  <si>
    <t xml:space="preserve">INV-000746</t>
  </si>
  <si>
    <t xml:space="preserve">INV-000747</t>
  </si>
  <si>
    <t xml:space="preserve">INV-000748</t>
  </si>
  <si>
    <t xml:space="preserve">INV-000749</t>
  </si>
  <si>
    <t xml:space="preserve">INV-000750</t>
  </si>
  <si>
    <t xml:space="preserve">INV-000751</t>
  </si>
  <si>
    <t xml:space="preserve">INV-000752</t>
  </si>
  <si>
    <t xml:space="preserve">INV-000753</t>
  </si>
  <si>
    <t xml:space="preserve">INV-000754</t>
  </si>
  <si>
    <t xml:space="preserve">INV-000755</t>
  </si>
  <si>
    <t xml:space="preserve">INV-000756</t>
  </si>
  <si>
    <t xml:space="preserve">INV-000757</t>
  </si>
  <si>
    <t xml:space="preserve">INV-000758</t>
  </si>
  <si>
    <t xml:space="preserve">INV-000759</t>
  </si>
  <si>
    <t xml:space="preserve">INV-000760</t>
  </si>
  <si>
    <t xml:space="preserve">INV-000761</t>
  </si>
  <si>
    <t xml:space="preserve">INV-000762</t>
  </si>
  <si>
    <t xml:space="preserve">INV-000763</t>
  </si>
  <si>
    <t xml:space="preserve">INV-000764</t>
  </si>
  <si>
    <t xml:space="preserve">INV-000765</t>
  </si>
  <si>
    <t xml:space="preserve">INV-000766</t>
  </si>
  <si>
    <t xml:space="preserve">INV-000767</t>
  </si>
  <si>
    <t xml:space="preserve">INV-000768</t>
  </si>
  <si>
    <t xml:space="preserve">INV-000769</t>
  </si>
  <si>
    <t xml:space="preserve">INV-000770</t>
  </si>
  <si>
    <t xml:space="preserve">INV-000771</t>
  </si>
  <si>
    <t xml:space="preserve">INV-000772</t>
  </si>
  <si>
    <t xml:space="preserve">INV-000773</t>
  </si>
  <si>
    <t xml:space="preserve">INV-000774</t>
  </si>
  <si>
    <t xml:space="preserve">INV-000775</t>
  </si>
  <si>
    <t xml:space="preserve">INV-000776</t>
  </si>
  <si>
    <t xml:space="preserve">INV-000777</t>
  </si>
  <si>
    <t xml:space="preserve">INV-000778</t>
  </si>
  <si>
    <t xml:space="preserve">INV-000779</t>
  </si>
  <si>
    <t xml:space="preserve">INV-000780</t>
  </si>
  <si>
    <t xml:space="preserve">INV-000781</t>
  </si>
  <si>
    <t xml:space="preserve">INV-000782</t>
  </si>
  <si>
    <t xml:space="preserve">INV-000783</t>
  </si>
  <si>
    <t xml:space="preserve">INV-000784</t>
  </si>
  <si>
    <t xml:space="preserve">INV-000785</t>
  </si>
  <si>
    <t xml:space="preserve">INV-000786</t>
  </si>
  <si>
    <t xml:space="preserve">INV-000787</t>
  </si>
  <si>
    <t xml:space="preserve">INV-000788</t>
  </si>
  <si>
    <t xml:space="preserve">INV-000789</t>
  </si>
  <si>
    <t xml:space="preserve">INV-000790</t>
  </si>
  <si>
    <t xml:space="preserve">INV-000791</t>
  </si>
  <si>
    <t xml:space="preserve">INV-000792</t>
  </si>
  <si>
    <t xml:space="preserve">INV-000793</t>
  </si>
  <si>
    <t xml:space="preserve">INV-000794</t>
  </si>
  <si>
    <t xml:space="preserve">INV-000795</t>
  </si>
  <si>
    <t xml:space="preserve">INV-000796</t>
  </si>
  <si>
    <t xml:space="preserve">INV-000797</t>
  </si>
  <si>
    <t xml:space="preserve">INV-000798</t>
  </si>
  <si>
    <t xml:space="preserve">INV-000799</t>
  </si>
  <si>
    <t xml:space="preserve">INV-000800</t>
  </si>
  <si>
    <t xml:space="preserve">INV-000801</t>
  </si>
  <si>
    <t xml:space="preserve">INV-000802</t>
  </si>
  <si>
    <t xml:space="preserve">INV-000803</t>
  </si>
  <si>
    <t xml:space="preserve">INV-000804</t>
  </si>
  <si>
    <t xml:space="preserve">INV-000805</t>
  </si>
  <si>
    <t xml:space="preserve">INV-000806</t>
  </si>
  <si>
    <t xml:space="preserve">INV-000807</t>
  </si>
  <si>
    <t xml:space="preserve">INV-000808</t>
  </si>
  <si>
    <t xml:space="preserve">INV-000809</t>
  </si>
  <si>
    <t xml:space="preserve">INV-000810</t>
  </si>
  <si>
    <t xml:space="preserve">INV-000811</t>
  </si>
  <si>
    <t xml:space="preserve">INV-000812</t>
  </si>
  <si>
    <t xml:space="preserve">INV-000813</t>
  </si>
  <si>
    <t xml:space="preserve">INV-000814</t>
  </si>
  <si>
    <t xml:space="preserve">INV-000815</t>
  </si>
  <si>
    <t xml:space="preserve">INV-000816</t>
  </si>
  <si>
    <t xml:space="preserve">INV-000817</t>
  </si>
  <si>
    <t xml:space="preserve">INV-000818</t>
  </si>
  <si>
    <t xml:space="preserve">INV-000819</t>
  </si>
  <si>
    <t xml:space="preserve">INV-000820</t>
  </si>
  <si>
    <t xml:space="preserve">INV-000821</t>
  </si>
  <si>
    <t xml:space="preserve">INV-000822</t>
  </si>
  <si>
    <t xml:space="preserve">INV-000823</t>
  </si>
  <si>
    <t xml:space="preserve">INV-000824</t>
  </si>
  <si>
    <t xml:space="preserve">INV-000825</t>
  </si>
  <si>
    <t xml:space="preserve">INV-000826</t>
  </si>
  <si>
    <t xml:space="preserve">INV-000827</t>
  </si>
  <si>
    <t xml:space="preserve">INV-000828</t>
  </si>
  <si>
    <t xml:space="preserve">INV-000829</t>
  </si>
  <si>
    <t xml:space="preserve">INV-000830</t>
  </si>
  <si>
    <t xml:space="preserve">INV-000831</t>
  </si>
  <si>
    <t xml:space="preserve">INV-000832</t>
  </si>
  <si>
    <t xml:space="preserve">INV-000833</t>
  </si>
  <si>
    <t xml:space="preserve">INV-000834</t>
  </si>
  <si>
    <t xml:space="preserve">INV-000835</t>
  </si>
  <si>
    <t xml:space="preserve">INV-000836</t>
  </si>
  <si>
    <t xml:space="preserve">INV-000837</t>
  </si>
  <si>
    <t xml:space="preserve">INV-000838</t>
  </si>
  <si>
    <t xml:space="preserve">INV-000839</t>
  </si>
  <si>
    <t xml:space="preserve">INV-000840</t>
  </si>
  <si>
    <t xml:space="preserve">INV-000841</t>
  </si>
  <si>
    <t xml:space="preserve">INV-000842</t>
  </si>
  <si>
    <t xml:space="preserve">INV-000843</t>
  </si>
  <si>
    <t xml:space="preserve">INV-000844</t>
  </si>
  <si>
    <t xml:space="preserve">INV-000845</t>
  </si>
  <si>
    <t xml:space="preserve">INV-000846</t>
  </si>
  <si>
    <t xml:space="preserve">INV-000847</t>
  </si>
  <si>
    <t xml:space="preserve">INV-000848</t>
  </si>
  <si>
    <t xml:space="preserve">INV-000849</t>
  </si>
  <si>
    <t xml:space="preserve">INV-000850</t>
  </si>
  <si>
    <t xml:space="preserve">INV-000851</t>
  </si>
  <si>
    <t xml:space="preserve">INV-000852</t>
  </si>
  <si>
    <t xml:space="preserve">INV-000853</t>
  </si>
  <si>
    <t xml:space="preserve">INV-000854</t>
  </si>
  <si>
    <t xml:space="preserve">INV-000855</t>
  </si>
  <si>
    <t xml:space="preserve">INV-000856</t>
  </si>
  <si>
    <t xml:space="preserve">INV-000857</t>
  </si>
  <si>
    <t xml:space="preserve">INV-000858</t>
  </si>
  <si>
    <t xml:space="preserve">INV-000859</t>
  </si>
  <si>
    <t xml:space="preserve">INV-000860</t>
  </si>
  <si>
    <t xml:space="preserve">INV-000861</t>
  </si>
  <si>
    <t xml:space="preserve">INV-000862</t>
  </si>
  <si>
    <t xml:space="preserve">INV-000863</t>
  </si>
  <si>
    <t xml:space="preserve">INV-000864</t>
  </si>
  <si>
    <t xml:space="preserve">INV-000865</t>
  </si>
  <si>
    <t xml:space="preserve">INV-000866</t>
  </si>
  <si>
    <t xml:space="preserve">INV-000867</t>
  </si>
  <si>
    <t xml:space="preserve">INV-000868</t>
  </si>
  <si>
    <t xml:space="preserve">INV-000869</t>
  </si>
  <si>
    <t xml:space="preserve">INV-000870</t>
  </si>
  <si>
    <t xml:space="preserve">INV-000871</t>
  </si>
  <si>
    <t xml:space="preserve">INV-000872</t>
  </si>
  <si>
    <t xml:space="preserve">INV-000873</t>
  </si>
  <si>
    <t xml:space="preserve">INV-000874</t>
  </si>
  <si>
    <t xml:space="preserve">INV-000875</t>
  </si>
  <si>
    <t xml:space="preserve">INV-000876</t>
  </si>
  <si>
    <t xml:space="preserve">INV-000877</t>
  </si>
  <si>
    <t xml:space="preserve">INV-000878</t>
  </si>
  <si>
    <t xml:space="preserve">INV-000879</t>
  </si>
  <si>
    <t xml:space="preserve">INV-000880</t>
  </si>
  <si>
    <t xml:space="preserve">INV-000881</t>
  </si>
  <si>
    <t xml:space="preserve">INV-000882</t>
  </si>
  <si>
    <t xml:space="preserve">INV-000883</t>
  </si>
  <si>
    <t xml:space="preserve">INV-000884</t>
  </si>
  <si>
    <t xml:space="preserve">INV-000885</t>
  </si>
  <si>
    <t xml:space="preserve">INV-000886</t>
  </si>
  <si>
    <t xml:space="preserve">INV-000887</t>
  </si>
  <si>
    <t xml:space="preserve">INV-000888</t>
  </si>
  <si>
    <t xml:space="preserve">INV-000889</t>
  </si>
  <si>
    <t xml:space="preserve">INV-000890</t>
  </si>
  <si>
    <t xml:space="preserve">INV-000891</t>
  </si>
  <si>
    <t xml:space="preserve">INV-000892</t>
  </si>
  <si>
    <t xml:space="preserve">INV-000893</t>
  </si>
  <si>
    <t xml:space="preserve">INV-000894</t>
  </si>
  <si>
    <t xml:space="preserve">INV-000895</t>
  </si>
  <si>
    <t xml:space="preserve">INV-000896</t>
  </si>
  <si>
    <t xml:space="preserve">INV-000897</t>
  </si>
  <si>
    <t xml:space="preserve">INV-000898</t>
  </si>
  <si>
    <t xml:space="preserve">INV-000899</t>
  </si>
  <si>
    <t xml:space="preserve">INV-000900</t>
  </si>
  <si>
    <t xml:space="preserve">INV-000901</t>
  </si>
  <si>
    <t xml:space="preserve">INV-000902</t>
  </si>
  <si>
    <t xml:space="preserve">INV-000903</t>
  </si>
  <si>
    <t xml:space="preserve">INV-000904</t>
  </si>
  <si>
    <t xml:space="preserve">INV-000905</t>
  </si>
  <si>
    <t xml:space="preserve">INV-000906</t>
  </si>
  <si>
    <t xml:space="preserve">INV-000907</t>
  </si>
  <si>
    <t xml:space="preserve">INV-000908</t>
  </si>
  <si>
    <t xml:space="preserve">INV-000909</t>
  </si>
  <si>
    <t xml:space="preserve">INV-000910</t>
  </si>
  <si>
    <t xml:space="preserve">INV-000911</t>
  </si>
  <si>
    <t xml:space="preserve">INV-000912</t>
  </si>
  <si>
    <t xml:space="preserve">INV-000913</t>
  </si>
  <si>
    <t xml:space="preserve">INV-000914</t>
  </si>
  <si>
    <t xml:space="preserve">INV-000915</t>
  </si>
  <si>
    <t xml:space="preserve">INV-000916</t>
  </si>
  <si>
    <t xml:space="preserve">INV-000917</t>
  </si>
  <si>
    <t xml:space="preserve">INV-000918</t>
  </si>
  <si>
    <t xml:space="preserve">INV-000919</t>
  </si>
  <si>
    <t xml:space="preserve">INV-000920</t>
  </si>
  <si>
    <t xml:space="preserve">INV-000921</t>
  </si>
  <si>
    <t xml:space="preserve">INV-000922</t>
  </si>
  <si>
    <t xml:space="preserve">INV-000923</t>
  </si>
  <si>
    <t xml:space="preserve">INV-000924</t>
  </si>
  <si>
    <t xml:space="preserve">INV-000925</t>
  </si>
  <si>
    <t xml:space="preserve">INV-000926</t>
  </si>
  <si>
    <t xml:space="preserve">INV-000927</t>
  </si>
  <si>
    <t xml:space="preserve">INV-000928</t>
  </si>
  <si>
    <t xml:space="preserve">INV-000929</t>
  </si>
  <si>
    <t xml:space="preserve">INV-000930</t>
  </si>
  <si>
    <t xml:space="preserve">INV-000931</t>
  </si>
  <si>
    <t xml:space="preserve">INV-000932</t>
  </si>
  <si>
    <t xml:space="preserve">INV-000933</t>
  </si>
  <si>
    <t xml:space="preserve">INV-000934</t>
  </si>
  <si>
    <t xml:space="preserve">INV-000935</t>
  </si>
  <si>
    <t xml:space="preserve">INV-000936</t>
  </si>
  <si>
    <t xml:space="preserve">INV-000937</t>
  </si>
  <si>
    <t xml:space="preserve">INV-000938</t>
  </si>
  <si>
    <t xml:space="preserve">INV-000939</t>
  </si>
  <si>
    <t xml:space="preserve">INV-000940</t>
  </si>
  <si>
    <t xml:space="preserve">INV-000941</t>
  </si>
  <si>
    <t xml:space="preserve">INV-000942</t>
  </si>
  <si>
    <t xml:space="preserve">INV-000943</t>
  </si>
  <si>
    <t xml:space="preserve">INV-000944</t>
  </si>
  <si>
    <t xml:space="preserve">INV-000945</t>
  </si>
  <si>
    <t xml:space="preserve">INV-000946</t>
  </si>
  <si>
    <t xml:space="preserve">INV-000947</t>
  </si>
  <si>
    <t xml:space="preserve">INV-000948</t>
  </si>
  <si>
    <t xml:space="preserve">INV-000949</t>
  </si>
  <si>
    <t xml:space="preserve">INV-000950</t>
  </si>
  <si>
    <t xml:space="preserve">INV-000951</t>
  </si>
  <si>
    <t xml:space="preserve">INV-000952</t>
  </si>
  <si>
    <t xml:space="preserve">INV-000953</t>
  </si>
  <si>
    <t xml:space="preserve">INV-000954</t>
  </si>
  <si>
    <t xml:space="preserve">INV-000955</t>
  </si>
  <si>
    <t xml:space="preserve">INV-000956</t>
  </si>
  <si>
    <t xml:space="preserve">INV-000957</t>
  </si>
  <si>
    <t xml:space="preserve">INV-000958</t>
  </si>
  <si>
    <t xml:space="preserve">INV-000959</t>
  </si>
  <si>
    <t xml:space="preserve">INV-000960</t>
  </si>
  <si>
    <t xml:space="preserve">INV-000961</t>
  </si>
  <si>
    <t xml:space="preserve">INV-000962</t>
  </si>
  <si>
    <t xml:space="preserve">INV-000963</t>
  </si>
  <si>
    <t xml:space="preserve">INV-000964</t>
  </si>
  <si>
    <t xml:space="preserve">INV-000965</t>
  </si>
  <si>
    <t xml:space="preserve">INV-000966</t>
  </si>
  <si>
    <t xml:space="preserve">INV-000967</t>
  </si>
  <si>
    <t xml:space="preserve">INV-000968</t>
  </si>
  <si>
    <t xml:space="preserve">INV-000969</t>
  </si>
  <si>
    <t xml:space="preserve">INV-000970</t>
  </si>
  <si>
    <t xml:space="preserve">INV-000971</t>
  </si>
  <si>
    <t xml:space="preserve">INV-000972</t>
  </si>
  <si>
    <t xml:space="preserve">INV-000973</t>
  </si>
  <si>
    <t xml:space="preserve">INV-000974</t>
  </si>
  <si>
    <t xml:space="preserve">INV-000975</t>
  </si>
  <si>
    <t xml:space="preserve">INV-000976</t>
  </si>
  <si>
    <t xml:space="preserve">INV-000977</t>
  </si>
  <si>
    <t xml:space="preserve">INV-000978</t>
  </si>
  <si>
    <t xml:space="preserve">INV-000979</t>
  </si>
  <si>
    <t xml:space="preserve">INV-000980</t>
  </si>
  <si>
    <t xml:space="preserve">INV-000981</t>
  </si>
  <si>
    <t xml:space="preserve">INV-000982</t>
  </si>
  <si>
    <t xml:space="preserve">INV-000983</t>
  </si>
  <si>
    <t xml:space="preserve">INV-000984</t>
  </si>
  <si>
    <t xml:space="preserve">INV-000985</t>
  </si>
  <si>
    <t xml:space="preserve">INV-000986</t>
  </si>
  <si>
    <t xml:space="preserve">INV-000987</t>
  </si>
  <si>
    <t xml:space="preserve">INV-000988</t>
  </si>
  <si>
    <t xml:space="preserve">INV-000989</t>
  </si>
  <si>
    <t xml:space="preserve">INV-000990</t>
  </si>
  <si>
    <t xml:space="preserve">INV-000991</t>
  </si>
  <si>
    <t xml:space="preserve">INV-000992</t>
  </si>
  <si>
    <t xml:space="preserve">INV-000993</t>
  </si>
  <si>
    <t xml:space="preserve">INV-000994</t>
  </si>
  <si>
    <t xml:space="preserve">INV-000995</t>
  </si>
  <si>
    <t xml:space="preserve">INV-000996</t>
  </si>
  <si>
    <t xml:space="preserve">INV-000997</t>
  </si>
  <si>
    <t xml:space="preserve">INV-000998</t>
  </si>
  <si>
    <t xml:space="preserve">INV-000999</t>
  </si>
  <si>
    <t xml:space="preserve">INV-001000</t>
  </si>
  <si>
    <t xml:space="preserve">INV-001001</t>
  </si>
  <si>
    <t xml:space="preserve">INV-001002</t>
  </si>
  <si>
    <t xml:space="preserve">INV-001003</t>
  </si>
  <si>
    <t xml:space="preserve">INV-001004</t>
  </si>
  <si>
    <t xml:space="preserve">INV-001005</t>
  </si>
  <si>
    <t xml:space="preserve">INV-001006</t>
  </si>
  <si>
    <t xml:space="preserve">INV-001007</t>
  </si>
  <si>
    <t xml:space="preserve">INV-001008</t>
  </si>
  <si>
    <t xml:space="preserve">INV-001009</t>
  </si>
  <si>
    <t xml:space="preserve">INV-001010</t>
  </si>
  <si>
    <t xml:space="preserve">INV-001011</t>
  </si>
  <si>
    <t xml:space="preserve">INV-001012</t>
  </si>
  <si>
    <t xml:space="preserve">INV-001013</t>
  </si>
  <si>
    <t xml:space="preserve">INV-001014</t>
  </si>
  <si>
    <t xml:space="preserve">INV-001015</t>
  </si>
  <si>
    <t xml:space="preserve">INV-001016</t>
  </si>
  <si>
    <t xml:space="preserve">INV-001017</t>
  </si>
  <si>
    <t xml:space="preserve">INV-001018</t>
  </si>
  <si>
    <t xml:space="preserve">INV-001019</t>
  </si>
  <si>
    <t xml:space="preserve">INV-001020</t>
  </si>
  <si>
    <t xml:space="preserve">INV-001021</t>
  </si>
  <si>
    <t xml:space="preserve">INV-001022</t>
  </si>
  <si>
    <t xml:space="preserve">INV-001023</t>
  </si>
  <si>
    <t xml:space="preserve">INV-001024</t>
  </si>
  <si>
    <t xml:space="preserve">INV-001025</t>
  </si>
  <si>
    <t xml:space="preserve">INV-001026</t>
  </si>
  <si>
    <t xml:space="preserve">INV-001027</t>
  </si>
  <si>
    <t xml:space="preserve">INV-001028</t>
  </si>
  <si>
    <t xml:space="preserve">INV-001029</t>
  </si>
  <si>
    <t xml:space="preserve">INV-001030</t>
  </si>
  <si>
    <t xml:space="preserve">INV-001031</t>
  </si>
  <si>
    <t xml:space="preserve">INV-001032</t>
  </si>
  <si>
    <t xml:space="preserve">INV-001033</t>
  </si>
  <si>
    <t xml:space="preserve">INV-001034</t>
  </si>
  <si>
    <t xml:space="preserve">INV-001035</t>
  </si>
  <si>
    <t xml:space="preserve">INV-001036</t>
  </si>
  <si>
    <t xml:space="preserve">INV-001037</t>
  </si>
  <si>
    <t xml:space="preserve">INV-001038</t>
  </si>
  <si>
    <t xml:space="preserve">INV-001039</t>
  </si>
  <si>
    <t xml:space="preserve">INV-001040</t>
  </si>
  <si>
    <t xml:space="preserve">INV-001041</t>
  </si>
  <si>
    <t xml:space="preserve">INV-001042</t>
  </si>
  <si>
    <t xml:space="preserve">INV-001043</t>
  </si>
  <si>
    <t xml:space="preserve">INV-001044</t>
  </si>
  <si>
    <t xml:space="preserve">INV-001045</t>
  </si>
  <si>
    <t xml:space="preserve">INV-001046</t>
  </si>
  <si>
    <t xml:space="preserve">INV-001047</t>
  </si>
  <si>
    <t xml:space="preserve">INV-001048</t>
  </si>
  <si>
    <t xml:space="preserve">INV-001049</t>
  </si>
  <si>
    <t xml:space="preserve">INV-001050</t>
  </si>
  <si>
    <t xml:space="preserve">INV-001051</t>
  </si>
  <si>
    <t xml:space="preserve">INV-001052</t>
  </si>
  <si>
    <t xml:space="preserve">INV-001053</t>
  </si>
  <si>
    <t xml:space="preserve">INV-001054</t>
  </si>
  <si>
    <t xml:space="preserve">INV-001055</t>
  </si>
  <si>
    <t xml:space="preserve">INV-001056</t>
  </si>
  <si>
    <t xml:space="preserve">INV-001057</t>
  </si>
  <si>
    <t xml:space="preserve">INV-001058</t>
  </si>
  <si>
    <t xml:space="preserve">INV-001059</t>
  </si>
  <si>
    <t xml:space="preserve">INV-001060</t>
  </si>
  <si>
    <t xml:space="preserve">INV-001061</t>
  </si>
  <si>
    <t xml:space="preserve">INV-001062</t>
  </si>
  <si>
    <t xml:space="preserve">INV-001063</t>
  </si>
  <si>
    <t xml:space="preserve">INV-001064</t>
  </si>
  <si>
    <t xml:space="preserve">INV-001065</t>
  </si>
  <si>
    <t xml:space="preserve">INV-001066</t>
  </si>
  <si>
    <t xml:space="preserve">INV-001067</t>
  </si>
  <si>
    <t xml:space="preserve">INV-001068</t>
  </si>
  <si>
    <t xml:space="preserve">INV-001069</t>
  </si>
  <si>
    <t xml:space="preserve">INV-001070</t>
  </si>
  <si>
    <t xml:space="preserve">INV-001071</t>
  </si>
  <si>
    <t xml:space="preserve">INV-001072</t>
  </si>
  <si>
    <t xml:space="preserve">INV-001073</t>
  </si>
  <si>
    <t xml:space="preserve">INV-001074</t>
  </si>
  <si>
    <t xml:space="preserve">INV-001075</t>
  </si>
  <si>
    <t xml:space="preserve">INV-001076</t>
  </si>
  <si>
    <t xml:space="preserve">INV-001077</t>
  </si>
  <si>
    <t xml:space="preserve">INV-001078</t>
  </si>
  <si>
    <t xml:space="preserve">INV-001079</t>
  </si>
  <si>
    <t xml:space="preserve">INV-001080</t>
  </si>
  <si>
    <t xml:space="preserve">INV-001081</t>
  </si>
  <si>
    <t xml:space="preserve">INV-001082</t>
  </si>
  <si>
    <t xml:space="preserve">INV-001083</t>
  </si>
  <si>
    <t xml:space="preserve">INV-001084</t>
  </si>
  <si>
    <t xml:space="preserve">INV-001085</t>
  </si>
  <si>
    <t xml:space="preserve">INV-001086</t>
  </si>
  <si>
    <t xml:space="preserve">INV-001087</t>
  </si>
  <si>
    <t xml:space="preserve">INV-001088</t>
  </si>
  <si>
    <t xml:space="preserve">INV-001089</t>
  </si>
  <si>
    <t xml:space="preserve">INV-001090</t>
  </si>
  <si>
    <t xml:space="preserve">INV-001091</t>
  </si>
  <si>
    <t xml:space="preserve">INV-001092</t>
  </si>
  <si>
    <t xml:space="preserve">INV-001093</t>
  </si>
  <si>
    <t xml:space="preserve">INV-001094</t>
  </si>
  <si>
    <t xml:space="preserve">INV-001095</t>
  </si>
  <si>
    <t xml:space="preserve">INV-001096</t>
  </si>
  <si>
    <t xml:space="preserve">INV-001097</t>
  </si>
  <si>
    <t xml:space="preserve">INV-001098</t>
  </si>
  <si>
    <t xml:space="preserve">INV-001099</t>
  </si>
  <si>
    <t xml:space="preserve">INV-001100</t>
  </si>
  <si>
    <t xml:space="preserve">INV-001101</t>
  </si>
  <si>
    <t xml:space="preserve">INV-001102</t>
  </si>
  <si>
    <t xml:space="preserve">INV-001103</t>
  </si>
  <si>
    <t xml:space="preserve">INV-001104</t>
  </si>
  <si>
    <t xml:space="preserve">INV-001105</t>
  </si>
  <si>
    <t xml:space="preserve">INV-001106</t>
  </si>
  <si>
    <t xml:space="preserve">INV-001107</t>
  </si>
  <si>
    <t xml:space="preserve">INV-001108</t>
  </si>
  <si>
    <t xml:space="preserve">INV-001109</t>
  </si>
  <si>
    <t xml:space="preserve">INV-001110</t>
  </si>
  <si>
    <t xml:space="preserve">INV-001111</t>
  </si>
  <si>
    <t xml:space="preserve">INV-001112</t>
  </si>
  <si>
    <t xml:space="preserve">INV-001113</t>
  </si>
  <si>
    <t xml:space="preserve">INV-001114</t>
  </si>
  <si>
    <t xml:space="preserve">INV-001115</t>
  </si>
  <si>
    <t xml:space="preserve">INV-001116</t>
  </si>
  <si>
    <t xml:space="preserve">INV-001117</t>
  </si>
  <si>
    <t xml:space="preserve">INV-001118</t>
  </si>
  <si>
    <t xml:space="preserve">INV-001119</t>
  </si>
  <si>
    <t xml:space="preserve">INV-001120</t>
  </si>
  <si>
    <t xml:space="preserve">INV-001121</t>
  </si>
  <si>
    <t xml:space="preserve">INV-001122</t>
  </si>
  <si>
    <t xml:space="preserve">INV-001123</t>
  </si>
  <si>
    <t xml:space="preserve">INV-001124</t>
  </si>
  <si>
    <t xml:space="preserve">INV-001125</t>
  </si>
  <si>
    <t xml:space="preserve">INV-001126</t>
  </si>
  <si>
    <t xml:space="preserve">INV-001127</t>
  </si>
  <si>
    <t xml:space="preserve">INV-001128</t>
  </si>
  <si>
    <t xml:space="preserve">INV-001129</t>
  </si>
  <si>
    <t xml:space="preserve">INV-001130</t>
  </si>
  <si>
    <t xml:space="preserve">INV-001131</t>
  </si>
  <si>
    <t xml:space="preserve">INV-001132</t>
  </si>
  <si>
    <t xml:space="preserve">INV-001133</t>
  </si>
  <si>
    <t xml:space="preserve">INV-001134</t>
  </si>
  <si>
    <t xml:space="preserve">INV-001135</t>
  </si>
  <si>
    <t xml:space="preserve">INV-001136</t>
  </si>
  <si>
    <t xml:space="preserve">INV-001137</t>
  </si>
  <si>
    <t xml:space="preserve">INV-001138</t>
  </si>
  <si>
    <t xml:space="preserve">INV-001139</t>
  </si>
  <si>
    <t xml:space="preserve">INV-001140</t>
  </si>
  <si>
    <t xml:space="preserve">INV-001141</t>
  </si>
  <si>
    <t xml:space="preserve">INV-001142</t>
  </si>
  <si>
    <t xml:space="preserve">INV-001143</t>
  </si>
  <si>
    <t xml:space="preserve">INV-001144</t>
  </si>
  <si>
    <t xml:space="preserve">INV-001145</t>
  </si>
  <si>
    <t xml:space="preserve">INV-001146</t>
  </si>
  <si>
    <t xml:space="preserve">INV-001147</t>
  </si>
  <si>
    <t xml:space="preserve">INV-001148</t>
  </si>
  <si>
    <t xml:space="preserve">INV-001149</t>
  </si>
  <si>
    <t xml:space="preserve">INV-001150</t>
  </si>
  <si>
    <t xml:space="preserve">INV-001151</t>
  </si>
  <si>
    <t xml:space="preserve">INV-001152</t>
  </si>
  <si>
    <t xml:space="preserve">INV-001153</t>
  </si>
  <si>
    <t xml:space="preserve">INV-001154</t>
  </si>
  <si>
    <t xml:space="preserve">INV-001155</t>
  </si>
  <si>
    <t xml:space="preserve">INV-001156</t>
  </si>
  <si>
    <t xml:space="preserve">INV-001157</t>
  </si>
  <si>
    <t xml:space="preserve">INV-001158</t>
  </si>
  <si>
    <t xml:space="preserve">INV-001159</t>
  </si>
  <si>
    <t xml:space="preserve">INV-001160</t>
  </si>
  <si>
    <t xml:space="preserve">INV-001161</t>
  </si>
  <si>
    <t xml:space="preserve">INV-001162</t>
  </si>
  <si>
    <t xml:space="preserve">INV-001163</t>
  </si>
  <si>
    <t xml:space="preserve">INV-001164</t>
  </si>
  <si>
    <t xml:space="preserve">INV-001165</t>
  </si>
  <si>
    <t xml:space="preserve">INV-001166</t>
  </si>
  <si>
    <t xml:space="preserve">INV-001167</t>
  </si>
  <si>
    <t xml:space="preserve">INV-001168</t>
  </si>
  <si>
    <t xml:space="preserve">INV-001169</t>
  </si>
  <si>
    <t xml:space="preserve">INV-001170</t>
  </si>
  <si>
    <t xml:space="preserve">INV-001171</t>
  </si>
  <si>
    <t xml:space="preserve">INV-001172</t>
  </si>
  <si>
    <t xml:space="preserve">INV-001173</t>
  </si>
  <si>
    <t xml:space="preserve">INV-001174</t>
  </si>
  <si>
    <t xml:space="preserve">INV-001175</t>
  </si>
  <si>
    <t xml:space="preserve">INV-001176</t>
  </si>
  <si>
    <t xml:space="preserve">INV-001177</t>
  </si>
  <si>
    <t xml:space="preserve">INV-001178</t>
  </si>
  <si>
    <t xml:space="preserve">INV-001179</t>
  </si>
  <si>
    <t xml:space="preserve">INV-001180</t>
  </si>
  <si>
    <t xml:space="preserve">INV-001181</t>
  </si>
  <si>
    <t xml:space="preserve">INV-001182</t>
  </si>
  <si>
    <t xml:space="preserve">INV-001183</t>
  </si>
  <si>
    <t xml:space="preserve">INV-001184</t>
  </si>
  <si>
    <t xml:space="preserve">INV-001185</t>
  </si>
  <si>
    <t xml:space="preserve">INV-001186</t>
  </si>
  <si>
    <t xml:space="preserve">INV-001187</t>
  </si>
  <si>
    <t xml:space="preserve">INV-001188</t>
  </si>
  <si>
    <t xml:space="preserve">INV-001189</t>
  </si>
  <si>
    <t xml:space="preserve">INV-001190</t>
  </si>
  <si>
    <t xml:space="preserve">INV-001191</t>
  </si>
  <si>
    <t xml:space="preserve">INV-001192</t>
  </si>
  <si>
    <t xml:space="preserve">INV-001193</t>
  </si>
  <si>
    <t xml:space="preserve">INV-001194</t>
  </si>
  <si>
    <t xml:space="preserve">INV-001195</t>
  </si>
  <si>
    <t xml:space="preserve">INV-001196</t>
  </si>
  <si>
    <t xml:space="preserve">INV-001197</t>
  </si>
  <si>
    <t xml:space="preserve">INV-001198</t>
  </si>
  <si>
    <t xml:space="preserve">INV-001199</t>
  </si>
  <si>
    <t xml:space="preserve">INV-001200</t>
  </si>
  <si>
    <t xml:space="preserve">INV-001201</t>
  </si>
  <si>
    <t xml:space="preserve">INV-001202</t>
  </si>
  <si>
    <t xml:space="preserve">INV-001203</t>
  </si>
  <si>
    <t xml:space="preserve">INV-001204</t>
  </si>
  <si>
    <t xml:space="preserve">INV-001205</t>
  </si>
  <si>
    <t xml:space="preserve">INV-001206</t>
  </si>
  <si>
    <t xml:space="preserve">INV-001207</t>
  </si>
  <si>
    <t xml:space="preserve">INV-001208</t>
  </si>
  <si>
    <t xml:space="preserve">INV-001209</t>
  </si>
  <si>
    <t xml:space="preserve">INV-001210</t>
  </si>
  <si>
    <t xml:space="preserve">INV-001211</t>
  </si>
  <si>
    <t xml:space="preserve">INV-001212</t>
  </si>
  <si>
    <t xml:space="preserve">INV-001213</t>
  </si>
  <si>
    <t xml:space="preserve">INV-001214</t>
  </si>
  <si>
    <t xml:space="preserve">INV-001215</t>
  </si>
  <si>
    <t xml:space="preserve">INV-001216</t>
  </si>
  <si>
    <t xml:space="preserve">INV-001217</t>
  </si>
  <si>
    <t xml:space="preserve">INV-001218</t>
  </si>
  <si>
    <t xml:space="preserve">INV-001219</t>
  </si>
  <si>
    <t xml:space="preserve">INV-001220</t>
  </si>
  <si>
    <t xml:space="preserve">INV-001221</t>
  </si>
  <si>
    <t xml:space="preserve">INV-001222</t>
  </si>
  <si>
    <t xml:space="preserve">INV-001223</t>
  </si>
  <si>
    <t xml:space="preserve">INV-001224</t>
  </si>
  <si>
    <t xml:space="preserve">INV-001225</t>
  </si>
  <si>
    <t xml:space="preserve">INV-001226</t>
  </si>
  <si>
    <t xml:space="preserve">INV-001227</t>
  </si>
  <si>
    <t xml:space="preserve">INV-001228</t>
  </si>
  <si>
    <t xml:space="preserve">INV-001229</t>
  </si>
  <si>
    <t xml:space="preserve">INV-001230</t>
  </si>
  <si>
    <t xml:space="preserve">INV-001231</t>
  </si>
  <si>
    <t xml:space="preserve">INV-001232</t>
  </si>
  <si>
    <t xml:space="preserve">INV-001233</t>
  </si>
  <si>
    <t xml:space="preserve">INV-001234</t>
  </si>
  <si>
    <t xml:space="preserve">INV-001235</t>
  </si>
  <si>
    <t xml:space="preserve">INV-001236</t>
  </si>
  <si>
    <t xml:space="preserve">INV-001237</t>
  </si>
  <si>
    <t xml:space="preserve">INV-001238</t>
  </si>
  <si>
    <t xml:space="preserve">INV-001239</t>
  </si>
  <si>
    <t xml:space="preserve">INV-001240</t>
  </si>
  <si>
    <t xml:space="preserve">INV-001241</t>
  </si>
  <si>
    <t xml:space="preserve">INV-001242</t>
  </si>
  <si>
    <t xml:space="preserve">INV-001243</t>
  </si>
  <si>
    <t xml:space="preserve">INV-001244</t>
  </si>
  <si>
    <t xml:space="preserve">INV-001245</t>
  </si>
  <si>
    <t xml:space="preserve">INV-001246</t>
  </si>
  <si>
    <t xml:space="preserve">INV-001247</t>
  </si>
  <si>
    <t xml:space="preserve">INV-001248</t>
  </si>
  <si>
    <t xml:space="preserve">INV-001249</t>
  </si>
  <si>
    <t xml:space="preserve">INV-001250</t>
  </si>
  <si>
    <t xml:space="preserve">INV-001251</t>
  </si>
  <si>
    <t xml:space="preserve">INV-001252</t>
  </si>
  <si>
    <t xml:space="preserve">INV-001253</t>
  </si>
  <si>
    <t xml:space="preserve">INV-001254</t>
  </si>
  <si>
    <t xml:space="preserve">INV-001255</t>
  </si>
  <si>
    <t xml:space="preserve">INV-001256</t>
  </si>
  <si>
    <t xml:space="preserve">INV-001257</t>
  </si>
  <si>
    <t xml:space="preserve">INV-001258</t>
  </si>
  <si>
    <t xml:space="preserve">INV-001259</t>
  </si>
  <si>
    <t xml:space="preserve">INV-001260</t>
  </si>
  <si>
    <t xml:space="preserve">INV-001261</t>
  </si>
  <si>
    <t xml:space="preserve">INV-001262</t>
  </si>
  <si>
    <t xml:space="preserve">INV-001263</t>
  </si>
  <si>
    <t xml:space="preserve">INV-001264</t>
  </si>
  <si>
    <t xml:space="preserve">INV-001265</t>
  </si>
  <si>
    <t xml:space="preserve">INV-001266</t>
  </si>
  <si>
    <t xml:space="preserve">INV-001267</t>
  </si>
  <si>
    <t xml:space="preserve">INV-001268</t>
  </si>
  <si>
    <t xml:space="preserve">INV-001269</t>
  </si>
  <si>
    <t xml:space="preserve">INV-001270</t>
  </si>
  <si>
    <t xml:space="preserve">INV-001271</t>
  </si>
  <si>
    <t xml:space="preserve">INV-001272</t>
  </si>
  <si>
    <t xml:space="preserve">INV-001273</t>
  </si>
  <si>
    <t xml:space="preserve">INV-001274</t>
  </si>
  <si>
    <t xml:space="preserve">INV-001275</t>
  </si>
  <si>
    <t xml:space="preserve">INV-001276</t>
  </si>
  <si>
    <t xml:space="preserve">INV-001277</t>
  </si>
  <si>
    <t xml:space="preserve">INV-001278</t>
  </si>
  <si>
    <t xml:space="preserve">INV-001279</t>
  </si>
  <si>
    <t xml:space="preserve">INV-001280</t>
  </si>
  <si>
    <t xml:space="preserve">INV-001281</t>
  </si>
  <si>
    <t xml:space="preserve">INV-001282</t>
  </si>
  <si>
    <t xml:space="preserve">INV-001283</t>
  </si>
  <si>
    <t xml:space="preserve">INV-001284</t>
  </si>
  <si>
    <t xml:space="preserve">INV-001285</t>
  </si>
  <si>
    <t xml:space="preserve">INV-001286</t>
  </si>
  <si>
    <t xml:space="preserve">INV-001287</t>
  </si>
  <si>
    <t xml:space="preserve">INV-001288</t>
  </si>
  <si>
    <t xml:space="preserve">INV-001289</t>
  </si>
  <si>
    <t xml:space="preserve">INV-001290</t>
  </si>
  <si>
    <t xml:space="preserve">INV-001291</t>
  </si>
  <si>
    <t xml:space="preserve">INV-001292</t>
  </si>
  <si>
    <t xml:space="preserve">INV-001293</t>
  </si>
  <si>
    <t xml:space="preserve">INV-001294</t>
  </si>
  <si>
    <t xml:space="preserve">INV-001295</t>
  </si>
  <si>
    <t xml:space="preserve">INV-001296</t>
  </si>
  <si>
    <t xml:space="preserve">INV-001297</t>
  </si>
  <si>
    <t xml:space="preserve">INV-001298</t>
  </si>
  <si>
    <t xml:space="preserve">INV-001299</t>
  </si>
  <si>
    <t xml:space="preserve">INV-001300</t>
  </si>
  <si>
    <t xml:space="preserve">INV-001301</t>
  </si>
  <si>
    <t xml:space="preserve">INV-001302</t>
  </si>
  <si>
    <t xml:space="preserve">INV-001303</t>
  </si>
  <si>
    <t xml:space="preserve">INV-001304</t>
  </si>
  <si>
    <t xml:space="preserve">INV-001305</t>
  </si>
  <si>
    <t xml:space="preserve">INV-001306</t>
  </si>
  <si>
    <t xml:space="preserve">INV-001307</t>
  </si>
  <si>
    <t xml:space="preserve">INV-001308</t>
  </si>
  <si>
    <t xml:space="preserve">INV-001309</t>
  </si>
  <si>
    <t xml:space="preserve">INV-001310</t>
  </si>
  <si>
    <t xml:space="preserve">INV-001311</t>
  </si>
  <si>
    <t xml:space="preserve">INV-001312</t>
  </si>
  <si>
    <t xml:space="preserve">INV-001313</t>
  </si>
  <si>
    <t xml:space="preserve">INV-001314</t>
  </si>
  <si>
    <t xml:space="preserve">INV-001315</t>
  </si>
  <si>
    <t xml:space="preserve">INV-001316</t>
  </si>
  <si>
    <t xml:space="preserve">INV-001317</t>
  </si>
  <si>
    <t xml:space="preserve">INV-001318</t>
  </si>
  <si>
    <t xml:space="preserve">INV-001319</t>
  </si>
  <si>
    <t xml:space="preserve">INV-001320</t>
  </si>
  <si>
    <t xml:space="preserve">INV-001321</t>
  </si>
  <si>
    <t xml:space="preserve">INV-001322</t>
  </si>
  <si>
    <t xml:space="preserve">INV-001323</t>
  </si>
  <si>
    <t xml:space="preserve">INV-001324</t>
  </si>
  <si>
    <t xml:space="preserve">INV-001325</t>
  </si>
  <si>
    <t xml:space="preserve">INV-001326</t>
  </si>
  <si>
    <t xml:space="preserve">INV-001327</t>
  </si>
  <si>
    <t xml:space="preserve">INV-001328</t>
  </si>
  <si>
    <t xml:space="preserve">INV-001329</t>
  </si>
  <si>
    <t xml:space="preserve">INV-001330</t>
  </si>
  <si>
    <t xml:space="preserve">INV-001331</t>
  </si>
  <si>
    <t xml:space="preserve">INV-001332</t>
  </si>
  <si>
    <t xml:space="preserve">INV-001333</t>
  </si>
  <si>
    <t xml:space="preserve">INV-001334</t>
  </si>
  <si>
    <t xml:space="preserve">INV-001335</t>
  </si>
  <si>
    <t xml:space="preserve">INV-001336</t>
  </si>
  <si>
    <t xml:space="preserve">INV-001337</t>
  </si>
  <si>
    <t xml:space="preserve">INV-001338</t>
  </si>
  <si>
    <t xml:space="preserve">INV-001339</t>
  </si>
  <si>
    <t xml:space="preserve">INV-001340</t>
  </si>
  <si>
    <t xml:space="preserve">INV-001341</t>
  </si>
  <si>
    <t xml:space="preserve">INV-001342</t>
  </si>
  <si>
    <t xml:space="preserve">INV-001343</t>
  </si>
  <si>
    <t xml:space="preserve">INV-001344</t>
  </si>
  <si>
    <t xml:space="preserve">INV-001345</t>
  </si>
  <si>
    <t xml:space="preserve">INV-001346</t>
  </si>
  <si>
    <t xml:space="preserve">INV-001347</t>
  </si>
  <si>
    <t xml:space="preserve">INV-001348</t>
  </si>
  <si>
    <t xml:space="preserve">INV-001349</t>
  </si>
  <si>
    <t xml:space="preserve">INV-001350</t>
  </si>
  <si>
    <t xml:space="preserve">INV-001351</t>
  </si>
  <si>
    <t xml:space="preserve">INV-001352</t>
  </si>
  <si>
    <t xml:space="preserve">INV-001353</t>
  </si>
  <si>
    <t xml:space="preserve">INV-001354</t>
  </si>
  <si>
    <t xml:space="preserve">INV-001355</t>
  </si>
  <si>
    <t xml:space="preserve">INV-001356</t>
  </si>
  <si>
    <t xml:space="preserve">INV-001357</t>
  </si>
  <si>
    <t xml:space="preserve">INV-001358</t>
  </si>
  <si>
    <t xml:space="preserve">INV-001359</t>
  </si>
  <si>
    <t xml:space="preserve">INV-001360</t>
  </si>
  <si>
    <t xml:space="preserve">INV-001361</t>
  </si>
  <si>
    <t xml:space="preserve">INV-001362</t>
  </si>
  <si>
    <t xml:space="preserve">INV-001363</t>
  </si>
  <si>
    <t xml:space="preserve">INV-001364</t>
  </si>
  <si>
    <t xml:space="preserve">INV-001365</t>
  </si>
  <si>
    <t xml:space="preserve">INV-001366</t>
  </si>
  <si>
    <t xml:space="preserve">INV-001367</t>
  </si>
  <si>
    <t xml:space="preserve">INV-001368</t>
  </si>
  <si>
    <t xml:space="preserve">INV-001369</t>
  </si>
  <si>
    <t xml:space="preserve">INV-001370</t>
  </si>
  <si>
    <t xml:space="preserve">INV-001371</t>
  </si>
  <si>
    <t xml:space="preserve">INV-001372</t>
  </si>
  <si>
    <t xml:space="preserve">INV-001373</t>
  </si>
  <si>
    <t xml:space="preserve">INV-001374</t>
  </si>
  <si>
    <t xml:space="preserve">INV-001375</t>
  </si>
  <si>
    <t xml:space="preserve">INV-001376</t>
  </si>
  <si>
    <t xml:space="preserve">INV-001377</t>
  </si>
  <si>
    <t xml:space="preserve">INV-001378</t>
  </si>
  <si>
    <t xml:space="preserve">INV-001379</t>
  </si>
  <si>
    <t xml:space="preserve">INV-001380</t>
  </si>
  <si>
    <t xml:space="preserve">INV-001381</t>
  </si>
  <si>
    <t xml:space="preserve">INV-001382</t>
  </si>
  <si>
    <t xml:space="preserve">INV-001383</t>
  </si>
  <si>
    <t xml:space="preserve">INV-001384</t>
  </si>
  <si>
    <t xml:space="preserve">INV-001385</t>
  </si>
  <si>
    <t xml:space="preserve">INV-001386</t>
  </si>
  <si>
    <t xml:space="preserve">INV-001387</t>
  </si>
  <si>
    <t xml:space="preserve">INV-001388</t>
  </si>
  <si>
    <t xml:space="preserve">INV-001389</t>
  </si>
  <si>
    <t xml:space="preserve">INV-001390</t>
  </si>
  <si>
    <t xml:space="preserve">INV-001391</t>
  </si>
  <si>
    <t xml:space="preserve">INV-001392</t>
  </si>
  <si>
    <t xml:space="preserve">INV-001393</t>
  </si>
  <si>
    <t xml:space="preserve">INV-001394</t>
  </si>
  <si>
    <t xml:space="preserve">INV-001395</t>
  </si>
  <si>
    <t xml:space="preserve">INV-001396</t>
  </si>
  <si>
    <t xml:space="preserve">INV-001397</t>
  </si>
  <si>
    <t xml:space="preserve">INV-001398</t>
  </si>
  <si>
    <t xml:space="preserve">INV-001399</t>
  </si>
  <si>
    <t xml:space="preserve">INV-001400</t>
  </si>
  <si>
    <t xml:space="preserve">INV-001401</t>
  </si>
  <si>
    <t xml:space="preserve">INV-001402</t>
  </si>
  <si>
    <t xml:space="preserve">INV-001403</t>
  </si>
  <si>
    <t xml:space="preserve">INV-001404</t>
  </si>
  <si>
    <t xml:space="preserve">INV-001405</t>
  </si>
  <si>
    <t xml:space="preserve">INV-001406</t>
  </si>
  <si>
    <t xml:space="preserve">INV-001407</t>
  </si>
  <si>
    <t xml:space="preserve">INV-001408</t>
  </si>
  <si>
    <t xml:space="preserve">INV-001409</t>
  </si>
  <si>
    <t xml:space="preserve">INV-001410</t>
  </si>
  <si>
    <t xml:space="preserve">INV-001411</t>
  </si>
  <si>
    <t xml:space="preserve">INV-001412</t>
  </si>
  <si>
    <t xml:space="preserve">INV-001413</t>
  </si>
  <si>
    <t xml:space="preserve">INV-001414</t>
  </si>
  <si>
    <t xml:space="preserve">INV-001415</t>
  </si>
  <si>
    <t xml:space="preserve">INV-001416</t>
  </si>
  <si>
    <t xml:space="preserve">INV-001417</t>
  </si>
  <si>
    <t xml:space="preserve">INV-001418</t>
  </si>
  <si>
    <t xml:space="preserve">INV-001419</t>
  </si>
  <si>
    <t xml:space="preserve">INV-001420</t>
  </si>
  <si>
    <t xml:space="preserve">INV-001421</t>
  </si>
  <si>
    <t xml:space="preserve">INV-001422</t>
  </si>
  <si>
    <t xml:space="preserve">INV-001423</t>
  </si>
  <si>
    <t xml:space="preserve">INV-001424</t>
  </si>
  <si>
    <t xml:space="preserve">INV-001425</t>
  </si>
  <si>
    <t xml:space="preserve">INV-001426</t>
  </si>
  <si>
    <t xml:space="preserve">INV-001427</t>
  </si>
  <si>
    <t xml:space="preserve">INV-001428</t>
  </si>
  <si>
    <t xml:space="preserve">INV-001429</t>
  </si>
  <si>
    <t xml:space="preserve">INV-001430</t>
  </si>
  <si>
    <t xml:space="preserve">INV-001431</t>
  </si>
  <si>
    <t xml:space="preserve">INV-001432</t>
  </si>
  <si>
    <t xml:space="preserve">INV-001433</t>
  </si>
  <si>
    <t xml:space="preserve">INV-001434</t>
  </si>
  <si>
    <t xml:space="preserve">INV-001435</t>
  </si>
  <si>
    <t xml:space="preserve">INV-001436</t>
  </si>
  <si>
    <t xml:space="preserve">INV-001437</t>
  </si>
  <si>
    <t xml:space="preserve">INV-001438</t>
  </si>
  <si>
    <t xml:space="preserve">INV-001439</t>
  </si>
  <si>
    <t xml:space="preserve">INV-001440</t>
  </si>
  <si>
    <t xml:space="preserve">INV-001441</t>
  </si>
  <si>
    <t xml:space="preserve">INV-001442</t>
  </si>
  <si>
    <t xml:space="preserve">INV-001443</t>
  </si>
  <si>
    <t xml:space="preserve">INV-001444</t>
  </si>
  <si>
    <t xml:space="preserve">INV-001445</t>
  </si>
  <si>
    <t xml:space="preserve">INV-001446</t>
  </si>
  <si>
    <t xml:space="preserve">INV-001447</t>
  </si>
  <si>
    <t xml:space="preserve">INV-001448</t>
  </si>
  <si>
    <t xml:space="preserve">INV-001449</t>
  </si>
  <si>
    <t xml:space="preserve">INV-001450</t>
  </si>
  <si>
    <t xml:space="preserve">INV-001451</t>
  </si>
  <si>
    <t xml:space="preserve">INV-001452</t>
  </si>
  <si>
    <t xml:space="preserve">INV-001453</t>
  </si>
  <si>
    <t xml:space="preserve">INV-001454</t>
  </si>
  <si>
    <t xml:space="preserve">INV-001455</t>
  </si>
  <si>
    <t xml:space="preserve">INV-001456</t>
  </si>
  <si>
    <t xml:space="preserve">INV-001457</t>
  </si>
  <si>
    <t xml:space="preserve">INV-001458</t>
  </si>
  <si>
    <t xml:space="preserve">INV-001459</t>
  </si>
  <si>
    <t xml:space="preserve">INV-001460</t>
  </si>
  <si>
    <t xml:space="preserve">INV-001461</t>
  </si>
  <si>
    <t xml:space="preserve">INV-001462</t>
  </si>
  <si>
    <t xml:space="preserve">INV-001463</t>
  </si>
  <si>
    <t xml:space="preserve">INV-001464</t>
  </si>
  <si>
    <t xml:space="preserve">INV-001465</t>
  </si>
  <si>
    <t xml:space="preserve">INV-001466</t>
  </si>
  <si>
    <t xml:space="preserve">INV-001467</t>
  </si>
  <si>
    <t xml:space="preserve">INV-001468</t>
  </si>
  <si>
    <t xml:space="preserve">INV-001469</t>
  </si>
  <si>
    <t xml:space="preserve">INV-001470</t>
  </si>
  <si>
    <t xml:space="preserve">INV-001471</t>
  </si>
  <si>
    <t xml:space="preserve">INV-001472</t>
  </si>
  <si>
    <t xml:space="preserve">INV-001473</t>
  </si>
  <si>
    <t xml:space="preserve">INV-001474</t>
  </si>
  <si>
    <t xml:space="preserve">INV-001475</t>
  </si>
  <si>
    <t xml:space="preserve">INV-001476</t>
  </si>
  <si>
    <t xml:space="preserve">INV-001477</t>
  </si>
  <si>
    <t xml:space="preserve">INV-001478</t>
  </si>
  <si>
    <t xml:space="preserve">INV-001479</t>
  </si>
  <si>
    <t xml:space="preserve">INV-001480</t>
  </si>
  <si>
    <t xml:space="preserve">INV-001481</t>
  </si>
  <si>
    <t xml:space="preserve">INV-001482</t>
  </si>
  <si>
    <t xml:space="preserve">INV-001483</t>
  </si>
  <si>
    <t xml:space="preserve">INV-001484</t>
  </si>
  <si>
    <t xml:space="preserve">INV-001485</t>
  </si>
  <si>
    <t xml:space="preserve">INV-001486</t>
  </si>
  <si>
    <t xml:space="preserve">INV-001487</t>
  </si>
  <si>
    <t xml:space="preserve">INV-001488</t>
  </si>
  <si>
    <t xml:space="preserve">INV-001489</t>
  </si>
  <si>
    <t xml:space="preserve">INV-001490</t>
  </si>
  <si>
    <t xml:space="preserve">INV-001491</t>
  </si>
  <si>
    <t xml:space="preserve">INV-001492</t>
  </si>
  <si>
    <t xml:space="preserve">INV-001493</t>
  </si>
  <si>
    <t xml:space="preserve">INV-001494</t>
  </si>
  <si>
    <t xml:space="preserve">INV-001495</t>
  </si>
  <si>
    <t xml:space="preserve">INV-001496</t>
  </si>
  <si>
    <t xml:space="preserve">INV-001497</t>
  </si>
  <si>
    <t xml:space="preserve">INV-001498</t>
  </si>
  <si>
    <t xml:space="preserve">INV-001499</t>
  </si>
  <si>
    <t xml:space="preserve">INV-001500</t>
  </si>
  <si>
    <t xml:space="preserve">INV-001501</t>
  </si>
  <si>
    <t xml:space="preserve">INV-001502</t>
  </si>
  <si>
    <t xml:space="preserve">INV-001503</t>
  </si>
  <si>
    <t xml:space="preserve">INV-001504</t>
  </si>
  <si>
    <t xml:space="preserve">INV-001505</t>
  </si>
  <si>
    <t xml:space="preserve">INV-001506</t>
  </si>
  <si>
    <t xml:space="preserve">INV-001507</t>
  </si>
  <si>
    <t xml:space="preserve">INV-001508</t>
  </si>
  <si>
    <t xml:space="preserve">INV-001509</t>
  </si>
  <si>
    <t xml:space="preserve">INV-001510</t>
  </si>
  <si>
    <t xml:space="preserve">INV-001511</t>
  </si>
  <si>
    <t xml:space="preserve">INV-001512</t>
  </si>
  <si>
    <t xml:space="preserve">INV-001513</t>
  </si>
  <si>
    <t xml:space="preserve">INV-001514</t>
  </si>
  <si>
    <t xml:space="preserve">INV-001515</t>
  </si>
  <si>
    <t xml:space="preserve">INV-001516</t>
  </si>
  <si>
    <t xml:space="preserve">INV-001517</t>
  </si>
  <si>
    <t xml:space="preserve">INV-001518</t>
  </si>
  <si>
    <t xml:space="preserve">INV-001519</t>
  </si>
  <si>
    <t xml:space="preserve">INV-001520</t>
  </si>
  <si>
    <t xml:space="preserve">INV-001521</t>
  </si>
  <si>
    <t xml:space="preserve">INV-001522</t>
  </si>
  <si>
    <t xml:space="preserve">INV-001523</t>
  </si>
  <si>
    <t xml:space="preserve">INV-001524</t>
  </si>
  <si>
    <t xml:space="preserve">INV-001525</t>
  </si>
  <si>
    <t xml:space="preserve">INV-001526</t>
  </si>
  <si>
    <t xml:space="preserve">INV-001527</t>
  </si>
  <si>
    <t xml:space="preserve">INV-001528</t>
  </si>
  <si>
    <t xml:space="preserve">INV-001529</t>
  </si>
  <si>
    <t xml:space="preserve">INV-001530</t>
  </si>
  <si>
    <t xml:space="preserve">INV-001531</t>
  </si>
  <si>
    <t xml:space="preserve">INV-001532</t>
  </si>
  <si>
    <t xml:space="preserve">INV-001533</t>
  </si>
  <si>
    <t xml:space="preserve">INV-001534</t>
  </si>
  <si>
    <t xml:space="preserve">INV-001535</t>
  </si>
  <si>
    <t xml:space="preserve">INV-001536</t>
  </si>
  <si>
    <t xml:space="preserve">INV-001537</t>
  </si>
  <si>
    <t xml:space="preserve">INV-001538</t>
  </si>
  <si>
    <t xml:space="preserve">INV-001539</t>
  </si>
  <si>
    <t xml:space="preserve">INV-001540</t>
  </si>
  <si>
    <t xml:space="preserve">INV-001541</t>
  </si>
  <si>
    <t xml:space="preserve">INV-001542</t>
  </si>
  <si>
    <t xml:space="preserve">INV-001543</t>
  </si>
  <si>
    <t xml:space="preserve">INV-001544</t>
  </si>
  <si>
    <t xml:space="preserve">INV-001545</t>
  </si>
  <si>
    <t xml:space="preserve">INV-001546</t>
  </si>
  <si>
    <t xml:space="preserve">INV-001547</t>
  </si>
  <si>
    <t xml:space="preserve">INV-001548</t>
  </si>
  <si>
    <t xml:space="preserve">INV-001549</t>
  </si>
  <si>
    <t xml:space="preserve">INV-001550</t>
  </si>
  <si>
    <t xml:space="preserve">INV-001551</t>
  </si>
  <si>
    <t xml:space="preserve">INV-001552</t>
  </si>
  <si>
    <t xml:space="preserve">INV-001553</t>
  </si>
  <si>
    <t xml:space="preserve">INV-001554</t>
  </si>
  <si>
    <t xml:space="preserve">INV-001555</t>
  </si>
  <si>
    <t xml:space="preserve">INV-001556</t>
  </si>
  <si>
    <t xml:space="preserve">INV-001557</t>
  </si>
  <si>
    <t xml:space="preserve">INV-001558</t>
  </si>
  <si>
    <t xml:space="preserve">INV-001559</t>
  </si>
  <si>
    <t xml:space="preserve">INV-001560</t>
  </si>
  <si>
    <t xml:space="preserve">INV-001561</t>
  </si>
  <si>
    <t xml:space="preserve">INV-001562</t>
  </si>
  <si>
    <t xml:space="preserve">INV-001563</t>
  </si>
  <si>
    <t xml:space="preserve">INV-001564</t>
  </si>
  <si>
    <t xml:space="preserve">INV-001565</t>
  </si>
  <si>
    <t xml:space="preserve">INV-001566</t>
  </si>
  <si>
    <t xml:space="preserve">INV-001567</t>
  </si>
  <si>
    <t xml:space="preserve">INV-001568</t>
  </si>
  <si>
    <t xml:space="preserve">INV-001569</t>
  </si>
  <si>
    <t xml:space="preserve">INV-001570</t>
  </si>
  <si>
    <t xml:space="preserve">INV-001571</t>
  </si>
  <si>
    <t xml:space="preserve">INV-001572</t>
  </si>
  <si>
    <t xml:space="preserve">INV-001573</t>
  </si>
  <si>
    <t xml:space="preserve">INV-001574</t>
  </si>
  <si>
    <t xml:space="preserve">INV-001575</t>
  </si>
  <si>
    <t xml:space="preserve">INV-001576</t>
  </si>
  <si>
    <t xml:space="preserve">INV-001577</t>
  </si>
  <si>
    <t xml:space="preserve">INV-001578</t>
  </si>
  <si>
    <t xml:space="preserve">INV-001579</t>
  </si>
  <si>
    <t xml:space="preserve">INV-001580</t>
  </si>
  <si>
    <t xml:space="preserve">INV-001581</t>
  </si>
  <si>
    <t xml:space="preserve">INV-001582</t>
  </si>
  <si>
    <t xml:space="preserve">INV-001583</t>
  </si>
  <si>
    <t xml:space="preserve">INV-001584</t>
  </si>
  <si>
    <t xml:space="preserve">INV-001585</t>
  </si>
  <si>
    <t xml:space="preserve">INV-001586</t>
  </si>
  <si>
    <t xml:space="preserve">INV-001587</t>
  </si>
  <si>
    <t xml:space="preserve">INV-001588</t>
  </si>
  <si>
    <t xml:space="preserve">INV-001589</t>
  </si>
  <si>
    <t xml:space="preserve">INV-001590</t>
  </si>
  <si>
    <t xml:space="preserve">INV-001591</t>
  </si>
  <si>
    <t xml:space="preserve">INV-001592</t>
  </si>
  <si>
    <t xml:space="preserve">INV-001593</t>
  </si>
  <si>
    <t xml:space="preserve">INV-001594</t>
  </si>
  <si>
    <t xml:space="preserve">INV-001595</t>
  </si>
  <si>
    <t xml:space="preserve">INV-001596</t>
  </si>
  <si>
    <t xml:space="preserve">INV-001597</t>
  </si>
  <si>
    <t xml:space="preserve">INV-001598</t>
  </si>
  <si>
    <t xml:space="preserve">INV-001599</t>
  </si>
  <si>
    <t xml:space="preserve">INV-001600</t>
  </si>
  <si>
    <t xml:space="preserve">INV-001601</t>
  </si>
  <si>
    <t xml:space="preserve">INV-001602</t>
  </si>
  <si>
    <t xml:space="preserve">INV-001603</t>
  </si>
  <si>
    <t xml:space="preserve">INV-001604</t>
  </si>
  <si>
    <t xml:space="preserve">INV-001605</t>
  </si>
  <si>
    <t xml:space="preserve">INV-001606</t>
  </si>
  <si>
    <t xml:space="preserve">INV-001607</t>
  </si>
  <si>
    <t xml:space="preserve">INV-001608</t>
  </si>
  <si>
    <t xml:space="preserve">INV-001609</t>
  </si>
  <si>
    <t xml:space="preserve">INV-001610</t>
  </si>
  <si>
    <t xml:space="preserve">INV-001611</t>
  </si>
  <si>
    <t xml:space="preserve">INV-001612</t>
  </si>
  <si>
    <t xml:space="preserve">INV-001613</t>
  </si>
  <si>
    <t xml:space="preserve">INV-001614</t>
  </si>
  <si>
    <t xml:space="preserve">INV-001615</t>
  </si>
  <si>
    <t xml:space="preserve">INV-001616</t>
  </si>
  <si>
    <t xml:space="preserve">INV-001617</t>
  </si>
  <si>
    <t xml:space="preserve">INV-001618</t>
  </si>
  <si>
    <t xml:space="preserve">INV-001619</t>
  </si>
  <si>
    <t xml:space="preserve">INV-001620</t>
  </si>
  <si>
    <t xml:space="preserve">INV-001621</t>
  </si>
  <si>
    <t xml:space="preserve">INV-001622</t>
  </si>
  <si>
    <t xml:space="preserve">INV-001623</t>
  </si>
  <si>
    <t xml:space="preserve">INV-001624</t>
  </si>
  <si>
    <t xml:space="preserve">INV-001625</t>
  </si>
  <si>
    <t xml:space="preserve">INV-001626</t>
  </si>
  <si>
    <t xml:space="preserve">INV-001627</t>
  </si>
  <si>
    <t xml:space="preserve">INV-001628</t>
  </si>
  <si>
    <t xml:space="preserve">INV-001629</t>
  </si>
  <si>
    <t xml:space="preserve">INV-001630</t>
  </si>
  <si>
    <t xml:space="preserve">INV-001631</t>
  </si>
  <si>
    <t xml:space="preserve">INV-001632</t>
  </si>
  <si>
    <t xml:space="preserve">INV-001633</t>
  </si>
  <si>
    <t xml:space="preserve">INV-001634</t>
  </si>
  <si>
    <t xml:space="preserve">INV-001635</t>
  </si>
  <si>
    <t xml:space="preserve">INV-001636</t>
  </si>
  <si>
    <t xml:space="preserve">INV-001637</t>
  </si>
  <si>
    <t xml:space="preserve">INV-001638</t>
  </si>
  <si>
    <t xml:space="preserve">INV-001639</t>
  </si>
  <si>
    <t xml:space="preserve">INV-001640</t>
  </si>
  <si>
    <t xml:space="preserve">INV-001641</t>
  </si>
  <si>
    <t xml:space="preserve">INV-001642</t>
  </si>
  <si>
    <t xml:space="preserve">INV-001643</t>
  </si>
  <si>
    <t xml:space="preserve">INV-001644</t>
  </si>
  <si>
    <t xml:space="preserve">INV-001645</t>
  </si>
  <si>
    <t xml:space="preserve">INV-001646</t>
  </si>
  <si>
    <t xml:space="preserve">INV-001647</t>
  </si>
  <si>
    <t xml:space="preserve">INV-001648</t>
  </si>
  <si>
    <t xml:space="preserve">INV-001649</t>
  </si>
  <si>
    <t xml:space="preserve">INV-001650</t>
  </si>
  <si>
    <t xml:space="preserve">INV-001651</t>
  </si>
  <si>
    <t xml:space="preserve">INV-001652</t>
  </si>
  <si>
    <t xml:space="preserve">INV-001653</t>
  </si>
  <si>
    <t xml:space="preserve">INV-001654</t>
  </si>
  <si>
    <t xml:space="preserve">INV-001655</t>
  </si>
  <si>
    <t xml:space="preserve">INV-001656</t>
  </si>
  <si>
    <t xml:space="preserve">INV-001657</t>
  </si>
  <si>
    <t xml:space="preserve">INV-001658</t>
  </si>
  <si>
    <t xml:space="preserve">INV-001659</t>
  </si>
  <si>
    <t xml:space="preserve">INV-001660</t>
  </si>
  <si>
    <t xml:space="preserve">INV-001661</t>
  </si>
  <si>
    <t xml:space="preserve">INV-001662</t>
  </si>
  <si>
    <t xml:space="preserve">INV-001663</t>
  </si>
  <si>
    <t xml:space="preserve">INV-001664</t>
  </si>
  <si>
    <t xml:space="preserve">INV-001665</t>
  </si>
  <si>
    <t xml:space="preserve">INV-001666</t>
  </si>
  <si>
    <t xml:space="preserve">INV-001667</t>
  </si>
  <si>
    <t xml:space="preserve">INV-001668</t>
  </si>
  <si>
    <t xml:space="preserve">INV-001669</t>
  </si>
  <si>
    <t xml:space="preserve">INV-001670</t>
  </si>
  <si>
    <t xml:space="preserve">INV-001671</t>
  </si>
  <si>
    <t xml:space="preserve">INV-001672</t>
  </si>
  <si>
    <t xml:space="preserve">INV-001673</t>
  </si>
  <si>
    <t xml:space="preserve">INV-001674</t>
  </si>
  <si>
    <t xml:space="preserve">INV-001675</t>
  </si>
  <si>
    <t xml:space="preserve">INV-001676</t>
  </si>
  <si>
    <t xml:space="preserve">INV-001677</t>
  </si>
  <si>
    <t xml:space="preserve">INV-001678</t>
  </si>
  <si>
    <t xml:space="preserve">INV-001679</t>
  </si>
  <si>
    <t xml:space="preserve">INV-001680</t>
  </si>
  <si>
    <t xml:space="preserve">INV-001681</t>
  </si>
  <si>
    <t xml:space="preserve">INV-001682</t>
  </si>
  <si>
    <t xml:space="preserve">INV-001683</t>
  </si>
  <si>
    <t xml:space="preserve">INV-001684</t>
  </si>
  <si>
    <t xml:space="preserve">INV-001685</t>
  </si>
  <si>
    <t xml:space="preserve">INV-001686</t>
  </si>
  <si>
    <t xml:space="preserve">INV-001687</t>
  </si>
  <si>
    <t xml:space="preserve">INV-001688</t>
  </si>
  <si>
    <t xml:space="preserve">INV-001689</t>
  </si>
  <si>
    <t xml:space="preserve">INV-001690</t>
  </si>
  <si>
    <t xml:space="preserve">INV-001691</t>
  </si>
  <si>
    <t xml:space="preserve">INV-001692</t>
  </si>
  <si>
    <t xml:space="preserve">INV-001693</t>
  </si>
  <si>
    <t xml:space="preserve">INV-001694</t>
  </si>
  <si>
    <t xml:space="preserve">INV-001695</t>
  </si>
  <si>
    <t xml:space="preserve">INV-001696</t>
  </si>
  <si>
    <t xml:space="preserve">INV-001697</t>
  </si>
  <si>
    <t xml:space="preserve">INV-001698</t>
  </si>
  <si>
    <t xml:space="preserve">INV-001699</t>
  </si>
  <si>
    <t xml:space="preserve">INV-001700</t>
  </si>
  <si>
    <t xml:space="preserve">INV-001701</t>
  </si>
  <si>
    <t xml:space="preserve">INV-001702</t>
  </si>
  <si>
    <t xml:space="preserve">INV-001703</t>
  </si>
  <si>
    <t xml:space="preserve">INV-001704</t>
  </si>
  <si>
    <t xml:space="preserve">INV-001705</t>
  </si>
  <si>
    <t xml:space="preserve">INV-001706</t>
  </si>
  <si>
    <t xml:space="preserve">INV-001707</t>
  </si>
  <si>
    <t xml:space="preserve">INV-001708</t>
  </si>
  <si>
    <t xml:space="preserve">INV-001709</t>
  </si>
  <si>
    <t xml:space="preserve">INV-001710</t>
  </si>
  <si>
    <t xml:space="preserve">INV-001711</t>
  </si>
  <si>
    <t xml:space="preserve">INV-001712</t>
  </si>
  <si>
    <t xml:space="preserve">INV-001713</t>
  </si>
  <si>
    <t xml:space="preserve">INV-001714</t>
  </si>
  <si>
    <t xml:space="preserve">INV-001715</t>
  </si>
  <si>
    <t xml:space="preserve">INV-001716</t>
  </si>
  <si>
    <t xml:space="preserve">INV-001717</t>
  </si>
  <si>
    <t xml:space="preserve">INV-001718</t>
  </si>
  <si>
    <t xml:space="preserve">INV-001719</t>
  </si>
  <si>
    <t xml:space="preserve">INV-001720</t>
  </si>
  <si>
    <t xml:space="preserve">INV-001721</t>
  </si>
  <si>
    <t xml:space="preserve">INV-001722</t>
  </si>
  <si>
    <t xml:space="preserve">INV-001723</t>
  </si>
  <si>
    <t xml:space="preserve">INV-001724</t>
  </si>
  <si>
    <t xml:space="preserve">INV-001725</t>
  </si>
  <si>
    <t xml:space="preserve">INV-001726</t>
  </si>
  <si>
    <t xml:space="preserve">INV-001727</t>
  </si>
  <si>
    <t xml:space="preserve">INV-001728</t>
  </si>
  <si>
    <t xml:space="preserve">INV-001729</t>
  </si>
  <si>
    <t xml:space="preserve">INV-001730</t>
  </si>
  <si>
    <t xml:space="preserve">INV-001731</t>
  </si>
  <si>
    <t xml:space="preserve">INV-001732</t>
  </si>
  <si>
    <t xml:space="preserve">INV-001733</t>
  </si>
  <si>
    <t xml:space="preserve">INV-001734</t>
  </si>
  <si>
    <t xml:space="preserve">INV-001735</t>
  </si>
  <si>
    <t xml:space="preserve">INV-001736</t>
  </si>
  <si>
    <t xml:space="preserve">INV-001737</t>
  </si>
  <si>
    <t xml:space="preserve">INV-001738</t>
  </si>
  <si>
    <t xml:space="preserve">INV-001739</t>
  </si>
  <si>
    <t xml:space="preserve">INV-001740</t>
  </si>
  <si>
    <t xml:space="preserve">INV-001741</t>
  </si>
  <si>
    <t xml:space="preserve">INV-001742</t>
  </si>
  <si>
    <t xml:space="preserve">INV-001743</t>
  </si>
  <si>
    <t xml:space="preserve">INV-001744</t>
  </si>
  <si>
    <t xml:space="preserve">INV-001745</t>
  </si>
  <si>
    <t xml:space="preserve">INV-001746</t>
  </si>
  <si>
    <t xml:space="preserve">INV-001747</t>
  </si>
  <si>
    <t xml:space="preserve">INV-001748</t>
  </si>
  <si>
    <t xml:space="preserve">INV-001749</t>
  </si>
  <si>
    <t xml:space="preserve">INV-001750</t>
  </si>
  <si>
    <t xml:space="preserve">INV-001751</t>
  </si>
  <si>
    <t xml:space="preserve">INV-001752</t>
  </si>
  <si>
    <t xml:space="preserve">INV-001753</t>
  </si>
  <si>
    <t xml:space="preserve">INV-001754</t>
  </si>
  <si>
    <t xml:space="preserve">INV-001755</t>
  </si>
  <si>
    <t xml:space="preserve">INV-001756</t>
  </si>
  <si>
    <t xml:space="preserve">INV-001757</t>
  </si>
  <si>
    <t xml:space="preserve">INV-001758</t>
  </si>
  <si>
    <t xml:space="preserve">INV-001759</t>
  </si>
  <si>
    <t xml:space="preserve">INV-001760</t>
  </si>
  <si>
    <t xml:space="preserve">INV-001761</t>
  </si>
  <si>
    <t xml:space="preserve">INV-001762</t>
  </si>
  <si>
    <t xml:space="preserve">INV-001763</t>
  </si>
  <si>
    <t xml:space="preserve">INV-001764</t>
  </si>
  <si>
    <t xml:space="preserve">INV-001765</t>
  </si>
  <si>
    <t xml:space="preserve">INV-001766</t>
  </si>
  <si>
    <t xml:space="preserve">INV-001767</t>
  </si>
  <si>
    <t xml:space="preserve">INV-001768</t>
  </si>
  <si>
    <t xml:space="preserve">INV-001769</t>
  </si>
  <si>
    <t xml:space="preserve">INV-001770</t>
  </si>
  <si>
    <t xml:space="preserve">INV-001771</t>
  </si>
  <si>
    <t xml:space="preserve">INV-001772</t>
  </si>
  <si>
    <t xml:space="preserve">INV-001773</t>
  </si>
  <si>
    <t xml:space="preserve">INV-001774</t>
  </si>
  <si>
    <t xml:space="preserve">INV-001775</t>
  </si>
  <si>
    <t xml:space="preserve">INV-001776</t>
  </si>
  <si>
    <t xml:space="preserve">INV-001777</t>
  </si>
  <si>
    <t xml:space="preserve">INV-001778</t>
  </si>
  <si>
    <t xml:space="preserve">INV-001779</t>
  </si>
  <si>
    <t xml:space="preserve">INV-001780</t>
  </si>
  <si>
    <t xml:space="preserve">INV-001781</t>
  </si>
  <si>
    <t xml:space="preserve">INV-001782</t>
  </si>
  <si>
    <t xml:space="preserve">INV-001783</t>
  </si>
  <si>
    <t xml:space="preserve">INV-001784</t>
  </si>
  <si>
    <t xml:space="preserve">INV-001785</t>
  </si>
  <si>
    <t xml:space="preserve">INV-001786</t>
  </si>
  <si>
    <t xml:space="preserve">INV-001787</t>
  </si>
  <si>
    <t xml:space="preserve">INV-001788</t>
  </si>
  <si>
    <t xml:space="preserve">INV-001789</t>
  </si>
  <si>
    <t xml:space="preserve">INV-001790</t>
  </si>
  <si>
    <t xml:space="preserve">INV-001791</t>
  </si>
  <si>
    <t xml:space="preserve">INV-001792</t>
  </si>
  <si>
    <t xml:space="preserve">INV-001793</t>
  </si>
  <si>
    <t xml:space="preserve">INV-001794</t>
  </si>
  <si>
    <t xml:space="preserve">INV-001795</t>
  </si>
  <si>
    <t xml:space="preserve">INV-001796</t>
  </si>
  <si>
    <t xml:space="preserve">INV-001797</t>
  </si>
  <si>
    <t xml:space="preserve">INV-001798</t>
  </si>
  <si>
    <t xml:space="preserve">INV-001799</t>
  </si>
  <si>
    <t xml:space="preserve">INV-001800</t>
  </si>
  <si>
    <t xml:space="preserve">INV-001801</t>
  </si>
  <si>
    <t xml:space="preserve">INV-001802</t>
  </si>
  <si>
    <t xml:space="preserve">INV-001803</t>
  </si>
  <si>
    <t xml:space="preserve">INV-001804</t>
  </si>
  <si>
    <t xml:space="preserve">INV-001805</t>
  </si>
  <si>
    <t xml:space="preserve">INV-001806</t>
  </si>
  <si>
    <t xml:space="preserve">INV-001807</t>
  </si>
  <si>
    <t xml:space="preserve">INV-001808</t>
  </si>
  <si>
    <t xml:space="preserve">INV-001809</t>
  </si>
  <si>
    <t xml:space="preserve">INV-001810</t>
  </si>
  <si>
    <t xml:space="preserve">INV-001811</t>
  </si>
  <si>
    <t xml:space="preserve">INV-001812</t>
  </si>
  <si>
    <t xml:space="preserve">INV-001813</t>
  </si>
  <si>
    <t xml:space="preserve">INV-001814</t>
  </si>
  <si>
    <t xml:space="preserve">INV-001815</t>
  </si>
  <si>
    <t xml:space="preserve">INV-001816</t>
  </si>
  <si>
    <t xml:space="preserve">INV-001817</t>
  </si>
  <si>
    <t xml:space="preserve">INV-001818</t>
  </si>
  <si>
    <t xml:space="preserve">INV-001819</t>
  </si>
  <si>
    <t xml:space="preserve">INV-001820</t>
  </si>
  <si>
    <t xml:space="preserve">INV-001821</t>
  </si>
  <si>
    <t xml:space="preserve">INV-001822</t>
  </si>
  <si>
    <t xml:space="preserve">INV-001823</t>
  </si>
  <si>
    <t xml:space="preserve">INV-001824</t>
  </si>
  <si>
    <t xml:space="preserve">INV-001825</t>
  </si>
  <si>
    <t xml:space="preserve">INV-001826</t>
  </si>
  <si>
    <t xml:space="preserve">INV-001827</t>
  </si>
  <si>
    <t xml:space="preserve">INV-001828</t>
  </si>
  <si>
    <t xml:space="preserve">INV-001829</t>
  </si>
  <si>
    <t xml:space="preserve">INV-001830</t>
  </si>
  <si>
    <t xml:space="preserve">INV-001831</t>
  </si>
  <si>
    <t xml:space="preserve">INV-001832</t>
  </si>
  <si>
    <t xml:space="preserve">INV-001833</t>
  </si>
  <si>
    <t xml:space="preserve">INV-001834</t>
  </si>
  <si>
    <t xml:space="preserve">INV-001835</t>
  </si>
  <si>
    <t xml:space="preserve">INV-001836</t>
  </si>
  <si>
    <t xml:space="preserve">INV-001837</t>
  </si>
  <si>
    <t xml:space="preserve">INV-001838</t>
  </si>
  <si>
    <t xml:space="preserve">INV-001839</t>
  </si>
  <si>
    <t xml:space="preserve">INV-001840</t>
  </si>
  <si>
    <t xml:space="preserve">INV-001841</t>
  </si>
  <si>
    <t xml:space="preserve">INV-001842</t>
  </si>
  <si>
    <t xml:space="preserve">INV-001843</t>
  </si>
  <si>
    <t xml:space="preserve">INV-001844</t>
  </si>
  <si>
    <t xml:space="preserve">INV-001845</t>
  </si>
  <si>
    <t xml:space="preserve">INV-001846</t>
  </si>
  <si>
    <t xml:space="preserve">INV-001847</t>
  </si>
  <si>
    <t xml:space="preserve">INV-001848</t>
  </si>
  <si>
    <t xml:space="preserve">INV-001849</t>
  </si>
  <si>
    <t xml:space="preserve">INV-001850</t>
  </si>
  <si>
    <t xml:space="preserve">INV-001851</t>
  </si>
  <si>
    <t xml:space="preserve">INV-001852</t>
  </si>
  <si>
    <t xml:space="preserve">INV-001853</t>
  </si>
  <si>
    <t xml:space="preserve">INV-001854</t>
  </si>
  <si>
    <t xml:space="preserve">INV-001855</t>
  </si>
  <si>
    <t xml:space="preserve">INV-001856</t>
  </si>
  <si>
    <t xml:space="preserve">INV-001857</t>
  </si>
  <si>
    <t xml:space="preserve">INV-001858</t>
  </si>
  <si>
    <t xml:space="preserve">INV-001859</t>
  </si>
  <si>
    <t xml:space="preserve">INV-001860</t>
  </si>
  <si>
    <t xml:space="preserve">INV-001861</t>
  </si>
  <si>
    <t xml:space="preserve">INV-001862</t>
  </si>
  <si>
    <t xml:space="preserve">INV-001863</t>
  </si>
  <si>
    <t xml:space="preserve">INV-001864</t>
  </si>
  <si>
    <t xml:space="preserve">INV-001865</t>
  </si>
  <si>
    <t xml:space="preserve">INV-001866</t>
  </si>
  <si>
    <t xml:space="preserve">INV-001867</t>
  </si>
  <si>
    <t xml:space="preserve">INV-001868</t>
  </si>
  <si>
    <t xml:space="preserve">INV-001869</t>
  </si>
  <si>
    <t xml:space="preserve">INV-001870</t>
  </si>
  <si>
    <t xml:space="preserve">INV-001871</t>
  </si>
  <si>
    <t xml:space="preserve">INV-001872</t>
  </si>
  <si>
    <t xml:space="preserve">INV-001873</t>
  </si>
  <si>
    <t xml:space="preserve">INV-001874</t>
  </si>
  <si>
    <t xml:space="preserve">INV-001875</t>
  </si>
  <si>
    <t xml:space="preserve">INV-001876</t>
  </si>
  <si>
    <t xml:space="preserve">INV-001877</t>
  </si>
  <si>
    <t xml:space="preserve">INV-001878</t>
  </si>
  <si>
    <t xml:space="preserve">INV-001879</t>
  </si>
  <si>
    <t xml:space="preserve">INV-001880</t>
  </si>
  <si>
    <t xml:space="preserve">INV-001881</t>
  </si>
  <si>
    <t xml:space="preserve">INV-001882</t>
  </si>
  <si>
    <t xml:space="preserve">INV-001883</t>
  </si>
  <si>
    <t xml:space="preserve">INV-001884</t>
  </si>
  <si>
    <t xml:space="preserve">INV-001885</t>
  </si>
  <si>
    <t xml:space="preserve">INV-001886</t>
  </si>
  <si>
    <t xml:space="preserve">INV-001887</t>
  </si>
  <si>
    <t xml:space="preserve">INV-001888</t>
  </si>
  <si>
    <t xml:space="preserve">INV-001889</t>
  </si>
  <si>
    <t xml:space="preserve">INV-001890</t>
  </si>
  <si>
    <t xml:space="preserve">INV-001891</t>
  </si>
  <si>
    <t xml:space="preserve">INV-001892</t>
  </si>
  <si>
    <t xml:space="preserve">INV-001893</t>
  </si>
  <si>
    <t xml:space="preserve">INV-001894</t>
  </si>
  <si>
    <t xml:space="preserve">INV-001895</t>
  </si>
  <si>
    <t xml:space="preserve">INV-001896</t>
  </si>
  <si>
    <t xml:space="preserve">INV-001897</t>
  </si>
  <si>
    <t xml:space="preserve">INV-001898</t>
  </si>
  <si>
    <t xml:space="preserve">INV-001899</t>
  </si>
  <si>
    <t xml:space="preserve">INV-001900</t>
  </si>
  <si>
    <t xml:space="preserve">INV-001901</t>
  </si>
  <si>
    <t xml:space="preserve">INV-001902</t>
  </si>
  <si>
    <t xml:space="preserve">INV-001903</t>
  </si>
  <si>
    <t xml:space="preserve">INV-001904</t>
  </si>
  <si>
    <t xml:space="preserve">INV-001905</t>
  </si>
  <si>
    <t xml:space="preserve">INV-001906</t>
  </si>
  <si>
    <t xml:space="preserve">INV-001907</t>
  </si>
  <si>
    <t xml:space="preserve">INV-001908</t>
  </si>
  <si>
    <t xml:space="preserve">INV-001909</t>
  </si>
  <si>
    <t xml:space="preserve">INV-001910</t>
  </si>
  <si>
    <t xml:space="preserve">INV-001911</t>
  </si>
  <si>
    <t xml:space="preserve">INV-001912</t>
  </si>
  <si>
    <t xml:space="preserve">INV-001913</t>
  </si>
  <si>
    <t xml:space="preserve">INV-001914</t>
  </si>
  <si>
    <t xml:space="preserve">INV-001915</t>
  </si>
  <si>
    <t xml:space="preserve">INV-001916</t>
  </si>
  <si>
    <t xml:space="preserve">INV-001917</t>
  </si>
  <si>
    <t xml:space="preserve">INV-001918</t>
  </si>
  <si>
    <t xml:space="preserve">INV-001919</t>
  </si>
  <si>
    <t xml:space="preserve">INV-001920</t>
  </si>
  <si>
    <t xml:space="preserve">INV-001921</t>
  </si>
  <si>
    <t xml:space="preserve">INV-001922</t>
  </si>
  <si>
    <t xml:space="preserve">INV-001923</t>
  </si>
  <si>
    <t xml:space="preserve">INV-001924</t>
  </si>
  <si>
    <t xml:space="preserve">INV-001925</t>
  </si>
  <si>
    <t xml:space="preserve">INV-001926</t>
  </si>
  <si>
    <t xml:space="preserve">INV-001927</t>
  </si>
  <si>
    <t xml:space="preserve">INV-001928</t>
  </si>
  <si>
    <t xml:space="preserve">INV-001929</t>
  </si>
  <si>
    <t xml:space="preserve">INV-001930</t>
  </si>
  <si>
    <t xml:space="preserve">INV-001931</t>
  </si>
  <si>
    <t xml:space="preserve">INV-001932</t>
  </si>
  <si>
    <t xml:space="preserve">INV-001933</t>
  </si>
  <si>
    <t xml:space="preserve">INV-001934</t>
  </si>
  <si>
    <t xml:space="preserve">INV-001935</t>
  </si>
  <si>
    <t xml:space="preserve">INV-001936</t>
  </si>
  <si>
    <t xml:space="preserve">INV-001937</t>
  </si>
  <si>
    <t xml:space="preserve">INV-001938</t>
  </si>
  <si>
    <t xml:space="preserve">INV-001939</t>
  </si>
  <si>
    <t xml:space="preserve">INV-001940</t>
  </si>
  <si>
    <t xml:space="preserve">INV-001941</t>
  </si>
  <si>
    <t xml:space="preserve">INV-001942</t>
  </si>
  <si>
    <t xml:space="preserve">INV-001943</t>
  </si>
  <si>
    <t xml:space="preserve">INV-001944</t>
  </si>
  <si>
    <t xml:space="preserve">INV-001945</t>
  </si>
  <si>
    <t xml:space="preserve">INV-001946</t>
  </si>
  <si>
    <t xml:space="preserve">INV-001947</t>
  </si>
  <si>
    <t xml:space="preserve">INV-001948</t>
  </si>
  <si>
    <t xml:space="preserve">INV-001949</t>
  </si>
  <si>
    <t xml:space="preserve">INV-001950</t>
  </si>
  <si>
    <t xml:space="preserve">INV-001951</t>
  </si>
  <si>
    <t xml:space="preserve">INV-001952</t>
  </si>
  <si>
    <t xml:space="preserve">INV-001953</t>
  </si>
  <si>
    <t xml:space="preserve">INV-001954</t>
  </si>
  <si>
    <t xml:space="preserve">INV-001955</t>
  </si>
  <si>
    <t xml:space="preserve">INV-001956</t>
  </si>
  <si>
    <t xml:space="preserve">INV-001957</t>
  </si>
  <si>
    <t xml:space="preserve">INV-001958</t>
  </si>
  <si>
    <t xml:space="preserve">INV-001959</t>
  </si>
  <si>
    <t xml:space="preserve">INV-001960</t>
  </si>
  <si>
    <t xml:space="preserve">INV-001961</t>
  </si>
  <si>
    <t xml:space="preserve">INV-001962</t>
  </si>
  <si>
    <t xml:space="preserve">INV-001963</t>
  </si>
  <si>
    <t xml:space="preserve">INV-001964</t>
  </si>
  <si>
    <t xml:space="preserve">INV-001965</t>
  </si>
  <si>
    <t xml:space="preserve">INV-001966</t>
  </si>
  <si>
    <t xml:space="preserve">INV-001967</t>
  </si>
  <si>
    <t xml:space="preserve">INV-001968</t>
  </si>
  <si>
    <t xml:space="preserve">INV-001969</t>
  </si>
  <si>
    <t xml:space="preserve">INV-001970</t>
  </si>
  <si>
    <t xml:space="preserve">INV-001971</t>
  </si>
  <si>
    <t xml:space="preserve">INV-001972</t>
  </si>
  <si>
    <t xml:space="preserve">INV-001973</t>
  </si>
  <si>
    <t xml:space="preserve">INV-001974</t>
  </si>
  <si>
    <t xml:space="preserve">INV-001975</t>
  </si>
  <si>
    <t xml:space="preserve">INV-001976</t>
  </si>
  <si>
    <t xml:space="preserve">INV-001977</t>
  </si>
  <si>
    <t xml:space="preserve">INV-001978</t>
  </si>
  <si>
    <t xml:space="preserve">INV-001979</t>
  </si>
  <si>
    <t xml:space="preserve">INV-001980</t>
  </si>
  <si>
    <t xml:space="preserve">INV-001981</t>
  </si>
  <si>
    <t xml:space="preserve">INV-001982</t>
  </si>
  <si>
    <t xml:space="preserve">INV-001983</t>
  </si>
  <si>
    <t xml:space="preserve">INV-001984</t>
  </si>
  <si>
    <t xml:space="preserve">INV-001985</t>
  </si>
  <si>
    <t xml:space="preserve">INV-001986</t>
  </si>
  <si>
    <t xml:space="preserve">INV-001987</t>
  </si>
  <si>
    <t xml:space="preserve">INV-001988</t>
  </si>
  <si>
    <t xml:space="preserve">INV-001989</t>
  </si>
  <si>
    <t xml:space="preserve">INV-001990</t>
  </si>
  <si>
    <t xml:space="preserve">INV-001991</t>
  </si>
  <si>
    <t xml:space="preserve">INV-001992</t>
  </si>
  <si>
    <t xml:space="preserve">INV-001993</t>
  </si>
  <si>
    <t xml:space="preserve">INV-001994</t>
  </si>
  <si>
    <t xml:space="preserve">INV-001995</t>
  </si>
  <si>
    <t xml:space="preserve">INV-001996</t>
  </si>
  <si>
    <t xml:space="preserve">INV-001997</t>
  </si>
  <si>
    <t xml:space="preserve">INV-001998</t>
  </si>
  <si>
    <t xml:space="preserve">INV-001999</t>
  </si>
  <si>
    <t xml:space="preserve">INV-002000</t>
  </si>
  <si>
    <t xml:space="preserve">INV-002001</t>
  </si>
  <si>
    <t xml:space="preserve">INV-002002</t>
  </si>
  <si>
    <t xml:space="preserve">INV-002003</t>
  </si>
  <si>
    <t xml:space="preserve">INV-002004</t>
  </si>
  <si>
    <t xml:space="preserve">INV-002005</t>
  </si>
  <si>
    <t xml:space="preserve">INV-002006</t>
  </si>
  <si>
    <t xml:space="preserve">INV-002007</t>
  </si>
  <si>
    <t xml:space="preserve">INV-002008</t>
  </si>
  <si>
    <t xml:space="preserve">INV-002009</t>
  </si>
  <si>
    <t xml:space="preserve">INV-002010</t>
  </si>
  <si>
    <t xml:space="preserve">INV-002011</t>
  </si>
  <si>
    <t xml:space="preserve">INV-002012</t>
  </si>
  <si>
    <t xml:space="preserve">INV-002013</t>
  </si>
  <si>
    <t xml:space="preserve">INV-002014</t>
  </si>
  <si>
    <t xml:space="preserve">INV-002015</t>
  </si>
  <si>
    <t xml:space="preserve">INV-002016</t>
  </si>
  <si>
    <t xml:space="preserve">INV-002017</t>
  </si>
  <si>
    <t xml:space="preserve">INV-002018</t>
  </si>
  <si>
    <t xml:space="preserve">INV-002019</t>
  </si>
  <si>
    <t xml:space="preserve">INV-002020</t>
  </si>
  <si>
    <t xml:space="preserve">INV-002021</t>
  </si>
  <si>
    <t xml:space="preserve">INV-002022</t>
  </si>
  <si>
    <t xml:space="preserve">INV-002023</t>
  </si>
  <si>
    <t xml:space="preserve">INV-002024</t>
  </si>
  <si>
    <t xml:space="preserve">INV-002025</t>
  </si>
  <si>
    <t xml:space="preserve">INV-002026</t>
  </si>
  <si>
    <t xml:space="preserve">INV-002027</t>
  </si>
  <si>
    <t xml:space="preserve">INV-002028</t>
  </si>
  <si>
    <t xml:space="preserve">INV-002029</t>
  </si>
  <si>
    <t xml:space="preserve">INV-002030</t>
  </si>
  <si>
    <t xml:space="preserve">INV-002031</t>
  </si>
  <si>
    <t xml:space="preserve">INV-002032</t>
  </si>
  <si>
    <t xml:space="preserve">INV-002033</t>
  </si>
  <si>
    <t xml:space="preserve">INV-002034</t>
  </si>
  <si>
    <t xml:space="preserve">INV-002035</t>
  </si>
  <si>
    <t xml:space="preserve">INV-002036</t>
  </si>
  <si>
    <t xml:space="preserve">INV-002037</t>
  </si>
  <si>
    <t xml:space="preserve">INV-002038</t>
  </si>
  <si>
    <t xml:space="preserve">INV-002039</t>
  </si>
  <si>
    <t xml:space="preserve">INV-002040</t>
  </si>
  <si>
    <t xml:space="preserve">INV-002041</t>
  </si>
  <si>
    <t xml:space="preserve">INV-002042</t>
  </si>
  <si>
    <t xml:space="preserve">INV-002043</t>
  </si>
  <si>
    <t xml:space="preserve">INV-002044</t>
  </si>
  <si>
    <t xml:space="preserve">INV-002045</t>
  </si>
  <si>
    <t xml:space="preserve">INV-002046</t>
  </si>
  <si>
    <t xml:space="preserve">INV-002047</t>
  </si>
  <si>
    <t xml:space="preserve">INV-002048</t>
  </si>
  <si>
    <t xml:space="preserve">INV-002049</t>
  </si>
  <si>
    <t xml:space="preserve">INV-002050</t>
  </si>
  <si>
    <t xml:space="preserve">INV-002051</t>
  </si>
  <si>
    <t xml:space="preserve">INV-002052</t>
  </si>
  <si>
    <t xml:space="preserve">INV-002053</t>
  </si>
  <si>
    <t xml:space="preserve">INV-002054</t>
  </si>
  <si>
    <t xml:space="preserve">INV-002055</t>
  </si>
  <si>
    <t xml:space="preserve">INV-002056</t>
  </si>
  <si>
    <t xml:space="preserve">INV-002057</t>
  </si>
  <si>
    <t xml:space="preserve">INV-002058</t>
  </si>
  <si>
    <t xml:space="preserve">INV-002059</t>
  </si>
  <si>
    <t xml:space="preserve">INV-002060</t>
  </si>
  <si>
    <t xml:space="preserve">INV-002061</t>
  </si>
  <si>
    <t xml:space="preserve">INV-002062</t>
  </si>
  <si>
    <t xml:space="preserve">INV-002063</t>
  </si>
  <si>
    <t xml:space="preserve">INV-002064</t>
  </si>
  <si>
    <t xml:space="preserve">INV-002065</t>
  </si>
  <si>
    <t xml:space="preserve">INV-002066</t>
  </si>
  <si>
    <t xml:space="preserve">INV-002067</t>
  </si>
  <si>
    <t xml:space="preserve">INV-002068</t>
  </si>
  <si>
    <t xml:space="preserve">INV-002069</t>
  </si>
  <si>
    <t xml:space="preserve">INV-002070</t>
  </si>
  <si>
    <t xml:space="preserve">INV-002071</t>
  </si>
  <si>
    <t xml:space="preserve">INV-002072</t>
  </si>
  <si>
    <t xml:space="preserve">INV-002073</t>
  </si>
  <si>
    <t xml:space="preserve">INV-002074</t>
  </si>
  <si>
    <t xml:space="preserve">INV-002075</t>
  </si>
  <si>
    <t xml:space="preserve">INV-002076</t>
  </si>
  <si>
    <t xml:space="preserve">INV-002077</t>
  </si>
  <si>
    <t xml:space="preserve">INV-002078</t>
  </si>
  <si>
    <t xml:space="preserve">INV-002079</t>
  </si>
  <si>
    <t xml:space="preserve">INV-002080</t>
  </si>
  <si>
    <t xml:space="preserve">INV-002081</t>
  </si>
  <si>
    <t xml:space="preserve">INV-002082</t>
  </si>
  <si>
    <t xml:space="preserve">INV-002083</t>
  </si>
  <si>
    <t xml:space="preserve">INV-002084</t>
  </si>
  <si>
    <t xml:space="preserve">INV-002085</t>
  </si>
  <si>
    <t xml:space="preserve">INV-002086</t>
  </si>
  <si>
    <t xml:space="preserve">INV-002087</t>
  </si>
  <si>
    <t xml:space="preserve">INV-002088</t>
  </si>
  <si>
    <t xml:space="preserve">INV-002089</t>
  </si>
  <si>
    <t xml:space="preserve">INV-002090</t>
  </si>
  <si>
    <t xml:space="preserve">INV-002091</t>
  </si>
  <si>
    <t xml:space="preserve">INV-002092</t>
  </si>
  <si>
    <t xml:space="preserve">INV-002093</t>
  </si>
  <si>
    <t xml:space="preserve">INV-002094</t>
  </si>
  <si>
    <t xml:space="preserve">INV-002095</t>
  </si>
  <si>
    <t xml:space="preserve">INV-002096</t>
  </si>
  <si>
    <t xml:space="preserve">INV-002097</t>
  </si>
  <si>
    <t xml:space="preserve">INV-002098</t>
  </si>
  <si>
    <t xml:space="preserve">INV-002099</t>
  </si>
  <si>
    <t xml:space="preserve">INV-002100</t>
  </si>
  <si>
    <t xml:space="preserve">INV-002101</t>
  </si>
  <si>
    <t xml:space="preserve">INV-002102</t>
  </si>
  <si>
    <t xml:space="preserve">INV-002103</t>
  </si>
  <si>
    <t xml:space="preserve">INV-002104</t>
  </si>
  <si>
    <t xml:space="preserve">INV-002105</t>
  </si>
  <si>
    <t xml:space="preserve">INV-002106</t>
  </si>
  <si>
    <t xml:space="preserve">INV-002107</t>
  </si>
  <si>
    <t xml:space="preserve">INV-002108</t>
  </si>
  <si>
    <t xml:space="preserve">INV-002109</t>
  </si>
  <si>
    <t xml:space="preserve">INV-002110</t>
  </si>
  <si>
    <t xml:space="preserve">INV-002111</t>
  </si>
  <si>
    <t xml:space="preserve">INV-002112</t>
  </si>
  <si>
    <t xml:space="preserve">INV-002113</t>
  </si>
  <si>
    <t xml:space="preserve">INV-002114</t>
  </si>
  <si>
    <t xml:space="preserve">INV-002115</t>
  </si>
  <si>
    <t xml:space="preserve">INV-002116</t>
  </si>
  <si>
    <t xml:space="preserve">INV-002117</t>
  </si>
  <si>
    <t xml:space="preserve">INV-002118</t>
  </si>
  <si>
    <t xml:space="preserve">INV-002119</t>
  </si>
  <si>
    <t xml:space="preserve">INV-002120</t>
  </si>
  <si>
    <t xml:space="preserve">INV-002121</t>
  </si>
  <si>
    <t xml:space="preserve">INV-002122</t>
  </si>
  <si>
    <t xml:space="preserve">INV-002123</t>
  </si>
  <si>
    <t xml:space="preserve">INV-002124</t>
  </si>
  <si>
    <t xml:space="preserve">INV-002125</t>
  </si>
  <si>
    <t xml:space="preserve">INV-002126</t>
  </si>
  <si>
    <t xml:space="preserve">INV-002127</t>
  </si>
  <si>
    <t xml:space="preserve">INV-002128</t>
  </si>
  <si>
    <t xml:space="preserve">INV-002129</t>
  </si>
  <si>
    <t xml:space="preserve">INV-002130</t>
  </si>
  <si>
    <t xml:space="preserve">INV-002131</t>
  </si>
  <si>
    <t xml:space="preserve">INV-002132</t>
  </si>
  <si>
    <t xml:space="preserve">INV-002133</t>
  </si>
  <si>
    <t xml:space="preserve">INV-002134</t>
  </si>
  <si>
    <t xml:space="preserve">INV-002135</t>
  </si>
  <si>
    <t xml:space="preserve">INV-002136</t>
  </si>
  <si>
    <t xml:space="preserve">INV-002137</t>
  </si>
  <si>
    <t xml:space="preserve">INV-002138</t>
  </si>
  <si>
    <t xml:space="preserve">INV-002139</t>
  </si>
  <si>
    <t xml:space="preserve">INV-002140</t>
  </si>
  <si>
    <t xml:space="preserve">INV-002141</t>
  </si>
  <si>
    <t xml:space="preserve">INV-002142</t>
  </si>
  <si>
    <t xml:space="preserve">INV-002143</t>
  </si>
  <si>
    <t xml:space="preserve">INV-002144</t>
  </si>
  <si>
    <t xml:space="preserve">INV-002145</t>
  </si>
  <si>
    <t xml:space="preserve">INV-002146</t>
  </si>
  <si>
    <t xml:space="preserve">INV-002147</t>
  </si>
  <si>
    <t xml:space="preserve">INV-002148</t>
  </si>
  <si>
    <t xml:space="preserve">INV-002149</t>
  </si>
  <si>
    <t xml:space="preserve">INV-002150</t>
  </si>
  <si>
    <t xml:space="preserve">INV-002151</t>
  </si>
  <si>
    <t xml:space="preserve">INV-002152</t>
  </si>
  <si>
    <t xml:space="preserve">INV-002153</t>
  </si>
  <si>
    <t xml:space="preserve">INV-002154</t>
  </si>
  <si>
    <t xml:space="preserve">INV-002155</t>
  </si>
  <si>
    <t xml:space="preserve">INV-002156</t>
  </si>
  <si>
    <t xml:space="preserve">INV-002157</t>
  </si>
  <si>
    <t xml:space="preserve">INV-002158</t>
  </si>
  <si>
    <t xml:space="preserve">INV-002159</t>
  </si>
  <si>
    <t xml:space="preserve">INV-002160</t>
  </si>
  <si>
    <t xml:space="preserve">INV-002161</t>
  </si>
  <si>
    <t xml:space="preserve">INV-002162</t>
  </si>
  <si>
    <t xml:space="preserve">INV-002163</t>
  </si>
  <si>
    <t xml:space="preserve">INV-002164</t>
  </si>
  <si>
    <t xml:space="preserve">INV-002165</t>
  </si>
  <si>
    <t xml:space="preserve">INV-002166</t>
  </si>
  <si>
    <t xml:space="preserve">INV-002167</t>
  </si>
  <si>
    <t xml:space="preserve">INV-002168</t>
  </si>
  <si>
    <t xml:space="preserve">INV-002169</t>
  </si>
  <si>
    <t xml:space="preserve">INV-002170</t>
  </si>
  <si>
    <t xml:space="preserve">INV-002171</t>
  </si>
  <si>
    <t xml:space="preserve">INV-002172</t>
  </si>
  <si>
    <t xml:space="preserve">INV-002173</t>
  </si>
  <si>
    <t xml:space="preserve">INV-002174</t>
  </si>
  <si>
    <t xml:space="preserve">INV-002175</t>
  </si>
  <si>
    <t xml:space="preserve">INV-002176</t>
  </si>
  <si>
    <t xml:space="preserve">INV-002177</t>
  </si>
  <si>
    <t xml:space="preserve">INV-002178</t>
  </si>
  <si>
    <t xml:space="preserve">INV-002179</t>
  </si>
  <si>
    <t xml:space="preserve">INV-002180</t>
  </si>
  <si>
    <t xml:space="preserve">INV-002181</t>
  </si>
  <si>
    <t xml:space="preserve">INV-002182</t>
  </si>
  <si>
    <t xml:space="preserve">INV-002183</t>
  </si>
  <si>
    <t xml:space="preserve">INV-002184</t>
  </si>
  <si>
    <t xml:space="preserve">INV-002185</t>
  </si>
  <si>
    <t xml:space="preserve">INV-002186</t>
  </si>
  <si>
    <t xml:space="preserve">INV-002187</t>
  </si>
  <si>
    <t xml:space="preserve">INV-002188</t>
  </si>
  <si>
    <t xml:space="preserve">INV-002189</t>
  </si>
  <si>
    <t xml:space="preserve">INV-002190</t>
  </si>
  <si>
    <t xml:space="preserve">INV-002191</t>
  </si>
  <si>
    <t xml:space="preserve">INV-002192</t>
  </si>
  <si>
    <t xml:space="preserve">INV-002193</t>
  </si>
  <si>
    <t xml:space="preserve">INV-002194</t>
  </si>
  <si>
    <t xml:space="preserve">INV-002195</t>
  </si>
  <si>
    <t xml:space="preserve">INV-002196</t>
  </si>
  <si>
    <t xml:space="preserve">INV-002197</t>
  </si>
  <si>
    <t xml:space="preserve">INV-002198</t>
  </si>
  <si>
    <t xml:space="preserve">INV-002199</t>
  </si>
  <si>
    <t xml:space="preserve">INV-002200</t>
  </si>
  <si>
    <t xml:space="preserve">INV-002201</t>
  </si>
  <si>
    <t xml:space="preserve">INV-002202</t>
  </si>
  <si>
    <t xml:space="preserve">INV-002203</t>
  </si>
  <si>
    <t xml:space="preserve">INV-002204</t>
  </si>
  <si>
    <t xml:space="preserve">INV-002205</t>
  </si>
  <si>
    <t xml:space="preserve">INV-002206</t>
  </si>
  <si>
    <t xml:space="preserve">INV-002207</t>
  </si>
  <si>
    <t xml:space="preserve">INV-002208</t>
  </si>
  <si>
    <t xml:space="preserve">INV-002209</t>
  </si>
  <si>
    <t xml:space="preserve">INV-002210</t>
  </si>
  <si>
    <t xml:space="preserve">INV-002211</t>
  </si>
  <si>
    <t xml:space="preserve">INV-002212</t>
  </si>
  <si>
    <t xml:space="preserve">INV-002213</t>
  </si>
  <si>
    <t xml:space="preserve">INV-002214</t>
  </si>
  <si>
    <t xml:space="preserve">INV-002215</t>
  </si>
  <si>
    <t xml:space="preserve">INV-002216</t>
  </si>
  <si>
    <t xml:space="preserve">INV-002217</t>
  </si>
  <si>
    <t xml:space="preserve">INV-002218</t>
  </si>
  <si>
    <t xml:space="preserve">INV-002219</t>
  </si>
  <si>
    <t xml:space="preserve">INV-002220</t>
  </si>
  <si>
    <t xml:space="preserve">INV-002221</t>
  </si>
  <si>
    <t xml:space="preserve">INV-002222</t>
  </si>
  <si>
    <t xml:space="preserve">INV-002223</t>
  </si>
  <si>
    <t xml:space="preserve">INV-002224</t>
  </si>
  <si>
    <t xml:space="preserve">INV-002225</t>
  </si>
  <si>
    <t xml:space="preserve">INV-002226</t>
  </si>
  <si>
    <t xml:space="preserve">INV-002227</t>
  </si>
  <si>
    <t xml:space="preserve">INV-002228</t>
  </si>
  <si>
    <t xml:space="preserve">INV-002229</t>
  </si>
  <si>
    <t xml:space="preserve">INV-002230</t>
  </si>
  <si>
    <t xml:space="preserve">INV-002231</t>
  </si>
  <si>
    <t xml:space="preserve">INV-002232</t>
  </si>
  <si>
    <t xml:space="preserve">INV-002233</t>
  </si>
  <si>
    <t xml:space="preserve">INV-002234</t>
  </si>
  <si>
    <t xml:space="preserve">INV-002235</t>
  </si>
  <si>
    <t xml:space="preserve">INV-002236</t>
  </si>
  <si>
    <t xml:space="preserve">INV-002237</t>
  </si>
  <si>
    <t xml:space="preserve">INV-002238</t>
  </si>
  <si>
    <t xml:space="preserve">INV-002239</t>
  </si>
  <si>
    <t xml:space="preserve">INV-002240</t>
  </si>
  <si>
    <t xml:space="preserve">INV-002241</t>
  </si>
  <si>
    <t xml:space="preserve">INV-002242</t>
  </si>
  <si>
    <t xml:space="preserve">INV-002243</t>
  </si>
  <si>
    <t xml:space="preserve">INV-002244</t>
  </si>
  <si>
    <t xml:space="preserve">INV-002245</t>
  </si>
  <si>
    <t xml:space="preserve">INV-002246</t>
  </si>
  <si>
    <t xml:space="preserve">INV-002247</t>
  </si>
  <si>
    <t xml:space="preserve">INV-002248</t>
  </si>
  <si>
    <t xml:space="preserve">INV-002249</t>
  </si>
  <si>
    <t xml:space="preserve">INV-002250</t>
  </si>
  <si>
    <t xml:space="preserve">INV-002251</t>
  </si>
  <si>
    <t xml:space="preserve">INV-002252</t>
  </si>
  <si>
    <t xml:space="preserve">INV-002253</t>
  </si>
  <si>
    <t xml:space="preserve">INV-002254</t>
  </si>
  <si>
    <t xml:space="preserve">INV-002255</t>
  </si>
  <si>
    <t xml:space="preserve">INV-002256</t>
  </si>
  <si>
    <t xml:space="preserve">INV-002257</t>
  </si>
  <si>
    <t xml:space="preserve">INV-002258</t>
  </si>
  <si>
    <t xml:space="preserve">INV-002259</t>
  </si>
  <si>
    <t xml:space="preserve">INV-002260</t>
  </si>
  <si>
    <t xml:space="preserve">INV-002261</t>
  </si>
  <si>
    <t xml:space="preserve">INV-002262</t>
  </si>
  <si>
    <t xml:space="preserve">INV-002263</t>
  </si>
  <si>
    <t xml:space="preserve">INV-002264</t>
  </si>
  <si>
    <t xml:space="preserve">INV-002265</t>
  </si>
  <si>
    <t xml:space="preserve">INV-002266</t>
  </si>
  <si>
    <t xml:space="preserve">INV-002267</t>
  </si>
  <si>
    <t xml:space="preserve">INV-002268</t>
  </si>
  <si>
    <t xml:space="preserve">INV-002269</t>
  </si>
  <si>
    <t xml:space="preserve">INV-002270</t>
  </si>
  <si>
    <t xml:space="preserve">INV-002271</t>
  </si>
  <si>
    <t xml:space="preserve">INV-002272</t>
  </si>
  <si>
    <t xml:space="preserve">INV-002273</t>
  </si>
  <si>
    <t xml:space="preserve">INV-002274</t>
  </si>
  <si>
    <t xml:space="preserve">INV-002275</t>
  </si>
  <si>
    <t xml:space="preserve">INV-002276</t>
  </si>
  <si>
    <t xml:space="preserve">INV-002277</t>
  </si>
  <si>
    <t xml:space="preserve">INV-002278</t>
  </si>
  <si>
    <t xml:space="preserve">INV-002279</t>
  </si>
  <si>
    <t xml:space="preserve">INV-002280</t>
  </si>
  <si>
    <t xml:space="preserve">INV-002281</t>
  </si>
  <si>
    <t xml:space="preserve">INV-002282</t>
  </si>
  <si>
    <t xml:space="preserve">INV-002283</t>
  </si>
  <si>
    <t xml:space="preserve">INV-002284</t>
  </si>
  <si>
    <t xml:space="preserve">INV-002285</t>
  </si>
  <si>
    <t xml:space="preserve">INV-002286</t>
  </si>
  <si>
    <t xml:space="preserve">INV-002287</t>
  </si>
  <si>
    <t xml:space="preserve">INV-002288</t>
  </si>
  <si>
    <t xml:space="preserve">INV-002289</t>
  </si>
  <si>
    <t xml:space="preserve">INV-002290</t>
  </si>
  <si>
    <t xml:space="preserve">INV-002291</t>
  </si>
  <si>
    <t xml:space="preserve">INV-002292</t>
  </si>
  <si>
    <t xml:space="preserve">INV-002293</t>
  </si>
  <si>
    <t xml:space="preserve">INV-002294</t>
  </si>
  <si>
    <t xml:space="preserve">INV-002295</t>
  </si>
  <si>
    <t xml:space="preserve">INV-002296</t>
  </si>
  <si>
    <t xml:space="preserve">INV-002297</t>
  </si>
  <si>
    <t xml:space="preserve">INV-002298</t>
  </si>
  <si>
    <t xml:space="preserve">INV-002299</t>
  </si>
  <si>
    <t xml:space="preserve">INV-002300</t>
  </si>
  <si>
    <t xml:space="preserve">INV-002301</t>
  </si>
  <si>
    <t xml:space="preserve">INV-002302</t>
  </si>
  <si>
    <t xml:space="preserve">INV-002303</t>
  </si>
  <si>
    <t xml:space="preserve">INV-002304</t>
  </si>
  <si>
    <t xml:space="preserve">INV-002305</t>
  </si>
  <si>
    <t xml:space="preserve">INV-002306</t>
  </si>
  <si>
    <t xml:space="preserve">INV-002307</t>
  </si>
  <si>
    <t xml:space="preserve">INV-002308</t>
  </si>
  <si>
    <t xml:space="preserve">INV-002309</t>
  </si>
  <si>
    <t xml:space="preserve">INV-002310</t>
  </si>
  <si>
    <t xml:space="preserve">INV-002311</t>
  </si>
  <si>
    <t xml:space="preserve">INV-002312</t>
  </si>
  <si>
    <t xml:space="preserve">INV-002313</t>
  </si>
  <si>
    <t xml:space="preserve">INV-002314</t>
  </si>
  <si>
    <t xml:space="preserve">INV-002315</t>
  </si>
  <si>
    <t xml:space="preserve">INV-002316</t>
  </si>
  <si>
    <t xml:space="preserve">INV-002317</t>
  </si>
  <si>
    <t xml:space="preserve">INV-002318</t>
  </si>
  <si>
    <t xml:space="preserve">INV-002319</t>
  </si>
  <si>
    <t xml:space="preserve">INV-002320</t>
  </si>
  <si>
    <t xml:space="preserve">INV-002321</t>
  </si>
  <si>
    <t xml:space="preserve">INV-002322</t>
  </si>
  <si>
    <t xml:space="preserve">INV-002323</t>
  </si>
  <si>
    <t xml:space="preserve">INV-002324</t>
  </si>
  <si>
    <t xml:space="preserve">INV-002325</t>
  </si>
  <si>
    <t xml:space="preserve">INV-002326</t>
  </si>
  <si>
    <t xml:space="preserve">INV-002327</t>
  </si>
  <si>
    <t xml:space="preserve">INV-002328</t>
  </si>
  <si>
    <t xml:space="preserve">INV-002329</t>
  </si>
  <si>
    <t xml:space="preserve">INV-002330</t>
  </si>
  <si>
    <t xml:space="preserve">INV-002331</t>
  </si>
  <si>
    <t xml:space="preserve">INV-002332</t>
  </si>
  <si>
    <t xml:space="preserve">INV-002333</t>
  </si>
  <si>
    <t xml:space="preserve">INV-002334</t>
  </si>
  <si>
    <t xml:space="preserve">INV-002335</t>
  </si>
  <si>
    <t xml:space="preserve">INV-002336</t>
  </si>
  <si>
    <t xml:space="preserve">INV-002337</t>
  </si>
  <si>
    <t xml:space="preserve">INV-002338</t>
  </si>
  <si>
    <t xml:space="preserve">INV-002339</t>
  </si>
  <si>
    <t xml:space="preserve">INV-002340</t>
  </si>
  <si>
    <t xml:space="preserve">INV-002341</t>
  </si>
  <si>
    <t xml:space="preserve">INV-002342</t>
  </si>
  <si>
    <t xml:space="preserve">INV-002343</t>
  </si>
  <si>
    <t xml:space="preserve">INV-002344</t>
  </si>
  <si>
    <t xml:space="preserve">INV-002345</t>
  </si>
  <si>
    <t xml:space="preserve">INV-002346</t>
  </si>
  <si>
    <t xml:space="preserve">INV-002347</t>
  </si>
  <si>
    <t xml:space="preserve">INV-002348</t>
  </si>
  <si>
    <t xml:space="preserve">INV-002349</t>
  </si>
  <si>
    <t xml:space="preserve">INV-002350</t>
  </si>
  <si>
    <t xml:space="preserve">INV-002351</t>
  </si>
  <si>
    <t xml:space="preserve">INV-002352</t>
  </si>
  <si>
    <t xml:space="preserve">INV-002353</t>
  </si>
  <si>
    <t xml:space="preserve">INV-002354</t>
  </si>
  <si>
    <t xml:space="preserve">INV-002355</t>
  </si>
  <si>
    <t xml:space="preserve">INV-002356</t>
  </si>
  <si>
    <t xml:space="preserve">INV-002357</t>
  </si>
  <si>
    <t xml:space="preserve">INV-002358</t>
  </si>
  <si>
    <t xml:space="preserve">INV-002359</t>
  </si>
  <si>
    <t xml:space="preserve">INV-002360</t>
  </si>
  <si>
    <t xml:space="preserve">INV-002361</t>
  </si>
  <si>
    <t xml:space="preserve">INV-002362</t>
  </si>
  <si>
    <t xml:space="preserve">INV-002363</t>
  </si>
  <si>
    <t xml:space="preserve">INV-002364</t>
  </si>
  <si>
    <t xml:space="preserve">INV-002365</t>
  </si>
  <si>
    <t xml:space="preserve">INV-002366</t>
  </si>
  <si>
    <t xml:space="preserve">INV-002367</t>
  </si>
  <si>
    <t xml:space="preserve">INV-002368</t>
  </si>
  <si>
    <t xml:space="preserve">INV-002369</t>
  </si>
  <si>
    <t xml:space="preserve">INV-002370</t>
  </si>
  <si>
    <t xml:space="preserve">INV-002371</t>
  </si>
  <si>
    <t xml:space="preserve">INV-002372</t>
  </si>
  <si>
    <t xml:space="preserve">INV-002373</t>
  </si>
  <si>
    <t xml:space="preserve">INV-002374</t>
  </si>
  <si>
    <t xml:space="preserve">INV-002375</t>
  </si>
  <si>
    <t xml:space="preserve">INV-002376</t>
  </si>
  <si>
    <t xml:space="preserve">INV-002377</t>
  </si>
  <si>
    <t xml:space="preserve">INV-002378</t>
  </si>
  <si>
    <t xml:space="preserve">INV-002379</t>
  </si>
  <si>
    <t xml:space="preserve">INV-002380</t>
  </si>
  <si>
    <t xml:space="preserve">INV-002381</t>
  </si>
  <si>
    <t xml:space="preserve">INV-002382</t>
  </si>
  <si>
    <t xml:space="preserve">INV-002383</t>
  </si>
  <si>
    <t xml:space="preserve">INV-002384</t>
  </si>
  <si>
    <t xml:space="preserve">INV-002385</t>
  </si>
  <si>
    <t xml:space="preserve">INV-002386</t>
  </si>
  <si>
    <t xml:space="preserve">INV-002387</t>
  </si>
  <si>
    <t xml:space="preserve">INV-002388</t>
  </si>
  <si>
    <t xml:space="preserve">INV-002389</t>
  </si>
  <si>
    <t xml:space="preserve">INV-002390</t>
  </si>
  <si>
    <t xml:space="preserve">INV-002391</t>
  </si>
  <si>
    <t xml:space="preserve">INV-002392</t>
  </si>
  <si>
    <t xml:space="preserve">INV-002393</t>
  </si>
  <si>
    <t xml:space="preserve">INV-002394</t>
  </si>
  <si>
    <t xml:space="preserve">INV-002395</t>
  </si>
  <si>
    <t xml:space="preserve">INV-002396</t>
  </si>
  <si>
    <t xml:space="preserve">INV-002397</t>
  </si>
  <si>
    <t xml:space="preserve">INV-002398</t>
  </si>
  <si>
    <t xml:space="preserve">INV-002399</t>
  </si>
  <si>
    <t xml:space="preserve">INV-002400</t>
  </si>
  <si>
    <t xml:space="preserve">INV-002401</t>
  </si>
  <si>
    <t xml:space="preserve">INV-002402</t>
  </si>
  <si>
    <t xml:space="preserve">INV-002403</t>
  </si>
  <si>
    <t xml:space="preserve">INV-002404</t>
  </si>
  <si>
    <t xml:space="preserve">INV-002405</t>
  </si>
  <si>
    <t xml:space="preserve">INV-002406</t>
  </si>
  <si>
    <t xml:space="preserve">INV-002407</t>
  </si>
  <si>
    <t xml:space="preserve">INV-002408</t>
  </si>
  <si>
    <t xml:space="preserve">INV-002409</t>
  </si>
  <si>
    <t xml:space="preserve">INV-002410</t>
  </si>
  <si>
    <t xml:space="preserve">INV-002411</t>
  </si>
  <si>
    <t xml:space="preserve">INV-002412</t>
  </si>
  <si>
    <t xml:space="preserve">INV-002413</t>
  </si>
  <si>
    <t xml:space="preserve">INV-002414</t>
  </si>
  <si>
    <t xml:space="preserve">INV-002415</t>
  </si>
  <si>
    <t xml:space="preserve">INV-002416</t>
  </si>
  <si>
    <t xml:space="preserve">INV-002417</t>
  </si>
  <si>
    <t xml:space="preserve">INV-002418</t>
  </si>
  <si>
    <t xml:space="preserve">INV-002419</t>
  </si>
  <si>
    <t xml:space="preserve">INV-002420</t>
  </si>
  <si>
    <t xml:space="preserve">INV-002421</t>
  </si>
  <si>
    <t xml:space="preserve">INV-002422</t>
  </si>
  <si>
    <t xml:space="preserve">INV-002423</t>
  </si>
  <si>
    <t xml:space="preserve">INV-002424</t>
  </si>
  <si>
    <t xml:space="preserve">INV-002425</t>
  </si>
  <si>
    <t xml:space="preserve">INV-002426</t>
  </si>
  <si>
    <t xml:space="preserve">INV-002427</t>
  </si>
  <si>
    <t xml:space="preserve">INV-002428</t>
  </si>
  <si>
    <t xml:space="preserve">INV-002429</t>
  </si>
  <si>
    <t xml:space="preserve">INV-002430</t>
  </si>
  <si>
    <t xml:space="preserve">INV-002431</t>
  </si>
  <si>
    <t xml:space="preserve">INV-002432</t>
  </si>
  <si>
    <t xml:space="preserve">INV-002433</t>
  </si>
  <si>
    <t xml:space="preserve">INV-002434</t>
  </si>
  <si>
    <t xml:space="preserve">INV-002435</t>
  </si>
  <si>
    <t xml:space="preserve">INV-002436</t>
  </si>
  <si>
    <t xml:space="preserve">INV-002437</t>
  </si>
  <si>
    <t xml:space="preserve">INV-002438</t>
  </si>
  <si>
    <t xml:space="preserve">INV-002439</t>
  </si>
  <si>
    <t xml:space="preserve">INV-002440</t>
  </si>
  <si>
    <t xml:space="preserve">INV-002441</t>
  </si>
  <si>
    <t xml:space="preserve">INV-002442</t>
  </si>
  <si>
    <t xml:space="preserve">INV-002443</t>
  </si>
  <si>
    <t xml:space="preserve">INV-002444</t>
  </si>
  <si>
    <t xml:space="preserve">INV-002445</t>
  </si>
  <si>
    <t xml:space="preserve">INV-002446</t>
  </si>
  <si>
    <t xml:space="preserve">INV-002447</t>
  </si>
  <si>
    <t xml:space="preserve">INV-002448</t>
  </si>
  <si>
    <t xml:space="preserve">INV-002449</t>
  </si>
  <si>
    <t xml:space="preserve">INV-002450</t>
  </si>
  <si>
    <t xml:space="preserve">INV-002451</t>
  </si>
  <si>
    <t xml:space="preserve">INV-002452</t>
  </si>
  <si>
    <t xml:space="preserve">INV-002453</t>
  </si>
  <si>
    <t xml:space="preserve">INV-002454</t>
  </si>
  <si>
    <t xml:space="preserve">INV-002455</t>
  </si>
  <si>
    <t xml:space="preserve">INV-002456</t>
  </si>
  <si>
    <t xml:space="preserve">INV-002457</t>
  </si>
  <si>
    <t xml:space="preserve">INV-002458</t>
  </si>
  <si>
    <t xml:space="preserve">INV-002459</t>
  </si>
  <si>
    <t xml:space="preserve">INV-002460</t>
  </si>
  <si>
    <t xml:space="preserve">INV-002461</t>
  </si>
  <si>
    <t xml:space="preserve">INV-002462</t>
  </si>
  <si>
    <t xml:space="preserve">INV-002463</t>
  </si>
  <si>
    <t xml:space="preserve">INV-002464</t>
  </si>
  <si>
    <t xml:space="preserve">INV-002465</t>
  </si>
  <si>
    <t xml:space="preserve">INV-002466</t>
  </si>
  <si>
    <t xml:space="preserve">INV-002467</t>
  </si>
  <si>
    <t xml:space="preserve">INV-002468</t>
  </si>
  <si>
    <t xml:space="preserve">INV-002469</t>
  </si>
  <si>
    <t xml:space="preserve">INV-002470</t>
  </si>
  <si>
    <t xml:space="preserve">INV-002471</t>
  </si>
  <si>
    <t xml:space="preserve">INV-002472</t>
  </si>
  <si>
    <t xml:space="preserve">INV-002473</t>
  </si>
  <si>
    <t xml:space="preserve">INV-002474</t>
  </si>
  <si>
    <t xml:space="preserve">INV-002475</t>
  </si>
  <si>
    <t xml:space="preserve">INV-002476</t>
  </si>
  <si>
    <t xml:space="preserve">INV-002477</t>
  </si>
  <si>
    <t xml:space="preserve">INV-002478</t>
  </si>
  <si>
    <t xml:space="preserve">INV-002479</t>
  </si>
  <si>
    <t xml:space="preserve">INV-002480</t>
  </si>
  <si>
    <t xml:space="preserve">INV-002481</t>
  </si>
  <si>
    <t xml:space="preserve">INV-002482</t>
  </si>
  <si>
    <t xml:space="preserve">INV-002483</t>
  </si>
  <si>
    <t xml:space="preserve">INV-002484</t>
  </si>
  <si>
    <t xml:space="preserve">INV-002485</t>
  </si>
  <si>
    <t xml:space="preserve">INV-002486</t>
  </si>
  <si>
    <t xml:space="preserve">INV-002487</t>
  </si>
  <si>
    <t xml:space="preserve">INV-002488</t>
  </si>
  <si>
    <t xml:space="preserve">INV-002489</t>
  </si>
  <si>
    <t xml:space="preserve">INV-002490</t>
  </si>
  <si>
    <t xml:space="preserve">INV-002491</t>
  </si>
  <si>
    <t xml:space="preserve">INV-002492</t>
  </si>
  <si>
    <t xml:space="preserve">INV-002493</t>
  </si>
  <si>
    <t xml:space="preserve">INV-002494</t>
  </si>
  <si>
    <t xml:space="preserve">INV-002495</t>
  </si>
  <si>
    <t xml:space="preserve">INV-002496</t>
  </si>
  <si>
    <t xml:space="preserve">INV-002497</t>
  </si>
  <si>
    <t xml:space="preserve">INV-002498</t>
  </si>
  <si>
    <t xml:space="preserve">INV-002499</t>
  </si>
  <si>
    <t xml:space="preserve">INV-002500</t>
  </si>
  <si>
    <t xml:space="preserve">INV-002501</t>
  </si>
  <si>
    <t xml:space="preserve">INV-002502</t>
  </si>
  <si>
    <t xml:space="preserve">INV-002503</t>
  </si>
  <si>
    <t xml:space="preserve">INV-002504</t>
  </si>
  <si>
    <t xml:space="preserve">INV-002505</t>
  </si>
  <si>
    <t xml:space="preserve">INV-002506</t>
  </si>
  <si>
    <t xml:space="preserve">INV-002507</t>
  </si>
  <si>
    <t xml:space="preserve">INV-002508</t>
  </si>
  <si>
    <t xml:space="preserve">INV-002509</t>
  </si>
  <si>
    <t xml:space="preserve">INV-002510</t>
  </si>
  <si>
    <t xml:space="preserve">INV-002511</t>
  </si>
  <si>
    <t xml:space="preserve">INV-002512</t>
  </si>
  <si>
    <t xml:space="preserve">INV-002513</t>
  </si>
  <si>
    <t xml:space="preserve">INV-002514</t>
  </si>
  <si>
    <t xml:space="preserve">INV-002515</t>
  </si>
  <si>
    <t xml:space="preserve">INV-002516</t>
  </si>
  <si>
    <t xml:space="preserve">INV-002517</t>
  </si>
  <si>
    <t xml:space="preserve">INV-002518</t>
  </si>
  <si>
    <t xml:space="preserve">INV-002519</t>
  </si>
  <si>
    <t xml:space="preserve">INV-002520</t>
  </si>
  <si>
    <t xml:space="preserve">INV-002521</t>
  </si>
  <si>
    <t xml:space="preserve">INV-002522</t>
  </si>
  <si>
    <t xml:space="preserve">INV-002523</t>
  </si>
  <si>
    <t xml:space="preserve">INV-002524</t>
  </si>
  <si>
    <t xml:space="preserve">INV-002525</t>
  </si>
  <si>
    <t xml:space="preserve">INV-002526</t>
  </si>
  <si>
    <t xml:space="preserve">INV-002527</t>
  </si>
  <si>
    <t xml:space="preserve">INV-002528</t>
  </si>
  <si>
    <t xml:space="preserve">INV-002529</t>
  </si>
  <si>
    <t xml:space="preserve">INV-002530</t>
  </si>
  <si>
    <t xml:space="preserve">INV-002531</t>
  </si>
  <si>
    <t xml:space="preserve">INV-002532</t>
  </si>
  <si>
    <t xml:space="preserve">INV-002533</t>
  </si>
  <si>
    <t xml:space="preserve">INV-002534</t>
  </si>
  <si>
    <t xml:space="preserve">INV-002535</t>
  </si>
  <si>
    <t xml:space="preserve">INV-002536</t>
  </si>
  <si>
    <t xml:space="preserve">INV-002537</t>
  </si>
  <si>
    <t xml:space="preserve">INV-002538</t>
  </si>
  <si>
    <t xml:space="preserve">INV-002539</t>
  </si>
  <si>
    <t xml:space="preserve">INV-002540</t>
  </si>
  <si>
    <t xml:space="preserve">INV-002541</t>
  </si>
  <si>
    <t xml:space="preserve">INV-002542</t>
  </si>
  <si>
    <t xml:space="preserve">INV-002543</t>
  </si>
  <si>
    <t xml:space="preserve">INV-002544</t>
  </si>
  <si>
    <t xml:space="preserve">INV-002545</t>
  </si>
  <si>
    <t xml:space="preserve">INV-002546</t>
  </si>
  <si>
    <t xml:space="preserve">INV-002547</t>
  </si>
  <si>
    <t xml:space="preserve">INV-002548</t>
  </si>
  <si>
    <t xml:space="preserve">INV-002549</t>
  </si>
  <si>
    <t xml:space="preserve">INV-002550</t>
  </si>
  <si>
    <t xml:space="preserve">INV-002551</t>
  </si>
  <si>
    <t xml:space="preserve">INV-002552</t>
  </si>
  <si>
    <t xml:space="preserve">INV-002553</t>
  </si>
  <si>
    <t xml:space="preserve">INV-002554</t>
  </si>
  <si>
    <t xml:space="preserve">INV-002555</t>
  </si>
  <si>
    <t xml:space="preserve">INV-002556</t>
  </si>
  <si>
    <t xml:space="preserve">INV-002557</t>
  </si>
  <si>
    <t xml:space="preserve">INV-002558</t>
  </si>
  <si>
    <t xml:space="preserve">INV-002559</t>
  </si>
  <si>
    <t xml:space="preserve">INV-002560</t>
  </si>
  <si>
    <t xml:space="preserve">INV-002561</t>
  </si>
  <si>
    <t xml:space="preserve">INV-002562</t>
  </si>
  <si>
    <t xml:space="preserve">INV-002563</t>
  </si>
  <si>
    <t xml:space="preserve">INV-002564</t>
  </si>
  <si>
    <t xml:space="preserve">INV-002565</t>
  </si>
  <si>
    <t xml:space="preserve">INV-002566</t>
  </si>
  <si>
    <t xml:space="preserve">INV-002567</t>
  </si>
  <si>
    <t xml:space="preserve">INV-002568</t>
  </si>
  <si>
    <t xml:space="preserve">INV-002569</t>
  </si>
  <si>
    <t xml:space="preserve">INV-002570</t>
  </si>
  <si>
    <t xml:space="preserve">INV-002571</t>
  </si>
  <si>
    <t xml:space="preserve">INV-002572</t>
  </si>
  <si>
    <t xml:space="preserve">INV-002573</t>
  </si>
  <si>
    <t xml:space="preserve">INV-002574</t>
  </si>
  <si>
    <t xml:space="preserve">INV-002575</t>
  </si>
  <si>
    <t xml:space="preserve">INV-002576</t>
  </si>
  <si>
    <t xml:space="preserve">INV-002577</t>
  </si>
  <si>
    <t xml:space="preserve">INV-002578</t>
  </si>
  <si>
    <t xml:space="preserve">INV-002579</t>
  </si>
  <si>
    <t xml:space="preserve">INV-002580</t>
  </si>
  <si>
    <t xml:space="preserve">INV-002581</t>
  </si>
  <si>
    <t xml:space="preserve">INV-002582</t>
  </si>
  <si>
    <t xml:space="preserve">INV-002583</t>
  </si>
  <si>
    <t xml:space="preserve">INV-002584</t>
  </si>
  <si>
    <t xml:space="preserve">INV-002585</t>
  </si>
  <si>
    <t xml:space="preserve">INV-002586</t>
  </si>
  <si>
    <t xml:space="preserve">INV-002587</t>
  </si>
  <si>
    <t xml:space="preserve">INV-002588</t>
  </si>
  <si>
    <t xml:space="preserve">INV-002589</t>
  </si>
  <si>
    <t xml:space="preserve">INV-002590</t>
  </si>
  <si>
    <t xml:space="preserve">INV-002591</t>
  </si>
  <si>
    <t xml:space="preserve">INV-002592</t>
  </si>
  <si>
    <t xml:space="preserve">INV-002593</t>
  </si>
  <si>
    <t xml:space="preserve">INV-002594</t>
  </si>
  <si>
    <t xml:space="preserve">INV-002595</t>
  </si>
  <si>
    <t xml:space="preserve">INV-002596</t>
  </si>
  <si>
    <t xml:space="preserve">INV-002597</t>
  </si>
  <si>
    <t xml:space="preserve">INV-002598</t>
  </si>
  <si>
    <t xml:space="preserve">INV-002599</t>
  </si>
  <si>
    <t xml:space="preserve">INV-002600</t>
  </si>
  <si>
    <t xml:space="preserve">INV-002601</t>
  </si>
  <si>
    <t xml:space="preserve">INV-002602</t>
  </si>
  <si>
    <t xml:space="preserve">INV-002603</t>
  </si>
  <si>
    <t xml:space="preserve">INV-002604</t>
  </si>
  <si>
    <t xml:space="preserve">INV-002605</t>
  </si>
  <si>
    <t xml:space="preserve">INV-002606</t>
  </si>
  <si>
    <t xml:space="preserve">INV-002607</t>
  </si>
  <si>
    <t xml:space="preserve">INV-002608</t>
  </si>
  <si>
    <t xml:space="preserve">INV-002609</t>
  </si>
  <si>
    <t xml:space="preserve">INV-002610</t>
  </si>
  <si>
    <t xml:space="preserve">INV-002611</t>
  </si>
  <si>
    <t xml:space="preserve">INV-002612</t>
  </si>
  <si>
    <t xml:space="preserve">INV-002613</t>
  </si>
  <si>
    <t xml:space="preserve">INV-002614</t>
  </si>
  <si>
    <t xml:space="preserve">INV-002615</t>
  </si>
  <si>
    <t xml:space="preserve">INV-002616</t>
  </si>
  <si>
    <t xml:space="preserve">INV-002617</t>
  </si>
  <si>
    <t xml:space="preserve">INV-002618</t>
  </si>
  <si>
    <t xml:space="preserve">INV-002619</t>
  </si>
  <si>
    <t xml:space="preserve">INV-002620</t>
  </si>
  <si>
    <t xml:space="preserve">INV-002621</t>
  </si>
  <si>
    <t xml:space="preserve">INV-002622</t>
  </si>
  <si>
    <t xml:space="preserve">INV-002623</t>
  </si>
  <si>
    <t xml:space="preserve">INV-002624</t>
  </si>
  <si>
    <t xml:space="preserve">INV-002625</t>
  </si>
  <si>
    <t xml:space="preserve">INV-002626</t>
  </si>
  <si>
    <t xml:space="preserve">INV-002627</t>
  </si>
  <si>
    <t xml:space="preserve">INV-002628</t>
  </si>
  <si>
    <t xml:space="preserve">INV-002629</t>
  </si>
  <si>
    <t xml:space="preserve">INV-002630</t>
  </si>
  <si>
    <t xml:space="preserve">INV-002631</t>
  </si>
  <si>
    <t xml:space="preserve">INV-002632</t>
  </si>
  <si>
    <t xml:space="preserve">INV-002633</t>
  </si>
  <si>
    <t xml:space="preserve">INV-002634</t>
  </si>
  <si>
    <t xml:space="preserve">INV-002635</t>
  </si>
  <si>
    <t xml:space="preserve">INV-002636</t>
  </si>
  <si>
    <t xml:space="preserve">INV-002637</t>
  </si>
  <si>
    <t xml:space="preserve">INV-002638</t>
  </si>
  <si>
    <t xml:space="preserve">INV-002639</t>
  </si>
  <si>
    <t xml:space="preserve">INV-002640</t>
  </si>
  <si>
    <t xml:space="preserve">INV-002641</t>
  </si>
  <si>
    <t xml:space="preserve">INV-002642</t>
  </si>
  <si>
    <t xml:space="preserve">INV-002643</t>
  </si>
  <si>
    <t xml:space="preserve">INV-002644</t>
  </si>
  <si>
    <t xml:space="preserve">INV-002645</t>
  </si>
  <si>
    <t xml:space="preserve">INV-002646</t>
  </si>
  <si>
    <t xml:space="preserve">INV-002647</t>
  </si>
  <si>
    <t xml:space="preserve">INV-002648</t>
  </si>
  <si>
    <t xml:space="preserve">INV-002649</t>
  </si>
  <si>
    <t xml:space="preserve">INV-002650</t>
  </si>
  <si>
    <t xml:space="preserve">INV-002651</t>
  </si>
  <si>
    <t xml:space="preserve">INV-002652</t>
  </si>
  <si>
    <t xml:space="preserve">INV-002653</t>
  </si>
  <si>
    <t xml:space="preserve">INV-002654</t>
  </si>
  <si>
    <t xml:space="preserve">INV-002655</t>
  </si>
  <si>
    <t xml:space="preserve">INV-002656</t>
  </si>
  <si>
    <t xml:space="preserve">INV-002657</t>
  </si>
  <si>
    <t xml:space="preserve">INV-002658</t>
  </si>
  <si>
    <t xml:space="preserve">INV-002659</t>
  </si>
  <si>
    <t xml:space="preserve">INV-002660</t>
  </si>
  <si>
    <t xml:space="preserve">INV-002661</t>
  </si>
  <si>
    <t xml:space="preserve">INV-002662</t>
  </si>
  <si>
    <t xml:space="preserve">INV-002663</t>
  </si>
  <si>
    <t xml:space="preserve">INV-002664</t>
  </si>
  <si>
    <t xml:space="preserve">INV-002665</t>
  </si>
  <si>
    <t xml:space="preserve">INV-002666</t>
  </si>
  <si>
    <t xml:space="preserve">INV-002667</t>
  </si>
  <si>
    <t xml:space="preserve">INV-002668</t>
  </si>
  <si>
    <t xml:space="preserve">INV-002669</t>
  </si>
  <si>
    <t xml:space="preserve">INV-002670</t>
  </si>
  <si>
    <t xml:space="preserve">INV-002671</t>
  </si>
  <si>
    <t xml:space="preserve">INV-002672</t>
  </si>
  <si>
    <t xml:space="preserve">INV-002673</t>
  </si>
  <si>
    <t xml:space="preserve">INV-002674</t>
  </si>
  <si>
    <t xml:space="preserve">INV-002675</t>
  </si>
  <si>
    <t xml:space="preserve">INV-002676</t>
  </si>
  <si>
    <t xml:space="preserve">INV-002677</t>
  </si>
  <si>
    <t xml:space="preserve">INV-002678</t>
  </si>
  <si>
    <t xml:space="preserve">INV-002679</t>
  </si>
  <si>
    <t xml:space="preserve">INV-002680</t>
  </si>
  <si>
    <t xml:space="preserve">INV-002681</t>
  </si>
  <si>
    <t xml:space="preserve">INV-002682</t>
  </si>
  <si>
    <t xml:space="preserve">INV-002683</t>
  </si>
  <si>
    <t xml:space="preserve">INV-002684</t>
  </si>
  <si>
    <t xml:space="preserve">INV-002685</t>
  </si>
  <si>
    <t xml:space="preserve">INV-002686</t>
  </si>
  <si>
    <t xml:space="preserve">INV-002687</t>
  </si>
  <si>
    <t xml:space="preserve">INV-002688</t>
  </si>
  <si>
    <t xml:space="preserve">INV-002689</t>
  </si>
  <si>
    <t xml:space="preserve">INV-002690</t>
  </si>
  <si>
    <t xml:space="preserve">INV-002691</t>
  </si>
  <si>
    <t xml:space="preserve">INV-002692</t>
  </si>
  <si>
    <t xml:space="preserve">INV-002693</t>
  </si>
  <si>
    <t xml:space="preserve">INV-002694</t>
  </si>
  <si>
    <t xml:space="preserve">INV-002695</t>
  </si>
  <si>
    <t xml:space="preserve">INV-002696</t>
  </si>
  <si>
    <t xml:space="preserve">INV-002697</t>
  </si>
  <si>
    <t xml:space="preserve">INV-002698</t>
  </si>
  <si>
    <t xml:space="preserve">INV-002699</t>
  </si>
  <si>
    <t xml:space="preserve">INV-002700</t>
  </si>
  <si>
    <t xml:space="preserve">INV-002701</t>
  </si>
  <si>
    <t xml:space="preserve">INV-002702</t>
  </si>
  <si>
    <t xml:space="preserve">INV-002703</t>
  </si>
  <si>
    <t xml:space="preserve">INV-002704</t>
  </si>
  <si>
    <t xml:space="preserve">INV-002705</t>
  </si>
  <si>
    <t xml:space="preserve">INV-002706</t>
  </si>
  <si>
    <t xml:space="preserve">INV-002707</t>
  </si>
  <si>
    <t xml:space="preserve">INV-002708</t>
  </si>
  <si>
    <t xml:space="preserve">INV-002709</t>
  </si>
  <si>
    <t xml:space="preserve">INV-002710</t>
  </si>
  <si>
    <t xml:space="preserve">INV-002711</t>
  </si>
  <si>
    <t xml:space="preserve">INV-002712</t>
  </si>
  <si>
    <t xml:space="preserve">INV-002713</t>
  </si>
  <si>
    <t xml:space="preserve">INV-002714</t>
  </si>
  <si>
    <t xml:space="preserve">INV-002715</t>
  </si>
  <si>
    <t xml:space="preserve">INV-002716</t>
  </si>
  <si>
    <t xml:space="preserve">INV-002717</t>
  </si>
  <si>
    <t xml:space="preserve">INV-002718</t>
  </si>
  <si>
    <t xml:space="preserve">INV-002719</t>
  </si>
  <si>
    <t xml:space="preserve">INV-002720</t>
  </si>
  <si>
    <t xml:space="preserve">INV-002721</t>
  </si>
  <si>
    <t xml:space="preserve">INV-002722</t>
  </si>
  <si>
    <t xml:space="preserve">INV-002723</t>
  </si>
  <si>
    <t xml:space="preserve">INV-002724</t>
  </si>
  <si>
    <t xml:space="preserve">INV-002725</t>
  </si>
  <si>
    <t xml:space="preserve">INV-002726</t>
  </si>
  <si>
    <t xml:space="preserve">INV-002727</t>
  </si>
  <si>
    <t xml:space="preserve">INV-002728</t>
  </si>
  <si>
    <t xml:space="preserve">INV-002729</t>
  </si>
  <si>
    <t xml:space="preserve">INV-002730</t>
  </si>
  <si>
    <t xml:space="preserve">INV-002731</t>
  </si>
  <si>
    <t xml:space="preserve">INV-002732</t>
  </si>
  <si>
    <t xml:space="preserve">INV-002733</t>
  </si>
  <si>
    <t xml:space="preserve">INV-002734</t>
  </si>
  <si>
    <t xml:space="preserve">INV-002735</t>
  </si>
  <si>
    <t xml:space="preserve">INV-002736</t>
  </si>
  <si>
    <t xml:space="preserve">INV-002737</t>
  </si>
  <si>
    <t xml:space="preserve">INV-002738</t>
  </si>
  <si>
    <t xml:space="preserve">INV-002739</t>
  </si>
  <si>
    <t xml:space="preserve">INV-002740</t>
  </si>
  <si>
    <t xml:space="preserve">INV-002741</t>
  </si>
  <si>
    <t xml:space="preserve">INV-002742</t>
  </si>
  <si>
    <t xml:space="preserve">INV-002743</t>
  </si>
  <si>
    <t xml:space="preserve">INV-002744</t>
  </si>
  <si>
    <t xml:space="preserve">INV-002745</t>
  </si>
  <si>
    <t xml:space="preserve">INV-002746</t>
  </si>
  <si>
    <t xml:space="preserve">INV-002747</t>
  </si>
  <si>
    <t xml:space="preserve">INV-002748</t>
  </si>
  <si>
    <t xml:space="preserve">INV-002749</t>
  </si>
  <si>
    <t xml:space="preserve">INV-002750</t>
  </si>
  <si>
    <t xml:space="preserve">INV-002751</t>
  </si>
  <si>
    <t xml:space="preserve">INV-002752</t>
  </si>
  <si>
    <t xml:space="preserve">INV-002753</t>
  </si>
  <si>
    <t xml:space="preserve">INV-002754</t>
  </si>
  <si>
    <t xml:space="preserve">INV-002755</t>
  </si>
  <si>
    <t xml:space="preserve">INV-002756</t>
  </si>
  <si>
    <t xml:space="preserve">INV-002757</t>
  </si>
  <si>
    <t xml:space="preserve">INV-002758</t>
  </si>
  <si>
    <t xml:space="preserve">INV-002759</t>
  </si>
  <si>
    <t xml:space="preserve">INV-002760</t>
  </si>
  <si>
    <t xml:space="preserve">INV-002761</t>
  </si>
  <si>
    <t xml:space="preserve">INV-002762</t>
  </si>
  <si>
    <t xml:space="preserve">INV-002763</t>
  </si>
  <si>
    <t xml:space="preserve">INV-002764</t>
  </si>
  <si>
    <t xml:space="preserve">INV-002765</t>
  </si>
  <si>
    <t xml:space="preserve">INV-002766</t>
  </si>
  <si>
    <t xml:space="preserve">INV-002767</t>
  </si>
  <si>
    <t xml:space="preserve">INV-002768</t>
  </si>
  <si>
    <t xml:space="preserve">INV-002769</t>
  </si>
  <si>
    <t xml:space="preserve">INV-002770</t>
  </si>
  <si>
    <t xml:space="preserve">INV-002771</t>
  </si>
  <si>
    <t xml:space="preserve">INV-002772</t>
  </si>
  <si>
    <t xml:space="preserve">INV-002773</t>
  </si>
  <si>
    <t xml:space="preserve">INV-002774</t>
  </si>
  <si>
    <t xml:space="preserve">INV-002775</t>
  </si>
  <si>
    <t xml:space="preserve">INV-002776</t>
  </si>
  <si>
    <t xml:space="preserve">INV-002777</t>
  </si>
  <si>
    <t xml:space="preserve">INV-002778</t>
  </si>
  <si>
    <t xml:space="preserve">INV-002779</t>
  </si>
  <si>
    <t xml:space="preserve">INV-002780</t>
  </si>
  <si>
    <t xml:space="preserve">INV-002781</t>
  </si>
  <si>
    <t xml:space="preserve">INV-002782</t>
  </si>
  <si>
    <t xml:space="preserve">INV-002783</t>
  </si>
  <si>
    <t xml:space="preserve">INV-002784</t>
  </si>
  <si>
    <t xml:space="preserve">INV-002785</t>
  </si>
  <si>
    <t xml:space="preserve">INV-002786</t>
  </si>
  <si>
    <t xml:space="preserve">INV-002787</t>
  </si>
  <si>
    <t xml:space="preserve">INV-002788</t>
  </si>
  <si>
    <t xml:space="preserve">INV-002789</t>
  </si>
  <si>
    <t xml:space="preserve">INV-002790</t>
  </si>
  <si>
    <t xml:space="preserve">INV-002791</t>
  </si>
  <si>
    <t xml:space="preserve">INV-002792</t>
  </si>
  <si>
    <t xml:space="preserve">INV-002793</t>
  </si>
  <si>
    <t xml:space="preserve">INV-002794</t>
  </si>
  <si>
    <t xml:space="preserve">INV-002795</t>
  </si>
  <si>
    <t xml:space="preserve">INV-002796</t>
  </si>
  <si>
    <t xml:space="preserve">INV-002797</t>
  </si>
  <si>
    <t xml:space="preserve">INV-002798</t>
  </si>
  <si>
    <t xml:space="preserve">INV-002799</t>
  </si>
  <si>
    <t xml:space="preserve">INV-002800</t>
  </si>
  <si>
    <t xml:space="preserve">INV-002801</t>
  </si>
  <si>
    <t xml:space="preserve">INV-002802</t>
  </si>
  <si>
    <t xml:space="preserve">INV-002803</t>
  </si>
  <si>
    <t xml:space="preserve">INV-002804</t>
  </si>
  <si>
    <t xml:space="preserve">INV-002805</t>
  </si>
  <si>
    <t xml:space="preserve">INV-002806</t>
  </si>
  <si>
    <t xml:space="preserve">INV-002807</t>
  </si>
  <si>
    <t xml:space="preserve">INV-002808</t>
  </si>
  <si>
    <t xml:space="preserve">INV-002809</t>
  </si>
  <si>
    <t xml:space="preserve">INV-002810</t>
  </si>
  <si>
    <t xml:space="preserve">INV-002811</t>
  </si>
  <si>
    <t xml:space="preserve">INV-002812</t>
  </si>
  <si>
    <t xml:space="preserve">INV-002813</t>
  </si>
  <si>
    <t xml:space="preserve">INV-002814</t>
  </si>
  <si>
    <t xml:space="preserve">INV-002815</t>
  </si>
  <si>
    <t xml:space="preserve">INV-002816</t>
  </si>
  <si>
    <t xml:space="preserve">INV-002817</t>
  </si>
  <si>
    <t xml:space="preserve">INV-002818</t>
  </si>
  <si>
    <t xml:space="preserve">INV-002819</t>
  </si>
  <si>
    <t xml:space="preserve">INV-002820</t>
  </si>
  <si>
    <t xml:space="preserve">INV-002821</t>
  </si>
  <si>
    <t xml:space="preserve">INV-002822</t>
  </si>
  <si>
    <t xml:space="preserve">INV-002823</t>
  </si>
  <si>
    <t xml:space="preserve">INV-002824</t>
  </si>
  <si>
    <t xml:space="preserve">INV-002825</t>
  </si>
  <si>
    <t xml:space="preserve">INV-002826</t>
  </si>
  <si>
    <t xml:space="preserve">INV-002827</t>
  </si>
  <si>
    <t xml:space="preserve">INV-002828</t>
  </si>
  <si>
    <t xml:space="preserve">INV-002829</t>
  </si>
  <si>
    <t xml:space="preserve">INV-002830</t>
  </si>
  <si>
    <t xml:space="preserve">INV-002831</t>
  </si>
  <si>
    <t xml:space="preserve">INV-002832</t>
  </si>
  <si>
    <t xml:space="preserve">INV-002833</t>
  </si>
  <si>
    <t xml:space="preserve">INV-002834</t>
  </si>
  <si>
    <t xml:space="preserve">INV-002835</t>
  </si>
  <si>
    <t xml:space="preserve">INV-002836</t>
  </si>
  <si>
    <t xml:space="preserve">INV-002837</t>
  </si>
  <si>
    <t xml:space="preserve">INV-002838</t>
  </si>
  <si>
    <t xml:space="preserve">INV-002839</t>
  </si>
  <si>
    <t xml:space="preserve">INV-002840</t>
  </si>
  <si>
    <t xml:space="preserve">INV-002841</t>
  </si>
  <si>
    <t xml:space="preserve">INV-002842</t>
  </si>
  <si>
    <t xml:space="preserve">INV-002843</t>
  </si>
  <si>
    <t xml:space="preserve">INV-002844</t>
  </si>
  <si>
    <t xml:space="preserve">INV-002845</t>
  </si>
  <si>
    <t xml:space="preserve">INV-002846</t>
  </si>
  <si>
    <t xml:space="preserve">INV-002847</t>
  </si>
  <si>
    <t xml:space="preserve">INV-002848</t>
  </si>
  <si>
    <t xml:space="preserve">INV-002849</t>
  </si>
  <si>
    <t xml:space="preserve">INV-002850</t>
  </si>
  <si>
    <t xml:space="preserve">INV-002851</t>
  </si>
  <si>
    <t xml:space="preserve">INV-002852</t>
  </si>
  <si>
    <t xml:space="preserve">INV-002853</t>
  </si>
  <si>
    <t xml:space="preserve">INV-002854</t>
  </si>
  <si>
    <t xml:space="preserve">INV-002855</t>
  </si>
  <si>
    <t xml:space="preserve">INV-002856</t>
  </si>
  <si>
    <t xml:space="preserve">INV-002857</t>
  </si>
  <si>
    <t xml:space="preserve">INV-002858</t>
  </si>
  <si>
    <t xml:space="preserve">INV-002859</t>
  </si>
  <si>
    <t xml:space="preserve">INV-002860</t>
  </si>
  <si>
    <t xml:space="preserve">INV-002861</t>
  </si>
  <si>
    <t xml:space="preserve">INV-002862</t>
  </si>
  <si>
    <t xml:space="preserve">INV-002863</t>
  </si>
  <si>
    <t xml:space="preserve">INV-002864</t>
  </si>
  <si>
    <t xml:space="preserve">INV-002865</t>
  </si>
  <si>
    <t xml:space="preserve">INV-002866</t>
  </si>
  <si>
    <t xml:space="preserve">INV-002867</t>
  </si>
  <si>
    <t xml:space="preserve">INV-002868</t>
  </si>
  <si>
    <t xml:space="preserve">INV-002869</t>
  </si>
  <si>
    <t xml:space="preserve">INV-002870</t>
  </si>
  <si>
    <t xml:space="preserve">INV-002871</t>
  </si>
  <si>
    <t xml:space="preserve">INV-002872</t>
  </si>
  <si>
    <t xml:space="preserve">INV-002873</t>
  </si>
  <si>
    <t xml:space="preserve">INV-002874</t>
  </si>
  <si>
    <t xml:space="preserve">INV-002875</t>
  </si>
  <si>
    <t xml:space="preserve">INV-002876</t>
  </si>
  <si>
    <t xml:space="preserve">INV-002877</t>
  </si>
  <si>
    <t xml:space="preserve">INV-002878</t>
  </si>
  <si>
    <t xml:space="preserve">INV-002879</t>
  </si>
  <si>
    <t xml:space="preserve">INV-002880</t>
  </si>
  <si>
    <t xml:space="preserve">INV-002881</t>
  </si>
  <si>
    <t xml:space="preserve">INV-002882</t>
  </si>
  <si>
    <t xml:space="preserve">INV-002883</t>
  </si>
  <si>
    <t xml:space="preserve">INV-002884</t>
  </si>
  <si>
    <t xml:space="preserve">INV-002885</t>
  </si>
  <si>
    <t xml:space="preserve">INV-002886</t>
  </si>
  <si>
    <t xml:space="preserve">INV-002887</t>
  </si>
  <si>
    <t xml:space="preserve">INV-002888</t>
  </si>
  <si>
    <t xml:space="preserve">INV-002889</t>
  </si>
  <si>
    <t xml:space="preserve">INV-002890</t>
  </si>
  <si>
    <t xml:space="preserve">INV-002891</t>
  </si>
  <si>
    <t xml:space="preserve">INV-002892</t>
  </si>
  <si>
    <t xml:space="preserve">INV-002893</t>
  </si>
  <si>
    <t xml:space="preserve">INV-002894</t>
  </si>
  <si>
    <t xml:space="preserve">INV-002895</t>
  </si>
  <si>
    <t xml:space="preserve">INV-002896</t>
  </si>
  <si>
    <t xml:space="preserve">INV-002897</t>
  </si>
  <si>
    <t xml:space="preserve">INV-002898</t>
  </si>
  <si>
    <t xml:space="preserve">INV-002899</t>
  </si>
  <si>
    <t xml:space="preserve">INV-002900</t>
  </si>
  <si>
    <t xml:space="preserve">INV-002901</t>
  </si>
  <si>
    <t xml:space="preserve">INV-002902</t>
  </si>
  <si>
    <t xml:space="preserve">INV-002903</t>
  </si>
  <si>
    <t xml:space="preserve">INV-002904</t>
  </si>
  <si>
    <t xml:space="preserve">INV-002905</t>
  </si>
  <si>
    <t xml:space="preserve">INV-002906</t>
  </si>
  <si>
    <t xml:space="preserve">INV-002907</t>
  </si>
  <si>
    <t xml:space="preserve">INV-002908</t>
  </si>
  <si>
    <t xml:space="preserve">INV-002909</t>
  </si>
  <si>
    <t xml:space="preserve">INV-002910</t>
  </si>
  <si>
    <t xml:space="preserve">INV-002911</t>
  </si>
  <si>
    <t xml:space="preserve">INV-002912</t>
  </si>
  <si>
    <t xml:space="preserve">INV-002913</t>
  </si>
  <si>
    <t xml:space="preserve">INV-002914</t>
  </si>
  <si>
    <t xml:space="preserve">INV-002915</t>
  </si>
  <si>
    <t xml:space="preserve">INV-002916</t>
  </si>
  <si>
    <t xml:space="preserve">INV-002917</t>
  </si>
  <si>
    <t xml:space="preserve">INV-002918</t>
  </si>
  <si>
    <t xml:space="preserve">INV-002919</t>
  </si>
  <si>
    <t xml:space="preserve">INV-002920</t>
  </si>
  <si>
    <t xml:space="preserve">INV-002921</t>
  </si>
  <si>
    <t xml:space="preserve">INV-002922</t>
  </si>
  <si>
    <t xml:space="preserve">INV-002923</t>
  </si>
  <si>
    <t xml:space="preserve">INV-002924</t>
  </si>
  <si>
    <t xml:space="preserve">INV-002925</t>
  </si>
  <si>
    <t xml:space="preserve">INV-002926</t>
  </si>
  <si>
    <t xml:space="preserve">INV-002927</t>
  </si>
  <si>
    <t xml:space="preserve">INV-002928</t>
  </si>
  <si>
    <t xml:space="preserve">INV-002929</t>
  </si>
  <si>
    <t xml:space="preserve">INV-002930</t>
  </si>
  <si>
    <t xml:space="preserve">INV-002931</t>
  </si>
  <si>
    <t xml:space="preserve">INV-002932</t>
  </si>
  <si>
    <t xml:space="preserve">INV-002933</t>
  </si>
  <si>
    <t xml:space="preserve">INV-002934</t>
  </si>
  <si>
    <t xml:space="preserve">INV-002935</t>
  </si>
  <si>
    <t xml:space="preserve">INV-002936</t>
  </si>
  <si>
    <t xml:space="preserve">INV-002937</t>
  </si>
  <si>
    <t xml:space="preserve">INV-002938</t>
  </si>
  <si>
    <t xml:space="preserve">INV-002939</t>
  </si>
  <si>
    <t xml:space="preserve">INV-002940</t>
  </si>
  <si>
    <t xml:space="preserve">INV-002941</t>
  </si>
  <si>
    <t xml:space="preserve">INV-002942</t>
  </si>
  <si>
    <t xml:space="preserve">INV-002943</t>
  </si>
  <si>
    <t xml:space="preserve">INV-002944</t>
  </si>
  <si>
    <t xml:space="preserve">INV-002945</t>
  </si>
  <si>
    <t xml:space="preserve">INV-002946</t>
  </si>
  <si>
    <t xml:space="preserve">INV-002947</t>
  </si>
  <si>
    <t xml:space="preserve">INV-002948</t>
  </si>
  <si>
    <t xml:space="preserve">INV-002949</t>
  </si>
  <si>
    <t xml:space="preserve">INV-002950</t>
  </si>
  <si>
    <t xml:space="preserve">INV-002951</t>
  </si>
  <si>
    <t xml:space="preserve">INV-002952</t>
  </si>
  <si>
    <t xml:space="preserve">INV-002953</t>
  </si>
  <si>
    <t xml:space="preserve">INV-002954</t>
  </si>
  <si>
    <t xml:space="preserve">INV-002955</t>
  </si>
  <si>
    <t xml:space="preserve">INV-002956</t>
  </si>
  <si>
    <t xml:space="preserve">INV-002957</t>
  </si>
  <si>
    <t xml:space="preserve">INV-002958</t>
  </si>
  <si>
    <t xml:space="preserve">INV-002959</t>
  </si>
  <si>
    <t xml:space="preserve">INV-002960</t>
  </si>
  <si>
    <t xml:space="preserve">INV-002961</t>
  </si>
  <si>
    <t xml:space="preserve">INV-002962</t>
  </si>
  <si>
    <t xml:space="preserve">INV-002963</t>
  </si>
  <si>
    <t xml:space="preserve">INV-002964</t>
  </si>
  <si>
    <t xml:space="preserve">INV-002965</t>
  </si>
  <si>
    <t xml:space="preserve">INV-002966</t>
  </si>
  <si>
    <t xml:space="preserve">INV-002967</t>
  </si>
  <si>
    <t xml:space="preserve">INV-002968</t>
  </si>
  <si>
    <t xml:space="preserve">INV-002969</t>
  </si>
  <si>
    <t xml:space="preserve">INV-002970</t>
  </si>
  <si>
    <t xml:space="preserve">INV-002971</t>
  </si>
  <si>
    <t xml:space="preserve">INV-002972</t>
  </si>
  <si>
    <t xml:space="preserve">INV-002973</t>
  </si>
  <si>
    <t xml:space="preserve">INV-002974</t>
  </si>
  <si>
    <t xml:space="preserve">INV-002975</t>
  </si>
  <si>
    <t xml:space="preserve">INV-002976</t>
  </si>
  <si>
    <t xml:space="preserve">INV-002977</t>
  </si>
  <si>
    <t xml:space="preserve">INV-002978</t>
  </si>
  <si>
    <t xml:space="preserve">INV-002979</t>
  </si>
  <si>
    <t xml:space="preserve">INV-002980</t>
  </si>
  <si>
    <t xml:space="preserve">INV-002981</t>
  </si>
  <si>
    <t xml:space="preserve">INV-002982</t>
  </si>
  <si>
    <t xml:space="preserve">INV-002983</t>
  </si>
  <si>
    <t xml:space="preserve">INV-002984</t>
  </si>
  <si>
    <t xml:space="preserve">INV-002985</t>
  </si>
  <si>
    <t xml:space="preserve">INV-002986</t>
  </si>
  <si>
    <t xml:space="preserve">INV-002987</t>
  </si>
  <si>
    <t xml:space="preserve">INV-002988</t>
  </si>
  <si>
    <t xml:space="preserve">INV-002989</t>
  </si>
  <si>
    <t xml:space="preserve">INV-002990</t>
  </si>
  <si>
    <t xml:space="preserve">INV-002991</t>
  </si>
  <si>
    <t xml:space="preserve">INV-002992</t>
  </si>
  <si>
    <t xml:space="preserve">INV-002993</t>
  </si>
  <si>
    <t xml:space="preserve">INV-002994</t>
  </si>
  <si>
    <t xml:space="preserve">INV-002995</t>
  </si>
  <si>
    <t xml:space="preserve">INV-002996</t>
  </si>
  <si>
    <t xml:space="preserve">INV-002997</t>
  </si>
  <si>
    <t xml:space="preserve">INV-002998</t>
  </si>
  <si>
    <t xml:space="preserve">INV-002999</t>
  </si>
  <si>
    <t xml:space="preserve">INV-003000</t>
  </si>
  <si>
    <t xml:space="preserve">INV-003001</t>
  </si>
  <si>
    <t xml:space="preserve">INV-003002</t>
  </si>
  <si>
    <t xml:space="preserve">INV-003003</t>
  </si>
  <si>
    <t xml:space="preserve">INV-003004</t>
  </si>
  <si>
    <t xml:space="preserve">INV-003005</t>
  </si>
  <si>
    <t xml:space="preserve">INV-003006</t>
  </si>
  <si>
    <t xml:space="preserve">INV-003007</t>
  </si>
  <si>
    <t xml:space="preserve">INV-003008</t>
  </si>
  <si>
    <t xml:space="preserve">INV-003009</t>
  </si>
  <si>
    <t xml:space="preserve">INV-003010</t>
  </si>
  <si>
    <t xml:space="preserve">INV-003011</t>
  </si>
  <si>
    <t xml:space="preserve">INV-003012</t>
  </si>
  <si>
    <t xml:space="preserve">INV-003013</t>
  </si>
  <si>
    <t xml:space="preserve">INV-003014</t>
  </si>
  <si>
    <t xml:space="preserve">INV-003015</t>
  </si>
  <si>
    <t xml:space="preserve">INV-003016</t>
  </si>
  <si>
    <t xml:space="preserve">INV-003017</t>
  </si>
  <si>
    <t xml:space="preserve">INV-003018</t>
  </si>
  <si>
    <t xml:space="preserve">INV-003019</t>
  </si>
  <si>
    <t xml:space="preserve">INV-003020</t>
  </si>
  <si>
    <t xml:space="preserve">INV-003021</t>
  </si>
  <si>
    <t xml:space="preserve">INV-003022</t>
  </si>
  <si>
    <t xml:space="preserve">INV-003023</t>
  </si>
  <si>
    <t xml:space="preserve">INV-003024</t>
  </si>
  <si>
    <t xml:space="preserve">INV-003025</t>
  </si>
  <si>
    <t xml:space="preserve">INV-003026</t>
  </si>
  <si>
    <t xml:space="preserve">INV-003027</t>
  </si>
  <si>
    <t xml:space="preserve">INV-003028</t>
  </si>
  <si>
    <t xml:space="preserve">INV-003029</t>
  </si>
  <si>
    <t xml:space="preserve">INV-003030</t>
  </si>
  <si>
    <t xml:space="preserve">INV-003031</t>
  </si>
  <si>
    <t xml:space="preserve">INV-003032</t>
  </si>
  <si>
    <t xml:space="preserve">INV-003033</t>
  </si>
  <si>
    <t xml:space="preserve">INV-003034</t>
  </si>
  <si>
    <t xml:space="preserve">INV-003035</t>
  </si>
  <si>
    <t xml:space="preserve">INV-003036</t>
  </si>
  <si>
    <t xml:space="preserve">INV-003037</t>
  </si>
  <si>
    <t xml:space="preserve">INV-003038</t>
  </si>
  <si>
    <t xml:space="preserve">INV-003039</t>
  </si>
  <si>
    <t xml:space="preserve">INV-003040</t>
  </si>
  <si>
    <t xml:space="preserve">INV-003041</t>
  </si>
  <si>
    <t xml:space="preserve">INV-003042</t>
  </si>
  <si>
    <t xml:space="preserve">INV-003043</t>
  </si>
  <si>
    <t xml:space="preserve">INV-003044</t>
  </si>
  <si>
    <t xml:space="preserve">INV-003045</t>
  </si>
  <si>
    <t xml:space="preserve">INV-003046</t>
  </si>
  <si>
    <t xml:space="preserve">INV-003047</t>
  </si>
  <si>
    <t xml:space="preserve">INV-003048</t>
  </si>
  <si>
    <t xml:space="preserve">INV-003049</t>
  </si>
  <si>
    <t xml:space="preserve">INV-003050</t>
  </si>
  <si>
    <t xml:space="preserve">INV-003051</t>
  </si>
  <si>
    <t xml:space="preserve">INV-003052</t>
  </si>
  <si>
    <t xml:space="preserve">INV-003053</t>
  </si>
  <si>
    <t xml:space="preserve">INV-003054</t>
  </si>
  <si>
    <t xml:space="preserve">INV-003055</t>
  </si>
  <si>
    <t xml:space="preserve">INV-003056</t>
  </si>
  <si>
    <t xml:space="preserve">INV-003057</t>
  </si>
  <si>
    <t xml:space="preserve">INV-003058</t>
  </si>
  <si>
    <t xml:space="preserve">INV-003059</t>
  </si>
  <si>
    <t xml:space="preserve">INV-003060</t>
  </si>
  <si>
    <t xml:space="preserve">INV-003061</t>
  </si>
  <si>
    <t xml:space="preserve">INV-003062</t>
  </si>
  <si>
    <t xml:space="preserve">INV-003063</t>
  </si>
  <si>
    <t xml:space="preserve">INV-003064</t>
  </si>
  <si>
    <t xml:space="preserve">INV-003065</t>
  </si>
  <si>
    <t xml:space="preserve">INV-003066</t>
  </si>
  <si>
    <t xml:space="preserve">INV-003067</t>
  </si>
  <si>
    <t xml:space="preserve">INV-003068</t>
  </si>
  <si>
    <t xml:space="preserve">INV-003069</t>
  </si>
  <si>
    <t xml:space="preserve">INV-003070</t>
  </si>
  <si>
    <t xml:space="preserve">INV-003071</t>
  </si>
  <si>
    <t xml:space="preserve">INV-003072</t>
  </si>
  <si>
    <t xml:space="preserve">INV-003073</t>
  </si>
  <si>
    <t xml:space="preserve">INV-003074</t>
  </si>
  <si>
    <t xml:space="preserve">INV-003075</t>
  </si>
  <si>
    <t xml:space="preserve">INV-003076</t>
  </si>
  <si>
    <t xml:space="preserve">INV-003077</t>
  </si>
  <si>
    <t xml:space="preserve">INV-003078</t>
  </si>
  <si>
    <t xml:space="preserve">INV-003079</t>
  </si>
  <si>
    <t xml:space="preserve">INV-003080</t>
  </si>
  <si>
    <t xml:space="preserve">INV-003081</t>
  </si>
  <si>
    <t xml:space="preserve">INV-003082</t>
  </si>
  <si>
    <t xml:space="preserve">INV-003083</t>
  </si>
  <si>
    <t xml:space="preserve">INV-003084</t>
  </si>
  <si>
    <t xml:space="preserve">INV-003085</t>
  </si>
  <si>
    <t xml:space="preserve">INV-003086</t>
  </si>
  <si>
    <t xml:space="preserve">INV-003087</t>
  </si>
  <si>
    <t xml:space="preserve">INV-003088</t>
  </si>
  <si>
    <t xml:space="preserve">INV-003089</t>
  </si>
  <si>
    <t xml:space="preserve">INV-003090</t>
  </si>
  <si>
    <t xml:space="preserve">INV-003091</t>
  </si>
  <si>
    <t xml:space="preserve">INV-003092</t>
  </si>
  <si>
    <t xml:space="preserve">INV-003093</t>
  </si>
  <si>
    <t xml:space="preserve">INV-003094</t>
  </si>
  <si>
    <t xml:space="preserve">INV-003095</t>
  </si>
  <si>
    <t xml:space="preserve">INV-003096</t>
  </si>
  <si>
    <t xml:space="preserve">INV-003097</t>
  </si>
  <si>
    <t xml:space="preserve">INV-003098</t>
  </si>
  <si>
    <t xml:space="preserve">INV-003099</t>
  </si>
  <si>
    <t xml:space="preserve">INV-003100</t>
  </si>
  <si>
    <t xml:space="preserve">INV-003101</t>
  </si>
  <si>
    <t xml:space="preserve">INV-003102</t>
  </si>
  <si>
    <t xml:space="preserve">INV-003103</t>
  </si>
  <si>
    <t xml:space="preserve">INV-003104</t>
  </si>
  <si>
    <t xml:space="preserve">INV-003105</t>
  </si>
  <si>
    <t xml:space="preserve">INV-003106</t>
  </si>
  <si>
    <t xml:space="preserve">INV-003107</t>
  </si>
  <si>
    <t xml:space="preserve">INV-003108</t>
  </si>
  <si>
    <t xml:space="preserve">INV-003109</t>
  </si>
  <si>
    <t xml:space="preserve">INV-003110</t>
  </si>
  <si>
    <t xml:space="preserve">INV-003111</t>
  </si>
  <si>
    <t xml:space="preserve">INV-003112</t>
  </si>
  <si>
    <t xml:space="preserve">INV-003113</t>
  </si>
  <si>
    <t xml:space="preserve">INV-003114</t>
  </si>
  <si>
    <t xml:space="preserve">INV-003115</t>
  </si>
  <si>
    <t xml:space="preserve">INV-003116</t>
  </si>
  <si>
    <t xml:space="preserve">INV-003117</t>
  </si>
  <si>
    <t xml:space="preserve">INV-003118</t>
  </si>
  <si>
    <t xml:space="preserve">INV-003119</t>
  </si>
  <si>
    <t xml:space="preserve">INV-003120</t>
  </si>
  <si>
    <t xml:space="preserve">INV-003121</t>
  </si>
  <si>
    <t xml:space="preserve">INV-003122</t>
  </si>
  <si>
    <t xml:space="preserve">INV-003123</t>
  </si>
  <si>
    <t xml:space="preserve">INV-003124</t>
  </si>
  <si>
    <t xml:space="preserve">INV-003125</t>
  </si>
  <si>
    <t xml:space="preserve">INV-003126</t>
  </si>
  <si>
    <t xml:space="preserve">INV-003127</t>
  </si>
  <si>
    <t xml:space="preserve">INV-003128</t>
  </si>
  <si>
    <t xml:space="preserve">INV-003129</t>
  </si>
  <si>
    <t xml:space="preserve">INV-003130</t>
  </si>
  <si>
    <t xml:space="preserve">INV-003131</t>
  </si>
  <si>
    <t xml:space="preserve">INV-003132</t>
  </si>
  <si>
    <t xml:space="preserve">INV-003133</t>
  </si>
  <si>
    <t xml:space="preserve">INV-003134</t>
  </si>
  <si>
    <t xml:space="preserve">INV-003135</t>
  </si>
  <si>
    <t xml:space="preserve">INV-003136</t>
  </si>
  <si>
    <t xml:space="preserve">INV-003137</t>
  </si>
  <si>
    <t xml:space="preserve">INV-003138</t>
  </si>
  <si>
    <t xml:space="preserve">INV-003139</t>
  </si>
  <si>
    <t xml:space="preserve">INV-003140</t>
  </si>
  <si>
    <t xml:space="preserve">INV-003141</t>
  </si>
  <si>
    <t xml:space="preserve">INV-003142</t>
  </si>
  <si>
    <t xml:space="preserve">INV-003143</t>
  </si>
  <si>
    <t xml:space="preserve">INV-003144</t>
  </si>
  <si>
    <t xml:space="preserve">INV-003145</t>
  </si>
  <si>
    <t xml:space="preserve">INV-003146</t>
  </si>
  <si>
    <t xml:space="preserve">INV-003147</t>
  </si>
  <si>
    <t xml:space="preserve">INV-003148</t>
  </si>
  <si>
    <t xml:space="preserve">INV-003149</t>
  </si>
  <si>
    <t xml:space="preserve">INV-003150</t>
  </si>
  <si>
    <t xml:space="preserve">INV-003151</t>
  </si>
  <si>
    <t xml:space="preserve">INV-003152</t>
  </si>
  <si>
    <t xml:space="preserve">INV-003153</t>
  </si>
  <si>
    <t xml:space="preserve">INV-003154</t>
  </si>
  <si>
    <t xml:space="preserve">INV-003155</t>
  </si>
  <si>
    <t xml:space="preserve">INV-003156</t>
  </si>
  <si>
    <t xml:space="preserve">INV-003157</t>
  </si>
  <si>
    <t xml:space="preserve">INV-003158</t>
  </si>
  <si>
    <t xml:space="preserve">INV-003159</t>
  </si>
  <si>
    <t xml:space="preserve">INV-003160</t>
  </si>
  <si>
    <t xml:space="preserve">INV-003161</t>
  </si>
  <si>
    <t xml:space="preserve">INV-003162</t>
  </si>
  <si>
    <t xml:space="preserve">INV-003163</t>
  </si>
  <si>
    <t xml:space="preserve">INV-003164</t>
  </si>
  <si>
    <t xml:space="preserve">INV-003165</t>
  </si>
  <si>
    <t xml:space="preserve">INV-003166</t>
  </si>
  <si>
    <t xml:space="preserve">INV-003167</t>
  </si>
  <si>
    <t xml:space="preserve">INV-003168</t>
  </si>
  <si>
    <t xml:space="preserve">INV-003169</t>
  </si>
  <si>
    <t xml:space="preserve">INV-003170</t>
  </si>
  <si>
    <t xml:space="preserve">INV-003171</t>
  </si>
  <si>
    <t xml:space="preserve">INV-003172</t>
  </si>
  <si>
    <t xml:space="preserve">INV-003173</t>
  </si>
  <si>
    <t xml:space="preserve">INV-003174</t>
  </si>
  <si>
    <t xml:space="preserve">INV-003175</t>
  </si>
  <si>
    <t xml:space="preserve">INV-003176</t>
  </si>
  <si>
    <t xml:space="preserve">INV-003177</t>
  </si>
  <si>
    <t xml:space="preserve">INV-003178</t>
  </si>
  <si>
    <t xml:space="preserve">INV-003179</t>
  </si>
  <si>
    <t xml:space="preserve">INV-003180</t>
  </si>
  <si>
    <t xml:space="preserve">INV-003181</t>
  </si>
  <si>
    <t xml:space="preserve">INV-003182</t>
  </si>
  <si>
    <t xml:space="preserve">INV-003183</t>
  </si>
  <si>
    <t xml:space="preserve">INV-003184</t>
  </si>
  <si>
    <t xml:space="preserve">INV-003185</t>
  </si>
  <si>
    <t xml:space="preserve">INV-003186</t>
  </si>
  <si>
    <t xml:space="preserve">INV-003187</t>
  </si>
  <si>
    <t xml:space="preserve">INV-003188</t>
  </si>
  <si>
    <t xml:space="preserve">INV-003189</t>
  </si>
  <si>
    <t xml:space="preserve">INV-003190</t>
  </si>
  <si>
    <t xml:space="preserve">INV-003191</t>
  </si>
  <si>
    <t xml:space="preserve">INV-003192</t>
  </si>
  <si>
    <t xml:space="preserve">INV-003193</t>
  </si>
  <si>
    <t xml:space="preserve">INV-003194</t>
  </si>
  <si>
    <t xml:space="preserve">INV-003195</t>
  </si>
  <si>
    <t xml:space="preserve">INV-003196</t>
  </si>
  <si>
    <t xml:space="preserve">INV-003197</t>
  </si>
  <si>
    <t xml:space="preserve">INV-003198</t>
  </si>
  <si>
    <t xml:space="preserve">INV-003199</t>
  </si>
  <si>
    <t xml:space="preserve">INV-003200</t>
  </si>
  <si>
    <t xml:space="preserve">INV-003201</t>
  </si>
  <si>
    <t xml:space="preserve">INV-003202</t>
  </si>
  <si>
    <t xml:space="preserve">INV-003203</t>
  </si>
  <si>
    <t xml:space="preserve">INV-003204</t>
  </si>
  <si>
    <t xml:space="preserve">INV-003205</t>
  </si>
  <si>
    <t xml:space="preserve">INV-003206</t>
  </si>
  <si>
    <t xml:space="preserve">INV-003207</t>
  </si>
  <si>
    <t xml:space="preserve">INV-003208</t>
  </si>
  <si>
    <t xml:space="preserve">INV-003209</t>
  </si>
  <si>
    <t xml:space="preserve">INV-003210</t>
  </si>
  <si>
    <t xml:space="preserve">INV-003211</t>
  </si>
  <si>
    <t xml:space="preserve">INV-003212</t>
  </si>
  <si>
    <t xml:space="preserve">INV-003213</t>
  </si>
  <si>
    <t xml:space="preserve">INV-003214</t>
  </si>
  <si>
    <t xml:space="preserve">INV-003215</t>
  </si>
  <si>
    <t xml:space="preserve">INV-003216</t>
  </si>
  <si>
    <t xml:space="preserve">INV-003217</t>
  </si>
  <si>
    <t xml:space="preserve">INV-003218</t>
  </si>
  <si>
    <t xml:space="preserve">INV-003219</t>
  </si>
  <si>
    <t xml:space="preserve">INV-003220</t>
  </si>
  <si>
    <t xml:space="preserve">INV-003221</t>
  </si>
  <si>
    <t xml:space="preserve">INV-003222</t>
  </si>
  <si>
    <t xml:space="preserve">INV-003223</t>
  </si>
  <si>
    <t xml:space="preserve">INV-003224</t>
  </si>
  <si>
    <t xml:space="preserve">INV-003225</t>
  </si>
  <si>
    <t xml:space="preserve">INV-003226</t>
  </si>
  <si>
    <t xml:space="preserve">INV-003227</t>
  </si>
  <si>
    <t xml:space="preserve">INV-003228</t>
  </si>
  <si>
    <t xml:space="preserve">INV-003229</t>
  </si>
  <si>
    <t xml:space="preserve">INV-003230</t>
  </si>
  <si>
    <t xml:space="preserve">INV-003231</t>
  </si>
  <si>
    <t xml:space="preserve">INV-003232</t>
  </si>
  <si>
    <t xml:space="preserve">INV-003233</t>
  </si>
  <si>
    <t xml:space="preserve">INV-003234</t>
  </si>
  <si>
    <t xml:space="preserve">INV-003235</t>
  </si>
  <si>
    <t xml:space="preserve">INV-003236</t>
  </si>
  <si>
    <t xml:space="preserve">INV-003237</t>
  </si>
  <si>
    <t xml:space="preserve">INV-003238</t>
  </si>
  <si>
    <t xml:space="preserve">INV-003239</t>
  </si>
  <si>
    <t xml:space="preserve">INV-003240</t>
  </si>
  <si>
    <t xml:space="preserve">INV-003241</t>
  </si>
  <si>
    <t xml:space="preserve">INV-003242</t>
  </si>
  <si>
    <t xml:space="preserve">INV-003243</t>
  </si>
  <si>
    <t xml:space="preserve">INV-003244</t>
  </si>
  <si>
    <t xml:space="preserve">INV-003245</t>
  </si>
  <si>
    <t xml:space="preserve">INV-003246</t>
  </si>
  <si>
    <t xml:space="preserve">INV-003247</t>
  </si>
  <si>
    <t xml:space="preserve">INV-003248</t>
  </si>
  <si>
    <t xml:space="preserve">INV-003249</t>
  </si>
  <si>
    <t xml:space="preserve">INV-003250</t>
  </si>
  <si>
    <t xml:space="preserve">INV-003251</t>
  </si>
  <si>
    <t xml:space="preserve">INV-003252</t>
  </si>
  <si>
    <t xml:space="preserve">INV-003253</t>
  </si>
  <si>
    <t xml:space="preserve">INV-003254</t>
  </si>
  <si>
    <t xml:space="preserve">INV-003255</t>
  </si>
  <si>
    <t xml:space="preserve">INV-003256</t>
  </si>
  <si>
    <t xml:space="preserve">INV-003257</t>
  </si>
  <si>
    <t xml:space="preserve">INV-003258</t>
  </si>
  <si>
    <t xml:space="preserve">INV-003259</t>
  </si>
  <si>
    <t xml:space="preserve">INV-003260</t>
  </si>
  <si>
    <t xml:space="preserve">INV-003261</t>
  </si>
  <si>
    <t xml:space="preserve">INV-003262</t>
  </si>
  <si>
    <t xml:space="preserve">INV-003263</t>
  </si>
  <si>
    <t xml:space="preserve">INV-003264</t>
  </si>
  <si>
    <t xml:space="preserve">INV-003265</t>
  </si>
  <si>
    <t xml:space="preserve">INV-003266</t>
  </si>
  <si>
    <t xml:space="preserve">INV-003267</t>
  </si>
  <si>
    <t xml:space="preserve">INV-003268</t>
  </si>
  <si>
    <t xml:space="preserve">INV-003269</t>
  </si>
  <si>
    <t xml:space="preserve">INV-003270</t>
  </si>
  <si>
    <t xml:space="preserve">INV-003271</t>
  </si>
  <si>
    <t xml:space="preserve">INV-003272</t>
  </si>
  <si>
    <t xml:space="preserve">INV-003273</t>
  </si>
  <si>
    <t xml:space="preserve">INV-003274</t>
  </si>
  <si>
    <t xml:space="preserve">INV-003275</t>
  </si>
  <si>
    <t xml:space="preserve">INV-003276</t>
  </si>
  <si>
    <t xml:space="preserve">INV-003277</t>
  </si>
  <si>
    <t xml:space="preserve">INV-003278</t>
  </si>
  <si>
    <t xml:space="preserve">INV-003279</t>
  </si>
  <si>
    <t xml:space="preserve">INV-003280</t>
  </si>
  <si>
    <t xml:space="preserve">INV-003281</t>
  </si>
  <si>
    <t xml:space="preserve">INV-003282</t>
  </si>
  <si>
    <t xml:space="preserve">INV-003283</t>
  </si>
  <si>
    <t xml:space="preserve">INV-003284</t>
  </si>
  <si>
    <t xml:space="preserve">INV-003285</t>
  </si>
  <si>
    <t xml:space="preserve">INV-003286</t>
  </si>
  <si>
    <t xml:space="preserve">INV-003287</t>
  </si>
  <si>
    <t xml:space="preserve">INV-003288</t>
  </si>
  <si>
    <t xml:space="preserve">INV-003289</t>
  </si>
  <si>
    <t xml:space="preserve">INV-003290</t>
  </si>
  <si>
    <t xml:space="preserve">INV-003291</t>
  </si>
  <si>
    <t xml:space="preserve">INV-003292</t>
  </si>
  <si>
    <t xml:space="preserve">INV-003293</t>
  </si>
  <si>
    <t xml:space="preserve">INV-003294</t>
  </si>
  <si>
    <t xml:space="preserve">INV-003295</t>
  </si>
  <si>
    <t xml:space="preserve">INV-003296</t>
  </si>
  <si>
    <t xml:space="preserve">INV-003297</t>
  </si>
  <si>
    <t xml:space="preserve">INV-003298</t>
  </si>
  <si>
    <t xml:space="preserve">INV-003299</t>
  </si>
  <si>
    <t xml:space="preserve">INV-003300</t>
  </si>
  <si>
    <t xml:space="preserve">INV-003301</t>
  </si>
  <si>
    <t xml:space="preserve">INV-003302</t>
  </si>
  <si>
    <t xml:space="preserve">INV-003303</t>
  </si>
  <si>
    <t xml:space="preserve">INV-003304</t>
  </si>
  <si>
    <t xml:space="preserve">INV-003305</t>
  </si>
  <si>
    <t xml:space="preserve">INV-003306</t>
  </si>
  <si>
    <t xml:space="preserve">INV-003307</t>
  </si>
  <si>
    <t xml:space="preserve">INV-003308</t>
  </si>
  <si>
    <t xml:space="preserve">INV-003309</t>
  </si>
  <si>
    <t xml:space="preserve">INV-003310</t>
  </si>
  <si>
    <t xml:space="preserve">INV-003311</t>
  </si>
  <si>
    <t xml:space="preserve">INV-003312</t>
  </si>
  <si>
    <t xml:space="preserve">INV-003313</t>
  </si>
  <si>
    <t xml:space="preserve">INV-003314</t>
  </si>
  <si>
    <t xml:space="preserve">INV-003315</t>
  </si>
  <si>
    <t xml:space="preserve">INV-003316</t>
  </si>
  <si>
    <t xml:space="preserve">INV-003317</t>
  </si>
  <si>
    <t xml:space="preserve">INV-003318</t>
  </si>
  <si>
    <t xml:space="preserve">INV-003319</t>
  </si>
  <si>
    <t xml:space="preserve">INV-003320</t>
  </si>
  <si>
    <t xml:space="preserve">INV-003321</t>
  </si>
  <si>
    <t xml:space="preserve">INV-003322</t>
  </si>
  <si>
    <t xml:space="preserve">INV-003323</t>
  </si>
  <si>
    <t xml:space="preserve">INV-003324</t>
  </si>
  <si>
    <t xml:space="preserve">INV-003325</t>
  </si>
  <si>
    <t xml:space="preserve">INV-003326</t>
  </si>
  <si>
    <t xml:space="preserve">INV-003327</t>
  </si>
  <si>
    <t xml:space="preserve">INV-003328</t>
  </si>
  <si>
    <t xml:space="preserve">INV-003329</t>
  </si>
  <si>
    <t xml:space="preserve">INV-003330</t>
  </si>
  <si>
    <t xml:space="preserve">INV-003331</t>
  </si>
  <si>
    <t xml:space="preserve">INV-003332</t>
  </si>
  <si>
    <t xml:space="preserve">INV-003333</t>
  </si>
  <si>
    <t xml:space="preserve">INV-003334</t>
  </si>
  <si>
    <t xml:space="preserve">INV-003335</t>
  </si>
  <si>
    <t xml:space="preserve">INV-003336</t>
  </si>
  <si>
    <t xml:space="preserve">INV-003337</t>
  </si>
  <si>
    <t xml:space="preserve">INV-003338</t>
  </si>
  <si>
    <t xml:space="preserve">INV-003339</t>
  </si>
  <si>
    <t xml:space="preserve">INV-003340</t>
  </si>
  <si>
    <t xml:space="preserve">INV-003341</t>
  </si>
  <si>
    <t xml:space="preserve">INV-003342</t>
  </si>
  <si>
    <t xml:space="preserve">INV-003343</t>
  </si>
  <si>
    <t xml:space="preserve">INV-003344</t>
  </si>
  <si>
    <t xml:space="preserve">INV-003345</t>
  </si>
  <si>
    <t xml:space="preserve">INV-003346</t>
  </si>
  <si>
    <t xml:space="preserve">INV-003347</t>
  </si>
  <si>
    <t xml:space="preserve">INV-003348</t>
  </si>
  <si>
    <t xml:space="preserve">INV-003349</t>
  </si>
  <si>
    <t xml:space="preserve">INV-003350</t>
  </si>
  <si>
    <t xml:space="preserve">INV-003351</t>
  </si>
  <si>
    <t xml:space="preserve">INV-003352</t>
  </si>
  <si>
    <t xml:space="preserve">INV-003353</t>
  </si>
  <si>
    <t xml:space="preserve">INV-003354</t>
  </si>
  <si>
    <t xml:space="preserve">INV-003355</t>
  </si>
  <si>
    <t xml:space="preserve">INV-003356</t>
  </si>
  <si>
    <t xml:space="preserve">INV-003357</t>
  </si>
  <si>
    <t xml:space="preserve">INV-003358</t>
  </si>
  <si>
    <t xml:space="preserve">INV-003359</t>
  </si>
  <si>
    <t xml:space="preserve">INV-003360</t>
  </si>
  <si>
    <t xml:space="preserve">INV-003361</t>
  </si>
  <si>
    <t xml:space="preserve">INV-003362</t>
  </si>
  <si>
    <t xml:space="preserve">INV-003363</t>
  </si>
  <si>
    <t xml:space="preserve">INV-003364</t>
  </si>
  <si>
    <t xml:space="preserve">INV-003365</t>
  </si>
  <si>
    <t xml:space="preserve">INV-003366</t>
  </si>
  <si>
    <t xml:space="preserve">INV-003367</t>
  </si>
  <si>
    <t xml:space="preserve">INV-003368</t>
  </si>
  <si>
    <t xml:space="preserve">INV-003369</t>
  </si>
  <si>
    <t xml:space="preserve">INV-003370</t>
  </si>
  <si>
    <t xml:space="preserve">INV-003371</t>
  </si>
  <si>
    <t xml:space="preserve">INV-003372</t>
  </si>
  <si>
    <t xml:space="preserve">INV-003373</t>
  </si>
  <si>
    <t xml:space="preserve">INV-003374</t>
  </si>
  <si>
    <t xml:space="preserve">INV-003375</t>
  </si>
  <si>
    <t xml:space="preserve">INV-003376</t>
  </si>
  <si>
    <t xml:space="preserve">INV-003377</t>
  </si>
  <si>
    <t xml:space="preserve">INV-003378</t>
  </si>
  <si>
    <t xml:space="preserve">INV-003379</t>
  </si>
  <si>
    <t xml:space="preserve">INV-003380</t>
  </si>
  <si>
    <t xml:space="preserve">INV-003381</t>
  </si>
  <si>
    <t xml:space="preserve">INV-003382</t>
  </si>
  <si>
    <t xml:space="preserve">INV-003383</t>
  </si>
  <si>
    <t xml:space="preserve">INV-003384</t>
  </si>
  <si>
    <t xml:space="preserve">INV-003385</t>
  </si>
  <si>
    <t xml:space="preserve">INV-003386</t>
  </si>
  <si>
    <t xml:space="preserve">INV-003387</t>
  </si>
  <si>
    <t xml:space="preserve">INV-003388</t>
  </si>
  <si>
    <t xml:space="preserve">INV-003389</t>
  </si>
  <si>
    <t xml:space="preserve">INV-003390</t>
  </si>
  <si>
    <t xml:space="preserve">INV-003391</t>
  </si>
  <si>
    <t xml:space="preserve">INV-003392</t>
  </si>
  <si>
    <t xml:space="preserve">INV-003393</t>
  </si>
  <si>
    <t xml:space="preserve">INV-003394</t>
  </si>
  <si>
    <t xml:space="preserve">INV-003395</t>
  </si>
  <si>
    <t xml:space="preserve">INV-003396</t>
  </si>
  <si>
    <t xml:space="preserve">INV-003397</t>
  </si>
  <si>
    <t xml:space="preserve">INV-003398</t>
  </si>
  <si>
    <t xml:space="preserve">INV-003399</t>
  </si>
  <si>
    <t xml:space="preserve">INV-003400</t>
  </si>
  <si>
    <t xml:space="preserve">INV-003401</t>
  </si>
  <si>
    <t xml:space="preserve">INV-003402</t>
  </si>
  <si>
    <t xml:space="preserve">INV-003403</t>
  </si>
  <si>
    <t xml:space="preserve">INV-003404</t>
  </si>
  <si>
    <t xml:space="preserve">INV-003405</t>
  </si>
  <si>
    <t xml:space="preserve">INV-003406</t>
  </si>
  <si>
    <t xml:space="preserve">INV-003407</t>
  </si>
  <si>
    <t xml:space="preserve">INV-003408</t>
  </si>
  <si>
    <t xml:space="preserve">INV-003409</t>
  </si>
  <si>
    <t xml:space="preserve">INV-003410</t>
  </si>
  <si>
    <t xml:space="preserve">INV-003411</t>
  </si>
  <si>
    <t xml:space="preserve">INV-003412</t>
  </si>
  <si>
    <t xml:space="preserve">INV-003413</t>
  </si>
  <si>
    <t xml:space="preserve">INV-003414</t>
  </si>
  <si>
    <t xml:space="preserve">INV-003415</t>
  </si>
  <si>
    <t xml:space="preserve">INV-003416</t>
  </si>
  <si>
    <t xml:space="preserve">INV-003417</t>
  </si>
  <si>
    <t xml:space="preserve">INV-003418</t>
  </si>
  <si>
    <t xml:space="preserve">INV-003419</t>
  </si>
  <si>
    <t xml:space="preserve">INV-003420</t>
  </si>
  <si>
    <t xml:space="preserve">INV-003421</t>
  </si>
  <si>
    <t xml:space="preserve">INV-003422</t>
  </si>
  <si>
    <t xml:space="preserve">INV-003423</t>
  </si>
  <si>
    <t xml:space="preserve">INV-003424</t>
  </si>
  <si>
    <t xml:space="preserve">INV-003425</t>
  </si>
  <si>
    <t xml:space="preserve">INV-003426</t>
  </si>
  <si>
    <t xml:space="preserve">INV-003427</t>
  </si>
  <si>
    <t xml:space="preserve">INV-003428</t>
  </si>
  <si>
    <t xml:space="preserve">INV-003429</t>
  </si>
  <si>
    <t xml:space="preserve">INV-003430</t>
  </si>
  <si>
    <t xml:space="preserve">INV-003431</t>
  </si>
  <si>
    <t xml:space="preserve">INV-003432</t>
  </si>
  <si>
    <t xml:space="preserve">INV-003433</t>
  </si>
  <si>
    <t xml:space="preserve">INV-003434</t>
  </si>
  <si>
    <t xml:space="preserve">INV-003435</t>
  </si>
  <si>
    <t xml:space="preserve">INV-003436</t>
  </si>
  <si>
    <t xml:space="preserve">INV-003437</t>
  </si>
  <si>
    <t xml:space="preserve">INV-003438</t>
  </si>
  <si>
    <t xml:space="preserve">INV-003439</t>
  </si>
  <si>
    <t xml:space="preserve">INV-003440</t>
  </si>
  <si>
    <t xml:space="preserve">INV-003441</t>
  </si>
  <si>
    <t xml:space="preserve">INV-003442</t>
  </si>
  <si>
    <t xml:space="preserve">INV-003443</t>
  </si>
  <si>
    <t xml:space="preserve">INV-003444</t>
  </si>
  <si>
    <t xml:space="preserve">INV-003445</t>
  </si>
  <si>
    <t xml:space="preserve">INV-003446</t>
  </si>
  <si>
    <t xml:space="preserve">INV-003447</t>
  </si>
  <si>
    <t xml:space="preserve">INV-003448</t>
  </si>
  <si>
    <t xml:space="preserve">INV-003449</t>
  </si>
  <si>
    <t xml:space="preserve">INV-003450</t>
  </si>
  <si>
    <t xml:space="preserve">INV-003451</t>
  </si>
  <si>
    <t xml:space="preserve">INV-003452</t>
  </si>
  <si>
    <t xml:space="preserve">INV-003453</t>
  </si>
  <si>
    <t xml:space="preserve">INV-003454</t>
  </si>
  <si>
    <t xml:space="preserve">INV-003455</t>
  </si>
  <si>
    <t xml:space="preserve">INV-003456</t>
  </si>
  <si>
    <t xml:space="preserve">INV-003457</t>
  </si>
  <si>
    <t xml:space="preserve">INV-003458</t>
  </si>
  <si>
    <t xml:space="preserve">INV-003459</t>
  </si>
  <si>
    <t xml:space="preserve">INV-003460</t>
  </si>
  <si>
    <t xml:space="preserve">INV-003461</t>
  </si>
  <si>
    <t xml:space="preserve">INV-003462</t>
  </si>
  <si>
    <t xml:space="preserve">INV-003463</t>
  </si>
  <si>
    <t xml:space="preserve">INV-003464</t>
  </si>
  <si>
    <t xml:space="preserve">INV-003465</t>
  </si>
  <si>
    <t xml:space="preserve">INV-003466</t>
  </si>
  <si>
    <t xml:space="preserve">INV-003467</t>
  </si>
  <si>
    <t xml:space="preserve">INV-003468</t>
  </si>
  <si>
    <t xml:space="preserve">INV-003469</t>
  </si>
  <si>
    <t xml:space="preserve">INV-003470</t>
  </si>
  <si>
    <t xml:space="preserve">INV-003471</t>
  </si>
  <si>
    <t xml:space="preserve">INV-003472</t>
  </si>
  <si>
    <t xml:space="preserve">INV-003473</t>
  </si>
  <si>
    <t xml:space="preserve">INV-003474</t>
  </si>
  <si>
    <t xml:space="preserve">INV-003475</t>
  </si>
  <si>
    <t xml:space="preserve">INV-003476</t>
  </si>
  <si>
    <t xml:space="preserve">INV-003477</t>
  </si>
  <si>
    <t xml:space="preserve">INV-003478</t>
  </si>
  <si>
    <t xml:space="preserve">INV-003479</t>
  </si>
  <si>
    <t xml:space="preserve">INV-003480</t>
  </si>
  <si>
    <t xml:space="preserve">INV-003481</t>
  </si>
  <si>
    <t xml:space="preserve">INV-003482</t>
  </si>
  <si>
    <t xml:space="preserve">INV-003483</t>
  </si>
  <si>
    <t xml:space="preserve">INV-003484</t>
  </si>
  <si>
    <t xml:space="preserve">INV-003485</t>
  </si>
  <si>
    <t xml:space="preserve">INV-003486</t>
  </si>
  <si>
    <t xml:space="preserve">INV-003487</t>
  </si>
  <si>
    <t xml:space="preserve">INV-003488</t>
  </si>
  <si>
    <t xml:space="preserve">INV-003489</t>
  </si>
  <si>
    <t xml:space="preserve">INV-003490</t>
  </si>
  <si>
    <t xml:space="preserve">INV-003491</t>
  </si>
  <si>
    <t xml:space="preserve">INV-003492</t>
  </si>
  <si>
    <t xml:space="preserve">INV-003493</t>
  </si>
  <si>
    <t xml:space="preserve">INV-003494</t>
  </si>
  <si>
    <t xml:space="preserve">INV-003495</t>
  </si>
  <si>
    <t xml:space="preserve">INV-003496</t>
  </si>
  <si>
    <t xml:space="preserve">INV-003497</t>
  </si>
  <si>
    <t xml:space="preserve">INV-003498</t>
  </si>
  <si>
    <t xml:space="preserve">INV-003499</t>
  </si>
  <si>
    <t xml:space="preserve">INV-003500</t>
  </si>
  <si>
    <t xml:space="preserve">INV-003501</t>
  </si>
  <si>
    <t xml:space="preserve">INV-003502</t>
  </si>
  <si>
    <t xml:space="preserve">INV-003503</t>
  </si>
  <si>
    <t xml:space="preserve">INV-003504</t>
  </si>
  <si>
    <t xml:space="preserve">INV-003505</t>
  </si>
  <si>
    <t xml:space="preserve">INV-003506</t>
  </si>
  <si>
    <t xml:space="preserve">INV-003507</t>
  </si>
  <si>
    <t xml:space="preserve">INV-003508</t>
  </si>
  <si>
    <t xml:space="preserve">INV-003509</t>
  </si>
  <si>
    <t xml:space="preserve">INV-003510</t>
  </si>
  <si>
    <t xml:space="preserve">INV-003511</t>
  </si>
  <si>
    <t xml:space="preserve">INV-003512</t>
  </si>
  <si>
    <t xml:space="preserve">INV-003513</t>
  </si>
  <si>
    <t xml:space="preserve">INV-003514</t>
  </si>
  <si>
    <t xml:space="preserve">INV-003515</t>
  </si>
  <si>
    <t xml:space="preserve">INV-003516</t>
  </si>
  <si>
    <t xml:space="preserve">INV-003517</t>
  </si>
  <si>
    <t xml:space="preserve">INV-003518</t>
  </si>
  <si>
    <t xml:space="preserve">INV-003519</t>
  </si>
  <si>
    <t xml:space="preserve">INV-003520</t>
  </si>
  <si>
    <t xml:space="preserve">INV-003521</t>
  </si>
  <si>
    <t xml:space="preserve">INV-003522</t>
  </si>
  <si>
    <t xml:space="preserve">INV-003523</t>
  </si>
  <si>
    <t xml:space="preserve">INV-003524</t>
  </si>
  <si>
    <t xml:space="preserve">INV-003525</t>
  </si>
  <si>
    <t xml:space="preserve">INV-003526</t>
  </si>
  <si>
    <t xml:space="preserve">INV-003527</t>
  </si>
  <si>
    <t xml:space="preserve">INV-003528</t>
  </si>
  <si>
    <t xml:space="preserve">INV-003529</t>
  </si>
  <si>
    <t xml:space="preserve">INV-003530</t>
  </si>
  <si>
    <t xml:space="preserve">INV-003531</t>
  </si>
  <si>
    <t xml:space="preserve">INV-003532</t>
  </si>
  <si>
    <t xml:space="preserve">INV-003533</t>
  </si>
  <si>
    <t xml:space="preserve">INV-003534</t>
  </si>
  <si>
    <t xml:space="preserve">INV-003535</t>
  </si>
  <si>
    <t xml:space="preserve">INV-003536</t>
  </si>
  <si>
    <t xml:space="preserve">INV-003537</t>
  </si>
  <si>
    <t xml:space="preserve">INV-003538</t>
  </si>
  <si>
    <t xml:space="preserve">INV-003539</t>
  </si>
  <si>
    <t xml:space="preserve">INV-003540</t>
  </si>
  <si>
    <t xml:space="preserve">INV-003541</t>
  </si>
  <si>
    <t xml:space="preserve">INV-003542</t>
  </si>
  <si>
    <t xml:space="preserve">INV-003543</t>
  </si>
  <si>
    <t xml:space="preserve">INV-003544</t>
  </si>
  <si>
    <t xml:space="preserve">INV-003545</t>
  </si>
  <si>
    <t xml:space="preserve">INV-003546</t>
  </si>
  <si>
    <t xml:space="preserve">INV-003547</t>
  </si>
  <si>
    <t xml:space="preserve">INV-003548</t>
  </si>
  <si>
    <t xml:space="preserve">INV-003549</t>
  </si>
  <si>
    <t xml:space="preserve">INV-003550</t>
  </si>
  <si>
    <t xml:space="preserve">INV-003551</t>
  </si>
  <si>
    <t xml:space="preserve">INV-003552</t>
  </si>
  <si>
    <t xml:space="preserve">INV-003553</t>
  </si>
  <si>
    <t xml:space="preserve">INV-003554</t>
  </si>
  <si>
    <t xml:space="preserve">INV-003555</t>
  </si>
  <si>
    <t xml:space="preserve">INV-003556</t>
  </si>
  <si>
    <t xml:space="preserve">INV-003557</t>
  </si>
  <si>
    <t xml:space="preserve">INV-003558</t>
  </si>
  <si>
    <t xml:space="preserve">INV-003559</t>
  </si>
  <si>
    <t xml:space="preserve">INV-003560</t>
  </si>
  <si>
    <t xml:space="preserve">INV-003561</t>
  </si>
  <si>
    <t xml:space="preserve">INV-003562</t>
  </si>
  <si>
    <t xml:space="preserve">INV-003563</t>
  </si>
  <si>
    <t xml:space="preserve">INV-003564</t>
  </si>
  <si>
    <t xml:space="preserve">INV-003565</t>
  </si>
  <si>
    <t xml:space="preserve">INV-003566</t>
  </si>
  <si>
    <t xml:space="preserve">INV-003567</t>
  </si>
  <si>
    <t xml:space="preserve">INV-003568</t>
  </si>
  <si>
    <t xml:space="preserve">INV-003569</t>
  </si>
  <si>
    <t xml:space="preserve">INV-003570</t>
  </si>
  <si>
    <t xml:space="preserve">INV-003571</t>
  </si>
  <si>
    <t xml:space="preserve">INV-003572</t>
  </si>
  <si>
    <t xml:space="preserve">INV-003573</t>
  </si>
  <si>
    <t xml:space="preserve">INV-003574</t>
  </si>
  <si>
    <t xml:space="preserve">INV-003575</t>
  </si>
  <si>
    <t xml:space="preserve">INV-003576</t>
  </si>
  <si>
    <t xml:space="preserve">INV-003577</t>
  </si>
  <si>
    <t xml:space="preserve">INV-003578</t>
  </si>
  <si>
    <t xml:space="preserve">INV-003579</t>
  </si>
  <si>
    <t xml:space="preserve">INV-003580</t>
  </si>
  <si>
    <t xml:space="preserve">INV-003581</t>
  </si>
  <si>
    <t xml:space="preserve">INV-003582</t>
  </si>
  <si>
    <t xml:space="preserve">INV-003583</t>
  </si>
  <si>
    <t xml:space="preserve">INV-003584</t>
  </si>
  <si>
    <t xml:space="preserve">INV-003585</t>
  </si>
  <si>
    <t xml:space="preserve">INV-003586</t>
  </si>
  <si>
    <t xml:space="preserve">INV-003587</t>
  </si>
  <si>
    <t xml:space="preserve">INV-003588</t>
  </si>
  <si>
    <t xml:space="preserve">INV-003589</t>
  </si>
  <si>
    <t xml:space="preserve">INV-003590</t>
  </si>
  <si>
    <t xml:space="preserve">INV-003591</t>
  </si>
  <si>
    <t xml:space="preserve">INV-003592</t>
  </si>
  <si>
    <t xml:space="preserve">INV-003593</t>
  </si>
  <si>
    <t xml:space="preserve">INV-003594</t>
  </si>
  <si>
    <t xml:space="preserve">INV-003595</t>
  </si>
  <si>
    <t xml:space="preserve">INV-003596</t>
  </si>
  <si>
    <t xml:space="preserve">INV-003597</t>
  </si>
  <si>
    <t xml:space="preserve">INV-003598</t>
  </si>
  <si>
    <t xml:space="preserve">INV-003599</t>
  </si>
  <si>
    <t xml:space="preserve">INV-003600</t>
  </si>
  <si>
    <t xml:space="preserve">INV-003601</t>
  </si>
  <si>
    <t xml:space="preserve">INV-003602</t>
  </si>
  <si>
    <t xml:space="preserve">INV-003603</t>
  </si>
  <si>
    <t xml:space="preserve">INV-003604</t>
  </si>
  <si>
    <t xml:space="preserve">INV-003605</t>
  </si>
  <si>
    <t xml:space="preserve">INV-003606</t>
  </si>
  <si>
    <t xml:space="preserve">INV-003607</t>
  </si>
  <si>
    <t xml:space="preserve">INV-003608</t>
  </si>
  <si>
    <t xml:space="preserve">INV-003609</t>
  </si>
  <si>
    <t xml:space="preserve">INV-003610</t>
  </si>
  <si>
    <t xml:space="preserve">INV-003611</t>
  </si>
  <si>
    <t xml:space="preserve">INV-003612</t>
  </si>
  <si>
    <t xml:space="preserve">INV-003613</t>
  </si>
  <si>
    <t xml:space="preserve">INV-003614</t>
  </si>
  <si>
    <t xml:space="preserve">INV-003615</t>
  </si>
  <si>
    <t xml:space="preserve">INV-003616</t>
  </si>
  <si>
    <t xml:space="preserve">INV-003617</t>
  </si>
  <si>
    <t xml:space="preserve">INV-003618</t>
  </si>
  <si>
    <t xml:space="preserve">INV-003619</t>
  </si>
  <si>
    <t xml:space="preserve">INV-003620</t>
  </si>
  <si>
    <t xml:space="preserve">INV-003621</t>
  </si>
  <si>
    <t xml:space="preserve">INV-003622</t>
  </si>
  <si>
    <t xml:space="preserve">INV-003623</t>
  </si>
  <si>
    <t xml:space="preserve">INV-003624</t>
  </si>
  <si>
    <t xml:space="preserve">INV-003625</t>
  </si>
  <si>
    <t xml:space="preserve">INV-003626</t>
  </si>
  <si>
    <t xml:space="preserve">INV-003627</t>
  </si>
  <si>
    <t xml:space="preserve">INV-003628</t>
  </si>
  <si>
    <t xml:space="preserve">INV-003629</t>
  </si>
  <si>
    <t xml:space="preserve">INV-003630</t>
  </si>
  <si>
    <t xml:space="preserve">INV-003631</t>
  </si>
  <si>
    <t xml:space="preserve">INV-003632</t>
  </si>
  <si>
    <t xml:space="preserve">INV-003633</t>
  </si>
  <si>
    <t xml:space="preserve">INV-003634</t>
  </si>
  <si>
    <t xml:space="preserve">INV-003635</t>
  </si>
  <si>
    <t xml:space="preserve">INV-003636</t>
  </si>
  <si>
    <t xml:space="preserve">INV-003637</t>
  </si>
  <si>
    <t xml:space="preserve">INV-003638</t>
  </si>
  <si>
    <t xml:space="preserve">INV-003639</t>
  </si>
  <si>
    <t xml:space="preserve">INV-003640</t>
  </si>
  <si>
    <t xml:space="preserve">INV-003641</t>
  </si>
  <si>
    <t xml:space="preserve">INV-003642</t>
  </si>
  <si>
    <t xml:space="preserve">INV-003643</t>
  </si>
  <si>
    <t xml:space="preserve">INV-003644</t>
  </si>
  <si>
    <t xml:space="preserve">INV-003645</t>
  </si>
  <si>
    <t xml:space="preserve">INV-003646</t>
  </si>
  <si>
    <t xml:space="preserve">INV-003647</t>
  </si>
  <si>
    <t xml:space="preserve">INV-003648</t>
  </si>
  <si>
    <t xml:space="preserve">INV-003649</t>
  </si>
  <si>
    <t xml:space="preserve">INV-003650</t>
  </si>
  <si>
    <t xml:space="preserve">INV-003651</t>
  </si>
  <si>
    <t xml:space="preserve">INV-003652</t>
  </si>
  <si>
    <t xml:space="preserve">INV-003653</t>
  </si>
  <si>
    <t xml:space="preserve">INV-003654</t>
  </si>
  <si>
    <t xml:space="preserve">INV-003655</t>
  </si>
  <si>
    <t xml:space="preserve">INV-003656</t>
  </si>
  <si>
    <t xml:space="preserve">INV-003657</t>
  </si>
  <si>
    <t xml:space="preserve">INV-003658</t>
  </si>
  <si>
    <t xml:space="preserve">INV-003659</t>
  </si>
  <si>
    <t xml:space="preserve">INV-003660</t>
  </si>
  <si>
    <t xml:space="preserve">INV-003661</t>
  </si>
  <si>
    <t xml:space="preserve">INV-003662</t>
  </si>
  <si>
    <t xml:space="preserve">INV-003663</t>
  </si>
  <si>
    <t xml:space="preserve">INV-003664</t>
  </si>
  <si>
    <t xml:space="preserve">INV-003665</t>
  </si>
  <si>
    <t xml:space="preserve">INV-003666</t>
  </si>
  <si>
    <t xml:space="preserve">INV-003667</t>
  </si>
  <si>
    <t xml:space="preserve">INV-003668</t>
  </si>
  <si>
    <t xml:space="preserve">INV-003669</t>
  </si>
  <si>
    <t xml:space="preserve">INV-003670</t>
  </si>
  <si>
    <t xml:space="preserve">INV-003671</t>
  </si>
  <si>
    <t xml:space="preserve">INV-003672</t>
  </si>
  <si>
    <t xml:space="preserve">INV-003673</t>
  </si>
  <si>
    <t xml:space="preserve">INV-003674</t>
  </si>
  <si>
    <t xml:space="preserve">INV-003675</t>
  </si>
  <si>
    <t xml:space="preserve">INV-003676</t>
  </si>
  <si>
    <t xml:space="preserve">INV-003677</t>
  </si>
  <si>
    <t xml:space="preserve">INV-003678</t>
  </si>
  <si>
    <t xml:space="preserve">INV-003679</t>
  </si>
  <si>
    <t xml:space="preserve">INV-003680</t>
  </si>
  <si>
    <t xml:space="preserve">INV-003681</t>
  </si>
  <si>
    <t xml:space="preserve">INV-003682</t>
  </si>
  <si>
    <t xml:space="preserve">INV-003683</t>
  </si>
  <si>
    <t xml:space="preserve">INV-003684</t>
  </si>
  <si>
    <t xml:space="preserve">INV-003685</t>
  </si>
  <si>
    <t xml:space="preserve">INV-003686</t>
  </si>
  <si>
    <t xml:space="preserve">INV-003687</t>
  </si>
  <si>
    <t xml:space="preserve">INV-003688</t>
  </si>
  <si>
    <t xml:space="preserve">INV-003689</t>
  </si>
  <si>
    <t xml:space="preserve">INV-003690</t>
  </si>
  <si>
    <t xml:space="preserve">INV-003691</t>
  </si>
  <si>
    <t xml:space="preserve">INV-003692</t>
  </si>
  <si>
    <t xml:space="preserve">INV-003693</t>
  </si>
  <si>
    <t xml:space="preserve">INV-003694</t>
  </si>
  <si>
    <t xml:space="preserve">INV-003695</t>
  </si>
  <si>
    <t xml:space="preserve">INV-003696</t>
  </si>
  <si>
    <t xml:space="preserve">INV-003697</t>
  </si>
  <si>
    <t xml:space="preserve">INV-003698</t>
  </si>
  <si>
    <t xml:space="preserve">INV-003699</t>
  </si>
  <si>
    <t xml:space="preserve">INV-003700</t>
  </si>
  <si>
    <t xml:space="preserve">INV-003701</t>
  </si>
  <si>
    <t xml:space="preserve">INV-003702</t>
  </si>
  <si>
    <t xml:space="preserve">INV-003703</t>
  </si>
  <si>
    <t xml:space="preserve">INV-003704</t>
  </si>
  <si>
    <t xml:space="preserve">INV-003705</t>
  </si>
  <si>
    <t xml:space="preserve">INV-003706</t>
  </si>
  <si>
    <t xml:space="preserve">INV-003707</t>
  </si>
  <si>
    <t xml:space="preserve">INV-003708</t>
  </si>
  <si>
    <t xml:space="preserve">INV-003709</t>
  </si>
  <si>
    <t xml:space="preserve">INV-003710</t>
  </si>
  <si>
    <t xml:space="preserve">INV-003711</t>
  </si>
  <si>
    <t xml:space="preserve">INV-003712</t>
  </si>
  <si>
    <t xml:space="preserve">INV-003713</t>
  </si>
  <si>
    <t xml:space="preserve">INV-003714</t>
  </si>
  <si>
    <t xml:space="preserve">INV-003715</t>
  </si>
  <si>
    <t xml:space="preserve">INV-003716</t>
  </si>
  <si>
    <t xml:space="preserve">INV-003717</t>
  </si>
  <si>
    <t xml:space="preserve">INV-003718</t>
  </si>
  <si>
    <t xml:space="preserve">INV-003719</t>
  </si>
  <si>
    <t xml:space="preserve">INV-003720</t>
  </si>
  <si>
    <t xml:space="preserve">INV-003721</t>
  </si>
  <si>
    <t xml:space="preserve">INV-003722</t>
  </si>
  <si>
    <t xml:space="preserve">INV-003723</t>
  </si>
  <si>
    <t xml:space="preserve">INV-003724</t>
  </si>
  <si>
    <t xml:space="preserve">INV-003725</t>
  </si>
  <si>
    <t xml:space="preserve">INV-003726</t>
  </si>
  <si>
    <t xml:space="preserve">INV-003727</t>
  </si>
  <si>
    <t xml:space="preserve">INV-003728</t>
  </si>
  <si>
    <t xml:space="preserve">INV-003729</t>
  </si>
  <si>
    <t xml:space="preserve">INV-003730</t>
  </si>
  <si>
    <t xml:space="preserve">INV-003731</t>
  </si>
  <si>
    <t xml:space="preserve">INV-003732</t>
  </si>
  <si>
    <t xml:space="preserve">INV-003733</t>
  </si>
  <si>
    <t xml:space="preserve">INV-003734</t>
  </si>
  <si>
    <t xml:space="preserve">INV-003735</t>
  </si>
  <si>
    <t xml:space="preserve">INV-003736</t>
  </si>
  <si>
    <t xml:space="preserve">INV-003737</t>
  </si>
  <si>
    <t xml:space="preserve">INV-003738</t>
  </si>
  <si>
    <t xml:space="preserve">INV-003739</t>
  </si>
  <si>
    <t xml:space="preserve">INV-003740</t>
  </si>
  <si>
    <t xml:space="preserve">INV-003741</t>
  </si>
  <si>
    <t xml:space="preserve">INV-003742</t>
  </si>
  <si>
    <t xml:space="preserve">INV-003743</t>
  </si>
  <si>
    <t xml:space="preserve">INV-003744</t>
  </si>
  <si>
    <t xml:space="preserve">INV-003745</t>
  </si>
  <si>
    <t xml:space="preserve">INV-003746</t>
  </si>
  <si>
    <t xml:space="preserve">INV-003747</t>
  </si>
  <si>
    <t xml:space="preserve">INV-003748</t>
  </si>
  <si>
    <t xml:space="preserve">INV-003749</t>
  </si>
  <si>
    <t xml:space="preserve">INV-003750</t>
  </si>
  <si>
    <t xml:space="preserve">INV-003751</t>
  </si>
  <si>
    <t xml:space="preserve">INV-003752</t>
  </si>
  <si>
    <t xml:space="preserve">INV-003753</t>
  </si>
  <si>
    <t xml:space="preserve">INV-003754</t>
  </si>
  <si>
    <t xml:space="preserve">INV-003755</t>
  </si>
  <si>
    <t xml:space="preserve">INV-003756</t>
  </si>
  <si>
    <t xml:space="preserve">INV-003757</t>
  </si>
  <si>
    <t xml:space="preserve">INV-003758</t>
  </si>
  <si>
    <t xml:space="preserve">INV-003759</t>
  </si>
  <si>
    <t xml:space="preserve">INV-003760</t>
  </si>
  <si>
    <t xml:space="preserve">INV-003761</t>
  </si>
  <si>
    <t xml:space="preserve">INV-003762</t>
  </si>
  <si>
    <t xml:space="preserve">INV-003763</t>
  </si>
  <si>
    <t xml:space="preserve">INV-003764</t>
  </si>
  <si>
    <t xml:space="preserve">INV-003765</t>
  </si>
  <si>
    <t xml:space="preserve">INV-003766</t>
  </si>
  <si>
    <t xml:space="preserve">INV-003767</t>
  </si>
  <si>
    <t xml:space="preserve">INV-003768</t>
  </si>
  <si>
    <t xml:space="preserve">INV-003769</t>
  </si>
  <si>
    <t xml:space="preserve">INV-003770</t>
  </si>
  <si>
    <t xml:space="preserve">INV-003771</t>
  </si>
  <si>
    <t xml:space="preserve">INV-003772</t>
  </si>
  <si>
    <t xml:space="preserve">INV-003773</t>
  </si>
  <si>
    <t xml:space="preserve">INV-003774</t>
  </si>
  <si>
    <t xml:space="preserve">INV-003775</t>
  </si>
  <si>
    <t xml:space="preserve">INV-003776</t>
  </si>
  <si>
    <t xml:space="preserve">INV-003777</t>
  </si>
  <si>
    <t xml:space="preserve">INV-003778</t>
  </si>
  <si>
    <t xml:space="preserve">INV-003779</t>
  </si>
  <si>
    <t xml:space="preserve">INV-003780</t>
  </si>
  <si>
    <t xml:space="preserve">INV-003781</t>
  </si>
  <si>
    <t xml:space="preserve">INV-003782</t>
  </si>
  <si>
    <t xml:space="preserve">INV-003783</t>
  </si>
  <si>
    <t xml:space="preserve">INV-003784</t>
  </si>
  <si>
    <t xml:space="preserve">INV-003785</t>
  </si>
  <si>
    <t xml:space="preserve">INV-003786</t>
  </si>
  <si>
    <t xml:space="preserve">INV-003787</t>
  </si>
  <si>
    <t xml:space="preserve">INV-003788</t>
  </si>
  <si>
    <t xml:space="preserve">INV-003789</t>
  </si>
  <si>
    <t xml:space="preserve">INV-003790</t>
  </si>
  <si>
    <t xml:space="preserve">INV-003791</t>
  </si>
  <si>
    <t xml:space="preserve">INV-003792</t>
  </si>
  <si>
    <t xml:space="preserve">INV-003793</t>
  </si>
  <si>
    <t xml:space="preserve">INV-003794</t>
  </si>
  <si>
    <t xml:space="preserve">INV-003795</t>
  </si>
  <si>
    <t xml:space="preserve">INV-003796</t>
  </si>
  <si>
    <t xml:space="preserve">INV-003797</t>
  </si>
  <si>
    <t xml:space="preserve">INV-003798</t>
  </si>
  <si>
    <t xml:space="preserve">INV-003799</t>
  </si>
  <si>
    <t xml:space="preserve">INV-003800</t>
  </si>
  <si>
    <t xml:space="preserve">INV-003801</t>
  </si>
  <si>
    <t xml:space="preserve">INV-003802</t>
  </si>
  <si>
    <t xml:space="preserve">INV-003803</t>
  </si>
  <si>
    <t xml:space="preserve">INV-003804</t>
  </si>
  <si>
    <t xml:space="preserve">INV-003805</t>
  </si>
  <si>
    <t xml:space="preserve">INV-003806</t>
  </si>
  <si>
    <t xml:space="preserve">INV-003807</t>
  </si>
  <si>
    <t xml:space="preserve">INV-003808</t>
  </si>
  <si>
    <t xml:space="preserve">INV-003809</t>
  </si>
  <si>
    <t xml:space="preserve">INV-003810</t>
  </si>
  <si>
    <t xml:space="preserve">INV-003811</t>
  </si>
  <si>
    <t xml:space="preserve">INV-003812</t>
  </si>
  <si>
    <t xml:space="preserve">INV-003813</t>
  </si>
  <si>
    <t xml:space="preserve">INV-003814</t>
  </si>
  <si>
    <t xml:space="preserve">INV-003815</t>
  </si>
  <si>
    <t xml:space="preserve">INV-003816</t>
  </si>
  <si>
    <t xml:space="preserve">INV-003817</t>
  </si>
  <si>
    <t xml:space="preserve">INV-003818</t>
  </si>
  <si>
    <t xml:space="preserve">INV-003819</t>
  </si>
  <si>
    <t xml:space="preserve">INV-003820</t>
  </si>
  <si>
    <t xml:space="preserve">INV-003821</t>
  </si>
  <si>
    <t xml:space="preserve">INV-003822</t>
  </si>
  <si>
    <t xml:space="preserve">INV-003823</t>
  </si>
  <si>
    <t xml:space="preserve">INV-003824</t>
  </si>
  <si>
    <t xml:space="preserve">INV-003825</t>
  </si>
  <si>
    <t xml:space="preserve">INV-003826</t>
  </si>
  <si>
    <t xml:space="preserve">INV-003827</t>
  </si>
  <si>
    <t xml:space="preserve">INV-003828</t>
  </si>
  <si>
    <t xml:space="preserve">INV-003829</t>
  </si>
  <si>
    <t xml:space="preserve">INV-003830</t>
  </si>
  <si>
    <t xml:space="preserve">INV-003831</t>
  </si>
  <si>
    <t xml:space="preserve">INV-003832</t>
  </si>
  <si>
    <t xml:space="preserve">INV-003833</t>
  </si>
  <si>
    <t xml:space="preserve">INV-003834</t>
  </si>
  <si>
    <t xml:space="preserve">INV-003835</t>
  </si>
  <si>
    <t xml:space="preserve">INV-003836</t>
  </si>
  <si>
    <t xml:space="preserve">INV-003837</t>
  </si>
  <si>
    <t xml:space="preserve">INV-003838</t>
  </si>
  <si>
    <t xml:space="preserve">INV-003839</t>
  </si>
  <si>
    <t xml:space="preserve">INV-003840</t>
  </si>
  <si>
    <t xml:space="preserve">INV-003841</t>
  </si>
  <si>
    <t xml:space="preserve">INV-003842</t>
  </si>
  <si>
    <t xml:space="preserve">INV-003843</t>
  </si>
  <si>
    <t xml:space="preserve">INV-003844</t>
  </si>
  <si>
    <t xml:space="preserve">INV-003845</t>
  </si>
  <si>
    <t xml:space="preserve">INV-003846</t>
  </si>
  <si>
    <t xml:space="preserve">INV-003847</t>
  </si>
  <si>
    <t xml:space="preserve">INV-003848</t>
  </si>
  <si>
    <t xml:space="preserve">INV-003849</t>
  </si>
  <si>
    <t xml:space="preserve">INV-003850</t>
  </si>
  <si>
    <t xml:space="preserve">INV-003851</t>
  </si>
  <si>
    <t xml:space="preserve">INV-003852</t>
  </si>
  <si>
    <t xml:space="preserve">INV-003853</t>
  </si>
  <si>
    <t xml:space="preserve">INV-003854</t>
  </si>
  <si>
    <t xml:space="preserve">INV-003855</t>
  </si>
  <si>
    <t xml:space="preserve">INV-003856</t>
  </si>
  <si>
    <t xml:space="preserve">INV-003857</t>
  </si>
  <si>
    <t xml:space="preserve">INV-003858</t>
  </si>
  <si>
    <t xml:space="preserve">INV-003859</t>
  </si>
  <si>
    <t xml:space="preserve">INV-003860</t>
  </si>
  <si>
    <t xml:space="preserve">INV-003861</t>
  </si>
  <si>
    <t xml:space="preserve">INV-003862</t>
  </si>
  <si>
    <t xml:space="preserve">INV-003863</t>
  </si>
  <si>
    <t xml:space="preserve">INV-003864</t>
  </si>
  <si>
    <t xml:space="preserve">INV-003865</t>
  </si>
  <si>
    <t xml:space="preserve">INV-003866</t>
  </si>
  <si>
    <t xml:space="preserve">INV-003867</t>
  </si>
  <si>
    <t xml:space="preserve">INV-003868</t>
  </si>
  <si>
    <t xml:space="preserve">INV-003869</t>
  </si>
  <si>
    <t xml:space="preserve">INV-003870</t>
  </si>
  <si>
    <t xml:space="preserve">INV-003871</t>
  </si>
  <si>
    <t xml:space="preserve">INV-003872</t>
  </si>
  <si>
    <t xml:space="preserve">INV-003873</t>
  </si>
  <si>
    <t xml:space="preserve">INV-003874</t>
  </si>
  <si>
    <t xml:space="preserve">INV-003875</t>
  </si>
  <si>
    <t xml:space="preserve">INV-003876</t>
  </si>
  <si>
    <t xml:space="preserve">INV-003877</t>
  </si>
  <si>
    <t xml:space="preserve">INV-003878</t>
  </si>
  <si>
    <t xml:space="preserve">INV-003879</t>
  </si>
  <si>
    <t xml:space="preserve">INV-003880</t>
  </si>
  <si>
    <t xml:space="preserve">INV-003881</t>
  </si>
  <si>
    <t xml:space="preserve">INV-003882</t>
  </si>
  <si>
    <t xml:space="preserve">INV-003883</t>
  </si>
  <si>
    <t xml:space="preserve">INV-003884</t>
  </si>
  <si>
    <t xml:space="preserve">INV-003885</t>
  </si>
  <si>
    <t xml:space="preserve">INV-003886</t>
  </si>
  <si>
    <t xml:space="preserve">INV-003887</t>
  </si>
  <si>
    <t xml:space="preserve">INV-003888</t>
  </si>
  <si>
    <t xml:space="preserve">INV-003889</t>
  </si>
  <si>
    <t xml:space="preserve">INV-003890</t>
  </si>
  <si>
    <t xml:space="preserve">INV-003891</t>
  </si>
  <si>
    <t xml:space="preserve">INV-003892</t>
  </si>
  <si>
    <t xml:space="preserve">INV-003893</t>
  </si>
  <si>
    <t xml:space="preserve">INV-003894</t>
  </si>
  <si>
    <t xml:space="preserve">INV-003895</t>
  </si>
  <si>
    <t xml:space="preserve">INV-003896</t>
  </si>
  <si>
    <t xml:space="preserve">INV-003897</t>
  </si>
  <si>
    <t xml:space="preserve">INV-003898</t>
  </si>
  <si>
    <t xml:space="preserve">INV-003899</t>
  </si>
  <si>
    <t xml:space="preserve">INV-003900</t>
  </si>
  <si>
    <t xml:space="preserve">INV-003901</t>
  </si>
  <si>
    <t xml:space="preserve">INV-003902</t>
  </si>
  <si>
    <t xml:space="preserve">INV-003903</t>
  </si>
  <si>
    <t xml:space="preserve">INV-003904</t>
  </si>
  <si>
    <t xml:space="preserve">INV-003905</t>
  </si>
  <si>
    <t xml:space="preserve">INV-003906</t>
  </si>
  <si>
    <t xml:space="preserve">INV-003907</t>
  </si>
  <si>
    <t xml:space="preserve">INV-003908</t>
  </si>
  <si>
    <t xml:space="preserve">INV-003909</t>
  </si>
  <si>
    <t xml:space="preserve">INV-003910</t>
  </si>
  <si>
    <t xml:space="preserve">INV-003911</t>
  </si>
  <si>
    <t xml:space="preserve">INV-003912</t>
  </si>
  <si>
    <t xml:space="preserve">INV-003913</t>
  </si>
  <si>
    <t xml:space="preserve">INV-003914</t>
  </si>
  <si>
    <t xml:space="preserve">INV-003915</t>
  </si>
  <si>
    <t xml:space="preserve">INV-003916</t>
  </si>
  <si>
    <t xml:space="preserve">INV-003917</t>
  </si>
  <si>
    <t xml:space="preserve">INV-003918</t>
  </si>
  <si>
    <t xml:space="preserve">INV-003919</t>
  </si>
  <si>
    <t xml:space="preserve">INV-003920</t>
  </si>
  <si>
    <t xml:space="preserve">INV-003921</t>
  </si>
  <si>
    <t xml:space="preserve">INV-003922</t>
  </si>
  <si>
    <t xml:space="preserve">INV-003923</t>
  </si>
  <si>
    <t xml:space="preserve">INV-003924</t>
  </si>
  <si>
    <t xml:space="preserve">INV-003925</t>
  </si>
  <si>
    <t xml:space="preserve">INV-003926</t>
  </si>
  <si>
    <t xml:space="preserve">INV-003927</t>
  </si>
  <si>
    <t xml:space="preserve">INV-003928</t>
  </si>
  <si>
    <t xml:space="preserve">INV-003929</t>
  </si>
  <si>
    <t xml:space="preserve">INV-003930</t>
  </si>
  <si>
    <t xml:space="preserve">INV-003931</t>
  </si>
  <si>
    <t xml:space="preserve">INV-003932</t>
  </si>
  <si>
    <t xml:space="preserve">INV-003933</t>
  </si>
  <si>
    <t xml:space="preserve">INV-003934</t>
  </si>
  <si>
    <t xml:space="preserve">INV-003935</t>
  </si>
  <si>
    <t xml:space="preserve">INV-003936</t>
  </si>
  <si>
    <t xml:space="preserve">INV-003937</t>
  </si>
  <si>
    <t xml:space="preserve">INV-003938</t>
  </si>
  <si>
    <t xml:space="preserve">INV-003939</t>
  </si>
  <si>
    <t xml:space="preserve">INV-003940</t>
  </si>
  <si>
    <t xml:space="preserve">INV-003941</t>
  </si>
  <si>
    <t xml:space="preserve">INV-003942</t>
  </si>
  <si>
    <t xml:space="preserve">INV-003943</t>
  </si>
  <si>
    <t xml:space="preserve">INV-003944</t>
  </si>
  <si>
    <t xml:space="preserve">INV-003945</t>
  </si>
  <si>
    <t xml:space="preserve">INV-003946</t>
  </si>
  <si>
    <t xml:space="preserve">INV-003947</t>
  </si>
  <si>
    <t xml:space="preserve">INV-003948</t>
  </si>
  <si>
    <t xml:space="preserve">INV-003949</t>
  </si>
  <si>
    <t xml:space="preserve">INV-003950</t>
  </si>
  <si>
    <t xml:space="preserve">INV-003951</t>
  </si>
  <si>
    <t xml:space="preserve">INV-003952</t>
  </si>
  <si>
    <t xml:space="preserve">INV-003953</t>
  </si>
  <si>
    <t xml:space="preserve">INV-003954</t>
  </si>
  <si>
    <t xml:space="preserve">INV-003955</t>
  </si>
  <si>
    <t xml:space="preserve">INV-003956</t>
  </si>
  <si>
    <t xml:space="preserve">INV-003957</t>
  </si>
  <si>
    <t xml:space="preserve">INV-003958</t>
  </si>
  <si>
    <t xml:space="preserve">INV-003959</t>
  </si>
  <si>
    <t xml:space="preserve">INV-003960</t>
  </si>
  <si>
    <t xml:space="preserve">INV-003961</t>
  </si>
  <si>
    <t xml:space="preserve">INV-003962</t>
  </si>
  <si>
    <t xml:space="preserve">INV-003963</t>
  </si>
  <si>
    <t xml:space="preserve">INV-003964</t>
  </si>
  <si>
    <t xml:space="preserve">INV-003965</t>
  </si>
  <si>
    <t xml:space="preserve">INV-003966</t>
  </si>
  <si>
    <t xml:space="preserve">INV-003967</t>
  </si>
  <si>
    <t xml:space="preserve">INV-003968</t>
  </si>
  <si>
    <t xml:space="preserve">INV-003969</t>
  </si>
  <si>
    <t xml:space="preserve">INV-003970</t>
  </si>
  <si>
    <t xml:space="preserve">INV-003971</t>
  </si>
  <si>
    <t xml:space="preserve">INV-003972</t>
  </si>
  <si>
    <t xml:space="preserve">INV-003973</t>
  </si>
  <si>
    <t xml:space="preserve">INV-003974</t>
  </si>
  <si>
    <t xml:space="preserve">INV-003975</t>
  </si>
  <si>
    <t xml:space="preserve">INV-003976</t>
  </si>
  <si>
    <t xml:space="preserve">INV-003977</t>
  </si>
  <si>
    <t xml:space="preserve">INV-003978</t>
  </si>
  <si>
    <t xml:space="preserve">INV-003979</t>
  </si>
  <si>
    <t xml:space="preserve">INV-003980</t>
  </si>
  <si>
    <t xml:space="preserve">INV-003981</t>
  </si>
  <si>
    <t xml:space="preserve">INV-003982</t>
  </si>
  <si>
    <t xml:space="preserve">INV-003983</t>
  </si>
  <si>
    <t xml:space="preserve">INV-003984</t>
  </si>
  <si>
    <t xml:space="preserve">INV-003985</t>
  </si>
  <si>
    <t xml:space="preserve">INV-003986</t>
  </si>
  <si>
    <t xml:space="preserve">INV-003987</t>
  </si>
  <si>
    <t xml:space="preserve">INV-003988</t>
  </si>
  <si>
    <t xml:space="preserve">INV-003989</t>
  </si>
  <si>
    <t xml:space="preserve">INV-003990</t>
  </si>
  <si>
    <t xml:space="preserve">INV-003991</t>
  </si>
  <si>
    <t xml:space="preserve">INV-003992</t>
  </si>
  <si>
    <t xml:space="preserve">INV-003993</t>
  </si>
  <si>
    <t xml:space="preserve">INV-003994</t>
  </si>
  <si>
    <t xml:space="preserve">INV-003995</t>
  </si>
  <si>
    <t xml:space="preserve">INV-003996</t>
  </si>
  <si>
    <t xml:space="preserve">INV-003997</t>
  </si>
  <si>
    <t xml:space="preserve">INV-003998</t>
  </si>
  <si>
    <t xml:space="preserve">INV-003999</t>
  </si>
  <si>
    <t xml:space="preserve">INV-004000</t>
  </si>
  <si>
    <t xml:space="preserve">INV-004001</t>
  </si>
  <si>
    <t xml:space="preserve">INV-004002</t>
  </si>
  <si>
    <t xml:space="preserve">INV-004003</t>
  </si>
  <si>
    <t xml:space="preserve">INV-004004</t>
  </si>
  <si>
    <t xml:space="preserve">INV-004005</t>
  </si>
  <si>
    <t xml:space="preserve">INV-004006</t>
  </si>
  <si>
    <t xml:space="preserve">INV-004007</t>
  </si>
  <si>
    <t xml:space="preserve">INV-004008</t>
  </si>
  <si>
    <t xml:space="preserve">INV-004009</t>
  </si>
  <si>
    <t xml:space="preserve">INV-004010</t>
  </si>
  <si>
    <t xml:space="preserve">INV-004011</t>
  </si>
  <si>
    <t xml:space="preserve">INV-004012</t>
  </si>
  <si>
    <t xml:space="preserve">INV-004013</t>
  </si>
  <si>
    <t xml:space="preserve">INV-004014</t>
  </si>
  <si>
    <t xml:space="preserve">INV-004015</t>
  </si>
  <si>
    <t xml:space="preserve">INV-004016</t>
  </si>
  <si>
    <t xml:space="preserve">INV-004017</t>
  </si>
  <si>
    <t xml:space="preserve">INV-004018</t>
  </si>
  <si>
    <t xml:space="preserve">INV-004019</t>
  </si>
  <si>
    <t xml:space="preserve">INV-004020</t>
  </si>
  <si>
    <t xml:space="preserve">INV-004021</t>
  </si>
  <si>
    <t xml:space="preserve">INV-004022</t>
  </si>
  <si>
    <t xml:space="preserve">INV-004023</t>
  </si>
  <si>
    <t xml:space="preserve">INV-004024</t>
  </si>
  <si>
    <t xml:space="preserve">INV-004025</t>
  </si>
  <si>
    <t xml:space="preserve">INV-004026</t>
  </si>
  <si>
    <t xml:space="preserve">INV-004027</t>
  </si>
  <si>
    <t xml:space="preserve">INV-004028</t>
  </si>
  <si>
    <t xml:space="preserve">INV-004029</t>
  </si>
  <si>
    <t xml:space="preserve">INV-004030</t>
  </si>
  <si>
    <t xml:space="preserve">INV-004031</t>
  </si>
  <si>
    <t xml:space="preserve">INV-004032</t>
  </si>
  <si>
    <t xml:space="preserve">INV-004033</t>
  </si>
  <si>
    <t xml:space="preserve">INV-004034</t>
  </si>
  <si>
    <t xml:space="preserve">INV-004035</t>
  </si>
  <si>
    <t xml:space="preserve">INV-004036</t>
  </si>
  <si>
    <t xml:space="preserve">INV-004037</t>
  </si>
  <si>
    <t xml:space="preserve">INV-004038</t>
  </si>
  <si>
    <t xml:space="preserve">INV-004039</t>
  </si>
  <si>
    <t xml:space="preserve">INV-004040</t>
  </si>
  <si>
    <t xml:space="preserve">INV-004041</t>
  </si>
  <si>
    <t xml:space="preserve">INV-004042</t>
  </si>
  <si>
    <t xml:space="preserve">INV-004043</t>
  </si>
  <si>
    <t xml:space="preserve">INV-004044</t>
  </si>
  <si>
    <t xml:space="preserve">INV-004045</t>
  </si>
  <si>
    <t xml:space="preserve">INV-004046</t>
  </si>
  <si>
    <t xml:space="preserve">INV-004047</t>
  </si>
  <si>
    <t xml:space="preserve">INV-004048</t>
  </si>
  <si>
    <t xml:space="preserve">INV-004049</t>
  </si>
  <si>
    <t xml:space="preserve">INV-004050</t>
  </si>
  <si>
    <t xml:space="preserve">INV-004051</t>
  </si>
  <si>
    <t xml:space="preserve">INV-004052</t>
  </si>
  <si>
    <t xml:space="preserve">INV-004053</t>
  </si>
  <si>
    <t xml:space="preserve">INV-004054</t>
  </si>
  <si>
    <t xml:space="preserve">INV-004055</t>
  </si>
  <si>
    <t xml:space="preserve">INV-004056</t>
  </si>
  <si>
    <t xml:space="preserve">INV-004057</t>
  </si>
  <si>
    <t xml:space="preserve">INV-004058</t>
  </si>
  <si>
    <t xml:space="preserve">INV-004059</t>
  </si>
  <si>
    <t xml:space="preserve">INV-004060</t>
  </si>
  <si>
    <t xml:space="preserve">INV-004061</t>
  </si>
  <si>
    <t xml:space="preserve">INV-004062</t>
  </si>
  <si>
    <t xml:space="preserve">INV-004063</t>
  </si>
  <si>
    <t xml:space="preserve">INV-004064</t>
  </si>
  <si>
    <t xml:space="preserve">INV-004065</t>
  </si>
  <si>
    <t xml:space="preserve">INV-004066</t>
  </si>
  <si>
    <t xml:space="preserve">INV-004067</t>
  </si>
  <si>
    <t xml:space="preserve">INV-004068</t>
  </si>
  <si>
    <t xml:space="preserve">INV-004069</t>
  </si>
  <si>
    <t xml:space="preserve">INV-004070</t>
  </si>
  <si>
    <t xml:space="preserve">INV-004071</t>
  </si>
  <si>
    <t xml:space="preserve">INV-004072</t>
  </si>
  <si>
    <t xml:space="preserve">INV-004073</t>
  </si>
  <si>
    <t xml:space="preserve">INV-004074</t>
  </si>
  <si>
    <t xml:space="preserve">INV-004075</t>
  </si>
  <si>
    <t xml:space="preserve">INV-004076</t>
  </si>
  <si>
    <t xml:space="preserve">INV-004077</t>
  </si>
  <si>
    <t xml:space="preserve">INV-004078</t>
  </si>
  <si>
    <t xml:space="preserve">INV-004079</t>
  </si>
  <si>
    <t xml:space="preserve">INV-004080</t>
  </si>
  <si>
    <t xml:space="preserve">INV-004081</t>
  </si>
  <si>
    <t xml:space="preserve">INV-004082</t>
  </si>
  <si>
    <t xml:space="preserve">INV-004083</t>
  </si>
  <si>
    <t xml:space="preserve">INV-004084</t>
  </si>
  <si>
    <t xml:space="preserve">INV-004085</t>
  </si>
  <si>
    <t xml:space="preserve">INV-004086</t>
  </si>
  <si>
    <t xml:space="preserve">INV-004087</t>
  </si>
  <si>
    <t xml:space="preserve">INV-004088</t>
  </si>
  <si>
    <t xml:space="preserve">INV-004089</t>
  </si>
  <si>
    <t xml:space="preserve">INV-004090</t>
  </si>
  <si>
    <t xml:space="preserve">INV-004091</t>
  </si>
  <si>
    <t xml:space="preserve">INV-004092</t>
  </si>
  <si>
    <t xml:space="preserve">INV-004093</t>
  </si>
  <si>
    <t xml:space="preserve">INV-004094</t>
  </si>
  <si>
    <t xml:space="preserve">INV-004095</t>
  </si>
  <si>
    <t xml:space="preserve">INV-004096</t>
  </si>
  <si>
    <t xml:space="preserve">INV-004097</t>
  </si>
  <si>
    <t xml:space="preserve">INV-004098</t>
  </si>
  <si>
    <t xml:space="preserve">INV-004099</t>
  </si>
  <si>
    <t xml:space="preserve">INV-004100</t>
  </si>
  <si>
    <t xml:space="preserve">INV-004101</t>
  </si>
  <si>
    <t xml:space="preserve">INV-004102</t>
  </si>
  <si>
    <t xml:space="preserve">INV-004103</t>
  </si>
  <si>
    <t xml:space="preserve">INV-004104</t>
  </si>
  <si>
    <t xml:space="preserve">INV-004105</t>
  </si>
  <si>
    <t xml:space="preserve">INV-004106</t>
  </si>
  <si>
    <t xml:space="preserve">INV-004107</t>
  </si>
  <si>
    <t xml:space="preserve">INV-004108</t>
  </si>
  <si>
    <t xml:space="preserve">INV-004109</t>
  </si>
  <si>
    <t xml:space="preserve">INV-004110</t>
  </si>
  <si>
    <t xml:space="preserve">INV-004111</t>
  </si>
  <si>
    <t xml:space="preserve">INV-004112</t>
  </si>
  <si>
    <t xml:space="preserve">INV-004113</t>
  </si>
  <si>
    <t xml:space="preserve">INV-004114</t>
  </si>
  <si>
    <t xml:space="preserve">INV-004115</t>
  </si>
  <si>
    <t xml:space="preserve">INV-004116</t>
  </si>
  <si>
    <t xml:space="preserve">INV-004117</t>
  </si>
  <si>
    <t xml:space="preserve">INV-004118</t>
  </si>
  <si>
    <t xml:space="preserve">INV-004119</t>
  </si>
  <si>
    <t xml:space="preserve">INV-004120</t>
  </si>
  <si>
    <t xml:space="preserve">INV-004121</t>
  </si>
  <si>
    <t xml:space="preserve">INV-004122</t>
  </si>
  <si>
    <t xml:space="preserve">INV-004123</t>
  </si>
  <si>
    <t xml:space="preserve">INV-004124</t>
  </si>
  <si>
    <t xml:space="preserve">INV-004125</t>
  </si>
  <si>
    <t xml:space="preserve">INV-004126</t>
  </si>
  <si>
    <t xml:space="preserve">INV-004127</t>
  </si>
  <si>
    <t xml:space="preserve">INV-004128</t>
  </si>
  <si>
    <t xml:space="preserve">INV-004129</t>
  </si>
  <si>
    <t xml:space="preserve">INV-004130</t>
  </si>
  <si>
    <t xml:space="preserve">INV-004131</t>
  </si>
  <si>
    <t xml:space="preserve">INV-004132</t>
  </si>
  <si>
    <t xml:space="preserve">INV-004133</t>
  </si>
  <si>
    <t xml:space="preserve">INV-004134</t>
  </si>
  <si>
    <t xml:space="preserve">INV-004135</t>
  </si>
  <si>
    <t xml:space="preserve">INV-004136</t>
  </si>
  <si>
    <t xml:space="preserve">INV-004137</t>
  </si>
  <si>
    <t xml:space="preserve">INV-004138</t>
  </si>
  <si>
    <t xml:space="preserve">INV-004139</t>
  </si>
  <si>
    <t xml:space="preserve">INV-004140</t>
  </si>
  <si>
    <t xml:space="preserve">INV-004141</t>
  </si>
  <si>
    <t xml:space="preserve">INV-004142</t>
  </si>
  <si>
    <t xml:space="preserve">INV-004143</t>
  </si>
  <si>
    <t xml:space="preserve">INV-004144</t>
  </si>
  <si>
    <t xml:space="preserve">INV-004145</t>
  </si>
  <si>
    <t xml:space="preserve">INV-004146</t>
  </si>
  <si>
    <t xml:space="preserve">INV-004147</t>
  </si>
  <si>
    <t xml:space="preserve">INV-004148</t>
  </si>
  <si>
    <t xml:space="preserve">INV-004149</t>
  </si>
  <si>
    <t xml:space="preserve">INV-004150</t>
  </si>
  <si>
    <t xml:space="preserve">INV-004151</t>
  </si>
  <si>
    <t xml:space="preserve">INV-004152</t>
  </si>
  <si>
    <t xml:space="preserve">INV-004153</t>
  </si>
  <si>
    <t xml:space="preserve">INV-004154</t>
  </si>
  <si>
    <t xml:space="preserve">INV-004155</t>
  </si>
  <si>
    <t xml:space="preserve">INV-004156</t>
  </si>
  <si>
    <t xml:space="preserve">INV-004157</t>
  </si>
  <si>
    <t xml:space="preserve">INV-004158</t>
  </si>
  <si>
    <t xml:space="preserve">INV-004159</t>
  </si>
  <si>
    <t xml:space="preserve">INV-004160</t>
  </si>
  <si>
    <t xml:space="preserve">INV-004161</t>
  </si>
  <si>
    <t xml:space="preserve">INV-004162</t>
  </si>
  <si>
    <t xml:space="preserve">INV-004163</t>
  </si>
  <si>
    <t xml:space="preserve">INV-004164</t>
  </si>
  <si>
    <t xml:space="preserve">INV-004165</t>
  </si>
  <si>
    <t xml:space="preserve">INV-004166</t>
  </si>
  <si>
    <t xml:space="preserve">INV-004167</t>
  </si>
  <si>
    <t xml:space="preserve">INV-004168</t>
  </si>
  <si>
    <t xml:space="preserve">INV-004169</t>
  </si>
  <si>
    <t xml:space="preserve">INV-004170</t>
  </si>
  <si>
    <t xml:space="preserve">INV-004171</t>
  </si>
  <si>
    <t xml:space="preserve">INV-004172</t>
  </si>
  <si>
    <t xml:space="preserve">INV-004173</t>
  </si>
  <si>
    <t xml:space="preserve">INV-004174</t>
  </si>
  <si>
    <t xml:space="preserve">INV-004175</t>
  </si>
  <si>
    <t xml:space="preserve">INV-004176</t>
  </si>
  <si>
    <t xml:space="preserve">INV-004177</t>
  </si>
  <si>
    <t xml:space="preserve">INV-004178</t>
  </si>
  <si>
    <t xml:space="preserve">INV-004179</t>
  </si>
  <si>
    <t xml:space="preserve">INV-004180</t>
  </si>
  <si>
    <t xml:space="preserve">INV-004181</t>
  </si>
  <si>
    <t xml:space="preserve">INV-004182</t>
  </si>
  <si>
    <t xml:space="preserve">INV-004183</t>
  </si>
  <si>
    <t xml:space="preserve">INV-004184</t>
  </si>
  <si>
    <t xml:space="preserve">INV-004185</t>
  </si>
  <si>
    <t xml:space="preserve">INV-004186</t>
  </si>
  <si>
    <t xml:space="preserve">INV-004187</t>
  </si>
  <si>
    <t xml:space="preserve">INV-004188</t>
  </si>
  <si>
    <t xml:space="preserve">INV-004189</t>
  </si>
  <si>
    <t xml:space="preserve">INV-004190</t>
  </si>
  <si>
    <t xml:space="preserve">INV-004191</t>
  </si>
  <si>
    <t xml:space="preserve">INV-004192</t>
  </si>
  <si>
    <t xml:space="preserve">INV-004193</t>
  </si>
  <si>
    <t xml:space="preserve">INV-004194</t>
  </si>
  <si>
    <t xml:space="preserve">INV-004195</t>
  </si>
  <si>
    <t xml:space="preserve">INV-004196</t>
  </si>
  <si>
    <t xml:space="preserve">INV-004197</t>
  </si>
  <si>
    <t xml:space="preserve">INV-004198</t>
  </si>
  <si>
    <t xml:space="preserve">INV-004199</t>
  </si>
  <si>
    <t xml:space="preserve">INV-004200</t>
  </si>
  <si>
    <t xml:space="preserve">INV-004201</t>
  </si>
  <si>
    <t xml:space="preserve">INV-004202</t>
  </si>
  <si>
    <t xml:space="preserve">INV-004203</t>
  </si>
  <si>
    <t xml:space="preserve">INV-004204</t>
  </si>
  <si>
    <t xml:space="preserve">INV-004205</t>
  </si>
  <si>
    <t xml:space="preserve">INV-004206</t>
  </si>
  <si>
    <t xml:space="preserve">INV-004207</t>
  </si>
  <si>
    <t xml:space="preserve">INV-004208</t>
  </si>
  <si>
    <t xml:space="preserve">INV-004209</t>
  </si>
  <si>
    <t xml:space="preserve">INV-004210</t>
  </si>
  <si>
    <t xml:space="preserve">INV-004211</t>
  </si>
  <si>
    <t xml:space="preserve">INV-004212</t>
  </si>
  <si>
    <t xml:space="preserve">INV-004213</t>
  </si>
  <si>
    <t xml:space="preserve">INV-004214</t>
  </si>
  <si>
    <t xml:space="preserve">INV-004215</t>
  </si>
  <si>
    <t xml:space="preserve">INV-004216</t>
  </si>
  <si>
    <t xml:space="preserve">INV-004217</t>
  </si>
  <si>
    <t xml:space="preserve">INV-004218</t>
  </si>
  <si>
    <t xml:space="preserve">INV-004219</t>
  </si>
  <si>
    <t xml:space="preserve">INV-004220</t>
  </si>
  <si>
    <t xml:space="preserve">INV-004221</t>
  </si>
  <si>
    <t xml:space="preserve">INV-004222</t>
  </si>
  <si>
    <t xml:space="preserve">INV-004223</t>
  </si>
  <si>
    <t xml:space="preserve">INV-004224</t>
  </si>
  <si>
    <t xml:space="preserve">INV-004225</t>
  </si>
  <si>
    <t xml:space="preserve">INV-004226</t>
  </si>
  <si>
    <t xml:space="preserve">INV-004227</t>
  </si>
  <si>
    <t xml:space="preserve">INV-004228</t>
  </si>
  <si>
    <t xml:space="preserve">INV-004229</t>
  </si>
  <si>
    <t xml:space="preserve">INV-004230</t>
  </si>
  <si>
    <t xml:space="preserve">INV-004231</t>
  </si>
  <si>
    <t xml:space="preserve">INV-004232</t>
  </si>
  <si>
    <t xml:space="preserve">INV-004233</t>
  </si>
  <si>
    <t xml:space="preserve">INV-004234</t>
  </si>
  <si>
    <t xml:space="preserve">INV-004235</t>
  </si>
  <si>
    <t xml:space="preserve">INV-004236</t>
  </si>
  <si>
    <t xml:space="preserve">INV-004237</t>
  </si>
  <si>
    <t xml:space="preserve">INV-004238</t>
  </si>
  <si>
    <t xml:space="preserve">INV-004239</t>
  </si>
  <si>
    <t xml:space="preserve">INV-004240</t>
  </si>
  <si>
    <t xml:space="preserve">INV-004241</t>
  </si>
  <si>
    <t xml:space="preserve">INV-004242</t>
  </si>
  <si>
    <t xml:space="preserve">INV-004243</t>
  </si>
  <si>
    <t xml:space="preserve">INV-004244</t>
  </si>
  <si>
    <t xml:space="preserve">INV-004245</t>
  </si>
  <si>
    <t xml:space="preserve">INV-004246</t>
  </si>
  <si>
    <t xml:space="preserve">INV-004247</t>
  </si>
  <si>
    <t xml:space="preserve">INV-004248</t>
  </si>
  <si>
    <t xml:space="preserve">INV-004249</t>
  </si>
  <si>
    <t xml:space="preserve">INV-004250</t>
  </si>
  <si>
    <t xml:space="preserve">INV-004251</t>
  </si>
  <si>
    <t xml:space="preserve">INV-004252</t>
  </si>
  <si>
    <t xml:space="preserve">INV-004253</t>
  </si>
  <si>
    <t xml:space="preserve">INV-004254</t>
  </si>
  <si>
    <t xml:space="preserve">INV-004255</t>
  </si>
  <si>
    <t xml:space="preserve">INV-004256</t>
  </si>
  <si>
    <t xml:space="preserve">INV-004257</t>
  </si>
  <si>
    <t xml:space="preserve">INV-004258</t>
  </si>
  <si>
    <t xml:space="preserve">INV-004259</t>
  </si>
  <si>
    <t xml:space="preserve">INV-004260</t>
  </si>
  <si>
    <t xml:space="preserve">INV-004261</t>
  </si>
  <si>
    <t xml:space="preserve">INV-004262</t>
  </si>
  <si>
    <t xml:space="preserve">INV-004263</t>
  </si>
  <si>
    <t xml:space="preserve">INV-004264</t>
  </si>
  <si>
    <t xml:space="preserve">INV-004265</t>
  </si>
  <si>
    <t xml:space="preserve">INV-004266</t>
  </si>
  <si>
    <t xml:space="preserve">INV-004267</t>
  </si>
  <si>
    <t xml:space="preserve">INV-004268</t>
  </si>
  <si>
    <t xml:space="preserve">INV-004269</t>
  </si>
  <si>
    <t xml:space="preserve">INV-004270</t>
  </si>
  <si>
    <t xml:space="preserve">INV-004271</t>
  </si>
  <si>
    <t xml:space="preserve">INV-004272</t>
  </si>
  <si>
    <t xml:space="preserve">INV-004273</t>
  </si>
  <si>
    <t xml:space="preserve">INV-004274</t>
  </si>
  <si>
    <t xml:space="preserve">INV-004275</t>
  </si>
  <si>
    <t xml:space="preserve">INV-004276</t>
  </si>
  <si>
    <t xml:space="preserve">INV-004277</t>
  </si>
  <si>
    <t xml:space="preserve">INV-004278</t>
  </si>
  <si>
    <t xml:space="preserve">INV-004279</t>
  </si>
  <si>
    <t xml:space="preserve">INV-004280</t>
  </si>
  <si>
    <t xml:space="preserve">INV-004281</t>
  </si>
  <si>
    <t xml:space="preserve">INV-004282</t>
  </si>
  <si>
    <t xml:space="preserve">INV-004283</t>
  </si>
  <si>
    <t xml:space="preserve">INV-004284</t>
  </si>
  <si>
    <t xml:space="preserve">INV-004285</t>
  </si>
  <si>
    <t xml:space="preserve">INV-004286</t>
  </si>
  <si>
    <t xml:space="preserve">INV-004287</t>
  </si>
  <si>
    <t xml:space="preserve">INV-004288</t>
  </si>
  <si>
    <t xml:space="preserve">INV-004289</t>
  </si>
  <si>
    <t xml:space="preserve">INV-004290</t>
  </si>
  <si>
    <t xml:space="preserve">INV-004291</t>
  </si>
  <si>
    <t xml:space="preserve">INV-004292</t>
  </si>
  <si>
    <t xml:space="preserve">INV-004293</t>
  </si>
  <si>
    <t xml:space="preserve">INV-004294</t>
  </si>
  <si>
    <t xml:space="preserve">INV-004295</t>
  </si>
  <si>
    <t xml:space="preserve">INV-004296</t>
  </si>
  <si>
    <t xml:space="preserve">INV-004297</t>
  </si>
  <si>
    <t xml:space="preserve">INV-004298</t>
  </si>
  <si>
    <t xml:space="preserve">INV-004299</t>
  </si>
  <si>
    <t xml:space="preserve">INV-004300</t>
  </si>
  <si>
    <t xml:space="preserve">INV-004301</t>
  </si>
  <si>
    <t xml:space="preserve">INV-004302</t>
  </si>
  <si>
    <t xml:space="preserve">INV-004303</t>
  </si>
  <si>
    <t xml:space="preserve">INV-004304</t>
  </si>
  <si>
    <t xml:space="preserve">INV-004305</t>
  </si>
  <si>
    <t xml:space="preserve">INV-004306</t>
  </si>
  <si>
    <t xml:space="preserve">INV-004307</t>
  </si>
  <si>
    <t xml:space="preserve">INV-004308</t>
  </si>
  <si>
    <t xml:space="preserve">INV-004309</t>
  </si>
  <si>
    <t xml:space="preserve">INV-004310</t>
  </si>
  <si>
    <t xml:space="preserve">INV-004311</t>
  </si>
  <si>
    <t xml:space="preserve">INV-004312</t>
  </si>
  <si>
    <t xml:space="preserve">INV-004313</t>
  </si>
  <si>
    <t xml:space="preserve">INV-004314</t>
  </si>
  <si>
    <t xml:space="preserve">INV-004315</t>
  </si>
  <si>
    <t xml:space="preserve">INV-004316</t>
  </si>
  <si>
    <t xml:space="preserve">INV-004317</t>
  </si>
  <si>
    <t xml:space="preserve">INV-004318</t>
  </si>
  <si>
    <t xml:space="preserve">INV-004319</t>
  </si>
  <si>
    <t xml:space="preserve">INV-004320</t>
  </si>
  <si>
    <t xml:space="preserve">INV-004321</t>
  </si>
  <si>
    <t xml:space="preserve">INV-004322</t>
  </si>
  <si>
    <t xml:space="preserve">INV-004323</t>
  </si>
  <si>
    <t xml:space="preserve">INV-004324</t>
  </si>
  <si>
    <t xml:space="preserve">INV-004325</t>
  </si>
  <si>
    <t xml:space="preserve">INV-004326</t>
  </si>
  <si>
    <t xml:space="preserve">INV-004327</t>
  </si>
  <si>
    <t xml:space="preserve">INV-004328</t>
  </si>
  <si>
    <t xml:space="preserve">INV-004329</t>
  </si>
  <si>
    <t xml:space="preserve">INV-004330</t>
  </si>
  <si>
    <t xml:space="preserve">INV-004331</t>
  </si>
  <si>
    <t xml:space="preserve">INV-004332</t>
  </si>
  <si>
    <t xml:space="preserve">INV-004333</t>
  </si>
  <si>
    <t xml:space="preserve">INV-004334</t>
  </si>
  <si>
    <t xml:space="preserve">INV-004335</t>
  </si>
  <si>
    <t xml:space="preserve">INV-004336</t>
  </si>
  <si>
    <t xml:space="preserve">INV-004337</t>
  </si>
  <si>
    <t xml:space="preserve">INV-004338</t>
  </si>
  <si>
    <t xml:space="preserve">INV-004339</t>
  </si>
  <si>
    <t xml:space="preserve">INV-004340</t>
  </si>
  <si>
    <t xml:space="preserve">INV-004341</t>
  </si>
  <si>
    <t xml:space="preserve">INV-004342</t>
  </si>
  <si>
    <t xml:space="preserve">INV-004343</t>
  </si>
  <si>
    <t xml:space="preserve">INV-004344</t>
  </si>
  <si>
    <t xml:space="preserve">INV-004345</t>
  </si>
  <si>
    <t xml:space="preserve">INV-004346</t>
  </si>
  <si>
    <t xml:space="preserve">INV-004347</t>
  </si>
  <si>
    <t xml:space="preserve">INV-004348</t>
  </si>
  <si>
    <t xml:space="preserve">INV-004349</t>
  </si>
  <si>
    <t xml:space="preserve">INV-004350</t>
  </si>
  <si>
    <t xml:space="preserve">INV-004351</t>
  </si>
  <si>
    <t xml:space="preserve">INV-004352</t>
  </si>
  <si>
    <t xml:space="preserve">INV-004353</t>
  </si>
  <si>
    <t xml:space="preserve">INV-004354</t>
  </si>
  <si>
    <t xml:space="preserve">INV-004355</t>
  </si>
  <si>
    <t xml:space="preserve">INV-004356</t>
  </si>
  <si>
    <t xml:space="preserve">INV-004357</t>
  </si>
  <si>
    <t xml:space="preserve">INV-004358</t>
  </si>
  <si>
    <t xml:space="preserve">INV-004359</t>
  </si>
  <si>
    <t xml:space="preserve">INV-004360</t>
  </si>
  <si>
    <t xml:space="preserve">INV-004361</t>
  </si>
  <si>
    <t xml:space="preserve">INV-004362</t>
  </si>
  <si>
    <t xml:space="preserve">INV-004363</t>
  </si>
  <si>
    <t xml:space="preserve">INV-004364</t>
  </si>
  <si>
    <t xml:space="preserve">INV-004365</t>
  </si>
  <si>
    <t xml:space="preserve">INV-004366</t>
  </si>
  <si>
    <t xml:space="preserve">INV-004367</t>
  </si>
  <si>
    <t xml:space="preserve">INV-004368</t>
  </si>
  <si>
    <t xml:space="preserve">INV-004369</t>
  </si>
  <si>
    <t xml:space="preserve">INV-004370</t>
  </si>
  <si>
    <t xml:space="preserve">INV-004371</t>
  </si>
  <si>
    <t xml:space="preserve">INV-004372</t>
  </si>
  <si>
    <t xml:space="preserve">INV-004373</t>
  </si>
  <si>
    <t xml:space="preserve">INV-004374</t>
  </si>
  <si>
    <t xml:space="preserve">INV-004375</t>
  </si>
  <si>
    <t xml:space="preserve">INV-004376</t>
  </si>
  <si>
    <t xml:space="preserve">INV-004377</t>
  </si>
  <si>
    <t xml:space="preserve">INV-004378</t>
  </si>
  <si>
    <t xml:space="preserve">INV-004379</t>
  </si>
  <si>
    <t xml:space="preserve">INV-004380</t>
  </si>
  <si>
    <t xml:space="preserve">INV-004381</t>
  </si>
  <si>
    <t xml:space="preserve">INV-004382</t>
  </si>
  <si>
    <t xml:space="preserve">INV-004383</t>
  </si>
  <si>
    <t xml:space="preserve">INV-004384</t>
  </si>
  <si>
    <t xml:space="preserve">INV-004385</t>
  </si>
  <si>
    <t xml:space="preserve">INV-004386</t>
  </si>
  <si>
    <t xml:space="preserve">INV-004387</t>
  </si>
  <si>
    <t xml:space="preserve">INV-004388</t>
  </si>
  <si>
    <t xml:space="preserve">INV-004389</t>
  </si>
  <si>
    <t xml:space="preserve">INV-004390</t>
  </si>
  <si>
    <t xml:space="preserve">INV-004391</t>
  </si>
  <si>
    <t xml:space="preserve">INV-004392</t>
  </si>
  <si>
    <t xml:space="preserve">INV-004393</t>
  </si>
  <si>
    <t xml:space="preserve">INV-004394</t>
  </si>
  <si>
    <t xml:space="preserve">INV-004395</t>
  </si>
  <si>
    <t xml:space="preserve">INV-004396</t>
  </si>
  <si>
    <t xml:space="preserve">INV-004397</t>
  </si>
  <si>
    <t xml:space="preserve">INV-004398</t>
  </si>
  <si>
    <t xml:space="preserve">INV-004399</t>
  </si>
  <si>
    <t xml:space="preserve">INV-004400</t>
  </si>
  <si>
    <t xml:space="preserve">INV-004401</t>
  </si>
  <si>
    <t xml:space="preserve">INV-004402</t>
  </si>
  <si>
    <t xml:space="preserve">INV-004403</t>
  </si>
  <si>
    <t xml:space="preserve">INV-004404</t>
  </si>
  <si>
    <t xml:space="preserve">INV-004405</t>
  </si>
  <si>
    <t xml:space="preserve">INV-004406</t>
  </si>
  <si>
    <t xml:space="preserve">INV-004407</t>
  </si>
  <si>
    <t xml:space="preserve">INV-004408</t>
  </si>
  <si>
    <t xml:space="preserve">INV-004409</t>
  </si>
  <si>
    <t xml:space="preserve">INV-004410</t>
  </si>
  <si>
    <t xml:space="preserve">INV-004411</t>
  </si>
  <si>
    <t xml:space="preserve">INV-004412</t>
  </si>
  <si>
    <t xml:space="preserve">INV-004413</t>
  </si>
  <si>
    <t xml:space="preserve">INV-004414</t>
  </si>
  <si>
    <t xml:space="preserve">INV-004415</t>
  </si>
  <si>
    <t xml:space="preserve">INV-004416</t>
  </si>
  <si>
    <t xml:space="preserve">INV-004417</t>
  </si>
  <si>
    <t xml:space="preserve">INV-004418</t>
  </si>
  <si>
    <t xml:space="preserve">INV-004419</t>
  </si>
  <si>
    <t xml:space="preserve">INV-004420</t>
  </si>
  <si>
    <t xml:space="preserve">INV-004421</t>
  </si>
  <si>
    <t xml:space="preserve">INV-004422</t>
  </si>
  <si>
    <t xml:space="preserve">INV-004423</t>
  </si>
  <si>
    <t xml:space="preserve">INV-004424</t>
  </si>
  <si>
    <t xml:space="preserve">INV-004425</t>
  </si>
  <si>
    <t xml:space="preserve">INV-004426</t>
  </si>
  <si>
    <t xml:space="preserve">INV-004427</t>
  </si>
  <si>
    <t xml:space="preserve">INV-004428</t>
  </si>
  <si>
    <t xml:space="preserve">INV-004429</t>
  </si>
  <si>
    <t xml:space="preserve">INV-004430</t>
  </si>
  <si>
    <t xml:space="preserve">INV-004431</t>
  </si>
  <si>
    <t xml:space="preserve">INV-004432</t>
  </si>
  <si>
    <t xml:space="preserve">INV-004433</t>
  </si>
  <si>
    <t xml:space="preserve">INV-004434</t>
  </si>
  <si>
    <t xml:space="preserve">INV-004435</t>
  </si>
  <si>
    <t xml:space="preserve">INV-004436</t>
  </si>
  <si>
    <t xml:space="preserve">INV-004437</t>
  </si>
  <si>
    <t xml:space="preserve">INV-004438</t>
  </si>
  <si>
    <t xml:space="preserve">INV-004439</t>
  </si>
  <si>
    <t xml:space="preserve">INV-004440</t>
  </si>
  <si>
    <t xml:space="preserve">INV-004441</t>
  </si>
  <si>
    <t xml:space="preserve">INV-004442</t>
  </si>
  <si>
    <t xml:space="preserve">INV-004443</t>
  </si>
  <si>
    <t xml:space="preserve">INV-004444</t>
  </si>
  <si>
    <t xml:space="preserve">INV-004445</t>
  </si>
  <si>
    <t xml:space="preserve">INV-004446</t>
  </si>
  <si>
    <t xml:space="preserve">INV-004447</t>
  </si>
  <si>
    <t xml:space="preserve">INV-004448</t>
  </si>
  <si>
    <t xml:space="preserve">INV-004449</t>
  </si>
  <si>
    <t xml:space="preserve">INV-004450</t>
  </si>
  <si>
    <t xml:space="preserve">INV-004451</t>
  </si>
  <si>
    <t xml:space="preserve">INV-004452</t>
  </si>
  <si>
    <t xml:space="preserve">INV-004453</t>
  </si>
  <si>
    <t xml:space="preserve">INV-004454</t>
  </si>
  <si>
    <t xml:space="preserve">INV-004455</t>
  </si>
  <si>
    <t xml:space="preserve">INV-004456</t>
  </si>
  <si>
    <t xml:space="preserve">INV-004457</t>
  </si>
  <si>
    <t xml:space="preserve">INV-004458</t>
  </si>
  <si>
    <t xml:space="preserve">INV-004459</t>
  </si>
  <si>
    <t xml:space="preserve">INV-004460</t>
  </si>
  <si>
    <t xml:space="preserve">INV-004461</t>
  </si>
  <si>
    <t xml:space="preserve">INV-004462</t>
  </si>
  <si>
    <t xml:space="preserve">INV-004463</t>
  </si>
  <si>
    <t xml:space="preserve">INV-004464</t>
  </si>
  <si>
    <t xml:space="preserve">INV-004465</t>
  </si>
  <si>
    <t xml:space="preserve">INV-004466</t>
  </si>
  <si>
    <t xml:space="preserve">INV-004467</t>
  </si>
  <si>
    <t xml:space="preserve">INV-004468</t>
  </si>
  <si>
    <t xml:space="preserve">INV-004469</t>
  </si>
  <si>
    <t xml:space="preserve">INV-004470</t>
  </si>
  <si>
    <t xml:space="preserve">INV-004471</t>
  </si>
  <si>
    <t xml:space="preserve">INV-004472</t>
  </si>
  <si>
    <t xml:space="preserve">INV-004473</t>
  </si>
  <si>
    <t xml:space="preserve">INV-004474</t>
  </si>
  <si>
    <t xml:space="preserve">INV-004475</t>
  </si>
  <si>
    <t xml:space="preserve">INV-004476</t>
  </si>
  <si>
    <t xml:space="preserve">INV-004477</t>
  </si>
  <si>
    <t xml:space="preserve">INV-004478</t>
  </si>
  <si>
    <t xml:space="preserve">INV-004479</t>
  </si>
  <si>
    <t xml:space="preserve">INV-004480</t>
  </si>
  <si>
    <t xml:space="preserve">INV-004481</t>
  </si>
  <si>
    <t xml:space="preserve">INV-004482</t>
  </si>
  <si>
    <t xml:space="preserve">INV-004483</t>
  </si>
  <si>
    <t xml:space="preserve">INV-004484</t>
  </si>
  <si>
    <t xml:space="preserve">INV-004485</t>
  </si>
  <si>
    <t xml:space="preserve">INV-004486</t>
  </si>
  <si>
    <t xml:space="preserve">INV-004487</t>
  </si>
  <si>
    <t xml:space="preserve">INV-004488</t>
  </si>
  <si>
    <t xml:space="preserve">INV-004489</t>
  </si>
  <si>
    <t xml:space="preserve">INV-004490</t>
  </si>
  <si>
    <t xml:space="preserve">INV-004491</t>
  </si>
  <si>
    <t xml:space="preserve">INV-004492</t>
  </si>
  <si>
    <t xml:space="preserve">INV-004493</t>
  </si>
  <si>
    <t xml:space="preserve">INV-004494</t>
  </si>
  <si>
    <t xml:space="preserve">INV-004495</t>
  </si>
  <si>
    <t xml:space="preserve">INV-004496</t>
  </si>
  <si>
    <t xml:space="preserve">INV-004497</t>
  </si>
  <si>
    <t xml:space="preserve">INV-004498</t>
  </si>
  <si>
    <t xml:space="preserve">INV-004499</t>
  </si>
  <si>
    <t xml:space="preserve">INV-004500</t>
  </si>
  <si>
    <t xml:space="preserve">INV-004501</t>
  </si>
  <si>
    <t xml:space="preserve">INV-004502</t>
  </si>
  <si>
    <t xml:space="preserve">INV-004503</t>
  </si>
  <si>
    <t xml:space="preserve">INV-004504</t>
  </si>
  <si>
    <t xml:space="preserve">INV-004505</t>
  </si>
  <si>
    <t xml:space="preserve">INV-004506</t>
  </si>
  <si>
    <t xml:space="preserve">INV-004507</t>
  </si>
  <si>
    <t xml:space="preserve">INV-004508</t>
  </si>
  <si>
    <t xml:space="preserve">INV-004509</t>
  </si>
  <si>
    <t xml:space="preserve">INV-004510</t>
  </si>
  <si>
    <t xml:space="preserve">INV-004511</t>
  </si>
  <si>
    <t xml:space="preserve">INV-004512</t>
  </si>
  <si>
    <t xml:space="preserve">INV-004513</t>
  </si>
  <si>
    <t xml:space="preserve">INV-004514</t>
  </si>
  <si>
    <t xml:space="preserve">INV-004515</t>
  </si>
  <si>
    <t xml:space="preserve">INV-004516</t>
  </si>
  <si>
    <t xml:space="preserve">INV-004517</t>
  </si>
  <si>
    <t xml:space="preserve">INV-004518</t>
  </si>
  <si>
    <t xml:space="preserve">INV-004519</t>
  </si>
  <si>
    <t xml:space="preserve">INV-004520</t>
  </si>
  <si>
    <t xml:space="preserve">INV-004521</t>
  </si>
  <si>
    <t xml:space="preserve">INV-004522</t>
  </si>
  <si>
    <t xml:space="preserve">INV-004523</t>
  </si>
  <si>
    <t xml:space="preserve">INV-004524</t>
  </si>
  <si>
    <t xml:space="preserve">INV-004525</t>
  </si>
  <si>
    <t xml:space="preserve">INV-004526</t>
  </si>
  <si>
    <t xml:space="preserve">INV-004527</t>
  </si>
  <si>
    <t xml:space="preserve">INV-004528</t>
  </si>
  <si>
    <t xml:space="preserve">INV-004529</t>
  </si>
  <si>
    <t xml:space="preserve">INV-004530</t>
  </si>
  <si>
    <t xml:space="preserve">INV-004531</t>
  </si>
  <si>
    <t xml:space="preserve">INV-004532</t>
  </si>
  <si>
    <t xml:space="preserve">INV-004533</t>
  </si>
  <si>
    <t xml:space="preserve">INV-004534</t>
  </si>
  <si>
    <t xml:space="preserve">INV-004535</t>
  </si>
  <si>
    <t xml:space="preserve">INV-004536</t>
  </si>
  <si>
    <t xml:space="preserve">INV-004537</t>
  </si>
  <si>
    <t xml:space="preserve">INV-004538</t>
  </si>
  <si>
    <t xml:space="preserve">INV-004539</t>
  </si>
  <si>
    <t xml:space="preserve">INV-004540</t>
  </si>
  <si>
    <t xml:space="preserve">INV-004541</t>
  </si>
  <si>
    <t xml:space="preserve">INV-004542</t>
  </si>
  <si>
    <t xml:space="preserve">INV-004543</t>
  </si>
  <si>
    <t xml:space="preserve">INV-004544</t>
  </si>
  <si>
    <t xml:space="preserve">INV-004545</t>
  </si>
  <si>
    <t xml:space="preserve">INV-004546</t>
  </si>
  <si>
    <t xml:space="preserve">INV-004547</t>
  </si>
  <si>
    <t xml:space="preserve">INV-004548</t>
  </si>
  <si>
    <t xml:space="preserve">INV-004549</t>
  </si>
  <si>
    <t xml:space="preserve">INV-004550</t>
  </si>
  <si>
    <t xml:space="preserve">INV-004551</t>
  </si>
  <si>
    <t xml:space="preserve">INV-004552</t>
  </si>
  <si>
    <t xml:space="preserve">INV-004553</t>
  </si>
  <si>
    <t xml:space="preserve">INV-004554</t>
  </si>
  <si>
    <t xml:space="preserve">INV-004555</t>
  </si>
  <si>
    <t xml:space="preserve">INV-004556</t>
  </si>
  <si>
    <t xml:space="preserve">INV-004557</t>
  </si>
  <si>
    <t xml:space="preserve">INV-004558</t>
  </si>
  <si>
    <t xml:space="preserve">INV-004559</t>
  </si>
  <si>
    <t xml:space="preserve">INV-004560</t>
  </si>
  <si>
    <t xml:space="preserve">INV-004561</t>
  </si>
  <si>
    <t xml:space="preserve">INV-004562</t>
  </si>
  <si>
    <t xml:space="preserve">INV-004563</t>
  </si>
  <si>
    <t xml:space="preserve">INV-004564</t>
  </si>
  <si>
    <t xml:space="preserve">INV-004565</t>
  </si>
  <si>
    <t xml:space="preserve">INV-004566</t>
  </si>
  <si>
    <t xml:space="preserve">INV-004567</t>
  </si>
  <si>
    <t xml:space="preserve">INV-004568</t>
  </si>
  <si>
    <t xml:space="preserve">INV-004569</t>
  </si>
  <si>
    <t xml:space="preserve">INV-004570</t>
  </si>
  <si>
    <t xml:space="preserve">INV-004571</t>
  </si>
  <si>
    <t xml:space="preserve">INV-004572</t>
  </si>
  <si>
    <t xml:space="preserve">INV-004573</t>
  </si>
  <si>
    <t xml:space="preserve">INV-004574</t>
  </si>
  <si>
    <t xml:space="preserve">INV-004575</t>
  </si>
  <si>
    <t xml:space="preserve">INV-004576</t>
  </si>
  <si>
    <t xml:space="preserve">INV-004577</t>
  </si>
  <si>
    <t xml:space="preserve">INV-004578</t>
  </si>
  <si>
    <t xml:space="preserve">INV-004579</t>
  </si>
  <si>
    <t xml:space="preserve">INV-004580</t>
  </si>
  <si>
    <t xml:space="preserve">INV-004581</t>
  </si>
  <si>
    <t xml:space="preserve">INV-004582</t>
  </si>
  <si>
    <t xml:space="preserve">INV-004583</t>
  </si>
  <si>
    <t xml:space="preserve">INV-004584</t>
  </si>
  <si>
    <t xml:space="preserve">INV-004585</t>
  </si>
  <si>
    <t xml:space="preserve">INV-004586</t>
  </si>
  <si>
    <t xml:space="preserve">INV-004587</t>
  </si>
  <si>
    <t xml:space="preserve">INV-004588</t>
  </si>
  <si>
    <t xml:space="preserve">INV-004589</t>
  </si>
  <si>
    <t xml:space="preserve">INV-004590</t>
  </si>
  <si>
    <t xml:space="preserve">INV-004591</t>
  </si>
  <si>
    <t xml:space="preserve">INV-004592</t>
  </si>
  <si>
    <t xml:space="preserve">INV-004593</t>
  </si>
  <si>
    <t xml:space="preserve">INV-004594</t>
  </si>
  <si>
    <t xml:space="preserve">INV-004595</t>
  </si>
  <si>
    <t xml:space="preserve">INV-004596</t>
  </si>
  <si>
    <t xml:space="preserve">INV-004597</t>
  </si>
  <si>
    <t xml:space="preserve">INV-004598</t>
  </si>
  <si>
    <t xml:space="preserve">INV-004599</t>
  </si>
  <si>
    <t xml:space="preserve">INV-004600</t>
  </si>
  <si>
    <t xml:space="preserve">INV-004601</t>
  </si>
  <si>
    <t xml:space="preserve">INV-004602</t>
  </si>
  <si>
    <t xml:space="preserve">INV-004603</t>
  </si>
  <si>
    <t xml:space="preserve">INV-004604</t>
  </si>
  <si>
    <t xml:space="preserve">INV-004605</t>
  </si>
  <si>
    <t xml:space="preserve">INV-004606</t>
  </si>
  <si>
    <t xml:space="preserve">INV-004607</t>
  </si>
  <si>
    <t xml:space="preserve">INV-004608</t>
  </si>
  <si>
    <t xml:space="preserve">INV-004609</t>
  </si>
  <si>
    <t xml:space="preserve">INV-004610</t>
  </si>
  <si>
    <t xml:space="preserve">INV-004611</t>
  </si>
  <si>
    <t xml:space="preserve">INV-004612</t>
  </si>
  <si>
    <t xml:space="preserve">INV-004613</t>
  </si>
  <si>
    <t xml:space="preserve">INV-004614</t>
  </si>
  <si>
    <t xml:space="preserve">INV-004615</t>
  </si>
  <si>
    <t xml:space="preserve">INV-004616</t>
  </si>
  <si>
    <t xml:space="preserve">INV-004617</t>
  </si>
  <si>
    <t xml:space="preserve">INV-004618</t>
  </si>
  <si>
    <t xml:space="preserve">INV-004619</t>
  </si>
  <si>
    <t xml:space="preserve">INV-004620</t>
  </si>
  <si>
    <t xml:space="preserve">INV-004621</t>
  </si>
  <si>
    <t xml:space="preserve">INV-004622</t>
  </si>
  <si>
    <t xml:space="preserve">INV-004623</t>
  </si>
  <si>
    <t xml:space="preserve">INV-004624</t>
  </si>
  <si>
    <t xml:space="preserve">INV-004625</t>
  </si>
  <si>
    <t xml:space="preserve">INV-004626</t>
  </si>
  <si>
    <t xml:space="preserve">INV-004627</t>
  </si>
  <si>
    <t xml:space="preserve">INV-004628</t>
  </si>
  <si>
    <t xml:space="preserve">INV-004629</t>
  </si>
  <si>
    <t xml:space="preserve">INV-004630</t>
  </si>
  <si>
    <t xml:space="preserve">INV-004631</t>
  </si>
  <si>
    <t xml:space="preserve">INV-004632</t>
  </si>
  <si>
    <t xml:space="preserve">INV-004633</t>
  </si>
  <si>
    <t xml:space="preserve">INV-004634</t>
  </si>
  <si>
    <t xml:space="preserve">INV-004635</t>
  </si>
  <si>
    <t xml:space="preserve">INV-004636</t>
  </si>
  <si>
    <t xml:space="preserve">INV-004637</t>
  </si>
  <si>
    <t xml:space="preserve">INV-004638</t>
  </si>
  <si>
    <t xml:space="preserve">INV-004639</t>
  </si>
  <si>
    <t xml:space="preserve">INV-004640</t>
  </si>
  <si>
    <t xml:space="preserve">INV-004641</t>
  </si>
  <si>
    <t xml:space="preserve">INV-004642</t>
  </si>
  <si>
    <t xml:space="preserve">INV-004643</t>
  </si>
  <si>
    <t xml:space="preserve">INV-004644</t>
  </si>
  <si>
    <t xml:space="preserve">INV-004645</t>
  </si>
  <si>
    <t xml:space="preserve">INV-004646</t>
  </si>
  <si>
    <t xml:space="preserve">INV-004647</t>
  </si>
  <si>
    <t xml:space="preserve">INV-004648</t>
  </si>
  <si>
    <t xml:space="preserve">INV-004649</t>
  </si>
  <si>
    <t xml:space="preserve">INV-004650</t>
  </si>
  <si>
    <t xml:space="preserve">INV-004651</t>
  </si>
  <si>
    <t xml:space="preserve">INV-004652</t>
  </si>
  <si>
    <t xml:space="preserve">INV-004653</t>
  </si>
  <si>
    <t xml:space="preserve">INV-004654</t>
  </si>
  <si>
    <t xml:space="preserve">INV-004655</t>
  </si>
  <si>
    <t xml:space="preserve">INV-004656</t>
  </si>
  <si>
    <t xml:space="preserve">INV-004657</t>
  </si>
  <si>
    <t xml:space="preserve">INV-004658</t>
  </si>
  <si>
    <t xml:space="preserve">INV-004659</t>
  </si>
  <si>
    <t xml:space="preserve">INV-004660</t>
  </si>
  <si>
    <t xml:space="preserve">INV-004661</t>
  </si>
  <si>
    <t xml:space="preserve">INV-004662</t>
  </si>
  <si>
    <t xml:space="preserve">INV-004663</t>
  </si>
  <si>
    <t xml:space="preserve">INV-004664</t>
  </si>
  <si>
    <t xml:space="preserve">INV-004665</t>
  </si>
  <si>
    <t xml:space="preserve">INV-004666</t>
  </si>
  <si>
    <t xml:space="preserve">INV-004667</t>
  </si>
  <si>
    <t xml:space="preserve">INV-004668</t>
  </si>
  <si>
    <t xml:space="preserve">INV-004669</t>
  </si>
  <si>
    <t xml:space="preserve">INV-004670</t>
  </si>
  <si>
    <t xml:space="preserve">INV-004671</t>
  </si>
  <si>
    <t xml:space="preserve">INV-004672</t>
  </si>
  <si>
    <t xml:space="preserve">INV-004673</t>
  </si>
  <si>
    <t xml:space="preserve">INV-004674</t>
  </si>
  <si>
    <t xml:space="preserve">INV-004675</t>
  </si>
  <si>
    <t xml:space="preserve">INV-004676</t>
  </si>
  <si>
    <t xml:space="preserve">INV-004677</t>
  </si>
  <si>
    <t xml:space="preserve">INV-004678</t>
  </si>
  <si>
    <t xml:space="preserve">INV-004679</t>
  </si>
  <si>
    <t xml:space="preserve">INV-004680</t>
  </si>
  <si>
    <t xml:space="preserve">INV-004681</t>
  </si>
  <si>
    <t xml:space="preserve">INV-004682</t>
  </si>
  <si>
    <t xml:space="preserve">INV-004683</t>
  </si>
  <si>
    <t xml:space="preserve">INV-004684</t>
  </si>
  <si>
    <t xml:space="preserve">INV-004685</t>
  </si>
  <si>
    <t xml:space="preserve">INV-004686</t>
  </si>
  <si>
    <t xml:space="preserve">INV-004687</t>
  </si>
  <si>
    <t xml:space="preserve">INV-004688</t>
  </si>
  <si>
    <t xml:space="preserve">INV-004689</t>
  </si>
  <si>
    <t xml:space="preserve">INV-004690</t>
  </si>
  <si>
    <t xml:space="preserve">INV-004691</t>
  </si>
  <si>
    <t xml:space="preserve">INV-004692</t>
  </si>
  <si>
    <t xml:space="preserve">INV-004693</t>
  </si>
  <si>
    <t xml:space="preserve">INV-004694</t>
  </si>
  <si>
    <t xml:space="preserve">INV-004695</t>
  </si>
  <si>
    <t xml:space="preserve">INV-004696</t>
  </si>
  <si>
    <t xml:space="preserve">INV-004697</t>
  </si>
  <si>
    <t xml:space="preserve">INV-004698</t>
  </si>
  <si>
    <t xml:space="preserve">INV-004699</t>
  </si>
  <si>
    <t xml:space="preserve">INV-004700</t>
  </si>
  <si>
    <t xml:space="preserve">INV-004701</t>
  </si>
  <si>
    <t xml:space="preserve">INV-004702</t>
  </si>
  <si>
    <t xml:space="preserve">INV-004703</t>
  </si>
  <si>
    <t xml:space="preserve">INV-004704</t>
  </si>
  <si>
    <t xml:space="preserve">INV-004705</t>
  </si>
  <si>
    <t xml:space="preserve">INV-004706</t>
  </si>
  <si>
    <t xml:space="preserve">INV-004707</t>
  </si>
  <si>
    <t xml:space="preserve">INV-004708</t>
  </si>
  <si>
    <t xml:space="preserve">INV-004709</t>
  </si>
  <si>
    <t xml:space="preserve">INV-004710</t>
  </si>
  <si>
    <t xml:space="preserve">INV-004711</t>
  </si>
  <si>
    <t xml:space="preserve">INV-004712</t>
  </si>
  <si>
    <t xml:space="preserve">INV-004713</t>
  </si>
  <si>
    <t xml:space="preserve">INV-004714</t>
  </si>
  <si>
    <t xml:space="preserve">INV-004715</t>
  </si>
  <si>
    <t xml:space="preserve">INV-004716</t>
  </si>
  <si>
    <t xml:space="preserve">INV-004717</t>
  </si>
  <si>
    <t xml:space="preserve">INV-004718</t>
  </si>
  <si>
    <t xml:space="preserve">INV-004719</t>
  </si>
  <si>
    <t xml:space="preserve">INV-004720</t>
  </si>
  <si>
    <t xml:space="preserve">INV-004721</t>
  </si>
  <si>
    <t xml:space="preserve">INV-004722</t>
  </si>
  <si>
    <t xml:space="preserve">INV-004723</t>
  </si>
  <si>
    <t xml:space="preserve">INV-004724</t>
  </si>
  <si>
    <t xml:space="preserve">INV-004725</t>
  </si>
  <si>
    <t xml:space="preserve">INV-004726</t>
  </si>
  <si>
    <t xml:space="preserve">INV-004727</t>
  </si>
  <si>
    <t xml:space="preserve">INV-004728</t>
  </si>
  <si>
    <t xml:space="preserve">INV-004729</t>
  </si>
  <si>
    <t xml:space="preserve">INV-004730</t>
  </si>
  <si>
    <t xml:space="preserve">INV-004731</t>
  </si>
  <si>
    <t xml:space="preserve">INV-004732</t>
  </si>
  <si>
    <t xml:space="preserve">INV-004733</t>
  </si>
  <si>
    <t xml:space="preserve">INV-004734</t>
  </si>
  <si>
    <t xml:space="preserve">INV-004735</t>
  </si>
  <si>
    <t xml:space="preserve">INV-004736</t>
  </si>
  <si>
    <t xml:space="preserve">INV-004737</t>
  </si>
  <si>
    <t xml:space="preserve">INV-004738</t>
  </si>
  <si>
    <t xml:space="preserve">INV-004739</t>
  </si>
  <si>
    <t xml:space="preserve">INV-004740</t>
  </si>
  <si>
    <t xml:space="preserve">INV-004741</t>
  </si>
  <si>
    <t xml:space="preserve">INV-004742</t>
  </si>
  <si>
    <t xml:space="preserve">INV-004743</t>
  </si>
  <si>
    <t xml:space="preserve">INV-004744</t>
  </si>
  <si>
    <t xml:space="preserve">INV-004745</t>
  </si>
  <si>
    <t xml:space="preserve">INV-004746</t>
  </si>
  <si>
    <t xml:space="preserve">INV-004747</t>
  </si>
  <si>
    <t xml:space="preserve">INV-004748</t>
  </si>
  <si>
    <t xml:space="preserve">INV-004749</t>
  </si>
  <si>
    <t xml:space="preserve">INV-004750</t>
  </si>
  <si>
    <t xml:space="preserve">INV-004751</t>
  </si>
  <si>
    <t xml:space="preserve">INV-004752</t>
  </si>
  <si>
    <t xml:space="preserve">INV-004753</t>
  </si>
  <si>
    <t xml:space="preserve">INV-004754</t>
  </si>
  <si>
    <t xml:space="preserve">INV-004755</t>
  </si>
  <si>
    <t xml:space="preserve">INV-004756</t>
  </si>
  <si>
    <t xml:space="preserve">INV-004757</t>
  </si>
  <si>
    <t xml:space="preserve">INV-004758</t>
  </si>
  <si>
    <t xml:space="preserve">INV-004759</t>
  </si>
  <si>
    <t xml:space="preserve">INV-004760</t>
  </si>
  <si>
    <t xml:space="preserve">INV-004761</t>
  </si>
  <si>
    <t xml:space="preserve">INV-004762</t>
  </si>
  <si>
    <t xml:space="preserve">INV-004763</t>
  </si>
  <si>
    <t xml:space="preserve">INV-004764</t>
  </si>
  <si>
    <t xml:space="preserve">INV-004765</t>
  </si>
  <si>
    <t xml:space="preserve">INV-004766</t>
  </si>
  <si>
    <t xml:space="preserve">INV-004767</t>
  </si>
  <si>
    <t xml:space="preserve">INV-004768</t>
  </si>
  <si>
    <t xml:space="preserve">INV-004769</t>
  </si>
  <si>
    <t xml:space="preserve">INV-004770</t>
  </si>
  <si>
    <t xml:space="preserve">INV-004771</t>
  </si>
  <si>
    <t xml:space="preserve">INV-004772</t>
  </si>
  <si>
    <t xml:space="preserve">INV-004773</t>
  </si>
  <si>
    <t xml:space="preserve">INV-004774</t>
  </si>
  <si>
    <t xml:space="preserve">INV-004775</t>
  </si>
  <si>
    <t xml:space="preserve">INV-004776</t>
  </si>
  <si>
    <t xml:space="preserve">INV-004777</t>
  </si>
  <si>
    <t xml:space="preserve">INV-004778</t>
  </si>
  <si>
    <t xml:space="preserve">INV-004779</t>
  </si>
  <si>
    <t xml:space="preserve">INV-004780</t>
  </si>
  <si>
    <t xml:space="preserve">INV-004781</t>
  </si>
  <si>
    <t xml:space="preserve">INV-004782</t>
  </si>
  <si>
    <t xml:space="preserve">INV-004783</t>
  </si>
  <si>
    <t xml:space="preserve">INV-004784</t>
  </si>
  <si>
    <t xml:space="preserve">INV-004785</t>
  </si>
  <si>
    <t xml:space="preserve">INV-004786</t>
  </si>
  <si>
    <t xml:space="preserve">INV-004787</t>
  </si>
  <si>
    <t xml:space="preserve">INV-004788</t>
  </si>
  <si>
    <t xml:space="preserve">INV-004789</t>
  </si>
  <si>
    <t xml:space="preserve">INV-004790</t>
  </si>
  <si>
    <t xml:space="preserve">INV-004791</t>
  </si>
  <si>
    <t xml:space="preserve">INV-004792</t>
  </si>
  <si>
    <t xml:space="preserve">INV-004793</t>
  </si>
  <si>
    <t xml:space="preserve">INV-004794</t>
  </si>
  <si>
    <t xml:space="preserve">INV-004795</t>
  </si>
  <si>
    <t xml:space="preserve">INV-004796</t>
  </si>
  <si>
    <t xml:space="preserve">INV-004797</t>
  </si>
  <si>
    <t xml:space="preserve">INV-004798</t>
  </si>
  <si>
    <t xml:space="preserve">INV-004799</t>
  </si>
  <si>
    <t xml:space="preserve">INV-004800</t>
  </si>
  <si>
    <t xml:space="preserve">INV-004801</t>
  </si>
  <si>
    <t xml:space="preserve">INV-004802</t>
  </si>
  <si>
    <t xml:space="preserve">INV-004803</t>
  </si>
  <si>
    <t xml:space="preserve">INV-004804</t>
  </si>
  <si>
    <t xml:space="preserve">INV-004805</t>
  </si>
  <si>
    <t xml:space="preserve">INV-004806</t>
  </si>
  <si>
    <t xml:space="preserve">INV-004807</t>
  </si>
  <si>
    <t xml:space="preserve">INV-004808</t>
  </si>
  <si>
    <t xml:space="preserve">INV-004809</t>
  </si>
  <si>
    <t xml:space="preserve">INV-004810</t>
  </si>
  <si>
    <t xml:space="preserve">INV-004811</t>
  </si>
  <si>
    <t xml:space="preserve">INV-004812</t>
  </si>
  <si>
    <t xml:space="preserve">INV-004813</t>
  </si>
  <si>
    <t xml:space="preserve">INV-004814</t>
  </si>
  <si>
    <t xml:space="preserve">INV-004815</t>
  </si>
  <si>
    <t xml:space="preserve">INV-004816</t>
  </si>
  <si>
    <t xml:space="preserve">INV-004817</t>
  </si>
  <si>
    <t xml:space="preserve">INV-004818</t>
  </si>
  <si>
    <t xml:space="preserve">INV-004819</t>
  </si>
  <si>
    <t xml:space="preserve">INV-004820</t>
  </si>
  <si>
    <t xml:space="preserve">INV-004821</t>
  </si>
  <si>
    <t xml:space="preserve">INV-004822</t>
  </si>
  <si>
    <t xml:space="preserve">INV-004823</t>
  </si>
  <si>
    <t xml:space="preserve">INV-004824</t>
  </si>
  <si>
    <t xml:space="preserve">INV-004825</t>
  </si>
  <si>
    <t xml:space="preserve">INV-004826</t>
  </si>
  <si>
    <t xml:space="preserve">INV-004827</t>
  </si>
  <si>
    <t xml:space="preserve">INV-004828</t>
  </si>
  <si>
    <t xml:space="preserve">INV-004829</t>
  </si>
  <si>
    <t xml:space="preserve">INV-004830</t>
  </si>
  <si>
    <t xml:space="preserve">INV-004831</t>
  </si>
  <si>
    <t xml:space="preserve">INV-004832</t>
  </si>
  <si>
    <t xml:space="preserve">INV-004833</t>
  </si>
  <si>
    <t xml:space="preserve">INV-004834</t>
  </si>
  <si>
    <t xml:space="preserve">INV-004835</t>
  </si>
  <si>
    <t xml:space="preserve">INV-004836</t>
  </si>
  <si>
    <t xml:space="preserve">INV-004837</t>
  </si>
  <si>
    <t xml:space="preserve">INV-004838</t>
  </si>
  <si>
    <t xml:space="preserve">INV-004839</t>
  </si>
  <si>
    <t xml:space="preserve">INV-004840</t>
  </si>
  <si>
    <t xml:space="preserve">INV-004841</t>
  </si>
  <si>
    <t xml:space="preserve">INV-004842</t>
  </si>
  <si>
    <t xml:space="preserve">INV-004843</t>
  </si>
  <si>
    <t xml:space="preserve">INV-004844</t>
  </si>
  <si>
    <t xml:space="preserve">INV-004845</t>
  </si>
  <si>
    <t xml:space="preserve">INV-004846</t>
  </si>
  <si>
    <t xml:space="preserve">INV-004847</t>
  </si>
  <si>
    <t xml:space="preserve">INV-004848</t>
  </si>
  <si>
    <t xml:space="preserve">INV-004849</t>
  </si>
  <si>
    <t xml:space="preserve">INV-004850</t>
  </si>
  <si>
    <t xml:space="preserve">INV-004851</t>
  </si>
  <si>
    <t xml:space="preserve">INV-004852</t>
  </si>
  <si>
    <t xml:space="preserve">INV-004853</t>
  </si>
  <si>
    <t xml:space="preserve">INV-004854</t>
  </si>
  <si>
    <t xml:space="preserve">INV-004855</t>
  </si>
  <si>
    <t xml:space="preserve">INV-004856</t>
  </si>
  <si>
    <t xml:space="preserve">INV-004857</t>
  </si>
  <si>
    <t xml:space="preserve">INV-004858</t>
  </si>
  <si>
    <t xml:space="preserve">INV-004859</t>
  </si>
  <si>
    <t xml:space="preserve">INV-004860</t>
  </si>
  <si>
    <t xml:space="preserve">INV-004861</t>
  </si>
  <si>
    <t xml:space="preserve">INV-004862</t>
  </si>
  <si>
    <t xml:space="preserve">INV-004863</t>
  </si>
  <si>
    <t xml:space="preserve">INV-004864</t>
  </si>
  <si>
    <t xml:space="preserve">INV-004865</t>
  </si>
  <si>
    <t xml:space="preserve">INV-004866</t>
  </si>
  <si>
    <t xml:space="preserve">INV-004867</t>
  </si>
  <si>
    <t xml:space="preserve">INV-004868</t>
  </si>
  <si>
    <t xml:space="preserve">INV-004869</t>
  </si>
  <si>
    <t xml:space="preserve">INV-004870</t>
  </si>
  <si>
    <t xml:space="preserve">INV-004871</t>
  </si>
  <si>
    <t xml:space="preserve">INV-004872</t>
  </si>
  <si>
    <t xml:space="preserve">INV-004873</t>
  </si>
  <si>
    <t xml:space="preserve">INV-004874</t>
  </si>
  <si>
    <t xml:space="preserve">INV-004875</t>
  </si>
  <si>
    <t xml:space="preserve">INV-004876</t>
  </si>
  <si>
    <t xml:space="preserve">INV-004877</t>
  </si>
  <si>
    <t xml:space="preserve">INV-004878</t>
  </si>
  <si>
    <t xml:space="preserve">INV-004879</t>
  </si>
  <si>
    <t xml:space="preserve">INV-004880</t>
  </si>
  <si>
    <t xml:space="preserve">INV-004881</t>
  </si>
  <si>
    <t xml:space="preserve">INV-004882</t>
  </si>
  <si>
    <t xml:space="preserve">INV-004883</t>
  </si>
  <si>
    <t xml:space="preserve">INV-004884</t>
  </si>
  <si>
    <t xml:space="preserve">INV-004885</t>
  </si>
  <si>
    <t xml:space="preserve">INV-004886</t>
  </si>
  <si>
    <t xml:space="preserve">INV-004887</t>
  </si>
  <si>
    <t xml:space="preserve">INV-004888</t>
  </si>
  <si>
    <t xml:space="preserve">INV-004889</t>
  </si>
  <si>
    <t xml:space="preserve">INV-004890</t>
  </si>
  <si>
    <t xml:space="preserve">INV-004891</t>
  </si>
  <si>
    <t xml:space="preserve">INV-004892</t>
  </si>
  <si>
    <t xml:space="preserve">INV-004893</t>
  </si>
  <si>
    <t xml:space="preserve">INV-004894</t>
  </si>
  <si>
    <t xml:space="preserve">INV-004895</t>
  </si>
  <si>
    <t xml:space="preserve">INV-004896</t>
  </si>
  <si>
    <t xml:space="preserve">INV-004897</t>
  </si>
  <si>
    <t xml:space="preserve">INV-004898</t>
  </si>
  <si>
    <t xml:space="preserve">INV-004899</t>
  </si>
  <si>
    <t xml:space="preserve">INV-004900</t>
  </si>
  <si>
    <t xml:space="preserve">INV-004901</t>
  </si>
  <si>
    <t xml:space="preserve">INV-004902</t>
  </si>
  <si>
    <t xml:space="preserve">INV-004903</t>
  </si>
  <si>
    <t xml:space="preserve">INV-004904</t>
  </si>
  <si>
    <t xml:space="preserve">INV-004905</t>
  </si>
  <si>
    <t xml:space="preserve">INV-004906</t>
  </si>
  <si>
    <t xml:space="preserve">INV-004907</t>
  </si>
  <si>
    <t xml:space="preserve">INV-004908</t>
  </si>
  <si>
    <t xml:space="preserve">INV-004909</t>
  </si>
  <si>
    <t xml:space="preserve">INV-004910</t>
  </si>
  <si>
    <t xml:space="preserve">INV-004911</t>
  </si>
  <si>
    <t xml:space="preserve">INV-004912</t>
  </si>
  <si>
    <t xml:space="preserve">INV-004913</t>
  </si>
  <si>
    <t xml:space="preserve">INV-004914</t>
  </si>
  <si>
    <t xml:space="preserve">INV-004915</t>
  </si>
  <si>
    <t xml:space="preserve">INV-004916</t>
  </si>
  <si>
    <t xml:space="preserve">INV-004917</t>
  </si>
  <si>
    <t xml:space="preserve">INV-004918</t>
  </si>
  <si>
    <t xml:space="preserve">INV-004919</t>
  </si>
  <si>
    <t xml:space="preserve">INV-004920</t>
  </si>
  <si>
    <t xml:space="preserve">INV-004921</t>
  </si>
  <si>
    <t xml:space="preserve">INV-004922</t>
  </si>
  <si>
    <t xml:space="preserve">INV-004923</t>
  </si>
  <si>
    <t xml:space="preserve">INV-004924</t>
  </si>
  <si>
    <t xml:space="preserve">INV-004925</t>
  </si>
  <si>
    <t xml:space="preserve">INV-004926</t>
  </si>
  <si>
    <t xml:space="preserve">INV-004927</t>
  </si>
  <si>
    <t xml:space="preserve">INV-004928</t>
  </si>
  <si>
    <t xml:space="preserve">INV-004929</t>
  </si>
  <si>
    <t xml:space="preserve">INV-004930</t>
  </si>
  <si>
    <t xml:space="preserve">INV-004931</t>
  </si>
  <si>
    <t xml:space="preserve">INV-004932</t>
  </si>
  <si>
    <t xml:space="preserve">INV-004933</t>
  </si>
  <si>
    <t xml:space="preserve">INV-004934</t>
  </si>
  <si>
    <t xml:space="preserve">INV-004935</t>
  </si>
  <si>
    <t xml:space="preserve">INV-004936</t>
  </si>
  <si>
    <t xml:space="preserve">INV-004937</t>
  </si>
  <si>
    <t xml:space="preserve">INV-004938</t>
  </si>
  <si>
    <t xml:space="preserve">INV-004939</t>
  </si>
  <si>
    <t xml:space="preserve">INV-004940</t>
  </si>
  <si>
    <t xml:space="preserve">INV-004941</t>
  </si>
  <si>
    <t xml:space="preserve">INV-004942</t>
  </si>
  <si>
    <t xml:space="preserve">INV-004943</t>
  </si>
  <si>
    <t xml:space="preserve">INV-004944</t>
  </si>
  <si>
    <t xml:space="preserve">INV-004945</t>
  </si>
  <si>
    <t xml:space="preserve">INV-004946</t>
  </si>
  <si>
    <t xml:space="preserve">INV-004947</t>
  </si>
  <si>
    <t xml:space="preserve">INV-004948</t>
  </si>
  <si>
    <t xml:space="preserve">INV-004949</t>
  </si>
  <si>
    <t xml:space="preserve">INV-004950</t>
  </si>
  <si>
    <t xml:space="preserve">INV-004951</t>
  </si>
  <si>
    <t xml:space="preserve">INV-004952</t>
  </si>
  <si>
    <t xml:space="preserve">INV-004953</t>
  </si>
  <si>
    <t xml:space="preserve">INV-004954</t>
  </si>
  <si>
    <t xml:space="preserve">INV-004955</t>
  </si>
  <si>
    <t xml:space="preserve">INV-004956</t>
  </si>
  <si>
    <t xml:space="preserve">INV-004957</t>
  </si>
  <si>
    <t xml:space="preserve">INV-004958</t>
  </si>
  <si>
    <t xml:space="preserve">INV-004959</t>
  </si>
  <si>
    <t xml:space="preserve">INV-004960</t>
  </si>
  <si>
    <t xml:space="preserve">INV-004961</t>
  </si>
  <si>
    <t xml:space="preserve">INV-004962</t>
  </si>
  <si>
    <t xml:space="preserve">INV-004963</t>
  </si>
  <si>
    <t xml:space="preserve">INV-004964</t>
  </si>
  <si>
    <t xml:space="preserve">INV-004965</t>
  </si>
  <si>
    <t xml:space="preserve">INV-004966</t>
  </si>
  <si>
    <t xml:space="preserve">INV-004967</t>
  </si>
  <si>
    <t xml:space="preserve">INV-004968</t>
  </si>
  <si>
    <t xml:space="preserve">INV-004969</t>
  </si>
  <si>
    <t xml:space="preserve">INV-004970</t>
  </si>
  <si>
    <t xml:space="preserve">INV-004971</t>
  </si>
  <si>
    <t xml:space="preserve">INV-004972</t>
  </si>
  <si>
    <t xml:space="preserve">INV-004973</t>
  </si>
  <si>
    <t xml:space="preserve">INV-004974</t>
  </si>
  <si>
    <t xml:space="preserve">INV-004975</t>
  </si>
  <si>
    <t xml:space="preserve">INV-004976</t>
  </si>
  <si>
    <t xml:space="preserve">INV-004977</t>
  </si>
  <si>
    <t xml:space="preserve">INV-004978</t>
  </si>
  <si>
    <t xml:space="preserve">INV-004979</t>
  </si>
  <si>
    <t xml:space="preserve">INV-004980</t>
  </si>
  <si>
    <t xml:space="preserve">INV-004981</t>
  </si>
  <si>
    <t xml:space="preserve">INV-004982</t>
  </si>
  <si>
    <t xml:space="preserve">INV-004983</t>
  </si>
  <si>
    <t xml:space="preserve">INV-004984</t>
  </si>
  <si>
    <t xml:space="preserve">INV-004985</t>
  </si>
  <si>
    <t xml:space="preserve">INV-004986</t>
  </si>
  <si>
    <t xml:space="preserve">INV-004987</t>
  </si>
  <si>
    <t xml:space="preserve">INV-004988</t>
  </si>
  <si>
    <t xml:space="preserve">INV-004989</t>
  </si>
  <si>
    <t xml:space="preserve">INV-004990</t>
  </si>
  <si>
    <t xml:space="preserve">INV-004991</t>
  </si>
  <si>
    <t xml:space="preserve">INV-004992</t>
  </si>
  <si>
    <t xml:space="preserve">INV-004993</t>
  </si>
  <si>
    <t xml:space="preserve">INV-004994</t>
  </si>
  <si>
    <t xml:space="preserve">INV-004995</t>
  </si>
  <si>
    <t xml:space="preserve">INV-004996</t>
  </si>
  <si>
    <t xml:space="preserve">INV-004997</t>
  </si>
  <si>
    <t xml:space="preserve">INV-004998</t>
  </si>
  <si>
    <t xml:space="preserve">INV-004999</t>
  </si>
  <si>
    <t xml:space="preserve">INV-005000</t>
  </si>
  <si>
    <t xml:space="preserve">INV-005001</t>
  </si>
  <si>
    <t xml:space="preserve">INV-005002</t>
  </si>
  <si>
    <t xml:space="preserve">INV-005003</t>
  </si>
  <si>
    <t xml:space="preserve">INV-005004</t>
  </si>
  <si>
    <t xml:space="preserve">INV-005005</t>
  </si>
  <si>
    <t xml:space="preserve">INV-005006</t>
  </si>
  <si>
    <t xml:space="preserve">INV-005007</t>
  </si>
  <si>
    <t xml:space="preserve">INV-005008</t>
  </si>
  <si>
    <t xml:space="preserve">INV-005009</t>
  </si>
  <si>
    <t xml:space="preserve">INV-005010</t>
  </si>
  <si>
    <t xml:space="preserve">INV-005011</t>
  </si>
  <si>
    <t xml:space="preserve">INV-005012</t>
  </si>
  <si>
    <t xml:space="preserve">INV-005013</t>
  </si>
  <si>
    <t xml:space="preserve">INV-005014</t>
  </si>
  <si>
    <t xml:space="preserve">INV-005015</t>
  </si>
  <si>
    <t xml:space="preserve">INV-005016</t>
  </si>
  <si>
    <t xml:space="preserve">INV-005017</t>
  </si>
  <si>
    <t xml:space="preserve">INV-005018</t>
  </si>
  <si>
    <t xml:space="preserve">INV-005019</t>
  </si>
  <si>
    <t xml:space="preserve">INV-005020</t>
  </si>
  <si>
    <t xml:space="preserve">INV-005021</t>
  </si>
  <si>
    <t xml:space="preserve">INV-005022</t>
  </si>
  <si>
    <t xml:space="preserve">INV-005023</t>
  </si>
  <si>
    <t xml:space="preserve">INV-005024</t>
  </si>
  <si>
    <t xml:space="preserve">INV-005025</t>
  </si>
  <si>
    <t xml:space="preserve">INV-005026</t>
  </si>
  <si>
    <t xml:space="preserve">INV-005027</t>
  </si>
  <si>
    <t xml:space="preserve">INV-005028</t>
  </si>
  <si>
    <t xml:space="preserve">INV-005029</t>
  </si>
  <si>
    <t xml:space="preserve">INV-005030</t>
  </si>
  <si>
    <t xml:space="preserve">INV-005031</t>
  </si>
  <si>
    <t xml:space="preserve">INV-005032</t>
  </si>
  <si>
    <t xml:space="preserve">INV-005033</t>
  </si>
  <si>
    <t xml:space="preserve">INV-005034</t>
  </si>
  <si>
    <t xml:space="preserve">INV-005035</t>
  </si>
  <si>
    <t xml:space="preserve">INV-005036</t>
  </si>
  <si>
    <t xml:space="preserve">INV-005037</t>
  </si>
  <si>
    <t xml:space="preserve">INV-005038</t>
  </si>
  <si>
    <t xml:space="preserve">INV-005039</t>
  </si>
  <si>
    <t xml:space="preserve">INV-005040</t>
  </si>
  <si>
    <t xml:space="preserve">INV-005041</t>
  </si>
  <si>
    <t xml:space="preserve">INV-005042</t>
  </si>
  <si>
    <t xml:space="preserve">INV-005043</t>
  </si>
  <si>
    <t xml:space="preserve">INV-005044</t>
  </si>
  <si>
    <t xml:space="preserve">INV-005045</t>
  </si>
  <si>
    <t xml:space="preserve">INV-005046</t>
  </si>
  <si>
    <t xml:space="preserve">INV-005047</t>
  </si>
  <si>
    <t xml:space="preserve">INV-005048</t>
  </si>
  <si>
    <t xml:space="preserve">INV-005049</t>
  </si>
  <si>
    <t xml:space="preserve">INV-005050</t>
  </si>
  <si>
    <t xml:space="preserve">INV-005051</t>
  </si>
  <si>
    <t xml:space="preserve">INV-005052</t>
  </si>
  <si>
    <t xml:space="preserve">INV-005053</t>
  </si>
  <si>
    <t xml:space="preserve">INV-005054</t>
  </si>
  <si>
    <t xml:space="preserve">INV-005055</t>
  </si>
  <si>
    <t xml:space="preserve">INV-005056</t>
  </si>
  <si>
    <t xml:space="preserve">INV-005057</t>
  </si>
  <si>
    <t xml:space="preserve">INV-005058</t>
  </si>
  <si>
    <t xml:space="preserve">INV-005059</t>
  </si>
  <si>
    <t xml:space="preserve">INV-005060</t>
  </si>
  <si>
    <t xml:space="preserve">INV-005061</t>
  </si>
  <si>
    <t xml:space="preserve">INV-005062</t>
  </si>
  <si>
    <t xml:space="preserve">INV-005063</t>
  </si>
  <si>
    <t xml:space="preserve">INV-005064</t>
  </si>
  <si>
    <t xml:space="preserve">INV-005065</t>
  </si>
  <si>
    <t xml:space="preserve">INV-005066</t>
  </si>
  <si>
    <t xml:space="preserve">INV-005067</t>
  </si>
  <si>
    <t xml:space="preserve">INV-005068</t>
  </si>
  <si>
    <t xml:space="preserve">INV-005069</t>
  </si>
  <si>
    <t xml:space="preserve">INV-005070</t>
  </si>
  <si>
    <t xml:space="preserve">INV-005071</t>
  </si>
  <si>
    <t xml:space="preserve">INV-005072</t>
  </si>
  <si>
    <t xml:space="preserve">INV-005073</t>
  </si>
  <si>
    <t xml:space="preserve">INV-005074</t>
  </si>
  <si>
    <t xml:space="preserve">INV-005075</t>
  </si>
  <si>
    <t xml:space="preserve">INV-005076</t>
  </si>
  <si>
    <t xml:space="preserve">INV-005077</t>
  </si>
  <si>
    <t xml:space="preserve">INV-005078</t>
  </si>
  <si>
    <t xml:space="preserve">INV-005079</t>
  </si>
  <si>
    <t xml:space="preserve">INV-005080</t>
  </si>
  <si>
    <t xml:space="preserve">INV-005081</t>
  </si>
  <si>
    <t xml:space="preserve">INV-005082</t>
  </si>
  <si>
    <t xml:space="preserve">INV-005083</t>
  </si>
  <si>
    <t xml:space="preserve">INV-005084</t>
  </si>
  <si>
    <t xml:space="preserve">INV-005085</t>
  </si>
  <si>
    <t xml:space="preserve">INV-005086</t>
  </si>
  <si>
    <t xml:space="preserve">INV-005087</t>
  </si>
  <si>
    <t xml:space="preserve">INV-005088</t>
  </si>
  <si>
    <t xml:space="preserve">INV-005089</t>
  </si>
  <si>
    <t xml:space="preserve">INV-005090</t>
  </si>
  <si>
    <t xml:space="preserve">INV-005091</t>
  </si>
  <si>
    <t xml:space="preserve">INV-005092</t>
  </si>
  <si>
    <t xml:space="preserve">INV-005093</t>
  </si>
  <si>
    <t xml:space="preserve">INV-005094</t>
  </si>
  <si>
    <t xml:space="preserve">INV-005095</t>
  </si>
  <si>
    <t xml:space="preserve">INV-005096</t>
  </si>
  <si>
    <t xml:space="preserve">INV-005097</t>
  </si>
  <si>
    <t xml:space="preserve">INV-005098</t>
  </si>
  <si>
    <t xml:space="preserve">INV-005099</t>
  </si>
  <si>
    <t xml:space="preserve">INV-005100</t>
  </si>
  <si>
    <t xml:space="preserve">INV-005101</t>
  </si>
  <si>
    <t xml:space="preserve">INV-005102</t>
  </si>
  <si>
    <t xml:space="preserve">INV-005103</t>
  </si>
  <si>
    <t xml:space="preserve">INV-005104</t>
  </si>
  <si>
    <t xml:space="preserve">INV-005105</t>
  </si>
  <si>
    <t xml:space="preserve">INV-005106</t>
  </si>
  <si>
    <t xml:space="preserve">INV-005107</t>
  </si>
  <si>
    <t xml:space="preserve">INV-005108</t>
  </si>
  <si>
    <t xml:space="preserve">INV-005109</t>
  </si>
  <si>
    <t xml:space="preserve">INV-005110</t>
  </si>
  <si>
    <t xml:space="preserve">INV-005111</t>
  </si>
  <si>
    <t xml:space="preserve">INV-005112</t>
  </si>
  <si>
    <t xml:space="preserve">INV-005113</t>
  </si>
  <si>
    <t xml:space="preserve">INV-005114</t>
  </si>
  <si>
    <t xml:space="preserve">INV-005115</t>
  </si>
  <si>
    <t xml:space="preserve">INV-005116</t>
  </si>
  <si>
    <t xml:space="preserve">INV-005117</t>
  </si>
  <si>
    <t xml:space="preserve">INV-005118</t>
  </si>
  <si>
    <t xml:space="preserve">INV-005119</t>
  </si>
  <si>
    <t xml:space="preserve">INV-005120</t>
  </si>
  <si>
    <t xml:space="preserve">INV-005121</t>
  </si>
  <si>
    <t xml:space="preserve">INV-005122</t>
  </si>
  <si>
    <t xml:space="preserve">INV-005123</t>
  </si>
  <si>
    <t xml:space="preserve">INV-005124</t>
  </si>
  <si>
    <t xml:space="preserve">INV-005125</t>
  </si>
  <si>
    <t xml:space="preserve">INV-005126</t>
  </si>
  <si>
    <t xml:space="preserve">INV-005127</t>
  </si>
  <si>
    <t xml:space="preserve">INV-005128</t>
  </si>
  <si>
    <t xml:space="preserve">INV-005129</t>
  </si>
  <si>
    <t xml:space="preserve">INV-005130</t>
  </si>
  <si>
    <t xml:space="preserve">INV-005131</t>
  </si>
  <si>
    <t xml:space="preserve">INV-005132</t>
  </si>
  <si>
    <t xml:space="preserve">INV-005133</t>
  </si>
  <si>
    <t xml:space="preserve">INV-005134</t>
  </si>
  <si>
    <t xml:space="preserve">INV-005135</t>
  </si>
  <si>
    <t xml:space="preserve">INV-005136</t>
  </si>
  <si>
    <t xml:space="preserve">Open</t>
  </si>
  <si>
    <t xml:space="preserve">INV-005137</t>
  </si>
  <si>
    <t xml:space="preserve">INV-005138</t>
  </si>
  <si>
    <t xml:space="preserve">INV-005139</t>
  </si>
  <si>
    <t xml:space="preserve">INV-005140</t>
  </si>
  <si>
    <t xml:space="preserve">INV-005141</t>
  </si>
  <si>
    <t xml:space="preserve">INV-005142</t>
  </si>
  <si>
    <t xml:space="preserve">INV-005143</t>
  </si>
  <si>
    <t xml:space="preserve">INV-005144</t>
  </si>
  <si>
    <t xml:space="preserve">INV-005145</t>
  </si>
  <si>
    <t xml:space="preserve">INV-005146</t>
  </si>
  <si>
    <t xml:space="preserve">INV-005147</t>
  </si>
  <si>
    <t xml:space="preserve">INV-005148</t>
  </si>
  <si>
    <t xml:space="preserve">INV-005149</t>
  </si>
  <si>
    <t xml:space="preserve">INV-005150</t>
  </si>
  <si>
    <t xml:space="preserve">INV-005151</t>
  </si>
  <si>
    <t xml:space="preserve">INV-005152</t>
  </si>
  <si>
    <t xml:space="preserve">INV-005153</t>
  </si>
  <si>
    <t xml:space="preserve">INV-005154</t>
  </si>
  <si>
    <t xml:space="preserve">INV-005155</t>
  </si>
  <si>
    <t xml:space="preserve">INV-005156</t>
  </si>
  <si>
    <t xml:space="preserve">INV-005157</t>
  </si>
  <si>
    <t xml:space="preserve">INV-005158</t>
  </si>
  <si>
    <t xml:space="preserve">INV-005159</t>
  </si>
  <si>
    <t xml:space="preserve">INV-005160</t>
  </si>
  <si>
    <t xml:space="preserve">INV-005161</t>
  </si>
  <si>
    <t xml:space="preserve">INV-005162</t>
  </si>
  <si>
    <t xml:space="preserve">INV-005163</t>
  </si>
  <si>
    <t xml:space="preserve">INV-005164</t>
  </si>
  <si>
    <t xml:space="preserve">INV-005165</t>
  </si>
  <si>
    <t xml:space="preserve">INV-005166</t>
  </si>
  <si>
    <t xml:space="preserve">INV-005167</t>
  </si>
  <si>
    <t xml:space="preserve">INV-005168</t>
  </si>
  <si>
    <t xml:space="preserve">INV-005169</t>
  </si>
  <si>
    <t xml:space="preserve">INV-005170</t>
  </si>
  <si>
    <t xml:space="preserve">INV-005171</t>
  </si>
  <si>
    <t xml:space="preserve">INV-005172</t>
  </si>
  <si>
    <t xml:space="preserve">INV-005173</t>
  </si>
  <si>
    <t xml:space="preserve">INV-005174</t>
  </si>
  <si>
    <t xml:space="preserve">INV-005175</t>
  </si>
  <si>
    <t xml:space="preserve">INV-005176</t>
  </si>
  <si>
    <t xml:space="preserve">INV-005177</t>
  </si>
  <si>
    <t xml:space="preserve">INV-005178</t>
  </si>
  <si>
    <t xml:space="preserve">INV-005179</t>
  </si>
  <si>
    <t xml:space="preserve">INV-005180</t>
  </si>
  <si>
    <t xml:space="preserve">INV-005181</t>
  </si>
  <si>
    <t xml:space="preserve">INV-005182</t>
  </si>
  <si>
    <t xml:space="preserve">INV-005183</t>
  </si>
  <si>
    <t xml:space="preserve">INV-005184</t>
  </si>
  <si>
    <t xml:space="preserve">INV-005185</t>
  </si>
  <si>
    <t xml:space="preserve">INV-005186</t>
  </si>
  <si>
    <t xml:space="preserve">INV-005187</t>
  </si>
  <si>
    <t xml:space="preserve">INV-005188</t>
  </si>
  <si>
    <t xml:space="preserve">INV-005189</t>
  </si>
  <si>
    <t xml:space="preserve">INV-005190</t>
  </si>
  <si>
    <t xml:space="preserve">INV-005191</t>
  </si>
  <si>
    <t xml:space="preserve">INV-005192</t>
  </si>
  <si>
    <t xml:space="preserve">INV-005193</t>
  </si>
  <si>
    <t xml:space="preserve">INV-005194</t>
  </si>
  <si>
    <t xml:space="preserve">INV-005195</t>
  </si>
  <si>
    <t xml:space="preserve">INV-005196</t>
  </si>
  <si>
    <t xml:space="preserve">INV-005197</t>
  </si>
  <si>
    <t xml:space="preserve">INV-005198</t>
  </si>
  <si>
    <t xml:space="preserve">INV-005199</t>
  </si>
  <si>
    <t xml:space="preserve">INV-005200</t>
  </si>
  <si>
    <t xml:space="preserve">INV-005201</t>
  </si>
  <si>
    <t xml:space="preserve">INV-005202</t>
  </si>
  <si>
    <t xml:space="preserve">INV-005203</t>
  </si>
  <si>
    <t xml:space="preserve">INV-005204</t>
  </si>
  <si>
    <t xml:space="preserve">INV-005205</t>
  </si>
  <si>
    <t xml:space="preserve">INV-005206</t>
  </si>
  <si>
    <t xml:space="preserve">INV-005207</t>
  </si>
  <si>
    <t xml:space="preserve">INV-005208</t>
  </si>
  <si>
    <t xml:space="preserve">INV-005209</t>
  </si>
  <si>
    <t xml:space="preserve">INV-005210</t>
  </si>
  <si>
    <t xml:space="preserve">INV-005211</t>
  </si>
  <si>
    <t xml:space="preserve">INV-005212</t>
  </si>
  <si>
    <t xml:space="preserve">INV-005213</t>
  </si>
  <si>
    <t xml:space="preserve">INV-005214</t>
  </si>
  <si>
    <t xml:space="preserve">INV-005215</t>
  </si>
  <si>
    <t xml:space="preserve">INV-005216</t>
  </si>
  <si>
    <t xml:space="preserve">INV-005217</t>
  </si>
  <si>
    <t xml:space="preserve">INV-005218</t>
  </si>
  <si>
    <t xml:space="preserve">INV-005219</t>
  </si>
  <si>
    <t xml:space="preserve">INV-005220</t>
  </si>
  <si>
    <t xml:space="preserve">INV-005221</t>
  </si>
  <si>
    <t xml:space="preserve">INV-005222</t>
  </si>
  <si>
    <t xml:space="preserve">INV-005223</t>
  </si>
  <si>
    <t xml:space="preserve">INV-005224</t>
  </si>
  <si>
    <t xml:space="preserve">INV-005225</t>
  </si>
  <si>
    <t xml:space="preserve">INV-005226</t>
  </si>
  <si>
    <t xml:space="preserve">INV-005227</t>
  </si>
  <si>
    <t xml:space="preserve">INV-005228</t>
  </si>
  <si>
    <t xml:space="preserve">INV-005229</t>
  </si>
  <si>
    <t xml:space="preserve">INV-005230</t>
  </si>
  <si>
    <t xml:space="preserve">INV-005231</t>
  </si>
  <si>
    <t xml:space="preserve">INV-005232</t>
  </si>
  <si>
    <t xml:space="preserve">INV-005233</t>
  </si>
  <si>
    <t xml:space="preserve">INV-005234</t>
  </si>
  <si>
    <t xml:space="preserve">INV-005235</t>
  </si>
  <si>
    <t xml:space="preserve">INV-005236</t>
  </si>
  <si>
    <t xml:space="preserve">INV-005237</t>
  </si>
  <si>
    <t xml:space="preserve">INV-005238</t>
  </si>
  <si>
    <t xml:space="preserve">INV-005239</t>
  </si>
  <si>
    <t xml:space="preserve">INV-005240</t>
  </si>
  <si>
    <t xml:space="preserve">INV-005241</t>
  </si>
  <si>
    <t xml:space="preserve">INV-005242</t>
  </si>
  <si>
    <t xml:space="preserve">INV-005243</t>
  </si>
  <si>
    <t xml:space="preserve">INV-005244</t>
  </si>
  <si>
    <t xml:space="preserve">INV-005245</t>
  </si>
  <si>
    <t xml:space="preserve">INV-005246</t>
  </si>
  <si>
    <t xml:space="preserve">INV-005247</t>
  </si>
  <si>
    <t xml:space="preserve">INV-005248</t>
  </si>
  <si>
    <t xml:space="preserve">INV-005249</t>
  </si>
  <si>
    <t xml:space="preserve">INV-005250</t>
  </si>
  <si>
    <t xml:space="preserve">INV-005251</t>
  </si>
  <si>
    <t xml:space="preserve">INV-005252</t>
  </si>
  <si>
    <t xml:space="preserve">INV-005253</t>
  </si>
  <si>
    <t xml:space="preserve">INV-005254</t>
  </si>
  <si>
    <t xml:space="preserve">INV-005255</t>
  </si>
  <si>
    <t xml:space="preserve">INV-005256</t>
  </si>
  <si>
    <t xml:space="preserve">INV-005257</t>
  </si>
  <si>
    <t xml:space="preserve">INV-005258</t>
  </si>
  <si>
    <t xml:space="preserve">INV-005259</t>
  </si>
  <si>
    <t xml:space="preserve">INV-005260</t>
  </si>
  <si>
    <t xml:space="preserve">INV-005261</t>
  </si>
  <si>
    <t xml:space="preserve">INV-005262</t>
  </si>
  <si>
    <t xml:space="preserve">INV-005263</t>
  </si>
  <si>
    <t xml:space="preserve">INV-005264</t>
  </si>
  <si>
    <t xml:space="preserve">INV-005265</t>
  </si>
  <si>
    <t xml:space="preserve">INV-005266</t>
  </si>
  <si>
    <t xml:space="preserve">INV-005267</t>
  </si>
  <si>
    <t xml:space="preserve">INV-005268</t>
  </si>
  <si>
    <t xml:space="preserve">INV-005269</t>
  </si>
  <si>
    <t xml:space="preserve">INV-005270</t>
  </si>
  <si>
    <t xml:space="preserve">INV-005271</t>
  </si>
  <si>
    <t xml:space="preserve">INV-005272</t>
  </si>
  <si>
    <t xml:space="preserve">INV-005273</t>
  </si>
  <si>
    <t xml:space="preserve">INV-005274</t>
  </si>
  <si>
    <t xml:space="preserve">INV-005275</t>
  </si>
  <si>
    <t xml:space="preserve">INV-005276</t>
  </si>
  <si>
    <t xml:space="preserve">INV-005277</t>
  </si>
  <si>
    <t xml:space="preserve">INV-005278</t>
  </si>
  <si>
    <t xml:space="preserve">INV-005279</t>
  </si>
  <si>
    <t xml:space="preserve">INV-005280</t>
  </si>
  <si>
    <t xml:space="preserve">INV-005281</t>
  </si>
  <si>
    <t xml:space="preserve">INV-005282</t>
  </si>
  <si>
    <t xml:space="preserve">INV-005283</t>
  </si>
  <si>
    <t xml:space="preserve">INV-005284</t>
  </si>
  <si>
    <t xml:space="preserve">INV-005285</t>
  </si>
  <si>
    <t xml:space="preserve">INV-005286</t>
  </si>
  <si>
    <t xml:space="preserve">INV-005287</t>
  </si>
  <si>
    <t xml:space="preserve">INV-005288</t>
  </si>
  <si>
    <t xml:space="preserve">INV-005289</t>
  </si>
  <si>
    <t xml:space="preserve">INV-005290</t>
  </si>
  <si>
    <t xml:space="preserve">INV-005291</t>
  </si>
  <si>
    <t xml:space="preserve">INV-005292</t>
  </si>
  <si>
    <t xml:space="preserve">INV-005293</t>
  </si>
  <si>
    <t xml:space="preserve">INV-005294</t>
  </si>
  <si>
    <t xml:space="preserve">INV-005295</t>
  </si>
  <si>
    <t xml:space="preserve">INV-005296</t>
  </si>
  <si>
    <t xml:space="preserve">INV-005297</t>
  </si>
  <si>
    <t xml:space="preserve">INV-005298</t>
  </si>
  <si>
    <t xml:space="preserve">INV-005299</t>
  </si>
  <si>
    <t xml:space="preserve">INV-005300</t>
  </si>
  <si>
    <t xml:space="preserve">INV-005301</t>
  </si>
  <si>
    <t xml:space="preserve">INV-005302</t>
  </si>
  <si>
    <t xml:space="preserve">INV-005303</t>
  </si>
  <si>
    <t xml:space="preserve">INV-005304</t>
  </si>
  <si>
    <t xml:space="preserve">INV-005305</t>
  </si>
  <si>
    <t xml:space="preserve">INV-005306</t>
  </si>
  <si>
    <t xml:space="preserve">INV-005307</t>
  </si>
  <si>
    <t xml:space="preserve">INV-005308</t>
  </si>
  <si>
    <t xml:space="preserve">INV-005309</t>
  </si>
  <si>
    <t xml:space="preserve">INV-005310</t>
  </si>
  <si>
    <t xml:space="preserve">INV-005311</t>
  </si>
  <si>
    <t xml:space="preserve">INV-005312</t>
  </si>
  <si>
    <t xml:space="preserve">INV-005313</t>
  </si>
  <si>
    <t xml:space="preserve">INV-005314</t>
  </si>
  <si>
    <t xml:space="preserve">INV-005315</t>
  </si>
  <si>
    <t xml:space="preserve">INV-005316</t>
  </si>
  <si>
    <t xml:space="preserve">INV-005317</t>
  </si>
  <si>
    <t xml:space="preserve">INV-005318</t>
  </si>
  <si>
    <t xml:space="preserve">INV-005319</t>
  </si>
  <si>
    <t xml:space="preserve">INV-005320</t>
  </si>
  <si>
    <t xml:space="preserve">INV-005321</t>
  </si>
  <si>
    <t xml:space="preserve">INV-005322</t>
  </si>
  <si>
    <t xml:space="preserve">INV-005323</t>
  </si>
  <si>
    <t xml:space="preserve">INV-005324</t>
  </si>
  <si>
    <t xml:space="preserve">INV-005325</t>
  </si>
  <si>
    <t xml:space="preserve">INV-005326</t>
  </si>
  <si>
    <t xml:space="preserve">INV-005327</t>
  </si>
  <si>
    <t xml:space="preserve">INV-005328</t>
  </si>
  <si>
    <t xml:space="preserve">INV-005329</t>
  </si>
  <si>
    <t xml:space="preserve">INV-005330</t>
  </si>
  <si>
    <t xml:space="preserve">INV-005331</t>
  </si>
  <si>
    <t xml:space="preserve">INV-005332</t>
  </si>
  <si>
    <t xml:space="preserve">INV-005333</t>
  </si>
  <si>
    <t xml:space="preserve">INV-005334</t>
  </si>
  <si>
    <t xml:space="preserve">INV-005335</t>
  </si>
  <si>
    <t xml:space="preserve">INV-005336</t>
  </si>
  <si>
    <t xml:space="preserve">INV-005337</t>
  </si>
  <si>
    <t xml:space="preserve">INV-005338</t>
  </si>
  <si>
    <t xml:space="preserve">INV-005339</t>
  </si>
  <si>
    <t xml:space="preserve">INV-005340</t>
  </si>
  <si>
    <t xml:space="preserve">INV-005341</t>
  </si>
  <si>
    <t xml:space="preserve">INV-005342</t>
  </si>
  <si>
    <t xml:space="preserve">INV-005343</t>
  </si>
  <si>
    <t xml:space="preserve">INV-005344</t>
  </si>
  <si>
    <t xml:space="preserve">INV-005345</t>
  </si>
  <si>
    <t xml:space="preserve">INV-005346</t>
  </si>
  <si>
    <t xml:space="preserve">INV-005347</t>
  </si>
  <si>
    <t xml:space="preserve">INV-005348</t>
  </si>
  <si>
    <t xml:space="preserve">INV-005349</t>
  </si>
  <si>
    <t xml:space="preserve">INV-005350</t>
  </si>
  <si>
    <t xml:space="preserve">INV-005351</t>
  </si>
  <si>
    <t xml:space="preserve">INV-005352</t>
  </si>
  <si>
    <t xml:space="preserve">INV-005353</t>
  </si>
  <si>
    <t xml:space="preserve">INV-005354</t>
  </si>
  <si>
    <t xml:space="preserve">INV-005355</t>
  </si>
  <si>
    <t xml:space="preserve">INV-005356</t>
  </si>
  <si>
    <t xml:space="preserve">INV-005357</t>
  </si>
  <si>
    <t xml:space="preserve">INV-005358</t>
  </si>
  <si>
    <t xml:space="preserve">INV-005359</t>
  </si>
  <si>
    <t xml:space="preserve">INV-005360</t>
  </si>
  <si>
    <t xml:space="preserve">INV-005361</t>
  </si>
  <si>
    <t xml:space="preserve">INV-005362</t>
  </si>
  <si>
    <t xml:space="preserve">INV-005363</t>
  </si>
  <si>
    <t xml:space="preserve">INV-005364</t>
  </si>
  <si>
    <t xml:space="preserve">INV-005365</t>
  </si>
  <si>
    <t xml:space="preserve">INV-005366</t>
  </si>
  <si>
    <t xml:space="preserve">INV-005367</t>
  </si>
  <si>
    <t xml:space="preserve">INV-005368</t>
  </si>
  <si>
    <t xml:space="preserve">INV-005369</t>
  </si>
  <si>
    <t xml:space="preserve">INV-005370</t>
  </si>
  <si>
    <t xml:space="preserve">INV-005371</t>
  </si>
  <si>
    <t xml:space="preserve">INV-005372</t>
  </si>
  <si>
    <t xml:space="preserve">INV-005373</t>
  </si>
  <si>
    <t xml:space="preserve">INV-005374</t>
  </si>
  <si>
    <t xml:space="preserve">INV-005375</t>
  </si>
  <si>
    <t xml:space="preserve">INV-005376</t>
  </si>
  <si>
    <t xml:space="preserve">INV-005377</t>
  </si>
  <si>
    <t xml:space="preserve">INV-005378</t>
  </si>
  <si>
    <t xml:space="preserve">INV-005379</t>
  </si>
  <si>
    <t xml:space="preserve">INV-005380</t>
  </si>
  <si>
    <t xml:space="preserve">INV-005381</t>
  </si>
  <si>
    <t xml:space="preserve">INV-005382</t>
  </si>
  <si>
    <t xml:space="preserve">INV-005383</t>
  </si>
  <si>
    <t xml:space="preserve">INV-005384</t>
  </si>
  <si>
    <t xml:space="preserve">INV-005385</t>
  </si>
  <si>
    <t xml:space="preserve">INV-005386</t>
  </si>
  <si>
    <t xml:space="preserve">INV-005387</t>
  </si>
  <si>
    <t xml:space="preserve">INV-005388</t>
  </si>
  <si>
    <t xml:space="preserve">INV-005389</t>
  </si>
  <si>
    <t xml:space="preserve">INV-005390</t>
  </si>
  <si>
    <t xml:space="preserve">INV-005391</t>
  </si>
  <si>
    <t xml:space="preserve">INV-005392</t>
  </si>
  <si>
    <t xml:space="preserve">INV-005393</t>
  </si>
  <si>
    <t xml:space="preserve">INV-005394</t>
  </si>
  <si>
    <t xml:space="preserve">INV-005395</t>
  </si>
  <si>
    <t xml:space="preserve">INV-005396</t>
  </si>
  <si>
    <t xml:space="preserve">INV-005397</t>
  </si>
  <si>
    <t xml:space="preserve">INV-005398</t>
  </si>
  <si>
    <t xml:space="preserve">INV-005399</t>
  </si>
  <si>
    <t xml:space="preserve">INV-005400</t>
  </si>
  <si>
    <t xml:space="preserve">INV-005401</t>
  </si>
  <si>
    <t xml:space="preserve">INV-005402</t>
  </si>
  <si>
    <t xml:space="preserve">INV-005403</t>
  </si>
  <si>
    <t xml:space="preserve">INV-005404</t>
  </si>
  <si>
    <t xml:space="preserve">INV-005405</t>
  </si>
  <si>
    <t xml:space="preserve">INV-005406</t>
  </si>
  <si>
    <t xml:space="preserve">INV-005407</t>
  </si>
  <si>
    <t xml:space="preserve">INV-005408</t>
  </si>
  <si>
    <t xml:space="preserve">INV-005409</t>
  </si>
  <si>
    <t xml:space="preserve">INV-005410</t>
  </si>
  <si>
    <t xml:space="preserve">INV-005411</t>
  </si>
  <si>
    <t xml:space="preserve">INV-005412</t>
  </si>
  <si>
    <t xml:space="preserve">INV-005413</t>
  </si>
  <si>
    <t xml:space="preserve">INV-005414</t>
  </si>
  <si>
    <t xml:space="preserve">INV-005415</t>
  </si>
  <si>
    <t xml:space="preserve">INV-005416</t>
  </si>
  <si>
    <t xml:space="preserve">INV-005417</t>
  </si>
  <si>
    <t xml:space="preserve">INV-005418</t>
  </si>
  <si>
    <t xml:space="preserve">INV-005419</t>
  </si>
  <si>
    <t xml:space="preserve">INV-005420</t>
  </si>
  <si>
    <t xml:space="preserve">INV-005421</t>
  </si>
  <si>
    <t xml:space="preserve">INV-005422</t>
  </si>
  <si>
    <t xml:space="preserve">INV-005423</t>
  </si>
  <si>
    <t xml:space="preserve">INV-005424</t>
  </si>
  <si>
    <t xml:space="preserve">INV-005425</t>
  </si>
  <si>
    <t xml:space="preserve">INV-005426</t>
  </si>
  <si>
    <t xml:space="preserve">INV-005427</t>
  </si>
  <si>
    <t xml:space="preserve">INV-005428</t>
  </si>
  <si>
    <t xml:space="preserve">INV-005429</t>
  </si>
  <si>
    <t xml:space="preserve">INV-005430</t>
  </si>
  <si>
    <t xml:space="preserve">INV-005431</t>
  </si>
  <si>
    <t xml:space="preserve">INV-005432</t>
  </si>
  <si>
    <t xml:space="preserve">INV-005433</t>
  </si>
  <si>
    <t xml:space="preserve">INV-005434</t>
  </si>
  <si>
    <t xml:space="preserve">INV-005435</t>
  </si>
  <si>
    <t xml:space="preserve">INV-005436</t>
  </si>
  <si>
    <t xml:space="preserve">INV-005437</t>
  </si>
  <si>
    <t xml:space="preserve">INV-005438</t>
  </si>
  <si>
    <t xml:space="preserve">INV-005439</t>
  </si>
  <si>
    <t xml:space="preserve">INV-005440</t>
  </si>
  <si>
    <t xml:space="preserve">INV-005441</t>
  </si>
  <si>
    <t xml:space="preserve">INV-005442</t>
  </si>
  <si>
    <t xml:space="preserve">INV-005443</t>
  </si>
  <si>
    <t xml:space="preserve">INV-005444</t>
  </si>
  <si>
    <t xml:space="preserve">INV-005445</t>
  </si>
  <si>
    <t xml:space="preserve">INV-005446</t>
  </si>
  <si>
    <t xml:space="preserve">INV-005447</t>
  </si>
  <si>
    <t xml:space="preserve">INV-005448</t>
  </si>
  <si>
    <t xml:space="preserve">INV-005449</t>
  </si>
  <si>
    <t xml:space="preserve">INV-005450</t>
  </si>
  <si>
    <t xml:space="preserve">INV-005451</t>
  </si>
  <si>
    <t xml:space="preserve">INV-005452</t>
  </si>
  <si>
    <t xml:space="preserve">INV-005453</t>
  </si>
  <si>
    <t xml:space="preserve">INV-005454</t>
  </si>
  <si>
    <t xml:space="preserve">INV-005455</t>
  </si>
  <si>
    <t xml:space="preserve">INV-005456</t>
  </si>
  <si>
    <t xml:space="preserve">INV-005457</t>
  </si>
  <si>
    <t xml:space="preserve">INV-005458</t>
  </si>
  <si>
    <t xml:space="preserve">INV-005459</t>
  </si>
  <si>
    <t xml:space="preserve">INV-005460</t>
  </si>
  <si>
    <t xml:space="preserve">INV-005461</t>
  </si>
  <si>
    <t xml:space="preserve">INV-005462</t>
  </si>
  <si>
    <t xml:space="preserve">INV-005463</t>
  </si>
  <si>
    <t xml:space="preserve">INV-005464</t>
  </si>
  <si>
    <t xml:space="preserve">INV-005465</t>
  </si>
  <si>
    <t xml:space="preserve">INV-005466</t>
  </si>
  <si>
    <t xml:space="preserve">INV-005467</t>
  </si>
  <si>
    <t xml:space="preserve">INV-005468</t>
  </si>
  <si>
    <t xml:space="preserve">INV-005469</t>
  </si>
  <si>
    <t xml:space="preserve">INV-005470</t>
  </si>
  <si>
    <t xml:space="preserve">INV-005471</t>
  </si>
  <si>
    <t xml:space="preserve">INV-005472</t>
  </si>
  <si>
    <t xml:space="preserve">INV-005473</t>
  </si>
  <si>
    <t xml:space="preserve">INV-005474</t>
  </si>
  <si>
    <t xml:space="preserve">INV-005475</t>
  </si>
  <si>
    <t xml:space="preserve">INV-005476</t>
  </si>
  <si>
    <t xml:space="preserve">INV-005477</t>
  </si>
  <si>
    <t xml:space="preserve">INV-005478</t>
  </si>
  <si>
    <t xml:space="preserve">INV-005479</t>
  </si>
  <si>
    <t xml:space="preserve">INV-005480</t>
  </si>
  <si>
    <t xml:space="preserve">INV-005481</t>
  </si>
  <si>
    <t xml:space="preserve">INV-005482</t>
  </si>
  <si>
    <t xml:space="preserve">INV-005483</t>
  </si>
  <si>
    <t xml:space="preserve">INV-005484</t>
  </si>
  <si>
    <t xml:space="preserve">INV-005485</t>
  </si>
  <si>
    <t xml:space="preserve">INV-005486</t>
  </si>
  <si>
    <t xml:space="preserve">INV-005487</t>
  </si>
  <si>
    <t xml:space="preserve">INV-005488</t>
  </si>
  <si>
    <t xml:space="preserve">INV-005489</t>
  </si>
  <si>
    <t xml:space="preserve">INV-005490</t>
  </si>
  <si>
    <t xml:space="preserve">INV-005491</t>
  </si>
  <si>
    <t xml:space="preserve">INV-005492</t>
  </si>
  <si>
    <t xml:space="preserve">INV-005493</t>
  </si>
  <si>
    <t xml:space="preserve">INV-005494</t>
  </si>
  <si>
    <t xml:space="preserve">INV-005495</t>
  </si>
  <si>
    <t xml:space="preserve">INV-005496</t>
  </si>
  <si>
    <t xml:space="preserve">INV-005497</t>
  </si>
  <si>
    <t xml:space="preserve">INV-005498</t>
  </si>
  <si>
    <t xml:space="preserve">INV-005499</t>
  </si>
  <si>
    <t xml:space="preserve">INV-005500</t>
  </si>
  <si>
    <t xml:space="preserve">INV-005501</t>
  </si>
  <si>
    <t xml:space="preserve">INV-005502</t>
  </si>
  <si>
    <t xml:space="preserve">INV-005503</t>
  </si>
  <si>
    <t xml:space="preserve">INV-005504</t>
  </si>
  <si>
    <t xml:space="preserve">INV-005505</t>
  </si>
  <si>
    <t xml:space="preserve">INV-005506</t>
  </si>
  <si>
    <t xml:space="preserve">INV-005507</t>
  </si>
  <si>
    <t xml:space="preserve">INV-005508</t>
  </si>
  <si>
    <t xml:space="preserve">INV-005509</t>
  </si>
  <si>
    <t xml:space="preserve">INV-005510</t>
  </si>
  <si>
    <t xml:space="preserve">INV-005511</t>
  </si>
  <si>
    <t xml:space="preserve">INV-005512</t>
  </si>
  <si>
    <t xml:space="preserve">INV-005513</t>
  </si>
  <si>
    <t xml:space="preserve">INV-005514</t>
  </si>
  <si>
    <t xml:space="preserve">INV-005515</t>
  </si>
  <si>
    <t xml:space="preserve">INV-005516</t>
  </si>
  <si>
    <t xml:space="preserve">INV-005517</t>
  </si>
  <si>
    <t xml:space="preserve">INV-005518</t>
  </si>
  <si>
    <t xml:space="preserve">INV-005519</t>
  </si>
  <si>
    <t xml:space="preserve">INV-005520</t>
  </si>
  <si>
    <t xml:space="preserve">INV-005521</t>
  </si>
  <si>
    <t xml:space="preserve">INV-005522</t>
  </si>
  <si>
    <t xml:space="preserve">INV-005523</t>
  </si>
  <si>
    <t xml:space="preserve">INV-005524</t>
  </si>
  <si>
    <t xml:space="preserve">INV-005525</t>
  </si>
  <si>
    <t xml:space="preserve">INV-005526</t>
  </si>
  <si>
    <t xml:space="preserve">INV-005527</t>
  </si>
  <si>
    <t xml:space="preserve">INV-005528</t>
  </si>
  <si>
    <t xml:space="preserve">INV-005529</t>
  </si>
  <si>
    <t xml:space="preserve">INV-005530</t>
  </si>
  <si>
    <t xml:space="preserve">INV-005531</t>
  </si>
  <si>
    <t xml:space="preserve">INV-005532</t>
  </si>
  <si>
    <t xml:space="preserve">INV-005533</t>
  </si>
  <si>
    <t xml:space="preserve">INV-005534</t>
  </si>
  <si>
    <t xml:space="preserve">INV-005535</t>
  </si>
  <si>
    <t xml:space="preserve">INV-005536</t>
  </si>
  <si>
    <t xml:space="preserve">INV-005537</t>
  </si>
  <si>
    <t xml:space="preserve">INV-005538</t>
  </si>
  <si>
    <t xml:space="preserve">INV-005539</t>
  </si>
  <si>
    <t xml:space="preserve">INV-005540</t>
  </si>
  <si>
    <t xml:space="preserve">INV-005541</t>
  </si>
  <si>
    <t xml:space="preserve">INV-005542</t>
  </si>
  <si>
    <t xml:space="preserve">INV-005543</t>
  </si>
  <si>
    <t xml:space="preserve">INV-005544</t>
  </si>
  <si>
    <t xml:space="preserve">INV-005545</t>
  </si>
  <si>
    <t xml:space="preserve">INV-005546</t>
  </si>
  <si>
    <t xml:space="preserve">INV-005547</t>
  </si>
  <si>
    <t xml:space="preserve">INV-005548</t>
  </si>
  <si>
    <t xml:space="preserve">INV-005549</t>
  </si>
  <si>
    <t xml:space="preserve">INV-005550</t>
  </si>
  <si>
    <t xml:space="preserve">INV-005551</t>
  </si>
  <si>
    <t xml:space="preserve">INV-005552</t>
  </si>
  <si>
    <t xml:space="preserve">INV-005553</t>
  </si>
  <si>
    <t xml:space="preserve">INV-005554</t>
  </si>
  <si>
    <t xml:space="preserve">INV-005555</t>
  </si>
  <si>
    <t xml:space="preserve">INV-005556</t>
  </si>
  <si>
    <t xml:space="preserve">INV-005557</t>
  </si>
  <si>
    <t xml:space="preserve">INV-005558</t>
  </si>
  <si>
    <t xml:space="preserve">INV-005559</t>
  </si>
  <si>
    <t xml:space="preserve">INV-005560</t>
  </si>
  <si>
    <t xml:space="preserve">INV-005561</t>
  </si>
  <si>
    <t xml:space="preserve">INV-005562</t>
  </si>
  <si>
    <t xml:space="preserve">INV-005563</t>
  </si>
  <si>
    <t xml:space="preserve">INV-005564</t>
  </si>
  <si>
    <t xml:space="preserve">INV-005565</t>
  </si>
  <si>
    <t xml:space="preserve">INV-005566</t>
  </si>
  <si>
    <t xml:space="preserve">INV-005567</t>
  </si>
  <si>
    <t xml:space="preserve">INV-005568</t>
  </si>
  <si>
    <t xml:space="preserve">INV-005569</t>
  </si>
  <si>
    <t xml:space="preserve">INV-005570</t>
  </si>
  <si>
    <t xml:space="preserve">INV-005571</t>
  </si>
  <si>
    <t xml:space="preserve">INV-005572</t>
  </si>
  <si>
    <t xml:space="preserve">INV-005573</t>
  </si>
  <si>
    <t xml:space="preserve">INV-005574</t>
  </si>
  <si>
    <t xml:space="preserve">INV-005575</t>
  </si>
  <si>
    <t xml:space="preserve">INV-005576</t>
  </si>
  <si>
    <t xml:space="preserve">INV-005577</t>
  </si>
  <si>
    <t xml:space="preserve">INV-005578</t>
  </si>
  <si>
    <t xml:space="preserve">INV-005579</t>
  </si>
  <si>
    <t xml:space="preserve">INV-005580</t>
  </si>
  <si>
    <t xml:space="preserve">INV-005581</t>
  </si>
  <si>
    <t xml:space="preserve">INV-005582</t>
  </si>
  <si>
    <t xml:space="preserve">INV-005583</t>
  </si>
  <si>
    <t xml:space="preserve">INV-005584</t>
  </si>
  <si>
    <t xml:space="preserve">INV-005585</t>
  </si>
  <si>
    <t xml:space="preserve">INV-005586</t>
  </si>
  <si>
    <t xml:space="preserve">INV-005587</t>
  </si>
  <si>
    <t xml:space="preserve">INV-005588</t>
  </si>
  <si>
    <t xml:space="preserve">INV-005589</t>
  </si>
  <si>
    <t xml:space="preserve">INV-005590</t>
  </si>
  <si>
    <t xml:space="preserve">INV-005591</t>
  </si>
  <si>
    <t xml:space="preserve">INV-005592</t>
  </si>
  <si>
    <t xml:space="preserve">INV-005593</t>
  </si>
  <si>
    <t xml:space="preserve">INV-005594</t>
  </si>
  <si>
    <t xml:space="preserve">INV-005595</t>
  </si>
  <si>
    <t xml:space="preserve">INV-005596</t>
  </si>
  <si>
    <t xml:space="preserve">INV-005597</t>
  </si>
  <si>
    <t xml:space="preserve">INV-005598</t>
  </si>
  <si>
    <t xml:space="preserve">INV-005599</t>
  </si>
  <si>
    <t xml:space="preserve">INV-005600</t>
  </si>
  <si>
    <t xml:space="preserve">INV-005601</t>
  </si>
  <si>
    <t xml:space="preserve">INV-005602</t>
  </si>
  <si>
    <t xml:space="preserve">INV-005603</t>
  </si>
  <si>
    <t xml:space="preserve">INV-005604</t>
  </si>
  <si>
    <t xml:space="preserve">INV-005605</t>
  </si>
  <si>
    <t xml:space="preserve">INV-005606</t>
  </si>
  <si>
    <t xml:space="preserve">INV-005607</t>
  </si>
  <si>
    <t xml:space="preserve">INV-005608</t>
  </si>
  <si>
    <t xml:space="preserve">INV-005609</t>
  </si>
  <si>
    <t xml:space="preserve">INV-005610</t>
  </si>
  <si>
    <t xml:space="preserve">INV-005611</t>
  </si>
  <si>
    <t xml:space="preserve">INV-005612</t>
  </si>
  <si>
    <t xml:space="preserve">INV-005613</t>
  </si>
  <si>
    <t xml:space="preserve">INV-005614</t>
  </si>
  <si>
    <t xml:space="preserve">INV-005615</t>
  </si>
  <si>
    <t xml:space="preserve">INV-005616</t>
  </si>
  <si>
    <t xml:space="preserve">INV-005617</t>
  </si>
  <si>
    <t xml:space="preserve">INV-005618</t>
  </si>
  <si>
    <t xml:space="preserve">INV-005619</t>
  </si>
  <si>
    <t xml:space="preserve">INV-005620</t>
  </si>
  <si>
    <t xml:space="preserve">INV-005621</t>
  </si>
  <si>
    <t xml:space="preserve">INV-005622</t>
  </si>
  <si>
    <t xml:space="preserve">INV-005623</t>
  </si>
  <si>
    <t xml:space="preserve">INV-005624</t>
  </si>
  <si>
    <t xml:space="preserve">INV-005625</t>
  </si>
  <si>
    <t xml:space="preserve">INV-005626</t>
  </si>
  <si>
    <t xml:space="preserve">INV-005627</t>
  </si>
  <si>
    <t xml:space="preserve">INV-005628</t>
  </si>
  <si>
    <t xml:space="preserve">INV-005629</t>
  </si>
  <si>
    <t xml:space="preserve">INV-005630</t>
  </si>
  <si>
    <t xml:space="preserve">INV-005631</t>
  </si>
  <si>
    <t xml:space="preserve">INV-005632</t>
  </si>
  <si>
    <t xml:space="preserve">INV-005633</t>
  </si>
  <si>
    <t xml:space="preserve">INV-005634</t>
  </si>
  <si>
    <t xml:space="preserve">INV-005635</t>
  </si>
  <si>
    <t xml:space="preserve">INV-005636</t>
  </si>
  <si>
    <t xml:space="preserve">INV-005637</t>
  </si>
  <si>
    <t xml:space="preserve">INV-005638</t>
  </si>
  <si>
    <t xml:space="preserve">INV-005639</t>
  </si>
  <si>
    <t xml:space="preserve">INV-005640</t>
  </si>
  <si>
    <t xml:space="preserve">INV-005641</t>
  </si>
  <si>
    <t xml:space="preserve">INV-005642</t>
  </si>
  <si>
    <t xml:space="preserve">INV-005643</t>
  </si>
  <si>
    <t xml:space="preserve">INV-005644</t>
  </si>
  <si>
    <t xml:space="preserve">INV-005645</t>
  </si>
  <si>
    <t xml:space="preserve">INV-005646</t>
  </si>
  <si>
    <t xml:space="preserve">INV-005647</t>
  </si>
  <si>
    <t xml:space="preserve">INV-005648</t>
  </si>
  <si>
    <t xml:space="preserve">INV-005649</t>
  </si>
  <si>
    <t xml:space="preserve">INV-005650</t>
  </si>
  <si>
    <t xml:space="preserve">INV-005651</t>
  </si>
  <si>
    <t xml:space="preserve">INV-005652</t>
  </si>
  <si>
    <t xml:space="preserve">INV-005653</t>
  </si>
  <si>
    <t xml:space="preserve">INV-005654</t>
  </si>
  <si>
    <t xml:space="preserve">INV-005655</t>
  </si>
  <si>
    <t xml:space="preserve">INV-005656</t>
  </si>
  <si>
    <t xml:space="preserve">INV-005657</t>
  </si>
  <si>
    <t xml:space="preserve">INV-005658</t>
  </si>
  <si>
    <t xml:space="preserve">INV-005659</t>
  </si>
  <si>
    <t xml:space="preserve">INV-005660</t>
  </si>
  <si>
    <t xml:space="preserve">INV-005661</t>
  </si>
  <si>
    <t xml:space="preserve">INV-005662</t>
  </si>
  <si>
    <t xml:space="preserve">INV-005663</t>
  </si>
  <si>
    <t xml:space="preserve">INV-005664</t>
  </si>
  <si>
    <t xml:space="preserve">INV-005665</t>
  </si>
  <si>
    <t xml:space="preserve">INV-005666</t>
  </si>
  <si>
    <t xml:space="preserve">INV-005667</t>
  </si>
  <si>
    <t xml:space="preserve">INV-005668</t>
  </si>
  <si>
    <t xml:space="preserve">INV-005669</t>
  </si>
  <si>
    <t xml:space="preserve">INV-005670</t>
  </si>
  <si>
    <t xml:space="preserve">INV-005671</t>
  </si>
  <si>
    <t xml:space="preserve">INV-005672</t>
  </si>
  <si>
    <t xml:space="preserve">INV-005673</t>
  </si>
  <si>
    <t xml:space="preserve">INV-005674</t>
  </si>
  <si>
    <t xml:space="preserve">INV-005675</t>
  </si>
  <si>
    <t xml:space="preserve">INV-005676</t>
  </si>
  <si>
    <t xml:space="preserve">INV-005677</t>
  </si>
  <si>
    <t xml:space="preserve">INV-005678</t>
  </si>
  <si>
    <t xml:space="preserve">INV-005679</t>
  </si>
  <si>
    <t xml:space="preserve">INV-005680</t>
  </si>
  <si>
    <t xml:space="preserve">INV-005681</t>
  </si>
  <si>
    <t xml:space="preserve">INV-005682</t>
  </si>
  <si>
    <t xml:space="preserve">INV-005683</t>
  </si>
  <si>
    <t xml:space="preserve">INV-005684</t>
  </si>
  <si>
    <t xml:space="preserve">INV-005685</t>
  </si>
  <si>
    <t xml:space="preserve">INV-005686</t>
  </si>
  <si>
    <t xml:space="preserve">INV-005687</t>
  </si>
  <si>
    <t xml:space="preserve">INV-005688</t>
  </si>
  <si>
    <t xml:space="preserve">INV-005689</t>
  </si>
  <si>
    <t xml:space="preserve">INV-005690</t>
  </si>
  <si>
    <t xml:space="preserve">INV-005691</t>
  </si>
  <si>
    <t xml:space="preserve">INV-005692</t>
  </si>
  <si>
    <t xml:space="preserve">INV-005693</t>
  </si>
  <si>
    <t xml:space="preserve">INV-005694</t>
  </si>
  <si>
    <t xml:space="preserve">INV-005695</t>
  </si>
  <si>
    <t xml:space="preserve">INV-005696</t>
  </si>
  <si>
    <t xml:space="preserve">INV-005697</t>
  </si>
  <si>
    <t xml:space="preserve">INV-005698</t>
  </si>
  <si>
    <t xml:space="preserve">INV-005699</t>
  </si>
  <si>
    <t xml:space="preserve">INV-005700</t>
  </si>
  <si>
    <t xml:space="preserve">INV-005701</t>
  </si>
  <si>
    <t xml:space="preserve">INV-005702</t>
  </si>
  <si>
    <t xml:space="preserve">INV-005703</t>
  </si>
  <si>
    <t xml:space="preserve">INV-005704</t>
  </si>
  <si>
    <t xml:space="preserve">INV-005705</t>
  </si>
  <si>
    <t xml:space="preserve">INV-005706</t>
  </si>
  <si>
    <t xml:space="preserve">INV-005707</t>
  </si>
  <si>
    <t xml:space="preserve">INV-005708</t>
  </si>
  <si>
    <t xml:space="preserve">INV-005709</t>
  </si>
  <si>
    <t xml:space="preserve">INV-005710</t>
  </si>
  <si>
    <t xml:space="preserve">INV-005711</t>
  </si>
  <si>
    <t xml:space="preserve">INV-005712</t>
  </si>
  <si>
    <t xml:space="preserve">INV-005713</t>
  </si>
  <si>
    <t xml:space="preserve">INV-005714</t>
  </si>
  <si>
    <t xml:space="preserve">INV-005715</t>
  </si>
  <si>
    <t xml:space="preserve">INV-005716</t>
  </si>
  <si>
    <t xml:space="preserve">INV-005717</t>
  </si>
  <si>
    <t xml:space="preserve">INV-005718</t>
  </si>
  <si>
    <t xml:space="preserve">INV-005719</t>
  </si>
  <si>
    <t xml:space="preserve">INV-005720</t>
  </si>
  <si>
    <t xml:space="preserve">INV-005721</t>
  </si>
  <si>
    <t xml:space="preserve">INV-005722</t>
  </si>
  <si>
    <t xml:space="preserve">INV-005723</t>
  </si>
  <si>
    <t xml:space="preserve">INV-005724</t>
  </si>
  <si>
    <t xml:space="preserve">INV-005725</t>
  </si>
  <si>
    <t xml:space="preserve">INV-005726</t>
  </si>
  <si>
    <t xml:space="preserve">INV-005727</t>
  </si>
  <si>
    <t xml:space="preserve">INV-005728</t>
  </si>
  <si>
    <t xml:space="preserve">INV-005729</t>
  </si>
  <si>
    <t xml:space="preserve">INV-005730</t>
  </si>
  <si>
    <t xml:space="preserve">INV-005731</t>
  </si>
  <si>
    <t xml:space="preserve">INV-005732</t>
  </si>
  <si>
    <t xml:space="preserve">INV-005733</t>
  </si>
  <si>
    <t xml:space="preserve">INV-005734</t>
  </si>
  <si>
    <t xml:space="preserve">INV-005735</t>
  </si>
  <si>
    <t xml:space="preserve">INV-005736</t>
  </si>
  <si>
    <t xml:space="preserve">INV-005737</t>
  </si>
  <si>
    <t xml:space="preserve">INV-005738</t>
  </si>
  <si>
    <t xml:space="preserve">INV-005739</t>
  </si>
  <si>
    <t xml:space="preserve">INV-005740</t>
  </si>
  <si>
    <t xml:space="preserve">INV-005741</t>
  </si>
  <si>
    <t xml:space="preserve">INV-005742</t>
  </si>
  <si>
    <t xml:space="preserve">INV-005743</t>
  </si>
  <si>
    <t xml:space="preserve">INV-005744</t>
  </si>
  <si>
    <t xml:space="preserve">INV-005745</t>
  </si>
  <si>
    <t xml:space="preserve">INV-005746</t>
  </si>
  <si>
    <t xml:space="preserve">INV-005747</t>
  </si>
  <si>
    <t xml:space="preserve">INV-005748</t>
  </si>
  <si>
    <t xml:space="preserve">INV-005749</t>
  </si>
  <si>
    <t xml:space="preserve">INV-005750</t>
  </si>
  <si>
    <t xml:space="preserve">INV-005751</t>
  </si>
  <si>
    <t xml:space="preserve">INV-005752</t>
  </si>
  <si>
    <t xml:space="preserve">INV-005753</t>
  </si>
  <si>
    <t xml:space="preserve">INV-005754</t>
  </si>
  <si>
    <t xml:space="preserve">INV-005755</t>
  </si>
  <si>
    <t xml:space="preserve">INV-005756</t>
  </si>
  <si>
    <t xml:space="preserve">INV-005757</t>
  </si>
  <si>
    <t xml:space="preserve">INV-005758</t>
  </si>
  <si>
    <t xml:space="preserve">INV-005759</t>
  </si>
  <si>
    <t xml:space="preserve">INV-005760</t>
  </si>
  <si>
    <t xml:space="preserve">INV-005761</t>
  </si>
  <si>
    <t xml:space="preserve">INV-005762</t>
  </si>
  <si>
    <t xml:space="preserve">INV-005763</t>
  </si>
  <si>
    <t xml:space="preserve">INV-005764</t>
  </si>
  <si>
    <t xml:space="preserve">INV-005765</t>
  </si>
  <si>
    <t xml:space="preserve">INV-005766</t>
  </si>
  <si>
    <t xml:space="preserve">INV-005767</t>
  </si>
  <si>
    <t xml:space="preserve">INV-005768</t>
  </si>
  <si>
    <t xml:space="preserve">INV-005769</t>
  </si>
  <si>
    <t xml:space="preserve">INV-005770</t>
  </si>
  <si>
    <t xml:space="preserve">INV-005771</t>
  </si>
  <si>
    <t xml:space="preserve">INV-005772</t>
  </si>
  <si>
    <t xml:space="preserve">INV-005773</t>
  </si>
  <si>
    <t xml:space="preserve">INV-005774</t>
  </si>
  <si>
    <t xml:space="preserve">INV-005775</t>
  </si>
  <si>
    <t xml:space="preserve">INV-005776</t>
  </si>
  <si>
    <t xml:space="preserve">INV-005777</t>
  </si>
  <si>
    <t xml:space="preserve">INV-005778</t>
  </si>
  <si>
    <t xml:space="preserve">INV-005779</t>
  </si>
  <si>
    <t xml:space="preserve">INV-005780</t>
  </si>
  <si>
    <t xml:space="preserve">INV-005781</t>
  </si>
  <si>
    <t xml:space="preserve">INV-005782</t>
  </si>
  <si>
    <t xml:space="preserve">INV-005783</t>
  </si>
  <si>
    <t xml:space="preserve">INV-005784</t>
  </si>
  <si>
    <t xml:space="preserve">INV-005785</t>
  </si>
  <si>
    <t xml:space="preserve">INV-005786</t>
  </si>
  <si>
    <t xml:space="preserve">INV-005787</t>
  </si>
  <si>
    <t xml:space="preserve">INV-005788</t>
  </si>
  <si>
    <t xml:space="preserve">INV-005789</t>
  </si>
  <si>
    <t xml:space="preserve">INV-005790</t>
  </si>
  <si>
    <t xml:space="preserve">INV-005791</t>
  </si>
  <si>
    <t xml:space="preserve">INV-005792</t>
  </si>
  <si>
    <t xml:space="preserve">INV-005793</t>
  </si>
  <si>
    <t xml:space="preserve">INV-005794</t>
  </si>
  <si>
    <t xml:space="preserve">INV-005795</t>
  </si>
  <si>
    <t xml:space="preserve">INV-005796</t>
  </si>
  <si>
    <t xml:space="preserve">INV-005797</t>
  </si>
  <si>
    <t xml:space="preserve">INV-005798</t>
  </si>
  <si>
    <t xml:space="preserve">INV-005799</t>
  </si>
  <si>
    <t xml:space="preserve">INV-005800</t>
  </si>
  <si>
    <t xml:space="preserve">INV-005801</t>
  </si>
  <si>
    <t xml:space="preserve">INV-005802</t>
  </si>
  <si>
    <t xml:space="preserve">INV-005803</t>
  </si>
  <si>
    <t xml:space="preserve">INV-005804</t>
  </si>
  <si>
    <t xml:space="preserve">INV-005805</t>
  </si>
  <si>
    <t xml:space="preserve">INV-005806</t>
  </si>
  <si>
    <t xml:space="preserve">INV-005807</t>
  </si>
  <si>
    <t xml:space="preserve">INV-005808</t>
  </si>
  <si>
    <t xml:space="preserve">INV-005809</t>
  </si>
  <si>
    <t xml:space="preserve">INV-005810</t>
  </si>
  <si>
    <t xml:space="preserve">INV-005811</t>
  </si>
  <si>
    <t xml:space="preserve">INV-005812</t>
  </si>
  <si>
    <t xml:space="preserve">INV-005813</t>
  </si>
  <si>
    <t xml:space="preserve">INV-005814</t>
  </si>
  <si>
    <t xml:space="preserve">INV-005815</t>
  </si>
  <si>
    <t xml:space="preserve">INV-005816</t>
  </si>
  <si>
    <t xml:space="preserve">INV-005817</t>
  </si>
  <si>
    <t xml:space="preserve">INV-005818</t>
  </si>
  <si>
    <t xml:space="preserve">INV-005819</t>
  </si>
  <si>
    <t xml:space="preserve">INV-005820</t>
  </si>
  <si>
    <t xml:space="preserve">INV-005821</t>
  </si>
  <si>
    <t xml:space="preserve">INV-005822</t>
  </si>
  <si>
    <t xml:space="preserve">INV-005823</t>
  </si>
  <si>
    <t xml:space="preserve">INV-005824</t>
  </si>
  <si>
    <t xml:space="preserve">INV-005825</t>
  </si>
  <si>
    <t xml:space="preserve">INV-005826</t>
  </si>
  <si>
    <t xml:space="preserve">INV-005827</t>
  </si>
  <si>
    <t xml:space="preserve">INV-005828</t>
  </si>
  <si>
    <t xml:space="preserve">INV-005829</t>
  </si>
  <si>
    <t xml:space="preserve">INV-005830</t>
  </si>
  <si>
    <t xml:space="preserve">INV-005831</t>
  </si>
  <si>
    <t xml:space="preserve">INV-005832</t>
  </si>
  <si>
    <t xml:space="preserve">INV-005833</t>
  </si>
  <si>
    <t xml:space="preserve">INV-005834</t>
  </si>
  <si>
    <t xml:space="preserve">INV-005835</t>
  </si>
  <si>
    <t xml:space="preserve">INV-005836</t>
  </si>
  <si>
    <t xml:space="preserve">INV-005837</t>
  </si>
  <si>
    <t xml:space="preserve">INV-005838</t>
  </si>
  <si>
    <t xml:space="preserve">INV-005839</t>
  </si>
  <si>
    <t xml:space="preserve">INV-005840</t>
  </si>
  <si>
    <t xml:space="preserve">INV-005841</t>
  </si>
  <si>
    <t xml:space="preserve">INV-005842</t>
  </si>
  <si>
    <t xml:space="preserve">INV-005843</t>
  </si>
  <si>
    <t xml:space="preserve">INV-005844</t>
  </si>
  <si>
    <t xml:space="preserve">INV-005845</t>
  </si>
  <si>
    <t xml:space="preserve">INV-005846</t>
  </si>
  <si>
    <t xml:space="preserve">INV-005847</t>
  </si>
  <si>
    <t xml:space="preserve">INV-005848</t>
  </si>
  <si>
    <t xml:space="preserve">INV-005849</t>
  </si>
  <si>
    <t xml:space="preserve">INV-005850</t>
  </si>
  <si>
    <t xml:space="preserve">INV-005851</t>
  </si>
  <si>
    <t xml:space="preserve">INV-005852</t>
  </si>
  <si>
    <t xml:space="preserve">INV-005853</t>
  </si>
  <si>
    <t xml:space="preserve">INV-005854</t>
  </si>
  <si>
    <t xml:space="preserve">INV-005855</t>
  </si>
  <si>
    <t xml:space="preserve">INV-005856</t>
  </si>
  <si>
    <t xml:space="preserve">INV-005857</t>
  </si>
  <si>
    <t xml:space="preserve">INV-005858</t>
  </si>
  <si>
    <t xml:space="preserve">INV-005859</t>
  </si>
  <si>
    <t xml:space="preserve">INV-005860</t>
  </si>
  <si>
    <t xml:space="preserve">INV-005861</t>
  </si>
  <si>
    <t xml:space="preserve">INV-005862</t>
  </si>
  <si>
    <t xml:space="preserve">INV-005863</t>
  </si>
  <si>
    <t xml:space="preserve">INV-005864</t>
  </si>
  <si>
    <t xml:space="preserve">INV-005865</t>
  </si>
  <si>
    <t xml:space="preserve">INV-005866</t>
  </si>
  <si>
    <t xml:space="preserve">INV-005867</t>
  </si>
  <si>
    <t xml:space="preserve">INV-005868</t>
  </si>
  <si>
    <t xml:space="preserve">INV-005869</t>
  </si>
  <si>
    <t xml:space="preserve">INV-005870</t>
  </si>
  <si>
    <t xml:space="preserve">INV-005871</t>
  </si>
  <si>
    <t xml:space="preserve">INV-005872</t>
  </si>
  <si>
    <t xml:space="preserve">INV-005873</t>
  </si>
  <si>
    <t xml:space="preserve">INV-005874</t>
  </si>
  <si>
    <t xml:space="preserve">INV-005875</t>
  </si>
  <si>
    <t xml:space="preserve">INV-005876</t>
  </si>
  <si>
    <t xml:space="preserve">INV-005877</t>
  </si>
  <si>
    <t xml:space="preserve">INV-005878</t>
  </si>
  <si>
    <t xml:space="preserve">INV-005879</t>
  </si>
  <si>
    <t xml:space="preserve">INV-005880</t>
  </si>
  <si>
    <t xml:space="preserve">INV-005881</t>
  </si>
  <si>
    <t xml:space="preserve">INV-005882</t>
  </si>
  <si>
    <t xml:space="preserve">INV-005883</t>
  </si>
  <si>
    <t xml:space="preserve">INV-005884</t>
  </si>
  <si>
    <t xml:space="preserve">INV-005885</t>
  </si>
  <si>
    <t xml:space="preserve">INV-005886</t>
  </si>
  <si>
    <t xml:space="preserve">INV-005887</t>
  </si>
  <si>
    <t xml:space="preserve">INV-005888</t>
  </si>
  <si>
    <t xml:space="preserve">INV-005889</t>
  </si>
  <si>
    <t xml:space="preserve">INV-005890</t>
  </si>
  <si>
    <t xml:space="preserve">INV-005891</t>
  </si>
  <si>
    <t xml:space="preserve">INV-005892</t>
  </si>
  <si>
    <t xml:space="preserve">INV-005893</t>
  </si>
  <si>
    <t xml:space="preserve">INV-005894</t>
  </si>
  <si>
    <t xml:space="preserve">INV-005895</t>
  </si>
  <si>
    <t xml:space="preserve">INV-005896</t>
  </si>
  <si>
    <t xml:space="preserve">INV-005897</t>
  </si>
  <si>
    <t xml:space="preserve">INV-005898</t>
  </si>
  <si>
    <t xml:space="preserve">INV-005899</t>
  </si>
  <si>
    <t xml:space="preserve">INV-005900</t>
  </si>
  <si>
    <t xml:space="preserve">INV-005901</t>
  </si>
  <si>
    <t xml:space="preserve">INV-005902</t>
  </si>
  <si>
    <t xml:space="preserve">INV-005903</t>
  </si>
  <si>
    <t xml:space="preserve">INV-005904</t>
  </si>
  <si>
    <t xml:space="preserve">INV-005905</t>
  </si>
  <si>
    <t xml:space="preserve">INV-005906</t>
  </si>
  <si>
    <t xml:space="preserve">INV-005907</t>
  </si>
  <si>
    <t xml:space="preserve">INV-005908</t>
  </si>
  <si>
    <t xml:space="preserve">INV-005909</t>
  </si>
  <si>
    <t xml:space="preserve">INV-005910</t>
  </si>
  <si>
    <t xml:space="preserve">INV-005911</t>
  </si>
  <si>
    <t xml:space="preserve">INV-005912</t>
  </si>
  <si>
    <t xml:space="preserve">INV-005913</t>
  </si>
  <si>
    <t xml:space="preserve">INV-005914</t>
  </si>
  <si>
    <t xml:space="preserve">INV-005915</t>
  </si>
  <si>
    <t xml:space="preserve">INV-005916</t>
  </si>
  <si>
    <t xml:space="preserve">INV-005917</t>
  </si>
  <si>
    <t xml:space="preserve">INV-005918</t>
  </si>
  <si>
    <t xml:space="preserve">INV-005919</t>
  </si>
  <si>
    <t xml:space="preserve">INV-005920</t>
  </si>
  <si>
    <t xml:space="preserve">INV-005921</t>
  </si>
  <si>
    <t xml:space="preserve">INV-005922</t>
  </si>
  <si>
    <t xml:space="preserve">INV-005923</t>
  </si>
  <si>
    <t xml:space="preserve">INV-005924</t>
  </si>
  <si>
    <t xml:space="preserve">INV-005925</t>
  </si>
  <si>
    <t xml:space="preserve">INV-005926</t>
  </si>
  <si>
    <t xml:space="preserve">INV-005927</t>
  </si>
  <si>
    <t xml:space="preserve">INV-005928</t>
  </si>
  <si>
    <t xml:space="preserve">INV-005929</t>
  </si>
  <si>
    <t xml:space="preserve">INV-005930</t>
  </si>
  <si>
    <t xml:space="preserve">INV-005931</t>
  </si>
  <si>
    <t xml:space="preserve">INV-005932</t>
  </si>
  <si>
    <t xml:space="preserve">INV-005933</t>
  </si>
  <si>
    <t xml:space="preserve">INV-005934</t>
  </si>
  <si>
    <t xml:space="preserve">INV-005935</t>
  </si>
  <si>
    <t xml:space="preserve">INV-005936</t>
  </si>
  <si>
    <t xml:space="preserve">INV-005937</t>
  </si>
  <si>
    <t xml:space="preserve">INV-005938</t>
  </si>
  <si>
    <t xml:space="preserve">INV-005939</t>
  </si>
  <si>
    <t xml:space="preserve">INV-005940</t>
  </si>
  <si>
    <t xml:space="preserve">INV-005941</t>
  </si>
  <si>
    <t xml:space="preserve">INV-005942</t>
  </si>
  <si>
    <t xml:space="preserve">INV-005943</t>
  </si>
  <si>
    <t xml:space="preserve">INV-005944</t>
  </si>
  <si>
    <t xml:space="preserve">INV-005945</t>
  </si>
  <si>
    <t xml:space="preserve">INV-005946</t>
  </si>
  <si>
    <t xml:space="preserve">INV-005947</t>
  </si>
  <si>
    <t xml:space="preserve">INV-005948</t>
  </si>
  <si>
    <t xml:space="preserve">INV-005949</t>
  </si>
  <si>
    <t xml:space="preserve">INV-005950</t>
  </si>
  <si>
    <t xml:space="preserve">INV-005951</t>
  </si>
  <si>
    <t xml:space="preserve">INV-005952</t>
  </si>
  <si>
    <t xml:space="preserve">INV-005953</t>
  </si>
  <si>
    <t xml:space="preserve">INV-005954</t>
  </si>
  <si>
    <t xml:space="preserve">INV-005955</t>
  </si>
  <si>
    <t xml:space="preserve">INV-005956</t>
  </si>
  <si>
    <t xml:space="preserve">INV-005957</t>
  </si>
  <si>
    <t xml:space="preserve">INV-005958</t>
  </si>
  <si>
    <t xml:space="preserve">INV-005959</t>
  </si>
  <si>
    <t xml:space="preserve">INV-005960</t>
  </si>
  <si>
    <t xml:space="preserve">INV-005961</t>
  </si>
  <si>
    <t xml:space="preserve">INV-005962</t>
  </si>
  <si>
    <t xml:space="preserve">INV-005963</t>
  </si>
  <si>
    <t xml:space="preserve">INV-005964</t>
  </si>
  <si>
    <t xml:space="preserve">INV-005965</t>
  </si>
  <si>
    <t xml:space="preserve">INV-005966</t>
  </si>
  <si>
    <t xml:space="preserve">INV-005967</t>
  </si>
  <si>
    <t xml:space="preserve">INV-005968</t>
  </si>
  <si>
    <t xml:space="preserve">INV-005969</t>
  </si>
  <si>
    <t xml:space="preserve">INV-005970</t>
  </si>
  <si>
    <t xml:space="preserve">INV-005971</t>
  </si>
  <si>
    <t xml:space="preserve">INV-005972</t>
  </si>
  <si>
    <t xml:space="preserve">INV-005973</t>
  </si>
  <si>
    <t xml:space="preserve">INV-005974</t>
  </si>
  <si>
    <t xml:space="preserve">INV-005975</t>
  </si>
  <si>
    <t xml:space="preserve">INV-005976</t>
  </si>
  <si>
    <t xml:space="preserve">INV-005977</t>
  </si>
  <si>
    <t xml:space="preserve">INV-005978</t>
  </si>
  <si>
    <t xml:space="preserve">INV-005979</t>
  </si>
  <si>
    <t xml:space="preserve">INV-005980</t>
  </si>
  <si>
    <t xml:space="preserve">INV-005981</t>
  </si>
  <si>
    <t xml:space="preserve">INV-005982</t>
  </si>
  <si>
    <t xml:space="preserve">INV-005983</t>
  </si>
  <si>
    <t xml:space="preserve">INV-005984</t>
  </si>
  <si>
    <t xml:space="preserve">INV-005985</t>
  </si>
  <si>
    <t xml:space="preserve">INV-005986</t>
  </si>
  <si>
    <t xml:space="preserve">INV-005987</t>
  </si>
  <si>
    <t xml:space="preserve">INV-005988</t>
  </si>
  <si>
    <t xml:space="preserve">INV-005989</t>
  </si>
  <si>
    <t xml:space="preserve">INV-005990</t>
  </si>
  <si>
    <t xml:space="preserve">INV-005991</t>
  </si>
  <si>
    <t xml:space="preserve">INV-005992</t>
  </si>
  <si>
    <t xml:space="preserve">INV-005993</t>
  </si>
  <si>
    <t xml:space="preserve">INV-005994</t>
  </si>
  <si>
    <t xml:space="preserve">INV-005995</t>
  </si>
  <si>
    <t xml:space="preserve">INV-005996</t>
  </si>
  <si>
    <t xml:space="preserve">INV-005997</t>
  </si>
  <si>
    <t xml:space="preserve">INV-005998</t>
  </si>
  <si>
    <t xml:space="preserve">INV-005999</t>
  </si>
  <si>
    <t xml:space="preserve">INV-006000</t>
  </si>
  <si>
    <t xml:space="preserve">INV-006001</t>
  </si>
  <si>
    <t xml:space="preserve">INV-006002</t>
  </si>
  <si>
    <t xml:space="preserve">INV-006003</t>
  </si>
  <si>
    <t xml:space="preserve">INV-006004</t>
  </si>
  <si>
    <t xml:space="preserve">INV-006005</t>
  </si>
  <si>
    <t xml:space="preserve">INV-006006</t>
  </si>
  <si>
    <t xml:space="preserve">INV-006007</t>
  </si>
  <si>
    <t xml:space="preserve">INV-006008</t>
  </si>
  <si>
    <t xml:space="preserve">INV-006009</t>
  </si>
  <si>
    <t xml:space="preserve">INV-006010</t>
  </si>
  <si>
    <t xml:space="preserve">INV-006011</t>
  </si>
  <si>
    <t xml:space="preserve">INV-006012</t>
  </si>
  <si>
    <t xml:space="preserve">INV-006013</t>
  </si>
  <si>
    <t xml:space="preserve">INV-006014</t>
  </si>
  <si>
    <t xml:space="preserve">INV-006015</t>
  </si>
  <si>
    <t xml:space="preserve">INV-006016</t>
  </si>
  <si>
    <t xml:space="preserve">INV-006017</t>
  </si>
  <si>
    <t xml:space="preserve">INV-006018</t>
  </si>
  <si>
    <t xml:space="preserve">INV-006019</t>
  </si>
  <si>
    <t xml:space="preserve">INV-006020</t>
  </si>
  <si>
    <t xml:space="preserve">INV-006021</t>
  </si>
  <si>
    <t xml:space="preserve">INV-006022</t>
  </si>
  <si>
    <t xml:space="preserve">INV-006023</t>
  </si>
  <si>
    <t xml:space="preserve">INV-006024</t>
  </si>
  <si>
    <t xml:space="preserve">INV-006025</t>
  </si>
  <si>
    <t xml:space="preserve">INV-006026</t>
  </si>
  <si>
    <t xml:space="preserve">INV-006027</t>
  </si>
  <si>
    <t xml:space="preserve">INV-006028</t>
  </si>
  <si>
    <t xml:space="preserve">INV-006029</t>
  </si>
  <si>
    <t xml:space="preserve">INV-006030</t>
  </si>
  <si>
    <t xml:space="preserve">INV-006031</t>
  </si>
  <si>
    <t xml:space="preserve">INV-006032</t>
  </si>
  <si>
    <t xml:space="preserve">INV-006033</t>
  </si>
  <si>
    <t xml:space="preserve">INV-006034</t>
  </si>
  <si>
    <t xml:space="preserve">INV-006035</t>
  </si>
  <si>
    <t xml:space="preserve">INV-006036</t>
  </si>
  <si>
    <t xml:space="preserve">INV-006037</t>
  </si>
  <si>
    <t xml:space="preserve">INV-006038</t>
  </si>
  <si>
    <t xml:space="preserve">INV-006039</t>
  </si>
  <si>
    <t xml:space="preserve">INV-006040</t>
  </si>
  <si>
    <t xml:space="preserve">INV-006041</t>
  </si>
  <si>
    <t xml:space="preserve">INV-006042</t>
  </si>
  <si>
    <t xml:space="preserve">INV-006043</t>
  </si>
  <si>
    <t xml:space="preserve">INV-006044</t>
  </si>
  <si>
    <t xml:space="preserve">INV-006045</t>
  </si>
  <si>
    <t xml:space="preserve">INV-006046</t>
  </si>
  <si>
    <t xml:space="preserve">INV-006047</t>
  </si>
  <si>
    <t xml:space="preserve">INV-006048</t>
  </si>
  <si>
    <t xml:space="preserve">INV-006049</t>
  </si>
  <si>
    <t xml:space="preserve">INV-006050</t>
  </si>
  <si>
    <t xml:space="preserve">INV-006051</t>
  </si>
  <si>
    <t xml:space="preserve">INV-006052</t>
  </si>
  <si>
    <t xml:space="preserve">INV-006053</t>
  </si>
  <si>
    <t xml:space="preserve">INV-006054</t>
  </si>
  <si>
    <t xml:space="preserve">INV-006055</t>
  </si>
  <si>
    <t xml:space="preserve">INV-006056</t>
  </si>
  <si>
    <t xml:space="preserve">INV-006057</t>
  </si>
  <si>
    <t xml:space="preserve">INV-006058</t>
  </si>
  <si>
    <t xml:space="preserve">INV-006059</t>
  </si>
  <si>
    <t xml:space="preserve">INV-006060</t>
  </si>
  <si>
    <t xml:space="preserve">INV-006061</t>
  </si>
  <si>
    <t xml:space="preserve">INV-006062</t>
  </si>
  <si>
    <t xml:space="preserve">INV-006063</t>
  </si>
  <si>
    <t xml:space="preserve">INV-006064</t>
  </si>
  <si>
    <t xml:space="preserve">INV-006065</t>
  </si>
  <si>
    <t xml:space="preserve">INV-006066</t>
  </si>
  <si>
    <t xml:space="preserve">INV-006067</t>
  </si>
  <si>
    <t xml:space="preserve">INV-006068</t>
  </si>
  <si>
    <t xml:space="preserve">INV-006069</t>
  </si>
  <si>
    <t xml:space="preserve">INV-006070</t>
  </si>
  <si>
    <t xml:space="preserve">INV-006071</t>
  </si>
  <si>
    <t xml:space="preserve">INV-006072</t>
  </si>
  <si>
    <t xml:space="preserve">INV-006073</t>
  </si>
  <si>
    <t xml:space="preserve">INV-006074</t>
  </si>
  <si>
    <t xml:space="preserve">INV-006075</t>
  </si>
  <si>
    <t xml:space="preserve">INV-006076</t>
  </si>
  <si>
    <t xml:space="preserve">INV-006077</t>
  </si>
  <si>
    <t xml:space="preserve">INV-006078</t>
  </si>
  <si>
    <t xml:space="preserve">INV-006079</t>
  </si>
  <si>
    <t xml:space="preserve">INV-006080</t>
  </si>
  <si>
    <t xml:space="preserve">INV-006081</t>
  </si>
  <si>
    <t xml:space="preserve">INV-006082</t>
  </si>
  <si>
    <t xml:space="preserve">INV-006083</t>
  </si>
  <si>
    <t xml:space="preserve">INV-006084</t>
  </si>
  <si>
    <t xml:space="preserve">INV-006085</t>
  </si>
  <si>
    <t xml:space="preserve">INV-006086</t>
  </si>
  <si>
    <t xml:space="preserve">INV-006087</t>
  </si>
  <si>
    <t xml:space="preserve">INV-006088</t>
  </si>
  <si>
    <t xml:space="preserve">INV-006089</t>
  </si>
  <si>
    <t xml:space="preserve">INV-006090</t>
  </si>
  <si>
    <t xml:space="preserve">INV-006091</t>
  </si>
  <si>
    <t xml:space="preserve">INV-006092</t>
  </si>
  <si>
    <t xml:space="preserve">INV-006093</t>
  </si>
  <si>
    <t xml:space="preserve">INV-006094</t>
  </si>
  <si>
    <t xml:space="preserve">INV-006095</t>
  </si>
  <si>
    <t xml:space="preserve">INV-006096</t>
  </si>
  <si>
    <t xml:space="preserve">INV-006097</t>
  </si>
  <si>
    <t xml:space="preserve">INV-006098</t>
  </si>
  <si>
    <t xml:space="preserve">INV-006099</t>
  </si>
  <si>
    <t xml:space="preserve">INV-006100</t>
  </si>
  <si>
    <t xml:space="preserve">INV-006101</t>
  </si>
  <si>
    <t xml:space="preserve">INV-006102</t>
  </si>
  <si>
    <t xml:space="preserve">INV-006103</t>
  </si>
  <si>
    <t xml:space="preserve">INV-006104</t>
  </si>
  <si>
    <t xml:space="preserve">INV-006105</t>
  </si>
  <si>
    <t xml:space="preserve">INV-006106</t>
  </si>
  <si>
    <t xml:space="preserve">INV-006107</t>
  </si>
  <si>
    <t xml:space="preserve">INV-006108</t>
  </si>
  <si>
    <t xml:space="preserve">INV-006109</t>
  </si>
  <si>
    <t xml:space="preserve">INV-006110</t>
  </si>
  <si>
    <t xml:space="preserve">INV-006111</t>
  </si>
  <si>
    <t xml:space="preserve">INV-006112</t>
  </si>
  <si>
    <t xml:space="preserve">INV-006113</t>
  </si>
  <si>
    <t xml:space="preserve">INV-006114</t>
  </si>
  <si>
    <t xml:space="preserve">INV-006115</t>
  </si>
  <si>
    <t xml:space="preserve">INV-006116</t>
  </si>
  <si>
    <t xml:space="preserve">INV-006117</t>
  </si>
  <si>
    <t xml:space="preserve">INV-006118</t>
  </si>
  <si>
    <t xml:space="preserve">INV-006119</t>
  </si>
  <si>
    <t xml:space="preserve">INV-006120</t>
  </si>
  <si>
    <t xml:space="preserve">INV-006121</t>
  </si>
  <si>
    <t xml:space="preserve">INV-006122</t>
  </si>
  <si>
    <t xml:space="preserve">INV-006123</t>
  </si>
  <si>
    <t xml:space="preserve">INV-006124</t>
  </si>
  <si>
    <t xml:space="preserve">INV-006125</t>
  </si>
  <si>
    <t xml:space="preserve">INV-006126</t>
  </si>
  <si>
    <t xml:space="preserve">INV-006127</t>
  </si>
  <si>
    <t xml:space="preserve">INV-006128</t>
  </si>
  <si>
    <t xml:space="preserve">INV-006129</t>
  </si>
  <si>
    <t xml:space="preserve">INV-006130</t>
  </si>
  <si>
    <t xml:space="preserve">INV-006131</t>
  </si>
  <si>
    <t xml:space="preserve">INV-006132</t>
  </si>
  <si>
    <t xml:space="preserve">INV-006133</t>
  </si>
  <si>
    <t xml:space="preserve">INV-006134</t>
  </si>
  <si>
    <t xml:space="preserve">INV-006135</t>
  </si>
  <si>
    <t xml:space="preserve">INV-006136</t>
  </si>
  <si>
    <t xml:space="preserve">INV-006137</t>
  </si>
  <si>
    <t xml:space="preserve">INV-006138</t>
  </si>
  <si>
    <t xml:space="preserve">INV-006139</t>
  </si>
  <si>
    <t xml:space="preserve">INV-006140</t>
  </si>
  <si>
    <t xml:space="preserve">INV-006141</t>
  </si>
  <si>
    <t xml:space="preserve">INV-006142</t>
  </si>
  <si>
    <t xml:space="preserve">INV-006143</t>
  </si>
  <si>
    <t xml:space="preserve">INV-006144</t>
  </si>
  <si>
    <t xml:space="preserve">INV-006145</t>
  </si>
  <si>
    <t xml:space="preserve">INV-006146</t>
  </si>
  <si>
    <t xml:space="preserve">INV-006147</t>
  </si>
  <si>
    <t xml:space="preserve">INV-006148</t>
  </si>
  <si>
    <t xml:space="preserve">INV-006149</t>
  </si>
  <si>
    <t xml:space="preserve">INV-006150</t>
  </si>
  <si>
    <t xml:space="preserve">INV-006151</t>
  </si>
  <si>
    <t xml:space="preserve">INV-006152</t>
  </si>
  <si>
    <t xml:space="preserve">INV-006153</t>
  </si>
  <si>
    <t xml:space="preserve">INV-006154</t>
  </si>
  <si>
    <t xml:space="preserve">INV-006155</t>
  </si>
  <si>
    <t xml:space="preserve">INV-006156</t>
  </si>
  <si>
    <t xml:space="preserve">INV-006157</t>
  </si>
  <si>
    <t xml:space="preserve">INV-006158</t>
  </si>
  <si>
    <t xml:space="preserve">INV-006159</t>
  </si>
  <si>
    <t xml:space="preserve">INV-006160</t>
  </si>
  <si>
    <t xml:space="preserve">INV-006161</t>
  </si>
  <si>
    <t xml:space="preserve">INV-006162</t>
  </si>
  <si>
    <t xml:space="preserve">INV-006163</t>
  </si>
  <si>
    <t xml:space="preserve">INV-006164</t>
  </si>
  <si>
    <t xml:space="preserve">INV-006165</t>
  </si>
  <si>
    <t xml:space="preserve">INV-006166</t>
  </si>
  <si>
    <t xml:space="preserve">INV-006167</t>
  </si>
  <si>
    <t xml:space="preserve">INV-006168</t>
  </si>
  <si>
    <t xml:space="preserve">INV-006169</t>
  </si>
  <si>
    <t xml:space="preserve">INV-006170</t>
  </si>
  <si>
    <t xml:space="preserve">INV-006171</t>
  </si>
  <si>
    <t xml:space="preserve">INV-006172</t>
  </si>
  <si>
    <t xml:space="preserve">INV-006173</t>
  </si>
  <si>
    <t xml:space="preserve">INV-006174</t>
  </si>
  <si>
    <t xml:space="preserve">INV-006175</t>
  </si>
  <si>
    <t xml:space="preserve">INV-006176</t>
  </si>
  <si>
    <t xml:space="preserve">INV-006177</t>
  </si>
  <si>
    <t xml:space="preserve">INV-006178</t>
  </si>
  <si>
    <t xml:space="preserve">INV-006179</t>
  </si>
  <si>
    <t xml:space="preserve">INV-006180</t>
  </si>
  <si>
    <t xml:space="preserve">INV-006181</t>
  </si>
  <si>
    <t xml:space="preserve">INV-006182</t>
  </si>
  <si>
    <t xml:space="preserve">INV-006183</t>
  </si>
  <si>
    <t xml:space="preserve">INV-006184</t>
  </si>
  <si>
    <t xml:space="preserve">INV-006185</t>
  </si>
  <si>
    <t xml:space="preserve">INV-006186</t>
  </si>
  <si>
    <t xml:space="preserve">INV-006187</t>
  </si>
  <si>
    <t xml:space="preserve">INV-006188</t>
  </si>
  <si>
    <t xml:space="preserve">INV-006189</t>
  </si>
  <si>
    <t xml:space="preserve">INV-006190</t>
  </si>
  <si>
    <t xml:space="preserve">INV-006191</t>
  </si>
  <si>
    <t xml:space="preserve">INV-006192</t>
  </si>
  <si>
    <t xml:space="preserve">INV-006193</t>
  </si>
  <si>
    <t xml:space="preserve">INV-006194</t>
  </si>
  <si>
    <t xml:space="preserve">INV-006195</t>
  </si>
  <si>
    <t xml:space="preserve">INV-006196</t>
  </si>
  <si>
    <t xml:space="preserve">INV-006197</t>
  </si>
  <si>
    <t xml:space="preserve">INV-006198</t>
  </si>
  <si>
    <t xml:space="preserve">INV-006199</t>
  </si>
  <si>
    <t xml:space="preserve">INV-006200</t>
  </si>
  <si>
    <t xml:space="preserve">INV-006201</t>
  </si>
  <si>
    <t xml:space="preserve">INV-006202</t>
  </si>
  <si>
    <t xml:space="preserve">INV-006203</t>
  </si>
  <si>
    <t xml:space="preserve">INV-006204</t>
  </si>
  <si>
    <t xml:space="preserve">INV-006205</t>
  </si>
  <si>
    <t xml:space="preserve">INV-006206</t>
  </si>
  <si>
    <t xml:space="preserve">INV-006207</t>
  </si>
  <si>
    <t xml:space="preserve">INV-006208</t>
  </si>
  <si>
    <t xml:space="preserve">INV-006209</t>
  </si>
  <si>
    <t xml:space="preserve">INV-006210</t>
  </si>
  <si>
    <t xml:space="preserve">INV-006211</t>
  </si>
  <si>
    <t xml:space="preserve">INV-006212</t>
  </si>
  <si>
    <t xml:space="preserve">INV-006213</t>
  </si>
  <si>
    <t xml:space="preserve">INV-006214</t>
  </si>
  <si>
    <t xml:space="preserve">INV-006215</t>
  </si>
  <si>
    <t xml:space="preserve">INV-006216</t>
  </si>
  <si>
    <t xml:space="preserve">INV-006217</t>
  </si>
  <si>
    <t xml:space="preserve">INV-006218</t>
  </si>
  <si>
    <t xml:space="preserve">INV-006219</t>
  </si>
  <si>
    <t xml:space="preserve">INV-006220</t>
  </si>
  <si>
    <t xml:space="preserve">INV-006221</t>
  </si>
  <si>
    <t xml:space="preserve">INV-006222</t>
  </si>
  <si>
    <t xml:space="preserve">INV-006223</t>
  </si>
  <si>
    <t xml:space="preserve">INV-006224</t>
  </si>
  <si>
    <t xml:space="preserve">INV-006225</t>
  </si>
  <si>
    <t xml:space="preserve">INV-006226</t>
  </si>
  <si>
    <t xml:space="preserve">INV-006227</t>
  </si>
  <si>
    <t xml:space="preserve">INV-006228</t>
  </si>
  <si>
    <t xml:space="preserve">INV-006229</t>
  </si>
  <si>
    <t xml:space="preserve">INV-006230</t>
  </si>
  <si>
    <t xml:space="preserve">INV-006231</t>
  </si>
  <si>
    <t xml:space="preserve">INV-006232</t>
  </si>
  <si>
    <t xml:space="preserve">INV-006233</t>
  </si>
  <si>
    <t xml:space="preserve">INV-006234</t>
  </si>
  <si>
    <t xml:space="preserve">INV-006235</t>
  </si>
  <si>
    <t xml:space="preserve">INV-006236</t>
  </si>
  <si>
    <t xml:space="preserve">INV-006237</t>
  </si>
  <si>
    <t xml:space="preserve">INV-006238</t>
  </si>
  <si>
    <t xml:space="preserve">INV-006239</t>
  </si>
  <si>
    <t xml:space="preserve">INV-006240</t>
  </si>
  <si>
    <t xml:space="preserve">INV-006241</t>
  </si>
  <si>
    <t xml:space="preserve">INV-006242</t>
  </si>
  <si>
    <t xml:space="preserve">INV-006243</t>
  </si>
  <si>
    <t xml:space="preserve">INV-006244</t>
  </si>
  <si>
    <t xml:space="preserve">INV-006245</t>
  </si>
  <si>
    <t xml:space="preserve">INV-006246</t>
  </si>
  <si>
    <t xml:space="preserve">INV-006247</t>
  </si>
  <si>
    <t xml:space="preserve">INV-006248</t>
  </si>
  <si>
    <t xml:space="preserve">INV-006249</t>
  </si>
  <si>
    <t xml:space="preserve">INV-006250</t>
  </si>
  <si>
    <t xml:space="preserve">INV-006251</t>
  </si>
  <si>
    <t xml:space="preserve">INV-006252</t>
  </si>
  <si>
    <t xml:space="preserve">INV-006253</t>
  </si>
  <si>
    <t xml:space="preserve">INV-006254</t>
  </si>
  <si>
    <t xml:space="preserve">INV-006255</t>
  </si>
  <si>
    <t xml:space="preserve">INV-006256</t>
  </si>
  <si>
    <t xml:space="preserve">INV-006257</t>
  </si>
  <si>
    <t xml:space="preserve">INV-006258</t>
  </si>
  <si>
    <t xml:space="preserve">INV-006259</t>
  </si>
  <si>
    <t xml:space="preserve">INV-006260</t>
  </si>
  <si>
    <t xml:space="preserve">INV-006261</t>
  </si>
  <si>
    <t xml:space="preserve">INV-006262</t>
  </si>
  <si>
    <t xml:space="preserve">INV-006263</t>
  </si>
  <si>
    <t xml:space="preserve">INV-006264</t>
  </si>
  <si>
    <t xml:space="preserve">INV-006265</t>
  </si>
  <si>
    <t xml:space="preserve">INV-006266</t>
  </si>
  <si>
    <t xml:space="preserve">INV-006267</t>
  </si>
  <si>
    <t xml:space="preserve">INV-006268</t>
  </si>
  <si>
    <t xml:space="preserve">INV-006269</t>
  </si>
  <si>
    <t xml:space="preserve">INV-006270</t>
  </si>
  <si>
    <t xml:space="preserve">INV-006271</t>
  </si>
  <si>
    <t xml:space="preserve">INV-006272</t>
  </si>
  <si>
    <t xml:space="preserve">INV-006273</t>
  </si>
  <si>
    <t xml:space="preserve">INV-006274</t>
  </si>
  <si>
    <t xml:space="preserve">INV-006275</t>
  </si>
  <si>
    <t xml:space="preserve">INV-006276</t>
  </si>
  <si>
    <t xml:space="preserve">INV-006277</t>
  </si>
  <si>
    <t xml:space="preserve">INV-006278</t>
  </si>
  <si>
    <t xml:space="preserve">INV-006279</t>
  </si>
  <si>
    <t xml:space="preserve">INV-006280</t>
  </si>
  <si>
    <t xml:space="preserve">INV-006281</t>
  </si>
  <si>
    <t xml:space="preserve">INV-006282</t>
  </si>
  <si>
    <t xml:space="preserve">INV-006283</t>
  </si>
  <si>
    <t xml:space="preserve">INV-006284</t>
  </si>
  <si>
    <t xml:space="preserve">INV-006285</t>
  </si>
  <si>
    <t xml:space="preserve">INV-006286</t>
  </si>
  <si>
    <t xml:space="preserve">INV-006287</t>
  </si>
  <si>
    <t xml:space="preserve">INV-006288</t>
  </si>
  <si>
    <t xml:space="preserve">INV-006289</t>
  </si>
  <si>
    <t xml:space="preserve">INV-006290</t>
  </si>
  <si>
    <t xml:space="preserve">INV-006291</t>
  </si>
  <si>
    <t xml:space="preserve">INV-006292</t>
  </si>
  <si>
    <t xml:space="preserve">INV-006293</t>
  </si>
  <si>
    <t xml:space="preserve">INV-006294</t>
  </si>
  <si>
    <t xml:space="preserve">INV-006295</t>
  </si>
  <si>
    <t xml:space="preserve">INV-006296</t>
  </si>
  <si>
    <t xml:space="preserve">INV-006297</t>
  </si>
  <si>
    <t xml:space="preserve">INV-006298</t>
  </si>
  <si>
    <t xml:space="preserve">INV-006299</t>
  </si>
  <si>
    <t xml:space="preserve">INV-006300</t>
  </si>
  <si>
    <t xml:space="preserve">INV-006301</t>
  </si>
  <si>
    <t xml:space="preserve">INV-006302</t>
  </si>
  <si>
    <t xml:space="preserve">INV-006303</t>
  </si>
  <si>
    <t xml:space="preserve">INV-006304</t>
  </si>
  <si>
    <t xml:space="preserve">INV-006305</t>
  </si>
  <si>
    <t xml:space="preserve">INV-006306</t>
  </si>
  <si>
    <t xml:space="preserve">INV-006307</t>
  </si>
  <si>
    <t xml:space="preserve">INV-006308</t>
  </si>
  <si>
    <t xml:space="preserve">INV-006309</t>
  </si>
  <si>
    <t xml:space="preserve">INV-006310</t>
  </si>
  <si>
    <t xml:space="preserve">INV-006311</t>
  </si>
  <si>
    <t xml:space="preserve">INV-006312</t>
  </si>
  <si>
    <t xml:space="preserve">INV-006313</t>
  </si>
  <si>
    <t xml:space="preserve">INV-006314</t>
  </si>
  <si>
    <t xml:space="preserve">INV-006315</t>
  </si>
  <si>
    <t xml:space="preserve">INV-006316</t>
  </si>
  <si>
    <t xml:space="preserve">INV-006317</t>
  </si>
  <si>
    <t xml:space="preserve">INV-006318</t>
  </si>
  <si>
    <t xml:space="preserve">INV-006319</t>
  </si>
  <si>
    <t xml:space="preserve">INV-006320</t>
  </si>
  <si>
    <t xml:space="preserve">INV-006321</t>
  </si>
  <si>
    <t xml:space="preserve">INV-006322</t>
  </si>
  <si>
    <t xml:space="preserve">INV-006323</t>
  </si>
  <si>
    <t xml:space="preserve">INV-006324</t>
  </si>
  <si>
    <t xml:space="preserve">INV-006325</t>
  </si>
  <si>
    <t xml:space="preserve">INV-006326</t>
  </si>
  <si>
    <t xml:space="preserve">INV-006327</t>
  </si>
  <si>
    <t xml:space="preserve">INV-006328</t>
  </si>
  <si>
    <t xml:space="preserve">INV-006329</t>
  </si>
  <si>
    <t xml:space="preserve">INV-006330</t>
  </si>
  <si>
    <t xml:space="preserve">INV-006331</t>
  </si>
  <si>
    <t xml:space="preserve">INV-006332</t>
  </si>
  <si>
    <t xml:space="preserve">INV-006333</t>
  </si>
  <si>
    <t xml:space="preserve">INV-006334</t>
  </si>
  <si>
    <t xml:space="preserve">INV-006335</t>
  </si>
  <si>
    <t xml:space="preserve">INV-006336</t>
  </si>
  <si>
    <t xml:space="preserve">INV-006337</t>
  </si>
  <si>
    <t xml:space="preserve">INV-006338</t>
  </si>
  <si>
    <t xml:space="preserve">INV-006339</t>
  </si>
  <si>
    <t xml:space="preserve">INV-006340</t>
  </si>
  <si>
    <t xml:space="preserve">INV-006341</t>
  </si>
  <si>
    <t xml:space="preserve">INV-006342</t>
  </si>
  <si>
    <t xml:space="preserve">INV-006343</t>
  </si>
  <si>
    <t xml:space="preserve">INV-006344</t>
  </si>
  <si>
    <t xml:space="preserve">INV-006345</t>
  </si>
  <si>
    <t xml:space="preserve">INV-006346</t>
  </si>
  <si>
    <t xml:space="preserve">INV-006347</t>
  </si>
  <si>
    <t xml:space="preserve">INV-006348</t>
  </si>
  <si>
    <t xml:space="preserve">INV-006349</t>
  </si>
  <si>
    <t xml:space="preserve">INV-006350</t>
  </si>
  <si>
    <t xml:space="preserve">INV-006351</t>
  </si>
  <si>
    <t xml:space="preserve">INV-006352</t>
  </si>
  <si>
    <t xml:space="preserve">INV-006353</t>
  </si>
  <si>
    <t xml:space="preserve">INV-006354</t>
  </si>
  <si>
    <t xml:space="preserve">INV-006355</t>
  </si>
  <si>
    <t xml:space="preserve">INV-006356</t>
  </si>
  <si>
    <t xml:space="preserve">INV-006357</t>
  </si>
  <si>
    <t xml:space="preserve">INV-006358</t>
  </si>
  <si>
    <t xml:space="preserve">INV-006359</t>
  </si>
  <si>
    <t xml:space="preserve">INV-006360</t>
  </si>
  <si>
    <t xml:space="preserve">INV-006361</t>
  </si>
  <si>
    <t xml:space="preserve">INV-006362</t>
  </si>
  <si>
    <t xml:space="preserve">INV-006363</t>
  </si>
  <si>
    <t xml:space="preserve">INV-006364</t>
  </si>
  <si>
    <t xml:space="preserve">INV-006365</t>
  </si>
  <si>
    <t xml:space="preserve">INV-006366</t>
  </si>
  <si>
    <t xml:space="preserve">INV-006367</t>
  </si>
  <si>
    <t xml:space="preserve">INV-006368</t>
  </si>
  <si>
    <t xml:space="preserve">INV-006369</t>
  </si>
  <si>
    <t xml:space="preserve">INV-006370</t>
  </si>
  <si>
    <t xml:space="preserve">INV-006371</t>
  </si>
  <si>
    <t xml:space="preserve">INV-006372</t>
  </si>
  <si>
    <t xml:space="preserve">INV-006373</t>
  </si>
  <si>
    <t xml:space="preserve">INV-006374</t>
  </si>
  <si>
    <t xml:space="preserve">INV-006375</t>
  </si>
  <si>
    <t xml:space="preserve">INV-006376</t>
  </si>
  <si>
    <t xml:space="preserve">INV-006377</t>
  </si>
  <si>
    <t xml:space="preserve">INV-006378</t>
  </si>
  <si>
    <t xml:space="preserve">INV-006379</t>
  </si>
  <si>
    <t xml:space="preserve">INV-006380</t>
  </si>
  <si>
    <t xml:space="preserve">INV-006381</t>
  </si>
  <si>
    <t xml:space="preserve">INV-006382</t>
  </si>
  <si>
    <t xml:space="preserve">INV-006383</t>
  </si>
  <si>
    <t xml:space="preserve">INV-006384</t>
  </si>
  <si>
    <t xml:space="preserve">INV-006385</t>
  </si>
  <si>
    <t xml:space="preserve">INV-006386</t>
  </si>
  <si>
    <t xml:space="preserve">INV-006387</t>
  </si>
  <si>
    <t xml:space="preserve">INV-006388</t>
  </si>
  <si>
    <t xml:space="preserve">INV-006389</t>
  </si>
  <si>
    <t xml:space="preserve">INV-006390</t>
  </si>
  <si>
    <t xml:space="preserve">INV-006391</t>
  </si>
  <si>
    <t xml:space="preserve">INV-006392</t>
  </si>
  <si>
    <t xml:space="preserve">INV-006393</t>
  </si>
  <si>
    <t xml:space="preserve">INV-006394</t>
  </si>
  <si>
    <t xml:space="preserve">INV-006395</t>
  </si>
  <si>
    <t xml:space="preserve">INV-006396</t>
  </si>
  <si>
    <t xml:space="preserve">INV-006397</t>
  </si>
  <si>
    <t xml:space="preserve">INV-006398</t>
  </si>
  <si>
    <t xml:space="preserve">INV-006399</t>
  </si>
  <si>
    <t xml:space="preserve">INV-006400</t>
  </si>
  <si>
    <t xml:space="preserve">INV-006401</t>
  </si>
  <si>
    <t xml:space="preserve">INV-006402</t>
  </si>
  <si>
    <t xml:space="preserve">INV-006403</t>
  </si>
  <si>
    <t xml:space="preserve">INV-006404</t>
  </si>
  <si>
    <t xml:space="preserve">INV-006405</t>
  </si>
  <si>
    <t xml:space="preserve">INV-006406</t>
  </si>
  <si>
    <t xml:space="preserve">INV-006407</t>
  </si>
  <si>
    <t xml:space="preserve">INV-006408</t>
  </si>
  <si>
    <t xml:space="preserve">INV-006409</t>
  </si>
  <si>
    <t xml:space="preserve">INV-006410</t>
  </si>
  <si>
    <t xml:space="preserve">INV-006411</t>
  </si>
  <si>
    <t xml:space="preserve">INV-006412</t>
  </si>
  <si>
    <t xml:space="preserve">INV-006413</t>
  </si>
  <si>
    <t xml:space="preserve">INV-006414</t>
  </si>
  <si>
    <t xml:space="preserve">INV-006415</t>
  </si>
  <si>
    <t xml:space="preserve">INV-006416</t>
  </si>
  <si>
    <t xml:space="preserve">INV-006417</t>
  </si>
  <si>
    <t xml:space="preserve">INV-006418</t>
  </si>
  <si>
    <t xml:space="preserve">INV-006419</t>
  </si>
  <si>
    <t xml:space="preserve">INV-006420</t>
  </si>
  <si>
    <t xml:space="preserve">INV-006421</t>
  </si>
  <si>
    <t xml:space="preserve">INV-006422</t>
  </si>
  <si>
    <t xml:space="preserve">INV-006423</t>
  </si>
  <si>
    <t xml:space="preserve">INV-006424</t>
  </si>
  <si>
    <t xml:space="preserve">INV-006425</t>
  </si>
  <si>
    <t xml:space="preserve">INV-006426</t>
  </si>
  <si>
    <t xml:space="preserve">INV-006427</t>
  </si>
  <si>
    <t xml:space="preserve">INV-006428</t>
  </si>
  <si>
    <t xml:space="preserve">INV-006429</t>
  </si>
  <si>
    <t xml:space="preserve">INV-006430</t>
  </si>
  <si>
    <t xml:space="preserve">INV-006431</t>
  </si>
  <si>
    <t xml:space="preserve">INV-006432</t>
  </si>
  <si>
    <t xml:space="preserve">INV-006433</t>
  </si>
  <si>
    <t xml:space="preserve">INV-006434</t>
  </si>
  <si>
    <t xml:space="preserve">INV-006435</t>
  </si>
  <si>
    <t xml:space="preserve">INV-006436</t>
  </si>
  <si>
    <t xml:space="preserve">INV-006437</t>
  </si>
  <si>
    <t xml:space="preserve">INV-006438</t>
  </si>
  <si>
    <t xml:space="preserve">INV-006439</t>
  </si>
  <si>
    <t xml:space="preserve">INV-006440</t>
  </si>
  <si>
    <t xml:space="preserve">INV-006441</t>
  </si>
  <si>
    <t xml:space="preserve">INV-006442</t>
  </si>
  <si>
    <t xml:space="preserve">INV-006443</t>
  </si>
  <si>
    <t xml:space="preserve">INV-006444</t>
  </si>
  <si>
    <t xml:space="preserve">INV-006445</t>
  </si>
  <si>
    <t xml:space="preserve">INV-006446</t>
  </si>
  <si>
    <t xml:space="preserve">INV-006447</t>
  </si>
  <si>
    <t xml:space="preserve">INV-006448</t>
  </si>
  <si>
    <t xml:space="preserve">INV-006449</t>
  </si>
  <si>
    <t xml:space="preserve">INV-006450</t>
  </si>
  <si>
    <t xml:space="preserve">INV-006451</t>
  </si>
  <si>
    <t xml:space="preserve">INV-006452</t>
  </si>
  <si>
    <t xml:space="preserve">INV-006453</t>
  </si>
  <si>
    <t xml:space="preserve">INV-006454</t>
  </si>
  <si>
    <t xml:space="preserve">INV-006455</t>
  </si>
  <si>
    <t xml:space="preserve">INV-006456</t>
  </si>
  <si>
    <t xml:space="preserve">INV-006457</t>
  </si>
  <si>
    <t xml:space="preserve">INV-006458</t>
  </si>
  <si>
    <t xml:space="preserve">INV-006459</t>
  </si>
  <si>
    <t xml:space="preserve">INV-006460</t>
  </si>
  <si>
    <t xml:space="preserve">INV-006461</t>
  </si>
  <si>
    <t xml:space="preserve">INV-006462</t>
  </si>
  <si>
    <t xml:space="preserve">INV-006463</t>
  </si>
  <si>
    <t xml:space="preserve">INV-006464</t>
  </si>
  <si>
    <t xml:space="preserve">INV-006465</t>
  </si>
  <si>
    <t xml:space="preserve">INV-006466</t>
  </si>
  <si>
    <t xml:space="preserve">INV-006467</t>
  </si>
  <si>
    <t xml:space="preserve">INV-006468</t>
  </si>
  <si>
    <t xml:space="preserve">INV-006469</t>
  </si>
  <si>
    <t xml:space="preserve">INV-006470</t>
  </si>
  <si>
    <t xml:space="preserve">INV-006471</t>
  </si>
  <si>
    <t xml:space="preserve">INV-006472</t>
  </si>
  <si>
    <t xml:space="preserve">INV-006473</t>
  </si>
  <si>
    <t xml:space="preserve">INV-006474</t>
  </si>
  <si>
    <t xml:space="preserve">INV-006475</t>
  </si>
  <si>
    <t xml:space="preserve">INV-006476</t>
  </si>
  <si>
    <t xml:space="preserve">INV-006477</t>
  </si>
  <si>
    <t xml:space="preserve">INV-006478</t>
  </si>
  <si>
    <t xml:space="preserve">INV-006479</t>
  </si>
  <si>
    <t xml:space="preserve">INV-006480</t>
  </si>
  <si>
    <t xml:space="preserve">INV-006481</t>
  </si>
  <si>
    <t xml:space="preserve">INV-006482</t>
  </si>
  <si>
    <t xml:space="preserve">INV-006483</t>
  </si>
  <si>
    <t xml:space="preserve">INV-006484</t>
  </si>
  <si>
    <t xml:space="preserve">INV-006485</t>
  </si>
  <si>
    <t xml:space="preserve">INV-006486</t>
  </si>
  <si>
    <t xml:space="preserve">INV-006487</t>
  </si>
  <si>
    <t xml:space="preserve">INV-006488</t>
  </si>
  <si>
    <t xml:space="preserve">INV-006489</t>
  </si>
  <si>
    <t xml:space="preserve">INV-006490</t>
  </si>
  <si>
    <t xml:space="preserve">INV-006491</t>
  </si>
  <si>
    <t xml:space="preserve">INV-006492</t>
  </si>
  <si>
    <t xml:space="preserve">INV-006493</t>
  </si>
  <si>
    <t xml:space="preserve">INV-006494</t>
  </si>
  <si>
    <t xml:space="preserve">INV-006495</t>
  </si>
  <si>
    <t xml:space="preserve">INV-006496</t>
  </si>
  <si>
    <t xml:space="preserve">INV-006497</t>
  </si>
  <si>
    <t xml:space="preserve">INV-006498</t>
  </si>
  <si>
    <t xml:space="preserve">INV-006499</t>
  </si>
  <si>
    <t xml:space="preserve">INV-006500</t>
  </si>
  <si>
    <t xml:space="preserve">INV-006501</t>
  </si>
  <si>
    <t xml:space="preserve">INV-006502</t>
  </si>
  <si>
    <t xml:space="preserve">INV-006503</t>
  </si>
  <si>
    <t xml:space="preserve">INV-006504</t>
  </si>
  <si>
    <t xml:space="preserve">INV-006505</t>
  </si>
  <si>
    <t xml:space="preserve">INV-006506</t>
  </si>
  <si>
    <t xml:space="preserve">INV-006507</t>
  </si>
  <si>
    <t xml:space="preserve">INV-006508</t>
  </si>
  <si>
    <t xml:space="preserve">INV-006509</t>
  </si>
  <si>
    <t xml:space="preserve">INV-006510</t>
  </si>
  <si>
    <t xml:space="preserve">INV-006511</t>
  </si>
  <si>
    <t xml:space="preserve">INV-006512</t>
  </si>
  <si>
    <t xml:space="preserve">INV-006513</t>
  </si>
  <si>
    <t xml:space="preserve">INV-006514</t>
  </si>
  <si>
    <t xml:space="preserve">INV-006515</t>
  </si>
  <si>
    <t xml:space="preserve">INV-006516</t>
  </si>
  <si>
    <t xml:space="preserve">INV-006517</t>
  </si>
  <si>
    <t xml:space="preserve">INV-006518</t>
  </si>
  <si>
    <t xml:space="preserve">INV-006519</t>
  </si>
  <si>
    <t xml:space="preserve">INV-006520</t>
  </si>
  <si>
    <t xml:space="preserve">INV-006521</t>
  </si>
  <si>
    <t xml:space="preserve">INV-006522</t>
  </si>
  <si>
    <t xml:space="preserve">INV-006523</t>
  </si>
  <si>
    <t xml:space="preserve">INV-006524</t>
  </si>
  <si>
    <t xml:space="preserve">INV-006525</t>
  </si>
  <si>
    <t xml:space="preserve">INV-006526</t>
  </si>
  <si>
    <t xml:space="preserve">INV-006527</t>
  </si>
  <si>
    <t xml:space="preserve">INV-006528</t>
  </si>
  <si>
    <t xml:space="preserve">INV-006529</t>
  </si>
  <si>
    <t xml:space="preserve">INV-006530</t>
  </si>
  <si>
    <t xml:space="preserve">INV-006531</t>
  </si>
  <si>
    <t xml:space="preserve">INV-006532</t>
  </si>
  <si>
    <t xml:space="preserve">INV-006533</t>
  </si>
  <si>
    <t xml:space="preserve">INV-006534</t>
  </si>
  <si>
    <t xml:space="preserve">INV-006535</t>
  </si>
  <si>
    <t xml:space="preserve">INV-006536</t>
  </si>
  <si>
    <t xml:space="preserve">INV-006537</t>
  </si>
  <si>
    <t xml:space="preserve">INV-006538</t>
  </si>
  <si>
    <t xml:space="preserve">INV-006539</t>
  </si>
  <si>
    <t xml:space="preserve">INV-006540</t>
  </si>
  <si>
    <t xml:space="preserve">INV-006541</t>
  </si>
  <si>
    <t xml:space="preserve">INV-006542</t>
  </si>
  <si>
    <t xml:space="preserve">INV-006543</t>
  </si>
  <si>
    <t xml:space="preserve">INV-006544</t>
  </si>
  <si>
    <t xml:space="preserve">INV-006545</t>
  </si>
  <si>
    <t xml:space="preserve">INV-006546</t>
  </si>
  <si>
    <t xml:space="preserve">INV-006547</t>
  </si>
  <si>
    <t xml:space="preserve">INV-006548</t>
  </si>
  <si>
    <t xml:space="preserve">INV-006549</t>
  </si>
  <si>
    <t xml:space="preserve">INV-006550</t>
  </si>
  <si>
    <t xml:space="preserve">INV-006551</t>
  </si>
  <si>
    <t xml:space="preserve">INV-006552</t>
  </si>
  <si>
    <t xml:space="preserve">INV-006553</t>
  </si>
  <si>
    <t xml:space="preserve">INV-006554</t>
  </si>
  <si>
    <t xml:space="preserve">INV-006555</t>
  </si>
  <si>
    <t xml:space="preserve">INV-006556</t>
  </si>
  <si>
    <t xml:space="preserve">INV-006557</t>
  </si>
  <si>
    <t xml:space="preserve">INV-006558</t>
  </si>
  <si>
    <t xml:space="preserve">INV-006559</t>
  </si>
  <si>
    <t xml:space="preserve">INV-006560</t>
  </si>
  <si>
    <t xml:space="preserve">INV-006561</t>
  </si>
  <si>
    <t xml:space="preserve">INV-006562</t>
  </si>
  <si>
    <t xml:space="preserve">INV-006563</t>
  </si>
  <si>
    <t xml:space="preserve">INV-006564</t>
  </si>
  <si>
    <t xml:space="preserve">INV-006565</t>
  </si>
  <si>
    <t xml:space="preserve">INV-006566</t>
  </si>
  <si>
    <t xml:space="preserve">INV-006567</t>
  </si>
  <si>
    <t xml:space="preserve">INV-006568</t>
  </si>
  <si>
    <t xml:space="preserve">INV-006569</t>
  </si>
  <si>
    <t xml:space="preserve">INV-006570</t>
  </si>
  <si>
    <t xml:space="preserve">INV-006571</t>
  </si>
  <si>
    <t xml:space="preserve">INV-006572</t>
  </si>
  <si>
    <t xml:space="preserve">INV-006573</t>
  </si>
  <si>
    <t xml:space="preserve">INV-006574</t>
  </si>
  <si>
    <t xml:space="preserve">INV-006575</t>
  </si>
  <si>
    <t xml:space="preserve">INV-006576</t>
  </si>
  <si>
    <t xml:space="preserve">INV-006577</t>
  </si>
  <si>
    <t xml:space="preserve">INV-006578</t>
  </si>
  <si>
    <t xml:space="preserve">INV-006579</t>
  </si>
  <si>
    <t xml:space="preserve">INV-006580</t>
  </si>
  <si>
    <t xml:space="preserve">INV-006581</t>
  </si>
  <si>
    <t xml:space="preserve">INV-006582</t>
  </si>
  <si>
    <t xml:space="preserve">INV-006583</t>
  </si>
  <si>
    <t xml:space="preserve">INV-006584</t>
  </si>
  <si>
    <t xml:space="preserve">INV-006585</t>
  </si>
  <si>
    <t xml:space="preserve">INV-006586</t>
  </si>
  <si>
    <t xml:space="preserve">INV-006587</t>
  </si>
  <si>
    <t xml:space="preserve">INV-006588</t>
  </si>
  <si>
    <t xml:space="preserve">INV-006589</t>
  </si>
  <si>
    <t xml:space="preserve">INV-006590</t>
  </si>
  <si>
    <t xml:space="preserve">INV-006591</t>
  </si>
  <si>
    <t xml:space="preserve">INV-006592</t>
  </si>
  <si>
    <t xml:space="preserve">INV-006593</t>
  </si>
  <si>
    <t xml:space="preserve">INV-006594</t>
  </si>
  <si>
    <t xml:space="preserve">INV-006595</t>
  </si>
  <si>
    <t xml:space="preserve">INV-006596</t>
  </si>
  <si>
    <t xml:space="preserve">INV-006597</t>
  </si>
  <si>
    <t xml:space="preserve">INV-006598</t>
  </si>
  <si>
    <t xml:space="preserve">INV-006599</t>
  </si>
  <si>
    <t xml:space="preserve">INV-006600</t>
  </si>
  <si>
    <t xml:space="preserve">INV-006601</t>
  </si>
  <si>
    <t xml:space="preserve">INV-006602</t>
  </si>
  <si>
    <t xml:space="preserve">INV-006603</t>
  </si>
  <si>
    <t xml:space="preserve">INV-006604</t>
  </si>
  <si>
    <t xml:space="preserve">INV-006605</t>
  </si>
  <si>
    <t xml:space="preserve">INV-006606</t>
  </si>
  <si>
    <t xml:space="preserve">INV-006607</t>
  </si>
  <si>
    <t xml:space="preserve">INV-006608</t>
  </si>
  <si>
    <t xml:space="preserve">INV-006609</t>
  </si>
  <si>
    <t xml:space="preserve">INV-006610</t>
  </si>
  <si>
    <t xml:space="preserve">INV-006611</t>
  </si>
  <si>
    <t xml:space="preserve">INV-006612</t>
  </si>
  <si>
    <t xml:space="preserve">INV-006613</t>
  </si>
  <si>
    <t xml:space="preserve">INV-006614</t>
  </si>
  <si>
    <t xml:space="preserve">INV-006615</t>
  </si>
  <si>
    <t xml:space="preserve">INV-006616</t>
  </si>
  <si>
    <t xml:space="preserve">INV-006617</t>
  </si>
  <si>
    <t xml:space="preserve">INV-006618</t>
  </si>
  <si>
    <t xml:space="preserve">INV-006619</t>
  </si>
  <si>
    <t xml:space="preserve">INV-006620</t>
  </si>
  <si>
    <t xml:space="preserve">INV-006621</t>
  </si>
  <si>
    <t xml:space="preserve">INV-006622</t>
  </si>
  <si>
    <t xml:space="preserve">INV-006623</t>
  </si>
  <si>
    <t xml:space="preserve">INV-006624</t>
  </si>
  <si>
    <t xml:space="preserve">INV-006625</t>
  </si>
  <si>
    <t xml:space="preserve">INV-006626</t>
  </si>
  <si>
    <t xml:space="preserve">INV-006627</t>
  </si>
  <si>
    <t xml:space="preserve">INV-006628</t>
  </si>
  <si>
    <t xml:space="preserve">INV-006629</t>
  </si>
  <si>
    <t xml:space="preserve">INV-006630</t>
  </si>
  <si>
    <t xml:space="preserve">INV-006631</t>
  </si>
  <si>
    <t xml:space="preserve">INV-006632</t>
  </si>
  <si>
    <t xml:space="preserve">INV-006633</t>
  </si>
  <si>
    <t xml:space="preserve">INV-006634</t>
  </si>
  <si>
    <t xml:space="preserve">INV-006635</t>
  </si>
  <si>
    <t xml:space="preserve">INV-006636</t>
  </si>
  <si>
    <t xml:space="preserve">INV-006637</t>
  </si>
  <si>
    <t xml:space="preserve">INV-006638</t>
  </si>
  <si>
    <t xml:space="preserve">INV-006639</t>
  </si>
  <si>
    <t xml:space="preserve">INV-006640</t>
  </si>
  <si>
    <t xml:space="preserve">INV-006641</t>
  </si>
  <si>
    <t xml:space="preserve">INV-006642</t>
  </si>
  <si>
    <t xml:space="preserve">INV-006643</t>
  </si>
  <si>
    <t xml:space="preserve">INV-006644</t>
  </si>
  <si>
    <t xml:space="preserve">INV-006645</t>
  </si>
  <si>
    <t xml:space="preserve">INV-006646</t>
  </si>
  <si>
    <t xml:space="preserve">INV-006647</t>
  </si>
  <si>
    <t xml:space="preserve">INV-006648</t>
  </si>
  <si>
    <t xml:space="preserve">INV-006649</t>
  </si>
  <si>
    <t xml:space="preserve">INV-006650</t>
  </si>
  <si>
    <t xml:space="preserve">INV-006651</t>
  </si>
  <si>
    <t xml:space="preserve">INV-006652</t>
  </si>
  <si>
    <t xml:space="preserve">INV-006653</t>
  </si>
  <si>
    <t xml:space="preserve">INV-006654</t>
  </si>
  <si>
    <t xml:space="preserve">INV-006655</t>
  </si>
  <si>
    <t xml:space="preserve">INV-006656</t>
  </si>
  <si>
    <t xml:space="preserve">INV-006657</t>
  </si>
  <si>
    <t xml:space="preserve">INV-006658</t>
  </si>
  <si>
    <t xml:space="preserve">INV-006659</t>
  </si>
  <si>
    <t xml:space="preserve">INV-006660</t>
  </si>
  <si>
    <t xml:space="preserve">INV-006661</t>
  </si>
  <si>
    <t xml:space="preserve">INV-006662</t>
  </si>
  <si>
    <t xml:space="preserve">INV-006663</t>
  </si>
  <si>
    <t xml:space="preserve">INV-006664</t>
  </si>
  <si>
    <t xml:space="preserve">INV-006665</t>
  </si>
  <si>
    <t xml:space="preserve">INV-006666</t>
  </si>
  <si>
    <t xml:space="preserve">INV-006667</t>
  </si>
  <si>
    <t xml:space="preserve">INV-006668</t>
  </si>
  <si>
    <t xml:space="preserve">INV-006669</t>
  </si>
  <si>
    <t xml:space="preserve">INV-006670</t>
  </si>
  <si>
    <t xml:space="preserve">INV-006671</t>
  </si>
  <si>
    <t xml:space="preserve">INV-006672</t>
  </si>
  <si>
    <t xml:space="preserve">INV-006673</t>
  </si>
  <si>
    <t xml:space="preserve">INV-006674</t>
  </si>
  <si>
    <t xml:space="preserve">INV-006675</t>
  </si>
  <si>
    <t xml:space="preserve">INV-006676</t>
  </si>
  <si>
    <t xml:space="preserve">INV-006677</t>
  </si>
  <si>
    <t xml:space="preserve">INV-006678</t>
  </si>
  <si>
    <t xml:space="preserve">INV-006679</t>
  </si>
  <si>
    <t xml:space="preserve">INV-006680</t>
  </si>
  <si>
    <t xml:space="preserve">INV-006681</t>
  </si>
  <si>
    <t xml:space="preserve">INV-006682</t>
  </si>
  <si>
    <t xml:space="preserve">INV-006683</t>
  </si>
  <si>
    <t xml:space="preserve">INV-006684</t>
  </si>
  <si>
    <t xml:space="preserve">INV-006685</t>
  </si>
  <si>
    <t xml:space="preserve">INV-006686</t>
  </si>
  <si>
    <t xml:space="preserve">INV-006687</t>
  </si>
  <si>
    <t xml:space="preserve">INV-006688</t>
  </si>
  <si>
    <t xml:space="preserve">INV-006689</t>
  </si>
  <si>
    <t xml:space="preserve">INV-006690</t>
  </si>
  <si>
    <t xml:space="preserve">INV-006691</t>
  </si>
  <si>
    <t xml:space="preserve">INV-006692</t>
  </si>
  <si>
    <t xml:space="preserve">INV-006693</t>
  </si>
  <si>
    <t xml:space="preserve">INV-006694</t>
  </si>
  <si>
    <t xml:space="preserve">INV-006695</t>
  </si>
  <si>
    <t xml:space="preserve">INV-006696</t>
  </si>
  <si>
    <t xml:space="preserve">INV-006697</t>
  </si>
  <si>
    <t xml:space="preserve">INV-006698</t>
  </si>
  <si>
    <t xml:space="preserve">INV-006699</t>
  </si>
  <si>
    <t xml:space="preserve">INV-006700</t>
  </si>
  <si>
    <t xml:space="preserve">INV-006701</t>
  </si>
  <si>
    <t xml:space="preserve">INV-006702</t>
  </si>
  <si>
    <t xml:space="preserve">INV-006703</t>
  </si>
  <si>
    <t xml:space="preserve">INV-006704</t>
  </si>
  <si>
    <t xml:space="preserve">INV-006705</t>
  </si>
  <si>
    <t xml:space="preserve">INV-006706</t>
  </si>
  <si>
    <t xml:space="preserve">INV-006707</t>
  </si>
  <si>
    <t xml:space="preserve">INV-006708</t>
  </si>
  <si>
    <t xml:space="preserve">INV-006709</t>
  </si>
  <si>
    <t xml:space="preserve">INV-006710</t>
  </si>
  <si>
    <t xml:space="preserve">INV-006711</t>
  </si>
  <si>
    <t xml:space="preserve">INV-006712</t>
  </si>
  <si>
    <t xml:space="preserve">INV-006713</t>
  </si>
  <si>
    <t xml:space="preserve">INV-006714</t>
  </si>
  <si>
    <t xml:space="preserve">INV-006715</t>
  </si>
  <si>
    <t xml:space="preserve">INV-006716</t>
  </si>
  <si>
    <t xml:space="preserve">INV-006717</t>
  </si>
  <si>
    <t xml:space="preserve">INV-006718</t>
  </si>
  <si>
    <t xml:space="preserve">INV-006719</t>
  </si>
  <si>
    <t xml:space="preserve">INV-006720</t>
  </si>
  <si>
    <t xml:space="preserve">INV-006721</t>
  </si>
  <si>
    <t xml:space="preserve">INV-006722</t>
  </si>
  <si>
    <t xml:space="preserve">INV-006723</t>
  </si>
  <si>
    <t xml:space="preserve">INV-006724</t>
  </si>
  <si>
    <t xml:space="preserve">INV-006725</t>
  </si>
  <si>
    <t xml:space="preserve">INV-006726</t>
  </si>
  <si>
    <t xml:space="preserve">INV-006727</t>
  </si>
  <si>
    <t xml:space="preserve">INV-006728</t>
  </si>
  <si>
    <t xml:space="preserve">INV-006729</t>
  </si>
  <si>
    <t xml:space="preserve">INV-006730</t>
  </si>
  <si>
    <t xml:space="preserve">INV-006731</t>
  </si>
  <si>
    <t xml:space="preserve">INV-006732</t>
  </si>
  <si>
    <t xml:space="preserve">INV-006733</t>
  </si>
  <si>
    <t xml:space="preserve">INV-006734</t>
  </si>
  <si>
    <t xml:space="preserve">INV-006735</t>
  </si>
  <si>
    <t xml:space="preserve">INV-006736</t>
  </si>
  <si>
    <t xml:space="preserve">INV-006737</t>
  </si>
  <si>
    <t xml:space="preserve">INV-006738</t>
  </si>
  <si>
    <t xml:space="preserve">INV-006739</t>
  </si>
  <si>
    <t xml:space="preserve">INV-006740</t>
  </si>
  <si>
    <t xml:space="preserve">INV-006741</t>
  </si>
  <si>
    <t xml:space="preserve">INV-006742</t>
  </si>
  <si>
    <t xml:space="preserve">INV-006743</t>
  </si>
  <si>
    <t xml:space="preserve">INV-006744</t>
  </si>
  <si>
    <t xml:space="preserve">INV-006745</t>
  </si>
  <si>
    <t xml:space="preserve">INV-006746</t>
  </si>
  <si>
    <t xml:space="preserve">INV-006747</t>
  </si>
  <si>
    <t xml:space="preserve">INV-006748</t>
  </si>
  <si>
    <t xml:space="preserve">INV-006749</t>
  </si>
  <si>
    <t xml:space="preserve">INV-006750</t>
  </si>
  <si>
    <t xml:space="preserve">INV-006751</t>
  </si>
  <si>
    <t xml:space="preserve">INV-006752</t>
  </si>
  <si>
    <t xml:space="preserve">INV-006753</t>
  </si>
  <si>
    <t xml:space="preserve">INV-006754</t>
  </si>
  <si>
    <t xml:space="preserve">INV-006755</t>
  </si>
  <si>
    <t xml:space="preserve">INV-006756</t>
  </si>
  <si>
    <t xml:space="preserve">INV-006757</t>
  </si>
  <si>
    <t xml:space="preserve">INV-006758</t>
  </si>
  <si>
    <t xml:space="preserve">INV-006759</t>
  </si>
  <si>
    <t xml:space="preserve">INV-006760</t>
  </si>
  <si>
    <t xml:space="preserve">INV-006761</t>
  </si>
  <si>
    <t xml:space="preserve">INV-006762</t>
  </si>
  <si>
    <t xml:space="preserve">INV-006763</t>
  </si>
  <si>
    <t xml:space="preserve">INV-006764</t>
  </si>
  <si>
    <t xml:space="preserve">INV-006765</t>
  </si>
  <si>
    <t xml:space="preserve">INV-006766</t>
  </si>
  <si>
    <t xml:space="preserve">INV-006767</t>
  </si>
  <si>
    <t xml:space="preserve">INV-006768</t>
  </si>
  <si>
    <t xml:space="preserve">INV-006769</t>
  </si>
  <si>
    <t xml:space="preserve">INV-006770</t>
  </si>
  <si>
    <t xml:space="preserve">INV-006771</t>
  </si>
  <si>
    <t xml:space="preserve">INV-006772</t>
  </si>
  <si>
    <t xml:space="preserve">INV-006773</t>
  </si>
  <si>
    <t xml:space="preserve">INV-006774</t>
  </si>
  <si>
    <t xml:space="preserve">INV-006775</t>
  </si>
  <si>
    <t xml:space="preserve">INV-006776</t>
  </si>
  <si>
    <t xml:space="preserve">INV-006777</t>
  </si>
  <si>
    <t xml:space="preserve">INV-006778</t>
  </si>
  <si>
    <t xml:space="preserve">INV-006779</t>
  </si>
  <si>
    <t xml:space="preserve">INV-006780</t>
  </si>
  <si>
    <t xml:space="preserve">INV-006781</t>
  </si>
  <si>
    <t xml:space="preserve">INV-006782</t>
  </si>
  <si>
    <t xml:space="preserve">INV-006783</t>
  </si>
  <si>
    <t xml:space="preserve">INV-006784</t>
  </si>
  <si>
    <t xml:space="preserve">INV-006785</t>
  </si>
  <si>
    <t xml:space="preserve">INV-006786</t>
  </si>
  <si>
    <t xml:space="preserve">INV-006787</t>
  </si>
  <si>
    <t xml:space="preserve">INV-006788</t>
  </si>
  <si>
    <t xml:space="preserve">INV-006789</t>
  </si>
  <si>
    <t xml:space="preserve">INV-006790</t>
  </si>
  <si>
    <t xml:space="preserve">INV-006791</t>
  </si>
  <si>
    <t xml:space="preserve">INV-006792</t>
  </si>
  <si>
    <t xml:space="preserve">INV-006793</t>
  </si>
  <si>
    <t xml:space="preserve">INV-006794</t>
  </si>
  <si>
    <t xml:space="preserve">INV-006795</t>
  </si>
  <si>
    <t xml:space="preserve">INV-006796</t>
  </si>
  <si>
    <t xml:space="preserve">INV-006797</t>
  </si>
  <si>
    <t xml:space="preserve">INV-006798</t>
  </si>
  <si>
    <t xml:space="preserve">INV-006799</t>
  </si>
  <si>
    <t xml:space="preserve">INV-006800</t>
  </si>
  <si>
    <t xml:space="preserve">INV-006801</t>
  </si>
  <si>
    <t xml:space="preserve">INV-006802</t>
  </si>
  <si>
    <t xml:space="preserve">INV-006803</t>
  </si>
  <si>
    <t xml:space="preserve">INV-006804</t>
  </si>
  <si>
    <t xml:space="preserve">INV-006805</t>
  </si>
  <si>
    <t xml:space="preserve">INV-006806</t>
  </si>
  <si>
    <t xml:space="preserve">INV-006807</t>
  </si>
  <si>
    <t xml:space="preserve">INV-006808</t>
  </si>
  <si>
    <t xml:space="preserve">INV-006809</t>
  </si>
  <si>
    <t xml:space="preserve">INV-006810</t>
  </si>
  <si>
    <t xml:space="preserve">INV-006811</t>
  </si>
  <si>
    <t xml:space="preserve">INV-006812</t>
  </si>
  <si>
    <t xml:space="preserve">INV-006813</t>
  </si>
  <si>
    <t xml:space="preserve">INV-006814</t>
  </si>
  <si>
    <t xml:space="preserve">INV-006815</t>
  </si>
  <si>
    <t xml:space="preserve">INV-006816</t>
  </si>
  <si>
    <t xml:space="preserve">INV-006817</t>
  </si>
  <si>
    <t xml:space="preserve">INV-006818</t>
  </si>
  <si>
    <t xml:space="preserve">INV-006819</t>
  </si>
  <si>
    <t xml:space="preserve">INV-006820</t>
  </si>
  <si>
    <t xml:space="preserve">INV-006821</t>
  </si>
  <si>
    <t xml:space="preserve">INV-006822</t>
  </si>
  <si>
    <t xml:space="preserve">INV-006823</t>
  </si>
  <si>
    <t xml:space="preserve">INV-006824</t>
  </si>
  <si>
    <t xml:space="preserve">INV-006825</t>
  </si>
  <si>
    <t xml:space="preserve">INV-006826</t>
  </si>
  <si>
    <t xml:space="preserve">INV-006827</t>
  </si>
  <si>
    <t xml:space="preserve">INV-006828</t>
  </si>
  <si>
    <t xml:space="preserve">INV-006829</t>
  </si>
  <si>
    <t xml:space="preserve">INV-006830</t>
  </si>
  <si>
    <t xml:space="preserve">INV-006831</t>
  </si>
  <si>
    <t xml:space="preserve">INV-006832</t>
  </si>
  <si>
    <t xml:space="preserve">INV-006833</t>
  </si>
  <si>
    <t xml:space="preserve">INV-006834</t>
  </si>
  <si>
    <t xml:space="preserve">INV-006835</t>
  </si>
  <si>
    <t xml:space="preserve">INV-006836</t>
  </si>
  <si>
    <t xml:space="preserve">INV-006837</t>
  </si>
  <si>
    <t xml:space="preserve">INV-006838</t>
  </si>
  <si>
    <t xml:space="preserve">INV-006839</t>
  </si>
  <si>
    <t xml:space="preserve">INV-006840</t>
  </si>
  <si>
    <t xml:space="preserve">INV-006841</t>
  </si>
  <si>
    <t xml:space="preserve">INV-006842</t>
  </si>
  <si>
    <t xml:space="preserve">INV-006843</t>
  </si>
  <si>
    <t xml:space="preserve">INV-006844</t>
  </si>
  <si>
    <t xml:space="preserve">INV-006845</t>
  </si>
  <si>
    <t xml:space="preserve">INV-006846</t>
  </si>
  <si>
    <t xml:space="preserve">INV-006847</t>
  </si>
  <si>
    <t xml:space="preserve">INV-006848</t>
  </si>
  <si>
    <t xml:space="preserve">INV-006849</t>
  </si>
  <si>
    <t xml:space="preserve">INV-006850</t>
  </si>
  <si>
    <t xml:space="preserve">INV-006851</t>
  </si>
  <si>
    <t xml:space="preserve">INV-006852</t>
  </si>
  <si>
    <t xml:space="preserve">INV-006853</t>
  </si>
  <si>
    <t xml:space="preserve">INV-006854</t>
  </si>
  <si>
    <t xml:space="preserve">INV-006855</t>
  </si>
  <si>
    <t xml:space="preserve">INV-006856</t>
  </si>
  <si>
    <t xml:space="preserve">INV-006857</t>
  </si>
  <si>
    <t xml:space="preserve">INV-006858</t>
  </si>
  <si>
    <t xml:space="preserve">INV-006859</t>
  </si>
  <si>
    <t xml:space="preserve">INV-006860</t>
  </si>
  <si>
    <t xml:space="preserve">INV-006861</t>
  </si>
  <si>
    <t xml:space="preserve">INV-006862</t>
  </si>
  <si>
    <t xml:space="preserve">INV-006863</t>
  </si>
  <si>
    <t xml:space="preserve">INV-006864</t>
  </si>
  <si>
    <t xml:space="preserve">INV-006865</t>
  </si>
  <si>
    <t xml:space="preserve">INV-006866</t>
  </si>
  <si>
    <t xml:space="preserve">INV-006867</t>
  </si>
  <si>
    <t xml:space="preserve">INV-006868</t>
  </si>
  <si>
    <t xml:space="preserve">INV-006869</t>
  </si>
  <si>
    <t xml:space="preserve">INV-006870</t>
  </si>
  <si>
    <t xml:space="preserve">INV-006871</t>
  </si>
  <si>
    <t xml:space="preserve">INV-006872</t>
  </si>
  <si>
    <t xml:space="preserve">INV-006873</t>
  </si>
  <si>
    <t xml:space="preserve">INV-006874</t>
  </si>
  <si>
    <t xml:space="preserve">INV-006875</t>
  </si>
  <si>
    <t xml:space="preserve">INV-006876</t>
  </si>
  <si>
    <t xml:space="preserve">INV-006877</t>
  </si>
  <si>
    <t xml:space="preserve">INV-006878</t>
  </si>
  <si>
    <t xml:space="preserve">INV-006879</t>
  </si>
  <si>
    <t xml:space="preserve">INV-006880</t>
  </si>
  <si>
    <t xml:space="preserve">INV-006881</t>
  </si>
  <si>
    <t xml:space="preserve">INV-006882</t>
  </si>
  <si>
    <t xml:space="preserve">INV-006883</t>
  </si>
  <si>
    <t xml:space="preserve">INV-006884</t>
  </si>
  <si>
    <t xml:space="preserve">INV-006885</t>
  </si>
  <si>
    <t xml:space="preserve">INV-006886</t>
  </si>
  <si>
    <t xml:space="preserve">INV-006887</t>
  </si>
  <si>
    <t xml:space="preserve">INV-006888</t>
  </si>
  <si>
    <t xml:space="preserve">INV-006889</t>
  </si>
  <si>
    <t xml:space="preserve">INV-006890</t>
  </si>
  <si>
    <t xml:space="preserve">INV-006891</t>
  </si>
  <si>
    <t xml:space="preserve">INV-006892</t>
  </si>
  <si>
    <t xml:space="preserve">INV-006893</t>
  </si>
  <si>
    <t xml:space="preserve">INV-006894</t>
  </si>
  <si>
    <t xml:space="preserve">INV-006895</t>
  </si>
  <si>
    <t xml:space="preserve">INV-006896</t>
  </si>
  <si>
    <t xml:space="preserve">INV-006897</t>
  </si>
  <si>
    <t xml:space="preserve">INV-006898</t>
  </si>
  <si>
    <t xml:space="preserve">INV-006899</t>
  </si>
  <si>
    <t xml:space="preserve">INV-006900</t>
  </si>
  <si>
    <t xml:space="preserve">INV-006901</t>
  </si>
  <si>
    <t xml:space="preserve">INV-006902</t>
  </si>
  <si>
    <t xml:space="preserve">INV-006903</t>
  </si>
  <si>
    <t xml:space="preserve">INV-006904</t>
  </si>
  <si>
    <t xml:space="preserve">INV-006905</t>
  </si>
  <si>
    <t xml:space="preserve">INV-006906</t>
  </si>
  <si>
    <t xml:space="preserve">INV-006907</t>
  </si>
  <si>
    <t xml:space="preserve">INV-006908</t>
  </si>
  <si>
    <t xml:space="preserve">INV-006909</t>
  </si>
  <si>
    <t xml:space="preserve">INV-006910</t>
  </si>
  <si>
    <t xml:space="preserve">INV-006911</t>
  </si>
  <si>
    <t xml:space="preserve">INV-006912</t>
  </si>
  <si>
    <t xml:space="preserve">INV-006913</t>
  </si>
  <si>
    <t xml:space="preserve">INV-006914</t>
  </si>
  <si>
    <t xml:space="preserve">INV-006915</t>
  </si>
  <si>
    <t xml:space="preserve">INV-006916</t>
  </si>
  <si>
    <t xml:space="preserve">INV-006917</t>
  </si>
  <si>
    <t xml:space="preserve">INV-006918</t>
  </si>
  <si>
    <t xml:space="preserve">INV-006919</t>
  </si>
  <si>
    <t xml:space="preserve">INV-006920</t>
  </si>
  <si>
    <t xml:space="preserve">INV-006921</t>
  </si>
  <si>
    <t xml:space="preserve">INV-006922</t>
  </si>
  <si>
    <t xml:space="preserve">INV-006923</t>
  </si>
  <si>
    <t xml:space="preserve">INV-006924</t>
  </si>
  <si>
    <t xml:space="preserve">INV-006925</t>
  </si>
  <si>
    <t xml:space="preserve">INV-006926</t>
  </si>
  <si>
    <t xml:space="preserve">INV-006927</t>
  </si>
  <si>
    <t xml:space="preserve">INV-006928</t>
  </si>
  <si>
    <t xml:space="preserve">INV-006929</t>
  </si>
  <si>
    <t xml:space="preserve">INV-006930</t>
  </si>
  <si>
    <t xml:space="preserve">INV-006931</t>
  </si>
  <si>
    <t xml:space="preserve">INV-006932</t>
  </si>
  <si>
    <t xml:space="preserve">INV-006933</t>
  </si>
  <si>
    <t xml:space="preserve">INV-006934</t>
  </si>
  <si>
    <t xml:space="preserve">INV-006935</t>
  </si>
  <si>
    <t xml:space="preserve">INV-006936</t>
  </si>
  <si>
    <t xml:space="preserve">INV-006937</t>
  </si>
  <si>
    <t xml:space="preserve">INV-006938</t>
  </si>
  <si>
    <t xml:space="preserve">INV-006939</t>
  </si>
  <si>
    <t xml:space="preserve">INV-006940</t>
  </si>
  <si>
    <t xml:space="preserve">INV-006941</t>
  </si>
  <si>
    <t xml:space="preserve">INV-006942</t>
  </si>
  <si>
    <t xml:space="preserve">INV-006943</t>
  </si>
  <si>
    <t xml:space="preserve">INV-006944</t>
  </si>
  <si>
    <t xml:space="preserve">INV-006945</t>
  </si>
  <si>
    <t xml:space="preserve">INV-006946</t>
  </si>
  <si>
    <t xml:space="preserve">INV-006947</t>
  </si>
  <si>
    <t xml:space="preserve">INV-006948</t>
  </si>
  <si>
    <t xml:space="preserve">INV-006949</t>
  </si>
  <si>
    <t xml:space="preserve">INV-006950</t>
  </si>
  <si>
    <t xml:space="preserve">INV-006951</t>
  </si>
  <si>
    <t xml:space="preserve">INV-006952</t>
  </si>
  <si>
    <t xml:space="preserve">INV-006953</t>
  </si>
  <si>
    <t xml:space="preserve">INV-006954</t>
  </si>
  <si>
    <t xml:space="preserve">INV-006955</t>
  </si>
  <si>
    <t xml:space="preserve">INV-006956</t>
  </si>
  <si>
    <t xml:space="preserve">INV-006957</t>
  </si>
  <si>
    <t xml:space="preserve">INV-006958</t>
  </si>
  <si>
    <t xml:space="preserve">INV-006959</t>
  </si>
  <si>
    <t xml:space="preserve">INV-006960</t>
  </si>
  <si>
    <t xml:space="preserve">INV-006961</t>
  </si>
  <si>
    <t xml:space="preserve">INV-006962</t>
  </si>
  <si>
    <t xml:space="preserve">INV-006963</t>
  </si>
  <si>
    <t xml:space="preserve">INV-006964</t>
  </si>
  <si>
    <t xml:space="preserve">INV-006965</t>
  </si>
  <si>
    <t xml:space="preserve">INV-006966</t>
  </si>
  <si>
    <t xml:space="preserve">INV-006967</t>
  </si>
  <si>
    <t xml:space="preserve">INV-006968</t>
  </si>
  <si>
    <t xml:space="preserve">INV-006969</t>
  </si>
  <si>
    <t xml:space="preserve">INV-006970</t>
  </si>
  <si>
    <t xml:space="preserve">INV-006971</t>
  </si>
  <si>
    <t xml:space="preserve">INV-006972</t>
  </si>
  <si>
    <t xml:space="preserve">INV-006973</t>
  </si>
  <si>
    <t xml:space="preserve">INV-006974</t>
  </si>
  <si>
    <t xml:space="preserve">INV-006975</t>
  </si>
  <si>
    <t xml:space="preserve">INV-006976</t>
  </si>
  <si>
    <t xml:space="preserve">INV-006977</t>
  </si>
  <si>
    <t xml:space="preserve">INV-006978</t>
  </si>
  <si>
    <t xml:space="preserve">INV-006979</t>
  </si>
  <si>
    <t xml:space="preserve">INV-006980</t>
  </si>
  <si>
    <t xml:space="preserve">INV-006981</t>
  </si>
  <si>
    <t xml:space="preserve">INV-006982</t>
  </si>
  <si>
    <t xml:space="preserve">INV-006983</t>
  </si>
  <si>
    <t xml:space="preserve">INV-006984</t>
  </si>
  <si>
    <t xml:space="preserve">INV-006985</t>
  </si>
  <si>
    <t xml:space="preserve">INV-006986</t>
  </si>
  <si>
    <t xml:space="preserve">INV-006987</t>
  </si>
  <si>
    <t xml:space="preserve">INV-006988</t>
  </si>
  <si>
    <t xml:space="preserve">INV-006989</t>
  </si>
  <si>
    <t xml:space="preserve">INV-006990</t>
  </si>
  <si>
    <t xml:space="preserve">INV-006991</t>
  </si>
  <si>
    <t xml:space="preserve">INV-006992</t>
  </si>
  <si>
    <t xml:space="preserve">INV-006993</t>
  </si>
  <si>
    <t xml:space="preserve">INV-006994</t>
  </si>
  <si>
    <t xml:space="preserve">INV-006995</t>
  </si>
  <si>
    <t xml:space="preserve">INV-006996</t>
  </si>
  <si>
    <t xml:space="preserve">INV-006997</t>
  </si>
  <si>
    <t xml:space="preserve">INV-006998</t>
  </si>
  <si>
    <t xml:space="preserve">INV-006999</t>
  </si>
  <si>
    <t xml:space="preserve">INV-007000</t>
  </si>
  <si>
    <t xml:space="preserve">INV-007001</t>
  </si>
  <si>
    <t xml:space="preserve">INV-007002</t>
  </si>
  <si>
    <t xml:space="preserve">INV-007003</t>
  </si>
  <si>
    <t xml:space="preserve">INV-007004</t>
  </si>
  <si>
    <t xml:space="preserve">INV-007005</t>
  </si>
  <si>
    <t xml:space="preserve">INV-007006</t>
  </si>
  <si>
    <t xml:space="preserve">INV-007007</t>
  </si>
  <si>
    <t xml:space="preserve">INV-007008</t>
  </si>
  <si>
    <t xml:space="preserve">INV-007009</t>
  </si>
  <si>
    <t xml:space="preserve">INV-007010</t>
  </si>
  <si>
    <t xml:space="preserve">INV-007011</t>
  </si>
  <si>
    <t xml:space="preserve">INV-007012</t>
  </si>
  <si>
    <t xml:space="preserve">INV-007013</t>
  </si>
  <si>
    <t xml:space="preserve">INV-007014</t>
  </si>
  <si>
    <t xml:space="preserve">INV-007015</t>
  </si>
  <si>
    <t xml:space="preserve">INV-007016</t>
  </si>
  <si>
    <t xml:space="preserve">INV-007017</t>
  </si>
  <si>
    <t xml:space="preserve">INV-007018</t>
  </si>
  <si>
    <t xml:space="preserve">INV-007019</t>
  </si>
  <si>
    <t xml:space="preserve">INV-007020</t>
  </si>
  <si>
    <t xml:space="preserve">INV-007021</t>
  </si>
  <si>
    <t xml:space="preserve">INV-007022</t>
  </si>
  <si>
    <t xml:space="preserve">INV-007023</t>
  </si>
  <si>
    <t xml:space="preserve">INV-007024</t>
  </si>
  <si>
    <t xml:space="preserve">INV-007025</t>
  </si>
  <si>
    <t xml:space="preserve">INV-007026</t>
  </si>
  <si>
    <t xml:space="preserve">INV-007027</t>
  </si>
  <si>
    <t xml:space="preserve">INV-007028</t>
  </si>
  <si>
    <t xml:space="preserve">INV-007029</t>
  </si>
  <si>
    <t xml:space="preserve">INV-007030</t>
  </si>
  <si>
    <t xml:space="preserve">INV-007031</t>
  </si>
  <si>
    <t xml:space="preserve">INV-007032</t>
  </si>
  <si>
    <t xml:space="preserve">INV-007033</t>
  </si>
  <si>
    <t xml:space="preserve">INV-007034</t>
  </si>
  <si>
    <t xml:space="preserve">INV-007035</t>
  </si>
  <si>
    <t xml:space="preserve">INV-007036</t>
  </si>
  <si>
    <t xml:space="preserve">INV-007037</t>
  </si>
  <si>
    <t xml:space="preserve">INV-007038</t>
  </si>
  <si>
    <t xml:space="preserve">INV-007039</t>
  </si>
  <si>
    <t xml:space="preserve">INV-007040</t>
  </si>
  <si>
    <t xml:space="preserve">INV-007041</t>
  </si>
  <si>
    <t xml:space="preserve">INV-007042</t>
  </si>
  <si>
    <t xml:space="preserve">INV-007043</t>
  </si>
  <si>
    <t xml:space="preserve">INV-007044</t>
  </si>
  <si>
    <t xml:space="preserve">INV-007045</t>
  </si>
  <si>
    <t xml:space="preserve">INV-007046</t>
  </si>
  <si>
    <t xml:space="preserve">INV-007047</t>
  </si>
  <si>
    <t xml:space="preserve">INV-007048</t>
  </si>
  <si>
    <t xml:space="preserve">INV-007049</t>
  </si>
  <si>
    <t xml:space="preserve">INV-007050</t>
  </si>
  <si>
    <t xml:space="preserve">INV-007051</t>
  </si>
  <si>
    <t xml:space="preserve">INV-007052</t>
  </si>
  <si>
    <t xml:space="preserve">INV-007053</t>
  </si>
  <si>
    <t xml:space="preserve">INV-007054</t>
  </si>
  <si>
    <t xml:space="preserve">INV-007055</t>
  </si>
  <si>
    <t xml:space="preserve">INV-007056</t>
  </si>
  <si>
    <t xml:space="preserve">INV-007057</t>
  </si>
  <si>
    <t xml:space="preserve">INV-007058</t>
  </si>
  <si>
    <t xml:space="preserve">INV-007059</t>
  </si>
  <si>
    <t xml:space="preserve">INV-007060</t>
  </si>
  <si>
    <t xml:space="preserve">INV-007061</t>
  </si>
  <si>
    <t xml:space="preserve">INV-007062</t>
  </si>
  <si>
    <t xml:space="preserve">INV-007063</t>
  </si>
  <si>
    <t xml:space="preserve">INV-007064</t>
  </si>
  <si>
    <t xml:space="preserve">INV-007065</t>
  </si>
  <si>
    <t xml:space="preserve">INV-007066</t>
  </si>
  <si>
    <t xml:space="preserve">INV-007067</t>
  </si>
  <si>
    <t xml:space="preserve">INV-007068</t>
  </si>
  <si>
    <t xml:space="preserve">INV-007069</t>
  </si>
  <si>
    <t xml:space="preserve">INV-007070</t>
  </si>
  <si>
    <t xml:space="preserve">INV-007071</t>
  </si>
  <si>
    <t xml:space="preserve">INV-007072</t>
  </si>
  <si>
    <t xml:space="preserve">INV-007073</t>
  </si>
  <si>
    <t xml:space="preserve">INV-007074</t>
  </si>
  <si>
    <t xml:space="preserve">INV-007075</t>
  </si>
  <si>
    <t xml:space="preserve">INV-007076</t>
  </si>
  <si>
    <t xml:space="preserve">INV-007077</t>
  </si>
  <si>
    <t xml:space="preserve">INV-007078</t>
  </si>
  <si>
    <t xml:space="preserve">INV-007079</t>
  </si>
  <si>
    <t xml:space="preserve">INV-007080</t>
  </si>
  <si>
    <t xml:space="preserve">INV-007081</t>
  </si>
  <si>
    <t xml:space="preserve">INV-007082</t>
  </si>
  <si>
    <t xml:space="preserve">INV-007083</t>
  </si>
  <si>
    <t xml:space="preserve">INV-007084</t>
  </si>
  <si>
    <t xml:space="preserve">INV-007085</t>
  </si>
  <si>
    <t xml:space="preserve">INV-007086</t>
  </si>
  <si>
    <t xml:space="preserve">INV-007087</t>
  </si>
  <si>
    <t xml:space="preserve">INV-007088</t>
  </si>
  <si>
    <t xml:space="preserve">INV-007089</t>
  </si>
  <si>
    <t xml:space="preserve">INV-007090</t>
  </si>
  <si>
    <t xml:space="preserve">INV-007091</t>
  </si>
  <si>
    <t xml:space="preserve">INV-007092</t>
  </si>
  <si>
    <t xml:space="preserve">INV-007093</t>
  </si>
  <si>
    <t xml:space="preserve">INV-007094</t>
  </si>
  <si>
    <t xml:space="preserve">INV-007095</t>
  </si>
  <si>
    <t xml:space="preserve">INV-007096</t>
  </si>
  <si>
    <t xml:space="preserve">INV-007097</t>
  </si>
  <si>
    <t xml:space="preserve">INV-007098</t>
  </si>
  <si>
    <t xml:space="preserve">INV-007099</t>
  </si>
  <si>
    <t xml:space="preserve">INV-007100</t>
  </si>
  <si>
    <t xml:space="preserve">INV-007101</t>
  </si>
  <si>
    <t xml:space="preserve">INV-007102</t>
  </si>
  <si>
    <t xml:space="preserve">INV-007103</t>
  </si>
  <si>
    <t xml:space="preserve">INV-007104</t>
  </si>
  <si>
    <t xml:space="preserve">INV-007105</t>
  </si>
  <si>
    <t xml:space="preserve">INV-007106</t>
  </si>
  <si>
    <t xml:space="preserve">INV-007107</t>
  </si>
  <si>
    <t xml:space="preserve">INV-007108</t>
  </si>
  <si>
    <t xml:space="preserve">INV-007109</t>
  </si>
  <si>
    <t xml:space="preserve">INV-007110</t>
  </si>
  <si>
    <t xml:space="preserve">INV-007111</t>
  </si>
  <si>
    <t xml:space="preserve">INV-007112</t>
  </si>
  <si>
    <t xml:space="preserve">INV-007113</t>
  </si>
  <si>
    <t xml:space="preserve">INV-007114</t>
  </si>
  <si>
    <t xml:space="preserve">INV-007115</t>
  </si>
  <si>
    <t xml:space="preserve">INV-007116</t>
  </si>
  <si>
    <t xml:space="preserve">INV-007117</t>
  </si>
  <si>
    <t xml:space="preserve">INV-007118</t>
  </si>
  <si>
    <t xml:space="preserve">INV-007119</t>
  </si>
  <si>
    <t xml:space="preserve">INV-007120</t>
  </si>
  <si>
    <t xml:space="preserve">INV-007121</t>
  </si>
  <si>
    <t xml:space="preserve">INV-007122</t>
  </si>
  <si>
    <t xml:space="preserve">INV-007123</t>
  </si>
  <si>
    <t xml:space="preserve">INV-007124</t>
  </si>
  <si>
    <t xml:space="preserve">INV-007125</t>
  </si>
  <si>
    <t xml:space="preserve">INV-007126</t>
  </si>
  <si>
    <t xml:space="preserve">INV-007127</t>
  </si>
  <si>
    <t xml:space="preserve">INV-007128</t>
  </si>
  <si>
    <t xml:space="preserve">INV-007129</t>
  </si>
  <si>
    <t xml:space="preserve">INV-007130</t>
  </si>
  <si>
    <t xml:space="preserve">INV-007131</t>
  </si>
  <si>
    <t xml:space="preserve">INV-007132</t>
  </si>
  <si>
    <t xml:space="preserve">INV-007133</t>
  </si>
  <si>
    <t xml:space="preserve">INV-007134</t>
  </si>
  <si>
    <t xml:space="preserve">INV-007135</t>
  </si>
  <si>
    <t xml:space="preserve">INV-007136</t>
  </si>
  <si>
    <t xml:space="preserve">INV-007137</t>
  </si>
  <si>
    <t xml:space="preserve">INV-007138</t>
  </si>
  <si>
    <t xml:space="preserve">INV-007139</t>
  </si>
  <si>
    <t xml:space="preserve">INV-007140</t>
  </si>
  <si>
    <t xml:space="preserve">INV-007141</t>
  </si>
  <si>
    <t xml:space="preserve">INV-007142</t>
  </si>
  <si>
    <t xml:space="preserve">INV-007143</t>
  </si>
  <si>
    <t xml:space="preserve">INV-007144</t>
  </si>
  <si>
    <t xml:space="preserve">INV-007145</t>
  </si>
  <si>
    <t xml:space="preserve">INV-007146</t>
  </si>
  <si>
    <t xml:space="preserve">INV-007147</t>
  </si>
  <si>
    <t xml:space="preserve">INV-007148</t>
  </si>
  <si>
    <t xml:space="preserve">INV-007149</t>
  </si>
  <si>
    <t xml:space="preserve">INV-007150</t>
  </si>
  <si>
    <t xml:space="preserve">INV-007151</t>
  </si>
  <si>
    <t xml:space="preserve">INV-007152</t>
  </si>
  <si>
    <t xml:space="preserve">INV-007153</t>
  </si>
  <si>
    <t xml:space="preserve">INV-007154</t>
  </si>
  <si>
    <t xml:space="preserve">INV-007155</t>
  </si>
  <si>
    <t xml:space="preserve">INV-007156</t>
  </si>
  <si>
    <t xml:space="preserve">INV-007157</t>
  </si>
  <si>
    <t xml:space="preserve">INV-007158</t>
  </si>
  <si>
    <t xml:space="preserve">INV-007159</t>
  </si>
  <si>
    <t xml:space="preserve">INV-007160</t>
  </si>
  <si>
    <t xml:space="preserve">INV-007161</t>
  </si>
  <si>
    <t xml:space="preserve">INV-007162</t>
  </si>
  <si>
    <t xml:space="preserve">INV-007163</t>
  </si>
  <si>
    <t xml:space="preserve">INV-007164</t>
  </si>
  <si>
    <t xml:space="preserve">INV-007165</t>
  </si>
  <si>
    <t xml:space="preserve">INV-007166</t>
  </si>
  <si>
    <t xml:space="preserve">INV-007167</t>
  </si>
  <si>
    <t xml:space="preserve">INV-007168</t>
  </si>
  <si>
    <t xml:space="preserve">INV-007169</t>
  </si>
  <si>
    <t xml:space="preserve">INV-007170</t>
  </si>
  <si>
    <t xml:space="preserve">INV-007171</t>
  </si>
  <si>
    <t xml:space="preserve">INV-007172</t>
  </si>
  <si>
    <t xml:space="preserve">INV-007173</t>
  </si>
  <si>
    <t xml:space="preserve">INV-007174</t>
  </si>
  <si>
    <t xml:space="preserve">INV-007175</t>
  </si>
  <si>
    <t xml:space="preserve">INV-007176</t>
  </si>
  <si>
    <t xml:space="preserve">INV-007177</t>
  </si>
  <si>
    <t xml:space="preserve">INV-007178</t>
  </si>
  <si>
    <t xml:space="preserve">INV-007179</t>
  </si>
  <si>
    <t xml:space="preserve">INV-007180</t>
  </si>
  <si>
    <t xml:space="preserve">INV-007181</t>
  </si>
  <si>
    <t xml:space="preserve">INV-007182</t>
  </si>
  <si>
    <t xml:space="preserve">INV-007183</t>
  </si>
  <si>
    <t xml:space="preserve">INV-007184</t>
  </si>
  <si>
    <t xml:space="preserve">INV-007185</t>
  </si>
  <si>
    <t xml:space="preserve">INV-007186</t>
  </si>
  <si>
    <t xml:space="preserve">INV-007187</t>
  </si>
  <si>
    <t xml:space="preserve">INV-007188</t>
  </si>
  <si>
    <t xml:space="preserve">INV-007189</t>
  </si>
  <si>
    <t xml:space="preserve">INV-007190</t>
  </si>
  <si>
    <t xml:space="preserve">INV-007191</t>
  </si>
  <si>
    <t xml:space="preserve">INV-007192</t>
  </si>
  <si>
    <t xml:space="preserve">INV-007193</t>
  </si>
  <si>
    <t xml:space="preserve">INV-007194</t>
  </si>
  <si>
    <t xml:space="preserve">INV-007195</t>
  </si>
  <si>
    <t xml:space="preserve">INV-007196</t>
  </si>
  <si>
    <t xml:space="preserve">INV-007197</t>
  </si>
  <si>
    <t xml:space="preserve">INV-007198</t>
  </si>
  <si>
    <t xml:space="preserve">INV-007199</t>
  </si>
  <si>
    <t xml:space="preserve">INV-007200</t>
  </si>
  <si>
    <t xml:space="preserve">INV-007201</t>
  </si>
  <si>
    <t xml:space="preserve">INV-007202</t>
  </si>
  <si>
    <t xml:space="preserve">INV-007203</t>
  </si>
  <si>
    <t xml:space="preserve">INV-007204</t>
  </si>
  <si>
    <t xml:space="preserve">INV-007205</t>
  </si>
  <si>
    <t xml:space="preserve">INV-007206</t>
  </si>
  <si>
    <t xml:space="preserve">INV-007207</t>
  </si>
  <si>
    <t xml:space="preserve">INV-007208</t>
  </si>
  <si>
    <t xml:space="preserve">INV-007209</t>
  </si>
  <si>
    <t xml:space="preserve">INV-007210</t>
  </si>
  <si>
    <t xml:space="preserve">INV-007211</t>
  </si>
  <si>
    <t xml:space="preserve">INV-007212</t>
  </si>
  <si>
    <t xml:space="preserve">INV-007213</t>
  </si>
  <si>
    <t xml:space="preserve">INV-007214</t>
  </si>
  <si>
    <t xml:space="preserve">INV-007215</t>
  </si>
  <si>
    <t xml:space="preserve">INV-007216</t>
  </si>
  <si>
    <t xml:space="preserve">INV-007217</t>
  </si>
  <si>
    <t xml:space="preserve">INV-007218</t>
  </si>
  <si>
    <t xml:space="preserve">INV-007219</t>
  </si>
  <si>
    <t xml:space="preserve">INV-007220</t>
  </si>
  <si>
    <t xml:space="preserve">INV-007221</t>
  </si>
  <si>
    <t xml:space="preserve">INV-007222</t>
  </si>
  <si>
    <t xml:space="preserve">INV-007223</t>
  </si>
  <si>
    <t xml:space="preserve">INV-007224</t>
  </si>
  <si>
    <t xml:space="preserve">INV-007225</t>
  </si>
  <si>
    <t xml:space="preserve">INV-007226</t>
  </si>
  <si>
    <t xml:space="preserve">INV-007227</t>
  </si>
  <si>
    <t xml:space="preserve">INV-007228</t>
  </si>
  <si>
    <t xml:space="preserve">INV-007229</t>
  </si>
  <si>
    <t xml:space="preserve">INV-007230</t>
  </si>
  <si>
    <t xml:space="preserve">INV-007231</t>
  </si>
  <si>
    <t xml:space="preserve">INV-007232</t>
  </si>
  <si>
    <t xml:space="preserve">INV-007233</t>
  </si>
  <si>
    <t xml:space="preserve">INV-007234</t>
  </si>
  <si>
    <t xml:space="preserve">INV-007235</t>
  </si>
  <si>
    <t xml:space="preserve">INV-007236</t>
  </si>
  <si>
    <t xml:space="preserve">INV-007237</t>
  </si>
  <si>
    <t xml:space="preserve">INV-007238</t>
  </si>
  <si>
    <t xml:space="preserve">INV-007239</t>
  </si>
  <si>
    <t xml:space="preserve">INV-007240</t>
  </si>
  <si>
    <t xml:space="preserve">INV-007241</t>
  </si>
  <si>
    <t xml:space="preserve">INV-007242</t>
  </si>
  <si>
    <t xml:space="preserve">INV-007243</t>
  </si>
  <si>
    <t xml:space="preserve">INV-007244</t>
  </si>
  <si>
    <t xml:space="preserve">INV-007245</t>
  </si>
  <si>
    <t xml:space="preserve">INV-007246</t>
  </si>
  <si>
    <t xml:space="preserve">INV-007247</t>
  </si>
  <si>
    <t xml:space="preserve">INV-007248</t>
  </si>
  <si>
    <t xml:space="preserve">INV-007249</t>
  </si>
  <si>
    <t xml:space="preserve">INV-007250</t>
  </si>
  <si>
    <t xml:space="preserve">INV-007251</t>
  </si>
  <si>
    <t xml:space="preserve">INV-007252</t>
  </si>
  <si>
    <t xml:space="preserve">INV-007253</t>
  </si>
  <si>
    <t xml:space="preserve">INV-007254</t>
  </si>
  <si>
    <t xml:space="preserve">INV-007255</t>
  </si>
  <si>
    <t xml:space="preserve">INV-007256</t>
  </si>
  <si>
    <t xml:space="preserve">INV-007257</t>
  </si>
  <si>
    <t xml:space="preserve">INV-007258</t>
  </si>
  <si>
    <t xml:space="preserve">INV-007259</t>
  </si>
  <si>
    <t xml:space="preserve">INV-007260</t>
  </si>
  <si>
    <t xml:space="preserve">INV-007261</t>
  </si>
  <si>
    <t xml:space="preserve">INV-007262</t>
  </si>
  <si>
    <t xml:space="preserve">INV-007263</t>
  </si>
  <si>
    <t xml:space="preserve">INV-007264</t>
  </si>
  <si>
    <t xml:space="preserve">INV-007265</t>
  </si>
  <si>
    <t xml:space="preserve">INV-007266</t>
  </si>
  <si>
    <t xml:space="preserve">INV-007267</t>
  </si>
  <si>
    <t xml:space="preserve">INV-007268</t>
  </si>
  <si>
    <t xml:space="preserve">INV-007269</t>
  </si>
  <si>
    <t xml:space="preserve">INV-007270</t>
  </si>
  <si>
    <t xml:space="preserve">INV-007271</t>
  </si>
  <si>
    <t xml:space="preserve">INV-007272</t>
  </si>
  <si>
    <t xml:space="preserve">INV-007273</t>
  </si>
  <si>
    <t xml:space="preserve">INV-007274</t>
  </si>
  <si>
    <t xml:space="preserve">INV-007275</t>
  </si>
  <si>
    <t xml:space="preserve">INV-007276</t>
  </si>
  <si>
    <t xml:space="preserve">INV-007277</t>
  </si>
  <si>
    <t xml:space="preserve">INV-007278</t>
  </si>
  <si>
    <t xml:space="preserve">INV-007279</t>
  </si>
  <si>
    <t xml:space="preserve">INV-007280</t>
  </si>
  <si>
    <t xml:space="preserve">INV-007281</t>
  </si>
  <si>
    <t xml:space="preserve">INV-007282</t>
  </si>
  <si>
    <t xml:space="preserve">INV-007283</t>
  </si>
  <si>
    <t xml:space="preserve">INV-007284</t>
  </si>
  <si>
    <t xml:space="preserve">INV-007285</t>
  </si>
  <si>
    <t xml:space="preserve">INV-007286</t>
  </si>
  <si>
    <t xml:space="preserve">INV-007287</t>
  </si>
  <si>
    <t xml:space="preserve">INV-007288</t>
  </si>
  <si>
    <t xml:space="preserve">INV-007289</t>
  </si>
  <si>
    <t xml:space="preserve">INV-007290</t>
  </si>
  <si>
    <t xml:space="preserve">INV-007291</t>
  </si>
  <si>
    <t xml:space="preserve">INV-007292</t>
  </si>
  <si>
    <t xml:space="preserve">INV-007293</t>
  </si>
  <si>
    <t xml:space="preserve">INV-007294</t>
  </si>
  <si>
    <t xml:space="preserve">INV-007295</t>
  </si>
  <si>
    <t xml:space="preserve">INV-007296</t>
  </si>
  <si>
    <t xml:space="preserve">INV-007297</t>
  </si>
  <si>
    <t xml:space="preserve">INV-007298</t>
  </si>
  <si>
    <t xml:space="preserve">INV-007299</t>
  </si>
  <si>
    <t xml:space="preserve">INV-007300</t>
  </si>
  <si>
    <t xml:space="preserve">INV-007301</t>
  </si>
  <si>
    <t xml:space="preserve">INV-007302</t>
  </si>
  <si>
    <t xml:space="preserve">INV-007303</t>
  </si>
  <si>
    <t xml:space="preserve">INV-007304</t>
  </si>
  <si>
    <t xml:space="preserve">INV-007305</t>
  </si>
  <si>
    <t xml:space="preserve">INV-007306</t>
  </si>
  <si>
    <t xml:space="preserve">INV-007307</t>
  </si>
  <si>
    <t xml:space="preserve">INV-007308</t>
  </si>
  <si>
    <t xml:space="preserve">INV-007309</t>
  </si>
  <si>
    <t xml:space="preserve">INV-007310</t>
  </si>
  <si>
    <t xml:space="preserve">INV-007311</t>
  </si>
  <si>
    <t xml:space="preserve">INV-007312</t>
  </si>
  <si>
    <t xml:space="preserve">INV-007313</t>
  </si>
  <si>
    <t xml:space="preserve">INV-007314</t>
  </si>
  <si>
    <t xml:space="preserve">INV-007315</t>
  </si>
  <si>
    <t xml:space="preserve">INV-007316</t>
  </si>
  <si>
    <t xml:space="preserve">INV-007317</t>
  </si>
  <si>
    <t xml:space="preserve">INV-007318</t>
  </si>
  <si>
    <t xml:space="preserve">INV-007319</t>
  </si>
  <si>
    <t xml:space="preserve">INV-007320</t>
  </si>
  <si>
    <t xml:space="preserve">INV-007321</t>
  </si>
  <si>
    <t xml:space="preserve">INV-007322</t>
  </si>
  <si>
    <t xml:space="preserve">INV-007323</t>
  </si>
  <si>
    <t xml:space="preserve">INV-007324</t>
  </si>
  <si>
    <t xml:space="preserve">INV-007325</t>
  </si>
  <si>
    <t xml:space="preserve">INV-007326</t>
  </si>
  <si>
    <t xml:space="preserve">INV-007327</t>
  </si>
  <si>
    <t xml:space="preserve">INV-007328</t>
  </si>
  <si>
    <t xml:space="preserve">INV-007329</t>
  </si>
  <si>
    <t xml:space="preserve">INV-007330</t>
  </si>
  <si>
    <t xml:space="preserve">INV-007331</t>
  </si>
  <si>
    <t xml:space="preserve">INV-007332</t>
  </si>
  <si>
    <t xml:space="preserve">INV-007333</t>
  </si>
  <si>
    <t xml:space="preserve">INV-007334</t>
  </si>
  <si>
    <t xml:space="preserve">INV-007335</t>
  </si>
  <si>
    <t xml:space="preserve">INV-007336</t>
  </si>
  <si>
    <t xml:space="preserve">INV-007337</t>
  </si>
  <si>
    <t xml:space="preserve">INV-007338</t>
  </si>
  <si>
    <t xml:space="preserve">INV-007339</t>
  </si>
  <si>
    <t xml:space="preserve">INV-007340</t>
  </si>
  <si>
    <t xml:space="preserve">INV-007341</t>
  </si>
  <si>
    <t xml:space="preserve">INV-007342</t>
  </si>
  <si>
    <t xml:space="preserve">INV-007343</t>
  </si>
  <si>
    <t xml:space="preserve">INV-007344</t>
  </si>
  <si>
    <t xml:space="preserve">INV-007345</t>
  </si>
  <si>
    <t xml:space="preserve">INV-007346</t>
  </si>
  <si>
    <t xml:space="preserve">INV-007347</t>
  </si>
  <si>
    <t xml:space="preserve">INV-007348</t>
  </si>
  <si>
    <t xml:space="preserve">INV-007349</t>
  </si>
  <si>
    <t xml:space="preserve">INV-007350</t>
  </si>
  <si>
    <t xml:space="preserve">INV-007351</t>
  </si>
  <si>
    <t xml:space="preserve">INV-007352</t>
  </si>
  <si>
    <t xml:space="preserve">INV-007353</t>
  </si>
  <si>
    <t xml:space="preserve">INV-007354</t>
  </si>
  <si>
    <t xml:space="preserve">INV-007355</t>
  </si>
  <si>
    <t xml:space="preserve">INV-007356</t>
  </si>
  <si>
    <t xml:space="preserve">INV-007357</t>
  </si>
  <si>
    <t xml:space="preserve">INV-007358</t>
  </si>
  <si>
    <t xml:space="preserve">INV-007359</t>
  </si>
  <si>
    <t xml:space="preserve">INV-007360</t>
  </si>
  <si>
    <t xml:space="preserve">INV-007361</t>
  </si>
  <si>
    <t xml:space="preserve">INV-007362</t>
  </si>
  <si>
    <t xml:space="preserve">INV-007363</t>
  </si>
  <si>
    <t xml:space="preserve">INV-007364</t>
  </si>
  <si>
    <t xml:space="preserve">INV-007365</t>
  </si>
  <si>
    <t xml:space="preserve">INV-007366</t>
  </si>
  <si>
    <t xml:space="preserve">INV-007367</t>
  </si>
  <si>
    <t xml:space="preserve">INV-007368</t>
  </si>
  <si>
    <t xml:space="preserve">INV-007369</t>
  </si>
  <si>
    <t xml:space="preserve">INV-007370</t>
  </si>
  <si>
    <t xml:space="preserve">INV-007371</t>
  </si>
  <si>
    <t xml:space="preserve">INV-007372</t>
  </si>
  <si>
    <t xml:space="preserve">INV-007373</t>
  </si>
  <si>
    <t xml:space="preserve">INV-007374</t>
  </si>
  <si>
    <t xml:space="preserve">INV-007375</t>
  </si>
  <si>
    <t xml:space="preserve">INV-007376</t>
  </si>
  <si>
    <t xml:space="preserve">INV-007377</t>
  </si>
  <si>
    <t xml:space="preserve">INV-007378</t>
  </si>
  <si>
    <t xml:space="preserve">INV-007379</t>
  </si>
  <si>
    <t xml:space="preserve">INV-007380</t>
  </si>
  <si>
    <t xml:space="preserve">INV-007381</t>
  </si>
  <si>
    <t xml:space="preserve">INV-007382</t>
  </si>
  <si>
    <t xml:space="preserve">INV-007383</t>
  </si>
  <si>
    <t xml:space="preserve">INV-007384</t>
  </si>
  <si>
    <t xml:space="preserve">INV-007385</t>
  </si>
  <si>
    <t xml:space="preserve">INV-007386</t>
  </si>
  <si>
    <t xml:space="preserve">INV-007387</t>
  </si>
  <si>
    <t xml:space="preserve">INV-007388</t>
  </si>
  <si>
    <t xml:space="preserve">INV-007389</t>
  </si>
  <si>
    <t xml:space="preserve">INV-007390</t>
  </si>
  <si>
    <t xml:space="preserve">INV-007391</t>
  </si>
  <si>
    <t xml:space="preserve">INV-007392</t>
  </si>
  <si>
    <t xml:space="preserve">INV-007393</t>
  </si>
  <si>
    <t xml:space="preserve">INV-007394</t>
  </si>
  <si>
    <t xml:space="preserve">INV-007395</t>
  </si>
  <si>
    <t xml:space="preserve">INV-007396</t>
  </si>
  <si>
    <t xml:space="preserve">INV-007397</t>
  </si>
  <si>
    <t xml:space="preserve">INV-007398</t>
  </si>
  <si>
    <t xml:space="preserve">INV-007399</t>
  </si>
  <si>
    <t xml:space="preserve">INV-007400</t>
  </si>
  <si>
    <t xml:space="preserve">INV-007401</t>
  </si>
  <si>
    <t xml:space="preserve">INV-007402</t>
  </si>
  <si>
    <t xml:space="preserve">INV-007403</t>
  </si>
  <si>
    <t xml:space="preserve">INV-007404</t>
  </si>
  <si>
    <t xml:space="preserve">INV-007405</t>
  </si>
  <si>
    <t xml:space="preserve">INV-007406</t>
  </si>
  <si>
    <t xml:space="preserve">INV-007407</t>
  </si>
  <si>
    <t xml:space="preserve">INV-007408</t>
  </si>
  <si>
    <t xml:space="preserve">INV-007409</t>
  </si>
  <si>
    <t xml:space="preserve">INV-007410</t>
  </si>
  <si>
    <t xml:space="preserve">INV-007411</t>
  </si>
  <si>
    <t xml:space="preserve">INV-007412</t>
  </si>
  <si>
    <t xml:space="preserve">INV-007413</t>
  </si>
  <si>
    <t xml:space="preserve">INV-007414</t>
  </si>
  <si>
    <t xml:space="preserve">INV-007415</t>
  </si>
  <si>
    <t xml:space="preserve">INV-007416</t>
  </si>
  <si>
    <t xml:space="preserve">INV-007417</t>
  </si>
  <si>
    <t xml:space="preserve">INV-007418</t>
  </si>
  <si>
    <t xml:space="preserve">INV-007419</t>
  </si>
  <si>
    <t xml:space="preserve">INV-007420</t>
  </si>
  <si>
    <t xml:space="preserve">INV-007421</t>
  </si>
  <si>
    <t xml:space="preserve">INV-007422</t>
  </si>
  <si>
    <t xml:space="preserve">INV-007423</t>
  </si>
  <si>
    <t xml:space="preserve">INV-007424</t>
  </si>
  <si>
    <t xml:space="preserve">INV-007425</t>
  </si>
  <si>
    <t xml:space="preserve">INV-007426</t>
  </si>
  <si>
    <t xml:space="preserve">INV-007427</t>
  </si>
  <si>
    <t xml:space="preserve">INV-007428</t>
  </si>
  <si>
    <t xml:space="preserve">INV-007429</t>
  </si>
  <si>
    <t xml:space="preserve">INV-007430</t>
  </si>
  <si>
    <t xml:space="preserve">INV-007431</t>
  </si>
  <si>
    <t xml:space="preserve">INV-007432</t>
  </si>
  <si>
    <t xml:space="preserve">INV-007433</t>
  </si>
  <si>
    <t xml:space="preserve">INV-007434</t>
  </si>
  <si>
    <t xml:space="preserve">INV-007435</t>
  </si>
  <si>
    <t xml:space="preserve">INV-007436</t>
  </si>
  <si>
    <t xml:space="preserve">INV-007437</t>
  </si>
  <si>
    <t xml:space="preserve">INV-007438</t>
  </si>
  <si>
    <t xml:space="preserve">INV-007439</t>
  </si>
  <si>
    <t xml:space="preserve">INV-007440</t>
  </si>
  <si>
    <t xml:space="preserve">INV-007441</t>
  </si>
  <si>
    <t xml:space="preserve">INV-007442</t>
  </si>
  <si>
    <t xml:space="preserve">INV-007443</t>
  </si>
  <si>
    <t xml:space="preserve">INV-007444</t>
  </si>
  <si>
    <t xml:space="preserve">INV-007445</t>
  </si>
  <si>
    <t xml:space="preserve">INV-007446</t>
  </si>
  <si>
    <t xml:space="preserve">INV-007447</t>
  </si>
  <si>
    <t xml:space="preserve">INV-007448</t>
  </si>
  <si>
    <t xml:space="preserve">INV-007449</t>
  </si>
  <si>
    <t xml:space="preserve">INV-007450</t>
  </si>
  <si>
    <t xml:space="preserve">INV-007451</t>
  </si>
  <si>
    <t xml:space="preserve">INV-007452</t>
  </si>
  <si>
    <t xml:space="preserve">INV-007453</t>
  </si>
  <si>
    <t xml:space="preserve">INV-007454</t>
  </si>
  <si>
    <t xml:space="preserve">INV-007455</t>
  </si>
  <si>
    <t xml:space="preserve">INV-007456</t>
  </si>
  <si>
    <t xml:space="preserve">INV-007457</t>
  </si>
  <si>
    <t xml:space="preserve">INV-007458</t>
  </si>
  <si>
    <t xml:space="preserve">INV-007459</t>
  </si>
  <si>
    <t xml:space="preserve">INV-007460</t>
  </si>
  <si>
    <t xml:space="preserve">INV-007461</t>
  </si>
  <si>
    <t xml:space="preserve">INV-007462</t>
  </si>
  <si>
    <t xml:space="preserve">INV-007463</t>
  </si>
  <si>
    <t xml:space="preserve">INV-007464</t>
  </si>
  <si>
    <t xml:space="preserve">INV-007465</t>
  </si>
  <si>
    <t xml:space="preserve">INV-007466</t>
  </si>
  <si>
    <t xml:space="preserve">INV-007467</t>
  </si>
  <si>
    <t xml:space="preserve">INV-007468</t>
  </si>
  <si>
    <t xml:space="preserve">INV-007469</t>
  </si>
  <si>
    <t xml:space="preserve">INV-007470</t>
  </si>
  <si>
    <t xml:space="preserve">INV-007471</t>
  </si>
  <si>
    <t xml:space="preserve">INV-007472</t>
  </si>
  <si>
    <t xml:space="preserve">INV-007473</t>
  </si>
  <si>
    <t xml:space="preserve">INV-007474</t>
  </si>
  <si>
    <t xml:space="preserve">INV-007475</t>
  </si>
  <si>
    <t xml:space="preserve">INV-007476</t>
  </si>
  <si>
    <t xml:space="preserve">INV-007477</t>
  </si>
  <si>
    <t xml:space="preserve">INV-007478</t>
  </si>
  <si>
    <t xml:space="preserve">INV-007479</t>
  </si>
  <si>
    <t xml:space="preserve">INV-007480</t>
  </si>
  <si>
    <t xml:space="preserve">INV-007481</t>
  </si>
  <si>
    <t xml:space="preserve">INV-007482</t>
  </si>
  <si>
    <t xml:space="preserve">INV-007483</t>
  </si>
  <si>
    <t xml:space="preserve">INV-007484</t>
  </si>
  <si>
    <t xml:space="preserve">INV-007485</t>
  </si>
  <si>
    <t xml:space="preserve">INV-007486</t>
  </si>
  <si>
    <t xml:space="preserve">INV-007487</t>
  </si>
  <si>
    <t xml:space="preserve">INV-007488</t>
  </si>
  <si>
    <t xml:space="preserve">INV-007489</t>
  </si>
  <si>
    <t xml:space="preserve">INV-007490</t>
  </si>
  <si>
    <t xml:space="preserve">INV-007491</t>
  </si>
  <si>
    <t xml:space="preserve">INV-007492</t>
  </si>
  <si>
    <t xml:space="preserve">INV-007493</t>
  </si>
  <si>
    <t xml:space="preserve">INV-007494</t>
  </si>
  <si>
    <t xml:space="preserve">INV-007495</t>
  </si>
  <si>
    <t xml:space="preserve">INV-007496</t>
  </si>
  <si>
    <t xml:space="preserve">INV-007497</t>
  </si>
  <si>
    <t xml:space="preserve">INV-007498</t>
  </si>
  <si>
    <t xml:space="preserve">INV-007499</t>
  </si>
  <si>
    <t xml:space="preserve">INV-007500</t>
  </si>
  <si>
    <t xml:space="preserve">INV-007501</t>
  </si>
  <si>
    <t xml:space="preserve">INV-007502</t>
  </si>
  <si>
    <t xml:space="preserve">INV-007503</t>
  </si>
  <si>
    <t xml:space="preserve">INV-007504</t>
  </si>
  <si>
    <t xml:space="preserve">INV-007505</t>
  </si>
  <si>
    <t xml:space="preserve">INV-007506</t>
  </si>
  <si>
    <t xml:space="preserve">INV-007507</t>
  </si>
  <si>
    <t xml:space="preserve">INV-007508</t>
  </si>
  <si>
    <t xml:space="preserve">INV-007509</t>
  </si>
  <si>
    <t xml:space="preserve">INV-007510</t>
  </si>
  <si>
    <t xml:space="preserve">INV-007511</t>
  </si>
  <si>
    <t xml:space="preserve">INV-007512</t>
  </si>
  <si>
    <t xml:space="preserve">INV-007513</t>
  </si>
  <si>
    <t xml:space="preserve">INV-007514</t>
  </si>
  <si>
    <t xml:space="preserve">INV-007515</t>
  </si>
  <si>
    <t xml:space="preserve">INV-007516</t>
  </si>
  <si>
    <t xml:space="preserve">INV-007517</t>
  </si>
  <si>
    <t xml:space="preserve">INV-007518</t>
  </si>
  <si>
    <t xml:space="preserve">INV-007519</t>
  </si>
  <si>
    <t xml:space="preserve">INV-007520</t>
  </si>
  <si>
    <t xml:space="preserve">INV-007521</t>
  </si>
  <si>
    <t xml:space="preserve">INV-007522</t>
  </si>
  <si>
    <t xml:space="preserve">INV-007523</t>
  </si>
  <si>
    <t xml:space="preserve">INV-007524</t>
  </si>
  <si>
    <t xml:space="preserve">INV-007525</t>
  </si>
  <si>
    <t xml:space="preserve">INV-007526</t>
  </si>
  <si>
    <t xml:space="preserve">INV-007527</t>
  </si>
  <si>
    <t xml:space="preserve">INV-007528</t>
  </si>
  <si>
    <t xml:space="preserve">INV-007529</t>
  </si>
  <si>
    <t xml:space="preserve">INV-007530</t>
  </si>
  <si>
    <t xml:space="preserve">INV-007531</t>
  </si>
  <si>
    <t xml:space="preserve">INV-007532</t>
  </si>
  <si>
    <t xml:space="preserve">INV-007533</t>
  </si>
  <si>
    <t xml:space="preserve">INV-007534</t>
  </si>
  <si>
    <t xml:space="preserve">INV-007535</t>
  </si>
  <si>
    <t xml:space="preserve">INV-007536</t>
  </si>
  <si>
    <t xml:space="preserve">INV-007537</t>
  </si>
  <si>
    <t xml:space="preserve">INV-007538</t>
  </si>
  <si>
    <t xml:space="preserve">INV-007539</t>
  </si>
  <si>
    <t xml:space="preserve">INV-007540</t>
  </si>
  <si>
    <t xml:space="preserve">INV-007541</t>
  </si>
  <si>
    <t xml:space="preserve">INV-007542</t>
  </si>
  <si>
    <t xml:space="preserve">INV-007543</t>
  </si>
  <si>
    <t xml:space="preserve">INV-007544</t>
  </si>
  <si>
    <t xml:space="preserve">INV-007545</t>
  </si>
  <si>
    <t xml:space="preserve">INV-007546</t>
  </si>
  <si>
    <t xml:space="preserve">INV-007547</t>
  </si>
  <si>
    <t xml:space="preserve">INV-007548</t>
  </si>
  <si>
    <t xml:space="preserve">INV-007549</t>
  </si>
  <si>
    <t xml:space="preserve">INV-007550</t>
  </si>
  <si>
    <t xml:space="preserve">INV-007551</t>
  </si>
  <si>
    <t xml:space="preserve">INV-007552</t>
  </si>
  <si>
    <t xml:space="preserve">INV-007553</t>
  </si>
  <si>
    <t xml:space="preserve">INV-007554</t>
  </si>
  <si>
    <t xml:space="preserve">INV-007555</t>
  </si>
  <si>
    <t xml:space="preserve">INV-007556</t>
  </si>
  <si>
    <t xml:space="preserve">INV-007557</t>
  </si>
  <si>
    <t xml:space="preserve">INV-007558</t>
  </si>
  <si>
    <t xml:space="preserve">INV-007559</t>
  </si>
  <si>
    <t xml:space="preserve">INV-007560</t>
  </si>
  <si>
    <t xml:space="preserve">INV-007561</t>
  </si>
  <si>
    <t xml:space="preserve">INV-007562</t>
  </si>
  <si>
    <t xml:space="preserve">INV-007563</t>
  </si>
  <si>
    <t xml:space="preserve">INV-007564</t>
  </si>
  <si>
    <t xml:space="preserve">INV-007565</t>
  </si>
  <si>
    <t xml:space="preserve">INV-007566</t>
  </si>
  <si>
    <t xml:space="preserve">INV-007567</t>
  </si>
  <si>
    <t xml:space="preserve">INV-007568</t>
  </si>
  <si>
    <t xml:space="preserve">INV-007569</t>
  </si>
  <si>
    <t xml:space="preserve">INV-007570</t>
  </si>
  <si>
    <t xml:space="preserve">INV-007571</t>
  </si>
  <si>
    <t xml:space="preserve">INV-007572</t>
  </si>
  <si>
    <t xml:space="preserve">INV-007573</t>
  </si>
  <si>
    <t xml:space="preserve">INV-007574</t>
  </si>
  <si>
    <t xml:space="preserve">INV-007575</t>
  </si>
  <si>
    <t xml:space="preserve">INV-007576</t>
  </si>
  <si>
    <t xml:space="preserve">INV-007577</t>
  </si>
  <si>
    <t xml:space="preserve">INV-007578</t>
  </si>
  <si>
    <t xml:space="preserve">INV-007579</t>
  </si>
  <si>
    <t xml:space="preserve">INV-007580</t>
  </si>
  <si>
    <t xml:space="preserve">INV-007581</t>
  </si>
  <si>
    <t xml:space="preserve">INV-007582</t>
  </si>
  <si>
    <t xml:space="preserve">INV-007583</t>
  </si>
  <si>
    <t xml:space="preserve">INV-007584</t>
  </si>
  <si>
    <t xml:space="preserve">INV-007585</t>
  </si>
  <si>
    <t xml:space="preserve">INV-007586</t>
  </si>
  <si>
    <t xml:space="preserve">INV-007587</t>
  </si>
  <si>
    <t xml:space="preserve">INV-007588</t>
  </si>
  <si>
    <t xml:space="preserve">INV-007589</t>
  </si>
  <si>
    <t xml:space="preserve">INV-007590</t>
  </si>
  <si>
    <t xml:space="preserve">INV-007591</t>
  </si>
  <si>
    <t xml:space="preserve">INV-007592</t>
  </si>
  <si>
    <t xml:space="preserve">INV-007593</t>
  </si>
  <si>
    <t xml:space="preserve">INV-007594</t>
  </si>
  <si>
    <t xml:space="preserve">INV-007595</t>
  </si>
  <si>
    <t xml:space="preserve">INV-007596</t>
  </si>
  <si>
    <t xml:space="preserve">INV-007597</t>
  </si>
  <si>
    <t xml:space="preserve">INV-007598</t>
  </si>
  <si>
    <t xml:space="preserve">INV-007599</t>
  </si>
  <si>
    <t xml:space="preserve">INV-007600</t>
  </si>
  <si>
    <t xml:space="preserve">INV-007601</t>
  </si>
  <si>
    <t xml:space="preserve">INV-007602</t>
  </si>
  <si>
    <t xml:space="preserve">INV-007603</t>
  </si>
  <si>
    <t xml:space="preserve">INV-007604</t>
  </si>
  <si>
    <t xml:space="preserve">INV-007605</t>
  </si>
  <si>
    <t xml:space="preserve">INV-007606</t>
  </si>
  <si>
    <t xml:space="preserve">INV-007607</t>
  </si>
  <si>
    <t xml:space="preserve">INV-007608</t>
  </si>
  <si>
    <t xml:space="preserve">INV-007609</t>
  </si>
  <si>
    <t xml:space="preserve">INV-007610</t>
  </si>
  <si>
    <t xml:space="preserve">INV-007611</t>
  </si>
  <si>
    <t xml:space="preserve">INV-007612</t>
  </si>
  <si>
    <t xml:space="preserve">INV-007613</t>
  </si>
  <si>
    <t xml:space="preserve">INV-007614</t>
  </si>
  <si>
    <t xml:space="preserve">INV-007615</t>
  </si>
  <si>
    <t xml:space="preserve">INV-007616</t>
  </si>
  <si>
    <t xml:space="preserve">INV-007617</t>
  </si>
  <si>
    <t xml:space="preserve">INV-007618</t>
  </si>
  <si>
    <t xml:space="preserve">INV-007619</t>
  </si>
  <si>
    <t xml:space="preserve">INV-007620</t>
  </si>
  <si>
    <t xml:space="preserve">INV-007621</t>
  </si>
  <si>
    <t xml:space="preserve">INV-007622</t>
  </si>
  <si>
    <t xml:space="preserve">INV-007623</t>
  </si>
  <si>
    <t xml:space="preserve">INV-007624</t>
  </si>
  <si>
    <t xml:space="preserve">INV-007625</t>
  </si>
  <si>
    <t xml:space="preserve">INV-007626</t>
  </si>
  <si>
    <t xml:space="preserve">INV-007627</t>
  </si>
  <si>
    <t xml:space="preserve">INV-007628</t>
  </si>
  <si>
    <t xml:space="preserve">INV-007629</t>
  </si>
  <si>
    <t xml:space="preserve">INV-007630</t>
  </si>
  <si>
    <t xml:space="preserve">INV-007631</t>
  </si>
  <si>
    <t xml:space="preserve">INV-007632</t>
  </si>
  <si>
    <t xml:space="preserve">INV-007633</t>
  </si>
  <si>
    <t xml:space="preserve">INV-007634</t>
  </si>
  <si>
    <t xml:space="preserve">INV-007635</t>
  </si>
  <si>
    <t xml:space="preserve">INV-007636</t>
  </si>
  <si>
    <t xml:space="preserve">INV-007637</t>
  </si>
  <si>
    <t xml:space="preserve">INV-007638</t>
  </si>
  <si>
    <t xml:space="preserve">INV-007639</t>
  </si>
  <si>
    <t xml:space="preserve">INV-007640</t>
  </si>
  <si>
    <t xml:space="preserve">INV-007641</t>
  </si>
  <si>
    <t xml:space="preserve">INV-007642</t>
  </si>
  <si>
    <t xml:space="preserve">INV-007643</t>
  </si>
  <si>
    <t xml:space="preserve">INV-007644</t>
  </si>
  <si>
    <t xml:space="preserve">INV-007645</t>
  </si>
  <si>
    <t xml:space="preserve">INV-007646</t>
  </si>
  <si>
    <t xml:space="preserve">INV-007647</t>
  </si>
  <si>
    <t xml:space="preserve">INV-007648</t>
  </si>
  <si>
    <t xml:space="preserve">INV-007649</t>
  </si>
  <si>
    <t xml:space="preserve">INV-007650</t>
  </si>
  <si>
    <t xml:space="preserve">INV-007651</t>
  </si>
  <si>
    <t xml:space="preserve">INV-007652</t>
  </si>
  <si>
    <t xml:space="preserve">INV-007653</t>
  </si>
  <si>
    <t xml:space="preserve">INV-007654</t>
  </si>
  <si>
    <t xml:space="preserve">INV-007655</t>
  </si>
  <si>
    <t xml:space="preserve">INV-007656</t>
  </si>
  <si>
    <t xml:space="preserve">INV-007657</t>
  </si>
  <si>
    <t xml:space="preserve">INV-007658</t>
  </si>
  <si>
    <t xml:space="preserve">INV-007659</t>
  </si>
  <si>
    <t xml:space="preserve">INV-007660</t>
  </si>
  <si>
    <t xml:space="preserve">INV-007661</t>
  </si>
  <si>
    <t xml:space="preserve">INV-007662</t>
  </si>
  <si>
    <t xml:space="preserve">INV-007663</t>
  </si>
  <si>
    <t xml:space="preserve">INV-007664</t>
  </si>
  <si>
    <t xml:space="preserve">INV-007665</t>
  </si>
  <si>
    <t xml:space="preserve">INV-007666</t>
  </si>
  <si>
    <t xml:space="preserve">INV-007667</t>
  </si>
  <si>
    <t xml:space="preserve">INV-007668</t>
  </si>
  <si>
    <t xml:space="preserve">INV-007669</t>
  </si>
  <si>
    <t xml:space="preserve">INV-007670</t>
  </si>
  <si>
    <t xml:space="preserve">INV-007671</t>
  </si>
  <si>
    <t xml:space="preserve">INV-007672</t>
  </si>
  <si>
    <t xml:space="preserve">INV-007673</t>
  </si>
  <si>
    <t xml:space="preserve">INV-007674</t>
  </si>
  <si>
    <t xml:space="preserve">INV-007675</t>
  </si>
  <si>
    <t xml:space="preserve">INV-007676</t>
  </si>
  <si>
    <t xml:space="preserve">INV-007677</t>
  </si>
  <si>
    <t xml:space="preserve">INV-007678</t>
  </si>
  <si>
    <t xml:space="preserve">INV-007679</t>
  </si>
  <si>
    <t xml:space="preserve">INV-007680</t>
  </si>
  <si>
    <t xml:space="preserve">INV-007681</t>
  </si>
  <si>
    <t xml:space="preserve">INV-007682</t>
  </si>
  <si>
    <t xml:space="preserve">INV-007683</t>
  </si>
  <si>
    <t xml:space="preserve">INV-007684</t>
  </si>
  <si>
    <t xml:space="preserve">INV-007685</t>
  </si>
  <si>
    <t xml:space="preserve">INV-007686</t>
  </si>
  <si>
    <t xml:space="preserve">INV-007687</t>
  </si>
  <si>
    <t xml:space="preserve">INV-007688</t>
  </si>
  <si>
    <t xml:space="preserve">INV-007689</t>
  </si>
  <si>
    <t xml:space="preserve">INV-007690</t>
  </si>
  <si>
    <t xml:space="preserve">INV-007691</t>
  </si>
  <si>
    <t xml:space="preserve">INV-007692</t>
  </si>
  <si>
    <t xml:space="preserve">INV-007693</t>
  </si>
  <si>
    <t xml:space="preserve">INV-007694</t>
  </si>
  <si>
    <t xml:space="preserve">INV-007695</t>
  </si>
  <si>
    <t xml:space="preserve">INV-007696</t>
  </si>
  <si>
    <t xml:space="preserve">INV-007697</t>
  </si>
  <si>
    <t xml:space="preserve">INV-007698</t>
  </si>
  <si>
    <t xml:space="preserve">INV-007699</t>
  </si>
  <si>
    <t xml:space="preserve">INV-007700</t>
  </si>
  <si>
    <t xml:space="preserve">INV-007701</t>
  </si>
  <si>
    <t xml:space="preserve">INV-007702</t>
  </si>
  <si>
    <t xml:space="preserve">INV-007703</t>
  </si>
  <si>
    <t xml:space="preserve">INV-007704</t>
  </si>
  <si>
    <t xml:space="preserve">INV-007705</t>
  </si>
  <si>
    <t xml:space="preserve">INV-007706</t>
  </si>
  <si>
    <t xml:space="preserve">INV-007707</t>
  </si>
  <si>
    <t xml:space="preserve">INV-007708</t>
  </si>
  <si>
    <t xml:space="preserve">INV-007709</t>
  </si>
  <si>
    <t xml:space="preserve">INV-007710</t>
  </si>
  <si>
    <t xml:space="preserve">INV-007711</t>
  </si>
  <si>
    <t xml:space="preserve">INV-007712</t>
  </si>
  <si>
    <t xml:space="preserve">INV-007713</t>
  </si>
  <si>
    <t xml:space="preserve">INV-007714</t>
  </si>
  <si>
    <t xml:space="preserve">INV-007715</t>
  </si>
  <si>
    <t xml:space="preserve">INV-007716</t>
  </si>
  <si>
    <t xml:space="preserve">INV-007717</t>
  </si>
  <si>
    <t xml:space="preserve">INV-007718</t>
  </si>
  <si>
    <t xml:space="preserve">INV-007719</t>
  </si>
  <si>
    <t xml:space="preserve">INV-007720</t>
  </si>
  <si>
    <t xml:space="preserve">INV-007721</t>
  </si>
  <si>
    <t xml:space="preserve">INV-007722</t>
  </si>
  <si>
    <t xml:space="preserve">INV-007723</t>
  </si>
  <si>
    <t xml:space="preserve">INV-007724</t>
  </si>
  <si>
    <t xml:space="preserve">INV-007725</t>
  </si>
  <si>
    <t xml:space="preserve">INV-007726</t>
  </si>
  <si>
    <t xml:space="preserve">INV-007727</t>
  </si>
  <si>
    <t xml:space="preserve">INV-007728</t>
  </si>
  <si>
    <t xml:space="preserve">INV-007729</t>
  </si>
  <si>
    <t xml:space="preserve">INV-007730</t>
  </si>
  <si>
    <t xml:space="preserve">INV-007731</t>
  </si>
  <si>
    <t xml:space="preserve">INV-007732</t>
  </si>
  <si>
    <t xml:space="preserve">INV-007733</t>
  </si>
  <si>
    <t xml:space="preserve">INV-007734</t>
  </si>
  <si>
    <t xml:space="preserve">INV-007735</t>
  </si>
  <si>
    <t xml:space="preserve">INV-007736</t>
  </si>
  <si>
    <t xml:space="preserve">INV-007737</t>
  </si>
  <si>
    <t xml:space="preserve">INV-007738</t>
  </si>
  <si>
    <t xml:space="preserve">INV-007739</t>
  </si>
  <si>
    <t xml:space="preserve">INV-007740</t>
  </si>
  <si>
    <t xml:space="preserve">INV-007741</t>
  </si>
  <si>
    <t xml:space="preserve">INV-007742</t>
  </si>
  <si>
    <t xml:space="preserve">INV-007743</t>
  </si>
  <si>
    <t xml:space="preserve">INV-007744</t>
  </si>
  <si>
    <t xml:space="preserve">INV-007745</t>
  </si>
  <si>
    <t xml:space="preserve">INV-007746</t>
  </si>
  <si>
    <t xml:space="preserve">INV-007747</t>
  </si>
  <si>
    <t xml:space="preserve">INV-007748</t>
  </si>
  <si>
    <t xml:space="preserve">INV-007749</t>
  </si>
  <si>
    <t xml:space="preserve">INV-007750</t>
  </si>
  <si>
    <t xml:space="preserve">INV-007751</t>
  </si>
  <si>
    <t xml:space="preserve">INV-007752</t>
  </si>
  <si>
    <t xml:space="preserve">INV-007753</t>
  </si>
  <si>
    <t xml:space="preserve">INV-007754</t>
  </si>
  <si>
    <t xml:space="preserve">INV-007755</t>
  </si>
  <si>
    <t xml:space="preserve">INV-007756</t>
  </si>
  <si>
    <t xml:space="preserve">INV-007757</t>
  </si>
  <si>
    <t xml:space="preserve">INV-007758</t>
  </si>
  <si>
    <t xml:space="preserve">INV-007759</t>
  </si>
  <si>
    <t xml:space="preserve">INV-007760</t>
  </si>
  <si>
    <t xml:space="preserve">INV-007761</t>
  </si>
  <si>
    <t xml:space="preserve">INV-007762</t>
  </si>
  <si>
    <t xml:space="preserve">INV-007763</t>
  </si>
  <si>
    <t xml:space="preserve">INV-007764</t>
  </si>
  <si>
    <t xml:space="preserve">INV-007765</t>
  </si>
  <si>
    <t xml:space="preserve">INV-007766</t>
  </si>
  <si>
    <t xml:space="preserve">INV-007767</t>
  </si>
  <si>
    <t xml:space="preserve">INV-007768</t>
  </si>
  <si>
    <t xml:space="preserve">INV-007769</t>
  </si>
  <si>
    <t xml:space="preserve">INV-007770</t>
  </si>
  <si>
    <t xml:space="preserve">INV-007771</t>
  </si>
  <si>
    <t xml:space="preserve">INV-007772</t>
  </si>
  <si>
    <t xml:space="preserve">INV-007773</t>
  </si>
  <si>
    <t xml:space="preserve">INV-007774</t>
  </si>
  <si>
    <t xml:space="preserve">INV-007775</t>
  </si>
  <si>
    <t xml:space="preserve">INV-007776</t>
  </si>
  <si>
    <t xml:space="preserve">INV-007777</t>
  </si>
  <si>
    <t xml:space="preserve">INV-007778</t>
  </si>
  <si>
    <t xml:space="preserve">INV-007779</t>
  </si>
  <si>
    <t xml:space="preserve">INV-007780</t>
  </si>
  <si>
    <t xml:space="preserve">INV-007781</t>
  </si>
  <si>
    <t xml:space="preserve">INV-007782</t>
  </si>
  <si>
    <t xml:space="preserve">INV-007783</t>
  </si>
  <si>
    <t xml:space="preserve">INV-007784</t>
  </si>
  <si>
    <t xml:space="preserve">INV-007785</t>
  </si>
  <si>
    <t xml:space="preserve">INV-007786</t>
  </si>
  <si>
    <t xml:space="preserve">INV-007787</t>
  </si>
  <si>
    <t xml:space="preserve">INV-007788</t>
  </si>
  <si>
    <t xml:space="preserve">INV-007789</t>
  </si>
  <si>
    <t xml:space="preserve">INV-007790</t>
  </si>
  <si>
    <t xml:space="preserve">INV-007791</t>
  </si>
  <si>
    <t xml:space="preserve">INV-007792</t>
  </si>
  <si>
    <t xml:space="preserve">INV-007793</t>
  </si>
  <si>
    <t xml:space="preserve">INV-007794</t>
  </si>
  <si>
    <t xml:space="preserve">INV-007795</t>
  </si>
  <si>
    <t xml:space="preserve">INV-007796</t>
  </si>
  <si>
    <t xml:space="preserve">INV-007797</t>
  </si>
  <si>
    <t xml:space="preserve">INV-007798</t>
  </si>
  <si>
    <t xml:space="preserve">INV-007799</t>
  </si>
  <si>
    <t xml:space="preserve">INV-007800</t>
  </si>
  <si>
    <t xml:space="preserve">INV-007801</t>
  </si>
  <si>
    <t xml:space="preserve">INV-007802</t>
  </si>
  <si>
    <t xml:space="preserve">INV-007803</t>
  </si>
  <si>
    <t xml:space="preserve">INV-007804</t>
  </si>
  <si>
    <t xml:space="preserve">INV-007805</t>
  </si>
  <si>
    <t xml:space="preserve">INV-007806</t>
  </si>
  <si>
    <t xml:space="preserve">INV-007807</t>
  </si>
  <si>
    <t xml:space="preserve">INV-007808</t>
  </si>
  <si>
    <t xml:space="preserve">INV-007809</t>
  </si>
  <si>
    <t xml:space="preserve">INV-007810</t>
  </si>
  <si>
    <t xml:space="preserve">INV-007811</t>
  </si>
  <si>
    <t xml:space="preserve">INV-007812</t>
  </si>
  <si>
    <t xml:space="preserve">INV-007813</t>
  </si>
  <si>
    <t xml:space="preserve">INV-007814</t>
  </si>
  <si>
    <t xml:space="preserve">INV-007815</t>
  </si>
  <si>
    <t xml:space="preserve">INV-007816</t>
  </si>
  <si>
    <t xml:space="preserve">INV-007817</t>
  </si>
  <si>
    <t xml:space="preserve">INV-007818</t>
  </si>
  <si>
    <t xml:space="preserve">INV-007819</t>
  </si>
  <si>
    <t xml:space="preserve">INV-007820</t>
  </si>
  <si>
    <t xml:space="preserve">INV-007821</t>
  </si>
  <si>
    <t xml:space="preserve">INV-007822</t>
  </si>
  <si>
    <t xml:space="preserve">INV-007823</t>
  </si>
  <si>
    <t xml:space="preserve">INV-007824</t>
  </si>
  <si>
    <t xml:space="preserve">INV-007825</t>
  </si>
  <si>
    <t xml:space="preserve">INV-007826</t>
  </si>
  <si>
    <t xml:space="preserve">INV-007827</t>
  </si>
  <si>
    <t xml:space="preserve">INV-007828</t>
  </si>
  <si>
    <t xml:space="preserve">INV-007829</t>
  </si>
  <si>
    <t xml:space="preserve">INV-007830</t>
  </si>
  <si>
    <t xml:space="preserve">INV-007831</t>
  </si>
  <si>
    <t xml:space="preserve">INV-007832</t>
  </si>
  <si>
    <t xml:space="preserve">INV-007833</t>
  </si>
  <si>
    <t xml:space="preserve">INV-007834</t>
  </si>
  <si>
    <t xml:space="preserve">INV-007835</t>
  </si>
  <si>
    <t xml:space="preserve">INV-007836</t>
  </si>
  <si>
    <t xml:space="preserve">INV-007837</t>
  </si>
  <si>
    <t xml:space="preserve">INV-007838</t>
  </si>
  <si>
    <t xml:space="preserve">INV-007839</t>
  </si>
  <si>
    <t xml:space="preserve">INV-007840</t>
  </si>
  <si>
    <t xml:space="preserve">INV-007841</t>
  </si>
  <si>
    <t xml:space="preserve">INV-007842</t>
  </si>
  <si>
    <t xml:space="preserve">INV-007843</t>
  </si>
  <si>
    <t xml:space="preserve">INV-007844</t>
  </si>
  <si>
    <t xml:space="preserve">INV-007845</t>
  </si>
  <si>
    <t xml:space="preserve">INV-007846</t>
  </si>
  <si>
    <t xml:space="preserve">INV-007847</t>
  </si>
  <si>
    <t xml:space="preserve">INV-007848</t>
  </si>
  <si>
    <t xml:space="preserve">INV-007849</t>
  </si>
  <si>
    <t xml:space="preserve">INV-007850</t>
  </si>
  <si>
    <t xml:space="preserve">INV-007851</t>
  </si>
  <si>
    <t xml:space="preserve">INV-007852</t>
  </si>
  <si>
    <t xml:space="preserve">INV-007853</t>
  </si>
  <si>
    <t xml:space="preserve">INV-007854</t>
  </si>
  <si>
    <t xml:space="preserve">INV-007855</t>
  </si>
  <si>
    <t xml:space="preserve">INV-007856</t>
  </si>
  <si>
    <t xml:space="preserve">INV-007857</t>
  </si>
  <si>
    <t xml:space="preserve">INV-007858</t>
  </si>
  <si>
    <t xml:space="preserve">INV-007859</t>
  </si>
  <si>
    <t xml:space="preserve">INV-007860</t>
  </si>
  <si>
    <t xml:space="preserve">INV-007861</t>
  </si>
  <si>
    <t xml:space="preserve">INV-007862</t>
  </si>
  <si>
    <t xml:space="preserve">INV-007863</t>
  </si>
  <si>
    <t xml:space="preserve">INV-007864</t>
  </si>
  <si>
    <t xml:space="preserve">INV-007865</t>
  </si>
  <si>
    <t xml:space="preserve">INV-007866</t>
  </si>
  <si>
    <t xml:space="preserve">INV-007867</t>
  </si>
  <si>
    <t xml:space="preserve">INV-007868</t>
  </si>
  <si>
    <t xml:space="preserve">INV-007869</t>
  </si>
  <si>
    <t xml:space="preserve">INV-007870</t>
  </si>
  <si>
    <t xml:space="preserve">INV-007871</t>
  </si>
  <si>
    <t xml:space="preserve">INV-007872</t>
  </si>
  <si>
    <t xml:space="preserve">INV-007873</t>
  </si>
  <si>
    <t xml:space="preserve">INV-007874</t>
  </si>
  <si>
    <t xml:space="preserve">INV-007875</t>
  </si>
  <si>
    <t xml:space="preserve">INV-007876</t>
  </si>
  <si>
    <t xml:space="preserve">INV-007877</t>
  </si>
  <si>
    <t xml:space="preserve">INV-007878</t>
  </si>
  <si>
    <t xml:space="preserve">INV-007879</t>
  </si>
  <si>
    <t xml:space="preserve">INV-007880</t>
  </si>
  <si>
    <t xml:space="preserve">INV-007881</t>
  </si>
  <si>
    <t xml:space="preserve">INV-007882</t>
  </si>
  <si>
    <t xml:space="preserve">INV-007883</t>
  </si>
  <si>
    <t xml:space="preserve">INV-007884</t>
  </si>
  <si>
    <t xml:space="preserve">INV-007885</t>
  </si>
  <si>
    <t xml:space="preserve">INV-007886</t>
  </si>
  <si>
    <t xml:space="preserve">INV-007887</t>
  </si>
  <si>
    <t xml:space="preserve">INV-007888</t>
  </si>
  <si>
    <t xml:space="preserve">INV-007889</t>
  </si>
  <si>
    <t xml:space="preserve">INV-007890</t>
  </si>
  <si>
    <t xml:space="preserve">INV-007891</t>
  </si>
  <si>
    <t xml:space="preserve">INV-007892</t>
  </si>
  <si>
    <t xml:space="preserve">INV-007893</t>
  </si>
  <si>
    <t xml:space="preserve">INV-007894</t>
  </si>
  <si>
    <t xml:space="preserve">INV-007895</t>
  </si>
  <si>
    <t xml:space="preserve">INV-007896</t>
  </si>
  <si>
    <t xml:space="preserve">INV-007897</t>
  </si>
  <si>
    <t xml:space="preserve">INV-007898</t>
  </si>
  <si>
    <t xml:space="preserve">INV-007899</t>
  </si>
  <si>
    <t xml:space="preserve">INV-007900</t>
  </si>
  <si>
    <t xml:space="preserve">INV-007901</t>
  </si>
  <si>
    <t xml:space="preserve">INV-007902</t>
  </si>
  <si>
    <t xml:space="preserve">INV-007903</t>
  </si>
  <si>
    <t xml:space="preserve">INV-007904</t>
  </si>
  <si>
    <t xml:space="preserve">INV-007905</t>
  </si>
  <si>
    <t xml:space="preserve">INV-007906</t>
  </si>
  <si>
    <t xml:space="preserve">INV-007907</t>
  </si>
  <si>
    <t xml:space="preserve">INV-007908</t>
  </si>
  <si>
    <t xml:space="preserve">INV-007909</t>
  </si>
  <si>
    <t xml:space="preserve">INV-007910</t>
  </si>
  <si>
    <t xml:space="preserve">INV-007911</t>
  </si>
  <si>
    <t xml:space="preserve">INV-007912</t>
  </si>
  <si>
    <t xml:space="preserve">INV-007913</t>
  </si>
  <si>
    <t xml:space="preserve">INV-007914</t>
  </si>
  <si>
    <t xml:space="preserve">INV-007915</t>
  </si>
  <si>
    <t xml:space="preserve">INV-007916</t>
  </si>
  <si>
    <t xml:space="preserve">INV-007917</t>
  </si>
  <si>
    <t xml:space="preserve">INV-007918</t>
  </si>
  <si>
    <t xml:space="preserve">INV-007919</t>
  </si>
  <si>
    <t xml:space="preserve">INV-007920</t>
  </si>
  <si>
    <t xml:space="preserve">INV-007921</t>
  </si>
  <si>
    <t xml:space="preserve">INV-007922</t>
  </si>
  <si>
    <t xml:space="preserve">INV-007923</t>
  </si>
  <si>
    <t xml:space="preserve">INV-007924</t>
  </si>
  <si>
    <t xml:space="preserve">INV-007925</t>
  </si>
  <si>
    <t xml:space="preserve">INV-007926</t>
  </si>
  <si>
    <t xml:space="preserve">INV-007927</t>
  </si>
  <si>
    <t xml:space="preserve">INV-007928</t>
  </si>
  <si>
    <t xml:space="preserve">INV-007929</t>
  </si>
  <si>
    <t xml:space="preserve">INV-007930</t>
  </si>
  <si>
    <t xml:space="preserve">INV-007931</t>
  </si>
  <si>
    <t xml:space="preserve">INV-007932</t>
  </si>
  <si>
    <t xml:space="preserve">INV-007933</t>
  </si>
  <si>
    <t xml:space="preserve">INV-007934</t>
  </si>
  <si>
    <t xml:space="preserve">INV-007935</t>
  </si>
  <si>
    <t xml:space="preserve">INV-007936</t>
  </si>
  <si>
    <t xml:space="preserve">INV-007937</t>
  </si>
  <si>
    <t xml:space="preserve">INV-007938</t>
  </si>
  <si>
    <t xml:space="preserve">INV-007939</t>
  </si>
  <si>
    <t xml:space="preserve">INV-007940</t>
  </si>
  <si>
    <t xml:space="preserve">INV-007941</t>
  </si>
  <si>
    <t xml:space="preserve">INV-007942</t>
  </si>
  <si>
    <t xml:space="preserve">INV-007943</t>
  </si>
  <si>
    <t xml:space="preserve">INV-007944</t>
  </si>
  <si>
    <t xml:space="preserve">INV-007945</t>
  </si>
  <si>
    <t xml:space="preserve">INV-007946</t>
  </si>
  <si>
    <t xml:space="preserve">INV-007947</t>
  </si>
  <si>
    <t xml:space="preserve">INV-007948</t>
  </si>
  <si>
    <t xml:space="preserve">INV-007949</t>
  </si>
  <si>
    <t xml:space="preserve">INV-007950</t>
  </si>
  <si>
    <t xml:space="preserve">INV-007951</t>
  </si>
  <si>
    <t xml:space="preserve">INV-007952</t>
  </si>
  <si>
    <t xml:space="preserve">INV-007953</t>
  </si>
  <si>
    <t xml:space="preserve">INV-007954</t>
  </si>
  <si>
    <t xml:space="preserve">INV-007955</t>
  </si>
  <si>
    <t xml:space="preserve">INV-007956</t>
  </si>
  <si>
    <t xml:space="preserve">INV-007957</t>
  </si>
  <si>
    <t xml:space="preserve">INV-007958</t>
  </si>
  <si>
    <t xml:space="preserve">INV-007959</t>
  </si>
  <si>
    <t xml:space="preserve">INV-007960</t>
  </si>
  <si>
    <t xml:space="preserve">INV-007961</t>
  </si>
  <si>
    <t xml:space="preserve">INV-007962</t>
  </si>
  <si>
    <t xml:space="preserve">INV-007963</t>
  </si>
  <si>
    <t xml:space="preserve">INV-007964</t>
  </si>
  <si>
    <t xml:space="preserve">INV-007965</t>
  </si>
  <si>
    <t xml:space="preserve">INV-007966</t>
  </si>
  <si>
    <t xml:space="preserve">INV-007967</t>
  </si>
  <si>
    <t xml:space="preserve">INV-007968</t>
  </si>
  <si>
    <t xml:space="preserve">INV-007969</t>
  </si>
  <si>
    <t xml:space="preserve">INV-007970</t>
  </si>
  <si>
    <t xml:space="preserve">INV-007971</t>
  </si>
  <si>
    <t xml:space="preserve">INV-007972</t>
  </si>
  <si>
    <t xml:space="preserve">INV-007973</t>
  </si>
  <si>
    <t xml:space="preserve">INV-007974</t>
  </si>
  <si>
    <t xml:space="preserve">INV-007975</t>
  </si>
  <si>
    <t xml:space="preserve">INV-007976</t>
  </si>
  <si>
    <t xml:space="preserve">INV-007977</t>
  </si>
  <si>
    <t xml:space="preserve">INV-007978</t>
  </si>
  <si>
    <t xml:space="preserve">INV-007979</t>
  </si>
  <si>
    <t xml:space="preserve">INV-007980</t>
  </si>
  <si>
    <t xml:space="preserve">INV-007981</t>
  </si>
  <si>
    <t xml:space="preserve">INV-007982</t>
  </si>
  <si>
    <t xml:space="preserve">INV-007983</t>
  </si>
  <si>
    <t xml:space="preserve">INV-007984</t>
  </si>
  <si>
    <t xml:space="preserve">INV-007985</t>
  </si>
  <si>
    <t xml:space="preserve">INV-007986</t>
  </si>
  <si>
    <t xml:space="preserve">INV-007987</t>
  </si>
  <si>
    <t xml:space="preserve">INV-007988</t>
  </si>
  <si>
    <t xml:space="preserve">INV-007989</t>
  </si>
  <si>
    <t xml:space="preserve">INV-007990</t>
  </si>
  <si>
    <t xml:space="preserve">INV-007991</t>
  </si>
  <si>
    <t xml:space="preserve">INV-007992</t>
  </si>
  <si>
    <t xml:space="preserve">INV-007993</t>
  </si>
  <si>
    <t xml:space="preserve">INV-007994</t>
  </si>
  <si>
    <t xml:space="preserve">INV-007995</t>
  </si>
  <si>
    <t xml:space="preserve">INV-007996</t>
  </si>
  <si>
    <t xml:space="preserve">INV-007997</t>
  </si>
  <si>
    <t xml:space="preserve">INV-007998</t>
  </si>
  <si>
    <t xml:space="preserve">INV-007999</t>
  </si>
  <si>
    <t xml:space="preserve">INV-008000</t>
  </si>
  <si>
    <t xml:space="preserve">INV-008001</t>
  </si>
  <si>
    <t xml:space="preserve">INV-008002</t>
  </si>
  <si>
    <t xml:space="preserve">INV-008003</t>
  </si>
  <si>
    <t xml:space="preserve">INV-008004</t>
  </si>
  <si>
    <t xml:space="preserve">INV-008005</t>
  </si>
  <si>
    <t xml:space="preserve">INV-008006</t>
  </si>
  <si>
    <t xml:space="preserve">INV-008007</t>
  </si>
  <si>
    <t xml:space="preserve">INV-008008</t>
  </si>
  <si>
    <t xml:space="preserve">INV-008009</t>
  </si>
  <si>
    <t xml:space="preserve">INV-008010</t>
  </si>
  <si>
    <t xml:space="preserve">INV-008011</t>
  </si>
  <si>
    <t xml:space="preserve">INV-008012</t>
  </si>
  <si>
    <t xml:space="preserve">INV-008013</t>
  </si>
  <si>
    <t xml:space="preserve">INV-008014</t>
  </si>
  <si>
    <t xml:space="preserve">INV-008015</t>
  </si>
  <si>
    <t xml:space="preserve">INV-008016</t>
  </si>
  <si>
    <t xml:space="preserve">INV-008017</t>
  </si>
  <si>
    <t xml:space="preserve">INV-008018</t>
  </si>
  <si>
    <t xml:space="preserve">INV-008019</t>
  </si>
  <si>
    <t xml:space="preserve">INV-008020</t>
  </si>
  <si>
    <t xml:space="preserve">INV-008021</t>
  </si>
  <si>
    <t xml:space="preserve">INV-008022</t>
  </si>
  <si>
    <t xml:space="preserve">INV-008023</t>
  </si>
  <si>
    <t xml:space="preserve">INV-008024</t>
  </si>
  <si>
    <t xml:space="preserve">INV-008025</t>
  </si>
  <si>
    <t xml:space="preserve">INV-008026</t>
  </si>
  <si>
    <t xml:space="preserve">INV-008027</t>
  </si>
  <si>
    <t xml:space="preserve">INV-008028</t>
  </si>
  <si>
    <t xml:space="preserve">INV-008029</t>
  </si>
  <si>
    <t xml:space="preserve">INV-008030</t>
  </si>
  <si>
    <t xml:space="preserve">INV-008031</t>
  </si>
  <si>
    <t xml:space="preserve">INV-008032</t>
  </si>
  <si>
    <t xml:space="preserve">INV-008033</t>
  </si>
  <si>
    <t xml:space="preserve">INV-008034</t>
  </si>
  <si>
    <t xml:space="preserve">INV-008035</t>
  </si>
  <si>
    <t xml:space="preserve">INV-008036</t>
  </si>
  <si>
    <t xml:space="preserve">INV-008037</t>
  </si>
  <si>
    <t xml:space="preserve">INV-008038</t>
  </si>
  <si>
    <t xml:space="preserve">INV-008039</t>
  </si>
  <si>
    <t xml:space="preserve">INV-008040</t>
  </si>
  <si>
    <t xml:space="preserve">INV-008041</t>
  </si>
  <si>
    <t xml:space="preserve">INV-008042</t>
  </si>
  <si>
    <t xml:space="preserve">INV-008043</t>
  </si>
  <si>
    <t xml:space="preserve">INV-008044</t>
  </si>
  <si>
    <t xml:space="preserve">INV-008045</t>
  </si>
  <si>
    <t xml:space="preserve">INV-008046</t>
  </si>
  <si>
    <t xml:space="preserve">INV-008047</t>
  </si>
  <si>
    <t xml:space="preserve">INV-008048</t>
  </si>
  <si>
    <t xml:space="preserve">INV-008049</t>
  </si>
  <si>
    <t xml:space="preserve">INV-008050</t>
  </si>
  <si>
    <t xml:space="preserve">INV-008051</t>
  </si>
  <si>
    <t xml:space="preserve">INV-008052</t>
  </si>
  <si>
    <t xml:space="preserve">INV-008053</t>
  </si>
  <si>
    <t xml:space="preserve">INV-008054</t>
  </si>
  <si>
    <t xml:space="preserve">INV-008055</t>
  </si>
  <si>
    <t xml:space="preserve">INV-008056</t>
  </si>
  <si>
    <t xml:space="preserve">INV-008057</t>
  </si>
  <si>
    <t xml:space="preserve">INV-008058</t>
  </si>
  <si>
    <t xml:space="preserve">INV-008059</t>
  </si>
  <si>
    <t xml:space="preserve">INV-008060</t>
  </si>
  <si>
    <t xml:space="preserve">INV-008061</t>
  </si>
  <si>
    <t xml:space="preserve">INV-008062</t>
  </si>
  <si>
    <t xml:space="preserve">INV-008063</t>
  </si>
  <si>
    <t xml:space="preserve">INV-008064</t>
  </si>
  <si>
    <t xml:space="preserve">INV-008065</t>
  </si>
  <si>
    <t xml:space="preserve">INV-008066</t>
  </si>
  <si>
    <t xml:space="preserve">INV-008067</t>
  </si>
  <si>
    <t xml:space="preserve">INV-008068</t>
  </si>
  <si>
    <t xml:space="preserve">INV-008069</t>
  </si>
  <si>
    <t xml:space="preserve">INV-008070</t>
  </si>
  <si>
    <t xml:space="preserve">INV-008071</t>
  </si>
  <si>
    <t xml:space="preserve">INV-008072</t>
  </si>
  <si>
    <t xml:space="preserve">INV-008073</t>
  </si>
  <si>
    <t xml:space="preserve">INV-008074</t>
  </si>
  <si>
    <t xml:space="preserve">INV-008075</t>
  </si>
  <si>
    <t xml:space="preserve">INV-008076</t>
  </si>
  <si>
    <t xml:space="preserve">INV-008077</t>
  </si>
  <si>
    <t xml:space="preserve">INV-008078</t>
  </si>
  <si>
    <t xml:space="preserve">INV-008079</t>
  </si>
  <si>
    <t xml:space="preserve">INV-008080</t>
  </si>
  <si>
    <t xml:space="preserve">INV-008081</t>
  </si>
  <si>
    <t xml:space="preserve">INV-008082</t>
  </si>
  <si>
    <t xml:space="preserve">INV-008083</t>
  </si>
  <si>
    <t xml:space="preserve">INV-008084</t>
  </si>
  <si>
    <t xml:space="preserve">INV-008085</t>
  </si>
  <si>
    <t xml:space="preserve">INV-008086</t>
  </si>
  <si>
    <t xml:space="preserve">INV-008087</t>
  </si>
  <si>
    <t xml:space="preserve">INV-008088</t>
  </si>
  <si>
    <t xml:space="preserve">INV-008089</t>
  </si>
  <si>
    <t xml:space="preserve">INV-008090</t>
  </si>
  <si>
    <t xml:space="preserve">INV-008091</t>
  </si>
  <si>
    <t xml:space="preserve">INV-008092</t>
  </si>
  <si>
    <t xml:space="preserve">INV-008093</t>
  </si>
  <si>
    <t xml:space="preserve">INV-008094</t>
  </si>
  <si>
    <t xml:space="preserve">INV-008095</t>
  </si>
  <si>
    <t xml:space="preserve">INV-008096</t>
  </si>
  <si>
    <t xml:space="preserve">INV-008097</t>
  </si>
  <si>
    <t xml:space="preserve">INV-008098</t>
  </si>
  <si>
    <t xml:space="preserve">INV-008099</t>
  </si>
  <si>
    <t xml:space="preserve">INV-008100</t>
  </si>
  <si>
    <t xml:space="preserve">INV-008101</t>
  </si>
  <si>
    <t xml:space="preserve">INV-008102</t>
  </si>
  <si>
    <t xml:space="preserve">INV-008103</t>
  </si>
  <si>
    <t xml:space="preserve">INV-008104</t>
  </si>
  <si>
    <t xml:space="preserve">INV-008105</t>
  </si>
  <si>
    <t xml:space="preserve">INV-008106</t>
  </si>
  <si>
    <t xml:space="preserve">INV-008107</t>
  </si>
  <si>
    <t xml:space="preserve">INV-008108</t>
  </si>
  <si>
    <t xml:space="preserve">INV-008109</t>
  </si>
  <si>
    <t xml:space="preserve">INV-008110</t>
  </si>
  <si>
    <t xml:space="preserve">INV-008111</t>
  </si>
  <si>
    <t xml:space="preserve">INV-008112</t>
  </si>
  <si>
    <t xml:space="preserve">INV-008113</t>
  </si>
  <si>
    <t xml:space="preserve">INV-008114</t>
  </si>
  <si>
    <t xml:space="preserve">INV-008115</t>
  </si>
  <si>
    <t xml:space="preserve">INV-008116</t>
  </si>
  <si>
    <t xml:space="preserve">INV-008117</t>
  </si>
  <si>
    <t xml:space="preserve">INV-008118</t>
  </si>
  <si>
    <t xml:space="preserve">INV-008119</t>
  </si>
  <si>
    <t xml:space="preserve">INV-008120</t>
  </si>
  <si>
    <t xml:space="preserve">INV-008121</t>
  </si>
  <si>
    <t xml:space="preserve">INV-008122</t>
  </si>
  <si>
    <t xml:space="preserve">INV-008123</t>
  </si>
  <si>
    <t xml:space="preserve">INV-008124</t>
  </si>
  <si>
    <t xml:space="preserve">TOTAL OPEN AR (Year-End)</t>
  </si>
  <si>
    <t xml:space="preserve">AR Aging Buckets - Standard Aging Report (Year-End)</t>
  </si>
  <si>
    <t xml:space="preserve">The report a real AR/collections team works from: how much is owed, by payer, broken into aging buckets.</t>
  </si>
  <si>
    <t xml:space="preserve">Current</t>
  </si>
  <si>
    <t xml:space="preserve">1-30 Days</t>
  </si>
  <si>
    <t xml:space="preserve">31-60 Days</t>
  </si>
  <si>
    <t xml:space="preserve">61-90 Days</t>
  </si>
  <si>
    <t xml:space="preserve">90+ Days</t>
  </si>
  <si>
    <t xml:space="preserve">Total</t>
  </si>
  <si>
    <t xml:space="preserve">TOTAL</t>
  </si>
  <si>
    <t xml:space="preserve">% OF TOTAL AR BY BUCKET</t>
  </si>
  <si>
    <t xml:space="preserve">1-30</t>
  </si>
  <si>
    <t xml:space="preserve">31-60</t>
  </si>
  <si>
    <t xml:space="preserve">61-90</t>
  </si>
  <si>
    <t xml:space="preserve">90+</t>
  </si>
  <si>
    <t xml:space="preserve">Daily Overhead Register - Every Expense Transaction, Full Year</t>
  </si>
  <si>
    <t xml:space="preserve">833 transactions. Source of truth for all overhead - filterable by any date range.</t>
  </si>
  <si>
    <t xml:space="preserve">Transaction ID</t>
  </si>
  <si>
    <t xml:space="preserve">Bank Account</t>
  </si>
  <si>
    <t xml:space="preserve">OH-00001</t>
  </si>
  <si>
    <t xml:space="preserve">Operating Account</t>
  </si>
  <si>
    <t xml:space="preserve">OH-00002</t>
  </si>
  <si>
    <t xml:space="preserve">Office Utilities - Electric</t>
  </si>
  <si>
    <t xml:space="preserve">OH-00003</t>
  </si>
  <si>
    <t xml:space="preserve">OH-00004</t>
  </si>
  <si>
    <t xml:space="preserve">OH-00005</t>
  </si>
  <si>
    <t xml:space="preserve">Office Utilities - Water/Sewer</t>
  </si>
  <si>
    <t xml:space="preserve">OH-00006</t>
  </si>
  <si>
    <t xml:space="preserve">OH-00007</t>
  </si>
  <si>
    <t xml:space="preserve">OH-00008</t>
  </si>
  <si>
    <t xml:space="preserve">OH-00009</t>
  </si>
  <si>
    <t xml:space="preserve">Office Utilities - Gas/Heat</t>
  </si>
  <si>
    <t xml:space="preserve">OH-00010</t>
  </si>
  <si>
    <t xml:space="preserve">OH-00011</t>
  </si>
  <si>
    <t xml:space="preserve">OH-00012</t>
  </si>
  <si>
    <t xml:space="preserve">OH-00013</t>
  </si>
  <si>
    <t xml:space="preserve">Admin Salaries - Office Manager</t>
  </si>
  <si>
    <t xml:space="preserve">Payroll Account</t>
  </si>
  <si>
    <t xml:space="preserve">OH-00014</t>
  </si>
  <si>
    <t xml:space="preserve">OH-00015</t>
  </si>
  <si>
    <t xml:space="preserve">Admin Salaries - Scheduler/Coordinator</t>
  </si>
  <si>
    <t xml:space="preserve">OH-00016</t>
  </si>
  <si>
    <t xml:space="preserve">OH-00017</t>
  </si>
  <si>
    <t xml:space="preserve">Admin Salaries - Billing Clerk</t>
  </si>
  <si>
    <t xml:space="preserve">OH-00018</t>
  </si>
  <si>
    <t xml:space="preserve">OH-00019</t>
  </si>
  <si>
    <t xml:space="preserve">Owner/Executive Compensation</t>
  </si>
  <si>
    <t xml:space="preserve">OH-00020</t>
  </si>
  <si>
    <t xml:space="preserve">OH-00021</t>
  </si>
  <si>
    <t xml:space="preserve">Software - Scheduling/EVV Platform</t>
  </si>
  <si>
    <t xml:space="preserve">OH-00022</t>
  </si>
  <si>
    <t xml:space="preserve">Software - Accounting (QBO)</t>
  </si>
  <si>
    <t xml:space="preserve">OH-00023</t>
  </si>
  <si>
    <t xml:space="preserve">Software - Email/Office 365</t>
  </si>
  <si>
    <t xml:space="preserve">OH-00024</t>
  </si>
  <si>
    <t xml:space="preserve">Software - Timekeeping App</t>
  </si>
  <si>
    <t xml:space="preserve">OH-00025</t>
  </si>
  <si>
    <t xml:space="preserve">OH-00026</t>
  </si>
  <si>
    <t xml:space="preserve">OH-00027</t>
  </si>
  <si>
    <t xml:space="preserve">Insurance - General Liability (Monthly Amortization)</t>
  </si>
  <si>
    <t xml:space="preserve">OH-00028</t>
  </si>
  <si>
    <t xml:space="preserve">Insurance - Professional Liability/Malpractice</t>
  </si>
  <si>
    <t xml:space="preserve">OH-00029</t>
  </si>
  <si>
    <t xml:space="preserve">Insurance - Bonding</t>
  </si>
  <si>
    <t xml:space="preserve">OH-00030</t>
  </si>
  <si>
    <t xml:space="preserve">Background Checks and Licensing</t>
  </si>
  <si>
    <t xml:space="preserve">OH-00031</t>
  </si>
  <si>
    <t xml:space="preserve">OH-00032</t>
  </si>
  <si>
    <t xml:space="preserve">OH-00033</t>
  </si>
  <si>
    <t xml:space="preserve">Marketing - Digital Ads</t>
  </si>
  <si>
    <t xml:space="preserve">OH-00034</t>
  </si>
  <si>
    <t xml:space="preserve">OH-00035</t>
  </si>
  <si>
    <t xml:space="preserve">Marketing - Referral Development/Events</t>
  </si>
  <si>
    <t xml:space="preserve">OH-00036</t>
  </si>
  <si>
    <t xml:space="preserve">OH-00037</t>
  </si>
  <si>
    <t xml:space="preserve">OH-00038</t>
  </si>
  <si>
    <t xml:space="preserve">OH-00039</t>
  </si>
  <si>
    <t xml:space="preserve">OH-00040</t>
  </si>
  <si>
    <t xml:space="preserve">OH-00041</t>
  </si>
  <si>
    <t xml:space="preserve">Telephone - Office Landline/Internet</t>
  </si>
  <si>
    <t xml:space="preserve">OH-00042</t>
  </si>
  <si>
    <t xml:space="preserve">Telephone - Field Staff Cell Plans</t>
  </si>
  <si>
    <t xml:space="preserve">OH-00043</t>
  </si>
  <si>
    <t xml:space="preserve">Legal and Professional Fees</t>
  </si>
  <si>
    <t xml:space="preserve">OH-00044</t>
  </si>
  <si>
    <t xml:space="preserve">OH-00045</t>
  </si>
  <si>
    <t xml:space="preserve">Bank and Merchant Fees</t>
  </si>
  <si>
    <t xml:space="preserve">OH-00046</t>
  </si>
  <si>
    <t xml:space="preserve">OH-00047</t>
  </si>
  <si>
    <t xml:space="preserve">OH-00048</t>
  </si>
  <si>
    <t xml:space="preserve">Vehicle Fuel</t>
  </si>
  <si>
    <t xml:space="preserve">OH-00049</t>
  </si>
  <si>
    <t xml:space="preserve">OH-00050</t>
  </si>
  <si>
    <t xml:space="preserve">OH-00051</t>
  </si>
  <si>
    <t xml:space="preserve">Vehicle Maintenance and Repairs</t>
  </si>
  <si>
    <t xml:space="preserve">OH-00052</t>
  </si>
  <si>
    <t xml:space="preserve">OH-00053</t>
  </si>
  <si>
    <t xml:space="preserve">OH-00054</t>
  </si>
  <si>
    <t xml:space="preserve">Vehicle Insurance</t>
  </si>
  <si>
    <t xml:space="preserve">OH-00055</t>
  </si>
  <si>
    <t xml:space="preserve">Uniforms and Caregiver Supplies</t>
  </si>
  <si>
    <t xml:space="preserve">OH-00056</t>
  </si>
  <si>
    <t xml:space="preserve">OH-00057</t>
  </si>
  <si>
    <t xml:space="preserve">OH-00058</t>
  </si>
  <si>
    <t xml:space="preserve">OH-00059</t>
  </si>
  <si>
    <t xml:space="preserve">OH-00060</t>
  </si>
  <si>
    <t xml:space="preserve">Postage and Shipping</t>
  </si>
  <si>
    <t xml:space="preserve">OH-00061</t>
  </si>
  <si>
    <t xml:space="preserve">OH-00062</t>
  </si>
  <si>
    <t xml:space="preserve">OH-00063</t>
  </si>
  <si>
    <t xml:space="preserve">OH-00064</t>
  </si>
  <si>
    <t xml:space="preserve">OH-00065</t>
  </si>
  <si>
    <t xml:space="preserve">OH-00066</t>
  </si>
  <si>
    <t xml:space="preserve">OH-00067</t>
  </si>
  <si>
    <t xml:space="preserve">OH-00068</t>
  </si>
  <si>
    <t xml:space="preserve">OH-00069</t>
  </si>
  <si>
    <t xml:space="preserve">OH-00070</t>
  </si>
  <si>
    <t xml:space="preserve">OH-00071</t>
  </si>
  <si>
    <t xml:space="preserve">OH-00072</t>
  </si>
  <si>
    <t xml:space="preserve">OH-00073</t>
  </si>
  <si>
    <t xml:space="preserve">OH-00074</t>
  </si>
  <si>
    <t xml:space="preserve">OH-00075</t>
  </si>
  <si>
    <t xml:space="preserve">OH-00076</t>
  </si>
  <si>
    <t xml:space="preserve">OH-00077</t>
  </si>
  <si>
    <t xml:space="preserve">OH-00078</t>
  </si>
  <si>
    <t xml:space="preserve">OH-00079</t>
  </si>
  <si>
    <t xml:space="preserve">OH-00080</t>
  </si>
  <si>
    <t xml:space="preserve">OH-00081</t>
  </si>
  <si>
    <t xml:space="preserve">OH-00082</t>
  </si>
  <si>
    <t xml:space="preserve">OH-00083</t>
  </si>
  <si>
    <t xml:space="preserve">OH-00084</t>
  </si>
  <si>
    <t xml:space="preserve">OH-00085</t>
  </si>
  <si>
    <t xml:space="preserve">OH-00086</t>
  </si>
  <si>
    <t xml:space="preserve">OH-00087</t>
  </si>
  <si>
    <t xml:space="preserve">OH-00088</t>
  </si>
  <si>
    <t xml:space="preserve">OH-00089</t>
  </si>
  <si>
    <t xml:space="preserve">OH-00090</t>
  </si>
  <si>
    <t xml:space="preserve">OH-00091</t>
  </si>
  <si>
    <t xml:space="preserve">OH-00092</t>
  </si>
  <si>
    <t xml:space="preserve">OH-00093</t>
  </si>
  <si>
    <t xml:space="preserve">OH-00094</t>
  </si>
  <si>
    <t xml:space="preserve">OH-00095</t>
  </si>
  <si>
    <t xml:space="preserve">OH-00096</t>
  </si>
  <si>
    <t xml:space="preserve">OH-00097</t>
  </si>
  <si>
    <t xml:space="preserve">OH-00098</t>
  </si>
  <si>
    <t xml:space="preserve">OH-00099</t>
  </si>
  <si>
    <t xml:space="preserve">OH-00100</t>
  </si>
  <si>
    <t xml:space="preserve">OH-00101</t>
  </si>
  <si>
    <t xml:space="preserve">OH-00102</t>
  </si>
  <si>
    <t xml:space="preserve">OH-00103</t>
  </si>
  <si>
    <t xml:space="preserve">OH-00104</t>
  </si>
  <si>
    <t xml:space="preserve">OH-00105</t>
  </si>
  <si>
    <t xml:space="preserve">OH-00106</t>
  </si>
  <si>
    <t xml:space="preserve">OH-00107</t>
  </si>
  <si>
    <t xml:space="preserve">OH-00108</t>
  </si>
  <si>
    <t xml:space="preserve">OH-00109</t>
  </si>
  <si>
    <t xml:space="preserve">OH-00110</t>
  </si>
  <si>
    <t xml:space="preserve">OH-00111</t>
  </si>
  <si>
    <t xml:space="preserve">OH-00112</t>
  </si>
  <si>
    <t xml:space="preserve">OH-00113</t>
  </si>
  <si>
    <t xml:space="preserve">OH-00114</t>
  </si>
  <si>
    <t xml:space="preserve">OH-00115</t>
  </si>
  <si>
    <t xml:space="preserve">OH-00116</t>
  </si>
  <si>
    <t xml:space="preserve">OH-00117</t>
  </si>
  <si>
    <t xml:space="preserve">OH-00118</t>
  </si>
  <si>
    <t xml:space="preserve">OH-00119</t>
  </si>
  <si>
    <t xml:space="preserve">OH-00120</t>
  </si>
  <si>
    <t xml:space="preserve">OH-00121</t>
  </si>
  <si>
    <t xml:space="preserve">OH-00122</t>
  </si>
  <si>
    <t xml:space="preserve">OH-00123</t>
  </si>
  <si>
    <t xml:space="preserve">OH-00124</t>
  </si>
  <si>
    <t xml:space="preserve">OH-00125</t>
  </si>
  <si>
    <t xml:space="preserve">OH-00126</t>
  </si>
  <si>
    <t xml:space="preserve">OH-00127</t>
  </si>
  <si>
    <t xml:space="preserve">OH-00128</t>
  </si>
  <si>
    <t xml:space="preserve">OH-00129</t>
  </si>
  <si>
    <t xml:space="preserve">OH-00130</t>
  </si>
  <si>
    <t xml:space="preserve">OH-00131</t>
  </si>
  <si>
    <t xml:space="preserve">OH-00132</t>
  </si>
  <si>
    <t xml:space="preserve">OH-00133</t>
  </si>
  <si>
    <t xml:space="preserve">OH-00134</t>
  </si>
  <si>
    <t xml:space="preserve">OH-00135</t>
  </si>
  <si>
    <t xml:space="preserve">OH-00136</t>
  </si>
  <si>
    <t xml:space="preserve">OH-00137</t>
  </si>
  <si>
    <t xml:space="preserve">OH-00138</t>
  </si>
  <si>
    <t xml:space="preserve">OH-00139</t>
  </si>
  <si>
    <t xml:space="preserve">OH-00140</t>
  </si>
  <si>
    <t xml:space="preserve">OH-00141</t>
  </si>
  <si>
    <t xml:space="preserve">OH-00142</t>
  </si>
  <si>
    <t xml:space="preserve">OH-00143</t>
  </si>
  <si>
    <t xml:space="preserve">OH-00144</t>
  </si>
  <si>
    <t xml:space="preserve">OH-00145</t>
  </si>
  <si>
    <t xml:space="preserve">OH-00146</t>
  </si>
  <si>
    <t xml:space="preserve">OH-00147</t>
  </si>
  <si>
    <t xml:space="preserve">OH-00148</t>
  </si>
  <si>
    <t xml:space="preserve">OH-00149</t>
  </si>
  <si>
    <t xml:space="preserve">OH-00150</t>
  </si>
  <si>
    <t xml:space="preserve">OH-00151</t>
  </si>
  <si>
    <t xml:space="preserve">OH-00152</t>
  </si>
  <si>
    <t xml:space="preserve">OH-00153</t>
  </si>
  <si>
    <t xml:space="preserve">OH-00154</t>
  </si>
  <si>
    <t xml:space="preserve">OH-00155</t>
  </si>
  <si>
    <t xml:space="preserve">OH-00156</t>
  </si>
  <si>
    <t xml:space="preserve">OH-00157</t>
  </si>
  <si>
    <t xml:space="preserve">OH-00158</t>
  </si>
  <si>
    <t xml:space="preserve">OH-00159</t>
  </si>
  <si>
    <t xml:space="preserve">OH-00160</t>
  </si>
  <si>
    <t xml:space="preserve">OH-00161</t>
  </si>
  <si>
    <t xml:space="preserve">OH-00162</t>
  </si>
  <si>
    <t xml:space="preserve">OH-00163</t>
  </si>
  <si>
    <t xml:space="preserve">OH-00164</t>
  </si>
  <si>
    <t xml:space="preserve">OH-00165</t>
  </si>
  <si>
    <t xml:space="preserve">OH-00166</t>
  </si>
  <si>
    <t xml:space="preserve">OH-00167</t>
  </si>
  <si>
    <t xml:space="preserve">OH-00168</t>
  </si>
  <si>
    <t xml:space="preserve">OH-00169</t>
  </si>
  <si>
    <t xml:space="preserve">OH-00170</t>
  </si>
  <si>
    <t xml:space="preserve">OH-00171</t>
  </si>
  <si>
    <t xml:space="preserve">OH-00172</t>
  </si>
  <si>
    <t xml:space="preserve">OH-00173</t>
  </si>
  <si>
    <t xml:space="preserve">OH-00174</t>
  </si>
  <si>
    <t xml:space="preserve">OH-00175</t>
  </si>
  <si>
    <t xml:space="preserve">OH-00176</t>
  </si>
  <si>
    <t xml:space="preserve">OH-00177</t>
  </si>
  <si>
    <t xml:space="preserve">OH-00178</t>
  </si>
  <si>
    <t xml:space="preserve">OH-00179</t>
  </si>
  <si>
    <t xml:space="preserve">OH-00180</t>
  </si>
  <si>
    <t xml:space="preserve">OH-00181</t>
  </si>
  <si>
    <t xml:space="preserve">OH-00182</t>
  </si>
  <si>
    <t xml:space="preserve">OH-00183</t>
  </si>
  <si>
    <t xml:space="preserve">OH-00184</t>
  </si>
  <si>
    <t xml:space="preserve">OH-00185</t>
  </si>
  <si>
    <t xml:space="preserve">OH-00186</t>
  </si>
  <si>
    <t xml:space="preserve">OH-00187</t>
  </si>
  <si>
    <t xml:space="preserve">OH-00188</t>
  </si>
  <si>
    <t xml:space="preserve">OH-00189</t>
  </si>
  <si>
    <t xml:space="preserve">OH-00190</t>
  </si>
  <si>
    <t xml:space="preserve">OH-00191</t>
  </si>
  <si>
    <t xml:space="preserve">OH-00192</t>
  </si>
  <si>
    <t xml:space="preserve">OH-00193</t>
  </si>
  <si>
    <t xml:space="preserve">OH-00194</t>
  </si>
  <si>
    <t xml:space="preserve">OH-00195</t>
  </si>
  <si>
    <t xml:space="preserve">OH-00196</t>
  </si>
  <si>
    <t xml:space="preserve">OH-00197</t>
  </si>
  <si>
    <t xml:space="preserve">OH-00198</t>
  </si>
  <si>
    <t xml:space="preserve">OH-00199</t>
  </si>
  <si>
    <t xml:space="preserve">OH-00200</t>
  </si>
  <si>
    <t xml:space="preserve">OH-00201</t>
  </si>
  <si>
    <t xml:space="preserve">OH-00202</t>
  </si>
  <si>
    <t xml:space="preserve">OH-00203</t>
  </si>
  <si>
    <t xml:space="preserve">OH-00204</t>
  </si>
  <si>
    <t xml:space="preserve">OH-00205</t>
  </si>
  <si>
    <t xml:space="preserve">OH-00206</t>
  </si>
  <si>
    <t xml:space="preserve">OH-00207</t>
  </si>
  <si>
    <t xml:space="preserve">OH-00208</t>
  </si>
  <si>
    <t xml:space="preserve">OH-00209</t>
  </si>
  <si>
    <t xml:space="preserve">OH-00210</t>
  </si>
  <si>
    <t xml:space="preserve">OH-00211</t>
  </si>
  <si>
    <t xml:space="preserve">OH-00212</t>
  </si>
  <si>
    <t xml:space="preserve">OH-00213</t>
  </si>
  <si>
    <t xml:space="preserve">OH-00214</t>
  </si>
  <si>
    <t xml:space="preserve">OH-00215</t>
  </si>
  <si>
    <t xml:space="preserve">OH-00216</t>
  </si>
  <si>
    <t xml:space="preserve">OH-00217</t>
  </si>
  <si>
    <t xml:space="preserve">OH-00218</t>
  </si>
  <si>
    <t xml:space="preserve">OH-00219</t>
  </si>
  <si>
    <t xml:space="preserve">OH-00220</t>
  </si>
  <si>
    <t xml:space="preserve">OH-00221</t>
  </si>
  <si>
    <t xml:space="preserve">OH-00222</t>
  </si>
  <si>
    <t xml:space="preserve">OH-00223</t>
  </si>
  <si>
    <t xml:space="preserve">OH-00224</t>
  </si>
  <si>
    <t xml:space="preserve">OH-00225</t>
  </si>
  <si>
    <t xml:space="preserve">OH-00226</t>
  </si>
  <si>
    <t xml:space="preserve">OH-00227</t>
  </si>
  <si>
    <t xml:space="preserve">OH-00228</t>
  </si>
  <si>
    <t xml:space="preserve">OH-00229</t>
  </si>
  <si>
    <t xml:space="preserve">OH-00230</t>
  </si>
  <si>
    <t xml:space="preserve">OH-00231</t>
  </si>
  <si>
    <t xml:space="preserve">OH-00232</t>
  </si>
  <si>
    <t xml:space="preserve">OH-00233</t>
  </si>
  <si>
    <t xml:space="preserve">OH-00234</t>
  </si>
  <si>
    <t xml:space="preserve">OH-00235</t>
  </si>
  <si>
    <t xml:space="preserve">OH-00236</t>
  </si>
  <si>
    <t xml:space="preserve">OH-00237</t>
  </si>
  <si>
    <t xml:space="preserve">OH-00238</t>
  </si>
  <si>
    <t xml:space="preserve">OH-00239</t>
  </si>
  <si>
    <t xml:space="preserve">OH-00240</t>
  </si>
  <si>
    <t xml:space="preserve">OH-00241</t>
  </si>
  <si>
    <t xml:space="preserve">OH-00242</t>
  </si>
  <si>
    <t xml:space="preserve">OH-00243</t>
  </si>
  <si>
    <t xml:space="preserve">OH-00244</t>
  </si>
  <si>
    <t xml:space="preserve">OH-00245</t>
  </si>
  <si>
    <t xml:space="preserve">OH-00246</t>
  </si>
  <si>
    <t xml:space="preserve">OH-00247</t>
  </si>
  <si>
    <t xml:space="preserve">OH-00248</t>
  </si>
  <si>
    <t xml:space="preserve">OH-00249</t>
  </si>
  <si>
    <t xml:space="preserve">OH-00250</t>
  </si>
  <si>
    <t xml:space="preserve">OH-00251</t>
  </si>
  <si>
    <t xml:space="preserve">OH-00252</t>
  </si>
  <si>
    <t xml:space="preserve">OH-00253</t>
  </si>
  <si>
    <t xml:space="preserve">OH-00254</t>
  </si>
  <si>
    <t xml:space="preserve">OH-00255</t>
  </si>
  <si>
    <t xml:space="preserve">OH-00256</t>
  </si>
  <si>
    <t xml:space="preserve">OH-00257</t>
  </si>
  <si>
    <t xml:space="preserve">OH-00258</t>
  </si>
  <si>
    <t xml:space="preserve">OH-00259</t>
  </si>
  <si>
    <t xml:space="preserve">OH-00260</t>
  </si>
  <si>
    <t xml:space="preserve">OH-00261</t>
  </si>
  <si>
    <t xml:space="preserve">OH-00262</t>
  </si>
  <si>
    <t xml:space="preserve">OH-00263</t>
  </si>
  <si>
    <t xml:space="preserve">OH-00264</t>
  </si>
  <si>
    <t xml:space="preserve">OH-00265</t>
  </si>
  <si>
    <t xml:space="preserve">OH-00266</t>
  </si>
  <si>
    <t xml:space="preserve">OH-00267</t>
  </si>
  <si>
    <t xml:space="preserve">OH-00268</t>
  </si>
  <si>
    <t xml:space="preserve">OH-00269</t>
  </si>
  <si>
    <t xml:space="preserve">OH-00270</t>
  </si>
  <si>
    <t xml:space="preserve">OH-00271</t>
  </si>
  <si>
    <t xml:space="preserve">OH-00272</t>
  </si>
  <si>
    <t xml:space="preserve">OH-00273</t>
  </si>
  <si>
    <t xml:space="preserve">OH-00274</t>
  </si>
  <si>
    <t xml:space="preserve">OH-00275</t>
  </si>
  <si>
    <t xml:space="preserve">OH-00276</t>
  </si>
  <si>
    <t xml:space="preserve">OH-00277</t>
  </si>
  <si>
    <t xml:space="preserve">OH-00278</t>
  </si>
  <si>
    <t xml:space="preserve">OH-00279</t>
  </si>
  <si>
    <t xml:space="preserve">OH-00280</t>
  </si>
  <si>
    <t xml:space="preserve">OH-00281</t>
  </si>
  <si>
    <t xml:space="preserve">OH-00282</t>
  </si>
  <si>
    <t xml:space="preserve">OH-00283</t>
  </si>
  <si>
    <t xml:space="preserve">OH-00284</t>
  </si>
  <si>
    <t xml:space="preserve">OH-00285</t>
  </si>
  <si>
    <t xml:space="preserve">OH-00286</t>
  </si>
  <si>
    <t xml:space="preserve">OH-00287</t>
  </si>
  <si>
    <t xml:space="preserve">OH-00288</t>
  </si>
  <si>
    <t xml:space="preserve">OH-00289</t>
  </si>
  <si>
    <t xml:space="preserve">OH-00290</t>
  </si>
  <si>
    <t xml:space="preserve">OH-00291</t>
  </si>
  <si>
    <t xml:space="preserve">OH-00292</t>
  </si>
  <si>
    <t xml:space="preserve">OH-00293</t>
  </si>
  <si>
    <t xml:space="preserve">OH-00294</t>
  </si>
  <si>
    <t xml:space="preserve">OH-00295</t>
  </si>
  <si>
    <t xml:space="preserve">OH-00296</t>
  </si>
  <si>
    <t xml:space="preserve">OH-00297</t>
  </si>
  <si>
    <t xml:space="preserve">OH-00298</t>
  </si>
  <si>
    <t xml:space="preserve">OH-00299</t>
  </si>
  <si>
    <t xml:space="preserve">OH-00300</t>
  </si>
  <si>
    <t xml:space="preserve">OH-00301</t>
  </si>
  <si>
    <t xml:space="preserve">OH-00302</t>
  </si>
  <si>
    <t xml:space="preserve">OH-00303</t>
  </si>
  <si>
    <t xml:space="preserve">OH-00304</t>
  </si>
  <si>
    <t xml:space="preserve">OH-00305</t>
  </si>
  <si>
    <t xml:space="preserve">OH-00306</t>
  </si>
  <si>
    <t xml:space="preserve">OH-00307</t>
  </si>
  <si>
    <t xml:space="preserve">OH-00308</t>
  </si>
  <si>
    <t xml:space="preserve">OH-00309</t>
  </si>
  <si>
    <t xml:space="preserve">OH-00310</t>
  </si>
  <si>
    <t xml:space="preserve">OH-00311</t>
  </si>
  <si>
    <t xml:space="preserve">OH-00312</t>
  </si>
  <si>
    <t xml:space="preserve">OH-00313</t>
  </si>
  <si>
    <t xml:space="preserve">OH-00314</t>
  </si>
  <si>
    <t xml:space="preserve">OH-00315</t>
  </si>
  <si>
    <t xml:space="preserve">OH-00316</t>
  </si>
  <si>
    <t xml:space="preserve">OH-00317</t>
  </si>
  <si>
    <t xml:space="preserve">OH-00318</t>
  </si>
  <si>
    <t xml:space="preserve">OH-00319</t>
  </si>
  <si>
    <t xml:space="preserve">OH-00320</t>
  </si>
  <si>
    <t xml:space="preserve">OH-00321</t>
  </si>
  <si>
    <t xml:space="preserve">OH-00322</t>
  </si>
  <si>
    <t xml:space="preserve">OH-00323</t>
  </si>
  <si>
    <t xml:space="preserve">OH-00324</t>
  </si>
  <si>
    <t xml:space="preserve">OH-00325</t>
  </si>
  <si>
    <t xml:space="preserve">OH-00326</t>
  </si>
  <si>
    <t xml:space="preserve">OH-00327</t>
  </si>
  <si>
    <t xml:space="preserve">OH-00328</t>
  </si>
  <si>
    <t xml:space="preserve">OH-00329</t>
  </si>
  <si>
    <t xml:space="preserve">OH-00330</t>
  </si>
  <si>
    <t xml:space="preserve">OH-00331</t>
  </si>
  <si>
    <t xml:space="preserve">OH-00332</t>
  </si>
  <si>
    <t xml:space="preserve">OH-00333</t>
  </si>
  <si>
    <t xml:space="preserve">OH-00334</t>
  </si>
  <si>
    <t xml:space="preserve">OH-00335</t>
  </si>
  <si>
    <t xml:space="preserve">OH-00336</t>
  </si>
  <si>
    <t xml:space="preserve">OH-00337</t>
  </si>
  <si>
    <t xml:space="preserve">OH-00338</t>
  </si>
  <si>
    <t xml:space="preserve">OH-00339</t>
  </si>
  <si>
    <t xml:space="preserve">OH-00340</t>
  </si>
  <si>
    <t xml:space="preserve">OH-00341</t>
  </si>
  <si>
    <t xml:space="preserve">OH-00342</t>
  </si>
  <si>
    <t xml:space="preserve">OH-00343</t>
  </si>
  <si>
    <t xml:space="preserve">OH-00344</t>
  </si>
  <si>
    <t xml:space="preserve">OH-00345</t>
  </si>
  <si>
    <t xml:space="preserve">OH-00346</t>
  </si>
  <si>
    <t xml:space="preserve">OH-00347</t>
  </si>
  <si>
    <t xml:space="preserve">OH-00348</t>
  </si>
  <si>
    <t xml:space="preserve">OH-00349</t>
  </si>
  <si>
    <t xml:space="preserve">OH-00350</t>
  </si>
  <si>
    <t xml:space="preserve">OH-00351</t>
  </si>
  <si>
    <t xml:space="preserve">OH-00352</t>
  </si>
  <si>
    <t xml:space="preserve">OH-00353</t>
  </si>
  <si>
    <t xml:space="preserve">OH-00354</t>
  </si>
  <si>
    <t xml:space="preserve">OH-00355</t>
  </si>
  <si>
    <t xml:space="preserve">OH-00356</t>
  </si>
  <si>
    <t xml:space="preserve">OH-00357</t>
  </si>
  <si>
    <t xml:space="preserve">OH-00358</t>
  </si>
  <si>
    <t xml:space="preserve">OH-00359</t>
  </si>
  <si>
    <t xml:space="preserve">OH-00360</t>
  </si>
  <si>
    <t xml:space="preserve">OH-00361</t>
  </si>
  <si>
    <t xml:space="preserve">OH-00362</t>
  </si>
  <si>
    <t xml:space="preserve">OH-00363</t>
  </si>
  <si>
    <t xml:space="preserve">OH-00364</t>
  </si>
  <si>
    <t xml:space="preserve">OH-00365</t>
  </si>
  <si>
    <t xml:space="preserve">OH-00366</t>
  </si>
  <si>
    <t xml:space="preserve">OH-00367</t>
  </si>
  <si>
    <t xml:space="preserve">OH-00368</t>
  </si>
  <si>
    <t xml:space="preserve">OH-00369</t>
  </si>
  <si>
    <t xml:space="preserve">OH-00370</t>
  </si>
  <si>
    <t xml:space="preserve">OH-00371</t>
  </si>
  <si>
    <t xml:space="preserve">OH-00372</t>
  </si>
  <si>
    <t xml:space="preserve">OH-00373</t>
  </si>
  <si>
    <t xml:space="preserve">OH-00374</t>
  </si>
  <si>
    <t xml:space="preserve">OH-00375</t>
  </si>
  <si>
    <t xml:space="preserve">OH-00376</t>
  </si>
  <si>
    <t xml:space="preserve">OH-00377</t>
  </si>
  <si>
    <t xml:space="preserve">OH-00378</t>
  </si>
  <si>
    <t xml:space="preserve">OH-00379</t>
  </si>
  <si>
    <t xml:space="preserve">OH-00380</t>
  </si>
  <si>
    <t xml:space="preserve">OH-00381</t>
  </si>
  <si>
    <t xml:space="preserve">OH-00382</t>
  </si>
  <si>
    <t xml:space="preserve">OH-00383</t>
  </si>
  <si>
    <t xml:space="preserve">OH-00384</t>
  </si>
  <si>
    <t xml:space="preserve">OH-00385</t>
  </si>
  <si>
    <t xml:space="preserve">OH-00386</t>
  </si>
  <si>
    <t xml:space="preserve">OH-00387</t>
  </si>
  <si>
    <t xml:space="preserve">OH-00388</t>
  </si>
  <si>
    <t xml:space="preserve">OH-00389</t>
  </si>
  <si>
    <t xml:space="preserve">OH-00390</t>
  </si>
  <si>
    <t xml:space="preserve">OH-00391</t>
  </si>
  <si>
    <t xml:space="preserve">OH-00392</t>
  </si>
  <si>
    <t xml:space="preserve">OH-00393</t>
  </si>
  <si>
    <t xml:space="preserve">OH-00394</t>
  </si>
  <si>
    <t xml:space="preserve">OH-00395</t>
  </si>
  <si>
    <t xml:space="preserve">OH-00396</t>
  </si>
  <si>
    <t xml:space="preserve">OH-00397</t>
  </si>
  <si>
    <t xml:space="preserve">OH-00398</t>
  </si>
  <si>
    <t xml:space="preserve">OH-00399</t>
  </si>
  <si>
    <t xml:space="preserve">OH-00400</t>
  </si>
  <si>
    <t xml:space="preserve">OH-00401</t>
  </si>
  <si>
    <t xml:space="preserve">OH-00402</t>
  </si>
  <si>
    <t xml:space="preserve">OH-00403</t>
  </si>
  <si>
    <t xml:space="preserve">OH-00404</t>
  </si>
  <si>
    <t xml:space="preserve">OH-00405</t>
  </si>
  <si>
    <t xml:space="preserve">OH-00406</t>
  </si>
  <si>
    <t xml:space="preserve">OH-00407</t>
  </si>
  <si>
    <t xml:space="preserve">OH-00408</t>
  </si>
  <si>
    <t xml:space="preserve">OH-00409</t>
  </si>
  <si>
    <t xml:space="preserve">OH-00410</t>
  </si>
  <si>
    <t xml:space="preserve">OH-00411</t>
  </si>
  <si>
    <t xml:space="preserve">OH-00412</t>
  </si>
  <si>
    <t xml:space="preserve">OH-00413</t>
  </si>
  <si>
    <t xml:space="preserve">OH-00414</t>
  </si>
  <si>
    <t xml:space="preserve">OH-00415</t>
  </si>
  <si>
    <t xml:space="preserve">OH-00416</t>
  </si>
  <si>
    <t xml:space="preserve">OH-00417</t>
  </si>
  <si>
    <t xml:space="preserve">OH-00418</t>
  </si>
  <si>
    <t xml:space="preserve">OH-00419</t>
  </si>
  <si>
    <t xml:space="preserve">OH-00420</t>
  </si>
  <si>
    <t xml:space="preserve">OH-00421</t>
  </si>
  <si>
    <t xml:space="preserve">OH-00422</t>
  </si>
  <si>
    <t xml:space="preserve">OH-00423</t>
  </si>
  <si>
    <t xml:space="preserve">OH-00424</t>
  </si>
  <si>
    <t xml:space="preserve">OH-00425</t>
  </si>
  <si>
    <t xml:space="preserve">OH-00426</t>
  </si>
  <si>
    <t xml:space="preserve">OH-00427</t>
  </si>
  <si>
    <t xml:space="preserve">OH-00428</t>
  </si>
  <si>
    <t xml:space="preserve">OH-00429</t>
  </si>
  <si>
    <t xml:space="preserve">OH-00430</t>
  </si>
  <si>
    <t xml:space="preserve">OH-00431</t>
  </si>
  <si>
    <t xml:space="preserve">OH-00432</t>
  </si>
  <si>
    <t xml:space="preserve">OH-00433</t>
  </si>
  <si>
    <t xml:space="preserve">OH-00434</t>
  </si>
  <si>
    <t xml:space="preserve">OH-00435</t>
  </si>
  <si>
    <t xml:space="preserve">OH-00436</t>
  </si>
  <si>
    <t xml:space="preserve">OH-00437</t>
  </si>
  <si>
    <t xml:space="preserve">OH-00438</t>
  </si>
  <si>
    <t xml:space="preserve">OH-00439</t>
  </si>
  <si>
    <t xml:space="preserve">OH-00440</t>
  </si>
  <si>
    <t xml:space="preserve">OH-00441</t>
  </si>
  <si>
    <t xml:space="preserve">OH-00442</t>
  </si>
  <si>
    <t xml:space="preserve">OH-00443</t>
  </si>
  <si>
    <t xml:space="preserve">OH-00444</t>
  </si>
  <si>
    <t xml:space="preserve">OH-00445</t>
  </si>
  <si>
    <t xml:space="preserve">OH-00446</t>
  </si>
  <si>
    <t xml:space="preserve">OH-00447</t>
  </si>
  <si>
    <t xml:space="preserve">OH-00448</t>
  </si>
  <si>
    <t xml:space="preserve">OH-00449</t>
  </si>
  <si>
    <t xml:space="preserve">OH-00450</t>
  </si>
  <si>
    <t xml:space="preserve">OH-00451</t>
  </si>
  <si>
    <t xml:space="preserve">OH-00452</t>
  </si>
  <si>
    <t xml:space="preserve">OH-00453</t>
  </si>
  <si>
    <t xml:space="preserve">OH-00454</t>
  </si>
  <si>
    <t xml:space="preserve">OH-00455</t>
  </si>
  <si>
    <t xml:space="preserve">OH-00456</t>
  </si>
  <si>
    <t xml:space="preserve">OH-00457</t>
  </si>
  <si>
    <t xml:space="preserve">OH-00458</t>
  </si>
  <si>
    <t xml:space="preserve">OH-00459</t>
  </si>
  <si>
    <t xml:space="preserve">OH-00460</t>
  </si>
  <si>
    <t xml:space="preserve">OH-00461</t>
  </si>
  <si>
    <t xml:space="preserve">OH-00462</t>
  </si>
  <si>
    <t xml:space="preserve">OH-00463</t>
  </si>
  <si>
    <t xml:space="preserve">OH-00464</t>
  </si>
  <si>
    <t xml:space="preserve">OH-00465</t>
  </si>
  <si>
    <t xml:space="preserve">OH-00466</t>
  </si>
  <si>
    <t xml:space="preserve">OH-00467</t>
  </si>
  <si>
    <t xml:space="preserve">OH-00468</t>
  </si>
  <si>
    <t xml:space="preserve">OH-00469</t>
  </si>
  <si>
    <t xml:space="preserve">OH-00470</t>
  </si>
  <si>
    <t xml:space="preserve">OH-00471</t>
  </si>
  <si>
    <t xml:space="preserve">OH-00472</t>
  </si>
  <si>
    <t xml:space="preserve">OH-00473</t>
  </si>
  <si>
    <t xml:space="preserve">OH-00474</t>
  </si>
  <si>
    <t xml:space="preserve">OH-00475</t>
  </si>
  <si>
    <t xml:space="preserve">OH-00476</t>
  </si>
  <si>
    <t xml:space="preserve">OH-00477</t>
  </si>
  <si>
    <t xml:space="preserve">OH-00478</t>
  </si>
  <si>
    <t xml:space="preserve">OH-00479</t>
  </si>
  <si>
    <t xml:space="preserve">OH-00480</t>
  </si>
  <si>
    <t xml:space="preserve">OH-00481</t>
  </si>
  <si>
    <t xml:space="preserve">OH-00482</t>
  </si>
  <si>
    <t xml:space="preserve">OH-00483</t>
  </si>
  <si>
    <t xml:space="preserve">OH-00484</t>
  </si>
  <si>
    <t xml:space="preserve">OH-00485</t>
  </si>
  <si>
    <t xml:space="preserve">OH-00486</t>
  </si>
  <si>
    <t xml:space="preserve">OH-00487</t>
  </si>
  <si>
    <t xml:space="preserve">OH-00488</t>
  </si>
  <si>
    <t xml:space="preserve">OH-00489</t>
  </si>
  <si>
    <t xml:space="preserve">OH-00490</t>
  </si>
  <si>
    <t xml:space="preserve">OH-00491</t>
  </si>
  <si>
    <t xml:space="preserve">OH-00492</t>
  </si>
  <si>
    <t xml:space="preserve">OH-00493</t>
  </si>
  <si>
    <t xml:space="preserve">OH-00494</t>
  </si>
  <si>
    <t xml:space="preserve">OH-00495</t>
  </si>
  <si>
    <t xml:space="preserve">OH-00496</t>
  </si>
  <si>
    <t xml:space="preserve">OH-00497</t>
  </si>
  <si>
    <t xml:space="preserve">OH-00498</t>
  </si>
  <si>
    <t xml:space="preserve">OH-00499</t>
  </si>
  <si>
    <t xml:space="preserve">OH-00500</t>
  </si>
  <si>
    <t xml:space="preserve">OH-00501</t>
  </si>
  <si>
    <t xml:space="preserve">OH-00502</t>
  </si>
  <si>
    <t xml:space="preserve">OH-00503</t>
  </si>
  <si>
    <t xml:space="preserve">OH-00504</t>
  </si>
  <si>
    <t xml:space="preserve">OH-00505</t>
  </si>
  <si>
    <t xml:space="preserve">OH-00506</t>
  </si>
  <si>
    <t xml:space="preserve">OH-00507</t>
  </si>
  <si>
    <t xml:space="preserve">OH-00508</t>
  </si>
  <si>
    <t xml:space="preserve">OH-00509</t>
  </si>
  <si>
    <t xml:space="preserve">OH-00510</t>
  </si>
  <si>
    <t xml:space="preserve">OH-00511</t>
  </si>
  <si>
    <t xml:space="preserve">OH-00512</t>
  </si>
  <si>
    <t xml:space="preserve">OH-00513</t>
  </si>
  <si>
    <t xml:space="preserve">OH-00514</t>
  </si>
  <si>
    <t xml:space="preserve">OH-00515</t>
  </si>
  <si>
    <t xml:space="preserve">OH-00516</t>
  </si>
  <si>
    <t xml:space="preserve">OH-00517</t>
  </si>
  <si>
    <t xml:space="preserve">OH-00518</t>
  </si>
  <si>
    <t xml:space="preserve">OH-00519</t>
  </si>
  <si>
    <t xml:space="preserve">OH-00520</t>
  </si>
  <si>
    <t xml:space="preserve">OH-00521</t>
  </si>
  <si>
    <t xml:space="preserve">OH-00522</t>
  </si>
  <si>
    <t xml:space="preserve">OH-00523</t>
  </si>
  <si>
    <t xml:space="preserve">OH-00524</t>
  </si>
  <si>
    <t xml:space="preserve">OH-00525</t>
  </si>
  <si>
    <t xml:space="preserve">OH-00526</t>
  </si>
  <si>
    <t xml:space="preserve">OH-00527</t>
  </si>
  <si>
    <t xml:space="preserve">OH-00528</t>
  </si>
  <si>
    <t xml:space="preserve">OH-00529</t>
  </si>
  <si>
    <t xml:space="preserve">OH-00530</t>
  </si>
  <si>
    <t xml:space="preserve">OH-00531</t>
  </si>
  <si>
    <t xml:space="preserve">OH-00532</t>
  </si>
  <si>
    <t xml:space="preserve">OH-00533</t>
  </si>
  <si>
    <t xml:space="preserve">OH-00534</t>
  </si>
  <si>
    <t xml:space="preserve">OH-00535</t>
  </si>
  <si>
    <t xml:space="preserve">OH-00536</t>
  </si>
  <si>
    <t xml:space="preserve">OH-00537</t>
  </si>
  <si>
    <t xml:space="preserve">OH-00538</t>
  </si>
  <si>
    <t xml:space="preserve">OH-00539</t>
  </si>
  <si>
    <t xml:space="preserve">OH-00540</t>
  </si>
  <si>
    <t xml:space="preserve">OH-00541</t>
  </si>
  <si>
    <t xml:space="preserve">OH-00542</t>
  </si>
  <si>
    <t xml:space="preserve">OH-00543</t>
  </si>
  <si>
    <t xml:space="preserve">OH-00544</t>
  </si>
  <si>
    <t xml:space="preserve">OH-00545</t>
  </si>
  <si>
    <t xml:space="preserve">OH-00546</t>
  </si>
  <si>
    <t xml:space="preserve">OH-00547</t>
  </si>
  <si>
    <t xml:space="preserve">OH-00548</t>
  </si>
  <si>
    <t xml:space="preserve">OH-00549</t>
  </si>
  <si>
    <t xml:space="preserve">OH-00550</t>
  </si>
  <si>
    <t xml:space="preserve">OH-00551</t>
  </si>
  <si>
    <t xml:space="preserve">OH-00552</t>
  </si>
  <si>
    <t xml:space="preserve">OH-00553</t>
  </si>
  <si>
    <t xml:space="preserve">OH-00554</t>
  </si>
  <si>
    <t xml:space="preserve">OH-00555</t>
  </si>
  <si>
    <t xml:space="preserve">OH-00556</t>
  </si>
  <si>
    <t xml:space="preserve">OH-00557</t>
  </si>
  <si>
    <t xml:space="preserve">OH-00558</t>
  </si>
  <si>
    <t xml:space="preserve">OH-00559</t>
  </si>
  <si>
    <t xml:space="preserve">OH-00560</t>
  </si>
  <si>
    <t xml:space="preserve">OH-00561</t>
  </si>
  <si>
    <t xml:space="preserve">OH-00562</t>
  </si>
  <si>
    <t xml:space="preserve">OH-00563</t>
  </si>
  <si>
    <t xml:space="preserve">OH-00564</t>
  </si>
  <si>
    <t xml:space="preserve">OH-00565</t>
  </si>
  <si>
    <t xml:space="preserve">OH-00566</t>
  </si>
  <si>
    <t xml:space="preserve">OH-00567</t>
  </si>
  <si>
    <t xml:space="preserve">OH-00568</t>
  </si>
  <si>
    <t xml:space="preserve">OH-00569</t>
  </si>
  <si>
    <t xml:space="preserve">OH-00570</t>
  </si>
  <si>
    <t xml:space="preserve">OH-00571</t>
  </si>
  <si>
    <t xml:space="preserve">OH-00572</t>
  </si>
  <si>
    <t xml:space="preserve">OH-00573</t>
  </si>
  <si>
    <t xml:space="preserve">OH-00574</t>
  </si>
  <si>
    <t xml:space="preserve">OH-00575</t>
  </si>
  <si>
    <t xml:space="preserve">OH-00576</t>
  </si>
  <si>
    <t xml:space="preserve">OH-00577</t>
  </si>
  <si>
    <t xml:space="preserve">OH-00578</t>
  </si>
  <si>
    <t xml:space="preserve">OH-00579</t>
  </si>
  <si>
    <t xml:space="preserve">OH-00580</t>
  </si>
  <si>
    <t xml:space="preserve">OH-00581</t>
  </si>
  <si>
    <t xml:space="preserve">OH-00582</t>
  </si>
  <si>
    <t xml:space="preserve">OH-00583</t>
  </si>
  <si>
    <t xml:space="preserve">OH-00584</t>
  </si>
  <si>
    <t xml:space="preserve">OH-00585</t>
  </si>
  <si>
    <t xml:space="preserve">OH-00586</t>
  </si>
  <si>
    <t xml:space="preserve">OH-00587</t>
  </si>
  <si>
    <t xml:space="preserve">OH-00588</t>
  </si>
  <si>
    <t xml:space="preserve">OH-00589</t>
  </si>
  <si>
    <t xml:space="preserve">OH-00590</t>
  </si>
  <si>
    <t xml:space="preserve">OH-00591</t>
  </si>
  <si>
    <t xml:space="preserve">OH-00592</t>
  </si>
  <si>
    <t xml:space="preserve">OH-00593</t>
  </si>
  <si>
    <t xml:space="preserve">OH-00594</t>
  </si>
  <si>
    <t xml:space="preserve">OH-00595</t>
  </si>
  <si>
    <t xml:space="preserve">OH-00596</t>
  </si>
  <si>
    <t xml:space="preserve">OH-00597</t>
  </si>
  <si>
    <t xml:space="preserve">OH-00598</t>
  </si>
  <si>
    <t xml:space="preserve">OH-00599</t>
  </si>
  <si>
    <t xml:space="preserve">OH-00600</t>
  </si>
  <si>
    <t xml:space="preserve">OH-00601</t>
  </si>
  <si>
    <t xml:space="preserve">OH-00602</t>
  </si>
  <si>
    <t xml:space="preserve">OH-00603</t>
  </si>
  <si>
    <t xml:space="preserve">OH-00604</t>
  </si>
  <si>
    <t xml:space="preserve">OH-00605</t>
  </si>
  <si>
    <t xml:space="preserve">OH-00606</t>
  </si>
  <si>
    <t xml:space="preserve">OH-00607</t>
  </si>
  <si>
    <t xml:space="preserve">OH-00608</t>
  </si>
  <si>
    <t xml:space="preserve">OH-00609</t>
  </si>
  <si>
    <t xml:space="preserve">OH-00610</t>
  </si>
  <si>
    <t xml:space="preserve">OH-00611</t>
  </si>
  <si>
    <t xml:space="preserve">OH-00612</t>
  </si>
  <si>
    <t xml:space="preserve">OH-00613</t>
  </si>
  <si>
    <t xml:space="preserve">OH-00614</t>
  </si>
  <si>
    <t xml:space="preserve">OH-00615</t>
  </si>
  <si>
    <t xml:space="preserve">OH-00616</t>
  </si>
  <si>
    <t xml:space="preserve">OH-00617</t>
  </si>
  <si>
    <t xml:space="preserve">OH-00618</t>
  </si>
  <si>
    <t xml:space="preserve">OH-00619</t>
  </si>
  <si>
    <t xml:space="preserve">OH-00620</t>
  </si>
  <si>
    <t xml:space="preserve">OH-00621</t>
  </si>
  <si>
    <t xml:space="preserve">OH-00622</t>
  </si>
  <si>
    <t xml:space="preserve">OH-00623</t>
  </si>
  <si>
    <t xml:space="preserve">OH-00624</t>
  </si>
  <si>
    <t xml:space="preserve">OH-00625</t>
  </si>
  <si>
    <t xml:space="preserve">OH-00626</t>
  </si>
  <si>
    <t xml:space="preserve">OH-00627</t>
  </si>
  <si>
    <t xml:space="preserve">OH-00628</t>
  </si>
  <si>
    <t xml:space="preserve">OH-00629</t>
  </si>
  <si>
    <t xml:space="preserve">OH-00630</t>
  </si>
  <si>
    <t xml:space="preserve">OH-00631</t>
  </si>
  <si>
    <t xml:space="preserve">OH-00632</t>
  </si>
  <si>
    <t xml:space="preserve">OH-00633</t>
  </si>
  <si>
    <t xml:space="preserve">OH-00634</t>
  </si>
  <si>
    <t xml:space="preserve">OH-00635</t>
  </si>
  <si>
    <t xml:space="preserve">OH-00636</t>
  </si>
  <si>
    <t xml:space="preserve">OH-00637</t>
  </si>
  <si>
    <t xml:space="preserve">OH-00638</t>
  </si>
  <si>
    <t xml:space="preserve">OH-00639</t>
  </si>
  <si>
    <t xml:space="preserve">OH-00640</t>
  </si>
  <si>
    <t xml:space="preserve">OH-00641</t>
  </si>
  <si>
    <t xml:space="preserve">OH-00642</t>
  </si>
  <si>
    <t xml:space="preserve">OH-00643</t>
  </si>
  <si>
    <t xml:space="preserve">OH-00644</t>
  </si>
  <si>
    <t xml:space="preserve">OH-00645</t>
  </si>
  <si>
    <t xml:space="preserve">OH-00646</t>
  </si>
  <si>
    <t xml:space="preserve">OH-00647</t>
  </si>
  <si>
    <t xml:space="preserve">OH-00648</t>
  </si>
  <si>
    <t xml:space="preserve">OH-00649</t>
  </si>
  <si>
    <t xml:space="preserve">OH-00650</t>
  </si>
  <si>
    <t xml:space="preserve">OH-00651</t>
  </si>
  <si>
    <t xml:space="preserve">OH-00652</t>
  </si>
  <si>
    <t xml:space="preserve">OH-00653</t>
  </si>
  <si>
    <t xml:space="preserve">OH-00654</t>
  </si>
  <si>
    <t xml:space="preserve">OH-00655</t>
  </si>
  <si>
    <t xml:space="preserve">OH-00656</t>
  </si>
  <si>
    <t xml:space="preserve">OH-00657</t>
  </si>
  <si>
    <t xml:space="preserve">OH-00658</t>
  </si>
  <si>
    <t xml:space="preserve">OH-00659</t>
  </si>
  <si>
    <t xml:space="preserve">OH-00660</t>
  </si>
  <si>
    <t xml:space="preserve">OH-00661</t>
  </si>
  <si>
    <t xml:space="preserve">OH-00662</t>
  </si>
  <si>
    <t xml:space="preserve">OH-00663</t>
  </si>
  <si>
    <t xml:space="preserve">OH-00664</t>
  </si>
  <si>
    <t xml:space="preserve">OH-00665</t>
  </si>
  <si>
    <t xml:space="preserve">OH-00666</t>
  </si>
  <si>
    <t xml:space="preserve">OH-00667</t>
  </si>
  <si>
    <t xml:space="preserve">OH-00668</t>
  </si>
  <si>
    <t xml:space="preserve">OH-00669</t>
  </si>
  <si>
    <t xml:space="preserve">OH-00670</t>
  </si>
  <si>
    <t xml:space="preserve">OH-00671</t>
  </si>
  <si>
    <t xml:space="preserve">OH-00672</t>
  </si>
  <si>
    <t xml:space="preserve">OH-00673</t>
  </si>
  <si>
    <t xml:space="preserve">OH-00674</t>
  </si>
  <si>
    <t xml:space="preserve">OH-00675</t>
  </si>
  <si>
    <t xml:space="preserve">OH-00676</t>
  </si>
  <si>
    <t xml:space="preserve">OH-00677</t>
  </si>
  <si>
    <t xml:space="preserve">OH-00678</t>
  </si>
  <si>
    <t xml:space="preserve">OH-00679</t>
  </si>
  <si>
    <t xml:space="preserve">OH-00680</t>
  </si>
  <si>
    <t xml:space="preserve">OH-00681</t>
  </si>
  <si>
    <t xml:space="preserve">OH-00682</t>
  </si>
  <si>
    <t xml:space="preserve">OH-00683</t>
  </si>
  <si>
    <t xml:space="preserve">OH-00684</t>
  </si>
  <si>
    <t xml:space="preserve">OH-00685</t>
  </si>
  <si>
    <t xml:space="preserve">OH-00686</t>
  </si>
  <si>
    <t xml:space="preserve">OH-00687</t>
  </si>
  <si>
    <t xml:space="preserve">OH-00688</t>
  </si>
  <si>
    <t xml:space="preserve">OH-00689</t>
  </si>
  <si>
    <t xml:space="preserve">OH-00690</t>
  </si>
  <si>
    <t xml:space="preserve">OH-00691</t>
  </si>
  <si>
    <t xml:space="preserve">OH-00692</t>
  </si>
  <si>
    <t xml:space="preserve">OH-00693</t>
  </si>
  <si>
    <t xml:space="preserve">OH-00694</t>
  </si>
  <si>
    <t xml:space="preserve">OH-00695</t>
  </si>
  <si>
    <t xml:space="preserve">OH-00696</t>
  </si>
  <si>
    <t xml:space="preserve">OH-00697</t>
  </si>
  <si>
    <t xml:space="preserve">OH-00698</t>
  </si>
  <si>
    <t xml:space="preserve">OH-00699</t>
  </si>
  <si>
    <t xml:space="preserve">OH-00700</t>
  </si>
  <si>
    <t xml:space="preserve">OH-00701</t>
  </si>
  <si>
    <t xml:space="preserve">OH-00702</t>
  </si>
  <si>
    <t xml:space="preserve">OH-00703</t>
  </si>
  <si>
    <t xml:space="preserve">OH-00704</t>
  </si>
  <si>
    <t xml:space="preserve">OH-00705</t>
  </si>
  <si>
    <t xml:space="preserve">OH-00706</t>
  </si>
  <si>
    <t xml:space="preserve">OH-00707</t>
  </si>
  <si>
    <t xml:space="preserve">OH-00708</t>
  </si>
  <si>
    <t xml:space="preserve">OH-00709</t>
  </si>
  <si>
    <t xml:space="preserve">OH-00710</t>
  </si>
  <si>
    <t xml:space="preserve">OH-00711</t>
  </si>
  <si>
    <t xml:space="preserve">OH-00712</t>
  </si>
  <si>
    <t xml:space="preserve">OH-00713</t>
  </si>
  <si>
    <t xml:space="preserve">OH-00714</t>
  </si>
  <si>
    <t xml:space="preserve">OH-00715</t>
  </si>
  <si>
    <t xml:space="preserve">OH-00716</t>
  </si>
  <si>
    <t xml:space="preserve">OH-00717</t>
  </si>
  <si>
    <t xml:space="preserve">OH-00718</t>
  </si>
  <si>
    <t xml:space="preserve">OH-00719</t>
  </si>
  <si>
    <t xml:space="preserve">OH-00720</t>
  </si>
  <si>
    <t xml:space="preserve">OH-00721</t>
  </si>
  <si>
    <t xml:space="preserve">OH-00722</t>
  </si>
  <si>
    <t xml:space="preserve">OH-00723</t>
  </si>
  <si>
    <t xml:space="preserve">OH-00724</t>
  </si>
  <si>
    <t xml:space="preserve">OH-00725</t>
  </si>
  <si>
    <t xml:space="preserve">OH-00726</t>
  </si>
  <si>
    <t xml:space="preserve">OH-00727</t>
  </si>
  <si>
    <t xml:space="preserve">OH-00728</t>
  </si>
  <si>
    <t xml:space="preserve">OH-00729</t>
  </si>
  <si>
    <t xml:space="preserve">OH-00730</t>
  </si>
  <si>
    <t xml:space="preserve">OH-00731</t>
  </si>
  <si>
    <t xml:space="preserve">OH-00732</t>
  </si>
  <si>
    <t xml:space="preserve">OH-00733</t>
  </si>
  <si>
    <t xml:space="preserve">OH-00734</t>
  </si>
  <si>
    <t xml:space="preserve">OH-00735</t>
  </si>
  <si>
    <t xml:space="preserve">OH-00736</t>
  </si>
  <si>
    <t xml:space="preserve">OH-00737</t>
  </si>
  <si>
    <t xml:space="preserve">OH-00738</t>
  </si>
  <si>
    <t xml:space="preserve">OH-00739</t>
  </si>
  <si>
    <t xml:space="preserve">OH-00740</t>
  </si>
  <si>
    <t xml:space="preserve">OH-00741</t>
  </si>
  <si>
    <t xml:space="preserve">OH-00742</t>
  </si>
  <si>
    <t xml:space="preserve">OH-00743</t>
  </si>
  <si>
    <t xml:space="preserve">OH-00744</t>
  </si>
  <si>
    <t xml:space="preserve">OH-00745</t>
  </si>
  <si>
    <t xml:space="preserve">OH-00746</t>
  </si>
  <si>
    <t xml:space="preserve">OH-00747</t>
  </si>
  <si>
    <t xml:space="preserve">OH-00748</t>
  </si>
  <si>
    <t xml:space="preserve">OH-00749</t>
  </si>
  <si>
    <t xml:space="preserve">OH-00750</t>
  </si>
  <si>
    <t xml:space="preserve">OH-00751</t>
  </si>
  <si>
    <t xml:space="preserve">OH-00752</t>
  </si>
  <si>
    <t xml:space="preserve">OH-00753</t>
  </si>
  <si>
    <t xml:space="preserve">OH-00754</t>
  </si>
  <si>
    <t xml:space="preserve">OH-00755</t>
  </si>
  <si>
    <t xml:space="preserve">OH-00756</t>
  </si>
  <si>
    <t xml:space="preserve">OH-00757</t>
  </si>
  <si>
    <t xml:space="preserve">OH-00758</t>
  </si>
  <si>
    <t xml:space="preserve">OH-00759</t>
  </si>
  <si>
    <t xml:space="preserve">OH-00760</t>
  </si>
  <si>
    <t xml:space="preserve">OH-00761</t>
  </si>
  <si>
    <t xml:space="preserve">OH-00762</t>
  </si>
  <si>
    <t xml:space="preserve">OH-00763</t>
  </si>
  <si>
    <t xml:space="preserve">OH-00764</t>
  </si>
  <si>
    <t xml:space="preserve">OH-00765</t>
  </si>
  <si>
    <t xml:space="preserve">OH-00766</t>
  </si>
  <si>
    <t xml:space="preserve">OH-00767</t>
  </si>
  <si>
    <t xml:space="preserve">OH-00768</t>
  </si>
  <si>
    <t xml:space="preserve">OH-00769</t>
  </si>
  <si>
    <t xml:space="preserve">OH-00770</t>
  </si>
  <si>
    <t xml:space="preserve">OH-00771</t>
  </si>
  <si>
    <t xml:space="preserve">OH-00772</t>
  </si>
  <si>
    <t xml:space="preserve">OH-00773</t>
  </si>
  <si>
    <t xml:space="preserve">OH-00774</t>
  </si>
  <si>
    <t xml:space="preserve">OH-00775</t>
  </si>
  <si>
    <t xml:space="preserve">OH-00776</t>
  </si>
  <si>
    <t xml:space="preserve">OH-00777</t>
  </si>
  <si>
    <t xml:space="preserve">OH-00778</t>
  </si>
  <si>
    <t xml:space="preserve">OH-00779</t>
  </si>
  <si>
    <t xml:space="preserve">OH-00780</t>
  </si>
  <si>
    <t xml:space="preserve">OH-00781</t>
  </si>
  <si>
    <t xml:space="preserve">OH-00782</t>
  </si>
  <si>
    <t xml:space="preserve">OH-00783</t>
  </si>
  <si>
    <t xml:space="preserve">OH-00784</t>
  </si>
  <si>
    <t xml:space="preserve">OH-00785</t>
  </si>
  <si>
    <t xml:space="preserve">OH-00786</t>
  </si>
  <si>
    <t xml:space="preserve">OH-00787</t>
  </si>
  <si>
    <t xml:space="preserve">OH-00788</t>
  </si>
  <si>
    <t xml:space="preserve">OH-00789</t>
  </si>
  <si>
    <t xml:space="preserve">OH-00790</t>
  </si>
  <si>
    <t xml:space="preserve">OH-00791</t>
  </si>
  <si>
    <t xml:space="preserve">OH-00792</t>
  </si>
  <si>
    <t xml:space="preserve">OH-00793</t>
  </si>
  <si>
    <t xml:space="preserve">OH-00794</t>
  </si>
  <si>
    <t xml:space="preserve">OH-00795</t>
  </si>
  <si>
    <t xml:space="preserve">OH-00796</t>
  </si>
  <si>
    <t xml:space="preserve">OH-00797</t>
  </si>
  <si>
    <t xml:space="preserve">OH-00798</t>
  </si>
  <si>
    <t xml:space="preserve">Bad Debt / Claim Denials Write-off</t>
  </si>
  <si>
    <t xml:space="preserve">Non-Cash</t>
  </si>
  <si>
    <t xml:space="preserve">OH-00799</t>
  </si>
  <si>
    <t xml:space="preserve">OH-00800</t>
  </si>
  <si>
    <t xml:space="preserve">OH-00801</t>
  </si>
  <si>
    <t xml:space="preserve">OH-00802</t>
  </si>
  <si>
    <t xml:space="preserve">OH-00803</t>
  </si>
  <si>
    <t xml:space="preserve">OH-00804</t>
  </si>
  <si>
    <t xml:space="preserve">OH-00805</t>
  </si>
  <si>
    <t xml:space="preserve">OH-00806</t>
  </si>
  <si>
    <t xml:space="preserve">OH-00807</t>
  </si>
  <si>
    <t xml:space="preserve">OH-00808</t>
  </si>
  <si>
    <t xml:space="preserve">OH-00809</t>
  </si>
  <si>
    <t xml:space="preserve">OH-00810</t>
  </si>
  <si>
    <t xml:space="preserve">OH-00811</t>
  </si>
  <si>
    <t xml:space="preserve">OH-00812</t>
  </si>
  <si>
    <t xml:space="preserve">OH-00813</t>
  </si>
  <si>
    <t xml:space="preserve">OH-00814</t>
  </si>
  <si>
    <t xml:space="preserve">OH-00815</t>
  </si>
  <si>
    <t xml:space="preserve">OH-00816</t>
  </si>
  <si>
    <t xml:space="preserve">OH-00817</t>
  </si>
  <si>
    <t xml:space="preserve">OH-00818</t>
  </si>
  <si>
    <t xml:space="preserve">OH-00819</t>
  </si>
  <si>
    <t xml:space="preserve">OH-00820</t>
  </si>
  <si>
    <t xml:space="preserve">OH-00821</t>
  </si>
  <si>
    <t xml:space="preserve">OH-00822</t>
  </si>
  <si>
    <t xml:space="preserve">OH-00823</t>
  </si>
  <si>
    <t xml:space="preserve">OH-00824</t>
  </si>
  <si>
    <t xml:space="preserve">OH-00825</t>
  </si>
  <si>
    <t xml:space="preserve">OH-00826</t>
  </si>
  <si>
    <t xml:space="preserve">OH-00827</t>
  </si>
  <si>
    <t xml:space="preserve">OH-00828</t>
  </si>
  <si>
    <t xml:space="preserve">OH-00829</t>
  </si>
  <si>
    <t xml:space="preserve">OH-00830</t>
  </si>
  <si>
    <t xml:space="preserve">OH-00831</t>
  </si>
  <si>
    <t xml:space="preserve">OH-00832</t>
  </si>
  <si>
    <t xml:space="preserve">OH-00833</t>
  </si>
  <si>
    <t xml:space="preserve">TOTAL OVERHEAD (Year)</t>
  </si>
  <si>
    <t xml:space="preserve">Overhead / Operating Expenses - Monthly Rollup</t>
  </si>
  <si>
    <t xml:space="preserve">Rolled up from the Daily Overhead Register via date-range SUMIFS. Includes non-cash depreciation and LOC interest.</t>
  </si>
  <si>
    <t xml:space="preserve">TOTAL OVERHEAD</t>
  </si>
  <si>
    <t xml:space="preserve">  Overhead Excl. Depreciation (Cash Basis)</t>
  </si>
  <si>
    <t xml:space="preserve">Line of Credit - Draw &amp; Repayment Schedule</t>
  </si>
  <si>
    <t xml:space="preserve">Revolving facility covering the working-capital gap between paying caregivers and collecting from slow payers.</t>
  </si>
  <si>
    <t xml:space="preserve">Beginning LOC Balance</t>
  </si>
  <si>
    <t xml:space="preserve">Draw</t>
  </si>
  <si>
    <t xml:space="preserve">Repayment</t>
  </si>
  <si>
    <t xml:space="preserve">Interest Expense (Monthly)</t>
  </si>
  <si>
    <t xml:space="preserve">Ending LOC Balance</t>
  </si>
  <si>
    <t xml:space="preserve">LOC Utilization % (Ending Balance ÷ Limit)</t>
  </si>
  <si>
    <t xml:space="preserve">Vendor Master</t>
  </si>
  <si>
    <t xml:space="preserve">All vendors billed during the year, with payment terms. Drives the Bills Register and AP Aging.</t>
  </si>
  <si>
    <t xml:space="preserve">Expense Category</t>
  </si>
  <si>
    <t xml:space="preserve">Vendor</t>
  </si>
  <si>
    <t xml:space="preserve">Payment Terms</t>
  </si>
  <si>
    <t xml:space="preserve">Meridian Plaza Properties LLC</t>
  </si>
  <si>
    <t xml:space="preserve">Due on Receipt</t>
  </si>
  <si>
    <t xml:space="preserve">Metro Electric Co-op</t>
  </si>
  <si>
    <t xml:space="preserve">Net 21</t>
  </si>
  <si>
    <t xml:space="preserve">City Water and Sewer Dept</t>
  </si>
  <si>
    <t xml:space="preserve">Regional Gas Company</t>
  </si>
  <si>
    <t xml:space="preserve">CareTrack EVV Solutions</t>
  </si>
  <si>
    <t xml:space="preserve">Auto-Charge</t>
  </si>
  <si>
    <t xml:space="preserve">Intuit Inc.</t>
  </si>
  <si>
    <t xml:space="preserve">Microsoft Corporation</t>
  </si>
  <si>
    <t xml:space="preserve">ClockWise Time Systems</t>
  </si>
  <si>
    <t xml:space="preserve">Gusto Inc.</t>
  </si>
  <si>
    <t xml:space="preserve">N/A (Prepaid Amortization)</t>
  </si>
  <si>
    <t xml:space="preserve">Hartford Professional Liability</t>
  </si>
  <si>
    <t xml:space="preserve">Net 30</t>
  </si>
  <si>
    <t xml:space="preserve">Surety Bond Partners</t>
  </si>
  <si>
    <t xml:space="preserve">SafeHire Screening Services</t>
  </si>
  <si>
    <t xml:space="preserve">Net 15</t>
  </si>
  <si>
    <t xml:space="preserve">Meta Platforms (Ads)</t>
  </si>
  <si>
    <t xml:space="preserve">Local Chamber of Commerce</t>
  </si>
  <si>
    <t xml:space="preserve">Office Depot Business</t>
  </si>
  <si>
    <t xml:space="preserve">Comcast Business</t>
  </si>
  <si>
    <t xml:space="preserve">Verizon Wireless Business</t>
  </si>
  <si>
    <t xml:space="preserve">Whitman and Associates, CPA</t>
  </si>
  <si>
    <t xml:space="preserve">First Community Bank</t>
  </si>
  <si>
    <t xml:space="preserve">Auto-Debit</t>
  </si>
  <si>
    <t xml:space="preserve">Fleet Fuel Card Services</t>
  </si>
  <si>
    <t xml:space="preserve">Reliable Auto Service Center</t>
  </si>
  <si>
    <t xml:space="preserve">Progressive Commercial</t>
  </si>
  <si>
    <t xml:space="preserve">MedSupply Direct</t>
  </si>
  <si>
    <t xml:space="preserve">CareLearn Training Institute</t>
  </si>
  <si>
    <t xml:space="preserve">USPS / Pitney Bowes</t>
  </si>
  <si>
    <t xml:space="preserve">Various Vendors</t>
  </si>
  <si>
    <t xml:space="preserve">Bills Register - Every Vendor Bill, Full Year</t>
  </si>
  <si>
    <t xml:space="preserve">681 bills, with incurred date, due date per vendor terms, and actual payment date. Open bills at year-end become Accounts Payable.</t>
  </si>
  <si>
    <t xml:space="preserve">Bill ID</t>
  </si>
  <si>
    <t xml:space="preserve">Incurred Date</t>
  </si>
  <si>
    <t xml:space="preserve">Due Date</t>
  </si>
  <si>
    <t xml:space="preserve">AP-00001</t>
  </si>
  <si>
    <t xml:space="preserve">AP-00002</t>
  </si>
  <si>
    <t xml:space="preserve">AP-00003</t>
  </si>
  <si>
    <t xml:space="preserve">AP-00004</t>
  </si>
  <si>
    <t xml:space="preserve">AP-00005</t>
  </si>
  <si>
    <t xml:space="preserve">AP-00006</t>
  </si>
  <si>
    <t xml:space="preserve">AP-00007</t>
  </si>
  <si>
    <t xml:space="preserve">AP-00008</t>
  </si>
  <si>
    <t xml:space="preserve">AP-00009</t>
  </si>
  <si>
    <t xml:space="preserve">AP-00010</t>
  </si>
  <si>
    <t xml:space="preserve">AP-00011</t>
  </si>
  <si>
    <t xml:space="preserve">AP-00012</t>
  </si>
  <si>
    <t xml:space="preserve">AP-00013</t>
  </si>
  <si>
    <t xml:space="preserve">AP-00014</t>
  </si>
  <si>
    <t xml:space="preserve">AP-00015</t>
  </si>
  <si>
    <t xml:space="preserve">AP-00016</t>
  </si>
  <si>
    <t xml:space="preserve">AP-00017</t>
  </si>
  <si>
    <t xml:space="preserve">AP-00018</t>
  </si>
  <si>
    <t xml:space="preserve">AP-00019</t>
  </si>
  <si>
    <t xml:space="preserve">AP-00020</t>
  </si>
  <si>
    <t xml:space="preserve">AP-00021</t>
  </si>
  <si>
    <t xml:space="preserve">AP-00022</t>
  </si>
  <si>
    <t xml:space="preserve">AP-00023</t>
  </si>
  <si>
    <t xml:space="preserve">AP-00024</t>
  </si>
  <si>
    <t xml:space="preserve">AP-00025</t>
  </si>
  <si>
    <t xml:space="preserve">AP-00026</t>
  </si>
  <si>
    <t xml:space="preserve">AP-00027</t>
  </si>
  <si>
    <t xml:space="preserve">AP-00028</t>
  </si>
  <si>
    <t xml:space="preserve">AP-00029</t>
  </si>
  <si>
    <t xml:space="preserve">AP-00030</t>
  </si>
  <si>
    <t xml:space="preserve">AP-00031</t>
  </si>
  <si>
    <t xml:space="preserve">AP-00032</t>
  </si>
  <si>
    <t xml:space="preserve">AP-00033</t>
  </si>
  <si>
    <t xml:space="preserve">AP-00034</t>
  </si>
  <si>
    <t xml:space="preserve">AP-00035</t>
  </si>
  <si>
    <t xml:space="preserve">AP-00036</t>
  </si>
  <si>
    <t xml:space="preserve">AP-00037</t>
  </si>
  <si>
    <t xml:space="preserve">AP-00038</t>
  </si>
  <si>
    <t xml:space="preserve">AP-00039</t>
  </si>
  <si>
    <t xml:space="preserve">AP-00040</t>
  </si>
  <si>
    <t xml:space="preserve">AP-00041</t>
  </si>
  <si>
    <t xml:space="preserve">AP-00042</t>
  </si>
  <si>
    <t xml:space="preserve">AP-00043</t>
  </si>
  <si>
    <t xml:space="preserve">AP-00044</t>
  </si>
  <si>
    <t xml:space="preserve">AP-00045</t>
  </si>
  <si>
    <t xml:space="preserve">AP-00046</t>
  </si>
  <si>
    <t xml:space="preserve">AP-00047</t>
  </si>
  <si>
    <t xml:space="preserve">AP-00048</t>
  </si>
  <si>
    <t xml:space="preserve">AP-00049</t>
  </si>
  <si>
    <t xml:space="preserve">AP-00050</t>
  </si>
  <si>
    <t xml:space="preserve">AP-00051</t>
  </si>
  <si>
    <t xml:space="preserve">AP-00052</t>
  </si>
  <si>
    <t xml:space="preserve">AP-00053</t>
  </si>
  <si>
    <t xml:space="preserve">AP-00054</t>
  </si>
  <si>
    <t xml:space="preserve">AP-00055</t>
  </si>
  <si>
    <t xml:space="preserve">AP-00056</t>
  </si>
  <si>
    <t xml:space="preserve">AP-00057</t>
  </si>
  <si>
    <t xml:space="preserve">AP-00058</t>
  </si>
  <si>
    <t xml:space="preserve">AP-00059</t>
  </si>
  <si>
    <t xml:space="preserve">AP-00060</t>
  </si>
  <si>
    <t xml:space="preserve">AP-00061</t>
  </si>
  <si>
    <t xml:space="preserve">AP-00062</t>
  </si>
  <si>
    <t xml:space="preserve">AP-00063</t>
  </si>
  <si>
    <t xml:space="preserve">AP-00064</t>
  </si>
  <si>
    <t xml:space="preserve">AP-00065</t>
  </si>
  <si>
    <t xml:space="preserve">AP-00066</t>
  </si>
  <si>
    <t xml:space="preserve">AP-00067</t>
  </si>
  <si>
    <t xml:space="preserve">AP-00068</t>
  </si>
  <si>
    <t xml:space="preserve">AP-00069</t>
  </si>
  <si>
    <t xml:space="preserve">AP-00070</t>
  </si>
  <si>
    <t xml:space="preserve">AP-00071</t>
  </si>
  <si>
    <t xml:space="preserve">AP-00072</t>
  </si>
  <si>
    <t xml:space="preserve">AP-00073</t>
  </si>
  <si>
    <t xml:space="preserve">AP-00074</t>
  </si>
  <si>
    <t xml:space="preserve">AP-00075</t>
  </si>
  <si>
    <t xml:space="preserve">AP-00076</t>
  </si>
  <si>
    <t xml:space="preserve">AP-00077</t>
  </si>
  <si>
    <t xml:space="preserve">AP-00078</t>
  </si>
  <si>
    <t xml:space="preserve">AP-00079</t>
  </si>
  <si>
    <t xml:space="preserve">AP-00080</t>
  </si>
  <si>
    <t xml:space="preserve">AP-00081</t>
  </si>
  <si>
    <t xml:space="preserve">AP-00082</t>
  </si>
  <si>
    <t xml:space="preserve">AP-00083</t>
  </si>
  <si>
    <t xml:space="preserve">AP-00084</t>
  </si>
  <si>
    <t xml:space="preserve">AP-00085</t>
  </si>
  <si>
    <t xml:space="preserve">AP-00086</t>
  </si>
  <si>
    <t xml:space="preserve">AP-00087</t>
  </si>
  <si>
    <t xml:space="preserve">AP-00088</t>
  </si>
  <si>
    <t xml:space="preserve">AP-00089</t>
  </si>
  <si>
    <t xml:space="preserve">AP-00090</t>
  </si>
  <si>
    <t xml:space="preserve">AP-00091</t>
  </si>
  <si>
    <t xml:space="preserve">AP-00092</t>
  </si>
  <si>
    <t xml:space="preserve">AP-00093</t>
  </si>
  <si>
    <t xml:space="preserve">AP-00094</t>
  </si>
  <si>
    <t xml:space="preserve">AP-00095</t>
  </si>
  <si>
    <t xml:space="preserve">AP-00096</t>
  </si>
  <si>
    <t xml:space="preserve">AP-00097</t>
  </si>
  <si>
    <t xml:space="preserve">AP-00098</t>
  </si>
  <si>
    <t xml:space="preserve">AP-00099</t>
  </si>
  <si>
    <t xml:space="preserve">AP-00100</t>
  </si>
  <si>
    <t xml:space="preserve">AP-00101</t>
  </si>
  <si>
    <t xml:space="preserve">AP-00102</t>
  </si>
  <si>
    <t xml:space="preserve">AP-00103</t>
  </si>
  <si>
    <t xml:space="preserve">AP-00104</t>
  </si>
  <si>
    <t xml:space="preserve">AP-00105</t>
  </si>
  <si>
    <t xml:space="preserve">AP-00106</t>
  </si>
  <si>
    <t xml:space="preserve">AP-00107</t>
  </si>
  <si>
    <t xml:space="preserve">AP-00108</t>
  </si>
  <si>
    <t xml:space="preserve">AP-00109</t>
  </si>
  <si>
    <t xml:space="preserve">AP-00110</t>
  </si>
  <si>
    <t xml:space="preserve">AP-00111</t>
  </si>
  <si>
    <t xml:space="preserve">AP-00112</t>
  </si>
  <si>
    <t xml:space="preserve">AP-00113</t>
  </si>
  <si>
    <t xml:space="preserve">AP-00114</t>
  </si>
  <si>
    <t xml:space="preserve">AP-00115</t>
  </si>
  <si>
    <t xml:space="preserve">AP-00116</t>
  </si>
  <si>
    <t xml:space="preserve">AP-00117</t>
  </si>
  <si>
    <t xml:space="preserve">AP-00118</t>
  </si>
  <si>
    <t xml:space="preserve">AP-00119</t>
  </si>
  <si>
    <t xml:space="preserve">AP-00120</t>
  </si>
  <si>
    <t xml:space="preserve">AP-00121</t>
  </si>
  <si>
    <t xml:space="preserve">AP-00122</t>
  </si>
  <si>
    <t xml:space="preserve">AP-00123</t>
  </si>
  <si>
    <t xml:space="preserve">AP-00124</t>
  </si>
  <si>
    <t xml:space="preserve">AP-00125</t>
  </si>
  <si>
    <t xml:space="preserve">AP-00126</t>
  </si>
  <si>
    <t xml:space="preserve">AP-00127</t>
  </si>
  <si>
    <t xml:space="preserve">AP-00128</t>
  </si>
  <si>
    <t xml:space="preserve">AP-00129</t>
  </si>
  <si>
    <t xml:space="preserve">AP-00130</t>
  </si>
  <si>
    <t xml:space="preserve">AP-00131</t>
  </si>
  <si>
    <t xml:space="preserve">AP-00132</t>
  </si>
  <si>
    <t xml:space="preserve">AP-00133</t>
  </si>
  <si>
    <t xml:space="preserve">AP-00134</t>
  </si>
  <si>
    <t xml:space="preserve">AP-00135</t>
  </si>
  <si>
    <t xml:space="preserve">AP-00136</t>
  </si>
  <si>
    <t xml:space="preserve">AP-00137</t>
  </si>
  <si>
    <t xml:space="preserve">AP-00138</t>
  </si>
  <si>
    <t xml:space="preserve">AP-00139</t>
  </si>
  <si>
    <t xml:space="preserve">AP-00140</t>
  </si>
  <si>
    <t xml:space="preserve">AP-00141</t>
  </si>
  <si>
    <t xml:space="preserve">AP-00142</t>
  </si>
  <si>
    <t xml:space="preserve">AP-00143</t>
  </si>
  <si>
    <t xml:space="preserve">AP-00144</t>
  </si>
  <si>
    <t xml:space="preserve">AP-00145</t>
  </si>
  <si>
    <t xml:space="preserve">AP-00146</t>
  </si>
  <si>
    <t xml:space="preserve">AP-00147</t>
  </si>
  <si>
    <t xml:space="preserve">AP-00148</t>
  </si>
  <si>
    <t xml:space="preserve">AP-00149</t>
  </si>
  <si>
    <t xml:space="preserve">AP-00150</t>
  </si>
  <si>
    <t xml:space="preserve">AP-00151</t>
  </si>
  <si>
    <t xml:space="preserve">AP-00152</t>
  </si>
  <si>
    <t xml:space="preserve">AP-00153</t>
  </si>
  <si>
    <t xml:space="preserve">AP-00154</t>
  </si>
  <si>
    <t xml:space="preserve">AP-00155</t>
  </si>
  <si>
    <t xml:space="preserve">AP-00156</t>
  </si>
  <si>
    <t xml:space="preserve">AP-00157</t>
  </si>
  <si>
    <t xml:space="preserve">AP-00158</t>
  </si>
  <si>
    <t xml:space="preserve">AP-00159</t>
  </si>
  <si>
    <t xml:space="preserve">AP-00160</t>
  </si>
  <si>
    <t xml:space="preserve">AP-00161</t>
  </si>
  <si>
    <t xml:space="preserve">AP-00162</t>
  </si>
  <si>
    <t xml:space="preserve">AP-00163</t>
  </si>
  <si>
    <t xml:space="preserve">AP-00164</t>
  </si>
  <si>
    <t xml:space="preserve">AP-00165</t>
  </si>
  <si>
    <t xml:space="preserve">AP-00166</t>
  </si>
  <si>
    <t xml:space="preserve">AP-00167</t>
  </si>
  <si>
    <t xml:space="preserve">AP-00168</t>
  </si>
  <si>
    <t xml:space="preserve">AP-00169</t>
  </si>
  <si>
    <t xml:space="preserve">AP-00170</t>
  </si>
  <si>
    <t xml:space="preserve">AP-00171</t>
  </si>
  <si>
    <t xml:space="preserve">AP-00172</t>
  </si>
  <si>
    <t xml:space="preserve">AP-00173</t>
  </si>
  <si>
    <t xml:space="preserve">AP-00174</t>
  </si>
  <si>
    <t xml:space="preserve">AP-00175</t>
  </si>
  <si>
    <t xml:space="preserve">AP-00176</t>
  </si>
  <si>
    <t xml:space="preserve">AP-00177</t>
  </si>
  <si>
    <t xml:space="preserve">AP-00178</t>
  </si>
  <si>
    <t xml:space="preserve">AP-00179</t>
  </si>
  <si>
    <t xml:space="preserve">AP-00180</t>
  </si>
  <si>
    <t xml:space="preserve">AP-00181</t>
  </si>
  <si>
    <t xml:space="preserve">AP-00182</t>
  </si>
  <si>
    <t xml:space="preserve">AP-00183</t>
  </si>
  <si>
    <t xml:space="preserve">AP-00184</t>
  </si>
  <si>
    <t xml:space="preserve">AP-00185</t>
  </si>
  <si>
    <t xml:space="preserve">AP-00186</t>
  </si>
  <si>
    <t xml:space="preserve">AP-00187</t>
  </si>
  <si>
    <t xml:space="preserve">AP-00188</t>
  </si>
  <si>
    <t xml:space="preserve">AP-00189</t>
  </si>
  <si>
    <t xml:space="preserve">AP-00190</t>
  </si>
  <si>
    <t xml:space="preserve">AP-00191</t>
  </si>
  <si>
    <t xml:space="preserve">AP-00192</t>
  </si>
  <si>
    <t xml:space="preserve">AP-00193</t>
  </si>
  <si>
    <t xml:space="preserve">AP-00194</t>
  </si>
  <si>
    <t xml:space="preserve">AP-00195</t>
  </si>
  <si>
    <t xml:space="preserve">AP-00196</t>
  </si>
  <si>
    <t xml:space="preserve">AP-00197</t>
  </si>
  <si>
    <t xml:space="preserve">AP-00198</t>
  </si>
  <si>
    <t xml:space="preserve">AP-00199</t>
  </si>
  <si>
    <t xml:space="preserve">AP-00200</t>
  </si>
  <si>
    <t xml:space="preserve">AP-00201</t>
  </si>
  <si>
    <t xml:space="preserve">AP-00202</t>
  </si>
  <si>
    <t xml:space="preserve">AP-00203</t>
  </si>
  <si>
    <t xml:space="preserve">AP-00204</t>
  </si>
  <si>
    <t xml:space="preserve">AP-00205</t>
  </si>
  <si>
    <t xml:space="preserve">AP-00206</t>
  </si>
  <si>
    <t xml:space="preserve">AP-00207</t>
  </si>
  <si>
    <t xml:space="preserve">AP-00208</t>
  </si>
  <si>
    <t xml:space="preserve">AP-00209</t>
  </si>
  <si>
    <t xml:space="preserve">AP-00210</t>
  </si>
  <si>
    <t xml:space="preserve">AP-00211</t>
  </si>
  <si>
    <t xml:space="preserve">AP-00212</t>
  </si>
  <si>
    <t xml:space="preserve">AP-00213</t>
  </si>
  <si>
    <t xml:space="preserve">AP-00214</t>
  </si>
  <si>
    <t xml:space="preserve">AP-00215</t>
  </si>
  <si>
    <t xml:space="preserve">AP-00216</t>
  </si>
  <si>
    <t xml:space="preserve">AP-00217</t>
  </si>
  <si>
    <t xml:space="preserve">AP-00218</t>
  </si>
  <si>
    <t xml:space="preserve">AP-00219</t>
  </si>
  <si>
    <t xml:space="preserve">AP-00220</t>
  </si>
  <si>
    <t xml:space="preserve">AP-00221</t>
  </si>
  <si>
    <t xml:space="preserve">AP-00222</t>
  </si>
  <si>
    <t xml:space="preserve">AP-00223</t>
  </si>
  <si>
    <t xml:space="preserve">AP-00224</t>
  </si>
  <si>
    <t xml:space="preserve">AP-00225</t>
  </si>
  <si>
    <t xml:space="preserve">AP-00226</t>
  </si>
  <si>
    <t xml:space="preserve">AP-00227</t>
  </si>
  <si>
    <t xml:space="preserve">AP-00228</t>
  </si>
  <si>
    <t xml:space="preserve">AP-00229</t>
  </si>
  <si>
    <t xml:space="preserve">AP-00230</t>
  </si>
  <si>
    <t xml:space="preserve">AP-00231</t>
  </si>
  <si>
    <t xml:space="preserve">AP-00232</t>
  </si>
  <si>
    <t xml:space="preserve">AP-00233</t>
  </si>
  <si>
    <t xml:space="preserve">AP-00234</t>
  </si>
  <si>
    <t xml:space="preserve">AP-00235</t>
  </si>
  <si>
    <t xml:space="preserve">AP-00236</t>
  </si>
  <si>
    <t xml:space="preserve">AP-00237</t>
  </si>
  <si>
    <t xml:space="preserve">AP-00238</t>
  </si>
  <si>
    <t xml:space="preserve">AP-00239</t>
  </si>
  <si>
    <t xml:space="preserve">AP-00240</t>
  </si>
  <si>
    <t xml:space="preserve">AP-00241</t>
  </si>
  <si>
    <t xml:space="preserve">AP-00242</t>
  </si>
  <si>
    <t xml:space="preserve">AP-00243</t>
  </si>
  <si>
    <t xml:space="preserve">AP-00244</t>
  </si>
  <si>
    <t xml:space="preserve">AP-00245</t>
  </si>
  <si>
    <t xml:space="preserve">AP-00246</t>
  </si>
  <si>
    <t xml:space="preserve">AP-00247</t>
  </si>
  <si>
    <t xml:space="preserve">AP-00248</t>
  </si>
  <si>
    <t xml:space="preserve">AP-00249</t>
  </si>
  <si>
    <t xml:space="preserve">AP-00250</t>
  </si>
  <si>
    <t xml:space="preserve">AP-00251</t>
  </si>
  <si>
    <t xml:space="preserve">AP-00252</t>
  </si>
  <si>
    <t xml:space="preserve">AP-00253</t>
  </si>
  <si>
    <t xml:space="preserve">AP-00254</t>
  </si>
  <si>
    <t xml:space="preserve">AP-00255</t>
  </si>
  <si>
    <t xml:space="preserve">AP-00256</t>
  </si>
  <si>
    <t xml:space="preserve">AP-00257</t>
  </si>
  <si>
    <t xml:space="preserve">AP-00258</t>
  </si>
  <si>
    <t xml:space="preserve">AP-00259</t>
  </si>
  <si>
    <t xml:space="preserve">AP-00260</t>
  </si>
  <si>
    <t xml:space="preserve">AP-00261</t>
  </si>
  <si>
    <t xml:space="preserve">AP-00262</t>
  </si>
  <si>
    <t xml:space="preserve">AP-00263</t>
  </si>
  <si>
    <t xml:space="preserve">AP-00264</t>
  </si>
  <si>
    <t xml:space="preserve">AP-00265</t>
  </si>
  <si>
    <t xml:space="preserve">AP-00266</t>
  </si>
  <si>
    <t xml:space="preserve">AP-00267</t>
  </si>
  <si>
    <t xml:space="preserve">AP-00268</t>
  </si>
  <si>
    <t xml:space="preserve">AP-00269</t>
  </si>
  <si>
    <t xml:space="preserve">AP-00270</t>
  </si>
  <si>
    <t xml:space="preserve">AP-00271</t>
  </si>
  <si>
    <t xml:space="preserve">AP-00272</t>
  </si>
  <si>
    <t xml:space="preserve">AP-00273</t>
  </si>
  <si>
    <t xml:space="preserve">AP-00274</t>
  </si>
  <si>
    <t xml:space="preserve">AP-00275</t>
  </si>
  <si>
    <t xml:space="preserve">AP-00276</t>
  </si>
  <si>
    <t xml:space="preserve">AP-00277</t>
  </si>
  <si>
    <t xml:space="preserve">AP-00278</t>
  </si>
  <si>
    <t xml:space="preserve">AP-00279</t>
  </si>
  <si>
    <t xml:space="preserve">AP-00280</t>
  </si>
  <si>
    <t xml:space="preserve">AP-00281</t>
  </si>
  <si>
    <t xml:space="preserve">AP-00282</t>
  </si>
  <si>
    <t xml:space="preserve">AP-00283</t>
  </si>
  <si>
    <t xml:space="preserve">AP-00284</t>
  </si>
  <si>
    <t xml:space="preserve">AP-00285</t>
  </si>
  <si>
    <t xml:space="preserve">AP-00286</t>
  </si>
  <si>
    <t xml:space="preserve">AP-00287</t>
  </si>
  <si>
    <t xml:space="preserve">AP-00288</t>
  </si>
  <si>
    <t xml:space="preserve">AP-00289</t>
  </si>
  <si>
    <t xml:space="preserve">AP-00290</t>
  </si>
  <si>
    <t xml:space="preserve">AP-00291</t>
  </si>
  <si>
    <t xml:space="preserve">AP-00292</t>
  </si>
  <si>
    <t xml:space="preserve">AP-00293</t>
  </si>
  <si>
    <t xml:space="preserve">AP-00294</t>
  </si>
  <si>
    <t xml:space="preserve">AP-00295</t>
  </si>
  <si>
    <t xml:space="preserve">AP-00296</t>
  </si>
  <si>
    <t xml:space="preserve">AP-00297</t>
  </si>
  <si>
    <t xml:space="preserve">AP-00298</t>
  </si>
  <si>
    <t xml:space="preserve">AP-00299</t>
  </si>
  <si>
    <t xml:space="preserve">AP-00300</t>
  </si>
  <si>
    <t xml:space="preserve">AP-00301</t>
  </si>
  <si>
    <t xml:space="preserve">AP-00302</t>
  </si>
  <si>
    <t xml:space="preserve">AP-00303</t>
  </si>
  <si>
    <t xml:space="preserve">AP-00304</t>
  </si>
  <si>
    <t xml:space="preserve">AP-00305</t>
  </si>
  <si>
    <t xml:space="preserve">AP-00306</t>
  </si>
  <si>
    <t xml:space="preserve">AP-00307</t>
  </si>
  <si>
    <t xml:space="preserve">AP-00308</t>
  </si>
  <si>
    <t xml:space="preserve">AP-00309</t>
  </si>
  <si>
    <t xml:space="preserve">AP-00310</t>
  </si>
  <si>
    <t xml:space="preserve">AP-00311</t>
  </si>
  <si>
    <t xml:space="preserve">AP-00312</t>
  </si>
  <si>
    <t xml:space="preserve">AP-00313</t>
  </si>
  <si>
    <t xml:space="preserve">AP-00314</t>
  </si>
  <si>
    <t xml:space="preserve">AP-00315</t>
  </si>
  <si>
    <t xml:space="preserve">AP-00316</t>
  </si>
  <si>
    <t xml:space="preserve">AP-00317</t>
  </si>
  <si>
    <t xml:space="preserve">AP-00318</t>
  </si>
  <si>
    <t xml:space="preserve">AP-00319</t>
  </si>
  <si>
    <t xml:space="preserve">AP-00320</t>
  </si>
  <si>
    <t xml:space="preserve">AP-00321</t>
  </si>
  <si>
    <t xml:space="preserve">AP-00322</t>
  </si>
  <si>
    <t xml:space="preserve">AP-00323</t>
  </si>
  <si>
    <t xml:space="preserve">AP-00324</t>
  </si>
  <si>
    <t xml:space="preserve">AP-00325</t>
  </si>
  <si>
    <t xml:space="preserve">AP-00326</t>
  </si>
  <si>
    <t xml:space="preserve">AP-00327</t>
  </si>
  <si>
    <t xml:space="preserve">AP-00328</t>
  </si>
  <si>
    <t xml:space="preserve">AP-00329</t>
  </si>
  <si>
    <t xml:space="preserve">AP-00330</t>
  </si>
  <si>
    <t xml:space="preserve">AP-00331</t>
  </si>
  <si>
    <t xml:space="preserve">AP-00332</t>
  </si>
  <si>
    <t xml:space="preserve">AP-00333</t>
  </si>
  <si>
    <t xml:space="preserve">AP-00334</t>
  </si>
  <si>
    <t xml:space="preserve">AP-00335</t>
  </si>
  <si>
    <t xml:space="preserve">AP-00336</t>
  </si>
  <si>
    <t xml:space="preserve">AP-00337</t>
  </si>
  <si>
    <t xml:space="preserve">AP-00338</t>
  </si>
  <si>
    <t xml:space="preserve">AP-00339</t>
  </si>
  <si>
    <t xml:space="preserve">AP-00340</t>
  </si>
  <si>
    <t xml:space="preserve">AP-00341</t>
  </si>
  <si>
    <t xml:space="preserve">AP-00342</t>
  </si>
  <si>
    <t xml:space="preserve">AP-00343</t>
  </si>
  <si>
    <t xml:space="preserve">AP-00344</t>
  </si>
  <si>
    <t xml:space="preserve">AP-00345</t>
  </si>
  <si>
    <t xml:space="preserve">AP-00346</t>
  </si>
  <si>
    <t xml:space="preserve">AP-00347</t>
  </si>
  <si>
    <t xml:space="preserve">AP-00348</t>
  </si>
  <si>
    <t xml:space="preserve">AP-00349</t>
  </si>
  <si>
    <t xml:space="preserve">AP-00350</t>
  </si>
  <si>
    <t xml:space="preserve">AP-00351</t>
  </si>
  <si>
    <t xml:space="preserve">AP-00352</t>
  </si>
  <si>
    <t xml:space="preserve">AP-00353</t>
  </si>
  <si>
    <t xml:space="preserve">AP-00354</t>
  </si>
  <si>
    <t xml:space="preserve">AP-00355</t>
  </si>
  <si>
    <t xml:space="preserve">AP-00356</t>
  </si>
  <si>
    <t xml:space="preserve">AP-00357</t>
  </si>
  <si>
    <t xml:space="preserve">AP-00358</t>
  </si>
  <si>
    <t xml:space="preserve">AP-00359</t>
  </si>
  <si>
    <t xml:space="preserve">AP-00360</t>
  </si>
  <si>
    <t xml:space="preserve">AP-00361</t>
  </si>
  <si>
    <t xml:space="preserve">AP-00362</t>
  </si>
  <si>
    <t xml:space="preserve">AP-00363</t>
  </si>
  <si>
    <t xml:space="preserve">AP-00364</t>
  </si>
  <si>
    <t xml:space="preserve">AP-00365</t>
  </si>
  <si>
    <t xml:space="preserve">AP-00366</t>
  </si>
  <si>
    <t xml:space="preserve">AP-00367</t>
  </si>
  <si>
    <t xml:space="preserve">AP-00368</t>
  </si>
  <si>
    <t xml:space="preserve">AP-00369</t>
  </si>
  <si>
    <t xml:space="preserve">AP-00370</t>
  </si>
  <si>
    <t xml:space="preserve">AP-00371</t>
  </si>
  <si>
    <t xml:space="preserve">AP-00372</t>
  </si>
  <si>
    <t xml:space="preserve">AP-00373</t>
  </si>
  <si>
    <t xml:space="preserve">AP-00374</t>
  </si>
  <si>
    <t xml:space="preserve">AP-00375</t>
  </si>
  <si>
    <t xml:space="preserve">AP-00376</t>
  </si>
  <si>
    <t xml:space="preserve">AP-00377</t>
  </si>
  <si>
    <t xml:space="preserve">AP-00378</t>
  </si>
  <si>
    <t xml:space="preserve">AP-00379</t>
  </si>
  <si>
    <t xml:space="preserve">AP-00380</t>
  </si>
  <si>
    <t xml:space="preserve">AP-00381</t>
  </si>
  <si>
    <t xml:space="preserve">AP-00382</t>
  </si>
  <si>
    <t xml:space="preserve">AP-00383</t>
  </si>
  <si>
    <t xml:space="preserve">AP-00384</t>
  </si>
  <si>
    <t xml:space="preserve">AP-00385</t>
  </si>
  <si>
    <t xml:space="preserve">AP-00386</t>
  </si>
  <si>
    <t xml:space="preserve">AP-00387</t>
  </si>
  <si>
    <t xml:space="preserve">AP-00388</t>
  </si>
  <si>
    <t xml:space="preserve">AP-00389</t>
  </si>
  <si>
    <t xml:space="preserve">AP-00390</t>
  </si>
  <si>
    <t xml:space="preserve">AP-00391</t>
  </si>
  <si>
    <t xml:space="preserve">AP-00392</t>
  </si>
  <si>
    <t xml:space="preserve">AP-00393</t>
  </si>
  <si>
    <t xml:space="preserve">AP-00394</t>
  </si>
  <si>
    <t xml:space="preserve">AP-00395</t>
  </si>
  <si>
    <t xml:space="preserve">AP-00396</t>
  </si>
  <si>
    <t xml:space="preserve">AP-00397</t>
  </si>
  <si>
    <t xml:space="preserve">AP-00398</t>
  </si>
  <si>
    <t xml:space="preserve">AP-00399</t>
  </si>
  <si>
    <t xml:space="preserve">AP-00400</t>
  </si>
  <si>
    <t xml:space="preserve">AP-00401</t>
  </si>
  <si>
    <t xml:space="preserve">AP-00402</t>
  </si>
  <si>
    <t xml:space="preserve">AP-00403</t>
  </si>
  <si>
    <t xml:space="preserve">AP-00404</t>
  </si>
  <si>
    <t xml:space="preserve">AP-00405</t>
  </si>
  <si>
    <t xml:space="preserve">AP-00406</t>
  </si>
  <si>
    <t xml:space="preserve">AP-00407</t>
  </si>
  <si>
    <t xml:space="preserve">AP-00408</t>
  </si>
  <si>
    <t xml:space="preserve">AP-00409</t>
  </si>
  <si>
    <t xml:space="preserve">AP-00410</t>
  </si>
  <si>
    <t xml:space="preserve">AP-00411</t>
  </si>
  <si>
    <t xml:space="preserve">AP-00412</t>
  </si>
  <si>
    <t xml:space="preserve">AP-00413</t>
  </si>
  <si>
    <t xml:space="preserve">AP-00414</t>
  </si>
  <si>
    <t xml:space="preserve">AP-00415</t>
  </si>
  <si>
    <t xml:space="preserve">AP-00416</t>
  </si>
  <si>
    <t xml:space="preserve">AP-00417</t>
  </si>
  <si>
    <t xml:space="preserve">AP-00418</t>
  </si>
  <si>
    <t xml:space="preserve">AP-00419</t>
  </si>
  <si>
    <t xml:space="preserve">AP-00420</t>
  </si>
  <si>
    <t xml:space="preserve">AP-00421</t>
  </si>
  <si>
    <t xml:space="preserve">AP-00422</t>
  </si>
  <si>
    <t xml:space="preserve">AP-00423</t>
  </si>
  <si>
    <t xml:space="preserve">AP-00424</t>
  </si>
  <si>
    <t xml:space="preserve">AP-00425</t>
  </si>
  <si>
    <t xml:space="preserve">AP-00426</t>
  </si>
  <si>
    <t xml:space="preserve">AP-00427</t>
  </si>
  <si>
    <t xml:space="preserve">AP-00428</t>
  </si>
  <si>
    <t xml:space="preserve">AP-00429</t>
  </si>
  <si>
    <t xml:space="preserve">AP-00430</t>
  </si>
  <si>
    <t xml:space="preserve">AP-00431</t>
  </si>
  <si>
    <t xml:space="preserve">AP-00432</t>
  </si>
  <si>
    <t xml:space="preserve">AP-00433</t>
  </si>
  <si>
    <t xml:space="preserve">AP-00434</t>
  </si>
  <si>
    <t xml:space="preserve">AP-00435</t>
  </si>
  <si>
    <t xml:space="preserve">AP-00436</t>
  </si>
  <si>
    <t xml:space="preserve">AP-00437</t>
  </si>
  <si>
    <t xml:space="preserve">AP-00438</t>
  </si>
  <si>
    <t xml:space="preserve">AP-00439</t>
  </si>
  <si>
    <t xml:space="preserve">AP-00440</t>
  </si>
  <si>
    <t xml:space="preserve">AP-00441</t>
  </si>
  <si>
    <t xml:space="preserve">AP-00442</t>
  </si>
  <si>
    <t xml:space="preserve">AP-00443</t>
  </si>
  <si>
    <t xml:space="preserve">AP-00444</t>
  </si>
  <si>
    <t xml:space="preserve">AP-00445</t>
  </si>
  <si>
    <t xml:space="preserve">AP-00446</t>
  </si>
  <si>
    <t xml:space="preserve">AP-00447</t>
  </si>
  <si>
    <t xml:space="preserve">AP-00448</t>
  </si>
  <si>
    <t xml:space="preserve">AP-00449</t>
  </si>
  <si>
    <t xml:space="preserve">AP-00450</t>
  </si>
  <si>
    <t xml:space="preserve">AP-00451</t>
  </si>
  <si>
    <t xml:space="preserve">AP-00452</t>
  </si>
  <si>
    <t xml:space="preserve">AP-00453</t>
  </si>
  <si>
    <t xml:space="preserve">AP-00454</t>
  </si>
  <si>
    <t xml:space="preserve">AP-00455</t>
  </si>
  <si>
    <t xml:space="preserve">AP-00456</t>
  </si>
  <si>
    <t xml:space="preserve">AP-00457</t>
  </si>
  <si>
    <t xml:space="preserve">AP-00458</t>
  </si>
  <si>
    <t xml:space="preserve">AP-00459</t>
  </si>
  <si>
    <t xml:space="preserve">AP-00460</t>
  </si>
  <si>
    <t xml:space="preserve">AP-00461</t>
  </si>
  <si>
    <t xml:space="preserve">AP-00462</t>
  </si>
  <si>
    <t xml:space="preserve">AP-00463</t>
  </si>
  <si>
    <t xml:space="preserve">AP-00464</t>
  </si>
  <si>
    <t xml:space="preserve">AP-00465</t>
  </si>
  <si>
    <t xml:space="preserve">AP-00466</t>
  </si>
  <si>
    <t xml:space="preserve">AP-00467</t>
  </si>
  <si>
    <t xml:space="preserve">AP-00468</t>
  </si>
  <si>
    <t xml:space="preserve">AP-00469</t>
  </si>
  <si>
    <t xml:space="preserve">AP-00470</t>
  </si>
  <si>
    <t xml:space="preserve">AP-00471</t>
  </si>
  <si>
    <t xml:space="preserve">AP-00472</t>
  </si>
  <si>
    <t xml:space="preserve">AP-00473</t>
  </si>
  <si>
    <t xml:space="preserve">AP-00474</t>
  </si>
  <si>
    <t xml:space="preserve">AP-00475</t>
  </si>
  <si>
    <t xml:space="preserve">AP-00476</t>
  </si>
  <si>
    <t xml:space="preserve">AP-00477</t>
  </si>
  <si>
    <t xml:space="preserve">AP-00478</t>
  </si>
  <si>
    <t xml:space="preserve">AP-00479</t>
  </si>
  <si>
    <t xml:space="preserve">AP-00480</t>
  </si>
  <si>
    <t xml:space="preserve">AP-00481</t>
  </si>
  <si>
    <t xml:space="preserve">AP-00482</t>
  </si>
  <si>
    <t xml:space="preserve">AP-00483</t>
  </si>
  <si>
    <t xml:space="preserve">AP-00484</t>
  </si>
  <si>
    <t xml:space="preserve">AP-00485</t>
  </si>
  <si>
    <t xml:space="preserve">AP-00486</t>
  </si>
  <si>
    <t xml:space="preserve">AP-00487</t>
  </si>
  <si>
    <t xml:space="preserve">AP-00488</t>
  </si>
  <si>
    <t xml:space="preserve">AP-00489</t>
  </si>
  <si>
    <t xml:space="preserve">AP-00490</t>
  </si>
  <si>
    <t xml:space="preserve">AP-00491</t>
  </si>
  <si>
    <t xml:space="preserve">AP-00492</t>
  </si>
  <si>
    <t xml:space="preserve">AP-00493</t>
  </si>
  <si>
    <t xml:space="preserve">AP-00494</t>
  </si>
  <si>
    <t xml:space="preserve">AP-00495</t>
  </si>
  <si>
    <t xml:space="preserve">AP-00496</t>
  </si>
  <si>
    <t xml:space="preserve">AP-00497</t>
  </si>
  <si>
    <t xml:space="preserve">AP-00498</t>
  </si>
  <si>
    <t xml:space="preserve">AP-00499</t>
  </si>
  <si>
    <t xml:space="preserve">AP-00500</t>
  </si>
  <si>
    <t xml:space="preserve">AP-00501</t>
  </si>
  <si>
    <t xml:space="preserve">AP-00502</t>
  </si>
  <si>
    <t xml:space="preserve">AP-00503</t>
  </si>
  <si>
    <t xml:space="preserve">AP-00504</t>
  </si>
  <si>
    <t xml:space="preserve">AP-00505</t>
  </si>
  <si>
    <t xml:space="preserve">AP-00506</t>
  </si>
  <si>
    <t xml:space="preserve">AP-00507</t>
  </si>
  <si>
    <t xml:space="preserve">AP-00508</t>
  </si>
  <si>
    <t xml:space="preserve">AP-00509</t>
  </si>
  <si>
    <t xml:space="preserve">AP-00510</t>
  </si>
  <si>
    <t xml:space="preserve">AP-00511</t>
  </si>
  <si>
    <t xml:space="preserve">AP-00512</t>
  </si>
  <si>
    <t xml:space="preserve">AP-00513</t>
  </si>
  <si>
    <t xml:space="preserve">AP-00514</t>
  </si>
  <si>
    <t xml:space="preserve">AP-00515</t>
  </si>
  <si>
    <t xml:space="preserve">AP-00516</t>
  </si>
  <si>
    <t xml:space="preserve">AP-00517</t>
  </si>
  <si>
    <t xml:space="preserve">AP-00518</t>
  </si>
  <si>
    <t xml:space="preserve">AP-00519</t>
  </si>
  <si>
    <t xml:space="preserve">AP-00520</t>
  </si>
  <si>
    <t xml:space="preserve">AP-00521</t>
  </si>
  <si>
    <t xml:space="preserve">AP-00522</t>
  </si>
  <si>
    <t xml:space="preserve">AP-00523</t>
  </si>
  <si>
    <t xml:space="preserve">AP-00524</t>
  </si>
  <si>
    <t xml:space="preserve">AP-00525</t>
  </si>
  <si>
    <t xml:space="preserve">AP-00526</t>
  </si>
  <si>
    <t xml:space="preserve">AP-00527</t>
  </si>
  <si>
    <t xml:space="preserve">AP-00528</t>
  </si>
  <si>
    <t xml:space="preserve">AP-00529</t>
  </si>
  <si>
    <t xml:space="preserve">AP-00530</t>
  </si>
  <si>
    <t xml:space="preserve">AP-00531</t>
  </si>
  <si>
    <t xml:space="preserve">AP-00532</t>
  </si>
  <si>
    <t xml:space="preserve">AP-00533</t>
  </si>
  <si>
    <t xml:space="preserve">AP-00534</t>
  </si>
  <si>
    <t xml:space="preserve">AP-00535</t>
  </si>
  <si>
    <t xml:space="preserve">AP-00536</t>
  </si>
  <si>
    <t xml:space="preserve">AP-00537</t>
  </si>
  <si>
    <t xml:space="preserve">AP-00538</t>
  </si>
  <si>
    <t xml:space="preserve">AP-00539</t>
  </si>
  <si>
    <t xml:space="preserve">AP-00540</t>
  </si>
  <si>
    <t xml:space="preserve">AP-00541</t>
  </si>
  <si>
    <t xml:space="preserve">AP-00542</t>
  </si>
  <si>
    <t xml:space="preserve">AP-00543</t>
  </si>
  <si>
    <t xml:space="preserve">AP-00544</t>
  </si>
  <si>
    <t xml:space="preserve">AP-00545</t>
  </si>
  <si>
    <t xml:space="preserve">AP-00546</t>
  </si>
  <si>
    <t xml:space="preserve">AP-00547</t>
  </si>
  <si>
    <t xml:space="preserve">AP-00548</t>
  </si>
  <si>
    <t xml:space="preserve">AP-00549</t>
  </si>
  <si>
    <t xml:space="preserve">AP-00550</t>
  </si>
  <si>
    <t xml:space="preserve">AP-00551</t>
  </si>
  <si>
    <t xml:space="preserve">AP-00552</t>
  </si>
  <si>
    <t xml:space="preserve">AP-00553</t>
  </si>
  <si>
    <t xml:space="preserve">AP-00554</t>
  </si>
  <si>
    <t xml:space="preserve">AP-00555</t>
  </si>
  <si>
    <t xml:space="preserve">AP-00556</t>
  </si>
  <si>
    <t xml:space="preserve">AP-00557</t>
  </si>
  <si>
    <t xml:space="preserve">AP-00558</t>
  </si>
  <si>
    <t xml:space="preserve">AP-00559</t>
  </si>
  <si>
    <t xml:space="preserve">AP-00560</t>
  </si>
  <si>
    <t xml:space="preserve">AP-00561</t>
  </si>
  <si>
    <t xml:space="preserve">AP-00562</t>
  </si>
  <si>
    <t xml:space="preserve">AP-00563</t>
  </si>
  <si>
    <t xml:space="preserve">AP-00564</t>
  </si>
  <si>
    <t xml:space="preserve">AP-00565</t>
  </si>
  <si>
    <t xml:space="preserve">AP-00566</t>
  </si>
  <si>
    <t xml:space="preserve">AP-00567</t>
  </si>
  <si>
    <t xml:space="preserve">AP-00568</t>
  </si>
  <si>
    <t xml:space="preserve">AP-00569</t>
  </si>
  <si>
    <t xml:space="preserve">AP-00570</t>
  </si>
  <si>
    <t xml:space="preserve">AP-00571</t>
  </si>
  <si>
    <t xml:space="preserve">AP-00572</t>
  </si>
  <si>
    <t xml:space="preserve">AP-00573</t>
  </si>
  <si>
    <t xml:space="preserve">AP-00574</t>
  </si>
  <si>
    <t xml:space="preserve">AP-00575</t>
  </si>
  <si>
    <t xml:space="preserve">AP-00576</t>
  </si>
  <si>
    <t xml:space="preserve">AP-00577</t>
  </si>
  <si>
    <t xml:space="preserve">AP-00578</t>
  </si>
  <si>
    <t xml:space="preserve">AP-00579</t>
  </si>
  <si>
    <t xml:space="preserve">AP-00580</t>
  </si>
  <si>
    <t xml:space="preserve">AP-00581</t>
  </si>
  <si>
    <t xml:space="preserve">AP-00582</t>
  </si>
  <si>
    <t xml:space="preserve">AP-00583</t>
  </si>
  <si>
    <t xml:space="preserve">AP-00584</t>
  </si>
  <si>
    <t xml:space="preserve">AP-00585</t>
  </si>
  <si>
    <t xml:space="preserve">AP-00586</t>
  </si>
  <si>
    <t xml:space="preserve">AP-00587</t>
  </si>
  <si>
    <t xml:space="preserve">AP-00588</t>
  </si>
  <si>
    <t xml:space="preserve">AP-00589</t>
  </si>
  <si>
    <t xml:space="preserve">AP-00590</t>
  </si>
  <si>
    <t xml:space="preserve">AP-00591</t>
  </si>
  <si>
    <t xml:space="preserve">AP-00592</t>
  </si>
  <si>
    <t xml:space="preserve">AP-00593</t>
  </si>
  <si>
    <t xml:space="preserve">AP-00594</t>
  </si>
  <si>
    <t xml:space="preserve">AP-00595</t>
  </si>
  <si>
    <t xml:space="preserve">AP-00596</t>
  </si>
  <si>
    <t xml:space="preserve">AP-00597</t>
  </si>
  <si>
    <t xml:space="preserve">AP-00598</t>
  </si>
  <si>
    <t xml:space="preserve">AP-00599</t>
  </si>
  <si>
    <t xml:space="preserve">AP-00600</t>
  </si>
  <si>
    <t xml:space="preserve">AP-00601</t>
  </si>
  <si>
    <t xml:space="preserve">AP-00602</t>
  </si>
  <si>
    <t xml:space="preserve">AP-00603</t>
  </si>
  <si>
    <t xml:space="preserve">AP-00604</t>
  </si>
  <si>
    <t xml:space="preserve">AP-00605</t>
  </si>
  <si>
    <t xml:space="preserve">AP-00606</t>
  </si>
  <si>
    <t xml:space="preserve">AP-00607</t>
  </si>
  <si>
    <t xml:space="preserve">AP-00608</t>
  </si>
  <si>
    <t xml:space="preserve">AP-00609</t>
  </si>
  <si>
    <t xml:space="preserve">AP-00610</t>
  </si>
  <si>
    <t xml:space="preserve">AP-00611</t>
  </si>
  <si>
    <t xml:space="preserve">AP-00612</t>
  </si>
  <si>
    <t xml:space="preserve">AP-00613</t>
  </si>
  <si>
    <t xml:space="preserve">AP-00614</t>
  </si>
  <si>
    <t xml:space="preserve">AP-00615</t>
  </si>
  <si>
    <t xml:space="preserve">AP-00616</t>
  </si>
  <si>
    <t xml:space="preserve">AP-00617</t>
  </si>
  <si>
    <t xml:space="preserve">AP-00618</t>
  </si>
  <si>
    <t xml:space="preserve">AP-00619</t>
  </si>
  <si>
    <t xml:space="preserve">AP-00620</t>
  </si>
  <si>
    <t xml:space="preserve">AP-00621</t>
  </si>
  <si>
    <t xml:space="preserve">AP-00622</t>
  </si>
  <si>
    <t xml:space="preserve">AP-00623</t>
  </si>
  <si>
    <t xml:space="preserve">AP-00624</t>
  </si>
  <si>
    <t xml:space="preserve">AP-00625</t>
  </si>
  <si>
    <t xml:space="preserve">AP-00626</t>
  </si>
  <si>
    <t xml:space="preserve">AP-00627</t>
  </si>
  <si>
    <t xml:space="preserve">AP-00628</t>
  </si>
  <si>
    <t xml:space="preserve">AP-00629</t>
  </si>
  <si>
    <t xml:space="preserve">AP-00630</t>
  </si>
  <si>
    <t xml:space="preserve">AP-00631</t>
  </si>
  <si>
    <t xml:space="preserve">AP-00632</t>
  </si>
  <si>
    <t xml:space="preserve">AP-00633</t>
  </si>
  <si>
    <t xml:space="preserve">AP-00634</t>
  </si>
  <si>
    <t xml:space="preserve">AP-00635</t>
  </si>
  <si>
    <t xml:space="preserve">AP-00636</t>
  </si>
  <si>
    <t xml:space="preserve">AP-00637</t>
  </si>
  <si>
    <t xml:space="preserve">AP-00638</t>
  </si>
  <si>
    <t xml:space="preserve">AP-00639</t>
  </si>
  <si>
    <t xml:space="preserve">AP-00640</t>
  </si>
  <si>
    <t xml:space="preserve">AP-00641</t>
  </si>
  <si>
    <t xml:space="preserve">AP-00642</t>
  </si>
  <si>
    <t xml:space="preserve">AP-00643</t>
  </si>
  <si>
    <t xml:space="preserve">AP-00644</t>
  </si>
  <si>
    <t xml:space="preserve">AP-00645</t>
  </si>
  <si>
    <t xml:space="preserve">AP-00646</t>
  </si>
  <si>
    <t xml:space="preserve">AP-00647</t>
  </si>
  <si>
    <t xml:space="preserve">AP-00648</t>
  </si>
  <si>
    <t xml:space="preserve">AP-00649</t>
  </si>
  <si>
    <t xml:space="preserve">AP-00650</t>
  </si>
  <si>
    <t xml:space="preserve">AP-00651</t>
  </si>
  <si>
    <t xml:space="preserve">AP-00652</t>
  </si>
  <si>
    <t xml:space="preserve">AP-00653</t>
  </si>
  <si>
    <t xml:space="preserve">AP-00654</t>
  </si>
  <si>
    <t xml:space="preserve">AP-00655</t>
  </si>
  <si>
    <t xml:space="preserve">AP-00656</t>
  </si>
  <si>
    <t xml:space="preserve">AP-00657</t>
  </si>
  <si>
    <t xml:space="preserve">AP-00658</t>
  </si>
  <si>
    <t xml:space="preserve">AP-00659</t>
  </si>
  <si>
    <t xml:space="preserve">AP-00660</t>
  </si>
  <si>
    <t xml:space="preserve">AP-00661</t>
  </si>
  <si>
    <t xml:space="preserve">AP-00662</t>
  </si>
  <si>
    <t xml:space="preserve">AP-00663</t>
  </si>
  <si>
    <t xml:space="preserve">AP-00664</t>
  </si>
  <si>
    <t xml:space="preserve">AP-00665</t>
  </si>
  <si>
    <t xml:space="preserve">AP-00666</t>
  </si>
  <si>
    <t xml:space="preserve">AP-00667</t>
  </si>
  <si>
    <t xml:space="preserve">AP-00668</t>
  </si>
  <si>
    <t xml:space="preserve">AP-00669</t>
  </si>
  <si>
    <t xml:space="preserve">AP-00670</t>
  </si>
  <si>
    <t xml:space="preserve">AP-00671</t>
  </si>
  <si>
    <t xml:space="preserve">AP-00672</t>
  </si>
  <si>
    <t xml:space="preserve">AP-00673</t>
  </si>
  <si>
    <t xml:space="preserve">AP-00674</t>
  </si>
  <si>
    <t xml:space="preserve">AP-00675</t>
  </si>
  <si>
    <t xml:space="preserve">AP-00676</t>
  </si>
  <si>
    <t xml:space="preserve">AP-00677</t>
  </si>
  <si>
    <t xml:space="preserve">AP-00678</t>
  </si>
  <si>
    <t xml:space="preserve">AP-00679</t>
  </si>
  <si>
    <t xml:space="preserve">AP-00680</t>
  </si>
  <si>
    <t xml:space="preserve">AP-00681</t>
  </si>
  <si>
    <t xml:space="preserve">TOTAL OPEN AP (Year-End)</t>
  </si>
  <si>
    <t xml:space="preserve">AP Aging - Standard Aging Report (Year-End)</t>
  </si>
  <si>
    <t xml:space="preserve">Open bills by vendor, broken into aging buckets by days past due - the report a bookkeeper uses to prioritize payments.</t>
  </si>
  <si>
    <t xml:space="preserve">Monthly Profit &amp; Loss Statement</t>
  </si>
  <si>
    <t xml:space="preserve">Revenue by payer, less direct caregiver labor (COGS), less overhead (incl. depreciation &amp; LOC interest) = Net Income.</t>
  </si>
  <si>
    <t xml:space="preserve">REVENUE</t>
  </si>
  <si>
    <t xml:space="preserve">  Medicaid Waiver</t>
  </si>
  <si>
    <t xml:space="preserve">  Private Pay</t>
  </si>
  <si>
    <t xml:space="preserve">  Medicare (Skilled)</t>
  </si>
  <si>
    <t xml:space="preserve">  Private Insurance</t>
  </si>
  <si>
    <t xml:space="preserve">TOTAL REVENUE</t>
  </si>
  <si>
    <t xml:space="preserve">COST OF SERVICES (Direct Caregiver Labor)</t>
  </si>
  <si>
    <t xml:space="preserve">  Regular Wages (Hourly Caregivers)</t>
  </si>
  <si>
    <t xml:space="preserve">  Overtime Wages (Hourly Caregivers)</t>
  </si>
  <si>
    <t xml:space="preserve">  Mileage Reimbursement</t>
  </si>
  <si>
    <t xml:space="preserve">  Per-Visit Pay (Skilled Staff)</t>
  </si>
  <si>
    <t xml:space="preserve">  Payroll Tax &amp; Burden (Employer)</t>
  </si>
  <si>
    <t xml:space="preserve">TOTAL COST OF SERVICES</t>
  </si>
  <si>
    <t xml:space="preserve">GROSS PROFIT</t>
  </si>
  <si>
    <t xml:space="preserve">  Gross Margin %</t>
  </si>
  <si>
    <t xml:space="preserve">OPERATING EXPENSES (Overhead, incl. Depreciation &amp; LOC Interest)</t>
  </si>
  <si>
    <t xml:space="preserve">  Total Overhead (see Overhead tab for line-item detail)</t>
  </si>
  <si>
    <t xml:space="preserve">NET INCOME</t>
  </si>
  <si>
    <t xml:space="preserve">  Net Margin %</t>
  </si>
  <si>
    <t xml:space="preserve">Enter any start and end date below - every figure recalculates for exactly that period from the daily registers.</t>
  </si>
  <si>
    <t xml:space="preserve">End Date (exclusive of this day - enter day AFTER last day wanted, or see note)</t>
  </si>
  <si>
    <t xml:space="preserve">Note: End Date IS included in the range (formulas use &lt;= end date).</t>
  </si>
  <si>
    <t xml:space="preserve">Days in Range</t>
  </si>
  <si>
    <t xml:space="preserve">REVENUE (by Payer)</t>
  </si>
  <si>
    <t xml:space="preserve">  Regular Wages (Hourly)</t>
  </si>
  <si>
    <t xml:space="preserve">  Overtime Wages (Hourly)</t>
  </si>
  <si>
    <t xml:space="preserve">  Per-Visit Pay (Skilled)</t>
  </si>
  <si>
    <t xml:space="preserve">  Gross Wages Subtotal</t>
  </si>
  <si>
    <t xml:space="preserve">OPERATING EXPENSES (Overhead)</t>
  </si>
  <si>
    <t xml:space="preserve">  Overhead (Exact, from Daily Overhead Register)</t>
  </si>
  <si>
    <t xml:space="preserve">NET INCOME (for selected range)</t>
  </si>
  <si>
    <t xml:space="preserve">NOTE ON DATE-RANGE ACCURACY</t>
  </si>
  <si>
    <t xml:space="preserve">Revenue, direct labor cost, and overhead are all exact for the selected date range - every figure is pulled straight from the daily transaction registers (Daily Visit Register, Daily Payroll Register, Daily Overhead Register), not pro-rated from monthly totals. This works for any start and end date, including a single day or a mid-month range.</t>
  </si>
  <si>
    <t xml:space="preserve">Balance Sheet - Month-End Snapshots</t>
  </si>
  <si>
    <t xml:space="preserve">Assets = Liabilities + Equity, verified to balance exactly each month.</t>
  </si>
  <si>
    <t xml:space="preserve">ASSETS</t>
  </si>
  <si>
    <t xml:space="preserve">  Cash - Operating Account</t>
  </si>
  <si>
    <t xml:space="preserve">  Accounts Receivable (All Payers)</t>
  </si>
  <si>
    <t xml:space="preserve">  Fixed Assets, Gross (Acquired to Date)</t>
  </si>
  <si>
    <t xml:space="preserve">  Less: Accumulated Depreciation</t>
  </si>
  <si>
    <t xml:space="preserve">  Fixed Assets, Net</t>
  </si>
  <si>
    <t xml:space="preserve">  Other Assets, Net (Security Deposit + Unamortized Prepaid Insurance)</t>
  </si>
  <si>
    <t xml:space="preserve">TOTAL ASSETS</t>
  </si>
  <si>
    <t xml:space="preserve">LIABILITIES</t>
  </si>
  <si>
    <t xml:space="preserve">  Line of Credit Payable</t>
  </si>
  <si>
    <t xml:space="preserve">  Accounts Payable</t>
  </si>
  <si>
    <t xml:space="preserve">TOTAL LIABILITIES</t>
  </si>
  <si>
    <t xml:space="preserve">EQUITY</t>
  </si>
  <si>
    <t xml:space="preserve">  Owner's Capital Contribution</t>
  </si>
  <si>
    <t xml:space="preserve">  Retained Earnings (Cumulative Net Income)</t>
  </si>
  <si>
    <t xml:space="preserve">TOTAL EQUITY</t>
  </si>
  <si>
    <t xml:space="preserve">TOTAL LIABILITIES + EQUITY</t>
  </si>
  <si>
    <t xml:space="preserve">Balance Check (Assets − (Liab + Equity), should be $0)</t>
  </si>
  <si>
    <t xml:space="preserve">Opening capital, net income for the year, and closing capital position - ties to the Balance Sheet.</t>
  </si>
  <si>
    <t xml:space="preserve">Owner's Capital, Beginning of Year</t>
  </si>
  <si>
    <t xml:space="preserve">Add: Owner Capital Contributions During Year</t>
  </si>
  <si>
    <t xml:space="preserve">Add: Net Income for the Year</t>
  </si>
  <si>
    <t xml:space="preserve">Less: Owner Draws / Distributions</t>
  </si>
  <si>
    <t xml:space="preserve">Owner's Capital, End of Year</t>
  </si>
  <si>
    <t xml:space="preserve">Cross-check vs. Balance Sheet Total Equity (Dec):</t>
  </si>
  <si>
    <t xml:space="preserve">Difference (should be $0):</t>
  </si>
  <si>
    <t xml:space="preserve">Monthly Cash Flow</t>
  </si>
  <si>
    <t xml:space="preserve">Cash actually collected less payroll, overhead, and asset purchases paid, plus LOC draws/repayments.</t>
  </si>
  <si>
    <t xml:space="preserve">CASH INFLOWS</t>
  </si>
  <si>
    <t xml:space="preserve">  Cash Collected from Clients/Payers</t>
  </si>
  <si>
    <t xml:space="preserve">  Line of Credit Draws</t>
  </si>
  <si>
    <t xml:space="preserve">TOTAL CASH INFLOWS</t>
  </si>
  <si>
    <t xml:space="preserve">CASH OUTFLOWS</t>
  </si>
  <si>
    <t xml:space="preserve">  Payroll (Fully Loaded)</t>
  </si>
  <si>
    <t xml:space="preserve">  Overhead Paid in Cash (Bills Paid + Direct-Pay Items)</t>
  </si>
  <si>
    <t xml:space="preserve">  Fixed Asset Purchases</t>
  </si>
  <si>
    <t xml:space="preserve">  Line of Credit Repayments</t>
  </si>
  <si>
    <t xml:space="preserve">TOTAL CASH OUTFLOWS</t>
  </si>
  <si>
    <t xml:space="preserve">NET CASH FLOW</t>
  </si>
  <si>
    <t xml:space="preserve">Combined Cumulative Cash (Operating + Payroll)</t>
  </si>
  <si>
    <t xml:space="preserve">CASH BY BANK ACCOUNT</t>
  </si>
  <si>
    <t xml:space="preserve">  Payroll Account (...4839)</t>
  </si>
  <si>
    <t xml:space="preserve">  Operating Account (...4821)</t>
  </si>
  <si>
    <t xml:space="preserve">  Check: Operating + Payroll = Combined Cash</t>
  </si>
  <si>
    <t xml:space="preserve">Bank Reconciliation - December Year-End</t>
  </si>
  <si>
    <t xml:space="preserve">Reconciles book cash for each bank account to its bank statement balance at year-end.</t>
  </si>
  <si>
    <t xml:space="preserve">OPERATING ACCOUNT (First Community Bank, ...4821)</t>
  </si>
  <si>
    <t xml:space="preserve">Cash Balance per Books (12/31)</t>
  </si>
  <si>
    <t xml:space="preserve">Add: Deposits in Transit</t>
  </si>
  <si>
    <t xml:space="preserve">Payer remittance received 12/30-12/31, not yet credited by bank</t>
  </si>
  <si>
    <t xml:space="preserve">Less: Outstanding Checks / Pending ACH</t>
  </si>
  <si>
    <t xml:space="preserve">Vendor payment submitted 12/31, not yet cleared bank</t>
  </si>
  <si>
    <t xml:space="preserve">Less: Bank Fees Not Yet Recorded</t>
  </si>
  <si>
    <t xml:space="preserve">Add: Interest Earned Not Yet Recorded</t>
  </si>
  <si>
    <t xml:space="preserve">Adjusted Book Balance</t>
  </si>
  <si>
    <t xml:space="preserve">Bank Statement Balance (12/31)</t>
  </si>
  <si>
    <t xml:space="preserve">Difference (should be $0)</t>
  </si>
  <si>
    <t xml:space="preserve">PAYROLL ACCOUNT (First Community Bank, ...4839)</t>
  </si>
  <si>
    <t xml:space="preserve">Less: Payroll ACH Batch Not Yet Cleared</t>
  </si>
  <si>
    <t xml:space="preserve">Biweekly payroll submitted 12/31, funds still showing in account per bank</t>
  </si>
  <si>
    <t xml:space="preserve">In a real engagement, the bank statement balance is an independent figure pulled from each bank each month, and this reconciliation explains any difference from the books. In this demo, the reconciling items are illustrative and the bank balances are derived to match - replace both with actual bank data when adapting this for a real client.</t>
  </si>
  <si>
    <t xml:space="preserve">Payroll Register-to-GL Reconciliation</t>
  </si>
  <si>
    <t xml:space="preserve">Confirms the Daily Payroll Register total agrees with what's booked in the P&amp;L, by component.</t>
  </si>
  <si>
    <t xml:space="preserve">Component</t>
  </si>
  <si>
    <t xml:space="preserve">Per Daily Payroll Register</t>
  </si>
  <si>
    <t xml:space="preserve">Per Monthly P&amp;L (COGS)</t>
  </si>
  <si>
    <t xml:space="preserve">Difference</t>
  </si>
  <si>
    <t xml:space="preserve">Payroll Tax &amp; Burden</t>
  </si>
  <si>
    <t xml:space="preserve">AR-to-Remittance Reconciliation - Sample Month (March)</t>
  </si>
  <si>
    <t xml:space="preserve">Claim-level detail: billed vs. paid vs. denied/adjusted. Real remittances rarely match billed exactly.</t>
  </si>
  <si>
    <t xml:space="preserve">Billed Units</t>
  </si>
  <si>
    <t xml:space="preserve">Billed Amount</t>
  </si>
  <si>
    <t xml:space="preserve">Denied Amount</t>
  </si>
  <si>
    <t xml:space="preserve">Paid Amount</t>
  </si>
  <si>
    <t xml:space="preserve">Variance</t>
  </si>
  <si>
    <t xml:space="preserve">Variance Reason</t>
  </si>
  <si>
    <t xml:space="preserve">Partial unit denial - documentation/authorization mismatch</t>
  </si>
  <si>
    <t xml:space="preserve">Paid in full, no adjustment</t>
  </si>
  <si>
    <t xml:space="preserve">TOTALS (Sample)</t>
  </si>
  <si>
    <t xml:space="preserve">This tab shows claim-level reconciliation for a sample of March visits with and without denials/adjustments. In production, this would be built from actual payer remittance advices (835/ERA files or paper EOBs) reconciled line-by-line against what was billed - this sample demonstrates the structure using the same denial logic that drives the AR Aging and Bad Debt figures elsewhere.</t>
  </si>
  <si>
    <t xml:space="preserve">Fleet-level trends plus profitability by caregiver and by client - the numbers that turn bookkeeping into decisions.</t>
  </si>
  <si>
    <t xml:space="preserve">FY / Avg</t>
  </si>
  <si>
    <t xml:space="preserve">PROFITABILITY</t>
  </si>
  <si>
    <t xml:space="preserve">  Total Revenue</t>
  </si>
  <si>
    <t xml:space="preserve">  Net Income</t>
  </si>
  <si>
    <t xml:space="preserve">LABOR &amp; UTILIZATION</t>
  </si>
  <si>
    <t xml:space="preserve">  Total Billable Hours (Hourly Clients)</t>
  </si>
  <si>
    <t xml:space="preserve">  Total Paid Caregiver Hours (Reg + OT)</t>
  </si>
  <si>
    <t xml:space="preserve">  Caregiver Utilization % (Billable ÷ Paid Hours)</t>
  </si>
  <si>
    <t xml:space="preserve">  Overtime as % of Total Payroll</t>
  </si>
  <si>
    <t xml:space="preserve">  Caregiver Turnover Rate (Annualized)</t>
  </si>
  <si>
    <t xml:space="preserve">  Missed Visit Rate (Lost Revenue ÷ Total Potential Revenue)</t>
  </si>
  <si>
    <t xml:space="preserve">CLIENT &amp; AUTHORIZATION METRICS</t>
  </si>
  <si>
    <t xml:space="preserve">  Active Clients (Month-End)</t>
  </si>
  <si>
    <t xml:space="preserve">  Avg Monthly Revenue per Active Client</t>
  </si>
  <si>
    <t xml:space="preserve">  Avg Authorized-Hours Utilization (Actual ÷ Authorized Weekly Units)</t>
  </si>
  <si>
    <t xml:space="preserve">  Authorizations Expired/Expiring (Count)</t>
  </si>
  <si>
    <t xml:space="preserve">AR / AP AND LIQUIDITY</t>
  </si>
  <si>
    <t xml:space="preserve">  Total AR Outstanding (Month-End)</t>
  </si>
  <si>
    <t xml:space="preserve">  Days Sales Outstanding (Trended Monthly)</t>
  </si>
  <si>
    <t xml:space="preserve">  Claim Denial Rate % (Denied $ / Gross Billed $)</t>
  </si>
  <si>
    <t xml:space="preserve">  Total AP Outstanding (Month-End)</t>
  </si>
  <si>
    <t xml:space="preserve">  Days Payable Outstanding (Trended Monthly)</t>
  </si>
  <si>
    <t xml:space="preserve">  Line of Credit Utilization %</t>
  </si>
  <si>
    <t xml:space="preserve">  Working Capital (Cash + AR - Total Liabilities)</t>
  </si>
  <si>
    <t xml:space="preserve">  Quick Ratio ((Cash + AR) / Total Liabilities)</t>
  </si>
  <si>
    <t xml:space="preserve">  Cash Runway (Days of Overhead Covered by Cash + Unused LOC)</t>
  </si>
  <si>
    <t xml:space="preserve">GROWTH</t>
  </si>
  <si>
    <t xml:space="preserve">  Revenue Growth % (Month-over-Month)</t>
  </si>
  <si>
    <t xml:space="preserve">  Client Count Growth % (Month-over-Month)</t>
  </si>
  <si>
    <t xml:space="preserve">  Avg Cost per Visit-Hour, All Payers Blended</t>
  </si>
  <si>
    <t xml:space="preserve">PROFITABILITY BY CAREGIVER (Full Year)</t>
  </si>
  <si>
    <t xml:space="preserve">Caregiver</t>
  </si>
  <si>
    <t xml:space="preserve">Revenue Attributed</t>
  </si>
  <si>
    <t xml:space="preserve">Fully-Loaded Pay</t>
  </si>
  <si>
    <t xml:space="preserve">Margin ($)</t>
  </si>
  <si>
    <t xml:space="preserve">Margin (%)</t>
  </si>
  <si>
    <t xml:space="preserve">Note: mileage reimbursement for hourly caregivers is included in their pay (col E) but not billed to payers, so 100% margin caregivers with hourly-only clients should be read net of that.</t>
  </si>
  <si>
    <t xml:space="preserve">PROFITABILITY BY CLIENT (Full Year)</t>
  </si>
  <si>
    <t xml:space="preserve">Revenue</t>
  </si>
</sst>
</file>

<file path=xl/styles.xml><?xml version="1.0" encoding="utf-8"?>
<styleSheet xmlns="http://schemas.openxmlformats.org/spreadsheetml/2006/main">
  <numFmts count="12">
    <numFmt numFmtId="164" formatCode="General"/>
    <numFmt numFmtId="165" formatCode="\$#,##0.00;&quot;($&quot;#,##0.00\)"/>
    <numFmt numFmtId="166" formatCode="0&quot; days&quot;"/>
    <numFmt numFmtId="167" formatCode="0.0%"/>
    <numFmt numFmtId="168" formatCode="#,##0.0"/>
    <numFmt numFmtId="169" formatCode="\$#,##0;&quot;($&quot;#,##0\)"/>
    <numFmt numFmtId="170" formatCode="mm/dd/yyyy"/>
    <numFmt numFmtId="171" formatCode="#,##0&quot; days&quot;"/>
    <numFmt numFmtId="172" formatCode="#,##0.00"/>
    <numFmt numFmtId="173" formatCode="#,##0"/>
    <numFmt numFmtId="174" formatCode="General"/>
    <numFmt numFmtId="175" formatCode="0.00\x"/>
  </numFmts>
  <fonts count="16">
    <font>
      <sz val="11"/>
      <color theme="1"/>
      <name val="Calibri"/>
      <family val="2"/>
      <charset val="1"/>
    </font>
    <font>
      <sz val="10"/>
      <name val="Arial"/>
      <family val="0"/>
    </font>
    <font>
      <sz val="10"/>
      <name val="Arial"/>
      <family val="0"/>
    </font>
    <font>
      <sz val="10"/>
      <name val="Arial"/>
      <family val="0"/>
    </font>
    <font>
      <b val="true"/>
      <sz val="14"/>
      <color rgb="FF1F4E3D"/>
      <name val="Arial"/>
      <family val="0"/>
      <charset val="1"/>
    </font>
    <font>
      <i val="true"/>
      <sz val="10"/>
      <color rgb="FF595959"/>
      <name val="Arial"/>
      <family val="0"/>
      <charset val="1"/>
    </font>
    <font>
      <b val="true"/>
      <sz val="10"/>
      <name val="Arial"/>
      <family val="0"/>
      <charset val="1"/>
    </font>
    <font>
      <sz val="1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FFFFFF"/>
      <name val="Arial"/>
      <family val="0"/>
      <charset val="1"/>
    </font>
    <font>
      <b val="true"/>
      <sz val="10"/>
      <color rgb="FF1F4E3D"/>
      <name val="Arial"/>
      <family val="0"/>
      <charset val="1"/>
    </font>
    <font>
      <i val="true"/>
      <sz val="9"/>
      <color rgb="FF595959"/>
      <name val="Arial"/>
      <family val="0"/>
      <charset val="1"/>
    </font>
    <font>
      <i val="true"/>
      <sz val="9"/>
      <name val="Arial"/>
      <family val="0"/>
      <charset val="1"/>
    </font>
    <font>
      <i val="true"/>
      <sz val="8"/>
      <color rgb="FF595959"/>
      <name val="Arial"/>
      <family val="0"/>
      <charset val="1"/>
    </font>
  </fonts>
  <fills count="8">
    <fill>
      <patternFill patternType="none"/>
    </fill>
    <fill>
      <patternFill patternType="gray125"/>
    </fill>
    <fill>
      <patternFill patternType="solid">
        <fgColor rgb="FFFFFF00"/>
        <bgColor rgb="FFFFFF00"/>
      </patternFill>
    </fill>
    <fill>
      <patternFill patternType="solid">
        <fgColor rgb="FF1F4E3D"/>
        <bgColor rgb="FF2E5F4E"/>
      </patternFill>
    </fill>
    <fill>
      <patternFill patternType="solid">
        <fgColor rgb="FFD9E5DE"/>
        <bgColor rgb="FFE2EFDA"/>
      </patternFill>
    </fill>
    <fill>
      <patternFill patternType="solid">
        <fgColor rgb="FFE2EFDA"/>
        <bgColor rgb="FFD9E5DE"/>
      </patternFill>
    </fill>
    <fill>
      <patternFill patternType="solid">
        <fgColor rgb="FFFCE4E4"/>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8" fontId="8" fillId="2" borderId="0" xfId="0" applyFont="true" applyBorder="false" applyAlignment="false" applyProtection="false">
      <alignment horizontal="general" vertical="bottom" textRotation="0" wrapText="fals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9" fontId="6" fillId="7"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6" fillId="6"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9" fontId="6" fillId="7"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9" fontId="6" fillId="5"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0" fontId="8" fillId="2"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6" fillId="7"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74" fontId="10" fillId="6"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5" fontId="10"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2E5F4E"/>
      <rgbColor rgb="FFBFBFBF"/>
      <rgbColor rgb="FF808080"/>
      <rgbColor rgb="FF9999FF"/>
      <rgbColor rgb="FF993366"/>
      <rgbColor rgb="FFF2F2F2"/>
      <rgbColor rgb="FFCCFFFF"/>
      <rgbColor rgb="FF660066"/>
      <rgbColor rgb="FFFF8080"/>
      <rgbColor rgb="FF0066CC"/>
      <rgbColor rgb="FFD9E5D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C0703C"/>
      <rgbColor rgb="FF595959"/>
      <rgbColor rgb="FF969696"/>
      <rgbColor rgb="FF003366"/>
      <rgbColor rgb="FF4A7C6B"/>
      <rgbColor rgb="FF003300"/>
      <rgbColor rgb="FF333300"/>
      <rgbColor rgb="FF8B5A2B"/>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B2: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95"/>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54.75" hidden="false" customHeight="true" outlineLevel="0" collapsed="false">
      <c r="B6" s="4" t="s">
        <v>3</v>
      </c>
      <c r="C6" s="4"/>
      <c r="D6" s="4"/>
      <c r="E6" s="4"/>
      <c r="F6" s="4"/>
      <c r="G6" s="4"/>
      <c r="H6" s="4"/>
    </row>
    <row r="7" customFormat="false" ht="15" hidden="false" customHeight="false" outlineLevel="0" collapsed="false">
      <c r="B7" s="4"/>
      <c r="C7" s="4"/>
      <c r="D7" s="4"/>
      <c r="E7" s="4"/>
      <c r="F7" s="4"/>
      <c r="G7" s="4"/>
      <c r="H7" s="4"/>
    </row>
    <row r="8" customFormat="false" ht="15" hidden="false" customHeight="false" outlineLevel="0" collapsed="false">
      <c r="B8" s="4"/>
      <c r="C8" s="4"/>
      <c r="D8" s="4"/>
      <c r="E8" s="4"/>
      <c r="F8" s="4"/>
      <c r="G8" s="4"/>
      <c r="H8" s="4"/>
    </row>
    <row r="10" customFormat="false" ht="15" hidden="false" customHeight="false" outlineLevel="0" collapsed="false">
      <c r="B10" s="3" t="s">
        <v>4</v>
      </c>
    </row>
    <row r="11" customFormat="false" ht="15" hidden="false" customHeight="false" outlineLevel="0" collapsed="false">
      <c r="B11" s="3" t="s">
        <v>5</v>
      </c>
      <c r="C11" s="5" t="s">
        <v>6</v>
      </c>
    </row>
    <row r="12" customFormat="false" ht="15" hidden="false" customHeight="false" outlineLevel="0" collapsed="false">
      <c r="B12" s="3" t="s">
        <v>7</v>
      </c>
      <c r="C12" s="5" t="s">
        <v>8</v>
      </c>
    </row>
    <row r="13" customFormat="false" ht="15" hidden="false" customHeight="false" outlineLevel="0" collapsed="false">
      <c r="B13" s="3" t="s">
        <v>9</v>
      </c>
      <c r="C13" s="5" t="s">
        <v>10</v>
      </c>
    </row>
    <row r="14" customFormat="false" ht="15" hidden="false" customHeight="false" outlineLevel="0" collapsed="false">
      <c r="B14" s="3" t="s">
        <v>11</v>
      </c>
      <c r="C14" s="5" t="s">
        <v>12</v>
      </c>
    </row>
    <row r="15" customFormat="false" ht="15" hidden="false" customHeight="false" outlineLevel="0" collapsed="false">
      <c r="B15" s="3" t="s">
        <v>13</v>
      </c>
      <c r="C15" s="5" t="s">
        <v>14</v>
      </c>
    </row>
    <row r="16" customFormat="false" ht="15" hidden="false" customHeight="false" outlineLevel="0" collapsed="false">
      <c r="B16" s="3" t="s">
        <v>15</v>
      </c>
      <c r="C16" s="5" t="s">
        <v>16</v>
      </c>
    </row>
    <row r="17" customFormat="false" ht="15" hidden="false" customHeight="false" outlineLevel="0" collapsed="false">
      <c r="B17" s="3" t="s">
        <v>17</v>
      </c>
      <c r="C17" s="5" t="s">
        <v>18</v>
      </c>
    </row>
    <row r="18" customFormat="false" ht="15" hidden="false" customHeight="false" outlineLevel="0" collapsed="false">
      <c r="B18" s="3" t="s">
        <v>19</v>
      </c>
      <c r="C18" s="5" t="s">
        <v>20</v>
      </c>
    </row>
    <row r="19" customFormat="false" ht="15" hidden="false" customHeight="false" outlineLevel="0" collapsed="false">
      <c r="B19" s="3" t="s">
        <v>21</v>
      </c>
      <c r="C19" s="5" t="s">
        <v>22</v>
      </c>
    </row>
    <row r="20" customFormat="false" ht="15" hidden="false" customHeight="false" outlineLevel="0" collapsed="false">
      <c r="B20" s="3" t="s">
        <v>23</v>
      </c>
      <c r="C20" s="5" t="s">
        <v>24</v>
      </c>
    </row>
    <row r="21" customFormat="false" ht="15" hidden="false" customHeight="false" outlineLevel="0" collapsed="false">
      <c r="B21" s="3" t="s">
        <v>25</v>
      </c>
      <c r="C21" s="5" t="s">
        <v>26</v>
      </c>
    </row>
    <row r="22" customFormat="false" ht="15" hidden="false" customHeight="false" outlineLevel="0" collapsed="false">
      <c r="B22" s="3" t="s">
        <v>27</v>
      </c>
      <c r="C22" s="5" t="s">
        <v>28</v>
      </c>
    </row>
    <row r="23" customFormat="false" ht="15" hidden="false" customHeight="false" outlineLevel="0" collapsed="false">
      <c r="B23" s="3" t="s">
        <v>29</v>
      </c>
      <c r="C23" s="5" t="s">
        <v>30</v>
      </c>
    </row>
    <row r="24" customFormat="false" ht="15" hidden="false" customHeight="false" outlineLevel="0" collapsed="false">
      <c r="B24" s="3" t="s">
        <v>31</v>
      </c>
      <c r="C24" s="5" t="s">
        <v>32</v>
      </c>
    </row>
    <row r="25" customFormat="false" ht="15" hidden="false" customHeight="false" outlineLevel="0" collapsed="false">
      <c r="B25" s="3" t="s">
        <v>33</v>
      </c>
      <c r="C25" s="5" t="s">
        <v>34</v>
      </c>
    </row>
    <row r="26" customFormat="false" ht="15" hidden="false" customHeight="false" outlineLevel="0" collapsed="false">
      <c r="B26" s="3" t="s">
        <v>35</v>
      </c>
      <c r="C26" s="5" t="s">
        <v>36</v>
      </c>
    </row>
    <row r="27" customFormat="false" ht="15" hidden="false" customHeight="false" outlineLevel="0" collapsed="false">
      <c r="B27" s="3" t="s">
        <v>37</v>
      </c>
      <c r="C27" s="5" t="s">
        <v>38</v>
      </c>
    </row>
    <row r="28" customFormat="false" ht="15" hidden="false" customHeight="false" outlineLevel="0" collapsed="false">
      <c r="B28" s="3" t="s">
        <v>39</v>
      </c>
      <c r="C28" s="5" t="s">
        <v>40</v>
      </c>
    </row>
    <row r="29" customFormat="false" ht="15" hidden="false" customHeight="false" outlineLevel="0" collapsed="false">
      <c r="B29" s="3" t="s">
        <v>41</v>
      </c>
      <c r="C29" s="5" t="s">
        <v>42</v>
      </c>
    </row>
    <row r="30" customFormat="false" ht="15" hidden="false" customHeight="false" outlineLevel="0" collapsed="false">
      <c r="B30" s="3" t="s">
        <v>43</v>
      </c>
      <c r="C30" s="5" t="s">
        <v>44</v>
      </c>
    </row>
    <row r="31" customFormat="false" ht="15" hidden="false" customHeight="false" outlineLevel="0" collapsed="false">
      <c r="B31" s="3" t="s">
        <v>45</v>
      </c>
      <c r="C31" s="5" t="s">
        <v>46</v>
      </c>
    </row>
    <row r="32" customFormat="false" ht="15" hidden="false" customHeight="false" outlineLevel="0" collapsed="false">
      <c r="B32" s="3" t="s">
        <v>47</v>
      </c>
      <c r="C32" s="5" t="s">
        <v>48</v>
      </c>
    </row>
    <row r="33" customFormat="false" ht="15" hidden="false" customHeight="false" outlineLevel="0" collapsed="false">
      <c r="B33" s="3" t="s">
        <v>49</v>
      </c>
      <c r="C33" s="5" t="s">
        <v>50</v>
      </c>
    </row>
    <row r="35" customFormat="false" ht="15" hidden="false" customHeight="false" outlineLevel="0" collapsed="false">
      <c r="B35" s="3" t="s">
        <v>51</v>
      </c>
    </row>
    <row r="36" customFormat="false" ht="15" hidden="false" customHeight="false" outlineLevel="0" collapsed="false">
      <c r="B36" s="6" t="s">
        <v>52</v>
      </c>
      <c r="C36" s="7" t="s">
        <v>53</v>
      </c>
    </row>
    <row r="37" customFormat="false" ht="15" hidden="false" customHeight="false" outlineLevel="0" collapsed="false">
      <c r="B37" s="8" t="s">
        <v>54</v>
      </c>
      <c r="C37" s="7" t="s">
        <v>55</v>
      </c>
    </row>
    <row r="38" customFormat="false" ht="15" hidden="false" customHeight="false" outlineLevel="0" collapsed="false">
      <c r="B38" s="9" t="s">
        <v>56</v>
      </c>
      <c r="C38" s="7" t="s">
        <v>57</v>
      </c>
    </row>
    <row r="39" customFormat="false" ht="15" hidden="false" customHeight="false" outlineLevel="0" collapsed="false">
      <c r="B39" s="10" t="s">
        <v>58</v>
      </c>
      <c r="C39" s="7" t="s">
        <v>59</v>
      </c>
    </row>
    <row r="41" customFormat="false" ht="15" hidden="false" customHeight="false" outlineLevel="0" collapsed="false">
      <c r="B41" s="3" t="s">
        <v>60</v>
      </c>
    </row>
    <row r="42" customFormat="false" ht="54.75" hidden="false" customHeight="true" outlineLevel="0" collapsed="false">
      <c r="B42" s="4" t="s">
        <v>61</v>
      </c>
      <c r="C42" s="4"/>
      <c r="D42" s="4"/>
      <c r="E42" s="4"/>
      <c r="F42" s="4"/>
      <c r="G42" s="4"/>
      <c r="H42" s="4"/>
    </row>
  </sheetData>
  <mergeCells count="2">
    <mergeCell ref="B6:H8"/>
    <mergeCell ref="B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B2:F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2"/>
    <col collapsed="false" customWidth="true" hidden="false" outlineLevel="0" max="4" min="4" style="0" width="16"/>
    <col collapsed="false" customWidth="true" hidden="false" outlineLevel="0" max="5" min="5" style="0" width="55"/>
  </cols>
  <sheetData>
    <row r="2" customFormat="false" ht="17.35" hidden="false" customHeight="false" outlineLevel="0" collapsed="false">
      <c r="B2" s="1" t="s">
        <v>62</v>
      </c>
    </row>
    <row r="3" customFormat="false" ht="15" hidden="false" customHeight="false" outlineLevel="0" collapsed="false">
      <c r="B3" s="2" t="s">
        <v>63</v>
      </c>
    </row>
    <row r="5" customFormat="false" ht="15" hidden="false" customHeight="false" outlineLevel="0" collapsed="false">
      <c r="B5" s="11" t="s">
        <v>64</v>
      </c>
      <c r="C5" s="11" t="s">
        <v>65</v>
      </c>
      <c r="D5" s="11" t="s">
        <v>66</v>
      </c>
      <c r="E5" s="11" t="s">
        <v>67</v>
      </c>
    </row>
    <row r="6" customFormat="false" ht="15" hidden="false" customHeight="false" outlineLevel="0" collapsed="false">
      <c r="B6" s="12" t="s">
        <v>68</v>
      </c>
      <c r="C6" s="12"/>
      <c r="D6" s="12"/>
      <c r="E6" s="12"/>
    </row>
    <row r="7" customFormat="false" ht="15" hidden="false" customHeight="false" outlineLevel="0" collapsed="false">
      <c r="B7" s="13" t="n">
        <v>1010</v>
      </c>
      <c r="C7" s="13" t="s">
        <v>69</v>
      </c>
      <c r="D7" s="13" t="s">
        <v>70</v>
      </c>
      <c r="E7" s="14" t="s">
        <v>71</v>
      </c>
    </row>
    <row r="8" customFormat="false" ht="15" hidden="false" customHeight="false" outlineLevel="0" collapsed="false">
      <c r="B8" s="13" t="n">
        <v>1200</v>
      </c>
      <c r="C8" s="13" t="s">
        <v>72</v>
      </c>
      <c r="D8" s="13" t="s">
        <v>70</v>
      </c>
      <c r="E8" s="14" t="s">
        <v>73</v>
      </c>
    </row>
    <row r="9" customFormat="false" ht="15" hidden="false" customHeight="false" outlineLevel="0" collapsed="false">
      <c r="B9" s="13" t="n">
        <v>1210</v>
      </c>
      <c r="C9" s="13" t="s">
        <v>74</v>
      </c>
      <c r="D9" s="13" t="s">
        <v>70</v>
      </c>
      <c r="E9" s="14"/>
    </row>
    <row r="10" customFormat="false" ht="15" hidden="false" customHeight="false" outlineLevel="0" collapsed="false">
      <c r="B10" s="13" t="n">
        <v>1220</v>
      </c>
      <c r="C10" s="13" t="s">
        <v>75</v>
      </c>
      <c r="D10" s="13" t="s">
        <v>70</v>
      </c>
      <c r="E10" s="14"/>
    </row>
    <row r="11" customFormat="false" ht="15" hidden="false" customHeight="false" outlineLevel="0" collapsed="false">
      <c r="B11" s="13" t="n">
        <v>1230</v>
      </c>
      <c r="C11" s="13" t="s">
        <v>76</v>
      </c>
      <c r="D11" s="13" t="s">
        <v>70</v>
      </c>
      <c r="E11" s="14"/>
    </row>
    <row r="12" customFormat="false" ht="15" hidden="false" customHeight="false" outlineLevel="0" collapsed="false">
      <c r="B12" s="13" t="n">
        <v>1500</v>
      </c>
      <c r="C12" s="13" t="s">
        <v>77</v>
      </c>
      <c r="D12" s="13" t="s">
        <v>70</v>
      </c>
      <c r="E12" s="14" t="s">
        <v>78</v>
      </c>
    </row>
    <row r="13" customFormat="false" ht="15" hidden="false" customHeight="false" outlineLevel="0" collapsed="false">
      <c r="B13" s="13" t="n">
        <v>1510</v>
      </c>
      <c r="C13" s="13" t="s">
        <v>79</v>
      </c>
      <c r="D13" s="13" t="s">
        <v>70</v>
      </c>
      <c r="E13" s="14"/>
    </row>
    <row r="14" customFormat="false" ht="15" hidden="false" customHeight="false" outlineLevel="0" collapsed="false">
      <c r="B14" s="13" t="n">
        <v>1520</v>
      </c>
      <c r="C14" s="13" t="s">
        <v>80</v>
      </c>
      <c r="D14" s="13" t="s">
        <v>70</v>
      </c>
      <c r="E14" s="14"/>
    </row>
    <row r="15" customFormat="false" ht="15" hidden="false" customHeight="false" outlineLevel="0" collapsed="false">
      <c r="B15" s="13" t="n">
        <v>1590</v>
      </c>
      <c r="C15" s="13" t="s">
        <v>81</v>
      </c>
      <c r="D15" s="13" t="s">
        <v>82</v>
      </c>
      <c r="E15" s="14" t="s">
        <v>83</v>
      </c>
    </row>
    <row r="16" customFormat="false" ht="15" hidden="false" customHeight="false" outlineLevel="0" collapsed="false">
      <c r="B16" s="12" t="s">
        <v>84</v>
      </c>
      <c r="C16" s="12"/>
      <c r="D16" s="12"/>
      <c r="E16" s="12"/>
    </row>
    <row r="17" customFormat="false" ht="15" hidden="false" customHeight="false" outlineLevel="0" collapsed="false">
      <c r="B17" s="13" t="n">
        <v>2100</v>
      </c>
      <c r="C17" s="13" t="s">
        <v>85</v>
      </c>
      <c r="D17" s="13" t="s">
        <v>86</v>
      </c>
      <c r="E17" s="14" t="s">
        <v>87</v>
      </c>
    </row>
    <row r="18" customFormat="false" ht="15" hidden="false" customHeight="false" outlineLevel="0" collapsed="false">
      <c r="B18" s="13" t="n">
        <v>2200</v>
      </c>
      <c r="C18" s="13" t="s">
        <v>88</v>
      </c>
      <c r="D18" s="13" t="s">
        <v>86</v>
      </c>
      <c r="E18" s="14" t="s">
        <v>89</v>
      </c>
    </row>
    <row r="19" customFormat="false" ht="15" hidden="false" customHeight="false" outlineLevel="0" collapsed="false">
      <c r="B19" s="13" t="n">
        <v>2500</v>
      </c>
      <c r="C19" s="13" t="s">
        <v>90</v>
      </c>
      <c r="D19" s="13" t="s">
        <v>86</v>
      </c>
      <c r="E19" s="14" t="s">
        <v>91</v>
      </c>
    </row>
    <row r="20" customFormat="false" ht="15" hidden="false" customHeight="false" outlineLevel="0" collapsed="false">
      <c r="B20" s="12" t="s">
        <v>92</v>
      </c>
      <c r="C20" s="12"/>
      <c r="D20" s="12"/>
      <c r="E20" s="12"/>
    </row>
    <row r="21" customFormat="false" ht="15" hidden="false" customHeight="false" outlineLevel="0" collapsed="false">
      <c r="B21" s="13" t="n">
        <v>3010</v>
      </c>
      <c r="C21" s="13" t="s">
        <v>93</v>
      </c>
      <c r="D21" s="13" t="s">
        <v>94</v>
      </c>
      <c r="E21" s="14" t="s">
        <v>95</v>
      </c>
    </row>
    <row r="22" customFormat="false" ht="15" hidden="false" customHeight="false" outlineLevel="0" collapsed="false">
      <c r="B22" s="13" t="n">
        <v>3020</v>
      </c>
      <c r="C22" s="13" t="s">
        <v>96</v>
      </c>
      <c r="D22" s="13" t="s">
        <v>94</v>
      </c>
      <c r="E22" s="14" t="s">
        <v>97</v>
      </c>
    </row>
    <row r="23" customFormat="false" ht="15" hidden="false" customHeight="false" outlineLevel="0" collapsed="false">
      <c r="B23" s="13" t="n">
        <v>3030</v>
      </c>
      <c r="C23" s="13" t="s">
        <v>98</v>
      </c>
      <c r="D23" s="13" t="s">
        <v>94</v>
      </c>
      <c r="E23" s="14" t="s">
        <v>99</v>
      </c>
    </row>
    <row r="24" customFormat="false" ht="15" hidden="false" customHeight="false" outlineLevel="0" collapsed="false">
      <c r="B24" s="12" t="s">
        <v>100</v>
      </c>
      <c r="C24" s="12"/>
      <c r="D24" s="12"/>
      <c r="E24" s="12"/>
    </row>
    <row r="25" customFormat="false" ht="15" hidden="false" customHeight="false" outlineLevel="0" collapsed="false">
      <c r="B25" s="13" t="n">
        <v>4010</v>
      </c>
      <c r="C25" s="13" t="s">
        <v>101</v>
      </c>
      <c r="D25" s="13" t="s">
        <v>102</v>
      </c>
      <c r="E25" s="14" t="s">
        <v>103</v>
      </c>
    </row>
    <row r="26" customFormat="false" ht="15" hidden="false" customHeight="false" outlineLevel="0" collapsed="false">
      <c r="B26" s="13" t="n">
        <v>4020</v>
      </c>
      <c r="C26" s="13" t="s">
        <v>104</v>
      </c>
      <c r="D26" s="13" t="s">
        <v>102</v>
      </c>
      <c r="E26" s="14" t="s">
        <v>105</v>
      </c>
    </row>
    <row r="27" customFormat="false" ht="15" hidden="false" customHeight="false" outlineLevel="0" collapsed="false">
      <c r="B27" s="13" t="n">
        <v>4030</v>
      </c>
      <c r="C27" s="13" t="s">
        <v>106</v>
      </c>
      <c r="D27" s="13" t="s">
        <v>102</v>
      </c>
      <c r="E27" s="14" t="s">
        <v>107</v>
      </c>
    </row>
    <row r="28" customFormat="false" ht="15" hidden="false" customHeight="false" outlineLevel="0" collapsed="false">
      <c r="B28" s="13" t="n">
        <v>4040</v>
      </c>
      <c r="C28" s="13" t="s">
        <v>108</v>
      </c>
      <c r="D28" s="13" t="s">
        <v>102</v>
      </c>
      <c r="E28" s="14" t="s">
        <v>109</v>
      </c>
    </row>
    <row r="29" customFormat="false" ht="15" hidden="false" customHeight="false" outlineLevel="0" collapsed="false">
      <c r="B29" s="13" t="n">
        <v>4090</v>
      </c>
      <c r="C29" s="13" t="s">
        <v>110</v>
      </c>
      <c r="D29" s="13" t="s">
        <v>111</v>
      </c>
      <c r="E29" s="14" t="s">
        <v>112</v>
      </c>
    </row>
    <row r="30" customFormat="false" ht="15" hidden="false" customHeight="false" outlineLevel="0" collapsed="false">
      <c r="B30" s="12" t="s">
        <v>113</v>
      </c>
      <c r="C30" s="12"/>
      <c r="D30" s="12"/>
      <c r="E30" s="12"/>
    </row>
    <row r="31" customFormat="false" ht="15" hidden="false" customHeight="false" outlineLevel="0" collapsed="false">
      <c r="B31" s="13" t="n">
        <v>5010</v>
      </c>
      <c r="C31" s="13" t="s">
        <v>114</v>
      </c>
      <c r="D31" s="13" t="s">
        <v>115</v>
      </c>
      <c r="E31" s="14"/>
    </row>
    <row r="32" customFormat="false" ht="15" hidden="false" customHeight="false" outlineLevel="0" collapsed="false">
      <c r="B32" s="13" t="n">
        <v>5020</v>
      </c>
      <c r="C32" s="13" t="s">
        <v>116</v>
      </c>
      <c r="D32" s="13" t="s">
        <v>115</v>
      </c>
      <c r="E32" s="14" t="s">
        <v>117</v>
      </c>
    </row>
    <row r="33" customFormat="false" ht="15" hidden="false" customHeight="false" outlineLevel="0" collapsed="false">
      <c r="B33" s="13" t="n">
        <v>5030</v>
      </c>
      <c r="C33" s="13" t="s">
        <v>118</v>
      </c>
      <c r="D33" s="13" t="s">
        <v>115</v>
      </c>
      <c r="E33" s="14"/>
    </row>
    <row r="34" customFormat="false" ht="15" hidden="false" customHeight="false" outlineLevel="0" collapsed="false">
      <c r="B34" s="13" t="n">
        <v>5040</v>
      </c>
      <c r="C34" s="13" t="s">
        <v>119</v>
      </c>
      <c r="D34" s="13" t="s">
        <v>115</v>
      </c>
      <c r="E34" s="14" t="s">
        <v>120</v>
      </c>
    </row>
    <row r="35" customFormat="false" ht="15" hidden="false" customHeight="false" outlineLevel="0" collapsed="false">
      <c r="B35" s="13" t="n">
        <v>5050</v>
      </c>
      <c r="C35" s="13" t="s">
        <v>121</v>
      </c>
      <c r="D35" s="13" t="s">
        <v>115</v>
      </c>
      <c r="E35" s="14" t="s">
        <v>122</v>
      </c>
    </row>
    <row r="36" customFormat="false" ht="15" hidden="false" customHeight="false" outlineLevel="0" collapsed="false">
      <c r="B36" s="12" t="s">
        <v>123</v>
      </c>
      <c r="C36" s="12"/>
      <c r="D36" s="12"/>
      <c r="E36" s="12"/>
    </row>
    <row r="37" customFormat="false" ht="15" hidden="false" customHeight="false" outlineLevel="0" collapsed="false">
      <c r="B37" s="13" t="n">
        <v>6010</v>
      </c>
      <c r="C37" s="13" t="s">
        <v>124</v>
      </c>
      <c r="D37" s="13" t="s">
        <v>125</v>
      </c>
      <c r="E37" s="14"/>
    </row>
    <row r="38" customFormat="false" ht="15" hidden="false" customHeight="false" outlineLevel="0" collapsed="false">
      <c r="B38" s="13" t="n">
        <v>6020</v>
      </c>
      <c r="C38" s="13" t="s">
        <v>126</v>
      </c>
      <c r="D38" s="13" t="s">
        <v>125</v>
      </c>
      <c r="E38" s="14"/>
    </row>
    <row r="39" customFormat="false" ht="15" hidden="false" customHeight="false" outlineLevel="0" collapsed="false">
      <c r="B39" s="13" t="n">
        <v>6030</v>
      </c>
      <c r="C39" s="13" t="s">
        <v>127</v>
      </c>
      <c r="D39" s="13" t="s">
        <v>125</v>
      </c>
      <c r="E39" s="14"/>
    </row>
    <row r="40" customFormat="false" ht="15" hidden="false" customHeight="false" outlineLevel="0" collapsed="false">
      <c r="B40" s="13" t="n">
        <v>6040</v>
      </c>
      <c r="C40" s="13" t="s">
        <v>128</v>
      </c>
      <c r="D40" s="13" t="s">
        <v>125</v>
      </c>
      <c r="E40" s="14"/>
    </row>
    <row r="41" customFormat="false" ht="15" hidden="false" customHeight="false" outlineLevel="0" collapsed="false">
      <c r="B41" s="13" t="n">
        <v>6050</v>
      </c>
      <c r="C41" s="13" t="s">
        <v>129</v>
      </c>
      <c r="D41" s="13" t="s">
        <v>125</v>
      </c>
      <c r="E41" s="14" t="s">
        <v>130</v>
      </c>
    </row>
    <row r="42" customFormat="false" ht="15" hidden="false" customHeight="false" outlineLevel="0" collapsed="false">
      <c r="B42" s="13" t="n">
        <v>6060</v>
      </c>
      <c r="C42" s="13" t="s">
        <v>131</v>
      </c>
      <c r="D42" s="13" t="s">
        <v>125</v>
      </c>
      <c r="E42" s="14"/>
    </row>
    <row r="43" customFormat="false" ht="15" hidden="false" customHeight="false" outlineLevel="0" collapsed="false">
      <c r="B43" s="13" t="n">
        <v>6070</v>
      </c>
      <c r="C43" s="13" t="s">
        <v>132</v>
      </c>
      <c r="D43" s="13" t="s">
        <v>125</v>
      </c>
      <c r="E43" s="14"/>
    </row>
    <row r="44" customFormat="false" ht="15" hidden="false" customHeight="false" outlineLevel="0" collapsed="false">
      <c r="B44" s="13" t="n">
        <v>6080</v>
      </c>
      <c r="C44" s="13" t="s">
        <v>133</v>
      </c>
      <c r="D44" s="13" t="s">
        <v>125</v>
      </c>
      <c r="E44" s="14"/>
    </row>
    <row r="45" customFormat="false" ht="15" hidden="false" customHeight="false" outlineLevel="0" collapsed="false">
      <c r="B45" s="13" t="n">
        <v>6090</v>
      </c>
      <c r="C45" s="13" t="s">
        <v>134</v>
      </c>
      <c r="D45" s="13" t="s">
        <v>125</v>
      </c>
      <c r="E45" s="14"/>
    </row>
    <row r="46" customFormat="false" ht="15" hidden="false" customHeight="false" outlineLevel="0" collapsed="false">
      <c r="B46" s="13" t="n">
        <v>6100</v>
      </c>
      <c r="C46" s="13" t="s">
        <v>135</v>
      </c>
      <c r="D46" s="13" t="s">
        <v>125</v>
      </c>
      <c r="E46" s="14"/>
    </row>
    <row r="47" customFormat="false" ht="15" hidden="false" customHeight="false" outlineLevel="0" collapsed="false">
      <c r="B47" s="13" t="n">
        <v>6110</v>
      </c>
      <c r="C47" s="13" t="s">
        <v>136</v>
      </c>
      <c r="D47" s="13" t="s">
        <v>125</v>
      </c>
      <c r="E47" s="14"/>
    </row>
    <row r="48" customFormat="false" ht="15" hidden="false" customHeight="false" outlineLevel="0" collapsed="false">
      <c r="B48" s="13" t="n">
        <v>6120</v>
      </c>
      <c r="C48" s="13" t="s">
        <v>137</v>
      </c>
      <c r="D48" s="13" t="s">
        <v>125</v>
      </c>
      <c r="E48" s="14"/>
    </row>
    <row r="49" customFormat="false" ht="15" hidden="false" customHeight="false" outlineLevel="0" collapsed="false">
      <c r="B49" s="13" t="n">
        <v>6130</v>
      </c>
      <c r="C49" s="13" t="s">
        <v>138</v>
      </c>
      <c r="D49" s="13" t="s">
        <v>125</v>
      </c>
      <c r="E49" s="14" t="s">
        <v>139</v>
      </c>
    </row>
    <row r="50" customFormat="false" ht="15" hidden="false" customHeight="false" outlineLevel="0" collapsed="false">
      <c r="B50" s="13" t="n">
        <v>6140</v>
      </c>
      <c r="C50" s="13" t="s">
        <v>140</v>
      </c>
      <c r="D50" s="13" t="s">
        <v>125</v>
      </c>
      <c r="E50" s="14"/>
    </row>
    <row r="51" customFormat="false" ht="15" hidden="false" customHeight="false" outlineLevel="0" collapsed="false">
      <c r="B51" s="13" t="n">
        <v>6150</v>
      </c>
      <c r="C51" s="13" t="s">
        <v>141</v>
      </c>
      <c r="D51" s="13" t="s">
        <v>125</v>
      </c>
      <c r="E51" s="14"/>
    </row>
    <row r="52" customFormat="false" ht="15" hidden="false" customHeight="false" outlineLevel="0" collapsed="false">
      <c r="B52" s="13" t="n">
        <v>6160</v>
      </c>
      <c r="C52" s="13" t="s">
        <v>142</v>
      </c>
      <c r="D52" s="13" t="s">
        <v>125</v>
      </c>
      <c r="E52" s="14"/>
    </row>
    <row r="53" customFormat="false" ht="15" hidden="false" customHeight="false" outlineLevel="0" collapsed="false">
      <c r="B53" s="13" t="n">
        <v>6170</v>
      </c>
      <c r="C53" s="13" t="s">
        <v>143</v>
      </c>
      <c r="D53" s="13" t="s">
        <v>125</v>
      </c>
      <c r="E53" s="14"/>
    </row>
    <row r="54" customFormat="false" ht="15" hidden="false" customHeight="false" outlineLevel="0" collapsed="false">
      <c r="B54" s="13" t="n">
        <v>6180</v>
      </c>
      <c r="C54" s="13" t="s">
        <v>144</v>
      </c>
      <c r="D54" s="13" t="s">
        <v>125</v>
      </c>
      <c r="E54" s="14" t="s">
        <v>145</v>
      </c>
    </row>
    <row r="55" customFormat="false" ht="15" hidden="false" customHeight="false" outlineLevel="0" collapsed="false">
      <c r="B55" s="13" t="n">
        <v>6190</v>
      </c>
      <c r="C55" s="13" t="s">
        <v>146</v>
      </c>
      <c r="D55" s="13" t="s">
        <v>125</v>
      </c>
      <c r="E55" s="14" t="s">
        <v>147</v>
      </c>
    </row>
    <row r="58" customFormat="false" ht="15" hidden="false" customHeight="false" outlineLevel="0" collapsed="false">
      <c r="B58" s="3" t="s">
        <v>148</v>
      </c>
    </row>
    <row r="59" customFormat="false" ht="35.05" hidden="false" customHeight="false" outlineLevel="0" collapsed="false">
      <c r="B59" s="11" t="s">
        <v>149</v>
      </c>
      <c r="C59" s="11" t="s">
        <v>150</v>
      </c>
      <c r="D59" s="11" t="s">
        <v>151</v>
      </c>
      <c r="E59" s="11" t="s">
        <v>152</v>
      </c>
      <c r="F59" s="11" t="s">
        <v>153</v>
      </c>
    </row>
    <row r="60" customFormat="false" ht="15" hidden="false" customHeight="false" outlineLevel="0" collapsed="false">
      <c r="B60" s="13" t="s">
        <v>154</v>
      </c>
      <c r="C60" s="13" t="s">
        <v>155</v>
      </c>
      <c r="D60" s="15" t="n">
        <v>26.5</v>
      </c>
      <c r="E60" s="16" t="n">
        <v>52</v>
      </c>
      <c r="F60" s="17" t="n">
        <v>0.03</v>
      </c>
    </row>
    <row r="61" customFormat="false" ht="15" hidden="false" customHeight="false" outlineLevel="0" collapsed="false">
      <c r="B61" s="13" t="s">
        <v>156</v>
      </c>
      <c r="C61" s="13" t="s">
        <v>155</v>
      </c>
      <c r="D61" s="15" t="n">
        <v>34</v>
      </c>
      <c r="E61" s="16" t="n">
        <v>12</v>
      </c>
      <c r="F61" s="17" t="n">
        <v>0</v>
      </c>
    </row>
    <row r="62" customFormat="false" ht="15" hidden="false" customHeight="false" outlineLevel="0" collapsed="false">
      <c r="B62" s="13" t="s">
        <v>157</v>
      </c>
      <c r="C62" s="13" t="s">
        <v>158</v>
      </c>
      <c r="D62" s="15" t="n">
        <v>165</v>
      </c>
      <c r="E62" s="16" t="n">
        <v>38</v>
      </c>
      <c r="F62" s="17" t="n">
        <v>0.05</v>
      </c>
    </row>
    <row r="63" customFormat="false" ht="15" hidden="false" customHeight="false" outlineLevel="0" collapsed="false">
      <c r="B63" s="13" t="s">
        <v>159</v>
      </c>
      <c r="C63" s="13" t="s">
        <v>158</v>
      </c>
      <c r="D63" s="15" t="n">
        <v>135</v>
      </c>
      <c r="E63" s="16" t="n">
        <v>45</v>
      </c>
      <c r="F63" s="17" t="n">
        <v>0.07</v>
      </c>
    </row>
    <row r="66" customFormat="false" ht="15" hidden="false" customHeight="false" outlineLevel="0" collapsed="false">
      <c r="B66" s="3" t="s">
        <v>160</v>
      </c>
    </row>
    <row r="67" customFormat="false" ht="15" hidden="false" customHeight="false" outlineLevel="0" collapsed="false">
      <c r="B67" s="18" t="s">
        <v>161</v>
      </c>
      <c r="C67" s="18"/>
      <c r="D67" s="18"/>
      <c r="E67" s="19" t="n">
        <v>0.145</v>
      </c>
    </row>
    <row r="68" customFormat="false" ht="15" hidden="false" customHeight="false" outlineLevel="0" collapsed="false">
      <c r="B68" s="18" t="s">
        <v>162</v>
      </c>
      <c r="C68" s="18"/>
      <c r="D68" s="18"/>
      <c r="E68" s="20" t="n">
        <v>0.67</v>
      </c>
    </row>
    <row r="69" customFormat="false" ht="15" hidden="false" customHeight="false" outlineLevel="0" collapsed="false">
      <c r="B69" s="18" t="s">
        <v>163</v>
      </c>
      <c r="C69" s="18"/>
      <c r="D69" s="18"/>
      <c r="E69" s="21" t="n">
        <v>40</v>
      </c>
    </row>
    <row r="70" customFormat="false" ht="15" hidden="false" customHeight="false" outlineLevel="0" collapsed="false">
      <c r="B70" s="18" t="s">
        <v>164</v>
      </c>
      <c r="C70" s="18"/>
      <c r="D70" s="18"/>
      <c r="E70" s="22" t="n">
        <v>130000</v>
      </c>
    </row>
    <row r="71" customFormat="false" ht="15" hidden="false" customHeight="false" outlineLevel="0" collapsed="false">
      <c r="B71" s="18" t="s">
        <v>165</v>
      </c>
      <c r="C71" s="18"/>
      <c r="D71" s="18"/>
      <c r="E71" s="22" t="n">
        <v>175000</v>
      </c>
    </row>
    <row r="72" customFormat="false" ht="15" hidden="false" customHeight="false" outlineLevel="0" collapsed="false">
      <c r="B72" s="18" t="s">
        <v>166</v>
      </c>
      <c r="C72" s="18"/>
      <c r="D72" s="18"/>
      <c r="E72" s="19" t="n">
        <v>0.0925</v>
      </c>
    </row>
  </sheetData>
  <mergeCells count="12">
    <mergeCell ref="B6:E6"/>
    <mergeCell ref="B16:E16"/>
    <mergeCell ref="B20:E20"/>
    <mergeCell ref="B24:E24"/>
    <mergeCell ref="B30:E30"/>
    <mergeCell ref="B36:E36"/>
    <mergeCell ref="B67:D67"/>
    <mergeCell ref="B68:D68"/>
    <mergeCell ref="B69:D69"/>
    <mergeCell ref="B70:D70"/>
    <mergeCell ref="B71:D71"/>
    <mergeCell ref="B72:D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F4E"/>
    <pageSetUpPr fitToPage="false"/>
  </sheetPr>
  <dimension ref="B2: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20"/>
    <col collapsed="false" customWidth="true" hidden="false" outlineLevel="0" max="4" min="4" style="0" width="22"/>
    <col collapsed="false" customWidth="true" hidden="false" outlineLevel="0" max="5" min="5" style="0" width="13"/>
    <col collapsed="false" customWidth="true" hidden="false" outlineLevel="0" max="6" min="6" style="0" width="12"/>
    <col collapsed="false" customWidth="true" hidden="false" outlineLevel="0" max="8" min="7" style="0" width="14"/>
    <col collapsed="false" customWidth="true" hidden="false" outlineLevel="0" max="9" min="9" style="0" width="11"/>
  </cols>
  <sheetData>
    <row r="2" customFormat="false" ht="17.35" hidden="false" customHeight="false" outlineLevel="0" collapsed="false">
      <c r="B2" s="1" t="s">
        <v>7</v>
      </c>
    </row>
    <row r="3" customFormat="false" ht="15" hidden="false" customHeight="false" outlineLevel="0" collapsed="false">
      <c r="B3" s="2" t="s">
        <v>167</v>
      </c>
    </row>
    <row r="5" customFormat="false" ht="23.85" hidden="false" customHeight="false" outlineLevel="0" collapsed="false">
      <c r="B5" s="11" t="s">
        <v>168</v>
      </c>
      <c r="C5" s="11" t="s">
        <v>169</v>
      </c>
      <c r="D5" s="11" t="s">
        <v>170</v>
      </c>
      <c r="E5" s="11" t="s">
        <v>171</v>
      </c>
      <c r="F5" s="11" t="s">
        <v>172</v>
      </c>
      <c r="G5" s="11" t="s">
        <v>173</v>
      </c>
      <c r="H5" s="11" t="s">
        <v>174</v>
      </c>
      <c r="I5" s="11" t="s">
        <v>175</v>
      </c>
      <c r="J5" s="11" t="s">
        <v>176</v>
      </c>
    </row>
    <row r="6" customFormat="false" ht="15" hidden="false" customHeight="false" outlineLevel="0" collapsed="false">
      <c r="B6" s="13" t="s">
        <v>177</v>
      </c>
      <c r="C6" s="13" t="s">
        <v>178</v>
      </c>
      <c r="D6" s="13" t="s">
        <v>179</v>
      </c>
      <c r="E6" s="13" t="s">
        <v>180</v>
      </c>
      <c r="F6" s="23" t="n">
        <v>14.56</v>
      </c>
      <c r="G6" s="13" t="s">
        <v>181</v>
      </c>
      <c r="H6" s="24" t="n">
        <v>45658</v>
      </c>
      <c r="I6" s="25" t="s">
        <v>182</v>
      </c>
      <c r="J6" s="26" t="s">
        <v>183</v>
      </c>
    </row>
    <row r="7" customFormat="false" ht="15" hidden="false" customHeight="false" outlineLevel="0" collapsed="false">
      <c r="B7" s="13" t="s">
        <v>184</v>
      </c>
      <c r="C7" s="13" t="s">
        <v>185</v>
      </c>
      <c r="D7" s="13" t="s">
        <v>186</v>
      </c>
      <c r="E7" s="13" t="s">
        <v>180</v>
      </c>
      <c r="F7" s="23" t="n">
        <v>17.34</v>
      </c>
      <c r="G7" s="13" t="s">
        <v>181</v>
      </c>
      <c r="H7" s="24" t="n">
        <v>45658</v>
      </c>
      <c r="I7" s="25" t="s">
        <v>182</v>
      </c>
      <c r="J7" s="26" t="s">
        <v>183</v>
      </c>
    </row>
    <row r="8" customFormat="false" ht="15" hidden="false" customHeight="false" outlineLevel="0" collapsed="false">
      <c r="B8" s="13" t="s">
        <v>187</v>
      </c>
      <c r="C8" s="13" t="s">
        <v>188</v>
      </c>
      <c r="D8" s="13" t="s">
        <v>189</v>
      </c>
      <c r="E8" s="13" t="s">
        <v>158</v>
      </c>
      <c r="F8" s="23" t="n">
        <v>66.48</v>
      </c>
      <c r="G8" s="13" t="s">
        <v>190</v>
      </c>
      <c r="H8" s="24" t="n">
        <v>45658</v>
      </c>
      <c r="I8" s="25" t="s">
        <v>182</v>
      </c>
      <c r="J8" s="26" t="s">
        <v>183</v>
      </c>
    </row>
    <row r="9" customFormat="false" ht="15" hidden="false" customHeight="false" outlineLevel="0" collapsed="false">
      <c r="B9" s="13" t="s">
        <v>191</v>
      </c>
      <c r="C9" s="13" t="s">
        <v>192</v>
      </c>
      <c r="D9" s="13" t="s">
        <v>186</v>
      </c>
      <c r="E9" s="13" t="s">
        <v>180</v>
      </c>
      <c r="F9" s="23" t="n">
        <v>16.05</v>
      </c>
      <c r="G9" s="13" t="s">
        <v>181</v>
      </c>
      <c r="H9" s="24" t="n">
        <v>45658</v>
      </c>
      <c r="I9" s="24" t="n">
        <v>45810</v>
      </c>
      <c r="J9" s="27" t="s">
        <v>193</v>
      </c>
    </row>
    <row r="10" customFormat="false" ht="15" hidden="false" customHeight="false" outlineLevel="0" collapsed="false">
      <c r="B10" s="13" t="s">
        <v>194</v>
      </c>
      <c r="C10" s="13" t="s">
        <v>195</v>
      </c>
      <c r="D10" s="13" t="s">
        <v>186</v>
      </c>
      <c r="E10" s="13" t="s">
        <v>180</v>
      </c>
      <c r="F10" s="23" t="n">
        <v>16</v>
      </c>
      <c r="G10" s="13" t="s">
        <v>181</v>
      </c>
      <c r="H10" s="24" t="n">
        <v>45658</v>
      </c>
      <c r="I10" s="25" t="s">
        <v>182</v>
      </c>
      <c r="J10" s="26" t="s">
        <v>183</v>
      </c>
    </row>
    <row r="11" customFormat="false" ht="15" hidden="false" customHeight="false" outlineLevel="0" collapsed="false">
      <c r="B11" s="13" t="s">
        <v>196</v>
      </c>
      <c r="C11" s="13" t="s">
        <v>197</v>
      </c>
      <c r="D11" s="13" t="s">
        <v>179</v>
      </c>
      <c r="E11" s="13" t="s">
        <v>180</v>
      </c>
      <c r="F11" s="23" t="n">
        <v>15.05</v>
      </c>
      <c r="G11" s="13" t="s">
        <v>181</v>
      </c>
      <c r="H11" s="24" t="n">
        <v>45658</v>
      </c>
      <c r="I11" s="25" t="s">
        <v>182</v>
      </c>
      <c r="J11" s="26" t="s">
        <v>183</v>
      </c>
    </row>
    <row r="12" customFormat="false" ht="15" hidden="false" customHeight="false" outlineLevel="0" collapsed="false">
      <c r="B12" s="13" t="s">
        <v>198</v>
      </c>
      <c r="C12" s="13" t="s">
        <v>199</v>
      </c>
      <c r="D12" s="13" t="s">
        <v>200</v>
      </c>
      <c r="E12" s="13" t="s">
        <v>158</v>
      </c>
      <c r="F12" s="23" t="n">
        <v>48.09</v>
      </c>
      <c r="G12" s="13" t="s">
        <v>190</v>
      </c>
      <c r="H12" s="24" t="n">
        <v>45770</v>
      </c>
      <c r="I12" s="25" t="s">
        <v>182</v>
      </c>
      <c r="J12" s="26" t="s">
        <v>183</v>
      </c>
    </row>
    <row r="13" customFormat="false" ht="15" hidden="false" customHeight="false" outlineLevel="0" collapsed="false">
      <c r="B13" s="13" t="s">
        <v>201</v>
      </c>
      <c r="C13" s="13" t="s">
        <v>202</v>
      </c>
      <c r="D13" s="13" t="s">
        <v>179</v>
      </c>
      <c r="E13" s="13" t="s">
        <v>180</v>
      </c>
      <c r="F13" s="23" t="n">
        <v>15.19</v>
      </c>
      <c r="G13" s="13" t="s">
        <v>181</v>
      </c>
      <c r="H13" s="24" t="n">
        <v>45658</v>
      </c>
      <c r="I13" s="25" t="s">
        <v>182</v>
      </c>
      <c r="J13" s="26" t="s">
        <v>183</v>
      </c>
    </row>
    <row r="14" customFormat="false" ht="15" hidden="false" customHeight="false" outlineLevel="0" collapsed="false">
      <c r="B14" s="13" t="s">
        <v>203</v>
      </c>
      <c r="C14" s="13" t="s">
        <v>204</v>
      </c>
      <c r="D14" s="13" t="s">
        <v>200</v>
      </c>
      <c r="E14" s="13" t="s">
        <v>158</v>
      </c>
      <c r="F14" s="23" t="n">
        <v>49.43</v>
      </c>
      <c r="G14" s="13" t="s">
        <v>190</v>
      </c>
      <c r="H14" s="24" t="n">
        <v>45658</v>
      </c>
      <c r="I14" s="25" t="s">
        <v>182</v>
      </c>
      <c r="J14" s="26" t="s">
        <v>183</v>
      </c>
    </row>
    <row r="15" customFormat="false" ht="15" hidden="false" customHeight="false" outlineLevel="0" collapsed="false">
      <c r="B15" s="13" t="s">
        <v>205</v>
      </c>
      <c r="C15" s="13" t="s">
        <v>206</v>
      </c>
      <c r="D15" s="13" t="s">
        <v>186</v>
      </c>
      <c r="E15" s="13" t="s">
        <v>180</v>
      </c>
      <c r="F15" s="23" t="n">
        <v>16.36</v>
      </c>
      <c r="G15" s="13" t="s">
        <v>181</v>
      </c>
      <c r="H15" s="24" t="n">
        <v>45658</v>
      </c>
      <c r="I15" s="25" t="s">
        <v>182</v>
      </c>
      <c r="J15" s="26" t="s">
        <v>183</v>
      </c>
    </row>
    <row r="16" customFormat="false" ht="15" hidden="false" customHeight="false" outlineLevel="0" collapsed="false">
      <c r="B16" s="13" t="s">
        <v>207</v>
      </c>
      <c r="C16" s="13" t="s">
        <v>208</v>
      </c>
      <c r="D16" s="13" t="s">
        <v>186</v>
      </c>
      <c r="E16" s="13" t="s">
        <v>180</v>
      </c>
      <c r="F16" s="23" t="n">
        <v>16.65</v>
      </c>
      <c r="G16" s="13" t="s">
        <v>181</v>
      </c>
      <c r="H16" s="24" t="n">
        <v>45658</v>
      </c>
      <c r="I16" s="24" t="n">
        <v>45896</v>
      </c>
      <c r="J16" s="27" t="s">
        <v>193</v>
      </c>
    </row>
    <row r="17" customFormat="false" ht="15" hidden="false" customHeight="false" outlineLevel="0" collapsed="false">
      <c r="B17" s="13" t="s">
        <v>209</v>
      </c>
      <c r="C17" s="13" t="s">
        <v>210</v>
      </c>
      <c r="D17" s="13" t="s">
        <v>211</v>
      </c>
      <c r="E17" s="13" t="s">
        <v>158</v>
      </c>
      <c r="F17" s="23" t="n">
        <v>73.58</v>
      </c>
      <c r="G17" s="13" t="s">
        <v>190</v>
      </c>
      <c r="H17" s="24" t="n">
        <v>45658</v>
      </c>
      <c r="I17" s="25" t="s">
        <v>182</v>
      </c>
      <c r="J17" s="26" t="s">
        <v>183</v>
      </c>
    </row>
    <row r="18" customFormat="false" ht="15" hidden="false" customHeight="false" outlineLevel="0" collapsed="false">
      <c r="B18" s="13" t="s">
        <v>212</v>
      </c>
      <c r="C18" s="13" t="s">
        <v>213</v>
      </c>
      <c r="D18" s="13" t="s">
        <v>179</v>
      </c>
      <c r="E18" s="13" t="s">
        <v>180</v>
      </c>
      <c r="F18" s="23" t="n">
        <v>16.71</v>
      </c>
      <c r="G18" s="13" t="s">
        <v>181</v>
      </c>
      <c r="H18" s="24" t="n">
        <v>45658</v>
      </c>
      <c r="I18" s="24" t="n">
        <v>45837</v>
      </c>
      <c r="J18" s="27" t="s">
        <v>193</v>
      </c>
    </row>
    <row r="19" customFormat="false" ht="15" hidden="false" customHeight="false" outlineLevel="0" collapsed="false">
      <c r="B19" s="13" t="s">
        <v>214</v>
      </c>
      <c r="C19" s="13" t="s">
        <v>215</v>
      </c>
      <c r="D19" s="13" t="s">
        <v>186</v>
      </c>
      <c r="E19" s="13" t="s">
        <v>180</v>
      </c>
      <c r="F19" s="23" t="n">
        <v>15.67</v>
      </c>
      <c r="G19" s="13" t="s">
        <v>181</v>
      </c>
      <c r="H19" s="24" t="n">
        <v>45658</v>
      </c>
      <c r="I19" s="25" t="s">
        <v>182</v>
      </c>
      <c r="J19" s="26" t="s">
        <v>183</v>
      </c>
    </row>
    <row r="20" customFormat="false" ht="15" hidden="false" customHeight="false" outlineLevel="0" collapsed="false">
      <c r="B20" s="13" t="s">
        <v>216</v>
      </c>
      <c r="C20" s="13" t="s">
        <v>217</v>
      </c>
      <c r="D20" s="13" t="s">
        <v>200</v>
      </c>
      <c r="E20" s="13" t="s">
        <v>158</v>
      </c>
      <c r="F20" s="23" t="n">
        <v>61.79</v>
      </c>
      <c r="G20" s="13" t="s">
        <v>190</v>
      </c>
      <c r="H20" s="24" t="n">
        <v>45866</v>
      </c>
      <c r="I20" s="25" t="s">
        <v>182</v>
      </c>
      <c r="J20" s="26" t="s">
        <v>183</v>
      </c>
    </row>
    <row r="21" customFormat="false" ht="15" hidden="false" customHeight="false" outlineLevel="0" collapsed="false">
      <c r="B21" s="13" t="s">
        <v>218</v>
      </c>
      <c r="C21" s="13" t="s">
        <v>219</v>
      </c>
      <c r="D21" s="13" t="s">
        <v>186</v>
      </c>
      <c r="E21" s="13" t="s">
        <v>180</v>
      </c>
      <c r="F21" s="23" t="n">
        <v>16.19</v>
      </c>
      <c r="G21" s="13" t="s">
        <v>181</v>
      </c>
      <c r="H21" s="24" t="n">
        <v>45658</v>
      </c>
      <c r="I21" s="25" t="s">
        <v>182</v>
      </c>
      <c r="J21" s="26" t="s">
        <v>183</v>
      </c>
    </row>
    <row r="22" customFormat="false" ht="15" hidden="false" customHeight="false" outlineLevel="0" collapsed="false">
      <c r="B22" s="13" t="s">
        <v>220</v>
      </c>
      <c r="C22" s="13" t="s">
        <v>221</v>
      </c>
      <c r="D22" s="13" t="s">
        <v>186</v>
      </c>
      <c r="E22" s="13" t="s">
        <v>180</v>
      </c>
      <c r="F22" s="23" t="n">
        <v>16.43</v>
      </c>
      <c r="G22" s="13" t="s">
        <v>181</v>
      </c>
      <c r="H22" s="24" t="n">
        <v>45658</v>
      </c>
      <c r="I22" s="25" t="s">
        <v>182</v>
      </c>
      <c r="J22" s="26" t="s">
        <v>183</v>
      </c>
    </row>
    <row r="23" customFormat="false" ht="15" hidden="false" customHeight="false" outlineLevel="0" collapsed="false">
      <c r="B23" s="13" t="s">
        <v>222</v>
      </c>
      <c r="C23" s="13" t="s">
        <v>223</v>
      </c>
      <c r="D23" s="13" t="s">
        <v>186</v>
      </c>
      <c r="E23" s="13" t="s">
        <v>180</v>
      </c>
      <c r="F23" s="23" t="n">
        <v>17.84</v>
      </c>
      <c r="G23" s="13" t="s">
        <v>181</v>
      </c>
      <c r="H23" s="24" t="n">
        <v>45658</v>
      </c>
      <c r="I23" s="25" t="s">
        <v>182</v>
      </c>
      <c r="J23" s="26" t="s">
        <v>183</v>
      </c>
    </row>
    <row r="24" customFormat="false" ht="15" hidden="false" customHeight="false" outlineLevel="0" collapsed="false">
      <c r="B24" s="13" t="s">
        <v>224</v>
      </c>
      <c r="C24" s="13" t="s">
        <v>225</v>
      </c>
      <c r="D24" s="13" t="s">
        <v>179</v>
      </c>
      <c r="E24" s="13" t="s">
        <v>180</v>
      </c>
      <c r="F24" s="23" t="n">
        <v>14.93</v>
      </c>
      <c r="G24" s="13" t="s">
        <v>181</v>
      </c>
      <c r="H24" s="24" t="n">
        <v>45658</v>
      </c>
      <c r="I24" s="25" t="s">
        <v>182</v>
      </c>
      <c r="J24" s="26" t="s">
        <v>183</v>
      </c>
    </row>
    <row r="25" customFormat="false" ht="15" hidden="false" customHeight="false" outlineLevel="0" collapsed="false">
      <c r="B25" s="13" t="s">
        <v>226</v>
      </c>
      <c r="C25" s="13" t="s">
        <v>227</v>
      </c>
      <c r="D25" s="13" t="s">
        <v>186</v>
      </c>
      <c r="E25" s="13" t="s">
        <v>180</v>
      </c>
      <c r="F25" s="23" t="n">
        <v>16.45</v>
      </c>
      <c r="G25" s="13" t="s">
        <v>181</v>
      </c>
      <c r="H25" s="24" t="n">
        <v>46012</v>
      </c>
      <c r="I25" s="25" t="s">
        <v>182</v>
      </c>
      <c r="J25" s="26" t="s">
        <v>183</v>
      </c>
    </row>
    <row r="26" customFormat="false" ht="15" hidden="false" customHeight="false" outlineLevel="0" collapsed="false">
      <c r="B26" s="13" t="s">
        <v>228</v>
      </c>
      <c r="C26" s="13" t="s">
        <v>229</v>
      </c>
      <c r="D26" s="13" t="s">
        <v>200</v>
      </c>
      <c r="E26" s="13" t="s">
        <v>158</v>
      </c>
      <c r="F26" s="23" t="n">
        <v>51.07</v>
      </c>
      <c r="G26" s="13" t="s">
        <v>190</v>
      </c>
      <c r="H26" s="24" t="n">
        <v>45658</v>
      </c>
      <c r="I26" s="25" t="s">
        <v>182</v>
      </c>
      <c r="J26" s="26" t="s">
        <v>183</v>
      </c>
    </row>
    <row r="27" customFormat="false" ht="15" hidden="false" customHeight="false" outlineLevel="0" collapsed="false">
      <c r="B27" s="13" t="s">
        <v>230</v>
      </c>
      <c r="C27" s="13" t="s">
        <v>231</v>
      </c>
      <c r="D27" s="13" t="s">
        <v>200</v>
      </c>
      <c r="E27" s="13" t="s">
        <v>158</v>
      </c>
      <c r="F27" s="23" t="n">
        <v>48.78</v>
      </c>
      <c r="G27" s="13" t="s">
        <v>190</v>
      </c>
      <c r="H27" s="24" t="n">
        <v>45803</v>
      </c>
      <c r="I27" s="25" t="s">
        <v>182</v>
      </c>
      <c r="J27" s="26" t="s">
        <v>183</v>
      </c>
    </row>
    <row r="28" customFormat="false" ht="15" hidden="false" customHeight="false" outlineLevel="0" collapsed="false">
      <c r="B28" s="13" t="s">
        <v>232</v>
      </c>
      <c r="C28" s="13" t="s">
        <v>233</v>
      </c>
      <c r="D28" s="13" t="s">
        <v>186</v>
      </c>
      <c r="E28" s="13" t="s">
        <v>180</v>
      </c>
      <c r="F28" s="23" t="n">
        <v>16.17</v>
      </c>
      <c r="G28" s="13" t="s">
        <v>181</v>
      </c>
      <c r="H28" s="24" t="n">
        <v>45658</v>
      </c>
      <c r="I28" s="25" t="s">
        <v>182</v>
      </c>
      <c r="J28" s="26" t="s">
        <v>183</v>
      </c>
    </row>
    <row r="29" customFormat="false" ht="15" hidden="false" customHeight="false" outlineLevel="0" collapsed="false">
      <c r="B29" s="13" t="s">
        <v>234</v>
      </c>
      <c r="C29" s="13" t="s">
        <v>235</v>
      </c>
      <c r="D29" s="13" t="s">
        <v>211</v>
      </c>
      <c r="E29" s="13" t="s">
        <v>158</v>
      </c>
      <c r="F29" s="23" t="n">
        <v>89.53</v>
      </c>
      <c r="G29" s="13" t="s">
        <v>190</v>
      </c>
      <c r="H29" s="24" t="n">
        <v>45658</v>
      </c>
      <c r="I29" s="25" t="s">
        <v>182</v>
      </c>
      <c r="J29" s="26" t="s">
        <v>183</v>
      </c>
    </row>
    <row r="30" customFormat="false" ht="15" hidden="false" customHeight="false" outlineLevel="0" collapsed="false">
      <c r="B30" s="13" t="s">
        <v>236</v>
      </c>
      <c r="C30" s="13" t="s">
        <v>237</v>
      </c>
      <c r="D30" s="13" t="s">
        <v>179</v>
      </c>
      <c r="E30" s="13" t="s">
        <v>180</v>
      </c>
      <c r="F30" s="23" t="n">
        <v>15.49</v>
      </c>
      <c r="G30" s="13" t="s">
        <v>181</v>
      </c>
      <c r="H30" s="24" t="n">
        <v>45915</v>
      </c>
      <c r="I30" s="25" t="s">
        <v>182</v>
      </c>
      <c r="J30" s="26" t="s">
        <v>183</v>
      </c>
    </row>
    <row r="31" customFormat="false" ht="15" hidden="false" customHeight="false" outlineLevel="0" collapsed="false">
      <c r="B31" s="13" t="s">
        <v>238</v>
      </c>
      <c r="C31" s="13" t="s">
        <v>239</v>
      </c>
      <c r="D31" s="13" t="s">
        <v>186</v>
      </c>
      <c r="E31" s="13" t="s">
        <v>180</v>
      </c>
      <c r="F31" s="23" t="n">
        <v>15.85</v>
      </c>
      <c r="G31" s="13" t="s">
        <v>181</v>
      </c>
      <c r="H31" s="24" t="n">
        <v>45706</v>
      </c>
      <c r="I31" s="25" t="s">
        <v>182</v>
      </c>
      <c r="J31" s="26" t="s">
        <v>183</v>
      </c>
    </row>
    <row r="32" customFormat="false" ht="15" hidden="false" customHeight="false" outlineLevel="0" collapsed="false">
      <c r="B32" s="13" t="s">
        <v>240</v>
      </c>
      <c r="C32" s="13" t="s">
        <v>241</v>
      </c>
      <c r="D32" s="13" t="s">
        <v>186</v>
      </c>
      <c r="E32" s="13" t="s">
        <v>180</v>
      </c>
      <c r="F32" s="23" t="n">
        <v>16.96</v>
      </c>
      <c r="G32" s="13" t="s">
        <v>181</v>
      </c>
      <c r="H32" s="24" t="n">
        <v>45882</v>
      </c>
      <c r="I32" s="25" t="s">
        <v>182</v>
      </c>
      <c r="J32" s="26" t="s">
        <v>183</v>
      </c>
    </row>
    <row r="33" customFormat="false" ht="15" hidden="false" customHeight="false" outlineLevel="0" collapsed="false">
      <c r="B33" s="13" t="s">
        <v>242</v>
      </c>
      <c r="C33" s="13" t="s">
        <v>243</v>
      </c>
      <c r="D33" s="13" t="s">
        <v>186</v>
      </c>
      <c r="E33" s="13" t="s">
        <v>180</v>
      </c>
      <c r="F33" s="23" t="n">
        <v>17.99</v>
      </c>
      <c r="G33" s="13" t="s">
        <v>181</v>
      </c>
      <c r="H33" s="24" t="n">
        <v>45658</v>
      </c>
      <c r="I33" s="25" t="s">
        <v>182</v>
      </c>
      <c r="J33" s="26" t="s">
        <v>183</v>
      </c>
    </row>
    <row r="34" customFormat="false" ht="15" hidden="false" customHeight="false" outlineLevel="0" collapsed="false">
      <c r="B34" s="13" t="s">
        <v>244</v>
      </c>
      <c r="C34" s="13" t="s">
        <v>245</v>
      </c>
      <c r="D34" s="13" t="s">
        <v>179</v>
      </c>
      <c r="E34" s="13" t="s">
        <v>180</v>
      </c>
      <c r="F34" s="23" t="n">
        <v>16.39</v>
      </c>
      <c r="G34" s="13" t="s">
        <v>181</v>
      </c>
      <c r="H34" s="24" t="n">
        <v>45843</v>
      </c>
      <c r="I34" s="25" t="s">
        <v>182</v>
      </c>
      <c r="J34" s="26" t="s">
        <v>183</v>
      </c>
    </row>
    <row r="35" customFormat="false" ht="15" hidden="false" customHeight="false" outlineLevel="0" collapsed="false">
      <c r="B35" s="13" t="s">
        <v>246</v>
      </c>
      <c r="C35" s="13" t="s">
        <v>247</v>
      </c>
      <c r="D35" s="13" t="s">
        <v>179</v>
      </c>
      <c r="E35" s="13" t="s">
        <v>180</v>
      </c>
      <c r="F35" s="23" t="n">
        <v>16.48</v>
      </c>
      <c r="G35" s="13" t="s">
        <v>181</v>
      </c>
      <c r="H35" s="24" t="n">
        <v>45658</v>
      </c>
      <c r="I35" s="25" t="s">
        <v>182</v>
      </c>
      <c r="J35" s="26" t="s">
        <v>183</v>
      </c>
    </row>
    <row r="36" customFormat="false" ht="15" hidden="false" customHeight="false" outlineLevel="0" collapsed="false">
      <c r="B36" s="13" t="s">
        <v>248</v>
      </c>
      <c r="C36" s="13" t="s">
        <v>249</v>
      </c>
      <c r="D36" s="13" t="s">
        <v>186</v>
      </c>
      <c r="E36" s="13" t="s">
        <v>180</v>
      </c>
      <c r="F36" s="23" t="n">
        <v>16.45</v>
      </c>
      <c r="G36" s="13" t="s">
        <v>181</v>
      </c>
      <c r="H36" s="24" t="n">
        <v>46008</v>
      </c>
      <c r="I36" s="25" t="s">
        <v>182</v>
      </c>
      <c r="J36" s="26" t="s">
        <v>183</v>
      </c>
    </row>
    <row r="37" customFormat="false" ht="15" hidden="false" customHeight="false" outlineLevel="0" collapsed="false">
      <c r="B37" s="13" t="s">
        <v>250</v>
      </c>
      <c r="C37" s="13" t="s">
        <v>251</v>
      </c>
      <c r="D37" s="13" t="s">
        <v>186</v>
      </c>
      <c r="E37" s="13" t="s">
        <v>180</v>
      </c>
      <c r="F37" s="23" t="n">
        <v>16.88</v>
      </c>
      <c r="G37" s="13" t="s">
        <v>181</v>
      </c>
      <c r="H37" s="24" t="n">
        <v>45952</v>
      </c>
      <c r="I37" s="25" t="s">
        <v>182</v>
      </c>
      <c r="J37" s="26" t="s">
        <v>183</v>
      </c>
    </row>
    <row r="38" customFormat="false" ht="15" hidden="false" customHeight="false" outlineLevel="0" collapsed="false">
      <c r="B38" s="13" t="s">
        <v>252</v>
      </c>
      <c r="C38" s="13" t="s">
        <v>253</v>
      </c>
      <c r="D38" s="13" t="s">
        <v>200</v>
      </c>
      <c r="E38" s="13" t="s">
        <v>158</v>
      </c>
      <c r="F38" s="23" t="n">
        <v>57.54</v>
      </c>
      <c r="G38" s="13" t="s">
        <v>190</v>
      </c>
      <c r="H38" s="24" t="n">
        <v>45658</v>
      </c>
      <c r="I38" s="25" t="s">
        <v>182</v>
      </c>
      <c r="J38" s="26" t="s">
        <v>183</v>
      </c>
    </row>
    <row r="39" customFormat="false" ht="15" hidden="false" customHeight="false" outlineLevel="0" collapsed="false">
      <c r="B39" s="13" t="s">
        <v>254</v>
      </c>
      <c r="C39" s="13" t="s">
        <v>255</v>
      </c>
      <c r="D39" s="13" t="s">
        <v>186</v>
      </c>
      <c r="E39" s="13" t="s">
        <v>180</v>
      </c>
      <c r="F39" s="23" t="n">
        <v>17.1</v>
      </c>
      <c r="G39" s="13" t="s">
        <v>181</v>
      </c>
      <c r="H39" s="24" t="n">
        <v>45658</v>
      </c>
      <c r="I39" s="25" t="s">
        <v>182</v>
      </c>
      <c r="J39" s="26" t="s">
        <v>183</v>
      </c>
    </row>
    <row r="40" customFormat="false" ht="15" hidden="false" customHeight="false" outlineLevel="0" collapsed="false">
      <c r="B40" s="13" t="s">
        <v>256</v>
      </c>
      <c r="C40" s="13" t="s">
        <v>257</v>
      </c>
      <c r="D40" s="13" t="s">
        <v>179</v>
      </c>
      <c r="E40" s="13" t="s">
        <v>180</v>
      </c>
      <c r="F40" s="23" t="n">
        <v>15.63</v>
      </c>
      <c r="G40" s="13" t="s">
        <v>181</v>
      </c>
      <c r="H40" s="24" t="n">
        <v>45959</v>
      </c>
      <c r="I40" s="25" t="s">
        <v>182</v>
      </c>
      <c r="J40" s="26" t="s">
        <v>183</v>
      </c>
    </row>
    <row r="41" customFormat="false" ht="15" hidden="false" customHeight="false" outlineLevel="0" collapsed="false">
      <c r="B41" s="13" t="s">
        <v>258</v>
      </c>
      <c r="C41" s="13" t="s">
        <v>259</v>
      </c>
      <c r="D41" s="13" t="s">
        <v>200</v>
      </c>
      <c r="E41" s="13" t="s">
        <v>158</v>
      </c>
      <c r="F41" s="23" t="n">
        <v>61.61</v>
      </c>
      <c r="G41" s="13" t="s">
        <v>190</v>
      </c>
      <c r="H41" s="24" t="n">
        <v>45733</v>
      </c>
      <c r="I41" s="25" t="s">
        <v>182</v>
      </c>
      <c r="J41" s="26" t="s">
        <v>183</v>
      </c>
    </row>
    <row r="42" customFormat="false" ht="15" hidden="false" customHeight="false" outlineLevel="0" collapsed="false">
      <c r="B42" s="13" t="s">
        <v>260</v>
      </c>
      <c r="C42" s="13" t="s">
        <v>261</v>
      </c>
      <c r="D42" s="13" t="s">
        <v>189</v>
      </c>
      <c r="E42" s="13" t="s">
        <v>158</v>
      </c>
      <c r="F42" s="23" t="n">
        <v>79.8</v>
      </c>
      <c r="G42" s="13" t="s">
        <v>190</v>
      </c>
      <c r="H42" s="24" t="n">
        <v>45658</v>
      </c>
      <c r="I42" s="25" t="s">
        <v>182</v>
      </c>
      <c r="J42" s="26" t="s">
        <v>183</v>
      </c>
    </row>
    <row r="43" customFormat="false" ht="15" hidden="false" customHeight="false" outlineLevel="0" collapsed="false">
      <c r="B43" s="13" t="s">
        <v>262</v>
      </c>
      <c r="C43" s="13" t="s">
        <v>263</v>
      </c>
      <c r="D43" s="13" t="s">
        <v>179</v>
      </c>
      <c r="E43" s="13" t="s">
        <v>180</v>
      </c>
      <c r="F43" s="23" t="n">
        <v>16.02</v>
      </c>
      <c r="G43" s="13" t="s">
        <v>181</v>
      </c>
      <c r="H43" s="24" t="n">
        <v>45658</v>
      </c>
      <c r="I43" s="24" t="n">
        <v>45801</v>
      </c>
      <c r="J43" s="27" t="s">
        <v>193</v>
      </c>
    </row>
    <row r="44" customFormat="false" ht="15" hidden="false" customHeight="false" outlineLevel="0" collapsed="false">
      <c r="B44" s="13" t="s">
        <v>264</v>
      </c>
      <c r="C44" s="13" t="s">
        <v>265</v>
      </c>
      <c r="D44" s="13" t="s">
        <v>200</v>
      </c>
      <c r="E44" s="13" t="s">
        <v>158</v>
      </c>
      <c r="F44" s="23" t="n">
        <v>55.55</v>
      </c>
      <c r="G44" s="13" t="s">
        <v>190</v>
      </c>
      <c r="H44" s="24" t="n">
        <v>45733</v>
      </c>
      <c r="I44" s="25" t="s">
        <v>182</v>
      </c>
      <c r="J44" s="26" t="s">
        <v>183</v>
      </c>
    </row>
    <row r="45" customFormat="false" ht="15" hidden="false" customHeight="false" outlineLevel="0" collapsed="false">
      <c r="B45" s="13" t="s">
        <v>266</v>
      </c>
      <c r="C45" s="13" t="s">
        <v>267</v>
      </c>
      <c r="D45" s="13" t="s">
        <v>189</v>
      </c>
      <c r="E45" s="13" t="s">
        <v>158</v>
      </c>
      <c r="F45" s="23" t="n">
        <v>75.18</v>
      </c>
      <c r="G45" s="13" t="s">
        <v>190</v>
      </c>
      <c r="H45" s="24" t="n">
        <v>45658</v>
      </c>
      <c r="I45" s="24" t="n">
        <v>45903</v>
      </c>
      <c r="J45" s="27" t="s">
        <v>193</v>
      </c>
    </row>
    <row r="47" customFormat="false" ht="15" hidden="false" customHeight="false" outlineLevel="0" collapsed="false">
      <c r="B47" s="3" t="s">
        <v>268</v>
      </c>
    </row>
    <row r="48" customFormat="false" ht="15" hidden="false" customHeight="false" outlineLevel="0" collapsed="false">
      <c r="B48" s="3" t="s">
        <v>269</v>
      </c>
      <c r="C48" s="8" t="n">
        <f aca="false">COUNTIF(J6:J45,"Active")</f>
        <v>35</v>
      </c>
    </row>
    <row r="49" customFormat="false" ht="15" hidden="false" customHeight="false" outlineLevel="0" collapsed="false">
      <c r="B49" s="3" t="s">
        <v>270</v>
      </c>
      <c r="C49" s="8" t="n">
        <f aca="false">COUNTIF(J6:J45,"Terminated")</f>
        <v>5</v>
      </c>
    </row>
    <row r="50" customFormat="false" ht="15" hidden="false" customHeight="false" outlineLevel="0" collapsed="false">
      <c r="B50" s="3" t="s">
        <v>271</v>
      </c>
      <c r="C50" s="28" t="n">
        <f aca="false">C49/((COUNTA(B6:B45)+C48)/2)</f>
        <v>0.133333333333333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F4E"/>
    <pageSetUpPr fitToPage="false"/>
  </sheetPr>
  <dimension ref="B2:J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4" min="3" style="0" width="20"/>
    <col collapsed="false" customWidth="true" hidden="false" outlineLevel="0" max="5" min="5" style="0" width="14"/>
    <col collapsed="false" customWidth="true" hidden="false" outlineLevel="0" max="6" min="6" style="0" width="16"/>
    <col collapsed="false" customWidth="true" hidden="false" outlineLevel="0" max="7" min="7" style="0" width="13"/>
    <col collapsed="false" customWidth="true" hidden="false" outlineLevel="0" max="9" min="8" style="0" width="14"/>
    <col collapsed="false" customWidth="true" hidden="false" outlineLevel="0" max="10" min="10" style="0" width="11"/>
  </cols>
  <sheetData>
    <row r="2" customFormat="false" ht="17.35" hidden="false" customHeight="false" outlineLevel="0" collapsed="false">
      <c r="B2" s="1" t="s">
        <v>9</v>
      </c>
    </row>
    <row r="3" customFormat="false" ht="15" hidden="false" customHeight="false" outlineLevel="0" collapsed="false">
      <c r="B3" s="2" t="s">
        <v>272</v>
      </c>
    </row>
    <row r="5" customFormat="false" ht="23.85" hidden="false" customHeight="false" outlineLevel="0" collapsed="false">
      <c r="B5" s="11" t="s">
        <v>273</v>
      </c>
      <c r="C5" s="11" t="s">
        <v>274</v>
      </c>
      <c r="D5" s="11" t="s">
        <v>149</v>
      </c>
      <c r="E5" s="11" t="s">
        <v>275</v>
      </c>
      <c r="F5" s="11" t="s">
        <v>276</v>
      </c>
      <c r="G5" s="11" t="s">
        <v>277</v>
      </c>
      <c r="H5" s="11" t="s">
        <v>278</v>
      </c>
      <c r="I5" s="11" t="s">
        <v>279</v>
      </c>
      <c r="J5" s="11" t="s">
        <v>176</v>
      </c>
    </row>
    <row r="6" customFormat="false" ht="15" hidden="false" customHeight="false" outlineLevel="0" collapsed="false">
      <c r="B6" s="13" t="s">
        <v>280</v>
      </c>
      <c r="C6" s="13" t="s">
        <v>281</v>
      </c>
      <c r="D6" s="13" t="s">
        <v>157</v>
      </c>
      <c r="E6" s="25" t="n">
        <v>3</v>
      </c>
      <c r="F6" s="25" t="n">
        <v>3.6</v>
      </c>
      <c r="G6" s="13" t="s">
        <v>282</v>
      </c>
      <c r="H6" s="24" t="n">
        <v>45658</v>
      </c>
      <c r="I6" s="24" t="n">
        <v>45891</v>
      </c>
      <c r="J6" s="27" t="s">
        <v>283</v>
      </c>
    </row>
    <row r="7" customFormat="false" ht="15" hidden="false" customHeight="false" outlineLevel="0" collapsed="false">
      <c r="B7" s="13" t="s">
        <v>284</v>
      </c>
      <c r="C7" s="13" t="s">
        <v>285</v>
      </c>
      <c r="D7" s="13" t="s">
        <v>157</v>
      </c>
      <c r="E7" s="25" t="n">
        <v>1</v>
      </c>
      <c r="F7" s="25" t="n">
        <v>1.3</v>
      </c>
      <c r="G7" s="13" t="s">
        <v>282</v>
      </c>
      <c r="H7" s="24" t="n">
        <v>45995</v>
      </c>
      <c r="I7" s="25" t="s">
        <v>182</v>
      </c>
      <c r="J7" s="26" t="s">
        <v>183</v>
      </c>
    </row>
    <row r="8" customFormat="false" ht="15" hidden="false" customHeight="false" outlineLevel="0" collapsed="false">
      <c r="B8" s="13" t="s">
        <v>286</v>
      </c>
      <c r="C8" s="13" t="s">
        <v>287</v>
      </c>
      <c r="D8" s="13" t="s">
        <v>157</v>
      </c>
      <c r="E8" s="25" t="n">
        <v>1</v>
      </c>
      <c r="F8" s="25" t="n">
        <v>1.2</v>
      </c>
      <c r="G8" s="13" t="s">
        <v>282</v>
      </c>
      <c r="H8" s="24" t="n">
        <v>45658</v>
      </c>
      <c r="I8" s="24" t="n">
        <v>45820</v>
      </c>
      <c r="J8" s="27" t="s">
        <v>283</v>
      </c>
    </row>
    <row r="9" customFormat="false" ht="15" hidden="false" customHeight="false" outlineLevel="0" collapsed="false">
      <c r="B9" s="13" t="s">
        <v>288</v>
      </c>
      <c r="C9" s="13" t="s">
        <v>289</v>
      </c>
      <c r="D9" s="13" t="s">
        <v>156</v>
      </c>
      <c r="E9" s="25" t="n">
        <v>28</v>
      </c>
      <c r="F9" s="25" t="n">
        <v>30</v>
      </c>
      <c r="G9" s="13" t="s">
        <v>290</v>
      </c>
      <c r="H9" s="24" t="n">
        <v>45658</v>
      </c>
      <c r="I9" s="25" t="s">
        <v>182</v>
      </c>
      <c r="J9" s="26" t="s">
        <v>183</v>
      </c>
    </row>
    <row r="10" customFormat="false" ht="15" hidden="false" customHeight="false" outlineLevel="0" collapsed="false">
      <c r="B10" s="13" t="s">
        <v>291</v>
      </c>
      <c r="C10" s="13" t="s">
        <v>292</v>
      </c>
      <c r="D10" s="13" t="s">
        <v>154</v>
      </c>
      <c r="E10" s="25" t="n">
        <v>14</v>
      </c>
      <c r="F10" s="25" t="n">
        <v>16</v>
      </c>
      <c r="G10" s="13" t="s">
        <v>290</v>
      </c>
      <c r="H10" s="24" t="n">
        <v>45658</v>
      </c>
      <c r="I10" s="25" t="s">
        <v>182</v>
      </c>
      <c r="J10" s="26" t="s">
        <v>183</v>
      </c>
    </row>
    <row r="11" customFormat="false" ht="15" hidden="false" customHeight="false" outlineLevel="0" collapsed="false">
      <c r="B11" s="13" t="s">
        <v>293</v>
      </c>
      <c r="C11" s="13" t="s">
        <v>294</v>
      </c>
      <c r="D11" s="13" t="s">
        <v>157</v>
      </c>
      <c r="E11" s="25" t="n">
        <v>2</v>
      </c>
      <c r="F11" s="25" t="n">
        <v>2.5</v>
      </c>
      <c r="G11" s="13" t="s">
        <v>282</v>
      </c>
      <c r="H11" s="24" t="n">
        <v>45903</v>
      </c>
      <c r="I11" s="25" t="s">
        <v>182</v>
      </c>
      <c r="J11" s="26" t="s">
        <v>183</v>
      </c>
    </row>
    <row r="12" customFormat="false" ht="15" hidden="false" customHeight="false" outlineLevel="0" collapsed="false">
      <c r="B12" s="13" t="s">
        <v>295</v>
      </c>
      <c r="C12" s="13" t="s">
        <v>296</v>
      </c>
      <c r="D12" s="13" t="s">
        <v>154</v>
      </c>
      <c r="E12" s="25" t="n">
        <v>12</v>
      </c>
      <c r="F12" s="25" t="n">
        <v>14.5</v>
      </c>
      <c r="G12" s="13" t="s">
        <v>290</v>
      </c>
      <c r="H12" s="24" t="n">
        <v>45873</v>
      </c>
      <c r="I12" s="25" t="s">
        <v>182</v>
      </c>
      <c r="J12" s="26" t="s">
        <v>183</v>
      </c>
    </row>
    <row r="13" customFormat="false" ht="15" hidden="false" customHeight="false" outlineLevel="0" collapsed="false">
      <c r="B13" s="13" t="s">
        <v>297</v>
      </c>
      <c r="C13" s="13" t="s">
        <v>298</v>
      </c>
      <c r="D13" s="13" t="s">
        <v>156</v>
      </c>
      <c r="E13" s="25" t="n">
        <v>6</v>
      </c>
      <c r="F13" s="25" t="n">
        <v>7.1</v>
      </c>
      <c r="G13" s="13" t="s">
        <v>290</v>
      </c>
      <c r="H13" s="24" t="n">
        <v>45658</v>
      </c>
      <c r="I13" s="25" t="s">
        <v>182</v>
      </c>
      <c r="J13" s="26" t="s">
        <v>183</v>
      </c>
    </row>
    <row r="14" customFormat="false" ht="15" hidden="false" customHeight="false" outlineLevel="0" collapsed="false">
      <c r="B14" s="13" t="s">
        <v>299</v>
      </c>
      <c r="C14" s="13" t="s">
        <v>300</v>
      </c>
      <c r="D14" s="13" t="s">
        <v>154</v>
      </c>
      <c r="E14" s="25" t="n">
        <v>6</v>
      </c>
      <c r="F14" s="25" t="n">
        <v>7.5</v>
      </c>
      <c r="G14" s="13" t="s">
        <v>290</v>
      </c>
      <c r="H14" s="24" t="n">
        <v>45958</v>
      </c>
      <c r="I14" s="25" t="s">
        <v>182</v>
      </c>
      <c r="J14" s="26" t="s">
        <v>183</v>
      </c>
    </row>
    <row r="15" customFormat="false" ht="15" hidden="false" customHeight="false" outlineLevel="0" collapsed="false">
      <c r="B15" s="13" t="s">
        <v>301</v>
      </c>
      <c r="C15" s="13" t="s">
        <v>302</v>
      </c>
      <c r="D15" s="13" t="s">
        <v>157</v>
      </c>
      <c r="E15" s="25" t="n">
        <v>2</v>
      </c>
      <c r="F15" s="25" t="n">
        <v>2.3</v>
      </c>
      <c r="G15" s="13" t="s">
        <v>282</v>
      </c>
      <c r="H15" s="24" t="n">
        <v>45658</v>
      </c>
      <c r="I15" s="25" t="s">
        <v>182</v>
      </c>
      <c r="J15" s="26" t="s">
        <v>183</v>
      </c>
    </row>
    <row r="16" customFormat="false" ht="15" hidden="false" customHeight="false" outlineLevel="0" collapsed="false">
      <c r="B16" s="13" t="s">
        <v>303</v>
      </c>
      <c r="C16" s="13" t="s">
        <v>304</v>
      </c>
      <c r="D16" s="13" t="s">
        <v>154</v>
      </c>
      <c r="E16" s="25" t="n">
        <v>8</v>
      </c>
      <c r="F16" s="25" t="n">
        <v>9.8</v>
      </c>
      <c r="G16" s="13" t="s">
        <v>290</v>
      </c>
      <c r="H16" s="24" t="n">
        <v>45936</v>
      </c>
      <c r="I16" s="25" t="s">
        <v>182</v>
      </c>
      <c r="J16" s="26" t="s">
        <v>183</v>
      </c>
    </row>
    <row r="17" customFormat="false" ht="15" hidden="false" customHeight="false" outlineLevel="0" collapsed="false">
      <c r="B17" s="13" t="s">
        <v>305</v>
      </c>
      <c r="C17" s="13" t="s">
        <v>306</v>
      </c>
      <c r="D17" s="13" t="s">
        <v>154</v>
      </c>
      <c r="E17" s="25" t="n">
        <v>12</v>
      </c>
      <c r="F17" s="25" t="n">
        <v>12.6</v>
      </c>
      <c r="G17" s="13" t="s">
        <v>290</v>
      </c>
      <c r="H17" s="24" t="n">
        <v>45658</v>
      </c>
      <c r="I17" s="25" t="s">
        <v>182</v>
      </c>
      <c r="J17" s="26" t="s">
        <v>183</v>
      </c>
    </row>
    <row r="18" customFormat="false" ht="15" hidden="false" customHeight="false" outlineLevel="0" collapsed="false">
      <c r="B18" s="13" t="s">
        <v>307</v>
      </c>
      <c r="C18" s="13" t="s">
        <v>308</v>
      </c>
      <c r="D18" s="13" t="s">
        <v>157</v>
      </c>
      <c r="E18" s="25" t="n">
        <v>3</v>
      </c>
      <c r="F18" s="25" t="n">
        <v>3.6</v>
      </c>
      <c r="G18" s="13" t="s">
        <v>282</v>
      </c>
      <c r="H18" s="24" t="n">
        <v>45740</v>
      </c>
      <c r="I18" s="25" t="s">
        <v>182</v>
      </c>
      <c r="J18" s="26" t="s">
        <v>183</v>
      </c>
    </row>
    <row r="19" customFormat="false" ht="15" hidden="false" customHeight="false" outlineLevel="0" collapsed="false">
      <c r="B19" s="13" t="s">
        <v>309</v>
      </c>
      <c r="C19" s="13" t="s">
        <v>310</v>
      </c>
      <c r="D19" s="13" t="s">
        <v>159</v>
      </c>
      <c r="E19" s="25" t="n">
        <v>3</v>
      </c>
      <c r="F19" s="25" t="n">
        <v>3.4</v>
      </c>
      <c r="G19" s="13" t="s">
        <v>282</v>
      </c>
      <c r="H19" s="24" t="n">
        <v>45658</v>
      </c>
      <c r="I19" s="25" t="s">
        <v>182</v>
      </c>
      <c r="J19" s="26" t="s">
        <v>183</v>
      </c>
    </row>
    <row r="20" customFormat="false" ht="15" hidden="false" customHeight="false" outlineLevel="0" collapsed="false">
      <c r="B20" s="13" t="s">
        <v>311</v>
      </c>
      <c r="C20" s="13" t="s">
        <v>312</v>
      </c>
      <c r="D20" s="13" t="s">
        <v>154</v>
      </c>
      <c r="E20" s="25" t="n">
        <v>6</v>
      </c>
      <c r="F20" s="25" t="n">
        <v>7</v>
      </c>
      <c r="G20" s="13" t="s">
        <v>290</v>
      </c>
      <c r="H20" s="24" t="n">
        <v>45658</v>
      </c>
      <c r="I20" s="25" t="s">
        <v>182</v>
      </c>
      <c r="J20" s="26" t="s">
        <v>183</v>
      </c>
    </row>
    <row r="21" customFormat="false" ht="15" hidden="false" customHeight="false" outlineLevel="0" collapsed="false">
      <c r="B21" s="13" t="s">
        <v>313</v>
      </c>
      <c r="C21" s="13" t="s">
        <v>314</v>
      </c>
      <c r="D21" s="13" t="s">
        <v>156</v>
      </c>
      <c r="E21" s="25" t="n">
        <v>20</v>
      </c>
      <c r="F21" s="25" t="n">
        <v>22.3</v>
      </c>
      <c r="G21" s="13" t="s">
        <v>290</v>
      </c>
      <c r="H21" s="24" t="n">
        <v>45658</v>
      </c>
      <c r="I21" s="25" t="s">
        <v>182</v>
      </c>
      <c r="J21" s="26" t="s">
        <v>183</v>
      </c>
    </row>
    <row r="22" customFormat="false" ht="15" hidden="false" customHeight="false" outlineLevel="0" collapsed="false">
      <c r="B22" s="13" t="s">
        <v>315</v>
      </c>
      <c r="C22" s="13" t="s">
        <v>316</v>
      </c>
      <c r="D22" s="13" t="s">
        <v>159</v>
      </c>
      <c r="E22" s="25" t="n">
        <v>3</v>
      </c>
      <c r="F22" s="25" t="n">
        <v>3.8</v>
      </c>
      <c r="G22" s="13" t="s">
        <v>282</v>
      </c>
      <c r="H22" s="24" t="n">
        <v>45875</v>
      </c>
      <c r="I22" s="25" t="s">
        <v>182</v>
      </c>
      <c r="J22" s="26" t="s">
        <v>183</v>
      </c>
    </row>
    <row r="23" customFormat="false" ht="15" hidden="false" customHeight="false" outlineLevel="0" collapsed="false">
      <c r="B23" s="13" t="s">
        <v>317</v>
      </c>
      <c r="C23" s="13" t="s">
        <v>318</v>
      </c>
      <c r="D23" s="13" t="s">
        <v>156</v>
      </c>
      <c r="E23" s="25" t="n">
        <v>6</v>
      </c>
      <c r="F23" s="25" t="n">
        <v>7.5</v>
      </c>
      <c r="G23" s="13" t="s">
        <v>290</v>
      </c>
      <c r="H23" s="24" t="n">
        <v>45658</v>
      </c>
      <c r="I23" s="25" t="s">
        <v>182</v>
      </c>
      <c r="J23" s="26" t="s">
        <v>183</v>
      </c>
    </row>
    <row r="24" customFormat="false" ht="15" hidden="false" customHeight="false" outlineLevel="0" collapsed="false">
      <c r="B24" s="13" t="s">
        <v>319</v>
      </c>
      <c r="C24" s="13" t="s">
        <v>320</v>
      </c>
      <c r="D24" s="13" t="s">
        <v>157</v>
      </c>
      <c r="E24" s="25" t="n">
        <v>2</v>
      </c>
      <c r="F24" s="25" t="n">
        <v>2.2</v>
      </c>
      <c r="G24" s="13" t="s">
        <v>282</v>
      </c>
      <c r="H24" s="24" t="n">
        <v>45658</v>
      </c>
      <c r="I24" s="25" t="s">
        <v>182</v>
      </c>
      <c r="J24" s="26" t="s">
        <v>183</v>
      </c>
    </row>
    <row r="25" customFormat="false" ht="15" hidden="false" customHeight="false" outlineLevel="0" collapsed="false">
      <c r="B25" s="13" t="s">
        <v>321</v>
      </c>
      <c r="C25" s="13" t="s">
        <v>322</v>
      </c>
      <c r="D25" s="13" t="s">
        <v>154</v>
      </c>
      <c r="E25" s="25" t="n">
        <v>28</v>
      </c>
      <c r="F25" s="25" t="n">
        <v>30.7</v>
      </c>
      <c r="G25" s="13" t="s">
        <v>290</v>
      </c>
      <c r="H25" s="24" t="n">
        <v>45658</v>
      </c>
      <c r="I25" s="25" t="s">
        <v>182</v>
      </c>
      <c r="J25" s="26" t="s">
        <v>183</v>
      </c>
    </row>
    <row r="26" customFormat="false" ht="15" hidden="false" customHeight="false" outlineLevel="0" collapsed="false">
      <c r="B26" s="13" t="s">
        <v>323</v>
      </c>
      <c r="C26" s="13" t="s">
        <v>324</v>
      </c>
      <c r="D26" s="13" t="s">
        <v>159</v>
      </c>
      <c r="E26" s="25" t="n">
        <v>2</v>
      </c>
      <c r="F26" s="25" t="n">
        <v>2.5</v>
      </c>
      <c r="G26" s="13" t="s">
        <v>282</v>
      </c>
      <c r="H26" s="24" t="n">
        <v>45658</v>
      </c>
      <c r="I26" s="25" t="s">
        <v>182</v>
      </c>
      <c r="J26" s="26" t="s">
        <v>183</v>
      </c>
    </row>
    <row r="27" customFormat="false" ht="15" hidden="false" customHeight="false" outlineLevel="0" collapsed="false">
      <c r="B27" s="13" t="s">
        <v>325</v>
      </c>
      <c r="C27" s="13" t="s">
        <v>326</v>
      </c>
      <c r="D27" s="13" t="s">
        <v>154</v>
      </c>
      <c r="E27" s="25" t="n">
        <v>6</v>
      </c>
      <c r="F27" s="25" t="n">
        <v>6.8</v>
      </c>
      <c r="G27" s="13" t="s">
        <v>290</v>
      </c>
      <c r="H27" s="24" t="n">
        <v>45658</v>
      </c>
      <c r="I27" s="25" t="s">
        <v>182</v>
      </c>
      <c r="J27" s="26" t="s">
        <v>183</v>
      </c>
    </row>
    <row r="28" customFormat="false" ht="15" hidden="false" customHeight="false" outlineLevel="0" collapsed="false">
      <c r="B28" s="13" t="s">
        <v>327</v>
      </c>
      <c r="C28" s="13" t="s">
        <v>328</v>
      </c>
      <c r="D28" s="13" t="s">
        <v>157</v>
      </c>
      <c r="E28" s="25" t="n">
        <v>2</v>
      </c>
      <c r="F28" s="25" t="n">
        <v>2.8</v>
      </c>
      <c r="G28" s="13" t="s">
        <v>282</v>
      </c>
      <c r="H28" s="24" t="n">
        <v>45658</v>
      </c>
      <c r="I28" s="25" t="s">
        <v>182</v>
      </c>
      <c r="J28" s="26" t="s">
        <v>183</v>
      </c>
    </row>
    <row r="29" customFormat="false" ht="15" hidden="false" customHeight="false" outlineLevel="0" collapsed="false">
      <c r="B29" s="13" t="s">
        <v>329</v>
      </c>
      <c r="C29" s="13" t="s">
        <v>330</v>
      </c>
      <c r="D29" s="13" t="s">
        <v>156</v>
      </c>
      <c r="E29" s="25" t="n">
        <v>20</v>
      </c>
      <c r="F29" s="25" t="n">
        <v>22.3</v>
      </c>
      <c r="G29" s="13" t="s">
        <v>290</v>
      </c>
      <c r="H29" s="24" t="n">
        <v>45658</v>
      </c>
      <c r="I29" s="25" t="s">
        <v>182</v>
      </c>
      <c r="J29" s="26" t="s">
        <v>183</v>
      </c>
    </row>
    <row r="30" customFormat="false" ht="15" hidden="false" customHeight="false" outlineLevel="0" collapsed="false">
      <c r="B30" s="13" t="s">
        <v>331</v>
      </c>
      <c r="C30" s="13" t="s">
        <v>332</v>
      </c>
      <c r="D30" s="13" t="s">
        <v>156</v>
      </c>
      <c r="E30" s="25" t="n">
        <v>8</v>
      </c>
      <c r="F30" s="25" t="n">
        <v>9.5</v>
      </c>
      <c r="G30" s="13" t="s">
        <v>290</v>
      </c>
      <c r="H30" s="24" t="n">
        <v>45658</v>
      </c>
      <c r="I30" s="24" t="n">
        <v>45991</v>
      </c>
      <c r="J30" s="27" t="s">
        <v>283</v>
      </c>
    </row>
    <row r="31" customFormat="false" ht="15" hidden="false" customHeight="false" outlineLevel="0" collapsed="false">
      <c r="B31" s="13" t="s">
        <v>333</v>
      </c>
      <c r="C31" s="13" t="s">
        <v>334</v>
      </c>
      <c r="D31" s="13" t="s">
        <v>154</v>
      </c>
      <c r="E31" s="25" t="n">
        <v>10</v>
      </c>
      <c r="F31" s="25" t="n">
        <v>12.4</v>
      </c>
      <c r="G31" s="13" t="s">
        <v>290</v>
      </c>
      <c r="H31" s="24" t="n">
        <v>45931</v>
      </c>
      <c r="I31" s="25" t="s">
        <v>182</v>
      </c>
      <c r="J31" s="26" t="s">
        <v>183</v>
      </c>
    </row>
    <row r="32" customFormat="false" ht="15" hidden="false" customHeight="false" outlineLevel="0" collapsed="false">
      <c r="B32" s="13" t="s">
        <v>335</v>
      </c>
      <c r="C32" s="13" t="s">
        <v>336</v>
      </c>
      <c r="D32" s="13" t="s">
        <v>154</v>
      </c>
      <c r="E32" s="25" t="n">
        <v>12</v>
      </c>
      <c r="F32" s="25" t="n">
        <v>14.1</v>
      </c>
      <c r="G32" s="13" t="s">
        <v>290</v>
      </c>
      <c r="H32" s="24" t="n">
        <v>45658</v>
      </c>
      <c r="I32" s="25" t="s">
        <v>182</v>
      </c>
      <c r="J32" s="26" t="s">
        <v>183</v>
      </c>
    </row>
    <row r="33" customFormat="false" ht="15" hidden="false" customHeight="false" outlineLevel="0" collapsed="false">
      <c r="B33" s="13" t="s">
        <v>337</v>
      </c>
      <c r="C33" s="13" t="s">
        <v>338</v>
      </c>
      <c r="D33" s="13" t="s">
        <v>154</v>
      </c>
      <c r="E33" s="25" t="n">
        <v>6</v>
      </c>
      <c r="F33" s="25" t="n">
        <v>6.4</v>
      </c>
      <c r="G33" s="13" t="s">
        <v>290</v>
      </c>
      <c r="H33" s="24" t="n">
        <v>45658</v>
      </c>
      <c r="I33" s="24" t="n">
        <v>45889</v>
      </c>
      <c r="J33" s="27" t="s">
        <v>283</v>
      </c>
    </row>
    <row r="34" customFormat="false" ht="15" hidden="false" customHeight="false" outlineLevel="0" collapsed="false">
      <c r="B34" s="13" t="s">
        <v>339</v>
      </c>
      <c r="C34" s="13" t="s">
        <v>340</v>
      </c>
      <c r="D34" s="13" t="s">
        <v>154</v>
      </c>
      <c r="E34" s="25" t="n">
        <v>10</v>
      </c>
      <c r="F34" s="25" t="n">
        <v>10.8</v>
      </c>
      <c r="G34" s="13" t="s">
        <v>290</v>
      </c>
      <c r="H34" s="24" t="n">
        <v>45658</v>
      </c>
      <c r="I34" s="25" t="s">
        <v>182</v>
      </c>
      <c r="J34" s="26" t="s">
        <v>183</v>
      </c>
    </row>
    <row r="35" customFormat="false" ht="15" hidden="false" customHeight="false" outlineLevel="0" collapsed="false">
      <c r="B35" s="13" t="s">
        <v>341</v>
      </c>
      <c r="C35" s="13" t="s">
        <v>342</v>
      </c>
      <c r="D35" s="13" t="s">
        <v>156</v>
      </c>
      <c r="E35" s="25" t="n">
        <v>6</v>
      </c>
      <c r="F35" s="25" t="n">
        <v>7.4</v>
      </c>
      <c r="G35" s="13" t="s">
        <v>290</v>
      </c>
      <c r="H35" s="24" t="n">
        <v>45658</v>
      </c>
      <c r="I35" s="25" t="s">
        <v>182</v>
      </c>
      <c r="J35" s="26" t="s">
        <v>183</v>
      </c>
    </row>
    <row r="36" customFormat="false" ht="15" hidden="false" customHeight="false" outlineLevel="0" collapsed="false">
      <c r="B36" s="13" t="s">
        <v>343</v>
      </c>
      <c r="C36" s="13" t="s">
        <v>344</v>
      </c>
      <c r="D36" s="13" t="s">
        <v>154</v>
      </c>
      <c r="E36" s="25" t="n">
        <v>8</v>
      </c>
      <c r="F36" s="25" t="n">
        <v>9.1</v>
      </c>
      <c r="G36" s="13" t="s">
        <v>290</v>
      </c>
      <c r="H36" s="24" t="n">
        <v>45658</v>
      </c>
      <c r="I36" s="25" t="s">
        <v>182</v>
      </c>
      <c r="J36" s="26" t="s">
        <v>183</v>
      </c>
    </row>
    <row r="37" customFormat="false" ht="15" hidden="false" customHeight="false" outlineLevel="0" collapsed="false">
      <c r="B37" s="13" t="s">
        <v>345</v>
      </c>
      <c r="C37" s="13" t="s">
        <v>346</v>
      </c>
      <c r="D37" s="13" t="s">
        <v>159</v>
      </c>
      <c r="E37" s="25" t="n">
        <v>2</v>
      </c>
      <c r="F37" s="25" t="n">
        <v>2.6</v>
      </c>
      <c r="G37" s="13" t="s">
        <v>282</v>
      </c>
      <c r="H37" s="24" t="n">
        <v>46012</v>
      </c>
      <c r="I37" s="25" t="s">
        <v>182</v>
      </c>
      <c r="J37" s="26" t="s">
        <v>183</v>
      </c>
    </row>
    <row r="38" customFormat="false" ht="15" hidden="false" customHeight="false" outlineLevel="0" collapsed="false">
      <c r="B38" s="13" t="s">
        <v>347</v>
      </c>
      <c r="C38" s="13" t="s">
        <v>348</v>
      </c>
      <c r="D38" s="13" t="s">
        <v>154</v>
      </c>
      <c r="E38" s="25" t="n">
        <v>14</v>
      </c>
      <c r="F38" s="25" t="n">
        <v>14.7</v>
      </c>
      <c r="G38" s="13" t="s">
        <v>290</v>
      </c>
      <c r="H38" s="24" t="n">
        <v>45848</v>
      </c>
      <c r="I38" s="24" t="n">
        <v>45983</v>
      </c>
      <c r="J38" s="27" t="s">
        <v>283</v>
      </c>
    </row>
    <row r="39" customFormat="false" ht="15" hidden="false" customHeight="false" outlineLevel="0" collapsed="false">
      <c r="B39" s="13" t="s">
        <v>349</v>
      </c>
      <c r="C39" s="13" t="s">
        <v>350</v>
      </c>
      <c r="D39" s="13" t="s">
        <v>154</v>
      </c>
      <c r="E39" s="25" t="n">
        <v>20</v>
      </c>
      <c r="F39" s="25" t="n">
        <v>21.4</v>
      </c>
      <c r="G39" s="13" t="s">
        <v>290</v>
      </c>
      <c r="H39" s="24" t="n">
        <v>45909</v>
      </c>
      <c r="I39" s="25" t="s">
        <v>182</v>
      </c>
      <c r="J39" s="26" t="s">
        <v>183</v>
      </c>
    </row>
    <row r="40" customFormat="false" ht="15" hidden="false" customHeight="false" outlineLevel="0" collapsed="false">
      <c r="B40" s="13" t="s">
        <v>351</v>
      </c>
      <c r="C40" s="13" t="s">
        <v>352</v>
      </c>
      <c r="D40" s="13" t="s">
        <v>154</v>
      </c>
      <c r="E40" s="25" t="n">
        <v>6</v>
      </c>
      <c r="F40" s="25" t="n">
        <v>7.4</v>
      </c>
      <c r="G40" s="13" t="s">
        <v>290</v>
      </c>
      <c r="H40" s="24" t="n">
        <v>45752</v>
      </c>
      <c r="I40" s="25" t="s">
        <v>182</v>
      </c>
      <c r="J40" s="26" t="s">
        <v>183</v>
      </c>
    </row>
    <row r="41" customFormat="false" ht="15" hidden="false" customHeight="false" outlineLevel="0" collapsed="false">
      <c r="B41" s="13" t="s">
        <v>353</v>
      </c>
      <c r="C41" s="13" t="s">
        <v>354</v>
      </c>
      <c r="D41" s="13" t="s">
        <v>154</v>
      </c>
      <c r="E41" s="25" t="n">
        <v>10</v>
      </c>
      <c r="F41" s="25" t="n">
        <v>11.1</v>
      </c>
      <c r="G41" s="13" t="s">
        <v>290</v>
      </c>
      <c r="H41" s="24" t="n">
        <v>45658</v>
      </c>
      <c r="I41" s="25" t="s">
        <v>182</v>
      </c>
      <c r="J41" s="26" t="s">
        <v>183</v>
      </c>
    </row>
    <row r="42" customFormat="false" ht="15" hidden="false" customHeight="false" outlineLevel="0" collapsed="false">
      <c r="B42" s="13" t="s">
        <v>355</v>
      </c>
      <c r="C42" s="13" t="s">
        <v>356</v>
      </c>
      <c r="D42" s="13" t="s">
        <v>154</v>
      </c>
      <c r="E42" s="25" t="n">
        <v>10</v>
      </c>
      <c r="F42" s="25" t="n">
        <v>10.9</v>
      </c>
      <c r="G42" s="13" t="s">
        <v>290</v>
      </c>
      <c r="H42" s="24" t="n">
        <v>45658</v>
      </c>
      <c r="I42" s="25" t="s">
        <v>182</v>
      </c>
      <c r="J42" s="26" t="s">
        <v>183</v>
      </c>
    </row>
    <row r="43" customFormat="false" ht="15" hidden="false" customHeight="false" outlineLevel="0" collapsed="false">
      <c r="B43" s="13" t="s">
        <v>357</v>
      </c>
      <c r="C43" s="13" t="s">
        <v>358</v>
      </c>
      <c r="D43" s="13" t="s">
        <v>154</v>
      </c>
      <c r="E43" s="25" t="n">
        <v>10</v>
      </c>
      <c r="F43" s="25" t="n">
        <v>11.5</v>
      </c>
      <c r="G43" s="13" t="s">
        <v>290</v>
      </c>
      <c r="H43" s="24" t="n">
        <v>45658</v>
      </c>
      <c r="I43" s="25" t="s">
        <v>182</v>
      </c>
      <c r="J43" s="26" t="s">
        <v>183</v>
      </c>
    </row>
    <row r="44" customFormat="false" ht="15" hidden="false" customHeight="false" outlineLevel="0" collapsed="false">
      <c r="B44" s="13" t="s">
        <v>359</v>
      </c>
      <c r="C44" s="13" t="s">
        <v>360</v>
      </c>
      <c r="D44" s="13" t="s">
        <v>156</v>
      </c>
      <c r="E44" s="25" t="n">
        <v>28</v>
      </c>
      <c r="F44" s="25" t="n">
        <v>29.7</v>
      </c>
      <c r="G44" s="13" t="s">
        <v>290</v>
      </c>
      <c r="H44" s="24" t="n">
        <v>45658</v>
      </c>
      <c r="I44" s="25" t="s">
        <v>182</v>
      </c>
      <c r="J44" s="26" t="s">
        <v>183</v>
      </c>
    </row>
    <row r="45" customFormat="false" ht="15" hidden="false" customHeight="false" outlineLevel="0" collapsed="false">
      <c r="B45" s="13" t="s">
        <v>361</v>
      </c>
      <c r="C45" s="13" t="s">
        <v>362</v>
      </c>
      <c r="D45" s="13" t="s">
        <v>157</v>
      </c>
      <c r="E45" s="25" t="n">
        <v>2</v>
      </c>
      <c r="F45" s="25" t="n">
        <v>2.2</v>
      </c>
      <c r="G45" s="13" t="s">
        <v>282</v>
      </c>
      <c r="H45" s="24" t="n">
        <v>45658</v>
      </c>
      <c r="I45" s="25" t="s">
        <v>182</v>
      </c>
      <c r="J45" s="26" t="s">
        <v>183</v>
      </c>
    </row>
    <row r="46" customFormat="false" ht="15" hidden="false" customHeight="false" outlineLevel="0" collapsed="false">
      <c r="B46" s="13" t="s">
        <v>363</v>
      </c>
      <c r="C46" s="13" t="s">
        <v>364</v>
      </c>
      <c r="D46" s="13" t="s">
        <v>156</v>
      </c>
      <c r="E46" s="25" t="n">
        <v>8</v>
      </c>
      <c r="F46" s="25" t="n">
        <v>9.4</v>
      </c>
      <c r="G46" s="13" t="s">
        <v>290</v>
      </c>
      <c r="H46" s="24" t="n">
        <v>45658</v>
      </c>
      <c r="I46" s="25" t="s">
        <v>182</v>
      </c>
      <c r="J46" s="26" t="s">
        <v>183</v>
      </c>
    </row>
    <row r="47" customFormat="false" ht="15" hidden="false" customHeight="false" outlineLevel="0" collapsed="false">
      <c r="B47" s="13" t="s">
        <v>365</v>
      </c>
      <c r="C47" s="13" t="s">
        <v>366</v>
      </c>
      <c r="D47" s="13" t="s">
        <v>154</v>
      </c>
      <c r="E47" s="25" t="n">
        <v>20</v>
      </c>
      <c r="F47" s="25" t="n">
        <v>22.8</v>
      </c>
      <c r="G47" s="13" t="s">
        <v>290</v>
      </c>
      <c r="H47" s="24" t="n">
        <v>45765</v>
      </c>
      <c r="I47" s="25" t="s">
        <v>182</v>
      </c>
      <c r="J47" s="26" t="s">
        <v>183</v>
      </c>
    </row>
    <row r="48" customFormat="false" ht="15" hidden="false" customHeight="false" outlineLevel="0" collapsed="false">
      <c r="B48" s="13" t="s">
        <v>367</v>
      </c>
      <c r="C48" s="13" t="s">
        <v>368</v>
      </c>
      <c r="D48" s="13" t="s">
        <v>156</v>
      </c>
      <c r="E48" s="25" t="n">
        <v>6</v>
      </c>
      <c r="F48" s="25" t="n">
        <v>6.4</v>
      </c>
      <c r="G48" s="13" t="s">
        <v>290</v>
      </c>
      <c r="H48" s="24" t="n">
        <v>45984</v>
      </c>
      <c r="I48" s="25" t="s">
        <v>182</v>
      </c>
      <c r="J48" s="26" t="s">
        <v>183</v>
      </c>
    </row>
    <row r="49" customFormat="false" ht="15" hidden="false" customHeight="false" outlineLevel="0" collapsed="false">
      <c r="B49" s="13" t="s">
        <v>369</v>
      </c>
      <c r="C49" s="13" t="s">
        <v>370</v>
      </c>
      <c r="D49" s="13" t="s">
        <v>159</v>
      </c>
      <c r="E49" s="25" t="n">
        <v>2</v>
      </c>
      <c r="F49" s="25" t="n">
        <v>2.5</v>
      </c>
      <c r="G49" s="13" t="s">
        <v>282</v>
      </c>
      <c r="H49" s="24" t="n">
        <v>45857</v>
      </c>
      <c r="I49" s="25" t="s">
        <v>182</v>
      </c>
      <c r="J49" s="26" t="s">
        <v>183</v>
      </c>
    </row>
    <row r="50" customFormat="false" ht="15" hidden="false" customHeight="false" outlineLevel="0" collapsed="false">
      <c r="B50" s="13" t="s">
        <v>371</v>
      </c>
      <c r="C50" s="13" t="s">
        <v>372</v>
      </c>
      <c r="D50" s="13" t="s">
        <v>154</v>
      </c>
      <c r="E50" s="25" t="n">
        <v>14</v>
      </c>
      <c r="F50" s="25" t="n">
        <v>15.1</v>
      </c>
      <c r="G50" s="13" t="s">
        <v>290</v>
      </c>
      <c r="H50" s="24" t="n">
        <v>45658</v>
      </c>
      <c r="I50" s="25" t="s">
        <v>182</v>
      </c>
      <c r="J50" s="26" t="s">
        <v>183</v>
      </c>
    </row>
    <row r="51" customFormat="false" ht="15" hidden="false" customHeight="false" outlineLevel="0" collapsed="false">
      <c r="B51" s="13" t="s">
        <v>373</v>
      </c>
      <c r="C51" s="13" t="s">
        <v>374</v>
      </c>
      <c r="D51" s="13" t="s">
        <v>154</v>
      </c>
      <c r="E51" s="25" t="n">
        <v>10</v>
      </c>
      <c r="F51" s="25" t="n">
        <v>11.2</v>
      </c>
      <c r="G51" s="13" t="s">
        <v>290</v>
      </c>
      <c r="H51" s="24" t="n">
        <v>45958</v>
      </c>
      <c r="I51" s="24" t="n">
        <v>45964</v>
      </c>
      <c r="J51" s="27" t="s">
        <v>283</v>
      </c>
    </row>
    <row r="52" customFormat="false" ht="15" hidden="false" customHeight="false" outlineLevel="0" collapsed="false">
      <c r="B52" s="13" t="s">
        <v>375</v>
      </c>
      <c r="C52" s="13" t="s">
        <v>376</v>
      </c>
      <c r="D52" s="13" t="s">
        <v>156</v>
      </c>
      <c r="E52" s="25" t="n">
        <v>6</v>
      </c>
      <c r="F52" s="25" t="n">
        <v>7.4</v>
      </c>
      <c r="G52" s="13" t="s">
        <v>290</v>
      </c>
      <c r="H52" s="24" t="n">
        <v>45658</v>
      </c>
      <c r="I52" s="25" t="s">
        <v>182</v>
      </c>
      <c r="J52" s="26" t="s">
        <v>183</v>
      </c>
    </row>
    <row r="53" customFormat="false" ht="15" hidden="false" customHeight="false" outlineLevel="0" collapsed="false">
      <c r="B53" s="13" t="s">
        <v>377</v>
      </c>
      <c r="C53" s="13" t="s">
        <v>378</v>
      </c>
      <c r="D53" s="13" t="s">
        <v>154</v>
      </c>
      <c r="E53" s="25" t="n">
        <v>8</v>
      </c>
      <c r="F53" s="25" t="n">
        <v>9.5</v>
      </c>
      <c r="G53" s="13" t="s">
        <v>290</v>
      </c>
      <c r="H53" s="24" t="n">
        <v>45658</v>
      </c>
      <c r="I53" s="25" t="s">
        <v>182</v>
      </c>
      <c r="J53" s="26" t="s">
        <v>183</v>
      </c>
    </row>
    <row r="54" customFormat="false" ht="15" hidden="false" customHeight="false" outlineLevel="0" collapsed="false">
      <c r="B54" s="13" t="s">
        <v>379</v>
      </c>
      <c r="C54" s="13" t="s">
        <v>380</v>
      </c>
      <c r="D54" s="13" t="s">
        <v>156</v>
      </c>
      <c r="E54" s="25" t="n">
        <v>14</v>
      </c>
      <c r="F54" s="25" t="n">
        <v>17.2</v>
      </c>
      <c r="G54" s="13" t="s">
        <v>290</v>
      </c>
      <c r="H54" s="24" t="n">
        <v>45658</v>
      </c>
      <c r="I54" s="25" t="s">
        <v>182</v>
      </c>
      <c r="J54" s="26" t="s">
        <v>183</v>
      </c>
    </row>
    <row r="55" customFormat="false" ht="15" hidden="false" customHeight="false" outlineLevel="0" collapsed="false">
      <c r="B55" s="13" t="s">
        <v>381</v>
      </c>
      <c r="C55" s="13" t="s">
        <v>382</v>
      </c>
      <c r="D55" s="13" t="s">
        <v>157</v>
      </c>
      <c r="E55" s="25" t="n">
        <v>2</v>
      </c>
      <c r="F55" s="25" t="n">
        <v>2.8</v>
      </c>
      <c r="G55" s="13" t="s">
        <v>282</v>
      </c>
      <c r="H55" s="24" t="n">
        <v>45658</v>
      </c>
      <c r="I55" s="25" t="s">
        <v>182</v>
      </c>
      <c r="J55" s="26" t="s">
        <v>183</v>
      </c>
    </row>
    <row r="56" customFormat="false" ht="15" hidden="false" customHeight="false" outlineLevel="0" collapsed="false">
      <c r="B56" s="13" t="s">
        <v>383</v>
      </c>
      <c r="C56" s="13" t="s">
        <v>384</v>
      </c>
      <c r="D56" s="13" t="s">
        <v>157</v>
      </c>
      <c r="E56" s="25" t="n">
        <v>2</v>
      </c>
      <c r="F56" s="25" t="n">
        <v>2.8</v>
      </c>
      <c r="G56" s="13" t="s">
        <v>282</v>
      </c>
      <c r="H56" s="24" t="n">
        <v>45867</v>
      </c>
      <c r="I56" s="25" t="s">
        <v>182</v>
      </c>
      <c r="J56" s="26" t="s">
        <v>183</v>
      </c>
    </row>
    <row r="57" customFormat="false" ht="15" hidden="false" customHeight="false" outlineLevel="0" collapsed="false">
      <c r="B57" s="13" t="s">
        <v>385</v>
      </c>
      <c r="C57" s="13" t="s">
        <v>386</v>
      </c>
      <c r="D57" s="13" t="s">
        <v>156</v>
      </c>
      <c r="E57" s="25" t="n">
        <v>12</v>
      </c>
      <c r="F57" s="25" t="n">
        <v>12.7</v>
      </c>
      <c r="G57" s="13" t="s">
        <v>290</v>
      </c>
      <c r="H57" s="24" t="n">
        <v>45758</v>
      </c>
      <c r="I57" s="25" t="s">
        <v>182</v>
      </c>
      <c r="J57" s="26" t="s">
        <v>183</v>
      </c>
    </row>
    <row r="58" customFormat="false" ht="15" hidden="false" customHeight="false" outlineLevel="0" collapsed="false">
      <c r="B58" s="13" t="s">
        <v>387</v>
      </c>
      <c r="C58" s="13" t="s">
        <v>388</v>
      </c>
      <c r="D58" s="13" t="s">
        <v>154</v>
      </c>
      <c r="E58" s="25" t="n">
        <v>28</v>
      </c>
      <c r="F58" s="25" t="n">
        <v>34.6</v>
      </c>
      <c r="G58" s="13" t="s">
        <v>290</v>
      </c>
      <c r="H58" s="24" t="n">
        <v>45866</v>
      </c>
      <c r="I58" s="25" t="s">
        <v>182</v>
      </c>
      <c r="J58" s="26" t="s">
        <v>183</v>
      </c>
    </row>
    <row r="59" customFormat="false" ht="15" hidden="false" customHeight="false" outlineLevel="0" collapsed="false">
      <c r="B59" s="13" t="s">
        <v>389</v>
      </c>
      <c r="C59" s="13" t="s">
        <v>390</v>
      </c>
      <c r="D59" s="13" t="s">
        <v>154</v>
      </c>
      <c r="E59" s="25" t="n">
        <v>20</v>
      </c>
      <c r="F59" s="25" t="n">
        <v>24.2</v>
      </c>
      <c r="G59" s="13" t="s">
        <v>290</v>
      </c>
      <c r="H59" s="24" t="n">
        <v>45658</v>
      </c>
      <c r="I59" s="25" t="s">
        <v>182</v>
      </c>
      <c r="J59" s="26" t="s">
        <v>183</v>
      </c>
    </row>
    <row r="60" customFormat="false" ht="15" hidden="false" customHeight="false" outlineLevel="0" collapsed="false">
      <c r="B60" s="13" t="s">
        <v>391</v>
      </c>
      <c r="C60" s="13" t="s">
        <v>392</v>
      </c>
      <c r="D60" s="13" t="s">
        <v>156</v>
      </c>
      <c r="E60" s="25" t="n">
        <v>28</v>
      </c>
      <c r="F60" s="25" t="n">
        <v>33.3</v>
      </c>
      <c r="G60" s="13" t="s">
        <v>290</v>
      </c>
      <c r="H60" s="24" t="n">
        <v>45658</v>
      </c>
      <c r="I60" s="25" t="s">
        <v>182</v>
      </c>
      <c r="J60" s="26" t="s">
        <v>183</v>
      </c>
    </row>
    <row r="61" customFormat="false" ht="15" hidden="false" customHeight="false" outlineLevel="0" collapsed="false">
      <c r="B61" s="13" t="s">
        <v>393</v>
      </c>
      <c r="C61" s="13" t="s">
        <v>394</v>
      </c>
      <c r="D61" s="13" t="s">
        <v>157</v>
      </c>
      <c r="E61" s="25" t="n">
        <v>1</v>
      </c>
      <c r="F61" s="25" t="n">
        <v>1.4</v>
      </c>
      <c r="G61" s="13" t="s">
        <v>282</v>
      </c>
      <c r="H61" s="24" t="n">
        <v>45658</v>
      </c>
      <c r="I61" s="25" t="s">
        <v>182</v>
      </c>
      <c r="J61" s="26" t="s">
        <v>183</v>
      </c>
    </row>
    <row r="62" customFormat="false" ht="15" hidden="false" customHeight="false" outlineLevel="0" collapsed="false">
      <c r="B62" s="13" t="s">
        <v>395</v>
      </c>
      <c r="C62" s="13" t="s">
        <v>396</v>
      </c>
      <c r="D62" s="13" t="s">
        <v>156</v>
      </c>
      <c r="E62" s="25" t="n">
        <v>28</v>
      </c>
      <c r="F62" s="25" t="n">
        <v>34.5</v>
      </c>
      <c r="G62" s="13" t="s">
        <v>290</v>
      </c>
      <c r="H62" s="24" t="n">
        <v>45658</v>
      </c>
      <c r="I62" s="25" t="s">
        <v>182</v>
      </c>
      <c r="J62" s="26" t="s">
        <v>183</v>
      </c>
    </row>
    <row r="63" customFormat="false" ht="15" hidden="false" customHeight="false" outlineLevel="0" collapsed="false">
      <c r="B63" s="13" t="s">
        <v>397</v>
      </c>
      <c r="C63" s="13" t="s">
        <v>398</v>
      </c>
      <c r="D63" s="13" t="s">
        <v>159</v>
      </c>
      <c r="E63" s="25" t="n">
        <v>2</v>
      </c>
      <c r="F63" s="25" t="n">
        <v>2.3</v>
      </c>
      <c r="G63" s="13" t="s">
        <v>282</v>
      </c>
      <c r="H63" s="24" t="n">
        <v>45701</v>
      </c>
      <c r="I63" s="25" t="s">
        <v>182</v>
      </c>
      <c r="J63" s="26" t="s">
        <v>183</v>
      </c>
    </row>
    <row r="64" customFormat="false" ht="15" hidden="false" customHeight="false" outlineLevel="0" collapsed="false">
      <c r="B64" s="13" t="s">
        <v>399</v>
      </c>
      <c r="C64" s="13" t="s">
        <v>400</v>
      </c>
      <c r="D64" s="13" t="s">
        <v>154</v>
      </c>
      <c r="E64" s="25" t="n">
        <v>10</v>
      </c>
      <c r="F64" s="25" t="n">
        <v>11.1</v>
      </c>
      <c r="G64" s="13" t="s">
        <v>290</v>
      </c>
      <c r="H64" s="24" t="n">
        <v>45658</v>
      </c>
      <c r="I64" s="25" t="s">
        <v>182</v>
      </c>
      <c r="J64" s="26" t="s">
        <v>183</v>
      </c>
    </row>
    <row r="65" customFormat="false" ht="15" hidden="false" customHeight="false" outlineLevel="0" collapsed="false">
      <c r="B65" s="13" t="s">
        <v>401</v>
      </c>
      <c r="C65" s="13" t="s">
        <v>402</v>
      </c>
      <c r="D65" s="13" t="s">
        <v>156</v>
      </c>
      <c r="E65" s="25" t="n">
        <v>28</v>
      </c>
      <c r="F65" s="25" t="n">
        <v>31</v>
      </c>
      <c r="G65" s="13" t="s">
        <v>290</v>
      </c>
      <c r="H65" s="24" t="n">
        <v>45658</v>
      </c>
      <c r="I65" s="25" t="s">
        <v>182</v>
      </c>
      <c r="J65" s="26" t="s">
        <v>183</v>
      </c>
    </row>
    <row r="66" customFormat="false" ht="15" hidden="false" customHeight="false" outlineLevel="0" collapsed="false">
      <c r="B66" s="13" t="s">
        <v>403</v>
      </c>
      <c r="C66" s="13" t="s">
        <v>404</v>
      </c>
      <c r="D66" s="13" t="s">
        <v>156</v>
      </c>
      <c r="E66" s="25" t="n">
        <v>12</v>
      </c>
      <c r="F66" s="25" t="n">
        <v>14.2</v>
      </c>
      <c r="G66" s="13" t="s">
        <v>290</v>
      </c>
      <c r="H66" s="24" t="n">
        <v>45880</v>
      </c>
      <c r="I66" s="25" t="s">
        <v>182</v>
      </c>
      <c r="J66" s="26" t="s">
        <v>183</v>
      </c>
    </row>
    <row r="67" customFormat="false" ht="15" hidden="false" customHeight="false" outlineLevel="0" collapsed="false">
      <c r="B67" s="13" t="s">
        <v>405</v>
      </c>
      <c r="C67" s="13" t="s">
        <v>406</v>
      </c>
      <c r="D67" s="13" t="s">
        <v>156</v>
      </c>
      <c r="E67" s="25" t="n">
        <v>6</v>
      </c>
      <c r="F67" s="25" t="n">
        <v>6.4</v>
      </c>
      <c r="G67" s="13" t="s">
        <v>290</v>
      </c>
      <c r="H67" s="24" t="n">
        <v>45997</v>
      </c>
      <c r="I67" s="25" t="s">
        <v>182</v>
      </c>
      <c r="J67" s="26" t="s">
        <v>183</v>
      </c>
    </row>
    <row r="68" customFormat="false" ht="15" hidden="false" customHeight="false" outlineLevel="0" collapsed="false">
      <c r="B68" s="13" t="s">
        <v>407</v>
      </c>
      <c r="C68" s="13" t="s">
        <v>408</v>
      </c>
      <c r="D68" s="13" t="s">
        <v>159</v>
      </c>
      <c r="E68" s="25" t="n">
        <v>2</v>
      </c>
      <c r="F68" s="25" t="n">
        <v>2.2</v>
      </c>
      <c r="G68" s="13" t="s">
        <v>282</v>
      </c>
      <c r="H68" s="24" t="n">
        <v>45658</v>
      </c>
      <c r="I68" s="25" t="s">
        <v>182</v>
      </c>
      <c r="J68" s="26" t="s">
        <v>183</v>
      </c>
    </row>
    <row r="69" customFormat="false" ht="15" hidden="false" customHeight="false" outlineLevel="0" collapsed="false">
      <c r="B69" s="13" t="s">
        <v>409</v>
      </c>
      <c r="C69" s="13" t="s">
        <v>410</v>
      </c>
      <c r="D69" s="13" t="s">
        <v>154</v>
      </c>
      <c r="E69" s="25" t="n">
        <v>10</v>
      </c>
      <c r="F69" s="25" t="n">
        <v>12</v>
      </c>
      <c r="G69" s="13" t="s">
        <v>290</v>
      </c>
      <c r="H69" s="24" t="n">
        <v>45658</v>
      </c>
      <c r="I69" s="25" t="s">
        <v>182</v>
      </c>
      <c r="J69" s="26" t="s">
        <v>183</v>
      </c>
    </row>
    <row r="70" customFormat="false" ht="15" hidden="false" customHeight="false" outlineLevel="0" collapsed="false">
      <c r="B70" s="13" t="s">
        <v>411</v>
      </c>
      <c r="C70" s="13" t="s">
        <v>412</v>
      </c>
      <c r="D70" s="13" t="s">
        <v>154</v>
      </c>
      <c r="E70" s="25" t="n">
        <v>14</v>
      </c>
      <c r="F70" s="25" t="n">
        <v>17.5</v>
      </c>
      <c r="G70" s="13" t="s">
        <v>290</v>
      </c>
      <c r="H70" s="24" t="n">
        <v>45658</v>
      </c>
      <c r="I70" s="25" t="s">
        <v>182</v>
      </c>
      <c r="J70" s="26" t="s">
        <v>183</v>
      </c>
    </row>
    <row r="72" customFormat="false" ht="15" hidden="false" customHeight="false" outlineLevel="0" collapsed="false">
      <c r="B72" s="3" t="s">
        <v>413</v>
      </c>
    </row>
    <row r="73" customFormat="false" ht="15" hidden="false" customHeight="false" outlineLevel="0" collapsed="false">
      <c r="B73" s="3" t="s">
        <v>269</v>
      </c>
      <c r="C73" s="8" t="n">
        <f aca="false">COUNTIF(J6:J70,"Active")</f>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F4E"/>
    <pageSetUpPr fitToPage="false"/>
  </sheetPr>
  <dimension ref="B2:I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4" min="3" style="0" width="20"/>
    <col collapsed="false" customWidth="true" hidden="false" outlineLevel="0" max="6" min="5" style="0" width="14"/>
    <col collapsed="false" customWidth="true" hidden="false" outlineLevel="0" max="7" min="7" style="0" width="16"/>
    <col collapsed="false" customWidth="true" hidden="false" outlineLevel="0" max="8" min="8" style="0" width="20"/>
    <col collapsed="false" customWidth="true" hidden="false" outlineLevel="0" max="9" min="9" style="0" width="14"/>
  </cols>
  <sheetData>
    <row r="2" customFormat="false" ht="17.35" hidden="false" customHeight="false" outlineLevel="0" collapsed="false">
      <c r="B2" s="1" t="s">
        <v>414</v>
      </c>
    </row>
    <row r="3" customFormat="false" ht="15" hidden="false" customHeight="false" outlineLevel="0" collapsed="false">
      <c r="B3" s="2" t="s">
        <v>415</v>
      </c>
    </row>
    <row r="5" customFormat="false" ht="23.85" hidden="false" customHeight="false" outlineLevel="0" collapsed="false">
      <c r="B5" s="11" t="s">
        <v>273</v>
      </c>
      <c r="C5" s="11" t="s">
        <v>416</v>
      </c>
      <c r="D5" s="11" t="s">
        <v>149</v>
      </c>
      <c r="E5" s="11" t="s">
        <v>417</v>
      </c>
      <c r="F5" s="11" t="s">
        <v>418</v>
      </c>
      <c r="G5" s="11" t="s">
        <v>419</v>
      </c>
      <c r="H5" s="11" t="s">
        <v>176</v>
      </c>
      <c r="I5" s="11" t="s">
        <v>420</v>
      </c>
    </row>
    <row r="6" customFormat="false" ht="15" hidden="false" customHeight="false" outlineLevel="0" collapsed="false">
      <c r="B6" s="13" t="s">
        <v>280</v>
      </c>
      <c r="C6" s="13" t="s">
        <v>281</v>
      </c>
      <c r="D6" s="13" t="s">
        <v>157</v>
      </c>
      <c r="E6" s="24" t="n">
        <v>45658</v>
      </c>
      <c r="F6" s="24" t="n">
        <v>45866</v>
      </c>
      <c r="G6" s="29" t="n">
        <f aca="false">F6-DATE(2025,12,31)</f>
        <v>-156</v>
      </c>
      <c r="H6" s="30" t="str">
        <f aca="false">IF(G6&lt;0,"EXPIRED",IF(G6&lt;=30,"Expiring Soon","Current"))</f>
        <v>EXPIRED</v>
      </c>
      <c r="I6" s="30" t="str">
        <f aca="false">IF(H6="EXPIRED","Renew immediately - billing exposure",IF(H6="Expiring Soon","Initiate renewal","None"))</f>
        <v>Renew immediately - billing exposure</v>
      </c>
    </row>
    <row r="7" customFormat="false" ht="15" hidden="false" customHeight="false" outlineLevel="0" collapsed="false">
      <c r="B7" s="13" t="s">
        <v>284</v>
      </c>
      <c r="C7" s="13" t="s">
        <v>285</v>
      </c>
      <c r="D7" s="13" t="s">
        <v>157</v>
      </c>
      <c r="E7" s="24" t="n">
        <v>45995</v>
      </c>
      <c r="F7" s="24" t="n">
        <v>46201</v>
      </c>
      <c r="G7" s="29" t="n">
        <f aca="false">F7-DATE(2025,12,31)</f>
        <v>179</v>
      </c>
      <c r="H7" s="30" t="str">
        <f aca="false">IF(G7&lt;0,"EXPIRED",IF(G7&lt;=30,"Expiring Soon","Current"))</f>
        <v>Current</v>
      </c>
      <c r="I7" s="30" t="str">
        <f aca="false">IF(H7="EXPIRED","Renew immediately - billing exposure",IF(H7="Expiring Soon","Initiate renewal","None"))</f>
        <v>None</v>
      </c>
    </row>
    <row r="8" customFormat="false" ht="15" hidden="false" customHeight="false" outlineLevel="0" collapsed="false">
      <c r="B8" s="13" t="s">
        <v>286</v>
      </c>
      <c r="C8" s="13" t="s">
        <v>287</v>
      </c>
      <c r="D8" s="13" t="s">
        <v>157</v>
      </c>
      <c r="E8" s="24" t="n">
        <v>45658</v>
      </c>
      <c r="F8" s="24" t="n">
        <v>45866</v>
      </c>
      <c r="G8" s="29" t="n">
        <f aca="false">F8-DATE(2025,12,31)</f>
        <v>-156</v>
      </c>
      <c r="H8" s="30" t="str">
        <f aca="false">IF(G8&lt;0,"EXPIRED",IF(G8&lt;=30,"Expiring Soon","Current"))</f>
        <v>EXPIRED</v>
      </c>
      <c r="I8" s="30" t="str">
        <f aca="false">IF(H8="EXPIRED","Renew immediately - billing exposure",IF(H8="Expiring Soon","Initiate renewal","None"))</f>
        <v>Renew immediately - billing exposure</v>
      </c>
    </row>
    <row r="9" customFormat="false" ht="15" hidden="false" customHeight="false" outlineLevel="0" collapsed="false">
      <c r="B9" s="13" t="s">
        <v>288</v>
      </c>
      <c r="C9" s="13" t="s">
        <v>289</v>
      </c>
      <c r="D9" s="13" t="s">
        <v>156</v>
      </c>
      <c r="E9" s="24" t="n">
        <v>45658</v>
      </c>
      <c r="F9" s="24" t="n">
        <v>45866</v>
      </c>
      <c r="G9" s="29" t="n">
        <f aca="false">F9-DATE(2025,12,31)</f>
        <v>-156</v>
      </c>
      <c r="H9" s="30" t="str">
        <f aca="false">IF(G9&lt;0,"EXPIRED",IF(G9&lt;=30,"Expiring Soon","Current"))</f>
        <v>EXPIRED</v>
      </c>
      <c r="I9" s="30" t="str">
        <f aca="false">IF(H9="EXPIRED","Renew immediately - billing exposure",IF(H9="Expiring Soon","Initiate renewal","None"))</f>
        <v>Renew immediately - billing exposure</v>
      </c>
    </row>
    <row r="10" customFormat="false" ht="15" hidden="false" customHeight="false" outlineLevel="0" collapsed="false">
      <c r="B10" s="13" t="s">
        <v>291</v>
      </c>
      <c r="C10" s="13" t="s">
        <v>292</v>
      </c>
      <c r="D10" s="13" t="s">
        <v>154</v>
      </c>
      <c r="E10" s="24" t="n">
        <v>45658</v>
      </c>
      <c r="F10" s="24" t="n">
        <v>45866</v>
      </c>
      <c r="G10" s="29" t="n">
        <f aca="false">F10-DATE(2025,12,31)</f>
        <v>-156</v>
      </c>
      <c r="H10" s="30" t="str">
        <f aca="false">IF(G10&lt;0,"EXPIRED",IF(G10&lt;=30,"Expiring Soon","Current"))</f>
        <v>EXPIRED</v>
      </c>
      <c r="I10" s="30" t="str">
        <f aca="false">IF(H10="EXPIRED","Renew immediately - billing exposure",IF(H10="Expiring Soon","Initiate renewal","None"))</f>
        <v>Renew immediately - billing exposure</v>
      </c>
    </row>
    <row r="11" customFormat="false" ht="15" hidden="false" customHeight="false" outlineLevel="0" collapsed="false">
      <c r="B11" s="13" t="s">
        <v>293</v>
      </c>
      <c r="C11" s="13" t="s">
        <v>294</v>
      </c>
      <c r="D11" s="13" t="s">
        <v>157</v>
      </c>
      <c r="E11" s="24" t="n">
        <v>45903</v>
      </c>
      <c r="F11" s="24" t="n">
        <v>46109</v>
      </c>
      <c r="G11" s="29" t="n">
        <f aca="false">F11-DATE(2025,12,31)</f>
        <v>87</v>
      </c>
      <c r="H11" s="30" t="str">
        <f aca="false">IF(G11&lt;0,"EXPIRED",IF(G11&lt;=30,"Expiring Soon","Current"))</f>
        <v>Current</v>
      </c>
      <c r="I11" s="30" t="str">
        <f aca="false">IF(H11="EXPIRED","Renew immediately - billing exposure",IF(H11="Expiring Soon","Initiate renewal","None"))</f>
        <v>None</v>
      </c>
    </row>
    <row r="12" customFormat="false" ht="15" hidden="false" customHeight="false" outlineLevel="0" collapsed="false">
      <c r="B12" s="13" t="s">
        <v>295</v>
      </c>
      <c r="C12" s="13" t="s">
        <v>296</v>
      </c>
      <c r="D12" s="13" t="s">
        <v>154</v>
      </c>
      <c r="E12" s="24" t="n">
        <v>45873</v>
      </c>
      <c r="F12" s="24" t="n">
        <v>46081</v>
      </c>
      <c r="G12" s="29" t="n">
        <f aca="false">F12-DATE(2025,12,31)</f>
        <v>59</v>
      </c>
      <c r="H12" s="30" t="str">
        <f aca="false">IF(G12&lt;0,"EXPIRED",IF(G12&lt;=30,"Expiring Soon","Current"))</f>
        <v>Current</v>
      </c>
      <c r="I12" s="30" t="str">
        <f aca="false">IF(H12="EXPIRED","Renew immediately - billing exposure",IF(H12="Expiring Soon","Initiate renewal","None"))</f>
        <v>None</v>
      </c>
    </row>
    <row r="13" customFormat="false" ht="15" hidden="false" customHeight="false" outlineLevel="0" collapsed="false">
      <c r="B13" s="13" t="s">
        <v>297</v>
      </c>
      <c r="C13" s="13" t="s">
        <v>298</v>
      </c>
      <c r="D13" s="13" t="s">
        <v>156</v>
      </c>
      <c r="E13" s="24" t="n">
        <v>45658</v>
      </c>
      <c r="F13" s="24" t="n">
        <v>45866</v>
      </c>
      <c r="G13" s="29" t="n">
        <f aca="false">F13-DATE(2025,12,31)</f>
        <v>-156</v>
      </c>
      <c r="H13" s="30" t="str">
        <f aca="false">IF(G13&lt;0,"EXPIRED",IF(G13&lt;=30,"Expiring Soon","Current"))</f>
        <v>EXPIRED</v>
      </c>
      <c r="I13" s="30" t="str">
        <f aca="false">IF(H13="EXPIRED","Renew immediately - billing exposure",IF(H13="Expiring Soon","Initiate renewal","None"))</f>
        <v>Renew immediately - billing exposure</v>
      </c>
    </row>
    <row r="14" customFormat="false" ht="15" hidden="false" customHeight="false" outlineLevel="0" collapsed="false">
      <c r="B14" s="13" t="s">
        <v>299</v>
      </c>
      <c r="C14" s="13" t="s">
        <v>300</v>
      </c>
      <c r="D14" s="13" t="s">
        <v>154</v>
      </c>
      <c r="E14" s="24" t="n">
        <v>45958</v>
      </c>
      <c r="F14" s="24" t="n">
        <v>46140</v>
      </c>
      <c r="G14" s="29" t="n">
        <f aca="false">F14-DATE(2025,12,31)</f>
        <v>118</v>
      </c>
      <c r="H14" s="30" t="str">
        <f aca="false">IF(G14&lt;0,"EXPIRED",IF(G14&lt;=30,"Expiring Soon","Current"))</f>
        <v>Current</v>
      </c>
      <c r="I14" s="30" t="str">
        <f aca="false">IF(H14="EXPIRED","Renew immediately - billing exposure",IF(H14="Expiring Soon","Initiate renewal","None"))</f>
        <v>None</v>
      </c>
    </row>
    <row r="15" customFormat="false" ht="15" hidden="false" customHeight="false" outlineLevel="0" collapsed="false">
      <c r="B15" s="13" t="s">
        <v>301</v>
      </c>
      <c r="C15" s="13" t="s">
        <v>302</v>
      </c>
      <c r="D15" s="13" t="s">
        <v>157</v>
      </c>
      <c r="E15" s="24" t="n">
        <v>45658</v>
      </c>
      <c r="F15" s="24" t="n">
        <v>45866</v>
      </c>
      <c r="G15" s="29" t="n">
        <f aca="false">F15-DATE(2025,12,31)</f>
        <v>-156</v>
      </c>
      <c r="H15" s="30" t="str">
        <f aca="false">IF(G15&lt;0,"EXPIRED",IF(G15&lt;=30,"Expiring Soon","Current"))</f>
        <v>EXPIRED</v>
      </c>
      <c r="I15" s="30" t="str">
        <f aca="false">IF(H15="EXPIRED","Renew immediately - billing exposure",IF(H15="Expiring Soon","Initiate renewal","None"))</f>
        <v>Renew immediately - billing exposure</v>
      </c>
    </row>
    <row r="16" customFormat="false" ht="15" hidden="false" customHeight="false" outlineLevel="0" collapsed="false">
      <c r="B16" s="13" t="s">
        <v>303</v>
      </c>
      <c r="C16" s="13" t="s">
        <v>304</v>
      </c>
      <c r="D16" s="13" t="s">
        <v>154</v>
      </c>
      <c r="E16" s="24" t="n">
        <v>45936</v>
      </c>
      <c r="F16" s="24" t="n">
        <v>46140</v>
      </c>
      <c r="G16" s="29" t="n">
        <f aca="false">F16-DATE(2025,12,31)</f>
        <v>118</v>
      </c>
      <c r="H16" s="30" t="str">
        <f aca="false">IF(G16&lt;0,"EXPIRED",IF(G16&lt;=30,"Expiring Soon","Current"))</f>
        <v>Current</v>
      </c>
      <c r="I16" s="30" t="str">
        <f aca="false">IF(H16="EXPIRED","Renew immediately - billing exposure",IF(H16="Expiring Soon","Initiate renewal","None"))</f>
        <v>None</v>
      </c>
    </row>
    <row r="17" customFormat="false" ht="15" hidden="false" customHeight="false" outlineLevel="0" collapsed="false">
      <c r="B17" s="13" t="s">
        <v>305</v>
      </c>
      <c r="C17" s="13" t="s">
        <v>306</v>
      </c>
      <c r="D17" s="13" t="s">
        <v>154</v>
      </c>
      <c r="E17" s="24" t="n">
        <v>45658</v>
      </c>
      <c r="F17" s="24" t="n">
        <v>45866</v>
      </c>
      <c r="G17" s="29" t="n">
        <f aca="false">F17-DATE(2025,12,31)</f>
        <v>-156</v>
      </c>
      <c r="H17" s="30" t="str">
        <f aca="false">IF(G17&lt;0,"EXPIRED",IF(G17&lt;=30,"Expiring Soon","Current"))</f>
        <v>EXPIRED</v>
      </c>
      <c r="I17" s="30" t="str">
        <f aca="false">IF(H17="EXPIRED","Renew immediately - billing exposure",IF(H17="Expiring Soon","Initiate renewal","None"))</f>
        <v>Renew immediately - billing exposure</v>
      </c>
    </row>
    <row r="18" customFormat="false" ht="15" hidden="false" customHeight="false" outlineLevel="0" collapsed="false">
      <c r="B18" s="13" t="s">
        <v>307</v>
      </c>
      <c r="C18" s="13" t="s">
        <v>308</v>
      </c>
      <c r="D18" s="13" t="s">
        <v>157</v>
      </c>
      <c r="E18" s="24" t="n">
        <v>45740</v>
      </c>
      <c r="F18" s="24" t="n">
        <v>45928</v>
      </c>
      <c r="G18" s="29" t="n">
        <f aca="false">F18-DATE(2025,12,31)</f>
        <v>-94</v>
      </c>
      <c r="H18" s="30" t="str">
        <f aca="false">IF(G18&lt;0,"EXPIRED",IF(G18&lt;=30,"Expiring Soon","Current"))</f>
        <v>EXPIRED</v>
      </c>
      <c r="I18" s="30" t="str">
        <f aca="false">IF(H18="EXPIRED","Renew immediately - billing exposure",IF(H18="Expiring Soon","Initiate renewal","None"))</f>
        <v>Renew immediately - billing exposure</v>
      </c>
    </row>
    <row r="19" customFormat="false" ht="15" hidden="false" customHeight="false" outlineLevel="0" collapsed="false">
      <c r="B19" s="13" t="s">
        <v>309</v>
      </c>
      <c r="C19" s="13" t="s">
        <v>310</v>
      </c>
      <c r="D19" s="13" t="s">
        <v>159</v>
      </c>
      <c r="E19" s="24" t="n">
        <v>45658</v>
      </c>
      <c r="F19" s="24" t="n">
        <v>45866</v>
      </c>
      <c r="G19" s="29" t="n">
        <f aca="false">F19-DATE(2025,12,31)</f>
        <v>-156</v>
      </c>
      <c r="H19" s="30" t="str">
        <f aca="false">IF(G19&lt;0,"EXPIRED",IF(G19&lt;=30,"Expiring Soon","Current"))</f>
        <v>EXPIRED</v>
      </c>
      <c r="I19" s="30" t="str">
        <f aca="false">IF(H19="EXPIRED","Renew immediately - billing exposure",IF(H19="Expiring Soon","Initiate renewal","None"))</f>
        <v>Renew immediately - billing exposure</v>
      </c>
    </row>
    <row r="20" customFormat="false" ht="15" hidden="false" customHeight="false" outlineLevel="0" collapsed="false">
      <c r="B20" s="13" t="s">
        <v>311</v>
      </c>
      <c r="C20" s="13" t="s">
        <v>312</v>
      </c>
      <c r="D20" s="13" t="s">
        <v>154</v>
      </c>
      <c r="E20" s="24" t="n">
        <v>45658</v>
      </c>
      <c r="F20" s="24" t="n">
        <v>45866</v>
      </c>
      <c r="G20" s="29" t="n">
        <f aca="false">F20-DATE(2025,12,31)</f>
        <v>-156</v>
      </c>
      <c r="H20" s="30" t="str">
        <f aca="false">IF(G20&lt;0,"EXPIRED",IF(G20&lt;=30,"Expiring Soon","Current"))</f>
        <v>EXPIRED</v>
      </c>
      <c r="I20" s="30" t="str">
        <f aca="false">IF(H20="EXPIRED","Renew immediately - billing exposure",IF(H20="Expiring Soon","Initiate renewal","None"))</f>
        <v>Renew immediately - billing exposure</v>
      </c>
    </row>
    <row r="21" customFormat="false" ht="15" hidden="false" customHeight="false" outlineLevel="0" collapsed="false">
      <c r="B21" s="13" t="s">
        <v>313</v>
      </c>
      <c r="C21" s="13" t="s">
        <v>314</v>
      </c>
      <c r="D21" s="13" t="s">
        <v>156</v>
      </c>
      <c r="E21" s="24" t="n">
        <v>45658</v>
      </c>
      <c r="F21" s="24" t="n">
        <v>45866</v>
      </c>
      <c r="G21" s="29" t="n">
        <f aca="false">F21-DATE(2025,12,31)</f>
        <v>-156</v>
      </c>
      <c r="H21" s="30" t="str">
        <f aca="false">IF(G21&lt;0,"EXPIRED",IF(G21&lt;=30,"Expiring Soon","Current"))</f>
        <v>EXPIRED</v>
      </c>
      <c r="I21" s="30" t="str">
        <f aca="false">IF(H21="EXPIRED","Renew immediately - billing exposure",IF(H21="Expiring Soon","Initiate renewal","None"))</f>
        <v>Renew immediately - billing exposure</v>
      </c>
    </row>
    <row r="22" customFormat="false" ht="15" hidden="false" customHeight="false" outlineLevel="0" collapsed="false">
      <c r="B22" s="13" t="s">
        <v>315</v>
      </c>
      <c r="C22" s="13" t="s">
        <v>316</v>
      </c>
      <c r="D22" s="13" t="s">
        <v>159</v>
      </c>
      <c r="E22" s="24" t="n">
        <v>45875</v>
      </c>
      <c r="F22" s="24" t="n">
        <v>46081</v>
      </c>
      <c r="G22" s="29" t="n">
        <f aca="false">F22-DATE(2025,12,31)</f>
        <v>59</v>
      </c>
      <c r="H22" s="30" t="str">
        <f aca="false">IF(G22&lt;0,"EXPIRED",IF(G22&lt;=30,"Expiring Soon","Current"))</f>
        <v>Current</v>
      </c>
      <c r="I22" s="30" t="str">
        <f aca="false">IF(H22="EXPIRED","Renew immediately - billing exposure",IF(H22="Expiring Soon","Initiate renewal","None"))</f>
        <v>None</v>
      </c>
    </row>
    <row r="23" customFormat="false" ht="15" hidden="false" customHeight="false" outlineLevel="0" collapsed="false">
      <c r="B23" s="13" t="s">
        <v>317</v>
      </c>
      <c r="C23" s="13" t="s">
        <v>318</v>
      </c>
      <c r="D23" s="13" t="s">
        <v>156</v>
      </c>
      <c r="E23" s="24" t="n">
        <v>45658</v>
      </c>
      <c r="F23" s="24" t="n">
        <v>45866</v>
      </c>
      <c r="G23" s="29" t="n">
        <f aca="false">F23-DATE(2025,12,31)</f>
        <v>-156</v>
      </c>
      <c r="H23" s="30" t="str">
        <f aca="false">IF(G23&lt;0,"EXPIRED",IF(G23&lt;=30,"Expiring Soon","Current"))</f>
        <v>EXPIRED</v>
      </c>
      <c r="I23" s="30" t="str">
        <f aca="false">IF(H23="EXPIRED","Renew immediately - billing exposure",IF(H23="Expiring Soon","Initiate renewal","None"))</f>
        <v>Renew immediately - billing exposure</v>
      </c>
    </row>
    <row r="24" customFormat="false" ht="15" hidden="false" customHeight="false" outlineLevel="0" collapsed="false">
      <c r="B24" s="13" t="s">
        <v>319</v>
      </c>
      <c r="C24" s="13" t="s">
        <v>320</v>
      </c>
      <c r="D24" s="13" t="s">
        <v>157</v>
      </c>
      <c r="E24" s="24" t="n">
        <v>45658</v>
      </c>
      <c r="F24" s="24" t="n">
        <v>45866</v>
      </c>
      <c r="G24" s="29" t="n">
        <f aca="false">F24-DATE(2025,12,31)</f>
        <v>-156</v>
      </c>
      <c r="H24" s="30" t="str">
        <f aca="false">IF(G24&lt;0,"EXPIRED",IF(G24&lt;=30,"Expiring Soon","Current"))</f>
        <v>EXPIRED</v>
      </c>
      <c r="I24" s="30" t="str">
        <f aca="false">IF(H24="EXPIRED","Renew immediately - billing exposure",IF(H24="Expiring Soon","Initiate renewal","None"))</f>
        <v>Renew immediately - billing exposure</v>
      </c>
    </row>
    <row r="25" customFormat="false" ht="15" hidden="false" customHeight="false" outlineLevel="0" collapsed="false">
      <c r="B25" s="13" t="s">
        <v>321</v>
      </c>
      <c r="C25" s="13" t="s">
        <v>322</v>
      </c>
      <c r="D25" s="13" t="s">
        <v>154</v>
      </c>
      <c r="E25" s="24" t="n">
        <v>45658</v>
      </c>
      <c r="F25" s="24" t="n">
        <v>45866</v>
      </c>
      <c r="G25" s="29" t="n">
        <f aca="false">F25-DATE(2025,12,31)</f>
        <v>-156</v>
      </c>
      <c r="H25" s="30" t="str">
        <f aca="false">IF(G25&lt;0,"EXPIRED",IF(G25&lt;=30,"Expiring Soon","Current"))</f>
        <v>EXPIRED</v>
      </c>
      <c r="I25" s="30" t="str">
        <f aca="false">IF(H25="EXPIRED","Renew immediately - billing exposure",IF(H25="Expiring Soon","Initiate renewal","None"))</f>
        <v>Renew immediately - billing exposure</v>
      </c>
    </row>
    <row r="26" customFormat="false" ht="15" hidden="false" customHeight="false" outlineLevel="0" collapsed="false">
      <c r="B26" s="13" t="s">
        <v>323</v>
      </c>
      <c r="C26" s="13" t="s">
        <v>324</v>
      </c>
      <c r="D26" s="13" t="s">
        <v>159</v>
      </c>
      <c r="E26" s="24" t="n">
        <v>45658</v>
      </c>
      <c r="F26" s="24" t="n">
        <v>45866</v>
      </c>
      <c r="G26" s="29" t="n">
        <f aca="false">F26-DATE(2025,12,31)</f>
        <v>-156</v>
      </c>
      <c r="H26" s="30" t="str">
        <f aca="false">IF(G26&lt;0,"EXPIRED",IF(G26&lt;=30,"Expiring Soon","Current"))</f>
        <v>EXPIRED</v>
      </c>
      <c r="I26" s="30" t="str">
        <f aca="false">IF(H26="EXPIRED","Renew immediately - billing exposure",IF(H26="Expiring Soon","Initiate renewal","None"))</f>
        <v>Renew immediately - billing exposure</v>
      </c>
    </row>
    <row r="27" customFormat="false" ht="15" hidden="false" customHeight="false" outlineLevel="0" collapsed="false">
      <c r="B27" s="13" t="s">
        <v>325</v>
      </c>
      <c r="C27" s="13" t="s">
        <v>326</v>
      </c>
      <c r="D27" s="13" t="s">
        <v>154</v>
      </c>
      <c r="E27" s="24" t="n">
        <v>45658</v>
      </c>
      <c r="F27" s="24" t="n">
        <v>45866</v>
      </c>
      <c r="G27" s="29" t="n">
        <f aca="false">F27-DATE(2025,12,31)</f>
        <v>-156</v>
      </c>
      <c r="H27" s="30" t="str">
        <f aca="false">IF(G27&lt;0,"EXPIRED",IF(G27&lt;=30,"Expiring Soon","Current"))</f>
        <v>EXPIRED</v>
      </c>
      <c r="I27" s="30" t="str">
        <f aca="false">IF(H27="EXPIRED","Renew immediately - billing exposure",IF(H27="Expiring Soon","Initiate renewal","None"))</f>
        <v>Renew immediately - billing exposure</v>
      </c>
    </row>
    <row r="28" customFormat="false" ht="15" hidden="false" customHeight="false" outlineLevel="0" collapsed="false">
      <c r="B28" s="13" t="s">
        <v>327</v>
      </c>
      <c r="C28" s="13" t="s">
        <v>328</v>
      </c>
      <c r="D28" s="13" t="s">
        <v>157</v>
      </c>
      <c r="E28" s="24" t="n">
        <v>45658</v>
      </c>
      <c r="F28" s="24" t="n">
        <v>45866</v>
      </c>
      <c r="G28" s="29" t="n">
        <f aca="false">F28-DATE(2025,12,31)</f>
        <v>-156</v>
      </c>
      <c r="H28" s="30" t="str">
        <f aca="false">IF(G28&lt;0,"EXPIRED",IF(G28&lt;=30,"Expiring Soon","Current"))</f>
        <v>EXPIRED</v>
      </c>
      <c r="I28" s="30" t="str">
        <f aca="false">IF(H28="EXPIRED","Renew immediately - billing exposure",IF(H28="Expiring Soon","Initiate renewal","None"))</f>
        <v>Renew immediately - billing exposure</v>
      </c>
    </row>
    <row r="29" customFormat="false" ht="15" hidden="false" customHeight="false" outlineLevel="0" collapsed="false">
      <c r="B29" s="13" t="s">
        <v>329</v>
      </c>
      <c r="C29" s="13" t="s">
        <v>330</v>
      </c>
      <c r="D29" s="13" t="s">
        <v>156</v>
      </c>
      <c r="E29" s="24" t="n">
        <v>45658</v>
      </c>
      <c r="F29" s="24" t="n">
        <v>45866</v>
      </c>
      <c r="G29" s="29" t="n">
        <f aca="false">F29-DATE(2025,12,31)</f>
        <v>-156</v>
      </c>
      <c r="H29" s="30" t="str">
        <f aca="false">IF(G29&lt;0,"EXPIRED",IF(G29&lt;=30,"Expiring Soon","Current"))</f>
        <v>EXPIRED</v>
      </c>
      <c r="I29" s="30" t="str">
        <f aca="false">IF(H29="EXPIRED","Renew immediately - billing exposure",IF(H29="Expiring Soon","Initiate renewal","None"))</f>
        <v>Renew immediately - billing exposure</v>
      </c>
    </row>
    <row r="30" customFormat="false" ht="15" hidden="false" customHeight="false" outlineLevel="0" collapsed="false">
      <c r="B30" s="13" t="s">
        <v>331</v>
      </c>
      <c r="C30" s="13" t="s">
        <v>332</v>
      </c>
      <c r="D30" s="13" t="s">
        <v>156</v>
      </c>
      <c r="E30" s="24" t="n">
        <v>45658</v>
      </c>
      <c r="F30" s="24" t="n">
        <v>45866</v>
      </c>
      <c r="G30" s="29" t="n">
        <f aca="false">F30-DATE(2025,12,31)</f>
        <v>-156</v>
      </c>
      <c r="H30" s="30" t="str">
        <f aca="false">IF(G30&lt;0,"EXPIRED",IF(G30&lt;=30,"Expiring Soon","Current"))</f>
        <v>EXPIRED</v>
      </c>
      <c r="I30" s="30" t="str">
        <f aca="false">IF(H30="EXPIRED","Renew immediately - billing exposure",IF(H30="Expiring Soon","Initiate renewal","None"))</f>
        <v>Renew immediately - billing exposure</v>
      </c>
    </row>
    <row r="31" customFormat="false" ht="15" hidden="false" customHeight="false" outlineLevel="0" collapsed="false">
      <c r="B31" s="13" t="s">
        <v>333</v>
      </c>
      <c r="C31" s="13" t="s">
        <v>334</v>
      </c>
      <c r="D31" s="13" t="s">
        <v>154</v>
      </c>
      <c r="E31" s="24" t="n">
        <v>45931</v>
      </c>
      <c r="F31" s="24" t="n">
        <v>46140</v>
      </c>
      <c r="G31" s="29" t="n">
        <f aca="false">F31-DATE(2025,12,31)</f>
        <v>118</v>
      </c>
      <c r="H31" s="30" t="str">
        <f aca="false">IF(G31&lt;0,"EXPIRED",IF(G31&lt;=30,"Expiring Soon","Current"))</f>
        <v>Current</v>
      </c>
      <c r="I31" s="30" t="str">
        <f aca="false">IF(H31="EXPIRED","Renew immediately - billing exposure",IF(H31="Expiring Soon","Initiate renewal","None"))</f>
        <v>None</v>
      </c>
    </row>
    <row r="32" customFormat="false" ht="15" hidden="false" customHeight="false" outlineLevel="0" collapsed="false">
      <c r="B32" s="13" t="s">
        <v>335</v>
      </c>
      <c r="C32" s="13" t="s">
        <v>336</v>
      </c>
      <c r="D32" s="13" t="s">
        <v>154</v>
      </c>
      <c r="E32" s="24" t="n">
        <v>45658</v>
      </c>
      <c r="F32" s="24" t="n">
        <v>45866</v>
      </c>
      <c r="G32" s="29" t="n">
        <f aca="false">F32-DATE(2025,12,31)</f>
        <v>-156</v>
      </c>
      <c r="H32" s="30" t="str">
        <f aca="false">IF(G32&lt;0,"EXPIRED",IF(G32&lt;=30,"Expiring Soon","Current"))</f>
        <v>EXPIRED</v>
      </c>
      <c r="I32" s="30" t="str">
        <f aca="false">IF(H32="EXPIRED","Renew immediately - billing exposure",IF(H32="Expiring Soon","Initiate renewal","None"))</f>
        <v>Renew immediately - billing exposure</v>
      </c>
    </row>
    <row r="33" customFormat="false" ht="15" hidden="false" customHeight="false" outlineLevel="0" collapsed="false">
      <c r="B33" s="13" t="s">
        <v>337</v>
      </c>
      <c r="C33" s="13" t="s">
        <v>338</v>
      </c>
      <c r="D33" s="13" t="s">
        <v>154</v>
      </c>
      <c r="E33" s="24" t="n">
        <v>45658</v>
      </c>
      <c r="F33" s="24" t="n">
        <v>45866</v>
      </c>
      <c r="G33" s="29" t="n">
        <f aca="false">F33-DATE(2025,12,31)</f>
        <v>-156</v>
      </c>
      <c r="H33" s="30" t="str">
        <f aca="false">IF(G33&lt;0,"EXPIRED",IF(G33&lt;=30,"Expiring Soon","Current"))</f>
        <v>EXPIRED</v>
      </c>
      <c r="I33" s="30" t="str">
        <f aca="false">IF(H33="EXPIRED","Renew immediately - billing exposure",IF(H33="Expiring Soon","Initiate renewal","None"))</f>
        <v>Renew immediately - billing exposure</v>
      </c>
    </row>
    <row r="34" customFormat="false" ht="15" hidden="false" customHeight="false" outlineLevel="0" collapsed="false">
      <c r="B34" s="13" t="s">
        <v>339</v>
      </c>
      <c r="C34" s="13" t="s">
        <v>340</v>
      </c>
      <c r="D34" s="13" t="s">
        <v>154</v>
      </c>
      <c r="E34" s="24" t="n">
        <v>45658</v>
      </c>
      <c r="F34" s="24" t="n">
        <v>45866</v>
      </c>
      <c r="G34" s="29" t="n">
        <f aca="false">F34-DATE(2025,12,31)</f>
        <v>-156</v>
      </c>
      <c r="H34" s="30" t="str">
        <f aca="false">IF(G34&lt;0,"EXPIRED",IF(G34&lt;=30,"Expiring Soon","Current"))</f>
        <v>EXPIRED</v>
      </c>
      <c r="I34" s="30" t="str">
        <f aca="false">IF(H34="EXPIRED","Renew immediately - billing exposure",IF(H34="Expiring Soon","Initiate renewal","None"))</f>
        <v>Renew immediately - billing exposure</v>
      </c>
    </row>
    <row r="35" customFormat="false" ht="15" hidden="false" customHeight="false" outlineLevel="0" collapsed="false">
      <c r="B35" s="13" t="s">
        <v>341</v>
      </c>
      <c r="C35" s="13" t="s">
        <v>342</v>
      </c>
      <c r="D35" s="13" t="s">
        <v>156</v>
      </c>
      <c r="E35" s="24" t="n">
        <v>45658</v>
      </c>
      <c r="F35" s="24" t="n">
        <v>45866</v>
      </c>
      <c r="G35" s="29" t="n">
        <f aca="false">F35-DATE(2025,12,31)</f>
        <v>-156</v>
      </c>
      <c r="H35" s="30" t="str">
        <f aca="false">IF(G35&lt;0,"EXPIRED",IF(G35&lt;=30,"Expiring Soon","Current"))</f>
        <v>EXPIRED</v>
      </c>
      <c r="I35" s="30" t="str">
        <f aca="false">IF(H35="EXPIRED","Renew immediately - billing exposure",IF(H35="Expiring Soon","Initiate renewal","None"))</f>
        <v>Renew immediately - billing exposure</v>
      </c>
    </row>
    <row r="36" customFormat="false" ht="15" hidden="false" customHeight="false" outlineLevel="0" collapsed="false">
      <c r="B36" s="13" t="s">
        <v>343</v>
      </c>
      <c r="C36" s="13" t="s">
        <v>344</v>
      </c>
      <c r="D36" s="13" t="s">
        <v>154</v>
      </c>
      <c r="E36" s="24" t="n">
        <v>45658</v>
      </c>
      <c r="F36" s="24" t="n">
        <v>45866</v>
      </c>
      <c r="G36" s="29" t="n">
        <f aca="false">F36-DATE(2025,12,31)</f>
        <v>-156</v>
      </c>
      <c r="H36" s="30" t="str">
        <f aca="false">IF(G36&lt;0,"EXPIRED",IF(G36&lt;=30,"Expiring Soon","Current"))</f>
        <v>EXPIRED</v>
      </c>
      <c r="I36" s="30" t="str">
        <f aca="false">IF(H36="EXPIRED","Renew immediately - billing exposure",IF(H36="Expiring Soon","Initiate renewal","None"))</f>
        <v>Renew immediately - billing exposure</v>
      </c>
    </row>
    <row r="37" customFormat="false" ht="15" hidden="false" customHeight="false" outlineLevel="0" collapsed="false">
      <c r="B37" s="13" t="s">
        <v>345</v>
      </c>
      <c r="C37" s="13" t="s">
        <v>346</v>
      </c>
      <c r="D37" s="13" t="s">
        <v>159</v>
      </c>
      <c r="E37" s="24" t="n">
        <v>46012</v>
      </c>
      <c r="F37" s="24" t="n">
        <v>46201</v>
      </c>
      <c r="G37" s="29" t="n">
        <f aca="false">F37-DATE(2025,12,31)</f>
        <v>179</v>
      </c>
      <c r="H37" s="30" t="str">
        <f aca="false">IF(G37&lt;0,"EXPIRED",IF(G37&lt;=30,"Expiring Soon","Current"))</f>
        <v>Current</v>
      </c>
      <c r="I37" s="30" t="str">
        <f aca="false">IF(H37="EXPIRED","Renew immediately - billing exposure",IF(H37="Expiring Soon","Initiate renewal","None"))</f>
        <v>None</v>
      </c>
    </row>
    <row r="38" customFormat="false" ht="15" hidden="false" customHeight="false" outlineLevel="0" collapsed="false">
      <c r="B38" s="13" t="s">
        <v>347</v>
      </c>
      <c r="C38" s="13" t="s">
        <v>348</v>
      </c>
      <c r="D38" s="13" t="s">
        <v>154</v>
      </c>
      <c r="E38" s="24" t="n">
        <v>45848</v>
      </c>
      <c r="F38" s="24" t="n">
        <v>46050</v>
      </c>
      <c r="G38" s="29" t="n">
        <f aca="false">F38-DATE(2025,12,31)</f>
        <v>28</v>
      </c>
      <c r="H38" s="30" t="str">
        <f aca="false">IF(G38&lt;0,"EXPIRED",IF(G38&lt;=30,"Expiring Soon","Current"))</f>
        <v>Expiring Soon</v>
      </c>
      <c r="I38" s="30" t="str">
        <f aca="false">IF(H38="EXPIRED","Renew immediately - billing exposure",IF(H38="Expiring Soon","Initiate renewal","None"))</f>
        <v>Initiate renewal</v>
      </c>
    </row>
    <row r="39" customFormat="false" ht="15" hidden="false" customHeight="false" outlineLevel="0" collapsed="false">
      <c r="B39" s="13" t="s">
        <v>349</v>
      </c>
      <c r="C39" s="13" t="s">
        <v>350</v>
      </c>
      <c r="D39" s="13" t="s">
        <v>154</v>
      </c>
      <c r="E39" s="24" t="n">
        <v>45909</v>
      </c>
      <c r="F39" s="24" t="n">
        <v>46109</v>
      </c>
      <c r="G39" s="29" t="n">
        <f aca="false">F39-DATE(2025,12,31)</f>
        <v>87</v>
      </c>
      <c r="H39" s="30" t="str">
        <f aca="false">IF(G39&lt;0,"EXPIRED",IF(G39&lt;=30,"Expiring Soon","Current"))</f>
        <v>Current</v>
      </c>
      <c r="I39" s="30" t="str">
        <f aca="false">IF(H39="EXPIRED","Renew immediately - billing exposure",IF(H39="Expiring Soon","Initiate renewal","None"))</f>
        <v>None</v>
      </c>
    </row>
    <row r="40" customFormat="false" ht="15" hidden="false" customHeight="false" outlineLevel="0" collapsed="false">
      <c r="B40" s="13" t="s">
        <v>351</v>
      </c>
      <c r="C40" s="13" t="s">
        <v>352</v>
      </c>
      <c r="D40" s="13" t="s">
        <v>154</v>
      </c>
      <c r="E40" s="24" t="n">
        <v>45752</v>
      </c>
      <c r="F40" s="24" t="n">
        <v>45958</v>
      </c>
      <c r="G40" s="29" t="n">
        <f aca="false">F40-DATE(2025,12,31)</f>
        <v>-64</v>
      </c>
      <c r="H40" s="30" t="str">
        <f aca="false">IF(G40&lt;0,"EXPIRED",IF(G40&lt;=30,"Expiring Soon","Current"))</f>
        <v>EXPIRED</v>
      </c>
      <c r="I40" s="30" t="str">
        <f aca="false">IF(H40="EXPIRED","Renew immediately - billing exposure",IF(H40="Expiring Soon","Initiate renewal","None"))</f>
        <v>Renew immediately - billing exposure</v>
      </c>
    </row>
    <row r="41" customFormat="false" ht="15" hidden="false" customHeight="false" outlineLevel="0" collapsed="false">
      <c r="B41" s="13" t="s">
        <v>353</v>
      </c>
      <c r="C41" s="13" t="s">
        <v>354</v>
      </c>
      <c r="D41" s="13" t="s">
        <v>154</v>
      </c>
      <c r="E41" s="24" t="n">
        <v>45658</v>
      </c>
      <c r="F41" s="24" t="n">
        <v>45866</v>
      </c>
      <c r="G41" s="29" t="n">
        <f aca="false">F41-DATE(2025,12,31)</f>
        <v>-156</v>
      </c>
      <c r="H41" s="30" t="str">
        <f aca="false">IF(G41&lt;0,"EXPIRED",IF(G41&lt;=30,"Expiring Soon","Current"))</f>
        <v>EXPIRED</v>
      </c>
      <c r="I41" s="30" t="str">
        <f aca="false">IF(H41="EXPIRED","Renew immediately - billing exposure",IF(H41="Expiring Soon","Initiate renewal","None"))</f>
        <v>Renew immediately - billing exposure</v>
      </c>
    </row>
    <row r="42" customFormat="false" ht="15" hidden="false" customHeight="false" outlineLevel="0" collapsed="false">
      <c r="B42" s="13" t="s">
        <v>355</v>
      </c>
      <c r="C42" s="13" t="s">
        <v>356</v>
      </c>
      <c r="D42" s="13" t="s">
        <v>154</v>
      </c>
      <c r="E42" s="24" t="n">
        <v>45658</v>
      </c>
      <c r="F42" s="24" t="n">
        <v>45866</v>
      </c>
      <c r="G42" s="29" t="n">
        <f aca="false">F42-DATE(2025,12,31)</f>
        <v>-156</v>
      </c>
      <c r="H42" s="30" t="str">
        <f aca="false">IF(G42&lt;0,"EXPIRED",IF(G42&lt;=30,"Expiring Soon","Current"))</f>
        <v>EXPIRED</v>
      </c>
      <c r="I42" s="30" t="str">
        <f aca="false">IF(H42="EXPIRED","Renew immediately - billing exposure",IF(H42="Expiring Soon","Initiate renewal","None"))</f>
        <v>Renew immediately - billing exposure</v>
      </c>
    </row>
    <row r="43" customFormat="false" ht="15" hidden="false" customHeight="false" outlineLevel="0" collapsed="false">
      <c r="B43" s="13" t="s">
        <v>357</v>
      </c>
      <c r="C43" s="13" t="s">
        <v>358</v>
      </c>
      <c r="D43" s="13" t="s">
        <v>154</v>
      </c>
      <c r="E43" s="24" t="n">
        <v>45658</v>
      </c>
      <c r="F43" s="24" t="n">
        <v>45866</v>
      </c>
      <c r="G43" s="29" t="n">
        <f aca="false">F43-DATE(2025,12,31)</f>
        <v>-156</v>
      </c>
      <c r="H43" s="30" t="str">
        <f aca="false">IF(G43&lt;0,"EXPIRED",IF(G43&lt;=30,"Expiring Soon","Current"))</f>
        <v>EXPIRED</v>
      </c>
      <c r="I43" s="30" t="str">
        <f aca="false">IF(H43="EXPIRED","Renew immediately - billing exposure",IF(H43="Expiring Soon","Initiate renewal","None"))</f>
        <v>Renew immediately - billing exposure</v>
      </c>
    </row>
    <row r="44" customFormat="false" ht="15" hidden="false" customHeight="false" outlineLevel="0" collapsed="false">
      <c r="B44" s="13" t="s">
        <v>359</v>
      </c>
      <c r="C44" s="13" t="s">
        <v>360</v>
      </c>
      <c r="D44" s="13" t="s">
        <v>156</v>
      </c>
      <c r="E44" s="24" t="n">
        <v>45658</v>
      </c>
      <c r="F44" s="24" t="n">
        <v>45866</v>
      </c>
      <c r="G44" s="29" t="n">
        <f aca="false">F44-DATE(2025,12,31)</f>
        <v>-156</v>
      </c>
      <c r="H44" s="30" t="str">
        <f aca="false">IF(G44&lt;0,"EXPIRED",IF(G44&lt;=30,"Expiring Soon","Current"))</f>
        <v>EXPIRED</v>
      </c>
      <c r="I44" s="30" t="str">
        <f aca="false">IF(H44="EXPIRED","Renew immediately - billing exposure",IF(H44="Expiring Soon","Initiate renewal","None"))</f>
        <v>Renew immediately - billing exposure</v>
      </c>
    </row>
    <row r="45" customFormat="false" ht="15" hidden="false" customHeight="false" outlineLevel="0" collapsed="false">
      <c r="B45" s="13" t="s">
        <v>361</v>
      </c>
      <c r="C45" s="13" t="s">
        <v>362</v>
      </c>
      <c r="D45" s="13" t="s">
        <v>157</v>
      </c>
      <c r="E45" s="24" t="n">
        <v>45658</v>
      </c>
      <c r="F45" s="24" t="n">
        <v>45866</v>
      </c>
      <c r="G45" s="29" t="n">
        <f aca="false">F45-DATE(2025,12,31)</f>
        <v>-156</v>
      </c>
      <c r="H45" s="30" t="str">
        <f aca="false">IF(G45&lt;0,"EXPIRED",IF(G45&lt;=30,"Expiring Soon","Current"))</f>
        <v>EXPIRED</v>
      </c>
      <c r="I45" s="30" t="str">
        <f aca="false">IF(H45="EXPIRED","Renew immediately - billing exposure",IF(H45="Expiring Soon","Initiate renewal","None"))</f>
        <v>Renew immediately - billing exposure</v>
      </c>
    </row>
    <row r="46" customFormat="false" ht="15" hidden="false" customHeight="false" outlineLevel="0" collapsed="false">
      <c r="B46" s="13" t="s">
        <v>363</v>
      </c>
      <c r="C46" s="13" t="s">
        <v>364</v>
      </c>
      <c r="D46" s="13" t="s">
        <v>156</v>
      </c>
      <c r="E46" s="24" t="n">
        <v>45658</v>
      </c>
      <c r="F46" s="24" t="n">
        <v>45866</v>
      </c>
      <c r="G46" s="29" t="n">
        <f aca="false">F46-DATE(2025,12,31)</f>
        <v>-156</v>
      </c>
      <c r="H46" s="30" t="str">
        <f aca="false">IF(G46&lt;0,"EXPIRED",IF(G46&lt;=30,"Expiring Soon","Current"))</f>
        <v>EXPIRED</v>
      </c>
      <c r="I46" s="30" t="str">
        <f aca="false">IF(H46="EXPIRED","Renew immediately - billing exposure",IF(H46="Expiring Soon","Initiate renewal","None"))</f>
        <v>Renew immediately - billing exposure</v>
      </c>
    </row>
    <row r="47" customFormat="false" ht="15" hidden="false" customHeight="false" outlineLevel="0" collapsed="false">
      <c r="B47" s="13" t="s">
        <v>365</v>
      </c>
      <c r="C47" s="13" t="s">
        <v>366</v>
      </c>
      <c r="D47" s="13" t="s">
        <v>154</v>
      </c>
      <c r="E47" s="24" t="n">
        <v>45765</v>
      </c>
      <c r="F47" s="24" t="n">
        <v>45958</v>
      </c>
      <c r="G47" s="29" t="n">
        <f aca="false">F47-DATE(2025,12,31)</f>
        <v>-64</v>
      </c>
      <c r="H47" s="30" t="str">
        <f aca="false">IF(G47&lt;0,"EXPIRED",IF(G47&lt;=30,"Expiring Soon","Current"))</f>
        <v>EXPIRED</v>
      </c>
      <c r="I47" s="30" t="str">
        <f aca="false">IF(H47="EXPIRED","Renew immediately - billing exposure",IF(H47="Expiring Soon","Initiate renewal","None"))</f>
        <v>Renew immediately - billing exposure</v>
      </c>
    </row>
    <row r="48" customFormat="false" ht="15" hidden="false" customHeight="false" outlineLevel="0" collapsed="false">
      <c r="B48" s="13" t="s">
        <v>367</v>
      </c>
      <c r="C48" s="13" t="s">
        <v>368</v>
      </c>
      <c r="D48" s="13" t="s">
        <v>156</v>
      </c>
      <c r="E48" s="24" t="n">
        <v>45984</v>
      </c>
      <c r="F48" s="24" t="n">
        <v>46170</v>
      </c>
      <c r="G48" s="29" t="n">
        <f aca="false">F48-DATE(2025,12,31)</f>
        <v>148</v>
      </c>
      <c r="H48" s="30" t="str">
        <f aca="false">IF(G48&lt;0,"EXPIRED",IF(G48&lt;=30,"Expiring Soon","Current"))</f>
        <v>Current</v>
      </c>
      <c r="I48" s="30" t="str">
        <f aca="false">IF(H48="EXPIRED","Renew immediately - billing exposure",IF(H48="Expiring Soon","Initiate renewal","None"))</f>
        <v>None</v>
      </c>
    </row>
    <row r="49" customFormat="false" ht="15" hidden="false" customHeight="false" outlineLevel="0" collapsed="false">
      <c r="B49" s="13" t="s">
        <v>369</v>
      </c>
      <c r="C49" s="13" t="s">
        <v>370</v>
      </c>
      <c r="D49" s="13" t="s">
        <v>159</v>
      </c>
      <c r="E49" s="24" t="n">
        <v>45857</v>
      </c>
      <c r="F49" s="24" t="n">
        <v>46050</v>
      </c>
      <c r="G49" s="29" t="n">
        <f aca="false">F49-DATE(2025,12,31)</f>
        <v>28</v>
      </c>
      <c r="H49" s="30" t="str">
        <f aca="false">IF(G49&lt;0,"EXPIRED",IF(G49&lt;=30,"Expiring Soon","Current"))</f>
        <v>Expiring Soon</v>
      </c>
      <c r="I49" s="30" t="str">
        <f aca="false">IF(H49="EXPIRED","Renew immediately - billing exposure",IF(H49="Expiring Soon","Initiate renewal","None"))</f>
        <v>Initiate renewal</v>
      </c>
    </row>
    <row r="50" customFormat="false" ht="15" hidden="false" customHeight="false" outlineLevel="0" collapsed="false">
      <c r="B50" s="13" t="s">
        <v>371</v>
      </c>
      <c r="C50" s="13" t="s">
        <v>372</v>
      </c>
      <c r="D50" s="13" t="s">
        <v>154</v>
      </c>
      <c r="E50" s="24" t="n">
        <v>45658</v>
      </c>
      <c r="F50" s="24" t="n">
        <v>45866</v>
      </c>
      <c r="G50" s="29" t="n">
        <f aca="false">F50-DATE(2025,12,31)</f>
        <v>-156</v>
      </c>
      <c r="H50" s="30" t="str">
        <f aca="false">IF(G50&lt;0,"EXPIRED",IF(G50&lt;=30,"Expiring Soon","Current"))</f>
        <v>EXPIRED</v>
      </c>
      <c r="I50" s="30" t="str">
        <f aca="false">IF(H50="EXPIRED","Renew immediately - billing exposure",IF(H50="Expiring Soon","Initiate renewal","None"))</f>
        <v>Renew immediately - billing exposure</v>
      </c>
    </row>
    <row r="51" customFormat="false" ht="15" hidden="false" customHeight="false" outlineLevel="0" collapsed="false">
      <c r="B51" s="13" t="s">
        <v>373</v>
      </c>
      <c r="C51" s="13" t="s">
        <v>374</v>
      </c>
      <c r="D51" s="13" t="s">
        <v>154</v>
      </c>
      <c r="E51" s="24" t="n">
        <v>45958</v>
      </c>
      <c r="F51" s="24" t="n">
        <v>46140</v>
      </c>
      <c r="G51" s="29" t="n">
        <f aca="false">F51-DATE(2025,12,31)</f>
        <v>118</v>
      </c>
      <c r="H51" s="30" t="str">
        <f aca="false">IF(G51&lt;0,"EXPIRED",IF(G51&lt;=30,"Expiring Soon","Current"))</f>
        <v>Current</v>
      </c>
      <c r="I51" s="30" t="str">
        <f aca="false">IF(H51="EXPIRED","Renew immediately - billing exposure",IF(H51="Expiring Soon","Initiate renewal","None"))</f>
        <v>None</v>
      </c>
    </row>
    <row r="52" customFormat="false" ht="15" hidden="false" customHeight="false" outlineLevel="0" collapsed="false">
      <c r="B52" s="13" t="s">
        <v>375</v>
      </c>
      <c r="C52" s="13" t="s">
        <v>376</v>
      </c>
      <c r="D52" s="13" t="s">
        <v>156</v>
      </c>
      <c r="E52" s="24" t="n">
        <v>45658</v>
      </c>
      <c r="F52" s="24" t="n">
        <v>45866</v>
      </c>
      <c r="G52" s="29" t="n">
        <f aca="false">F52-DATE(2025,12,31)</f>
        <v>-156</v>
      </c>
      <c r="H52" s="30" t="str">
        <f aca="false">IF(G52&lt;0,"EXPIRED",IF(G52&lt;=30,"Expiring Soon","Current"))</f>
        <v>EXPIRED</v>
      </c>
      <c r="I52" s="30" t="str">
        <f aca="false">IF(H52="EXPIRED","Renew immediately - billing exposure",IF(H52="Expiring Soon","Initiate renewal","None"))</f>
        <v>Renew immediately - billing exposure</v>
      </c>
    </row>
    <row r="53" customFormat="false" ht="15" hidden="false" customHeight="false" outlineLevel="0" collapsed="false">
      <c r="B53" s="13" t="s">
        <v>377</v>
      </c>
      <c r="C53" s="13" t="s">
        <v>378</v>
      </c>
      <c r="D53" s="13" t="s">
        <v>154</v>
      </c>
      <c r="E53" s="24" t="n">
        <v>45658</v>
      </c>
      <c r="F53" s="24" t="n">
        <v>45866</v>
      </c>
      <c r="G53" s="29" t="n">
        <f aca="false">F53-DATE(2025,12,31)</f>
        <v>-156</v>
      </c>
      <c r="H53" s="30" t="str">
        <f aca="false">IF(G53&lt;0,"EXPIRED",IF(G53&lt;=30,"Expiring Soon","Current"))</f>
        <v>EXPIRED</v>
      </c>
      <c r="I53" s="30" t="str">
        <f aca="false">IF(H53="EXPIRED","Renew immediately - billing exposure",IF(H53="Expiring Soon","Initiate renewal","None"))</f>
        <v>Renew immediately - billing exposure</v>
      </c>
    </row>
    <row r="54" customFormat="false" ht="15" hidden="false" customHeight="false" outlineLevel="0" collapsed="false">
      <c r="B54" s="13" t="s">
        <v>379</v>
      </c>
      <c r="C54" s="13" t="s">
        <v>380</v>
      </c>
      <c r="D54" s="13" t="s">
        <v>156</v>
      </c>
      <c r="E54" s="24" t="n">
        <v>45658</v>
      </c>
      <c r="F54" s="24" t="n">
        <v>45866</v>
      </c>
      <c r="G54" s="29" t="n">
        <f aca="false">F54-DATE(2025,12,31)</f>
        <v>-156</v>
      </c>
      <c r="H54" s="30" t="str">
        <f aca="false">IF(G54&lt;0,"EXPIRED",IF(G54&lt;=30,"Expiring Soon","Current"))</f>
        <v>EXPIRED</v>
      </c>
      <c r="I54" s="30" t="str">
        <f aca="false">IF(H54="EXPIRED","Renew immediately - billing exposure",IF(H54="Expiring Soon","Initiate renewal","None"))</f>
        <v>Renew immediately - billing exposure</v>
      </c>
    </row>
    <row r="55" customFormat="false" ht="15" hidden="false" customHeight="false" outlineLevel="0" collapsed="false">
      <c r="B55" s="13" t="s">
        <v>381</v>
      </c>
      <c r="C55" s="13" t="s">
        <v>382</v>
      </c>
      <c r="D55" s="13" t="s">
        <v>157</v>
      </c>
      <c r="E55" s="24" t="n">
        <v>45658</v>
      </c>
      <c r="F55" s="24" t="n">
        <v>45866</v>
      </c>
      <c r="G55" s="29" t="n">
        <f aca="false">F55-DATE(2025,12,31)</f>
        <v>-156</v>
      </c>
      <c r="H55" s="30" t="str">
        <f aca="false">IF(G55&lt;0,"EXPIRED",IF(G55&lt;=30,"Expiring Soon","Current"))</f>
        <v>EXPIRED</v>
      </c>
      <c r="I55" s="30" t="str">
        <f aca="false">IF(H55="EXPIRED","Renew immediately - billing exposure",IF(H55="Expiring Soon","Initiate renewal","None"))</f>
        <v>Renew immediately - billing exposure</v>
      </c>
    </row>
    <row r="56" customFormat="false" ht="15" hidden="false" customHeight="false" outlineLevel="0" collapsed="false">
      <c r="B56" s="13" t="s">
        <v>383</v>
      </c>
      <c r="C56" s="13" t="s">
        <v>384</v>
      </c>
      <c r="D56" s="13" t="s">
        <v>157</v>
      </c>
      <c r="E56" s="24" t="n">
        <v>45867</v>
      </c>
      <c r="F56" s="24" t="n">
        <v>46050</v>
      </c>
      <c r="G56" s="29" t="n">
        <f aca="false">F56-DATE(2025,12,31)</f>
        <v>28</v>
      </c>
      <c r="H56" s="30" t="str">
        <f aca="false">IF(G56&lt;0,"EXPIRED",IF(G56&lt;=30,"Expiring Soon","Current"))</f>
        <v>Expiring Soon</v>
      </c>
      <c r="I56" s="30" t="str">
        <f aca="false">IF(H56="EXPIRED","Renew immediately - billing exposure",IF(H56="Expiring Soon","Initiate renewal","None"))</f>
        <v>Initiate renewal</v>
      </c>
    </row>
    <row r="57" customFormat="false" ht="15" hidden="false" customHeight="false" outlineLevel="0" collapsed="false">
      <c r="B57" s="13" t="s">
        <v>385</v>
      </c>
      <c r="C57" s="13" t="s">
        <v>386</v>
      </c>
      <c r="D57" s="13" t="s">
        <v>156</v>
      </c>
      <c r="E57" s="24" t="n">
        <v>45758</v>
      </c>
      <c r="F57" s="24" t="n">
        <v>45958</v>
      </c>
      <c r="G57" s="29" t="n">
        <f aca="false">F57-DATE(2025,12,31)</f>
        <v>-64</v>
      </c>
      <c r="H57" s="30" t="str">
        <f aca="false">IF(G57&lt;0,"EXPIRED",IF(G57&lt;=30,"Expiring Soon","Current"))</f>
        <v>EXPIRED</v>
      </c>
      <c r="I57" s="30" t="str">
        <f aca="false">IF(H57="EXPIRED","Renew immediately - billing exposure",IF(H57="Expiring Soon","Initiate renewal","None"))</f>
        <v>Renew immediately - billing exposure</v>
      </c>
    </row>
    <row r="58" customFormat="false" ht="15" hidden="false" customHeight="false" outlineLevel="0" collapsed="false">
      <c r="B58" s="13" t="s">
        <v>387</v>
      </c>
      <c r="C58" s="13" t="s">
        <v>388</v>
      </c>
      <c r="D58" s="13" t="s">
        <v>154</v>
      </c>
      <c r="E58" s="24" t="n">
        <v>45866</v>
      </c>
      <c r="F58" s="24" t="n">
        <v>46050</v>
      </c>
      <c r="G58" s="29" t="n">
        <f aca="false">F58-DATE(2025,12,31)</f>
        <v>28</v>
      </c>
      <c r="H58" s="30" t="str">
        <f aca="false">IF(G58&lt;0,"EXPIRED",IF(G58&lt;=30,"Expiring Soon","Current"))</f>
        <v>Expiring Soon</v>
      </c>
      <c r="I58" s="30" t="str">
        <f aca="false">IF(H58="EXPIRED","Renew immediately - billing exposure",IF(H58="Expiring Soon","Initiate renewal","None"))</f>
        <v>Initiate renewal</v>
      </c>
    </row>
    <row r="59" customFormat="false" ht="15" hidden="false" customHeight="false" outlineLevel="0" collapsed="false">
      <c r="B59" s="13" t="s">
        <v>389</v>
      </c>
      <c r="C59" s="13" t="s">
        <v>390</v>
      </c>
      <c r="D59" s="13" t="s">
        <v>154</v>
      </c>
      <c r="E59" s="24" t="n">
        <v>45658</v>
      </c>
      <c r="F59" s="24" t="n">
        <v>45866</v>
      </c>
      <c r="G59" s="29" t="n">
        <f aca="false">F59-DATE(2025,12,31)</f>
        <v>-156</v>
      </c>
      <c r="H59" s="30" t="str">
        <f aca="false">IF(G59&lt;0,"EXPIRED",IF(G59&lt;=30,"Expiring Soon","Current"))</f>
        <v>EXPIRED</v>
      </c>
      <c r="I59" s="30" t="str">
        <f aca="false">IF(H59="EXPIRED","Renew immediately - billing exposure",IF(H59="Expiring Soon","Initiate renewal","None"))</f>
        <v>Renew immediately - billing exposure</v>
      </c>
    </row>
    <row r="60" customFormat="false" ht="15" hidden="false" customHeight="false" outlineLevel="0" collapsed="false">
      <c r="B60" s="13" t="s">
        <v>391</v>
      </c>
      <c r="C60" s="13" t="s">
        <v>392</v>
      </c>
      <c r="D60" s="13" t="s">
        <v>156</v>
      </c>
      <c r="E60" s="24" t="n">
        <v>45658</v>
      </c>
      <c r="F60" s="24" t="n">
        <v>45866</v>
      </c>
      <c r="G60" s="29" t="n">
        <f aca="false">F60-DATE(2025,12,31)</f>
        <v>-156</v>
      </c>
      <c r="H60" s="30" t="str">
        <f aca="false">IF(G60&lt;0,"EXPIRED",IF(G60&lt;=30,"Expiring Soon","Current"))</f>
        <v>EXPIRED</v>
      </c>
      <c r="I60" s="30" t="str">
        <f aca="false">IF(H60="EXPIRED","Renew immediately - billing exposure",IF(H60="Expiring Soon","Initiate renewal","None"))</f>
        <v>Renew immediately - billing exposure</v>
      </c>
    </row>
    <row r="61" customFormat="false" ht="15" hidden="false" customHeight="false" outlineLevel="0" collapsed="false">
      <c r="B61" s="13" t="s">
        <v>393</v>
      </c>
      <c r="C61" s="13" t="s">
        <v>394</v>
      </c>
      <c r="D61" s="13" t="s">
        <v>157</v>
      </c>
      <c r="E61" s="24" t="n">
        <v>45658</v>
      </c>
      <c r="F61" s="24" t="n">
        <v>45866</v>
      </c>
      <c r="G61" s="29" t="n">
        <f aca="false">F61-DATE(2025,12,31)</f>
        <v>-156</v>
      </c>
      <c r="H61" s="30" t="str">
        <f aca="false">IF(G61&lt;0,"EXPIRED",IF(G61&lt;=30,"Expiring Soon","Current"))</f>
        <v>EXPIRED</v>
      </c>
      <c r="I61" s="30" t="str">
        <f aca="false">IF(H61="EXPIRED","Renew immediately - billing exposure",IF(H61="Expiring Soon","Initiate renewal","None"))</f>
        <v>Renew immediately - billing exposure</v>
      </c>
    </row>
    <row r="62" customFormat="false" ht="15" hidden="false" customHeight="false" outlineLevel="0" collapsed="false">
      <c r="B62" s="13" t="s">
        <v>395</v>
      </c>
      <c r="C62" s="13" t="s">
        <v>396</v>
      </c>
      <c r="D62" s="13" t="s">
        <v>156</v>
      </c>
      <c r="E62" s="24" t="n">
        <v>45658</v>
      </c>
      <c r="F62" s="24" t="n">
        <v>45866</v>
      </c>
      <c r="G62" s="29" t="n">
        <f aca="false">F62-DATE(2025,12,31)</f>
        <v>-156</v>
      </c>
      <c r="H62" s="30" t="str">
        <f aca="false">IF(G62&lt;0,"EXPIRED",IF(G62&lt;=30,"Expiring Soon","Current"))</f>
        <v>EXPIRED</v>
      </c>
      <c r="I62" s="30" t="str">
        <f aca="false">IF(H62="EXPIRED","Renew immediately - billing exposure",IF(H62="Expiring Soon","Initiate renewal","None"))</f>
        <v>Renew immediately - billing exposure</v>
      </c>
    </row>
    <row r="63" customFormat="false" ht="15" hidden="false" customHeight="false" outlineLevel="0" collapsed="false">
      <c r="B63" s="13" t="s">
        <v>397</v>
      </c>
      <c r="C63" s="13" t="s">
        <v>398</v>
      </c>
      <c r="D63" s="13" t="s">
        <v>159</v>
      </c>
      <c r="E63" s="24" t="n">
        <v>45701</v>
      </c>
      <c r="F63" s="24" t="n">
        <v>45897</v>
      </c>
      <c r="G63" s="29" t="n">
        <f aca="false">F63-DATE(2025,12,31)</f>
        <v>-125</v>
      </c>
      <c r="H63" s="30" t="str">
        <f aca="false">IF(G63&lt;0,"EXPIRED",IF(G63&lt;=30,"Expiring Soon","Current"))</f>
        <v>EXPIRED</v>
      </c>
      <c r="I63" s="30" t="str">
        <f aca="false">IF(H63="EXPIRED","Renew immediately - billing exposure",IF(H63="Expiring Soon","Initiate renewal","None"))</f>
        <v>Renew immediately - billing exposure</v>
      </c>
    </row>
    <row r="64" customFormat="false" ht="15" hidden="false" customHeight="false" outlineLevel="0" collapsed="false">
      <c r="B64" s="13" t="s">
        <v>399</v>
      </c>
      <c r="C64" s="13" t="s">
        <v>400</v>
      </c>
      <c r="D64" s="13" t="s">
        <v>154</v>
      </c>
      <c r="E64" s="24" t="n">
        <v>45658</v>
      </c>
      <c r="F64" s="24" t="n">
        <v>45866</v>
      </c>
      <c r="G64" s="29" t="n">
        <f aca="false">F64-DATE(2025,12,31)</f>
        <v>-156</v>
      </c>
      <c r="H64" s="30" t="str">
        <f aca="false">IF(G64&lt;0,"EXPIRED",IF(G64&lt;=30,"Expiring Soon","Current"))</f>
        <v>EXPIRED</v>
      </c>
      <c r="I64" s="30" t="str">
        <f aca="false">IF(H64="EXPIRED","Renew immediately - billing exposure",IF(H64="Expiring Soon","Initiate renewal","None"))</f>
        <v>Renew immediately - billing exposure</v>
      </c>
    </row>
    <row r="65" customFormat="false" ht="15" hidden="false" customHeight="false" outlineLevel="0" collapsed="false">
      <c r="B65" s="13" t="s">
        <v>401</v>
      </c>
      <c r="C65" s="13" t="s">
        <v>402</v>
      </c>
      <c r="D65" s="13" t="s">
        <v>156</v>
      </c>
      <c r="E65" s="24" t="n">
        <v>45658</v>
      </c>
      <c r="F65" s="24" t="n">
        <v>45866</v>
      </c>
      <c r="G65" s="29" t="n">
        <f aca="false">F65-DATE(2025,12,31)</f>
        <v>-156</v>
      </c>
      <c r="H65" s="30" t="str">
        <f aca="false">IF(G65&lt;0,"EXPIRED",IF(G65&lt;=30,"Expiring Soon","Current"))</f>
        <v>EXPIRED</v>
      </c>
      <c r="I65" s="30" t="str">
        <f aca="false">IF(H65="EXPIRED","Renew immediately - billing exposure",IF(H65="Expiring Soon","Initiate renewal","None"))</f>
        <v>Renew immediately - billing exposure</v>
      </c>
    </row>
    <row r="66" customFormat="false" ht="15" hidden="false" customHeight="false" outlineLevel="0" collapsed="false">
      <c r="B66" s="13" t="s">
        <v>403</v>
      </c>
      <c r="C66" s="13" t="s">
        <v>404</v>
      </c>
      <c r="D66" s="13" t="s">
        <v>156</v>
      </c>
      <c r="E66" s="24" t="n">
        <v>45880</v>
      </c>
      <c r="F66" s="24" t="n">
        <v>46081</v>
      </c>
      <c r="G66" s="29" t="n">
        <f aca="false">F66-DATE(2025,12,31)</f>
        <v>59</v>
      </c>
      <c r="H66" s="30" t="str">
        <f aca="false">IF(G66&lt;0,"EXPIRED",IF(G66&lt;=30,"Expiring Soon","Current"))</f>
        <v>Current</v>
      </c>
      <c r="I66" s="30" t="str">
        <f aca="false">IF(H66="EXPIRED","Renew immediately - billing exposure",IF(H66="Expiring Soon","Initiate renewal","None"))</f>
        <v>None</v>
      </c>
    </row>
    <row r="67" customFormat="false" ht="15" hidden="false" customHeight="false" outlineLevel="0" collapsed="false">
      <c r="B67" s="13" t="s">
        <v>405</v>
      </c>
      <c r="C67" s="13" t="s">
        <v>406</v>
      </c>
      <c r="D67" s="13" t="s">
        <v>156</v>
      </c>
      <c r="E67" s="24" t="n">
        <v>45997</v>
      </c>
      <c r="F67" s="24" t="n">
        <v>46201</v>
      </c>
      <c r="G67" s="29" t="n">
        <f aca="false">F67-DATE(2025,12,31)</f>
        <v>179</v>
      </c>
      <c r="H67" s="30" t="str">
        <f aca="false">IF(G67&lt;0,"EXPIRED",IF(G67&lt;=30,"Expiring Soon","Current"))</f>
        <v>Current</v>
      </c>
      <c r="I67" s="30" t="str">
        <f aca="false">IF(H67="EXPIRED","Renew immediately - billing exposure",IF(H67="Expiring Soon","Initiate renewal","None"))</f>
        <v>None</v>
      </c>
    </row>
    <row r="68" customFormat="false" ht="15" hidden="false" customHeight="false" outlineLevel="0" collapsed="false">
      <c r="B68" s="13" t="s">
        <v>407</v>
      </c>
      <c r="C68" s="13" t="s">
        <v>408</v>
      </c>
      <c r="D68" s="13" t="s">
        <v>159</v>
      </c>
      <c r="E68" s="24" t="n">
        <v>45658</v>
      </c>
      <c r="F68" s="24" t="n">
        <v>45866</v>
      </c>
      <c r="G68" s="29" t="n">
        <f aca="false">F68-DATE(2025,12,31)</f>
        <v>-156</v>
      </c>
      <c r="H68" s="30" t="str">
        <f aca="false">IF(G68&lt;0,"EXPIRED",IF(G68&lt;=30,"Expiring Soon","Current"))</f>
        <v>EXPIRED</v>
      </c>
      <c r="I68" s="30" t="str">
        <f aca="false">IF(H68="EXPIRED","Renew immediately - billing exposure",IF(H68="Expiring Soon","Initiate renewal","None"))</f>
        <v>Renew immediately - billing exposure</v>
      </c>
    </row>
    <row r="69" customFormat="false" ht="15" hidden="false" customHeight="false" outlineLevel="0" collapsed="false">
      <c r="B69" s="13" t="s">
        <v>409</v>
      </c>
      <c r="C69" s="13" t="s">
        <v>410</v>
      </c>
      <c r="D69" s="13" t="s">
        <v>154</v>
      </c>
      <c r="E69" s="24" t="n">
        <v>45658</v>
      </c>
      <c r="F69" s="24" t="n">
        <v>45866</v>
      </c>
      <c r="G69" s="29" t="n">
        <f aca="false">F69-DATE(2025,12,31)</f>
        <v>-156</v>
      </c>
      <c r="H69" s="30" t="str">
        <f aca="false">IF(G69&lt;0,"EXPIRED",IF(G69&lt;=30,"Expiring Soon","Current"))</f>
        <v>EXPIRED</v>
      </c>
      <c r="I69" s="30" t="str">
        <f aca="false">IF(H69="EXPIRED","Renew immediately - billing exposure",IF(H69="Expiring Soon","Initiate renewal","None"))</f>
        <v>Renew immediately - billing exposure</v>
      </c>
    </row>
    <row r="70" customFormat="false" ht="15" hidden="false" customHeight="false" outlineLevel="0" collapsed="false">
      <c r="B70" s="13" t="s">
        <v>411</v>
      </c>
      <c r="C70" s="13" t="s">
        <v>412</v>
      </c>
      <c r="D70" s="13" t="s">
        <v>154</v>
      </c>
      <c r="E70" s="24" t="n">
        <v>45658</v>
      </c>
      <c r="F70" s="24" t="n">
        <v>45866</v>
      </c>
      <c r="G70" s="29" t="n">
        <f aca="false">F70-DATE(2025,12,31)</f>
        <v>-156</v>
      </c>
      <c r="H70" s="30" t="str">
        <f aca="false">IF(G70&lt;0,"EXPIRED",IF(G70&lt;=30,"Expiring Soon","Current"))</f>
        <v>EXPIRED</v>
      </c>
      <c r="I70" s="30" t="str">
        <f aca="false">IF(H70="EXPIRED","Renew immediately - billing exposure",IF(H70="Expiring Soon","Initiate renewal","None"))</f>
        <v>Renew immediately - billing exposure</v>
      </c>
    </row>
    <row r="72" customFormat="false" ht="15" hidden="false" customHeight="false" outlineLevel="0" collapsed="false">
      <c r="B72" s="31" t="s">
        <v>421</v>
      </c>
      <c r="C72" s="31" t="n">
        <f aca="false">COUNTIF(H6:H70,"EXPIRED")+COUNTIF(H6:H70,"Expiring Soon")</f>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F4E"/>
    <pageSetUpPr fitToPage="false"/>
  </sheetPr>
  <dimension ref="B2: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20"/>
    <col collapsed="false" customWidth="true" hidden="false" outlineLevel="0" max="4" min="4" style="0" width="18"/>
    <col collapsed="false" customWidth="true" hidden="false" outlineLevel="0" max="6" min="5" style="0" width="16"/>
    <col collapsed="false" customWidth="true" hidden="false" outlineLevel="0" max="7" min="7" style="0" width="14"/>
    <col collapsed="false" customWidth="true" hidden="false" outlineLevel="0" max="8" min="8" style="0" width="20"/>
  </cols>
  <sheetData>
    <row r="2" customFormat="false" ht="17.35" hidden="false" customHeight="false" outlineLevel="0" collapsed="false">
      <c r="B2" s="1" t="s">
        <v>422</v>
      </c>
    </row>
    <row r="3" customFormat="false" ht="15" hidden="false" customHeight="false" outlineLevel="0" collapsed="false">
      <c r="B3" s="2" t="s">
        <v>423</v>
      </c>
    </row>
    <row r="5" customFormat="false" ht="23.85" hidden="false" customHeight="false" outlineLevel="0" collapsed="false">
      <c r="B5" s="11" t="s">
        <v>168</v>
      </c>
      <c r="C5" s="11" t="s">
        <v>169</v>
      </c>
      <c r="D5" s="11" t="s">
        <v>424</v>
      </c>
      <c r="E5" s="11" t="s">
        <v>425</v>
      </c>
      <c r="F5" s="11" t="s">
        <v>419</v>
      </c>
      <c r="G5" s="11" t="s">
        <v>176</v>
      </c>
      <c r="H5" s="11" t="s">
        <v>420</v>
      </c>
    </row>
    <row r="6" customFormat="false" ht="15" hidden="false" customHeight="false" outlineLevel="0" collapsed="false">
      <c r="B6" s="13" t="s">
        <v>177</v>
      </c>
      <c r="C6" s="13" t="s">
        <v>178</v>
      </c>
      <c r="D6" s="24" t="n">
        <v>45658</v>
      </c>
      <c r="E6" s="24" t="n">
        <v>46023</v>
      </c>
      <c r="F6" s="29" t="n">
        <f aca="false">E6-DATE(2025,12,31)</f>
        <v>1</v>
      </c>
      <c r="G6" s="30" t="str">
        <f aca="false">IF(F6&lt;0,"EXPIRED",IF(F6&lt;=60,"Expiring Soon","Current"))</f>
        <v>Expiring Soon</v>
      </c>
      <c r="H6" s="30" t="str">
        <f aca="false">IF(G6="EXPIRED","Cannot bill for this caregiver - renew now",IF(G6="Expiring Soon","Schedule renewal","None"))</f>
        <v>Schedule renewal</v>
      </c>
    </row>
    <row r="7" customFormat="false" ht="15" hidden="false" customHeight="false" outlineLevel="0" collapsed="false">
      <c r="B7" s="13" t="s">
        <v>184</v>
      </c>
      <c r="C7" s="13" t="s">
        <v>185</v>
      </c>
      <c r="D7" s="24" t="n">
        <v>45658</v>
      </c>
      <c r="E7" s="24" t="n">
        <v>46023</v>
      </c>
      <c r="F7" s="29" t="n">
        <f aca="false">E7-DATE(2025,12,31)</f>
        <v>1</v>
      </c>
      <c r="G7" s="30" t="str">
        <f aca="false">IF(F7&lt;0,"EXPIRED",IF(F7&lt;=60,"Expiring Soon","Current"))</f>
        <v>Expiring Soon</v>
      </c>
      <c r="H7" s="30" t="str">
        <f aca="false">IF(G7="EXPIRED","Cannot bill for this caregiver - renew now",IF(G7="Expiring Soon","Schedule renewal","None"))</f>
        <v>Schedule renewal</v>
      </c>
    </row>
    <row r="8" customFormat="false" ht="15" hidden="false" customHeight="false" outlineLevel="0" collapsed="false">
      <c r="B8" s="13" t="s">
        <v>187</v>
      </c>
      <c r="C8" s="13" t="s">
        <v>188</v>
      </c>
      <c r="D8" s="24" t="n">
        <v>45658</v>
      </c>
      <c r="E8" s="24" t="n">
        <v>46023</v>
      </c>
      <c r="F8" s="29" t="n">
        <f aca="false">E8-DATE(2025,12,31)</f>
        <v>1</v>
      </c>
      <c r="G8" s="30" t="str">
        <f aca="false">IF(F8&lt;0,"EXPIRED",IF(F8&lt;=60,"Expiring Soon","Current"))</f>
        <v>Expiring Soon</v>
      </c>
      <c r="H8" s="30" t="str">
        <f aca="false">IF(G8="EXPIRED","Cannot bill for this caregiver - renew now",IF(G8="Expiring Soon","Schedule renewal","None"))</f>
        <v>Schedule renewal</v>
      </c>
    </row>
    <row r="9" customFormat="false" ht="15" hidden="false" customHeight="false" outlineLevel="0" collapsed="false">
      <c r="B9" s="13" t="s">
        <v>191</v>
      </c>
      <c r="C9" s="13" t="s">
        <v>192</v>
      </c>
      <c r="D9" s="24" t="n">
        <v>45658</v>
      </c>
      <c r="E9" s="24" t="n">
        <v>46023</v>
      </c>
      <c r="F9" s="29" t="n">
        <f aca="false">E9-DATE(2025,12,31)</f>
        <v>1</v>
      </c>
      <c r="G9" s="30" t="str">
        <f aca="false">IF(F9&lt;0,"EXPIRED",IF(F9&lt;=60,"Expiring Soon","Current"))</f>
        <v>Expiring Soon</v>
      </c>
      <c r="H9" s="30" t="str">
        <f aca="false">IF(G9="EXPIRED","Cannot bill for this caregiver - renew now",IF(G9="Expiring Soon","Schedule renewal","None"))</f>
        <v>Schedule renewal</v>
      </c>
    </row>
    <row r="10" customFormat="false" ht="15" hidden="false" customHeight="false" outlineLevel="0" collapsed="false">
      <c r="B10" s="13" t="s">
        <v>194</v>
      </c>
      <c r="C10" s="13" t="s">
        <v>195</v>
      </c>
      <c r="D10" s="24" t="n">
        <v>45658</v>
      </c>
      <c r="E10" s="24" t="n">
        <v>46023</v>
      </c>
      <c r="F10" s="29" t="n">
        <f aca="false">E10-DATE(2025,12,31)</f>
        <v>1</v>
      </c>
      <c r="G10" s="30" t="str">
        <f aca="false">IF(F10&lt;0,"EXPIRED",IF(F10&lt;=60,"Expiring Soon","Current"))</f>
        <v>Expiring Soon</v>
      </c>
      <c r="H10" s="30" t="str">
        <f aca="false">IF(G10="EXPIRED","Cannot bill for this caregiver - renew now",IF(G10="Expiring Soon","Schedule renewal","None"))</f>
        <v>Schedule renewal</v>
      </c>
    </row>
    <row r="11" customFormat="false" ht="15" hidden="false" customHeight="false" outlineLevel="0" collapsed="false">
      <c r="B11" s="13" t="s">
        <v>196</v>
      </c>
      <c r="C11" s="13" t="s">
        <v>197</v>
      </c>
      <c r="D11" s="24" t="n">
        <v>45658</v>
      </c>
      <c r="E11" s="24" t="n">
        <v>46023</v>
      </c>
      <c r="F11" s="29" t="n">
        <f aca="false">E11-DATE(2025,12,31)</f>
        <v>1</v>
      </c>
      <c r="G11" s="30" t="str">
        <f aca="false">IF(F11&lt;0,"EXPIRED",IF(F11&lt;=60,"Expiring Soon","Current"))</f>
        <v>Expiring Soon</v>
      </c>
      <c r="H11" s="30" t="str">
        <f aca="false">IF(G11="EXPIRED","Cannot bill for this caregiver - renew now",IF(G11="Expiring Soon","Schedule renewal","None"))</f>
        <v>Schedule renewal</v>
      </c>
    </row>
    <row r="12" customFormat="false" ht="15" hidden="false" customHeight="false" outlineLevel="0" collapsed="false">
      <c r="B12" s="13" t="s">
        <v>198</v>
      </c>
      <c r="C12" s="13" t="s">
        <v>199</v>
      </c>
      <c r="D12" s="24" t="n">
        <v>45770</v>
      </c>
      <c r="E12" s="24" t="n">
        <v>46135</v>
      </c>
      <c r="F12" s="29" t="n">
        <f aca="false">E12-DATE(2025,12,31)</f>
        <v>113</v>
      </c>
      <c r="G12" s="30" t="str">
        <f aca="false">IF(F12&lt;0,"EXPIRED",IF(F12&lt;=60,"Expiring Soon","Current"))</f>
        <v>Current</v>
      </c>
      <c r="H12" s="30" t="str">
        <f aca="false">IF(G12="EXPIRED","Cannot bill for this caregiver - renew now",IF(G12="Expiring Soon","Schedule renewal","None"))</f>
        <v>None</v>
      </c>
    </row>
    <row r="13" customFormat="false" ht="15" hidden="false" customHeight="false" outlineLevel="0" collapsed="false">
      <c r="B13" s="13" t="s">
        <v>201</v>
      </c>
      <c r="C13" s="13" t="s">
        <v>202</v>
      </c>
      <c r="D13" s="24" t="n">
        <v>45658</v>
      </c>
      <c r="E13" s="24" t="n">
        <v>46023</v>
      </c>
      <c r="F13" s="29" t="n">
        <f aca="false">E13-DATE(2025,12,31)</f>
        <v>1</v>
      </c>
      <c r="G13" s="30" t="str">
        <f aca="false">IF(F13&lt;0,"EXPIRED",IF(F13&lt;=60,"Expiring Soon","Current"))</f>
        <v>Expiring Soon</v>
      </c>
      <c r="H13" s="30" t="str">
        <f aca="false">IF(G13="EXPIRED","Cannot bill for this caregiver - renew now",IF(G13="Expiring Soon","Schedule renewal","None"))</f>
        <v>Schedule renewal</v>
      </c>
    </row>
    <row r="14" customFormat="false" ht="15" hidden="false" customHeight="false" outlineLevel="0" collapsed="false">
      <c r="B14" s="13" t="s">
        <v>203</v>
      </c>
      <c r="C14" s="13" t="s">
        <v>204</v>
      </c>
      <c r="D14" s="24" t="n">
        <v>45658</v>
      </c>
      <c r="E14" s="24" t="n">
        <v>46023</v>
      </c>
      <c r="F14" s="29" t="n">
        <f aca="false">E14-DATE(2025,12,31)</f>
        <v>1</v>
      </c>
      <c r="G14" s="30" t="str">
        <f aca="false">IF(F14&lt;0,"EXPIRED",IF(F14&lt;=60,"Expiring Soon","Current"))</f>
        <v>Expiring Soon</v>
      </c>
      <c r="H14" s="30" t="str">
        <f aca="false">IF(G14="EXPIRED","Cannot bill for this caregiver - renew now",IF(G14="Expiring Soon","Schedule renewal","None"))</f>
        <v>Schedule renewal</v>
      </c>
    </row>
    <row r="15" customFormat="false" ht="15" hidden="false" customHeight="false" outlineLevel="0" collapsed="false">
      <c r="B15" s="13" t="s">
        <v>205</v>
      </c>
      <c r="C15" s="13" t="s">
        <v>206</v>
      </c>
      <c r="D15" s="24" t="n">
        <v>45658</v>
      </c>
      <c r="E15" s="24" t="n">
        <v>46023</v>
      </c>
      <c r="F15" s="29" t="n">
        <f aca="false">E15-DATE(2025,12,31)</f>
        <v>1</v>
      </c>
      <c r="G15" s="30" t="str">
        <f aca="false">IF(F15&lt;0,"EXPIRED",IF(F15&lt;=60,"Expiring Soon","Current"))</f>
        <v>Expiring Soon</v>
      </c>
      <c r="H15" s="30" t="str">
        <f aca="false">IF(G15="EXPIRED","Cannot bill for this caregiver - renew now",IF(G15="Expiring Soon","Schedule renewal","None"))</f>
        <v>Schedule renewal</v>
      </c>
    </row>
    <row r="16" customFormat="false" ht="15" hidden="false" customHeight="false" outlineLevel="0" collapsed="false">
      <c r="B16" s="13" t="s">
        <v>207</v>
      </c>
      <c r="C16" s="13" t="s">
        <v>208</v>
      </c>
      <c r="D16" s="24" t="n">
        <v>45658</v>
      </c>
      <c r="E16" s="24" t="n">
        <v>46023</v>
      </c>
      <c r="F16" s="29" t="n">
        <f aca="false">E16-DATE(2025,12,31)</f>
        <v>1</v>
      </c>
      <c r="G16" s="30" t="str">
        <f aca="false">IF(F16&lt;0,"EXPIRED",IF(F16&lt;=60,"Expiring Soon","Current"))</f>
        <v>Expiring Soon</v>
      </c>
      <c r="H16" s="30" t="str">
        <f aca="false">IF(G16="EXPIRED","Cannot bill for this caregiver - renew now",IF(G16="Expiring Soon","Schedule renewal","None"))</f>
        <v>Schedule renewal</v>
      </c>
    </row>
    <row r="17" customFormat="false" ht="15" hidden="false" customHeight="false" outlineLevel="0" collapsed="false">
      <c r="B17" s="13" t="s">
        <v>209</v>
      </c>
      <c r="C17" s="13" t="s">
        <v>210</v>
      </c>
      <c r="D17" s="24" t="n">
        <v>45658</v>
      </c>
      <c r="E17" s="24" t="n">
        <v>46023</v>
      </c>
      <c r="F17" s="29" t="n">
        <f aca="false">E17-DATE(2025,12,31)</f>
        <v>1</v>
      </c>
      <c r="G17" s="30" t="str">
        <f aca="false">IF(F17&lt;0,"EXPIRED",IF(F17&lt;=60,"Expiring Soon","Current"))</f>
        <v>Expiring Soon</v>
      </c>
      <c r="H17" s="30" t="str">
        <f aca="false">IF(G17="EXPIRED","Cannot bill for this caregiver - renew now",IF(G17="Expiring Soon","Schedule renewal","None"))</f>
        <v>Schedule renewal</v>
      </c>
    </row>
    <row r="18" customFormat="false" ht="15" hidden="false" customHeight="false" outlineLevel="0" collapsed="false">
      <c r="B18" s="13" t="s">
        <v>212</v>
      </c>
      <c r="C18" s="13" t="s">
        <v>213</v>
      </c>
      <c r="D18" s="24" t="n">
        <v>45658</v>
      </c>
      <c r="E18" s="24" t="n">
        <v>46023</v>
      </c>
      <c r="F18" s="29" t="n">
        <f aca="false">E18-DATE(2025,12,31)</f>
        <v>1</v>
      </c>
      <c r="G18" s="30" t="str">
        <f aca="false">IF(F18&lt;0,"EXPIRED",IF(F18&lt;=60,"Expiring Soon","Current"))</f>
        <v>Expiring Soon</v>
      </c>
      <c r="H18" s="30" t="str">
        <f aca="false">IF(G18="EXPIRED","Cannot bill for this caregiver - renew now",IF(G18="Expiring Soon","Schedule renewal","None"))</f>
        <v>Schedule renewal</v>
      </c>
    </row>
    <row r="19" customFormat="false" ht="15" hidden="false" customHeight="false" outlineLevel="0" collapsed="false">
      <c r="B19" s="13" t="s">
        <v>214</v>
      </c>
      <c r="C19" s="13" t="s">
        <v>215</v>
      </c>
      <c r="D19" s="24" t="n">
        <v>45658</v>
      </c>
      <c r="E19" s="24" t="n">
        <v>46023</v>
      </c>
      <c r="F19" s="29" t="n">
        <f aca="false">E19-DATE(2025,12,31)</f>
        <v>1</v>
      </c>
      <c r="G19" s="30" t="str">
        <f aca="false">IF(F19&lt;0,"EXPIRED",IF(F19&lt;=60,"Expiring Soon","Current"))</f>
        <v>Expiring Soon</v>
      </c>
      <c r="H19" s="30" t="str">
        <f aca="false">IF(G19="EXPIRED","Cannot bill for this caregiver - renew now",IF(G19="Expiring Soon","Schedule renewal","None"))</f>
        <v>Schedule renewal</v>
      </c>
    </row>
    <row r="20" customFormat="false" ht="15" hidden="false" customHeight="false" outlineLevel="0" collapsed="false">
      <c r="B20" s="13" t="s">
        <v>216</v>
      </c>
      <c r="C20" s="13" t="s">
        <v>217</v>
      </c>
      <c r="D20" s="24" t="n">
        <v>45866</v>
      </c>
      <c r="E20" s="24" t="n">
        <v>46231</v>
      </c>
      <c r="F20" s="29" t="n">
        <f aca="false">E20-DATE(2025,12,31)</f>
        <v>209</v>
      </c>
      <c r="G20" s="30" t="str">
        <f aca="false">IF(F20&lt;0,"EXPIRED",IF(F20&lt;=60,"Expiring Soon","Current"))</f>
        <v>Current</v>
      </c>
      <c r="H20" s="30" t="str">
        <f aca="false">IF(G20="EXPIRED","Cannot bill for this caregiver - renew now",IF(G20="Expiring Soon","Schedule renewal","None"))</f>
        <v>None</v>
      </c>
    </row>
    <row r="21" customFormat="false" ht="15" hidden="false" customHeight="false" outlineLevel="0" collapsed="false">
      <c r="B21" s="13" t="s">
        <v>218</v>
      </c>
      <c r="C21" s="13" t="s">
        <v>219</v>
      </c>
      <c r="D21" s="24" t="n">
        <v>45658</v>
      </c>
      <c r="E21" s="24" t="n">
        <v>46023</v>
      </c>
      <c r="F21" s="29" t="n">
        <f aca="false">E21-DATE(2025,12,31)</f>
        <v>1</v>
      </c>
      <c r="G21" s="30" t="str">
        <f aca="false">IF(F21&lt;0,"EXPIRED",IF(F21&lt;=60,"Expiring Soon","Current"))</f>
        <v>Expiring Soon</v>
      </c>
      <c r="H21" s="30" t="str">
        <f aca="false">IF(G21="EXPIRED","Cannot bill for this caregiver - renew now",IF(G21="Expiring Soon","Schedule renewal","None"))</f>
        <v>Schedule renewal</v>
      </c>
    </row>
    <row r="22" customFormat="false" ht="15" hidden="false" customHeight="false" outlineLevel="0" collapsed="false">
      <c r="B22" s="13" t="s">
        <v>220</v>
      </c>
      <c r="C22" s="13" t="s">
        <v>221</v>
      </c>
      <c r="D22" s="24" t="n">
        <v>45658</v>
      </c>
      <c r="E22" s="24" t="n">
        <v>46023</v>
      </c>
      <c r="F22" s="29" t="n">
        <f aca="false">E22-DATE(2025,12,31)</f>
        <v>1</v>
      </c>
      <c r="G22" s="30" t="str">
        <f aca="false">IF(F22&lt;0,"EXPIRED",IF(F22&lt;=60,"Expiring Soon","Current"))</f>
        <v>Expiring Soon</v>
      </c>
      <c r="H22" s="30" t="str">
        <f aca="false">IF(G22="EXPIRED","Cannot bill for this caregiver - renew now",IF(G22="Expiring Soon","Schedule renewal","None"))</f>
        <v>Schedule renewal</v>
      </c>
    </row>
    <row r="23" customFormat="false" ht="15" hidden="false" customHeight="false" outlineLevel="0" collapsed="false">
      <c r="B23" s="13" t="s">
        <v>222</v>
      </c>
      <c r="C23" s="13" t="s">
        <v>223</v>
      </c>
      <c r="D23" s="24" t="n">
        <v>45658</v>
      </c>
      <c r="E23" s="24" t="n">
        <v>46023</v>
      </c>
      <c r="F23" s="29" t="n">
        <f aca="false">E23-DATE(2025,12,31)</f>
        <v>1</v>
      </c>
      <c r="G23" s="30" t="str">
        <f aca="false">IF(F23&lt;0,"EXPIRED",IF(F23&lt;=60,"Expiring Soon","Current"))</f>
        <v>Expiring Soon</v>
      </c>
      <c r="H23" s="30" t="str">
        <f aca="false">IF(G23="EXPIRED","Cannot bill for this caregiver - renew now",IF(G23="Expiring Soon","Schedule renewal","None"))</f>
        <v>Schedule renewal</v>
      </c>
    </row>
    <row r="24" customFormat="false" ht="15" hidden="false" customHeight="false" outlineLevel="0" collapsed="false">
      <c r="B24" s="13" t="s">
        <v>224</v>
      </c>
      <c r="C24" s="13" t="s">
        <v>225</v>
      </c>
      <c r="D24" s="24" t="n">
        <v>45658</v>
      </c>
      <c r="E24" s="24" t="n">
        <v>46023</v>
      </c>
      <c r="F24" s="29" t="n">
        <f aca="false">E24-DATE(2025,12,31)</f>
        <v>1</v>
      </c>
      <c r="G24" s="30" t="str">
        <f aca="false">IF(F24&lt;0,"EXPIRED",IF(F24&lt;=60,"Expiring Soon","Current"))</f>
        <v>Expiring Soon</v>
      </c>
      <c r="H24" s="30" t="str">
        <f aca="false">IF(G24="EXPIRED","Cannot bill for this caregiver - renew now",IF(G24="Expiring Soon","Schedule renewal","None"))</f>
        <v>Schedule renewal</v>
      </c>
    </row>
    <row r="25" customFormat="false" ht="15" hidden="false" customHeight="false" outlineLevel="0" collapsed="false">
      <c r="B25" s="13" t="s">
        <v>226</v>
      </c>
      <c r="C25" s="13" t="s">
        <v>227</v>
      </c>
      <c r="D25" s="24" t="n">
        <v>46012</v>
      </c>
      <c r="E25" s="24" t="n">
        <v>46377</v>
      </c>
      <c r="F25" s="29" t="n">
        <f aca="false">E25-DATE(2025,12,31)</f>
        <v>355</v>
      </c>
      <c r="G25" s="30" t="str">
        <f aca="false">IF(F25&lt;0,"EXPIRED",IF(F25&lt;=60,"Expiring Soon","Current"))</f>
        <v>Current</v>
      </c>
      <c r="H25" s="30" t="str">
        <f aca="false">IF(G25="EXPIRED","Cannot bill for this caregiver - renew now",IF(G25="Expiring Soon","Schedule renewal","None"))</f>
        <v>None</v>
      </c>
    </row>
    <row r="26" customFormat="false" ht="15" hidden="false" customHeight="false" outlineLevel="0" collapsed="false">
      <c r="B26" s="13" t="s">
        <v>228</v>
      </c>
      <c r="C26" s="13" t="s">
        <v>229</v>
      </c>
      <c r="D26" s="24" t="n">
        <v>45658</v>
      </c>
      <c r="E26" s="24" t="n">
        <v>46023</v>
      </c>
      <c r="F26" s="29" t="n">
        <f aca="false">E26-DATE(2025,12,31)</f>
        <v>1</v>
      </c>
      <c r="G26" s="30" t="str">
        <f aca="false">IF(F26&lt;0,"EXPIRED",IF(F26&lt;=60,"Expiring Soon","Current"))</f>
        <v>Expiring Soon</v>
      </c>
      <c r="H26" s="30" t="str">
        <f aca="false">IF(G26="EXPIRED","Cannot bill for this caregiver - renew now",IF(G26="Expiring Soon","Schedule renewal","None"))</f>
        <v>Schedule renewal</v>
      </c>
    </row>
    <row r="27" customFormat="false" ht="15" hidden="false" customHeight="false" outlineLevel="0" collapsed="false">
      <c r="B27" s="13" t="s">
        <v>230</v>
      </c>
      <c r="C27" s="13" t="s">
        <v>231</v>
      </c>
      <c r="D27" s="24" t="n">
        <v>45803</v>
      </c>
      <c r="E27" s="24" t="n">
        <v>46168</v>
      </c>
      <c r="F27" s="29" t="n">
        <f aca="false">E27-DATE(2025,12,31)</f>
        <v>146</v>
      </c>
      <c r="G27" s="30" t="str">
        <f aca="false">IF(F27&lt;0,"EXPIRED",IF(F27&lt;=60,"Expiring Soon","Current"))</f>
        <v>Current</v>
      </c>
      <c r="H27" s="30" t="str">
        <f aca="false">IF(G27="EXPIRED","Cannot bill for this caregiver - renew now",IF(G27="Expiring Soon","Schedule renewal","None"))</f>
        <v>None</v>
      </c>
    </row>
    <row r="28" customFormat="false" ht="15" hidden="false" customHeight="false" outlineLevel="0" collapsed="false">
      <c r="B28" s="13" t="s">
        <v>232</v>
      </c>
      <c r="C28" s="13" t="s">
        <v>233</v>
      </c>
      <c r="D28" s="24" t="n">
        <v>45658</v>
      </c>
      <c r="E28" s="24" t="n">
        <v>46023</v>
      </c>
      <c r="F28" s="29" t="n">
        <f aca="false">E28-DATE(2025,12,31)</f>
        <v>1</v>
      </c>
      <c r="G28" s="30" t="str">
        <f aca="false">IF(F28&lt;0,"EXPIRED",IF(F28&lt;=60,"Expiring Soon","Current"))</f>
        <v>Expiring Soon</v>
      </c>
      <c r="H28" s="30" t="str">
        <f aca="false">IF(G28="EXPIRED","Cannot bill for this caregiver - renew now",IF(G28="Expiring Soon","Schedule renewal","None"))</f>
        <v>Schedule renewal</v>
      </c>
    </row>
    <row r="29" customFormat="false" ht="15" hidden="false" customHeight="false" outlineLevel="0" collapsed="false">
      <c r="B29" s="13" t="s">
        <v>234</v>
      </c>
      <c r="C29" s="13" t="s">
        <v>235</v>
      </c>
      <c r="D29" s="24" t="n">
        <v>45658</v>
      </c>
      <c r="E29" s="24" t="n">
        <v>46023</v>
      </c>
      <c r="F29" s="29" t="n">
        <f aca="false">E29-DATE(2025,12,31)</f>
        <v>1</v>
      </c>
      <c r="G29" s="30" t="str">
        <f aca="false">IF(F29&lt;0,"EXPIRED",IF(F29&lt;=60,"Expiring Soon","Current"))</f>
        <v>Expiring Soon</v>
      </c>
      <c r="H29" s="30" t="str">
        <f aca="false">IF(G29="EXPIRED","Cannot bill for this caregiver - renew now",IF(G29="Expiring Soon","Schedule renewal","None"))</f>
        <v>Schedule renewal</v>
      </c>
    </row>
    <row r="30" customFormat="false" ht="15" hidden="false" customHeight="false" outlineLevel="0" collapsed="false">
      <c r="B30" s="13" t="s">
        <v>236</v>
      </c>
      <c r="C30" s="13" t="s">
        <v>237</v>
      </c>
      <c r="D30" s="24" t="n">
        <v>45915</v>
      </c>
      <c r="E30" s="24" t="n">
        <v>46280</v>
      </c>
      <c r="F30" s="29" t="n">
        <f aca="false">E30-DATE(2025,12,31)</f>
        <v>258</v>
      </c>
      <c r="G30" s="30" t="str">
        <f aca="false">IF(F30&lt;0,"EXPIRED",IF(F30&lt;=60,"Expiring Soon","Current"))</f>
        <v>Current</v>
      </c>
      <c r="H30" s="30" t="str">
        <f aca="false">IF(G30="EXPIRED","Cannot bill for this caregiver - renew now",IF(G30="Expiring Soon","Schedule renewal","None"))</f>
        <v>None</v>
      </c>
    </row>
    <row r="31" customFormat="false" ht="15" hidden="false" customHeight="false" outlineLevel="0" collapsed="false">
      <c r="B31" s="13" t="s">
        <v>238</v>
      </c>
      <c r="C31" s="13" t="s">
        <v>239</v>
      </c>
      <c r="D31" s="24" t="n">
        <v>45706</v>
      </c>
      <c r="E31" s="24" t="n">
        <v>46071</v>
      </c>
      <c r="F31" s="29" t="n">
        <f aca="false">E31-DATE(2025,12,31)</f>
        <v>49</v>
      </c>
      <c r="G31" s="30" t="str">
        <f aca="false">IF(F31&lt;0,"EXPIRED",IF(F31&lt;=60,"Expiring Soon","Current"))</f>
        <v>Expiring Soon</v>
      </c>
      <c r="H31" s="30" t="str">
        <f aca="false">IF(G31="EXPIRED","Cannot bill for this caregiver - renew now",IF(G31="Expiring Soon","Schedule renewal","None"))</f>
        <v>Schedule renewal</v>
      </c>
    </row>
    <row r="32" customFormat="false" ht="15" hidden="false" customHeight="false" outlineLevel="0" collapsed="false">
      <c r="B32" s="13" t="s">
        <v>240</v>
      </c>
      <c r="C32" s="13" t="s">
        <v>241</v>
      </c>
      <c r="D32" s="24" t="n">
        <v>45882</v>
      </c>
      <c r="E32" s="24" t="n">
        <v>46247</v>
      </c>
      <c r="F32" s="29" t="n">
        <f aca="false">E32-DATE(2025,12,31)</f>
        <v>225</v>
      </c>
      <c r="G32" s="30" t="str">
        <f aca="false">IF(F32&lt;0,"EXPIRED",IF(F32&lt;=60,"Expiring Soon","Current"))</f>
        <v>Current</v>
      </c>
      <c r="H32" s="30" t="str">
        <f aca="false">IF(G32="EXPIRED","Cannot bill for this caregiver - renew now",IF(G32="Expiring Soon","Schedule renewal","None"))</f>
        <v>None</v>
      </c>
    </row>
    <row r="33" customFormat="false" ht="15" hidden="false" customHeight="false" outlineLevel="0" collapsed="false">
      <c r="B33" s="13" t="s">
        <v>242</v>
      </c>
      <c r="C33" s="13" t="s">
        <v>243</v>
      </c>
      <c r="D33" s="24" t="n">
        <v>45658</v>
      </c>
      <c r="E33" s="24" t="n">
        <v>46023</v>
      </c>
      <c r="F33" s="29" t="n">
        <f aca="false">E33-DATE(2025,12,31)</f>
        <v>1</v>
      </c>
      <c r="G33" s="30" t="str">
        <f aca="false">IF(F33&lt;0,"EXPIRED",IF(F33&lt;=60,"Expiring Soon","Current"))</f>
        <v>Expiring Soon</v>
      </c>
      <c r="H33" s="30" t="str">
        <f aca="false">IF(G33="EXPIRED","Cannot bill for this caregiver - renew now",IF(G33="Expiring Soon","Schedule renewal","None"))</f>
        <v>Schedule renewal</v>
      </c>
    </row>
    <row r="34" customFormat="false" ht="15" hidden="false" customHeight="false" outlineLevel="0" collapsed="false">
      <c r="B34" s="13" t="s">
        <v>244</v>
      </c>
      <c r="C34" s="13" t="s">
        <v>245</v>
      </c>
      <c r="D34" s="24" t="n">
        <v>45843</v>
      </c>
      <c r="E34" s="24" t="n">
        <v>46208</v>
      </c>
      <c r="F34" s="29" t="n">
        <f aca="false">E34-DATE(2025,12,31)</f>
        <v>186</v>
      </c>
      <c r="G34" s="30" t="str">
        <f aca="false">IF(F34&lt;0,"EXPIRED",IF(F34&lt;=60,"Expiring Soon","Current"))</f>
        <v>Current</v>
      </c>
      <c r="H34" s="30" t="str">
        <f aca="false">IF(G34="EXPIRED","Cannot bill for this caregiver - renew now",IF(G34="Expiring Soon","Schedule renewal","None"))</f>
        <v>None</v>
      </c>
    </row>
    <row r="35" customFormat="false" ht="15" hidden="false" customHeight="false" outlineLevel="0" collapsed="false">
      <c r="B35" s="13" t="s">
        <v>246</v>
      </c>
      <c r="C35" s="13" t="s">
        <v>247</v>
      </c>
      <c r="D35" s="24" t="n">
        <v>45658</v>
      </c>
      <c r="E35" s="24" t="n">
        <v>46023</v>
      </c>
      <c r="F35" s="29" t="n">
        <f aca="false">E35-DATE(2025,12,31)</f>
        <v>1</v>
      </c>
      <c r="G35" s="30" t="str">
        <f aca="false">IF(F35&lt;0,"EXPIRED",IF(F35&lt;=60,"Expiring Soon","Current"))</f>
        <v>Expiring Soon</v>
      </c>
      <c r="H35" s="30" t="str">
        <f aca="false">IF(G35="EXPIRED","Cannot bill for this caregiver - renew now",IF(G35="Expiring Soon","Schedule renewal","None"))</f>
        <v>Schedule renewal</v>
      </c>
    </row>
    <row r="36" customFormat="false" ht="15" hidden="false" customHeight="false" outlineLevel="0" collapsed="false">
      <c r="B36" s="13" t="s">
        <v>248</v>
      </c>
      <c r="C36" s="13" t="s">
        <v>249</v>
      </c>
      <c r="D36" s="24" t="n">
        <v>46008</v>
      </c>
      <c r="E36" s="24" t="n">
        <v>46373</v>
      </c>
      <c r="F36" s="29" t="n">
        <f aca="false">E36-DATE(2025,12,31)</f>
        <v>351</v>
      </c>
      <c r="G36" s="30" t="str">
        <f aca="false">IF(F36&lt;0,"EXPIRED",IF(F36&lt;=60,"Expiring Soon","Current"))</f>
        <v>Current</v>
      </c>
      <c r="H36" s="30" t="str">
        <f aca="false">IF(G36="EXPIRED","Cannot bill for this caregiver - renew now",IF(G36="Expiring Soon","Schedule renewal","None"))</f>
        <v>None</v>
      </c>
    </row>
    <row r="37" customFormat="false" ht="15" hidden="false" customHeight="false" outlineLevel="0" collapsed="false">
      <c r="B37" s="13" t="s">
        <v>250</v>
      </c>
      <c r="C37" s="13" t="s">
        <v>251</v>
      </c>
      <c r="D37" s="24" t="n">
        <v>45952</v>
      </c>
      <c r="E37" s="24" t="n">
        <v>46317</v>
      </c>
      <c r="F37" s="29" t="n">
        <f aca="false">E37-DATE(2025,12,31)</f>
        <v>295</v>
      </c>
      <c r="G37" s="30" t="str">
        <f aca="false">IF(F37&lt;0,"EXPIRED",IF(F37&lt;=60,"Expiring Soon","Current"))</f>
        <v>Current</v>
      </c>
      <c r="H37" s="30" t="str">
        <f aca="false">IF(G37="EXPIRED","Cannot bill for this caregiver - renew now",IF(G37="Expiring Soon","Schedule renewal","None"))</f>
        <v>None</v>
      </c>
    </row>
    <row r="38" customFormat="false" ht="15" hidden="false" customHeight="false" outlineLevel="0" collapsed="false">
      <c r="B38" s="13" t="s">
        <v>252</v>
      </c>
      <c r="C38" s="13" t="s">
        <v>253</v>
      </c>
      <c r="D38" s="24" t="n">
        <v>45658</v>
      </c>
      <c r="E38" s="24" t="n">
        <v>46023</v>
      </c>
      <c r="F38" s="29" t="n">
        <f aca="false">E38-DATE(2025,12,31)</f>
        <v>1</v>
      </c>
      <c r="G38" s="30" t="str">
        <f aca="false">IF(F38&lt;0,"EXPIRED",IF(F38&lt;=60,"Expiring Soon","Current"))</f>
        <v>Expiring Soon</v>
      </c>
      <c r="H38" s="30" t="str">
        <f aca="false">IF(G38="EXPIRED","Cannot bill for this caregiver - renew now",IF(G38="Expiring Soon","Schedule renewal","None"))</f>
        <v>Schedule renewal</v>
      </c>
    </row>
    <row r="39" customFormat="false" ht="15" hidden="false" customHeight="false" outlineLevel="0" collapsed="false">
      <c r="B39" s="13" t="s">
        <v>254</v>
      </c>
      <c r="C39" s="13" t="s">
        <v>255</v>
      </c>
      <c r="D39" s="24" t="n">
        <v>45658</v>
      </c>
      <c r="E39" s="24" t="n">
        <v>46023</v>
      </c>
      <c r="F39" s="29" t="n">
        <f aca="false">E39-DATE(2025,12,31)</f>
        <v>1</v>
      </c>
      <c r="G39" s="30" t="str">
        <f aca="false">IF(F39&lt;0,"EXPIRED",IF(F39&lt;=60,"Expiring Soon","Current"))</f>
        <v>Expiring Soon</v>
      </c>
      <c r="H39" s="30" t="str">
        <f aca="false">IF(G39="EXPIRED","Cannot bill for this caregiver - renew now",IF(G39="Expiring Soon","Schedule renewal","None"))</f>
        <v>Schedule renewal</v>
      </c>
    </row>
    <row r="40" customFormat="false" ht="15" hidden="false" customHeight="false" outlineLevel="0" collapsed="false">
      <c r="B40" s="13" t="s">
        <v>256</v>
      </c>
      <c r="C40" s="13" t="s">
        <v>257</v>
      </c>
      <c r="D40" s="24" t="n">
        <v>45959</v>
      </c>
      <c r="E40" s="24" t="n">
        <v>46323</v>
      </c>
      <c r="F40" s="29" t="n">
        <f aca="false">E40-DATE(2025,12,31)</f>
        <v>301</v>
      </c>
      <c r="G40" s="30" t="str">
        <f aca="false">IF(F40&lt;0,"EXPIRED",IF(F40&lt;=60,"Expiring Soon","Current"))</f>
        <v>Current</v>
      </c>
      <c r="H40" s="30" t="str">
        <f aca="false">IF(G40="EXPIRED","Cannot bill for this caregiver - renew now",IF(G40="Expiring Soon","Schedule renewal","None"))</f>
        <v>None</v>
      </c>
    </row>
    <row r="41" customFormat="false" ht="15" hidden="false" customHeight="false" outlineLevel="0" collapsed="false">
      <c r="B41" s="13" t="s">
        <v>258</v>
      </c>
      <c r="C41" s="13" t="s">
        <v>259</v>
      </c>
      <c r="D41" s="24" t="n">
        <v>45733</v>
      </c>
      <c r="E41" s="24" t="n">
        <v>46098</v>
      </c>
      <c r="F41" s="29" t="n">
        <f aca="false">E41-DATE(2025,12,31)</f>
        <v>76</v>
      </c>
      <c r="G41" s="30" t="str">
        <f aca="false">IF(F41&lt;0,"EXPIRED",IF(F41&lt;=60,"Expiring Soon","Current"))</f>
        <v>Current</v>
      </c>
      <c r="H41" s="30" t="str">
        <f aca="false">IF(G41="EXPIRED","Cannot bill for this caregiver - renew now",IF(G41="Expiring Soon","Schedule renewal","None"))</f>
        <v>None</v>
      </c>
    </row>
    <row r="42" customFormat="false" ht="15" hidden="false" customHeight="false" outlineLevel="0" collapsed="false">
      <c r="B42" s="13" t="s">
        <v>260</v>
      </c>
      <c r="C42" s="13" t="s">
        <v>261</v>
      </c>
      <c r="D42" s="24" t="n">
        <v>45658</v>
      </c>
      <c r="E42" s="24" t="n">
        <v>46023</v>
      </c>
      <c r="F42" s="29" t="n">
        <f aca="false">E42-DATE(2025,12,31)</f>
        <v>1</v>
      </c>
      <c r="G42" s="30" t="str">
        <f aca="false">IF(F42&lt;0,"EXPIRED",IF(F42&lt;=60,"Expiring Soon","Current"))</f>
        <v>Expiring Soon</v>
      </c>
      <c r="H42" s="30" t="str">
        <f aca="false">IF(G42="EXPIRED","Cannot bill for this caregiver - renew now",IF(G42="Expiring Soon","Schedule renewal","None"))</f>
        <v>Schedule renewal</v>
      </c>
    </row>
    <row r="43" customFormat="false" ht="15" hidden="false" customHeight="false" outlineLevel="0" collapsed="false">
      <c r="B43" s="13" t="s">
        <v>262</v>
      </c>
      <c r="C43" s="13" t="s">
        <v>263</v>
      </c>
      <c r="D43" s="24" t="n">
        <v>45658</v>
      </c>
      <c r="E43" s="24" t="n">
        <v>46023</v>
      </c>
      <c r="F43" s="29" t="n">
        <f aca="false">E43-DATE(2025,12,31)</f>
        <v>1</v>
      </c>
      <c r="G43" s="30" t="str">
        <f aca="false">IF(F43&lt;0,"EXPIRED",IF(F43&lt;=60,"Expiring Soon","Current"))</f>
        <v>Expiring Soon</v>
      </c>
      <c r="H43" s="30" t="str">
        <f aca="false">IF(G43="EXPIRED","Cannot bill for this caregiver - renew now",IF(G43="Expiring Soon","Schedule renewal","None"))</f>
        <v>Schedule renewal</v>
      </c>
    </row>
    <row r="44" customFormat="false" ht="15" hidden="false" customHeight="false" outlineLevel="0" collapsed="false">
      <c r="B44" s="13" t="s">
        <v>264</v>
      </c>
      <c r="C44" s="13" t="s">
        <v>265</v>
      </c>
      <c r="D44" s="24" t="n">
        <v>45733</v>
      </c>
      <c r="E44" s="24" t="n">
        <v>46098</v>
      </c>
      <c r="F44" s="29" t="n">
        <f aca="false">E44-DATE(2025,12,31)</f>
        <v>76</v>
      </c>
      <c r="G44" s="30" t="str">
        <f aca="false">IF(F44&lt;0,"EXPIRED",IF(F44&lt;=60,"Expiring Soon","Current"))</f>
        <v>Current</v>
      </c>
      <c r="H44" s="30" t="str">
        <f aca="false">IF(G44="EXPIRED","Cannot bill for this caregiver - renew now",IF(G44="Expiring Soon","Schedule renewal","None"))</f>
        <v>None</v>
      </c>
    </row>
    <row r="45" customFormat="false" ht="15" hidden="false" customHeight="false" outlineLevel="0" collapsed="false">
      <c r="B45" s="13" t="s">
        <v>266</v>
      </c>
      <c r="C45" s="13" t="s">
        <v>267</v>
      </c>
      <c r="D45" s="24" t="n">
        <v>45658</v>
      </c>
      <c r="E45" s="24" t="n">
        <v>46023</v>
      </c>
      <c r="F45" s="29" t="n">
        <f aca="false">E45-DATE(2025,12,31)</f>
        <v>1</v>
      </c>
      <c r="G45" s="30" t="str">
        <f aca="false">IF(F45&lt;0,"EXPIRED",IF(F45&lt;=60,"Expiring Soon","Current"))</f>
        <v>Expiring Soon</v>
      </c>
      <c r="H45" s="30" t="str">
        <f aca="false">IF(G45="EXPIRED","Cannot bill for this caregiver - renew now",IF(G45="Expiring Soon","Schedule renewal","None"))</f>
        <v>Schedule renewal</v>
      </c>
    </row>
    <row r="47" customFormat="false" ht="15" hidden="false" customHeight="false" outlineLevel="0" collapsed="false">
      <c r="B47" s="31" t="s">
        <v>426</v>
      </c>
      <c r="C47" s="31" t="n">
        <f aca="false">COUNTIF(G6:G45,"EXPIRED")+COUNTIF(G6:G45,"Expiring Soon")</f>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6B"/>
    <pageSetUpPr fitToPage="false"/>
  </sheetPr>
  <dimension ref="B2:N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2"/>
    <col collapsed="false" customWidth="true" hidden="false" outlineLevel="0" max="4" min="4" style="0" width="16"/>
    <col collapsed="false" customWidth="true" hidden="false" outlineLevel="0" max="5" min="5" style="0" width="14"/>
    <col collapsed="false" customWidth="true" hidden="false" outlineLevel="0" max="7" min="6" style="0" width="12"/>
    <col collapsed="false" customWidth="true" hidden="false" outlineLevel="0" max="8" min="8" style="0" width="14"/>
    <col collapsed="false" customWidth="true" hidden="false" outlineLevel="0" max="10" min="9" style="0" width="16"/>
    <col collapsed="false" customWidth="true" hidden="false" outlineLevel="0" max="11" min="11" style="0" width="14"/>
  </cols>
  <sheetData>
    <row r="2" customFormat="false" ht="17.35" hidden="false" customHeight="false" outlineLevel="0" collapsed="false">
      <c r="B2" s="1" t="s">
        <v>15</v>
      </c>
    </row>
    <row r="3" customFormat="false" ht="15" hidden="false" customHeight="false" outlineLevel="0" collapsed="false">
      <c r="B3" s="2" t="s">
        <v>427</v>
      </c>
    </row>
    <row r="5" customFormat="false" ht="35.05" hidden="false" customHeight="false" outlineLevel="0" collapsed="false">
      <c r="B5" s="11" t="s">
        <v>428</v>
      </c>
      <c r="C5" s="11" t="s">
        <v>429</v>
      </c>
      <c r="D5" s="11" t="s">
        <v>430</v>
      </c>
      <c r="E5" s="11" t="s">
        <v>431</v>
      </c>
      <c r="F5" s="11" t="s">
        <v>432</v>
      </c>
      <c r="G5" s="11" t="s">
        <v>433</v>
      </c>
      <c r="H5" s="11" t="s">
        <v>434</v>
      </c>
      <c r="I5" s="11" t="s">
        <v>435</v>
      </c>
      <c r="J5" s="11" t="s">
        <v>436</v>
      </c>
      <c r="K5" s="11" t="s">
        <v>437</v>
      </c>
      <c r="L5" s="11" t="s">
        <v>438</v>
      </c>
    </row>
    <row r="6" customFormat="false" ht="15" hidden="false" customHeight="false" outlineLevel="0" collapsed="false">
      <c r="B6" s="13" t="s">
        <v>439</v>
      </c>
      <c r="C6" s="13" t="s">
        <v>440</v>
      </c>
      <c r="D6" s="13" t="s">
        <v>441</v>
      </c>
      <c r="E6" s="24" t="n">
        <v>45659</v>
      </c>
      <c r="F6" s="32" t="n">
        <v>28500</v>
      </c>
      <c r="G6" s="25" t="n">
        <v>5</v>
      </c>
      <c r="H6" s="32" t="n">
        <v>4000</v>
      </c>
      <c r="I6" s="33" t="n">
        <f aca="false">(F6-H6)/(G6*12)</f>
        <v>408.333333333333</v>
      </c>
      <c r="J6" s="30" t="n">
        <f aca="false">MIN(12-MONTH(E6)+1,G6*12)</f>
        <v>12</v>
      </c>
      <c r="K6" s="34" t="n">
        <f aca="false">I6*J6</f>
        <v>4900</v>
      </c>
      <c r="L6" s="35" t="n">
        <f aca="false">F6-K6</f>
        <v>23600</v>
      </c>
    </row>
    <row r="7" customFormat="false" ht="15" hidden="false" customHeight="false" outlineLevel="0" collapsed="false">
      <c r="B7" s="13" t="s">
        <v>442</v>
      </c>
      <c r="C7" s="13" t="s">
        <v>443</v>
      </c>
      <c r="D7" s="13" t="s">
        <v>441</v>
      </c>
      <c r="E7" s="24" t="n">
        <v>45659</v>
      </c>
      <c r="F7" s="32" t="n">
        <v>22000</v>
      </c>
      <c r="G7" s="25" t="n">
        <v>5</v>
      </c>
      <c r="H7" s="32" t="n">
        <v>3000</v>
      </c>
      <c r="I7" s="33" t="n">
        <f aca="false">(F7-H7)/(G7*12)</f>
        <v>316.666666666667</v>
      </c>
      <c r="J7" s="30" t="n">
        <f aca="false">MIN(12-MONTH(E7)+1,G7*12)</f>
        <v>12</v>
      </c>
      <c r="K7" s="34" t="n">
        <f aca="false">I7*J7</f>
        <v>3800</v>
      </c>
      <c r="L7" s="35" t="n">
        <f aca="false">F7-K7</f>
        <v>18200</v>
      </c>
    </row>
    <row r="8" customFormat="false" ht="15" hidden="false" customHeight="false" outlineLevel="0" collapsed="false">
      <c r="B8" s="13" t="s">
        <v>444</v>
      </c>
      <c r="C8" s="13" t="s">
        <v>445</v>
      </c>
      <c r="D8" s="13" t="s">
        <v>446</v>
      </c>
      <c r="E8" s="24" t="n">
        <v>45662</v>
      </c>
      <c r="F8" s="32" t="n">
        <v>6500</v>
      </c>
      <c r="G8" s="25" t="n">
        <v>3</v>
      </c>
      <c r="H8" s="32" t="n">
        <v>0</v>
      </c>
      <c r="I8" s="33" t="n">
        <f aca="false">(F8-H8)/(G8*12)</f>
        <v>180.555555555556</v>
      </c>
      <c r="J8" s="30" t="n">
        <f aca="false">MIN(12-MONTH(E8)+1,G8*12)</f>
        <v>12</v>
      </c>
      <c r="K8" s="34" t="n">
        <f aca="false">I8*J8</f>
        <v>2166.66666666667</v>
      </c>
      <c r="L8" s="35" t="n">
        <f aca="false">F8-K8</f>
        <v>4333.33333333333</v>
      </c>
    </row>
    <row r="9" customFormat="false" ht="15" hidden="false" customHeight="false" outlineLevel="0" collapsed="false">
      <c r="B9" s="13" t="s">
        <v>447</v>
      </c>
      <c r="C9" s="13" t="s">
        <v>448</v>
      </c>
      <c r="D9" s="13" t="s">
        <v>446</v>
      </c>
      <c r="E9" s="24" t="n">
        <v>45662</v>
      </c>
      <c r="F9" s="32" t="n">
        <v>4200</v>
      </c>
      <c r="G9" s="25" t="n">
        <v>7</v>
      </c>
      <c r="H9" s="32" t="n">
        <v>0</v>
      </c>
      <c r="I9" s="33" t="n">
        <f aca="false">(F9-H9)/(G9*12)</f>
        <v>50</v>
      </c>
      <c r="J9" s="30" t="n">
        <f aca="false">MIN(12-MONTH(E9)+1,G9*12)</f>
        <v>12</v>
      </c>
      <c r="K9" s="34" t="n">
        <f aca="false">I9*J9</f>
        <v>600</v>
      </c>
      <c r="L9" s="35" t="n">
        <f aca="false">F9-K9</f>
        <v>3600</v>
      </c>
    </row>
    <row r="10" customFormat="false" ht="15" hidden="false" customHeight="false" outlineLevel="0" collapsed="false">
      <c r="B10" s="13" t="s">
        <v>449</v>
      </c>
      <c r="C10" s="13" t="s">
        <v>450</v>
      </c>
      <c r="D10" s="13" t="s">
        <v>451</v>
      </c>
      <c r="E10" s="24" t="n">
        <v>45667</v>
      </c>
      <c r="F10" s="32" t="n">
        <v>3200</v>
      </c>
      <c r="G10" s="25" t="n">
        <v>4</v>
      </c>
      <c r="H10" s="32" t="n">
        <v>0</v>
      </c>
      <c r="I10" s="33" t="n">
        <f aca="false">(F10-H10)/(G10*12)</f>
        <v>66.6666666666667</v>
      </c>
      <c r="J10" s="30" t="n">
        <f aca="false">MIN(12-MONTH(E10)+1,G10*12)</f>
        <v>12</v>
      </c>
      <c r="K10" s="34" t="n">
        <f aca="false">I10*J10</f>
        <v>800</v>
      </c>
      <c r="L10" s="35" t="n">
        <f aca="false">F10-K10</f>
        <v>2400</v>
      </c>
    </row>
    <row r="11" customFormat="false" ht="15" hidden="false" customHeight="false" outlineLevel="0" collapsed="false">
      <c r="B11" s="13" t="s">
        <v>452</v>
      </c>
      <c r="C11" s="13" t="s">
        <v>453</v>
      </c>
      <c r="D11" s="13" t="s">
        <v>446</v>
      </c>
      <c r="E11" s="24" t="n">
        <v>45689</v>
      </c>
      <c r="F11" s="32" t="n">
        <v>2800</v>
      </c>
      <c r="G11" s="25" t="n">
        <v>3</v>
      </c>
      <c r="H11" s="32" t="n">
        <v>0</v>
      </c>
      <c r="I11" s="33" t="n">
        <f aca="false">(F11-H11)/(G11*12)</f>
        <v>77.7777777777778</v>
      </c>
      <c r="J11" s="30" t="n">
        <f aca="false">MIN(12-MONTH(E11)+1,G11*12)</f>
        <v>11</v>
      </c>
      <c r="K11" s="34" t="n">
        <f aca="false">I11*J11</f>
        <v>855.555555555555</v>
      </c>
      <c r="L11" s="35" t="n">
        <f aca="false">F11-K11</f>
        <v>1944.44444444444</v>
      </c>
    </row>
    <row r="12" customFormat="false" ht="15" hidden="false" customHeight="false" outlineLevel="0" collapsed="false">
      <c r="B12" s="13" t="s">
        <v>454</v>
      </c>
      <c r="C12" s="13" t="s">
        <v>455</v>
      </c>
      <c r="D12" s="13" t="s">
        <v>441</v>
      </c>
      <c r="E12" s="24" t="n">
        <v>45884</v>
      </c>
      <c r="F12" s="32" t="n">
        <v>26500</v>
      </c>
      <c r="G12" s="25" t="n">
        <v>5</v>
      </c>
      <c r="H12" s="32" t="n">
        <v>3500</v>
      </c>
      <c r="I12" s="33" t="n">
        <f aca="false">(F12-H12)/(G12*12)</f>
        <v>383.333333333333</v>
      </c>
      <c r="J12" s="30" t="n">
        <f aca="false">MIN(12-MONTH(E12)+1,G12*12)</f>
        <v>5</v>
      </c>
      <c r="K12" s="34" t="n">
        <f aca="false">I12*J12</f>
        <v>1916.66666666667</v>
      </c>
      <c r="L12" s="35" t="n">
        <f aca="false">F12-K12</f>
        <v>24583.3333333333</v>
      </c>
    </row>
    <row r="13" customFormat="false" ht="15" hidden="false" customHeight="false" outlineLevel="0" collapsed="false">
      <c r="B13" s="13" t="s">
        <v>456</v>
      </c>
      <c r="C13" s="13" t="s">
        <v>457</v>
      </c>
      <c r="D13" s="13" t="s">
        <v>441</v>
      </c>
      <c r="E13" s="24" t="n">
        <v>45931</v>
      </c>
      <c r="F13" s="32" t="n">
        <v>21000</v>
      </c>
      <c r="G13" s="25" t="n">
        <v>5</v>
      </c>
      <c r="H13" s="32" t="n">
        <v>3000</v>
      </c>
      <c r="I13" s="33" t="n">
        <f aca="false">(F13-H13)/(G13*12)</f>
        <v>300</v>
      </c>
      <c r="J13" s="30" t="n">
        <f aca="false">MIN(12-MONTH(E13)+1,G13*12)</f>
        <v>3</v>
      </c>
      <c r="K13" s="34" t="n">
        <f aca="false">I13*J13</f>
        <v>900</v>
      </c>
      <c r="L13" s="35" t="n">
        <f aca="false">F13-K13</f>
        <v>20100</v>
      </c>
    </row>
    <row r="14" customFormat="false" ht="15" hidden="false" customHeight="false" outlineLevel="0" collapsed="false">
      <c r="B14" s="13" t="s">
        <v>458</v>
      </c>
      <c r="C14" s="13" t="s">
        <v>459</v>
      </c>
      <c r="D14" s="13" t="s">
        <v>451</v>
      </c>
      <c r="E14" s="24" t="n">
        <v>45778</v>
      </c>
      <c r="F14" s="32" t="n">
        <v>2400</v>
      </c>
      <c r="G14" s="25" t="n">
        <v>4</v>
      </c>
      <c r="H14" s="32" t="n">
        <v>0</v>
      </c>
      <c r="I14" s="33" t="n">
        <f aca="false">(F14-H14)/(G14*12)</f>
        <v>50</v>
      </c>
      <c r="J14" s="30" t="n">
        <f aca="false">MIN(12-MONTH(E14)+1,G14*12)</f>
        <v>8</v>
      </c>
      <c r="K14" s="34" t="n">
        <f aca="false">I14*J14</f>
        <v>400</v>
      </c>
      <c r="L14" s="35" t="n">
        <f aca="false">F14-K14</f>
        <v>2000</v>
      </c>
    </row>
    <row r="15" customFormat="false" ht="15" hidden="false" customHeight="false" outlineLevel="0" collapsed="false">
      <c r="B15" s="13" t="s">
        <v>460</v>
      </c>
      <c r="C15" s="13" t="s">
        <v>461</v>
      </c>
      <c r="D15" s="13" t="s">
        <v>446</v>
      </c>
      <c r="E15" s="24" t="n">
        <v>45731</v>
      </c>
      <c r="F15" s="32" t="n">
        <v>3600</v>
      </c>
      <c r="G15" s="25" t="n">
        <v>3</v>
      </c>
      <c r="H15" s="32" t="n">
        <v>0</v>
      </c>
      <c r="I15" s="33" t="n">
        <f aca="false">(F15-H15)/(G15*12)</f>
        <v>100</v>
      </c>
      <c r="J15" s="30" t="n">
        <f aca="false">MIN(12-MONTH(E15)+1,G15*12)</f>
        <v>10</v>
      </c>
      <c r="K15" s="34" t="n">
        <f aca="false">I15*J15</f>
        <v>1000</v>
      </c>
      <c r="L15" s="35" t="n">
        <f aca="false">F15-K15</f>
        <v>2600</v>
      </c>
    </row>
    <row r="16" customFormat="false" ht="15" hidden="false" customHeight="false" outlineLevel="0" collapsed="false">
      <c r="B16" s="13" t="s">
        <v>462</v>
      </c>
      <c r="C16" s="13" t="s">
        <v>463</v>
      </c>
      <c r="D16" s="13" t="s">
        <v>446</v>
      </c>
      <c r="E16" s="24" t="n">
        <v>45748</v>
      </c>
      <c r="F16" s="32" t="n">
        <v>1850</v>
      </c>
      <c r="G16" s="25" t="n">
        <v>5</v>
      </c>
      <c r="H16" s="32" t="n">
        <v>0</v>
      </c>
      <c r="I16" s="33" t="n">
        <f aca="false">(F16-H16)/(G16*12)</f>
        <v>30.8333333333333</v>
      </c>
      <c r="J16" s="30" t="n">
        <f aca="false">MIN(12-MONTH(E16)+1,G16*12)</f>
        <v>9</v>
      </c>
      <c r="K16" s="34" t="n">
        <f aca="false">I16*J16</f>
        <v>277.5</v>
      </c>
      <c r="L16" s="35" t="n">
        <f aca="false">F16-K16</f>
        <v>1572.5</v>
      </c>
    </row>
    <row r="17" customFormat="false" ht="15" hidden="false" customHeight="false" outlineLevel="0" collapsed="false">
      <c r="B17" s="13" t="s">
        <v>464</v>
      </c>
      <c r="C17" s="13" t="s">
        <v>465</v>
      </c>
      <c r="D17" s="13" t="s">
        <v>466</v>
      </c>
      <c r="E17" s="24" t="n">
        <v>45672</v>
      </c>
      <c r="F17" s="32" t="n">
        <v>8500</v>
      </c>
      <c r="G17" s="25" t="n">
        <v>7</v>
      </c>
      <c r="H17" s="32" t="n">
        <v>0</v>
      </c>
      <c r="I17" s="33" t="n">
        <f aca="false">(F17-H17)/(G17*12)</f>
        <v>101.190476190476</v>
      </c>
      <c r="J17" s="30" t="n">
        <f aca="false">MIN(12-MONTH(E17)+1,G17*12)</f>
        <v>12</v>
      </c>
      <c r="K17" s="34" t="n">
        <f aca="false">I17*J17</f>
        <v>1214.28571428571</v>
      </c>
      <c r="L17" s="35" t="n">
        <f aca="false">F17-K17</f>
        <v>7285.71428571429</v>
      </c>
    </row>
    <row r="19" customFormat="false" ht="15" hidden="false" customHeight="false" outlineLevel="0" collapsed="false">
      <c r="B19" s="36" t="s">
        <v>467</v>
      </c>
      <c r="F19" s="37" t="n">
        <f aca="false">SUM(F6:F17)</f>
        <v>131050</v>
      </c>
      <c r="K19" s="37" t="n">
        <f aca="false">SUM(K6:K17)</f>
        <v>18830.6746031746</v>
      </c>
      <c r="L19" s="37" t="n">
        <f aca="false">SUM(L6:L17)</f>
        <v>112219.325396825</v>
      </c>
    </row>
    <row r="21" customFormat="false" ht="15" hidden="false" customHeight="false" outlineLevel="0" collapsed="false">
      <c r="B21" s="3" t="s">
        <v>468</v>
      </c>
    </row>
    <row r="22" customFormat="false" ht="15" hidden="false" customHeight="false" outlineLevel="0" collapsed="false">
      <c r="B22" s="38"/>
      <c r="C22" s="11" t="s">
        <v>469</v>
      </c>
      <c r="D22" s="11" t="s">
        <v>470</v>
      </c>
      <c r="E22" s="11" t="s">
        <v>471</v>
      </c>
      <c r="F22" s="11" t="s">
        <v>472</v>
      </c>
      <c r="G22" s="11" t="s">
        <v>473</v>
      </c>
      <c r="H22" s="11" t="s">
        <v>474</v>
      </c>
      <c r="I22" s="11" t="s">
        <v>475</v>
      </c>
      <c r="J22" s="11" t="s">
        <v>476</v>
      </c>
      <c r="K22" s="11" t="s">
        <v>477</v>
      </c>
      <c r="L22" s="11" t="s">
        <v>478</v>
      </c>
      <c r="M22" s="11" t="s">
        <v>479</v>
      </c>
      <c r="N22" s="11" t="s">
        <v>480</v>
      </c>
    </row>
    <row r="23" customFormat="false" ht="15" hidden="false" customHeight="false" outlineLevel="0" collapsed="false">
      <c r="B23" s="13" t="s">
        <v>481</v>
      </c>
      <c r="C23" s="32" t="n">
        <v>1123.42</v>
      </c>
      <c r="D23" s="32" t="n">
        <v>1201.2</v>
      </c>
      <c r="E23" s="32" t="n">
        <v>1301.2</v>
      </c>
      <c r="F23" s="32" t="n">
        <v>1332.03</v>
      </c>
      <c r="G23" s="32" t="n">
        <v>1382.03</v>
      </c>
      <c r="H23" s="32" t="n">
        <v>1382.03</v>
      </c>
      <c r="I23" s="32" t="n">
        <v>1382.03</v>
      </c>
      <c r="J23" s="32" t="n">
        <v>1765.36</v>
      </c>
      <c r="K23" s="32" t="n">
        <v>1765.36</v>
      </c>
      <c r="L23" s="32" t="n">
        <v>2065.36</v>
      </c>
      <c r="M23" s="32" t="n">
        <v>2065.36</v>
      </c>
      <c r="N23" s="32" t="n">
        <v>2065.36</v>
      </c>
    </row>
    <row r="25" customFormat="false" ht="15" hidden="false" customHeight="false" outlineLevel="0" collapsed="false">
      <c r="B25" s="3" t="s">
        <v>482</v>
      </c>
    </row>
    <row r="26" customFormat="false" ht="15" hidden="false" customHeight="false" outlineLevel="0" collapsed="false">
      <c r="B26" s="11" t="s">
        <v>483</v>
      </c>
      <c r="C26" s="11" t="s">
        <v>66</v>
      </c>
      <c r="D26" s="11" t="s">
        <v>484</v>
      </c>
      <c r="E26" s="11" t="s">
        <v>485</v>
      </c>
      <c r="F26" s="11" t="s">
        <v>67</v>
      </c>
    </row>
    <row r="27" customFormat="false" ht="32.8" hidden="false" customHeight="false" outlineLevel="0" collapsed="false">
      <c r="B27" s="13" t="s">
        <v>486</v>
      </c>
      <c r="C27" s="13" t="s">
        <v>487</v>
      </c>
      <c r="D27" s="24" t="n">
        <v>45658</v>
      </c>
      <c r="E27" s="32" t="n">
        <v>4400</v>
      </c>
      <c r="F27" s="14" t="s">
        <v>488</v>
      </c>
    </row>
    <row r="28" customFormat="false" ht="64.15" hidden="false" customHeight="false" outlineLevel="0" collapsed="false">
      <c r="B28" s="13" t="s">
        <v>489</v>
      </c>
      <c r="C28" s="13" t="s">
        <v>490</v>
      </c>
      <c r="D28" s="24" t="n">
        <v>45658</v>
      </c>
      <c r="E28" s="32" t="n">
        <v>11400</v>
      </c>
      <c r="F28" s="14" t="s">
        <v>491</v>
      </c>
    </row>
    <row r="30" customFormat="false" ht="15" hidden="false" customHeight="false" outlineLevel="0" collapsed="false">
      <c r="B30" s="36" t="s">
        <v>492</v>
      </c>
      <c r="E30" s="37" t="n">
        <f aca="false">SUM(E27:E28)</f>
        <v>15800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6B"/>
    <pageSetUpPr fitToPage="false"/>
  </sheetPr>
  <dimension ref="B2:M8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10"/>
    <col collapsed="false" customWidth="true" hidden="false" outlineLevel="0" max="6" min="5" style="0" width="20"/>
    <col collapsed="false" customWidth="true" hidden="false" outlineLevel="0" max="7" min="7" style="0" width="12"/>
    <col collapsed="false" customWidth="true" hidden="false" outlineLevel="0" max="8" min="8" style="0" width="10"/>
    <col collapsed="false" customWidth="true" hidden="false" outlineLevel="0" max="10" min="9" style="0" width="11"/>
    <col collapsed="false" customWidth="true" hidden="false" outlineLevel="0" max="11" min="11" style="0" width="10"/>
    <col collapsed="false" customWidth="true" hidden="false" outlineLevel="0" max="12" min="12" style="0" width="11"/>
    <col collapsed="false" customWidth="true" hidden="false" outlineLevel="0" max="13" min="13" style="0" width="16"/>
  </cols>
  <sheetData>
    <row r="2" customFormat="false" ht="17.35" hidden="false" customHeight="false" outlineLevel="0" collapsed="false">
      <c r="B2" s="1" t="s">
        <v>493</v>
      </c>
    </row>
    <row r="3" customFormat="false" ht="15" hidden="false" customHeight="false" outlineLevel="0" collapsed="false">
      <c r="B3" s="2" t="s">
        <v>494</v>
      </c>
    </row>
    <row r="5" customFormat="false" ht="23.85" hidden="false" customHeight="false" outlineLevel="0" collapsed="false">
      <c r="B5" s="11" t="s">
        <v>495</v>
      </c>
      <c r="C5" s="11" t="s">
        <v>484</v>
      </c>
      <c r="D5" s="11" t="s">
        <v>273</v>
      </c>
      <c r="E5" s="11" t="s">
        <v>149</v>
      </c>
      <c r="F5" s="11" t="s">
        <v>168</v>
      </c>
      <c r="G5" s="11" t="s">
        <v>277</v>
      </c>
      <c r="H5" s="11" t="s">
        <v>496</v>
      </c>
      <c r="I5" s="11" t="s">
        <v>497</v>
      </c>
      <c r="J5" s="11" t="s">
        <v>498</v>
      </c>
      <c r="K5" s="11" t="s">
        <v>151</v>
      </c>
      <c r="L5" s="11" t="s">
        <v>499</v>
      </c>
      <c r="M5" s="11" t="s">
        <v>500</v>
      </c>
    </row>
    <row r="6" customFormat="false" ht="15" hidden="false" customHeight="false" outlineLevel="0" collapsed="false">
      <c r="B6" s="7" t="s">
        <v>501</v>
      </c>
      <c r="C6" s="39" t="n">
        <v>45658</v>
      </c>
      <c r="D6" s="7" t="s">
        <v>280</v>
      </c>
      <c r="E6" s="7" t="s">
        <v>157</v>
      </c>
      <c r="F6" s="7" t="s">
        <v>187</v>
      </c>
      <c r="G6" s="7" t="s">
        <v>502</v>
      </c>
      <c r="H6" s="6" t="n">
        <v>0.91</v>
      </c>
      <c r="I6" s="6" t="n">
        <v>0</v>
      </c>
      <c r="J6" s="40" t="n">
        <f aca="false">H6-I6</f>
        <v>0.91</v>
      </c>
      <c r="K6" s="41" t="n">
        <v>165</v>
      </c>
      <c r="L6" s="42" t="n">
        <f aca="false">J6*K6</f>
        <v>150.15</v>
      </c>
      <c r="M6" s="43" t="n">
        <f aca="false">H6*66.48*(1+'Chart of Accounts'!$E$67)</f>
        <v>69.268836</v>
      </c>
    </row>
    <row r="7" customFormat="false" ht="15" hidden="false" customHeight="false" outlineLevel="0" collapsed="false">
      <c r="B7" s="7" t="s">
        <v>503</v>
      </c>
      <c r="C7" s="39" t="n">
        <v>45658</v>
      </c>
      <c r="D7" s="7" t="s">
        <v>286</v>
      </c>
      <c r="E7" s="7" t="s">
        <v>157</v>
      </c>
      <c r="F7" s="7" t="s">
        <v>228</v>
      </c>
      <c r="G7" s="7" t="s">
        <v>502</v>
      </c>
      <c r="H7" s="6" t="n">
        <v>0.99</v>
      </c>
      <c r="I7" s="6" t="n">
        <v>0</v>
      </c>
      <c r="J7" s="40" t="n">
        <f aca="false">H7-I7</f>
        <v>0.99</v>
      </c>
      <c r="K7" s="41" t="n">
        <v>165</v>
      </c>
      <c r="L7" s="42" t="n">
        <f aca="false">J7*K7</f>
        <v>163.35</v>
      </c>
      <c r="M7" s="43" t="n">
        <f aca="false">H7*51.07*(1+'Chart of Accounts'!$E$67)</f>
        <v>57.8903985</v>
      </c>
    </row>
    <row r="8" customFormat="false" ht="15" hidden="false" customHeight="false" outlineLevel="0" collapsed="false">
      <c r="B8" s="7" t="s">
        <v>504</v>
      </c>
      <c r="C8" s="39" t="n">
        <v>45658</v>
      </c>
      <c r="D8" s="7" t="s">
        <v>288</v>
      </c>
      <c r="E8" s="7" t="s">
        <v>156</v>
      </c>
      <c r="F8" s="7" t="s">
        <v>191</v>
      </c>
      <c r="G8" s="7" t="s">
        <v>505</v>
      </c>
      <c r="H8" s="6" t="n">
        <v>4.39</v>
      </c>
      <c r="I8" s="6" t="n">
        <v>0</v>
      </c>
      <c r="J8" s="40" t="n">
        <f aca="false">H8-I8</f>
        <v>4.39</v>
      </c>
      <c r="K8" s="41" t="n">
        <v>34</v>
      </c>
      <c r="L8" s="42" t="n">
        <f aca="false">J8*K8</f>
        <v>149.26</v>
      </c>
      <c r="M8" s="43" t="n">
        <f aca="false">H8*16.05*(1+'Chart of Accounts'!$E$67)</f>
        <v>80.6761275</v>
      </c>
    </row>
    <row r="9" customFormat="false" ht="15" hidden="false" customHeight="false" outlineLevel="0" collapsed="false">
      <c r="B9" s="7" t="s">
        <v>506</v>
      </c>
      <c r="C9" s="39" t="n">
        <v>45658</v>
      </c>
      <c r="D9" s="7" t="s">
        <v>291</v>
      </c>
      <c r="E9" s="7" t="s">
        <v>154</v>
      </c>
      <c r="F9" s="7" t="s">
        <v>194</v>
      </c>
      <c r="G9" s="7" t="s">
        <v>505</v>
      </c>
      <c r="H9" s="6" t="n">
        <v>5.03</v>
      </c>
      <c r="I9" s="6" t="n">
        <v>0</v>
      </c>
      <c r="J9" s="40" t="n">
        <f aca="false">H9-I9</f>
        <v>5.03</v>
      </c>
      <c r="K9" s="41" t="n">
        <v>26.5</v>
      </c>
      <c r="L9" s="42" t="n">
        <f aca="false">J9*K9</f>
        <v>133.295</v>
      </c>
      <c r="M9" s="43" t="n">
        <f aca="false">H9*16*(1+'Chart of Accounts'!$E$67)</f>
        <v>92.1496</v>
      </c>
    </row>
    <row r="10" customFormat="false" ht="15" hidden="false" customHeight="false" outlineLevel="0" collapsed="false">
      <c r="B10" s="7" t="s">
        <v>507</v>
      </c>
      <c r="C10" s="39" t="n">
        <v>45658</v>
      </c>
      <c r="D10" s="7" t="s">
        <v>305</v>
      </c>
      <c r="E10" s="7" t="s">
        <v>154</v>
      </c>
      <c r="F10" s="7" t="s">
        <v>205</v>
      </c>
      <c r="G10" s="7" t="s">
        <v>505</v>
      </c>
      <c r="H10" s="6" t="n">
        <v>4</v>
      </c>
      <c r="I10" s="6" t="n">
        <v>0</v>
      </c>
      <c r="J10" s="40" t="n">
        <f aca="false">H10-I10</f>
        <v>4</v>
      </c>
      <c r="K10" s="41" t="n">
        <v>26.5</v>
      </c>
      <c r="L10" s="42" t="n">
        <f aca="false">J10*K10</f>
        <v>106</v>
      </c>
      <c r="M10" s="43" t="n">
        <f aca="false">H10*16.36*(1+'Chart of Accounts'!$E$67)</f>
        <v>74.9288</v>
      </c>
    </row>
    <row r="11" customFormat="false" ht="15" hidden="false" customHeight="false" outlineLevel="0" collapsed="false">
      <c r="B11" s="7" t="s">
        <v>508</v>
      </c>
      <c r="C11" s="39" t="n">
        <v>45658</v>
      </c>
      <c r="D11" s="7" t="s">
        <v>309</v>
      </c>
      <c r="E11" s="7" t="s">
        <v>159</v>
      </c>
      <c r="F11" s="7" t="s">
        <v>252</v>
      </c>
      <c r="G11" s="7" t="s">
        <v>502</v>
      </c>
      <c r="H11" s="6" t="n">
        <v>1.08</v>
      </c>
      <c r="I11" s="6" t="n">
        <v>0</v>
      </c>
      <c r="J11" s="40" t="n">
        <f aca="false">H11-I11</f>
        <v>1.08</v>
      </c>
      <c r="K11" s="41" t="n">
        <v>135</v>
      </c>
      <c r="L11" s="42" t="n">
        <f aca="false">J11*K11</f>
        <v>145.8</v>
      </c>
      <c r="M11" s="43" t="n">
        <f aca="false">H11*57.54*(1+'Chart of Accounts'!$E$67)</f>
        <v>71.153964</v>
      </c>
    </row>
    <row r="12" customFormat="false" ht="15" hidden="false" customHeight="false" outlineLevel="0" collapsed="false">
      <c r="B12" s="7" t="s">
        <v>509</v>
      </c>
      <c r="C12" s="39" t="n">
        <v>45658</v>
      </c>
      <c r="D12" s="7" t="s">
        <v>313</v>
      </c>
      <c r="E12" s="7" t="s">
        <v>156</v>
      </c>
      <c r="F12" s="7" t="s">
        <v>184</v>
      </c>
      <c r="G12" s="7" t="s">
        <v>505</v>
      </c>
      <c r="H12" s="6" t="n">
        <v>3.81</v>
      </c>
      <c r="I12" s="6" t="n">
        <v>0</v>
      </c>
      <c r="J12" s="40" t="n">
        <f aca="false">H12-I12</f>
        <v>3.81</v>
      </c>
      <c r="K12" s="41" t="n">
        <v>34</v>
      </c>
      <c r="L12" s="42" t="n">
        <f aca="false">J12*K12</f>
        <v>129.54</v>
      </c>
      <c r="M12" s="43" t="n">
        <f aca="false">H12*17.34*(1+'Chart of Accounts'!$E$67)</f>
        <v>75.644883</v>
      </c>
    </row>
    <row r="13" customFormat="false" ht="15" hidden="false" customHeight="false" outlineLevel="0" collapsed="false">
      <c r="B13" s="7" t="s">
        <v>510</v>
      </c>
      <c r="C13" s="39" t="n">
        <v>45658</v>
      </c>
      <c r="D13" s="7" t="s">
        <v>321</v>
      </c>
      <c r="E13" s="7" t="s">
        <v>154</v>
      </c>
      <c r="F13" s="7" t="s">
        <v>218</v>
      </c>
      <c r="G13" s="7" t="s">
        <v>505</v>
      </c>
      <c r="H13" s="6" t="n">
        <v>4.21</v>
      </c>
      <c r="I13" s="6" t="n">
        <v>0</v>
      </c>
      <c r="J13" s="40" t="n">
        <f aca="false">H13-I13</f>
        <v>4.21</v>
      </c>
      <c r="K13" s="41" t="n">
        <v>26.5</v>
      </c>
      <c r="L13" s="42" t="n">
        <f aca="false">J13*K13</f>
        <v>111.565</v>
      </c>
      <c r="M13" s="43" t="n">
        <f aca="false">H13*16.19*(1+'Chart of Accounts'!$E$67)</f>
        <v>78.0430855</v>
      </c>
    </row>
    <row r="14" customFormat="false" ht="15" hidden="false" customHeight="false" outlineLevel="0" collapsed="false">
      <c r="B14" s="7" t="s">
        <v>511</v>
      </c>
      <c r="C14" s="39" t="n">
        <v>45658</v>
      </c>
      <c r="D14" s="7" t="s">
        <v>329</v>
      </c>
      <c r="E14" s="7" t="s">
        <v>156</v>
      </c>
      <c r="F14" s="7" t="s">
        <v>220</v>
      </c>
      <c r="G14" s="7" t="s">
        <v>505</v>
      </c>
      <c r="H14" s="6" t="n">
        <v>3.82</v>
      </c>
      <c r="I14" s="6" t="n">
        <v>0</v>
      </c>
      <c r="J14" s="40" t="n">
        <f aca="false">H14-I14</f>
        <v>3.82</v>
      </c>
      <c r="K14" s="41" t="n">
        <v>34</v>
      </c>
      <c r="L14" s="42" t="n">
        <f aca="false">J14*K14</f>
        <v>129.88</v>
      </c>
      <c r="M14" s="43" t="n">
        <f aca="false">H14*16.43*(1+'Chart of Accounts'!$E$67)</f>
        <v>71.863177</v>
      </c>
    </row>
    <row r="15" customFormat="false" ht="15" hidden="false" customHeight="false" outlineLevel="0" collapsed="false">
      <c r="B15" s="7" t="s">
        <v>512</v>
      </c>
      <c r="C15" s="39" t="n">
        <v>45658</v>
      </c>
      <c r="D15" s="7" t="s">
        <v>335</v>
      </c>
      <c r="E15" s="7" t="s">
        <v>154</v>
      </c>
      <c r="F15" s="7" t="s">
        <v>177</v>
      </c>
      <c r="G15" s="7" t="s">
        <v>505</v>
      </c>
      <c r="H15" s="6" t="n">
        <v>3.82</v>
      </c>
      <c r="I15" s="6" t="n">
        <v>0</v>
      </c>
      <c r="J15" s="40" t="n">
        <f aca="false">H15-I15</f>
        <v>3.82</v>
      </c>
      <c r="K15" s="41" t="n">
        <v>26.5</v>
      </c>
      <c r="L15" s="42" t="n">
        <f aca="false">J15*K15</f>
        <v>101.23</v>
      </c>
      <c r="M15" s="43" t="n">
        <f aca="false">H15*14.56*(1+'Chart of Accounts'!$E$67)</f>
        <v>63.683984</v>
      </c>
    </row>
    <row r="16" customFormat="false" ht="15" hidden="false" customHeight="false" outlineLevel="0" collapsed="false">
      <c r="B16" s="7" t="s">
        <v>513</v>
      </c>
      <c r="C16" s="39" t="n">
        <v>45658</v>
      </c>
      <c r="D16" s="7" t="s">
        <v>339</v>
      </c>
      <c r="E16" s="7" t="s">
        <v>154</v>
      </c>
      <c r="F16" s="7" t="s">
        <v>242</v>
      </c>
      <c r="G16" s="7" t="s">
        <v>505</v>
      </c>
      <c r="H16" s="6" t="n">
        <v>3.09</v>
      </c>
      <c r="I16" s="6" t="n">
        <v>0</v>
      </c>
      <c r="J16" s="40" t="n">
        <f aca="false">H16-I16</f>
        <v>3.09</v>
      </c>
      <c r="K16" s="41" t="n">
        <v>26.5</v>
      </c>
      <c r="L16" s="42" t="n">
        <f aca="false">J16*K16</f>
        <v>81.885</v>
      </c>
      <c r="M16" s="43" t="n">
        <f aca="false">H16*17.99*(1+'Chart of Accounts'!$E$67)</f>
        <v>63.6495195</v>
      </c>
    </row>
    <row r="17" customFormat="false" ht="15" hidden="false" customHeight="false" outlineLevel="0" collapsed="false">
      <c r="B17" s="7" t="s">
        <v>514</v>
      </c>
      <c r="C17" s="39" t="n">
        <v>45658</v>
      </c>
      <c r="D17" s="7" t="s">
        <v>353</v>
      </c>
      <c r="E17" s="7" t="s">
        <v>154</v>
      </c>
      <c r="F17" s="7" t="s">
        <v>254</v>
      </c>
      <c r="G17" s="7" t="s">
        <v>505</v>
      </c>
      <c r="H17" s="6" t="n">
        <v>3.47</v>
      </c>
      <c r="I17" s="6" t="n">
        <v>0</v>
      </c>
      <c r="J17" s="40" t="n">
        <f aca="false">H17-I17</f>
        <v>3.47</v>
      </c>
      <c r="K17" s="41" t="n">
        <v>26.5</v>
      </c>
      <c r="L17" s="42" t="n">
        <f aca="false">J17*K17</f>
        <v>91.955</v>
      </c>
      <c r="M17" s="43" t="n">
        <f aca="false">H17*17.1*(1+'Chart of Accounts'!$E$67)</f>
        <v>67.940865</v>
      </c>
    </row>
    <row r="18" customFormat="false" ht="15" hidden="false" customHeight="false" outlineLevel="0" collapsed="false">
      <c r="B18" s="7" t="s">
        <v>515</v>
      </c>
      <c r="C18" s="39" t="n">
        <v>45658</v>
      </c>
      <c r="D18" s="7" t="s">
        <v>355</v>
      </c>
      <c r="E18" s="7" t="s">
        <v>154</v>
      </c>
      <c r="F18" s="7" t="s">
        <v>201</v>
      </c>
      <c r="G18" s="7" t="s">
        <v>505</v>
      </c>
      <c r="H18" s="6" t="n">
        <v>3.36</v>
      </c>
      <c r="I18" s="6" t="n">
        <v>0</v>
      </c>
      <c r="J18" s="40" t="n">
        <f aca="false">H18-I18</f>
        <v>3.36</v>
      </c>
      <c r="K18" s="41" t="n">
        <v>26.5</v>
      </c>
      <c r="L18" s="42" t="n">
        <f aca="false">J18*K18</f>
        <v>89.04</v>
      </c>
      <c r="M18" s="43" t="n">
        <f aca="false">H18*15.19*(1+'Chart of Accounts'!$E$67)</f>
        <v>58.438968</v>
      </c>
    </row>
    <row r="19" customFormat="false" ht="15" hidden="false" customHeight="false" outlineLevel="0" collapsed="false">
      <c r="B19" s="7" t="s">
        <v>516</v>
      </c>
      <c r="C19" s="39" t="n">
        <v>45658</v>
      </c>
      <c r="D19" s="7" t="s">
        <v>357</v>
      </c>
      <c r="E19" s="7" t="s">
        <v>154</v>
      </c>
      <c r="F19" s="7" t="s">
        <v>207</v>
      </c>
      <c r="G19" s="7" t="s">
        <v>505</v>
      </c>
      <c r="H19" s="6" t="n">
        <v>3.28</v>
      </c>
      <c r="I19" s="6" t="n">
        <v>0</v>
      </c>
      <c r="J19" s="40" t="n">
        <f aca="false">H19-I19</f>
        <v>3.28</v>
      </c>
      <c r="K19" s="41" t="n">
        <v>26.5</v>
      </c>
      <c r="L19" s="42" t="n">
        <f aca="false">J19*K19</f>
        <v>86.92</v>
      </c>
      <c r="M19" s="43" t="n">
        <f aca="false">H19*16.65*(1+'Chart of Accounts'!$E$67)</f>
        <v>62.53074</v>
      </c>
    </row>
    <row r="20" customFormat="false" ht="15" hidden="false" customHeight="false" outlineLevel="0" collapsed="false">
      <c r="B20" s="7" t="s">
        <v>517</v>
      </c>
      <c r="C20" s="39" t="n">
        <v>45658</v>
      </c>
      <c r="D20" s="7" t="s">
        <v>359</v>
      </c>
      <c r="E20" s="7" t="s">
        <v>156</v>
      </c>
      <c r="F20" s="7" t="s">
        <v>212</v>
      </c>
      <c r="G20" s="7" t="s">
        <v>505</v>
      </c>
      <c r="H20" s="6" t="n">
        <v>4.16</v>
      </c>
      <c r="I20" s="6" t="n">
        <v>0</v>
      </c>
      <c r="J20" s="40" t="n">
        <f aca="false">H20-I20</f>
        <v>4.16</v>
      </c>
      <c r="K20" s="41" t="n">
        <v>34</v>
      </c>
      <c r="L20" s="42" t="n">
        <f aca="false">J20*K20</f>
        <v>141.44</v>
      </c>
      <c r="M20" s="43" t="n">
        <f aca="false">H20*16.71*(1+'Chart of Accounts'!$E$67)</f>
        <v>79.593072</v>
      </c>
    </row>
    <row r="21" customFormat="false" ht="15" hidden="false" customHeight="false" outlineLevel="0" collapsed="false">
      <c r="B21" s="7" t="s">
        <v>518</v>
      </c>
      <c r="C21" s="39" t="n">
        <v>45658</v>
      </c>
      <c r="D21" s="7" t="s">
        <v>379</v>
      </c>
      <c r="E21" s="7" t="s">
        <v>156</v>
      </c>
      <c r="F21" s="7" t="s">
        <v>224</v>
      </c>
      <c r="G21" s="7" t="s">
        <v>505</v>
      </c>
      <c r="H21" s="6" t="n">
        <v>4.48</v>
      </c>
      <c r="I21" s="6" t="n">
        <v>0</v>
      </c>
      <c r="J21" s="40" t="n">
        <f aca="false">H21-I21</f>
        <v>4.48</v>
      </c>
      <c r="K21" s="41" t="n">
        <v>34</v>
      </c>
      <c r="L21" s="42" t="n">
        <f aca="false">J21*K21</f>
        <v>152.32</v>
      </c>
      <c r="M21" s="43" t="n">
        <f aca="false">H21*14.93*(1+'Chart of Accounts'!$E$67)</f>
        <v>76.584928</v>
      </c>
    </row>
    <row r="22" customFormat="false" ht="15" hidden="false" customHeight="false" outlineLevel="0" collapsed="false">
      <c r="B22" s="7" t="s">
        <v>519</v>
      </c>
      <c r="C22" s="39" t="n">
        <v>45658</v>
      </c>
      <c r="D22" s="7" t="s">
        <v>389</v>
      </c>
      <c r="E22" s="7" t="s">
        <v>154</v>
      </c>
      <c r="F22" s="7" t="s">
        <v>246</v>
      </c>
      <c r="G22" s="7" t="s">
        <v>505</v>
      </c>
      <c r="H22" s="6" t="n">
        <v>4.27</v>
      </c>
      <c r="I22" s="6" t="n">
        <v>0</v>
      </c>
      <c r="J22" s="40" t="n">
        <f aca="false">H22-I22</f>
        <v>4.27</v>
      </c>
      <c r="K22" s="41" t="n">
        <v>26.5</v>
      </c>
      <c r="L22" s="42" t="n">
        <f aca="false">J22*K22</f>
        <v>113.155</v>
      </c>
      <c r="M22" s="43" t="n">
        <f aca="false">H22*16.48*(1+'Chart of Accounts'!$E$67)</f>
        <v>80.573192</v>
      </c>
    </row>
    <row r="23" customFormat="false" ht="15" hidden="false" customHeight="false" outlineLevel="0" collapsed="false">
      <c r="B23" s="7" t="s">
        <v>520</v>
      </c>
      <c r="C23" s="39" t="n">
        <v>45658</v>
      </c>
      <c r="D23" s="7" t="s">
        <v>391</v>
      </c>
      <c r="E23" s="7" t="s">
        <v>156</v>
      </c>
      <c r="F23" s="7" t="s">
        <v>222</v>
      </c>
      <c r="G23" s="7" t="s">
        <v>505</v>
      </c>
      <c r="H23" s="6" t="n">
        <v>4.24</v>
      </c>
      <c r="I23" s="6" t="n">
        <v>0</v>
      </c>
      <c r="J23" s="40" t="n">
        <f aca="false">H23-I23</f>
        <v>4.24</v>
      </c>
      <c r="K23" s="41" t="n">
        <v>34</v>
      </c>
      <c r="L23" s="42" t="n">
        <f aca="false">J23*K23</f>
        <v>144.16</v>
      </c>
      <c r="M23" s="43" t="n">
        <f aca="false">H23*17.84*(1+'Chart of Accounts'!$E$67)</f>
        <v>86.609632</v>
      </c>
    </row>
    <row r="24" customFormat="false" ht="15" hidden="false" customHeight="false" outlineLevel="0" collapsed="false">
      <c r="B24" s="7" t="s">
        <v>521</v>
      </c>
      <c r="C24" s="39" t="n">
        <v>45658</v>
      </c>
      <c r="D24" s="7" t="s">
        <v>393</v>
      </c>
      <c r="E24" s="7" t="s">
        <v>157</v>
      </c>
      <c r="F24" s="7" t="s">
        <v>203</v>
      </c>
      <c r="G24" s="7" t="s">
        <v>502</v>
      </c>
      <c r="H24" s="6" t="n">
        <v>0.95</v>
      </c>
      <c r="I24" s="6" t="n">
        <v>0</v>
      </c>
      <c r="J24" s="40" t="n">
        <f aca="false">H24-I24</f>
        <v>0.95</v>
      </c>
      <c r="K24" s="41" t="n">
        <v>165</v>
      </c>
      <c r="L24" s="42" t="n">
        <f aca="false">J24*K24</f>
        <v>156.75</v>
      </c>
      <c r="M24" s="43" t="n">
        <f aca="false">H24*49.43*(1+'Chart of Accounts'!$E$67)</f>
        <v>53.7674825</v>
      </c>
    </row>
    <row r="25" customFormat="false" ht="15" hidden="false" customHeight="false" outlineLevel="0" collapsed="false">
      <c r="B25" s="7" t="s">
        <v>522</v>
      </c>
      <c r="C25" s="39" t="n">
        <v>45658</v>
      </c>
      <c r="D25" s="7" t="s">
        <v>395</v>
      </c>
      <c r="E25" s="7" t="s">
        <v>156</v>
      </c>
      <c r="F25" s="7" t="s">
        <v>242</v>
      </c>
      <c r="G25" s="7" t="s">
        <v>505</v>
      </c>
      <c r="H25" s="6" t="n">
        <v>4.14</v>
      </c>
      <c r="I25" s="6" t="n">
        <v>0</v>
      </c>
      <c r="J25" s="40" t="n">
        <f aca="false">H25-I25</f>
        <v>4.14</v>
      </c>
      <c r="K25" s="41" t="n">
        <v>34</v>
      </c>
      <c r="L25" s="42" t="n">
        <f aca="false">J25*K25</f>
        <v>140.76</v>
      </c>
      <c r="M25" s="43" t="n">
        <f aca="false">H25*17.99*(1+'Chart of Accounts'!$E$67)</f>
        <v>85.277997</v>
      </c>
    </row>
    <row r="26" customFormat="false" ht="15" hidden="false" customHeight="false" outlineLevel="0" collapsed="false">
      <c r="B26" s="7" t="s">
        <v>523</v>
      </c>
      <c r="C26" s="39" t="n">
        <v>45658</v>
      </c>
      <c r="D26" s="7" t="s">
        <v>399</v>
      </c>
      <c r="E26" s="7" t="s">
        <v>154</v>
      </c>
      <c r="F26" s="7" t="s">
        <v>262</v>
      </c>
      <c r="G26" s="7" t="s">
        <v>505</v>
      </c>
      <c r="H26" s="6" t="n">
        <v>3.56</v>
      </c>
      <c r="I26" s="6" t="n">
        <v>0</v>
      </c>
      <c r="J26" s="40" t="n">
        <f aca="false">H26-I26</f>
        <v>3.56</v>
      </c>
      <c r="K26" s="41" t="n">
        <v>26.5</v>
      </c>
      <c r="L26" s="42" t="n">
        <f aca="false">J26*K26</f>
        <v>94.34</v>
      </c>
      <c r="M26" s="43" t="n">
        <f aca="false">H26*16.02*(1+'Chart of Accounts'!$E$67)</f>
        <v>65.300724</v>
      </c>
    </row>
    <row r="27" customFormat="false" ht="15" hidden="false" customHeight="false" outlineLevel="0" collapsed="false">
      <c r="B27" s="7" t="s">
        <v>524</v>
      </c>
      <c r="C27" s="39" t="n">
        <v>45658</v>
      </c>
      <c r="D27" s="7" t="s">
        <v>401</v>
      </c>
      <c r="E27" s="7" t="s">
        <v>156</v>
      </c>
      <c r="F27" s="7" t="s">
        <v>254</v>
      </c>
      <c r="G27" s="7" t="s">
        <v>505</v>
      </c>
      <c r="H27" s="6" t="n">
        <v>4.03</v>
      </c>
      <c r="I27" s="6" t="n">
        <v>0</v>
      </c>
      <c r="J27" s="40" t="n">
        <f aca="false">H27-I27</f>
        <v>4.03</v>
      </c>
      <c r="K27" s="41" t="n">
        <v>34</v>
      </c>
      <c r="L27" s="42" t="n">
        <f aca="false">J27*K27</f>
        <v>137.02</v>
      </c>
      <c r="M27" s="43" t="n">
        <f aca="false">H27*17.1*(1+'Chart of Accounts'!$E$67)</f>
        <v>78.905385</v>
      </c>
    </row>
    <row r="28" customFormat="false" ht="15" hidden="false" customHeight="false" outlineLevel="0" collapsed="false">
      <c r="B28" s="7" t="s">
        <v>525</v>
      </c>
      <c r="C28" s="39" t="n">
        <v>45658</v>
      </c>
      <c r="D28" s="7" t="s">
        <v>409</v>
      </c>
      <c r="E28" s="7" t="s">
        <v>154</v>
      </c>
      <c r="F28" s="7" t="s">
        <v>214</v>
      </c>
      <c r="G28" s="7" t="s">
        <v>505</v>
      </c>
      <c r="H28" s="6" t="n">
        <v>3.44</v>
      </c>
      <c r="I28" s="6" t="n">
        <v>0</v>
      </c>
      <c r="J28" s="40" t="n">
        <f aca="false">H28-I28</f>
        <v>3.44</v>
      </c>
      <c r="K28" s="41" t="n">
        <v>26.5</v>
      </c>
      <c r="L28" s="42" t="n">
        <f aca="false">J28*K28</f>
        <v>91.16</v>
      </c>
      <c r="M28" s="43" t="n">
        <f aca="false">H28*15.67*(1+'Chart of Accounts'!$E$67)</f>
        <v>61.720996</v>
      </c>
    </row>
    <row r="29" customFormat="false" ht="15" hidden="false" customHeight="false" outlineLevel="0" collapsed="false">
      <c r="B29" s="7" t="s">
        <v>526</v>
      </c>
      <c r="C29" s="39" t="n">
        <v>45658</v>
      </c>
      <c r="D29" s="7" t="s">
        <v>411</v>
      </c>
      <c r="E29" s="7" t="s">
        <v>154</v>
      </c>
      <c r="F29" s="7" t="s">
        <v>177</v>
      </c>
      <c r="G29" s="7" t="s">
        <v>505</v>
      </c>
      <c r="H29" s="6" t="n">
        <v>5.01</v>
      </c>
      <c r="I29" s="6" t="n">
        <v>0</v>
      </c>
      <c r="J29" s="40" t="n">
        <f aca="false">H29-I29</f>
        <v>5.01</v>
      </c>
      <c r="K29" s="41" t="n">
        <v>26.5</v>
      </c>
      <c r="L29" s="42" t="n">
        <f aca="false">J29*K29</f>
        <v>132.765</v>
      </c>
      <c r="M29" s="43" t="n">
        <f aca="false">H29*14.56*(1+'Chart of Accounts'!$E$67)</f>
        <v>83.522712</v>
      </c>
    </row>
    <row r="30" customFormat="false" ht="15" hidden="false" customHeight="false" outlineLevel="0" collapsed="false">
      <c r="B30" s="7" t="s">
        <v>527</v>
      </c>
      <c r="C30" s="39" t="n">
        <v>45659</v>
      </c>
      <c r="D30" s="7" t="s">
        <v>288</v>
      </c>
      <c r="E30" s="7" t="s">
        <v>156</v>
      </c>
      <c r="F30" s="7" t="s">
        <v>191</v>
      </c>
      <c r="G30" s="7" t="s">
        <v>505</v>
      </c>
      <c r="H30" s="6" t="n">
        <v>3.86</v>
      </c>
      <c r="I30" s="6" t="n">
        <v>0</v>
      </c>
      <c r="J30" s="40" t="n">
        <f aca="false">H30-I30</f>
        <v>3.86</v>
      </c>
      <c r="K30" s="41" t="n">
        <v>34</v>
      </c>
      <c r="L30" s="42" t="n">
        <f aca="false">J30*K30</f>
        <v>131.24</v>
      </c>
      <c r="M30" s="43" t="n">
        <f aca="false">H30*16.05*(1+'Chart of Accounts'!$E$67)</f>
        <v>70.936185</v>
      </c>
    </row>
    <row r="31" customFormat="false" ht="15" hidden="false" customHeight="false" outlineLevel="0" collapsed="false">
      <c r="B31" s="7" t="s">
        <v>528</v>
      </c>
      <c r="C31" s="39" t="n">
        <v>45659</v>
      </c>
      <c r="D31" s="7" t="s">
        <v>297</v>
      </c>
      <c r="E31" s="7" t="s">
        <v>156</v>
      </c>
      <c r="F31" s="7" t="s">
        <v>201</v>
      </c>
      <c r="G31" s="7" t="s">
        <v>505</v>
      </c>
      <c r="H31" s="6" t="n">
        <v>3.23</v>
      </c>
      <c r="I31" s="6" t="n">
        <v>0</v>
      </c>
      <c r="J31" s="40" t="n">
        <f aca="false">H31-I31</f>
        <v>3.23</v>
      </c>
      <c r="K31" s="41" t="n">
        <v>34</v>
      </c>
      <c r="L31" s="42" t="n">
        <f aca="false">J31*K31</f>
        <v>109.82</v>
      </c>
      <c r="M31" s="43" t="n">
        <f aca="false">H31*15.19*(1+'Chart of Accounts'!$E$67)</f>
        <v>56.1779365</v>
      </c>
    </row>
    <row r="32" customFormat="false" ht="15" hidden="false" customHeight="false" outlineLevel="0" collapsed="false">
      <c r="B32" s="7" t="s">
        <v>529</v>
      </c>
      <c r="C32" s="39" t="n">
        <v>45659</v>
      </c>
      <c r="D32" s="7" t="s">
        <v>311</v>
      </c>
      <c r="E32" s="7" t="s">
        <v>154</v>
      </c>
      <c r="F32" s="7" t="s">
        <v>196</v>
      </c>
      <c r="G32" s="7" t="s">
        <v>505</v>
      </c>
      <c r="H32" s="6" t="n">
        <v>2.95</v>
      </c>
      <c r="I32" s="6" t="n">
        <v>0</v>
      </c>
      <c r="J32" s="40" t="n">
        <f aca="false">H32-I32</f>
        <v>2.95</v>
      </c>
      <c r="K32" s="41" t="n">
        <v>26.5</v>
      </c>
      <c r="L32" s="42" t="n">
        <f aca="false">J32*K32</f>
        <v>78.175</v>
      </c>
      <c r="M32" s="43" t="n">
        <f aca="false">H32*15.05*(1+'Chart of Accounts'!$E$67)</f>
        <v>50.8351375</v>
      </c>
    </row>
    <row r="33" customFormat="false" ht="15" hidden="false" customHeight="false" outlineLevel="0" collapsed="false">
      <c r="B33" s="7" t="s">
        <v>530</v>
      </c>
      <c r="C33" s="39" t="n">
        <v>45659</v>
      </c>
      <c r="D33" s="7" t="s">
        <v>313</v>
      </c>
      <c r="E33" s="7" t="s">
        <v>156</v>
      </c>
      <c r="F33" s="7" t="s">
        <v>184</v>
      </c>
      <c r="G33" s="7" t="s">
        <v>505</v>
      </c>
      <c r="H33" s="6" t="n">
        <v>4.2</v>
      </c>
      <c r="I33" s="6" t="n">
        <v>0</v>
      </c>
      <c r="J33" s="40" t="n">
        <f aca="false">H33-I33</f>
        <v>4.2</v>
      </c>
      <c r="K33" s="41" t="n">
        <v>34</v>
      </c>
      <c r="L33" s="42" t="n">
        <f aca="false">J33*K33</f>
        <v>142.8</v>
      </c>
      <c r="M33" s="43" t="n">
        <f aca="false">H33*17.34*(1+'Chart of Accounts'!$E$67)</f>
        <v>83.38806</v>
      </c>
    </row>
    <row r="34" customFormat="false" ht="15" hidden="false" customHeight="false" outlineLevel="0" collapsed="false">
      <c r="B34" s="7" t="s">
        <v>531</v>
      </c>
      <c r="C34" s="39" t="n">
        <v>45659</v>
      </c>
      <c r="D34" s="7" t="s">
        <v>317</v>
      </c>
      <c r="E34" s="7" t="s">
        <v>156</v>
      </c>
      <c r="F34" s="7" t="s">
        <v>207</v>
      </c>
      <c r="G34" s="7" t="s">
        <v>505</v>
      </c>
      <c r="H34" s="6" t="n">
        <v>2.83</v>
      </c>
      <c r="I34" s="6" t="n">
        <v>0</v>
      </c>
      <c r="J34" s="40" t="n">
        <f aca="false">H34-I34</f>
        <v>2.83</v>
      </c>
      <c r="K34" s="41" t="n">
        <v>34</v>
      </c>
      <c r="L34" s="42" t="n">
        <f aca="false">J34*K34</f>
        <v>96.22</v>
      </c>
      <c r="M34" s="43" t="n">
        <f aca="false">H34*16.65*(1+'Chart of Accounts'!$E$67)</f>
        <v>53.9518275</v>
      </c>
    </row>
    <row r="35" customFormat="false" ht="15" hidden="false" customHeight="false" outlineLevel="0" collapsed="false">
      <c r="B35" s="7" t="s">
        <v>532</v>
      </c>
      <c r="C35" s="39" t="n">
        <v>45659</v>
      </c>
      <c r="D35" s="7" t="s">
        <v>321</v>
      </c>
      <c r="E35" s="7" t="s">
        <v>154</v>
      </c>
      <c r="F35" s="7" t="s">
        <v>218</v>
      </c>
      <c r="G35" s="7" t="s">
        <v>505</v>
      </c>
      <c r="H35" s="6" t="n">
        <v>3.63</v>
      </c>
      <c r="I35" s="6" t="n">
        <v>0</v>
      </c>
      <c r="J35" s="40" t="n">
        <f aca="false">H35-I35</f>
        <v>3.63</v>
      </c>
      <c r="K35" s="41" t="n">
        <v>26.5</v>
      </c>
      <c r="L35" s="42" t="n">
        <f aca="false">J35*K35</f>
        <v>96.195</v>
      </c>
      <c r="M35" s="43" t="n">
        <f aca="false">H35*16.19*(1+'Chart of Accounts'!$E$67)</f>
        <v>67.2913065</v>
      </c>
    </row>
    <row r="36" customFormat="false" ht="15" hidden="false" customHeight="false" outlineLevel="0" collapsed="false">
      <c r="B36" s="7" t="s">
        <v>533</v>
      </c>
      <c r="C36" s="39" t="n">
        <v>45659</v>
      </c>
      <c r="D36" s="7" t="s">
        <v>325</v>
      </c>
      <c r="E36" s="7" t="s">
        <v>154</v>
      </c>
      <c r="F36" s="7" t="s">
        <v>212</v>
      </c>
      <c r="G36" s="7" t="s">
        <v>505</v>
      </c>
      <c r="H36" s="6" t="n">
        <v>3.2</v>
      </c>
      <c r="I36" s="6" t="n">
        <v>0</v>
      </c>
      <c r="J36" s="40" t="n">
        <f aca="false">H36-I36</f>
        <v>3.2</v>
      </c>
      <c r="K36" s="41" t="n">
        <v>26.5</v>
      </c>
      <c r="L36" s="42" t="n">
        <f aca="false">J36*K36</f>
        <v>84.8</v>
      </c>
      <c r="M36" s="43" t="n">
        <f aca="false">H36*16.71*(1+'Chart of Accounts'!$E$67)</f>
        <v>61.22544</v>
      </c>
    </row>
    <row r="37" customFormat="false" ht="15" hidden="false" customHeight="false" outlineLevel="0" collapsed="false">
      <c r="B37" s="7" t="s">
        <v>534</v>
      </c>
      <c r="C37" s="39" t="n">
        <v>45659</v>
      </c>
      <c r="D37" s="7" t="s">
        <v>329</v>
      </c>
      <c r="E37" s="7" t="s">
        <v>156</v>
      </c>
      <c r="F37" s="7" t="s">
        <v>220</v>
      </c>
      <c r="G37" s="7" t="s">
        <v>505</v>
      </c>
      <c r="H37" s="6" t="n">
        <v>3.98</v>
      </c>
      <c r="I37" s="6" t="n">
        <v>0</v>
      </c>
      <c r="J37" s="40" t="n">
        <f aca="false">H37-I37</f>
        <v>3.98</v>
      </c>
      <c r="K37" s="41" t="n">
        <v>34</v>
      </c>
      <c r="L37" s="42" t="n">
        <f aca="false">J37*K37</f>
        <v>135.32</v>
      </c>
      <c r="M37" s="43" t="n">
        <f aca="false">H37*16.43*(1+'Chart of Accounts'!$E$67)</f>
        <v>74.873153</v>
      </c>
    </row>
    <row r="38" customFormat="false" ht="15" hidden="false" customHeight="false" outlineLevel="0" collapsed="false">
      <c r="B38" s="7" t="s">
        <v>535</v>
      </c>
      <c r="C38" s="39" t="n">
        <v>45659</v>
      </c>
      <c r="D38" s="7" t="s">
        <v>331</v>
      </c>
      <c r="E38" s="7" t="s">
        <v>156</v>
      </c>
      <c r="F38" s="7" t="s">
        <v>224</v>
      </c>
      <c r="G38" s="7" t="s">
        <v>505</v>
      </c>
      <c r="H38" s="6" t="n">
        <v>3.97</v>
      </c>
      <c r="I38" s="6" t="n">
        <v>0</v>
      </c>
      <c r="J38" s="40" t="n">
        <f aca="false">H38-I38</f>
        <v>3.97</v>
      </c>
      <c r="K38" s="41" t="n">
        <v>34</v>
      </c>
      <c r="L38" s="42" t="n">
        <f aca="false">J38*K38</f>
        <v>134.98</v>
      </c>
      <c r="M38" s="43" t="n">
        <f aca="false">H38*14.93*(1+'Chart of Accounts'!$E$67)</f>
        <v>67.8665545</v>
      </c>
    </row>
    <row r="39" customFormat="false" ht="15" hidden="false" customHeight="false" outlineLevel="0" collapsed="false">
      <c r="B39" s="7" t="s">
        <v>536</v>
      </c>
      <c r="C39" s="39" t="n">
        <v>45659</v>
      </c>
      <c r="D39" s="7" t="s">
        <v>337</v>
      </c>
      <c r="E39" s="7" t="s">
        <v>154</v>
      </c>
      <c r="F39" s="7" t="s">
        <v>232</v>
      </c>
      <c r="G39" s="7" t="s">
        <v>505</v>
      </c>
      <c r="H39" s="6" t="n">
        <v>3.06</v>
      </c>
      <c r="I39" s="6" t="n">
        <v>0</v>
      </c>
      <c r="J39" s="40" t="n">
        <f aca="false">H39-I39</f>
        <v>3.06</v>
      </c>
      <c r="K39" s="41" t="n">
        <v>26.5</v>
      </c>
      <c r="L39" s="42" t="n">
        <f aca="false">J39*K39</f>
        <v>81.09</v>
      </c>
      <c r="M39" s="43" t="n">
        <f aca="false">H39*16.17*(1+'Chart of Accounts'!$E$67)</f>
        <v>56.654829</v>
      </c>
    </row>
    <row r="40" customFormat="false" ht="15" hidden="false" customHeight="false" outlineLevel="0" collapsed="false">
      <c r="B40" s="7" t="s">
        <v>537</v>
      </c>
      <c r="C40" s="39" t="n">
        <v>45659</v>
      </c>
      <c r="D40" s="7" t="s">
        <v>341</v>
      </c>
      <c r="E40" s="7" t="s">
        <v>156</v>
      </c>
      <c r="F40" s="7" t="s">
        <v>222</v>
      </c>
      <c r="G40" s="7" t="s">
        <v>505</v>
      </c>
      <c r="H40" s="6" t="n">
        <v>3.17</v>
      </c>
      <c r="I40" s="6" t="n">
        <v>0</v>
      </c>
      <c r="J40" s="40" t="n">
        <f aca="false">H40-I40</f>
        <v>3.17</v>
      </c>
      <c r="K40" s="41" t="n">
        <v>34</v>
      </c>
      <c r="L40" s="42" t="n">
        <f aca="false">J40*K40</f>
        <v>107.78</v>
      </c>
      <c r="M40" s="43" t="n">
        <f aca="false">H40*17.84*(1+'Chart of Accounts'!$E$67)</f>
        <v>64.752956</v>
      </c>
    </row>
    <row r="41" customFormat="false" ht="15" hidden="false" customHeight="false" outlineLevel="0" collapsed="false">
      <c r="B41" s="7" t="s">
        <v>538</v>
      </c>
      <c r="C41" s="39" t="n">
        <v>45659</v>
      </c>
      <c r="D41" s="7" t="s">
        <v>343</v>
      </c>
      <c r="E41" s="7" t="s">
        <v>154</v>
      </c>
      <c r="F41" s="7" t="s">
        <v>262</v>
      </c>
      <c r="G41" s="7" t="s">
        <v>505</v>
      </c>
      <c r="H41" s="6" t="n">
        <v>4.06</v>
      </c>
      <c r="I41" s="6" t="n">
        <v>0</v>
      </c>
      <c r="J41" s="40" t="n">
        <f aca="false">H41-I41</f>
        <v>4.06</v>
      </c>
      <c r="K41" s="41" t="n">
        <v>26.5</v>
      </c>
      <c r="L41" s="42" t="n">
        <f aca="false">J41*K41</f>
        <v>107.59</v>
      </c>
      <c r="M41" s="43" t="n">
        <f aca="false">H41*16.02*(1+'Chart of Accounts'!$E$67)</f>
        <v>74.472174</v>
      </c>
    </row>
    <row r="42" customFormat="false" ht="15" hidden="false" customHeight="false" outlineLevel="0" collapsed="false">
      <c r="B42" s="7" t="s">
        <v>539</v>
      </c>
      <c r="C42" s="39" t="n">
        <v>45659</v>
      </c>
      <c r="D42" s="7" t="s">
        <v>359</v>
      </c>
      <c r="E42" s="7" t="s">
        <v>156</v>
      </c>
      <c r="F42" s="7" t="s">
        <v>212</v>
      </c>
      <c r="G42" s="7" t="s">
        <v>505</v>
      </c>
      <c r="H42" s="6" t="n">
        <v>4.33</v>
      </c>
      <c r="I42" s="6" t="n">
        <v>0</v>
      </c>
      <c r="J42" s="40" t="n">
        <f aca="false">H42-I42</f>
        <v>4.33</v>
      </c>
      <c r="K42" s="41" t="n">
        <v>34</v>
      </c>
      <c r="L42" s="42" t="n">
        <f aca="false">J42*K42</f>
        <v>147.22</v>
      </c>
      <c r="M42" s="43" t="n">
        <f aca="false">H42*16.71*(1+'Chart of Accounts'!$E$67)</f>
        <v>82.8456735</v>
      </c>
    </row>
    <row r="43" customFormat="false" ht="15" hidden="false" customHeight="false" outlineLevel="0" collapsed="false">
      <c r="B43" s="7" t="s">
        <v>540</v>
      </c>
      <c r="C43" s="39" t="n">
        <v>45659</v>
      </c>
      <c r="D43" s="7" t="s">
        <v>363</v>
      </c>
      <c r="E43" s="7" t="s">
        <v>156</v>
      </c>
      <c r="F43" s="7" t="s">
        <v>246</v>
      </c>
      <c r="G43" s="7" t="s">
        <v>505</v>
      </c>
      <c r="H43" s="6" t="n">
        <v>3.76</v>
      </c>
      <c r="I43" s="6" t="n">
        <v>0</v>
      </c>
      <c r="J43" s="40" t="n">
        <f aca="false">H43-I43</f>
        <v>3.76</v>
      </c>
      <c r="K43" s="41" t="n">
        <v>34</v>
      </c>
      <c r="L43" s="42" t="n">
        <f aca="false">J43*K43</f>
        <v>127.84</v>
      </c>
      <c r="M43" s="43" t="n">
        <f aca="false">H43*16.48*(1+'Chart of Accounts'!$E$67)</f>
        <v>70.949696</v>
      </c>
    </row>
    <row r="44" customFormat="false" ht="15" hidden="false" customHeight="false" outlineLevel="0" collapsed="false">
      <c r="B44" s="7" t="s">
        <v>541</v>
      </c>
      <c r="C44" s="39" t="n">
        <v>45659</v>
      </c>
      <c r="D44" s="7" t="s">
        <v>375</v>
      </c>
      <c r="E44" s="7" t="s">
        <v>156</v>
      </c>
      <c r="F44" s="7" t="s">
        <v>196</v>
      </c>
      <c r="G44" s="7" t="s">
        <v>505</v>
      </c>
      <c r="H44" s="6" t="n">
        <v>2.85</v>
      </c>
      <c r="I44" s="6" t="n">
        <v>0</v>
      </c>
      <c r="J44" s="40" t="n">
        <f aca="false">H44-I44</f>
        <v>2.85</v>
      </c>
      <c r="K44" s="41" t="n">
        <v>34</v>
      </c>
      <c r="L44" s="42" t="n">
        <f aca="false">J44*K44</f>
        <v>96.9</v>
      </c>
      <c r="M44" s="43" t="n">
        <f aca="false">H44*15.05*(1+'Chart of Accounts'!$E$67)</f>
        <v>49.1119125</v>
      </c>
    </row>
    <row r="45" customFormat="false" ht="15" hidden="false" customHeight="false" outlineLevel="0" collapsed="false">
      <c r="B45" s="7" t="s">
        <v>542</v>
      </c>
      <c r="C45" s="39" t="n">
        <v>45659</v>
      </c>
      <c r="D45" s="7" t="s">
        <v>377</v>
      </c>
      <c r="E45" s="7" t="s">
        <v>154</v>
      </c>
      <c r="F45" s="7" t="s">
        <v>214</v>
      </c>
      <c r="G45" s="7" t="s">
        <v>505</v>
      </c>
      <c r="H45" s="6" t="n">
        <v>4.15</v>
      </c>
      <c r="I45" s="6" t="n">
        <v>0</v>
      </c>
      <c r="J45" s="40" t="n">
        <f aca="false">H45-I45</f>
        <v>4.15</v>
      </c>
      <c r="K45" s="41" t="n">
        <v>26.5</v>
      </c>
      <c r="L45" s="42" t="n">
        <f aca="false">J45*K45</f>
        <v>109.975</v>
      </c>
      <c r="M45" s="43" t="n">
        <f aca="false">H45*15.67*(1+'Chart of Accounts'!$E$67)</f>
        <v>74.4599225</v>
      </c>
    </row>
    <row r="46" customFormat="false" ht="15" hidden="false" customHeight="false" outlineLevel="0" collapsed="false">
      <c r="B46" s="7" t="s">
        <v>543</v>
      </c>
      <c r="C46" s="39" t="n">
        <v>45659</v>
      </c>
      <c r="D46" s="7" t="s">
        <v>389</v>
      </c>
      <c r="E46" s="7" t="s">
        <v>154</v>
      </c>
      <c r="F46" s="7" t="s">
        <v>246</v>
      </c>
      <c r="G46" s="7" t="s">
        <v>505</v>
      </c>
      <c r="H46" s="6" t="n">
        <v>4.05</v>
      </c>
      <c r="I46" s="6" t="n">
        <v>0</v>
      </c>
      <c r="J46" s="40" t="n">
        <f aca="false">H46-I46</f>
        <v>4.05</v>
      </c>
      <c r="K46" s="41" t="n">
        <v>26.5</v>
      </c>
      <c r="L46" s="42" t="n">
        <f aca="false">J46*K46</f>
        <v>107.325</v>
      </c>
      <c r="M46" s="43" t="n">
        <f aca="false">H46*16.48*(1+'Chart of Accounts'!$E$67)</f>
        <v>76.42188</v>
      </c>
    </row>
    <row r="47" customFormat="false" ht="15" hidden="false" customHeight="false" outlineLevel="0" collapsed="false">
      <c r="B47" s="7" t="s">
        <v>544</v>
      </c>
      <c r="C47" s="39" t="n">
        <v>45659</v>
      </c>
      <c r="D47" s="7" t="s">
        <v>391</v>
      </c>
      <c r="E47" s="7" t="s">
        <v>156</v>
      </c>
      <c r="F47" s="7" t="s">
        <v>222</v>
      </c>
      <c r="G47" s="7" t="s">
        <v>505</v>
      </c>
      <c r="H47" s="6" t="n">
        <v>4.13</v>
      </c>
      <c r="I47" s="6" t="n">
        <v>0</v>
      </c>
      <c r="J47" s="40" t="n">
        <f aca="false">H47-I47</f>
        <v>4.13</v>
      </c>
      <c r="K47" s="41" t="n">
        <v>34</v>
      </c>
      <c r="L47" s="42" t="n">
        <f aca="false">J47*K47</f>
        <v>140.42</v>
      </c>
      <c r="M47" s="43" t="n">
        <f aca="false">H47*17.84*(1+'Chart of Accounts'!$E$67)</f>
        <v>84.362684</v>
      </c>
    </row>
    <row r="48" customFormat="false" ht="15" hidden="false" customHeight="false" outlineLevel="0" collapsed="false">
      <c r="B48" s="7" t="s">
        <v>545</v>
      </c>
      <c r="C48" s="39" t="n">
        <v>45659</v>
      </c>
      <c r="D48" s="7" t="s">
        <v>395</v>
      </c>
      <c r="E48" s="7" t="s">
        <v>156</v>
      </c>
      <c r="F48" s="7" t="s">
        <v>242</v>
      </c>
      <c r="G48" s="7" t="s">
        <v>505</v>
      </c>
      <c r="H48" s="6" t="n">
        <v>3.61</v>
      </c>
      <c r="I48" s="6" t="n">
        <v>0</v>
      </c>
      <c r="J48" s="40" t="n">
        <f aca="false">H48-I48</f>
        <v>3.61</v>
      </c>
      <c r="K48" s="41" t="n">
        <v>34</v>
      </c>
      <c r="L48" s="42" t="n">
        <f aca="false">J48*K48</f>
        <v>122.74</v>
      </c>
      <c r="M48" s="43" t="n">
        <f aca="false">H48*17.99*(1+'Chart of Accounts'!$E$67)</f>
        <v>74.3607655</v>
      </c>
    </row>
    <row r="49" customFormat="false" ht="15" hidden="false" customHeight="false" outlineLevel="0" collapsed="false">
      <c r="B49" s="7" t="s">
        <v>546</v>
      </c>
      <c r="C49" s="39" t="n">
        <v>45659</v>
      </c>
      <c r="D49" s="7" t="s">
        <v>401</v>
      </c>
      <c r="E49" s="7" t="s">
        <v>156</v>
      </c>
      <c r="F49" s="7" t="s">
        <v>254</v>
      </c>
      <c r="G49" s="7" t="s">
        <v>505</v>
      </c>
      <c r="H49" s="6" t="n">
        <v>3.95</v>
      </c>
      <c r="I49" s="6" t="n">
        <v>0</v>
      </c>
      <c r="J49" s="40" t="n">
        <f aca="false">H49-I49</f>
        <v>3.95</v>
      </c>
      <c r="K49" s="41" t="n">
        <v>34</v>
      </c>
      <c r="L49" s="42" t="n">
        <f aca="false">J49*K49</f>
        <v>134.3</v>
      </c>
      <c r="M49" s="43" t="n">
        <f aca="false">H49*17.1*(1+'Chart of Accounts'!$E$67)</f>
        <v>77.339025</v>
      </c>
    </row>
    <row r="50" customFormat="false" ht="15" hidden="false" customHeight="false" outlineLevel="0" collapsed="false">
      <c r="B50" s="7" t="s">
        <v>547</v>
      </c>
      <c r="C50" s="39" t="n">
        <v>45660</v>
      </c>
      <c r="D50" s="7" t="s">
        <v>280</v>
      </c>
      <c r="E50" s="7" t="s">
        <v>157</v>
      </c>
      <c r="F50" s="7" t="s">
        <v>187</v>
      </c>
      <c r="G50" s="7" t="s">
        <v>502</v>
      </c>
      <c r="H50" s="6" t="n">
        <v>0.99</v>
      </c>
      <c r="I50" s="6" t="n">
        <v>0</v>
      </c>
      <c r="J50" s="40" t="n">
        <f aca="false">H50-I50</f>
        <v>0.99</v>
      </c>
      <c r="K50" s="41" t="n">
        <v>165</v>
      </c>
      <c r="L50" s="42" t="n">
        <f aca="false">J50*K50</f>
        <v>163.35</v>
      </c>
      <c r="M50" s="43" t="n">
        <f aca="false">H50*66.48*(1+'Chart of Accounts'!$E$67)</f>
        <v>75.358404</v>
      </c>
    </row>
    <row r="51" customFormat="false" ht="15" hidden="false" customHeight="false" outlineLevel="0" collapsed="false">
      <c r="B51" s="7" t="s">
        <v>548</v>
      </c>
      <c r="C51" s="39" t="n">
        <v>45660</v>
      </c>
      <c r="D51" s="7" t="s">
        <v>288</v>
      </c>
      <c r="E51" s="7" t="s">
        <v>156</v>
      </c>
      <c r="F51" s="7" t="s">
        <v>191</v>
      </c>
      <c r="G51" s="7" t="s">
        <v>505</v>
      </c>
      <c r="H51" s="6" t="n">
        <v>4.02</v>
      </c>
      <c r="I51" s="6" t="n">
        <v>0</v>
      </c>
      <c r="J51" s="40" t="n">
        <f aca="false">H51-I51</f>
        <v>4.02</v>
      </c>
      <c r="K51" s="41" t="n">
        <v>34</v>
      </c>
      <c r="L51" s="42" t="n">
        <f aca="false">J51*K51</f>
        <v>136.68</v>
      </c>
      <c r="M51" s="43" t="n">
        <f aca="false">H51*16.05*(1+'Chart of Accounts'!$E$67)</f>
        <v>73.876545</v>
      </c>
    </row>
    <row r="52" customFormat="false" ht="15" hidden="false" customHeight="false" outlineLevel="0" collapsed="false">
      <c r="B52" s="7" t="s">
        <v>549</v>
      </c>
      <c r="C52" s="39" t="n">
        <v>45660</v>
      </c>
      <c r="D52" s="7" t="s">
        <v>291</v>
      </c>
      <c r="E52" s="7" t="s">
        <v>154</v>
      </c>
      <c r="F52" s="7" t="s">
        <v>194</v>
      </c>
      <c r="G52" s="7" t="s">
        <v>505</v>
      </c>
      <c r="H52" s="6" t="n">
        <v>5.06</v>
      </c>
      <c r="I52" s="6" t="n">
        <v>0</v>
      </c>
      <c r="J52" s="40" t="n">
        <f aca="false">H52-I52</f>
        <v>5.06</v>
      </c>
      <c r="K52" s="41" t="n">
        <v>26.5</v>
      </c>
      <c r="L52" s="42" t="n">
        <f aca="false">J52*K52</f>
        <v>134.09</v>
      </c>
      <c r="M52" s="43" t="n">
        <f aca="false">H52*16*(1+'Chart of Accounts'!$E$67)</f>
        <v>92.6992</v>
      </c>
    </row>
    <row r="53" customFormat="false" ht="15" hidden="false" customHeight="false" outlineLevel="0" collapsed="false">
      <c r="B53" s="7" t="s">
        <v>550</v>
      </c>
      <c r="C53" s="39" t="n">
        <v>45660</v>
      </c>
      <c r="D53" s="7" t="s">
        <v>301</v>
      </c>
      <c r="E53" s="7" t="s">
        <v>157</v>
      </c>
      <c r="F53" s="7" t="s">
        <v>209</v>
      </c>
      <c r="G53" s="7" t="s">
        <v>502</v>
      </c>
      <c r="H53" s="6" t="n">
        <v>1.07</v>
      </c>
      <c r="I53" s="6" t="n">
        <v>0</v>
      </c>
      <c r="J53" s="40" t="n">
        <f aca="false">H53-I53</f>
        <v>1.07</v>
      </c>
      <c r="K53" s="41" t="n">
        <v>165</v>
      </c>
      <c r="L53" s="42" t="n">
        <f aca="false">J53*K53</f>
        <v>176.55</v>
      </c>
      <c r="M53" s="43" t="n">
        <f aca="false">H53*73.58*(1+'Chart of Accounts'!$E$67)</f>
        <v>90.146537</v>
      </c>
    </row>
    <row r="54" customFormat="false" ht="15" hidden="false" customHeight="false" outlineLevel="0" collapsed="false">
      <c r="B54" s="7" t="s">
        <v>551</v>
      </c>
      <c r="C54" s="39" t="n">
        <v>45660</v>
      </c>
      <c r="D54" s="7" t="s">
        <v>305</v>
      </c>
      <c r="E54" s="7" t="s">
        <v>154</v>
      </c>
      <c r="F54" s="7" t="s">
        <v>205</v>
      </c>
      <c r="G54" s="7" t="s">
        <v>505</v>
      </c>
      <c r="H54" s="6" t="n">
        <v>3.8</v>
      </c>
      <c r="I54" s="6" t="n">
        <v>0</v>
      </c>
      <c r="J54" s="40" t="n">
        <f aca="false">H54-I54</f>
        <v>3.8</v>
      </c>
      <c r="K54" s="41" t="n">
        <v>26.5</v>
      </c>
      <c r="L54" s="42" t="n">
        <f aca="false">J54*K54</f>
        <v>100.7</v>
      </c>
      <c r="M54" s="43" t="n">
        <f aca="false">H54*16.36*(1+'Chart of Accounts'!$E$67)</f>
        <v>71.18236</v>
      </c>
    </row>
    <row r="55" customFormat="false" ht="15" hidden="false" customHeight="false" outlineLevel="0" collapsed="false">
      <c r="B55" s="7" t="s">
        <v>552</v>
      </c>
      <c r="C55" s="39" t="n">
        <v>45660</v>
      </c>
      <c r="D55" s="7" t="s">
        <v>309</v>
      </c>
      <c r="E55" s="7" t="s">
        <v>159</v>
      </c>
      <c r="F55" s="7" t="s">
        <v>252</v>
      </c>
      <c r="G55" s="7" t="s">
        <v>502</v>
      </c>
      <c r="H55" s="6" t="n">
        <v>0.99</v>
      </c>
      <c r="I55" s="6" t="n">
        <v>0</v>
      </c>
      <c r="J55" s="40" t="n">
        <f aca="false">H55-I55</f>
        <v>0.99</v>
      </c>
      <c r="K55" s="41" t="n">
        <v>135</v>
      </c>
      <c r="L55" s="42" t="n">
        <f aca="false">J55*K55</f>
        <v>133.65</v>
      </c>
      <c r="M55" s="43" t="n">
        <f aca="false">H55*57.54*(1+'Chart of Accounts'!$E$67)</f>
        <v>65.224467</v>
      </c>
    </row>
    <row r="56" customFormat="false" ht="15" hidden="false" customHeight="false" outlineLevel="0" collapsed="false">
      <c r="B56" s="7" t="s">
        <v>553</v>
      </c>
      <c r="C56" s="39" t="n">
        <v>45660</v>
      </c>
      <c r="D56" s="7" t="s">
        <v>313</v>
      </c>
      <c r="E56" s="7" t="s">
        <v>156</v>
      </c>
      <c r="F56" s="7" t="s">
        <v>184</v>
      </c>
      <c r="G56" s="7" t="s">
        <v>505</v>
      </c>
      <c r="H56" s="6" t="n">
        <v>4.13</v>
      </c>
      <c r="I56" s="6" t="n">
        <v>0</v>
      </c>
      <c r="J56" s="40" t="n">
        <f aca="false">H56-I56</f>
        <v>4.13</v>
      </c>
      <c r="K56" s="41" t="n">
        <v>34</v>
      </c>
      <c r="L56" s="42" t="n">
        <f aca="false">J56*K56</f>
        <v>140.42</v>
      </c>
      <c r="M56" s="43" t="n">
        <f aca="false">H56*17.34*(1+'Chart of Accounts'!$E$67)</f>
        <v>81.998259</v>
      </c>
    </row>
    <row r="57" customFormat="false" ht="15" hidden="false" customHeight="false" outlineLevel="0" collapsed="false">
      <c r="B57" s="7" t="s">
        <v>554</v>
      </c>
      <c r="C57" s="39" t="n">
        <v>45660</v>
      </c>
      <c r="D57" s="7" t="s">
        <v>319</v>
      </c>
      <c r="E57" s="7" t="s">
        <v>157</v>
      </c>
      <c r="F57" s="7" t="s">
        <v>234</v>
      </c>
      <c r="G57" s="7" t="s">
        <v>502</v>
      </c>
      <c r="H57" s="6" t="n">
        <v>0.97</v>
      </c>
      <c r="I57" s="6" t="n">
        <v>0</v>
      </c>
      <c r="J57" s="40" t="n">
        <f aca="false">H57-I57</f>
        <v>0.97</v>
      </c>
      <c r="K57" s="41" t="n">
        <v>165</v>
      </c>
      <c r="L57" s="42" t="n">
        <f aca="false">J57*K57</f>
        <v>160.05</v>
      </c>
      <c r="M57" s="43" t="n">
        <f aca="false">H57*89.53*(1+'Chart of Accounts'!$E$67)</f>
        <v>99.4364945</v>
      </c>
    </row>
    <row r="58" customFormat="false" ht="15" hidden="false" customHeight="false" outlineLevel="0" collapsed="false">
      <c r="B58" s="7" t="s">
        <v>555</v>
      </c>
      <c r="C58" s="39" t="n">
        <v>45660</v>
      </c>
      <c r="D58" s="7" t="s">
        <v>321</v>
      </c>
      <c r="E58" s="7" t="s">
        <v>154</v>
      </c>
      <c r="F58" s="7" t="s">
        <v>218</v>
      </c>
      <c r="G58" s="7" t="s">
        <v>505</v>
      </c>
      <c r="H58" s="6" t="n">
        <v>3.81</v>
      </c>
      <c r="I58" s="6" t="n">
        <v>0</v>
      </c>
      <c r="J58" s="40" t="n">
        <f aca="false">H58-I58</f>
        <v>3.81</v>
      </c>
      <c r="K58" s="41" t="n">
        <v>26.5</v>
      </c>
      <c r="L58" s="42" t="n">
        <f aca="false">J58*K58</f>
        <v>100.965</v>
      </c>
      <c r="M58" s="43" t="n">
        <f aca="false">H58*16.19*(1+'Chart of Accounts'!$E$67)</f>
        <v>70.6280655</v>
      </c>
    </row>
    <row r="59" customFormat="false" ht="15" hidden="false" customHeight="false" outlineLevel="0" collapsed="false">
      <c r="B59" s="7" t="s">
        <v>556</v>
      </c>
      <c r="C59" s="39" t="n">
        <v>45660</v>
      </c>
      <c r="D59" s="7" t="s">
        <v>323</v>
      </c>
      <c r="E59" s="7" t="s">
        <v>159</v>
      </c>
      <c r="F59" s="7" t="s">
        <v>266</v>
      </c>
      <c r="G59" s="7" t="s">
        <v>502</v>
      </c>
      <c r="H59" s="6" t="n">
        <v>1.08</v>
      </c>
      <c r="I59" s="6" t="n">
        <v>0</v>
      </c>
      <c r="J59" s="40" t="n">
        <f aca="false">H59-I59</f>
        <v>1.08</v>
      </c>
      <c r="K59" s="41" t="n">
        <v>135</v>
      </c>
      <c r="L59" s="42" t="n">
        <f aca="false">J59*K59</f>
        <v>145.8</v>
      </c>
      <c r="M59" s="43" t="n">
        <f aca="false">H59*75.18*(1+'Chart of Accounts'!$E$67)</f>
        <v>92.967588</v>
      </c>
    </row>
    <row r="60" customFormat="false" ht="15" hidden="false" customHeight="false" outlineLevel="0" collapsed="false">
      <c r="B60" s="7" t="s">
        <v>557</v>
      </c>
      <c r="C60" s="39" t="n">
        <v>45660</v>
      </c>
      <c r="D60" s="7" t="s">
        <v>327</v>
      </c>
      <c r="E60" s="7" t="s">
        <v>157</v>
      </c>
      <c r="F60" s="7" t="s">
        <v>228</v>
      </c>
      <c r="G60" s="7" t="s">
        <v>502</v>
      </c>
      <c r="H60" s="6" t="n">
        <v>0.94</v>
      </c>
      <c r="I60" s="6" t="n">
        <v>0</v>
      </c>
      <c r="J60" s="40" t="n">
        <f aca="false">H60-I60</f>
        <v>0.94</v>
      </c>
      <c r="K60" s="41" t="n">
        <v>165</v>
      </c>
      <c r="L60" s="42" t="n">
        <f aca="false">J60*K60</f>
        <v>155.1</v>
      </c>
      <c r="M60" s="43" t="n">
        <f aca="false">H60*51.07*(1+'Chart of Accounts'!$E$67)</f>
        <v>54.966641</v>
      </c>
    </row>
    <row r="61" customFormat="false" ht="15" hidden="false" customHeight="false" outlineLevel="0" collapsed="false">
      <c r="B61" s="7" t="s">
        <v>558</v>
      </c>
      <c r="C61" s="39" t="n">
        <v>45660</v>
      </c>
      <c r="D61" s="7" t="s">
        <v>329</v>
      </c>
      <c r="E61" s="7" t="s">
        <v>156</v>
      </c>
      <c r="F61" s="7" t="s">
        <v>220</v>
      </c>
      <c r="G61" s="7" t="s">
        <v>505</v>
      </c>
      <c r="H61" s="6" t="n">
        <v>4.04</v>
      </c>
      <c r="I61" s="6" t="n">
        <v>0</v>
      </c>
      <c r="J61" s="40" t="n">
        <f aca="false">H61-I61</f>
        <v>4.04</v>
      </c>
      <c r="K61" s="41" t="n">
        <v>34</v>
      </c>
      <c r="L61" s="42" t="n">
        <f aca="false">J61*K61</f>
        <v>137.36</v>
      </c>
      <c r="M61" s="43" t="n">
        <f aca="false">H61*16.43*(1+'Chart of Accounts'!$E$67)</f>
        <v>76.001894</v>
      </c>
    </row>
    <row r="62" customFormat="false" ht="15" hidden="false" customHeight="false" outlineLevel="0" collapsed="false">
      <c r="B62" s="7" t="s">
        <v>559</v>
      </c>
      <c r="C62" s="39" t="n">
        <v>45660</v>
      </c>
      <c r="D62" s="7" t="s">
        <v>335</v>
      </c>
      <c r="E62" s="7" t="s">
        <v>154</v>
      </c>
      <c r="F62" s="7" t="s">
        <v>177</v>
      </c>
      <c r="G62" s="7" t="s">
        <v>505</v>
      </c>
      <c r="H62" s="6" t="n">
        <v>4.17</v>
      </c>
      <c r="I62" s="6" t="n">
        <v>0.125</v>
      </c>
      <c r="J62" s="40" t="n">
        <f aca="false">H62-I62</f>
        <v>4.045</v>
      </c>
      <c r="K62" s="41" t="n">
        <v>26.5</v>
      </c>
      <c r="L62" s="42" t="n">
        <f aca="false">J62*K62</f>
        <v>107.1925</v>
      </c>
      <c r="M62" s="43" t="n">
        <f aca="false">H62*14.56*(1+'Chart of Accounts'!$E$67)</f>
        <v>69.518904</v>
      </c>
    </row>
    <row r="63" customFormat="false" ht="15" hidden="false" customHeight="false" outlineLevel="0" collapsed="false">
      <c r="B63" s="7" t="s">
        <v>560</v>
      </c>
      <c r="C63" s="39" t="n">
        <v>45660</v>
      </c>
      <c r="D63" s="7" t="s">
        <v>339</v>
      </c>
      <c r="E63" s="7" t="s">
        <v>154</v>
      </c>
      <c r="F63" s="7" t="s">
        <v>242</v>
      </c>
      <c r="G63" s="7" t="s">
        <v>505</v>
      </c>
      <c r="H63" s="6" t="n">
        <v>3.2</v>
      </c>
      <c r="I63" s="6" t="n">
        <v>0</v>
      </c>
      <c r="J63" s="40" t="n">
        <f aca="false">H63-I63</f>
        <v>3.2</v>
      </c>
      <c r="K63" s="41" t="n">
        <v>26.5</v>
      </c>
      <c r="L63" s="42" t="n">
        <f aca="false">J63*K63</f>
        <v>84.8</v>
      </c>
      <c r="M63" s="43" t="n">
        <f aca="false">H63*17.99*(1+'Chart of Accounts'!$E$67)</f>
        <v>65.91536</v>
      </c>
    </row>
    <row r="64" customFormat="false" ht="15" hidden="false" customHeight="false" outlineLevel="0" collapsed="false">
      <c r="B64" s="7" t="s">
        <v>561</v>
      </c>
      <c r="C64" s="39" t="n">
        <v>45660</v>
      </c>
      <c r="D64" s="7" t="s">
        <v>353</v>
      </c>
      <c r="E64" s="7" t="s">
        <v>154</v>
      </c>
      <c r="F64" s="7" t="s">
        <v>254</v>
      </c>
      <c r="G64" s="7" t="s">
        <v>505</v>
      </c>
      <c r="H64" s="6" t="n">
        <v>3.44</v>
      </c>
      <c r="I64" s="6" t="n">
        <v>0</v>
      </c>
      <c r="J64" s="40" t="n">
        <f aca="false">H64-I64</f>
        <v>3.44</v>
      </c>
      <c r="K64" s="41" t="n">
        <v>26.5</v>
      </c>
      <c r="L64" s="42" t="n">
        <f aca="false">J64*K64</f>
        <v>91.16</v>
      </c>
      <c r="M64" s="43" t="n">
        <f aca="false">H64*17.1*(1+'Chart of Accounts'!$E$67)</f>
        <v>67.35348</v>
      </c>
    </row>
    <row r="65" customFormat="false" ht="15" hidden="false" customHeight="false" outlineLevel="0" collapsed="false">
      <c r="B65" s="7" t="s">
        <v>562</v>
      </c>
      <c r="C65" s="39" t="n">
        <v>45660</v>
      </c>
      <c r="D65" s="7" t="s">
        <v>355</v>
      </c>
      <c r="E65" s="7" t="s">
        <v>154</v>
      </c>
      <c r="F65" s="7" t="s">
        <v>201</v>
      </c>
      <c r="G65" s="7" t="s">
        <v>505</v>
      </c>
      <c r="H65" s="6" t="n">
        <v>3.23</v>
      </c>
      <c r="I65" s="6" t="n">
        <v>0</v>
      </c>
      <c r="J65" s="40" t="n">
        <f aca="false">H65-I65</f>
        <v>3.23</v>
      </c>
      <c r="K65" s="41" t="n">
        <v>26.5</v>
      </c>
      <c r="L65" s="42" t="n">
        <f aca="false">J65*K65</f>
        <v>85.595</v>
      </c>
      <c r="M65" s="43" t="n">
        <f aca="false">H65*15.19*(1+'Chart of Accounts'!$E$67)</f>
        <v>56.1779365</v>
      </c>
    </row>
    <row r="66" customFormat="false" ht="15" hidden="false" customHeight="false" outlineLevel="0" collapsed="false">
      <c r="B66" s="7" t="s">
        <v>563</v>
      </c>
      <c r="C66" s="39" t="n">
        <v>45660</v>
      </c>
      <c r="D66" s="7" t="s">
        <v>357</v>
      </c>
      <c r="E66" s="7" t="s">
        <v>154</v>
      </c>
      <c r="F66" s="7" t="s">
        <v>207</v>
      </c>
      <c r="G66" s="7" t="s">
        <v>505</v>
      </c>
      <c r="H66" s="6" t="n">
        <v>3.23</v>
      </c>
      <c r="I66" s="6" t="n">
        <v>0</v>
      </c>
      <c r="J66" s="40" t="n">
        <f aca="false">H66-I66</f>
        <v>3.23</v>
      </c>
      <c r="K66" s="41" t="n">
        <v>26.5</v>
      </c>
      <c r="L66" s="42" t="n">
        <f aca="false">J66*K66</f>
        <v>85.595</v>
      </c>
      <c r="M66" s="43" t="n">
        <f aca="false">H66*16.65*(1+'Chart of Accounts'!$E$67)</f>
        <v>61.5775275</v>
      </c>
    </row>
    <row r="67" customFormat="false" ht="15" hidden="false" customHeight="false" outlineLevel="0" collapsed="false">
      <c r="B67" s="7" t="s">
        <v>564</v>
      </c>
      <c r="C67" s="39" t="n">
        <v>45660</v>
      </c>
      <c r="D67" s="7" t="s">
        <v>359</v>
      </c>
      <c r="E67" s="7" t="s">
        <v>156</v>
      </c>
      <c r="F67" s="7" t="s">
        <v>212</v>
      </c>
      <c r="G67" s="7" t="s">
        <v>505</v>
      </c>
      <c r="H67" s="6" t="n">
        <v>3.78</v>
      </c>
      <c r="I67" s="6" t="n">
        <v>0</v>
      </c>
      <c r="J67" s="40" t="n">
        <f aca="false">H67-I67</f>
        <v>3.78</v>
      </c>
      <c r="K67" s="41" t="n">
        <v>34</v>
      </c>
      <c r="L67" s="42" t="n">
        <f aca="false">J67*K67</f>
        <v>128.52</v>
      </c>
      <c r="M67" s="43" t="n">
        <f aca="false">H67*16.71*(1+'Chart of Accounts'!$E$67)</f>
        <v>72.322551</v>
      </c>
    </row>
    <row r="68" customFormat="false" ht="15" hidden="false" customHeight="false" outlineLevel="0" collapsed="false">
      <c r="B68" s="7" t="s">
        <v>565</v>
      </c>
      <c r="C68" s="39" t="n">
        <v>45660</v>
      </c>
      <c r="D68" s="7" t="s">
        <v>361</v>
      </c>
      <c r="E68" s="7" t="s">
        <v>157</v>
      </c>
      <c r="F68" s="7" t="s">
        <v>209</v>
      </c>
      <c r="G68" s="7" t="s">
        <v>502</v>
      </c>
      <c r="H68" s="6" t="n">
        <v>1.05</v>
      </c>
      <c r="I68" s="6" t="n">
        <v>0</v>
      </c>
      <c r="J68" s="40" t="n">
        <f aca="false">H68-I68</f>
        <v>1.05</v>
      </c>
      <c r="K68" s="41" t="n">
        <v>165</v>
      </c>
      <c r="L68" s="42" t="n">
        <f aca="false">J68*K68</f>
        <v>173.25</v>
      </c>
      <c r="M68" s="43" t="n">
        <f aca="false">H68*73.58*(1+'Chart of Accounts'!$E$67)</f>
        <v>88.461555</v>
      </c>
    </row>
    <row r="69" customFormat="false" ht="15" hidden="false" customHeight="false" outlineLevel="0" collapsed="false">
      <c r="B69" s="7" t="s">
        <v>566</v>
      </c>
      <c r="C69" s="39" t="n">
        <v>45660</v>
      </c>
      <c r="D69" s="7" t="s">
        <v>371</v>
      </c>
      <c r="E69" s="7" t="s">
        <v>154</v>
      </c>
      <c r="F69" s="7" t="s">
        <v>232</v>
      </c>
      <c r="G69" s="7" t="s">
        <v>505</v>
      </c>
      <c r="H69" s="6" t="n">
        <v>4.38</v>
      </c>
      <c r="I69" s="6" t="n">
        <v>0</v>
      </c>
      <c r="J69" s="40" t="n">
        <f aca="false">H69-I69</f>
        <v>4.38</v>
      </c>
      <c r="K69" s="41" t="n">
        <v>26.5</v>
      </c>
      <c r="L69" s="42" t="n">
        <f aca="false">J69*K69</f>
        <v>116.07</v>
      </c>
      <c r="M69" s="43" t="n">
        <f aca="false">H69*16.17*(1+'Chart of Accounts'!$E$67)</f>
        <v>81.094167</v>
      </c>
    </row>
    <row r="70" customFormat="false" ht="15" hidden="false" customHeight="false" outlineLevel="0" collapsed="false">
      <c r="B70" s="7" t="s">
        <v>567</v>
      </c>
      <c r="C70" s="39" t="n">
        <v>45660</v>
      </c>
      <c r="D70" s="7" t="s">
        <v>379</v>
      </c>
      <c r="E70" s="7" t="s">
        <v>156</v>
      </c>
      <c r="F70" s="7" t="s">
        <v>224</v>
      </c>
      <c r="G70" s="7" t="s">
        <v>505</v>
      </c>
      <c r="H70" s="6" t="n">
        <v>4.75</v>
      </c>
      <c r="I70" s="6" t="n">
        <v>0</v>
      </c>
      <c r="J70" s="40" t="n">
        <f aca="false">H70-I70</f>
        <v>4.75</v>
      </c>
      <c r="K70" s="41" t="n">
        <v>34</v>
      </c>
      <c r="L70" s="42" t="n">
        <f aca="false">J70*K70</f>
        <v>161.5</v>
      </c>
      <c r="M70" s="43" t="n">
        <f aca="false">H70*14.93*(1+'Chart of Accounts'!$E$67)</f>
        <v>81.2005375</v>
      </c>
    </row>
    <row r="71" customFormat="false" ht="15" hidden="false" customHeight="false" outlineLevel="0" collapsed="false">
      <c r="B71" s="7" t="s">
        <v>568</v>
      </c>
      <c r="C71" s="39" t="n">
        <v>45660</v>
      </c>
      <c r="D71" s="7" t="s">
        <v>381</v>
      </c>
      <c r="E71" s="7" t="s">
        <v>157</v>
      </c>
      <c r="F71" s="7" t="s">
        <v>234</v>
      </c>
      <c r="G71" s="7" t="s">
        <v>502</v>
      </c>
      <c r="H71" s="6" t="n">
        <v>1.1</v>
      </c>
      <c r="I71" s="6" t="n">
        <v>0</v>
      </c>
      <c r="J71" s="40" t="n">
        <f aca="false">H71-I71</f>
        <v>1.1</v>
      </c>
      <c r="K71" s="41" t="n">
        <v>165</v>
      </c>
      <c r="L71" s="42" t="n">
        <f aca="false">J71*K71</f>
        <v>181.5</v>
      </c>
      <c r="M71" s="43" t="n">
        <f aca="false">H71*89.53*(1+'Chart of Accounts'!$E$67)</f>
        <v>112.763035</v>
      </c>
    </row>
    <row r="72" customFormat="false" ht="15" hidden="false" customHeight="false" outlineLevel="0" collapsed="false">
      <c r="B72" s="7" t="s">
        <v>569</v>
      </c>
      <c r="C72" s="39" t="n">
        <v>45660</v>
      </c>
      <c r="D72" s="7" t="s">
        <v>389</v>
      </c>
      <c r="E72" s="7" t="s">
        <v>154</v>
      </c>
      <c r="F72" s="7" t="s">
        <v>246</v>
      </c>
      <c r="G72" s="7" t="s">
        <v>505</v>
      </c>
      <c r="H72" s="6" t="n">
        <v>3.89</v>
      </c>
      <c r="I72" s="6" t="n">
        <v>0</v>
      </c>
      <c r="J72" s="40" t="n">
        <f aca="false">H72-I72</f>
        <v>3.89</v>
      </c>
      <c r="K72" s="41" t="n">
        <v>26.5</v>
      </c>
      <c r="L72" s="42" t="n">
        <f aca="false">J72*K72</f>
        <v>103.085</v>
      </c>
      <c r="M72" s="43" t="n">
        <f aca="false">H72*16.48*(1+'Chart of Accounts'!$E$67)</f>
        <v>73.402744</v>
      </c>
    </row>
    <row r="73" customFormat="false" ht="15" hidden="false" customHeight="false" outlineLevel="0" collapsed="false">
      <c r="B73" s="7" t="s">
        <v>570</v>
      </c>
      <c r="C73" s="39" t="n">
        <v>45660</v>
      </c>
      <c r="D73" s="7" t="s">
        <v>391</v>
      </c>
      <c r="E73" s="7" t="s">
        <v>156</v>
      </c>
      <c r="F73" s="7" t="s">
        <v>222</v>
      </c>
      <c r="G73" s="7" t="s">
        <v>505</v>
      </c>
      <c r="H73" s="6" t="n">
        <v>3.7</v>
      </c>
      <c r="I73" s="6" t="n">
        <v>0</v>
      </c>
      <c r="J73" s="40" t="n">
        <f aca="false">H73-I73</f>
        <v>3.7</v>
      </c>
      <c r="K73" s="41" t="n">
        <v>34</v>
      </c>
      <c r="L73" s="42" t="n">
        <f aca="false">J73*K73</f>
        <v>125.8</v>
      </c>
      <c r="M73" s="43" t="n">
        <f aca="false">H73*17.84*(1+'Chart of Accounts'!$E$67)</f>
        <v>75.57916</v>
      </c>
    </row>
    <row r="74" customFormat="false" ht="15" hidden="false" customHeight="false" outlineLevel="0" collapsed="false">
      <c r="B74" s="7" t="s">
        <v>571</v>
      </c>
      <c r="C74" s="39" t="n">
        <v>45660</v>
      </c>
      <c r="D74" s="7" t="s">
        <v>395</v>
      </c>
      <c r="E74" s="7" t="s">
        <v>156</v>
      </c>
      <c r="F74" s="7" t="s">
        <v>242</v>
      </c>
      <c r="G74" s="7" t="s">
        <v>505</v>
      </c>
      <c r="H74" s="6" t="n">
        <v>3.83</v>
      </c>
      <c r="I74" s="6" t="n">
        <v>0</v>
      </c>
      <c r="J74" s="40" t="n">
        <f aca="false">H74-I74</f>
        <v>3.83</v>
      </c>
      <c r="K74" s="41" t="n">
        <v>34</v>
      </c>
      <c r="L74" s="42" t="n">
        <f aca="false">J74*K74</f>
        <v>130.22</v>
      </c>
      <c r="M74" s="43" t="n">
        <f aca="false">H74*17.99*(1+'Chart of Accounts'!$E$67)</f>
        <v>78.8924465</v>
      </c>
    </row>
    <row r="75" customFormat="false" ht="15" hidden="false" customHeight="false" outlineLevel="0" collapsed="false">
      <c r="B75" s="7" t="s">
        <v>572</v>
      </c>
      <c r="C75" s="39" t="n">
        <v>45660</v>
      </c>
      <c r="D75" s="7" t="s">
        <v>399</v>
      </c>
      <c r="E75" s="7" t="s">
        <v>154</v>
      </c>
      <c r="F75" s="7" t="s">
        <v>262</v>
      </c>
      <c r="G75" s="7" t="s">
        <v>505</v>
      </c>
      <c r="H75" s="6" t="n">
        <v>3.5</v>
      </c>
      <c r="I75" s="6" t="n">
        <v>0.105</v>
      </c>
      <c r="J75" s="40" t="n">
        <f aca="false">H75-I75</f>
        <v>3.395</v>
      </c>
      <c r="K75" s="41" t="n">
        <v>26.5</v>
      </c>
      <c r="L75" s="42" t="n">
        <f aca="false">J75*K75</f>
        <v>89.9675</v>
      </c>
      <c r="M75" s="43" t="n">
        <f aca="false">H75*16.02*(1+'Chart of Accounts'!$E$67)</f>
        <v>64.20015</v>
      </c>
    </row>
    <row r="76" customFormat="false" ht="15" hidden="false" customHeight="false" outlineLevel="0" collapsed="false">
      <c r="B76" s="7" t="s">
        <v>573</v>
      </c>
      <c r="C76" s="39" t="n">
        <v>45660</v>
      </c>
      <c r="D76" s="7" t="s">
        <v>401</v>
      </c>
      <c r="E76" s="7" t="s">
        <v>156</v>
      </c>
      <c r="F76" s="7" t="s">
        <v>254</v>
      </c>
      <c r="G76" s="7" t="s">
        <v>505</v>
      </c>
      <c r="H76" s="6" t="n">
        <v>3.83</v>
      </c>
      <c r="I76" s="6" t="n">
        <v>0</v>
      </c>
      <c r="J76" s="40" t="n">
        <f aca="false">H76-I76</f>
        <v>3.83</v>
      </c>
      <c r="K76" s="41" t="n">
        <v>34</v>
      </c>
      <c r="L76" s="42" t="n">
        <f aca="false">J76*K76</f>
        <v>130.22</v>
      </c>
      <c r="M76" s="43" t="n">
        <f aca="false">H76*17.1*(1+'Chart of Accounts'!$E$67)</f>
        <v>74.989485</v>
      </c>
    </row>
    <row r="77" customFormat="false" ht="15" hidden="false" customHeight="false" outlineLevel="0" collapsed="false">
      <c r="B77" s="7" t="s">
        <v>574</v>
      </c>
      <c r="C77" s="39" t="n">
        <v>45660</v>
      </c>
      <c r="D77" s="7" t="s">
        <v>407</v>
      </c>
      <c r="E77" s="7" t="s">
        <v>159</v>
      </c>
      <c r="F77" s="7" t="s">
        <v>260</v>
      </c>
      <c r="G77" s="7" t="s">
        <v>502</v>
      </c>
      <c r="H77" s="6" t="n">
        <v>1.09</v>
      </c>
      <c r="I77" s="6" t="n">
        <v>0</v>
      </c>
      <c r="J77" s="40" t="n">
        <f aca="false">H77-I77</f>
        <v>1.09</v>
      </c>
      <c r="K77" s="41" t="n">
        <v>135</v>
      </c>
      <c r="L77" s="42" t="n">
        <f aca="false">J77*K77</f>
        <v>147.15</v>
      </c>
      <c r="M77" s="43" t="n">
        <f aca="false">H77*79.8*(1+'Chart of Accounts'!$E$67)</f>
        <v>99.59439</v>
      </c>
    </row>
    <row r="78" customFormat="false" ht="15" hidden="false" customHeight="false" outlineLevel="0" collapsed="false">
      <c r="B78" s="7" t="s">
        <v>575</v>
      </c>
      <c r="C78" s="39" t="n">
        <v>45660</v>
      </c>
      <c r="D78" s="7" t="s">
        <v>409</v>
      </c>
      <c r="E78" s="7" t="s">
        <v>154</v>
      </c>
      <c r="F78" s="7" t="s">
        <v>214</v>
      </c>
      <c r="G78" s="7" t="s">
        <v>505</v>
      </c>
      <c r="H78" s="6" t="n">
        <v>3.08</v>
      </c>
      <c r="I78" s="6" t="n">
        <v>0</v>
      </c>
      <c r="J78" s="40" t="n">
        <f aca="false">H78-I78</f>
        <v>3.08</v>
      </c>
      <c r="K78" s="41" t="n">
        <v>26.5</v>
      </c>
      <c r="L78" s="42" t="n">
        <f aca="false">J78*K78</f>
        <v>81.62</v>
      </c>
      <c r="M78" s="43" t="n">
        <f aca="false">H78*15.67*(1+'Chart of Accounts'!$E$67)</f>
        <v>55.261822</v>
      </c>
    </row>
    <row r="79" customFormat="false" ht="15" hidden="false" customHeight="false" outlineLevel="0" collapsed="false">
      <c r="B79" s="7" t="s">
        <v>576</v>
      </c>
      <c r="C79" s="39" t="n">
        <v>45660</v>
      </c>
      <c r="D79" s="7" t="s">
        <v>411</v>
      </c>
      <c r="E79" s="7" t="s">
        <v>154</v>
      </c>
      <c r="F79" s="7" t="s">
        <v>177</v>
      </c>
      <c r="G79" s="7" t="s">
        <v>505</v>
      </c>
      <c r="H79" s="6" t="n">
        <v>4.74</v>
      </c>
      <c r="I79" s="6" t="n">
        <v>0</v>
      </c>
      <c r="J79" s="40" t="n">
        <f aca="false">H79-I79</f>
        <v>4.74</v>
      </c>
      <c r="K79" s="41" t="n">
        <v>26.5</v>
      </c>
      <c r="L79" s="42" t="n">
        <f aca="false">J79*K79</f>
        <v>125.61</v>
      </c>
      <c r="M79" s="43" t="n">
        <f aca="false">H79*14.56*(1+'Chart of Accounts'!$E$67)</f>
        <v>79.021488</v>
      </c>
    </row>
    <row r="80" customFormat="false" ht="15" hidden="false" customHeight="false" outlineLevel="0" collapsed="false">
      <c r="B80" s="7" t="s">
        <v>577</v>
      </c>
      <c r="C80" s="39" t="n">
        <v>45661</v>
      </c>
      <c r="D80" s="7" t="s">
        <v>288</v>
      </c>
      <c r="E80" s="7" t="s">
        <v>156</v>
      </c>
      <c r="F80" s="7" t="s">
        <v>191</v>
      </c>
      <c r="G80" s="7" t="s">
        <v>505</v>
      </c>
      <c r="H80" s="6" t="n">
        <v>4.25</v>
      </c>
      <c r="I80" s="6" t="n">
        <v>0</v>
      </c>
      <c r="J80" s="40" t="n">
        <f aca="false">H80-I80</f>
        <v>4.25</v>
      </c>
      <c r="K80" s="41" t="n">
        <v>34</v>
      </c>
      <c r="L80" s="42" t="n">
        <f aca="false">J80*K80</f>
        <v>144.5</v>
      </c>
      <c r="M80" s="43" t="n">
        <f aca="false">H80*16.05*(1+'Chart of Accounts'!$E$67)</f>
        <v>78.1033125</v>
      </c>
    </row>
    <row r="81" customFormat="false" ht="15" hidden="false" customHeight="false" outlineLevel="0" collapsed="false">
      <c r="B81" s="7" t="s">
        <v>578</v>
      </c>
      <c r="C81" s="39" t="n">
        <v>45661</v>
      </c>
      <c r="D81" s="7" t="s">
        <v>321</v>
      </c>
      <c r="E81" s="7" t="s">
        <v>154</v>
      </c>
      <c r="F81" s="7" t="s">
        <v>218</v>
      </c>
      <c r="G81" s="7" t="s">
        <v>505</v>
      </c>
      <c r="H81" s="6" t="n">
        <v>3.8</v>
      </c>
      <c r="I81" s="6" t="n">
        <v>0</v>
      </c>
      <c r="J81" s="40" t="n">
        <f aca="false">H81-I81</f>
        <v>3.8</v>
      </c>
      <c r="K81" s="41" t="n">
        <v>26.5</v>
      </c>
      <c r="L81" s="42" t="n">
        <f aca="false">J81*K81</f>
        <v>100.7</v>
      </c>
      <c r="M81" s="43" t="n">
        <f aca="false">H81*16.19*(1+'Chart of Accounts'!$E$67)</f>
        <v>70.44269</v>
      </c>
    </row>
    <row r="82" customFormat="false" ht="15" hidden="false" customHeight="false" outlineLevel="0" collapsed="false">
      <c r="B82" s="7" t="s">
        <v>579</v>
      </c>
      <c r="C82" s="39" t="n">
        <v>45661</v>
      </c>
      <c r="D82" s="7" t="s">
        <v>359</v>
      </c>
      <c r="E82" s="7" t="s">
        <v>156</v>
      </c>
      <c r="F82" s="7" t="s">
        <v>212</v>
      </c>
      <c r="G82" s="7" t="s">
        <v>505</v>
      </c>
      <c r="H82" s="6" t="n">
        <v>4.08</v>
      </c>
      <c r="I82" s="6" t="n">
        <v>0</v>
      </c>
      <c r="J82" s="40" t="n">
        <f aca="false">H82-I82</f>
        <v>4.08</v>
      </c>
      <c r="K82" s="41" t="n">
        <v>34</v>
      </c>
      <c r="L82" s="42" t="n">
        <f aca="false">J82*K82</f>
        <v>138.72</v>
      </c>
      <c r="M82" s="43" t="n">
        <f aca="false">H82*16.71*(1+'Chart of Accounts'!$E$67)</f>
        <v>78.062436</v>
      </c>
    </row>
    <row r="83" customFormat="false" ht="15" hidden="false" customHeight="false" outlineLevel="0" collapsed="false">
      <c r="B83" s="7" t="s">
        <v>580</v>
      </c>
      <c r="C83" s="39" t="n">
        <v>45661</v>
      </c>
      <c r="D83" s="7" t="s">
        <v>391</v>
      </c>
      <c r="E83" s="7" t="s">
        <v>156</v>
      </c>
      <c r="F83" s="7" t="s">
        <v>222</v>
      </c>
      <c r="G83" s="7" t="s">
        <v>505</v>
      </c>
      <c r="H83" s="6" t="n">
        <v>3.9</v>
      </c>
      <c r="I83" s="6" t="n">
        <v>0</v>
      </c>
      <c r="J83" s="40" t="n">
        <f aca="false">H83-I83</f>
        <v>3.9</v>
      </c>
      <c r="K83" s="41" t="n">
        <v>34</v>
      </c>
      <c r="L83" s="42" t="n">
        <f aca="false">J83*K83</f>
        <v>132.6</v>
      </c>
      <c r="M83" s="43" t="n">
        <f aca="false">H83*17.84*(1+'Chart of Accounts'!$E$67)</f>
        <v>79.66452</v>
      </c>
    </row>
    <row r="84" customFormat="false" ht="15" hidden="false" customHeight="false" outlineLevel="0" collapsed="false">
      <c r="B84" s="7" t="s">
        <v>581</v>
      </c>
      <c r="C84" s="39" t="n">
        <v>45661</v>
      </c>
      <c r="D84" s="7" t="s">
        <v>395</v>
      </c>
      <c r="E84" s="7" t="s">
        <v>156</v>
      </c>
      <c r="F84" s="7" t="s">
        <v>242</v>
      </c>
      <c r="G84" s="7" t="s">
        <v>505</v>
      </c>
      <c r="H84" s="6" t="n">
        <v>4.07</v>
      </c>
      <c r="I84" s="6" t="n">
        <v>0</v>
      </c>
      <c r="J84" s="40" t="n">
        <f aca="false">H84-I84</f>
        <v>4.07</v>
      </c>
      <c r="K84" s="41" t="n">
        <v>34</v>
      </c>
      <c r="L84" s="42" t="n">
        <f aca="false">J84*K84</f>
        <v>138.38</v>
      </c>
      <c r="M84" s="43" t="n">
        <f aca="false">H84*17.99*(1+'Chart of Accounts'!$E$67)</f>
        <v>83.8360985</v>
      </c>
    </row>
    <row r="85" customFormat="false" ht="15" hidden="false" customHeight="false" outlineLevel="0" collapsed="false">
      <c r="B85" s="7" t="s">
        <v>582</v>
      </c>
      <c r="C85" s="39" t="n">
        <v>45661</v>
      </c>
      <c r="D85" s="7" t="s">
        <v>401</v>
      </c>
      <c r="E85" s="7" t="s">
        <v>156</v>
      </c>
      <c r="F85" s="7" t="s">
        <v>254</v>
      </c>
      <c r="G85" s="7" t="s">
        <v>505</v>
      </c>
      <c r="H85" s="6" t="n">
        <v>3.65</v>
      </c>
      <c r="I85" s="6" t="n">
        <v>0</v>
      </c>
      <c r="J85" s="40" t="n">
        <f aca="false">H85-I85</f>
        <v>3.65</v>
      </c>
      <c r="K85" s="41" t="n">
        <v>34</v>
      </c>
      <c r="L85" s="42" t="n">
        <f aca="false">J85*K85</f>
        <v>124.1</v>
      </c>
      <c r="M85" s="43" t="n">
        <f aca="false">H85*17.1*(1+'Chart of Accounts'!$E$67)</f>
        <v>71.465175</v>
      </c>
    </row>
    <row r="86" customFormat="false" ht="15" hidden="false" customHeight="false" outlineLevel="0" collapsed="false">
      <c r="B86" s="7" t="s">
        <v>583</v>
      </c>
      <c r="C86" s="39" t="n">
        <v>45662</v>
      </c>
      <c r="D86" s="7" t="s">
        <v>288</v>
      </c>
      <c r="E86" s="7" t="s">
        <v>156</v>
      </c>
      <c r="F86" s="7" t="s">
        <v>191</v>
      </c>
      <c r="G86" s="7" t="s">
        <v>505</v>
      </c>
      <c r="H86" s="6" t="n">
        <v>4.21</v>
      </c>
      <c r="I86" s="6" t="n">
        <v>0</v>
      </c>
      <c r="J86" s="40" t="n">
        <f aca="false">H86-I86</f>
        <v>4.21</v>
      </c>
      <c r="K86" s="41" t="n">
        <v>34</v>
      </c>
      <c r="L86" s="42" t="n">
        <f aca="false">J86*K86</f>
        <v>143.14</v>
      </c>
      <c r="M86" s="43" t="n">
        <f aca="false">H86*16.05*(1+'Chart of Accounts'!$E$67)</f>
        <v>77.3682225</v>
      </c>
    </row>
    <row r="87" customFormat="false" ht="15" hidden="false" customHeight="false" outlineLevel="0" collapsed="false">
      <c r="B87" s="7" t="s">
        <v>584</v>
      </c>
      <c r="C87" s="39" t="n">
        <v>45662</v>
      </c>
      <c r="D87" s="7" t="s">
        <v>321</v>
      </c>
      <c r="E87" s="7" t="s">
        <v>154</v>
      </c>
      <c r="F87" s="7" t="s">
        <v>218</v>
      </c>
      <c r="G87" s="7" t="s">
        <v>505</v>
      </c>
      <c r="H87" s="6" t="n">
        <v>3.66</v>
      </c>
      <c r="I87" s="6" t="n">
        <v>0</v>
      </c>
      <c r="J87" s="40" t="n">
        <f aca="false">H87-I87</f>
        <v>3.66</v>
      </c>
      <c r="K87" s="41" t="n">
        <v>26.5</v>
      </c>
      <c r="L87" s="42" t="n">
        <f aca="false">J87*K87</f>
        <v>96.99</v>
      </c>
      <c r="M87" s="43" t="n">
        <f aca="false">H87*16.19*(1+'Chart of Accounts'!$E$67)</f>
        <v>67.847433</v>
      </c>
    </row>
    <row r="88" customFormat="false" ht="15" hidden="false" customHeight="false" outlineLevel="0" collapsed="false">
      <c r="B88" s="7" t="s">
        <v>585</v>
      </c>
      <c r="C88" s="39" t="n">
        <v>45662</v>
      </c>
      <c r="D88" s="7" t="s">
        <v>359</v>
      </c>
      <c r="E88" s="7" t="s">
        <v>156</v>
      </c>
      <c r="F88" s="7" t="s">
        <v>212</v>
      </c>
      <c r="G88" s="7" t="s">
        <v>505</v>
      </c>
      <c r="H88" s="6" t="n">
        <v>3.73</v>
      </c>
      <c r="I88" s="6" t="n">
        <v>0</v>
      </c>
      <c r="J88" s="40" t="n">
        <f aca="false">H88-I88</f>
        <v>3.73</v>
      </c>
      <c r="K88" s="41" t="n">
        <v>34</v>
      </c>
      <c r="L88" s="42" t="n">
        <f aca="false">J88*K88</f>
        <v>126.82</v>
      </c>
      <c r="M88" s="43" t="n">
        <f aca="false">H88*16.71*(1+'Chart of Accounts'!$E$67)</f>
        <v>71.3659035</v>
      </c>
    </row>
    <row r="89" customFormat="false" ht="15" hidden="false" customHeight="false" outlineLevel="0" collapsed="false">
      <c r="B89" s="7" t="s">
        <v>586</v>
      </c>
      <c r="C89" s="39" t="n">
        <v>45662</v>
      </c>
      <c r="D89" s="7" t="s">
        <v>391</v>
      </c>
      <c r="E89" s="7" t="s">
        <v>156</v>
      </c>
      <c r="F89" s="7" t="s">
        <v>222</v>
      </c>
      <c r="G89" s="7" t="s">
        <v>505</v>
      </c>
      <c r="H89" s="6" t="n">
        <v>3.98</v>
      </c>
      <c r="I89" s="6" t="n">
        <v>0</v>
      </c>
      <c r="J89" s="40" t="n">
        <f aca="false">H89-I89</f>
        <v>3.98</v>
      </c>
      <c r="K89" s="41" t="n">
        <v>34</v>
      </c>
      <c r="L89" s="42" t="n">
        <f aca="false">J89*K89</f>
        <v>135.32</v>
      </c>
      <c r="M89" s="43" t="n">
        <f aca="false">H89*17.84*(1+'Chart of Accounts'!$E$67)</f>
        <v>81.298664</v>
      </c>
    </row>
    <row r="90" customFormat="false" ht="15" hidden="false" customHeight="false" outlineLevel="0" collapsed="false">
      <c r="B90" s="7" t="s">
        <v>587</v>
      </c>
      <c r="C90" s="39" t="n">
        <v>45662</v>
      </c>
      <c r="D90" s="7" t="s">
        <v>395</v>
      </c>
      <c r="E90" s="7" t="s">
        <v>156</v>
      </c>
      <c r="F90" s="7" t="s">
        <v>242</v>
      </c>
      <c r="G90" s="7" t="s">
        <v>505</v>
      </c>
      <c r="H90" s="6" t="n">
        <v>3.83</v>
      </c>
      <c r="I90" s="6" t="n">
        <v>0</v>
      </c>
      <c r="J90" s="40" t="n">
        <f aca="false">H90-I90</f>
        <v>3.83</v>
      </c>
      <c r="K90" s="41" t="n">
        <v>34</v>
      </c>
      <c r="L90" s="42" t="n">
        <f aca="false">J90*K90</f>
        <v>130.22</v>
      </c>
      <c r="M90" s="43" t="n">
        <f aca="false">H90*17.99*(1+'Chart of Accounts'!$E$67)</f>
        <v>78.8924465</v>
      </c>
    </row>
    <row r="91" customFormat="false" ht="15" hidden="false" customHeight="false" outlineLevel="0" collapsed="false">
      <c r="B91" s="7" t="s">
        <v>588</v>
      </c>
      <c r="C91" s="39" t="n">
        <v>45662</v>
      </c>
      <c r="D91" s="7" t="s">
        <v>401</v>
      </c>
      <c r="E91" s="7" t="s">
        <v>156</v>
      </c>
      <c r="F91" s="7" t="s">
        <v>254</v>
      </c>
      <c r="G91" s="7" t="s">
        <v>505</v>
      </c>
      <c r="H91" s="6" t="n">
        <v>3.79</v>
      </c>
      <c r="I91" s="6" t="n">
        <v>0</v>
      </c>
      <c r="J91" s="40" t="n">
        <f aca="false">H91-I91</f>
        <v>3.79</v>
      </c>
      <c r="K91" s="41" t="n">
        <v>34</v>
      </c>
      <c r="L91" s="42" t="n">
        <f aca="false">J91*K91</f>
        <v>128.86</v>
      </c>
      <c r="M91" s="43" t="n">
        <f aca="false">H91*17.1*(1+'Chart of Accounts'!$E$67)</f>
        <v>74.206305</v>
      </c>
    </row>
    <row r="92" customFormat="false" ht="15" hidden="false" customHeight="false" outlineLevel="0" collapsed="false">
      <c r="B92" s="7" t="s">
        <v>589</v>
      </c>
      <c r="C92" s="39" t="n">
        <v>45663</v>
      </c>
      <c r="D92" s="7" t="s">
        <v>280</v>
      </c>
      <c r="E92" s="7" t="s">
        <v>157</v>
      </c>
      <c r="F92" s="7" t="s">
        <v>187</v>
      </c>
      <c r="G92" s="7" t="s">
        <v>502</v>
      </c>
      <c r="H92" s="6" t="n">
        <v>1.02</v>
      </c>
      <c r="I92" s="6" t="n">
        <v>0</v>
      </c>
      <c r="J92" s="40" t="n">
        <f aca="false">H92-I92</f>
        <v>1.02</v>
      </c>
      <c r="K92" s="41" t="n">
        <v>165</v>
      </c>
      <c r="L92" s="42" t="n">
        <f aca="false">J92*K92</f>
        <v>168.3</v>
      </c>
      <c r="M92" s="43" t="n">
        <f aca="false">H92*66.48*(1+'Chart of Accounts'!$E$67)</f>
        <v>77.641992</v>
      </c>
    </row>
    <row r="93" customFormat="false" ht="15" hidden="false" customHeight="false" outlineLevel="0" collapsed="false">
      <c r="B93" s="7" t="s">
        <v>590</v>
      </c>
      <c r="C93" s="39" t="n">
        <v>45663</v>
      </c>
      <c r="D93" s="7" t="s">
        <v>288</v>
      </c>
      <c r="E93" s="7" t="s">
        <v>156</v>
      </c>
      <c r="F93" s="7" t="s">
        <v>191</v>
      </c>
      <c r="G93" s="7" t="s">
        <v>505</v>
      </c>
      <c r="H93" s="6" t="n">
        <v>3.69</v>
      </c>
      <c r="I93" s="6" t="n">
        <v>0</v>
      </c>
      <c r="J93" s="40" t="n">
        <f aca="false">H93-I93</f>
        <v>3.69</v>
      </c>
      <c r="K93" s="41" t="n">
        <v>34</v>
      </c>
      <c r="L93" s="42" t="n">
        <f aca="false">J93*K93</f>
        <v>125.46</v>
      </c>
      <c r="M93" s="43" t="n">
        <f aca="false">H93*16.05*(1+'Chart of Accounts'!$E$67)</f>
        <v>67.8120525</v>
      </c>
    </row>
    <row r="94" customFormat="false" ht="15" hidden="false" customHeight="false" outlineLevel="0" collapsed="false">
      <c r="B94" s="7" t="s">
        <v>591</v>
      </c>
      <c r="C94" s="39" t="n">
        <v>45663</v>
      </c>
      <c r="D94" s="7" t="s">
        <v>291</v>
      </c>
      <c r="E94" s="7" t="s">
        <v>154</v>
      </c>
      <c r="F94" s="7" t="s">
        <v>194</v>
      </c>
      <c r="G94" s="7" t="s">
        <v>505</v>
      </c>
      <c r="H94" s="6" t="n">
        <v>4.45</v>
      </c>
      <c r="I94" s="6" t="n">
        <v>0.134</v>
      </c>
      <c r="J94" s="40" t="n">
        <f aca="false">H94-I94</f>
        <v>4.316</v>
      </c>
      <c r="K94" s="41" t="n">
        <v>26.5</v>
      </c>
      <c r="L94" s="42" t="n">
        <f aca="false">J94*K94</f>
        <v>114.374</v>
      </c>
      <c r="M94" s="43" t="n">
        <f aca="false">H94*16*(1+'Chart of Accounts'!$E$67)</f>
        <v>81.524</v>
      </c>
    </row>
    <row r="95" customFormat="false" ht="15" hidden="false" customHeight="false" outlineLevel="0" collapsed="false">
      <c r="B95" s="7" t="s">
        <v>592</v>
      </c>
      <c r="C95" s="39" t="n">
        <v>45663</v>
      </c>
      <c r="D95" s="7" t="s">
        <v>297</v>
      </c>
      <c r="E95" s="7" t="s">
        <v>156</v>
      </c>
      <c r="F95" s="7" t="s">
        <v>201</v>
      </c>
      <c r="G95" s="7" t="s">
        <v>505</v>
      </c>
      <c r="H95" s="6" t="n">
        <v>3.18</v>
      </c>
      <c r="I95" s="6" t="n">
        <v>0</v>
      </c>
      <c r="J95" s="40" t="n">
        <f aca="false">H95-I95</f>
        <v>3.18</v>
      </c>
      <c r="K95" s="41" t="n">
        <v>34</v>
      </c>
      <c r="L95" s="42" t="n">
        <f aca="false">J95*K95</f>
        <v>108.12</v>
      </c>
      <c r="M95" s="43" t="n">
        <f aca="false">H95*15.19*(1+'Chart of Accounts'!$E$67)</f>
        <v>55.308309</v>
      </c>
    </row>
    <row r="96" customFormat="false" ht="15" hidden="false" customHeight="false" outlineLevel="0" collapsed="false">
      <c r="B96" s="7" t="s">
        <v>593</v>
      </c>
      <c r="C96" s="39" t="n">
        <v>45663</v>
      </c>
      <c r="D96" s="7" t="s">
        <v>305</v>
      </c>
      <c r="E96" s="7" t="s">
        <v>154</v>
      </c>
      <c r="F96" s="7" t="s">
        <v>205</v>
      </c>
      <c r="G96" s="7" t="s">
        <v>505</v>
      </c>
      <c r="H96" s="6" t="n">
        <v>4.34</v>
      </c>
      <c r="I96" s="6" t="n">
        <v>0</v>
      </c>
      <c r="J96" s="40" t="n">
        <f aca="false">H96-I96</f>
        <v>4.34</v>
      </c>
      <c r="K96" s="41" t="n">
        <v>26.5</v>
      </c>
      <c r="L96" s="42" t="n">
        <f aca="false">J96*K96</f>
        <v>115.01</v>
      </c>
      <c r="M96" s="43" t="n">
        <f aca="false">H96*16.36*(1+'Chart of Accounts'!$E$67)</f>
        <v>81.297748</v>
      </c>
    </row>
    <row r="97" customFormat="false" ht="15" hidden="false" customHeight="false" outlineLevel="0" collapsed="false">
      <c r="B97" s="7" t="s">
        <v>594</v>
      </c>
      <c r="C97" s="39" t="n">
        <v>45663</v>
      </c>
      <c r="D97" s="7" t="s">
        <v>309</v>
      </c>
      <c r="E97" s="7" t="s">
        <v>159</v>
      </c>
      <c r="F97" s="7" t="s">
        <v>252</v>
      </c>
      <c r="G97" s="7" t="s">
        <v>502</v>
      </c>
      <c r="H97" s="6" t="n">
        <v>0.96</v>
      </c>
      <c r="I97" s="6" t="n">
        <v>0</v>
      </c>
      <c r="J97" s="40" t="n">
        <f aca="false">H97-I97</f>
        <v>0.96</v>
      </c>
      <c r="K97" s="41" t="n">
        <v>135</v>
      </c>
      <c r="L97" s="42" t="n">
        <f aca="false">J97*K97</f>
        <v>129.6</v>
      </c>
      <c r="M97" s="43" t="n">
        <f aca="false">H97*57.54*(1+'Chart of Accounts'!$E$67)</f>
        <v>63.247968</v>
      </c>
    </row>
    <row r="98" customFormat="false" ht="15" hidden="false" customHeight="false" outlineLevel="0" collapsed="false">
      <c r="B98" s="7" t="s">
        <v>595</v>
      </c>
      <c r="C98" s="39" t="n">
        <v>45663</v>
      </c>
      <c r="D98" s="7" t="s">
        <v>311</v>
      </c>
      <c r="E98" s="7" t="s">
        <v>154</v>
      </c>
      <c r="F98" s="7" t="s">
        <v>196</v>
      </c>
      <c r="G98" s="7" t="s">
        <v>505</v>
      </c>
      <c r="H98" s="6" t="n">
        <v>3.02</v>
      </c>
      <c r="I98" s="6" t="n">
        <v>0</v>
      </c>
      <c r="J98" s="40" t="n">
        <f aca="false">H98-I98</f>
        <v>3.02</v>
      </c>
      <c r="K98" s="41" t="n">
        <v>26.5</v>
      </c>
      <c r="L98" s="42" t="n">
        <f aca="false">J98*K98</f>
        <v>80.03</v>
      </c>
      <c r="M98" s="43" t="n">
        <f aca="false">H98*15.05*(1+'Chart of Accounts'!$E$67)</f>
        <v>52.041395</v>
      </c>
    </row>
    <row r="99" customFormat="false" ht="15" hidden="false" customHeight="false" outlineLevel="0" collapsed="false">
      <c r="B99" s="7" t="s">
        <v>596</v>
      </c>
      <c r="C99" s="39" t="n">
        <v>45663</v>
      </c>
      <c r="D99" s="7" t="s">
        <v>313</v>
      </c>
      <c r="E99" s="7" t="s">
        <v>156</v>
      </c>
      <c r="F99" s="7" t="s">
        <v>184</v>
      </c>
      <c r="G99" s="7" t="s">
        <v>505</v>
      </c>
      <c r="H99" s="6" t="n">
        <v>4.31</v>
      </c>
      <c r="I99" s="6" t="n">
        <v>0</v>
      </c>
      <c r="J99" s="40" t="n">
        <f aca="false">H99-I99</f>
        <v>4.31</v>
      </c>
      <c r="K99" s="41" t="n">
        <v>34</v>
      </c>
      <c r="L99" s="42" t="n">
        <f aca="false">J99*K99</f>
        <v>146.54</v>
      </c>
      <c r="M99" s="43" t="n">
        <f aca="false">H99*17.34*(1+'Chart of Accounts'!$E$67)</f>
        <v>85.572033</v>
      </c>
    </row>
    <row r="100" customFormat="false" ht="15" hidden="false" customHeight="false" outlineLevel="0" collapsed="false">
      <c r="B100" s="7" t="s">
        <v>597</v>
      </c>
      <c r="C100" s="39" t="n">
        <v>45663</v>
      </c>
      <c r="D100" s="7" t="s">
        <v>317</v>
      </c>
      <c r="E100" s="7" t="s">
        <v>156</v>
      </c>
      <c r="F100" s="7" t="s">
        <v>207</v>
      </c>
      <c r="G100" s="7" t="s">
        <v>505</v>
      </c>
      <c r="H100" s="6" t="n">
        <v>2.72</v>
      </c>
      <c r="I100" s="6" t="n">
        <v>0</v>
      </c>
      <c r="J100" s="40" t="n">
        <f aca="false">H100-I100</f>
        <v>2.72</v>
      </c>
      <c r="K100" s="41" t="n">
        <v>34</v>
      </c>
      <c r="L100" s="42" t="n">
        <f aca="false">J100*K100</f>
        <v>92.48</v>
      </c>
      <c r="M100" s="43" t="n">
        <f aca="false">H100*16.65*(1+'Chart of Accounts'!$E$67)</f>
        <v>51.85476</v>
      </c>
    </row>
    <row r="101" customFormat="false" ht="15" hidden="false" customHeight="false" outlineLevel="0" collapsed="false">
      <c r="B101" s="7" t="s">
        <v>598</v>
      </c>
      <c r="C101" s="39" t="n">
        <v>45663</v>
      </c>
      <c r="D101" s="7" t="s">
        <v>321</v>
      </c>
      <c r="E101" s="7" t="s">
        <v>154</v>
      </c>
      <c r="F101" s="7" t="s">
        <v>218</v>
      </c>
      <c r="G101" s="7" t="s">
        <v>505</v>
      </c>
      <c r="H101" s="6" t="n">
        <v>4.29</v>
      </c>
      <c r="I101" s="6" t="n">
        <v>0.129</v>
      </c>
      <c r="J101" s="40" t="n">
        <f aca="false">H101-I101</f>
        <v>4.161</v>
      </c>
      <c r="K101" s="41" t="n">
        <v>26.5</v>
      </c>
      <c r="L101" s="42" t="n">
        <f aca="false">J101*K101</f>
        <v>110.2665</v>
      </c>
      <c r="M101" s="43" t="n">
        <f aca="false">H101*16.19*(1+'Chart of Accounts'!$E$67)</f>
        <v>79.5260895</v>
      </c>
    </row>
    <row r="102" customFormat="false" ht="15" hidden="false" customHeight="false" outlineLevel="0" collapsed="false">
      <c r="B102" s="7" t="s">
        <v>599</v>
      </c>
      <c r="C102" s="39" t="n">
        <v>45663</v>
      </c>
      <c r="D102" s="7" t="s">
        <v>325</v>
      </c>
      <c r="E102" s="7" t="s">
        <v>154</v>
      </c>
      <c r="F102" s="7" t="s">
        <v>212</v>
      </c>
      <c r="G102" s="7" t="s">
        <v>505</v>
      </c>
      <c r="H102" s="6" t="n">
        <v>3.16</v>
      </c>
      <c r="I102" s="6" t="n">
        <v>0</v>
      </c>
      <c r="J102" s="40" t="n">
        <f aca="false">H102-I102</f>
        <v>3.16</v>
      </c>
      <c r="K102" s="41" t="n">
        <v>26.5</v>
      </c>
      <c r="L102" s="42" t="n">
        <f aca="false">J102*K102</f>
        <v>83.74</v>
      </c>
      <c r="M102" s="43" t="n">
        <f aca="false">H102*16.71*(1+'Chart of Accounts'!$E$67)</f>
        <v>60.460122</v>
      </c>
    </row>
    <row r="103" customFormat="false" ht="15" hidden="false" customHeight="false" outlineLevel="0" collapsed="false">
      <c r="B103" s="7" t="s">
        <v>600</v>
      </c>
      <c r="C103" s="39" t="n">
        <v>45663</v>
      </c>
      <c r="D103" s="7" t="s">
        <v>329</v>
      </c>
      <c r="E103" s="7" t="s">
        <v>156</v>
      </c>
      <c r="F103" s="7" t="s">
        <v>220</v>
      </c>
      <c r="G103" s="7" t="s">
        <v>505</v>
      </c>
      <c r="H103" s="6" t="n">
        <v>4.21</v>
      </c>
      <c r="I103" s="6" t="n">
        <v>0</v>
      </c>
      <c r="J103" s="40" t="n">
        <f aca="false">H103-I103</f>
        <v>4.21</v>
      </c>
      <c r="K103" s="41" t="n">
        <v>34</v>
      </c>
      <c r="L103" s="42" t="n">
        <f aca="false">J103*K103</f>
        <v>143.14</v>
      </c>
      <c r="M103" s="43" t="n">
        <f aca="false">H103*16.43*(1+'Chart of Accounts'!$E$67)</f>
        <v>79.1999935</v>
      </c>
    </row>
    <row r="104" customFormat="false" ht="15" hidden="false" customHeight="false" outlineLevel="0" collapsed="false">
      <c r="B104" s="7" t="s">
        <v>601</v>
      </c>
      <c r="C104" s="39" t="n">
        <v>45663</v>
      </c>
      <c r="D104" s="7" t="s">
        <v>331</v>
      </c>
      <c r="E104" s="7" t="s">
        <v>156</v>
      </c>
      <c r="F104" s="7" t="s">
        <v>224</v>
      </c>
      <c r="G104" s="7" t="s">
        <v>505</v>
      </c>
      <c r="H104" s="6" t="n">
        <v>3.95</v>
      </c>
      <c r="I104" s="6" t="n">
        <v>0</v>
      </c>
      <c r="J104" s="40" t="n">
        <f aca="false">H104-I104</f>
        <v>3.95</v>
      </c>
      <c r="K104" s="41" t="n">
        <v>34</v>
      </c>
      <c r="L104" s="42" t="n">
        <f aca="false">J104*K104</f>
        <v>134.3</v>
      </c>
      <c r="M104" s="43" t="n">
        <f aca="false">H104*14.93*(1+'Chart of Accounts'!$E$67)</f>
        <v>67.5246575</v>
      </c>
    </row>
    <row r="105" customFormat="false" ht="15" hidden="false" customHeight="false" outlineLevel="0" collapsed="false">
      <c r="B105" s="7" t="s">
        <v>602</v>
      </c>
      <c r="C105" s="39" t="n">
        <v>45663</v>
      </c>
      <c r="D105" s="7" t="s">
        <v>335</v>
      </c>
      <c r="E105" s="7" t="s">
        <v>154</v>
      </c>
      <c r="F105" s="7" t="s">
        <v>177</v>
      </c>
      <c r="G105" s="7" t="s">
        <v>505</v>
      </c>
      <c r="H105" s="6" t="n">
        <v>3.95</v>
      </c>
      <c r="I105" s="6" t="n">
        <v>0</v>
      </c>
      <c r="J105" s="40" t="n">
        <f aca="false">H105-I105</f>
        <v>3.95</v>
      </c>
      <c r="K105" s="41" t="n">
        <v>26.5</v>
      </c>
      <c r="L105" s="42" t="n">
        <f aca="false">J105*K105</f>
        <v>104.675</v>
      </c>
      <c r="M105" s="43" t="n">
        <f aca="false">H105*14.56*(1+'Chart of Accounts'!$E$67)</f>
        <v>65.85124</v>
      </c>
    </row>
    <row r="106" customFormat="false" ht="15" hidden="false" customHeight="false" outlineLevel="0" collapsed="false">
      <c r="B106" s="7" t="s">
        <v>603</v>
      </c>
      <c r="C106" s="39" t="n">
        <v>45663</v>
      </c>
      <c r="D106" s="7" t="s">
        <v>337</v>
      </c>
      <c r="E106" s="7" t="s">
        <v>154</v>
      </c>
      <c r="F106" s="7" t="s">
        <v>232</v>
      </c>
      <c r="G106" s="7" t="s">
        <v>505</v>
      </c>
      <c r="H106" s="6" t="n">
        <v>2.98</v>
      </c>
      <c r="I106" s="6" t="n">
        <v>0</v>
      </c>
      <c r="J106" s="40" t="n">
        <f aca="false">H106-I106</f>
        <v>2.98</v>
      </c>
      <c r="K106" s="41" t="n">
        <v>26.5</v>
      </c>
      <c r="L106" s="42" t="n">
        <f aca="false">J106*K106</f>
        <v>78.97</v>
      </c>
      <c r="M106" s="43" t="n">
        <f aca="false">H106*16.17*(1+'Chart of Accounts'!$E$67)</f>
        <v>55.173657</v>
      </c>
    </row>
    <row r="107" customFormat="false" ht="15" hidden="false" customHeight="false" outlineLevel="0" collapsed="false">
      <c r="B107" s="7" t="s">
        <v>604</v>
      </c>
      <c r="C107" s="39" t="n">
        <v>45663</v>
      </c>
      <c r="D107" s="7" t="s">
        <v>339</v>
      </c>
      <c r="E107" s="7" t="s">
        <v>154</v>
      </c>
      <c r="F107" s="7" t="s">
        <v>242</v>
      </c>
      <c r="G107" s="7" t="s">
        <v>505</v>
      </c>
      <c r="H107" s="6" t="n">
        <v>3.07</v>
      </c>
      <c r="I107" s="6" t="n">
        <v>0</v>
      </c>
      <c r="J107" s="40" t="n">
        <f aca="false">H107-I107</f>
        <v>3.07</v>
      </c>
      <c r="K107" s="41" t="n">
        <v>26.5</v>
      </c>
      <c r="L107" s="42" t="n">
        <f aca="false">J107*K107</f>
        <v>81.355</v>
      </c>
      <c r="M107" s="43" t="n">
        <f aca="false">H107*17.99*(1+'Chart of Accounts'!$E$67)</f>
        <v>63.2375485</v>
      </c>
    </row>
    <row r="108" customFormat="false" ht="15" hidden="false" customHeight="false" outlineLevel="0" collapsed="false">
      <c r="B108" s="7" t="s">
        <v>605</v>
      </c>
      <c r="C108" s="39" t="n">
        <v>45663</v>
      </c>
      <c r="D108" s="7" t="s">
        <v>341</v>
      </c>
      <c r="E108" s="7" t="s">
        <v>156</v>
      </c>
      <c r="F108" s="7" t="s">
        <v>222</v>
      </c>
      <c r="G108" s="7" t="s">
        <v>505</v>
      </c>
      <c r="H108" s="6" t="n">
        <v>3</v>
      </c>
      <c r="I108" s="6" t="n">
        <v>0</v>
      </c>
      <c r="J108" s="40" t="n">
        <f aca="false">H108-I108</f>
        <v>3</v>
      </c>
      <c r="K108" s="41" t="n">
        <v>34</v>
      </c>
      <c r="L108" s="42" t="n">
        <f aca="false">J108*K108</f>
        <v>102</v>
      </c>
      <c r="M108" s="43" t="n">
        <f aca="false">H108*17.84*(1+'Chart of Accounts'!$E$67)</f>
        <v>61.2804</v>
      </c>
    </row>
    <row r="109" customFormat="false" ht="15" hidden="false" customHeight="false" outlineLevel="0" collapsed="false">
      <c r="B109" s="7" t="s">
        <v>606</v>
      </c>
      <c r="C109" s="39" t="n">
        <v>45663</v>
      </c>
      <c r="D109" s="7" t="s">
        <v>343</v>
      </c>
      <c r="E109" s="7" t="s">
        <v>154</v>
      </c>
      <c r="F109" s="7" t="s">
        <v>262</v>
      </c>
      <c r="G109" s="7" t="s">
        <v>505</v>
      </c>
      <c r="H109" s="6" t="n">
        <v>4.21</v>
      </c>
      <c r="I109" s="6" t="n">
        <v>0.126</v>
      </c>
      <c r="J109" s="40" t="n">
        <f aca="false">H109-I109</f>
        <v>4.084</v>
      </c>
      <c r="K109" s="41" t="n">
        <v>26.5</v>
      </c>
      <c r="L109" s="42" t="n">
        <f aca="false">J109*K109</f>
        <v>108.226</v>
      </c>
      <c r="M109" s="43" t="n">
        <f aca="false">H109*16.02*(1+'Chart of Accounts'!$E$67)</f>
        <v>77.223609</v>
      </c>
    </row>
    <row r="110" customFormat="false" ht="15" hidden="false" customHeight="false" outlineLevel="0" collapsed="false">
      <c r="B110" s="7" t="s">
        <v>607</v>
      </c>
      <c r="C110" s="39" t="n">
        <v>45663</v>
      </c>
      <c r="D110" s="7" t="s">
        <v>353</v>
      </c>
      <c r="E110" s="7" t="s">
        <v>154</v>
      </c>
      <c r="F110" s="7" t="s">
        <v>254</v>
      </c>
      <c r="G110" s="7" t="s">
        <v>505</v>
      </c>
      <c r="H110" s="6" t="n">
        <v>3.17</v>
      </c>
      <c r="I110" s="6" t="n">
        <v>0</v>
      </c>
      <c r="J110" s="40" t="n">
        <f aca="false">H110-I110</f>
        <v>3.17</v>
      </c>
      <c r="K110" s="41" t="n">
        <v>26.5</v>
      </c>
      <c r="L110" s="42" t="n">
        <f aca="false">J110*K110</f>
        <v>84.005</v>
      </c>
      <c r="M110" s="43" t="n">
        <f aca="false">H110*17.1*(1+'Chart of Accounts'!$E$67)</f>
        <v>62.067015</v>
      </c>
    </row>
    <row r="111" customFormat="false" ht="15" hidden="false" customHeight="false" outlineLevel="0" collapsed="false">
      <c r="B111" s="7" t="s">
        <v>608</v>
      </c>
      <c r="C111" s="39" t="n">
        <v>45663</v>
      </c>
      <c r="D111" s="7" t="s">
        <v>355</v>
      </c>
      <c r="E111" s="7" t="s">
        <v>154</v>
      </c>
      <c r="F111" s="7" t="s">
        <v>201</v>
      </c>
      <c r="G111" s="7" t="s">
        <v>505</v>
      </c>
      <c r="H111" s="6" t="n">
        <v>3.58</v>
      </c>
      <c r="I111" s="6" t="n">
        <v>0.107</v>
      </c>
      <c r="J111" s="40" t="n">
        <f aca="false">H111-I111</f>
        <v>3.473</v>
      </c>
      <c r="K111" s="41" t="n">
        <v>26.5</v>
      </c>
      <c r="L111" s="42" t="n">
        <f aca="false">J111*K111</f>
        <v>92.0345</v>
      </c>
      <c r="M111" s="43" t="n">
        <f aca="false">H111*15.19*(1+'Chart of Accounts'!$E$67)</f>
        <v>62.265329</v>
      </c>
    </row>
    <row r="112" customFormat="false" ht="15" hidden="false" customHeight="false" outlineLevel="0" collapsed="false">
      <c r="B112" s="7" t="s">
        <v>609</v>
      </c>
      <c r="C112" s="39" t="n">
        <v>45663</v>
      </c>
      <c r="D112" s="7" t="s">
        <v>357</v>
      </c>
      <c r="E112" s="7" t="s">
        <v>154</v>
      </c>
      <c r="F112" s="7" t="s">
        <v>207</v>
      </c>
      <c r="G112" s="7" t="s">
        <v>505</v>
      </c>
      <c r="H112" s="6" t="n">
        <v>3.58</v>
      </c>
      <c r="I112" s="6" t="n">
        <v>0.107</v>
      </c>
      <c r="J112" s="40" t="n">
        <f aca="false">H112-I112</f>
        <v>3.473</v>
      </c>
      <c r="K112" s="41" t="n">
        <v>26.5</v>
      </c>
      <c r="L112" s="42" t="n">
        <f aca="false">J112*K112</f>
        <v>92.0345</v>
      </c>
      <c r="M112" s="43" t="n">
        <f aca="false">H112*16.65*(1+'Chart of Accounts'!$E$67)</f>
        <v>68.250015</v>
      </c>
    </row>
    <row r="113" customFormat="false" ht="15" hidden="false" customHeight="false" outlineLevel="0" collapsed="false">
      <c r="B113" s="7" t="s">
        <v>610</v>
      </c>
      <c r="C113" s="39" t="n">
        <v>45663</v>
      </c>
      <c r="D113" s="7" t="s">
        <v>359</v>
      </c>
      <c r="E113" s="7" t="s">
        <v>156</v>
      </c>
      <c r="F113" s="7" t="s">
        <v>212</v>
      </c>
      <c r="G113" s="7" t="s">
        <v>505</v>
      </c>
      <c r="H113" s="6" t="n">
        <v>4.01</v>
      </c>
      <c r="I113" s="6" t="n">
        <v>0</v>
      </c>
      <c r="J113" s="40" t="n">
        <f aca="false">H113-I113</f>
        <v>4.01</v>
      </c>
      <c r="K113" s="41" t="n">
        <v>34</v>
      </c>
      <c r="L113" s="42" t="n">
        <f aca="false">J113*K113</f>
        <v>136.34</v>
      </c>
      <c r="M113" s="43" t="n">
        <f aca="false">H113*16.71*(1+'Chart of Accounts'!$E$67)</f>
        <v>76.7231295</v>
      </c>
    </row>
    <row r="114" customFormat="false" ht="15" hidden="false" customHeight="false" outlineLevel="0" collapsed="false">
      <c r="B114" s="7" t="s">
        <v>611</v>
      </c>
      <c r="C114" s="39" t="n">
        <v>45663</v>
      </c>
      <c r="D114" s="7" t="s">
        <v>363</v>
      </c>
      <c r="E114" s="7" t="s">
        <v>156</v>
      </c>
      <c r="F114" s="7" t="s">
        <v>246</v>
      </c>
      <c r="G114" s="7" t="s">
        <v>505</v>
      </c>
      <c r="H114" s="6" t="n">
        <v>3.95</v>
      </c>
      <c r="I114" s="6" t="n">
        <v>0</v>
      </c>
      <c r="J114" s="40" t="n">
        <f aca="false">H114-I114</f>
        <v>3.95</v>
      </c>
      <c r="K114" s="41" t="n">
        <v>34</v>
      </c>
      <c r="L114" s="42" t="n">
        <f aca="false">J114*K114</f>
        <v>134.3</v>
      </c>
      <c r="M114" s="43" t="n">
        <f aca="false">H114*16.48*(1+'Chart of Accounts'!$E$67)</f>
        <v>74.53492</v>
      </c>
    </row>
    <row r="115" customFormat="false" ht="15" hidden="false" customHeight="false" outlineLevel="0" collapsed="false">
      <c r="B115" s="7" t="s">
        <v>612</v>
      </c>
      <c r="C115" s="39" t="n">
        <v>45663</v>
      </c>
      <c r="D115" s="7" t="s">
        <v>371</v>
      </c>
      <c r="E115" s="7" t="s">
        <v>154</v>
      </c>
      <c r="F115" s="7" t="s">
        <v>232</v>
      </c>
      <c r="G115" s="7" t="s">
        <v>505</v>
      </c>
      <c r="H115" s="6" t="n">
        <v>4.32</v>
      </c>
      <c r="I115" s="6" t="n">
        <v>0</v>
      </c>
      <c r="J115" s="40" t="n">
        <f aca="false">H115-I115</f>
        <v>4.32</v>
      </c>
      <c r="K115" s="41" t="n">
        <v>26.5</v>
      </c>
      <c r="L115" s="42" t="n">
        <f aca="false">J115*K115</f>
        <v>114.48</v>
      </c>
      <c r="M115" s="43" t="n">
        <f aca="false">H115*16.17*(1+'Chart of Accounts'!$E$67)</f>
        <v>79.983288</v>
      </c>
    </row>
    <row r="116" customFormat="false" ht="15" hidden="false" customHeight="false" outlineLevel="0" collapsed="false">
      <c r="B116" s="7" t="s">
        <v>613</v>
      </c>
      <c r="C116" s="39" t="n">
        <v>45663</v>
      </c>
      <c r="D116" s="7" t="s">
        <v>375</v>
      </c>
      <c r="E116" s="7" t="s">
        <v>156</v>
      </c>
      <c r="F116" s="7" t="s">
        <v>196</v>
      </c>
      <c r="G116" s="7" t="s">
        <v>505</v>
      </c>
      <c r="H116" s="6" t="n">
        <v>2.99</v>
      </c>
      <c r="I116" s="6" t="n">
        <v>0</v>
      </c>
      <c r="J116" s="40" t="n">
        <f aca="false">H116-I116</f>
        <v>2.99</v>
      </c>
      <c r="K116" s="41" t="n">
        <v>34</v>
      </c>
      <c r="L116" s="42" t="n">
        <f aca="false">J116*K116</f>
        <v>101.66</v>
      </c>
      <c r="M116" s="43" t="n">
        <f aca="false">H116*15.05*(1+'Chart of Accounts'!$E$67)</f>
        <v>51.5244275</v>
      </c>
    </row>
    <row r="117" customFormat="false" ht="15" hidden="false" customHeight="false" outlineLevel="0" collapsed="false">
      <c r="B117" s="7" t="s">
        <v>614</v>
      </c>
      <c r="C117" s="39" t="n">
        <v>45663</v>
      </c>
      <c r="D117" s="7" t="s">
        <v>377</v>
      </c>
      <c r="E117" s="7" t="s">
        <v>154</v>
      </c>
      <c r="F117" s="7" t="s">
        <v>214</v>
      </c>
      <c r="G117" s="7" t="s">
        <v>505</v>
      </c>
      <c r="H117" s="6" t="n">
        <v>4.24</v>
      </c>
      <c r="I117" s="6" t="n">
        <v>0</v>
      </c>
      <c r="J117" s="40" t="n">
        <f aca="false">H117-I117</f>
        <v>4.24</v>
      </c>
      <c r="K117" s="41" t="n">
        <v>26.5</v>
      </c>
      <c r="L117" s="42" t="n">
        <f aca="false">J117*K117</f>
        <v>112.36</v>
      </c>
      <c r="M117" s="43" t="n">
        <f aca="false">H117*15.67*(1+'Chart of Accounts'!$E$67)</f>
        <v>76.074716</v>
      </c>
    </row>
    <row r="118" customFormat="false" ht="15" hidden="false" customHeight="false" outlineLevel="0" collapsed="false">
      <c r="B118" s="7" t="s">
        <v>615</v>
      </c>
      <c r="C118" s="39" t="n">
        <v>45663</v>
      </c>
      <c r="D118" s="7" t="s">
        <v>379</v>
      </c>
      <c r="E118" s="7" t="s">
        <v>156</v>
      </c>
      <c r="F118" s="7" t="s">
        <v>224</v>
      </c>
      <c r="G118" s="7" t="s">
        <v>505</v>
      </c>
      <c r="H118" s="6" t="n">
        <v>4.21</v>
      </c>
      <c r="I118" s="6" t="n">
        <v>0</v>
      </c>
      <c r="J118" s="40" t="n">
        <f aca="false">H118-I118</f>
        <v>4.21</v>
      </c>
      <c r="K118" s="41" t="n">
        <v>34</v>
      </c>
      <c r="L118" s="42" t="n">
        <f aca="false">J118*K118</f>
        <v>143.14</v>
      </c>
      <c r="M118" s="43" t="n">
        <f aca="false">H118*14.93*(1+'Chart of Accounts'!$E$67)</f>
        <v>71.9693185</v>
      </c>
    </row>
    <row r="119" customFormat="false" ht="15" hidden="false" customHeight="false" outlineLevel="0" collapsed="false">
      <c r="B119" s="7" t="s">
        <v>616</v>
      </c>
      <c r="C119" s="39" t="n">
        <v>45663</v>
      </c>
      <c r="D119" s="7" t="s">
        <v>389</v>
      </c>
      <c r="E119" s="7" t="s">
        <v>154</v>
      </c>
      <c r="F119" s="7" t="s">
        <v>246</v>
      </c>
      <c r="G119" s="7" t="s">
        <v>505</v>
      </c>
      <c r="H119" s="6" t="n">
        <v>4.27</v>
      </c>
      <c r="I119" s="6" t="n">
        <v>0</v>
      </c>
      <c r="J119" s="40" t="n">
        <f aca="false">H119-I119</f>
        <v>4.27</v>
      </c>
      <c r="K119" s="41" t="n">
        <v>26.5</v>
      </c>
      <c r="L119" s="42" t="n">
        <f aca="false">J119*K119</f>
        <v>113.155</v>
      </c>
      <c r="M119" s="43" t="n">
        <f aca="false">H119*16.48*(1+'Chart of Accounts'!$E$67)</f>
        <v>80.573192</v>
      </c>
    </row>
    <row r="120" customFormat="false" ht="15" hidden="false" customHeight="false" outlineLevel="0" collapsed="false">
      <c r="B120" s="7" t="s">
        <v>617</v>
      </c>
      <c r="C120" s="39" t="n">
        <v>45663</v>
      </c>
      <c r="D120" s="7" t="s">
        <v>391</v>
      </c>
      <c r="E120" s="7" t="s">
        <v>156</v>
      </c>
      <c r="F120" s="7" t="s">
        <v>222</v>
      </c>
      <c r="G120" s="7" t="s">
        <v>505</v>
      </c>
      <c r="H120" s="6" t="n">
        <v>4.12</v>
      </c>
      <c r="I120" s="6" t="n">
        <v>0</v>
      </c>
      <c r="J120" s="40" t="n">
        <f aca="false">H120-I120</f>
        <v>4.12</v>
      </c>
      <c r="K120" s="41" t="n">
        <v>34</v>
      </c>
      <c r="L120" s="42" t="n">
        <f aca="false">J120*K120</f>
        <v>140.08</v>
      </c>
      <c r="M120" s="43" t="n">
        <f aca="false">H120*17.84*(1+'Chart of Accounts'!$E$67)</f>
        <v>84.158416</v>
      </c>
    </row>
    <row r="121" customFormat="false" ht="15" hidden="false" customHeight="false" outlineLevel="0" collapsed="false">
      <c r="B121" s="7" t="s">
        <v>618</v>
      </c>
      <c r="C121" s="39" t="n">
        <v>45663</v>
      </c>
      <c r="D121" s="7" t="s">
        <v>395</v>
      </c>
      <c r="E121" s="7" t="s">
        <v>156</v>
      </c>
      <c r="F121" s="7" t="s">
        <v>242</v>
      </c>
      <c r="G121" s="7" t="s">
        <v>505</v>
      </c>
      <c r="H121" s="6" t="n">
        <v>3.83</v>
      </c>
      <c r="I121" s="6" t="n">
        <v>0</v>
      </c>
      <c r="J121" s="40" t="n">
        <f aca="false">H121-I121</f>
        <v>3.83</v>
      </c>
      <c r="K121" s="41" t="n">
        <v>34</v>
      </c>
      <c r="L121" s="42" t="n">
        <f aca="false">J121*K121</f>
        <v>130.22</v>
      </c>
      <c r="M121" s="43" t="n">
        <f aca="false">H121*17.99*(1+'Chart of Accounts'!$E$67)</f>
        <v>78.8924465</v>
      </c>
    </row>
    <row r="122" customFormat="false" ht="15" hidden="false" customHeight="false" outlineLevel="0" collapsed="false">
      <c r="B122" s="7" t="s">
        <v>619</v>
      </c>
      <c r="C122" s="39" t="n">
        <v>45663</v>
      </c>
      <c r="D122" s="7" t="s">
        <v>399</v>
      </c>
      <c r="E122" s="7" t="s">
        <v>154</v>
      </c>
      <c r="F122" s="7" t="s">
        <v>262</v>
      </c>
      <c r="G122" s="7" t="s">
        <v>505</v>
      </c>
      <c r="H122" s="6" t="n">
        <v>3.32</v>
      </c>
      <c r="I122" s="6" t="n">
        <v>0</v>
      </c>
      <c r="J122" s="40" t="n">
        <f aca="false">H122-I122</f>
        <v>3.32</v>
      </c>
      <c r="K122" s="41" t="n">
        <v>26.5</v>
      </c>
      <c r="L122" s="42" t="n">
        <f aca="false">J122*K122</f>
        <v>87.98</v>
      </c>
      <c r="M122" s="43" t="n">
        <f aca="false">H122*16.02*(1+'Chart of Accounts'!$E$67)</f>
        <v>60.898428</v>
      </c>
    </row>
    <row r="123" customFormat="false" ht="15" hidden="false" customHeight="false" outlineLevel="0" collapsed="false">
      <c r="B123" s="7" t="s">
        <v>620</v>
      </c>
      <c r="C123" s="39" t="n">
        <v>45663</v>
      </c>
      <c r="D123" s="7" t="s">
        <v>401</v>
      </c>
      <c r="E123" s="7" t="s">
        <v>156</v>
      </c>
      <c r="F123" s="7" t="s">
        <v>254</v>
      </c>
      <c r="G123" s="7" t="s">
        <v>505</v>
      </c>
      <c r="H123" s="6" t="n">
        <v>3.72</v>
      </c>
      <c r="I123" s="6" t="n">
        <v>0</v>
      </c>
      <c r="J123" s="40" t="n">
        <f aca="false">H123-I123</f>
        <v>3.72</v>
      </c>
      <c r="K123" s="41" t="n">
        <v>34</v>
      </c>
      <c r="L123" s="42" t="n">
        <f aca="false">J123*K123</f>
        <v>126.48</v>
      </c>
      <c r="M123" s="43" t="n">
        <f aca="false">H123*17.1*(1+'Chart of Accounts'!$E$67)</f>
        <v>72.83574</v>
      </c>
    </row>
    <row r="124" customFormat="false" ht="15" hidden="false" customHeight="false" outlineLevel="0" collapsed="false">
      <c r="B124" s="7" t="s">
        <v>621</v>
      </c>
      <c r="C124" s="39" t="n">
        <v>45663</v>
      </c>
      <c r="D124" s="7" t="s">
        <v>409</v>
      </c>
      <c r="E124" s="7" t="s">
        <v>154</v>
      </c>
      <c r="F124" s="7" t="s">
        <v>214</v>
      </c>
      <c r="G124" s="7" t="s">
        <v>505</v>
      </c>
      <c r="H124" s="6" t="n">
        <v>3.5</v>
      </c>
      <c r="I124" s="6" t="n">
        <v>0.105</v>
      </c>
      <c r="J124" s="40" t="n">
        <f aca="false">H124-I124</f>
        <v>3.395</v>
      </c>
      <c r="K124" s="41" t="n">
        <v>26.5</v>
      </c>
      <c r="L124" s="42" t="n">
        <f aca="false">J124*K124</f>
        <v>89.9675</v>
      </c>
      <c r="M124" s="43" t="n">
        <f aca="false">H124*15.67*(1+'Chart of Accounts'!$E$67)</f>
        <v>62.797525</v>
      </c>
    </row>
    <row r="125" customFormat="false" ht="15" hidden="false" customHeight="false" outlineLevel="0" collapsed="false">
      <c r="B125" s="7" t="s">
        <v>622</v>
      </c>
      <c r="C125" s="39" t="n">
        <v>45663</v>
      </c>
      <c r="D125" s="7" t="s">
        <v>411</v>
      </c>
      <c r="E125" s="7" t="s">
        <v>154</v>
      </c>
      <c r="F125" s="7" t="s">
        <v>177</v>
      </c>
      <c r="G125" s="7" t="s">
        <v>505</v>
      </c>
      <c r="H125" s="6" t="n">
        <v>4.92</v>
      </c>
      <c r="I125" s="6" t="n">
        <v>0</v>
      </c>
      <c r="J125" s="40" t="n">
        <f aca="false">H125-I125</f>
        <v>4.92</v>
      </c>
      <c r="K125" s="41" t="n">
        <v>26.5</v>
      </c>
      <c r="L125" s="42" t="n">
        <f aca="false">J125*K125</f>
        <v>130.38</v>
      </c>
      <c r="M125" s="43" t="n">
        <f aca="false">H125*14.56*(1+'Chart of Accounts'!$E$67)</f>
        <v>82.022304</v>
      </c>
    </row>
    <row r="126" customFormat="false" ht="15" hidden="false" customHeight="false" outlineLevel="0" collapsed="false">
      <c r="B126" s="7" t="s">
        <v>623</v>
      </c>
      <c r="C126" s="39" t="n">
        <v>45664</v>
      </c>
      <c r="D126" s="7" t="s">
        <v>288</v>
      </c>
      <c r="E126" s="7" t="s">
        <v>156</v>
      </c>
      <c r="F126" s="7" t="s">
        <v>191</v>
      </c>
      <c r="G126" s="7" t="s">
        <v>505</v>
      </c>
      <c r="H126" s="6" t="n">
        <v>4.23</v>
      </c>
      <c r="I126" s="6" t="n">
        <v>0</v>
      </c>
      <c r="J126" s="40" t="n">
        <f aca="false">H126-I126</f>
        <v>4.23</v>
      </c>
      <c r="K126" s="41" t="n">
        <v>34</v>
      </c>
      <c r="L126" s="42" t="n">
        <f aca="false">J126*K126</f>
        <v>143.82</v>
      </c>
      <c r="M126" s="43" t="n">
        <f aca="false">H126*16.05*(1+'Chart of Accounts'!$E$67)</f>
        <v>77.7357675</v>
      </c>
    </row>
    <row r="127" customFormat="false" ht="15" hidden="false" customHeight="false" outlineLevel="0" collapsed="false">
      <c r="B127" s="7" t="s">
        <v>624</v>
      </c>
      <c r="C127" s="39" t="n">
        <v>45664</v>
      </c>
      <c r="D127" s="7" t="s">
        <v>301</v>
      </c>
      <c r="E127" s="7" t="s">
        <v>157</v>
      </c>
      <c r="F127" s="7" t="s">
        <v>209</v>
      </c>
      <c r="G127" s="7" t="s">
        <v>502</v>
      </c>
      <c r="H127" s="6" t="n">
        <v>1.05</v>
      </c>
      <c r="I127" s="6" t="n">
        <v>0</v>
      </c>
      <c r="J127" s="40" t="n">
        <f aca="false">H127-I127</f>
        <v>1.05</v>
      </c>
      <c r="K127" s="41" t="n">
        <v>165</v>
      </c>
      <c r="L127" s="42" t="n">
        <f aca="false">J127*K127</f>
        <v>173.25</v>
      </c>
      <c r="M127" s="43" t="n">
        <f aca="false">H127*73.58*(1+'Chart of Accounts'!$E$67)</f>
        <v>88.461555</v>
      </c>
    </row>
    <row r="128" customFormat="false" ht="15" hidden="false" customHeight="false" outlineLevel="0" collapsed="false">
      <c r="B128" s="7" t="s">
        <v>625</v>
      </c>
      <c r="C128" s="39" t="n">
        <v>45664</v>
      </c>
      <c r="D128" s="7" t="s">
        <v>313</v>
      </c>
      <c r="E128" s="7" t="s">
        <v>156</v>
      </c>
      <c r="F128" s="7" t="s">
        <v>184</v>
      </c>
      <c r="G128" s="7" t="s">
        <v>505</v>
      </c>
      <c r="H128" s="6" t="n">
        <v>4.13</v>
      </c>
      <c r="I128" s="6" t="n">
        <v>0</v>
      </c>
      <c r="J128" s="40" t="n">
        <f aca="false">H128-I128</f>
        <v>4.13</v>
      </c>
      <c r="K128" s="41" t="n">
        <v>34</v>
      </c>
      <c r="L128" s="42" t="n">
        <f aca="false">J128*K128</f>
        <v>140.42</v>
      </c>
      <c r="M128" s="43" t="n">
        <f aca="false">H128*17.34*(1+'Chart of Accounts'!$E$67)</f>
        <v>81.998259</v>
      </c>
    </row>
    <row r="129" customFormat="false" ht="15" hidden="false" customHeight="false" outlineLevel="0" collapsed="false">
      <c r="B129" s="7" t="s">
        <v>626</v>
      </c>
      <c r="C129" s="39" t="n">
        <v>45664</v>
      </c>
      <c r="D129" s="7" t="s">
        <v>319</v>
      </c>
      <c r="E129" s="7" t="s">
        <v>157</v>
      </c>
      <c r="F129" s="7" t="s">
        <v>234</v>
      </c>
      <c r="G129" s="7" t="s">
        <v>502</v>
      </c>
      <c r="H129" s="6" t="n">
        <v>1</v>
      </c>
      <c r="I129" s="6" t="n">
        <v>0</v>
      </c>
      <c r="J129" s="40" t="n">
        <f aca="false">H129-I129</f>
        <v>1</v>
      </c>
      <c r="K129" s="41" t="n">
        <v>165</v>
      </c>
      <c r="L129" s="42" t="n">
        <f aca="false">J129*K129</f>
        <v>165</v>
      </c>
      <c r="M129" s="43" t="n">
        <f aca="false">H129*89.53*(1+'Chart of Accounts'!$E$67)</f>
        <v>102.51185</v>
      </c>
    </row>
    <row r="130" customFormat="false" ht="15" hidden="false" customHeight="false" outlineLevel="0" collapsed="false">
      <c r="B130" s="7" t="s">
        <v>627</v>
      </c>
      <c r="C130" s="39" t="n">
        <v>45664</v>
      </c>
      <c r="D130" s="7" t="s">
        <v>321</v>
      </c>
      <c r="E130" s="7" t="s">
        <v>154</v>
      </c>
      <c r="F130" s="7" t="s">
        <v>218</v>
      </c>
      <c r="G130" s="7" t="s">
        <v>505</v>
      </c>
      <c r="H130" s="6" t="n">
        <v>3.9</v>
      </c>
      <c r="I130" s="6" t="n">
        <v>0</v>
      </c>
      <c r="J130" s="40" t="n">
        <f aca="false">H130-I130</f>
        <v>3.9</v>
      </c>
      <c r="K130" s="41" t="n">
        <v>26.5</v>
      </c>
      <c r="L130" s="42" t="n">
        <f aca="false">J130*K130</f>
        <v>103.35</v>
      </c>
      <c r="M130" s="43" t="n">
        <f aca="false">H130*16.19*(1+'Chart of Accounts'!$E$67)</f>
        <v>72.296445</v>
      </c>
    </row>
    <row r="131" customFormat="false" ht="15" hidden="false" customHeight="false" outlineLevel="0" collapsed="false">
      <c r="B131" s="7" t="s">
        <v>628</v>
      </c>
      <c r="C131" s="39" t="n">
        <v>45664</v>
      </c>
      <c r="D131" s="7" t="s">
        <v>323</v>
      </c>
      <c r="E131" s="7" t="s">
        <v>159</v>
      </c>
      <c r="F131" s="7" t="s">
        <v>266</v>
      </c>
      <c r="G131" s="7" t="s">
        <v>502</v>
      </c>
      <c r="H131" s="6" t="n">
        <v>1.1</v>
      </c>
      <c r="I131" s="6" t="n">
        <v>0</v>
      </c>
      <c r="J131" s="40" t="n">
        <f aca="false">H131-I131</f>
        <v>1.1</v>
      </c>
      <c r="K131" s="41" t="n">
        <v>135</v>
      </c>
      <c r="L131" s="42" t="n">
        <f aca="false">J131*K131</f>
        <v>148.5</v>
      </c>
      <c r="M131" s="43" t="n">
        <f aca="false">H131*75.18*(1+'Chart of Accounts'!$E$67)</f>
        <v>94.68921</v>
      </c>
    </row>
    <row r="132" customFormat="false" ht="15" hidden="false" customHeight="false" outlineLevel="0" collapsed="false">
      <c r="B132" s="7" t="s">
        <v>629</v>
      </c>
      <c r="C132" s="39" t="n">
        <v>45664</v>
      </c>
      <c r="D132" s="7" t="s">
        <v>327</v>
      </c>
      <c r="E132" s="7" t="s">
        <v>157</v>
      </c>
      <c r="F132" s="7" t="s">
        <v>228</v>
      </c>
      <c r="G132" s="7" t="s">
        <v>502</v>
      </c>
      <c r="H132" s="6" t="n">
        <v>1.07</v>
      </c>
      <c r="I132" s="6" t="n">
        <v>0</v>
      </c>
      <c r="J132" s="40" t="n">
        <f aca="false">H132-I132</f>
        <v>1.07</v>
      </c>
      <c r="K132" s="41" t="n">
        <v>165</v>
      </c>
      <c r="L132" s="42" t="n">
        <f aca="false">J132*K132</f>
        <v>176.55</v>
      </c>
      <c r="M132" s="43" t="n">
        <f aca="false">H132*51.07*(1+'Chart of Accounts'!$E$67)</f>
        <v>62.5684105</v>
      </c>
    </row>
    <row r="133" customFormat="false" ht="15" hidden="false" customHeight="false" outlineLevel="0" collapsed="false">
      <c r="B133" s="7" t="s">
        <v>630</v>
      </c>
      <c r="C133" s="39" t="n">
        <v>45664</v>
      </c>
      <c r="D133" s="7" t="s">
        <v>329</v>
      </c>
      <c r="E133" s="7" t="s">
        <v>156</v>
      </c>
      <c r="F133" s="7" t="s">
        <v>220</v>
      </c>
      <c r="G133" s="7" t="s">
        <v>505</v>
      </c>
      <c r="H133" s="6" t="n">
        <v>3.98</v>
      </c>
      <c r="I133" s="6" t="n">
        <v>0</v>
      </c>
      <c r="J133" s="40" t="n">
        <f aca="false">H133-I133</f>
        <v>3.98</v>
      </c>
      <c r="K133" s="41" t="n">
        <v>34</v>
      </c>
      <c r="L133" s="42" t="n">
        <f aca="false">J133*K133</f>
        <v>135.32</v>
      </c>
      <c r="M133" s="43" t="n">
        <f aca="false">H133*16.43*(1+'Chart of Accounts'!$E$67)</f>
        <v>74.873153</v>
      </c>
    </row>
    <row r="134" customFormat="false" ht="15" hidden="false" customHeight="false" outlineLevel="0" collapsed="false">
      <c r="B134" s="7" t="s">
        <v>631</v>
      </c>
      <c r="C134" s="39" t="n">
        <v>45664</v>
      </c>
      <c r="D134" s="7" t="s">
        <v>359</v>
      </c>
      <c r="E134" s="7" t="s">
        <v>156</v>
      </c>
      <c r="F134" s="7" t="s">
        <v>212</v>
      </c>
      <c r="G134" s="7" t="s">
        <v>505</v>
      </c>
      <c r="H134" s="6" t="n">
        <v>4.39</v>
      </c>
      <c r="I134" s="6" t="n">
        <v>0</v>
      </c>
      <c r="J134" s="40" t="n">
        <f aca="false">H134-I134</f>
        <v>4.39</v>
      </c>
      <c r="K134" s="41" t="n">
        <v>34</v>
      </c>
      <c r="L134" s="42" t="n">
        <f aca="false">J134*K134</f>
        <v>149.26</v>
      </c>
      <c r="M134" s="43" t="n">
        <f aca="false">H134*16.71*(1+'Chart of Accounts'!$E$67)</f>
        <v>83.9936505</v>
      </c>
    </row>
    <row r="135" customFormat="false" ht="15" hidden="false" customHeight="false" outlineLevel="0" collapsed="false">
      <c r="B135" s="7" t="s">
        <v>632</v>
      </c>
      <c r="C135" s="39" t="n">
        <v>45664</v>
      </c>
      <c r="D135" s="7" t="s">
        <v>361</v>
      </c>
      <c r="E135" s="7" t="s">
        <v>157</v>
      </c>
      <c r="F135" s="7" t="s">
        <v>209</v>
      </c>
      <c r="G135" s="7" t="s">
        <v>502</v>
      </c>
      <c r="H135" s="6" t="n">
        <v>0.93</v>
      </c>
      <c r="I135" s="6" t="n">
        <v>0.047</v>
      </c>
      <c r="J135" s="40" t="n">
        <f aca="false">H135-I135</f>
        <v>0.883</v>
      </c>
      <c r="K135" s="41" t="n">
        <v>165</v>
      </c>
      <c r="L135" s="42" t="n">
        <f aca="false">J135*K135</f>
        <v>145.695</v>
      </c>
      <c r="M135" s="43" t="n">
        <f aca="false">H135*73.58*(1+'Chart of Accounts'!$E$67)</f>
        <v>78.351663</v>
      </c>
    </row>
    <row r="136" customFormat="false" ht="15" hidden="false" customHeight="false" outlineLevel="0" collapsed="false">
      <c r="B136" s="7" t="s">
        <v>633</v>
      </c>
      <c r="C136" s="39" t="n">
        <v>45664</v>
      </c>
      <c r="D136" s="7" t="s">
        <v>381</v>
      </c>
      <c r="E136" s="7" t="s">
        <v>157</v>
      </c>
      <c r="F136" s="7" t="s">
        <v>234</v>
      </c>
      <c r="G136" s="7" t="s">
        <v>502</v>
      </c>
      <c r="H136" s="6" t="n">
        <v>1.09</v>
      </c>
      <c r="I136" s="6" t="n">
        <v>0.055</v>
      </c>
      <c r="J136" s="40" t="n">
        <f aca="false">H136-I136</f>
        <v>1.035</v>
      </c>
      <c r="K136" s="41" t="n">
        <v>165</v>
      </c>
      <c r="L136" s="42" t="n">
        <f aca="false">J136*K136</f>
        <v>170.775</v>
      </c>
      <c r="M136" s="43" t="n">
        <f aca="false">H136*89.53*(1+'Chart of Accounts'!$E$67)</f>
        <v>111.7379165</v>
      </c>
    </row>
    <row r="137" customFormat="false" ht="15" hidden="false" customHeight="false" outlineLevel="0" collapsed="false">
      <c r="B137" s="7" t="s">
        <v>634</v>
      </c>
      <c r="C137" s="39" t="n">
        <v>45664</v>
      </c>
      <c r="D137" s="7" t="s">
        <v>389</v>
      </c>
      <c r="E137" s="7" t="s">
        <v>154</v>
      </c>
      <c r="F137" s="7" t="s">
        <v>246</v>
      </c>
      <c r="G137" s="7" t="s">
        <v>505</v>
      </c>
      <c r="H137" s="6" t="n">
        <v>4.28</v>
      </c>
      <c r="I137" s="6" t="n">
        <v>0</v>
      </c>
      <c r="J137" s="40" t="n">
        <f aca="false">H137-I137</f>
        <v>4.28</v>
      </c>
      <c r="K137" s="41" t="n">
        <v>26.5</v>
      </c>
      <c r="L137" s="42" t="n">
        <f aca="false">J137*K137</f>
        <v>113.42</v>
      </c>
      <c r="M137" s="43" t="n">
        <f aca="false">H137*16.48*(1+'Chart of Accounts'!$E$67)</f>
        <v>80.761888</v>
      </c>
    </row>
    <row r="138" customFormat="false" ht="15" hidden="false" customHeight="false" outlineLevel="0" collapsed="false">
      <c r="B138" s="7" t="s">
        <v>635</v>
      </c>
      <c r="C138" s="39" t="n">
        <v>45664</v>
      </c>
      <c r="D138" s="7" t="s">
        <v>391</v>
      </c>
      <c r="E138" s="7" t="s">
        <v>156</v>
      </c>
      <c r="F138" s="7" t="s">
        <v>222</v>
      </c>
      <c r="G138" s="7" t="s">
        <v>505</v>
      </c>
      <c r="H138" s="6" t="n">
        <v>3.61</v>
      </c>
      <c r="I138" s="6" t="n">
        <v>0</v>
      </c>
      <c r="J138" s="40" t="n">
        <f aca="false">H138-I138</f>
        <v>3.61</v>
      </c>
      <c r="K138" s="41" t="n">
        <v>34</v>
      </c>
      <c r="L138" s="42" t="n">
        <f aca="false">J138*K138</f>
        <v>122.74</v>
      </c>
      <c r="M138" s="43" t="n">
        <f aca="false">H138*17.84*(1+'Chart of Accounts'!$E$67)</f>
        <v>73.740748</v>
      </c>
    </row>
    <row r="139" customFormat="false" ht="15" hidden="false" customHeight="false" outlineLevel="0" collapsed="false">
      <c r="B139" s="7" t="s">
        <v>636</v>
      </c>
      <c r="C139" s="39" t="n">
        <v>45664</v>
      </c>
      <c r="D139" s="7" t="s">
        <v>395</v>
      </c>
      <c r="E139" s="7" t="s">
        <v>156</v>
      </c>
      <c r="F139" s="7" t="s">
        <v>242</v>
      </c>
      <c r="G139" s="7" t="s">
        <v>505</v>
      </c>
      <c r="H139" s="6" t="n">
        <v>4.38</v>
      </c>
      <c r="I139" s="6" t="n">
        <v>0</v>
      </c>
      <c r="J139" s="40" t="n">
        <f aca="false">H139-I139</f>
        <v>4.38</v>
      </c>
      <c r="K139" s="41" t="n">
        <v>34</v>
      </c>
      <c r="L139" s="42" t="n">
        <f aca="false">J139*K139</f>
        <v>148.92</v>
      </c>
      <c r="M139" s="43" t="n">
        <f aca="false">H139*17.99*(1+'Chart of Accounts'!$E$67)</f>
        <v>90.221649</v>
      </c>
    </row>
    <row r="140" customFormat="false" ht="15" hidden="false" customHeight="false" outlineLevel="0" collapsed="false">
      <c r="B140" s="7" t="s">
        <v>637</v>
      </c>
      <c r="C140" s="39" t="n">
        <v>45664</v>
      </c>
      <c r="D140" s="7" t="s">
        <v>401</v>
      </c>
      <c r="E140" s="7" t="s">
        <v>156</v>
      </c>
      <c r="F140" s="7" t="s">
        <v>254</v>
      </c>
      <c r="G140" s="7" t="s">
        <v>505</v>
      </c>
      <c r="H140" s="6" t="n">
        <v>3.81</v>
      </c>
      <c r="I140" s="6" t="n">
        <v>0</v>
      </c>
      <c r="J140" s="40" t="n">
        <f aca="false">H140-I140</f>
        <v>3.81</v>
      </c>
      <c r="K140" s="41" t="n">
        <v>34</v>
      </c>
      <c r="L140" s="42" t="n">
        <f aca="false">J140*K140</f>
        <v>129.54</v>
      </c>
      <c r="M140" s="43" t="n">
        <f aca="false">H140*17.1*(1+'Chart of Accounts'!$E$67)</f>
        <v>74.597895</v>
      </c>
    </row>
    <row r="141" customFormat="false" ht="15" hidden="false" customHeight="false" outlineLevel="0" collapsed="false">
      <c r="B141" s="7" t="s">
        <v>638</v>
      </c>
      <c r="C141" s="39" t="n">
        <v>45664</v>
      </c>
      <c r="D141" s="7" t="s">
        <v>407</v>
      </c>
      <c r="E141" s="7" t="s">
        <v>159</v>
      </c>
      <c r="F141" s="7" t="s">
        <v>260</v>
      </c>
      <c r="G141" s="7" t="s">
        <v>502</v>
      </c>
      <c r="H141" s="6" t="n">
        <v>0.92</v>
      </c>
      <c r="I141" s="6" t="n">
        <v>0</v>
      </c>
      <c r="J141" s="40" t="n">
        <f aca="false">H141-I141</f>
        <v>0.92</v>
      </c>
      <c r="K141" s="41" t="n">
        <v>135</v>
      </c>
      <c r="L141" s="42" t="n">
        <f aca="false">J141*K141</f>
        <v>124.2</v>
      </c>
      <c r="M141" s="43" t="n">
        <f aca="false">H141*79.8*(1+'Chart of Accounts'!$E$67)</f>
        <v>84.06132</v>
      </c>
    </row>
    <row r="142" customFormat="false" ht="15" hidden="false" customHeight="false" outlineLevel="0" collapsed="false">
      <c r="B142" s="7" t="s">
        <v>639</v>
      </c>
      <c r="C142" s="39" t="n">
        <v>45665</v>
      </c>
      <c r="D142" s="7" t="s">
        <v>280</v>
      </c>
      <c r="E142" s="7" t="s">
        <v>157</v>
      </c>
      <c r="F142" s="7" t="s">
        <v>187</v>
      </c>
      <c r="G142" s="7" t="s">
        <v>502</v>
      </c>
      <c r="H142" s="6" t="n">
        <v>1.01</v>
      </c>
      <c r="I142" s="6" t="n">
        <v>0</v>
      </c>
      <c r="J142" s="40" t="n">
        <f aca="false">H142-I142</f>
        <v>1.01</v>
      </c>
      <c r="K142" s="41" t="n">
        <v>165</v>
      </c>
      <c r="L142" s="42" t="n">
        <f aca="false">J142*K142</f>
        <v>166.65</v>
      </c>
      <c r="M142" s="43" t="n">
        <f aca="false">H142*66.48*(1+'Chart of Accounts'!$E$67)</f>
        <v>76.880796</v>
      </c>
    </row>
    <row r="143" customFormat="false" ht="15" hidden="false" customHeight="false" outlineLevel="0" collapsed="false">
      <c r="B143" s="7" t="s">
        <v>640</v>
      </c>
      <c r="C143" s="39" t="n">
        <v>45665</v>
      </c>
      <c r="D143" s="7" t="s">
        <v>286</v>
      </c>
      <c r="E143" s="7" t="s">
        <v>157</v>
      </c>
      <c r="F143" s="7" t="s">
        <v>228</v>
      </c>
      <c r="G143" s="7" t="s">
        <v>502</v>
      </c>
      <c r="H143" s="6" t="n">
        <v>1.08</v>
      </c>
      <c r="I143" s="6" t="n">
        <v>0</v>
      </c>
      <c r="J143" s="40" t="n">
        <f aca="false">H143-I143</f>
        <v>1.08</v>
      </c>
      <c r="K143" s="41" t="n">
        <v>165</v>
      </c>
      <c r="L143" s="42" t="n">
        <f aca="false">J143*K143</f>
        <v>178.2</v>
      </c>
      <c r="M143" s="43" t="n">
        <f aca="false">H143*51.07*(1+'Chart of Accounts'!$E$67)</f>
        <v>63.153162</v>
      </c>
    </row>
    <row r="144" customFormat="false" ht="15" hidden="false" customHeight="false" outlineLevel="0" collapsed="false">
      <c r="B144" s="7" t="s">
        <v>641</v>
      </c>
      <c r="C144" s="39" t="n">
        <v>45665</v>
      </c>
      <c r="D144" s="7" t="s">
        <v>288</v>
      </c>
      <c r="E144" s="7" t="s">
        <v>156</v>
      </c>
      <c r="F144" s="7" t="s">
        <v>191</v>
      </c>
      <c r="G144" s="7" t="s">
        <v>505</v>
      </c>
      <c r="H144" s="6" t="n">
        <v>4.09</v>
      </c>
      <c r="I144" s="6" t="n">
        <v>0</v>
      </c>
      <c r="J144" s="40" t="n">
        <f aca="false">H144-I144</f>
        <v>4.09</v>
      </c>
      <c r="K144" s="41" t="n">
        <v>34</v>
      </c>
      <c r="L144" s="42" t="n">
        <f aca="false">J144*K144</f>
        <v>139.06</v>
      </c>
      <c r="M144" s="43" t="n">
        <f aca="false">H144*16.05*(1+'Chart of Accounts'!$E$67)</f>
        <v>75.1629525</v>
      </c>
    </row>
    <row r="145" customFormat="false" ht="15" hidden="false" customHeight="false" outlineLevel="0" collapsed="false">
      <c r="B145" s="7" t="s">
        <v>642</v>
      </c>
      <c r="C145" s="39" t="n">
        <v>45665</v>
      </c>
      <c r="D145" s="7" t="s">
        <v>291</v>
      </c>
      <c r="E145" s="7" t="s">
        <v>154</v>
      </c>
      <c r="F145" s="7" t="s">
        <v>194</v>
      </c>
      <c r="G145" s="7" t="s">
        <v>505</v>
      </c>
      <c r="H145" s="6" t="n">
        <v>4.47</v>
      </c>
      <c r="I145" s="6" t="n">
        <v>0.134</v>
      </c>
      <c r="J145" s="40" t="n">
        <f aca="false">H145-I145</f>
        <v>4.336</v>
      </c>
      <c r="K145" s="41" t="n">
        <v>26.5</v>
      </c>
      <c r="L145" s="42" t="n">
        <f aca="false">J145*K145</f>
        <v>114.904</v>
      </c>
      <c r="M145" s="43" t="n">
        <f aca="false">H145*16*(1+'Chart of Accounts'!$E$67)</f>
        <v>81.8904</v>
      </c>
    </row>
    <row r="146" customFormat="false" ht="15" hidden="false" customHeight="false" outlineLevel="0" collapsed="false">
      <c r="B146" s="7" t="s">
        <v>643</v>
      </c>
      <c r="C146" s="39" t="n">
        <v>45665</v>
      </c>
      <c r="D146" s="7" t="s">
        <v>305</v>
      </c>
      <c r="E146" s="7" t="s">
        <v>154</v>
      </c>
      <c r="F146" s="7" t="s">
        <v>205</v>
      </c>
      <c r="G146" s="7" t="s">
        <v>505</v>
      </c>
      <c r="H146" s="6" t="n">
        <v>4.38</v>
      </c>
      <c r="I146" s="6" t="n">
        <v>0</v>
      </c>
      <c r="J146" s="40" t="n">
        <f aca="false">H146-I146</f>
        <v>4.38</v>
      </c>
      <c r="K146" s="41" t="n">
        <v>26.5</v>
      </c>
      <c r="L146" s="42" t="n">
        <f aca="false">J146*K146</f>
        <v>116.07</v>
      </c>
      <c r="M146" s="43" t="n">
        <f aca="false">H146*16.36*(1+'Chart of Accounts'!$E$67)</f>
        <v>82.047036</v>
      </c>
    </row>
    <row r="147" customFormat="false" ht="15" hidden="false" customHeight="false" outlineLevel="0" collapsed="false">
      <c r="B147" s="7" t="s">
        <v>644</v>
      </c>
      <c r="C147" s="39" t="n">
        <v>45665</v>
      </c>
      <c r="D147" s="7" t="s">
        <v>309</v>
      </c>
      <c r="E147" s="7" t="s">
        <v>159</v>
      </c>
      <c r="F147" s="7" t="s">
        <v>252</v>
      </c>
      <c r="G147" s="7" t="s">
        <v>502</v>
      </c>
      <c r="H147" s="6" t="n">
        <v>0.92</v>
      </c>
      <c r="I147" s="6" t="n">
        <v>0</v>
      </c>
      <c r="J147" s="40" t="n">
        <f aca="false">H147-I147</f>
        <v>0.92</v>
      </c>
      <c r="K147" s="41" t="n">
        <v>135</v>
      </c>
      <c r="L147" s="42" t="n">
        <f aca="false">J147*K147</f>
        <v>124.2</v>
      </c>
      <c r="M147" s="43" t="n">
        <f aca="false">H147*57.54*(1+'Chart of Accounts'!$E$67)</f>
        <v>60.612636</v>
      </c>
    </row>
    <row r="148" customFormat="false" ht="15" hidden="false" customHeight="false" outlineLevel="0" collapsed="false">
      <c r="B148" s="7" t="s">
        <v>645</v>
      </c>
      <c r="C148" s="39" t="n">
        <v>45665</v>
      </c>
      <c r="D148" s="7" t="s">
        <v>313</v>
      </c>
      <c r="E148" s="7" t="s">
        <v>156</v>
      </c>
      <c r="F148" s="7" t="s">
        <v>184</v>
      </c>
      <c r="G148" s="7" t="s">
        <v>505</v>
      </c>
      <c r="H148" s="6" t="n">
        <v>3.62</v>
      </c>
      <c r="I148" s="6" t="n">
        <v>0</v>
      </c>
      <c r="J148" s="40" t="n">
        <f aca="false">H148-I148</f>
        <v>3.62</v>
      </c>
      <c r="K148" s="41" t="n">
        <v>34</v>
      </c>
      <c r="L148" s="42" t="n">
        <f aca="false">J148*K148</f>
        <v>123.08</v>
      </c>
      <c r="M148" s="43" t="n">
        <f aca="false">H148*17.34*(1+'Chart of Accounts'!$E$67)</f>
        <v>71.872566</v>
      </c>
    </row>
    <row r="149" customFormat="false" ht="15" hidden="false" customHeight="false" outlineLevel="0" collapsed="false">
      <c r="B149" s="7" t="s">
        <v>646</v>
      </c>
      <c r="C149" s="39" t="n">
        <v>45665</v>
      </c>
      <c r="D149" s="7" t="s">
        <v>321</v>
      </c>
      <c r="E149" s="7" t="s">
        <v>154</v>
      </c>
      <c r="F149" s="7" t="s">
        <v>218</v>
      </c>
      <c r="G149" s="7" t="s">
        <v>505</v>
      </c>
      <c r="H149" s="6" t="n">
        <v>3.89</v>
      </c>
      <c r="I149" s="6" t="n">
        <v>0</v>
      </c>
      <c r="J149" s="40" t="n">
        <f aca="false">H149-I149</f>
        <v>3.89</v>
      </c>
      <c r="K149" s="41" t="n">
        <v>26.5</v>
      </c>
      <c r="L149" s="42" t="n">
        <f aca="false">J149*K149</f>
        <v>103.085</v>
      </c>
      <c r="M149" s="43" t="n">
        <f aca="false">H149*16.19*(1+'Chart of Accounts'!$E$67)</f>
        <v>72.1110695</v>
      </c>
    </row>
    <row r="150" customFormat="false" ht="15" hidden="false" customHeight="false" outlineLevel="0" collapsed="false">
      <c r="B150" s="7" t="s">
        <v>647</v>
      </c>
      <c r="C150" s="39" t="n">
        <v>45665</v>
      </c>
      <c r="D150" s="7" t="s">
        <v>329</v>
      </c>
      <c r="E150" s="7" t="s">
        <v>156</v>
      </c>
      <c r="F150" s="7" t="s">
        <v>220</v>
      </c>
      <c r="G150" s="7" t="s">
        <v>505</v>
      </c>
      <c r="H150" s="6" t="n">
        <v>3.93</v>
      </c>
      <c r="I150" s="6" t="n">
        <v>0</v>
      </c>
      <c r="J150" s="40" t="n">
        <f aca="false">H150-I150</f>
        <v>3.93</v>
      </c>
      <c r="K150" s="41" t="n">
        <v>34</v>
      </c>
      <c r="L150" s="42" t="n">
        <f aca="false">J150*K150</f>
        <v>133.62</v>
      </c>
      <c r="M150" s="43" t="n">
        <f aca="false">H150*16.43*(1+'Chart of Accounts'!$E$67)</f>
        <v>73.9325355</v>
      </c>
    </row>
    <row r="151" customFormat="false" ht="15" hidden="false" customHeight="false" outlineLevel="0" collapsed="false">
      <c r="B151" s="7" t="s">
        <v>648</v>
      </c>
      <c r="C151" s="39" t="n">
        <v>45665</v>
      </c>
      <c r="D151" s="7" t="s">
        <v>335</v>
      </c>
      <c r="E151" s="7" t="s">
        <v>154</v>
      </c>
      <c r="F151" s="7" t="s">
        <v>177</v>
      </c>
      <c r="G151" s="7" t="s">
        <v>505</v>
      </c>
      <c r="H151" s="6" t="n">
        <v>3.74</v>
      </c>
      <c r="I151" s="6" t="n">
        <v>0</v>
      </c>
      <c r="J151" s="40" t="n">
        <f aca="false">H151-I151</f>
        <v>3.74</v>
      </c>
      <c r="K151" s="41" t="n">
        <v>26.5</v>
      </c>
      <c r="L151" s="42" t="n">
        <f aca="false">J151*K151</f>
        <v>99.11</v>
      </c>
      <c r="M151" s="43" t="n">
        <f aca="false">H151*14.56*(1+'Chart of Accounts'!$E$67)</f>
        <v>62.350288</v>
      </c>
    </row>
    <row r="152" customFormat="false" ht="15" hidden="false" customHeight="false" outlineLevel="0" collapsed="false">
      <c r="B152" s="7" t="s">
        <v>649</v>
      </c>
      <c r="C152" s="39" t="n">
        <v>45665</v>
      </c>
      <c r="D152" s="7" t="s">
        <v>339</v>
      </c>
      <c r="E152" s="7" t="s">
        <v>154</v>
      </c>
      <c r="F152" s="7" t="s">
        <v>242</v>
      </c>
      <c r="G152" s="7" t="s">
        <v>505</v>
      </c>
      <c r="H152" s="6" t="n">
        <v>3.46</v>
      </c>
      <c r="I152" s="6" t="n">
        <v>0</v>
      </c>
      <c r="J152" s="40" t="n">
        <f aca="false">H152-I152</f>
        <v>3.46</v>
      </c>
      <c r="K152" s="41" t="n">
        <v>26.5</v>
      </c>
      <c r="L152" s="42" t="n">
        <f aca="false">J152*K152</f>
        <v>91.69</v>
      </c>
      <c r="M152" s="43" t="n">
        <f aca="false">H152*17.99*(1+'Chart of Accounts'!$E$67)</f>
        <v>71.270983</v>
      </c>
    </row>
    <row r="153" customFormat="false" ht="15" hidden="false" customHeight="false" outlineLevel="0" collapsed="false">
      <c r="B153" s="7" t="s">
        <v>650</v>
      </c>
      <c r="C153" s="39" t="n">
        <v>45665</v>
      </c>
      <c r="D153" s="7" t="s">
        <v>353</v>
      </c>
      <c r="E153" s="7" t="s">
        <v>154</v>
      </c>
      <c r="F153" s="7" t="s">
        <v>254</v>
      </c>
      <c r="G153" s="7" t="s">
        <v>505</v>
      </c>
      <c r="H153" s="6" t="n">
        <v>3.15</v>
      </c>
      <c r="I153" s="6" t="n">
        <v>0</v>
      </c>
      <c r="J153" s="40" t="n">
        <f aca="false">H153-I153</f>
        <v>3.15</v>
      </c>
      <c r="K153" s="41" t="n">
        <v>26.5</v>
      </c>
      <c r="L153" s="42" t="n">
        <f aca="false">J153*K153</f>
        <v>83.475</v>
      </c>
      <c r="M153" s="43" t="n">
        <f aca="false">H153*17.1*(1+'Chart of Accounts'!$E$67)</f>
        <v>61.675425</v>
      </c>
    </row>
    <row r="154" customFormat="false" ht="15" hidden="false" customHeight="false" outlineLevel="0" collapsed="false">
      <c r="B154" s="7" t="s">
        <v>651</v>
      </c>
      <c r="C154" s="39" t="n">
        <v>45665</v>
      </c>
      <c r="D154" s="7" t="s">
        <v>355</v>
      </c>
      <c r="E154" s="7" t="s">
        <v>154</v>
      </c>
      <c r="F154" s="7" t="s">
        <v>201</v>
      </c>
      <c r="G154" s="7" t="s">
        <v>505</v>
      </c>
      <c r="H154" s="6" t="n">
        <v>3.44</v>
      </c>
      <c r="I154" s="6" t="n">
        <v>0</v>
      </c>
      <c r="J154" s="40" t="n">
        <f aca="false">H154-I154</f>
        <v>3.44</v>
      </c>
      <c r="K154" s="41" t="n">
        <v>26.5</v>
      </c>
      <c r="L154" s="42" t="n">
        <f aca="false">J154*K154</f>
        <v>91.16</v>
      </c>
      <c r="M154" s="43" t="n">
        <f aca="false">H154*15.19*(1+'Chart of Accounts'!$E$67)</f>
        <v>59.830372</v>
      </c>
    </row>
    <row r="155" customFormat="false" ht="15" hidden="false" customHeight="false" outlineLevel="0" collapsed="false">
      <c r="B155" s="7" t="s">
        <v>652</v>
      </c>
      <c r="C155" s="39" t="n">
        <v>45665</v>
      </c>
      <c r="D155" s="7" t="s">
        <v>357</v>
      </c>
      <c r="E155" s="7" t="s">
        <v>154</v>
      </c>
      <c r="F155" s="7" t="s">
        <v>207</v>
      </c>
      <c r="G155" s="7" t="s">
        <v>505</v>
      </c>
      <c r="H155" s="6" t="n">
        <v>3.19</v>
      </c>
      <c r="I155" s="6" t="n">
        <v>0.096</v>
      </c>
      <c r="J155" s="40" t="n">
        <f aca="false">H155-I155</f>
        <v>3.094</v>
      </c>
      <c r="K155" s="41" t="n">
        <v>26.5</v>
      </c>
      <c r="L155" s="42" t="n">
        <f aca="false">J155*K155</f>
        <v>81.991</v>
      </c>
      <c r="M155" s="43" t="n">
        <f aca="false">H155*16.65*(1+'Chart of Accounts'!$E$67)</f>
        <v>60.8149575</v>
      </c>
    </row>
    <row r="156" customFormat="false" ht="15" hidden="false" customHeight="false" outlineLevel="0" collapsed="false">
      <c r="B156" s="7" t="s">
        <v>653</v>
      </c>
      <c r="C156" s="39" t="n">
        <v>45665</v>
      </c>
      <c r="D156" s="7" t="s">
        <v>359</v>
      </c>
      <c r="E156" s="7" t="s">
        <v>156</v>
      </c>
      <c r="F156" s="7" t="s">
        <v>212</v>
      </c>
      <c r="G156" s="7" t="s">
        <v>505</v>
      </c>
      <c r="H156" s="6" t="n">
        <v>4.36</v>
      </c>
      <c r="I156" s="6" t="n">
        <v>0</v>
      </c>
      <c r="J156" s="40" t="n">
        <f aca="false">H156-I156</f>
        <v>4.36</v>
      </c>
      <c r="K156" s="41" t="n">
        <v>34</v>
      </c>
      <c r="L156" s="42" t="n">
        <f aca="false">J156*K156</f>
        <v>148.24</v>
      </c>
      <c r="M156" s="43" t="n">
        <f aca="false">H156*16.71*(1+'Chart of Accounts'!$E$67)</f>
        <v>83.419662</v>
      </c>
    </row>
    <row r="157" customFormat="false" ht="15" hidden="false" customHeight="false" outlineLevel="0" collapsed="false">
      <c r="B157" s="7" t="s">
        <v>654</v>
      </c>
      <c r="C157" s="39" t="n">
        <v>45665</v>
      </c>
      <c r="D157" s="7" t="s">
        <v>371</v>
      </c>
      <c r="E157" s="7" t="s">
        <v>154</v>
      </c>
      <c r="F157" s="7" t="s">
        <v>232</v>
      </c>
      <c r="G157" s="7" t="s">
        <v>505</v>
      </c>
      <c r="H157" s="6" t="n">
        <v>5.1</v>
      </c>
      <c r="I157" s="6" t="n">
        <v>0</v>
      </c>
      <c r="J157" s="40" t="n">
        <f aca="false">H157-I157</f>
        <v>5.1</v>
      </c>
      <c r="K157" s="41" t="n">
        <v>26.5</v>
      </c>
      <c r="L157" s="42" t="n">
        <f aca="false">J157*K157</f>
        <v>135.15</v>
      </c>
      <c r="M157" s="43" t="n">
        <f aca="false">H157*16.17*(1+'Chart of Accounts'!$E$67)</f>
        <v>94.424715</v>
      </c>
    </row>
    <row r="158" customFormat="false" ht="15" hidden="false" customHeight="false" outlineLevel="0" collapsed="false">
      <c r="B158" s="7" t="s">
        <v>655</v>
      </c>
      <c r="C158" s="39" t="n">
        <v>45665</v>
      </c>
      <c r="D158" s="7" t="s">
        <v>379</v>
      </c>
      <c r="E158" s="7" t="s">
        <v>156</v>
      </c>
      <c r="F158" s="7" t="s">
        <v>224</v>
      </c>
      <c r="G158" s="7" t="s">
        <v>505</v>
      </c>
      <c r="H158" s="6" t="n">
        <v>4.48</v>
      </c>
      <c r="I158" s="6" t="n">
        <v>0</v>
      </c>
      <c r="J158" s="40" t="n">
        <f aca="false">H158-I158</f>
        <v>4.48</v>
      </c>
      <c r="K158" s="41" t="n">
        <v>34</v>
      </c>
      <c r="L158" s="42" t="n">
        <f aca="false">J158*K158</f>
        <v>152.32</v>
      </c>
      <c r="M158" s="43" t="n">
        <f aca="false">H158*14.93*(1+'Chart of Accounts'!$E$67)</f>
        <v>76.584928</v>
      </c>
    </row>
    <row r="159" customFormat="false" ht="15" hidden="false" customHeight="false" outlineLevel="0" collapsed="false">
      <c r="B159" s="7" t="s">
        <v>656</v>
      </c>
      <c r="C159" s="39" t="n">
        <v>45665</v>
      </c>
      <c r="D159" s="7" t="s">
        <v>389</v>
      </c>
      <c r="E159" s="7" t="s">
        <v>154</v>
      </c>
      <c r="F159" s="7" t="s">
        <v>246</v>
      </c>
      <c r="G159" s="7" t="s">
        <v>505</v>
      </c>
      <c r="H159" s="6" t="n">
        <v>3.69</v>
      </c>
      <c r="I159" s="6" t="n">
        <v>0</v>
      </c>
      <c r="J159" s="40" t="n">
        <f aca="false">H159-I159</f>
        <v>3.69</v>
      </c>
      <c r="K159" s="41" t="n">
        <v>26.5</v>
      </c>
      <c r="L159" s="42" t="n">
        <f aca="false">J159*K159</f>
        <v>97.785</v>
      </c>
      <c r="M159" s="43" t="n">
        <f aca="false">H159*16.48*(1+'Chart of Accounts'!$E$67)</f>
        <v>69.628824</v>
      </c>
    </row>
    <row r="160" customFormat="false" ht="15" hidden="false" customHeight="false" outlineLevel="0" collapsed="false">
      <c r="B160" s="7" t="s">
        <v>657</v>
      </c>
      <c r="C160" s="39" t="n">
        <v>45665</v>
      </c>
      <c r="D160" s="7" t="s">
        <v>391</v>
      </c>
      <c r="E160" s="7" t="s">
        <v>156</v>
      </c>
      <c r="F160" s="7" t="s">
        <v>222</v>
      </c>
      <c r="G160" s="7" t="s">
        <v>505</v>
      </c>
      <c r="H160" s="6" t="n">
        <v>3.84</v>
      </c>
      <c r="I160" s="6" t="n">
        <v>0</v>
      </c>
      <c r="J160" s="40" t="n">
        <f aca="false">H160-I160</f>
        <v>3.84</v>
      </c>
      <c r="K160" s="41" t="n">
        <v>34</v>
      </c>
      <c r="L160" s="42" t="n">
        <f aca="false">J160*K160</f>
        <v>130.56</v>
      </c>
      <c r="M160" s="43" t="n">
        <f aca="false">H160*17.84*(1+'Chart of Accounts'!$E$67)</f>
        <v>78.438912</v>
      </c>
    </row>
    <row r="161" customFormat="false" ht="15" hidden="false" customHeight="false" outlineLevel="0" collapsed="false">
      <c r="B161" s="7" t="s">
        <v>658</v>
      </c>
      <c r="C161" s="39" t="n">
        <v>45665</v>
      </c>
      <c r="D161" s="7" t="s">
        <v>393</v>
      </c>
      <c r="E161" s="7" t="s">
        <v>157</v>
      </c>
      <c r="F161" s="7" t="s">
        <v>203</v>
      </c>
      <c r="G161" s="7" t="s">
        <v>502</v>
      </c>
      <c r="H161" s="6" t="n">
        <v>1.07</v>
      </c>
      <c r="I161" s="6" t="n">
        <v>0.054</v>
      </c>
      <c r="J161" s="40" t="n">
        <f aca="false">H161-I161</f>
        <v>1.016</v>
      </c>
      <c r="K161" s="41" t="n">
        <v>165</v>
      </c>
      <c r="L161" s="42" t="n">
        <f aca="false">J161*K161</f>
        <v>167.64</v>
      </c>
      <c r="M161" s="43" t="n">
        <f aca="false">H161*49.43*(1+'Chart of Accounts'!$E$67)</f>
        <v>60.5591645</v>
      </c>
    </row>
    <row r="162" customFormat="false" ht="15" hidden="false" customHeight="false" outlineLevel="0" collapsed="false">
      <c r="B162" s="7" t="s">
        <v>659</v>
      </c>
      <c r="C162" s="39" t="n">
        <v>45665</v>
      </c>
      <c r="D162" s="7" t="s">
        <v>395</v>
      </c>
      <c r="E162" s="7" t="s">
        <v>156</v>
      </c>
      <c r="F162" s="7" t="s">
        <v>242</v>
      </c>
      <c r="G162" s="7" t="s">
        <v>505</v>
      </c>
      <c r="H162" s="6" t="n">
        <v>4.29</v>
      </c>
      <c r="I162" s="6" t="n">
        <v>0</v>
      </c>
      <c r="J162" s="40" t="n">
        <f aca="false">H162-I162</f>
        <v>4.29</v>
      </c>
      <c r="K162" s="41" t="n">
        <v>34</v>
      </c>
      <c r="L162" s="42" t="n">
        <f aca="false">J162*K162</f>
        <v>145.86</v>
      </c>
      <c r="M162" s="43" t="n">
        <f aca="false">H162*17.99*(1+'Chart of Accounts'!$E$67)</f>
        <v>88.3677795</v>
      </c>
    </row>
    <row r="163" customFormat="false" ht="15" hidden="false" customHeight="false" outlineLevel="0" collapsed="false">
      <c r="B163" s="7" t="s">
        <v>660</v>
      </c>
      <c r="C163" s="39" t="n">
        <v>45665</v>
      </c>
      <c r="D163" s="7" t="s">
        <v>399</v>
      </c>
      <c r="E163" s="7" t="s">
        <v>154</v>
      </c>
      <c r="F163" s="7" t="s">
        <v>262</v>
      </c>
      <c r="G163" s="7" t="s">
        <v>505</v>
      </c>
      <c r="H163" s="6" t="n">
        <v>3.61</v>
      </c>
      <c r="I163" s="6" t="n">
        <v>0</v>
      </c>
      <c r="J163" s="40" t="n">
        <f aca="false">H163-I163</f>
        <v>3.61</v>
      </c>
      <c r="K163" s="41" t="n">
        <v>26.5</v>
      </c>
      <c r="L163" s="42" t="n">
        <f aca="false">J163*K163</f>
        <v>95.665</v>
      </c>
      <c r="M163" s="43" t="n">
        <f aca="false">H163*16.02*(1+'Chart of Accounts'!$E$67)</f>
        <v>66.217869</v>
      </c>
    </row>
    <row r="164" customFormat="false" ht="15" hidden="false" customHeight="false" outlineLevel="0" collapsed="false">
      <c r="B164" s="7" t="s">
        <v>661</v>
      </c>
      <c r="C164" s="39" t="n">
        <v>45665</v>
      </c>
      <c r="D164" s="7" t="s">
        <v>401</v>
      </c>
      <c r="E164" s="7" t="s">
        <v>156</v>
      </c>
      <c r="F164" s="7" t="s">
        <v>254</v>
      </c>
      <c r="G164" s="7" t="s">
        <v>505</v>
      </c>
      <c r="H164" s="6" t="n">
        <v>4.32</v>
      </c>
      <c r="I164" s="6" t="n">
        <v>0</v>
      </c>
      <c r="J164" s="40" t="n">
        <f aca="false">H164-I164</f>
        <v>4.32</v>
      </c>
      <c r="K164" s="41" t="n">
        <v>34</v>
      </c>
      <c r="L164" s="42" t="n">
        <f aca="false">J164*K164</f>
        <v>146.88</v>
      </c>
      <c r="M164" s="43" t="n">
        <f aca="false">H164*17.1*(1+'Chart of Accounts'!$E$67)</f>
        <v>84.58344</v>
      </c>
    </row>
    <row r="165" customFormat="false" ht="15" hidden="false" customHeight="false" outlineLevel="0" collapsed="false">
      <c r="B165" s="7" t="s">
        <v>662</v>
      </c>
      <c r="C165" s="39" t="n">
        <v>45665</v>
      </c>
      <c r="D165" s="7" t="s">
        <v>409</v>
      </c>
      <c r="E165" s="7" t="s">
        <v>154</v>
      </c>
      <c r="F165" s="7" t="s">
        <v>214</v>
      </c>
      <c r="G165" s="7" t="s">
        <v>505</v>
      </c>
      <c r="H165" s="6" t="n">
        <v>3.53</v>
      </c>
      <c r="I165" s="6" t="n">
        <v>0</v>
      </c>
      <c r="J165" s="40" t="n">
        <f aca="false">H165-I165</f>
        <v>3.53</v>
      </c>
      <c r="K165" s="41" t="n">
        <v>26.5</v>
      </c>
      <c r="L165" s="42" t="n">
        <f aca="false">J165*K165</f>
        <v>93.545</v>
      </c>
      <c r="M165" s="43" t="n">
        <f aca="false">H165*15.67*(1+'Chart of Accounts'!$E$67)</f>
        <v>63.3357895</v>
      </c>
    </row>
    <row r="166" customFormat="false" ht="15" hidden="false" customHeight="false" outlineLevel="0" collapsed="false">
      <c r="B166" s="7" t="s">
        <v>663</v>
      </c>
      <c r="C166" s="39" t="n">
        <v>45665</v>
      </c>
      <c r="D166" s="7" t="s">
        <v>411</v>
      </c>
      <c r="E166" s="7" t="s">
        <v>154</v>
      </c>
      <c r="F166" s="7" t="s">
        <v>177</v>
      </c>
      <c r="G166" s="7" t="s">
        <v>505</v>
      </c>
      <c r="H166" s="6" t="n">
        <v>4.43</v>
      </c>
      <c r="I166" s="6" t="n">
        <v>0</v>
      </c>
      <c r="J166" s="40" t="n">
        <f aca="false">H166-I166</f>
        <v>4.43</v>
      </c>
      <c r="K166" s="41" t="n">
        <v>26.5</v>
      </c>
      <c r="L166" s="42" t="n">
        <f aca="false">J166*K166</f>
        <v>117.395</v>
      </c>
      <c r="M166" s="43" t="n">
        <f aca="false">H166*14.56*(1+'Chart of Accounts'!$E$67)</f>
        <v>73.853416</v>
      </c>
    </row>
    <row r="167" customFormat="false" ht="15" hidden="false" customHeight="false" outlineLevel="0" collapsed="false">
      <c r="B167" s="7" t="s">
        <v>664</v>
      </c>
      <c r="C167" s="39" t="n">
        <v>45666</v>
      </c>
      <c r="D167" s="7" t="s">
        <v>288</v>
      </c>
      <c r="E167" s="7" t="s">
        <v>156</v>
      </c>
      <c r="F167" s="7" t="s">
        <v>191</v>
      </c>
      <c r="G167" s="7" t="s">
        <v>505</v>
      </c>
      <c r="H167" s="6" t="n">
        <v>4.14</v>
      </c>
      <c r="I167" s="6" t="n">
        <v>0</v>
      </c>
      <c r="J167" s="40" t="n">
        <f aca="false">H167-I167</f>
        <v>4.14</v>
      </c>
      <c r="K167" s="41" t="n">
        <v>34</v>
      </c>
      <c r="L167" s="42" t="n">
        <f aca="false">J167*K167</f>
        <v>140.76</v>
      </c>
      <c r="M167" s="43" t="n">
        <f aca="false">H167*16.05*(1+'Chart of Accounts'!$E$67)</f>
        <v>76.081815</v>
      </c>
    </row>
    <row r="168" customFormat="false" ht="15" hidden="false" customHeight="false" outlineLevel="0" collapsed="false">
      <c r="B168" s="7" t="s">
        <v>665</v>
      </c>
      <c r="C168" s="39" t="n">
        <v>45666</v>
      </c>
      <c r="D168" s="7" t="s">
        <v>297</v>
      </c>
      <c r="E168" s="7" t="s">
        <v>156</v>
      </c>
      <c r="F168" s="7" t="s">
        <v>201</v>
      </c>
      <c r="G168" s="7" t="s">
        <v>505</v>
      </c>
      <c r="H168" s="6" t="n">
        <v>3.08</v>
      </c>
      <c r="I168" s="6" t="n">
        <v>0</v>
      </c>
      <c r="J168" s="40" t="n">
        <f aca="false">H168-I168</f>
        <v>3.08</v>
      </c>
      <c r="K168" s="41" t="n">
        <v>34</v>
      </c>
      <c r="L168" s="42" t="n">
        <f aca="false">J168*K168</f>
        <v>104.72</v>
      </c>
      <c r="M168" s="43" t="n">
        <f aca="false">H168*15.19*(1+'Chart of Accounts'!$E$67)</f>
        <v>53.569054</v>
      </c>
    </row>
    <row r="169" customFormat="false" ht="15" hidden="false" customHeight="false" outlineLevel="0" collapsed="false">
      <c r="B169" s="7" t="s">
        <v>666</v>
      </c>
      <c r="C169" s="39" t="n">
        <v>45666</v>
      </c>
      <c r="D169" s="7" t="s">
        <v>311</v>
      </c>
      <c r="E169" s="7" t="s">
        <v>154</v>
      </c>
      <c r="F169" s="7" t="s">
        <v>196</v>
      </c>
      <c r="G169" s="7" t="s">
        <v>505</v>
      </c>
      <c r="H169" s="6" t="n">
        <v>2.72</v>
      </c>
      <c r="I169" s="6" t="n">
        <v>0.082</v>
      </c>
      <c r="J169" s="40" t="n">
        <f aca="false">H169-I169</f>
        <v>2.638</v>
      </c>
      <c r="K169" s="41" t="n">
        <v>26.5</v>
      </c>
      <c r="L169" s="42" t="n">
        <f aca="false">J169*K169</f>
        <v>69.907</v>
      </c>
      <c r="M169" s="43" t="n">
        <f aca="false">H169*15.05*(1+'Chart of Accounts'!$E$67)</f>
        <v>46.87172</v>
      </c>
    </row>
    <row r="170" customFormat="false" ht="15" hidden="false" customHeight="false" outlineLevel="0" collapsed="false">
      <c r="B170" s="7" t="s">
        <v>667</v>
      </c>
      <c r="C170" s="39" t="n">
        <v>45666</v>
      </c>
      <c r="D170" s="7" t="s">
        <v>313</v>
      </c>
      <c r="E170" s="7" t="s">
        <v>156</v>
      </c>
      <c r="F170" s="7" t="s">
        <v>184</v>
      </c>
      <c r="G170" s="7" t="s">
        <v>505</v>
      </c>
      <c r="H170" s="6" t="n">
        <v>4.33</v>
      </c>
      <c r="I170" s="6" t="n">
        <v>0</v>
      </c>
      <c r="J170" s="40" t="n">
        <f aca="false">H170-I170</f>
        <v>4.33</v>
      </c>
      <c r="K170" s="41" t="n">
        <v>34</v>
      </c>
      <c r="L170" s="42" t="n">
        <f aca="false">J170*K170</f>
        <v>147.22</v>
      </c>
      <c r="M170" s="43" t="n">
        <f aca="false">H170*17.34*(1+'Chart of Accounts'!$E$67)</f>
        <v>85.969119</v>
      </c>
    </row>
    <row r="171" customFormat="false" ht="15" hidden="false" customHeight="false" outlineLevel="0" collapsed="false">
      <c r="B171" s="7" t="s">
        <v>668</v>
      </c>
      <c r="C171" s="39" t="n">
        <v>45666</v>
      </c>
      <c r="D171" s="7" t="s">
        <v>317</v>
      </c>
      <c r="E171" s="7" t="s">
        <v>156</v>
      </c>
      <c r="F171" s="7" t="s">
        <v>207</v>
      </c>
      <c r="G171" s="7" t="s">
        <v>505</v>
      </c>
      <c r="H171" s="6" t="n">
        <v>2.82</v>
      </c>
      <c r="I171" s="6" t="n">
        <v>0</v>
      </c>
      <c r="J171" s="40" t="n">
        <f aca="false">H171-I171</f>
        <v>2.82</v>
      </c>
      <c r="K171" s="41" t="n">
        <v>34</v>
      </c>
      <c r="L171" s="42" t="n">
        <f aca="false">J171*K171</f>
        <v>95.88</v>
      </c>
      <c r="M171" s="43" t="n">
        <f aca="false">H171*16.65*(1+'Chart of Accounts'!$E$67)</f>
        <v>53.761185</v>
      </c>
    </row>
    <row r="172" customFormat="false" ht="15" hidden="false" customHeight="false" outlineLevel="0" collapsed="false">
      <c r="B172" s="7" t="s">
        <v>669</v>
      </c>
      <c r="C172" s="39" t="n">
        <v>45666</v>
      </c>
      <c r="D172" s="7" t="s">
        <v>321</v>
      </c>
      <c r="E172" s="7" t="s">
        <v>154</v>
      </c>
      <c r="F172" s="7" t="s">
        <v>218</v>
      </c>
      <c r="G172" s="7" t="s">
        <v>505</v>
      </c>
      <c r="H172" s="6" t="n">
        <v>3.89</v>
      </c>
      <c r="I172" s="6" t="n">
        <v>0</v>
      </c>
      <c r="J172" s="40" t="n">
        <f aca="false">H172-I172</f>
        <v>3.89</v>
      </c>
      <c r="K172" s="41" t="n">
        <v>26.5</v>
      </c>
      <c r="L172" s="42" t="n">
        <f aca="false">J172*K172</f>
        <v>103.085</v>
      </c>
      <c r="M172" s="43" t="n">
        <f aca="false">H172*16.19*(1+'Chart of Accounts'!$E$67)</f>
        <v>72.1110695</v>
      </c>
    </row>
    <row r="173" customFormat="false" ht="15" hidden="false" customHeight="false" outlineLevel="0" collapsed="false">
      <c r="B173" s="7" t="s">
        <v>670</v>
      </c>
      <c r="C173" s="39" t="n">
        <v>45666</v>
      </c>
      <c r="D173" s="7" t="s">
        <v>325</v>
      </c>
      <c r="E173" s="7" t="s">
        <v>154</v>
      </c>
      <c r="F173" s="7" t="s">
        <v>212</v>
      </c>
      <c r="G173" s="7" t="s">
        <v>505</v>
      </c>
      <c r="H173" s="6" t="n">
        <v>2.8</v>
      </c>
      <c r="I173" s="6" t="n">
        <v>0</v>
      </c>
      <c r="J173" s="40" t="n">
        <f aca="false">H173-I173</f>
        <v>2.8</v>
      </c>
      <c r="K173" s="41" t="n">
        <v>26.5</v>
      </c>
      <c r="L173" s="42" t="n">
        <f aca="false">J173*K173</f>
        <v>74.2</v>
      </c>
      <c r="M173" s="43" t="n">
        <f aca="false">H173*16.71*(1+'Chart of Accounts'!$E$67)</f>
        <v>53.57226</v>
      </c>
    </row>
    <row r="174" customFormat="false" ht="15" hidden="false" customHeight="false" outlineLevel="0" collapsed="false">
      <c r="B174" s="7" t="s">
        <v>671</v>
      </c>
      <c r="C174" s="39" t="n">
        <v>45666</v>
      </c>
      <c r="D174" s="7" t="s">
        <v>329</v>
      </c>
      <c r="E174" s="7" t="s">
        <v>156</v>
      </c>
      <c r="F174" s="7" t="s">
        <v>220</v>
      </c>
      <c r="G174" s="7" t="s">
        <v>505</v>
      </c>
      <c r="H174" s="6" t="n">
        <v>4.37</v>
      </c>
      <c r="I174" s="6" t="n">
        <v>0</v>
      </c>
      <c r="J174" s="40" t="n">
        <f aca="false">H174-I174</f>
        <v>4.37</v>
      </c>
      <c r="K174" s="41" t="n">
        <v>34</v>
      </c>
      <c r="L174" s="42" t="n">
        <f aca="false">J174*K174</f>
        <v>148.58</v>
      </c>
      <c r="M174" s="43" t="n">
        <f aca="false">H174*16.43*(1+'Chart of Accounts'!$E$67)</f>
        <v>82.2099695</v>
      </c>
    </row>
    <row r="175" customFormat="false" ht="15" hidden="false" customHeight="false" outlineLevel="0" collapsed="false">
      <c r="B175" s="7" t="s">
        <v>672</v>
      </c>
      <c r="C175" s="39" t="n">
        <v>45666</v>
      </c>
      <c r="D175" s="7" t="s">
        <v>331</v>
      </c>
      <c r="E175" s="7" t="s">
        <v>156</v>
      </c>
      <c r="F175" s="7" t="s">
        <v>224</v>
      </c>
      <c r="G175" s="7" t="s">
        <v>505</v>
      </c>
      <c r="H175" s="6" t="n">
        <v>4.24</v>
      </c>
      <c r="I175" s="6" t="n">
        <v>0</v>
      </c>
      <c r="J175" s="40" t="n">
        <f aca="false">H175-I175</f>
        <v>4.24</v>
      </c>
      <c r="K175" s="41" t="n">
        <v>34</v>
      </c>
      <c r="L175" s="42" t="n">
        <f aca="false">J175*K175</f>
        <v>144.16</v>
      </c>
      <c r="M175" s="43" t="n">
        <f aca="false">H175*14.93*(1+'Chart of Accounts'!$E$67)</f>
        <v>72.482164</v>
      </c>
    </row>
    <row r="176" customFormat="false" ht="15" hidden="false" customHeight="false" outlineLevel="0" collapsed="false">
      <c r="B176" s="7" t="s">
        <v>673</v>
      </c>
      <c r="C176" s="39" t="n">
        <v>45666</v>
      </c>
      <c r="D176" s="7" t="s">
        <v>337</v>
      </c>
      <c r="E176" s="7" t="s">
        <v>154</v>
      </c>
      <c r="F176" s="7" t="s">
        <v>232</v>
      </c>
      <c r="G176" s="7" t="s">
        <v>505</v>
      </c>
      <c r="H176" s="6" t="n">
        <v>3.15</v>
      </c>
      <c r="I176" s="6" t="n">
        <v>0</v>
      </c>
      <c r="J176" s="40" t="n">
        <f aca="false">H176-I176</f>
        <v>3.15</v>
      </c>
      <c r="K176" s="41" t="n">
        <v>26.5</v>
      </c>
      <c r="L176" s="42" t="n">
        <f aca="false">J176*K176</f>
        <v>83.475</v>
      </c>
      <c r="M176" s="43" t="n">
        <f aca="false">H176*16.17*(1+'Chart of Accounts'!$E$67)</f>
        <v>58.3211475</v>
      </c>
    </row>
    <row r="177" customFormat="false" ht="15" hidden="false" customHeight="false" outlineLevel="0" collapsed="false">
      <c r="B177" s="7" t="s">
        <v>674</v>
      </c>
      <c r="C177" s="39" t="n">
        <v>45666</v>
      </c>
      <c r="D177" s="7" t="s">
        <v>341</v>
      </c>
      <c r="E177" s="7" t="s">
        <v>156</v>
      </c>
      <c r="F177" s="7" t="s">
        <v>222</v>
      </c>
      <c r="G177" s="7" t="s">
        <v>505</v>
      </c>
      <c r="H177" s="6" t="n">
        <v>3.1</v>
      </c>
      <c r="I177" s="6" t="n">
        <v>0</v>
      </c>
      <c r="J177" s="40" t="n">
        <f aca="false">H177-I177</f>
        <v>3.1</v>
      </c>
      <c r="K177" s="41" t="n">
        <v>34</v>
      </c>
      <c r="L177" s="42" t="n">
        <f aca="false">J177*K177</f>
        <v>105.4</v>
      </c>
      <c r="M177" s="43" t="n">
        <f aca="false">H177*17.84*(1+'Chart of Accounts'!$E$67)</f>
        <v>63.32308</v>
      </c>
    </row>
    <row r="178" customFormat="false" ht="15" hidden="false" customHeight="false" outlineLevel="0" collapsed="false">
      <c r="B178" s="7" t="s">
        <v>675</v>
      </c>
      <c r="C178" s="39" t="n">
        <v>45666</v>
      </c>
      <c r="D178" s="7" t="s">
        <v>343</v>
      </c>
      <c r="E178" s="7" t="s">
        <v>154</v>
      </c>
      <c r="F178" s="7" t="s">
        <v>262</v>
      </c>
      <c r="G178" s="7" t="s">
        <v>505</v>
      </c>
      <c r="H178" s="6" t="n">
        <v>4.05</v>
      </c>
      <c r="I178" s="6" t="n">
        <v>0</v>
      </c>
      <c r="J178" s="40" t="n">
        <f aca="false">H178-I178</f>
        <v>4.05</v>
      </c>
      <c r="K178" s="41" t="n">
        <v>26.5</v>
      </c>
      <c r="L178" s="42" t="n">
        <f aca="false">J178*K178</f>
        <v>107.325</v>
      </c>
      <c r="M178" s="43" t="n">
        <f aca="false">H178*16.02*(1+'Chart of Accounts'!$E$67)</f>
        <v>74.288745</v>
      </c>
    </row>
    <row r="179" customFormat="false" ht="15" hidden="false" customHeight="false" outlineLevel="0" collapsed="false">
      <c r="B179" s="7" t="s">
        <v>676</v>
      </c>
      <c r="C179" s="39" t="n">
        <v>45666</v>
      </c>
      <c r="D179" s="7" t="s">
        <v>359</v>
      </c>
      <c r="E179" s="7" t="s">
        <v>156</v>
      </c>
      <c r="F179" s="7" t="s">
        <v>212</v>
      </c>
      <c r="G179" s="7" t="s">
        <v>505</v>
      </c>
      <c r="H179" s="6" t="n">
        <v>3.81</v>
      </c>
      <c r="I179" s="6" t="n">
        <v>0</v>
      </c>
      <c r="J179" s="40" t="n">
        <f aca="false">H179-I179</f>
        <v>3.81</v>
      </c>
      <c r="K179" s="41" t="n">
        <v>34</v>
      </c>
      <c r="L179" s="42" t="n">
        <f aca="false">J179*K179</f>
        <v>129.54</v>
      </c>
      <c r="M179" s="43" t="n">
        <f aca="false">H179*16.71*(1+'Chart of Accounts'!$E$67)</f>
        <v>72.8965395</v>
      </c>
    </row>
    <row r="180" customFormat="false" ht="15" hidden="false" customHeight="false" outlineLevel="0" collapsed="false">
      <c r="B180" s="7" t="s">
        <v>677</v>
      </c>
      <c r="C180" s="39" t="n">
        <v>45666</v>
      </c>
      <c r="D180" s="7" t="s">
        <v>363</v>
      </c>
      <c r="E180" s="7" t="s">
        <v>156</v>
      </c>
      <c r="F180" s="7" t="s">
        <v>246</v>
      </c>
      <c r="G180" s="7" t="s">
        <v>505</v>
      </c>
      <c r="H180" s="6" t="n">
        <v>4.2</v>
      </c>
      <c r="I180" s="6" t="n">
        <v>0</v>
      </c>
      <c r="J180" s="40" t="n">
        <f aca="false">H180-I180</f>
        <v>4.2</v>
      </c>
      <c r="K180" s="41" t="n">
        <v>34</v>
      </c>
      <c r="L180" s="42" t="n">
        <f aca="false">J180*K180</f>
        <v>142.8</v>
      </c>
      <c r="M180" s="43" t="n">
        <f aca="false">H180*16.48*(1+'Chart of Accounts'!$E$67)</f>
        <v>79.25232</v>
      </c>
    </row>
    <row r="181" customFormat="false" ht="15" hidden="false" customHeight="false" outlineLevel="0" collapsed="false">
      <c r="B181" s="7" t="s">
        <v>678</v>
      </c>
      <c r="C181" s="39" t="n">
        <v>45666</v>
      </c>
      <c r="D181" s="7" t="s">
        <v>375</v>
      </c>
      <c r="E181" s="7" t="s">
        <v>156</v>
      </c>
      <c r="F181" s="7" t="s">
        <v>196</v>
      </c>
      <c r="G181" s="7" t="s">
        <v>505</v>
      </c>
      <c r="H181" s="6" t="n">
        <v>3.08</v>
      </c>
      <c r="I181" s="6" t="n">
        <v>0</v>
      </c>
      <c r="J181" s="40" t="n">
        <f aca="false">H181-I181</f>
        <v>3.08</v>
      </c>
      <c r="K181" s="41" t="n">
        <v>34</v>
      </c>
      <c r="L181" s="42" t="n">
        <f aca="false">J181*K181</f>
        <v>104.72</v>
      </c>
      <c r="M181" s="43" t="n">
        <f aca="false">H181*15.05*(1+'Chart of Accounts'!$E$67)</f>
        <v>53.07533</v>
      </c>
    </row>
    <row r="182" customFormat="false" ht="15" hidden="false" customHeight="false" outlineLevel="0" collapsed="false">
      <c r="B182" s="7" t="s">
        <v>679</v>
      </c>
      <c r="C182" s="39" t="n">
        <v>45666</v>
      </c>
      <c r="D182" s="7" t="s">
        <v>377</v>
      </c>
      <c r="E182" s="7" t="s">
        <v>154</v>
      </c>
      <c r="F182" s="7" t="s">
        <v>214</v>
      </c>
      <c r="G182" s="7" t="s">
        <v>505</v>
      </c>
      <c r="H182" s="6" t="n">
        <v>3.98</v>
      </c>
      <c r="I182" s="6" t="n">
        <v>0</v>
      </c>
      <c r="J182" s="40" t="n">
        <f aca="false">H182-I182</f>
        <v>3.98</v>
      </c>
      <c r="K182" s="41" t="n">
        <v>26.5</v>
      </c>
      <c r="L182" s="42" t="n">
        <f aca="false">J182*K182</f>
        <v>105.47</v>
      </c>
      <c r="M182" s="43" t="n">
        <f aca="false">H182*15.67*(1+'Chart of Accounts'!$E$67)</f>
        <v>71.409757</v>
      </c>
    </row>
    <row r="183" customFormat="false" ht="15" hidden="false" customHeight="false" outlineLevel="0" collapsed="false">
      <c r="B183" s="7" t="s">
        <v>680</v>
      </c>
      <c r="C183" s="39" t="n">
        <v>45666</v>
      </c>
      <c r="D183" s="7" t="s">
        <v>389</v>
      </c>
      <c r="E183" s="7" t="s">
        <v>154</v>
      </c>
      <c r="F183" s="7" t="s">
        <v>246</v>
      </c>
      <c r="G183" s="7" t="s">
        <v>505</v>
      </c>
      <c r="H183" s="6" t="n">
        <v>3.86</v>
      </c>
      <c r="I183" s="6" t="n">
        <v>0</v>
      </c>
      <c r="J183" s="40" t="n">
        <f aca="false">H183-I183</f>
        <v>3.86</v>
      </c>
      <c r="K183" s="41" t="n">
        <v>26.5</v>
      </c>
      <c r="L183" s="42" t="n">
        <f aca="false">J183*K183</f>
        <v>102.29</v>
      </c>
      <c r="M183" s="43" t="n">
        <f aca="false">H183*16.48*(1+'Chart of Accounts'!$E$67)</f>
        <v>72.836656</v>
      </c>
    </row>
    <row r="184" customFormat="false" ht="15" hidden="false" customHeight="false" outlineLevel="0" collapsed="false">
      <c r="B184" s="7" t="s">
        <v>681</v>
      </c>
      <c r="C184" s="39" t="n">
        <v>45666</v>
      </c>
      <c r="D184" s="7" t="s">
        <v>391</v>
      </c>
      <c r="E184" s="7" t="s">
        <v>156</v>
      </c>
      <c r="F184" s="7" t="s">
        <v>222</v>
      </c>
      <c r="G184" s="7" t="s">
        <v>505</v>
      </c>
      <c r="H184" s="6" t="n">
        <v>4.11</v>
      </c>
      <c r="I184" s="6" t="n">
        <v>0</v>
      </c>
      <c r="J184" s="40" t="n">
        <f aca="false">H184-I184</f>
        <v>4.11</v>
      </c>
      <c r="K184" s="41" t="n">
        <v>34</v>
      </c>
      <c r="L184" s="42" t="n">
        <f aca="false">J184*K184</f>
        <v>139.74</v>
      </c>
      <c r="M184" s="43" t="n">
        <f aca="false">H184*17.84*(1+'Chart of Accounts'!$E$67)</f>
        <v>83.954148</v>
      </c>
    </row>
    <row r="185" customFormat="false" ht="15" hidden="false" customHeight="false" outlineLevel="0" collapsed="false">
      <c r="B185" s="7" t="s">
        <v>682</v>
      </c>
      <c r="C185" s="39" t="n">
        <v>45666</v>
      </c>
      <c r="D185" s="7" t="s">
        <v>395</v>
      </c>
      <c r="E185" s="7" t="s">
        <v>156</v>
      </c>
      <c r="F185" s="7" t="s">
        <v>242</v>
      </c>
      <c r="G185" s="7" t="s">
        <v>505</v>
      </c>
      <c r="H185" s="6" t="n">
        <v>4.12</v>
      </c>
      <c r="I185" s="6" t="n">
        <v>0</v>
      </c>
      <c r="J185" s="40" t="n">
        <f aca="false">H185-I185</f>
        <v>4.12</v>
      </c>
      <c r="K185" s="41" t="n">
        <v>34</v>
      </c>
      <c r="L185" s="42" t="n">
        <f aca="false">J185*K185</f>
        <v>140.08</v>
      </c>
      <c r="M185" s="43" t="n">
        <f aca="false">H185*17.99*(1+'Chart of Accounts'!$E$67)</f>
        <v>84.866026</v>
      </c>
    </row>
    <row r="186" customFormat="false" ht="15" hidden="false" customHeight="false" outlineLevel="0" collapsed="false">
      <c r="B186" s="7" t="s">
        <v>683</v>
      </c>
      <c r="C186" s="39" t="n">
        <v>45666</v>
      </c>
      <c r="D186" s="7" t="s">
        <v>401</v>
      </c>
      <c r="E186" s="7" t="s">
        <v>156</v>
      </c>
      <c r="F186" s="7" t="s">
        <v>254</v>
      </c>
      <c r="G186" s="7" t="s">
        <v>505</v>
      </c>
      <c r="H186" s="6" t="n">
        <v>3.63</v>
      </c>
      <c r="I186" s="6" t="n">
        <v>0</v>
      </c>
      <c r="J186" s="40" t="n">
        <f aca="false">H186-I186</f>
        <v>3.63</v>
      </c>
      <c r="K186" s="41" t="n">
        <v>34</v>
      </c>
      <c r="L186" s="42" t="n">
        <f aca="false">J186*K186</f>
        <v>123.42</v>
      </c>
      <c r="M186" s="43" t="n">
        <f aca="false">H186*17.1*(1+'Chart of Accounts'!$E$67)</f>
        <v>71.073585</v>
      </c>
    </row>
    <row r="187" customFormat="false" ht="15" hidden="false" customHeight="false" outlineLevel="0" collapsed="false">
      <c r="B187" s="7" t="s">
        <v>684</v>
      </c>
      <c r="C187" s="39" t="n">
        <v>45667</v>
      </c>
      <c r="D187" s="7" t="s">
        <v>280</v>
      </c>
      <c r="E187" s="7" t="s">
        <v>157</v>
      </c>
      <c r="F187" s="7" t="s">
        <v>187</v>
      </c>
      <c r="G187" s="7" t="s">
        <v>502</v>
      </c>
      <c r="H187" s="6" t="n">
        <v>0.95</v>
      </c>
      <c r="I187" s="6" t="n">
        <v>0</v>
      </c>
      <c r="J187" s="40" t="n">
        <f aca="false">H187-I187</f>
        <v>0.95</v>
      </c>
      <c r="K187" s="41" t="n">
        <v>165</v>
      </c>
      <c r="L187" s="42" t="n">
        <f aca="false">J187*K187</f>
        <v>156.75</v>
      </c>
      <c r="M187" s="43" t="n">
        <f aca="false">H187*66.48*(1+'Chart of Accounts'!$E$67)</f>
        <v>72.31362</v>
      </c>
    </row>
    <row r="188" customFormat="false" ht="15" hidden="false" customHeight="false" outlineLevel="0" collapsed="false">
      <c r="B188" s="7" t="s">
        <v>685</v>
      </c>
      <c r="C188" s="39" t="n">
        <v>45667</v>
      </c>
      <c r="D188" s="7" t="s">
        <v>288</v>
      </c>
      <c r="E188" s="7" t="s">
        <v>156</v>
      </c>
      <c r="F188" s="7" t="s">
        <v>191</v>
      </c>
      <c r="G188" s="7" t="s">
        <v>505</v>
      </c>
      <c r="H188" s="6" t="n">
        <v>3.9</v>
      </c>
      <c r="I188" s="6" t="n">
        <v>0</v>
      </c>
      <c r="J188" s="40" t="n">
        <f aca="false">H188-I188</f>
        <v>3.9</v>
      </c>
      <c r="K188" s="41" t="n">
        <v>34</v>
      </c>
      <c r="L188" s="42" t="n">
        <f aca="false">J188*K188</f>
        <v>132.6</v>
      </c>
      <c r="M188" s="43" t="n">
        <f aca="false">H188*16.05*(1+'Chart of Accounts'!$E$67)</f>
        <v>71.671275</v>
      </c>
    </row>
    <row r="189" customFormat="false" ht="15" hidden="false" customHeight="false" outlineLevel="0" collapsed="false">
      <c r="B189" s="7" t="s">
        <v>686</v>
      </c>
      <c r="C189" s="39" t="n">
        <v>45667</v>
      </c>
      <c r="D189" s="7" t="s">
        <v>291</v>
      </c>
      <c r="E189" s="7" t="s">
        <v>154</v>
      </c>
      <c r="F189" s="7" t="s">
        <v>194</v>
      </c>
      <c r="G189" s="7" t="s">
        <v>505</v>
      </c>
      <c r="H189" s="6" t="n">
        <v>4.7</v>
      </c>
      <c r="I189" s="6" t="n">
        <v>0</v>
      </c>
      <c r="J189" s="40" t="n">
        <f aca="false">H189-I189</f>
        <v>4.7</v>
      </c>
      <c r="K189" s="41" t="n">
        <v>26.5</v>
      </c>
      <c r="L189" s="42" t="n">
        <f aca="false">J189*K189</f>
        <v>124.55</v>
      </c>
      <c r="M189" s="43" t="n">
        <f aca="false">H189*16*(1+'Chart of Accounts'!$E$67)</f>
        <v>86.104</v>
      </c>
    </row>
    <row r="190" customFormat="false" ht="15" hidden="false" customHeight="false" outlineLevel="0" collapsed="false">
      <c r="B190" s="7" t="s">
        <v>687</v>
      </c>
      <c r="C190" s="39" t="n">
        <v>45667</v>
      </c>
      <c r="D190" s="7" t="s">
        <v>301</v>
      </c>
      <c r="E190" s="7" t="s">
        <v>157</v>
      </c>
      <c r="F190" s="7" t="s">
        <v>209</v>
      </c>
      <c r="G190" s="7" t="s">
        <v>502</v>
      </c>
      <c r="H190" s="6" t="n">
        <v>1.08</v>
      </c>
      <c r="I190" s="6" t="n">
        <v>0</v>
      </c>
      <c r="J190" s="40" t="n">
        <f aca="false">H190-I190</f>
        <v>1.08</v>
      </c>
      <c r="K190" s="41" t="n">
        <v>165</v>
      </c>
      <c r="L190" s="42" t="n">
        <f aca="false">J190*K190</f>
        <v>178.2</v>
      </c>
      <c r="M190" s="43" t="n">
        <f aca="false">H190*73.58*(1+'Chart of Accounts'!$E$67)</f>
        <v>90.989028</v>
      </c>
    </row>
    <row r="191" customFormat="false" ht="15" hidden="false" customHeight="false" outlineLevel="0" collapsed="false">
      <c r="B191" s="7" t="s">
        <v>688</v>
      </c>
      <c r="C191" s="39" t="n">
        <v>45667</v>
      </c>
      <c r="D191" s="7" t="s">
        <v>305</v>
      </c>
      <c r="E191" s="7" t="s">
        <v>154</v>
      </c>
      <c r="F191" s="7" t="s">
        <v>205</v>
      </c>
      <c r="G191" s="7" t="s">
        <v>505</v>
      </c>
      <c r="H191" s="6" t="n">
        <v>4.09</v>
      </c>
      <c r="I191" s="6" t="n">
        <v>0</v>
      </c>
      <c r="J191" s="40" t="n">
        <f aca="false">H191-I191</f>
        <v>4.09</v>
      </c>
      <c r="K191" s="41" t="n">
        <v>26.5</v>
      </c>
      <c r="L191" s="42" t="n">
        <f aca="false">J191*K191</f>
        <v>108.385</v>
      </c>
      <c r="M191" s="43" t="n">
        <f aca="false">H191*16.36*(1+'Chart of Accounts'!$E$67)</f>
        <v>76.614698</v>
      </c>
    </row>
    <row r="192" customFormat="false" ht="15" hidden="false" customHeight="false" outlineLevel="0" collapsed="false">
      <c r="B192" s="7" t="s">
        <v>689</v>
      </c>
      <c r="C192" s="39" t="n">
        <v>45667</v>
      </c>
      <c r="D192" s="7" t="s">
        <v>309</v>
      </c>
      <c r="E192" s="7" t="s">
        <v>159</v>
      </c>
      <c r="F192" s="7" t="s">
        <v>252</v>
      </c>
      <c r="G192" s="7" t="s">
        <v>502</v>
      </c>
      <c r="H192" s="6" t="n">
        <v>1.04</v>
      </c>
      <c r="I192" s="6" t="n">
        <v>0</v>
      </c>
      <c r="J192" s="40" t="n">
        <f aca="false">H192-I192</f>
        <v>1.04</v>
      </c>
      <c r="K192" s="41" t="n">
        <v>135</v>
      </c>
      <c r="L192" s="42" t="n">
        <f aca="false">J192*K192</f>
        <v>140.4</v>
      </c>
      <c r="M192" s="43" t="n">
        <f aca="false">H192*57.54*(1+'Chart of Accounts'!$E$67)</f>
        <v>68.518632</v>
      </c>
    </row>
    <row r="193" customFormat="false" ht="15" hidden="false" customHeight="false" outlineLevel="0" collapsed="false">
      <c r="B193" s="7" t="s">
        <v>690</v>
      </c>
      <c r="C193" s="39" t="n">
        <v>45667</v>
      </c>
      <c r="D193" s="7" t="s">
        <v>313</v>
      </c>
      <c r="E193" s="7" t="s">
        <v>156</v>
      </c>
      <c r="F193" s="7" t="s">
        <v>184</v>
      </c>
      <c r="G193" s="7" t="s">
        <v>505</v>
      </c>
      <c r="H193" s="6" t="n">
        <v>3.79</v>
      </c>
      <c r="I193" s="6" t="n">
        <v>0</v>
      </c>
      <c r="J193" s="40" t="n">
        <f aca="false">H193-I193</f>
        <v>3.79</v>
      </c>
      <c r="K193" s="41" t="n">
        <v>34</v>
      </c>
      <c r="L193" s="42" t="n">
        <f aca="false">J193*K193</f>
        <v>128.86</v>
      </c>
      <c r="M193" s="43" t="n">
        <f aca="false">H193*17.34*(1+'Chart of Accounts'!$E$67)</f>
        <v>75.247797</v>
      </c>
    </row>
    <row r="194" customFormat="false" ht="15" hidden="false" customHeight="false" outlineLevel="0" collapsed="false">
      <c r="B194" s="7" t="s">
        <v>691</v>
      </c>
      <c r="C194" s="39" t="n">
        <v>45667</v>
      </c>
      <c r="D194" s="7" t="s">
        <v>319</v>
      </c>
      <c r="E194" s="7" t="s">
        <v>157</v>
      </c>
      <c r="F194" s="7" t="s">
        <v>234</v>
      </c>
      <c r="G194" s="7" t="s">
        <v>502</v>
      </c>
      <c r="H194" s="6" t="n">
        <v>0.97</v>
      </c>
      <c r="I194" s="6" t="n">
        <v>0</v>
      </c>
      <c r="J194" s="40" t="n">
        <f aca="false">H194-I194</f>
        <v>0.97</v>
      </c>
      <c r="K194" s="41" t="n">
        <v>165</v>
      </c>
      <c r="L194" s="42" t="n">
        <f aca="false">J194*K194</f>
        <v>160.05</v>
      </c>
      <c r="M194" s="43" t="n">
        <f aca="false">H194*89.53*(1+'Chart of Accounts'!$E$67)</f>
        <v>99.4364945</v>
      </c>
    </row>
    <row r="195" customFormat="false" ht="15" hidden="false" customHeight="false" outlineLevel="0" collapsed="false">
      <c r="B195" s="7" t="s">
        <v>692</v>
      </c>
      <c r="C195" s="39" t="n">
        <v>45667</v>
      </c>
      <c r="D195" s="7" t="s">
        <v>321</v>
      </c>
      <c r="E195" s="7" t="s">
        <v>154</v>
      </c>
      <c r="F195" s="7" t="s">
        <v>218</v>
      </c>
      <c r="G195" s="7" t="s">
        <v>505</v>
      </c>
      <c r="H195" s="6" t="n">
        <v>3.65</v>
      </c>
      <c r="I195" s="6" t="n">
        <v>0</v>
      </c>
      <c r="J195" s="40" t="n">
        <f aca="false">H195-I195</f>
        <v>3.65</v>
      </c>
      <c r="K195" s="41" t="n">
        <v>26.5</v>
      </c>
      <c r="L195" s="42" t="n">
        <f aca="false">J195*K195</f>
        <v>96.725</v>
      </c>
      <c r="M195" s="43" t="n">
        <f aca="false">H195*16.19*(1+'Chart of Accounts'!$E$67)</f>
        <v>67.6620575</v>
      </c>
    </row>
    <row r="196" customFormat="false" ht="15" hidden="false" customHeight="false" outlineLevel="0" collapsed="false">
      <c r="B196" s="7" t="s">
        <v>693</v>
      </c>
      <c r="C196" s="39" t="n">
        <v>45667</v>
      </c>
      <c r="D196" s="7" t="s">
        <v>323</v>
      </c>
      <c r="E196" s="7" t="s">
        <v>159</v>
      </c>
      <c r="F196" s="7" t="s">
        <v>266</v>
      </c>
      <c r="G196" s="7" t="s">
        <v>502</v>
      </c>
      <c r="H196" s="6" t="n">
        <v>1.09</v>
      </c>
      <c r="I196" s="6" t="n">
        <v>0.076</v>
      </c>
      <c r="J196" s="40" t="n">
        <f aca="false">H196-I196</f>
        <v>1.014</v>
      </c>
      <c r="K196" s="41" t="n">
        <v>135</v>
      </c>
      <c r="L196" s="42" t="n">
        <f aca="false">J196*K196</f>
        <v>136.89</v>
      </c>
      <c r="M196" s="43" t="n">
        <f aca="false">H196*75.18*(1+'Chart of Accounts'!$E$67)</f>
        <v>93.828399</v>
      </c>
    </row>
    <row r="197" customFormat="false" ht="15" hidden="false" customHeight="false" outlineLevel="0" collapsed="false">
      <c r="B197" s="7" t="s">
        <v>694</v>
      </c>
      <c r="C197" s="39" t="n">
        <v>45667</v>
      </c>
      <c r="D197" s="7" t="s">
        <v>327</v>
      </c>
      <c r="E197" s="7" t="s">
        <v>157</v>
      </c>
      <c r="F197" s="7" t="s">
        <v>228</v>
      </c>
      <c r="G197" s="7" t="s">
        <v>502</v>
      </c>
      <c r="H197" s="6" t="n">
        <v>0.94</v>
      </c>
      <c r="I197" s="6" t="n">
        <v>0</v>
      </c>
      <c r="J197" s="40" t="n">
        <f aca="false">H197-I197</f>
        <v>0.94</v>
      </c>
      <c r="K197" s="41" t="n">
        <v>165</v>
      </c>
      <c r="L197" s="42" t="n">
        <f aca="false">J197*K197</f>
        <v>155.1</v>
      </c>
      <c r="M197" s="43" t="n">
        <f aca="false">H197*51.07*(1+'Chart of Accounts'!$E$67)</f>
        <v>54.966641</v>
      </c>
    </row>
    <row r="198" customFormat="false" ht="15" hidden="false" customHeight="false" outlineLevel="0" collapsed="false">
      <c r="B198" s="7" t="s">
        <v>695</v>
      </c>
      <c r="C198" s="39" t="n">
        <v>45667</v>
      </c>
      <c r="D198" s="7" t="s">
        <v>329</v>
      </c>
      <c r="E198" s="7" t="s">
        <v>156</v>
      </c>
      <c r="F198" s="7" t="s">
        <v>220</v>
      </c>
      <c r="G198" s="7" t="s">
        <v>505</v>
      </c>
      <c r="H198" s="6" t="n">
        <v>3.64</v>
      </c>
      <c r="I198" s="6" t="n">
        <v>0</v>
      </c>
      <c r="J198" s="40" t="n">
        <f aca="false">H198-I198</f>
        <v>3.64</v>
      </c>
      <c r="K198" s="41" t="n">
        <v>34</v>
      </c>
      <c r="L198" s="42" t="n">
        <f aca="false">J198*K198</f>
        <v>123.76</v>
      </c>
      <c r="M198" s="43" t="n">
        <f aca="false">H198*16.43*(1+'Chart of Accounts'!$E$67)</f>
        <v>68.476954</v>
      </c>
    </row>
    <row r="199" customFormat="false" ht="15" hidden="false" customHeight="false" outlineLevel="0" collapsed="false">
      <c r="B199" s="7" t="s">
        <v>696</v>
      </c>
      <c r="C199" s="39" t="n">
        <v>45667</v>
      </c>
      <c r="D199" s="7" t="s">
        <v>335</v>
      </c>
      <c r="E199" s="7" t="s">
        <v>154</v>
      </c>
      <c r="F199" s="7" t="s">
        <v>177</v>
      </c>
      <c r="G199" s="7" t="s">
        <v>505</v>
      </c>
      <c r="H199" s="6" t="n">
        <v>4.23</v>
      </c>
      <c r="I199" s="6" t="n">
        <v>0</v>
      </c>
      <c r="J199" s="40" t="n">
        <f aca="false">H199-I199</f>
        <v>4.23</v>
      </c>
      <c r="K199" s="41" t="n">
        <v>26.5</v>
      </c>
      <c r="L199" s="42" t="n">
        <f aca="false">J199*K199</f>
        <v>112.095</v>
      </c>
      <c r="M199" s="43" t="n">
        <f aca="false">H199*14.56*(1+'Chart of Accounts'!$E$67)</f>
        <v>70.519176</v>
      </c>
    </row>
    <row r="200" customFormat="false" ht="15" hidden="false" customHeight="false" outlineLevel="0" collapsed="false">
      <c r="B200" s="7" t="s">
        <v>697</v>
      </c>
      <c r="C200" s="39" t="n">
        <v>45667</v>
      </c>
      <c r="D200" s="7" t="s">
        <v>339</v>
      </c>
      <c r="E200" s="7" t="s">
        <v>154</v>
      </c>
      <c r="F200" s="7" t="s">
        <v>242</v>
      </c>
      <c r="G200" s="7" t="s">
        <v>505</v>
      </c>
      <c r="H200" s="6" t="n">
        <v>3.37</v>
      </c>
      <c r="I200" s="6" t="n">
        <v>0</v>
      </c>
      <c r="J200" s="40" t="n">
        <f aca="false">H200-I200</f>
        <v>3.37</v>
      </c>
      <c r="K200" s="41" t="n">
        <v>26.5</v>
      </c>
      <c r="L200" s="42" t="n">
        <f aca="false">J200*K200</f>
        <v>89.305</v>
      </c>
      <c r="M200" s="43" t="n">
        <f aca="false">H200*17.99*(1+'Chart of Accounts'!$E$67)</f>
        <v>69.4171135</v>
      </c>
    </row>
    <row r="201" customFormat="false" ht="15" hidden="false" customHeight="false" outlineLevel="0" collapsed="false">
      <c r="B201" s="7" t="s">
        <v>698</v>
      </c>
      <c r="C201" s="39" t="n">
        <v>45667</v>
      </c>
      <c r="D201" s="7" t="s">
        <v>353</v>
      </c>
      <c r="E201" s="7" t="s">
        <v>154</v>
      </c>
      <c r="F201" s="7" t="s">
        <v>254</v>
      </c>
      <c r="G201" s="7" t="s">
        <v>505</v>
      </c>
      <c r="H201" s="6" t="n">
        <v>3.16</v>
      </c>
      <c r="I201" s="6" t="n">
        <v>0</v>
      </c>
      <c r="J201" s="40" t="n">
        <f aca="false">H201-I201</f>
        <v>3.16</v>
      </c>
      <c r="K201" s="41" t="n">
        <v>26.5</v>
      </c>
      <c r="L201" s="42" t="n">
        <f aca="false">J201*K201</f>
        <v>83.74</v>
      </c>
      <c r="M201" s="43" t="n">
        <f aca="false">H201*17.1*(1+'Chart of Accounts'!$E$67)</f>
        <v>61.87122</v>
      </c>
    </row>
    <row r="202" customFormat="false" ht="15" hidden="false" customHeight="false" outlineLevel="0" collapsed="false">
      <c r="B202" s="7" t="s">
        <v>699</v>
      </c>
      <c r="C202" s="39" t="n">
        <v>45667</v>
      </c>
      <c r="D202" s="7" t="s">
        <v>355</v>
      </c>
      <c r="E202" s="7" t="s">
        <v>154</v>
      </c>
      <c r="F202" s="7" t="s">
        <v>201</v>
      </c>
      <c r="G202" s="7" t="s">
        <v>505</v>
      </c>
      <c r="H202" s="6" t="n">
        <v>3.4</v>
      </c>
      <c r="I202" s="6" t="n">
        <v>0</v>
      </c>
      <c r="J202" s="40" t="n">
        <f aca="false">H202-I202</f>
        <v>3.4</v>
      </c>
      <c r="K202" s="41" t="n">
        <v>26.5</v>
      </c>
      <c r="L202" s="42" t="n">
        <f aca="false">J202*K202</f>
        <v>90.1</v>
      </c>
      <c r="M202" s="43" t="n">
        <f aca="false">H202*15.19*(1+'Chart of Accounts'!$E$67)</f>
        <v>59.13467</v>
      </c>
    </row>
    <row r="203" customFormat="false" ht="15" hidden="false" customHeight="false" outlineLevel="0" collapsed="false">
      <c r="B203" s="7" t="s">
        <v>700</v>
      </c>
      <c r="C203" s="39" t="n">
        <v>45667</v>
      </c>
      <c r="D203" s="7" t="s">
        <v>357</v>
      </c>
      <c r="E203" s="7" t="s">
        <v>154</v>
      </c>
      <c r="F203" s="7" t="s">
        <v>207</v>
      </c>
      <c r="G203" s="7" t="s">
        <v>505</v>
      </c>
      <c r="H203" s="6" t="n">
        <v>3.66</v>
      </c>
      <c r="I203" s="6" t="n">
        <v>0</v>
      </c>
      <c r="J203" s="40" t="n">
        <f aca="false">H203-I203</f>
        <v>3.66</v>
      </c>
      <c r="K203" s="41" t="n">
        <v>26.5</v>
      </c>
      <c r="L203" s="42" t="n">
        <f aca="false">J203*K203</f>
        <v>96.99</v>
      </c>
      <c r="M203" s="43" t="n">
        <f aca="false">H203*16.65*(1+'Chart of Accounts'!$E$67)</f>
        <v>69.775155</v>
      </c>
    </row>
    <row r="204" customFormat="false" ht="15" hidden="false" customHeight="false" outlineLevel="0" collapsed="false">
      <c r="B204" s="7" t="s">
        <v>701</v>
      </c>
      <c r="C204" s="39" t="n">
        <v>45667</v>
      </c>
      <c r="D204" s="7" t="s">
        <v>359</v>
      </c>
      <c r="E204" s="7" t="s">
        <v>156</v>
      </c>
      <c r="F204" s="7" t="s">
        <v>212</v>
      </c>
      <c r="G204" s="7" t="s">
        <v>505</v>
      </c>
      <c r="H204" s="6" t="n">
        <v>3.69</v>
      </c>
      <c r="I204" s="6" t="n">
        <v>0</v>
      </c>
      <c r="J204" s="40" t="n">
        <f aca="false">H204-I204</f>
        <v>3.69</v>
      </c>
      <c r="K204" s="41" t="n">
        <v>34</v>
      </c>
      <c r="L204" s="42" t="n">
        <f aca="false">J204*K204</f>
        <v>125.46</v>
      </c>
      <c r="M204" s="43" t="n">
        <f aca="false">H204*16.71*(1+'Chart of Accounts'!$E$67)</f>
        <v>70.6005855</v>
      </c>
    </row>
    <row r="205" customFormat="false" ht="15" hidden="false" customHeight="false" outlineLevel="0" collapsed="false">
      <c r="B205" s="7" t="s">
        <v>702</v>
      </c>
      <c r="C205" s="39" t="n">
        <v>45667</v>
      </c>
      <c r="D205" s="7" t="s">
        <v>361</v>
      </c>
      <c r="E205" s="7" t="s">
        <v>157</v>
      </c>
      <c r="F205" s="7" t="s">
        <v>209</v>
      </c>
      <c r="G205" s="7" t="s">
        <v>502</v>
      </c>
      <c r="H205" s="6" t="n">
        <v>0.97</v>
      </c>
      <c r="I205" s="6" t="n">
        <v>0</v>
      </c>
      <c r="J205" s="40" t="n">
        <f aca="false">H205-I205</f>
        <v>0.97</v>
      </c>
      <c r="K205" s="41" t="n">
        <v>165</v>
      </c>
      <c r="L205" s="42" t="n">
        <f aca="false">J205*K205</f>
        <v>160.05</v>
      </c>
      <c r="M205" s="43" t="n">
        <f aca="false">H205*73.58*(1+'Chart of Accounts'!$E$67)</f>
        <v>81.721627</v>
      </c>
    </row>
    <row r="206" customFormat="false" ht="15" hidden="false" customHeight="false" outlineLevel="0" collapsed="false">
      <c r="B206" s="7" t="s">
        <v>703</v>
      </c>
      <c r="C206" s="39" t="n">
        <v>45667</v>
      </c>
      <c r="D206" s="7" t="s">
        <v>371</v>
      </c>
      <c r="E206" s="7" t="s">
        <v>154</v>
      </c>
      <c r="F206" s="7" t="s">
        <v>232</v>
      </c>
      <c r="G206" s="7" t="s">
        <v>505</v>
      </c>
      <c r="H206" s="6" t="n">
        <v>4.21</v>
      </c>
      <c r="I206" s="6" t="n">
        <v>0.126</v>
      </c>
      <c r="J206" s="40" t="n">
        <f aca="false">H206-I206</f>
        <v>4.084</v>
      </c>
      <c r="K206" s="41" t="n">
        <v>26.5</v>
      </c>
      <c r="L206" s="42" t="n">
        <f aca="false">J206*K206</f>
        <v>108.226</v>
      </c>
      <c r="M206" s="43" t="n">
        <f aca="false">H206*16.17*(1+'Chart of Accounts'!$E$67)</f>
        <v>77.9466765</v>
      </c>
    </row>
    <row r="207" customFormat="false" ht="15" hidden="false" customHeight="false" outlineLevel="0" collapsed="false">
      <c r="B207" s="7" t="s">
        <v>704</v>
      </c>
      <c r="C207" s="39" t="n">
        <v>45667</v>
      </c>
      <c r="D207" s="7" t="s">
        <v>379</v>
      </c>
      <c r="E207" s="7" t="s">
        <v>156</v>
      </c>
      <c r="F207" s="7" t="s">
        <v>224</v>
      </c>
      <c r="G207" s="7" t="s">
        <v>505</v>
      </c>
      <c r="H207" s="6" t="n">
        <v>4.59</v>
      </c>
      <c r="I207" s="6" t="n">
        <v>0</v>
      </c>
      <c r="J207" s="40" t="n">
        <f aca="false">H207-I207</f>
        <v>4.59</v>
      </c>
      <c r="K207" s="41" t="n">
        <v>34</v>
      </c>
      <c r="L207" s="42" t="n">
        <f aca="false">J207*K207</f>
        <v>156.06</v>
      </c>
      <c r="M207" s="43" t="n">
        <f aca="false">H207*14.93*(1+'Chart of Accounts'!$E$67)</f>
        <v>78.4653615</v>
      </c>
    </row>
    <row r="208" customFormat="false" ht="15" hidden="false" customHeight="false" outlineLevel="0" collapsed="false">
      <c r="B208" s="7" t="s">
        <v>705</v>
      </c>
      <c r="C208" s="39" t="n">
        <v>45667</v>
      </c>
      <c r="D208" s="7" t="s">
        <v>381</v>
      </c>
      <c r="E208" s="7" t="s">
        <v>157</v>
      </c>
      <c r="F208" s="7" t="s">
        <v>234</v>
      </c>
      <c r="G208" s="7" t="s">
        <v>502</v>
      </c>
      <c r="H208" s="6" t="n">
        <v>0.99</v>
      </c>
      <c r="I208" s="6" t="n">
        <v>0</v>
      </c>
      <c r="J208" s="40" t="n">
        <f aca="false">H208-I208</f>
        <v>0.99</v>
      </c>
      <c r="K208" s="41" t="n">
        <v>165</v>
      </c>
      <c r="L208" s="42" t="n">
        <f aca="false">J208*K208</f>
        <v>163.35</v>
      </c>
      <c r="M208" s="43" t="n">
        <f aca="false">H208*89.53*(1+'Chart of Accounts'!$E$67)</f>
        <v>101.4867315</v>
      </c>
    </row>
    <row r="209" customFormat="false" ht="15" hidden="false" customHeight="false" outlineLevel="0" collapsed="false">
      <c r="B209" s="7" t="s">
        <v>706</v>
      </c>
      <c r="C209" s="39" t="n">
        <v>45667</v>
      </c>
      <c r="D209" s="7" t="s">
        <v>389</v>
      </c>
      <c r="E209" s="7" t="s">
        <v>154</v>
      </c>
      <c r="F209" s="7" t="s">
        <v>246</v>
      </c>
      <c r="G209" s="7" t="s">
        <v>505</v>
      </c>
      <c r="H209" s="6" t="n">
        <v>3.96</v>
      </c>
      <c r="I209" s="6" t="n">
        <v>0</v>
      </c>
      <c r="J209" s="40" t="n">
        <f aca="false">H209-I209</f>
        <v>3.96</v>
      </c>
      <c r="K209" s="41" t="n">
        <v>26.5</v>
      </c>
      <c r="L209" s="42" t="n">
        <f aca="false">J209*K209</f>
        <v>104.94</v>
      </c>
      <c r="M209" s="43" t="n">
        <f aca="false">H209*16.48*(1+'Chart of Accounts'!$E$67)</f>
        <v>74.723616</v>
      </c>
    </row>
    <row r="210" customFormat="false" ht="15" hidden="false" customHeight="false" outlineLevel="0" collapsed="false">
      <c r="B210" s="7" t="s">
        <v>707</v>
      </c>
      <c r="C210" s="39" t="n">
        <v>45667</v>
      </c>
      <c r="D210" s="7" t="s">
        <v>391</v>
      </c>
      <c r="E210" s="7" t="s">
        <v>156</v>
      </c>
      <c r="F210" s="7" t="s">
        <v>222</v>
      </c>
      <c r="G210" s="7" t="s">
        <v>505</v>
      </c>
      <c r="H210" s="6" t="n">
        <v>4.18</v>
      </c>
      <c r="I210" s="6" t="n">
        <v>0</v>
      </c>
      <c r="J210" s="40" t="n">
        <f aca="false">H210-I210</f>
        <v>4.18</v>
      </c>
      <c r="K210" s="41" t="n">
        <v>34</v>
      </c>
      <c r="L210" s="42" t="n">
        <f aca="false">J210*K210</f>
        <v>142.12</v>
      </c>
      <c r="M210" s="43" t="n">
        <f aca="false">H210*17.84*(1+'Chart of Accounts'!$E$67)</f>
        <v>85.384024</v>
      </c>
    </row>
    <row r="211" customFormat="false" ht="15" hidden="false" customHeight="false" outlineLevel="0" collapsed="false">
      <c r="B211" s="7" t="s">
        <v>708</v>
      </c>
      <c r="C211" s="39" t="n">
        <v>45667</v>
      </c>
      <c r="D211" s="7" t="s">
        <v>395</v>
      </c>
      <c r="E211" s="7" t="s">
        <v>156</v>
      </c>
      <c r="F211" s="7" t="s">
        <v>242</v>
      </c>
      <c r="G211" s="7" t="s">
        <v>505</v>
      </c>
      <c r="H211" s="6" t="n">
        <v>3.84</v>
      </c>
      <c r="I211" s="6" t="n">
        <v>0</v>
      </c>
      <c r="J211" s="40" t="n">
        <f aca="false">H211-I211</f>
        <v>3.84</v>
      </c>
      <c r="K211" s="41" t="n">
        <v>34</v>
      </c>
      <c r="L211" s="42" t="n">
        <f aca="false">J211*K211</f>
        <v>130.56</v>
      </c>
      <c r="M211" s="43" t="n">
        <f aca="false">H211*17.99*(1+'Chart of Accounts'!$E$67)</f>
        <v>79.098432</v>
      </c>
    </row>
    <row r="212" customFormat="false" ht="15" hidden="false" customHeight="false" outlineLevel="0" collapsed="false">
      <c r="B212" s="7" t="s">
        <v>709</v>
      </c>
      <c r="C212" s="39" t="n">
        <v>45667</v>
      </c>
      <c r="D212" s="7" t="s">
        <v>399</v>
      </c>
      <c r="E212" s="7" t="s">
        <v>154</v>
      </c>
      <c r="F212" s="7" t="s">
        <v>262</v>
      </c>
      <c r="G212" s="7" t="s">
        <v>505</v>
      </c>
      <c r="H212" s="6" t="n">
        <v>3.67</v>
      </c>
      <c r="I212" s="6" t="n">
        <v>0</v>
      </c>
      <c r="J212" s="40" t="n">
        <f aca="false">H212-I212</f>
        <v>3.67</v>
      </c>
      <c r="K212" s="41" t="n">
        <v>26.5</v>
      </c>
      <c r="L212" s="42" t="n">
        <f aca="false">J212*K212</f>
        <v>97.255</v>
      </c>
      <c r="M212" s="43" t="n">
        <f aca="false">H212*16.02*(1+'Chart of Accounts'!$E$67)</f>
        <v>67.318443</v>
      </c>
    </row>
    <row r="213" customFormat="false" ht="15" hidden="false" customHeight="false" outlineLevel="0" collapsed="false">
      <c r="B213" s="7" t="s">
        <v>710</v>
      </c>
      <c r="C213" s="39" t="n">
        <v>45667</v>
      </c>
      <c r="D213" s="7" t="s">
        <v>401</v>
      </c>
      <c r="E213" s="7" t="s">
        <v>156</v>
      </c>
      <c r="F213" s="7" t="s">
        <v>254</v>
      </c>
      <c r="G213" s="7" t="s">
        <v>505</v>
      </c>
      <c r="H213" s="6" t="n">
        <v>3.69</v>
      </c>
      <c r="I213" s="6" t="n">
        <v>0</v>
      </c>
      <c r="J213" s="40" t="n">
        <f aca="false">H213-I213</f>
        <v>3.69</v>
      </c>
      <c r="K213" s="41" t="n">
        <v>34</v>
      </c>
      <c r="L213" s="42" t="n">
        <f aca="false">J213*K213</f>
        <v>125.46</v>
      </c>
      <c r="M213" s="43" t="n">
        <f aca="false">H213*17.1*(1+'Chart of Accounts'!$E$67)</f>
        <v>72.248355</v>
      </c>
    </row>
    <row r="214" customFormat="false" ht="15" hidden="false" customHeight="false" outlineLevel="0" collapsed="false">
      <c r="B214" s="7" t="s">
        <v>711</v>
      </c>
      <c r="C214" s="39" t="n">
        <v>45667</v>
      </c>
      <c r="D214" s="7" t="s">
        <v>407</v>
      </c>
      <c r="E214" s="7" t="s">
        <v>159</v>
      </c>
      <c r="F214" s="7" t="s">
        <v>260</v>
      </c>
      <c r="G214" s="7" t="s">
        <v>502</v>
      </c>
      <c r="H214" s="6" t="n">
        <v>1.08</v>
      </c>
      <c r="I214" s="6" t="n">
        <v>0.076</v>
      </c>
      <c r="J214" s="40" t="n">
        <f aca="false">H214-I214</f>
        <v>1.004</v>
      </c>
      <c r="K214" s="41" t="n">
        <v>135</v>
      </c>
      <c r="L214" s="42" t="n">
        <f aca="false">J214*K214</f>
        <v>135.54</v>
      </c>
      <c r="M214" s="43" t="n">
        <f aca="false">H214*79.8*(1+'Chart of Accounts'!$E$67)</f>
        <v>98.68068</v>
      </c>
    </row>
    <row r="215" customFormat="false" ht="15" hidden="false" customHeight="false" outlineLevel="0" collapsed="false">
      <c r="B215" s="7" t="s">
        <v>712</v>
      </c>
      <c r="C215" s="39" t="n">
        <v>45667</v>
      </c>
      <c r="D215" s="7" t="s">
        <v>409</v>
      </c>
      <c r="E215" s="7" t="s">
        <v>154</v>
      </c>
      <c r="F215" s="7" t="s">
        <v>214</v>
      </c>
      <c r="G215" s="7" t="s">
        <v>505</v>
      </c>
      <c r="H215" s="6" t="n">
        <v>3.08</v>
      </c>
      <c r="I215" s="6" t="n">
        <v>0</v>
      </c>
      <c r="J215" s="40" t="n">
        <f aca="false">H215-I215</f>
        <v>3.08</v>
      </c>
      <c r="K215" s="41" t="n">
        <v>26.5</v>
      </c>
      <c r="L215" s="42" t="n">
        <f aca="false">J215*K215</f>
        <v>81.62</v>
      </c>
      <c r="M215" s="43" t="n">
        <f aca="false">H215*15.67*(1+'Chart of Accounts'!$E$67)</f>
        <v>55.261822</v>
      </c>
    </row>
    <row r="216" customFormat="false" ht="15" hidden="false" customHeight="false" outlineLevel="0" collapsed="false">
      <c r="B216" s="7" t="s">
        <v>713</v>
      </c>
      <c r="C216" s="39" t="n">
        <v>45667</v>
      </c>
      <c r="D216" s="7" t="s">
        <v>411</v>
      </c>
      <c r="E216" s="7" t="s">
        <v>154</v>
      </c>
      <c r="F216" s="7" t="s">
        <v>177</v>
      </c>
      <c r="G216" s="7" t="s">
        <v>505</v>
      </c>
      <c r="H216" s="6" t="n">
        <v>4.86</v>
      </c>
      <c r="I216" s="6" t="n">
        <v>0</v>
      </c>
      <c r="J216" s="40" t="n">
        <f aca="false">H216-I216</f>
        <v>4.86</v>
      </c>
      <c r="K216" s="41" t="n">
        <v>26.5</v>
      </c>
      <c r="L216" s="42" t="n">
        <f aca="false">J216*K216</f>
        <v>128.79</v>
      </c>
      <c r="M216" s="43" t="n">
        <f aca="false">H216*14.56*(1+'Chart of Accounts'!$E$67)</f>
        <v>81.022032</v>
      </c>
    </row>
    <row r="217" customFormat="false" ht="15" hidden="false" customHeight="false" outlineLevel="0" collapsed="false">
      <c r="B217" s="7" t="s">
        <v>714</v>
      </c>
      <c r="C217" s="39" t="n">
        <v>45668</v>
      </c>
      <c r="D217" s="7" t="s">
        <v>288</v>
      </c>
      <c r="E217" s="7" t="s">
        <v>156</v>
      </c>
      <c r="F217" s="7" t="s">
        <v>191</v>
      </c>
      <c r="G217" s="7" t="s">
        <v>505</v>
      </c>
      <c r="H217" s="6" t="n">
        <v>3.84</v>
      </c>
      <c r="I217" s="6" t="n">
        <v>0</v>
      </c>
      <c r="J217" s="40" t="n">
        <f aca="false">H217-I217</f>
        <v>3.84</v>
      </c>
      <c r="K217" s="41" t="n">
        <v>34</v>
      </c>
      <c r="L217" s="42" t="n">
        <f aca="false">J217*K217</f>
        <v>130.56</v>
      </c>
      <c r="M217" s="43" t="n">
        <f aca="false">H217*16.05*(1+'Chart of Accounts'!$E$67)</f>
        <v>70.56864</v>
      </c>
    </row>
    <row r="218" customFormat="false" ht="15" hidden="false" customHeight="false" outlineLevel="0" collapsed="false">
      <c r="B218" s="7" t="s">
        <v>715</v>
      </c>
      <c r="C218" s="39" t="n">
        <v>45668</v>
      </c>
      <c r="D218" s="7" t="s">
        <v>321</v>
      </c>
      <c r="E218" s="7" t="s">
        <v>154</v>
      </c>
      <c r="F218" s="7" t="s">
        <v>218</v>
      </c>
      <c r="G218" s="7" t="s">
        <v>505</v>
      </c>
      <c r="H218" s="6" t="n">
        <v>4.23</v>
      </c>
      <c r="I218" s="6" t="n">
        <v>0</v>
      </c>
      <c r="J218" s="40" t="n">
        <f aca="false">H218-I218</f>
        <v>4.23</v>
      </c>
      <c r="K218" s="41" t="n">
        <v>26.5</v>
      </c>
      <c r="L218" s="42" t="n">
        <f aca="false">J218*K218</f>
        <v>112.095</v>
      </c>
      <c r="M218" s="43" t="n">
        <f aca="false">H218*16.19*(1+'Chart of Accounts'!$E$67)</f>
        <v>78.4138365</v>
      </c>
    </row>
    <row r="219" customFormat="false" ht="15" hidden="false" customHeight="false" outlineLevel="0" collapsed="false">
      <c r="B219" s="7" t="s">
        <v>716</v>
      </c>
      <c r="C219" s="39" t="n">
        <v>45668</v>
      </c>
      <c r="D219" s="7" t="s">
        <v>359</v>
      </c>
      <c r="E219" s="7" t="s">
        <v>156</v>
      </c>
      <c r="F219" s="7" t="s">
        <v>212</v>
      </c>
      <c r="G219" s="7" t="s">
        <v>505</v>
      </c>
      <c r="H219" s="6" t="n">
        <v>4.3</v>
      </c>
      <c r="I219" s="6" t="n">
        <v>0</v>
      </c>
      <c r="J219" s="40" t="n">
        <f aca="false">H219-I219</f>
        <v>4.3</v>
      </c>
      <c r="K219" s="41" t="n">
        <v>34</v>
      </c>
      <c r="L219" s="42" t="n">
        <f aca="false">J219*K219</f>
        <v>146.2</v>
      </c>
      <c r="M219" s="43" t="n">
        <f aca="false">H219*16.71*(1+'Chart of Accounts'!$E$67)</f>
        <v>82.271685</v>
      </c>
    </row>
    <row r="220" customFormat="false" ht="15" hidden="false" customHeight="false" outlineLevel="0" collapsed="false">
      <c r="B220" s="7" t="s">
        <v>717</v>
      </c>
      <c r="C220" s="39" t="n">
        <v>45668</v>
      </c>
      <c r="D220" s="7" t="s">
        <v>391</v>
      </c>
      <c r="E220" s="7" t="s">
        <v>156</v>
      </c>
      <c r="F220" s="7" t="s">
        <v>222</v>
      </c>
      <c r="G220" s="7" t="s">
        <v>505</v>
      </c>
      <c r="H220" s="6" t="n">
        <v>3.94</v>
      </c>
      <c r="I220" s="6" t="n">
        <v>0</v>
      </c>
      <c r="J220" s="40" t="n">
        <f aca="false">H220-I220</f>
        <v>3.94</v>
      </c>
      <c r="K220" s="41" t="n">
        <v>34</v>
      </c>
      <c r="L220" s="42" t="n">
        <f aca="false">J220*K220</f>
        <v>133.96</v>
      </c>
      <c r="M220" s="43" t="n">
        <f aca="false">H220*17.84*(1+'Chart of Accounts'!$E$67)</f>
        <v>80.481592</v>
      </c>
    </row>
    <row r="221" customFormat="false" ht="15" hidden="false" customHeight="false" outlineLevel="0" collapsed="false">
      <c r="B221" s="7" t="s">
        <v>718</v>
      </c>
      <c r="C221" s="39" t="n">
        <v>45668</v>
      </c>
      <c r="D221" s="7" t="s">
        <v>395</v>
      </c>
      <c r="E221" s="7" t="s">
        <v>156</v>
      </c>
      <c r="F221" s="7" t="s">
        <v>242</v>
      </c>
      <c r="G221" s="7" t="s">
        <v>505</v>
      </c>
      <c r="H221" s="6" t="n">
        <v>4.26</v>
      </c>
      <c r="I221" s="6" t="n">
        <v>0</v>
      </c>
      <c r="J221" s="40" t="n">
        <f aca="false">H221-I221</f>
        <v>4.26</v>
      </c>
      <c r="K221" s="41" t="n">
        <v>34</v>
      </c>
      <c r="L221" s="42" t="n">
        <f aca="false">J221*K221</f>
        <v>144.84</v>
      </c>
      <c r="M221" s="43" t="n">
        <f aca="false">H221*17.99*(1+'Chart of Accounts'!$E$67)</f>
        <v>87.749823</v>
      </c>
    </row>
    <row r="222" customFormat="false" ht="15" hidden="false" customHeight="false" outlineLevel="0" collapsed="false">
      <c r="B222" s="7" t="s">
        <v>719</v>
      </c>
      <c r="C222" s="39" t="n">
        <v>45668</v>
      </c>
      <c r="D222" s="7" t="s">
        <v>401</v>
      </c>
      <c r="E222" s="7" t="s">
        <v>156</v>
      </c>
      <c r="F222" s="7" t="s">
        <v>254</v>
      </c>
      <c r="G222" s="7" t="s">
        <v>505</v>
      </c>
      <c r="H222" s="6" t="n">
        <v>3.85</v>
      </c>
      <c r="I222" s="6" t="n">
        <v>0</v>
      </c>
      <c r="J222" s="40" t="n">
        <f aca="false">H222-I222</f>
        <v>3.85</v>
      </c>
      <c r="K222" s="41" t="n">
        <v>34</v>
      </c>
      <c r="L222" s="42" t="n">
        <f aca="false">J222*K222</f>
        <v>130.9</v>
      </c>
      <c r="M222" s="43" t="n">
        <f aca="false">H222*17.1*(1+'Chart of Accounts'!$E$67)</f>
        <v>75.381075</v>
      </c>
    </row>
    <row r="223" customFormat="false" ht="15" hidden="false" customHeight="false" outlineLevel="0" collapsed="false">
      <c r="B223" s="7" t="s">
        <v>720</v>
      </c>
      <c r="C223" s="39" t="n">
        <v>45669</v>
      </c>
      <c r="D223" s="7" t="s">
        <v>288</v>
      </c>
      <c r="E223" s="7" t="s">
        <v>156</v>
      </c>
      <c r="F223" s="7" t="s">
        <v>191</v>
      </c>
      <c r="G223" s="7" t="s">
        <v>505</v>
      </c>
      <c r="H223" s="6" t="n">
        <v>4.36</v>
      </c>
      <c r="I223" s="6" t="n">
        <v>0</v>
      </c>
      <c r="J223" s="40" t="n">
        <f aca="false">H223-I223</f>
        <v>4.36</v>
      </c>
      <c r="K223" s="41" t="n">
        <v>34</v>
      </c>
      <c r="L223" s="42" t="n">
        <f aca="false">J223*K223</f>
        <v>148.24</v>
      </c>
      <c r="M223" s="43" t="n">
        <f aca="false">H223*16.05*(1+'Chart of Accounts'!$E$67)</f>
        <v>80.12481</v>
      </c>
    </row>
    <row r="224" customFormat="false" ht="15" hidden="false" customHeight="false" outlineLevel="0" collapsed="false">
      <c r="B224" s="7" t="s">
        <v>721</v>
      </c>
      <c r="C224" s="39" t="n">
        <v>45669</v>
      </c>
      <c r="D224" s="7" t="s">
        <v>321</v>
      </c>
      <c r="E224" s="7" t="s">
        <v>154</v>
      </c>
      <c r="F224" s="7" t="s">
        <v>218</v>
      </c>
      <c r="G224" s="7" t="s">
        <v>505</v>
      </c>
      <c r="H224" s="6" t="n">
        <v>3.67</v>
      </c>
      <c r="I224" s="6" t="n">
        <v>0</v>
      </c>
      <c r="J224" s="40" t="n">
        <f aca="false">H224-I224</f>
        <v>3.67</v>
      </c>
      <c r="K224" s="41" t="n">
        <v>26.5</v>
      </c>
      <c r="L224" s="42" t="n">
        <f aca="false">J224*K224</f>
        <v>97.255</v>
      </c>
      <c r="M224" s="43" t="n">
        <f aca="false">H224*16.19*(1+'Chart of Accounts'!$E$67)</f>
        <v>68.0328085</v>
      </c>
    </row>
    <row r="225" customFormat="false" ht="15" hidden="false" customHeight="false" outlineLevel="0" collapsed="false">
      <c r="B225" s="7" t="s">
        <v>722</v>
      </c>
      <c r="C225" s="39" t="n">
        <v>45669</v>
      </c>
      <c r="D225" s="7" t="s">
        <v>359</v>
      </c>
      <c r="E225" s="7" t="s">
        <v>156</v>
      </c>
      <c r="F225" s="7" t="s">
        <v>212</v>
      </c>
      <c r="G225" s="7" t="s">
        <v>505</v>
      </c>
      <c r="H225" s="6" t="n">
        <v>4.2</v>
      </c>
      <c r="I225" s="6" t="n">
        <v>0</v>
      </c>
      <c r="J225" s="40" t="n">
        <f aca="false">H225-I225</f>
        <v>4.2</v>
      </c>
      <c r="K225" s="41" t="n">
        <v>34</v>
      </c>
      <c r="L225" s="42" t="n">
        <f aca="false">J225*K225</f>
        <v>142.8</v>
      </c>
      <c r="M225" s="43" t="n">
        <f aca="false">H225*16.71*(1+'Chart of Accounts'!$E$67)</f>
        <v>80.35839</v>
      </c>
    </row>
    <row r="226" customFormat="false" ht="15" hidden="false" customHeight="false" outlineLevel="0" collapsed="false">
      <c r="B226" s="7" t="s">
        <v>723</v>
      </c>
      <c r="C226" s="39" t="n">
        <v>45669</v>
      </c>
      <c r="D226" s="7" t="s">
        <v>391</v>
      </c>
      <c r="E226" s="7" t="s">
        <v>156</v>
      </c>
      <c r="F226" s="7" t="s">
        <v>222</v>
      </c>
      <c r="G226" s="7" t="s">
        <v>505</v>
      </c>
      <c r="H226" s="6" t="n">
        <v>3.65</v>
      </c>
      <c r="I226" s="6" t="n">
        <v>0</v>
      </c>
      <c r="J226" s="40" t="n">
        <f aca="false">H226-I226</f>
        <v>3.65</v>
      </c>
      <c r="K226" s="41" t="n">
        <v>34</v>
      </c>
      <c r="L226" s="42" t="n">
        <f aca="false">J226*K226</f>
        <v>124.1</v>
      </c>
      <c r="M226" s="43" t="n">
        <f aca="false">H226*17.84*(1+'Chart of Accounts'!$E$67)</f>
        <v>74.55782</v>
      </c>
    </row>
    <row r="227" customFormat="false" ht="15" hidden="false" customHeight="false" outlineLevel="0" collapsed="false">
      <c r="B227" s="7" t="s">
        <v>724</v>
      </c>
      <c r="C227" s="39" t="n">
        <v>45669</v>
      </c>
      <c r="D227" s="7" t="s">
        <v>395</v>
      </c>
      <c r="E227" s="7" t="s">
        <v>156</v>
      </c>
      <c r="F227" s="7" t="s">
        <v>242</v>
      </c>
      <c r="G227" s="7" t="s">
        <v>505</v>
      </c>
      <c r="H227" s="6" t="n">
        <v>4.14</v>
      </c>
      <c r="I227" s="6" t="n">
        <v>0</v>
      </c>
      <c r="J227" s="40" t="n">
        <f aca="false">H227-I227</f>
        <v>4.14</v>
      </c>
      <c r="K227" s="41" t="n">
        <v>34</v>
      </c>
      <c r="L227" s="42" t="n">
        <f aca="false">J227*K227</f>
        <v>140.76</v>
      </c>
      <c r="M227" s="43" t="n">
        <f aca="false">H227*17.99*(1+'Chart of Accounts'!$E$67)</f>
        <v>85.277997</v>
      </c>
    </row>
    <row r="228" customFormat="false" ht="15" hidden="false" customHeight="false" outlineLevel="0" collapsed="false">
      <c r="B228" s="7" t="s">
        <v>725</v>
      </c>
      <c r="C228" s="39" t="n">
        <v>45669</v>
      </c>
      <c r="D228" s="7" t="s">
        <v>401</v>
      </c>
      <c r="E228" s="7" t="s">
        <v>156</v>
      </c>
      <c r="F228" s="7" t="s">
        <v>254</v>
      </c>
      <c r="G228" s="7" t="s">
        <v>505</v>
      </c>
      <c r="H228" s="6" t="n">
        <v>4.35</v>
      </c>
      <c r="I228" s="6" t="n">
        <v>0</v>
      </c>
      <c r="J228" s="40" t="n">
        <f aca="false">H228-I228</f>
        <v>4.35</v>
      </c>
      <c r="K228" s="41" t="n">
        <v>34</v>
      </c>
      <c r="L228" s="42" t="n">
        <f aca="false">J228*K228</f>
        <v>147.9</v>
      </c>
      <c r="M228" s="43" t="n">
        <f aca="false">H228*17.1*(1+'Chart of Accounts'!$E$67)</f>
        <v>85.170825</v>
      </c>
    </row>
    <row r="229" customFormat="false" ht="15" hidden="false" customHeight="false" outlineLevel="0" collapsed="false">
      <c r="B229" s="7" t="s">
        <v>726</v>
      </c>
      <c r="C229" s="39" t="n">
        <v>45670</v>
      </c>
      <c r="D229" s="7" t="s">
        <v>280</v>
      </c>
      <c r="E229" s="7" t="s">
        <v>157</v>
      </c>
      <c r="F229" s="7" t="s">
        <v>187</v>
      </c>
      <c r="G229" s="7" t="s">
        <v>502</v>
      </c>
      <c r="H229" s="6" t="n">
        <v>0.91</v>
      </c>
      <c r="I229" s="6" t="n">
        <v>0</v>
      </c>
      <c r="J229" s="40" t="n">
        <f aca="false">H229-I229</f>
        <v>0.91</v>
      </c>
      <c r="K229" s="41" t="n">
        <v>165</v>
      </c>
      <c r="L229" s="42" t="n">
        <f aca="false">J229*K229</f>
        <v>150.15</v>
      </c>
      <c r="M229" s="43" t="n">
        <f aca="false">H229*66.48*(1+'Chart of Accounts'!$E$67)</f>
        <v>69.268836</v>
      </c>
    </row>
    <row r="230" customFormat="false" ht="15" hidden="false" customHeight="false" outlineLevel="0" collapsed="false">
      <c r="B230" s="7" t="s">
        <v>727</v>
      </c>
      <c r="C230" s="39" t="n">
        <v>45670</v>
      </c>
      <c r="D230" s="7" t="s">
        <v>288</v>
      </c>
      <c r="E230" s="7" t="s">
        <v>156</v>
      </c>
      <c r="F230" s="7" t="s">
        <v>191</v>
      </c>
      <c r="G230" s="7" t="s">
        <v>505</v>
      </c>
      <c r="H230" s="6" t="n">
        <v>3.68</v>
      </c>
      <c r="I230" s="6" t="n">
        <v>0</v>
      </c>
      <c r="J230" s="40" t="n">
        <f aca="false">H230-I230</f>
        <v>3.68</v>
      </c>
      <c r="K230" s="41" t="n">
        <v>34</v>
      </c>
      <c r="L230" s="42" t="n">
        <f aca="false">J230*K230</f>
        <v>125.12</v>
      </c>
      <c r="M230" s="43" t="n">
        <f aca="false">H230*16.05*(1+'Chart of Accounts'!$E$67)</f>
        <v>67.62828</v>
      </c>
    </row>
    <row r="231" customFormat="false" ht="15" hidden="false" customHeight="false" outlineLevel="0" collapsed="false">
      <c r="B231" s="7" t="s">
        <v>728</v>
      </c>
      <c r="C231" s="39" t="n">
        <v>45670</v>
      </c>
      <c r="D231" s="7" t="s">
        <v>291</v>
      </c>
      <c r="E231" s="7" t="s">
        <v>154</v>
      </c>
      <c r="F231" s="7" t="s">
        <v>194</v>
      </c>
      <c r="G231" s="7" t="s">
        <v>505</v>
      </c>
      <c r="H231" s="6" t="n">
        <v>4.65</v>
      </c>
      <c r="I231" s="6" t="n">
        <v>0</v>
      </c>
      <c r="J231" s="40" t="n">
        <f aca="false">H231-I231</f>
        <v>4.65</v>
      </c>
      <c r="K231" s="41" t="n">
        <v>26.5</v>
      </c>
      <c r="L231" s="42" t="n">
        <f aca="false">J231*K231</f>
        <v>123.225</v>
      </c>
      <c r="M231" s="43" t="n">
        <f aca="false">H231*16*(1+'Chart of Accounts'!$E$67)</f>
        <v>85.188</v>
      </c>
    </row>
    <row r="232" customFormat="false" ht="15" hidden="false" customHeight="false" outlineLevel="0" collapsed="false">
      <c r="B232" s="7" t="s">
        <v>729</v>
      </c>
      <c r="C232" s="39" t="n">
        <v>45670</v>
      </c>
      <c r="D232" s="7" t="s">
        <v>297</v>
      </c>
      <c r="E232" s="7" t="s">
        <v>156</v>
      </c>
      <c r="F232" s="7" t="s">
        <v>201</v>
      </c>
      <c r="G232" s="7" t="s">
        <v>505</v>
      </c>
      <c r="H232" s="6" t="n">
        <v>3.03</v>
      </c>
      <c r="I232" s="6" t="n">
        <v>0</v>
      </c>
      <c r="J232" s="40" t="n">
        <f aca="false">H232-I232</f>
        <v>3.03</v>
      </c>
      <c r="K232" s="41" t="n">
        <v>34</v>
      </c>
      <c r="L232" s="42" t="n">
        <f aca="false">J232*K232</f>
        <v>103.02</v>
      </c>
      <c r="M232" s="43" t="n">
        <f aca="false">H232*15.19*(1+'Chart of Accounts'!$E$67)</f>
        <v>52.6994265</v>
      </c>
    </row>
    <row r="233" customFormat="false" ht="15" hidden="false" customHeight="false" outlineLevel="0" collapsed="false">
      <c r="B233" s="7" t="s">
        <v>730</v>
      </c>
      <c r="C233" s="39" t="n">
        <v>45670</v>
      </c>
      <c r="D233" s="7" t="s">
        <v>305</v>
      </c>
      <c r="E233" s="7" t="s">
        <v>154</v>
      </c>
      <c r="F233" s="7" t="s">
        <v>205</v>
      </c>
      <c r="G233" s="7" t="s">
        <v>505</v>
      </c>
      <c r="H233" s="6" t="n">
        <v>3.78</v>
      </c>
      <c r="I233" s="6" t="n">
        <v>0</v>
      </c>
      <c r="J233" s="40" t="n">
        <f aca="false">H233-I233</f>
        <v>3.78</v>
      </c>
      <c r="K233" s="41" t="n">
        <v>26.5</v>
      </c>
      <c r="L233" s="42" t="n">
        <f aca="false">J233*K233</f>
        <v>100.17</v>
      </c>
      <c r="M233" s="43" t="n">
        <f aca="false">H233*16.36*(1+'Chart of Accounts'!$E$67)</f>
        <v>70.807716</v>
      </c>
    </row>
    <row r="234" customFormat="false" ht="15" hidden="false" customHeight="false" outlineLevel="0" collapsed="false">
      <c r="B234" s="7" t="s">
        <v>731</v>
      </c>
      <c r="C234" s="39" t="n">
        <v>45670</v>
      </c>
      <c r="D234" s="7" t="s">
        <v>309</v>
      </c>
      <c r="E234" s="7" t="s">
        <v>159</v>
      </c>
      <c r="F234" s="7" t="s">
        <v>252</v>
      </c>
      <c r="G234" s="7" t="s">
        <v>502</v>
      </c>
      <c r="H234" s="6" t="n">
        <v>1.05</v>
      </c>
      <c r="I234" s="6" t="n">
        <v>0</v>
      </c>
      <c r="J234" s="40" t="n">
        <f aca="false">H234-I234</f>
        <v>1.05</v>
      </c>
      <c r="K234" s="41" t="n">
        <v>135</v>
      </c>
      <c r="L234" s="42" t="n">
        <f aca="false">J234*K234</f>
        <v>141.75</v>
      </c>
      <c r="M234" s="43" t="n">
        <f aca="false">H234*57.54*(1+'Chart of Accounts'!$E$67)</f>
        <v>69.177465</v>
      </c>
    </row>
    <row r="235" customFormat="false" ht="15" hidden="false" customHeight="false" outlineLevel="0" collapsed="false">
      <c r="B235" s="7" t="s">
        <v>732</v>
      </c>
      <c r="C235" s="39" t="n">
        <v>45670</v>
      </c>
      <c r="D235" s="7" t="s">
        <v>311</v>
      </c>
      <c r="E235" s="7" t="s">
        <v>154</v>
      </c>
      <c r="F235" s="7" t="s">
        <v>196</v>
      </c>
      <c r="G235" s="7" t="s">
        <v>505</v>
      </c>
      <c r="H235" s="6" t="n">
        <v>3.03</v>
      </c>
      <c r="I235" s="6" t="n">
        <v>0</v>
      </c>
      <c r="J235" s="40" t="n">
        <f aca="false">H235-I235</f>
        <v>3.03</v>
      </c>
      <c r="K235" s="41" t="n">
        <v>26.5</v>
      </c>
      <c r="L235" s="42" t="n">
        <f aca="false">J235*K235</f>
        <v>80.295</v>
      </c>
      <c r="M235" s="43" t="n">
        <f aca="false">H235*15.05*(1+'Chart of Accounts'!$E$67)</f>
        <v>52.2137175</v>
      </c>
    </row>
    <row r="236" customFormat="false" ht="15" hidden="false" customHeight="false" outlineLevel="0" collapsed="false">
      <c r="B236" s="7" t="s">
        <v>733</v>
      </c>
      <c r="C236" s="39" t="n">
        <v>45670</v>
      </c>
      <c r="D236" s="7" t="s">
        <v>313</v>
      </c>
      <c r="E236" s="7" t="s">
        <v>156</v>
      </c>
      <c r="F236" s="7" t="s">
        <v>184</v>
      </c>
      <c r="G236" s="7" t="s">
        <v>505</v>
      </c>
      <c r="H236" s="6" t="n">
        <v>4.15</v>
      </c>
      <c r="I236" s="6" t="n">
        <v>0</v>
      </c>
      <c r="J236" s="40" t="n">
        <f aca="false">H236-I236</f>
        <v>4.15</v>
      </c>
      <c r="K236" s="41" t="n">
        <v>34</v>
      </c>
      <c r="L236" s="42" t="n">
        <f aca="false">J236*K236</f>
        <v>141.1</v>
      </c>
      <c r="M236" s="43" t="n">
        <f aca="false">H236*17.34*(1+'Chart of Accounts'!$E$67)</f>
        <v>82.395345</v>
      </c>
    </row>
    <row r="237" customFormat="false" ht="15" hidden="false" customHeight="false" outlineLevel="0" collapsed="false">
      <c r="B237" s="7" t="s">
        <v>734</v>
      </c>
      <c r="C237" s="39" t="n">
        <v>45670</v>
      </c>
      <c r="D237" s="7" t="s">
        <v>317</v>
      </c>
      <c r="E237" s="7" t="s">
        <v>156</v>
      </c>
      <c r="F237" s="7" t="s">
        <v>207</v>
      </c>
      <c r="G237" s="7" t="s">
        <v>505</v>
      </c>
      <c r="H237" s="6" t="n">
        <v>3.16</v>
      </c>
      <c r="I237" s="6" t="n">
        <v>0</v>
      </c>
      <c r="J237" s="40" t="n">
        <f aca="false">H237-I237</f>
        <v>3.16</v>
      </c>
      <c r="K237" s="41" t="n">
        <v>34</v>
      </c>
      <c r="L237" s="42" t="n">
        <f aca="false">J237*K237</f>
        <v>107.44</v>
      </c>
      <c r="M237" s="43" t="n">
        <f aca="false">H237*16.65*(1+'Chart of Accounts'!$E$67)</f>
        <v>60.24303</v>
      </c>
    </row>
    <row r="238" customFormat="false" ht="15" hidden="false" customHeight="false" outlineLevel="0" collapsed="false">
      <c r="B238" s="7" t="s">
        <v>735</v>
      </c>
      <c r="C238" s="39" t="n">
        <v>45670</v>
      </c>
      <c r="D238" s="7" t="s">
        <v>321</v>
      </c>
      <c r="E238" s="7" t="s">
        <v>154</v>
      </c>
      <c r="F238" s="7" t="s">
        <v>218</v>
      </c>
      <c r="G238" s="7" t="s">
        <v>505</v>
      </c>
      <c r="H238" s="6" t="n">
        <v>3.75</v>
      </c>
      <c r="I238" s="6" t="n">
        <v>0</v>
      </c>
      <c r="J238" s="40" t="n">
        <f aca="false">H238-I238</f>
        <v>3.75</v>
      </c>
      <c r="K238" s="41" t="n">
        <v>26.5</v>
      </c>
      <c r="L238" s="42" t="n">
        <f aca="false">J238*K238</f>
        <v>99.375</v>
      </c>
      <c r="M238" s="43" t="n">
        <f aca="false">H238*16.19*(1+'Chart of Accounts'!$E$67)</f>
        <v>69.5158125</v>
      </c>
    </row>
    <row r="239" customFormat="false" ht="15" hidden="false" customHeight="false" outlineLevel="0" collapsed="false">
      <c r="B239" s="7" t="s">
        <v>736</v>
      </c>
      <c r="C239" s="39" t="n">
        <v>45670</v>
      </c>
      <c r="D239" s="7" t="s">
        <v>325</v>
      </c>
      <c r="E239" s="7" t="s">
        <v>154</v>
      </c>
      <c r="F239" s="7" t="s">
        <v>212</v>
      </c>
      <c r="G239" s="7" t="s">
        <v>505</v>
      </c>
      <c r="H239" s="6" t="n">
        <v>2.74</v>
      </c>
      <c r="I239" s="6" t="n">
        <v>0</v>
      </c>
      <c r="J239" s="40" t="n">
        <f aca="false">H239-I239</f>
        <v>2.74</v>
      </c>
      <c r="K239" s="41" t="n">
        <v>26.5</v>
      </c>
      <c r="L239" s="42" t="n">
        <f aca="false">J239*K239</f>
        <v>72.61</v>
      </c>
      <c r="M239" s="43" t="n">
        <f aca="false">H239*16.71*(1+'Chart of Accounts'!$E$67)</f>
        <v>52.424283</v>
      </c>
    </row>
    <row r="240" customFormat="false" ht="15" hidden="false" customHeight="false" outlineLevel="0" collapsed="false">
      <c r="B240" s="7" t="s">
        <v>737</v>
      </c>
      <c r="C240" s="39" t="n">
        <v>45670</v>
      </c>
      <c r="D240" s="7" t="s">
        <v>329</v>
      </c>
      <c r="E240" s="7" t="s">
        <v>156</v>
      </c>
      <c r="F240" s="7" t="s">
        <v>220</v>
      </c>
      <c r="G240" s="7" t="s">
        <v>505</v>
      </c>
      <c r="H240" s="6" t="n">
        <v>3.67</v>
      </c>
      <c r="I240" s="6" t="n">
        <v>0</v>
      </c>
      <c r="J240" s="40" t="n">
        <f aca="false">H240-I240</f>
        <v>3.67</v>
      </c>
      <c r="K240" s="41" t="n">
        <v>34</v>
      </c>
      <c r="L240" s="42" t="n">
        <f aca="false">J240*K240</f>
        <v>124.78</v>
      </c>
      <c r="M240" s="43" t="n">
        <f aca="false">H240*16.43*(1+'Chart of Accounts'!$E$67)</f>
        <v>69.0413245</v>
      </c>
    </row>
    <row r="241" customFormat="false" ht="15" hidden="false" customHeight="false" outlineLevel="0" collapsed="false">
      <c r="B241" s="7" t="s">
        <v>738</v>
      </c>
      <c r="C241" s="39" t="n">
        <v>45670</v>
      </c>
      <c r="D241" s="7" t="s">
        <v>331</v>
      </c>
      <c r="E241" s="7" t="s">
        <v>156</v>
      </c>
      <c r="F241" s="7" t="s">
        <v>224</v>
      </c>
      <c r="G241" s="7" t="s">
        <v>505</v>
      </c>
      <c r="H241" s="6" t="n">
        <v>3.96</v>
      </c>
      <c r="I241" s="6" t="n">
        <v>0</v>
      </c>
      <c r="J241" s="40" t="n">
        <f aca="false">H241-I241</f>
        <v>3.96</v>
      </c>
      <c r="K241" s="41" t="n">
        <v>34</v>
      </c>
      <c r="L241" s="42" t="n">
        <f aca="false">J241*K241</f>
        <v>134.64</v>
      </c>
      <c r="M241" s="43" t="n">
        <f aca="false">H241*14.93*(1+'Chart of Accounts'!$E$67)</f>
        <v>67.695606</v>
      </c>
    </row>
    <row r="242" customFormat="false" ht="15" hidden="false" customHeight="false" outlineLevel="0" collapsed="false">
      <c r="B242" s="7" t="s">
        <v>739</v>
      </c>
      <c r="C242" s="39" t="n">
        <v>45670</v>
      </c>
      <c r="D242" s="7" t="s">
        <v>335</v>
      </c>
      <c r="E242" s="7" t="s">
        <v>154</v>
      </c>
      <c r="F242" s="7" t="s">
        <v>177</v>
      </c>
      <c r="G242" s="7" t="s">
        <v>505</v>
      </c>
      <c r="H242" s="6" t="n">
        <v>3.86</v>
      </c>
      <c r="I242" s="6" t="n">
        <v>0</v>
      </c>
      <c r="J242" s="40" t="n">
        <f aca="false">H242-I242</f>
        <v>3.86</v>
      </c>
      <c r="K242" s="41" t="n">
        <v>26.5</v>
      </c>
      <c r="L242" s="42" t="n">
        <f aca="false">J242*K242</f>
        <v>102.29</v>
      </c>
      <c r="M242" s="43" t="n">
        <f aca="false">H242*14.56*(1+'Chart of Accounts'!$E$67)</f>
        <v>64.350832</v>
      </c>
    </row>
    <row r="243" customFormat="false" ht="15" hidden="false" customHeight="false" outlineLevel="0" collapsed="false">
      <c r="B243" s="7" t="s">
        <v>740</v>
      </c>
      <c r="C243" s="39" t="n">
        <v>45670</v>
      </c>
      <c r="D243" s="7" t="s">
        <v>337</v>
      </c>
      <c r="E243" s="7" t="s">
        <v>154</v>
      </c>
      <c r="F243" s="7" t="s">
        <v>232</v>
      </c>
      <c r="G243" s="7" t="s">
        <v>505</v>
      </c>
      <c r="H243" s="6" t="n">
        <v>3.23</v>
      </c>
      <c r="I243" s="6" t="n">
        <v>0</v>
      </c>
      <c r="J243" s="40" t="n">
        <f aca="false">H243-I243</f>
        <v>3.23</v>
      </c>
      <c r="K243" s="41" t="n">
        <v>26.5</v>
      </c>
      <c r="L243" s="42" t="n">
        <f aca="false">J243*K243</f>
        <v>85.595</v>
      </c>
      <c r="M243" s="43" t="n">
        <f aca="false">H243*16.17*(1+'Chart of Accounts'!$E$67)</f>
        <v>59.8023195</v>
      </c>
    </row>
    <row r="244" customFormat="false" ht="15" hidden="false" customHeight="false" outlineLevel="0" collapsed="false">
      <c r="B244" s="7" t="s">
        <v>741</v>
      </c>
      <c r="C244" s="39" t="n">
        <v>45670</v>
      </c>
      <c r="D244" s="7" t="s">
        <v>339</v>
      </c>
      <c r="E244" s="7" t="s">
        <v>154</v>
      </c>
      <c r="F244" s="7" t="s">
        <v>242</v>
      </c>
      <c r="G244" s="7" t="s">
        <v>505</v>
      </c>
      <c r="H244" s="6" t="n">
        <v>3.03</v>
      </c>
      <c r="I244" s="6" t="n">
        <v>0</v>
      </c>
      <c r="J244" s="40" t="n">
        <f aca="false">H244-I244</f>
        <v>3.03</v>
      </c>
      <c r="K244" s="41" t="n">
        <v>26.5</v>
      </c>
      <c r="L244" s="42" t="n">
        <f aca="false">J244*K244</f>
        <v>80.295</v>
      </c>
      <c r="M244" s="43" t="n">
        <f aca="false">H244*17.99*(1+'Chart of Accounts'!$E$67)</f>
        <v>62.4136065</v>
      </c>
    </row>
    <row r="245" customFormat="false" ht="15" hidden="false" customHeight="false" outlineLevel="0" collapsed="false">
      <c r="B245" s="7" t="s">
        <v>742</v>
      </c>
      <c r="C245" s="39" t="n">
        <v>45670</v>
      </c>
      <c r="D245" s="7" t="s">
        <v>341</v>
      </c>
      <c r="E245" s="7" t="s">
        <v>156</v>
      </c>
      <c r="F245" s="7" t="s">
        <v>222</v>
      </c>
      <c r="G245" s="7" t="s">
        <v>505</v>
      </c>
      <c r="H245" s="6" t="n">
        <v>2.95</v>
      </c>
      <c r="I245" s="6" t="n">
        <v>0</v>
      </c>
      <c r="J245" s="40" t="n">
        <f aca="false">H245-I245</f>
        <v>2.95</v>
      </c>
      <c r="K245" s="41" t="n">
        <v>34</v>
      </c>
      <c r="L245" s="42" t="n">
        <f aca="false">J245*K245</f>
        <v>100.3</v>
      </c>
      <c r="M245" s="43" t="n">
        <f aca="false">H245*17.84*(1+'Chart of Accounts'!$E$67)</f>
        <v>60.25906</v>
      </c>
    </row>
    <row r="246" customFormat="false" ht="15" hidden="false" customHeight="false" outlineLevel="0" collapsed="false">
      <c r="B246" s="7" t="s">
        <v>743</v>
      </c>
      <c r="C246" s="39" t="n">
        <v>45670</v>
      </c>
      <c r="D246" s="7" t="s">
        <v>343</v>
      </c>
      <c r="E246" s="7" t="s">
        <v>154</v>
      </c>
      <c r="F246" s="7" t="s">
        <v>262</v>
      </c>
      <c r="G246" s="7" t="s">
        <v>505</v>
      </c>
      <c r="H246" s="6" t="n">
        <v>3.77</v>
      </c>
      <c r="I246" s="6" t="n">
        <v>0</v>
      </c>
      <c r="J246" s="40" t="n">
        <f aca="false">H246-I246</f>
        <v>3.77</v>
      </c>
      <c r="K246" s="41" t="n">
        <v>26.5</v>
      </c>
      <c r="L246" s="42" t="n">
        <f aca="false">J246*K246</f>
        <v>99.905</v>
      </c>
      <c r="M246" s="43" t="n">
        <f aca="false">H246*16.02*(1+'Chart of Accounts'!$E$67)</f>
        <v>69.152733</v>
      </c>
    </row>
    <row r="247" customFormat="false" ht="15" hidden="false" customHeight="false" outlineLevel="0" collapsed="false">
      <c r="B247" s="7" t="s">
        <v>744</v>
      </c>
      <c r="C247" s="39" t="n">
        <v>45670</v>
      </c>
      <c r="D247" s="7" t="s">
        <v>353</v>
      </c>
      <c r="E247" s="7" t="s">
        <v>154</v>
      </c>
      <c r="F247" s="7" t="s">
        <v>254</v>
      </c>
      <c r="G247" s="7" t="s">
        <v>505</v>
      </c>
      <c r="H247" s="6" t="n">
        <v>3.07</v>
      </c>
      <c r="I247" s="6" t="n">
        <v>0</v>
      </c>
      <c r="J247" s="40" t="n">
        <f aca="false">H247-I247</f>
        <v>3.07</v>
      </c>
      <c r="K247" s="41" t="n">
        <v>26.5</v>
      </c>
      <c r="L247" s="42" t="n">
        <f aca="false">J247*K247</f>
        <v>81.355</v>
      </c>
      <c r="M247" s="43" t="n">
        <f aca="false">H247*17.1*(1+'Chart of Accounts'!$E$67)</f>
        <v>60.109065</v>
      </c>
    </row>
    <row r="248" customFormat="false" ht="15" hidden="false" customHeight="false" outlineLevel="0" collapsed="false">
      <c r="B248" s="7" t="s">
        <v>745</v>
      </c>
      <c r="C248" s="39" t="n">
        <v>45670</v>
      </c>
      <c r="D248" s="7" t="s">
        <v>355</v>
      </c>
      <c r="E248" s="7" t="s">
        <v>154</v>
      </c>
      <c r="F248" s="7" t="s">
        <v>201</v>
      </c>
      <c r="G248" s="7" t="s">
        <v>505</v>
      </c>
      <c r="H248" s="6" t="n">
        <v>3.35</v>
      </c>
      <c r="I248" s="6" t="n">
        <v>0</v>
      </c>
      <c r="J248" s="40" t="n">
        <f aca="false">H248-I248</f>
        <v>3.35</v>
      </c>
      <c r="K248" s="41" t="n">
        <v>26.5</v>
      </c>
      <c r="L248" s="42" t="n">
        <f aca="false">J248*K248</f>
        <v>88.775</v>
      </c>
      <c r="M248" s="43" t="n">
        <f aca="false">H248*15.19*(1+'Chart of Accounts'!$E$67)</f>
        <v>58.2650425</v>
      </c>
    </row>
    <row r="249" customFormat="false" ht="15" hidden="false" customHeight="false" outlineLevel="0" collapsed="false">
      <c r="B249" s="7" t="s">
        <v>746</v>
      </c>
      <c r="C249" s="39" t="n">
        <v>45670</v>
      </c>
      <c r="D249" s="7" t="s">
        <v>357</v>
      </c>
      <c r="E249" s="7" t="s">
        <v>154</v>
      </c>
      <c r="F249" s="7" t="s">
        <v>207</v>
      </c>
      <c r="G249" s="7" t="s">
        <v>505</v>
      </c>
      <c r="H249" s="6" t="n">
        <v>3.66</v>
      </c>
      <c r="I249" s="6" t="n">
        <v>0</v>
      </c>
      <c r="J249" s="40" t="n">
        <f aca="false">H249-I249</f>
        <v>3.66</v>
      </c>
      <c r="K249" s="41" t="n">
        <v>26.5</v>
      </c>
      <c r="L249" s="42" t="n">
        <f aca="false">J249*K249</f>
        <v>96.99</v>
      </c>
      <c r="M249" s="43" t="n">
        <f aca="false">H249*16.65*(1+'Chart of Accounts'!$E$67)</f>
        <v>69.775155</v>
      </c>
    </row>
    <row r="250" customFormat="false" ht="15" hidden="false" customHeight="false" outlineLevel="0" collapsed="false">
      <c r="B250" s="7" t="s">
        <v>747</v>
      </c>
      <c r="C250" s="39" t="n">
        <v>45670</v>
      </c>
      <c r="D250" s="7" t="s">
        <v>359</v>
      </c>
      <c r="E250" s="7" t="s">
        <v>156</v>
      </c>
      <c r="F250" s="7" t="s">
        <v>212</v>
      </c>
      <c r="G250" s="7" t="s">
        <v>505</v>
      </c>
      <c r="H250" s="6" t="n">
        <v>4.36</v>
      </c>
      <c r="I250" s="6" t="n">
        <v>0</v>
      </c>
      <c r="J250" s="40" t="n">
        <f aca="false">H250-I250</f>
        <v>4.36</v>
      </c>
      <c r="K250" s="41" t="n">
        <v>34</v>
      </c>
      <c r="L250" s="42" t="n">
        <f aca="false">J250*K250</f>
        <v>148.24</v>
      </c>
      <c r="M250" s="43" t="n">
        <f aca="false">H250*16.71*(1+'Chart of Accounts'!$E$67)</f>
        <v>83.419662</v>
      </c>
    </row>
    <row r="251" customFormat="false" ht="15" hidden="false" customHeight="false" outlineLevel="0" collapsed="false">
      <c r="B251" s="7" t="s">
        <v>748</v>
      </c>
      <c r="C251" s="39" t="n">
        <v>45670</v>
      </c>
      <c r="D251" s="7" t="s">
        <v>363</v>
      </c>
      <c r="E251" s="7" t="s">
        <v>156</v>
      </c>
      <c r="F251" s="7" t="s">
        <v>246</v>
      </c>
      <c r="G251" s="7" t="s">
        <v>505</v>
      </c>
      <c r="H251" s="6" t="n">
        <v>3.83</v>
      </c>
      <c r="I251" s="6" t="n">
        <v>0</v>
      </c>
      <c r="J251" s="40" t="n">
        <f aca="false">H251-I251</f>
        <v>3.83</v>
      </c>
      <c r="K251" s="41" t="n">
        <v>34</v>
      </c>
      <c r="L251" s="42" t="n">
        <f aca="false">J251*K251</f>
        <v>130.22</v>
      </c>
      <c r="M251" s="43" t="n">
        <f aca="false">H251*16.48*(1+'Chart of Accounts'!$E$67)</f>
        <v>72.270568</v>
      </c>
    </row>
    <row r="252" customFormat="false" ht="15" hidden="false" customHeight="false" outlineLevel="0" collapsed="false">
      <c r="B252" s="7" t="s">
        <v>749</v>
      </c>
      <c r="C252" s="39" t="n">
        <v>45670</v>
      </c>
      <c r="D252" s="7" t="s">
        <v>371</v>
      </c>
      <c r="E252" s="7" t="s">
        <v>154</v>
      </c>
      <c r="F252" s="7" t="s">
        <v>232</v>
      </c>
      <c r="G252" s="7" t="s">
        <v>505</v>
      </c>
      <c r="H252" s="6" t="n">
        <v>4.6</v>
      </c>
      <c r="I252" s="6" t="n">
        <v>0</v>
      </c>
      <c r="J252" s="40" t="n">
        <f aca="false">H252-I252</f>
        <v>4.6</v>
      </c>
      <c r="K252" s="41" t="n">
        <v>26.5</v>
      </c>
      <c r="L252" s="42" t="n">
        <f aca="false">J252*K252</f>
        <v>121.9</v>
      </c>
      <c r="M252" s="43" t="n">
        <f aca="false">H252*16.17*(1+'Chart of Accounts'!$E$67)</f>
        <v>85.16739</v>
      </c>
    </row>
    <row r="253" customFormat="false" ht="15" hidden="false" customHeight="false" outlineLevel="0" collapsed="false">
      <c r="B253" s="7" t="s">
        <v>750</v>
      </c>
      <c r="C253" s="39" t="n">
        <v>45670</v>
      </c>
      <c r="D253" s="7" t="s">
        <v>375</v>
      </c>
      <c r="E253" s="7" t="s">
        <v>156</v>
      </c>
      <c r="F253" s="7" t="s">
        <v>196</v>
      </c>
      <c r="G253" s="7" t="s">
        <v>505</v>
      </c>
      <c r="H253" s="6" t="n">
        <v>2.84</v>
      </c>
      <c r="I253" s="6" t="n">
        <v>0</v>
      </c>
      <c r="J253" s="40" t="n">
        <f aca="false">H253-I253</f>
        <v>2.84</v>
      </c>
      <c r="K253" s="41" t="n">
        <v>34</v>
      </c>
      <c r="L253" s="42" t="n">
        <f aca="false">J253*K253</f>
        <v>96.56</v>
      </c>
      <c r="M253" s="43" t="n">
        <f aca="false">H253*15.05*(1+'Chart of Accounts'!$E$67)</f>
        <v>48.93959</v>
      </c>
    </row>
    <row r="254" customFormat="false" ht="15" hidden="false" customHeight="false" outlineLevel="0" collapsed="false">
      <c r="B254" s="7" t="s">
        <v>751</v>
      </c>
      <c r="C254" s="39" t="n">
        <v>45670</v>
      </c>
      <c r="D254" s="7" t="s">
        <v>377</v>
      </c>
      <c r="E254" s="7" t="s">
        <v>154</v>
      </c>
      <c r="F254" s="7" t="s">
        <v>214</v>
      </c>
      <c r="G254" s="7" t="s">
        <v>505</v>
      </c>
      <c r="H254" s="6" t="n">
        <v>3.88</v>
      </c>
      <c r="I254" s="6" t="n">
        <v>0</v>
      </c>
      <c r="J254" s="40" t="n">
        <f aca="false">H254-I254</f>
        <v>3.88</v>
      </c>
      <c r="K254" s="41" t="n">
        <v>26.5</v>
      </c>
      <c r="L254" s="42" t="n">
        <f aca="false">J254*K254</f>
        <v>102.82</v>
      </c>
      <c r="M254" s="43" t="n">
        <f aca="false">H254*15.67*(1+'Chart of Accounts'!$E$67)</f>
        <v>69.615542</v>
      </c>
    </row>
    <row r="255" customFormat="false" ht="15" hidden="false" customHeight="false" outlineLevel="0" collapsed="false">
      <c r="B255" s="7" t="s">
        <v>752</v>
      </c>
      <c r="C255" s="39" t="n">
        <v>45670</v>
      </c>
      <c r="D255" s="7" t="s">
        <v>379</v>
      </c>
      <c r="E255" s="7" t="s">
        <v>156</v>
      </c>
      <c r="F255" s="7" t="s">
        <v>224</v>
      </c>
      <c r="G255" s="7" t="s">
        <v>505</v>
      </c>
      <c r="H255" s="6" t="n">
        <v>4.61</v>
      </c>
      <c r="I255" s="6" t="n">
        <v>0</v>
      </c>
      <c r="J255" s="40" t="n">
        <f aca="false">H255-I255</f>
        <v>4.61</v>
      </c>
      <c r="K255" s="41" t="n">
        <v>34</v>
      </c>
      <c r="L255" s="42" t="n">
        <f aca="false">J255*K255</f>
        <v>156.74</v>
      </c>
      <c r="M255" s="43" t="n">
        <f aca="false">H255*14.93*(1+'Chart of Accounts'!$E$67)</f>
        <v>78.8072585</v>
      </c>
    </row>
    <row r="256" customFormat="false" ht="15" hidden="false" customHeight="false" outlineLevel="0" collapsed="false">
      <c r="B256" s="7" t="s">
        <v>753</v>
      </c>
      <c r="C256" s="39" t="n">
        <v>45670</v>
      </c>
      <c r="D256" s="7" t="s">
        <v>389</v>
      </c>
      <c r="E256" s="7" t="s">
        <v>154</v>
      </c>
      <c r="F256" s="7" t="s">
        <v>246</v>
      </c>
      <c r="G256" s="7" t="s">
        <v>505</v>
      </c>
      <c r="H256" s="6" t="n">
        <v>3.85</v>
      </c>
      <c r="I256" s="6" t="n">
        <v>0</v>
      </c>
      <c r="J256" s="40" t="n">
        <f aca="false">H256-I256</f>
        <v>3.85</v>
      </c>
      <c r="K256" s="41" t="n">
        <v>26.5</v>
      </c>
      <c r="L256" s="42" t="n">
        <f aca="false">J256*K256</f>
        <v>102.025</v>
      </c>
      <c r="M256" s="43" t="n">
        <f aca="false">H256*16.48*(1+'Chart of Accounts'!$E$67)</f>
        <v>72.64796</v>
      </c>
    </row>
    <row r="257" customFormat="false" ht="15" hidden="false" customHeight="false" outlineLevel="0" collapsed="false">
      <c r="B257" s="7" t="s">
        <v>754</v>
      </c>
      <c r="C257" s="39" t="n">
        <v>45670</v>
      </c>
      <c r="D257" s="7" t="s">
        <v>391</v>
      </c>
      <c r="E257" s="7" t="s">
        <v>156</v>
      </c>
      <c r="F257" s="7" t="s">
        <v>222</v>
      </c>
      <c r="G257" s="7" t="s">
        <v>505</v>
      </c>
      <c r="H257" s="6" t="n">
        <v>4.11</v>
      </c>
      <c r="I257" s="6" t="n">
        <v>0</v>
      </c>
      <c r="J257" s="40" t="n">
        <f aca="false">H257-I257</f>
        <v>4.11</v>
      </c>
      <c r="K257" s="41" t="n">
        <v>34</v>
      </c>
      <c r="L257" s="42" t="n">
        <f aca="false">J257*K257</f>
        <v>139.74</v>
      </c>
      <c r="M257" s="43" t="n">
        <f aca="false">H257*17.84*(1+'Chart of Accounts'!$E$67)</f>
        <v>83.954148</v>
      </c>
    </row>
    <row r="258" customFormat="false" ht="15" hidden="false" customHeight="false" outlineLevel="0" collapsed="false">
      <c r="B258" s="7" t="s">
        <v>755</v>
      </c>
      <c r="C258" s="39" t="n">
        <v>45670</v>
      </c>
      <c r="D258" s="7" t="s">
        <v>395</v>
      </c>
      <c r="E258" s="7" t="s">
        <v>156</v>
      </c>
      <c r="F258" s="7" t="s">
        <v>242</v>
      </c>
      <c r="G258" s="7" t="s">
        <v>505</v>
      </c>
      <c r="H258" s="6" t="n">
        <v>4.37</v>
      </c>
      <c r="I258" s="6" t="n">
        <v>0</v>
      </c>
      <c r="J258" s="40" t="n">
        <f aca="false">H258-I258</f>
        <v>4.37</v>
      </c>
      <c r="K258" s="41" t="n">
        <v>34</v>
      </c>
      <c r="L258" s="42" t="n">
        <f aca="false">J258*K258</f>
        <v>148.58</v>
      </c>
      <c r="M258" s="43" t="n">
        <f aca="false">H258*17.99*(1+'Chart of Accounts'!$E$67)</f>
        <v>90.0156635</v>
      </c>
    </row>
    <row r="259" customFormat="false" ht="15" hidden="false" customHeight="false" outlineLevel="0" collapsed="false">
      <c r="B259" s="7" t="s">
        <v>756</v>
      </c>
      <c r="C259" s="39" t="n">
        <v>45670</v>
      </c>
      <c r="D259" s="7" t="s">
        <v>399</v>
      </c>
      <c r="E259" s="7" t="s">
        <v>154</v>
      </c>
      <c r="F259" s="7" t="s">
        <v>262</v>
      </c>
      <c r="G259" s="7" t="s">
        <v>505</v>
      </c>
      <c r="H259" s="6" t="n">
        <v>3.31</v>
      </c>
      <c r="I259" s="6" t="n">
        <v>0</v>
      </c>
      <c r="J259" s="40" t="n">
        <f aca="false">H259-I259</f>
        <v>3.31</v>
      </c>
      <c r="K259" s="41" t="n">
        <v>26.5</v>
      </c>
      <c r="L259" s="42" t="n">
        <f aca="false">J259*K259</f>
        <v>87.715</v>
      </c>
      <c r="M259" s="43" t="n">
        <f aca="false">H259*16.02*(1+'Chart of Accounts'!$E$67)</f>
        <v>60.714999</v>
      </c>
    </row>
    <row r="260" customFormat="false" ht="15" hidden="false" customHeight="false" outlineLevel="0" collapsed="false">
      <c r="B260" s="7" t="s">
        <v>757</v>
      </c>
      <c r="C260" s="39" t="n">
        <v>45670</v>
      </c>
      <c r="D260" s="7" t="s">
        <v>401</v>
      </c>
      <c r="E260" s="7" t="s">
        <v>156</v>
      </c>
      <c r="F260" s="7" t="s">
        <v>254</v>
      </c>
      <c r="G260" s="7" t="s">
        <v>505</v>
      </c>
      <c r="H260" s="6" t="n">
        <v>3.95</v>
      </c>
      <c r="I260" s="6" t="n">
        <v>0</v>
      </c>
      <c r="J260" s="40" t="n">
        <f aca="false">H260-I260</f>
        <v>3.95</v>
      </c>
      <c r="K260" s="41" t="n">
        <v>34</v>
      </c>
      <c r="L260" s="42" t="n">
        <f aca="false">J260*K260</f>
        <v>134.3</v>
      </c>
      <c r="M260" s="43" t="n">
        <f aca="false">H260*17.1*(1+'Chart of Accounts'!$E$67)</f>
        <v>77.339025</v>
      </c>
    </row>
    <row r="261" customFormat="false" ht="15" hidden="false" customHeight="false" outlineLevel="0" collapsed="false">
      <c r="B261" s="7" t="s">
        <v>758</v>
      </c>
      <c r="C261" s="39" t="n">
        <v>45670</v>
      </c>
      <c r="D261" s="7" t="s">
        <v>409</v>
      </c>
      <c r="E261" s="7" t="s">
        <v>154</v>
      </c>
      <c r="F261" s="7" t="s">
        <v>214</v>
      </c>
      <c r="G261" s="7" t="s">
        <v>505</v>
      </c>
      <c r="H261" s="6" t="n">
        <v>3.27</v>
      </c>
      <c r="I261" s="6" t="n">
        <v>0</v>
      </c>
      <c r="J261" s="40" t="n">
        <f aca="false">H261-I261</f>
        <v>3.27</v>
      </c>
      <c r="K261" s="41" t="n">
        <v>26.5</v>
      </c>
      <c r="L261" s="42" t="n">
        <f aca="false">J261*K261</f>
        <v>86.655</v>
      </c>
      <c r="M261" s="43" t="n">
        <f aca="false">H261*15.67*(1+'Chart of Accounts'!$E$67)</f>
        <v>58.6708305</v>
      </c>
    </row>
    <row r="262" customFormat="false" ht="15" hidden="false" customHeight="false" outlineLevel="0" collapsed="false">
      <c r="B262" s="7" t="s">
        <v>759</v>
      </c>
      <c r="C262" s="39" t="n">
        <v>45670</v>
      </c>
      <c r="D262" s="7" t="s">
        <v>411</v>
      </c>
      <c r="E262" s="7" t="s">
        <v>154</v>
      </c>
      <c r="F262" s="7" t="s">
        <v>177</v>
      </c>
      <c r="G262" s="7" t="s">
        <v>505</v>
      </c>
      <c r="H262" s="6" t="n">
        <v>4.9</v>
      </c>
      <c r="I262" s="6" t="n">
        <v>0</v>
      </c>
      <c r="J262" s="40" t="n">
        <f aca="false">H262-I262</f>
        <v>4.9</v>
      </c>
      <c r="K262" s="41" t="n">
        <v>26.5</v>
      </c>
      <c r="L262" s="42" t="n">
        <f aca="false">J262*K262</f>
        <v>129.85</v>
      </c>
      <c r="M262" s="43" t="n">
        <f aca="false">H262*14.56*(1+'Chart of Accounts'!$E$67)</f>
        <v>81.68888</v>
      </c>
    </row>
    <row r="263" customFormat="false" ht="15" hidden="false" customHeight="false" outlineLevel="0" collapsed="false">
      <c r="B263" s="7" t="s">
        <v>760</v>
      </c>
      <c r="C263" s="39" t="n">
        <v>45671</v>
      </c>
      <c r="D263" s="7" t="s">
        <v>288</v>
      </c>
      <c r="E263" s="7" t="s">
        <v>156</v>
      </c>
      <c r="F263" s="7" t="s">
        <v>191</v>
      </c>
      <c r="G263" s="7" t="s">
        <v>505</v>
      </c>
      <c r="H263" s="6" t="n">
        <v>3.66</v>
      </c>
      <c r="I263" s="6" t="n">
        <v>0</v>
      </c>
      <c r="J263" s="40" t="n">
        <f aca="false">H263-I263</f>
        <v>3.66</v>
      </c>
      <c r="K263" s="41" t="n">
        <v>34</v>
      </c>
      <c r="L263" s="42" t="n">
        <f aca="false">J263*K263</f>
        <v>124.44</v>
      </c>
      <c r="M263" s="43" t="n">
        <f aca="false">H263*16.05*(1+'Chart of Accounts'!$E$67)</f>
        <v>67.260735</v>
      </c>
    </row>
    <row r="264" customFormat="false" ht="15" hidden="false" customHeight="false" outlineLevel="0" collapsed="false">
      <c r="B264" s="7" t="s">
        <v>761</v>
      </c>
      <c r="C264" s="39" t="n">
        <v>45671</v>
      </c>
      <c r="D264" s="7" t="s">
        <v>301</v>
      </c>
      <c r="E264" s="7" t="s">
        <v>157</v>
      </c>
      <c r="F264" s="7" t="s">
        <v>209</v>
      </c>
      <c r="G264" s="7" t="s">
        <v>502</v>
      </c>
      <c r="H264" s="6" t="n">
        <v>0.94</v>
      </c>
      <c r="I264" s="6" t="n">
        <v>0</v>
      </c>
      <c r="J264" s="40" t="n">
        <f aca="false">H264-I264</f>
        <v>0.94</v>
      </c>
      <c r="K264" s="41" t="n">
        <v>165</v>
      </c>
      <c r="L264" s="42" t="n">
        <f aca="false">J264*K264</f>
        <v>155.1</v>
      </c>
      <c r="M264" s="43" t="n">
        <f aca="false">H264*73.58*(1+'Chart of Accounts'!$E$67)</f>
        <v>79.194154</v>
      </c>
    </row>
    <row r="265" customFormat="false" ht="15" hidden="false" customHeight="false" outlineLevel="0" collapsed="false">
      <c r="B265" s="7" t="s">
        <v>762</v>
      </c>
      <c r="C265" s="39" t="n">
        <v>45671</v>
      </c>
      <c r="D265" s="7" t="s">
        <v>313</v>
      </c>
      <c r="E265" s="7" t="s">
        <v>156</v>
      </c>
      <c r="F265" s="7" t="s">
        <v>184</v>
      </c>
      <c r="G265" s="7" t="s">
        <v>505</v>
      </c>
      <c r="H265" s="6" t="n">
        <v>4.37</v>
      </c>
      <c r="I265" s="6" t="n">
        <v>0</v>
      </c>
      <c r="J265" s="40" t="n">
        <f aca="false">H265-I265</f>
        <v>4.37</v>
      </c>
      <c r="K265" s="41" t="n">
        <v>34</v>
      </c>
      <c r="L265" s="42" t="n">
        <f aca="false">J265*K265</f>
        <v>148.58</v>
      </c>
      <c r="M265" s="43" t="n">
        <f aca="false">H265*17.34*(1+'Chart of Accounts'!$E$67)</f>
        <v>86.763291</v>
      </c>
    </row>
    <row r="266" customFormat="false" ht="15" hidden="false" customHeight="false" outlineLevel="0" collapsed="false">
      <c r="B266" s="7" t="s">
        <v>763</v>
      </c>
      <c r="C266" s="39" t="n">
        <v>45671</v>
      </c>
      <c r="D266" s="7" t="s">
        <v>319</v>
      </c>
      <c r="E266" s="7" t="s">
        <v>157</v>
      </c>
      <c r="F266" s="7" t="s">
        <v>234</v>
      </c>
      <c r="G266" s="7" t="s">
        <v>502</v>
      </c>
      <c r="H266" s="6" t="n">
        <v>0.92</v>
      </c>
      <c r="I266" s="6" t="n">
        <v>0</v>
      </c>
      <c r="J266" s="40" t="n">
        <f aca="false">H266-I266</f>
        <v>0.92</v>
      </c>
      <c r="K266" s="41" t="n">
        <v>165</v>
      </c>
      <c r="L266" s="42" t="n">
        <f aca="false">J266*K266</f>
        <v>151.8</v>
      </c>
      <c r="M266" s="43" t="n">
        <f aca="false">H266*89.53*(1+'Chart of Accounts'!$E$67)</f>
        <v>94.310902</v>
      </c>
    </row>
    <row r="267" customFormat="false" ht="15" hidden="false" customHeight="false" outlineLevel="0" collapsed="false">
      <c r="B267" s="7" t="s">
        <v>764</v>
      </c>
      <c r="C267" s="39" t="n">
        <v>45671</v>
      </c>
      <c r="D267" s="7" t="s">
        <v>321</v>
      </c>
      <c r="E267" s="7" t="s">
        <v>154</v>
      </c>
      <c r="F267" s="7" t="s">
        <v>218</v>
      </c>
      <c r="G267" s="7" t="s">
        <v>505</v>
      </c>
      <c r="H267" s="6" t="n">
        <v>3.72</v>
      </c>
      <c r="I267" s="6" t="n">
        <v>0.112</v>
      </c>
      <c r="J267" s="40" t="n">
        <f aca="false">H267-I267</f>
        <v>3.608</v>
      </c>
      <c r="K267" s="41" t="n">
        <v>26.5</v>
      </c>
      <c r="L267" s="42" t="n">
        <f aca="false">J267*K267</f>
        <v>95.612</v>
      </c>
      <c r="M267" s="43" t="n">
        <f aca="false">H267*16.19*(1+'Chart of Accounts'!$E$67)</f>
        <v>68.959686</v>
      </c>
    </row>
    <row r="268" customFormat="false" ht="15" hidden="false" customHeight="false" outlineLevel="0" collapsed="false">
      <c r="B268" s="7" t="s">
        <v>765</v>
      </c>
      <c r="C268" s="39" t="n">
        <v>45671</v>
      </c>
      <c r="D268" s="7" t="s">
        <v>323</v>
      </c>
      <c r="E268" s="7" t="s">
        <v>159</v>
      </c>
      <c r="F268" s="7" t="s">
        <v>266</v>
      </c>
      <c r="G268" s="7" t="s">
        <v>502</v>
      </c>
      <c r="H268" s="6" t="n">
        <v>1.09</v>
      </c>
      <c r="I268" s="6" t="n">
        <v>0</v>
      </c>
      <c r="J268" s="40" t="n">
        <f aca="false">H268-I268</f>
        <v>1.09</v>
      </c>
      <c r="K268" s="41" t="n">
        <v>135</v>
      </c>
      <c r="L268" s="42" t="n">
        <f aca="false">J268*K268</f>
        <v>147.15</v>
      </c>
      <c r="M268" s="43" t="n">
        <f aca="false">H268*75.18*(1+'Chart of Accounts'!$E$67)</f>
        <v>93.828399</v>
      </c>
    </row>
    <row r="269" customFormat="false" ht="15" hidden="false" customHeight="false" outlineLevel="0" collapsed="false">
      <c r="B269" s="7" t="s">
        <v>766</v>
      </c>
      <c r="C269" s="39" t="n">
        <v>45671</v>
      </c>
      <c r="D269" s="7" t="s">
        <v>327</v>
      </c>
      <c r="E269" s="7" t="s">
        <v>157</v>
      </c>
      <c r="F269" s="7" t="s">
        <v>228</v>
      </c>
      <c r="G269" s="7" t="s">
        <v>502</v>
      </c>
      <c r="H269" s="6" t="n">
        <v>1.01</v>
      </c>
      <c r="I269" s="6" t="n">
        <v>0</v>
      </c>
      <c r="J269" s="40" t="n">
        <f aca="false">H269-I269</f>
        <v>1.01</v>
      </c>
      <c r="K269" s="41" t="n">
        <v>165</v>
      </c>
      <c r="L269" s="42" t="n">
        <f aca="false">J269*K269</f>
        <v>166.65</v>
      </c>
      <c r="M269" s="43" t="n">
        <f aca="false">H269*51.07*(1+'Chart of Accounts'!$E$67)</f>
        <v>59.0599015</v>
      </c>
    </row>
    <row r="270" customFormat="false" ht="15" hidden="false" customHeight="false" outlineLevel="0" collapsed="false">
      <c r="B270" s="7" t="s">
        <v>767</v>
      </c>
      <c r="C270" s="39" t="n">
        <v>45671</v>
      </c>
      <c r="D270" s="7" t="s">
        <v>329</v>
      </c>
      <c r="E270" s="7" t="s">
        <v>156</v>
      </c>
      <c r="F270" s="7" t="s">
        <v>220</v>
      </c>
      <c r="G270" s="7" t="s">
        <v>505</v>
      </c>
      <c r="H270" s="6" t="n">
        <v>4.31</v>
      </c>
      <c r="I270" s="6" t="n">
        <v>0</v>
      </c>
      <c r="J270" s="40" t="n">
        <f aca="false">H270-I270</f>
        <v>4.31</v>
      </c>
      <c r="K270" s="41" t="n">
        <v>34</v>
      </c>
      <c r="L270" s="42" t="n">
        <f aca="false">J270*K270</f>
        <v>146.54</v>
      </c>
      <c r="M270" s="43" t="n">
        <f aca="false">H270*16.43*(1+'Chart of Accounts'!$E$67)</f>
        <v>81.0812285</v>
      </c>
    </row>
    <row r="271" customFormat="false" ht="15" hidden="false" customHeight="false" outlineLevel="0" collapsed="false">
      <c r="B271" s="7" t="s">
        <v>768</v>
      </c>
      <c r="C271" s="39" t="n">
        <v>45671</v>
      </c>
      <c r="D271" s="7" t="s">
        <v>359</v>
      </c>
      <c r="E271" s="7" t="s">
        <v>156</v>
      </c>
      <c r="F271" s="7" t="s">
        <v>212</v>
      </c>
      <c r="G271" s="7" t="s">
        <v>505</v>
      </c>
      <c r="H271" s="6" t="n">
        <v>3.86</v>
      </c>
      <c r="I271" s="6" t="n">
        <v>0</v>
      </c>
      <c r="J271" s="40" t="n">
        <f aca="false">H271-I271</f>
        <v>3.86</v>
      </c>
      <c r="K271" s="41" t="n">
        <v>34</v>
      </c>
      <c r="L271" s="42" t="n">
        <f aca="false">J271*K271</f>
        <v>131.24</v>
      </c>
      <c r="M271" s="43" t="n">
        <f aca="false">H271*16.71*(1+'Chart of Accounts'!$E$67)</f>
        <v>73.853187</v>
      </c>
    </row>
    <row r="272" customFormat="false" ht="15" hidden="false" customHeight="false" outlineLevel="0" collapsed="false">
      <c r="B272" s="7" t="s">
        <v>769</v>
      </c>
      <c r="C272" s="39" t="n">
        <v>45671</v>
      </c>
      <c r="D272" s="7" t="s">
        <v>361</v>
      </c>
      <c r="E272" s="7" t="s">
        <v>157</v>
      </c>
      <c r="F272" s="7" t="s">
        <v>209</v>
      </c>
      <c r="G272" s="7" t="s">
        <v>502</v>
      </c>
      <c r="H272" s="6" t="n">
        <v>0.99</v>
      </c>
      <c r="I272" s="6" t="n">
        <v>0</v>
      </c>
      <c r="J272" s="40" t="n">
        <f aca="false">H272-I272</f>
        <v>0.99</v>
      </c>
      <c r="K272" s="41" t="n">
        <v>165</v>
      </c>
      <c r="L272" s="42" t="n">
        <f aca="false">J272*K272</f>
        <v>163.35</v>
      </c>
      <c r="M272" s="43" t="n">
        <f aca="false">H272*73.58*(1+'Chart of Accounts'!$E$67)</f>
        <v>83.406609</v>
      </c>
    </row>
    <row r="273" customFormat="false" ht="15" hidden="false" customHeight="false" outlineLevel="0" collapsed="false">
      <c r="B273" s="7" t="s">
        <v>770</v>
      </c>
      <c r="C273" s="39" t="n">
        <v>45671</v>
      </c>
      <c r="D273" s="7" t="s">
        <v>381</v>
      </c>
      <c r="E273" s="7" t="s">
        <v>157</v>
      </c>
      <c r="F273" s="7" t="s">
        <v>234</v>
      </c>
      <c r="G273" s="7" t="s">
        <v>502</v>
      </c>
      <c r="H273" s="6" t="n">
        <v>1.06</v>
      </c>
      <c r="I273" s="6" t="n">
        <v>0</v>
      </c>
      <c r="J273" s="40" t="n">
        <f aca="false">H273-I273</f>
        <v>1.06</v>
      </c>
      <c r="K273" s="41" t="n">
        <v>165</v>
      </c>
      <c r="L273" s="42" t="n">
        <f aca="false">J273*K273</f>
        <v>174.9</v>
      </c>
      <c r="M273" s="43" t="n">
        <f aca="false">H273*89.53*(1+'Chart of Accounts'!$E$67)</f>
        <v>108.662561</v>
      </c>
    </row>
    <row r="274" customFormat="false" ht="15" hidden="false" customHeight="false" outlineLevel="0" collapsed="false">
      <c r="B274" s="7" t="s">
        <v>771</v>
      </c>
      <c r="C274" s="39" t="n">
        <v>45671</v>
      </c>
      <c r="D274" s="7" t="s">
        <v>389</v>
      </c>
      <c r="E274" s="7" t="s">
        <v>154</v>
      </c>
      <c r="F274" s="7" t="s">
        <v>246</v>
      </c>
      <c r="G274" s="7" t="s">
        <v>505</v>
      </c>
      <c r="H274" s="6" t="n">
        <v>3.66</v>
      </c>
      <c r="I274" s="6" t="n">
        <v>0.11</v>
      </c>
      <c r="J274" s="40" t="n">
        <f aca="false">H274-I274</f>
        <v>3.55</v>
      </c>
      <c r="K274" s="41" t="n">
        <v>26.5</v>
      </c>
      <c r="L274" s="42" t="n">
        <f aca="false">J274*K274</f>
        <v>94.075</v>
      </c>
      <c r="M274" s="43" t="n">
        <f aca="false">H274*16.48*(1+'Chart of Accounts'!$E$67)</f>
        <v>69.062736</v>
      </c>
    </row>
    <row r="275" customFormat="false" ht="15" hidden="false" customHeight="false" outlineLevel="0" collapsed="false">
      <c r="B275" s="7" t="s">
        <v>772</v>
      </c>
      <c r="C275" s="39" t="n">
        <v>45671</v>
      </c>
      <c r="D275" s="7" t="s">
        <v>391</v>
      </c>
      <c r="E275" s="7" t="s">
        <v>156</v>
      </c>
      <c r="F275" s="7" t="s">
        <v>222</v>
      </c>
      <c r="G275" s="7" t="s">
        <v>505</v>
      </c>
      <c r="H275" s="6" t="n">
        <v>3.89</v>
      </c>
      <c r="I275" s="6" t="n">
        <v>0</v>
      </c>
      <c r="J275" s="40" t="n">
        <f aca="false">H275-I275</f>
        <v>3.89</v>
      </c>
      <c r="K275" s="41" t="n">
        <v>34</v>
      </c>
      <c r="L275" s="42" t="n">
        <f aca="false">J275*K275</f>
        <v>132.26</v>
      </c>
      <c r="M275" s="43" t="n">
        <f aca="false">H275*17.84*(1+'Chart of Accounts'!$E$67)</f>
        <v>79.460252</v>
      </c>
    </row>
    <row r="276" customFormat="false" ht="15" hidden="false" customHeight="false" outlineLevel="0" collapsed="false">
      <c r="B276" s="7" t="s">
        <v>773</v>
      </c>
      <c r="C276" s="39" t="n">
        <v>45671</v>
      </c>
      <c r="D276" s="7" t="s">
        <v>395</v>
      </c>
      <c r="E276" s="7" t="s">
        <v>156</v>
      </c>
      <c r="F276" s="7" t="s">
        <v>242</v>
      </c>
      <c r="G276" s="7" t="s">
        <v>505</v>
      </c>
      <c r="H276" s="6" t="n">
        <v>4.38</v>
      </c>
      <c r="I276" s="6" t="n">
        <v>0</v>
      </c>
      <c r="J276" s="40" t="n">
        <f aca="false">H276-I276</f>
        <v>4.38</v>
      </c>
      <c r="K276" s="41" t="n">
        <v>34</v>
      </c>
      <c r="L276" s="42" t="n">
        <f aca="false">J276*K276</f>
        <v>148.92</v>
      </c>
      <c r="M276" s="43" t="n">
        <f aca="false">H276*17.99*(1+'Chart of Accounts'!$E$67)</f>
        <v>90.221649</v>
      </c>
    </row>
    <row r="277" customFormat="false" ht="15" hidden="false" customHeight="false" outlineLevel="0" collapsed="false">
      <c r="B277" s="7" t="s">
        <v>774</v>
      </c>
      <c r="C277" s="39" t="n">
        <v>45671</v>
      </c>
      <c r="D277" s="7" t="s">
        <v>401</v>
      </c>
      <c r="E277" s="7" t="s">
        <v>156</v>
      </c>
      <c r="F277" s="7" t="s">
        <v>254</v>
      </c>
      <c r="G277" s="7" t="s">
        <v>505</v>
      </c>
      <c r="H277" s="6" t="n">
        <v>3.91</v>
      </c>
      <c r="I277" s="6" t="n">
        <v>0</v>
      </c>
      <c r="J277" s="40" t="n">
        <f aca="false">H277-I277</f>
        <v>3.91</v>
      </c>
      <c r="K277" s="41" t="n">
        <v>34</v>
      </c>
      <c r="L277" s="42" t="n">
        <f aca="false">J277*K277</f>
        <v>132.94</v>
      </c>
      <c r="M277" s="43" t="n">
        <f aca="false">H277*17.1*(1+'Chart of Accounts'!$E$67)</f>
        <v>76.555845</v>
      </c>
    </row>
    <row r="278" customFormat="false" ht="15" hidden="false" customHeight="false" outlineLevel="0" collapsed="false">
      <c r="B278" s="7" t="s">
        <v>775</v>
      </c>
      <c r="C278" s="39" t="n">
        <v>45671</v>
      </c>
      <c r="D278" s="7" t="s">
        <v>407</v>
      </c>
      <c r="E278" s="7" t="s">
        <v>159</v>
      </c>
      <c r="F278" s="7" t="s">
        <v>260</v>
      </c>
      <c r="G278" s="7" t="s">
        <v>502</v>
      </c>
      <c r="H278" s="6" t="n">
        <v>1.05</v>
      </c>
      <c r="I278" s="6" t="n">
        <v>0</v>
      </c>
      <c r="J278" s="40" t="n">
        <f aca="false">H278-I278</f>
        <v>1.05</v>
      </c>
      <c r="K278" s="41" t="n">
        <v>135</v>
      </c>
      <c r="L278" s="42" t="n">
        <f aca="false">J278*K278</f>
        <v>141.75</v>
      </c>
      <c r="M278" s="43" t="n">
        <f aca="false">H278*79.8*(1+'Chart of Accounts'!$E$67)</f>
        <v>95.93955</v>
      </c>
    </row>
    <row r="279" customFormat="false" ht="15" hidden="false" customHeight="false" outlineLevel="0" collapsed="false">
      <c r="B279" s="7" t="s">
        <v>776</v>
      </c>
      <c r="C279" s="39" t="n">
        <v>45672</v>
      </c>
      <c r="D279" s="7" t="s">
        <v>280</v>
      </c>
      <c r="E279" s="7" t="s">
        <v>157</v>
      </c>
      <c r="F279" s="7" t="s">
        <v>187</v>
      </c>
      <c r="G279" s="7" t="s">
        <v>502</v>
      </c>
      <c r="H279" s="6" t="n">
        <v>1.01</v>
      </c>
      <c r="I279" s="6" t="n">
        <v>0</v>
      </c>
      <c r="J279" s="40" t="n">
        <f aca="false">H279-I279</f>
        <v>1.01</v>
      </c>
      <c r="K279" s="41" t="n">
        <v>165</v>
      </c>
      <c r="L279" s="42" t="n">
        <f aca="false">J279*K279</f>
        <v>166.65</v>
      </c>
      <c r="M279" s="43" t="n">
        <f aca="false">H279*66.48*(1+'Chart of Accounts'!$E$67)</f>
        <v>76.880796</v>
      </c>
    </row>
    <row r="280" customFormat="false" ht="15" hidden="false" customHeight="false" outlineLevel="0" collapsed="false">
      <c r="B280" s="7" t="s">
        <v>777</v>
      </c>
      <c r="C280" s="39" t="n">
        <v>45672</v>
      </c>
      <c r="D280" s="7" t="s">
        <v>286</v>
      </c>
      <c r="E280" s="7" t="s">
        <v>157</v>
      </c>
      <c r="F280" s="7" t="s">
        <v>228</v>
      </c>
      <c r="G280" s="7" t="s">
        <v>502</v>
      </c>
      <c r="H280" s="6" t="n">
        <v>1</v>
      </c>
      <c r="I280" s="6" t="n">
        <v>0</v>
      </c>
      <c r="J280" s="40" t="n">
        <f aca="false">H280-I280</f>
        <v>1</v>
      </c>
      <c r="K280" s="41" t="n">
        <v>165</v>
      </c>
      <c r="L280" s="42" t="n">
        <f aca="false">J280*K280</f>
        <v>165</v>
      </c>
      <c r="M280" s="43" t="n">
        <f aca="false">H280*51.07*(1+'Chart of Accounts'!$E$67)</f>
        <v>58.47515</v>
      </c>
    </row>
    <row r="281" customFormat="false" ht="15" hidden="false" customHeight="false" outlineLevel="0" collapsed="false">
      <c r="B281" s="7" t="s">
        <v>778</v>
      </c>
      <c r="C281" s="39" t="n">
        <v>45672</v>
      </c>
      <c r="D281" s="7" t="s">
        <v>288</v>
      </c>
      <c r="E281" s="7" t="s">
        <v>156</v>
      </c>
      <c r="F281" s="7" t="s">
        <v>191</v>
      </c>
      <c r="G281" s="7" t="s">
        <v>505</v>
      </c>
      <c r="H281" s="6" t="n">
        <v>4.25</v>
      </c>
      <c r="I281" s="6" t="n">
        <v>0</v>
      </c>
      <c r="J281" s="40" t="n">
        <f aca="false">H281-I281</f>
        <v>4.25</v>
      </c>
      <c r="K281" s="41" t="n">
        <v>34</v>
      </c>
      <c r="L281" s="42" t="n">
        <f aca="false">J281*K281</f>
        <v>144.5</v>
      </c>
      <c r="M281" s="43" t="n">
        <f aca="false">H281*16.05*(1+'Chart of Accounts'!$E$67)</f>
        <v>78.1033125</v>
      </c>
    </row>
    <row r="282" customFormat="false" ht="15" hidden="false" customHeight="false" outlineLevel="0" collapsed="false">
      <c r="B282" s="7" t="s">
        <v>779</v>
      </c>
      <c r="C282" s="39" t="n">
        <v>45672</v>
      </c>
      <c r="D282" s="7" t="s">
        <v>291</v>
      </c>
      <c r="E282" s="7" t="s">
        <v>154</v>
      </c>
      <c r="F282" s="7" t="s">
        <v>194</v>
      </c>
      <c r="G282" s="7" t="s">
        <v>505</v>
      </c>
      <c r="H282" s="6" t="n">
        <v>4.28</v>
      </c>
      <c r="I282" s="6" t="n">
        <v>0.128</v>
      </c>
      <c r="J282" s="40" t="n">
        <f aca="false">H282-I282</f>
        <v>4.152</v>
      </c>
      <c r="K282" s="41" t="n">
        <v>26.5</v>
      </c>
      <c r="L282" s="42" t="n">
        <f aca="false">J282*K282</f>
        <v>110.028</v>
      </c>
      <c r="M282" s="43" t="n">
        <f aca="false">H282*16*(1+'Chart of Accounts'!$E$67)</f>
        <v>78.4096</v>
      </c>
    </row>
    <row r="283" customFormat="false" ht="15" hidden="false" customHeight="false" outlineLevel="0" collapsed="false">
      <c r="B283" s="7" t="s">
        <v>780</v>
      </c>
      <c r="C283" s="39" t="n">
        <v>45672</v>
      </c>
      <c r="D283" s="7" t="s">
        <v>305</v>
      </c>
      <c r="E283" s="7" t="s">
        <v>154</v>
      </c>
      <c r="F283" s="7" t="s">
        <v>205</v>
      </c>
      <c r="G283" s="7" t="s">
        <v>505</v>
      </c>
      <c r="H283" s="6" t="n">
        <v>4.17</v>
      </c>
      <c r="I283" s="6" t="n">
        <v>0</v>
      </c>
      <c r="J283" s="40" t="n">
        <f aca="false">H283-I283</f>
        <v>4.17</v>
      </c>
      <c r="K283" s="41" t="n">
        <v>26.5</v>
      </c>
      <c r="L283" s="42" t="n">
        <f aca="false">J283*K283</f>
        <v>110.505</v>
      </c>
      <c r="M283" s="43" t="n">
        <f aca="false">H283*16.36*(1+'Chart of Accounts'!$E$67)</f>
        <v>78.113274</v>
      </c>
    </row>
    <row r="284" customFormat="false" ht="15" hidden="false" customHeight="false" outlineLevel="0" collapsed="false">
      <c r="B284" s="7" t="s">
        <v>781</v>
      </c>
      <c r="C284" s="39" t="n">
        <v>45672</v>
      </c>
      <c r="D284" s="7" t="s">
        <v>309</v>
      </c>
      <c r="E284" s="7" t="s">
        <v>159</v>
      </c>
      <c r="F284" s="7" t="s">
        <v>252</v>
      </c>
      <c r="G284" s="7" t="s">
        <v>502</v>
      </c>
      <c r="H284" s="6" t="n">
        <v>1.02</v>
      </c>
      <c r="I284" s="6" t="n">
        <v>0</v>
      </c>
      <c r="J284" s="40" t="n">
        <f aca="false">H284-I284</f>
        <v>1.02</v>
      </c>
      <c r="K284" s="41" t="n">
        <v>135</v>
      </c>
      <c r="L284" s="42" t="n">
        <f aca="false">J284*K284</f>
        <v>137.7</v>
      </c>
      <c r="M284" s="43" t="n">
        <f aca="false">H284*57.54*(1+'Chart of Accounts'!$E$67)</f>
        <v>67.200966</v>
      </c>
    </row>
    <row r="285" customFormat="false" ht="15" hidden="false" customHeight="false" outlineLevel="0" collapsed="false">
      <c r="B285" s="7" t="s">
        <v>782</v>
      </c>
      <c r="C285" s="39" t="n">
        <v>45672</v>
      </c>
      <c r="D285" s="7" t="s">
        <v>313</v>
      </c>
      <c r="E285" s="7" t="s">
        <v>156</v>
      </c>
      <c r="F285" s="7" t="s">
        <v>184</v>
      </c>
      <c r="G285" s="7" t="s">
        <v>505</v>
      </c>
      <c r="H285" s="6" t="n">
        <v>3.91</v>
      </c>
      <c r="I285" s="6" t="n">
        <v>0</v>
      </c>
      <c r="J285" s="40" t="n">
        <f aca="false">H285-I285</f>
        <v>3.91</v>
      </c>
      <c r="K285" s="41" t="n">
        <v>34</v>
      </c>
      <c r="L285" s="42" t="n">
        <f aca="false">J285*K285</f>
        <v>132.94</v>
      </c>
      <c r="M285" s="43" t="n">
        <f aca="false">H285*17.34*(1+'Chart of Accounts'!$E$67)</f>
        <v>77.630313</v>
      </c>
    </row>
    <row r="286" customFormat="false" ht="15" hidden="false" customHeight="false" outlineLevel="0" collapsed="false">
      <c r="B286" s="7" t="s">
        <v>783</v>
      </c>
      <c r="C286" s="39" t="n">
        <v>45672</v>
      </c>
      <c r="D286" s="7" t="s">
        <v>321</v>
      </c>
      <c r="E286" s="7" t="s">
        <v>154</v>
      </c>
      <c r="F286" s="7" t="s">
        <v>218</v>
      </c>
      <c r="G286" s="7" t="s">
        <v>505</v>
      </c>
      <c r="H286" s="6" t="n">
        <v>3.64</v>
      </c>
      <c r="I286" s="6" t="n">
        <v>0</v>
      </c>
      <c r="J286" s="40" t="n">
        <f aca="false">H286-I286</f>
        <v>3.64</v>
      </c>
      <c r="K286" s="41" t="n">
        <v>26.5</v>
      </c>
      <c r="L286" s="42" t="n">
        <f aca="false">J286*K286</f>
        <v>96.46</v>
      </c>
      <c r="M286" s="43" t="n">
        <f aca="false">H286*16.19*(1+'Chart of Accounts'!$E$67)</f>
        <v>67.476682</v>
      </c>
    </row>
    <row r="287" customFormat="false" ht="15" hidden="false" customHeight="false" outlineLevel="0" collapsed="false">
      <c r="B287" s="7" t="s">
        <v>784</v>
      </c>
      <c r="C287" s="39" t="n">
        <v>45672</v>
      </c>
      <c r="D287" s="7" t="s">
        <v>329</v>
      </c>
      <c r="E287" s="7" t="s">
        <v>156</v>
      </c>
      <c r="F287" s="7" t="s">
        <v>220</v>
      </c>
      <c r="G287" s="7" t="s">
        <v>505</v>
      </c>
      <c r="H287" s="6" t="n">
        <v>3.86</v>
      </c>
      <c r="I287" s="6" t="n">
        <v>0</v>
      </c>
      <c r="J287" s="40" t="n">
        <f aca="false">H287-I287</f>
        <v>3.86</v>
      </c>
      <c r="K287" s="41" t="n">
        <v>34</v>
      </c>
      <c r="L287" s="42" t="n">
        <f aca="false">J287*K287</f>
        <v>131.24</v>
      </c>
      <c r="M287" s="43" t="n">
        <f aca="false">H287*16.43*(1+'Chart of Accounts'!$E$67)</f>
        <v>72.615671</v>
      </c>
    </row>
    <row r="288" customFormat="false" ht="15" hidden="false" customHeight="false" outlineLevel="0" collapsed="false">
      <c r="B288" s="7" t="s">
        <v>785</v>
      </c>
      <c r="C288" s="39" t="n">
        <v>45672</v>
      </c>
      <c r="D288" s="7" t="s">
        <v>335</v>
      </c>
      <c r="E288" s="7" t="s">
        <v>154</v>
      </c>
      <c r="F288" s="7" t="s">
        <v>177</v>
      </c>
      <c r="G288" s="7" t="s">
        <v>505</v>
      </c>
      <c r="H288" s="6" t="n">
        <v>3.8</v>
      </c>
      <c r="I288" s="6" t="n">
        <v>0</v>
      </c>
      <c r="J288" s="40" t="n">
        <f aca="false">H288-I288</f>
        <v>3.8</v>
      </c>
      <c r="K288" s="41" t="n">
        <v>26.5</v>
      </c>
      <c r="L288" s="42" t="n">
        <f aca="false">J288*K288</f>
        <v>100.7</v>
      </c>
      <c r="M288" s="43" t="n">
        <f aca="false">H288*14.56*(1+'Chart of Accounts'!$E$67)</f>
        <v>63.35056</v>
      </c>
    </row>
    <row r="289" customFormat="false" ht="15" hidden="false" customHeight="false" outlineLevel="0" collapsed="false">
      <c r="B289" s="7" t="s">
        <v>786</v>
      </c>
      <c r="C289" s="39" t="n">
        <v>45672</v>
      </c>
      <c r="D289" s="7" t="s">
        <v>339</v>
      </c>
      <c r="E289" s="7" t="s">
        <v>154</v>
      </c>
      <c r="F289" s="7" t="s">
        <v>242</v>
      </c>
      <c r="G289" s="7" t="s">
        <v>505</v>
      </c>
      <c r="H289" s="6" t="n">
        <v>3.4</v>
      </c>
      <c r="I289" s="6" t="n">
        <v>0.102</v>
      </c>
      <c r="J289" s="40" t="n">
        <f aca="false">H289-I289</f>
        <v>3.298</v>
      </c>
      <c r="K289" s="41" t="n">
        <v>26.5</v>
      </c>
      <c r="L289" s="42" t="n">
        <f aca="false">J289*K289</f>
        <v>87.397</v>
      </c>
      <c r="M289" s="43" t="n">
        <f aca="false">H289*17.99*(1+'Chart of Accounts'!$E$67)</f>
        <v>70.03507</v>
      </c>
    </row>
    <row r="290" customFormat="false" ht="15" hidden="false" customHeight="false" outlineLevel="0" collapsed="false">
      <c r="B290" s="7" t="s">
        <v>787</v>
      </c>
      <c r="C290" s="39" t="n">
        <v>45672</v>
      </c>
      <c r="D290" s="7" t="s">
        <v>353</v>
      </c>
      <c r="E290" s="7" t="s">
        <v>154</v>
      </c>
      <c r="F290" s="7" t="s">
        <v>254</v>
      </c>
      <c r="G290" s="7" t="s">
        <v>505</v>
      </c>
      <c r="H290" s="6" t="n">
        <v>3.44</v>
      </c>
      <c r="I290" s="6" t="n">
        <v>0</v>
      </c>
      <c r="J290" s="40" t="n">
        <f aca="false">H290-I290</f>
        <v>3.44</v>
      </c>
      <c r="K290" s="41" t="n">
        <v>26.5</v>
      </c>
      <c r="L290" s="42" t="n">
        <f aca="false">J290*K290</f>
        <v>91.16</v>
      </c>
      <c r="M290" s="43" t="n">
        <f aca="false">H290*17.1*(1+'Chart of Accounts'!$E$67)</f>
        <v>67.35348</v>
      </c>
    </row>
    <row r="291" customFormat="false" ht="15" hidden="false" customHeight="false" outlineLevel="0" collapsed="false">
      <c r="B291" s="7" t="s">
        <v>788</v>
      </c>
      <c r="C291" s="39" t="n">
        <v>45672</v>
      </c>
      <c r="D291" s="7" t="s">
        <v>355</v>
      </c>
      <c r="E291" s="7" t="s">
        <v>154</v>
      </c>
      <c r="F291" s="7" t="s">
        <v>201</v>
      </c>
      <c r="G291" s="7" t="s">
        <v>505</v>
      </c>
      <c r="H291" s="6" t="n">
        <v>3.44</v>
      </c>
      <c r="I291" s="6" t="n">
        <v>0.103</v>
      </c>
      <c r="J291" s="40" t="n">
        <f aca="false">H291-I291</f>
        <v>3.337</v>
      </c>
      <c r="K291" s="41" t="n">
        <v>26.5</v>
      </c>
      <c r="L291" s="42" t="n">
        <f aca="false">J291*K291</f>
        <v>88.4305</v>
      </c>
      <c r="M291" s="43" t="n">
        <f aca="false">H291*15.19*(1+'Chart of Accounts'!$E$67)</f>
        <v>59.830372</v>
      </c>
    </row>
    <row r="292" customFormat="false" ht="15" hidden="false" customHeight="false" outlineLevel="0" collapsed="false">
      <c r="B292" s="7" t="s">
        <v>789</v>
      </c>
      <c r="C292" s="39" t="n">
        <v>45672</v>
      </c>
      <c r="D292" s="7" t="s">
        <v>357</v>
      </c>
      <c r="E292" s="7" t="s">
        <v>154</v>
      </c>
      <c r="F292" s="7" t="s">
        <v>207</v>
      </c>
      <c r="G292" s="7" t="s">
        <v>505</v>
      </c>
      <c r="H292" s="6" t="n">
        <v>3.47</v>
      </c>
      <c r="I292" s="6" t="n">
        <v>0</v>
      </c>
      <c r="J292" s="40" t="n">
        <f aca="false">H292-I292</f>
        <v>3.47</v>
      </c>
      <c r="K292" s="41" t="n">
        <v>26.5</v>
      </c>
      <c r="L292" s="42" t="n">
        <f aca="false">J292*K292</f>
        <v>91.955</v>
      </c>
      <c r="M292" s="43" t="n">
        <f aca="false">H292*16.65*(1+'Chart of Accounts'!$E$67)</f>
        <v>66.1529475</v>
      </c>
    </row>
    <row r="293" customFormat="false" ht="15" hidden="false" customHeight="false" outlineLevel="0" collapsed="false">
      <c r="B293" s="7" t="s">
        <v>790</v>
      </c>
      <c r="C293" s="39" t="n">
        <v>45672</v>
      </c>
      <c r="D293" s="7" t="s">
        <v>359</v>
      </c>
      <c r="E293" s="7" t="s">
        <v>156</v>
      </c>
      <c r="F293" s="7" t="s">
        <v>212</v>
      </c>
      <c r="G293" s="7" t="s">
        <v>505</v>
      </c>
      <c r="H293" s="6" t="n">
        <v>4.11</v>
      </c>
      <c r="I293" s="6" t="n">
        <v>0</v>
      </c>
      <c r="J293" s="40" t="n">
        <f aca="false">H293-I293</f>
        <v>4.11</v>
      </c>
      <c r="K293" s="41" t="n">
        <v>34</v>
      </c>
      <c r="L293" s="42" t="n">
        <f aca="false">J293*K293</f>
        <v>139.74</v>
      </c>
      <c r="M293" s="43" t="n">
        <f aca="false">H293*16.71*(1+'Chart of Accounts'!$E$67)</f>
        <v>78.6364245</v>
      </c>
    </row>
    <row r="294" customFormat="false" ht="15" hidden="false" customHeight="false" outlineLevel="0" collapsed="false">
      <c r="B294" s="7" t="s">
        <v>791</v>
      </c>
      <c r="C294" s="39" t="n">
        <v>45672</v>
      </c>
      <c r="D294" s="7" t="s">
        <v>371</v>
      </c>
      <c r="E294" s="7" t="s">
        <v>154</v>
      </c>
      <c r="F294" s="7" t="s">
        <v>232</v>
      </c>
      <c r="G294" s="7" t="s">
        <v>505</v>
      </c>
      <c r="H294" s="6" t="n">
        <v>4.86</v>
      </c>
      <c r="I294" s="6" t="n">
        <v>0</v>
      </c>
      <c r="J294" s="40" t="n">
        <f aca="false">H294-I294</f>
        <v>4.86</v>
      </c>
      <c r="K294" s="41" t="n">
        <v>26.5</v>
      </c>
      <c r="L294" s="42" t="n">
        <f aca="false">J294*K294</f>
        <v>128.79</v>
      </c>
      <c r="M294" s="43" t="n">
        <f aca="false">H294*16.17*(1+'Chart of Accounts'!$E$67)</f>
        <v>89.981199</v>
      </c>
    </row>
    <row r="295" customFormat="false" ht="15" hidden="false" customHeight="false" outlineLevel="0" collapsed="false">
      <c r="B295" s="7" t="s">
        <v>792</v>
      </c>
      <c r="C295" s="39" t="n">
        <v>45672</v>
      </c>
      <c r="D295" s="7" t="s">
        <v>379</v>
      </c>
      <c r="E295" s="7" t="s">
        <v>156</v>
      </c>
      <c r="F295" s="7" t="s">
        <v>224</v>
      </c>
      <c r="G295" s="7" t="s">
        <v>505</v>
      </c>
      <c r="H295" s="6" t="n">
        <v>5.05</v>
      </c>
      <c r="I295" s="6" t="n">
        <v>0</v>
      </c>
      <c r="J295" s="40" t="n">
        <f aca="false">H295-I295</f>
        <v>5.05</v>
      </c>
      <c r="K295" s="41" t="n">
        <v>34</v>
      </c>
      <c r="L295" s="42" t="n">
        <f aca="false">J295*K295</f>
        <v>171.7</v>
      </c>
      <c r="M295" s="43" t="n">
        <f aca="false">H295*14.93*(1+'Chart of Accounts'!$E$67)</f>
        <v>86.3289925</v>
      </c>
    </row>
    <row r="296" customFormat="false" ht="15" hidden="false" customHeight="false" outlineLevel="0" collapsed="false">
      <c r="B296" s="7" t="s">
        <v>793</v>
      </c>
      <c r="C296" s="39" t="n">
        <v>45672</v>
      </c>
      <c r="D296" s="7" t="s">
        <v>391</v>
      </c>
      <c r="E296" s="7" t="s">
        <v>156</v>
      </c>
      <c r="F296" s="7" t="s">
        <v>222</v>
      </c>
      <c r="G296" s="7" t="s">
        <v>505</v>
      </c>
      <c r="H296" s="6" t="n">
        <v>3.74</v>
      </c>
      <c r="I296" s="6" t="n">
        <v>0</v>
      </c>
      <c r="J296" s="40" t="n">
        <f aca="false">H296-I296</f>
        <v>3.74</v>
      </c>
      <c r="K296" s="41" t="n">
        <v>34</v>
      </c>
      <c r="L296" s="42" t="n">
        <f aca="false">J296*K296</f>
        <v>127.16</v>
      </c>
      <c r="M296" s="43" t="n">
        <f aca="false">H296*17.84*(1+'Chart of Accounts'!$E$67)</f>
        <v>76.396232</v>
      </c>
    </row>
    <row r="297" customFormat="false" ht="15" hidden="false" customHeight="false" outlineLevel="0" collapsed="false">
      <c r="B297" s="7" t="s">
        <v>794</v>
      </c>
      <c r="C297" s="39" t="n">
        <v>45672</v>
      </c>
      <c r="D297" s="7" t="s">
        <v>393</v>
      </c>
      <c r="E297" s="7" t="s">
        <v>157</v>
      </c>
      <c r="F297" s="7" t="s">
        <v>203</v>
      </c>
      <c r="G297" s="7" t="s">
        <v>502</v>
      </c>
      <c r="H297" s="6" t="n">
        <v>1</v>
      </c>
      <c r="I297" s="6" t="n">
        <v>0.05</v>
      </c>
      <c r="J297" s="40" t="n">
        <f aca="false">H297-I297</f>
        <v>0.95</v>
      </c>
      <c r="K297" s="41" t="n">
        <v>165</v>
      </c>
      <c r="L297" s="42" t="n">
        <f aca="false">J297*K297</f>
        <v>156.75</v>
      </c>
      <c r="M297" s="43" t="n">
        <f aca="false">H297*49.43*(1+'Chart of Accounts'!$E$67)</f>
        <v>56.59735</v>
      </c>
    </row>
    <row r="298" customFormat="false" ht="15" hidden="false" customHeight="false" outlineLevel="0" collapsed="false">
      <c r="B298" s="7" t="s">
        <v>795</v>
      </c>
      <c r="C298" s="39" t="n">
        <v>45672</v>
      </c>
      <c r="D298" s="7" t="s">
        <v>395</v>
      </c>
      <c r="E298" s="7" t="s">
        <v>156</v>
      </c>
      <c r="F298" s="7" t="s">
        <v>242</v>
      </c>
      <c r="G298" s="7" t="s">
        <v>505</v>
      </c>
      <c r="H298" s="6" t="n">
        <v>3.66</v>
      </c>
      <c r="I298" s="6" t="n">
        <v>0</v>
      </c>
      <c r="J298" s="40" t="n">
        <f aca="false">H298-I298</f>
        <v>3.66</v>
      </c>
      <c r="K298" s="41" t="n">
        <v>34</v>
      </c>
      <c r="L298" s="42" t="n">
        <f aca="false">J298*K298</f>
        <v>124.44</v>
      </c>
      <c r="M298" s="43" t="n">
        <f aca="false">H298*17.99*(1+'Chart of Accounts'!$E$67)</f>
        <v>75.390693</v>
      </c>
    </row>
    <row r="299" customFormat="false" ht="15" hidden="false" customHeight="false" outlineLevel="0" collapsed="false">
      <c r="B299" s="7" t="s">
        <v>796</v>
      </c>
      <c r="C299" s="39" t="n">
        <v>45672</v>
      </c>
      <c r="D299" s="7" t="s">
        <v>399</v>
      </c>
      <c r="E299" s="7" t="s">
        <v>154</v>
      </c>
      <c r="F299" s="7" t="s">
        <v>262</v>
      </c>
      <c r="G299" s="7" t="s">
        <v>505</v>
      </c>
      <c r="H299" s="6" t="n">
        <v>3.51</v>
      </c>
      <c r="I299" s="6" t="n">
        <v>0</v>
      </c>
      <c r="J299" s="40" t="n">
        <f aca="false">H299-I299</f>
        <v>3.51</v>
      </c>
      <c r="K299" s="41" t="n">
        <v>26.5</v>
      </c>
      <c r="L299" s="42" t="n">
        <f aca="false">J299*K299</f>
        <v>93.015</v>
      </c>
      <c r="M299" s="43" t="n">
        <f aca="false">H299*16.02*(1+'Chart of Accounts'!$E$67)</f>
        <v>64.383579</v>
      </c>
    </row>
    <row r="300" customFormat="false" ht="15" hidden="false" customHeight="false" outlineLevel="0" collapsed="false">
      <c r="B300" s="7" t="s">
        <v>797</v>
      </c>
      <c r="C300" s="39" t="n">
        <v>45672</v>
      </c>
      <c r="D300" s="7" t="s">
        <v>401</v>
      </c>
      <c r="E300" s="7" t="s">
        <v>156</v>
      </c>
      <c r="F300" s="7" t="s">
        <v>254</v>
      </c>
      <c r="G300" s="7" t="s">
        <v>505</v>
      </c>
      <c r="H300" s="6" t="n">
        <v>3.63</v>
      </c>
      <c r="I300" s="6" t="n">
        <v>0</v>
      </c>
      <c r="J300" s="40" t="n">
        <f aca="false">H300-I300</f>
        <v>3.63</v>
      </c>
      <c r="K300" s="41" t="n">
        <v>34</v>
      </c>
      <c r="L300" s="42" t="n">
        <f aca="false">J300*K300</f>
        <v>123.42</v>
      </c>
      <c r="M300" s="43" t="n">
        <f aca="false">H300*17.1*(1+'Chart of Accounts'!$E$67)</f>
        <v>71.073585</v>
      </c>
    </row>
    <row r="301" customFormat="false" ht="15" hidden="false" customHeight="false" outlineLevel="0" collapsed="false">
      <c r="B301" s="7" t="s">
        <v>798</v>
      </c>
      <c r="C301" s="39" t="n">
        <v>45672</v>
      </c>
      <c r="D301" s="7" t="s">
        <v>409</v>
      </c>
      <c r="E301" s="7" t="s">
        <v>154</v>
      </c>
      <c r="F301" s="7" t="s">
        <v>214</v>
      </c>
      <c r="G301" s="7" t="s">
        <v>505</v>
      </c>
      <c r="H301" s="6" t="n">
        <v>3.09</v>
      </c>
      <c r="I301" s="6" t="n">
        <v>0</v>
      </c>
      <c r="J301" s="40" t="n">
        <f aca="false">H301-I301</f>
        <v>3.09</v>
      </c>
      <c r="K301" s="41" t="n">
        <v>26.5</v>
      </c>
      <c r="L301" s="42" t="n">
        <f aca="false">J301*K301</f>
        <v>81.885</v>
      </c>
      <c r="M301" s="43" t="n">
        <f aca="false">H301*15.67*(1+'Chart of Accounts'!$E$67)</f>
        <v>55.4412435</v>
      </c>
    </row>
    <row r="302" customFormat="false" ht="15" hidden="false" customHeight="false" outlineLevel="0" collapsed="false">
      <c r="B302" s="7" t="s">
        <v>799</v>
      </c>
      <c r="C302" s="39" t="n">
        <v>45672</v>
      </c>
      <c r="D302" s="7" t="s">
        <v>411</v>
      </c>
      <c r="E302" s="7" t="s">
        <v>154</v>
      </c>
      <c r="F302" s="7" t="s">
        <v>177</v>
      </c>
      <c r="G302" s="7" t="s">
        <v>505</v>
      </c>
      <c r="H302" s="6" t="n">
        <v>4.98</v>
      </c>
      <c r="I302" s="6" t="n">
        <v>0</v>
      </c>
      <c r="J302" s="40" t="n">
        <f aca="false">H302-I302</f>
        <v>4.98</v>
      </c>
      <c r="K302" s="41" t="n">
        <v>26.5</v>
      </c>
      <c r="L302" s="42" t="n">
        <f aca="false">J302*K302</f>
        <v>131.97</v>
      </c>
      <c r="M302" s="43" t="n">
        <f aca="false">H302*14.56*(1+'Chart of Accounts'!$E$67)</f>
        <v>83.022576</v>
      </c>
    </row>
    <row r="303" customFormat="false" ht="15" hidden="false" customHeight="false" outlineLevel="0" collapsed="false">
      <c r="B303" s="7" t="s">
        <v>800</v>
      </c>
      <c r="C303" s="39" t="n">
        <v>45673</v>
      </c>
      <c r="D303" s="7" t="s">
        <v>288</v>
      </c>
      <c r="E303" s="7" t="s">
        <v>156</v>
      </c>
      <c r="F303" s="7" t="s">
        <v>191</v>
      </c>
      <c r="G303" s="7" t="s">
        <v>505</v>
      </c>
      <c r="H303" s="6" t="n">
        <v>3.73</v>
      </c>
      <c r="I303" s="6" t="n">
        <v>0</v>
      </c>
      <c r="J303" s="40" t="n">
        <f aca="false">H303-I303</f>
        <v>3.73</v>
      </c>
      <c r="K303" s="41" t="n">
        <v>34</v>
      </c>
      <c r="L303" s="42" t="n">
        <f aca="false">J303*K303</f>
        <v>126.82</v>
      </c>
      <c r="M303" s="43" t="n">
        <f aca="false">H303*16.05*(1+'Chart of Accounts'!$E$67)</f>
        <v>68.5471425</v>
      </c>
    </row>
    <row r="304" customFormat="false" ht="15" hidden="false" customHeight="false" outlineLevel="0" collapsed="false">
      <c r="B304" s="7" t="s">
        <v>801</v>
      </c>
      <c r="C304" s="39" t="n">
        <v>45673</v>
      </c>
      <c r="D304" s="7" t="s">
        <v>297</v>
      </c>
      <c r="E304" s="7" t="s">
        <v>156</v>
      </c>
      <c r="F304" s="7" t="s">
        <v>201</v>
      </c>
      <c r="G304" s="7" t="s">
        <v>505</v>
      </c>
      <c r="H304" s="6" t="n">
        <v>3.11</v>
      </c>
      <c r="I304" s="6" t="n">
        <v>0</v>
      </c>
      <c r="J304" s="40" t="n">
        <f aca="false">H304-I304</f>
        <v>3.11</v>
      </c>
      <c r="K304" s="41" t="n">
        <v>34</v>
      </c>
      <c r="L304" s="42" t="n">
        <f aca="false">J304*K304</f>
        <v>105.74</v>
      </c>
      <c r="M304" s="43" t="n">
        <f aca="false">H304*15.19*(1+'Chart of Accounts'!$E$67)</f>
        <v>54.0908305</v>
      </c>
    </row>
    <row r="305" customFormat="false" ht="15" hidden="false" customHeight="false" outlineLevel="0" collapsed="false">
      <c r="B305" s="7" t="s">
        <v>802</v>
      </c>
      <c r="C305" s="39" t="n">
        <v>45673</v>
      </c>
      <c r="D305" s="7" t="s">
        <v>311</v>
      </c>
      <c r="E305" s="7" t="s">
        <v>154</v>
      </c>
      <c r="F305" s="7" t="s">
        <v>196</v>
      </c>
      <c r="G305" s="7" t="s">
        <v>505</v>
      </c>
      <c r="H305" s="6" t="n">
        <v>2.87</v>
      </c>
      <c r="I305" s="6" t="n">
        <v>0</v>
      </c>
      <c r="J305" s="40" t="n">
        <f aca="false">H305-I305</f>
        <v>2.87</v>
      </c>
      <c r="K305" s="41" t="n">
        <v>26.5</v>
      </c>
      <c r="L305" s="42" t="n">
        <f aca="false">J305*K305</f>
        <v>76.055</v>
      </c>
      <c r="M305" s="43" t="n">
        <f aca="false">H305*15.05*(1+'Chart of Accounts'!$E$67)</f>
        <v>49.4565575</v>
      </c>
    </row>
    <row r="306" customFormat="false" ht="15" hidden="false" customHeight="false" outlineLevel="0" collapsed="false">
      <c r="B306" s="7" t="s">
        <v>803</v>
      </c>
      <c r="C306" s="39" t="n">
        <v>45673</v>
      </c>
      <c r="D306" s="7" t="s">
        <v>313</v>
      </c>
      <c r="E306" s="7" t="s">
        <v>156</v>
      </c>
      <c r="F306" s="7" t="s">
        <v>184</v>
      </c>
      <c r="G306" s="7" t="s">
        <v>505</v>
      </c>
      <c r="H306" s="6" t="n">
        <v>4.03</v>
      </c>
      <c r="I306" s="6" t="n">
        <v>0</v>
      </c>
      <c r="J306" s="40" t="n">
        <f aca="false">H306-I306</f>
        <v>4.03</v>
      </c>
      <c r="K306" s="41" t="n">
        <v>34</v>
      </c>
      <c r="L306" s="42" t="n">
        <f aca="false">J306*K306</f>
        <v>137.02</v>
      </c>
      <c r="M306" s="43" t="n">
        <f aca="false">H306*17.34*(1+'Chart of Accounts'!$E$67)</f>
        <v>80.012829</v>
      </c>
    </row>
    <row r="307" customFormat="false" ht="15" hidden="false" customHeight="false" outlineLevel="0" collapsed="false">
      <c r="B307" s="7" t="s">
        <v>804</v>
      </c>
      <c r="C307" s="39" t="n">
        <v>45673</v>
      </c>
      <c r="D307" s="7" t="s">
        <v>317</v>
      </c>
      <c r="E307" s="7" t="s">
        <v>156</v>
      </c>
      <c r="F307" s="7" t="s">
        <v>207</v>
      </c>
      <c r="G307" s="7" t="s">
        <v>505</v>
      </c>
      <c r="H307" s="6" t="n">
        <v>2.98</v>
      </c>
      <c r="I307" s="6" t="n">
        <v>0</v>
      </c>
      <c r="J307" s="40" t="n">
        <f aca="false">H307-I307</f>
        <v>2.98</v>
      </c>
      <c r="K307" s="41" t="n">
        <v>34</v>
      </c>
      <c r="L307" s="42" t="n">
        <f aca="false">J307*K307</f>
        <v>101.32</v>
      </c>
      <c r="M307" s="43" t="n">
        <f aca="false">H307*16.65*(1+'Chart of Accounts'!$E$67)</f>
        <v>56.811465</v>
      </c>
    </row>
    <row r="308" customFormat="false" ht="15" hidden="false" customHeight="false" outlineLevel="0" collapsed="false">
      <c r="B308" s="7" t="s">
        <v>805</v>
      </c>
      <c r="C308" s="39" t="n">
        <v>45673</v>
      </c>
      <c r="D308" s="7" t="s">
        <v>321</v>
      </c>
      <c r="E308" s="7" t="s">
        <v>154</v>
      </c>
      <c r="F308" s="7" t="s">
        <v>218</v>
      </c>
      <c r="G308" s="7" t="s">
        <v>505</v>
      </c>
      <c r="H308" s="6" t="n">
        <v>4.36</v>
      </c>
      <c r="I308" s="6" t="n">
        <v>0</v>
      </c>
      <c r="J308" s="40" t="n">
        <f aca="false">H308-I308</f>
        <v>4.36</v>
      </c>
      <c r="K308" s="41" t="n">
        <v>26.5</v>
      </c>
      <c r="L308" s="42" t="n">
        <f aca="false">J308*K308</f>
        <v>115.54</v>
      </c>
      <c r="M308" s="43" t="n">
        <f aca="false">H308*16.19*(1+'Chart of Accounts'!$E$67)</f>
        <v>80.823718</v>
      </c>
    </row>
    <row r="309" customFormat="false" ht="15" hidden="false" customHeight="false" outlineLevel="0" collapsed="false">
      <c r="B309" s="7" t="s">
        <v>806</v>
      </c>
      <c r="C309" s="39" t="n">
        <v>45673</v>
      </c>
      <c r="D309" s="7" t="s">
        <v>325</v>
      </c>
      <c r="E309" s="7" t="s">
        <v>154</v>
      </c>
      <c r="F309" s="7" t="s">
        <v>212</v>
      </c>
      <c r="G309" s="7" t="s">
        <v>505</v>
      </c>
      <c r="H309" s="6" t="n">
        <v>2.87</v>
      </c>
      <c r="I309" s="6" t="n">
        <v>0</v>
      </c>
      <c r="J309" s="40" t="n">
        <f aca="false">H309-I309</f>
        <v>2.87</v>
      </c>
      <c r="K309" s="41" t="n">
        <v>26.5</v>
      </c>
      <c r="L309" s="42" t="n">
        <f aca="false">J309*K309</f>
        <v>76.055</v>
      </c>
      <c r="M309" s="43" t="n">
        <f aca="false">H309*16.71*(1+'Chart of Accounts'!$E$67)</f>
        <v>54.9115665</v>
      </c>
    </row>
    <row r="310" customFormat="false" ht="15" hidden="false" customHeight="false" outlineLevel="0" collapsed="false">
      <c r="B310" s="7" t="s">
        <v>807</v>
      </c>
      <c r="C310" s="39" t="n">
        <v>45673</v>
      </c>
      <c r="D310" s="7" t="s">
        <v>329</v>
      </c>
      <c r="E310" s="7" t="s">
        <v>156</v>
      </c>
      <c r="F310" s="7" t="s">
        <v>220</v>
      </c>
      <c r="G310" s="7" t="s">
        <v>505</v>
      </c>
      <c r="H310" s="6" t="n">
        <v>4.37</v>
      </c>
      <c r="I310" s="6" t="n">
        <v>0</v>
      </c>
      <c r="J310" s="40" t="n">
        <f aca="false">H310-I310</f>
        <v>4.37</v>
      </c>
      <c r="K310" s="41" t="n">
        <v>34</v>
      </c>
      <c r="L310" s="42" t="n">
        <f aca="false">J310*K310</f>
        <v>148.58</v>
      </c>
      <c r="M310" s="43" t="n">
        <f aca="false">H310*16.43*(1+'Chart of Accounts'!$E$67)</f>
        <v>82.2099695</v>
      </c>
    </row>
    <row r="311" customFormat="false" ht="15" hidden="false" customHeight="false" outlineLevel="0" collapsed="false">
      <c r="B311" s="7" t="s">
        <v>808</v>
      </c>
      <c r="C311" s="39" t="n">
        <v>45673</v>
      </c>
      <c r="D311" s="7" t="s">
        <v>331</v>
      </c>
      <c r="E311" s="7" t="s">
        <v>156</v>
      </c>
      <c r="F311" s="7" t="s">
        <v>224</v>
      </c>
      <c r="G311" s="7" t="s">
        <v>505</v>
      </c>
      <c r="H311" s="6" t="n">
        <v>3.71</v>
      </c>
      <c r="I311" s="6" t="n">
        <v>0</v>
      </c>
      <c r="J311" s="40" t="n">
        <f aca="false">H311-I311</f>
        <v>3.71</v>
      </c>
      <c r="K311" s="41" t="n">
        <v>34</v>
      </c>
      <c r="L311" s="42" t="n">
        <f aca="false">J311*K311</f>
        <v>126.14</v>
      </c>
      <c r="M311" s="43" t="n">
        <f aca="false">H311*14.93*(1+'Chart of Accounts'!$E$67)</f>
        <v>63.4218935</v>
      </c>
    </row>
    <row r="312" customFormat="false" ht="15" hidden="false" customHeight="false" outlineLevel="0" collapsed="false">
      <c r="B312" s="7" t="s">
        <v>809</v>
      </c>
      <c r="C312" s="39" t="n">
        <v>45673</v>
      </c>
      <c r="D312" s="7" t="s">
        <v>337</v>
      </c>
      <c r="E312" s="7" t="s">
        <v>154</v>
      </c>
      <c r="F312" s="7" t="s">
        <v>232</v>
      </c>
      <c r="G312" s="7" t="s">
        <v>505</v>
      </c>
      <c r="H312" s="6" t="n">
        <v>3.22</v>
      </c>
      <c r="I312" s="6" t="n">
        <v>0.097</v>
      </c>
      <c r="J312" s="40" t="n">
        <f aca="false">H312-I312</f>
        <v>3.123</v>
      </c>
      <c r="K312" s="41" t="n">
        <v>26.5</v>
      </c>
      <c r="L312" s="42" t="n">
        <f aca="false">J312*K312</f>
        <v>82.7595</v>
      </c>
      <c r="M312" s="43" t="n">
        <f aca="false">H312*16.17*(1+'Chart of Accounts'!$E$67)</f>
        <v>59.617173</v>
      </c>
    </row>
    <row r="313" customFormat="false" ht="15" hidden="false" customHeight="false" outlineLevel="0" collapsed="false">
      <c r="B313" s="7" t="s">
        <v>810</v>
      </c>
      <c r="C313" s="39" t="n">
        <v>45673</v>
      </c>
      <c r="D313" s="7" t="s">
        <v>341</v>
      </c>
      <c r="E313" s="7" t="s">
        <v>156</v>
      </c>
      <c r="F313" s="7" t="s">
        <v>222</v>
      </c>
      <c r="G313" s="7" t="s">
        <v>505</v>
      </c>
      <c r="H313" s="6" t="n">
        <v>3.21</v>
      </c>
      <c r="I313" s="6" t="n">
        <v>0</v>
      </c>
      <c r="J313" s="40" t="n">
        <f aca="false">H313-I313</f>
        <v>3.21</v>
      </c>
      <c r="K313" s="41" t="n">
        <v>34</v>
      </c>
      <c r="L313" s="42" t="n">
        <f aca="false">J313*K313</f>
        <v>109.14</v>
      </c>
      <c r="M313" s="43" t="n">
        <f aca="false">H313*17.84*(1+'Chart of Accounts'!$E$67)</f>
        <v>65.570028</v>
      </c>
    </row>
    <row r="314" customFormat="false" ht="15" hidden="false" customHeight="false" outlineLevel="0" collapsed="false">
      <c r="B314" s="7" t="s">
        <v>811</v>
      </c>
      <c r="C314" s="39" t="n">
        <v>45673</v>
      </c>
      <c r="D314" s="7" t="s">
        <v>343</v>
      </c>
      <c r="E314" s="7" t="s">
        <v>154</v>
      </c>
      <c r="F314" s="7" t="s">
        <v>262</v>
      </c>
      <c r="G314" s="7" t="s">
        <v>505</v>
      </c>
      <c r="H314" s="6" t="n">
        <v>4.21</v>
      </c>
      <c r="I314" s="6" t="n">
        <v>0</v>
      </c>
      <c r="J314" s="40" t="n">
        <f aca="false">H314-I314</f>
        <v>4.21</v>
      </c>
      <c r="K314" s="41" t="n">
        <v>26.5</v>
      </c>
      <c r="L314" s="42" t="n">
        <f aca="false">J314*K314</f>
        <v>111.565</v>
      </c>
      <c r="M314" s="43" t="n">
        <f aca="false">H314*16.02*(1+'Chart of Accounts'!$E$67)</f>
        <v>77.223609</v>
      </c>
    </row>
    <row r="315" customFormat="false" ht="15" hidden="false" customHeight="false" outlineLevel="0" collapsed="false">
      <c r="B315" s="7" t="s">
        <v>812</v>
      </c>
      <c r="C315" s="39" t="n">
        <v>45673</v>
      </c>
      <c r="D315" s="7" t="s">
        <v>359</v>
      </c>
      <c r="E315" s="7" t="s">
        <v>156</v>
      </c>
      <c r="F315" s="7" t="s">
        <v>212</v>
      </c>
      <c r="G315" s="7" t="s">
        <v>505</v>
      </c>
      <c r="H315" s="6" t="n">
        <v>3.72</v>
      </c>
      <c r="I315" s="6" t="n">
        <v>0</v>
      </c>
      <c r="J315" s="40" t="n">
        <f aca="false">H315-I315</f>
        <v>3.72</v>
      </c>
      <c r="K315" s="41" t="n">
        <v>34</v>
      </c>
      <c r="L315" s="42" t="n">
        <f aca="false">J315*K315</f>
        <v>126.48</v>
      </c>
      <c r="M315" s="43" t="n">
        <f aca="false">H315*16.71*(1+'Chart of Accounts'!$E$67)</f>
        <v>71.174574</v>
      </c>
    </row>
    <row r="316" customFormat="false" ht="15" hidden="false" customHeight="false" outlineLevel="0" collapsed="false">
      <c r="B316" s="7" t="s">
        <v>813</v>
      </c>
      <c r="C316" s="39" t="n">
        <v>45673</v>
      </c>
      <c r="D316" s="7" t="s">
        <v>363</v>
      </c>
      <c r="E316" s="7" t="s">
        <v>156</v>
      </c>
      <c r="F316" s="7" t="s">
        <v>246</v>
      </c>
      <c r="G316" s="7" t="s">
        <v>505</v>
      </c>
      <c r="H316" s="6" t="n">
        <v>3.78</v>
      </c>
      <c r="I316" s="6" t="n">
        <v>0</v>
      </c>
      <c r="J316" s="40" t="n">
        <f aca="false">H316-I316</f>
        <v>3.78</v>
      </c>
      <c r="K316" s="41" t="n">
        <v>34</v>
      </c>
      <c r="L316" s="42" t="n">
        <f aca="false">J316*K316</f>
        <v>128.52</v>
      </c>
      <c r="M316" s="43" t="n">
        <f aca="false">H316*16.48*(1+'Chart of Accounts'!$E$67)</f>
        <v>71.327088</v>
      </c>
    </row>
    <row r="317" customFormat="false" ht="15" hidden="false" customHeight="false" outlineLevel="0" collapsed="false">
      <c r="B317" s="7" t="s">
        <v>814</v>
      </c>
      <c r="C317" s="39" t="n">
        <v>45673</v>
      </c>
      <c r="D317" s="7" t="s">
        <v>375</v>
      </c>
      <c r="E317" s="7" t="s">
        <v>156</v>
      </c>
      <c r="F317" s="7" t="s">
        <v>196</v>
      </c>
      <c r="G317" s="7" t="s">
        <v>505</v>
      </c>
      <c r="H317" s="6" t="n">
        <v>2.72</v>
      </c>
      <c r="I317" s="6" t="n">
        <v>0</v>
      </c>
      <c r="J317" s="40" t="n">
        <f aca="false">H317-I317</f>
        <v>2.72</v>
      </c>
      <c r="K317" s="41" t="n">
        <v>34</v>
      </c>
      <c r="L317" s="42" t="n">
        <f aca="false">J317*K317</f>
        <v>92.48</v>
      </c>
      <c r="M317" s="43" t="n">
        <f aca="false">H317*15.05*(1+'Chart of Accounts'!$E$67)</f>
        <v>46.87172</v>
      </c>
    </row>
    <row r="318" customFormat="false" ht="15" hidden="false" customHeight="false" outlineLevel="0" collapsed="false">
      <c r="B318" s="7" t="s">
        <v>815</v>
      </c>
      <c r="C318" s="39" t="n">
        <v>45673</v>
      </c>
      <c r="D318" s="7" t="s">
        <v>377</v>
      </c>
      <c r="E318" s="7" t="s">
        <v>154</v>
      </c>
      <c r="F318" s="7" t="s">
        <v>214</v>
      </c>
      <c r="G318" s="7" t="s">
        <v>505</v>
      </c>
      <c r="H318" s="6" t="n">
        <v>3.79</v>
      </c>
      <c r="I318" s="6" t="n">
        <v>0</v>
      </c>
      <c r="J318" s="40" t="n">
        <f aca="false">H318-I318</f>
        <v>3.79</v>
      </c>
      <c r="K318" s="41" t="n">
        <v>26.5</v>
      </c>
      <c r="L318" s="42" t="n">
        <f aca="false">J318*K318</f>
        <v>100.435</v>
      </c>
      <c r="M318" s="43" t="n">
        <f aca="false">H318*15.67*(1+'Chart of Accounts'!$E$67)</f>
        <v>68.0007485</v>
      </c>
    </row>
    <row r="319" customFormat="false" ht="15" hidden="false" customHeight="false" outlineLevel="0" collapsed="false">
      <c r="B319" s="7" t="s">
        <v>816</v>
      </c>
      <c r="C319" s="39" t="n">
        <v>45673</v>
      </c>
      <c r="D319" s="7" t="s">
        <v>389</v>
      </c>
      <c r="E319" s="7" t="s">
        <v>154</v>
      </c>
      <c r="F319" s="7" t="s">
        <v>246</v>
      </c>
      <c r="G319" s="7" t="s">
        <v>505</v>
      </c>
      <c r="H319" s="6" t="n">
        <v>3.62</v>
      </c>
      <c r="I319" s="6" t="n">
        <v>0</v>
      </c>
      <c r="J319" s="40" t="n">
        <f aca="false">H319-I319</f>
        <v>3.62</v>
      </c>
      <c r="K319" s="41" t="n">
        <v>26.5</v>
      </c>
      <c r="L319" s="42" t="n">
        <f aca="false">J319*K319</f>
        <v>95.93</v>
      </c>
      <c r="M319" s="43" t="n">
        <f aca="false">H319*16.48*(1+'Chart of Accounts'!$E$67)</f>
        <v>68.307952</v>
      </c>
    </row>
    <row r="320" customFormat="false" ht="15" hidden="false" customHeight="false" outlineLevel="0" collapsed="false">
      <c r="B320" s="7" t="s">
        <v>817</v>
      </c>
      <c r="C320" s="39" t="n">
        <v>45673</v>
      </c>
      <c r="D320" s="7" t="s">
        <v>391</v>
      </c>
      <c r="E320" s="7" t="s">
        <v>156</v>
      </c>
      <c r="F320" s="7" t="s">
        <v>222</v>
      </c>
      <c r="G320" s="7" t="s">
        <v>505</v>
      </c>
      <c r="H320" s="6" t="n">
        <v>4.12</v>
      </c>
      <c r="I320" s="6" t="n">
        <v>0</v>
      </c>
      <c r="J320" s="40" t="n">
        <f aca="false">H320-I320</f>
        <v>4.12</v>
      </c>
      <c r="K320" s="41" t="n">
        <v>34</v>
      </c>
      <c r="L320" s="42" t="n">
        <f aca="false">J320*K320</f>
        <v>140.08</v>
      </c>
      <c r="M320" s="43" t="n">
        <f aca="false">H320*17.84*(1+'Chart of Accounts'!$E$67)</f>
        <v>84.158416</v>
      </c>
    </row>
    <row r="321" customFormat="false" ht="15" hidden="false" customHeight="false" outlineLevel="0" collapsed="false">
      <c r="B321" s="7" t="s">
        <v>818</v>
      </c>
      <c r="C321" s="39" t="n">
        <v>45673</v>
      </c>
      <c r="D321" s="7" t="s">
        <v>395</v>
      </c>
      <c r="E321" s="7" t="s">
        <v>156</v>
      </c>
      <c r="F321" s="7" t="s">
        <v>242</v>
      </c>
      <c r="G321" s="7" t="s">
        <v>505</v>
      </c>
      <c r="H321" s="6" t="n">
        <v>3.83</v>
      </c>
      <c r="I321" s="6" t="n">
        <v>0</v>
      </c>
      <c r="J321" s="40" t="n">
        <f aca="false">H321-I321</f>
        <v>3.83</v>
      </c>
      <c r="K321" s="41" t="n">
        <v>34</v>
      </c>
      <c r="L321" s="42" t="n">
        <f aca="false">J321*K321</f>
        <v>130.22</v>
      </c>
      <c r="M321" s="43" t="n">
        <f aca="false">H321*17.99*(1+'Chart of Accounts'!$E$67)</f>
        <v>78.8924465</v>
      </c>
    </row>
    <row r="322" customFormat="false" ht="15" hidden="false" customHeight="false" outlineLevel="0" collapsed="false">
      <c r="B322" s="7" t="s">
        <v>819</v>
      </c>
      <c r="C322" s="39" t="n">
        <v>45673</v>
      </c>
      <c r="D322" s="7" t="s">
        <v>401</v>
      </c>
      <c r="E322" s="7" t="s">
        <v>156</v>
      </c>
      <c r="F322" s="7" t="s">
        <v>254</v>
      </c>
      <c r="G322" s="7" t="s">
        <v>505</v>
      </c>
      <c r="H322" s="6" t="n">
        <v>3.71</v>
      </c>
      <c r="I322" s="6" t="n">
        <v>0</v>
      </c>
      <c r="J322" s="40" t="n">
        <f aca="false">H322-I322</f>
        <v>3.71</v>
      </c>
      <c r="K322" s="41" t="n">
        <v>34</v>
      </c>
      <c r="L322" s="42" t="n">
        <f aca="false">J322*K322</f>
        <v>126.14</v>
      </c>
      <c r="M322" s="43" t="n">
        <f aca="false">H322*17.1*(1+'Chart of Accounts'!$E$67)</f>
        <v>72.639945</v>
      </c>
    </row>
    <row r="323" customFormat="false" ht="15" hidden="false" customHeight="false" outlineLevel="0" collapsed="false">
      <c r="B323" s="7" t="s">
        <v>820</v>
      </c>
      <c r="C323" s="39" t="n">
        <v>45674</v>
      </c>
      <c r="D323" s="7" t="s">
        <v>280</v>
      </c>
      <c r="E323" s="7" t="s">
        <v>157</v>
      </c>
      <c r="F323" s="7" t="s">
        <v>187</v>
      </c>
      <c r="G323" s="7" t="s">
        <v>502</v>
      </c>
      <c r="H323" s="6" t="n">
        <v>0.9</v>
      </c>
      <c r="I323" s="6" t="n">
        <v>0</v>
      </c>
      <c r="J323" s="40" t="n">
        <f aca="false">H323-I323</f>
        <v>0.9</v>
      </c>
      <c r="K323" s="41" t="n">
        <v>165</v>
      </c>
      <c r="L323" s="42" t="n">
        <f aca="false">J323*K323</f>
        <v>148.5</v>
      </c>
      <c r="M323" s="43" t="n">
        <f aca="false">H323*66.48*(1+'Chart of Accounts'!$E$67)</f>
        <v>68.50764</v>
      </c>
    </row>
    <row r="324" customFormat="false" ht="15" hidden="false" customHeight="false" outlineLevel="0" collapsed="false">
      <c r="B324" s="7" t="s">
        <v>821</v>
      </c>
      <c r="C324" s="39" t="n">
        <v>45674</v>
      </c>
      <c r="D324" s="7" t="s">
        <v>288</v>
      </c>
      <c r="E324" s="7" t="s">
        <v>156</v>
      </c>
      <c r="F324" s="7" t="s">
        <v>191</v>
      </c>
      <c r="G324" s="7" t="s">
        <v>505</v>
      </c>
      <c r="H324" s="6" t="n">
        <v>4.27</v>
      </c>
      <c r="I324" s="6" t="n">
        <v>0</v>
      </c>
      <c r="J324" s="40" t="n">
        <f aca="false">H324-I324</f>
        <v>4.27</v>
      </c>
      <c r="K324" s="41" t="n">
        <v>34</v>
      </c>
      <c r="L324" s="42" t="n">
        <f aca="false">J324*K324</f>
        <v>145.18</v>
      </c>
      <c r="M324" s="43" t="n">
        <f aca="false">H324*16.05*(1+'Chart of Accounts'!$E$67)</f>
        <v>78.4708575</v>
      </c>
    </row>
    <row r="325" customFormat="false" ht="15" hidden="false" customHeight="false" outlineLevel="0" collapsed="false">
      <c r="B325" s="7" t="s">
        <v>822</v>
      </c>
      <c r="C325" s="39" t="n">
        <v>45674</v>
      </c>
      <c r="D325" s="7" t="s">
        <v>291</v>
      </c>
      <c r="E325" s="7" t="s">
        <v>154</v>
      </c>
      <c r="F325" s="7" t="s">
        <v>194</v>
      </c>
      <c r="G325" s="7" t="s">
        <v>505</v>
      </c>
      <c r="H325" s="6" t="n">
        <v>4.69</v>
      </c>
      <c r="I325" s="6" t="n">
        <v>0</v>
      </c>
      <c r="J325" s="40" t="n">
        <f aca="false">H325-I325</f>
        <v>4.69</v>
      </c>
      <c r="K325" s="41" t="n">
        <v>26.5</v>
      </c>
      <c r="L325" s="42" t="n">
        <f aca="false">J325*K325</f>
        <v>124.285</v>
      </c>
      <c r="M325" s="43" t="n">
        <f aca="false">H325*16*(1+'Chart of Accounts'!$E$67)</f>
        <v>85.9208</v>
      </c>
    </row>
    <row r="326" customFormat="false" ht="15" hidden="false" customHeight="false" outlineLevel="0" collapsed="false">
      <c r="B326" s="7" t="s">
        <v>823</v>
      </c>
      <c r="C326" s="39" t="n">
        <v>45674</v>
      </c>
      <c r="D326" s="7" t="s">
        <v>301</v>
      </c>
      <c r="E326" s="7" t="s">
        <v>157</v>
      </c>
      <c r="F326" s="7" t="s">
        <v>209</v>
      </c>
      <c r="G326" s="7" t="s">
        <v>502</v>
      </c>
      <c r="H326" s="6" t="n">
        <v>0.96</v>
      </c>
      <c r="I326" s="6" t="n">
        <v>0</v>
      </c>
      <c r="J326" s="40" t="n">
        <f aca="false">H326-I326</f>
        <v>0.96</v>
      </c>
      <c r="K326" s="41" t="n">
        <v>165</v>
      </c>
      <c r="L326" s="42" t="n">
        <f aca="false">J326*K326</f>
        <v>158.4</v>
      </c>
      <c r="M326" s="43" t="n">
        <f aca="false">H326*73.58*(1+'Chart of Accounts'!$E$67)</f>
        <v>80.879136</v>
      </c>
    </row>
    <row r="327" customFormat="false" ht="15" hidden="false" customHeight="false" outlineLevel="0" collapsed="false">
      <c r="B327" s="7" t="s">
        <v>824</v>
      </c>
      <c r="C327" s="39" t="n">
        <v>45674</v>
      </c>
      <c r="D327" s="7" t="s">
        <v>305</v>
      </c>
      <c r="E327" s="7" t="s">
        <v>154</v>
      </c>
      <c r="F327" s="7" t="s">
        <v>205</v>
      </c>
      <c r="G327" s="7" t="s">
        <v>505</v>
      </c>
      <c r="H327" s="6" t="n">
        <v>4.24</v>
      </c>
      <c r="I327" s="6" t="n">
        <v>0.127</v>
      </c>
      <c r="J327" s="40" t="n">
        <f aca="false">H327-I327</f>
        <v>4.113</v>
      </c>
      <c r="K327" s="41" t="n">
        <v>26.5</v>
      </c>
      <c r="L327" s="42" t="n">
        <f aca="false">J327*K327</f>
        <v>108.9945</v>
      </c>
      <c r="M327" s="43" t="n">
        <f aca="false">H327*16.36*(1+'Chart of Accounts'!$E$67)</f>
        <v>79.424528</v>
      </c>
    </row>
    <row r="328" customFormat="false" ht="15" hidden="false" customHeight="false" outlineLevel="0" collapsed="false">
      <c r="B328" s="7" t="s">
        <v>825</v>
      </c>
      <c r="C328" s="39" t="n">
        <v>45674</v>
      </c>
      <c r="D328" s="7" t="s">
        <v>309</v>
      </c>
      <c r="E328" s="7" t="s">
        <v>159</v>
      </c>
      <c r="F328" s="7" t="s">
        <v>252</v>
      </c>
      <c r="G328" s="7" t="s">
        <v>502</v>
      </c>
      <c r="H328" s="6" t="n">
        <v>1.08</v>
      </c>
      <c r="I328" s="6" t="n">
        <v>0.076</v>
      </c>
      <c r="J328" s="40" t="n">
        <f aca="false">H328-I328</f>
        <v>1.004</v>
      </c>
      <c r="K328" s="41" t="n">
        <v>135</v>
      </c>
      <c r="L328" s="42" t="n">
        <f aca="false">J328*K328</f>
        <v>135.54</v>
      </c>
      <c r="M328" s="43" t="n">
        <f aca="false">H328*57.54*(1+'Chart of Accounts'!$E$67)</f>
        <v>71.153964</v>
      </c>
    </row>
    <row r="329" customFormat="false" ht="15" hidden="false" customHeight="false" outlineLevel="0" collapsed="false">
      <c r="B329" s="7" t="s">
        <v>826</v>
      </c>
      <c r="C329" s="39" t="n">
        <v>45674</v>
      </c>
      <c r="D329" s="7" t="s">
        <v>313</v>
      </c>
      <c r="E329" s="7" t="s">
        <v>156</v>
      </c>
      <c r="F329" s="7" t="s">
        <v>184</v>
      </c>
      <c r="G329" s="7" t="s">
        <v>505</v>
      </c>
      <c r="H329" s="6" t="n">
        <v>4.01</v>
      </c>
      <c r="I329" s="6" t="n">
        <v>0</v>
      </c>
      <c r="J329" s="40" t="n">
        <f aca="false">H329-I329</f>
        <v>4.01</v>
      </c>
      <c r="K329" s="41" t="n">
        <v>34</v>
      </c>
      <c r="L329" s="42" t="n">
        <f aca="false">J329*K329</f>
        <v>136.34</v>
      </c>
      <c r="M329" s="43" t="n">
        <f aca="false">H329*17.34*(1+'Chart of Accounts'!$E$67)</f>
        <v>79.615743</v>
      </c>
    </row>
    <row r="330" customFormat="false" ht="15" hidden="false" customHeight="false" outlineLevel="0" collapsed="false">
      <c r="B330" s="7" t="s">
        <v>827</v>
      </c>
      <c r="C330" s="39" t="n">
        <v>45674</v>
      </c>
      <c r="D330" s="7" t="s">
        <v>319</v>
      </c>
      <c r="E330" s="7" t="s">
        <v>157</v>
      </c>
      <c r="F330" s="7" t="s">
        <v>234</v>
      </c>
      <c r="G330" s="7" t="s">
        <v>502</v>
      </c>
      <c r="H330" s="6" t="n">
        <v>0.99</v>
      </c>
      <c r="I330" s="6" t="n">
        <v>0</v>
      </c>
      <c r="J330" s="40" t="n">
        <f aca="false">H330-I330</f>
        <v>0.99</v>
      </c>
      <c r="K330" s="41" t="n">
        <v>165</v>
      </c>
      <c r="L330" s="42" t="n">
        <f aca="false">J330*K330</f>
        <v>163.35</v>
      </c>
      <c r="M330" s="43" t="n">
        <f aca="false">H330*89.53*(1+'Chart of Accounts'!$E$67)</f>
        <v>101.4867315</v>
      </c>
    </row>
    <row r="331" customFormat="false" ht="15" hidden="false" customHeight="false" outlineLevel="0" collapsed="false">
      <c r="B331" s="7" t="s">
        <v>828</v>
      </c>
      <c r="C331" s="39" t="n">
        <v>45674</v>
      </c>
      <c r="D331" s="7" t="s">
        <v>321</v>
      </c>
      <c r="E331" s="7" t="s">
        <v>154</v>
      </c>
      <c r="F331" s="7" t="s">
        <v>218</v>
      </c>
      <c r="G331" s="7" t="s">
        <v>505</v>
      </c>
      <c r="H331" s="6" t="n">
        <v>3.93</v>
      </c>
      <c r="I331" s="6" t="n">
        <v>0.118</v>
      </c>
      <c r="J331" s="40" t="n">
        <f aca="false">H331-I331</f>
        <v>3.812</v>
      </c>
      <c r="K331" s="41" t="n">
        <v>26.5</v>
      </c>
      <c r="L331" s="42" t="n">
        <f aca="false">J331*K331</f>
        <v>101.018</v>
      </c>
      <c r="M331" s="43" t="n">
        <f aca="false">H331*16.19*(1+'Chart of Accounts'!$E$67)</f>
        <v>72.8525715</v>
      </c>
    </row>
    <row r="332" customFormat="false" ht="15" hidden="false" customHeight="false" outlineLevel="0" collapsed="false">
      <c r="B332" s="7" t="s">
        <v>829</v>
      </c>
      <c r="C332" s="39" t="n">
        <v>45674</v>
      </c>
      <c r="D332" s="7" t="s">
        <v>323</v>
      </c>
      <c r="E332" s="7" t="s">
        <v>159</v>
      </c>
      <c r="F332" s="7" t="s">
        <v>266</v>
      </c>
      <c r="G332" s="7" t="s">
        <v>502</v>
      </c>
      <c r="H332" s="6" t="n">
        <v>1.09</v>
      </c>
      <c r="I332" s="6" t="n">
        <v>0</v>
      </c>
      <c r="J332" s="40" t="n">
        <f aca="false">H332-I332</f>
        <v>1.09</v>
      </c>
      <c r="K332" s="41" t="n">
        <v>135</v>
      </c>
      <c r="L332" s="42" t="n">
        <f aca="false">J332*K332</f>
        <v>147.15</v>
      </c>
      <c r="M332" s="43" t="n">
        <f aca="false">H332*75.18*(1+'Chart of Accounts'!$E$67)</f>
        <v>93.828399</v>
      </c>
    </row>
    <row r="333" customFormat="false" ht="15" hidden="false" customHeight="false" outlineLevel="0" collapsed="false">
      <c r="B333" s="7" t="s">
        <v>830</v>
      </c>
      <c r="C333" s="39" t="n">
        <v>45674</v>
      </c>
      <c r="D333" s="7" t="s">
        <v>327</v>
      </c>
      <c r="E333" s="7" t="s">
        <v>157</v>
      </c>
      <c r="F333" s="7" t="s">
        <v>228</v>
      </c>
      <c r="G333" s="7" t="s">
        <v>502</v>
      </c>
      <c r="H333" s="6" t="n">
        <v>1</v>
      </c>
      <c r="I333" s="6" t="n">
        <v>0</v>
      </c>
      <c r="J333" s="40" t="n">
        <f aca="false">H333-I333</f>
        <v>1</v>
      </c>
      <c r="K333" s="41" t="n">
        <v>165</v>
      </c>
      <c r="L333" s="42" t="n">
        <f aca="false">J333*K333</f>
        <v>165</v>
      </c>
      <c r="M333" s="43" t="n">
        <f aca="false">H333*51.07*(1+'Chart of Accounts'!$E$67)</f>
        <v>58.47515</v>
      </c>
    </row>
    <row r="334" customFormat="false" ht="15" hidden="false" customHeight="false" outlineLevel="0" collapsed="false">
      <c r="B334" s="7" t="s">
        <v>831</v>
      </c>
      <c r="C334" s="39" t="n">
        <v>45674</v>
      </c>
      <c r="D334" s="7" t="s">
        <v>329</v>
      </c>
      <c r="E334" s="7" t="s">
        <v>156</v>
      </c>
      <c r="F334" s="7" t="s">
        <v>220</v>
      </c>
      <c r="G334" s="7" t="s">
        <v>505</v>
      </c>
      <c r="H334" s="6" t="n">
        <v>3.91</v>
      </c>
      <c r="I334" s="6" t="n">
        <v>0</v>
      </c>
      <c r="J334" s="40" t="n">
        <f aca="false">H334-I334</f>
        <v>3.91</v>
      </c>
      <c r="K334" s="41" t="n">
        <v>34</v>
      </c>
      <c r="L334" s="42" t="n">
        <f aca="false">J334*K334</f>
        <v>132.94</v>
      </c>
      <c r="M334" s="43" t="n">
        <f aca="false">H334*16.43*(1+'Chart of Accounts'!$E$67)</f>
        <v>73.5562885</v>
      </c>
    </row>
    <row r="335" customFormat="false" ht="15" hidden="false" customHeight="false" outlineLevel="0" collapsed="false">
      <c r="B335" s="7" t="s">
        <v>832</v>
      </c>
      <c r="C335" s="39" t="n">
        <v>45674</v>
      </c>
      <c r="D335" s="7" t="s">
        <v>335</v>
      </c>
      <c r="E335" s="7" t="s">
        <v>154</v>
      </c>
      <c r="F335" s="7" t="s">
        <v>177</v>
      </c>
      <c r="G335" s="7" t="s">
        <v>505</v>
      </c>
      <c r="H335" s="6" t="n">
        <v>4.38</v>
      </c>
      <c r="I335" s="6" t="n">
        <v>0.131</v>
      </c>
      <c r="J335" s="40" t="n">
        <f aca="false">H335-I335</f>
        <v>4.249</v>
      </c>
      <c r="K335" s="41" t="n">
        <v>26.5</v>
      </c>
      <c r="L335" s="42" t="n">
        <f aca="false">J335*K335</f>
        <v>112.5985</v>
      </c>
      <c r="M335" s="43" t="n">
        <f aca="false">H335*14.56*(1+'Chart of Accounts'!$E$67)</f>
        <v>73.019856</v>
      </c>
    </row>
    <row r="336" customFormat="false" ht="15" hidden="false" customHeight="false" outlineLevel="0" collapsed="false">
      <c r="B336" s="7" t="s">
        <v>833</v>
      </c>
      <c r="C336" s="39" t="n">
        <v>45674</v>
      </c>
      <c r="D336" s="7" t="s">
        <v>339</v>
      </c>
      <c r="E336" s="7" t="s">
        <v>154</v>
      </c>
      <c r="F336" s="7" t="s">
        <v>242</v>
      </c>
      <c r="G336" s="7" t="s">
        <v>505</v>
      </c>
      <c r="H336" s="6" t="n">
        <v>3.53</v>
      </c>
      <c r="I336" s="6" t="n">
        <v>0</v>
      </c>
      <c r="J336" s="40" t="n">
        <f aca="false">H336-I336</f>
        <v>3.53</v>
      </c>
      <c r="K336" s="41" t="n">
        <v>26.5</v>
      </c>
      <c r="L336" s="42" t="n">
        <f aca="false">J336*K336</f>
        <v>93.545</v>
      </c>
      <c r="M336" s="43" t="n">
        <f aca="false">H336*17.99*(1+'Chart of Accounts'!$E$67)</f>
        <v>72.7128815</v>
      </c>
    </row>
    <row r="337" customFormat="false" ht="15" hidden="false" customHeight="false" outlineLevel="0" collapsed="false">
      <c r="B337" s="7" t="s">
        <v>834</v>
      </c>
      <c r="C337" s="39" t="n">
        <v>45674</v>
      </c>
      <c r="D337" s="7" t="s">
        <v>353</v>
      </c>
      <c r="E337" s="7" t="s">
        <v>154</v>
      </c>
      <c r="F337" s="7" t="s">
        <v>254</v>
      </c>
      <c r="G337" s="7" t="s">
        <v>505</v>
      </c>
      <c r="H337" s="6" t="n">
        <v>3.42</v>
      </c>
      <c r="I337" s="6" t="n">
        <v>0</v>
      </c>
      <c r="J337" s="40" t="n">
        <f aca="false">H337-I337</f>
        <v>3.42</v>
      </c>
      <c r="K337" s="41" t="n">
        <v>26.5</v>
      </c>
      <c r="L337" s="42" t="n">
        <f aca="false">J337*K337</f>
        <v>90.63</v>
      </c>
      <c r="M337" s="43" t="n">
        <f aca="false">H337*17.1*(1+'Chart of Accounts'!$E$67)</f>
        <v>66.96189</v>
      </c>
    </row>
    <row r="338" customFormat="false" ht="15" hidden="false" customHeight="false" outlineLevel="0" collapsed="false">
      <c r="B338" s="7" t="s">
        <v>835</v>
      </c>
      <c r="C338" s="39" t="n">
        <v>45674</v>
      </c>
      <c r="D338" s="7" t="s">
        <v>355</v>
      </c>
      <c r="E338" s="7" t="s">
        <v>154</v>
      </c>
      <c r="F338" s="7" t="s">
        <v>201</v>
      </c>
      <c r="G338" s="7" t="s">
        <v>505</v>
      </c>
      <c r="H338" s="6" t="n">
        <v>3.22</v>
      </c>
      <c r="I338" s="6" t="n">
        <v>0</v>
      </c>
      <c r="J338" s="40" t="n">
        <f aca="false">H338-I338</f>
        <v>3.22</v>
      </c>
      <c r="K338" s="41" t="n">
        <v>26.5</v>
      </c>
      <c r="L338" s="42" t="n">
        <f aca="false">J338*K338</f>
        <v>85.33</v>
      </c>
      <c r="M338" s="43" t="n">
        <f aca="false">H338*15.19*(1+'Chart of Accounts'!$E$67)</f>
        <v>56.004011</v>
      </c>
    </row>
    <row r="339" customFormat="false" ht="15" hidden="false" customHeight="false" outlineLevel="0" collapsed="false">
      <c r="B339" s="7" t="s">
        <v>836</v>
      </c>
      <c r="C339" s="39" t="n">
        <v>45674</v>
      </c>
      <c r="D339" s="7" t="s">
        <v>357</v>
      </c>
      <c r="E339" s="7" t="s">
        <v>154</v>
      </c>
      <c r="F339" s="7" t="s">
        <v>207</v>
      </c>
      <c r="G339" s="7" t="s">
        <v>505</v>
      </c>
      <c r="H339" s="6" t="n">
        <v>3.54</v>
      </c>
      <c r="I339" s="6" t="n">
        <v>0</v>
      </c>
      <c r="J339" s="40" t="n">
        <f aca="false">H339-I339</f>
        <v>3.54</v>
      </c>
      <c r="K339" s="41" t="n">
        <v>26.5</v>
      </c>
      <c r="L339" s="42" t="n">
        <f aca="false">J339*K339</f>
        <v>93.81</v>
      </c>
      <c r="M339" s="43" t="n">
        <f aca="false">H339*16.65*(1+'Chart of Accounts'!$E$67)</f>
        <v>67.487445</v>
      </c>
    </row>
    <row r="340" customFormat="false" ht="15" hidden="false" customHeight="false" outlineLevel="0" collapsed="false">
      <c r="B340" s="7" t="s">
        <v>837</v>
      </c>
      <c r="C340" s="39" t="n">
        <v>45674</v>
      </c>
      <c r="D340" s="7" t="s">
        <v>359</v>
      </c>
      <c r="E340" s="7" t="s">
        <v>156</v>
      </c>
      <c r="F340" s="7" t="s">
        <v>212</v>
      </c>
      <c r="G340" s="7" t="s">
        <v>505</v>
      </c>
      <c r="H340" s="6" t="n">
        <v>3.97</v>
      </c>
      <c r="I340" s="6" t="n">
        <v>0</v>
      </c>
      <c r="J340" s="40" t="n">
        <f aca="false">H340-I340</f>
        <v>3.97</v>
      </c>
      <c r="K340" s="41" t="n">
        <v>34</v>
      </c>
      <c r="L340" s="42" t="n">
        <f aca="false">J340*K340</f>
        <v>134.98</v>
      </c>
      <c r="M340" s="43" t="n">
        <f aca="false">H340*16.71*(1+'Chart of Accounts'!$E$67)</f>
        <v>75.9578115</v>
      </c>
    </row>
    <row r="341" customFormat="false" ht="15" hidden="false" customHeight="false" outlineLevel="0" collapsed="false">
      <c r="B341" s="7" t="s">
        <v>838</v>
      </c>
      <c r="C341" s="39" t="n">
        <v>45674</v>
      </c>
      <c r="D341" s="7" t="s">
        <v>361</v>
      </c>
      <c r="E341" s="7" t="s">
        <v>157</v>
      </c>
      <c r="F341" s="7" t="s">
        <v>209</v>
      </c>
      <c r="G341" s="7" t="s">
        <v>502</v>
      </c>
      <c r="H341" s="6" t="n">
        <v>1.06</v>
      </c>
      <c r="I341" s="6" t="n">
        <v>0</v>
      </c>
      <c r="J341" s="40" t="n">
        <f aca="false">H341-I341</f>
        <v>1.06</v>
      </c>
      <c r="K341" s="41" t="n">
        <v>165</v>
      </c>
      <c r="L341" s="42" t="n">
        <f aca="false">J341*K341</f>
        <v>174.9</v>
      </c>
      <c r="M341" s="43" t="n">
        <f aca="false">H341*73.58*(1+'Chart of Accounts'!$E$67)</f>
        <v>89.304046</v>
      </c>
    </row>
    <row r="342" customFormat="false" ht="15" hidden="false" customHeight="false" outlineLevel="0" collapsed="false">
      <c r="B342" s="7" t="s">
        <v>839</v>
      </c>
      <c r="C342" s="39" t="n">
        <v>45674</v>
      </c>
      <c r="D342" s="7" t="s">
        <v>371</v>
      </c>
      <c r="E342" s="7" t="s">
        <v>154</v>
      </c>
      <c r="F342" s="7" t="s">
        <v>232</v>
      </c>
      <c r="G342" s="7" t="s">
        <v>505</v>
      </c>
      <c r="H342" s="6" t="n">
        <v>4.63</v>
      </c>
      <c r="I342" s="6" t="n">
        <v>0.139</v>
      </c>
      <c r="J342" s="40" t="n">
        <f aca="false">H342-I342</f>
        <v>4.491</v>
      </c>
      <c r="K342" s="41" t="n">
        <v>26.5</v>
      </c>
      <c r="L342" s="42" t="n">
        <f aca="false">J342*K342</f>
        <v>119.0115</v>
      </c>
      <c r="M342" s="43" t="n">
        <f aca="false">H342*16.17*(1+'Chart of Accounts'!$E$67)</f>
        <v>85.7228295</v>
      </c>
    </row>
    <row r="343" customFormat="false" ht="15" hidden="false" customHeight="false" outlineLevel="0" collapsed="false">
      <c r="B343" s="7" t="s">
        <v>840</v>
      </c>
      <c r="C343" s="39" t="n">
        <v>45674</v>
      </c>
      <c r="D343" s="7" t="s">
        <v>379</v>
      </c>
      <c r="E343" s="7" t="s">
        <v>156</v>
      </c>
      <c r="F343" s="7" t="s">
        <v>224</v>
      </c>
      <c r="G343" s="7" t="s">
        <v>505</v>
      </c>
      <c r="H343" s="6" t="n">
        <v>4.39</v>
      </c>
      <c r="I343" s="6" t="n">
        <v>0</v>
      </c>
      <c r="J343" s="40" t="n">
        <f aca="false">H343-I343</f>
        <v>4.39</v>
      </c>
      <c r="K343" s="41" t="n">
        <v>34</v>
      </c>
      <c r="L343" s="42" t="n">
        <f aca="false">J343*K343</f>
        <v>149.26</v>
      </c>
      <c r="M343" s="43" t="n">
        <f aca="false">H343*14.93*(1+'Chart of Accounts'!$E$67)</f>
        <v>75.0463915</v>
      </c>
    </row>
    <row r="344" customFormat="false" ht="15" hidden="false" customHeight="false" outlineLevel="0" collapsed="false">
      <c r="B344" s="7" t="s">
        <v>841</v>
      </c>
      <c r="C344" s="39" t="n">
        <v>45674</v>
      </c>
      <c r="D344" s="7" t="s">
        <v>381</v>
      </c>
      <c r="E344" s="7" t="s">
        <v>157</v>
      </c>
      <c r="F344" s="7" t="s">
        <v>234</v>
      </c>
      <c r="G344" s="7" t="s">
        <v>502</v>
      </c>
      <c r="H344" s="6" t="n">
        <v>1</v>
      </c>
      <c r="I344" s="6" t="n">
        <v>0</v>
      </c>
      <c r="J344" s="40" t="n">
        <f aca="false">H344-I344</f>
        <v>1</v>
      </c>
      <c r="K344" s="41" t="n">
        <v>165</v>
      </c>
      <c r="L344" s="42" t="n">
        <f aca="false">J344*K344</f>
        <v>165</v>
      </c>
      <c r="M344" s="43" t="n">
        <f aca="false">H344*89.53*(1+'Chart of Accounts'!$E$67)</f>
        <v>102.51185</v>
      </c>
    </row>
    <row r="345" customFormat="false" ht="15" hidden="false" customHeight="false" outlineLevel="0" collapsed="false">
      <c r="B345" s="7" t="s">
        <v>842</v>
      </c>
      <c r="C345" s="39" t="n">
        <v>45674</v>
      </c>
      <c r="D345" s="7" t="s">
        <v>389</v>
      </c>
      <c r="E345" s="7" t="s">
        <v>154</v>
      </c>
      <c r="F345" s="7" t="s">
        <v>246</v>
      </c>
      <c r="G345" s="7" t="s">
        <v>505</v>
      </c>
      <c r="H345" s="6" t="n">
        <v>3.8</v>
      </c>
      <c r="I345" s="6" t="n">
        <v>0</v>
      </c>
      <c r="J345" s="40" t="n">
        <f aca="false">H345-I345</f>
        <v>3.8</v>
      </c>
      <c r="K345" s="41" t="n">
        <v>26.5</v>
      </c>
      <c r="L345" s="42" t="n">
        <f aca="false">J345*K345</f>
        <v>100.7</v>
      </c>
      <c r="M345" s="43" t="n">
        <f aca="false">H345*16.48*(1+'Chart of Accounts'!$E$67)</f>
        <v>71.70448</v>
      </c>
    </row>
    <row r="346" customFormat="false" ht="15" hidden="false" customHeight="false" outlineLevel="0" collapsed="false">
      <c r="B346" s="7" t="s">
        <v>843</v>
      </c>
      <c r="C346" s="39" t="n">
        <v>45674</v>
      </c>
      <c r="D346" s="7" t="s">
        <v>391</v>
      </c>
      <c r="E346" s="7" t="s">
        <v>156</v>
      </c>
      <c r="F346" s="7" t="s">
        <v>222</v>
      </c>
      <c r="G346" s="7" t="s">
        <v>505</v>
      </c>
      <c r="H346" s="6" t="n">
        <v>3.89</v>
      </c>
      <c r="I346" s="6" t="n">
        <v>0</v>
      </c>
      <c r="J346" s="40" t="n">
        <f aca="false">H346-I346</f>
        <v>3.89</v>
      </c>
      <c r="K346" s="41" t="n">
        <v>34</v>
      </c>
      <c r="L346" s="42" t="n">
        <f aca="false">J346*K346</f>
        <v>132.26</v>
      </c>
      <c r="M346" s="43" t="n">
        <f aca="false">H346*17.84*(1+'Chart of Accounts'!$E$67)</f>
        <v>79.460252</v>
      </c>
    </row>
    <row r="347" customFormat="false" ht="15" hidden="false" customHeight="false" outlineLevel="0" collapsed="false">
      <c r="B347" s="7" t="s">
        <v>844</v>
      </c>
      <c r="C347" s="39" t="n">
        <v>45674</v>
      </c>
      <c r="D347" s="7" t="s">
        <v>395</v>
      </c>
      <c r="E347" s="7" t="s">
        <v>156</v>
      </c>
      <c r="F347" s="7" t="s">
        <v>242</v>
      </c>
      <c r="G347" s="7" t="s">
        <v>505</v>
      </c>
      <c r="H347" s="6" t="n">
        <v>3.87</v>
      </c>
      <c r="I347" s="6" t="n">
        <v>0</v>
      </c>
      <c r="J347" s="40" t="n">
        <f aca="false">H347-I347</f>
        <v>3.87</v>
      </c>
      <c r="K347" s="41" t="n">
        <v>34</v>
      </c>
      <c r="L347" s="42" t="n">
        <f aca="false">J347*K347</f>
        <v>131.58</v>
      </c>
      <c r="M347" s="43" t="n">
        <f aca="false">H347*17.99*(1+'Chart of Accounts'!$E$67)</f>
        <v>79.7163885</v>
      </c>
    </row>
    <row r="348" customFormat="false" ht="15" hidden="false" customHeight="false" outlineLevel="0" collapsed="false">
      <c r="B348" s="7" t="s">
        <v>845</v>
      </c>
      <c r="C348" s="39" t="n">
        <v>45674</v>
      </c>
      <c r="D348" s="7" t="s">
        <v>399</v>
      </c>
      <c r="E348" s="7" t="s">
        <v>154</v>
      </c>
      <c r="F348" s="7" t="s">
        <v>262</v>
      </c>
      <c r="G348" s="7" t="s">
        <v>505</v>
      </c>
      <c r="H348" s="6" t="n">
        <v>3.59</v>
      </c>
      <c r="I348" s="6" t="n">
        <v>0</v>
      </c>
      <c r="J348" s="40" t="n">
        <f aca="false">H348-I348</f>
        <v>3.59</v>
      </c>
      <c r="K348" s="41" t="n">
        <v>26.5</v>
      </c>
      <c r="L348" s="42" t="n">
        <f aca="false">J348*K348</f>
        <v>95.135</v>
      </c>
      <c r="M348" s="43" t="n">
        <f aca="false">H348*16.02*(1+'Chart of Accounts'!$E$67)</f>
        <v>65.851011</v>
      </c>
    </row>
    <row r="349" customFormat="false" ht="15" hidden="false" customHeight="false" outlineLevel="0" collapsed="false">
      <c r="B349" s="7" t="s">
        <v>846</v>
      </c>
      <c r="C349" s="39" t="n">
        <v>45674</v>
      </c>
      <c r="D349" s="7" t="s">
        <v>401</v>
      </c>
      <c r="E349" s="7" t="s">
        <v>156</v>
      </c>
      <c r="F349" s="7" t="s">
        <v>254</v>
      </c>
      <c r="G349" s="7" t="s">
        <v>505</v>
      </c>
      <c r="H349" s="6" t="n">
        <v>3.91</v>
      </c>
      <c r="I349" s="6" t="n">
        <v>0</v>
      </c>
      <c r="J349" s="40" t="n">
        <f aca="false">H349-I349</f>
        <v>3.91</v>
      </c>
      <c r="K349" s="41" t="n">
        <v>34</v>
      </c>
      <c r="L349" s="42" t="n">
        <f aca="false">J349*K349</f>
        <v>132.94</v>
      </c>
      <c r="M349" s="43" t="n">
        <f aca="false">H349*17.1*(1+'Chart of Accounts'!$E$67)</f>
        <v>76.555845</v>
      </c>
    </row>
    <row r="350" customFormat="false" ht="15" hidden="false" customHeight="false" outlineLevel="0" collapsed="false">
      <c r="B350" s="7" t="s">
        <v>847</v>
      </c>
      <c r="C350" s="39" t="n">
        <v>45674</v>
      </c>
      <c r="D350" s="7" t="s">
        <v>407</v>
      </c>
      <c r="E350" s="7" t="s">
        <v>159</v>
      </c>
      <c r="F350" s="7" t="s">
        <v>260</v>
      </c>
      <c r="G350" s="7" t="s">
        <v>502</v>
      </c>
      <c r="H350" s="6" t="n">
        <v>1</v>
      </c>
      <c r="I350" s="6" t="n">
        <v>0</v>
      </c>
      <c r="J350" s="40" t="n">
        <f aca="false">H350-I350</f>
        <v>1</v>
      </c>
      <c r="K350" s="41" t="n">
        <v>135</v>
      </c>
      <c r="L350" s="42" t="n">
        <f aca="false">J350*K350</f>
        <v>135</v>
      </c>
      <c r="M350" s="43" t="n">
        <f aca="false">H350*79.8*(1+'Chart of Accounts'!$E$67)</f>
        <v>91.371</v>
      </c>
    </row>
    <row r="351" customFormat="false" ht="15" hidden="false" customHeight="false" outlineLevel="0" collapsed="false">
      <c r="B351" s="7" t="s">
        <v>848</v>
      </c>
      <c r="C351" s="39" t="n">
        <v>45674</v>
      </c>
      <c r="D351" s="7" t="s">
        <v>409</v>
      </c>
      <c r="E351" s="7" t="s">
        <v>154</v>
      </c>
      <c r="F351" s="7" t="s">
        <v>214</v>
      </c>
      <c r="G351" s="7" t="s">
        <v>505</v>
      </c>
      <c r="H351" s="6" t="n">
        <v>3.53</v>
      </c>
      <c r="I351" s="6" t="n">
        <v>0.106</v>
      </c>
      <c r="J351" s="40" t="n">
        <f aca="false">H351-I351</f>
        <v>3.424</v>
      </c>
      <c r="K351" s="41" t="n">
        <v>26.5</v>
      </c>
      <c r="L351" s="42" t="n">
        <f aca="false">J351*K351</f>
        <v>90.736</v>
      </c>
      <c r="M351" s="43" t="n">
        <f aca="false">H351*15.67*(1+'Chart of Accounts'!$E$67)</f>
        <v>63.3357895</v>
      </c>
    </row>
    <row r="352" customFormat="false" ht="15" hidden="false" customHeight="false" outlineLevel="0" collapsed="false">
      <c r="B352" s="7" t="s">
        <v>849</v>
      </c>
      <c r="C352" s="39" t="n">
        <v>45674</v>
      </c>
      <c r="D352" s="7" t="s">
        <v>411</v>
      </c>
      <c r="E352" s="7" t="s">
        <v>154</v>
      </c>
      <c r="F352" s="7" t="s">
        <v>177</v>
      </c>
      <c r="G352" s="7" t="s">
        <v>505</v>
      </c>
      <c r="H352" s="6" t="n">
        <v>4.76</v>
      </c>
      <c r="I352" s="6" t="n">
        <v>0</v>
      </c>
      <c r="J352" s="40" t="n">
        <f aca="false">H352-I352</f>
        <v>4.76</v>
      </c>
      <c r="K352" s="41" t="n">
        <v>26.5</v>
      </c>
      <c r="L352" s="42" t="n">
        <f aca="false">J352*K352</f>
        <v>126.14</v>
      </c>
      <c r="M352" s="43" t="n">
        <f aca="false">H352*14.56*(1+'Chart of Accounts'!$E$67)</f>
        <v>79.354912</v>
      </c>
    </row>
    <row r="353" customFormat="false" ht="15" hidden="false" customHeight="false" outlineLevel="0" collapsed="false">
      <c r="B353" s="7" t="s">
        <v>850</v>
      </c>
      <c r="C353" s="39" t="n">
        <v>45675</v>
      </c>
      <c r="D353" s="7" t="s">
        <v>288</v>
      </c>
      <c r="E353" s="7" t="s">
        <v>156</v>
      </c>
      <c r="F353" s="7" t="s">
        <v>191</v>
      </c>
      <c r="G353" s="7" t="s">
        <v>505</v>
      </c>
      <c r="H353" s="6" t="n">
        <v>3.86</v>
      </c>
      <c r="I353" s="6" t="n">
        <v>0</v>
      </c>
      <c r="J353" s="40" t="n">
        <f aca="false">H353-I353</f>
        <v>3.86</v>
      </c>
      <c r="K353" s="41" t="n">
        <v>34</v>
      </c>
      <c r="L353" s="42" t="n">
        <f aca="false">J353*K353</f>
        <v>131.24</v>
      </c>
      <c r="M353" s="43" t="n">
        <f aca="false">H353*16.05*(1+'Chart of Accounts'!$E$67)</f>
        <v>70.936185</v>
      </c>
    </row>
    <row r="354" customFormat="false" ht="15" hidden="false" customHeight="false" outlineLevel="0" collapsed="false">
      <c r="B354" s="7" t="s">
        <v>851</v>
      </c>
      <c r="C354" s="39" t="n">
        <v>45675</v>
      </c>
      <c r="D354" s="7" t="s">
        <v>321</v>
      </c>
      <c r="E354" s="7" t="s">
        <v>154</v>
      </c>
      <c r="F354" s="7" t="s">
        <v>218</v>
      </c>
      <c r="G354" s="7" t="s">
        <v>505</v>
      </c>
      <c r="H354" s="6" t="n">
        <v>3.85</v>
      </c>
      <c r="I354" s="6" t="n">
        <v>0</v>
      </c>
      <c r="J354" s="40" t="n">
        <f aca="false">H354-I354</f>
        <v>3.85</v>
      </c>
      <c r="K354" s="41" t="n">
        <v>26.5</v>
      </c>
      <c r="L354" s="42" t="n">
        <f aca="false">J354*K354</f>
        <v>102.025</v>
      </c>
      <c r="M354" s="43" t="n">
        <f aca="false">H354*16.19*(1+'Chart of Accounts'!$E$67)</f>
        <v>71.3695675</v>
      </c>
    </row>
    <row r="355" customFormat="false" ht="15" hidden="false" customHeight="false" outlineLevel="0" collapsed="false">
      <c r="B355" s="7" t="s">
        <v>852</v>
      </c>
      <c r="C355" s="39" t="n">
        <v>45675</v>
      </c>
      <c r="D355" s="7" t="s">
        <v>359</v>
      </c>
      <c r="E355" s="7" t="s">
        <v>156</v>
      </c>
      <c r="F355" s="7" t="s">
        <v>212</v>
      </c>
      <c r="G355" s="7" t="s">
        <v>505</v>
      </c>
      <c r="H355" s="6" t="n">
        <v>4.15</v>
      </c>
      <c r="I355" s="6" t="n">
        <v>0</v>
      </c>
      <c r="J355" s="40" t="n">
        <f aca="false">H355-I355</f>
        <v>4.15</v>
      </c>
      <c r="K355" s="41" t="n">
        <v>34</v>
      </c>
      <c r="L355" s="42" t="n">
        <f aca="false">J355*K355</f>
        <v>141.1</v>
      </c>
      <c r="M355" s="43" t="n">
        <f aca="false">H355*16.71*(1+'Chart of Accounts'!$E$67)</f>
        <v>79.4017425</v>
      </c>
    </row>
    <row r="356" customFormat="false" ht="15" hidden="false" customHeight="false" outlineLevel="0" collapsed="false">
      <c r="B356" s="7" t="s">
        <v>853</v>
      </c>
      <c r="C356" s="39" t="n">
        <v>45675</v>
      </c>
      <c r="D356" s="7" t="s">
        <v>391</v>
      </c>
      <c r="E356" s="7" t="s">
        <v>156</v>
      </c>
      <c r="F356" s="7" t="s">
        <v>222</v>
      </c>
      <c r="G356" s="7" t="s">
        <v>505</v>
      </c>
      <c r="H356" s="6" t="n">
        <v>4.3</v>
      </c>
      <c r="I356" s="6" t="n">
        <v>0</v>
      </c>
      <c r="J356" s="40" t="n">
        <f aca="false">H356-I356</f>
        <v>4.3</v>
      </c>
      <c r="K356" s="41" t="n">
        <v>34</v>
      </c>
      <c r="L356" s="42" t="n">
        <f aca="false">J356*K356</f>
        <v>146.2</v>
      </c>
      <c r="M356" s="43" t="n">
        <f aca="false">H356*17.84*(1+'Chart of Accounts'!$E$67)</f>
        <v>87.83524</v>
      </c>
    </row>
    <row r="357" customFormat="false" ht="15" hidden="false" customHeight="false" outlineLevel="0" collapsed="false">
      <c r="B357" s="7" t="s">
        <v>854</v>
      </c>
      <c r="C357" s="39" t="n">
        <v>45675</v>
      </c>
      <c r="D357" s="7" t="s">
        <v>395</v>
      </c>
      <c r="E357" s="7" t="s">
        <v>156</v>
      </c>
      <c r="F357" s="7" t="s">
        <v>242</v>
      </c>
      <c r="G357" s="7" t="s">
        <v>505</v>
      </c>
      <c r="H357" s="6" t="n">
        <v>3.82</v>
      </c>
      <c r="I357" s="6" t="n">
        <v>0</v>
      </c>
      <c r="J357" s="40" t="n">
        <f aca="false">H357-I357</f>
        <v>3.82</v>
      </c>
      <c r="K357" s="41" t="n">
        <v>34</v>
      </c>
      <c r="L357" s="42" t="n">
        <f aca="false">J357*K357</f>
        <v>129.88</v>
      </c>
      <c r="M357" s="43" t="n">
        <f aca="false">H357*17.99*(1+'Chart of Accounts'!$E$67)</f>
        <v>78.686461</v>
      </c>
    </row>
    <row r="358" customFormat="false" ht="15" hidden="false" customHeight="false" outlineLevel="0" collapsed="false">
      <c r="B358" s="7" t="s">
        <v>855</v>
      </c>
      <c r="C358" s="39" t="n">
        <v>45675</v>
      </c>
      <c r="D358" s="7" t="s">
        <v>401</v>
      </c>
      <c r="E358" s="7" t="s">
        <v>156</v>
      </c>
      <c r="F358" s="7" t="s">
        <v>254</v>
      </c>
      <c r="G358" s="7" t="s">
        <v>505</v>
      </c>
      <c r="H358" s="6" t="n">
        <v>3.66</v>
      </c>
      <c r="I358" s="6" t="n">
        <v>0</v>
      </c>
      <c r="J358" s="40" t="n">
        <f aca="false">H358-I358</f>
        <v>3.66</v>
      </c>
      <c r="K358" s="41" t="n">
        <v>34</v>
      </c>
      <c r="L358" s="42" t="n">
        <f aca="false">J358*K358</f>
        <v>124.44</v>
      </c>
      <c r="M358" s="43" t="n">
        <f aca="false">H358*17.1*(1+'Chart of Accounts'!$E$67)</f>
        <v>71.66097</v>
      </c>
    </row>
    <row r="359" customFormat="false" ht="15" hidden="false" customHeight="false" outlineLevel="0" collapsed="false">
      <c r="B359" s="7" t="s">
        <v>856</v>
      </c>
      <c r="C359" s="39" t="n">
        <v>45676</v>
      </c>
      <c r="D359" s="7" t="s">
        <v>288</v>
      </c>
      <c r="E359" s="7" t="s">
        <v>156</v>
      </c>
      <c r="F359" s="7" t="s">
        <v>191</v>
      </c>
      <c r="G359" s="7" t="s">
        <v>505</v>
      </c>
      <c r="H359" s="6" t="n">
        <v>4.24</v>
      </c>
      <c r="I359" s="6" t="n">
        <v>0</v>
      </c>
      <c r="J359" s="40" t="n">
        <f aca="false">H359-I359</f>
        <v>4.24</v>
      </c>
      <c r="K359" s="41" t="n">
        <v>34</v>
      </c>
      <c r="L359" s="42" t="n">
        <f aca="false">J359*K359</f>
        <v>144.16</v>
      </c>
      <c r="M359" s="43" t="n">
        <f aca="false">H359*16.05*(1+'Chart of Accounts'!$E$67)</f>
        <v>77.91954</v>
      </c>
    </row>
    <row r="360" customFormat="false" ht="15" hidden="false" customHeight="false" outlineLevel="0" collapsed="false">
      <c r="B360" s="7" t="s">
        <v>857</v>
      </c>
      <c r="C360" s="39" t="n">
        <v>45676</v>
      </c>
      <c r="D360" s="7" t="s">
        <v>321</v>
      </c>
      <c r="E360" s="7" t="s">
        <v>154</v>
      </c>
      <c r="F360" s="7" t="s">
        <v>218</v>
      </c>
      <c r="G360" s="7" t="s">
        <v>505</v>
      </c>
      <c r="H360" s="6" t="n">
        <v>3.71</v>
      </c>
      <c r="I360" s="6" t="n">
        <v>0</v>
      </c>
      <c r="J360" s="40" t="n">
        <f aca="false">H360-I360</f>
        <v>3.71</v>
      </c>
      <c r="K360" s="41" t="n">
        <v>26.5</v>
      </c>
      <c r="L360" s="42" t="n">
        <f aca="false">J360*K360</f>
        <v>98.315</v>
      </c>
      <c r="M360" s="43" t="n">
        <f aca="false">H360*16.19*(1+'Chart of Accounts'!$E$67)</f>
        <v>68.7743105</v>
      </c>
    </row>
    <row r="361" customFormat="false" ht="15" hidden="false" customHeight="false" outlineLevel="0" collapsed="false">
      <c r="B361" s="7" t="s">
        <v>858</v>
      </c>
      <c r="C361" s="39" t="n">
        <v>45676</v>
      </c>
      <c r="D361" s="7" t="s">
        <v>359</v>
      </c>
      <c r="E361" s="7" t="s">
        <v>156</v>
      </c>
      <c r="F361" s="7" t="s">
        <v>212</v>
      </c>
      <c r="G361" s="7" t="s">
        <v>505</v>
      </c>
      <c r="H361" s="6" t="n">
        <v>3.63</v>
      </c>
      <c r="I361" s="6" t="n">
        <v>0</v>
      </c>
      <c r="J361" s="40" t="n">
        <f aca="false">H361-I361</f>
        <v>3.63</v>
      </c>
      <c r="K361" s="41" t="n">
        <v>34</v>
      </c>
      <c r="L361" s="42" t="n">
        <f aca="false">J361*K361</f>
        <v>123.42</v>
      </c>
      <c r="M361" s="43" t="n">
        <f aca="false">H361*16.71*(1+'Chart of Accounts'!$E$67)</f>
        <v>69.4526085</v>
      </c>
    </row>
    <row r="362" customFormat="false" ht="15" hidden="false" customHeight="false" outlineLevel="0" collapsed="false">
      <c r="B362" s="7" t="s">
        <v>859</v>
      </c>
      <c r="C362" s="39" t="n">
        <v>45676</v>
      </c>
      <c r="D362" s="7" t="s">
        <v>391</v>
      </c>
      <c r="E362" s="7" t="s">
        <v>156</v>
      </c>
      <c r="F362" s="7" t="s">
        <v>222</v>
      </c>
      <c r="G362" s="7" t="s">
        <v>505</v>
      </c>
      <c r="H362" s="6" t="n">
        <v>3.89</v>
      </c>
      <c r="I362" s="6" t="n">
        <v>0</v>
      </c>
      <c r="J362" s="40" t="n">
        <f aca="false">H362-I362</f>
        <v>3.89</v>
      </c>
      <c r="K362" s="41" t="n">
        <v>34</v>
      </c>
      <c r="L362" s="42" t="n">
        <f aca="false">J362*K362</f>
        <v>132.26</v>
      </c>
      <c r="M362" s="43" t="n">
        <f aca="false">H362*17.84*(1+'Chart of Accounts'!$E$67)</f>
        <v>79.460252</v>
      </c>
    </row>
    <row r="363" customFormat="false" ht="15" hidden="false" customHeight="false" outlineLevel="0" collapsed="false">
      <c r="B363" s="7" t="s">
        <v>860</v>
      </c>
      <c r="C363" s="39" t="n">
        <v>45676</v>
      </c>
      <c r="D363" s="7" t="s">
        <v>395</v>
      </c>
      <c r="E363" s="7" t="s">
        <v>156</v>
      </c>
      <c r="F363" s="7" t="s">
        <v>242</v>
      </c>
      <c r="G363" s="7" t="s">
        <v>505</v>
      </c>
      <c r="H363" s="6" t="n">
        <v>4.08</v>
      </c>
      <c r="I363" s="6" t="n">
        <v>0</v>
      </c>
      <c r="J363" s="40" t="n">
        <f aca="false">H363-I363</f>
        <v>4.08</v>
      </c>
      <c r="K363" s="41" t="n">
        <v>34</v>
      </c>
      <c r="L363" s="42" t="n">
        <f aca="false">J363*K363</f>
        <v>138.72</v>
      </c>
      <c r="M363" s="43" t="n">
        <f aca="false">H363*17.99*(1+'Chart of Accounts'!$E$67)</f>
        <v>84.042084</v>
      </c>
    </row>
    <row r="364" customFormat="false" ht="15" hidden="false" customHeight="false" outlineLevel="0" collapsed="false">
      <c r="B364" s="7" t="s">
        <v>861</v>
      </c>
      <c r="C364" s="39" t="n">
        <v>45676</v>
      </c>
      <c r="D364" s="7" t="s">
        <v>401</v>
      </c>
      <c r="E364" s="7" t="s">
        <v>156</v>
      </c>
      <c r="F364" s="7" t="s">
        <v>254</v>
      </c>
      <c r="G364" s="7" t="s">
        <v>505</v>
      </c>
      <c r="H364" s="6" t="n">
        <v>3.9</v>
      </c>
      <c r="I364" s="6" t="n">
        <v>0</v>
      </c>
      <c r="J364" s="40" t="n">
        <f aca="false">H364-I364</f>
        <v>3.9</v>
      </c>
      <c r="K364" s="41" t="n">
        <v>34</v>
      </c>
      <c r="L364" s="42" t="n">
        <f aca="false">J364*K364</f>
        <v>132.6</v>
      </c>
      <c r="M364" s="43" t="n">
        <f aca="false">H364*17.1*(1+'Chart of Accounts'!$E$67)</f>
        <v>76.36005</v>
      </c>
    </row>
    <row r="365" customFormat="false" ht="15" hidden="false" customHeight="false" outlineLevel="0" collapsed="false">
      <c r="B365" s="7" t="s">
        <v>862</v>
      </c>
      <c r="C365" s="39" t="n">
        <v>45677</v>
      </c>
      <c r="D365" s="7" t="s">
        <v>280</v>
      </c>
      <c r="E365" s="7" t="s">
        <v>157</v>
      </c>
      <c r="F365" s="7" t="s">
        <v>187</v>
      </c>
      <c r="G365" s="7" t="s">
        <v>502</v>
      </c>
      <c r="H365" s="6" t="n">
        <v>1.01</v>
      </c>
      <c r="I365" s="6" t="n">
        <v>0</v>
      </c>
      <c r="J365" s="40" t="n">
        <f aca="false">H365-I365</f>
        <v>1.01</v>
      </c>
      <c r="K365" s="41" t="n">
        <v>165</v>
      </c>
      <c r="L365" s="42" t="n">
        <f aca="false">J365*K365</f>
        <v>166.65</v>
      </c>
      <c r="M365" s="43" t="n">
        <f aca="false">H365*66.48*(1+'Chart of Accounts'!$E$67)</f>
        <v>76.880796</v>
      </c>
    </row>
    <row r="366" customFormat="false" ht="15" hidden="false" customHeight="false" outlineLevel="0" collapsed="false">
      <c r="B366" s="7" t="s">
        <v>863</v>
      </c>
      <c r="C366" s="39" t="n">
        <v>45677</v>
      </c>
      <c r="D366" s="7" t="s">
        <v>288</v>
      </c>
      <c r="E366" s="7" t="s">
        <v>156</v>
      </c>
      <c r="F366" s="7" t="s">
        <v>191</v>
      </c>
      <c r="G366" s="7" t="s">
        <v>505</v>
      </c>
      <c r="H366" s="6" t="n">
        <v>3.8</v>
      </c>
      <c r="I366" s="6" t="n">
        <v>0</v>
      </c>
      <c r="J366" s="40" t="n">
        <f aca="false">H366-I366</f>
        <v>3.8</v>
      </c>
      <c r="K366" s="41" t="n">
        <v>34</v>
      </c>
      <c r="L366" s="42" t="n">
        <f aca="false">J366*K366</f>
        <v>129.2</v>
      </c>
      <c r="M366" s="43" t="n">
        <f aca="false">H366*16.05*(1+'Chart of Accounts'!$E$67)</f>
        <v>69.83355</v>
      </c>
    </row>
    <row r="367" customFormat="false" ht="15" hidden="false" customHeight="false" outlineLevel="0" collapsed="false">
      <c r="B367" s="7" t="s">
        <v>864</v>
      </c>
      <c r="C367" s="39" t="n">
        <v>45677</v>
      </c>
      <c r="D367" s="7" t="s">
        <v>291</v>
      </c>
      <c r="E367" s="7" t="s">
        <v>154</v>
      </c>
      <c r="F367" s="7" t="s">
        <v>194</v>
      </c>
      <c r="G367" s="7" t="s">
        <v>505</v>
      </c>
      <c r="H367" s="6" t="n">
        <v>4.67</v>
      </c>
      <c r="I367" s="6" t="n">
        <v>0</v>
      </c>
      <c r="J367" s="40" t="n">
        <f aca="false">H367-I367</f>
        <v>4.67</v>
      </c>
      <c r="K367" s="41" t="n">
        <v>26.5</v>
      </c>
      <c r="L367" s="42" t="n">
        <f aca="false">J367*K367</f>
        <v>123.755</v>
      </c>
      <c r="M367" s="43" t="n">
        <f aca="false">H367*16*(1+'Chart of Accounts'!$E$67)</f>
        <v>85.5544</v>
      </c>
    </row>
    <row r="368" customFormat="false" ht="15" hidden="false" customHeight="false" outlineLevel="0" collapsed="false">
      <c r="B368" s="7" t="s">
        <v>865</v>
      </c>
      <c r="C368" s="39" t="n">
        <v>45677</v>
      </c>
      <c r="D368" s="7" t="s">
        <v>297</v>
      </c>
      <c r="E368" s="7" t="s">
        <v>156</v>
      </c>
      <c r="F368" s="7" t="s">
        <v>201</v>
      </c>
      <c r="G368" s="7" t="s">
        <v>505</v>
      </c>
      <c r="H368" s="6" t="n">
        <v>2.86</v>
      </c>
      <c r="I368" s="6" t="n">
        <v>0</v>
      </c>
      <c r="J368" s="40" t="n">
        <f aca="false">H368-I368</f>
        <v>2.86</v>
      </c>
      <c r="K368" s="41" t="n">
        <v>34</v>
      </c>
      <c r="L368" s="42" t="n">
        <f aca="false">J368*K368</f>
        <v>97.24</v>
      </c>
      <c r="M368" s="43" t="n">
        <f aca="false">H368*15.19*(1+'Chart of Accounts'!$E$67)</f>
        <v>49.742693</v>
      </c>
    </row>
    <row r="369" customFormat="false" ht="15" hidden="false" customHeight="false" outlineLevel="0" collapsed="false">
      <c r="B369" s="7" t="s">
        <v>866</v>
      </c>
      <c r="C369" s="39" t="n">
        <v>45677</v>
      </c>
      <c r="D369" s="7" t="s">
        <v>305</v>
      </c>
      <c r="E369" s="7" t="s">
        <v>154</v>
      </c>
      <c r="F369" s="7" t="s">
        <v>205</v>
      </c>
      <c r="G369" s="7" t="s">
        <v>505</v>
      </c>
      <c r="H369" s="6" t="n">
        <v>4.4</v>
      </c>
      <c r="I369" s="6" t="n">
        <v>0</v>
      </c>
      <c r="J369" s="40" t="n">
        <f aca="false">H369-I369</f>
        <v>4.4</v>
      </c>
      <c r="K369" s="41" t="n">
        <v>26.5</v>
      </c>
      <c r="L369" s="42" t="n">
        <f aca="false">J369*K369</f>
        <v>116.6</v>
      </c>
      <c r="M369" s="43" t="n">
        <f aca="false">H369*16.36*(1+'Chart of Accounts'!$E$67)</f>
        <v>82.42168</v>
      </c>
    </row>
    <row r="370" customFormat="false" ht="15" hidden="false" customHeight="false" outlineLevel="0" collapsed="false">
      <c r="B370" s="7" t="s">
        <v>867</v>
      </c>
      <c r="C370" s="39" t="n">
        <v>45677</v>
      </c>
      <c r="D370" s="7" t="s">
        <v>309</v>
      </c>
      <c r="E370" s="7" t="s">
        <v>159</v>
      </c>
      <c r="F370" s="7" t="s">
        <v>252</v>
      </c>
      <c r="G370" s="7" t="s">
        <v>502</v>
      </c>
      <c r="H370" s="6" t="n">
        <v>1</v>
      </c>
      <c r="I370" s="6" t="n">
        <v>0</v>
      </c>
      <c r="J370" s="40" t="n">
        <f aca="false">H370-I370</f>
        <v>1</v>
      </c>
      <c r="K370" s="41" t="n">
        <v>135</v>
      </c>
      <c r="L370" s="42" t="n">
        <f aca="false">J370*K370</f>
        <v>135</v>
      </c>
      <c r="M370" s="43" t="n">
        <f aca="false">H370*57.54*(1+'Chart of Accounts'!$E$67)</f>
        <v>65.8833</v>
      </c>
    </row>
    <row r="371" customFormat="false" ht="15" hidden="false" customHeight="false" outlineLevel="0" collapsed="false">
      <c r="B371" s="7" t="s">
        <v>868</v>
      </c>
      <c r="C371" s="39" t="n">
        <v>45677</v>
      </c>
      <c r="D371" s="7" t="s">
        <v>311</v>
      </c>
      <c r="E371" s="7" t="s">
        <v>154</v>
      </c>
      <c r="F371" s="7" t="s">
        <v>196</v>
      </c>
      <c r="G371" s="7" t="s">
        <v>505</v>
      </c>
      <c r="H371" s="6" t="n">
        <v>2.97</v>
      </c>
      <c r="I371" s="6" t="n">
        <v>0</v>
      </c>
      <c r="J371" s="40" t="n">
        <f aca="false">H371-I371</f>
        <v>2.97</v>
      </c>
      <c r="K371" s="41" t="n">
        <v>26.5</v>
      </c>
      <c r="L371" s="42" t="n">
        <f aca="false">J371*K371</f>
        <v>78.705</v>
      </c>
      <c r="M371" s="43" t="n">
        <f aca="false">H371*15.05*(1+'Chart of Accounts'!$E$67)</f>
        <v>51.1797825</v>
      </c>
    </row>
    <row r="372" customFormat="false" ht="15" hidden="false" customHeight="false" outlineLevel="0" collapsed="false">
      <c r="B372" s="7" t="s">
        <v>869</v>
      </c>
      <c r="C372" s="39" t="n">
        <v>45677</v>
      </c>
      <c r="D372" s="7" t="s">
        <v>313</v>
      </c>
      <c r="E372" s="7" t="s">
        <v>156</v>
      </c>
      <c r="F372" s="7" t="s">
        <v>184</v>
      </c>
      <c r="G372" s="7" t="s">
        <v>505</v>
      </c>
      <c r="H372" s="6" t="n">
        <v>3.67</v>
      </c>
      <c r="I372" s="6" t="n">
        <v>0</v>
      </c>
      <c r="J372" s="40" t="n">
        <f aca="false">H372-I372</f>
        <v>3.67</v>
      </c>
      <c r="K372" s="41" t="n">
        <v>34</v>
      </c>
      <c r="L372" s="42" t="n">
        <f aca="false">J372*K372</f>
        <v>124.78</v>
      </c>
      <c r="M372" s="43" t="n">
        <f aca="false">H372*17.34*(1+'Chart of Accounts'!$E$67)</f>
        <v>72.865281</v>
      </c>
    </row>
    <row r="373" customFormat="false" ht="15" hidden="false" customHeight="false" outlineLevel="0" collapsed="false">
      <c r="B373" s="7" t="s">
        <v>870</v>
      </c>
      <c r="C373" s="39" t="n">
        <v>45677</v>
      </c>
      <c r="D373" s="7" t="s">
        <v>317</v>
      </c>
      <c r="E373" s="7" t="s">
        <v>156</v>
      </c>
      <c r="F373" s="7" t="s">
        <v>207</v>
      </c>
      <c r="G373" s="7" t="s">
        <v>505</v>
      </c>
      <c r="H373" s="6" t="n">
        <v>2.89</v>
      </c>
      <c r="I373" s="6" t="n">
        <v>0</v>
      </c>
      <c r="J373" s="40" t="n">
        <f aca="false">H373-I373</f>
        <v>2.89</v>
      </c>
      <c r="K373" s="41" t="n">
        <v>34</v>
      </c>
      <c r="L373" s="42" t="n">
        <f aca="false">J373*K373</f>
        <v>98.26</v>
      </c>
      <c r="M373" s="43" t="n">
        <f aca="false">H373*16.65*(1+'Chart of Accounts'!$E$67)</f>
        <v>55.0956825</v>
      </c>
    </row>
    <row r="374" customFormat="false" ht="15" hidden="false" customHeight="false" outlineLevel="0" collapsed="false">
      <c r="B374" s="7" t="s">
        <v>871</v>
      </c>
      <c r="C374" s="39" t="n">
        <v>45677</v>
      </c>
      <c r="D374" s="7" t="s">
        <v>321</v>
      </c>
      <c r="E374" s="7" t="s">
        <v>154</v>
      </c>
      <c r="F374" s="7" t="s">
        <v>218</v>
      </c>
      <c r="G374" s="7" t="s">
        <v>505</v>
      </c>
      <c r="H374" s="6" t="n">
        <v>4.03</v>
      </c>
      <c r="I374" s="6" t="n">
        <v>0</v>
      </c>
      <c r="J374" s="40" t="n">
        <f aca="false">H374-I374</f>
        <v>4.03</v>
      </c>
      <c r="K374" s="41" t="n">
        <v>26.5</v>
      </c>
      <c r="L374" s="42" t="n">
        <f aca="false">J374*K374</f>
        <v>106.795</v>
      </c>
      <c r="M374" s="43" t="n">
        <f aca="false">H374*16.19*(1+'Chart of Accounts'!$E$67)</f>
        <v>74.7063265</v>
      </c>
    </row>
    <row r="375" customFormat="false" ht="15" hidden="false" customHeight="false" outlineLevel="0" collapsed="false">
      <c r="B375" s="7" t="s">
        <v>872</v>
      </c>
      <c r="C375" s="39" t="n">
        <v>45677</v>
      </c>
      <c r="D375" s="7" t="s">
        <v>325</v>
      </c>
      <c r="E375" s="7" t="s">
        <v>154</v>
      </c>
      <c r="F375" s="7" t="s">
        <v>212</v>
      </c>
      <c r="G375" s="7" t="s">
        <v>505</v>
      </c>
      <c r="H375" s="6" t="n">
        <v>3.13</v>
      </c>
      <c r="I375" s="6" t="n">
        <v>0</v>
      </c>
      <c r="J375" s="40" t="n">
        <f aca="false">H375-I375</f>
        <v>3.13</v>
      </c>
      <c r="K375" s="41" t="n">
        <v>26.5</v>
      </c>
      <c r="L375" s="42" t="n">
        <f aca="false">J375*K375</f>
        <v>82.945</v>
      </c>
      <c r="M375" s="43" t="n">
        <f aca="false">H375*16.71*(1+'Chart of Accounts'!$E$67)</f>
        <v>59.8861335</v>
      </c>
    </row>
    <row r="376" customFormat="false" ht="15" hidden="false" customHeight="false" outlineLevel="0" collapsed="false">
      <c r="B376" s="7" t="s">
        <v>873</v>
      </c>
      <c r="C376" s="39" t="n">
        <v>45677</v>
      </c>
      <c r="D376" s="7" t="s">
        <v>329</v>
      </c>
      <c r="E376" s="7" t="s">
        <v>156</v>
      </c>
      <c r="F376" s="7" t="s">
        <v>220</v>
      </c>
      <c r="G376" s="7" t="s">
        <v>505</v>
      </c>
      <c r="H376" s="6" t="n">
        <v>4.23</v>
      </c>
      <c r="I376" s="6" t="n">
        <v>0</v>
      </c>
      <c r="J376" s="40" t="n">
        <f aca="false">H376-I376</f>
        <v>4.23</v>
      </c>
      <c r="K376" s="41" t="n">
        <v>34</v>
      </c>
      <c r="L376" s="42" t="n">
        <f aca="false">J376*K376</f>
        <v>143.82</v>
      </c>
      <c r="M376" s="43" t="n">
        <f aca="false">H376*16.43*(1+'Chart of Accounts'!$E$67)</f>
        <v>79.5762405</v>
      </c>
    </row>
    <row r="377" customFormat="false" ht="15" hidden="false" customHeight="false" outlineLevel="0" collapsed="false">
      <c r="B377" s="7" t="s">
        <v>874</v>
      </c>
      <c r="C377" s="39" t="n">
        <v>45677</v>
      </c>
      <c r="D377" s="7" t="s">
        <v>331</v>
      </c>
      <c r="E377" s="7" t="s">
        <v>156</v>
      </c>
      <c r="F377" s="7" t="s">
        <v>224</v>
      </c>
      <c r="G377" s="7" t="s">
        <v>505</v>
      </c>
      <c r="H377" s="6" t="n">
        <v>3.76</v>
      </c>
      <c r="I377" s="6" t="n">
        <v>0</v>
      </c>
      <c r="J377" s="40" t="n">
        <f aca="false">H377-I377</f>
        <v>3.76</v>
      </c>
      <c r="K377" s="41" t="n">
        <v>34</v>
      </c>
      <c r="L377" s="42" t="n">
        <f aca="false">J377*K377</f>
        <v>127.84</v>
      </c>
      <c r="M377" s="43" t="n">
        <f aca="false">H377*14.93*(1+'Chart of Accounts'!$E$67)</f>
        <v>64.276636</v>
      </c>
    </row>
    <row r="378" customFormat="false" ht="15" hidden="false" customHeight="false" outlineLevel="0" collapsed="false">
      <c r="B378" s="7" t="s">
        <v>875</v>
      </c>
      <c r="C378" s="39" t="n">
        <v>45677</v>
      </c>
      <c r="D378" s="7" t="s">
        <v>335</v>
      </c>
      <c r="E378" s="7" t="s">
        <v>154</v>
      </c>
      <c r="F378" s="7" t="s">
        <v>177</v>
      </c>
      <c r="G378" s="7" t="s">
        <v>505</v>
      </c>
      <c r="H378" s="6" t="n">
        <v>3.62</v>
      </c>
      <c r="I378" s="6" t="n">
        <v>0</v>
      </c>
      <c r="J378" s="40" t="n">
        <f aca="false">H378-I378</f>
        <v>3.62</v>
      </c>
      <c r="K378" s="41" t="n">
        <v>26.5</v>
      </c>
      <c r="L378" s="42" t="n">
        <f aca="false">J378*K378</f>
        <v>95.93</v>
      </c>
      <c r="M378" s="43" t="n">
        <f aca="false">H378*14.56*(1+'Chart of Accounts'!$E$67)</f>
        <v>60.349744</v>
      </c>
    </row>
    <row r="379" customFormat="false" ht="15" hidden="false" customHeight="false" outlineLevel="0" collapsed="false">
      <c r="B379" s="7" t="s">
        <v>876</v>
      </c>
      <c r="C379" s="39" t="n">
        <v>45677</v>
      </c>
      <c r="D379" s="7" t="s">
        <v>337</v>
      </c>
      <c r="E379" s="7" t="s">
        <v>154</v>
      </c>
      <c r="F379" s="7" t="s">
        <v>232</v>
      </c>
      <c r="G379" s="7" t="s">
        <v>505</v>
      </c>
      <c r="H379" s="6" t="n">
        <v>3.18</v>
      </c>
      <c r="I379" s="6" t="n">
        <v>0</v>
      </c>
      <c r="J379" s="40" t="n">
        <f aca="false">H379-I379</f>
        <v>3.18</v>
      </c>
      <c r="K379" s="41" t="n">
        <v>26.5</v>
      </c>
      <c r="L379" s="42" t="n">
        <f aca="false">J379*K379</f>
        <v>84.27</v>
      </c>
      <c r="M379" s="43" t="n">
        <f aca="false">H379*16.17*(1+'Chart of Accounts'!$E$67)</f>
        <v>58.876587</v>
      </c>
    </row>
    <row r="380" customFormat="false" ht="15" hidden="false" customHeight="false" outlineLevel="0" collapsed="false">
      <c r="B380" s="7" t="s">
        <v>877</v>
      </c>
      <c r="C380" s="39" t="n">
        <v>45677</v>
      </c>
      <c r="D380" s="7" t="s">
        <v>339</v>
      </c>
      <c r="E380" s="7" t="s">
        <v>154</v>
      </c>
      <c r="F380" s="7" t="s">
        <v>242</v>
      </c>
      <c r="G380" s="7" t="s">
        <v>505</v>
      </c>
      <c r="H380" s="6" t="n">
        <v>3.06</v>
      </c>
      <c r="I380" s="6" t="n">
        <v>0</v>
      </c>
      <c r="J380" s="40" t="n">
        <f aca="false">H380-I380</f>
        <v>3.06</v>
      </c>
      <c r="K380" s="41" t="n">
        <v>26.5</v>
      </c>
      <c r="L380" s="42" t="n">
        <f aca="false">J380*K380</f>
        <v>81.09</v>
      </c>
      <c r="M380" s="43" t="n">
        <f aca="false">H380*17.99*(1+'Chart of Accounts'!$E$67)</f>
        <v>63.031563</v>
      </c>
    </row>
    <row r="381" customFormat="false" ht="15" hidden="false" customHeight="false" outlineLevel="0" collapsed="false">
      <c r="B381" s="7" t="s">
        <v>878</v>
      </c>
      <c r="C381" s="39" t="n">
        <v>45677</v>
      </c>
      <c r="D381" s="7" t="s">
        <v>341</v>
      </c>
      <c r="E381" s="7" t="s">
        <v>156</v>
      </c>
      <c r="F381" s="7" t="s">
        <v>222</v>
      </c>
      <c r="G381" s="7" t="s">
        <v>505</v>
      </c>
      <c r="H381" s="6" t="n">
        <v>3.13</v>
      </c>
      <c r="I381" s="6" t="n">
        <v>0</v>
      </c>
      <c r="J381" s="40" t="n">
        <f aca="false">H381-I381</f>
        <v>3.13</v>
      </c>
      <c r="K381" s="41" t="n">
        <v>34</v>
      </c>
      <c r="L381" s="42" t="n">
        <f aca="false">J381*K381</f>
        <v>106.42</v>
      </c>
      <c r="M381" s="43" t="n">
        <f aca="false">H381*17.84*(1+'Chart of Accounts'!$E$67)</f>
        <v>63.935884</v>
      </c>
    </row>
    <row r="382" customFormat="false" ht="15" hidden="false" customHeight="false" outlineLevel="0" collapsed="false">
      <c r="B382" s="7" t="s">
        <v>879</v>
      </c>
      <c r="C382" s="39" t="n">
        <v>45677</v>
      </c>
      <c r="D382" s="7" t="s">
        <v>343</v>
      </c>
      <c r="E382" s="7" t="s">
        <v>154</v>
      </c>
      <c r="F382" s="7" t="s">
        <v>262</v>
      </c>
      <c r="G382" s="7" t="s">
        <v>505</v>
      </c>
      <c r="H382" s="6" t="n">
        <v>4.26</v>
      </c>
      <c r="I382" s="6" t="n">
        <v>0</v>
      </c>
      <c r="J382" s="40" t="n">
        <f aca="false">H382-I382</f>
        <v>4.26</v>
      </c>
      <c r="K382" s="41" t="n">
        <v>26.5</v>
      </c>
      <c r="L382" s="42" t="n">
        <f aca="false">J382*K382</f>
        <v>112.89</v>
      </c>
      <c r="M382" s="43" t="n">
        <f aca="false">H382*16.02*(1+'Chart of Accounts'!$E$67)</f>
        <v>78.140754</v>
      </c>
    </row>
    <row r="383" customFormat="false" ht="15" hidden="false" customHeight="false" outlineLevel="0" collapsed="false">
      <c r="B383" s="7" t="s">
        <v>880</v>
      </c>
      <c r="C383" s="39" t="n">
        <v>45677</v>
      </c>
      <c r="D383" s="7" t="s">
        <v>353</v>
      </c>
      <c r="E383" s="7" t="s">
        <v>154</v>
      </c>
      <c r="F383" s="7" t="s">
        <v>254</v>
      </c>
      <c r="G383" s="7" t="s">
        <v>505</v>
      </c>
      <c r="H383" s="6" t="n">
        <v>3.43</v>
      </c>
      <c r="I383" s="6" t="n">
        <v>0</v>
      </c>
      <c r="J383" s="40" t="n">
        <f aca="false">H383-I383</f>
        <v>3.43</v>
      </c>
      <c r="K383" s="41" t="n">
        <v>26.5</v>
      </c>
      <c r="L383" s="42" t="n">
        <f aca="false">J383*K383</f>
        <v>90.895</v>
      </c>
      <c r="M383" s="43" t="n">
        <f aca="false">H383*17.1*(1+'Chart of Accounts'!$E$67)</f>
        <v>67.157685</v>
      </c>
    </row>
    <row r="384" customFormat="false" ht="15" hidden="false" customHeight="false" outlineLevel="0" collapsed="false">
      <c r="B384" s="7" t="s">
        <v>881</v>
      </c>
      <c r="C384" s="39" t="n">
        <v>45677</v>
      </c>
      <c r="D384" s="7" t="s">
        <v>355</v>
      </c>
      <c r="E384" s="7" t="s">
        <v>154</v>
      </c>
      <c r="F384" s="7" t="s">
        <v>201</v>
      </c>
      <c r="G384" s="7" t="s">
        <v>505</v>
      </c>
      <c r="H384" s="6" t="n">
        <v>3.23</v>
      </c>
      <c r="I384" s="6" t="n">
        <v>0</v>
      </c>
      <c r="J384" s="40" t="n">
        <f aca="false">H384-I384</f>
        <v>3.23</v>
      </c>
      <c r="K384" s="41" t="n">
        <v>26.5</v>
      </c>
      <c r="L384" s="42" t="n">
        <f aca="false">J384*K384</f>
        <v>85.595</v>
      </c>
      <c r="M384" s="43" t="n">
        <f aca="false">H384*15.19*(1+'Chart of Accounts'!$E$67)</f>
        <v>56.1779365</v>
      </c>
    </row>
    <row r="385" customFormat="false" ht="15" hidden="false" customHeight="false" outlineLevel="0" collapsed="false">
      <c r="B385" s="7" t="s">
        <v>882</v>
      </c>
      <c r="C385" s="39" t="n">
        <v>45677</v>
      </c>
      <c r="D385" s="7" t="s">
        <v>357</v>
      </c>
      <c r="E385" s="7" t="s">
        <v>154</v>
      </c>
      <c r="F385" s="7" t="s">
        <v>207</v>
      </c>
      <c r="G385" s="7" t="s">
        <v>505</v>
      </c>
      <c r="H385" s="6" t="n">
        <v>3.43</v>
      </c>
      <c r="I385" s="6" t="n">
        <v>0</v>
      </c>
      <c r="J385" s="40" t="n">
        <f aca="false">H385-I385</f>
        <v>3.43</v>
      </c>
      <c r="K385" s="41" t="n">
        <v>26.5</v>
      </c>
      <c r="L385" s="42" t="n">
        <f aca="false">J385*K385</f>
        <v>90.895</v>
      </c>
      <c r="M385" s="43" t="n">
        <f aca="false">H385*16.65*(1+'Chart of Accounts'!$E$67)</f>
        <v>65.3903775</v>
      </c>
    </row>
    <row r="386" customFormat="false" ht="15" hidden="false" customHeight="false" outlineLevel="0" collapsed="false">
      <c r="B386" s="7" t="s">
        <v>883</v>
      </c>
      <c r="C386" s="39" t="n">
        <v>45677</v>
      </c>
      <c r="D386" s="7" t="s">
        <v>359</v>
      </c>
      <c r="E386" s="7" t="s">
        <v>156</v>
      </c>
      <c r="F386" s="7" t="s">
        <v>212</v>
      </c>
      <c r="G386" s="7" t="s">
        <v>505</v>
      </c>
      <c r="H386" s="6" t="n">
        <v>3.95</v>
      </c>
      <c r="I386" s="6" t="n">
        <v>0</v>
      </c>
      <c r="J386" s="40" t="n">
        <f aca="false">H386-I386</f>
        <v>3.95</v>
      </c>
      <c r="K386" s="41" t="n">
        <v>34</v>
      </c>
      <c r="L386" s="42" t="n">
        <f aca="false">J386*K386</f>
        <v>134.3</v>
      </c>
      <c r="M386" s="43" t="n">
        <f aca="false">H386*16.71*(1+'Chart of Accounts'!$E$67)</f>
        <v>75.5751525</v>
      </c>
    </row>
    <row r="387" customFormat="false" ht="15" hidden="false" customHeight="false" outlineLevel="0" collapsed="false">
      <c r="B387" s="7" t="s">
        <v>884</v>
      </c>
      <c r="C387" s="39" t="n">
        <v>45677</v>
      </c>
      <c r="D387" s="7" t="s">
        <v>363</v>
      </c>
      <c r="E387" s="7" t="s">
        <v>156</v>
      </c>
      <c r="F387" s="7" t="s">
        <v>246</v>
      </c>
      <c r="G387" s="7" t="s">
        <v>505</v>
      </c>
      <c r="H387" s="6" t="n">
        <v>3.7</v>
      </c>
      <c r="I387" s="6" t="n">
        <v>0</v>
      </c>
      <c r="J387" s="40" t="n">
        <f aca="false">H387-I387</f>
        <v>3.7</v>
      </c>
      <c r="K387" s="41" t="n">
        <v>34</v>
      </c>
      <c r="L387" s="42" t="n">
        <f aca="false">J387*K387</f>
        <v>125.8</v>
      </c>
      <c r="M387" s="43" t="n">
        <f aca="false">H387*16.48*(1+'Chart of Accounts'!$E$67)</f>
        <v>69.81752</v>
      </c>
    </row>
    <row r="388" customFormat="false" ht="15" hidden="false" customHeight="false" outlineLevel="0" collapsed="false">
      <c r="B388" s="7" t="s">
        <v>885</v>
      </c>
      <c r="C388" s="39" t="n">
        <v>45677</v>
      </c>
      <c r="D388" s="7" t="s">
        <v>371</v>
      </c>
      <c r="E388" s="7" t="s">
        <v>154</v>
      </c>
      <c r="F388" s="7" t="s">
        <v>232</v>
      </c>
      <c r="G388" s="7" t="s">
        <v>505</v>
      </c>
      <c r="H388" s="6" t="n">
        <v>4.5</v>
      </c>
      <c r="I388" s="6" t="n">
        <v>0</v>
      </c>
      <c r="J388" s="40" t="n">
        <f aca="false">H388-I388</f>
        <v>4.5</v>
      </c>
      <c r="K388" s="41" t="n">
        <v>26.5</v>
      </c>
      <c r="L388" s="42" t="n">
        <f aca="false">J388*K388</f>
        <v>119.25</v>
      </c>
      <c r="M388" s="43" t="n">
        <f aca="false">H388*16.17*(1+'Chart of Accounts'!$E$67)</f>
        <v>83.315925</v>
      </c>
    </row>
    <row r="389" customFormat="false" ht="15" hidden="false" customHeight="false" outlineLevel="0" collapsed="false">
      <c r="B389" s="7" t="s">
        <v>886</v>
      </c>
      <c r="C389" s="39" t="n">
        <v>45677</v>
      </c>
      <c r="D389" s="7" t="s">
        <v>375</v>
      </c>
      <c r="E389" s="7" t="s">
        <v>156</v>
      </c>
      <c r="F389" s="7" t="s">
        <v>196</v>
      </c>
      <c r="G389" s="7" t="s">
        <v>505</v>
      </c>
      <c r="H389" s="6" t="n">
        <v>3.26</v>
      </c>
      <c r="I389" s="6" t="n">
        <v>0</v>
      </c>
      <c r="J389" s="40" t="n">
        <f aca="false">H389-I389</f>
        <v>3.26</v>
      </c>
      <c r="K389" s="41" t="n">
        <v>34</v>
      </c>
      <c r="L389" s="42" t="n">
        <f aca="false">J389*K389</f>
        <v>110.84</v>
      </c>
      <c r="M389" s="43" t="n">
        <f aca="false">H389*15.05*(1+'Chart of Accounts'!$E$67)</f>
        <v>56.177135</v>
      </c>
    </row>
    <row r="390" customFormat="false" ht="15" hidden="false" customHeight="false" outlineLevel="0" collapsed="false">
      <c r="B390" s="7" t="s">
        <v>887</v>
      </c>
      <c r="C390" s="39" t="n">
        <v>45677</v>
      </c>
      <c r="D390" s="7" t="s">
        <v>377</v>
      </c>
      <c r="E390" s="7" t="s">
        <v>154</v>
      </c>
      <c r="F390" s="7" t="s">
        <v>214</v>
      </c>
      <c r="G390" s="7" t="s">
        <v>505</v>
      </c>
      <c r="H390" s="6" t="n">
        <v>3.8</v>
      </c>
      <c r="I390" s="6" t="n">
        <v>0</v>
      </c>
      <c r="J390" s="40" t="n">
        <f aca="false">H390-I390</f>
        <v>3.8</v>
      </c>
      <c r="K390" s="41" t="n">
        <v>26.5</v>
      </c>
      <c r="L390" s="42" t="n">
        <f aca="false">J390*K390</f>
        <v>100.7</v>
      </c>
      <c r="M390" s="43" t="n">
        <f aca="false">H390*15.67*(1+'Chart of Accounts'!$E$67)</f>
        <v>68.18017</v>
      </c>
    </row>
    <row r="391" customFormat="false" ht="15" hidden="false" customHeight="false" outlineLevel="0" collapsed="false">
      <c r="B391" s="7" t="s">
        <v>888</v>
      </c>
      <c r="C391" s="39" t="n">
        <v>45677</v>
      </c>
      <c r="D391" s="7" t="s">
        <v>379</v>
      </c>
      <c r="E391" s="7" t="s">
        <v>156</v>
      </c>
      <c r="F391" s="7" t="s">
        <v>224</v>
      </c>
      <c r="G391" s="7" t="s">
        <v>505</v>
      </c>
      <c r="H391" s="6" t="n">
        <v>4.32</v>
      </c>
      <c r="I391" s="6" t="n">
        <v>0</v>
      </c>
      <c r="J391" s="40" t="n">
        <f aca="false">H391-I391</f>
        <v>4.32</v>
      </c>
      <c r="K391" s="41" t="n">
        <v>34</v>
      </c>
      <c r="L391" s="42" t="n">
        <f aca="false">J391*K391</f>
        <v>146.88</v>
      </c>
      <c r="M391" s="43" t="n">
        <f aca="false">H391*14.93*(1+'Chart of Accounts'!$E$67)</f>
        <v>73.849752</v>
      </c>
    </row>
    <row r="392" customFormat="false" ht="15" hidden="false" customHeight="false" outlineLevel="0" collapsed="false">
      <c r="B392" s="7" t="s">
        <v>889</v>
      </c>
      <c r="C392" s="39" t="n">
        <v>45677</v>
      </c>
      <c r="D392" s="7" t="s">
        <v>389</v>
      </c>
      <c r="E392" s="7" t="s">
        <v>154</v>
      </c>
      <c r="F392" s="7" t="s">
        <v>246</v>
      </c>
      <c r="G392" s="7" t="s">
        <v>505</v>
      </c>
      <c r="H392" s="6" t="n">
        <v>4</v>
      </c>
      <c r="I392" s="6" t="n">
        <v>0</v>
      </c>
      <c r="J392" s="40" t="n">
        <f aca="false">H392-I392</f>
        <v>4</v>
      </c>
      <c r="K392" s="41" t="n">
        <v>26.5</v>
      </c>
      <c r="L392" s="42" t="n">
        <f aca="false">J392*K392</f>
        <v>106</v>
      </c>
      <c r="M392" s="43" t="n">
        <f aca="false">H392*16.48*(1+'Chart of Accounts'!$E$67)</f>
        <v>75.4784</v>
      </c>
    </row>
    <row r="393" customFormat="false" ht="15" hidden="false" customHeight="false" outlineLevel="0" collapsed="false">
      <c r="B393" s="7" t="s">
        <v>890</v>
      </c>
      <c r="C393" s="39" t="n">
        <v>45677</v>
      </c>
      <c r="D393" s="7" t="s">
        <v>391</v>
      </c>
      <c r="E393" s="7" t="s">
        <v>156</v>
      </c>
      <c r="F393" s="7" t="s">
        <v>222</v>
      </c>
      <c r="G393" s="7" t="s">
        <v>505</v>
      </c>
      <c r="H393" s="6" t="n">
        <v>3.72</v>
      </c>
      <c r="I393" s="6" t="n">
        <v>0</v>
      </c>
      <c r="J393" s="40" t="n">
        <f aca="false">H393-I393</f>
        <v>3.72</v>
      </c>
      <c r="K393" s="41" t="n">
        <v>34</v>
      </c>
      <c r="L393" s="42" t="n">
        <f aca="false">J393*K393</f>
        <v>126.48</v>
      </c>
      <c r="M393" s="43" t="n">
        <f aca="false">H393*17.84*(1+'Chart of Accounts'!$E$67)</f>
        <v>75.987696</v>
      </c>
    </row>
    <row r="394" customFormat="false" ht="15" hidden="false" customHeight="false" outlineLevel="0" collapsed="false">
      <c r="B394" s="7" t="s">
        <v>891</v>
      </c>
      <c r="C394" s="39" t="n">
        <v>45677</v>
      </c>
      <c r="D394" s="7" t="s">
        <v>395</v>
      </c>
      <c r="E394" s="7" t="s">
        <v>156</v>
      </c>
      <c r="F394" s="7" t="s">
        <v>242</v>
      </c>
      <c r="G394" s="7" t="s">
        <v>505</v>
      </c>
      <c r="H394" s="6" t="n">
        <v>4.08</v>
      </c>
      <c r="I394" s="6" t="n">
        <v>0</v>
      </c>
      <c r="J394" s="40" t="n">
        <f aca="false">H394-I394</f>
        <v>4.08</v>
      </c>
      <c r="K394" s="41" t="n">
        <v>34</v>
      </c>
      <c r="L394" s="42" t="n">
        <f aca="false">J394*K394</f>
        <v>138.72</v>
      </c>
      <c r="M394" s="43" t="n">
        <f aca="false">H394*17.99*(1+'Chart of Accounts'!$E$67)</f>
        <v>84.042084</v>
      </c>
    </row>
    <row r="395" customFormat="false" ht="15" hidden="false" customHeight="false" outlineLevel="0" collapsed="false">
      <c r="B395" s="7" t="s">
        <v>892</v>
      </c>
      <c r="C395" s="39" t="n">
        <v>45677</v>
      </c>
      <c r="D395" s="7" t="s">
        <v>399</v>
      </c>
      <c r="E395" s="7" t="s">
        <v>154</v>
      </c>
      <c r="F395" s="7" t="s">
        <v>262</v>
      </c>
      <c r="G395" s="7" t="s">
        <v>505</v>
      </c>
      <c r="H395" s="6" t="n">
        <v>3.55</v>
      </c>
      <c r="I395" s="6" t="n">
        <v>0.106</v>
      </c>
      <c r="J395" s="40" t="n">
        <f aca="false">H395-I395</f>
        <v>3.444</v>
      </c>
      <c r="K395" s="41" t="n">
        <v>26.5</v>
      </c>
      <c r="L395" s="42" t="n">
        <f aca="false">J395*K395</f>
        <v>91.266</v>
      </c>
      <c r="M395" s="43" t="n">
        <f aca="false">H395*16.02*(1+'Chart of Accounts'!$E$67)</f>
        <v>65.117295</v>
      </c>
    </row>
    <row r="396" customFormat="false" ht="15" hidden="false" customHeight="false" outlineLevel="0" collapsed="false">
      <c r="B396" s="7" t="s">
        <v>893</v>
      </c>
      <c r="C396" s="39" t="n">
        <v>45677</v>
      </c>
      <c r="D396" s="7" t="s">
        <v>401</v>
      </c>
      <c r="E396" s="7" t="s">
        <v>156</v>
      </c>
      <c r="F396" s="7" t="s">
        <v>254</v>
      </c>
      <c r="G396" s="7" t="s">
        <v>505</v>
      </c>
      <c r="H396" s="6" t="n">
        <v>4.11</v>
      </c>
      <c r="I396" s="6" t="n">
        <v>0</v>
      </c>
      <c r="J396" s="40" t="n">
        <f aca="false">H396-I396</f>
        <v>4.11</v>
      </c>
      <c r="K396" s="41" t="n">
        <v>34</v>
      </c>
      <c r="L396" s="42" t="n">
        <f aca="false">J396*K396</f>
        <v>139.74</v>
      </c>
      <c r="M396" s="43" t="n">
        <f aca="false">H396*17.1*(1+'Chart of Accounts'!$E$67)</f>
        <v>80.471745</v>
      </c>
    </row>
    <row r="397" customFormat="false" ht="15" hidden="false" customHeight="false" outlineLevel="0" collapsed="false">
      <c r="B397" s="7" t="s">
        <v>894</v>
      </c>
      <c r="C397" s="39" t="n">
        <v>45677</v>
      </c>
      <c r="D397" s="7" t="s">
        <v>409</v>
      </c>
      <c r="E397" s="7" t="s">
        <v>154</v>
      </c>
      <c r="F397" s="7" t="s">
        <v>214</v>
      </c>
      <c r="G397" s="7" t="s">
        <v>505</v>
      </c>
      <c r="H397" s="6" t="n">
        <v>3.51</v>
      </c>
      <c r="I397" s="6" t="n">
        <v>0</v>
      </c>
      <c r="J397" s="40" t="n">
        <f aca="false">H397-I397</f>
        <v>3.51</v>
      </c>
      <c r="K397" s="41" t="n">
        <v>26.5</v>
      </c>
      <c r="L397" s="42" t="n">
        <f aca="false">J397*K397</f>
        <v>93.015</v>
      </c>
      <c r="M397" s="43" t="n">
        <f aca="false">H397*15.67*(1+'Chart of Accounts'!$E$67)</f>
        <v>62.9769465</v>
      </c>
    </row>
    <row r="398" customFormat="false" ht="15" hidden="false" customHeight="false" outlineLevel="0" collapsed="false">
      <c r="B398" s="7" t="s">
        <v>895</v>
      </c>
      <c r="C398" s="39" t="n">
        <v>45677</v>
      </c>
      <c r="D398" s="7" t="s">
        <v>411</v>
      </c>
      <c r="E398" s="7" t="s">
        <v>154</v>
      </c>
      <c r="F398" s="7" t="s">
        <v>177</v>
      </c>
      <c r="G398" s="7" t="s">
        <v>505</v>
      </c>
      <c r="H398" s="6" t="n">
        <v>4.66</v>
      </c>
      <c r="I398" s="6" t="n">
        <v>0</v>
      </c>
      <c r="J398" s="40" t="n">
        <f aca="false">H398-I398</f>
        <v>4.66</v>
      </c>
      <c r="K398" s="41" t="n">
        <v>26.5</v>
      </c>
      <c r="L398" s="42" t="n">
        <f aca="false">J398*K398</f>
        <v>123.49</v>
      </c>
      <c r="M398" s="43" t="n">
        <f aca="false">H398*14.56*(1+'Chart of Accounts'!$E$67)</f>
        <v>77.687792</v>
      </c>
    </row>
    <row r="399" customFormat="false" ht="15" hidden="false" customHeight="false" outlineLevel="0" collapsed="false">
      <c r="B399" s="7" t="s">
        <v>896</v>
      </c>
      <c r="C399" s="39" t="n">
        <v>45678</v>
      </c>
      <c r="D399" s="7" t="s">
        <v>288</v>
      </c>
      <c r="E399" s="7" t="s">
        <v>156</v>
      </c>
      <c r="F399" s="7" t="s">
        <v>191</v>
      </c>
      <c r="G399" s="7" t="s">
        <v>505</v>
      </c>
      <c r="H399" s="6" t="n">
        <v>4.37</v>
      </c>
      <c r="I399" s="6" t="n">
        <v>0</v>
      </c>
      <c r="J399" s="40" t="n">
        <f aca="false">H399-I399</f>
        <v>4.37</v>
      </c>
      <c r="K399" s="41" t="n">
        <v>34</v>
      </c>
      <c r="L399" s="42" t="n">
        <f aca="false">J399*K399</f>
        <v>148.58</v>
      </c>
      <c r="M399" s="43" t="n">
        <f aca="false">H399*16.05*(1+'Chart of Accounts'!$E$67)</f>
        <v>80.3085825</v>
      </c>
    </row>
    <row r="400" customFormat="false" ht="15" hidden="false" customHeight="false" outlineLevel="0" collapsed="false">
      <c r="B400" s="7" t="s">
        <v>897</v>
      </c>
      <c r="C400" s="39" t="n">
        <v>45678</v>
      </c>
      <c r="D400" s="7" t="s">
        <v>301</v>
      </c>
      <c r="E400" s="7" t="s">
        <v>157</v>
      </c>
      <c r="F400" s="7" t="s">
        <v>209</v>
      </c>
      <c r="G400" s="7" t="s">
        <v>502</v>
      </c>
      <c r="H400" s="6" t="n">
        <v>1.04</v>
      </c>
      <c r="I400" s="6" t="n">
        <v>0.052</v>
      </c>
      <c r="J400" s="40" t="n">
        <f aca="false">H400-I400</f>
        <v>0.988</v>
      </c>
      <c r="K400" s="41" t="n">
        <v>165</v>
      </c>
      <c r="L400" s="42" t="n">
        <f aca="false">J400*K400</f>
        <v>163.02</v>
      </c>
      <c r="M400" s="43" t="n">
        <f aca="false">H400*73.58*(1+'Chart of Accounts'!$E$67)</f>
        <v>87.619064</v>
      </c>
    </row>
    <row r="401" customFormat="false" ht="15" hidden="false" customHeight="false" outlineLevel="0" collapsed="false">
      <c r="B401" s="7" t="s">
        <v>898</v>
      </c>
      <c r="C401" s="39" t="n">
        <v>45678</v>
      </c>
      <c r="D401" s="7" t="s">
        <v>313</v>
      </c>
      <c r="E401" s="7" t="s">
        <v>156</v>
      </c>
      <c r="F401" s="7" t="s">
        <v>184</v>
      </c>
      <c r="G401" s="7" t="s">
        <v>505</v>
      </c>
      <c r="H401" s="6" t="n">
        <v>3.65</v>
      </c>
      <c r="I401" s="6" t="n">
        <v>0</v>
      </c>
      <c r="J401" s="40" t="n">
        <f aca="false">H401-I401</f>
        <v>3.65</v>
      </c>
      <c r="K401" s="41" t="n">
        <v>34</v>
      </c>
      <c r="L401" s="42" t="n">
        <f aca="false">J401*K401</f>
        <v>124.1</v>
      </c>
      <c r="M401" s="43" t="n">
        <f aca="false">H401*17.34*(1+'Chart of Accounts'!$E$67)</f>
        <v>72.468195</v>
      </c>
    </row>
    <row r="402" customFormat="false" ht="15" hidden="false" customHeight="false" outlineLevel="0" collapsed="false">
      <c r="B402" s="7" t="s">
        <v>899</v>
      </c>
      <c r="C402" s="39" t="n">
        <v>45678</v>
      </c>
      <c r="D402" s="7" t="s">
        <v>319</v>
      </c>
      <c r="E402" s="7" t="s">
        <v>157</v>
      </c>
      <c r="F402" s="7" t="s">
        <v>234</v>
      </c>
      <c r="G402" s="7" t="s">
        <v>502</v>
      </c>
      <c r="H402" s="6" t="n">
        <v>0.94</v>
      </c>
      <c r="I402" s="6" t="n">
        <v>0</v>
      </c>
      <c r="J402" s="40" t="n">
        <f aca="false">H402-I402</f>
        <v>0.94</v>
      </c>
      <c r="K402" s="41" t="n">
        <v>165</v>
      </c>
      <c r="L402" s="42" t="n">
        <f aca="false">J402*K402</f>
        <v>155.1</v>
      </c>
      <c r="M402" s="43" t="n">
        <f aca="false">H402*89.53*(1+'Chart of Accounts'!$E$67)</f>
        <v>96.361139</v>
      </c>
    </row>
    <row r="403" customFormat="false" ht="15" hidden="false" customHeight="false" outlineLevel="0" collapsed="false">
      <c r="B403" s="7" t="s">
        <v>900</v>
      </c>
      <c r="C403" s="39" t="n">
        <v>45678</v>
      </c>
      <c r="D403" s="7" t="s">
        <v>321</v>
      </c>
      <c r="E403" s="7" t="s">
        <v>154</v>
      </c>
      <c r="F403" s="7" t="s">
        <v>218</v>
      </c>
      <c r="G403" s="7" t="s">
        <v>505</v>
      </c>
      <c r="H403" s="6" t="n">
        <v>4.17</v>
      </c>
      <c r="I403" s="6" t="n">
        <v>0</v>
      </c>
      <c r="J403" s="40" t="n">
        <f aca="false">H403-I403</f>
        <v>4.17</v>
      </c>
      <c r="K403" s="41" t="n">
        <v>26.5</v>
      </c>
      <c r="L403" s="42" t="n">
        <f aca="false">J403*K403</f>
        <v>110.505</v>
      </c>
      <c r="M403" s="43" t="n">
        <f aca="false">H403*16.19*(1+'Chart of Accounts'!$E$67)</f>
        <v>77.3015835</v>
      </c>
    </row>
    <row r="404" customFormat="false" ht="15" hidden="false" customHeight="false" outlineLevel="0" collapsed="false">
      <c r="B404" s="7" t="s">
        <v>901</v>
      </c>
      <c r="C404" s="39" t="n">
        <v>45678</v>
      </c>
      <c r="D404" s="7" t="s">
        <v>323</v>
      </c>
      <c r="E404" s="7" t="s">
        <v>159</v>
      </c>
      <c r="F404" s="7" t="s">
        <v>266</v>
      </c>
      <c r="G404" s="7" t="s">
        <v>502</v>
      </c>
      <c r="H404" s="6" t="n">
        <v>1.1</v>
      </c>
      <c r="I404" s="6" t="n">
        <v>0</v>
      </c>
      <c r="J404" s="40" t="n">
        <f aca="false">H404-I404</f>
        <v>1.1</v>
      </c>
      <c r="K404" s="41" t="n">
        <v>135</v>
      </c>
      <c r="L404" s="42" t="n">
        <f aca="false">J404*K404</f>
        <v>148.5</v>
      </c>
      <c r="M404" s="43" t="n">
        <f aca="false">H404*75.18*(1+'Chart of Accounts'!$E$67)</f>
        <v>94.68921</v>
      </c>
    </row>
    <row r="405" customFormat="false" ht="15" hidden="false" customHeight="false" outlineLevel="0" collapsed="false">
      <c r="B405" s="7" t="s">
        <v>902</v>
      </c>
      <c r="C405" s="39" t="n">
        <v>45678</v>
      </c>
      <c r="D405" s="7" t="s">
        <v>327</v>
      </c>
      <c r="E405" s="7" t="s">
        <v>157</v>
      </c>
      <c r="F405" s="7" t="s">
        <v>228</v>
      </c>
      <c r="G405" s="7" t="s">
        <v>502</v>
      </c>
      <c r="H405" s="6" t="n">
        <v>1.01</v>
      </c>
      <c r="I405" s="6" t="n">
        <v>0</v>
      </c>
      <c r="J405" s="40" t="n">
        <f aca="false">H405-I405</f>
        <v>1.01</v>
      </c>
      <c r="K405" s="41" t="n">
        <v>165</v>
      </c>
      <c r="L405" s="42" t="n">
        <f aca="false">J405*K405</f>
        <v>166.65</v>
      </c>
      <c r="M405" s="43" t="n">
        <f aca="false">H405*51.07*(1+'Chart of Accounts'!$E$67)</f>
        <v>59.0599015</v>
      </c>
    </row>
    <row r="406" customFormat="false" ht="15" hidden="false" customHeight="false" outlineLevel="0" collapsed="false">
      <c r="B406" s="7" t="s">
        <v>903</v>
      </c>
      <c r="C406" s="39" t="n">
        <v>45678</v>
      </c>
      <c r="D406" s="7" t="s">
        <v>329</v>
      </c>
      <c r="E406" s="7" t="s">
        <v>156</v>
      </c>
      <c r="F406" s="7" t="s">
        <v>220</v>
      </c>
      <c r="G406" s="7" t="s">
        <v>505</v>
      </c>
      <c r="H406" s="6" t="n">
        <v>3.81</v>
      </c>
      <c r="I406" s="6" t="n">
        <v>0</v>
      </c>
      <c r="J406" s="40" t="n">
        <f aca="false">H406-I406</f>
        <v>3.81</v>
      </c>
      <c r="K406" s="41" t="n">
        <v>34</v>
      </c>
      <c r="L406" s="42" t="n">
        <f aca="false">J406*K406</f>
        <v>129.54</v>
      </c>
      <c r="M406" s="43" t="n">
        <f aca="false">H406*16.43*(1+'Chart of Accounts'!$E$67)</f>
        <v>71.6750535</v>
      </c>
    </row>
    <row r="407" customFormat="false" ht="15" hidden="false" customHeight="false" outlineLevel="0" collapsed="false">
      <c r="B407" s="7" t="s">
        <v>904</v>
      </c>
      <c r="C407" s="39" t="n">
        <v>45678</v>
      </c>
      <c r="D407" s="7" t="s">
        <v>359</v>
      </c>
      <c r="E407" s="7" t="s">
        <v>156</v>
      </c>
      <c r="F407" s="7" t="s">
        <v>212</v>
      </c>
      <c r="G407" s="7" t="s">
        <v>505</v>
      </c>
      <c r="H407" s="6" t="n">
        <v>3.83</v>
      </c>
      <c r="I407" s="6" t="n">
        <v>0</v>
      </c>
      <c r="J407" s="40" t="n">
        <f aca="false">H407-I407</f>
        <v>3.83</v>
      </c>
      <c r="K407" s="41" t="n">
        <v>34</v>
      </c>
      <c r="L407" s="42" t="n">
        <f aca="false">J407*K407</f>
        <v>130.22</v>
      </c>
      <c r="M407" s="43" t="n">
        <f aca="false">H407*16.71*(1+'Chart of Accounts'!$E$67)</f>
        <v>73.2791985</v>
      </c>
    </row>
    <row r="408" customFormat="false" ht="15" hidden="false" customHeight="false" outlineLevel="0" collapsed="false">
      <c r="B408" s="7" t="s">
        <v>905</v>
      </c>
      <c r="C408" s="39" t="n">
        <v>45678</v>
      </c>
      <c r="D408" s="7" t="s">
        <v>361</v>
      </c>
      <c r="E408" s="7" t="s">
        <v>157</v>
      </c>
      <c r="F408" s="7" t="s">
        <v>209</v>
      </c>
      <c r="G408" s="7" t="s">
        <v>502</v>
      </c>
      <c r="H408" s="6" t="n">
        <v>0.95</v>
      </c>
      <c r="I408" s="6" t="n">
        <v>0</v>
      </c>
      <c r="J408" s="40" t="n">
        <f aca="false">H408-I408</f>
        <v>0.95</v>
      </c>
      <c r="K408" s="41" t="n">
        <v>165</v>
      </c>
      <c r="L408" s="42" t="n">
        <f aca="false">J408*K408</f>
        <v>156.75</v>
      </c>
      <c r="M408" s="43" t="n">
        <f aca="false">H408*73.58*(1+'Chart of Accounts'!$E$67)</f>
        <v>80.036645</v>
      </c>
    </row>
    <row r="409" customFormat="false" ht="15" hidden="false" customHeight="false" outlineLevel="0" collapsed="false">
      <c r="B409" s="7" t="s">
        <v>906</v>
      </c>
      <c r="C409" s="39" t="n">
        <v>45678</v>
      </c>
      <c r="D409" s="7" t="s">
        <v>381</v>
      </c>
      <c r="E409" s="7" t="s">
        <v>157</v>
      </c>
      <c r="F409" s="7" t="s">
        <v>234</v>
      </c>
      <c r="G409" s="7" t="s">
        <v>502</v>
      </c>
      <c r="H409" s="6" t="n">
        <v>0.97</v>
      </c>
      <c r="I409" s="6" t="n">
        <v>0</v>
      </c>
      <c r="J409" s="40" t="n">
        <f aca="false">H409-I409</f>
        <v>0.97</v>
      </c>
      <c r="K409" s="41" t="n">
        <v>165</v>
      </c>
      <c r="L409" s="42" t="n">
        <f aca="false">J409*K409</f>
        <v>160.05</v>
      </c>
      <c r="M409" s="43" t="n">
        <f aca="false">H409*89.53*(1+'Chart of Accounts'!$E$67)</f>
        <v>99.4364945</v>
      </c>
    </row>
    <row r="410" customFormat="false" ht="15" hidden="false" customHeight="false" outlineLevel="0" collapsed="false">
      <c r="B410" s="7" t="s">
        <v>907</v>
      </c>
      <c r="C410" s="39" t="n">
        <v>45678</v>
      </c>
      <c r="D410" s="7" t="s">
        <v>389</v>
      </c>
      <c r="E410" s="7" t="s">
        <v>154</v>
      </c>
      <c r="F410" s="7" t="s">
        <v>246</v>
      </c>
      <c r="G410" s="7" t="s">
        <v>505</v>
      </c>
      <c r="H410" s="6" t="n">
        <v>4.21</v>
      </c>
      <c r="I410" s="6" t="n">
        <v>0</v>
      </c>
      <c r="J410" s="40" t="n">
        <f aca="false">H410-I410</f>
        <v>4.21</v>
      </c>
      <c r="K410" s="41" t="n">
        <v>26.5</v>
      </c>
      <c r="L410" s="42" t="n">
        <f aca="false">J410*K410</f>
        <v>111.565</v>
      </c>
      <c r="M410" s="43" t="n">
        <f aca="false">H410*16.48*(1+'Chart of Accounts'!$E$67)</f>
        <v>79.441016</v>
      </c>
    </row>
    <row r="411" customFormat="false" ht="15" hidden="false" customHeight="false" outlineLevel="0" collapsed="false">
      <c r="B411" s="7" t="s">
        <v>908</v>
      </c>
      <c r="C411" s="39" t="n">
        <v>45678</v>
      </c>
      <c r="D411" s="7" t="s">
        <v>391</v>
      </c>
      <c r="E411" s="7" t="s">
        <v>156</v>
      </c>
      <c r="F411" s="7" t="s">
        <v>222</v>
      </c>
      <c r="G411" s="7" t="s">
        <v>505</v>
      </c>
      <c r="H411" s="6" t="n">
        <v>4</v>
      </c>
      <c r="I411" s="6" t="n">
        <v>0</v>
      </c>
      <c r="J411" s="40" t="n">
        <f aca="false">H411-I411</f>
        <v>4</v>
      </c>
      <c r="K411" s="41" t="n">
        <v>34</v>
      </c>
      <c r="L411" s="42" t="n">
        <f aca="false">J411*K411</f>
        <v>136</v>
      </c>
      <c r="M411" s="43" t="n">
        <f aca="false">H411*17.84*(1+'Chart of Accounts'!$E$67)</f>
        <v>81.7072</v>
      </c>
    </row>
    <row r="412" customFormat="false" ht="15" hidden="false" customHeight="false" outlineLevel="0" collapsed="false">
      <c r="B412" s="7" t="s">
        <v>909</v>
      </c>
      <c r="C412" s="39" t="n">
        <v>45678</v>
      </c>
      <c r="D412" s="7" t="s">
        <v>395</v>
      </c>
      <c r="E412" s="7" t="s">
        <v>156</v>
      </c>
      <c r="F412" s="7" t="s">
        <v>242</v>
      </c>
      <c r="G412" s="7" t="s">
        <v>505</v>
      </c>
      <c r="H412" s="6" t="n">
        <v>4.36</v>
      </c>
      <c r="I412" s="6" t="n">
        <v>0</v>
      </c>
      <c r="J412" s="40" t="n">
        <f aca="false">H412-I412</f>
        <v>4.36</v>
      </c>
      <c r="K412" s="41" t="n">
        <v>34</v>
      </c>
      <c r="L412" s="42" t="n">
        <f aca="false">J412*K412</f>
        <v>148.24</v>
      </c>
      <c r="M412" s="43" t="n">
        <f aca="false">H412*17.99*(1+'Chart of Accounts'!$E$67)</f>
        <v>89.809678</v>
      </c>
    </row>
    <row r="413" customFormat="false" ht="15" hidden="false" customHeight="false" outlineLevel="0" collapsed="false">
      <c r="B413" s="7" t="s">
        <v>910</v>
      </c>
      <c r="C413" s="39" t="n">
        <v>45678</v>
      </c>
      <c r="D413" s="7" t="s">
        <v>401</v>
      </c>
      <c r="E413" s="7" t="s">
        <v>156</v>
      </c>
      <c r="F413" s="7" t="s">
        <v>254</v>
      </c>
      <c r="G413" s="7" t="s">
        <v>505</v>
      </c>
      <c r="H413" s="6" t="n">
        <v>3.77</v>
      </c>
      <c r="I413" s="6" t="n">
        <v>0</v>
      </c>
      <c r="J413" s="40" t="n">
        <f aca="false">H413-I413</f>
        <v>3.77</v>
      </c>
      <c r="K413" s="41" t="n">
        <v>34</v>
      </c>
      <c r="L413" s="42" t="n">
        <f aca="false">J413*K413</f>
        <v>128.18</v>
      </c>
      <c r="M413" s="43" t="n">
        <f aca="false">H413*17.1*(1+'Chart of Accounts'!$E$67)</f>
        <v>73.814715</v>
      </c>
    </row>
    <row r="414" customFormat="false" ht="15" hidden="false" customHeight="false" outlineLevel="0" collapsed="false">
      <c r="B414" s="7" t="s">
        <v>911</v>
      </c>
      <c r="C414" s="39" t="n">
        <v>45678</v>
      </c>
      <c r="D414" s="7" t="s">
        <v>407</v>
      </c>
      <c r="E414" s="7" t="s">
        <v>159</v>
      </c>
      <c r="F414" s="7" t="s">
        <v>260</v>
      </c>
      <c r="G414" s="7" t="s">
        <v>502</v>
      </c>
      <c r="H414" s="6" t="n">
        <v>1</v>
      </c>
      <c r="I414" s="6" t="n">
        <v>0</v>
      </c>
      <c r="J414" s="40" t="n">
        <f aca="false">H414-I414</f>
        <v>1</v>
      </c>
      <c r="K414" s="41" t="n">
        <v>135</v>
      </c>
      <c r="L414" s="42" t="n">
        <f aca="false">J414*K414</f>
        <v>135</v>
      </c>
      <c r="M414" s="43" t="n">
        <f aca="false">H414*79.8*(1+'Chart of Accounts'!$E$67)</f>
        <v>91.371</v>
      </c>
    </row>
    <row r="415" customFormat="false" ht="15" hidden="false" customHeight="false" outlineLevel="0" collapsed="false">
      <c r="B415" s="7" t="s">
        <v>912</v>
      </c>
      <c r="C415" s="39" t="n">
        <v>45679</v>
      </c>
      <c r="D415" s="7" t="s">
        <v>280</v>
      </c>
      <c r="E415" s="7" t="s">
        <v>157</v>
      </c>
      <c r="F415" s="7" t="s">
        <v>187</v>
      </c>
      <c r="G415" s="7" t="s">
        <v>502</v>
      </c>
      <c r="H415" s="6" t="n">
        <v>0.99</v>
      </c>
      <c r="I415" s="6" t="n">
        <v>0</v>
      </c>
      <c r="J415" s="40" t="n">
        <f aca="false">H415-I415</f>
        <v>0.99</v>
      </c>
      <c r="K415" s="41" t="n">
        <v>165</v>
      </c>
      <c r="L415" s="42" t="n">
        <f aca="false">J415*K415</f>
        <v>163.35</v>
      </c>
      <c r="M415" s="43" t="n">
        <f aca="false">H415*66.48*(1+'Chart of Accounts'!$E$67)</f>
        <v>75.358404</v>
      </c>
    </row>
    <row r="416" customFormat="false" ht="15" hidden="false" customHeight="false" outlineLevel="0" collapsed="false">
      <c r="B416" s="7" t="s">
        <v>913</v>
      </c>
      <c r="C416" s="39" t="n">
        <v>45679</v>
      </c>
      <c r="D416" s="7" t="s">
        <v>286</v>
      </c>
      <c r="E416" s="7" t="s">
        <v>157</v>
      </c>
      <c r="F416" s="7" t="s">
        <v>228</v>
      </c>
      <c r="G416" s="7" t="s">
        <v>502</v>
      </c>
      <c r="H416" s="6" t="n">
        <v>0.99</v>
      </c>
      <c r="I416" s="6" t="n">
        <v>0</v>
      </c>
      <c r="J416" s="40" t="n">
        <f aca="false">H416-I416</f>
        <v>0.99</v>
      </c>
      <c r="K416" s="41" t="n">
        <v>165</v>
      </c>
      <c r="L416" s="42" t="n">
        <f aca="false">J416*K416</f>
        <v>163.35</v>
      </c>
      <c r="M416" s="43" t="n">
        <f aca="false">H416*51.07*(1+'Chart of Accounts'!$E$67)</f>
        <v>57.8903985</v>
      </c>
    </row>
    <row r="417" customFormat="false" ht="15" hidden="false" customHeight="false" outlineLevel="0" collapsed="false">
      <c r="B417" s="7" t="s">
        <v>914</v>
      </c>
      <c r="C417" s="39" t="n">
        <v>45679</v>
      </c>
      <c r="D417" s="7" t="s">
        <v>288</v>
      </c>
      <c r="E417" s="7" t="s">
        <v>156</v>
      </c>
      <c r="F417" s="7" t="s">
        <v>191</v>
      </c>
      <c r="G417" s="7" t="s">
        <v>505</v>
      </c>
      <c r="H417" s="6" t="n">
        <v>4.21</v>
      </c>
      <c r="I417" s="6" t="n">
        <v>0</v>
      </c>
      <c r="J417" s="40" t="n">
        <f aca="false">H417-I417</f>
        <v>4.21</v>
      </c>
      <c r="K417" s="41" t="n">
        <v>34</v>
      </c>
      <c r="L417" s="42" t="n">
        <f aca="false">J417*K417</f>
        <v>143.14</v>
      </c>
      <c r="M417" s="43" t="n">
        <f aca="false">H417*16.05*(1+'Chart of Accounts'!$E$67)</f>
        <v>77.3682225</v>
      </c>
    </row>
    <row r="418" customFormat="false" ht="15" hidden="false" customHeight="false" outlineLevel="0" collapsed="false">
      <c r="B418" s="7" t="s">
        <v>915</v>
      </c>
      <c r="C418" s="39" t="n">
        <v>45679</v>
      </c>
      <c r="D418" s="7" t="s">
        <v>291</v>
      </c>
      <c r="E418" s="7" t="s">
        <v>154</v>
      </c>
      <c r="F418" s="7" t="s">
        <v>194</v>
      </c>
      <c r="G418" s="7" t="s">
        <v>505</v>
      </c>
      <c r="H418" s="6" t="n">
        <v>4.73</v>
      </c>
      <c r="I418" s="6" t="n">
        <v>0</v>
      </c>
      <c r="J418" s="40" t="n">
        <f aca="false">H418-I418</f>
        <v>4.73</v>
      </c>
      <c r="K418" s="41" t="n">
        <v>26.5</v>
      </c>
      <c r="L418" s="42" t="n">
        <f aca="false">J418*K418</f>
        <v>125.345</v>
      </c>
      <c r="M418" s="43" t="n">
        <f aca="false">H418*16*(1+'Chart of Accounts'!$E$67)</f>
        <v>86.6536</v>
      </c>
    </row>
    <row r="419" customFormat="false" ht="15" hidden="false" customHeight="false" outlineLevel="0" collapsed="false">
      <c r="B419" s="7" t="s">
        <v>916</v>
      </c>
      <c r="C419" s="39" t="n">
        <v>45679</v>
      </c>
      <c r="D419" s="7" t="s">
        <v>305</v>
      </c>
      <c r="E419" s="7" t="s">
        <v>154</v>
      </c>
      <c r="F419" s="7" t="s">
        <v>205</v>
      </c>
      <c r="G419" s="7" t="s">
        <v>505</v>
      </c>
      <c r="H419" s="6" t="n">
        <v>3.66</v>
      </c>
      <c r="I419" s="6" t="n">
        <v>0</v>
      </c>
      <c r="J419" s="40" t="n">
        <f aca="false">H419-I419</f>
        <v>3.66</v>
      </c>
      <c r="K419" s="41" t="n">
        <v>26.5</v>
      </c>
      <c r="L419" s="42" t="n">
        <f aca="false">J419*K419</f>
        <v>96.99</v>
      </c>
      <c r="M419" s="43" t="n">
        <f aca="false">H419*16.36*(1+'Chart of Accounts'!$E$67)</f>
        <v>68.559852</v>
      </c>
    </row>
    <row r="420" customFormat="false" ht="15" hidden="false" customHeight="false" outlineLevel="0" collapsed="false">
      <c r="B420" s="7" t="s">
        <v>917</v>
      </c>
      <c r="C420" s="39" t="n">
        <v>45679</v>
      </c>
      <c r="D420" s="7" t="s">
        <v>309</v>
      </c>
      <c r="E420" s="7" t="s">
        <v>159</v>
      </c>
      <c r="F420" s="7" t="s">
        <v>252</v>
      </c>
      <c r="G420" s="7" t="s">
        <v>502</v>
      </c>
      <c r="H420" s="6" t="n">
        <v>0.96</v>
      </c>
      <c r="I420" s="6" t="n">
        <v>0</v>
      </c>
      <c r="J420" s="40" t="n">
        <f aca="false">H420-I420</f>
        <v>0.96</v>
      </c>
      <c r="K420" s="41" t="n">
        <v>135</v>
      </c>
      <c r="L420" s="42" t="n">
        <f aca="false">J420*K420</f>
        <v>129.6</v>
      </c>
      <c r="M420" s="43" t="n">
        <f aca="false">H420*57.54*(1+'Chart of Accounts'!$E$67)</f>
        <v>63.247968</v>
      </c>
    </row>
    <row r="421" customFormat="false" ht="15" hidden="false" customHeight="false" outlineLevel="0" collapsed="false">
      <c r="B421" s="7" t="s">
        <v>918</v>
      </c>
      <c r="C421" s="39" t="n">
        <v>45679</v>
      </c>
      <c r="D421" s="7" t="s">
        <v>313</v>
      </c>
      <c r="E421" s="7" t="s">
        <v>156</v>
      </c>
      <c r="F421" s="7" t="s">
        <v>184</v>
      </c>
      <c r="G421" s="7" t="s">
        <v>505</v>
      </c>
      <c r="H421" s="6" t="n">
        <v>3.7</v>
      </c>
      <c r="I421" s="6" t="n">
        <v>0</v>
      </c>
      <c r="J421" s="40" t="n">
        <f aca="false">H421-I421</f>
        <v>3.7</v>
      </c>
      <c r="K421" s="41" t="n">
        <v>34</v>
      </c>
      <c r="L421" s="42" t="n">
        <f aca="false">J421*K421</f>
        <v>125.8</v>
      </c>
      <c r="M421" s="43" t="n">
        <f aca="false">H421*17.34*(1+'Chart of Accounts'!$E$67)</f>
        <v>73.46091</v>
      </c>
    </row>
    <row r="422" customFormat="false" ht="15" hidden="false" customHeight="false" outlineLevel="0" collapsed="false">
      <c r="B422" s="7" t="s">
        <v>919</v>
      </c>
      <c r="C422" s="39" t="n">
        <v>45679</v>
      </c>
      <c r="D422" s="7" t="s">
        <v>321</v>
      </c>
      <c r="E422" s="7" t="s">
        <v>154</v>
      </c>
      <c r="F422" s="7" t="s">
        <v>218</v>
      </c>
      <c r="G422" s="7" t="s">
        <v>505</v>
      </c>
      <c r="H422" s="6" t="n">
        <v>4.24</v>
      </c>
      <c r="I422" s="6" t="n">
        <v>0</v>
      </c>
      <c r="J422" s="40" t="n">
        <f aca="false">H422-I422</f>
        <v>4.24</v>
      </c>
      <c r="K422" s="41" t="n">
        <v>26.5</v>
      </c>
      <c r="L422" s="42" t="n">
        <f aca="false">J422*K422</f>
        <v>112.36</v>
      </c>
      <c r="M422" s="43" t="n">
        <f aca="false">H422*16.19*(1+'Chart of Accounts'!$E$67)</f>
        <v>78.599212</v>
      </c>
    </row>
    <row r="423" customFormat="false" ht="15" hidden="false" customHeight="false" outlineLevel="0" collapsed="false">
      <c r="B423" s="7" t="s">
        <v>920</v>
      </c>
      <c r="C423" s="39" t="n">
        <v>45679</v>
      </c>
      <c r="D423" s="7" t="s">
        <v>329</v>
      </c>
      <c r="E423" s="7" t="s">
        <v>156</v>
      </c>
      <c r="F423" s="7" t="s">
        <v>220</v>
      </c>
      <c r="G423" s="7" t="s">
        <v>505</v>
      </c>
      <c r="H423" s="6" t="n">
        <v>4.2</v>
      </c>
      <c r="I423" s="6" t="n">
        <v>0</v>
      </c>
      <c r="J423" s="40" t="n">
        <f aca="false">H423-I423</f>
        <v>4.2</v>
      </c>
      <c r="K423" s="41" t="n">
        <v>34</v>
      </c>
      <c r="L423" s="42" t="n">
        <f aca="false">J423*K423</f>
        <v>142.8</v>
      </c>
      <c r="M423" s="43" t="n">
        <f aca="false">H423*16.43*(1+'Chart of Accounts'!$E$67)</f>
        <v>79.01187</v>
      </c>
    </row>
    <row r="424" customFormat="false" ht="15" hidden="false" customHeight="false" outlineLevel="0" collapsed="false">
      <c r="B424" s="7" t="s">
        <v>921</v>
      </c>
      <c r="C424" s="39" t="n">
        <v>45679</v>
      </c>
      <c r="D424" s="7" t="s">
        <v>335</v>
      </c>
      <c r="E424" s="7" t="s">
        <v>154</v>
      </c>
      <c r="F424" s="7" t="s">
        <v>177</v>
      </c>
      <c r="G424" s="7" t="s">
        <v>505</v>
      </c>
      <c r="H424" s="6" t="n">
        <v>4</v>
      </c>
      <c r="I424" s="6" t="n">
        <v>0.12</v>
      </c>
      <c r="J424" s="40" t="n">
        <f aca="false">H424-I424</f>
        <v>3.88</v>
      </c>
      <c r="K424" s="41" t="n">
        <v>26.5</v>
      </c>
      <c r="L424" s="42" t="n">
        <f aca="false">J424*K424</f>
        <v>102.82</v>
      </c>
      <c r="M424" s="43" t="n">
        <f aca="false">H424*14.56*(1+'Chart of Accounts'!$E$67)</f>
        <v>66.6848</v>
      </c>
    </row>
    <row r="425" customFormat="false" ht="15" hidden="false" customHeight="false" outlineLevel="0" collapsed="false">
      <c r="B425" s="7" t="s">
        <v>922</v>
      </c>
      <c r="C425" s="39" t="n">
        <v>45679</v>
      </c>
      <c r="D425" s="7" t="s">
        <v>339</v>
      </c>
      <c r="E425" s="7" t="s">
        <v>154</v>
      </c>
      <c r="F425" s="7" t="s">
        <v>242</v>
      </c>
      <c r="G425" s="7" t="s">
        <v>505</v>
      </c>
      <c r="H425" s="6" t="n">
        <v>3.22</v>
      </c>
      <c r="I425" s="6" t="n">
        <v>0</v>
      </c>
      <c r="J425" s="40" t="n">
        <f aca="false">H425-I425</f>
        <v>3.22</v>
      </c>
      <c r="K425" s="41" t="n">
        <v>26.5</v>
      </c>
      <c r="L425" s="42" t="n">
        <f aca="false">J425*K425</f>
        <v>85.33</v>
      </c>
      <c r="M425" s="43" t="n">
        <f aca="false">H425*17.99*(1+'Chart of Accounts'!$E$67)</f>
        <v>66.327331</v>
      </c>
    </row>
    <row r="426" customFormat="false" ht="15" hidden="false" customHeight="false" outlineLevel="0" collapsed="false">
      <c r="B426" s="7" t="s">
        <v>923</v>
      </c>
      <c r="C426" s="39" t="n">
        <v>45679</v>
      </c>
      <c r="D426" s="7" t="s">
        <v>353</v>
      </c>
      <c r="E426" s="7" t="s">
        <v>154</v>
      </c>
      <c r="F426" s="7" t="s">
        <v>254</v>
      </c>
      <c r="G426" s="7" t="s">
        <v>505</v>
      </c>
      <c r="H426" s="6" t="n">
        <v>3.4</v>
      </c>
      <c r="I426" s="6" t="n">
        <v>0</v>
      </c>
      <c r="J426" s="40" t="n">
        <f aca="false">H426-I426</f>
        <v>3.4</v>
      </c>
      <c r="K426" s="41" t="n">
        <v>26.5</v>
      </c>
      <c r="L426" s="42" t="n">
        <f aca="false">J426*K426</f>
        <v>90.1</v>
      </c>
      <c r="M426" s="43" t="n">
        <f aca="false">H426*17.1*(1+'Chart of Accounts'!$E$67)</f>
        <v>66.5703</v>
      </c>
    </row>
    <row r="427" customFormat="false" ht="15" hidden="false" customHeight="false" outlineLevel="0" collapsed="false">
      <c r="B427" s="7" t="s">
        <v>924</v>
      </c>
      <c r="C427" s="39" t="n">
        <v>45679</v>
      </c>
      <c r="D427" s="7" t="s">
        <v>355</v>
      </c>
      <c r="E427" s="7" t="s">
        <v>154</v>
      </c>
      <c r="F427" s="7" t="s">
        <v>201</v>
      </c>
      <c r="G427" s="7" t="s">
        <v>505</v>
      </c>
      <c r="H427" s="6" t="n">
        <v>3.41</v>
      </c>
      <c r="I427" s="6" t="n">
        <v>0</v>
      </c>
      <c r="J427" s="40" t="n">
        <f aca="false">H427-I427</f>
        <v>3.41</v>
      </c>
      <c r="K427" s="41" t="n">
        <v>26.5</v>
      </c>
      <c r="L427" s="42" t="n">
        <f aca="false">J427*K427</f>
        <v>90.365</v>
      </c>
      <c r="M427" s="43" t="n">
        <f aca="false">H427*15.19*(1+'Chart of Accounts'!$E$67)</f>
        <v>59.3085955</v>
      </c>
    </row>
    <row r="428" customFormat="false" ht="15" hidden="false" customHeight="false" outlineLevel="0" collapsed="false">
      <c r="B428" s="7" t="s">
        <v>925</v>
      </c>
      <c r="C428" s="39" t="n">
        <v>45679</v>
      </c>
      <c r="D428" s="7" t="s">
        <v>357</v>
      </c>
      <c r="E428" s="7" t="s">
        <v>154</v>
      </c>
      <c r="F428" s="7" t="s">
        <v>207</v>
      </c>
      <c r="G428" s="7" t="s">
        <v>505</v>
      </c>
      <c r="H428" s="6" t="n">
        <v>3.49</v>
      </c>
      <c r="I428" s="6" t="n">
        <v>0</v>
      </c>
      <c r="J428" s="40" t="n">
        <f aca="false">H428-I428</f>
        <v>3.49</v>
      </c>
      <c r="K428" s="41" t="n">
        <v>26.5</v>
      </c>
      <c r="L428" s="42" t="n">
        <f aca="false">J428*K428</f>
        <v>92.485</v>
      </c>
      <c r="M428" s="43" t="n">
        <f aca="false">H428*16.65*(1+'Chart of Accounts'!$E$67)</f>
        <v>66.5342325</v>
      </c>
    </row>
    <row r="429" customFormat="false" ht="15" hidden="false" customHeight="false" outlineLevel="0" collapsed="false">
      <c r="B429" s="7" t="s">
        <v>926</v>
      </c>
      <c r="C429" s="39" t="n">
        <v>45679</v>
      </c>
      <c r="D429" s="7" t="s">
        <v>359</v>
      </c>
      <c r="E429" s="7" t="s">
        <v>156</v>
      </c>
      <c r="F429" s="7" t="s">
        <v>212</v>
      </c>
      <c r="G429" s="7" t="s">
        <v>505</v>
      </c>
      <c r="H429" s="6" t="n">
        <v>4.26</v>
      </c>
      <c r="I429" s="6" t="n">
        <v>0</v>
      </c>
      <c r="J429" s="40" t="n">
        <f aca="false">H429-I429</f>
        <v>4.26</v>
      </c>
      <c r="K429" s="41" t="n">
        <v>34</v>
      </c>
      <c r="L429" s="42" t="n">
        <f aca="false">J429*K429</f>
        <v>144.84</v>
      </c>
      <c r="M429" s="43" t="n">
        <f aca="false">H429*16.71*(1+'Chart of Accounts'!$E$67)</f>
        <v>81.506367</v>
      </c>
    </row>
    <row r="430" customFormat="false" ht="15" hidden="false" customHeight="false" outlineLevel="0" collapsed="false">
      <c r="B430" s="7" t="s">
        <v>927</v>
      </c>
      <c r="C430" s="39" t="n">
        <v>45679</v>
      </c>
      <c r="D430" s="7" t="s">
        <v>371</v>
      </c>
      <c r="E430" s="7" t="s">
        <v>154</v>
      </c>
      <c r="F430" s="7" t="s">
        <v>232</v>
      </c>
      <c r="G430" s="7" t="s">
        <v>505</v>
      </c>
      <c r="H430" s="6" t="n">
        <v>4.48</v>
      </c>
      <c r="I430" s="6" t="n">
        <v>0</v>
      </c>
      <c r="J430" s="40" t="n">
        <f aca="false">H430-I430</f>
        <v>4.48</v>
      </c>
      <c r="K430" s="41" t="n">
        <v>26.5</v>
      </c>
      <c r="L430" s="42" t="n">
        <f aca="false">J430*K430</f>
        <v>118.72</v>
      </c>
      <c r="M430" s="43" t="n">
        <f aca="false">H430*16.17*(1+'Chart of Accounts'!$E$67)</f>
        <v>82.945632</v>
      </c>
    </row>
    <row r="431" customFormat="false" ht="15" hidden="false" customHeight="false" outlineLevel="0" collapsed="false">
      <c r="B431" s="7" t="s">
        <v>928</v>
      </c>
      <c r="C431" s="39" t="n">
        <v>45679</v>
      </c>
      <c r="D431" s="7" t="s">
        <v>379</v>
      </c>
      <c r="E431" s="7" t="s">
        <v>156</v>
      </c>
      <c r="F431" s="7" t="s">
        <v>224</v>
      </c>
      <c r="G431" s="7" t="s">
        <v>505</v>
      </c>
      <c r="H431" s="6" t="n">
        <v>4.83</v>
      </c>
      <c r="I431" s="6" t="n">
        <v>0</v>
      </c>
      <c r="J431" s="40" t="n">
        <f aca="false">H431-I431</f>
        <v>4.83</v>
      </c>
      <c r="K431" s="41" t="n">
        <v>34</v>
      </c>
      <c r="L431" s="42" t="n">
        <f aca="false">J431*K431</f>
        <v>164.22</v>
      </c>
      <c r="M431" s="43" t="n">
        <f aca="false">H431*14.93*(1+'Chart of Accounts'!$E$67)</f>
        <v>82.5681255</v>
      </c>
    </row>
    <row r="432" customFormat="false" ht="15" hidden="false" customHeight="false" outlineLevel="0" collapsed="false">
      <c r="B432" s="7" t="s">
        <v>929</v>
      </c>
      <c r="C432" s="39" t="n">
        <v>45679</v>
      </c>
      <c r="D432" s="7" t="s">
        <v>389</v>
      </c>
      <c r="E432" s="7" t="s">
        <v>154</v>
      </c>
      <c r="F432" s="7" t="s">
        <v>246</v>
      </c>
      <c r="G432" s="7" t="s">
        <v>505</v>
      </c>
      <c r="H432" s="6" t="n">
        <v>4.24</v>
      </c>
      <c r="I432" s="6" t="n">
        <v>0</v>
      </c>
      <c r="J432" s="40" t="n">
        <f aca="false">H432-I432</f>
        <v>4.24</v>
      </c>
      <c r="K432" s="41" t="n">
        <v>26.5</v>
      </c>
      <c r="L432" s="42" t="n">
        <f aca="false">J432*K432</f>
        <v>112.36</v>
      </c>
      <c r="M432" s="43" t="n">
        <f aca="false">H432*16.48*(1+'Chart of Accounts'!$E$67)</f>
        <v>80.007104</v>
      </c>
    </row>
    <row r="433" customFormat="false" ht="15" hidden="false" customHeight="false" outlineLevel="0" collapsed="false">
      <c r="B433" s="7" t="s">
        <v>930</v>
      </c>
      <c r="C433" s="39" t="n">
        <v>45679</v>
      </c>
      <c r="D433" s="7" t="s">
        <v>391</v>
      </c>
      <c r="E433" s="7" t="s">
        <v>156</v>
      </c>
      <c r="F433" s="7" t="s">
        <v>222</v>
      </c>
      <c r="G433" s="7" t="s">
        <v>505</v>
      </c>
      <c r="H433" s="6" t="n">
        <v>3.62</v>
      </c>
      <c r="I433" s="6" t="n">
        <v>0</v>
      </c>
      <c r="J433" s="40" t="n">
        <f aca="false">H433-I433</f>
        <v>3.62</v>
      </c>
      <c r="K433" s="41" t="n">
        <v>34</v>
      </c>
      <c r="L433" s="42" t="n">
        <f aca="false">J433*K433</f>
        <v>123.08</v>
      </c>
      <c r="M433" s="43" t="n">
        <f aca="false">H433*17.84*(1+'Chart of Accounts'!$E$67)</f>
        <v>73.945016</v>
      </c>
    </row>
    <row r="434" customFormat="false" ht="15" hidden="false" customHeight="false" outlineLevel="0" collapsed="false">
      <c r="B434" s="7" t="s">
        <v>931</v>
      </c>
      <c r="C434" s="39" t="n">
        <v>45679</v>
      </c>
      <c r="D434" s="7" t="s">
        <v>393</v>
      </c>
      <c r="E434" s="7" t="s">
        <v>157</v>
      </c>
      <c r="F434" s="7" t="s">
        <v>203</v>
      </c>
      <c r="G434" s="7" t="s">
        <v>502</v>
      </c>
      <c r="H434" s="6" t="n">
        <v>1.06</v>
      </c>
      <c r="I434" s="6" t="n">
        <v>0</v>
      </c>
      <c r="J434" s="40" t="n">
        <f aca="false">H434-I434</f>
        <v>1.06</v>
      </c>
      <c r="K434" s="41" t="n">
        <v>165</v>
      </c>
      <c r="L434" s="42" t="n">
        <f aca="false">J434*K434</f>
        <v>174.9</v>
      </c>
      <c r="M434" s="43" t="n">
        <f aca="false">H434*49.43*(1+'Chart of Accounts'!$E$67)</f>
        <v>59.993191</v>
      </c>
    </row>
    <row r="435" customFormat="false" ht="15" hidden="false" customHeight="false" outlineLevel="0" collapsed="false">
      <c r="B435" s="7" t="s">
        <v>932</v>
      </c>
      <c r="C435" s="39" t="n">
        <v>45679</v>
      </c>
      <c r="D435" s="7" t="s">
        <v>395</v>
      </c>
      <c r="E435" s="7" t="s">
        <v>156</v>
      </c>
      <c r="F435" s="7" t="s">
        <v>242</v>
      </c>
      <c r="G435" s="7" t="s">
        <v>505</v>
      </c>
      <c r="H435" s="6" t="n">
        <v>4.18</v>
      </c>
      <c r="I435" s="6" t="n">
        <v>0</v>
      </c>
      <c r="J435" s="40" t="n">
        <f aca="false">H435-I435</f>
        <v>4.18</v>
      </c>
      <c r="K435" s="41" t="n">
        <v>34</v>
      </c>
      <c r="L435" s="42" t="n">
        <f aca="false">J435*K435</f>
        <v>142.12</v>
      </c>
      <c r="M435" s="43" t="n">
        <f aca="false">H435*17.99*(1+'Chart of Accounts'!$E$67)</f>
        <v>86.101939</v>
      </c>
    </row>
    <row r="436" customFormat="false" ht="15" hidden="false" customHeight="false" outlineLevel="0" collapsed="false">
      <c r="B436" s="7" t="s">
        <v>933</v>
      </c>
      <c r="C436" s="39" t="n">
        <v>45679</v>
      </c>
      <c r="D436" s="7" t="s">
        <v>399</v>
      </c>
      <c r="E436" s="7" t="s">
        <v>154</v>
      </c>
      <c r="F436" s="7" t="s">
        <v>262</v>
      </c>
      <c r="G436" s="7" t="s">
        <v>505</v>
      </c>
      <c r="H436" s="6" t="n">
        <v>3.42</v>
      </c>
      <c r="I436" s="6" t="n">
        <v>0</v>
      </c>
      <c r="J436" s="40" t="n">
        <f aca="false">H436-I436</f>
        <v>3.42</v>
      </c>
      <c r="K436" s="41" t="n">
        <v>26.5</v>
      </c>
      <c r="L436" s="42" t="n">
        <f aca="false">J436*K436</f>
        <v>90.63</v>
      </c>
      <c r="M436" s="43" t="n">
        <f aca="false">H436*16.02*(1+'Chart of Accounts'!$E$67)</f>
        <v>62.732718</v>
      </c>
    </row>
    <row r="437" customFormat="false" ht="15" hidden="false" customHeight="false" outlineLevel="0" collapsed="false">
      <c r="B437" s="7" t="s">
        <v>934</v>
      </c>
      <c r="C437" s="39" t="n">
        <v>45679</v>
      </c>
      <c r="D437" s="7" t="s">
        <v>401</v>
      </c>
      <c r="E437" s="7" t="s">
        <v>156</v>
      </c>
      <c r="F437" s="7" t="s">
        <v>254</v>
      </c>
      <c r="G437" s="7" t="s">
        <v>505</v>
      </c>
      <c r="H437" s="6" t="n">
        <v>3.72</v>
      </c>
      <c r="I437" s="6" t="n">
        <v>0</v>
      </c>
      <c r="J437" s="40" t="n">
        <f aca="false">H437-I437</f>
        <v>3.72</v>
      </c>
      <c r="K437" s="41" t="n">
        <v>34</v>
      </c>
      <c r="L437" s="42" t="n">
        <f aca="false">J437*K437</f>
        <v>126.48</v>
      </c>
      <c r="M437" s="43" t="n">
        <f aca="false">H437*17.1*(1+'Chart of Accounts'!$E$67)</f>
        <v>72.83574</v>
      </c>
    </row>
    <row r="438" customFormat="false" ht="15" hidden="false" customHeight="false" outlineLevel="0" collapsed="false">
      <c r="B438" s="7" t="s">
        <v>935</v>
      </c>
      <c r="C438" s="39" t="n">
        <v>45679</v>
      </c>
      <c r="D438" s="7" t="s">
        <v>409</v>
      </c>
      <c r="E438" s="7" t="s">
        <v>154</v>
      </c>
      <c r="F438" s="7" t="s">
        <v>214</v>
      </c>
      <c r="G438" s="7" t="s">
        <v>505</v>
      </c>
      <c r="H438" s="6" t="n">
        <v>3.63</v>
      </c>
      <c r="I438" s="6" t="n">
        <v>0.109</v>
      </c>
      <c r="J438" s="40" t="n">
        <f aca="false">H438-I438</f>
        <v>3.521</v>
      </c>
      <c r="K438" s="41" t="n">
        <v>26.5</v>
      </c>
      <c r="L438" s="42" t="n">
        <f aca="false">J438*K438</f>
        <v>93.3065</v>
      </c>
      <c r="M438" s="43" t="n">
        <f aca="false">H438*15.67*(1+'Chart of Accounts'!$E$67)</f>
        <v>65.1300045</v>
      </c>
    </row>
    <row r="439" customFormat="false" ht="15" hidden="false" customHeight="false" outlineLevel="0" collapsed="false">
      <c r="B439" s="7" t="s">
        <v>936</v>
      </c>
      <c r="C439" s="39" t="n">
        <v>45679</v>
      </c>
      <c r="D439" s="7" t="s">
        <v>411</v>
      </c>
      <c r="E439" s="7" t="s">
        <v>154</v>
      </c>
      <c r="F439" s="7" t="s">
        <v>177</v>
      </c>
      <c r="G439" s="7" t="s">
        <v>505</v>
      </c>
      <c r="H439" s="6" t="n">
        <v>4.49</v>
      </c>
      <c r="I439" s="6" t="n">
        <v>0</v>
      </c>
      <c r="J439" s="40" t="n">
        <f aca="false">H439-I439</f>
        <v>4.49</v>
      </c>
      <c r="K439" s="41" t="n">
        <v>26.5</v>
      </c>
      <c r="L439" s="42" t="n">
        <f aca="false">J439*K439</f>
        <v>118.985</v>
      </c>
      <c r="M439" s="43" t="n">
        <f aca="false">H439*14.56*(1+'Chart of Accounts'!$E$67)</f>
        <v>74.853688</v>
      </c>
    </row>
    <row r="440" customFormat="false" ht="15" hidden="false" customHeight="false" outlineLevel="0" collapsed="false">
      <c r="B440" s="7" t="s">
        <v>937</v>
      </c>
      <c r="C440" s="39" t="n">
        <v>45680</v>
      </c>
      <c r="D440" s="7" t="s">
        <v>288</v>
      </c>
      <c r="E440" s="7" t="s">
        <v>156</v>
      </c>
      <c r="F440" s="7" t="s">
        <v>191</v>
      </c>
      <c r="G440" s="7" t="s">
        <v>505</v>
      </c>
      <c r="H440" s="6" t="n">
        <v>3.93</v>
      </c>
      <c r="I440" s="6" t="n">
        <v>0</v>
      </c>
      <c r="J440" s="40" t="n">
        <f aca="false">H440-I440</f>
        <v>3.93</v>
      </c>
      <c r="K440" s="41" t="n">
        <v>34</v>
      </c>
      <c r="L440" s="42" t="n">
        <f aca="false">J440*K440</f>
        <v>133.62</v>
      </c>
      <c r="M440" s="43" t="n">
        <f aca="false">H440*16.05*(1+'Chart of Accounts'!$E$67)</f>
        <v>72.2225925</v>
      </c>
    </row>
    <row r="441" customFormat="false" ht="15" hidden="false" customHeight="false" outlineLevel="0" collapsed="false">
      <c r="B441" s="7" t="s">
        <v>938</v>
      </c>
      <c r="C441" s="39" t="n">
        <v>45680</v>
      </c>
      <c r="D441" s="7" t="s">
        <v>297</v>
      </c>
      <c r="E441" s="7" t="s">
        <v>156</v>
      </c>
      <c r="F441" s="7" t="s">
        <v>201</v>
      </c>
      <c r="G441" s="7" t="s">
        <v>505</v>
      </c>
      <c r="H441" s="6" t="n">
        <v>3.22</v>
      </c>
      <c r="I441" s="6" t="n">
        <v>0</v>
      </c>
      <c r="J441" s="40" t="n">
        <f aca="false">H441-I441</f>
        <v>3.22</v>
      </c>
      <c r="K441" s="41" t="n">
        <v>34</v>
      </c>
      <c r="L441" s="42" t="n">
        <f aca="false">J441*K441</f>
        <v>109.48</v>
      </c>
      <c r="M441" s="43" t="n">
        <f aca="false">H441*15.19*(1+'Chart of Accounts'!$E$67)</f>
        <v>56.004011</v>
      </c>
    </row>
    <row r="442" customFormat="false" ht="15" hidden="false" customHeight="false" outlineLevel="0" collapsed="false">
      <c r="B442" s="7" t="s">
        <v>939</v>
      </c>
      <c r="C442" s="39" t="n">
        <v>45680</v>
      </c>
      <c r="D442" s="7" t="s">
        <v>311</v>
      </c>
      <c r="E442" s="7" t="s">
        <v>154</v>
      </c>
      <c r="F442" s="7" t="s">
        <v>196</v>
      </c>
      <c r="G442" s="7" t="s">
        <v>505</v>
      </c>
      <c r="H442" s="6" t="n">
        <v>2.78</v>
      </c>
      <c r="I442" s="6" t="n">
        <v>0</v>
      </c>
      <c r="J442" s="40" t="n">
        <f aca="false">H442-I442</f>
        <v>2.78</v>
      </c>
      <c r="K442" s="41" t="n">
        <v>26.5</v>
      </c>
      <c r="L442" s="42" t="n">
        <f aca="false">J442*K442</f>
        <v>73.67</v>
      </c>
      <c r="M442" s="43" t="n">
        <f aca="false">H442*15.05*(1+'Chart of Accounts'!$E$67)</f>
        <v>47.905655</v>
      </c>
    </row>
    <row r="443" customFormat="false" ht="15" hidden="false" customHeight="false" outlineLevel="0" collapsed="false">
      <c r="B443" s="7" t="s">
        <v>940</v>
      </c>
      <c r="C443" s="39" t="n">
        <v>45680</v>
      </c>
      <c r="D443" s="7" t="s">
        <v>313</v>
      </c>
      <c r="E443" s="7" t="s">
        <v>156</v>
      </c>
      <c r="F443" s="7" t="s">
        <v>184</v>
      </c>
      <c r="G443" s="7" t="s">
        <v>505</v>
      </c>
      <c r="H443" s="6" t="n">
        <v>4.13</v>
      </c>
      <c r="I443" s="6" t="n">
        <v>0</v>
      </c>
      <c r="J443" s="40" t="n">
        <f aca="false">H443-I443</f>
        <v>4.13</v>
      </c>
      <c r="K443" s="41" t="n">
        <v>34</v>
      </c>
      <c r="L443" s="42" t="n">
        <f aca="false">J443*K443</f>
        <v>140.42</v>
      </c>
      <c r="M443" s="43" t="n">
        <f aca="false">H443*17.34*(1+'Chart of Accounts'!$E$67)</f>
        <v>81.998259</v>
      </c>
    </row>
    <row r="444" customFormat="false" ht="15" hidden="false" customHeight="false" outlineLevel="0" collapsed="false">
      <c r="B444" s="7" t="s">
        <v>941</v>
      </c>
      <c r="C444" s="39" t="n">
        <v>45680</v>
      </c>
      <c r="D444" s="7" t="s">
        <v>317</v>
      </c>
      <c r="E444" s="7" t="s">
        <v>156</v>
      </c>
      <c r="F444" s="7" t="s">
        <v>207</v>
      </c>
      <c r="G444" s="7" t="s">
        <v>505</v>
      </c>
      <c r="H444" s="6" t="n">
        <v>2.8</v>
      </c>
      <c r="I444" s="6" t="n">
        <v>0</v>
      </c>
      <c r="J444" s="40" t="n">
        <f aca="false">H444-I444</f>
        <v>2.8</v>
      </c>
      <c r="K444" s="41" t="n">
        <v>34</v>
      </c>
      <c r="L444" s="42" t="n">
        <f aca="false">J444*K444</f>
        <v>95.2</v>
      </c>
      <c r="M444" s="43" t="n">
        <f aca="false">H444*16.65*(1+'Chart of Accounts'!$E$67)</f>
        <v>53.3799</v>
      </c>
    </row>
    <row r="445" customFormat="false" ht="15" hidden="false" customHeight="false" outlineLevel="0" collapsed="false">
      <c r="B445" s="7" t="s">
        <v>942</v>
      </c>
      <c r="C445" s="39" t="n">
        <v>45680</v>
      </c>
      <c r="D445" s="7" t="s">
        <v>321</v>
      </c>
      <c r="E445" s="7" t="s">
        <v>154</v>
      </c>
      <c r="F445" s="7" t="s">
        <v>218</v>
      </c>
      <c r="G445" s="7" t="s">
        <v>505</v>
      </c>
      <c r="H445" s="6" t="n">
        <v>3.88</v>
      </c>
      <c r="I445" s="6" t="n">
        <v>0</v>
      </c>
      <c r="J445" s="40" t="n">
        <f aca="false">H445-I445</f>
        <v>3.88</v>
      </c>
      <c r="K445" s="41" t="n">
        <v>26.5</v>
      </c>
      <c r="L445" s="42" t="n">
        <f aca="false">J445*K445</f>
        <v>102.82</v>
      </c>
      <c r="M445" s="43" t="n">
        <f aca="false">H445*16.19*(1+'Chart of Accounts'!$E$67)</f>
        <v>71.925694</v>
      </c>
    </row>
    <row r="446" customFormat="false" ht="15" hidden="false" customHeight="false" outlineLevel="0" collapsed="false">
      <c r="B446" s="7" t="s">
        <v>943</v>
      </c>
      <c r="C446" s="39" t="n">
        <v>45680</v>
      </c>
      <c r="D446" s="7" t="s">
        <v>325</v>
      </c>
      <c r="E446" s="7" t="s">
        <v>154</v>
      </c>
      <c r="F446" s="7" t="s">
        <v>212</v>
      </c>
      <c r="G446" s="7" t="s">
        <v>505</v>
      </c>
      <c r="H446" s="6" t="n">
        <v>3.09</v>
      </c>
      <c r="I446" s="6" t="n">
        <v>0</v>
      </c>
      <c r="J446" s="40" t="n">
        <f aca="false">H446-I446</f>
        <v>3.09</v>
      </c>
      <c r="K446" s="41" t="n">
        <v>26.5</v>
      </c>
      <c r="L446" s="42" t="n">
        <f aca="false">J446*K446</f>
        <v>81.885</v>
      </c>
      <c r="M446" s="43" t="n">
        <f aca="false">H446*16.71*(1+'Chart of Accounts'!$E$67)</f>
        <v>59.1208155</v>
      </c>
    </row>
    <row r="447" customFormat="false" ht="15" hidden="false" customHeight="false" outlineLevel="0" collapsed="false">
      <c r="B447" s="7" t="s">
        <v>944</v>
      </c>
      <c r="C447" s="39" t="n">
        <v>45680</v>
      </c>
      <c r="D447" s="7" t="s">
        <v>329</v>
      </c>
      <c r="E447" s="7" t="s">
        <v>156</v>
      </c>
      <c r="F447" s="7" t="s">
        <v>220</v>
      </c>
      <c r="G447" s="7" t="s">
        <v>505</v>
      </c>
      <c r="H447" s="6" t="n">
        <v>3.75</v>
      </c>
      <c r="I447" s="6" t="n">
        <v>0</v>
      </c>
      <c r="J447" s="40" t="n">
        <f aca="false">H447-I447</f>
        <v>3.75</v>
      </c>
      <c r="K447" s="41" t="n">
        <v>34</v>
      </c>
      <c r="L447" s="42" t="n">
        <f aca="false">J447*K447</f>
        <v>127.5</v>
      </c>
      <c r="M447" s="43" t="n">
        <f aca="false">H447*16.43*(1+'Chart of Accounts'!$E$67)</f>
        <v>70.5463125</v>
      </c>
    </row>
    <row r="448" customFormat="false" ht="15" hidden="false" customHeight="false" outlineLevel="0" collapsed="false">
      <c r="B448" s="7" t="s">
        <v>945</v>
      </c>
      <c r="C448" s="39" t="n">
        <v>45680</v>
      </c>
      <c r="D448" s="7" t="s">
        <v>331</v>
      </c>
      <c r="E448" s="7" t="s">
        <v>156</v>
      </c>
      <c r="F448" s="7" t="s">
        <v>224</v>
      </c>
      <c r="G448" s="7" t="s">
        <v>505</v>
      </c>
      <c r="H448" s="6" t="n">
        <v>3.78</v>
      </c>
      <c r="I448" s="6" t="n">
        <v>0</v>
      </c>
      <c r="J448" s="40" t="n">
        <f aca="false">H448-I448</f>
        <v>3.78</v>
      </c>
      <c r="K448" s="41" t="n">
        <v>34</v>
      </c>
      <c r="L448" s="42" t="n">
        <f aca="false">J448*K448</f>
        <v>128.52</v>
      </c>
      <c r="M448" s="43" t="n">
        <f aca="false">H448*14.93*(1+'Chart of Accounts'!$E$67)</f>
        <v>64.618533</v>
      </c>
    </row>
    <row r="449" customFormat="false" ht="15" hidden="false" customHeight="false" outlineLevel="0" collapsed="false">
      <c r="B449" s="7" t="s">
        <v>946</v>
      </c>
      <c r="C449" s="39" t="n">
        <v>45680</v>
      </c>
      <c r="D449" s="7" t="s">
        <v>337</v>
      </c>
      <c r="E449" s="7" t="s">
        <v>154</v>
      </c>
      <c r="F449" s="7" t="s">
        <v>232</v>
      </c>
      <c r="G449" s="7" t="s">
        <v>505</v>
      </c>
      <c r="H449" s="6" t="n">
        <v>2.87</v>
      </c>
      <c r="I449" s="6" t="n">
        <v>0</v>
      </c>
      <c r="J449" s="40" t="n">
        <f aca="false">H449-I449</f>
        <v>2.87</v>
      </c>
      <c r="K449" s="41" t="n">
        <v>26.5</v>
      </c>
      <c r="L449" s="42" t="n">
        <f aca="false">J449*K449</f>
        <v>76.055</v>
      </c>
      <c r="M449" s="43" t="n">
        <f aca="false">H449*16.17*(1+'Chart of Accounts'!$E$67)</f>
        <v>53.1370455</v>
      </c>
    </row>
    <row r="450" customFormat="false" ht="15" hidden="false" customHeight="false" outlineLevel="0" collapsed="false">
      <c r="B450" s="7" t="s">
        <v>947</v>
      </c>
      <c r="C450" s="39" t="n">
        <v>45680</v>
      </c>
      <c r="D450" s="7" t="s">
        <v>341</v>
      </c>
      <c r="E450" s="7" t="s">
        <v>156</v>
      </c>
      <c r="F450" s="7" t="s">
        <v>222</v>
      </c>
      <c r="G450" s="7" t="s">
        <v>505</v>
      </c>
      <c r="H450" s="6" t="n">
        <v>2.89</v>
      </c>
      <c r="I450" s="6" t="n">
        <v>0</v>
      </c>
      <c r="J450" s="40" t="n">
        <f aca="false">H450-I450</f>
        <v>2.89</v>
      </c>
      <c r="K450" s="41" t="n">
        <v>34</v>
      </c>
      <c r="L450" s="42" t="n">
        <f aca="false">J450*K450</f>
        <v>98.26</v>
      </c>
      <c r="M450" s="43" t="n">
        <f aca="false">H450*17.84*(1+'Chart of Accounts'!$E$67)</f>
        <v>59.033452</v>
      </c>
    </row>
    <row r="451" customFormat="false" ht="15" hidden="false" customHeight="false" outlineLevel="0" collapsed="false">
      <c r="B451" s="7" t="s">
        <v>948</v>
      </c>
      <c r="C451" s="39" t="n">
        <v>45680</v>
      </c>
      <c r="D451" s="7" t="s">
        <v>343</v>
      </c>
      <c r="E451" s="7" t="s">
        <v>154</v>
      </c>
      <c r="F451" s="7" t="s">
        <v>262</v>
      </c>
      <c r="G451" s="7" t="s">
        <v>505</v>
      </c>
      <c r="H451" s="6" t="n">
        <v>4.24</v>
      </c>
      <c r="I451" s="6" t="n">
        <v>0.127</v>
      </c>
      <c r="J451" s="40" t="n">
        <f aca="false">H451-I451</f>
        <v>4.113</v>
      </c>
      <c r="K451" s="41" t="n">
        <v>26.5</v>
      </c>
      <c r="L451" s="42" t="n">
        <f aca="false">J451*K451</f>
        <v>108.9945</v>
      </c>
      <c r="M451" s="43" t="n">
        <f aca="false">H451*16.02*(1+'Chart of Accounts'!$E$67)</f>
        <v>77.773896</v>
      </c>
    </row>
    <row r="452" customFormat="false" ht="15" hidden="false" customHeight="false" outlineLevel="0" collapsed="false">
      <c r="B452" s="7" t="s">
        <v>949</v>
      </c>
      <c r="C452" s="39" t="n">
        <v>45680</v>
      </c>
      <c r="D452" s="7" t="s">
        <v>359</v>
      </c>
      <c r="E452" s="7" t="s">
        <v>156</v>
      </c>
      <c r="F452" s="7" t="s">
        <v>212</v>
      </c>
      <c r="G452" s="7" t="s">
        <v>505</v>
      </c>
      <c r="H452" s="6" t="n">
        <v>4.14</v>
      </c>
      <c r="I452" s="6" t="n">
        <v>0</v>
      </c>
      <c r="J452" s="40" t="n">
        <f aca="false">H452-I452</f>
        <v>4.14</v>
      </c>
      <c r="K452" s="41" t="n">
        <v>34</v>
      </c>
      <c r="L452" s="42" t="n">
        <f aca="false">J452*K452</f>
        <v>140.76</v>
      </c>
      <c r="M452" s="43" t="n">
        <f aca="false">H452*16.71*(1+'Chart of Accounts'!$E$67)</f>
        <v>79.210413</v>
      </c>
    </row>
    <row r="453" customFormat="false" ht="15" hidden="false" customHeight="false" outlineLevel="0" collapsed="false">
      <c r="B453" s="7" t="s">
        <v>950</v>
      </c>
      <c r="C453" s="39" t="n">
        <v>45680</v>
      </c>
      <c r="D453" s="7" t="s">
        <v>363</v>
      </c>
      <c r="E453" s="7" t="s">
        <v>156</v>
      </c>
      <c r="F453" s="7" t="s">
        <v>246</v>
      </c>
      <c r="G453" s="7" t="s">
        <v>505</v>
      </c>
      <c r="H453" s="6" t="n">
        <v>4.25</v>
      </c>
      <c r="I453" s="6" t="n">
        <v>0</v>
      </c>
      <c r="J453" s="40" t="n">
        <f aca="false">H453-I453</f>
        <v>4.25</v>
      </c>
      <c r="K453" s="41" t="n">
        <v>34</v>
      </c>
      <c r="L453" s="42" t="n">
        <f aca="false">J453*K453</f>
        <v>144.5</v>
      </c>
      <c r="M453" s="43" t="n">
        <f aca="false">H453*16.48*(1+'Chart of Accounts'!$E$67)</f>
        <v>80.1958</v>
      </c>
    </row>
    <row r="454" customFormat="false" ht="15" hidden="false" customHeight="false" outlineLevel="0" collapsed="false">
      <c r="B454" s="7" t="s">
        <v>951</v>
      </c>
      <c r="C454" s="39" t="n">
        <v>45680</v>
      </c>
      <c r="D454" s="7" t="s">
        <v>375</v>
      </c>
      <c r="E454" s="7" t="s">
        <v>156</v>
      </c>
      <c r="F454" s="7" t="s">
        <v>196</v>
      </c>
      <c r="G454" s="7" t="s">
        <v>505</v>
      </c>
      <c r="H454" s="6" t="n">
        <v>2.87</v>
      </c>
      <c r="I454" s="6" t="n">
        <v>0</v>
      </c>
      <c r="J454" s="40" t="n">
        <f aca="false">H454-I454</f>
        <v>2.87</v>
      </c>
      <c r="K454" s="41" t="n">
        <v>34</v>
      </c>
      <c r="L454" s="42" t="n">
        <f aca="false">J454*K454</f>
        <v>97.58</v>
      </c>
      <c r="M454" s="43" t="n">
        <f aca="false">H454*15.05*(1+'Chart of Accounts'!$E$67)</f>
        <v>49.4565575</v>
      </c>
    </row>
    <row r="455" customFormat="false" ht="15" hidden="false" customHeight="false" outlineLevel="0" collapsed="false">
      <c r="B455" s="7" t="s">
        <v>952</v>
      </c>
      <c r="C455" s="39" t="n">
        <v>45680</v>
      </c>
      <c r="D455" s="7" t="s">
        <v>377</v>
      </c>
      <c r="E455" s="7" t="s">
        <v>154</v>
      </c>
      <c r="F455" s="7" t="s">
        <v>214</v>
      </c>
      <c r="G455" s="7" t="s">
        <v>505</v>
      </c>
      <c r="H455" s="6" t="n">
        <v>3.88</v>
      </c>
      <c r="I455" s="6" t="n">
        <v>0</v>
      </c>
      <c r="J455" s="40" t="n">
        <f aca="false">H455-I455</f>
        <v>3.88</v>
      </c>
      <c r="K455" s="41" t="n">
        <v>26.5</v>
      </c>
      <c r="L455" s="42" t="n">
        <f aca="false">J455*K455</f>
        <v>102.82</v>
      </c>
      <c r="M455" s="43" t="n">
        <f aca="false">H455*15.67*(1+'Chart of Accounts'!$E$67)</f>
        <v>69.615542</v>
      </c>
    </row>
    <row r="456" customFormat="false" ht="15" hidden="false" customHeight="false" outlineLevel="0" collapsed="false">
      <c r="B456" s="7" t="s">
        <v>953</v>
      </c>
      <c r="C456" s="39" t="n">
        <v>45680</v>
      </c>
      <c r="D456" s="7" t="s">
        <v>389</v>
      </c>
      <c r="E456" s="7" t="s">
        <v>154</v>
      </c>
      <c r="F456" s="7" t="s">
        <v>246</v>
      </c>
      <c r="G456" s="7" t="s">
        <v>505</v>
      </c>
      <c r="H456" s="6" t="n">
        <v>3.98</v>
      </c>
      <c r="I456" s="6" t="n">
        <v>0</v>
      </c>
      <c r="J456" s="40" t="n">
        <f aca="false">H456-I456</f>
        <v>3.98</v>
      </c>
      <c r="K456" s="41" t="n">
        <v>26.5</v>
      </c>
      <c r="L456" s="42" t="n">
        <f aca="false">J456*K456</f>
        <v>105.47</v>
      </c>
      <c r="M456" s="43" t="n">
        <f aca="false">H456*16.48*(1+'Chart of Accounts'!$E$67)</f>
        <v>75.101008</v>
      </c>
    </row>
    <row r="457" customFormat="false" ht="15" hidden="false" customHeight="false" outlineLevel="0" collapsed="false">
      <c r="B457" s="7" t="s">
        <v>954</v>
      </c>
      <c r="C457" s="39" t="n">
        <v>45680</v>
      </c>
      <c r="D457" s="7" t="s">
        <v>391</v>
      </c>
      <c r="E457" s="7" t="s">
        <v>156</v>
      </c>
      <c r="F457" s="7" t="s">
        <v>222</v>
      </c>
      <c r="G457" s="7" t="s">
        <v>505</v>
      </c>
      <c r="H457" s="6" t="n">
        <v>4.35</v>
      </c>
      <c r="I457" s="6" t="n">
        <v>0</v>
      </c>
      <c r="J457" s="40" t="n">
        <f aca="false">H457-I457</f>
        <v>4.35</v>
      </c>
      <c r="K457" s="41" t="n">
        <v>34</v>
      </c>
      <c r="L457" s="42" t="n">
        <f aca="false">J457*K457</f>
        <v>147.9</v>
      </c>
      <c r="M457" s="43" t="n">
        <f aca="false">H457*17.84*(1+'Chart of Accounts'!$E$67)</f>
        <v>88.85658</v>
      </c>
    </row>
    <row r="458" customFormat="false" ht="15" hidden="false" customHeight="false" outlineLevel="0" collapsed="false">
      <c r="B458" s="7" t="s">
        <v>955</v>
      </c>
      <c r="C458" s="39" t="n">
        <v>45680</v>
      </c>
      <c r="D458" s="7" t="s">
        <v>395</v>
      </c>
      <c r="E458" s="7" t="s">
        <v>156</v>
      </c>
      <c r="F458" s="7" t="s">
        <v>242</v>
      </c>
      <c r="G458" s="7" t="s">
        <v>505</v>
      </c>
      <c r="H458" s="6" t="n">
        <v>4.09</v>
      </c>
      <c r="I458" s="6" t="n">
        <v>0</v>
      </c>
      <c r="J458" s="40" t="n">
        <f aca="false">H458-I458</f>
        <v>4.09</v>
      </c>
      <c r="K458" s="41" t="n">
        <v>34</v>
      </c>
      <c r="L458" s="42" t="n">
        <f aca="false">J458*K458</f>
        <v>139.06</v>
      </c>
      <c r="M458" s="43" t="n">
        <f aca="false">H458*17.99*(1+'Chart of Accounts'!$E$67)</f>
        <v>84.2480695</v>
      </c>
    </row>
    <row r="459" customFormat="false" ht="15" hidden="false" customHeight="false" outlineLevel="0" collapsed="false">
      <c r="B459" s="7" t="s">
        <v>956</v>
      </c>
      <c r="C459" s="39" t="n">
        <v>45680</v>
      </c>
      <c r="D459" s="7" t="s">
        <v>401</v>
      </c>
      <c r="E459" s="7" t="s">
        <v>156</v>
      </c>
      <c r="F459" s="7" t="s">
        <v>254</v>
      </c>
      <c r="G459" s="7" t="s">
        <v>505</v>
      </c>
      <c r="H459" s="6" t="n">
        <v>4.14</v>
      </c>
      <c r="I459" s="6" t="n">
        <v>0</v>
      </c>
      <c r="J459" s="40" t="n">
        <f aca="false">H459-I459</f>
        <v>4.14</v>
      </c>
      <c r="K459" s="41" t="n">
        <v>34</v>
      </c>
      <c r="L459" s="42" t="n">
        <f aca="false">J459*K459</f>
        <v>140.76</v>
      </c>
      <c r="M459" s="43" t="n">
        <f aca="false">H459*17.1*(1+'Chart of Accounts'!$E$67)</f>
        <v>81.05913</v>
      </c>
    </row>
    <row r="460" customFormat="false" ht="15" hidden="false" customHeight="false" outlineLevel="0" collapsed="false">
      <c r="B460" s="7" t="s">
        <v>957</v>
      </c>
      <c r="C460" s="39" t="n">
        <v>45681</v>
      </c>
      <c r="D460" s="7" t="s">
        <v>280</v>
      </c>
      <c r="E460" s="7" t="s">
        <v>157</v>
      </c>
      <c r="F460" s="7" t="s">
        <v>187</v>
      </c>
      <c r="G460" s="7" t="s">
        <v>502</v>
      </c>
      <c r="H460" s="6" t="n">
        <v>0.91</v>
      </c>
      <c r="I460" s="6" t="n">
        <v>0</v>
      </c>
      <c r="J460" s="40" t="n">
        <f aca="false">H460-I460</f>
        <v>0.91</v>
      </c>
      <c r="K460" s="41" t="n">
        <v>165</v>
      </c>
      <c r="L460" s="42" t="n">
        <f aca="false">J460*K460</f>
        <v>150.15</v>
      </c>
      <c r="M460" s="43" t="n">
        <f aca="false">H460*66.48*(1+'Chart of Accounts'!$E$67)</f>
        <v>69.268836</v>
      </c>
    </row>
    <row r="461" customFormat="false" ht="15" hidden="false" customHeight="false" outlineLevel="0" collapsed="false">
      <c r="B461" s="7" t="s">
        <v>958</v>
      </c>
      <c r="C461" s="39" t="n">
        <v>45681</v>
      </c>
      <c r="D461" s="7" t="s">
        <v>288</v>
      </c>
      <c r="E461" s="7" t="s">
        <v>156</v>
      </c>
      <c r="F461" s="7" t="s">
        <v>191</v>
      </c>
      <c r="G461" s="7" t="s">
        <v>505</v>
      </c>
      <c r="H461" s="6" t="n">
        <v>3.68</v>
      </c>
      <c r="I461" s="6" t="n">
        <v>0</v>
      </c>
      <c r="J461" s="40" t="n">
        <f aca="false">H461-I461</f>
        <v>3.68</v>
      </c>
      <c r="K461" s="41" t="n">
        <v>34</v>
      </c>
      <c r="L461" s="42" t="n">
        <f aca="false">J461*K461</f>
        <v>125.12</v>
      </c>
      <c r="M461" s="43" t="n">
        <f aca="false">H461*16.05*(1+'Chart of Accounts'!$E$67)</f>
        <v>67.62828</v>
      </c>
    </row>
    <row r="462" customFormat="false" ht="15" hidden="false" customHeight="false" outlineLevel="0" collapsed="false">
      <c r="B462" s="7" t="s">
        <v>959</v>
      </c>
      <c r="C462" s="39" t="n">
        <v>45681</v>
      </c>
      <c r="D462" s="7" t="s">
        <v>291</v>
      </c>
      <c r="E462" s="7" t="s">
        <v>154</v>
      </c>
      <c r="F462" s="7" t="s">
        <v>194</v>
      </c>
      <c r="G462" s="7" t="s">
        <v>505</v>
      </c>
      <c r="H462" s="6" t="n">
        <v>4.71</v>
      </c>
      <c r="I462" s="6" t="n">
        <v>0</v>
      </c>
      <c r="J462" s="40" t="n">
        <f aca="false">H462-I462</f>
        <v>4.71</v>
      </c>
      <c r="K462" s="41" t="n">
        <v>26.5</v>
      </c>
      <c r="L462" s="42" t="n">
        <f aca="false">J462*K462</f>
        <v>124.815</v>
      </c>
      <c r="M462" s="43" t="n">
        <f aca="false">H462*16*(1+'Chart of Accounts'!$E$67)</f>
        <v>86.2872</v>
      </c>
    </row>
    <row r="463" customFormat="false" ht="15" hidden="false" customHeight="false" outlineLevel="0" collapsed="false">
      <c r="B463" s="7" t="s">
        <v>960</v>
      </c>
      <c r="C463" s="39" t="n">
        <v>45681</v>
      </c>
      <c r="D463" s="7" t="s">
        <v>301</v>
      </c>
      <c r="E463" s="7" t="s">
        <v>157</v>
      </c>
      <c r="F463" s="7" t="s">
        <v>209</v>
      </c>
      <c r="G463" s="7" t="s">
        <v>502</v>
      </c>
      <c r="H463" s="6" t="n">
        <v>1.09</v>
      </c>
      <c r="I463" s="6" t="n">
        <v>0</v>
      </c>
      <c r="J463" s="40" t="n">
        <f aca="false">H463-I463</f>
        <v>1.09</v>
      </c>
      <c r="K463" s="41" t="n">
        <v>165</v>
      </c>
      <c r="L463" s="42" t="n">
        <f aca="false">J463*K463</f>
        <v>179.85</v>
      </c>
      <c r="M463" s="43" t="n">
        <f aca="false">H463*73.58*(1+'Chart of Accounts'!$E$67)</f>
        <v>91.831519</v>
      </c>
    </row>
    <row r="464" customFormat="false" ht="15" hidden="false" customHeight="false" outlineLevel="0" collapsed="false">
      <c r="B464" s="7" t="s">
        <v>961</v>
      </c>
      <c r="C464" s="39" t="n">
        <v>45681</v>
      </c>
      <c r="D464" s="7" t="s">
        <v>305</v>
      </c>
      <c r="E464" s="7" t="s">
        <v>154</v>
      </c>
      <c r="F464" s="7" t="s">
        <v>205</v>
      </c>
      <c r="G464" s="7" t="s">
        <v>505</v>
      </c>
      <c r="H464" s="6" t="n">
        <v>3.76</v>
      </c>
      <c r="I464" s="6" t="n">
        <v>0</v>
      </c>
      <c r="J464" s="40" t="n">
        <f aca="false">H464-I464</f>
        <v>3.76</v>
      </c>
      <c r="K464" s="41" t="n">
        <v>26.5</v>
      </c>
      <c r="L464" s="42" t="n">
        <f aca="false">J464*K464</f>
        <v>99.64</v>
      </c>
      <c r="M464" s="43" t="n">
        <f aca="false">H464*16.36*(1+'Chart of Accounts'!$E$67)</f>
        <v>70.433072</v>
      </c>
    </row>
    <row r="465" customFormat="false" ht="15" hidden="false" customHeight="false" outlineLevel="0" collapsed="false">
      <c r="B465" s="7" t="s">
        <v>962</v>
      </c>
      <c r="C465" s="39" t="n">
        <v>45681</v>
      </c>
      <c r="D465" s="7" t="s">
        <v>309</v>
      </c>
      <c r="E465" s="7" t="s">
        <v>159</v>
      </c>
      <c r="F465" s="7" t="s">
        <v>252</v>
      </c>
      <c r="G465" s="7" t="s">
        <v>502</v>
      </c>
      <c r="H465" s="6" t="n">
        <v>1.03</v>
      </c>
      <c r="I465" s="6" t="n">
        <v>0.072</v>
      </c>
      <c r="J465" s="40" t="n">
        <f aca="false">H465-I465</f>
        <v>0.958</v>
      </c>
      <c r="K465" s="41" t="n">
        <v>135</v>
      </c>
      <c r="L465" s="42" t="n">
        <f aca="false">J465*K465</f>
        <v>129.33</v>
      </c>
      <c r="M465" s="43" t="n">
        <f aca="false">H465*57.54*(1+'Chart of Accounts'!$E$67)</f>
        <v>67.859799</v>
      </c>
    </row>
    <row r="466" customFormat="false" ht="15" hidden="false" customHeight="false" outlineLevel="0" collapsed="false">
      <c r="B466" s="7" t="s">
        <v>963</v>
      </c>
      <c r="C466" s="39" t="n">
        <v>45681</v>
      </c>
      <c r="D466" s="7" t="s">
        <v>313</v>
      </c>
      <c r="E466" s="7" t="s">
        <v>156</v>
      </c>
      <c r="F466" s="7" t="s">
        <v>184</v>
      </c>
      <c r="G466" s="7" t="s">
        <v>505</v>
      </c>
      <c r="H466" s="6" t="n">
        <v>4.06</v>
      </c>
      <c r="I466" s="6" t="n">
        <v>0</v>
      </c>
      <c r="J466" s="40" t="n">
        <f aca="false">H466-I466</f>
        <v>4.06</v>
      </c>
      <c r="K466" s="41" t="n">
        <v>34</v>
      </c>
      <c r="L466" s="42" t="n">
        <f aca="false">J466*K466</f>
        <v>138.04</v>
      </c>
      <c r="M466" s="43" t="n">
        <f aca="false">H466*17.34*(1+'Chart of Accounts'!$E$67)</f>
        <v>80.608458</v>
      </c>
    </row>
    <row r="467" customFormat="false" ht="15" hidden="false" customHeight="false" outlineLevel="0" collapsed="false">
      <c r="B467" s="7" t="s">
        <v>964</v>
      </c>
      <c r="C467" s="39" t="n">
        <v>45681</v>
      </c>
      <c r="D467" s="7" t="s">
        <v>319</v>
      </c>
      <c r="E467" s="7" t="s">
        <v>157</v>
      </c>
      <c r="F467" s="7" t="s">
        <v>234</v>
      </c>
      <c r="G467" s="7" t="s">
        <v>502</v>
      </c>
      <c r="H467" s="6" t="n">
        <v>1.09</v>
      </c>
      <c r="I467" s="6" t="n">
        <v>0</v>
      </c>
      <c r="J467" s="40" t="n">
        <f aca="false">H467-I467</f>
        <v>1.09</v>
      </c>
      <c r="K467" s="41" t="n">
        <v>165</v>
      </c>
      <c r="L467" s="42" t="n">
        <f aca="false">J467*K467</f>
        <v>179.85</v>
      </c>
      <c r="M467" s="43" t="n">
        <f aca="false">H467*89.53*(1+'Chart of Accounts'!$E$67)</f>
        <v>111.7379165</v>
      </c>
    </row>
    <row r="468" customFormat="false" ht="15" hidden="false" customHeight="false" outlineLevel="0" collapsed="false">
      <c r="B468" s="7" t="s">
        <v>965</v>
      </c>
      <c r="C468" s="39" t="n">
        <v>45681</v>
      </c>
      <c r="D468" s="7" t="s">
        <v>321</v>
      </c>
      <c r="E468" s="7" t="s">
        <v>154</v>
      </c>
      <c r="F468" s="7" t="s">
        <v>218</v>
      </c>
      <c r="G468" s="7" t="s">
        <v>505</v>
      </c>
      <c r="H468" s="6" t="n">
        <v>4.31</v>
      </c>
      <c r="I468" s="6" t="n">
        <v>0</v>
      </c>
      <c r="J468" s="40" t="n">
        <f aca="false">H468-I468</f>
        <v>4.31</v>
      </c>
      <c r="K468" s="41" t="n">
        <v>26.5</v>
      </c>
      <c r="L468" s="42" t="n">
        <f aca="false">J468*K468</f>
        <v>114.215</v>
      </c>
      <c r="M468" s="43" t="n">
        <f aca="false">H468*16.19*(1+'Chart of Accounts'!$E$67)</f>
        <v>79.8968405</v>
      </c>
    </row>
    <row r="469" customFormat="false" ht="15" hidden="false" customHeight="false" outlineLevel="0" collapsed="false">
      <c r="B469" s="7" t="s">
        <v>966</v>
      </c>
      <c r="C469" s="39" t="n">
        <v>45681</v>
      </c>
      <c r="D469" s="7" t="s">
        <v>323</v>
      </c>
      <c r="E469" s="7" t="s">
        <v>159</v>
      </c>
      <c r="F469" s="7" t="s">
        <v>266</v>
      </c>
      <c r="G469" s="7" t="s">
        <v>502</v>
      </c>
      <c r="H469" s="6" t="n">
        <v>1.1</v>
      </c>
      <c r="I469" s="6" t="n">
        <v>0</v>
      </c>
      <c r="J469" s="40" t="n">
        <f aca="false">H469-I469</f>
        <v>1.1</v>
      </c>
      <c r="K469" s="41" t="n">
        <v>135</v>
      </c>
      <c r="L469" s="42" t="n">
        <f aca="false">J469*K469</f>
        <v>148.5</v>
      </c>
      <c r="M469" s="43" t="n">
        <f aca="false">H469*75.18*(1+'Chart of Accounts'!$E$67)</f>
        <v>94.68921</v>
      </c>
    </row>
    <row r="470" customFormat="false" ht="15" hidden="false" customHeight="false" outlineLevel="0" collapsed="false">
      <c r="B470" s="7" t="s">
        <v>967</v>
      </c>
      <c r="C470" s="39" t="n">
        <v>45681</v>
      </c>
      <c r="D470" s="7" t="s">
        <v>327</v>
      </c>
      <c r="E470" s="7" t="s">
        <v>157</v>
      </c>
      <c r="F470" s="7" t="s">
        <v>228</v>
      </c>
      <c r="G470" s="7" t="s">
        <v>502</v>
      </c>
      <c r="H470" s="6" t="n">
        <v>1.09</v>
      </c>
      <c r="I470" s="6" t="n">
        <v>0</v>
      </c>
      <c r="J470" s="40" t="n">
        <f aca="false">H470-I470</f>
        <v>1.09</v>
      </c>
      <c r="K470" s="41" t="n">
        <v>165</v>
      </c>
      <c r="L470" s="42" t="n">
        <f aca="false">J470*K470</f>
        <v>179.85</v>
      </c>
      <c r="M470" s="43" t="n">
        <f aca="false">H470*51.07*(1+'Chart of Accounts'!$E$67)</f>
        <v>63.7379135</v>
      </c>
    </row>
    <row r="471" customFormat="false" ht="15" hidden="false" customHeight="false" outlineLevel="0" collapsed="false">
      <c r="B471" s="7" t="s">
        <v>968</v>
      </c>
      <c r="C471" s="39" t="n">
        <v>45681</v>
      </c>
      <c r="D471" s="7" t="s">
        <v>335</v>
      </c>
      <c r="E471" s="7" t="s">
        <v>154</v>
      </c>
      <c r="F471" s="7" t="s">
        <v>177</v>
      </c>
      <c r="G471" s="7" t="s">
        <v>505</v>
      </c>
      <c r="H471" s="6" t="n">
        <v>4.08</v>
      </c>
      <c r="I471" s="6" t="n">
        <v>0</v>
      </c>
      <c r="J471" s="40" t="n">
        <f aca="false">H471-I471</f>
        <v>4.08</v>
      </c>
      <c r="K471" s="41" t="n">
        <v>26.5</v>
      </c>
      <c r="L471" s="42" t="n">
        <f aca="false">J471*K471</f>
        <v>108.12</v>
      </c>
      <c r="M471" s="43" t="n">
        <f aca="false">H471*14.56*(1+'Chart of Accounts'!$E$67)</f>
        <v>68.018496</v>
      </c>
    </row>
    <row r="472" customFormat="false" ht="15" hidden="false" customHeight="false" outlineLevel="0" collapsed="false">
      <c r="B472" s="7" t="s">
        <v>969</v>
      </c>
      <c r="C472" s="39" t="n">
        <v>45681</v>
      </c>
      <c r="D472" s="7" t="s">
        <v>339</v>
      </c>
      <c r="E472" s="7" t="s">
        <v>154</v>
      </c>
      <c r="F472" s="7" t="s">
        <v>242</v>
      </c>
      <c r="G472" s="7" t="s">
        <v>505</v>
      </c>
      <c r="H472" s="6" t="n">
        <v>3.3</v>
      </c>
      <c r="I472" s="6" t="n">
        <v>0</v>
      </c>
      <c r="J472" s="40" t="n">
        <f aca="false">H472-I472</f>
        <v>3.3</v>
      </c>
      <c r="K472" s="41" t="n">
        <v>26.5</v>
      </c>
      <c r="L472" s="42" t="n">
        <f aca="false">J472*K472</f>
        <v>87.45</v>
      </c>
      <c r="M472" s="43" t="n">
        <f aca="false">H472*17.99*(1+'Chart of Accounts'!$E$67)</f>
        <v>67.975215</v>
      </c>
    </row>
    <row r="473" customFormat="false" ht="15" hidden="false" customHeight="false" outlineLevel="0" collapsed="false">
      <c r="B473" s="7" t="s">
        <v>970</v>
      </c>
      <c r="C473" s="39" t="n">
        <v>45681</v>
      </c>
      <c r="D473" s="7" t="s">
        <v>353</v>
      </c>
      <c r="E473" s="7" t="s">
        <v>154</v>
      </c>
      <c r="F473" s="7" t="s">
        <v>254</v>
      </c>
      <c r="G473" s="7" t="s">
        <v>505</v>
      </c>
      <c r="H473" s="6" t="n">
        <v>3.59</v>
      </c>
      <c r="I473" s="6" t="n">
        <v>0</v>
      </c>
      <c r="J473" s="40" t="n">
        <f aca="false">H473-I473</f>
        <v>3.59</v>
      </c>
      <c r="K473" s="41" t="n">
        <v>26.5</v>
      </c>
      <c r="L473" s="42" t="n">
        <f aca="false">J473*K473</f>
        <v>95.135</v>
      </c>
      <c r="M473" s="43" t="n">
        <f aca="false">H473*17.1*(1+'Chart of Accounts'!$E$67)</f>
        <v>70.290405</v>
      </c>
    </row>
    <row r="474" customFormat="false" ht="15" hidden="false" customHeight="false" outlineLevel="0" collapsed="false">
      <c r="B474" s="7" t="s">
        <v>971</v>
      </c>
      <c r="C474" s="39" t="n">
        <v>45681</v>
      </c>
      <c r="D474" s="7" t="s">
        <v>355</v>
      </c>
      <c r="E474" s="7" t="s">
        <v>154</v>
      </c>
      <c r="F474" s="7" t="s">
        <v>201</v>
      </c>
      <c r="G474" s="7" t="s">
        <v>505</v>
      </c>
      <c r="H474" s="6" t="n">
        <v>3.18</v>
      </c>
      <c r="I474" s="6" t="n">
        <v>0</v>
      </c>
      <c r="J474" s="40" t="n">
        <f aca="false">H474-I474</f>
        <v>3.18</v>
      </c>
      <c r="K474" s="41" t="n">
        <v>26.5</v>
      </c>
      <c r="L474" s="42" t="n">
        <f aca="false">J474*K474</f>
        <v>84.27</v>
      </c>
      <c r="M474" s="43" t="n">
        <f aca="false">H474*15.19*(1+'Chart of Accounts'!$E$67)</f>
        <v>55.308309</v>
      </c>
    </row>
    <row r="475" customFormat="false" ht="15" hidden="false" customHeight="false" outlineLevel="0" collapsed="false">
      <c r="B475" s="7" t="s">
        <v>972</v>
      </c>
      <c r="C475" s="39" t="n">
        <v>45681</v>
      </c>
      <c r="D475" s="7" t="s">
        <v>357</v>
      </c>
      <c r="E475" s="7" t="s">
        <v>154</v>
      </c>
      <c r="F475" s="7" t="s">
        <v>207</v>
      </c>
      <c r="G475" s="7" t="s">
        <v>505</v>
      </c>
      <c r="H475" s="6" t="n">
        <v>3.49</v>
      </c>
      <c r="I475" s="6" t="n">
        <v>0</v>
      </c>
      <c r="J475" s="40" t="n">
        <f aca="false">H475-I475</f>
        <v>3.49</v>
      </c>
      <c r="K475" s="41" t="n">
        <v>26.5</v>
      </c>
      <c r="L475" s="42" t="n">
        <f aca="false">J475*K475</f>
        <v>92.485</v>
      </c>
      <c r="M475" s="43" t="n">
        <f aca="false">H475*16.65*(1+'Chart of Accounts'!$E$67)</f>
        <v>66.5342325</v>
      </c>
    </row>
    <row r="476" customFormat="false" ht="15" hidden="false" customHeight="false" outlineLevel="0" collapsed="false">
      <c r="B476" s="7" t="s">
        <v>973</v>
      </c>
      <c r="C476" s="39" t="n">
        <v>45681</v>
      </c>
      <c r="D476" s="7" t="s">
        <v>359</v>
      </c>
      <c r="E476" s="7" t="s">
        <v>156</v>
      </c>
      <c r="F476" s="7" t="s">
        <v>212</v>
      </c>
      <c r="G476" s="7" t="s">
        <v>505</v>
      </c>
      <c r="H476" s="6" t="n">
        <v>3.61</v>
      </c>
      <c r="I476" s="6" t="n">
        <v>0</v>
      </c>
      <c r="J476" s="40" t="n">
        <f aca="false">H476-I476</f>
        <v>3.61</v>
      </c>
      <c r="K476" s="41" t="n">
        <v>34</v>
      </c>
      <c r="L476" s="42" t="n">
        <f aca="false">J476*K476</f>
        <v>122.74</v>
      </c>
      <c r="M476" s="43" t="n">
        <f aca="false">H476*16.71*(1+'Chart of Accounts'!$E$67)</f>
        <v>69.0699495</v>
      </c>
    </row>
    <row r="477" customFormat="false" ht="15" hidden="false" customHeight="false" outlineLevel="0" collapsed="false">
      <c r="B477" s="7" t="s">
        <v>974</v>
      </c>
      <c r="C477" s="39" t="n">
        <v>45681</v>
      </c>
      <c r="D477" s="7" t="s">
        <v>361</v>
      </c>
      <c r="E477" s="7" t="s">
        <v>157</v>
      </c>
      <c r="F477" s="7" t="s">
        <v>209</v>
      </c>
      <c r="G477" s="7" t="s">
        <v>502</v>
      </c>
      <c r="H477" s="6" t="n">
        <v>1.03</v>
      </c>
      <c r="I477" s="6" t="n">
        <v>0</v>
      </c>
      <c r="J477" s="40" t="n">
        <f aca="false">H477-I477</f>
        <v>1.03</v>
      </c>
      <c r="K477" s="41" t="n">
        <v>165</v>
      </c>
      <c r="L477" s="42" t="n">
        <f aca="false">J477*K477</f>
        <v>169.95</v>
      </c>
      <c r="M477" s="43" t="n">
        <f aca="false">H477*73.58*(1+'Chart of Accounts'!$E$67)</f>
        <v>86.776573</v>
      </c>
    </row>
    <row r="478" customFormat="false" ht="15" hidden="false" customHeight="false" outlineLevel="0" collapsed="false">
      <c r="B478" s="7" t="s">
        <v>975</v>
      </c>
      <c r="C478" s="39" t="n">
        <v>45681</v>
      </c>
      <c r="D478" s="7" t="s">
        <v>371</v>
      </c>
      <c r="E478" s="7" t="s">
        <v>154</v>
      </c>
      <c r="F478" s="7" t="s">
        <v>232</v>
      </c>
      <c r="G478" s="7" t="s">
        <v>505</v>
      </c>
      <c r="H478" s="6" t="n">
        <v>4.8</v>
      </c>
      <c r="I478" s="6" t="n">
        <v>0</v>
      </c>
      <c r="J478" s="40" t="n">
        <f aca="false">H478-I478</f>
        <v>4.8</v>
      </c>
      <c r="K478" s="41" t="n">
        <v>26.5</v>
      </c>
      <c r="L478" s="42" t="n">
        <f aca="false">J478*K478</f>
        <v>127.2</v>
      </c>
      <c r="M478" s="43" t="n">
        <f aca="false">H478*16.17*(1+'Chart of Accounts'!$E$67)</f>
        <v>88.87032</v>
      </c>
    </row>
    <row r="479" customFormat="false" ht="15" hidden="false" customHeight="false" outlineLevel="0" collapsed="false">
      <c r="B479" s="7" t="s">
        <v>976</v>
      </c>
      <c r="C479" s="39" t="n">
        <v>45681</v>
      </c>
      <c r="D479" s="7" t="s">
        <v>379</v>
      </c>
      <c r="E479" s="7" t="s">
        <v>156</v>
      </c>
      <c r="F479" s="7" t="s">
        <v>224</v>
      </c>
      <c r="G479" s="7" t="s">
        <v>505</v>
      </c>
      <c r="H479" s="6" t="n">
        <v>4.51</v>
      </c>
      <c r="I479" s="6" t="n">
        <v>0</v>
      </c>
      <c r="J479" s="40" t="n">
        <f aca="false">H479-I479</f>
        <v>4.51</v>
      </c>
      <c r="K479" s="41" t="n">
        <v>34</v>
      </c>
      <c r="L479" s="42" t="n">
        <f aca="false">J479*K479</f>
        <v>153.34</v>
      </c>
      <c r="M479" s="43" t="n">
        <f aca="false">H479*14.93*(1+'Chart of Accounts'!$E$67)</f>
        <v>77.0977735</v>
      </c>
    </row>
    <row r="480" customFormat="false" ht="15" hidden="false" customHeight="false" outlineLevel="0" collapsed="false">
      <c r="B480" s="7" t="s">
        <v>977</v>
      </c>
      <c r="C480" s="39" t="n">
        <v>45681</v>
      </c>
      <c r="D480" s="7" t="s">
        <v>381</v>
      </c>
      <c r="E480" s="7" t="s">
        <v>157</v>
      </c>
      <c r="F480" s="7" t="s">
        <v>234</v>
      </c>
      <c r="G480" s="7" t="s">
        <v>502</v>
      </c>
      <c r="H480" s="6" t="n">
        <v>1.1</v>
      </c>
      <c r="I480" s="6" t="n">
        <v>0</v>
      </c>
      <c r="J480" s="40" t="n">
        <f aca="false">H480-I480</f>
        <v>1.1</v>
      </c>
      <c r="K480" s="41" t="n">
        <v>165</v>
      </c>
      <c r="L480" s="42" t="n">
        <f aca="false">J480*K480</f>
        <v>181.5</v>
      </c>
      <c r="M480" s="43" t="n">
        <f aca="false">H480*89.53*(1+'Chart of Accounts'!$E$67)</f>
        <v>112.763035</v>
      </c>
    </row>
    <row r="481" customFormat="false" ht="15" hidden="false" customHeight="false" outlineLevel="0" collapsed="false">
      <c r="B481" s="7" t="s">
        <v>978</v>
      </c>
      <c r="C481" s="39" t="n">
        <v>45681</v>
      </c>
      <c r="D481" s="7" t="s">
        <v>389</v>
      </c>
      <c r="E481" s="7" t="s">
        <v>154</v>
      </c>
      <c r="F481" s="7" t="s">
        <v>246</v>
      </c>
      <c r="G481" s="7" t="s">
        <v>505</v>
      </c>
      <c r="H481" s="6" t="n">
        <v>3.61</v>
      </c>
      <c r="I481" s="6" t="n">
        <v>0</v>
      </c>
      <c r="J481" s="40" t="n">
        <f aca="false">H481-I481</f>
        <v>3.61</v>
      </c>
      <c r="K481" s="41" t="n">
        <v>26.5</v>
      </c>
      <c r="L481" s="42" t="n">
        <f aca="false">J481*K481</f>
        <v>95.665</v>
      </c>
      <c r="M481" s="43" t="n">
        <f aca="false">H481*16.48*(1+'Chart of Accounts'!$E$67)</f>
        <v>68.119256</v>
      </c>
    </row>
    <row r="482" customFormat="false" ht="15" hidden="false" customHeight="false" outlineLevel="0" collapsed="false">
      <c r="B482" s="7" t="s">
        <v>979</v>
      </c>
      <c r="C482" s="39" t="n">
        <v>45681</v>
      </c>
      <c r="D482" s="7" t="s">
        <v>391</v>
      </c>
      <c r="E482" s="7" t="s">
        <v>156</v>
      </c>
      <c r="F482" s="7" t="s">
        <v>222</v>
      </c>
      <c r="G482" s="7" t="s">
        <v>505</v>
      </c>
      <c r="H482" s="6" t="n">
        <v>3.81</v>
      </c>
      <c r="I482" s="6" t="n">
        <v>0</v>
      </c>
      <c r="J482" s="40" t="n">
        <f aca="false">H482-I482</f>
        <v>3.81</v>
      </c>
      <c r="K482" s="41" t="n">
        <v>34</v>
      </c>
      <c r="L482" s="42" t="n">
        <f aca="false">J482*K482</f>
        <v>129.54</v>
      </c>
      <c r="M482" s="43" t="n">
        <f aca="false">H482*17.84*(1+'Chart of Accounts'!$E$67)</f>
        <v>77.826108</v>
      </c>
    </row>
    <row r="483" customFormat="false" ht="15" hidden="false" customHeight="false" outlineLevel="0" collapsed="false">
      <c r="B483" s="7" t="s">
        <v>980</v>
      </c>
      <c r="C483" s="39" t="n">
        <v>45681</v>
      </c>
      <c r="D483" s="7" t="s">
        <v>395</v>
      </c>
      <c r="E483" s="7" t="s">
        <v>156</v>
      </c>
      <c r="F483" s="7" t="s">
        <v>242</v>
      </c>
      <c r="G483" s="7" t="s">
        <v>505</v>
      </c>
      <c r="H483" s="6" t="n">
        <v>4.06</v>
      </c>
      <c r="I483" s="6" t="n">
        <v>0</v>
      </c>
      <c r="J483" s="40" t="n">
        <f aca="false">H483-I483</f>
        <v>4.06</v>
      </c>
      <c r="K483" s="41" t="n">
        <v>34</v>
      </c>
      <c r="L483" s="42" t="n">
        <f aca="false">J483*K483</f>
        <v>138.04</v>
      </c>
      <c r="M483" s="43" t="n">
        <f aca="false">H483*17.99*(1+'Chart of Accounts'!$E$67)</f>
        <v>83.630113</v>
      </c>
    </row>
    <row r="484" customFormat="false" ht="15" hidden="false" customHeight="false" outlineLevel="0" collapsed="false">
      <c r="B484" s="7" t="s">
        <v>981</v>
      </c>
      <c r="C484" s="39" t="n">
        <v>45681</v>
      </c>
      <c r="D484" s="7" t="s">
        <v>399</v>
      </c>
      <c r="E484" s="7" t="s">
        <v>154</v>
      </c>
      <c r="F484" s="7" t="s">
        <v>262</v>
      </c>
      <c r="G484" s="7" t="s">
        <v>505</v>
      </c>
      <c r="H484" s="6" t="n">
        <v>3.16</v>
      </c>
      <c r="I484" s="6" t="n">
        <v>0</v>
      </c>
      <c r="J484" s="40" t="n">
        <f aca="false">H484-I484</f>
        <v>3.16</v>
      </c>
      <c r="K484" s="41" t="n">
        <v>26.5</v>
      </c>
      <c r="L484" s="42" t="n">
        <f aca="false">J484*K484</f>
        <v>83.74</v>
      </c>
      <c r="M484" s="43" t="n">
        <f aca="false">H484*16.02*(1+'Chart of Accounts'!$E$67)</f>
        <v>57.963564</v>
      </c>
    </row>
    <row r="485" customFormat="false" ht="15" hidden="false" customHeight="false" outlineLevel="0" collapsed="false">
      <c r="B485" s="7" t="s">
        <v>982</v>
      </c>
      <c r="C485" s="39" t="n">
        <v>45681</v>
      </c>
      <c r="D485" s="7" t="s">
        <v>401</v>
      </c>
      <c r="E485" s="7" t="s">
        <v>156</v>
      </c>
      <c r="F485" s="7" t="s">
        <v>254</v>
      </c>
      <c r="G485" s="7" t="s">
        <v>505</v>
      </c>
      <c r="H485" s="6" t="n">
        <v>3.73</v>
      </c>
      <c r="I485" s="6" t="n">
        <v>0</v>
      </c>
      <c r="J485" s="40" t="n">
        <f aca="false">H485-I485</f>
        <v>3.73</v>
      </c>
      <c r="K485" s="41" t="n">
        <v>34</v>
      </c>
      <c r="L485" s="42" t="n">
        <f aca="false">J485*K485</f>
        <v>126.82</v>
      </c>
      <c r="M485" s="43" t="n">
        <f aca="false">H485*17.1*(1+'Chart of Accounts'!$E$67)</f>
        <v>73.031535</v>
      </c>
    </row>
    <row r="486" customFormat="false" ht="15" hidden="false" customHeight="false" outlineLevel="0" collapsed="false">
      <c r="B486" s="7" t="s">
        <v>983</v>
      </c>
      <c r="C486" s="39" t="n">
        <v>45681</v>
      </c>
      <c r="D486" s="7" t="s">
        <v>407</v>
      </c>
      <c r="E486" s="7" t="s">
        <v>159</v>
      </c>
      <c r="F486" s="7" t="s">
        <v>260</v>
      </c>
      <c r="G486" s="7" t="s">
        <v>502</v>
      </c>
      <c r="H486" s="6" t="n">
        <v>1.08</v>
      </c>
      <c r="I486" s="6" t="n">
        <v>0</v>
      </c>
      <c r="J486" s="40" t="n">
        <f aca="false">H486-I486</f>
        <v>1.08</v>
      </c>
      <c r="K486" s="41" t="n">
        <v>135</v>
      </c>
      <c r="L486" s="42" t="n">
        <f aca="false">J486*K486</f>
        <v>145.8</v>
      </c>
      <c r="M486" s="43" t="n">
        <f aca="false">H486*79.8*(1+'Chart of Accounts'!$E$67)</f>
        <v>98.68068</v>
      </c>
    </row>
    <row r="487" customFormat="false" ht="15" hidden="false" customHeight="false" outlineLevel="0" collapsed="false">
      <c r="B487" s="7" t="s">
        <v>984</v>
      </c>
      <c r="C487" s="39" t="n">
        <v>45681</v>
      </c>
      <c r="D487" s="7" t="s">
        <v>409</v>
      </c>
      <c r="E487" s="7" t="s">
        <v>154</v>
      </c>
      <c r="F487" s="7" t="s">
        <v>214</v>
      </c>
      <c r="G487" s="7" t="s">
        <v>505</v>
      </c>
      <c r="H487" s="6" t="n">
        <v>3.43</v>
      </c>
      <c r="I487" s="6" t="n">
        <v>0</v>
      </c>
      <c r="J487" s="40" t="n">
        <f aca="false">H487-I487</f>
        <v>3.43</v>
      </c>
      <c r="K487" s="41" t="n">
        <v>26.5</v>
      </c>
      <c r="L487" s="42" t="n">
        <f aca="false">J487*K487</f>
        <v>90.895</v>
      </c>
      <c r="M487" s="43" t="n">
        <f aca="false">H487*15.67*(1+'Chart of Accounts'!$E$67)</f>
        <v>61.5415745</v>
      </c>
    </row>
    <row r="488" customFormat="false" ht="15" hidden="false" customHeight="false" outlineLevel="0" collapsed="false">
      <c r="B488" s="7" t="s">
        <v>985</v>
      </c>
      <c r="C488" s="39" t="n">
        <v>45681</v>
      </c>
      <c r="D488" s="7" t="s">
        <v>411</v>
      </c>
      <c r="E488" s="7" t="s">
        <v>154</v>
      </c>
      <c r="F488" s="7" t="s">
        <v>177</v>
      </c>
      <c r="G488" s="7" t="s">
        <v>505</v>
      </c>
      <c r="H488" s="6" t="n">
        <v>4.41</v>
      </c>
      <c r="I488" s="6" t="n">
        <v>0</v>
      </c>
      <c r="J488" s="40" t="n">
        <f aca="false">H488-I488</f>
        <v>4.41</v>
      </c>
      <c r="K488" s="41" t="n">
        <v>26.5</v>
      </c>
      <c r="L488" s="42" t="n">
        <f aca="false">J488*K488</f>
        <v>116.865</v>
      </c>
      <c r="M488" s="43" t="n">
        <f aca="false">H488*14.56*(1+'Chart of Accounts'!$E$67)</f>
        <v>73.519992</v>
      </c>
    </row>
    <row r="489" customFormat="false" ht="15" hidden="false" customHeight="false" outlineLevel="0" collapsed="false">
      <c r="B489" s="7" t="s">
        <v>986</v>
      </c>
      <c r="C489" s="39" t="n">
        <v>45682</v>
      </c>
      <c r="D489" s="7" t="s">
        <v>288</v>
      </c>
      <c r="E489" s="7" t="s">
        <v>156</v>
      </c>
      <c r="F489" s="7" t="s">
        <v>191</v>
      </c>
      <c r="G489" s="7" t="s">
        <v>505</v>
      </c>
      <c r="H489" s="6" t="n">
        <v>3.96</v>
      </c>
      <c r="I489" s="6" t="n">
        <v>0</v>
      </c>
      <c r="J489" s="40" t="n">
        <f aca="false">H489-I489</f>
        <v>3.96</v>
      </c>
      <c r="K489" s="41" t="n">
        <v>34</v>
      </c>
      <c r="L489" s="42" t="n">
        <f aca="false">J489*K489</f>
        <v>134.64</v>
      </c>
      <c r="M489" s="43" t="n">
        <f aca="false">H489*16.05*(1+'Chart of Accounts'!$E$67)</f>
        <v>72.77391</v>
      </c>
    </row>
    <row r="490" customFormat="false" ht="15" hidden="false" customHeight="false" outlineLevel="0" collapsed="false">
      <c r="B490" s="7" t="s">
        <v>987</v>
      </c>
      <c r="C490" s="39" t="n">
        <v>45682</v>
      </c>
      <c r="D490" s="7" t="s">
        <v>321</v>
      </c>
      <c r="E490" s="7" t="s">
        <v>154</v>
      </c>
      <c r="F490" s="7" t="s">
        <v>218</v>
      </c>
      <c r="G490" s="7" t="s">
        <v>505</v>
      </c>
      <c r="H490" s="6" t="n">
        <v>4.16</v>
      </c>
      <c r="I490" s="6" t="n">
        <v>0</v>
      </c>
      <c r="J490" s="40" t="n">
        <f aca="false">H490-I490</f>
        <v>4.16</v>
      </c>
      <c r="K490" s="41" t="n">
        <v>26.5</v>
      </c>
      <c r="L490" s="42" t="n">
        <f aca="false">J490*K490</f>
        <v>110.24</v>
      </c>
      <c r="M490" s="43" t="n">
        <f aca="false">H490*16.19*(1+'Chart of Accounts'!$E$67)</f>
        <v>77.116208</v>
      </c>
    </row>
    <row r="491" customFormat="false" ht="15" hidden="false" customHeight="false" outlineLevel="0" collapsed="false">
      <c r="B491" s="7" t="s">
        <v>988</v>
      </c>
      <c r="C491" s="39" t="n">
        <v>45682</v>
      </c>
      <c r="D491" s="7" t="s">
        <v>359</v>
      </c>
      <c r="E491" s="7" t="s">
        <v>156</v>
      </c>
      <c r="F491" s="7" t="s">
        <v>212</v>
      </c>
      <c r="G491" s="7" t="s">
        <v>505</v>
      </c>
      <c r="H491" s="6" t="n">
        <v>4.24</v>
      </c>
      <c r="I491" s="6" t="n">
        <v>0</v>
      </c>
      <c r="J491" s="40" t="n">
        <f aca="false">H491-I491</f>
        <v>4.24</v>
      </c>
      <c r="K491" s="41" t="n">
        <v>34</v>
      </c>
      <c r="L491" s="42" t="n">
        <f aca="false">J491*K491</f>
        <v>144.16</v>
      </c>
      <c r="M491" s="43" t="n">
        <f aca="false">H491*16.71*(1+'Chart of Accounts'!$E$67)</f>
        <v>81.123708</v>
      </c>
    </row>
    <row r="492" customFormat="false" ht="15" hidden="false" customHeight="false" outlineLevel="0" collapsed="false">
      <c r="B492" s="7" t="s">
        <v>989</v>
      </c>
      <c r="C492" s="39" t="n">
        <v>45682</v>
      </c>
      <c r="D492" s="7" t="s">
        <v>391</v>
      </c>
      <c r="E492" s="7" t="s">
        <v>156</v>
      </c>
      <c r="F492" s="7" t="s">
        <v>222</v>
      </c>
      <c r="G492" s="7" t="s">
        <v>505</v>
      </c>
      <c r="H492" s="6" t="n">
        <v>4.14</v>
      </c>
      <c r="I492" s="6" t="n">
        <v>0</v>
      </c>
      <c r="J492" s="40" t="n">
        <f aca="false">H492-I492</f>
        <v>4.14</v>
      </c>
      <c r="K492" s="41" t="n">
        <v>34</v>
      </c>
      <c r="L492" s="42" t="n">
        <f aca="false">J492*K492</f>
        <v>140.76</v>
      </c>
      <c r="M492" s="43" t="n">
        <f aca="false">H492*17.84*(1+'Chart of Accounts'!$E$67)</f>
        <v>84.566952</v>
      </c>
    </row>
    <row r="493" customFormat="false" ht="15" hidden="false" customHeight="false" outlineLevel="0" collapsed="false">
      <c r="B493" s="7" t="s">
        <v>990</v>
      </c>
      <c r="C493" s="39" t="n">
        <v>45682</v>
      </c>
      <c r="D493" s="7" t="s">
        <v>395</v>
      </c>
      <c r="E493" s="7" t="s">
        <v>156</v>
      </c>
      <c r="F493" s="7" t="s">
        <v>242</v>
      </c>
      <c r="G493" s="7" t="s">
        <v>505</v>
      </c>
      <c r="H493" s="6" t="n">
        <v>4.02</v>
      </c>
      <c r="I493" s="6" t="n">
        <v>0</v>
      </c>
      <c r="J493" s="40" t="n">
        <f aca="false">H493-I493</f>
        <v>4.02</v>
      </c>
      <c r="K493" s="41" t="n">
        <v>34</v>
      </c>
      <c r="L493" s="42" t="n">
        <f aca="false">J493*K493</f>
        <v>136.68</v>
      </c>
      <c r="M493" s="43" t="n">
        <f aca="false">H493*17.99*(1+'Chart of Accounts'!$E$67)</f>
        <v>82.806171</v>
      </c>
    </row>
    <row r="494" customFormat="false" ht="15" hidden="false" customHeight="false" outlineLevel="0" collapsed="false">
      <c r="B494" s="7" t="s">
        <v>991</v>
      </c>
      <c r="C494" s="39" t="n">
        <v>45682</v>
      </c>
      <c r="D494" s="7" t="s">
        <v>401</v>
      </c>
      <c r="E494" s="7" t="s">
        <v>156</v>
      </c>
      <c r="F494" s="7" t="s">
        <v>254</v>
      </c>
      <c r="G494" s="7" t="s">
        <v>505</v>
      </c>
      <c r="H494" s="6" t="n">
        <v>4.33</v>
      </c>
      <c r="I494" s="6" t="n">
        <v>0</v>
      </c>
      <c r="J494" s="40" t="n">
        <f aca="false">H494-I494</f>
        <v>4.33</v>
      </c>
      <c r="K494" s="41" t="n">
        <v>34</v>
      </c>
      <c r="L494" s="42" t="n">
        <f aca="false">J494*K494</f>
        <v>147.22</v>
      </c>
      <c r="M494" s="43" t="n">
        <f aca="false">H494*17.1*(1+'Chart of Accounts'!$E$67)</f>
        <v>84.779235</v>
      </c>
    </row>
    <row r="495" customFormat="false" ht="15" hidden="false" customHeight="false" outlineLevel="0" collapsed="false">
      <c r="B495" s="7" t="s">
        <v>992</v>
      </c>
      <c r="C495" s="39" t="n">
        <v>45683</v>
      </c>
      <c r="D495" s="7" t="s">
        <v>288</v>
      </c>
      <c r="E495" s="7" t="s">
        <v>156</v>
      </c>
      <c r="F495" s="7" t="s">
        <v>191</v>
      </c>
      <c r="G495" s="7" t="s">
        <v>505</v>
      </c>
      <c r="H495" s="6" t="n">
        <v>4.32</v>
      </c>
      <c r="I495" s="6" t="n">
        <v>0</v>
      </c>
      <c r="J495" s="40" t="n">
        <f aca="false">H495-I495</f>
        <v>4.32</v>
      </c>
      <c r="K495" s="41" t="n">
        <v>34</v>
      </c>
      <c r="L495" s="42" t="n">
        <f aca="false">J495*K495</f>
        <v>146.88</v>
      </c>
      <c r="M495" s="43" t="n">
        <f aca="false">H495*16.05*(1+'Chart of Accounts'!$E$67)</f>
        <v>79.38972</v>
      </c>
    </row>
    <row r="496" customFormat="false" ht="15" hidden="false" customHeight="false" outlineLevel="0" collapsed="false">
      <c r="B496" s="7" t="s">
        <v>993</v>
      </c>
      <c r="C496" s="39" t="n">
        <v>45683</v>
      </c>
      <c r="D496" s="7" t="s">
        <v>321</v>
      </c>
      <c r="E496" s="7" t="s">
        <v>154</v>
      </c>
      <c r="F496" s="7" t="s">
        <v>218</v>
      </c>
      <c r="G496" s="7" t="s">
        <v>505</v>
      </c>
      <c r="H496" s="6" t="n">
        <v>3.73</v>
      </c>
      <c r="I496" s="6" t="n">
        <v>0</v>
      </c>
      <c r="J496" s="40" t="n">
        <f aca="false">H496-I496</f>
        <v>3.73</v>
      </c>
      <c r="K496" s="41" t="n">
        <v>26.5</v>
      </c>
      <c r="L496" s="42" t="n">
        <f aca="false">J496*K496</f>
        <v>98.845</v>
      </c>
      <c r="M496" s="43" t="n">
        <f aca="false">H496*16.19*(1+'Chart of Accounts'!$E$67)</f>
        <v>69.1450615</v>
      </c>
    </row>
    <row r="497" customFormat="false" ht="15" hidden="false" customHeight="false" outlineLevel="0" collapsed="false">
      <c r="B497" s="7" t="s">
        <v>994</v>
      </c>
      <c r="C497" s="39" t="n">
        <v>45683</v>
      </c>
      <c r="D497" s="7" t="s">
        <v>359</v>
      </c>
      <c r="E497" s="7" t="s">
        <v>156</v>
      </c>
      <c r="F497" s="7" t="s">
        <v>212</v>
      </c>
      <c r="G497" s="7" t="s">
        <v>505</v>
      </c>
      <c r="H497" s="6" t="n">
        <v>4.14</v>
      </c>
      <c r="I497" s="6" t="n">
        <v>0</v>
      </c>
      <c r="J497" s="40" t="n">
        <f aca="false">H497-I497</f>
        <v>4.14</v>
      </c>
      <c r="K497" s="41" t="n">
        <v>34</v>
      </c>
      <c r="L497" s="42" t="n">
        <f aca="false">J497*K497</f>
        <v>140.76</v>
      </c>
      <c r="M497" s="43" t="n">
        <f aca="false">H497*16.71*(1+'Chart of Accounts'!$E$67)</f>
        <v>79.210413</v>
      </c>
    </row>
    <row r="498" customFormat="false" ht="15" hidden="false" customHeight="false" outlineLevel="0" collapsed="false">
      <c r="B498" s="7" t="s">
        <v>995</v>
      </c>
      <c r="C498" s="39" t="n">
        <v>45683</v>
      </c>
      <c r="D498" s="7" t="s">
        <v>391</v>
      </c>
      <c r="E498" s="7" t="s">
        <v>156</v>
      </c>
      <c r="F498" s="7" t="s">
        <v>222</v>
      </c>
      <c r="G498" s="7" t="s">
        <v>505</v>
      </c>
      <c r="H498" s="6" t="n">
        <v>4.32</v>
      </c>
      <c r="I498" s="6" t="n">
        <v>0</v>
      </c>
      <c r="J498" s="40" t="n">
        <f aca="false">H498-I498</f>
        <v>4.32</v>
      </c>
      <c r="K498" s="41" t="n">
        <v>34</v>
      </c>
      <c r="L498" s="42" t="n">
        <f aca="false">J498*K498</f>
        <v>146.88</v>
      </c>
      <c r="M498" s="43" t="n">
        <f aca="false">H498*17.84*(1+'Chart of Accounts'!$E$67)</f>
        <v>88.243776</v>
      </c>
    </row>
    <row r="499" customFormat="false" ht="15" hidden="false" customHeight="false" outlineLevel="0" collapsed="false">
      <c r="B499" s="7" t="s">
        <v>996</v>
      </c>
      <c r="C499" s="39" t="n">
        <v>45683</v>
      </c>
      <c r="D499" s="7" t="s">
        <v>395</v>
      </c>
      <c r="E499" s="7" t="s">
        <v>156</v>
      </c>
      <c r="F499" s="7" t="s">
        <v>242</v>
      </c>
      <c r="G499" s="7" t="s">
        <v>505</v>
      </c>
      <c r="H499" s="6" t="n">
        <v>3.71</v>
      </c>
      <c r="I499" s="6" t="n">
        <v>0</v>
      </c>
      <c r="J499" s="40" t="n">
        <f aca="false">H499-I499</f>
        <v>3.71</v>
      </c>
      <c r="K499" s="41" t="n">
        <v>34</v>
      </c>
      <c r="L499" s="42" t="n">
        <f aca="false">J499*K499</f>
        <v>126.14</v>
      </c>
      <c r="M499" s="43" t="n">
        <f aca="false">H499*17.99*(1+'Chart of Accounts'!$E$67)</f>
        <v>76.4206205</v>
      </c>
    </row>
    <row r="500" customFormat="false" ht="15" hidden="false" customHeight="false" outlineLevel="0" collapsed="false">
      <c r="B500" s="7" t="s">
        <v>997</v>
      </c>
      <c r="C500" s="39" t="n">
        <v>45683</v>
      </c>
      <c r="D500" s="7" t="s">
        <v>401</v>
      </c>
      <c r="E500" s="7" t="s">
        <v>156</v>
      </c>
      <c r="F500" s="7" t="s">
        <v>254</v>
      </c>
      <c r="G500" s="7" t="s">
        <v>505</v>
      </c>
      <c r="H500" s="6" t="n">
        <v>4.05</v>
      </c>
      <c r="I500" s="6" t="n">
        <v>0</v>
      </c>
      <c r="J500" s="40" t="n">
        <f aca="false">H500-I500</f>
        <v>4.05</v>
      </c>
      <c r="K500" s="41" t="n">
        <v>34</v>
      </c>
      <c r="L500" s="42" t="n">
        <f aca="false">J500*K500</f>
        <v>137.7</v>
      </c>
      <c r="M500" s="43" t="n">
        <f aca="false">H500*17.1*(1+'Chart of Accounts'!$E$67)</f>
        <v>79.296975</v>
      </c>
    </row>
    <row r="501" customFormat="false" ht="15" hidden="false" customHeight="false" outlineLevel="0" collapsed="false">
      <c r="B501" s="7" t="s">
        <v>998</v>
      </c>
      <c r="C501" s="39" t="n">
        <v>45684</v>
      </c>
      <c r="D501" s="7" t="s">
        <v>280</v>
      </c>
      <c r="E501" s="7" t="s">
        <v>157</v>
      </c>
      <c r="F501" s="7" t="s">
        <v>187</v>
      </c>
      <c r="G501" s="7" t="s">
        <v>502</v>
      </c>
      <c r="H501" s="6" t="n">
        <v>0.9</v>
      </c>
      <c r="I501" s="6" t="n">
        <v>0.045</v>
      </c>
      <c r="J501" s="40" t="n">
        <f aca="false">H501-I501</f>
        <v>0.855</v>
      </c>
      <c r="K501" s="41" t="n">
        <v>165</v>
      </c>
      <c r="L501" s="42" t="n">
        <f aca="false">J501*K501</f>
        <v>141.075</v>
      </c>
      <c r="M501" s="43" t="n">
        <f aca="false">H501*66.48*(1+'Chart of Accounts'!$E$67)</f>
        <v>68.50764</v>
      </c>
    </row>
    <row r="502" customFormat="false" ht="15" hidden="false" customHeight="false" outlineLevel="0" collapsed="false">
      <c r="B502" s="7" t="s">
        <v>999</v>
      </c>
      <c r="C502" s="39" t="n">
        <v>45684</v>
      </c>
      <c r="D502" s="7" t="s">
        <v>288</v>
      </c>
      <c r="E502" s="7" t="s">
        <v>156</v>
      </c>
      <c r="F502" s="7" t="s">
        <v>191</v>
      </c>
      <c r="G502" s="7" t="s">
        <v>505</v>
      </c>
      <c r="H502" s="6" t="n">
        <v>3.77</v>
      </c>
      <c r="I502" s="6" t="n">
        <v>0</v>
      </c>
      <c r="J502" s="40" t="n">
        <f aca="false">H502-I502</f>
        <v>3.77</v>
      </c>
      <c r="K502" s="41" t="n">
        <v>34</v>
      </c>
      <c r="L502" s="42" t="n">
        <f aca="false">J502*K502</f>
        <v>128.18</v>
      </c>
      <c r="M502" s="43" t="n">
        <f aca="false">H502*16.05*(1+'Chart of Accounts'!$E$67)</f>
        <v>69.2822325</v>
      </c>
    </row>
    <row r="503" customFormat="false" ht="15" hidden="false" customHeight="false" outlineLevel="0" collapsed="false">
      <c r="B503" s="7" t="s">
        <v>1000</v>
      </c>
      <c r="C503" s="39" t="n">
        <v>45684</v>
      </c>
      <c r="D503" s="7" t="s">
        <v>291</v>
      </c>
      <c r="E503" s="7" t="s">
        <v>154</v>
      </c>
      <c r="F503" s="7" t="s">
        <v>194</v>
      </c>
      <c r="G503" s="7" t="s">
        <v>505</v>
      </c>
      <c r="H503" s="6" t="n">
        <v>4.85</v>
      </c>
      <c r="I503" s="6" t="n">
        <v>0.145</v>
      </c>
      <c r="J503" s="40" t="n">
        <f aca="false">H503-I503</f>
        <v>4.705</v>
      </c>
      <c r="K503" s="41" t="n">
        <v>26.5</v>
      </c>
      <c r="L503" s="42" t="n">
        <f aca="false">J503*K503</f>
        <v>124.6825</v>
      </c>
      <c r="M503" s="43" t="n">
        <f aca="false">H503*16*(1+'Chart of Accounts'!$E$67)</f>
        <v>88.852</v>
      </c>
    </row>
    <row r="504" customFormat="false" ht="15" hidden="false" customHeight="false" outlineLevel="0" collapsed="false">
      <c r="B504" s="7" t="s">
        <v>1001</v>
      </c>
      <c r="C504" s="39" t="n">
        <v>45684</v>
      </c>
      <c r="D504" s="7" t="s">
        <v>297</v>
      </c>
      <c r="E504" s="7" t="s">
        <v>156</v>
      </c>
      <c r="F504" s="7" t="s">
        <v>201</v>
      </c>
      <c r="G504" s="7" t="s">
        <v>505</v>
      </c>
      <c r="H504" s="6" t="n">
        <v>3.24</v>
      </c>
      <c r="I504" s="6" t="n">
        <v>0</v>
      </c>
      <c r="J504" s="40" t="n">
        <f aca="false">H504-I504</f>
        <v>3.24</v>
      </c>
      <c r="K504" s="41" t="n">
        <v>34</v>
      </c>
      <c r="L504" s="42" t="n">
        <f aca="false">J504*K504</f>
        <v>110.16</v>
      </c>
      <c r="M504" s="43" t="n">
        <f aca="false">H504*15.19*(1+'Chart of Accounts'!$E$67)</f>
        <v>56.351862</v>
      </c>
    </row>
    <row r="505" customFormat="false" ht="15" hidden="false" customHeight="false" outlineLevel="0" collapsed="false">
      <c r="B505" s="7" t="s">
        <v>1002</v>
      </c>
      <c r="C505" s="39" t="n">
        <v>45684</v>
      </c>
      <c r="D505" s="7" t="s">
        <v>305</v>
      </c>
      <c r="E505" s="7" t="s">
        <v>154</v>
      </c>
      <c r="F505" s="7" t="s">
        <v>205</v>
      </c>
      <c r="G505" s="7" t="s">
        <v>505</v>
      </c>
      <c r="H505" s="6" t="n">
        <v>3.83</v>
      </c>
      <c r="I505" s="6" t="n">
        <v>0.115</v>
      </c>
      <c r="J505" s="40" t="n">
        <f aca="false">H505-I505</f>
        <v>3.715</v>
      </c>
      <c r="K505" s="41" t="n">
        <v>26.5</v>
      </c>
      <c r="L505" s="42" t="n">
        <f aca="false">J505*K505</f>
        <v>98.4475</v>
      </c>
      <c r="M505" s="43" t="n">
        <f aca="false">H505*16.36*(1+'Chart of Accounts'!$E$67)</f>
        <v>71.744326</v>
      </c>
    </row>
    <row r="506" customFormat="false" ht="15" hidden="false" customHeight="false" outlineLevel="0" collapsed="false">
      <c r="B506" s="7" t="s">
        <v>1003</v>
      </c>
      <c r="C506" s="39" t="n">
        <v>45684</v>
      </c>
      <c r="D506" s="7" t="s">
        <v>309</v>
      </c>
      <c r="E506" s="7" t="s">
        <v>159</v>
      </c>
      <c r="F506" s="7" t="s">
        <v>252</v>
      </c>
      <c r="G506" s="7" t="s">
        <v>502</v>
      </c>
      <c r="H506" s="6" t="n">
        <v>1.03</v>
      </c>
      <c r="I506" s="6" t="n">
        <v>0</v>
      </c>
      <c r="J506" s="40" t="n">
        <f aca="false">H506-I506</f>
        <v>1.03</v>
      </c>
      <c r="K506" s="41" t="n">
        <v>135</v>
      </c>
      <c r="L506" s="42" t="n">
        <f aca="false">J506*K506</f>
        <v>139.05</v>
      </c>
      <c r="M506" s="43" t="n">
        <f aca="false">H506*57.54*(1+'Chart of Accounts'!$E$67)</f>
        <v>67.859799</v>
      </c>
    </row>
    <row r="507" customFormat="false" ht="15" hidden="false" customHeight="false" outlineLevel="0" collapsed="false">
      <c r="B507" s="7" t="s">
        <v>1004</v>
      </c>
      <c r="C507" s="39" t="n">
        <v>45684</v>
      </c>
      <c r="D507" s="7" t="s">
        <v>311</v>
      </c>
      <c r="E507" s="7" t="s">
        <v>154</v>
      </c>
      <c r="F507" s="7" t="s">
        <v>196</v>
      </c>
      <c r="G507" s="7" t="s">
        <v>505</v>
      </c>
      <c r="H507" s="6" t="n">
        <v>2.92</v>
      </c>
      <c r="I507" s="6" t="n">
        <v>0</v>
      </c>
      <c r="J507" s="40" t="n">
        <f aca="false">H507-I507</f>
        <v>2.92</v>
      </c>
      <c r="K507" s="41" t="n">
        <v>26.5</v>
      </c>
      <c r="L507" s="42" t="n">
        <f aca="false">J507*K507</f>
        <v>77.38</v>
      </c>
      <c r="M507" s="43" t="n">
        <f aca="false">H507*15.05*(1+'Chart of Accounts'!$E$67)</f>
        <v>50.31817</v>
      </c>
    </row>
    <row r="508" customFormat="false" ht="15" hidden="false" customHeight="false" outlineLevel="0" collapsed="false">
      <c r="B508" s="7" t="s">
        <v>1005</v>
      </c>
      <c r="C508" s="39" t="n">
        <v>45684</v>
      </c>
      <c r="D508" s="7" t="s">
        <v>313</v>
      </c>
      <c r="E508" s="7" t="s">
        <v>156</v>
      </c>
      <c r="F508" s="7" t="s">
        <v>184</v>
      </c>
      <c r="G508" s="7" t="s">
        <v>505</v>
      </c>
      <c r="H508" s="6" t="n">
        <v>4.33</v>
      </c>
      <c r="I508" s="6" t="n">
        <v>0</v>
      </c>
      <c r="J508" s="40" t="n">
        <f aca="false">H508-I508</f>
        <v>4.33</v>
      </c>
      <c r="K508" s="41" t="n">
        <v>34</v>
      </c>
      <c r="L508" s="42" t="n">
        <f aca="false">J508*K508</f>
        <v>147.22</v>
      </c>
      <c r="M508" s="43" t="n">
        <f aca="false">H508*17.34*(1+'Chart of Accounts'!$E$67)</f>
        <v>85.969119</v>
      </c>
    </row>
    <row r="509" customFormat="false" ht="15" hidden="false" customHeight="false" outlineLevel="0" collapsed="false">
      <c r="B509" s="7" t="s">
        <v>1006</v>
      </c>
      <c r="C509" s="39" t="n">
        <v>45684</v>
      </c>
      <c r="D509" s="7" t="s">
        <v>317</v>
      </c>
      <c r="E509" s="7" t="s">
        <v>156</v>
      </c>
      <c r="F509" s="7" t="s">
        <v>207</v>
      </c>
      <c r="G509" s="7" t="s">
        <v>505</v>
      </c>
      <c r="H509" s="6" t="n">
        <v>3.28</v>
      </c>
      <c r="I509" s="6" t="n">
        <v>0</v>
      </c>
      <c r="J509" s="40" t="n">
        <f aca="false">H509-I509</f>
        <v>3.28</v>
      </c>
      <c r="K509" s="41" t="n">
        <v>34</v>
      </c>
      <c r="L509" s="42" t="n">
        <f aca="false">J509*K509</f>
        <v>111.52</v>
      </c>
      <c r="M509" s="43" t="n">
        <f aca="false">H509*16.65*(1+'Chart of Accounts'!$E$67)</f>
        <v>62.53074</v>
      </c>
    </row>
    <row r="510" customFormat="false" ht="15" hidden="false" customHeight="false" outlineLevel="0" collapsed="false">
      <c r="B510" s="7" t="s">
        <v>1007</v>
      </c>
      <c r="C510" s="39" t="n">
        <v>45684</v>
      </c>
      <c r="D510" s="7" t="s">
        <v>321</v>
      </c>
      <c r="E510" s="7" t="s">
        <v>154</v>
      </c>
      <c r="F510" s="7" t="s">
        <v>218</v>
      </c>
      <c r="G510" s="7" t="s">
        <v>505</v>
      </c>
      <c r="H510" s="6" t="n">
        <v>4.29</v>
      </c>
      <c r="I510" s="6" t="n">
        <v>0</v>
      </c>
      <c r="J510" s="40" t="n">
        <f aca="false">H510-I510</f>
        <v>4.29</v>
      </c>
      <c r="K510" s="41" t="n">
        <v>26.5</v>
      </c>
      <c r="L510" s="42" t="n">
        <f aca="false">J510*K510</f>
        <v>113.685</v>
      </c>
      <c r="M510" s="43" t="n">
        <f aca="false">H510*16.19*(1+'Chart of Accounts'!$E$67)</f>
        <v>79.5260895</v>
      </c>
    </row>
    <row r="511" customFormat="false" ht="15" hidden="false" customHeight="false" outlineLevel="0" collapsed="false">
      <c r="B511" s="7" t="s">
        <v>1008</v>
      </c>
      <c r="C511" s="39" t="n">
        <v>45684</v>
      </c>
      <c r="D511" s="7" t="s">
        <v>325</v>
      </c>
      <c r="E511" s="7" t="s">
        <v>154</v>
      </c>
      <c r="F511" s="7" t="s">
        <v>212</v>
      </c>
      <c r="G511" s="7" t="s">
        <v>505</v>
      </c>
      <c r="H511" s="6" t="n">
        <v>2.94</v>
      </c>
      <c r="I511" s="6" t="n">
        <v>0</v>
      </c>
      <c r="J511" s="40" t="n">
        <f aca="false">H511-I511</f>
        <v>2.94</v>
      </c>
      <c r="K511" s="41" t="n">
        <v>26.5</v>
      </c>
      <c r="L511" s="42" t="n">
        <f aca="false">J511*K511</f>
        <v>77.91</v>
      </c>
      <c r="M511" s="43" t="n">
        <f aca="false">H511*16.71*(1+'Chart of Accounts'!$E$67)</f>
        <v>56.250873</v>
      </c>
    </row>
    <row r="512" customFormat="false" ht="15" hidden="false" customHeight="false" outlineLevel="0" collapsed="false">
      <c r="B512" s="7" t="s">
        <v>1009</v>
      </c>
      <c r="C512" s="39" t="n">
        <v>45684</v>
      </c>
      <c r="D512" s="7" t="s">
        <v>329</v>
      </c>
      <c r="E512" s="7" t="s">
        <v>156</v>
      </c>
      <c r="F512" s="7" t="s">
        <v>220</v>
      </c>
      <c r="G512" s="7" t="s">
        <v>505</v>
      </c>
      <c r="H512" s="6" t="n">
        <v>4.27</v>
      </c>
      <c r="I512" s="6" t="n">
        <v>0</v>
      </c>
      <c r="J512" s="40" t="n">
        <f aca="false">H512-I512</f>
        <v>4.27</v>
      </c>
      <c r="K512" s="41" t="n">
        <v>34</v>
      </c>
      <c r="L512" s="42" t="n">
        <f aca="false">J512*K512</f>
        <v>145.18</v>
      </c>
      <c r="M512" s="43" t="n">
        <f aca="false">H512*16.43*(1+'Chart of Accounts'!$E$67)</f>
        <v>80.3287345</v>
      </c>
    </row>
    <row r="513" customFormat="false" ht="15" hidden="false" customHeight="false" outlineLevel="0" collapsed="false">
      <c r="B513" s="7" t="s">
        <v>1010</v>
      </c>
      <c r="C513" s="39" t="n">
        <v>45684</v>
      </c>
      <c r="D513" s="7" t="s">
        <v>331</v>
      </c>
      <c r="E513" s="7" t="s">
        <v>156</v>
      </c>
      <c r="F513" s="7" t="s">
        <v>224</v>
      </c>
      <c r="G513" s="7" t="s">
        <v>505</v>
      </c>
      <c r="H513" s="6" t="n">
        <v>3.97</v>
      </c>
      <c r="I513" s="6" t="n">
        <v>0</v>
      </c>
      <c r="J513" s="40" t="n">
        <f aca="false">H513-I513</f>
        <v>3.97</v>
      </c>
      <c r="K513" s="41" t="n">
        <v>34</v>
      </c>
      <c r="L513" s="42" t="n">
        <f aca="false">J513*K513</f>
        <v>134.98</v>
      </c>
      <c r="M513" s="43" t="n">
        <f aca="false">H513*14.93*(1+'Chart of Accounts'!$E$67)</f>
        <v>67.8665545</v>
      </c>
    </row>
    <row r="514" customFormat="false" ht="15" hidden="false" customHeight="false" outlineLevel="0" collapsed="false">
      <c r="B514" s="7" t="s">
        <v>1011</v>
      </c>
      <c r="C514" s="39" t="n">
        <v>45684</v>
      </c>
      <c r="D514" s="7" t="s">
        <v>335</v>
      </c>
      <c r="E514" s="7" t="s">
        <v>154</v>
      </c>
      <c r="F514" s="7" t="s">
        <v>177</v>
      </c>
      <c r="G514" s="7" t="s">
        <v>505</v>
      </c>
      <c r="H514" s="6" t="n">
        <v>3.9</v>
      </c>
      <c r="I514" s="6" t="n">
        <v>0</v>
      </c>
      <c r="J514" s="40" t="n">
        <f aca="false">H514-I514</f>
        <v>3.9</v>
      </c>
      <c r="K514" s="41" t="n">
        <v>26.5</v>
      </c>
      <c r="L514" s="42" t="n">
        <f aca="false">J514*K514</f>
        <v>103.35</v>
      </c>
      <c r="M514" s="43" t="n">
        <f aca="false">H514*14.56*(1+'Chart of Accounts'!$E$67)</f>
        <v>65.01768</v>
      </c>
    </row>
    <row r="515" customFormat="false" ht="15" hidden="false" customHeight="false" outlineLevel="0" collapsed="false">
      <c r="B515" s="7" t="s">
        <v>1012</v>
      </c>
      <c r="C515" s="39" t="n">
        <v>45684</v>
      </c>
      <c r="D515" s="7" t="s">
        <v>337</v>
      </c>
      <c r="E515" s="7" t="s">
        <v>154</v>
      </c>
      <c r="F515" s="7" t="s">
        <v>232</v>
      </c>
      <c r="G515" s="7" t="s">
        <v>505</v>
      </c>
      <c r="H515" s="6" t="n">
        <v>2.79</v>
      </c>
      <c r="I515" s="6" t="n">
        <v>0</v>
      </c>
      <c r="J515" s="40" t="n">
        <f aca="false">H515-I515</f>
        <v>2.79</v>
      </c>
      <c r="K515" s="41" t="n">
        <v>26.5</v>
      </c>
      <c r="L515" s="42" t="n">
        <f aca="false">J515*K515</f>
        <v>73.935</v>
      </c>
      <c r="M515" s="43" t="n">
        <f aca="false">H515*16.17*(1+'Chart of Accounts'!$E$67)</f>
        <v>51.6558735</v>
      </c>
    </row>
    <row r="516" customFormat="false" ht="15" hidden="false" customHeight="false" outlineLevel="0" collapsed="false">
      <c r="B516" s="7" t="s">
        <v>1013</v>
      </c>
      <c r="C516" s="39" t="n">
        <v>45684</v>
      </c>
      <c r="D516" s="7" t="s">
        <v>339</v>
      </c>
      <c r="E516" s="7" t="s">
        <v>154</v>
      </c>
      <c r="F516" s="7" t="s">
        <v>242</v>
      </c>
      <c r="G516" s="7" t="s">
        <v>505</v>
      </c>
      <c r="H516" s="6" t="n">
        <v>3.51</v>
      </c>
      <c r="I516" s="6" t="n">
        <v>0</v>
      </c>
      <c r="J516" s="40" t="n">
        <f aca="false">H516-I516</f>
        <v>3.51</v>
      </c>
      <c r="K516" s="41" t="n">
        <v>26.5</v>
      </c>
      <c r="L516" s="42" t="n">
        <f aca="false">J516*K516</f>
        <v>93.015</v>
      </c>
      <c r="M516" s="43" t="n">
        <f aca="false">H516*17.99*(1+'Chart of Accounts'!$E$67)</f>
        <v>72.3009105</v>
      </c>
    </row>
    <row r="517" customFormat="false" ht="15" hidden="false" customHeight="false" outlineLevel="0" collapsed="false">
      <c r="B517" s="7" t="s">
        <v>1014</v>
      </c>
      <c r="C517" s="39" t="n">
        <v>45684</v>
      </c>
      <c r="D517" s="7" t="s">
        <v>341</v>
      </c>
      <c r="E517" s="7" t="s">
        <v>156</v>
      </c>
      <c r="F517" s="7" t="s">
        <v>222</v>
      </c>
      <c r="G517" s="7" t="s">
        <v>505</v>
      </c>
      <c r="H517" s="6" t="n">
        <v>3.07</v>
      </c>
      <c r="I517" s="6" t="n">
        <v>0</v>
      </c>
      <c r="J517" s="40" t="n">
        <f aca="false">H517-I517</f>
        <v>3.07</v>
      </c>
      <c r="K517" s="41" t="n">
        <v>34</v>
      </c>
      <c r="L517" s="42" t="n">
        <f aca="false">J517*K517</f>
        <v>104.38</v>
      </c>
      <c r="M517" s="43" t="n">
        <f aca="false">H517*17.84*(1+'Chart of Accounts'!$E$67)</f>
        <v>62.710276</v>
      </c>
    </row>
    <row r="518" customFormat="false" ht="15" hidden="false" customHeight="false" outlineLevel="0" collapsed="false">
      <c r="B518" s="7" t="s">
        <v>1015</v>
      </c>
      <c r="C518" s="39" t="n">
        <v>45684</v>
      </c>
      <c r="D518" s="7" t="s">
        <v>343</v>
      </c>
      <c r="E518" s="7" t="s">
        <v>154</v>
      </c>
      <c r="F518" s="7" t="s">
        <v>262</v>
      </c>
      <c r="G518" s="7" t="s">
        <v>505</v>
      </c>
      <c r="H518" s="6" t="n">
        <v>3.79</v>
      </c>
      <c r="I518" s="6" t="n">
        <v>0</v>
      </c>
      <c r="J518" s="40" t="n">
        <f aca="false">H518-I518</f>
        <v>3.79</v>
      </c>
      <c r="K518" s="41" t="n">
        <v>26.5</v>
      </c>
      <c r="L518" s="42" t="n">
        <f aca="false">J518*K518</f>
        <v>100.435</v>
      </c>
      <c r="M518" s="43" t="n">
        <f aca="false">H518*16.02*(1+'Chart of Accounts'!$E$67)</f>
        <v>69.519591</v>
      </c>
    </row>
    <row r="519" customFormat="false" ht="15" hidden="false" customHeight="false" outlineLevel="0" collapsed="false">
      <c r="B519" s="7" t="s">
        <v>1016</v>
      </c>
      <c r="C519" s="39" t="n">
        <v>45684</v>
      </c>
      <c r="D519" s="7" t="s">
        <v>353</v>
      </c>
      <c r="E519" s="7" t="s">
        <v>154</v>
      </c>
      <c r="F519" s="7" t="s">
        <v>254</v>
      </c>
      <c r="G519" s="7" t="s">
        <v>505</v>
      </c>
      <c r="H519" s="6" t="n">
        <v>3.3</v>
      </c>
      <c r="I519" s="6" t="n">
        <v>0</v>
      </c>
      <c r="J519" s="40" t="n">
        <f aca="false">H519-I519</f>
        <v>3.3</v>
      </c>
      <c r="K519" s="41" t="n">
        <v>26.5</v>
      </c>
      <c r="L519" s="42" t="n">
        <f aca="false">J519*K519</f>
        <v>87.45</v>
      </c>
      <c r="M519" s="43" t="n">
        <f aca="false">H519*17.1*(1+'Chart of Accounts'!$E$67)</f>
        <v>64.61235</v>
      </c>
    </row>
    <row r="520" customFormat="false" ht="15" hidden="false" customHeight="false" outlineLevel="0" collapsed="false">
      <c r="B520" s="7" t="s">
        <v>1017</v>
      </c>
      <c r="C520" s="39" t="n">
        <v>45684</v>
      </c>
      <c r="D520" s="7" t="s">
        <v>355</v>
      </c>
      <c r="E520" s="7" t="s">
        <v>154</v>
      </c>
      <c r="F520" s="7" t="s">
        <v>201</v>
      </c>
      <c r="G520" s="7" t="s">
        <v>505</v>
      </c>
      <c r="H520" s="6" t="n">
        <v>3.16</v>
      </c>
      <c r="I520" s="6" t="n">
        <v>0</v>
      </c>
      <c r="J520" s="40" t="n">
        <f aca="false">H520-I520</f>
        <v>3.16</v>
      </c>
      <c r="K520" s="41" t="n">
        <v>26.5</v>
      </c>
      <c r="L520" s="42" t="n">
        <f aca="false">J520*K520</f>
        <v>83.74</v>
      </c>
      <c r="M520" s="43" t="n">
        <f aca="false">H520*15.19*(1+'Chart of Accounts'!$E$67)</f>
        <v>54.960458</v>
      </c>
    </row>
    <row r="521" customFormat="false" ht="15" hidden="false" customHeight="false" outlineLevel="0" collapsed="false">
      <c r="B521" s="7" t="s">
        <v>1018</v>
      </c>
      <c r="C521" s="39" t="n">
        <v>45684</v>
      </c>
      <c r="D521" s="7" t="s">
        <v>357</v>
      </c>
      <c r="E521" s="7" t="s">
        <v>154</v>
      </c>
      <c r="F521" s="7" t="s">
        <v>207</v>
      </c>
      <c r="G521" s="7" t="s">
        <v>505</v>
      </c>
      <c r="H521" s="6" t="n">
        <v>3.36</v>
      </c>
      <c r="I521" s="6" t="n">
        <v>0</v>
      </c>
      <c r="J521" s="40" t="n">
        <f aca="false">H521-I521</f>
        <v>3.36</v>
      </c>
      <c r="K521" s="41" t="n">
        <v>26.5</v>
      </c>
      <c r="L521" s="42" t="n">
        <f aca="false">J521*K521</f>
        <v>89.04</v>
      </c>
      <c r="M521" s="43" t="n">
        <f aca="false">H521*16.65*(1+'Chart of Accounts'!$E$67)</f>
        <v>64.05588</v>
      </c>
    </row>
    <row r="522" customFormat="false" ht="15" hidden="false" customHeight="false" outlineLevel="0" collapsed="false">
      <c r="B522" s="7" t="s">
        <v>1019</v>
      </c>
      <c r="C522" s="39" t="n">
        <v>45684</v>
      </c>
      <c r="D522" s="7" t="s">
        <v>359</v>
      </c>
      <c r="E522" s="7" t="s">
        <v>156</v>
      </c>
      <c r="F522" s="7" t="s">
        <v>212</v>
      </c>
      <c r="G522" s="7" t="s">
        <v>505</v>
      </c>
      <c r="H522" s="6" t="n">
        <v>3.71</v>
      </c>
      <c r="I522" s="6" t="n">
        <v>0</v>
      </c>
      <c r="J522" s="40" t="n">
        <f aca="false">H522-I522</f>
        <v>3.71</v>
      </c>
      <c r="K522" s="41" t="n">
        <v>34</v>
      </c>
      <c r="L522" s="42" t="n">
        <f aca="false">J522*K522</f>
        <v>126.14</v>
      </c>
      <c r="M522" s="43" t="n">
        <f aca="false">H522*16.71*(1+'Chart of Accounts'!$E$67)</f>
        <v>70.9832445</v>
      </c>
    </row>
    <row r="523" customFormat="false" ht="15" hidden="false" customHeight="false" outlineLevel="0" collapsed="false">
      <c r="B523" s="7" t="s">
        <v>1020</v>
      </c>
      <c r="C523" s="39" t="n">
        <v>45684</v>
      </c>
      <c r="D523" s="7" t="s">
        <v>363</v>
      </c>
      <c r="E523" s="7" t="s">
        <v>156</v>
      </c>
      <c r="F523" s="7" t="s">
        <v>246</v>
      </c>
      <c r="G523" s="7" t="s">
        <v>505</v>
      </c>
      <c r="H523" s="6" t="n">
        <v>4.33</v>
      </c>
      <c r="I523" s="6" t="n">
        <v>0</v>
      </c>
      <c r="J523" s="40" t="n">
        <f aca="false">H523-I523</f>
        <v>4.33</v>
      </c>
      <c r="K523" s="41" t="n">
        <v>34</v>
      </c>
      <c r="L523" s="42" t="n">
        <f aca="false">J523*K523</f>
        <v>147.22</v>
      </c>
      <c r="M523" s="43" t="n">
        <f aca="false">H523*16.48*(1+'Chart of Accounts'!$E$67)</f>
        <v>81.705368</v>
      </c>
    </row>
    <row r="524" customFormat="false" ht="15" hidden="false" customHeight="false" outlineLevel="0" collapsed="false">
      <c r="B524" s="7" t="s">
        <v>1021</v>
      </c>
      <c r="C524" s="39" t="n">
        <v>45684</v>
      </c>
      <c r="D524" s="7" t="s">
        <v>371</v>
      </c>
      <c r="E524" s="7" t="s">
        <v>154</v>
      </c>
      <c r="F524" s="7" t="s">
        <v>232</v>
      </c>
      <c r="G524" s="7" t="s">
        <v>505</v>
      </c>
      <c r="H524" s="6" t="n">
        <v>4.92</v>
      </c>
      <c r="I524" s="6" t="n">
        <v>0</v>
      </c>
      <c r="J524" s="40" t="n">
        <f aca="false">H524-I524</f>
        <v>4.92</v>
      </c>
      <c r="K524" s="41" t="n">
        <v>26.5</v>
      </c>
      <c r="L524" s="42" t="n">
        <f aca="false">J524*K524</f>
        <v>130.38</v>
      </c>
      <c r="M524" s="43" t="n">
        <f aca="false">H524*16.17*(1+'Chart of Accounts'!$E$67)</f>
        <v>91.092078</v>
      </c>
    </row>
    <row r="525" customFormat="false" ht="15" hidden="false" customHeight="false" outlineLevel="0" collapsed="false">
      <c r="B525" s="7" t="s">
        <v>1022</v>
      </c>
      <c r="C525" s="39" t="n">
        <v>45684</v>
      </c>
      <c r="D525" s="7" t="s">
        <v>375</v>
      </c>
      <c r="E525" s="7" t="s">
        <v>156</v>
      </c>
      <c r="F525" s="7" t="s">
        <v>196</v>
      </c>
      <c r="G525" s="7" t="s">
        <v>505</v>
      </c>
      <c r="H525" s="6" t="n">
        <v>3.23</v>
      </c>
      <c r="I525" s="6" t="n">
        <v>0</v>
      </c>
      <c r="J525" s="40" t="n">
        <f aca="false">H525-I525</f>
        <v>3.23</v>
      </c>
      <c r="K525" s="41" t="n">
        <v>34</v>
      </c>
      <c r="L525" s="42" t="n">
        <f aca="false">J525*K525</f>
        <v>109.82</v>
      </c>
      <c r="M525" s="43" t="n">
        <f aca="false">H525*15.05*(1+'Chart of Accounts'!$E$67)</f>
        <v>55.6601675</v>
      </c>
    </row>
    <row r="526" customFormat="false" ht="15" hidden="false" customHeight="false" outlineLevel="0" collapsed="false">
      <c r="B526" s="7" t="s">
        <v>1023</v>
      </c>
      <c r="C526" s="39" t="n">
        <v>45684</v>
      </c>
      <c r="D526" s="7" t="s">
        <v>377</v>
      </c>
      <c r="E526" s="7" t="s">
        <v>154</v>
      </c>
      <c r="F526" s="7" t="s">
        <v>214</v>
      </c>
      <c r="G526" s="7" t="s">
        <v>505</v>
      </c>
      <c r="H526" s="6" t="n">
        <v>3.93</v>
      </c>
      <c r="I526" s="6" t="n">
        <v>0</v>
      </c>
      <c r="J526" s="40" t="n">
        <f aca="false">H526-I526</f>
        <v>3.93</v>
      </c>
      <c r="K526" s="41" t="n">
        <v>26.5</v>
      </c>
      <c r="L526" s="42" t="n">
        <f aca="false">J526*K526</f>
        <v>104.145</v>
      </c>
      <c r="M526" s="43" t="n">
        <f aca="false">H526*15.67*(1+'Chart of Accounts'!$E$67)</f>
        <v>70.5126495</v>
      </c>
    </row>
    <row r="527" customFormat="false" ht="15" hidden="false" customHeight="false" outlineLevel="0" collapsed="false">
      <c r="B527" s="7" t="s">
        <v>1024</v>
      </c>
      <c r="C527" s="39" t="n">
        <v>45684</v>
      </c>
      <c r="D527" s="7" t="s">
        <v>379</v>
      </c>
      <c r="E527" s="7" t="s">
        <v>156</v>
      </c>
      <c r="F527" s="7" t="s">
        <v>224</v>
      </c>
      <c r="G527" s="7" t="s">
        <v>505</v>
      </c>
      <c r="H527" s="6" t="n">
        <v>4.75</v>
      </c>
      <c r="I527" s="6" t="n">
        <v>0</v>
      </c>
      <c r="J527" s="40" t="n">
        <f aca="false">H527-I527</f>
        <v>4.75</v>
      </c>
      <c r="K527" s="41" t="n">
        <v>34</v>
      </c>
      <c r="L527" s="42" t="n">
        <f aca="false">J527*K527</f>
        <v>161.5</v>
      </c>
      <c r="M527" s="43" t="n">
        <f aca="false">H527*14.93*(1+'Chart of Accounts'!$E$67)</f>
        <v>81.2005375</v>
      </c>
    </row>
    <row r="528" customFormat="false" ht="15" hidden="false" customHeight="false" outlineLevel="0" collapsed="false">
      <c r="B528" s="7" t="s">
        <v>1025</v>
      </c>
      <c r="C528" s="39" t="n">
        <v>45684</v>
      </c>
      <c r="D528" s="7" t="s">
        <v>389</v>
      </c>
      <c r="E528" s="7" t="s">
        <v>154</v>
      </c>
      <c r="F528" s="7" t="s">
        <v>246</v>
      </c>
      <c r="G528" s="7" t="s">
        <v>505</v>
      </c>
      <c r="H528" s="6" t="n">
        <v>4.14</v>
      </c>
      <c r="I528" s="6" t="n">
        <v>0.124</v>
      </c>
      <c r="J528" s="40" t="n">
        <f aca="false">H528-I528</f>
        <v>4.016</v>
      </c>
      <c r="K528" s="41" t="n">
        <v>26.5</v>
      </c>
      <c r="L528" s="42" t="n">
        <f aca="false">J528*K528</f>
        <v>106.424</v>
      </c>
      <c r="M528" s="43" t="n">
        <f aca="false">H528*16.48*(1+'Chart of Accounts'!$E$67)</f>
        <v>78.120144</v>
      </c>
    </row>
    <row r="529" customFormat="false" ht="15" hidden="false" customHeight="false" outlineLevel="0" collapsed="false">
      <c r="B529" s="7" t="s">
        <v>1026</v>
      </c>
      <c r="C529" s="39" t="n">
        <v>45684</v>
      </c>
      <c r="D529" s="7" t="s">
        <v>391</v>
      </c>
      <c r="E529" s="7" t="s">
        <v>156</v>
      </c>
      <c r="F529" s="7" t="s">
        <v>222</v>
      </c>
      <c r="G529" s="7" t="s">
        <v>505</v>
      </c>
      <c r="H529" s="6" t="n">
        <v>3.88</v>
      </c>
      <c r="I529" s="6" t="n">
        <v>0</v>
      </c>
      <c r="J529" s="40" t="n">
        <f aca="false">H529-I529</f>
        <v>3.88</v>
      </c>
      <c r="K529" s="41" t="n">
        <v>34</v>
      </c>
      <c r="L529" s="42" t="n">
        <f aca="false">J529*K529</f>
        <v>131.92</v>
      </c>
      <c r="M529" s="43" t="n">
        <f aca="false">H529*17.84*(1+'Chart of Accounts'!$E$67)</f>
        <v>79.255984</v>
      </c>
    </row>
    <row r="530" customFormat="false" ht="15" hidden="false" customHeight="false" outlineLevel="0" collapsed="false">
      <c r="B530" s="7" t="s">
        <v>1027</v>
      </c>
      <c r="C530" s="39" t="n">
        <v>45684</v>
      </c>
      <c r="D530" s="7" t="s">
        <v>395</v>
      </c>
      <c r="E530" s="7" t="s">
        <v>156</v>
      </c>
      <c r="F530" s="7" t="s">
        <v>242</v>
      </c>
      <c r="G530" s="7" t="s">
        <v>505</v>
      </c>
      <c r="H530" s="6" t="n">
        <v>4.02</v>
      </c>
      <c r="I530" s="6" t="n">
        <v>0</v>
      </c>
      <c r="J530" s="40" t="n">
        <f aca="false">H530-I530</f>
        <v>4.02</v>
      </c>
      <c r="K530" s="41" t="n">
        <v>34</v>
      </c>
      <c r="L530" s="42" t="n">
        <f aca="false">J530*K530</f>
        <v>136.68</v>
      </c>
      <c r="M530" s="43" t="n">
        <f aca="false">H530*17.99*(1+'Chart of Accounts'!$E$67)</f>
        <v>82.806171</v>
      </c>
    </row>
    <row r="531" customFormat="false" ht="15" hidden="false" customHeight="false" outlineLevel="0" collapsed="false">
      <c r="B531" s="7" t="s">
        <v>1028</v>
      </c>
      <c r="C531" s="39" t="n">
        <v>45684</v>
      </c>
      <c r="D531" s="7" t="s">
        <v>399</v>
      </c>
      <c r="E531" s="7" t="s">
        <v>154</v>
      </c>
      <c r="F531" s="7" t="s">
        <v>262</v>
      </c>
      <c r="G531" s="7" t="s">
        <v>505</v>
      </c>
      <c r="H531" s="6" t="n">
        <v>3.2</v>
      </c>
      <c r="I531" s="6" t="n">
        <v>0</v>
      </c>
      <c r="J531" s="40" t="n">
        <f aca="false">H531-I531</f>
        <v>3.2</v>
      </c>
      <c r="K531" s="41" t="n">
        <v>26.5</v>
      </c>
      <c r="L531" s="42" t="n">
        <f aca="false">J531*K531</f>
        <v>84.8</v>
      </c>
      <c r="M531" s="43" t="n">
        <f aca="false">H531*16.02*(1+'Chart of Accounts'!$E$67)</f>
        <v>58.69728</v>
      </c>
    </row>
    <row r="532" customFormat="false" ht="15" hidden="false" customHeight="false" outlineLevel="0" collapsed="false">
      <c r="B532" s="7" t="s">
        <v>1029</v>
      </c>
      <c r="C532" s="39" t="n">
        <v>45684</v>
      </c>
      <c r="D532" s="7" t="s">
        <v>401</v>
      </c>
      <c r="E532" s="7" t="s">
        <v>156</v>
      </c>
      <c r="F532" s="7" t="s">
        <v>254</v>
      </c>
      <c r="G532" s="7" t="s">
        <v>505</v>
      </c>
      <c r="H532" s="6" t="n">
        <v>3.79</v>
      </c>
      <c r="I532" s="6" t="n">
        <v>0</v>
      </c>
      <c r="J532" s="40" t="n">
        <f aca="false">H532-I532</f>
        <v>3.79</v>
      </c>
      <c r="K532" s="41" t="n">
        <v>34</v>
      </c>
      <c r="L532" s="42" t="n">
        <f aca="false">J532*K532</f>
        <v>128.86</v>
      </c>
      <c r="M532" s="43" t="n">
        <f aca="false">H532*17.1*(1+'Chart of Accounts'!$E$67)</f>
        <v>74.206305</v>
      </c>
    </row>
    <row r="533" customFormat="false" ht="15" hidden="false" customHeight="false" outlineLevel="0" collapsed="false">
      <c r="B533" s="7" t="s">
        <v>1030</v>
      </c>
      <c r="C533" s="39" t="n">
        <v>45684</v>
      </c>
      <c r="D533" s="7" t="s">
        <v>409</v>
      </c>
      <c r="E533" s="7" t="s">
        <v>154</v>
      </c>
      <c r="F533" s="7" t="s">
        <v>214</v>
      </c>
      <c r="G533" s="7" t="s">
        <v>505</v>
      </c>
      <c r="H533" s="6" t="n">
        <v>3.1</v>
      </c>
      <c r="I533" s="6" t="n">
        <v>0.093</v>
      </c>
      <c r="J533" s="40" t="n">
        <f aca="false">H533-I533</f>
        <v>3.007</v>
      </c>
      <c r="K533" s="41" t="n">
        <v>26.5</v>
      </c>
      <c r="L533" s="42" t="n">
        <f aca="false">J533*K533</f>
        <v>79.6855</v>
      </c>
      <c r="M533" s="43" t="n">
        <f aca="false">H533*15.67*(1+'Chart of Accounts'!$E$67)</f>
        <v>55.620665</v>
      </c>
    </row>
    <row r="534" customFormat="false" ht="15" hidden="false" customHeight="false" outlineLevel="0" collapsed="false">
      <c r="B534" s="7" t="s">
        <v>1031</v>
      </c>
      <c r="C534" s="39" t="n">
        <v>45684</v>
      </c>
      <c r="D534" s="7" t="s">
        <v>411</v>
      </c>
      <c r="E534" s="7" t="s">
        <v>154</v>
      </c>
      <c r="F534" s="7" t="s">
        <v>177</v>
      </c>
      <c r="G534" s="7" t="s">
        <v>505</v>
      </c>
      <c r="H534" s="6" t="n">
        <v>4.59</v>
      </c>
      <c r="I534" s="6" t="n">
        <v>0</v>
      </c>
      <c r="J534" s="40" t="n">
        <f aca="false">H534-I534</f>
        <v>4.59</v>
      </c>
      <c r="K534" s="41" t="n">
        <v>26.5</v>
      </c>
      <c r="L534" s="42" t="n">
        <f aca="false">J534*K534</f>
        <v>121.635</v>
      </c>
      <c r="M534" s="43" t="n">
        <f aca="false">H534*14.56*(1+'Chart of Accounts'!$E$67)</f>
        <v>76.520808</v>
      </c>
    </row>
    <row r="535" customFormat="false" ht="15" hidden="false" customHeight="false" outlineLevel="0" collapsed="false">
      <c r="B535" s="7" t="s">
        <v>1032</v>
      </c>
      <c r="C535" s="39" t="n">
        <v>45685</v>
      </c>
      <c r="D535" s="7" t="s">
        <v>288</v>
      </c>
      <c r="E535" s="7" t="s">
        <v>156</v>
      </c>
      <c r="F535" s="7" t="s">
        <v>191</v>
      </c>
      <c r="G535" s="7" t="s">
        <v>505</v>
      </c>
      <c r="H535" s="6" t="n">
        <v>3.91</v>
      </c>
      <c r="I535" s="6" t="n">
        <v>0</v>
      </c>
      <c r="J535" s="40" t="n">
        <f aca="false">H535-I535</f>
        <v>3.91</v>
      </c>
      <c r="K535" s="41" t="n">
        <v>34</v>
      </c>
      <c r="L535" s="42" t="n">
        <f aca="false">J535*K535</f>
        <v>132.94</v>
      </c>
      <c r="M535" s="43" t="n">
        <f aca="false">H535*16.05*(1+'Chart of Accounts'!$E$67)</f>
        <v>71.8550475</v>
      </c>
    </row>
    <row r="536" customFormat="false" ht="15" hidden="false" customHeight="false" outlineLevel="0" collapsed="false">
      <c r="B536" s="7" t="s">
        <v>1033</v>
      </c>
      <c r="C536" s="39" t="n">
        <v>45685</v>
      </c>
      <c r="D536" s="7" t="s">
        <v>301</v>
      </c>
      <c r="E536" s="7" t="s">
        <v>157</v>
      </c>
      <c r="F536" s="7" t="s">
        <v>209</v>
      </c>
      <c r="G536" s="7" t="s">
        <v>502</v>
      </c>
      <c r="H536" s="6" t="n">
        <v>0.92</v>
      </c>
      <c r="I536" s="6" t="n">
        <v>0</v>
      </c>
      <c r="J536" s="40" t="n">
        <f aca="false">H536-I536</f>
        <v>0.92</v>
      </c>
      <c r="K536" s="41" t="n">
        <v>165</v>
      </c>
      <c r="L536" s="42" t="n">
        <f aca="false">J536*K536</f>
        <v>151.8</v>
      </c>
      <c r="M536" s="43" t="n">
        <f aca="false">H536*73.58*(1+'Chart of Accounts'!$E$67)</f>
        <v>77.509172</v>
      </c>
    </row>
    <row r="537" customFormat="false" ht="15" hidden="false" customHeight="false" outlineLevel="0" collapsed="false">
      <c r="B537" s="7" t="s">
        <v>1034</v>
      </c>
      <c r="C537" s="39" t="n">
        <v>45685</v>
      </c>
      <c r="D537" s="7" t="s">
        <v>313</v>
      </c>
      <c r="E537" s="7" t="s">
        <v>156</v>
      </c>
      <c r="F537" s="7" t="s">
        <v>184</v>
      </c>
      <c r="G537" s="7" t="s">
        <v>505</v>
      </c>
      <c r="H537" s="6" t="n">
        <v>4.03</v>
      </c>
      <c r="I537" s="6" t="n">
        <v>0</v>
      </c>
      <c r="J537" s="40" t="n">
        <f aca="false">H537-I537</f>
        <v>4.03</v>
      </c>
      <c r="K537" s="41" t="n">
        <v>34</v>
      </c>
      <c r="L537" s="42" t="n">
        <f aca="false">J537*K537</f>
        <v>137.02</v>
      </c>
      <c r="M537" s="43" t="n">
        <f aca="false">H537*17.34*(1+'Chart of Accounts'!$E$67)</f>
        <v>80.012829</v>
      </c>
    </row>
    <row r="538" customFormat="false" ht="15" hidden="false" customHeight="false" outlineLevel="0" collapsed="false">
      <c r="B538" s="7" t="s">
        <v>1035</v>
      </c>
      <c r="C538" s="39" t="n">
        <v>45685</v>
      </c>
      <c r="D538" s="7" t="s">
        <v>319</v>
      </c>
      <c r="E538" s="7" t="s">
        <v>157</v>
      </c>
      <c r="F538" s="7" t="s">
        <v>234</v>
      </c>
      <c r="G538" s="7" t="s">
        <v>502</v>
      </c>
      <c r="H538" s="6" t="n">
        <v>0.98</v>
      </c>
      <c r="I538" s="6" t="n">
        <v>0.049</v>
      </c>
      <c r="J538" s="40" t="n">
        <f aca="false">H538-I538</f>
        <v>0.931</v>
      </c>
      <c r="K538" s="41" t="n">
        <v>165</v>
      </c>
      <c r="L538" s="42" t="n">
        <f aca="false">J538*K538</f>
        <v>153.615</v>
      </c>
      <c r="M538" s="43" t="n">
        <f aca="false">H538*89.53*(1+'Chart of Accounts'!$E$67)</f>
        <v>100.461613</v>
      </c>
    </row>
    <row r="539" customFormat="false" ht="15" hidden="false" customHeight="false" outlineLevel="0" collapsed="false">
      <c r="B539" s="7" t="s">
        <v>1036</v>
      </c>
      <c r="C539" s="39" t="n">
        <v>45685</v>
      </c>
      <c r="D539" s="7" t="s">
        <v>321</v>
      </c>
      <c r="E539" s="7" t="s">
        <v>154</v>
      </c>
      <c r="F539" s="7" t="s">
        <v>218</v>
      </c>
      <c r="G539" s="7" t="s">
        <v>505</v>
      </c>
      <c r="H539" s="6" t="n">
        <v>3.66</v>
      </c>
      <c r="I539" s="6" t="n">
        <v>0</v>
      </c>
      <c r="J539" s="40" t="n">
        <f aca="false">H539-I539</f>
        <v>3.66</v>
      </c>
      <c r="K539" s="41" t="n">
        <v>26.5</v>
      </c>
      <c r="L539" s="42" t="n">
        <f aca="false">J539*K539</f>
        <v>96.99</v>
      </c>
      <c r="M539" s="43" t="n">
        <f aca="false">H539*16.19*(1+'Chart of Accounts'!$E$67)</f>
        <v>67.847433</v>
      </c>
    </row>
    <row r="540" customFormat="false" ht="15" hidden="false" customHeight="false" outlineLevel="0" collapsed="false">
      <c r="B540" s="7" t="s">
        <v>1037</v>
      </c>
      <c r="C540" s="39" t="n">
        <v>45685</v>
      </c>
      <c r="D540" s="7" t="s">
        <v>323</v>
      </c>
      <c r="E540" s="7" t="s">
        <v>159</v>
      </c>
      <c r="F540" s="7" t="s">
        <v>266</v>
      </c>
      <c r="G540" s="7" t="s">
        <v>502</v>
      </c>
      <c r="H540" s="6" t="n">
        <v>1.03</v>
      </c>
      <c r="I540" s="6" t="n">
        <v>0</v>
      </c>
      <c r="J540" s="40" t="n">
        <f aca="false">H540-I540</f>
        <v>1.03</v>
      </c>
      <c r="K540" s="41" t="n">
        <v>135</v>
      </c>
      <c r="L540" s="42" t="n">
        <f aca="false">J540*K540</f>
        <v>139.05</v>
      </c>
      <c r="M540" s="43" t="n">
        <f aca="false">H540*75.18*(1+'Chart of Accounts'!$E$67)</f>
        <v>88.663533</v>
      </c>
    </row>
    <row r="541" customFormat="false" ht="15" hidden="false" customHeight="false" outlineLevel="0" collapsed="false">
      <c r="B541" s="7" t="s">
        <v>1038</v>
      </c>
      <c r="C541" s="39" t="n">
        <v>45685</v>
      </c>
      <c r="D541" s="7" t="s">
        <v>327</v>
      </c>
      <c r="E541" s="7" t="s">
        <v>157</v>
      </c>
      <c r="F541" s="7" t="s">
        <v>228</v>
      </c>
      <c r="G541" s="7" t="s">
        <v>502</v>
      </c>
      <c r="H541" s="6" t="n">
        <v>1.08</v>
      </c>
      <c r="I541" s="6" t="n">
        <v>0</v>
      </c>
      <c r="J541" s="40" t="n">
        <f aca="false">H541-I541</f>
        <v>1.08</v>
      </c>
      <c r="K541" s="41" t="n">
        <v>165</v>
      </c>
      <c r="L541" s="42" t="n">
        <f aca="false">J541*K541</f>
        <v>178.2</v>
      </c>
      <c r="M541" s="43" t="n">
        <f aca="false">H541*51.07*(1+'Chart of Accounts'!$E$67)</f>
        <v>63.153162</v>
      </c>
    </row>
    <row r="542" customFormat="false" ht="15" hidden="false" customHeight="false" outlineLevel="0" collapsed="false">
      <c r="B542" s="7" t="s">
        <v>1039</v>
      </c>
      <c r="C542" s="39" t="n">
        <v>45685</v>
      </c>
      <c r="D542" s="7" t="s">
        <v>329</v>
      </c>
      <c r="E542" s="7" t="s">
        <v>156</v>
      </c>
      <c r="F542" s="7" t="s">
        <v>220</v>
      </c>
      <c r="G542" s="7" t="s">
        <v>505</v>
      </c>
      <c r="H542" s="6" t="n">
        <v>3.77</v>
      </c>
      <c r="I542" s="6" t="n">
        <v>0</v>
      </c>
      <c r="J542" s="40" t="n">
        <f aca="false">H542-I542</f>
        <v>3.77</v>
      </c>
      <c r="K542" s="41" t="n">
        <v>34</v>
      </c>
      <c r="L542" s="42" t="n">
        <f aca="false">J542*K542</f>
        <v>128.18</v>
      </c>
      <c r="M542" s="43" t="n">
        <f aca="false">H542*16.43*(1+'Chart of Accounts'!$E$67)</f>
        <v>70.9225595</v>
      </c>
    </row>
    <row r="543" customFormat="false" ht="15" hidden="false" customHeight="false" outlineLevel="0" collapsed="false">
      <c r="B543" s="7" t="s">
        <v>1040</v>
      </c>
      <c r="C543" s="39" t="n">
        <v>45685</v>
      </c>
      <c r="D543" s="7" t="s">
        <v>359</v>
      </c>
      <c r="E543" s="7" t="s">
        <v>156</v>
      </c>
      <c r="F543" s="7" t="s">
        <v>212</v>
      </c>
      <c r="G543" s="7" t="s">
        <v>505</v>
      </c>
      <c r="H543" s="6" t="n">
        <v>4.2</v>
      </c>
      <c r="I543" s="6" t="n">
        <v>0</v>
      </c>
      <c r="J543" s="40" t="n">
        <f aca="false">H543-I543</f>
        <v>4.2</v>
      </c>
      <c r="K543" s="41" t="n">
        <v>34</v>
      </c>
      <c r="L543" s="42" t="n">
        <f aca="false">J543*K543</f>
        <v>142.8</v>
      </c>
      <c r="M543" s="43" t="n">
        <f aca="false">H543*16.71*(1+'Chart of Accounts'!$E$67)</f>
        <v>80.35839</v>
      </c>
    </row>
    <row r="544" customFormat="false" ht="15" hidden="false" customHeight="false" outlineLevel="0" collapsed="false">
      <c r="B544" s="7" t="s">
        <v>1041</v>
      </c>
      <c r="C544" s="39" t="n">
        <v>45685</v>
      </c>
      <c r="D544" s="7" t="s">
        <v>361</v>
      </c>
      <c r="E544" s="7" t="s">
        <v>157</v>
      </c>
      <c r="F544" s="7" t="s">
        <v>209</v>
      </c>
      <c r="G544" s="7" t="s">
        <v>502</v>
      </c>
      <c r="H544" s="6" t="n">
        <v>1.04</v>
      </c>
      <c r="I544" s="6" t="n">
        <v>0</v>
      </c>
      <c r="J544" s="40" t="n">
        <f aca="false">H544-I544</f>
        <v>1.04</v>
      </c>
      <c r="K544" s="41" t="n">
        <v>165</v>
      </c>
      <c r="L544" s="42" t="n">
        <f aca="false">J544*K544</f>
        <v>171.6</v>
      </c>
      <c r="M544" s="43" t="n">
        <f aca="false">H544*73.58*(1+'Chart of Accounts'!$E$67)</f>
        <v>87.619064</v>
      </c>
    </row>
    <row r="545" customFormat="false" ht="15" hidden="false" customHeight="false" outlineLevel="0" collapsed="false">
      <c r="B545" s="7" t="s">
        <v>1042</v>
      </c>
      <c r="C545" s="39" t="n">
        <v>45685</v>
      </c>
      <c r="D545" s="7" t="s">
        <v>381</v>
      </c>
      <c r="E545" s="7" t="s">
        <v>157</v>
      </c>
      <c r="F545" s="7" t="s">
        <v>234</v>
      </c>
      <c r="G545" s="7" t="s">
        <v>502</v>
      </c>
      <c r="H545" s="6" t="n">
        <v>0.95</v>
      </c>
      <c r="I545" s="6" t="n">
        <v>0</v>
      </c>
      <c r="J545" s="40" t="n">
        <f aca="false">H545-I545</f>
        <v>0.95</v>
      </c>
      <c r="K545" s="41" t="n">
        <v>165</v>
      </c>
      <c r="L545" s="42" t="n">
        <f aca="false">J545*K545</f>
        <v>156.75</v>
      </c>
      <c r="M545" s="43" t="n">
        <f aca="false">H545*89.53*(1+'Chart of Accounts'!$E$67)</f>
        <v>97.3862575</v>
      </c>
    </row>
    <row r="546" customFormat="false" ht="15" hidden="false" customHeight="false" outlineLevel="0" collapsed="false">
      <c r="B546" s="7" t="s">
        <v>1043</v>
      </c>
      <c r="C546" s="39" t="n">
        <v>45685</v>
      </c>
      <c r="D546" s="7" t="s">
        <v>389</v>
      </c>
      <c r="E546" s="7" t="s">
        <v>154</v>
      </c>
      <c r="F546" s="7" t="s">
        <v>246</v>
      </c>
      <c r="G546" s="7" t="s">
        <v>505</v>
      </c>
      <c r="H546" s="6" t="n">
        <v>3.97</v>
      </c>
      <c r="I546" s="6" t="n">
        <v>0</v>
      </c>
      <c r="J546" s="40" t="n">
        <f aca="false">H546-I546</f>
        <v>3.97</v>
      </c>
      <c r="K546" s="41" t="n">
        <v>26.5</v>
      </c>
      <c r="L546" s="42" t="n">
        <f aca="false">J546*K546</f>
        <v>105.205</v>
      </c>
      <c r="M546" s="43" t="n">
        <f aca="false">H546*16.48*(1+'Chart of Accounts'!$E$67)</f>
        <v>74.912312</v>
      </c>
    </row>
    <row r="547" customFormat="false" ht="15" hidden="false" customHeight="false" outlineLevel="0" collapsed="false">
      <c r="B547" s="7" t="s">
        <v>1044</v>
      </c>
      <c r="C547" s="39" t="n">
        <v>45685</v>
      </c>
      <c r="D547" s="7" t="s">
        <v>391</v>
      </c>
      <c r="E547" s="7" t="s">
        <v>156</v>
      </c>
      <c r="F547" s="7" t="s">
        <v>222</v>
      </c>
      <c r="G547" s="7" t="s">
        <v>505</v>
      </c>
      <c r="H547" s="6" t="n">
        <v>3.89</v>
      </c>
      <c r="I547" s="6" t="n">
        <v>0</v>
      </c>
      <c r="J547" s="40" t="n">
        <f aca="false">H547-I547</f>
        <v>3.89</v>
      </c>
      <c r="K547" s="41" t="n">
        <v>34</v>
      </c>
      <c r="L547" s="42" t="n">
        <f aca="false">J547*K547</f>
        <v>132.26</v>
      </c>
      <c r="M547" s="43" t="n">
        <f aca="false">H547*17.84*(1+'Chart of Accounts'!$E$67)</f>
        <v>79.460252</v>
      </c>
    </row>
    <row r="548" customFormat="false" ht="15" hidden="false" customHeight="false" outlineLevel="0" collapsed="false">
      <c r="B548" s="7" t="s">
        <v>1045</v>
      </c>
      <c r="C548" s="39" t="n">
        <v>45685</v>
      </c>
      <c r="D548" s="7" t="s">
        <v>395</v>
      </c>
      <c r="E548" s="7" t="s">
        <v>156</v>
      </c>
      <c r="F548" s="7" t="s">
        <v>242</v>
      </c>
      <c r="G548" s="7" t="s">
        <v>505</v>
      </c>
      <c r="H548" s="6" t="n">
        <v>4.24</v>
      </c>
      <c r="I548" s="6" t="n">
        <v>0</v>
      </c>
      <c r="J548" s="40" t="n">
        <f aca="false">H548-I548</f>
        <v>4.24</v>
      </c>
      <c r="K548" s="41" t="n">
        <v>34</v>
      </c>
      <c r="L548" s="42" t="n">
        <f aca="false">J548*K548</f>
        <v>144.16</v>
      </c>
      <c r="M548" s="43" t="n">
        <f aca="false">H548*17.99*(1+'Chart of Accounts'!$E$67)</f>
        <v>87.337852</v>
      </c>
    </row>
    <row r="549" customFormat="false" ht="15" hidden="false" customHeight="false" outlineLevel="0" collapsed="false">
      <c r="B549" s="7" t="s">
        <v>1046</v>
      </c>
      <c r="C549" s="39" t="n">
        <v>45685</v>
      </c>
      <c r="D549" s="7" t="s">
        <v>401</v>
      </c>
      <c r="E549" s="7" t="s">
        <v>156</v>
      </c>
      <c r="F549" s="7" t="s">
        <v>254</v>
      </c>
      <c r="G549" s="7" t="s">
        <v>505</v>
      </c>
      <c r="H549" s="6" t="n">
        <v>3.86</v>
      </c>
      <c r="I549" s="6" t="n">
        <v>0</v>
      </c>
      <c r="J549" s="40" t="n">
        <f aca="false">H549-I549</f>
        <v>3.86</v>
      </c>
      <c r="K549" s="41" t="n">
        <v>34</v>
      </c>
      <c r="L549" s="42" t="n">
        <f aca="false">J549*K549</f>
        <v>131.24</v>
      </c>
      <c r="M549" s="43" t="n">
        <f aca="false">H549*17.1*(1+'Chart of Accounts'!$E$67)</f>
        <v>75.57687</v>
      </c>
    </row>
    <row r="550" customFormat="false" ht="15" hidden="false" customHeight="false" outlineLevel="0" collapsed="false">
      <c r="B550" s="7" t="s">
        <v>1047</v>
      </c>
      <c r="C550" s="39" t="n">
        <v>45685</v>
      </c>
      <c r="D550" s="7" t="s">
        <v>407</v>
      </c>
      <c r="E550" s="7" t="s">
        <v>159</v>
      </c>
      <c r="F550" s="7" t="s">
        <v>260</v>
      </c>
      <c r="G550" s="7" t="s">
        <v>502</v>
      </c>
      <c r="H550" s="6" t="n">
        <v>0.91</v>
      </c>
      <c r="I550" s="6" t="n">
        <v>0</v>
      </c>
      <c r="J550" s="40" t="n">
        <f aca="false">H550-I550</f>
        <v>0.91</v>
      </c>
      <c r="K550" s="41" t="n">
        <v>135</v>
      </c>
      <c r="L550" s="42" t="n">
        <f aca="false">J550*K550</f>
        <v>122.85</v>
      </c>
      <c r="M550" s="43" t="n">
        <f aca="false">H550*79.8*(1+'Chart of Accounts'!$E$67)</f>
        <v>83.14761</v>
      </c>
    </row>
    <row r="551" customFormat="false" ht="15" hidden="false" customHeight="false" outlineLevel="0" collapsed="false">
      <c r="B551" s="7" t="s">
        <v>1048</v>
      </c>
      <c r="C551" s="39" t="n">
        <v>45686</v>
      </c>
      <c r="D551" s="7" t="s">
        <v>280</v>
      </c>
      <c r="E551" s="7" t="s">
        <v>157</v>
      </c>
      <c r="F551" s="7" t="s">
        <v>187</v>
      </c>
      <c r="G551" s="7" t="s">
        <v>502</v>
      </c>
      <c r="H551" s="6" t="n">
        <v>0.9</v>
      </c>
      <c r="I551" s="6" t="n">
        <v>0</v>
      </c>
      <c r="J551" s="40" t="n">
        <f aca="false">H551-I551</f>
        <v>0.9</v>
      </c>
      <c r="K551" s="41" t="n">
        <v>165</v>
      </c>
      <c r="L551" s="42" t="n">
        <f aca="false">J551*K551</f>
        <v>148.5</v>
      </c>
      <c r="M551" s="43" t="n">
        <f aca="false">H551*66.48*(1+'Chart of Accounts'!$E$67)</f>
        <v>68.50764</v>
      </c>
    </row>
    <row r="552" customFormat="false" ht="15" hidden="false" customHeight="false" outlineLevel="0" collapsed="false">
      <c r="B552" s="7" t="s">
        <v>1049</v>
      </c>
      <c r="C552" s="39" t="n">
        <v>45686</v>
      </c>
      <c r="D552" s="7" t="s">
        <v>286</v>
      </c>
      <c r="E552" s="7" t="s">
        <v>157</v>
      </c>
      <c r="F552" s="7" t="s">
        <v>228</v>
      </c>
      <c r="G552" s="7" t="s">
        <v>502</v>
      </c>
      <c r="H552" s="6" t="n">
        <v>1.04</v>
      </c>
      <c r="I552" s="6" t="n">
        <v>0</v>
      </c>
      <c r="J552" s="40" t="n">
        <f aca="false">H552-I552</f>
        <v>1.04</v>
      </c>
      <c r="K552" s="41" t="n">
        <v>165</v>
      </c>
      <c r="L552" s="42" t="n">
        <f aca="false">J552*K552</f>
        <v>171.6</v>
      </c>
      <c r="M552" s="43" t="n">
        <f aca="false">H552*51.07*(1+'Chart of Accounts'!$E$67)</f>
        <v>60.814156</v>
      </c>
    </row>
    <row r="553" customFormat="false" ht="15" hidden="false" customHeight="false" outlineLevel="0" collapsed="false">
      <c r="B553" s="7" t="s">
        <v>1050</v>
      </c>
      <c r="C553" s="39" t="n">
        <v>45686</v>
      </c>
      <c r="D553" s="7" t="s">
        <v>288</v>
      </c>
      <c r="E553" s="7" t="s">
        <v>156</v>
      </c>
      <c r="F553" s="7" t="s">
        <v>191</v>
      </c>
      <c r="G553" s="7" t="s">
        <v>505</v>
      </c>
      <c r="H553" s="6" t="n">
        <v>3.78</v>
      </c>
      <c r="I553" s="6" t="n">
        <v>0</v>
      </c>
      <c r="J553" s="40" t="n">
        <f aca="false">H553-I553</f>
        <v>3.78</v>
      </c>
      <c r="K553" s="41" t="n">
        <v>34</v>
      </c>
      <c r="L553" s="42" t="n">
        <f aca="false">J553*K553</f>
        <v>128.52</v>
      </c>
      <c r="M553" s="43" t="n">
        <f aca="false">H553*16.05*(1+'Chart of Accounts'!$E$67)</f>
        <v>69.466005</v>
      </c>
    </row>
    <row r="554" customFormat="false" ht="15" hidden="false" customHeight="false" outlineLevel="0" collapsed="false">
      <c r="B554" s="7" t="s">
        <v>1051</v>
      </c>
      <c r="C554" s="39" t="n">
        <v>45686</v>
      </c>
      <c r="D554" s="7" t="s">
        <v>291</v>
      </c>
      <c r="E554" s="7" t="s">
        <v>154</v>
      </c>
      <c r="F554" s="7" t="s">
        <v>194</v>
      </c>
      <c r="G554" s="7" t="s">
        <v>505</v>
      </c>
      <c r="H554" s="6" t="n">
        <v>4.71</v>
      </c>
      <c r="I554" s="6" t="n">
        <v>0</v>
      </c>
      <c r="J554" s="40" t="n">
        <f aca="false">H554-I554</f>
        <v>4.71</v>
      </c>
      <c r="K554" s="41" t="n">
        <v>26.5</v>
      </c>
      <c r="L554" s="42" t="n">
        <f aca="false">J554*K554</f>
        <v>124.815</v>
      </c>
      <c r="M554" s="43" t="n">
        <f aca="false">H554*16*(1+'Chart of Accounts'!$E$67)</f>
        <v>86.2872</v>
      </c>
    </row>
    <row r="555" customFormat="false" ht="15" hidden="false" customHeight="false" outlineLevel="0" collapsed="false">
      <c r="B555" s="7" t="s">
        <v>1052</v>
      </c>
      <c r="C555" s="39" t="n">
        <v>45686</v>
      </c>
      <c r="D555" s="7" t="s">
        <v>305</v>
      </c>
      <c r="E555" s="7" t="s">
        <v>154</v>
      </c>
      <c r="F555" s="7" t="s">
        <v>205</v>
      </c>
      <c r="G555" s="7" t="s">
        <v>505</v>
      </c>
      <c r="H555" s="6" t="n">
        <v>4.21</v>
      </c>
      <c r="I555" s="6" t="n">
        <v>0</v>
      </c>
      <c r="J555" s="40" t="n">
        <f aca="false">H555-I555</f>
        <v>4.21</v>
      </c>
      <c r="K555" s="41" t="n">
        <v>26.5</v>
      </c>
      <c r="L555" s="42" t="n">
        <f aca="false">J555*K555</f>
        <v>111.565</v>
      </c>
      <c r="M555" s="43" t="n">
        <f aca="false">H555*16.36*(1+'Chart of Accounts'!$E$67)</f>
        <v>78.862562</v>
      </c>
    </row>
    <row r="556" customFormat="false" ht="15" hidden="false" customHeight="false" outlineLevel="0" collapsed="false">
      <c r="B556" s="7" t="s">
        <v>1053</v>
      </c>
      <c r="C556" s="39" t="n">
        <v>45686</v>
      </c>
      <c r="D556" s="7" t="s">
        <v>309</v>
      </c>
      <c r="E556" s="7" t="s">
        <v>159</v>
      </c>
      <c r="F556" s="7" t="s">
        <v>252</v>
      </c>
      <c r="G556" s="7" t="s">
        <v>502</v>
      </c>
      <c r="H556" s="6" t="n">
        <v>1.05</v>
      </c>
      <c r="I556" s="6" t="n">
        <v>0</v>
      </c>
      <c r="J556" s="40" t="n">
        <f aca="false">H556-I556</f>
        <v>1.05</v>
      </c>
      <c r="K556" s="41" t="n">
        <v>135</v>
      </c>
      <c r="L556" s="42" t="n">
        <f aca="false">J556*K556</f>
        <v>141.75</v>
      </c>
      <c r="M556" s="43" t="n">
        <f aca="false">H556*57.54*(1+'Chart of Accounts'!$E$67)</f>
        <v>69.177465</v>
      </c>
    </row>
    <row r="557" customFormat="false" ht="15" hidden="false" customHeight="false" outlineLevel="0" collapsed="false">
      <c r="B557" s="7" t="s">
        <v>1054</v>
      </c>
      <c r="C557" s="39" t="n">
        <v>45686</v>
      </c>
      <c r="D557" s="7" t="s">
        <v>313</v>
      </c>
      <c r="E557" s="7" t="s">
        <v>156</v>
      </c>
      <c r="F557" s="7" t="s">
        <v>184</v>
      </c>
      <c r="G557" s="7" t="s">
        <v>505</v>
      </c>
      <c r="H557" s="6" t="n">
        <v>3.88</v>
      </c>
      <c r="I557" s="6" t="n">
        <v>0</v>
      </c>
      <c r="J557" s="40" t="n">
        <f aca="false">H557-I557</f>
        <v>3.88</v>
      </c>
      <c r="K557" s="41" t="n">
        <v>34</v>
      </c>
      <c r="L557" s="42" t="n">
        <f aca="false">J557*K557</f>
        <v>131.92</v>
      </c>
      <c r="M557" s="43" t="n">
        <f aca="false">H557*17.34*(1+'Chart of Accounts'!$E$67)</f>
        <v>77.034684</v>
      </c>
    </row>
    <row r="558" customFormat="false" ht="15" hidden="false" customHeight="false" outlineLevel="0" collapsed="false">
      <c r="B558" s="7" t="s">
        <v>1055</v>
      </c>
      <c r="C558" s="39" t="n">
        <v>45686</v>
      </c>
      <c r="D558" s="7" t="s">
        <v>321</v>
      </c>
      <c r="E558" s="7" t="s">
        <v>154</v>
      </c>
      <c r="F558" s="7" t="s">
        <v>218</v>
      </c>
      <c r="G558" s="7" t="s">
        <v>505</v>
      </c>
      <c r="H558" s="6" t="n">
        <v>3.75</v>
      </c>
      <c r="I558" s="6" t="n">
        <v>0</v>
      </c>
      <c r="J558" s="40" t="n">
        <f aca="false">H558-I558</f>
        <v>3.75</v>
      </c>
      <c r="K558" s="41" t="n">
        <v>26.5</v>
      </c>
      <c r="L558" s="42" t="n">
        <f aca="false">J558*K558</f>
        <v>99.375</v>
      </c>
      <c r="M558" s="43" t="n">
        <f aca="false">H558*16.19*(1+'Chart of Accounts'!$E$67)</f>
        <v>69.5158125</v>
      </c>
    </row>
    <row r="559" customFormat="false" ht="15" hidden="false" customHeight="false" outlineLevel="0" collapsed="false">
      <c r="B559" s="7" t="s">
        <v>1056</v>
      </c>
      <c r="C559" s="39" t="n">
        <v>45686</v>
      </c>
      <c r="D559" s="7" t="s">
        <v>329</v>
      </c>
      <c r="E559" s="7" t="s">
        <v>156</v>
      </c>
      <c r="F559" s="7" t="s">
        <v>220</v>
      </c>
      <c r="G559" s="7" t="s">
        <v>505</v>
      </c>
      <c r="H559" s="6" t="n">
        <v>4.37</v>
      </c>
      <c r="I559" s="6" t="n">
        <v>0</v>
      </c>
      <c r="J559" s="40" t="n">
        <f aca="false">H559-I559</f>
        <v>4.37</v>
      </c>
      <c r="K559" s="41" t="n">
        <v>34</v>
      </c>
      <c r="L559" s="42" t="n">
        <f aca="false">J559*K559</f>
        <v>148.58</v>
      </c>
      <c r="M559" s="43" t="n">
        <f aca="false">H559*16.43*(1+'Chart of Accounts'!$E$67)</f>
        <v>82.2099695</v>
      </c>
    </row>
    <row r="560" customFormat="false" ht="15" hidden="false" customHeight="false" outlineLevel="0" collapsed="false">
      <c r="B560" s="7" t="s">
        <v>1057</v>
      </c>
      <c r="C560" s="39" t="n">
        <v>45686</v>
      </c>
      <c r="D560" s="7" t="s">
        <v>335</v>
      </c>
      <c r="E560" s="7" t="s">
        <v>154</v>
      </c>
      <c r="F560" s="7" t="s">
        <v>177</v>
      </c>
      <c r="G560" s="7" t="s">
        <v>505</v>
      </c>
      <c r="H560" s="6" t="n">
        <v>3.66</v>
      </c>
      <c r="I560" s="6" t="n">
        <v>0.11</v>
      </c>
      <c r="J560" s="40" t="n">
        <f aca="false">H560-I560</f>
        <v>3.55</v>
      </c>
      <c r="K560" s="41" t="n">
        <v>26.5</v>
      </c>
      <c r="L560" s="42" t="n">
        <f aca="false">J560*K560</f>
        <v>94.075</v>
      </c>
      <c r="M560" s="43" t="n">
        <f aca="false">H560*14.56*(1+'Chart of Accounts'!$E$67)</f>
        <v>61.016592</v>
      </c>
    </row>
    <row r="561" customFormat="false" ht="15" hidden="false" customHeight="false" outlineLevel="0" collapsed="false">
      <c r="B561" s="7" t="s">
        <v>1058</v>
      </c>
      <c r="C561" s="39" t="n">
        <v>45686</v>
      </c>
      <c r="D561" s="7" t="s">
        <v>339</v>
      </c>
      <c r="E561" s="7" t="s">
        <v>154</v>
      </c>
      <c r="F561" s="7" t="s">
        <v>242</v>
      </c>
      <c r="G561" s="7" t="s">
        <v>505</v>
      </c>
      <c r="H561" s="6" t="n">
        <v>3</v>
      </c>
      <c r="I561" s="6" t="n">
        <v>0</v>
      </c>
      <c r="J561" s="40" t="n">
        <f aca="false">H561-I561</f>
        <v>3</v>
      </c>
      <c r="K561" s="41" t="n">
        <v>26.5</v>
      </c>
      <c r="L561" s="42" t="n">
        <f aca="false">J561*K561</f>
        <v>79.5</v>
      </c>
      <c r="M561" s="43" t="n">
        <f aca="false">H561*17.99*(1+'Chart of Accounts'!$E$67)</f>
        <v>61.79565</v>
      </c>
    </row>
    <row r="562" customFormat="false" ht="15" hidden="false" customHeight="false" outlineLevel="0" collapsed="false">
      <c r="B562" s="7" t="s">
        <v>1059</v>
      </c>
      <c r="C562" s="39" t="n">
        <v>45686</v>
      </c>
      <c r="D562" s="7" t="s">
        <v>353</v>
      </c>
      <c r="E562" s="7" t="s">
        <v>154</v>
      </c>
      <c r="F562" s="7" t="s">
        <v>254</v>
      </c>
      <c r="G562" s="7" t="s">
        <v>505</v>
      </c>
      <c r="H562" s="6" t="n">
        <v>3.05</v>
      </c>
      <c r="I562" s="6" t="n">
        <v>0</v>
      </c>
      <c r="J562" s="40" t="n">
        <f aca="false">H562-I562</f>
        <v>3.05</v>
      </c>
      <c r="K562" s="41" t="n">
        <v>26.5</v>
      </c>
      <c r="L562" s="42" t="n">
        <f aca="false">J562*K562</f>
        <v>80.825</v>
      </c>
      <c r="M562" s="43" t="n">
        <f aca="false">H562*17.1*(1+'Chart of Accounts'!$E$67)</f>
        <v>59.717475</v>
      </c>
    </row>
    <row r="563" customFormat="false" ht="15" hidden="false" customHeight="false" outlineLevel="0" collapsed="false">
      <c r="B563" s="7" t="s">
        <v>1060</v>
      </c>
      <c r="C563" s="39" t="n">
        <v>45686</v>
      </c>
      <c r="D563" s="7" t="s">
        <v>355</v>
      </c>
      <c r="E563" s="7" t="s">
        <v>154</v>
      </c>
      <c r="F563" s="7" t="s">
        <v>201</v>
      </c>
      <c r="G563" s="7" t="s">
        <v>505</v>
      </c>
      <c r="H563" s="6" t="n">
        <v>3.3</v>
      </c>
      <c r="I563" s="6" t="n">
        <v>0</v>
      </c>
      <c r="J563" s="40" t="n">
        <f aca="false">H563-I563</f>
        <v>3.3</v>
      </c>
      <c r="K563" s="41" t="n">
        <v>26.5</v>
      </c>
      <c r="L563" s="42" t="n">
        <f aca="false">J563*K563</f>
        <v>87.45</v>
      </c>
      <c r="M563" s="43" t="n">
        <f aca="false">H563*15.19*(1+'Chart of Accounts'!$E$67)</f>
        <v>57.395415</v>
      </c>
    </row>
    <row r="564" customFormat="false" ht="15" hidden="false" customHeight="false" outlineLevel="0" collapsed="false">
      <c r="B564" s="7" t="s">
        <v>1061</v>
      </c>
      <c r="C564" s="39" t="n">
        <v>45686</v>
      </c>
      <c r="D564" s="7" t="s">
        <v>357</v>
      </c>
      <c r="E564" s="7" t="s">
        <v>154</v>
      </c>
      <c r="F564" s="7" t="s">
        <v>207</v>
      </c>
      <c r="G564" s="7" t="s">
        <v>505</v>
      </c>
      <c r="H564" s="6" t="n">
        <v>3.62</v>
      </c>
      <c r="I564" s="6" t="n">
        <v>0</v>
      </c>
      <c r="J564" s="40" t="n">
        <f aca="false">H564-I564</f>
        <v>3.62</v>
      </c>
      <c r="K564" s="41" t="n">
        <v>26.5</v>
      </c>
      <c r="L564" s="42" t="n">
        <f aca="false">J564*K564</f>
        <v>95.93</v>
      </c>
      <c r="M564" s="43" t="n">
        <f aca="false">H564*16.65*(1+'Chart of Accounts'!$E$67)</f>
        <v>69.012585</v>
      </c>
    </row>
    <row r="565" customFormat="false" ht="15" hidden="false" customHeight="false" outlineLevel="0" collapsed="false">
      <c r="B565" s="7" t="s">
        <v>1062</v>
      </c>
      <c r="C565" s="39" t="n">
        <v>45686</v>
      </c>
      <c r="D565" s="7" t="s">
        <v>359</v>
      </c>
      <c r="E565" s="7" t="s">
        <v>156</v>
      </c>
      <c r="F565" s="7" t="s">
        <v>212</v>
      </c>
      <c r="G565" s="7" t="s">
        <v>505</v>
      </c>
      <c r="H565" s="6" t="n">
        <v>3.61</v>
      </c>
      <c r="I565" s="6" t="n">
        <v>0</v>
      </c>
      <c r="J565" s="40" t="n">
        <f aca="false">H565-I565</f>
        <v>3.61</v>
      </c>
      <c r="K565" s="41" t="n">
        <v>34</v>
      </c>
      <c r="L565" s="42" t="n">
        <f aca="false">J565*K565</f>
        <v>122.74</v>
      </c>
      <c r="M565" s="43" t="n">
        <f aca="false">H565*16.71*(1+'Chart of Accounts'!$E$67)</f>
        <v>69.0699495</v>
      </c>
    </row>
    <row r="566" customFormat="false" ht="15" hidden="false" customHeight="false" outlineLevel="0" collapsed="false">
      <c r="B566" s="7" t="s">
        <v>1063</v>
      </c>
      <c r="C566" s="39" t="n">
        <v>45686</v>
      </c>
      <c r="D566" s="7" t="s">
        <v>371</v>
      </c>
      <c r="E566" s="7" t="s">
        <v>154</v>
      </c>
      <c r="F566" s="7" t="s">
        <v>232</v>
      </c>
      <c r="G566" s="7" t="s">
        <v>505</v>
      </c>
      <c r="H566" s="6" t="n">
        <v>4.22</v>
      </c>
      <c r="I566" s="6" t="n">
        <v>0</v>
      </c>
      <c r="J566" s="40" t="n">
        <f aca="false">H566-I566</f>
        <v>4.22</v>
      </c>
      <c r="K566" s="41" t="n">
        <v>26.5</v>
      </c>
      <c r="L566" s="42" t="n">
        <f aca="false">J566*K566</f>
        <v>111.83</v>
      </c>
      <c r="M566" s="43" t="n">
        <f aca="false">H566*16.17*(1+'Chart of Accounts'!$E$67)</f>
        <v>78.131823</v>
      </c>
    </row>
    <row r="567" customFormat="false" ht="15" hidden="false" customHeight="false" outlineLevel="0" collapsed="false">
      <c r="B567" s="7" t="s">
        <v>1064</v>
      </c>
      <c r="C567" s="39" t="n">
        <v>45686</v>
      </c>
      <c r="D567" s="7" t="s">
        <v>379</v>
      </c>
      <c r="E567" s="7" t="s">
        <v>156</v>
      </c>
      <c r="F567" s="7" t="s">
        <v>224</v>
      </c>
      <c r="G567" s="7" t="s">
        <v>505</v>
      </c>
      <c r="H567" s="6" t="n">
        <v>4.47</v>
      </c>
      <c r="I567" s="6" t="n">
        <v>0</v>
      </c>
      <c r="J567" s="40" t="n">
        <f aca="false">H567-I567</f>
        <v>4.47</v>
      </c>
      <c r="K567" s="41" t="n">
        <v>34</v>
      </c>
      <c r="L567" s="42" t="n">
        <f aca="false">J567*K567</f>
        <v>151.98</v>
      </c>
      <c r="M567" s="43" t="n">
        <f aca="false">H567*14.93*(1+'Chart of Accounts'!$E$67)</f>
        <v>76.4139795</v>
      </c>
    </row>
    <row r="568" customFormat="false" ht="15" hidden="false" customHeight="false" outlineLevel="0" collapsed="false">
      <c r="B568" s="7" t="s">
        <v>1065</v>
      </c>
      <c r="C568" s="39" t="n">
        <v>45686</v>
      </c>
      <c r="D568" s="7" t="s">
        <v>389</v>
      </c>
      <c r="E568" s="7" t="s">
        <v>154</v>
      </c>
      <c r="F568" s="7" t="s">
        <v>246</v>
      </c>
      <c r="G568" s="7" t="s">
        <v>505</v>
      </c>
      <c r="H568" s="6" t="n">
        <v>3.94</v>
      </c>
      <c r="I568" s="6" t="n">
        <v>0</v>
      </c>
      <c r="J568" s="40" t="n">
        <f aca="false">H568-I568</f>
        <v>3.94</v>
      </c>
      <c r="K568" s="41" t="n">
        <v>26.5</v>
      </c>
      <c r="L568" s="42" t="n">
        <f aca="false">J568*K568</f>
        <v>104.41</v>
      </c>
      <c r="M568" s="43" t="n">
        <f aca="false">H568*16.48*(1+'Chart of Accounts'!$E$67)</f>
        <v>74.346224</v>
      </c>
    </row>
    <row r="569" customFormat="false" ht="15" hidden="false" customHeight="false" outlineLevel="0" collapsed="false">
      <c r="B569" s="7" t="s">
        <v>1066</v>
      </c>
      <c r="C569" s="39" t="n">
        <v>45686</v>
      </c>
      <c r="D569" s="7" t="s">
        <v>391</v>
      </c>
      <c r="E569" s="7" t="s">
        <v>156</v>
      </c>
      <c r="F569" s="7" t="s">
        <v>222</v>
      </c>
      <c r="G569" s="7" t="s">
        <v>505</v>
      </c>
      <c r="H569" s="6" t="n">
        <v>4.33</v>
      </c>
      <c r="I569" s="6" t="n">
        <v>0</v>
      </c>
      <c r="J569" s="40" t="n">
        <f aca="false">H569-I569</f>
        <v>4.33</v>
      </c>
      <c r="K569" s="41" t="n">
        <v>34</v>
      </c>
      <c r="L569" s="42" t="n">
        <f aca="false">J569*K569</f>
        <v>147.22</v>
      </c>
      <c r="M569" s="43" t="n">
        <f aca="false">H569*17.84*(1+'Chart of Accounts'!$E$67)</f>
        <v>88.448044</v>
      </c>
    </row>
    <row r="570" customFormat="false" ht="15" hidden="false" customHeight="false" outlineLevel="0" collapsed="false">
      <c r="B570" s="7" t="s">
        <v>1067</v>
      </c>
      <c r="C570" s="39" t="n">
        <v>45686</v>
      </c>
      <c r="D570" s="7" t="s">
        <v>393</v>
      </c>
      <c r="E570" s="7" t="s">
        <v>157</v>
      </c>
      <c r="F570" s="7" t="s">
        <v>203</v>
      </c>
      <c r="G570" s="7" t="s">
        <v>502</v>
      </c>
      <c r="H570" s="6" t="n">
        <v>1.02</v>
      </c>
      <c r="I570" s="6" t="n">
        <v>0</v>
      </c>
      <c r="J570" s="40" t="n">
        <f aca="false">H570-I570</f>
        <v>1.02</v>
      </c>
      <c r="K570" s="41" t="n">
        <v>165</v>
      </c>
      <c r="L570" s="42" t="n">
        <f aca="false">J570*K570</f>
        <v>168.3</v>
      </c>
      <c r="M570" s="43" t="n">
        <f aca="false">H570*49.43*(1+'Chart of Accounts'!$E$67)</f>
        <v>57.729297</v>
      </c>
    </row>
    <row r="571" customFormat="false" ht="15" hidden="false" customHeight="false" outlineLevel="0" collapsed="false">
      <c r="B571" s="7" t="s">
        <v>1068</v>
      </c>
      <c r="C571" s="39" t="n">
        <v>45686</v>
      </c>
      <c r="D571" s="7" t="s">
        <v>395</v>
      </c>
      <c r="E571" s="7" t="s">
        <v>156</v>
      </c>
      <c r="F571" s="7" t="s">
        <v>242</v>
      </c>
      <c r="G571" s="7" t="s">
        <v>505</v>
      </c>
      <c r="H571" s="6" t="n">
        <v>4.24</v>
      </c>
      <c r="I571" s="6" t="n">
        <v>0</v>
      </c>
      <c r="J571" s="40" t="n">
        <f aca="false">H571-I571</f>
        <v>4.24</v>
      </c>
      <c r="K571" s="41" t="n">
        <v>34</v>
      </c>
      <c r="L571" s="42" t="n">
        <f aca="false">J571*K571</f>
        <v>144.16</v>
      </c>
      <c r="M571" s="43" t="n">
        <f aca="false">H571*17.99*(1+'Chart of Accounts'!$E$67)</f>
        <v>87.337852</v>
      </c>
    </row>
    <row r="572" customFormat="false" ht="15" hidden="false" customHeight="false" outlineLevel="0" collapsed="false">
      <c r="B572" s="7" t="s">
        <v>1069</v>
      </c>
      <c r="C572" s="39" t="n">
        <v>45686</v>
      </c>
      <c r="D572" s="7" t="s">
        <v>399</v>
      </c>
      <c r="E572" s="7" t="s">
        <v>154</v>
      </c>
      <c r="F572" s="7" t="s">
        <v>262</v>
      </c>
      <c r="G572" s="7" t="s">
        <v>505</v>
      </c>
      <c r="H572" s="6" t="n">
        <v>3.31</v>
      </c>
      <c r="I572" s="6" t="n">
        <v>0</v>
      </c>
      <c r="J572" s="40" t="n">
        <f aca="false">H572-I572</f>
        <v>3.31</v>
      </c>
      <c r="K572" s="41" t="n">
        <v>26.5</v>
      </c>
      <c r="L572" s="42" t="n">
        <f aca="false">J572*K572</f>
        <v>87.715</v>
      </c>
      <c r="M572" s="43" t="n">
        <f aca="false">H572*16.02*(1+'Chart of Accounts'!$E$67)</f>
        <v>60.714999</v>
      </c>
    </row>
    <row r="573" customFormat="false" ht="15" hidden="false" customHeight="false" outlineLevel="0" collapsed="false">
      <c r="B573" s="7" t="s">
        <v>1070</v>
      </c>
      <c r="C573" s="39" t="n">
        <v>45686</v>
      </c>
      <c r="D573" s="7" t="s">
        <v>401</v>
      </c>
      <c r="E573" s="7" t="s">
        <v>156</v>
      </c>
      <c r="F573" s="7" t="s">
        <v>254</v>
      </c>
      <c r="G573" s="7" t="s">
        <v>505</v>
      </c>
      <c r="H573" s="6" t="n">
        <v>3.84</v>
      </c>
      <c r="I573" s="6" t="n">
        <v>0</v>
      </c>
      <c r="J573" s="40" t="n">
        <f aca="false">H573-I573</f>
        <v>3.84</v>
      </c>
      <c r="K573" s="41" t="n">
        <v>34</v>
      </c>
      <c r="L573" s="42" t="n">
        <f aca="false">J573*K573</f>
        <v>130.56</v>
      </c>
      <c r="M573" s="43" t="n">
        <f aca="false">H573*17.1*(1+'Chart of Accounts'!$E$67)</f>
        <v>75.18528</v>
      </c>
    </row>
    <row r="574" customFormat="false" ht="15" hidden="false" customHeight="false" outlineLevel="0" collapsed="false">
      <c r="B574" s="7" t="s">
        <v>1071</v>
      </c>
      <c r="C574" s="39" t="n">
        <v>45686</v>
      </c>
      <c r="D574" s="7" t="s">
        <v>409</v>
      </c>
      <c r="E574" s="7" t="s">
        <v>154</v>
      </c>
      <c r="F574" s="7" t="s">
        <v>214</v>
      </c>
      <c r="G574" s="7" t="s">
        <v>505</v>
      </c>
      <c r="H574" s="6" t="n">
        <v>3.66</v>
      </c>
      <c r="I574" s="6" t="n">
        <v>0.11</v>
      </c>
      <c r="J574" s="40" t="n">
        <f aca="false">H574-I574</f>
        <v>3.55</v>
      </c>
      <c r="K574" s="41" t="n">
        <v>26.5</v>
      </c>
      <c r="L574" s="42" t="n">
        <f aca="false">J574*K574</f>
        <v>94.075</v>
      </c>
      <c r="M574" s="43" t="n">
        <f aca="false">H574*15.67*(1+'Chart of Accounts'!$E$67)</f>
        <v>65.668269</v>
      </c>
    </row>
    <row r="575" customFormat="false" ht="15" hidden="false" customHeight="false" outlineLevel="0" collapsed="false">
      <c r="B575" s="7" t="s">
        <v>1072</v>
      </c>
      <c r="C575" s="39" t="n">
        <v>45686</v>
      </c>
      <c r="D575" s="7" t="s">
        <v>411</v>
      </c>
      <c r="E575" s="7" t="s">
        <v>154</v>
      </c>
      <c r="F575" s="7" t="s">
        <v>177</v>
      </c>
      <c r="G575" s="7" t="s">
        <v>505</v>
      </c>
      <c r="H575" s="6" t="n">
        <v>4.58</v>
      </c>
      <c r="I575" s="6" t="n">
        <v>0</v>
      </c>
      <c r="J575" s="40" t="n">
        <f aca="false">H575-I575</f>
        <v>4.58</v>
      </c>
      <c r="K575" s="41" t="n">
        <v>26.5</v>
      </c>
      <c r="L575" s="42" t="n">
        <f aca="false">J575*K575</f>
        <v>121.37</v>
      </c>
      <c r="M575" s="43" t="n">
        <f aca="false">H575*14.56*(1+'Chart of Accounts'!$E$67)</f>
        <v>76.354096</v>
      </c>
    </row>
    <row r="576" customFormat="false" ht="15" hidden="false" customHeight="false" outlineLevel="0" collapsed="false">
      <c r="B576" s="7" t="s">
        <v>1073</v>
      </c>
      <c r="C576" s="39" t="n">
        <v>45687</v>
      </c>
      <c r="D576" s="7" t="s">
        <v>288</v>
      </c>
      <c r="E576" s="7" t="s">
        <v>156</v>
      </c>
      <c r="F576" s="7" t="s">
        <v>191</v>
      </c>
      <c r="G576" s="7" t="s">
        <v>505</v>
      </c>
      <c r="H576" s="6" t="n">
        <v>4.11</v>
      </c>
      <c r="I576" s="6" t="n">
        <v>0</v>
      </c>
      <c r="J576" s="40" t="n">
        <f aca="false">H576-I576</f>
        <v>4.11</v>
      </c>
      <c r="K576" s="41" t="n">
        <v>34</v>
      </c>
      <c r="L576" s="42" t="n">
        <f aca="false">J576*K576</f>
        <v>139.74</v>
      </c>
      <c r="M576" s="43" t="n">
        <f aca="false">H576*16.05*(1+'Chart of Accounts'!$E$67)</f>
        <v>75.5304975</v>
      </c>
    </row>
    <row r="577" customFormat="false" ht="15" hidden="false" customHeight="false" outlineLevel="0" collapsed="false">
      <c r="B577" s="7" t="s">
        <v>1074</v>
      </c>
      <c r="C577" s="39" t="n">
        <v>45687</v>
      </c>
      <c r="D577" s="7" t="s">
        <v>297</v>
      </c>
      <c r="E577" s="7" t="s">
        <v>156</v>
      </c>
      <c r="F577" s="7" t="s">
        <v>201</v>
      </c>
      <c r="G577" s="7" t="s">
        <v>505</v>
      </c>
      <c r="H577" s="6" t="n">
        <v>3.21</v>
      </c>
      <c r="I577" s="6" t="n">
        <v>0</v>
      </c>
      <c r="J577" s="40" t="n">
        <f aca="false">H577-I577</f>
        <v>3.21</v>
      </c>
      <c r="K577" s="41" t="n">
        <v>34</v>
      </c>
      <c r="L577" s="42" t="n">
        <f aca="false">J577*K577</f>
        <v>109.14</v>
      </c>
      <c r="M577" s="43" t="n">
        <f aca="false">H577*15.19*(1+'Chart of Accounts'!$E$67)</f>
        <v>55.8300855</v>
      </c>
    </row>
    <row r="578" customFormat="false" ht="15" hidden="false" customHeight="false" outlineLevel="0" collapsed="false">
      <c r="B578" s="7" t="s">
        <v>1075</v>
      </c>
      <c r="C578" s="39" t="n">
        <v>45687</v>
      </c>
      <c r="D578" s="7" t="s">
        <v>311</v>
      </c>
      <c r="E578" s="7" t="s">
        <v>154</v>
      </c>
      <c r="F578" s="7" t="s">
        <v>196</v>
      </c>
      <c r="G578" s="7" t="s">
        <v>505</v>
      </c>
      <c r="H578" s="6" t="n">
        <v>3.29</v>
      </c>
      <c r="I578" s="6" t="n">
        <v>0</v>
      </c>
      <c r="J578" s="40" t="n">
        <f aca="false">H578-I578</f>
        <v>3.29</v>
      </c>
      <c r="K578" s="41" t="n">
        <v>26.5</v>
      </c>
      <c r="L578" s="42" t="n">
        <f aca="false">J578*K578</f>
        <v>87.185</v>
      </c>
      <c r="M578" s="43" t="n">
        <f aca="false">H578*15.05*(1+'Chart of Accounts'!$E$67)</f>
        <v>56.6941025</v>
      </c>
    </row>
    <row r="579" customFormat="false" ht="15" hidden="false" customHeight="false" outlineLevel="0" collapsed="false">
      <c r="B579" s="7" t="s">
        <v>1076</v>
      </c>
      <c r="C579" s="39" t="n">
        <v>45687</v>
      </c>
      <c r="D579" s="7" t="s">
        <v>313</v>
      </c>
      <c r="E579" s="7" t="s">
        <v>156</v>
      </c>
      <c r="F579" s="7" t="s">
        <v>184</v>
      </c>
      <c r="G579" s="7" t="s">
        <v>505</v>
      </c>
      <c r="H579" s="6" t="n">
        <v>4.34</v>
      </c>
      <c r="I579" s="6" t="n">
        <v>0</v>
      </c>
      <c r="J579" s="40" t="n">
        <f aca="false">H579-I579</f>
        <v>4.34</v>
      </c>
      <c r="K579" s="41" t="n">
        <v>34</v>
      </c>
      <c r="L579" s="42" t="n">
        <f aca="false">J579*K579</f>
        <v>147.56</v>
      </c>
      <c r="M579" s="43" t="n">
        <f aca="false">H579*17.34*(1+'Chart of Accounts'!$E$67)</f>
        <v>86.167662</v>
      </c>
    </row>
    <row r="580" customFormat="false" ht="15" hidden="false" customHeight="false" outlineLevel="0" collapsed="false">
      <c r="B580" s="7" t="s">
        <v>1077</v>
      </c>
      <c r="C580" s="39" t="n">
        <v>45687</v>
      </c>
      <c r="D580" s="7" t="s">
        <v>317</v>
      </c>
      <c r="E580" s="7" t="s">
        <v>156</v>
      </c>
      <c r="F580" s="7" t="s">
        <v>207</v>
      </c>
      <c r="G580" s="7" t="s">
        <v>505</v>
      </c>
      <c r="H580" s="6" t="n">
        <v>3.12</v>
      </c>
      <c r="I580" s="6" t="n">
        <v>0</v>
      </c>
      <c r="J580" s="40" t="n">
        <f aca="false">H580-I580</f>
        <v>3.12</v>
      </c>
      <c r="K580" s="41" t="n">
        <v>34</v>
      </c>
      <c r="L580" s="42" t="n">
        <f aca="false">J580*K580</f>
        <v>106.08</v>
      </c>
      <c r="M580" s="43" t="n">
        <f aca="false">H580*16.65*(1+'Chart of Accounts'!$E$67)</f>
        <v>59.48046</v>
      </c>
    </row>
    <row r="581" customFormat="false" ht="15" hidden="false" customHeight="false" outlineLevel="0" collapsed="false">
      <c r="B581" s="7" t="s">
        <v>1078</v>
      </c>
      <c r="C581" s="39" t="n">
        <v>45687</v>
      </c>
      <c r="D581" s="7" t="s">
        <v>321</v>
      </c>
      <c r="E581" s="7" t="s">
        <v>154</v>
      </c>
      <c r="F581" s="7" t="s">
        <v>218</v>
      </c>
      <c r="G581" s="7" t="s">
        <v>505</v>
      </c>
      <c r="H581" s="6" t="n">
        <v>4.34</v>
      </c>
      <c r="I581" s="6" t="n">
        <v>0</v>
      </c>
      <c r="J581" s="40" t="n">
        <f aca="false">H581-I581</f>
        <v>4.34</v>
      </c>
      <c r="K581" s="41" t="n">
        <v>26.5</v>
      </c>
      <c r="L581" s="42" t="n">
        <f aca="false">J581*K581</f>
        <v>115.01</v>
      </c>
      <c r="M581" s="43" t="n">
        <f aca="false">H581*16.19*(1+'Chart of Accounts'!$E$67)</f>
        <v>80.452967</v>
      </c>
    </row>
    <row r="582" customFormat="false" ht="15" hidden="false" customHeight="false" outlineLevel="0" collapsed="false">
      <c r="B582" s="7" t="s">
        <v>1079</v>
      </c>
      <c r="C582" s="39" t="n">
        <v>45687</v>
      </c>
      <c r="D582" s="7" t="s">
        <v>325</v>
      </c>
      <c r="E582" s="7" t="s">
        <v>154</v>
      </c>
      <c r="F582" s="7" t="s">
        <v>212</v>
      </c>
      <c r="G582" s="7" t="s">
        <v>505</v>
      </c>
      <c r="H582" s="6" t="n">
        <v>3.03</v>
      </c>
      <c r="I582" s="6" t="n">
        <v>0</v>
      </c>
      <c r="J582" s="40" t="n">
        <f aca="false">H582-I582</f>
        <v>3.03</v>
      </c>
      <c r="K582" s="41" t="n">
        <v>26.5</v>
      </c>
      <c r="L582" s="42" t="n">
        <f aca="false">J582*K582</f>
        <v>80.295</v>
      </c>
      <c r="M582" s="43" t="n">
        <f aca="false">H582*16.71*(1+'Chart of Accounts'!$E$67)</f>
        <v>57.9728385</v>
      </c>
    </row>
    <row r="583" customFormat="false" ht="15" hidden="false" customHeight="false" outlineLevel="0" collapsed="false">
      <c r="B583" s="7" t="s">
        <v>1080</v>
      </c>
      <c r="C583" s="39" t="n">
        <v>45687</v>
      </c>
      <c r="D583" s="7" t="s">
        <v>331</v>
      </c>
      <c r="E583" s="7" t="s">
        <v>156</v>
      </c>
      <c r="F583" s="7" t="s">
        <v>224</v>
      </c>
      <c r="G583" s="7" t="s">
        <v>505</v>
      </c>
      <c r="H583" s="6" t="n">
        <v>4.07</v>
      </c>
      <c r="I583" s="6" t="n">
        <v>0</v>
      </c>
      <c r="J583" s="40" t="n">
        <f aca="false">H583-I583</f>
        <v>4.07</v>
      </c>
      <c r="K583" s="41" t="n">
        <v>34</v>
      </c>
      <c r="L583" s="42" t="n">
        <f aca="false">J583*K583</f>
        <v>138.38</v>
      </c>
      <c r="M583" s="43" t="n">
        <f aca="false">H583*14.93*(1+'Chart of Accounts'!$E$67)</f>
        <v>69.5760395</v>
      </c>
    </row>
    <row r="584" customFormat="false" ht="15" hidden="false" customHeight="false" outlineLevel="0" collapsed="false">
      <c r="B584" s="7" t="s">
        <v>1081</v>
      </c>
      <c r="C584" s="39" t="n">
        <v>45687</v>
      </c>
      <c r="D584" s="7" t="s">
        <v>337</v>
      </c>
      <c r="E584" s="7" t="s">
        <v>154</v>
      </c>
      <c r="F584" s="7" t="s">
        <v>232</v>
      </c>
      <c r="G584" s="7" t="s">
        <v>505</v>
      </c>
      <c r="H584" s="6" t="n">
        <v>2.94</v>
      </c>
      <c r="I584" s="6" t="n">
        <v>0</v>
      </c>
      <c r="J584" s="40" t="n">
        <f aca="false">H584-I584</f>
        <v>2.94</v>
      </c>
      <c r="K584" s="41" t="n">
        <v>26.5</v>
      </c>
      <c r="L584" s="42" t="n">
        <f aca="false">J584*K584</f>
        <v>77.91</v>
      </c>
      <c r="M584" s="43" t="n">
        <f aca="false">H584*16.17*(1+'Chart of Accounts'!$E$67)</f>
        <v>54.433071</v>
      </c>
    </row>
    <row r="585" customFormat="false" ht="15" hidden="false" customHeight="false" outlineLevel="0" collapsed="false">
      <c r="B585" s="7" t="s">
        <v>1082</v>
      </c>
      <c r="C585" s="39" t="n">
        <v>45687</v>
      </c>
      <c r="D585" s="7" t="s">
        <v>341</v>
      </c>
      <c r="E585" s="7" t="s">
        <v>156</v>
      </c>
      <c r="F585" s="7" t="s">
        <v>222</v>
      </c>
      <c r="G585" s="7" t="s">
        <v>505</v>
      </c>
      <c r="H585" s="6" t="n">
        <v>2.84</v>
      </c>
      <c r="I585" s="6" t="n">
        <v>0</v>
      </c>
      <c r="J585" s="40" t="n">
        <f aca="false">H585-I585</f>
        <v>2.84</v>
      </c>
      <c r="K585" s="41" t="n">
        <v>34</v>
      </c>
      <c r="L585" s="42" t="n">
        <f aca="false">J585*K585</f>
        <v>96.56</v>
      </c>
      <c r="M585" s="43" t="n">
        <f aca="false">H585*17.84*(1+'Chart of Accounts'!$E$67)</f>
        <v>58.012112</v>
      </c>
    </row>
    <row r="586" customFormat="false" ht="15" hidden="false" customHeight="false" outlineLevel="0" collapsed="false">
      <c r="B586" s="7" t="s">
        <v>1083</v>
      </c>
      <c r="C586" s="39" t="n">
        <v>45687</v>
      </c>
      <c r="D586" s="7" t="s">
        <v>343</v>
      </c>
      <c r="E586" s="7" t="s">
        <v>154</v>
      </c>
      <c r="F586" s="7" t="s">
        <v>262</v>
      </c>
      <c r="G586" s="7" t="s">
        <v>505</v>
      </c>
      <c r="H586" s="6" t="n">
        <v>4.32</v>
      </c>
      <c r="I586" s="6" t="n">
        <v>0</v>
      </c>
      <c r="J586" s="40" t="n">
        <f aca="false">H586-I586</f>
        <v>4.32</v>
      </c>
      <c r="K586" s="41" t="n">
        <v>26.5</v>
      </c>
      <c r="L586" s="42" t="n">
        <f aca="false">J586*K586</f>
        <v>114.48</v>
      </c>
      <c r="M586" s="43" t="n">
        <f aca="false">H586*16.02*(1+'Chart of Accounts'!$E$67)</f>
        <v>79.241328</v>
      </c>
    </row>
    <row r="587" customFormat="false" ht="15" hidden="false" customHeight="false" outlineLevel="0" collapsed="false">
      <c r="B587" s="7" t="s">
        <v>1084</v>
      </c>
      <c r="C587" s="39" t="n">
        <v>45687</v>
      </c>
      <c r="D587" s="7" t="s">
        <v>359</v>
      </c>
      <c r="E587" s="7" t="s">
        <v>156</v>
      </c>
      <c r="F587" s="7" t="s">
        <v>212</v>
      </c>
      <c r="G587" s="7" t="s">
        <v>505</v>
      </c>
      <c r="H587" s="6" t="n">
        <v>3.71</v>
      </c>
      <c r="I587" s="6" t="n">
        <v>0</v>
      </c>
      <c r="J587" s="40" t="n">
        <f aca="false">H587-I587</f>
        <v>3.71</v>
      </c>
      <c r="K587" s="41" t="n">
        <v>34</v>
      </c>
      <c r="L587" s="42" t="n">
        <f aca="false">J587*K587</f>
        <v>126.14</v>
      </c>
      <c r="M587" s="43" t="n">
        <f aca="false">H587*16.71*(1+'Chart of Accounts'!$E$67)</f>
        <v>70.9832445</v>
      </c>
    </row>
    <row r="588" customFormat="false" ht="15" hidden="false" customHeight="false" outlineLevel="0" collapsed="false">
      <c r="B588" s="7" t="s">
        <v>1085</v>
      </c>
      <c r="C588" s="39" t="n">
        <v>45687</v>
      </c>
      <c r="D588" s="7" t="s">
        <v>363</v>
      </c>
      <c r="E588" s="7" t="s">
        <v>156</v>
      </c>
      <c r="F588" s="7" t="s">
        <v>246</v>
      </c>
      <c r="G588" s="7" t="s">
        <v>505</v>
      </c>
      <c r="H588" s="6" t="n">
        <v>4</v>
      </c>
      <c r="I588" s="6" t="n">
        <v>0</v>
      </c>
      <c r="J588" s="40" t="n">
        <f aca="false">H588-I588</f>
        <v>4</v>
      </c>
      <c r="K588" s="41" t="n">
        <v>34</v>
      </c>
      <c r="L588" s="42" t="n">
        <f aca="false">J588*K588</f>
        <v>136</v>
      </c>
      <c r="M588" s="43" t="n">
        <f aca="false">H588*16.48*(1+'Chart of Accounts'!$E$67)</f>
        <v>75.4784</v>
      </c>
    </row>
    <row r="589" customFormat="false" ht="15" hidden="false" customHeight="false" outlineLevel="0" collapsed="false">
      <c r="B589" s="7" t="s">
        <v>1086</v>
      </c>
      <c r="C589" s="39" t="n">
        <v>45687</v>
      </c>
      <c r="D589" s="7" t="s">
        <v>375</v>
      </c>
      <c r="E589" s="7" t="s">
        <v>156</v>
      </c>
      <c r="F589" s="7" t="s">
        <v>196</v>
      </c>
      <c r="G589" s="7" t="s">
        <v>505</v>
      </c>
      <c r="H589" s="6" t="n">
        <v>2.96</v>
      </c>
      <c r="I589" s="6" t="n">
        <v>0</v>
      </c>
      <c r="J589" s="40" t="n">
        <f aca="false">H589-I589</f>
        <v>2.96</v>
      </c>
      <c r="K589" s="41" t="n">
        <v>34</v>
      </c>
      <c r="L589" s="42" t="n">
        <f aca="false">J589*K589</f>
        <v>100.64</v>
      </c>
      <c r="M589" s="43" t="n">
        <f aca="false">H589*15.05*(1+'Chart of Accounts'!$E$67)</f>
        <v>51.00746</v>
      </c>
    </row>
    <row r="590" customFormat="false" ht="15" hidden="false" customHeight="false" outlineLevel="0" collapsed="false">
      <c r="B590" s="7" t="s">
        <v>1087</v>
      </c>
      <c r="C590" s="39" t="n">
        <v>45687</v>
      </c>
      <c r="D590" s="7" t="s">
        <v>377</v>
      </c>
      <c r="E590" s="7" t="s">
        <v>154</v>
      </c>
      <c r="F590" s="7" t="s">
        <v>214</v>
      </c>
      <c r="G590" s="7" t="s">
        <v>505</v>
      </c>
      <c r="H590" s="6" t="n">
        <v>4.22</v>
      </c>
      <c r="I590" s="6" t="n">
        <v>0</v>
      </c>
      <c r="J590" s="40" t="n">
        <f aca="false">H590-I590</f>
        <v>4.22</v>
      </c>
      <c r="K590" s="41" t="n">
        <v>26.5</v>
      </c>
      <c r="L590" s="42" t="n">
        <f aca="false">J590*K590</f>
        <v>111.83</v>
      </c>
      <c r="M590" s="43" t="n">
        <f aca="false">H590*15.67*(1+'Chart of Accounts'!$E$67)</f>
        <v>75.715873</v>
      </c>
    </row>
    <row r="591" customFormat="false" ht="15" hidden="false" customHeight="false" outlineLevel="0" collapsed="false">
      <c r="B591" s="7" t="s">
        <v>1088</v>
      </c>
      <c r="C591" s="39" t="n">
        <v>45687</v>
      </c>
      <c r="D591" s="7" t="s">
        <v>389</v>
      </c>
      <c r="E591" s="7" t="s">
        <v>154</v>
      </c>
      <c r="F591" s="7" t="s">
        <v>246</v>
      </c>
      <c r="G591" s="7" t="s">
        <v>505</v>
      </c>
      <c r="H591" s="6" t="n">
        <v>4.22</v>
      </c>
      <c r="I591" s="6" t="n">
        <v>0</v>
      </c>
      <c r="J591" s="40" t="n">
        <f aca="false">H591-I591</f>
        <v>4.22</v>
      </c>
      <c r="K591" s="41" t="n">
        <v>26.5</v>
      </c>
      <c r="L591" s="42" t="n">
        <f aca="false">J591*K591</f>
        <v>111.83</v>
      </c>
      <c r="M591" s="43" t="n">
        <f aca="false">H591*16.48*(1+'Chart of Accounts'!$E$67)</f>
        <v>79.629712</v>
      </c>
    </row>
    <row r="592" customFormat="false" ht="15" hidden="false" customHeight="false" outlineLevel="0" collapsed="false">
      <c r="B592" s="7" t="s">
        <v>1089</v>
      </c>
      <c r="C592" s="39" t="n">
        <v>45687</v>
      </c>
      <c r="D592" s="7" t="s">
        <v>391</v>
      </c>
      <c r="E592" s="7" t="s">
        <v>156</v>
      </c>
      <c r="F592" s="7" t="s">
        <v>222</v>
      </c>
      <c r="G592" s="7" t="s">
        <v>505</v>
      </c>
      <c r="H592" s="6" t="n">
        <v>4.39</v>
      </c>
      <c r="I592" s="6" t="n">
        <v>0</v>
      </c>
      <c r="J592" s="40" t="n">
        <f aca="false">H592-I592</f>
        <v>4.39</v>
      </c>
      <c r="K592" s="41" t="n">
        <v>34</v>
      </c>
      <c r="L592" s="42" t="n">
        <f aca="false">J592*K592</f>
        <v>149.26</v>
      </c>
      <c r="M592" s="43" t="n">
        <f aca="false">H592*17.84*(1+'Chart of Accounts'!$E$67)</f>
        <v>89.673652</v>
      </c>
    </row>
    <row r="593" customFormat="false" ht="15" hidden="false" customHeight="false" outlineLevel="0" collapsed="false">
      <c r="B593" s="7" t="s">
        <v>1090</v>
      </c>
      <c r="C593" s="39" t="n">
        <v>45687</v>
      </c>
      <c r="D593" s="7" t="s">
        <v>395</v>
      </c>
      <c r="E593" s="7" t="s">
        <v>156</v>
      </c>
      <c r="F593" s="7" t="s">
        <v>242</v>
      </c>
      <c r="G593" s="7" t="s">
        <v>505</v>
      </c>
      <c r="H593" s="6" t="n">
        <v>4.35</v>
      </c>
      <c r="I593" s="6" t="n">
        <v>0</v>
      </c>
      <c r="J593" s="40" t="n">
        <f aca="false">H593-I593</f>
        <v>4.35</v>
      </c>
      <c r="K593" s="41" t="n">
        <v>34</v>
      </c>
      <c r="L593" s="42" t="n">
        <f aca="false">J593*K593</f>
        <v>147.9</v>
      </c>
      <c r="M593" s="43" t="n">
        <f aca="false">H593*17.99*(1+'Chart of Accounts'!$E$67)</f>
        <v>89.6036925</v>
      </c>
    </row>
    <row r="594" customFormat="false" ht="15" hidden="false" customHeight="false" outlineLevel="0" collapsed="false">
      <c r="B594" s="7" t="s">
        <v>1091</v>
      </c>
      <c r="C594" s="39" t="n">
        <v>45687</v>
      </c>
      <c r="D594" s="7" t="s">
        <v>401</v>
      </c>
      <c r="E594" s="7" t="s">
        <v>156</v>
      </c>
      <c r="F594" s="7" t="s">
        <v>254</v>
      </c>
      <c r="G594" s="7" t="s">
        <v>505</v>
      </c>
      <c r="H594" s="6" t="n">
        <v>4.13</v>
      </c>
      <c r="I594" s="6" t="n">
        <v>0</v>
      </c>
      <c r="J594" s="40" t="n">
        <f aca="false">H594-I594</f>
        <v>4.13</v>
      </c>
      <c r="K594" s="41" t="n">
        <v>34</v>
      </c>
      <c r="L594" s="42" t="n">
        <f aca="false">J594*K594</f>
        <v>140.42</v>
      </c>
      <c r="M594" s="43" t="n">
        <f aca="false">H594*17.1*(1+'Chart of Accounts'!$E$67)</f>
        <v>80.863335</v>
      </c>
    </row>
    <row r="595" customFormat="false" ht="15" hidden="false" customHeight="false" outlineLevel="0" collapsed="false">
      <c r="B595" s="7" t="s">
        <v>1092</v>
      </c>
      <c r="C595" s="39" t="n">
        <v>45688</v>
      </c>
      <c r="D595" s="7" t="s">
        <v>280</v>
      </c>
      <c r="E595" s="7" t="s">
        <v>157</v>
      </c>
      <c r="F595" s="7" t="s">
        <v>187</v>
      </c>
      <c r="G595" s="7" t="s">
        <v>502</v>
      </c>
      <c r="H595" s="6" t="n">
        <v>1.06</v>
      </c>
      <c r="I595" s="6" t="n">
        <v>0.053</v>
      </c>
      <c r="J595" s="40" t="n">
        <f aca="false">H595-I595</f>
        <v>1.007</v>
      </c>
      <c r="K595" s="41" t="n">
        <v>165</v>
      </c>
      <c r="L595" s="42" t="n">
        <f aca="false">J595*K595</f>
        <v>166.155</v>
      </c>
      <c r="M595" s="43" t="n">
        <f aca="false">H595*66.48*(1+'Chart of Accounts'!$E$67)</f>
        <v>80.686776</v>
      </c>
    </row>
    <row r="596" customFormat="false" ht="15" hidden="false" customHeight="false" outlineLevel="0" collapsed="false">
      <c r="B596" s="7" t="s">
        <v>1093</v>
      </c>
      <c r="C596" s="39" t="n">
        <v>45688</v>
      </c>
      <c r="D596" s="7" t="s">
        <v>288</v>
      </c>
      <c r="E596" s="7" t="s">
        <v>156</v>
      </c>
      <c r="F596" s="7" t="s">
        <v>191</v>
      </c>
      <c r="G596" s="7" t="s">
        <v>505</v>
      </c>
      <c r="H596" s="6" t="n">
        <v>3.72</v>
      </c>
      <c r="I596" s="6" t="n">
        <v>0</v>
      </c>
      <c r="J596" s="40" t="n">
        <f aca="false">H596-I596</f>
        <v>3.72</v>
      </c>
      <c r="K596" s="41" t="n">
        <v>34</v>
      </c>
      <c r="L596" s="42" t="n">
        <f aca="false">J596*K596</f>
        <v>126.48</v>
      </c>
      <c r="M596" s="43" t="n">
        <f aca="false">H596*16.05*(1+'Chart of Accounts'!$E$67)</f>
        <v>68.36337</v>
      </c>
    </row>
    <row r="597" customFormat="false" ht="15" hidden="false" customHeight="false" outlineLevel="0" collapsed="false">
      <c r="B597" s="7" t="s">
        <v>1094</v>
      </c>
      <c r="C597" s="39" t="n">
        <v>45688</v>
      </c>
      <c r="D597" s="7" t="s">
        <v>291</v>
      </c>
      <c r="E597" s="7" t="s">
        <v>154</v>
      </c>
      <c r="F597" s="7" t="s">
        <v>194</v>
      </c>
      <c r="G597" s="7" t="s">
        <v>505</v>
      </c>
      <c r="H597" s="6" t="n">
        <v>4.89</v>
      </c>
      <c r="I597" s="6" t="n">
        <v>0.147</v>
      </c>
      <c r="J597" s="40" t="n">
        <f aca="false">H597-I597</f>
        <v>4.743</v>
      </c>
      <c r="K597" s="41" t="n">
        <v>26.5</v>
      </c>
      <c r="L597" s="42" t="n">
        <f aca="false">J597*K597</f>
        <v>125.6895</v>
      </c>
      <c r="M597" s="43" t="n">
        <f aca="false">H597*16*(1+'Chart of Accounts'!$E$67)</f>
        <v>89.5848</v>
      </c>
    </row>
    <row r="598" customFormat="false" ht="15" hidden="false" customHeight="false" outlineLevel="0" collapsed="false">
      <c r="B598" s="7" t="s">
        <v>1095</v>
      </c>
      <c r="C598" s="39" t="n">
        <v>45688</v>
      </c>
      <c r="D598" s="7" t="s">
        <v>301</v>
      </c>
      <c r="E598" s="7" t="s">
        <v>157</v>
      </c>
      <c r="F598" s="7" t="s">
        <v>209</v>
      </c>
      <c r="G598" s="7" t="s">
        <v>502</v>
      </c>
      <c r="H598" s="6" t="n">
        <v>0.9</v>
      </c>
      <c r="I598" s="6" t="n">
        <v>0</v>
      </c>
      <c r="J598" s="40" t="n">
        <f aca="false">H598-I598</f>
        <v>0.9</v>
      </c>
      <c r="K598" s="41" t="n">
        <v>165</v>
      </c>
      <c r="L598" s="42" t="n">
        <f aca="false">J598*K598</f>
        <v>148.5</v>
      </c>
      <c r="M598" s="43" t="n">
        <f aca="false">H598*73.58*(1+'Chart of Accounts'!$E$67)</f>
        <v>75.82419</v>
      </c>
    </row>
    <row r="599" customFormat="false" ht="15" hidden="false" customHeight="false" outlineLevel="0" collapsed="false">
      <c r="B599" s="7" t="s">
        <v>1096</v>
      </c>
      <c r="C599" s="39" t="n">
        <v>45688</v>
      </c>
      <c r="D599" s="7" t="s">
        <v>305</v>
      </c>
      <c r="E599" s="7" t="s">
        <v>154</v>
      </c>
      <c r="F599" s="7" t="s">
        <v>205</v>
      </c>
      <c r="G599" s="7" t="s">
        <v>505</v>
      </c>
      <c r="H599" s="6" t="n">
        <v>3.82</v>
      </c>
      <c r="I599" s="6" t="n">
        <v>0</v>
      </c>
      <c r="J599" s="40" t="n">
        <f aca="false">H599-I599</f>
        <v>3.82</v>
      </c>
      <c r="K599" s="41" t="n">
        <v>26.5</v>
      </c>
      <c r="L599" s="42" t="n">
        <f aca="false">J599*K599</f>
        <v>101.23</v>
      </c>
      <c r="M599" s="43" t="n">
        <f aca="false">H599*16.36*(1+'Chart of Accounts'!$E$67)</f>
        <v>71.557004</v>
      </c>
    </row>
    <row r="600" customFormat="false" ht="15" hidden="false" customHeight="false" outlineLevel="0" collapsed="false">
      <c r="B600" s="7" t="s">
        <v>1097</v>
      </c>
      <c r="C600" s="39" t="n">
        <v>45688</v>
      </c>
      <c r="D600" s="7" t="s">
        <v>309</v>
      </c>
      <c r="E600" s="7" t="s">
        <v>159</v>
      </c>
      <c r="F600" s="7" t="s">
        <v>252</v>
      </c>
      <c r="G600" s="7" t="s">
        <v>502</v>
      </c>
      <c r="H600" s="6" t="n">
        <v>0.99</v>
      </c>
      <c r="I600" s="6" t="n">
        <v>0</v>
      </c>
      <c r="J600" s="40" t="n">
        <f aca="false">H600-I600</f>
        <v>0.99</v>
      </c>
      <c r="K600" s="41" t="n">
        <v>135</v>
      </c>
      <c r="L600" s="42" t="n">
        <f aca="false">J600*K600</f>
        <v>133.65</v>
      </c>
      <c r="M600" s="43" t="n">
        <f aca="false">H600*57.54*(1+'Chart of Accounts'!$E$67)</f>
        <v>65.224467</v>
      </c>
    </row>
    <row r="601" customFormat="false" ht="15" hidden="false" customHeight="false" outlineLevel="0" collapsed="false">
      <c r="B601" s="7" t="s">
        <v>1098</v>
      </c>
      <c r="C601" s="39" t="n">
        <v>45688</v>
      </c>
      <c r="D601" s="7" t="s">
        <v>313</v>
      </c>
      <c r="E601" s="7" t="s">
        <v>156</v>
      </c>
      <c r="F601" s="7" t="s">
        <v>184</v>
      </c>
      <c r="G601" s="7" t="s">
        <v>505</v>
      </c>
      <c r="H601" s="6" t="n">
        <v>3.62</v>
      </c>
      <c r="I601" s="6" t="n">
        <v>0</v>
      </c>
      <c r="J601" s="40" t="n">
        <f aca="false">H601-I601</f>
        <v>3.62</v>
      </c>
      <c r="K601" s="41" t="n">
        <v>34</v>
      </c>
      <c r="L601" s="42" t="n">
        <f aca="false">J601*K601</f>
        <v>123.08</v>
      </c>
      <c r="M601" s="43" t="n">
        <f aca="false">H601*17.34*(1+'Chart of Accounts'!$E$67)</f>
        <v>71.872566</v>
      </c>
    </row>
    <row r="602" customFormat="false" ht="15" hidden="false" customHeight="false" outlineLevel="0" collapsed="false">
      <c r="B602" s="7" t="s">
        <v>1099</v>
      </c>
      <c r="C602" s="39" t="n">
        <v>45688</v>
      </c>
      <c r="D602" s="7" t="s">
        <v>319</v>
      </c>
      <c r="E602" s="7" t="s">
        <v>157</v>
      </c>
      <c r="F602" s="7" t="s">
        <v>234</v>
      </c>
      <c r="G602" s="7" t="s">
        <v>502</v>
      </c>
      <c r="H602" s="6" t="n">
        <v>1.02</v>
      </c>
      <c r="I602" s="6" t="n">
        <v>0</v>
      </c>
      <c r="J602" s="40" t="n">
        <f aca="false">H602-I602</f>
        <v>1.02</v>
      </c>
      <c r="K602" s="41" t="n">
        <v>165</v>
      </c>
      <c r="L602" s="42" t="n">
        <f aca="false">J602*K602</f>
        <v>168.3</v>
      </c>
      <c r="M602" s="43" t="n">
        <f aca="false">H602*89.53*(1+'Chart of Accounts'!$E$67)</f>
        <v>104.562087</v>
      </c>
    </row>
    <row r="603" customFormat="false" ht="15" hidden="false" customHeight="false" outlineLevel="0" collapsed="false">
      <c r="B603" s="7" t="s">
        <v>1100</v>
      </c>
      <c r="C603" s="39" t="n">
        <v>45688</v>
      </c>
      <c r="D603" s="7" t="s">
        <v>321</v>
      </c>
      <c r="E603" s="7" t="s">
        <v>154</v>
      </c>
      <c r="F603" s="7" t="s">
        <v>218</v>
      </c>
      <c r="G603" s="7" t="s">
        <v>505</v>
      </c>
      <c r="H603" s="6" t="n">
        <v>3.83</v>
      </c>
      <c r="I603" s="6" t="n">
        <v>0.115</v>
      </c>
      <c r="J603" s="40" t="n">
        <f aca="false">H603-I603</f>
        <v>3.715</v>
      </c>
      <c r="K603" s="41" t="n">
        <v>26.5</v>
      </c>
      <c r="L603" s="42" t="n">
        <f aca="false">J603*K603</f>
        <v>98.4475</v>
      </c>
      <c r="M603" s="43" t="n">
        <f aca="false">H603*16.19*(1+'Chart of Accounts'!$E$67)</f>
        <v>70.9988165</v>
      </c>
    </row>
    <row r="604" customFormat="false" ht="15" hidden="false" customHeight="false" outlineLevel="0" collapsed="false">
      <c r="B604" s="7" t="s">
        <v>1101</v>
      </c>
      <c r="C604" s="39" t="n">
        <v>45688</v>
      </c>
      <c r="D604" s="7" t="s">
        <v>323</v>
      </c>
      <c r="E604" s="7" t="s">
        <v>159</v>
      </c>
      <c r="F604" s="7" t="s">
        <v>266</v>
      </c>
      <c r="G604" s="7" t="s">
        <v>502</v>
      </c>
      <c r="H604" s="6" t="n">
        <v>1.08</v>
      </c>
      <c r="I604" s="6" t="n">
        <v>0</v>
      </c>
      <c r="J604" s="40" t="n">
        <f aca="false">H604-I604</f>
        <v>1.08</v>
      </c>
      <c r="K604" s="41" t="n">
        <v>135</v>
      </c>
      <c r="L604" s="42" t="n">
        <f aca="false">J604*K604</f>
        <v>145.8</v>
      </c>
      <c r="M604" s="43" t="n">
        <f aca="false">H604*75.18*(1+'Chart of Accounts'!$E$67)</f>
        <v>92.967588</v>
      </c>
    </row>
    <row r="605" customFormat="false" ht="15" hidden="false" customHeight="false" outlineLevel="0" collapsed="false">
      <c r="B605" s="7" t="s">
        <v>1102</v>
      </c>
      <c r="C605" s="39" t="n">
        <v>45688</v>
      </c>
      <c r="D605" s="7" t="s">
        <v>327</v>
      </c>
      <c r="E605" s="7" t="s">
        <v>157</v>
      </c>
      <c r="F605" s="7" t="s">
        <v>228</v>
      </c>
      <c r="G605" s="7" t="s">
        <v>502</v>
      </c>
      <c r="H605" s="6" t="n">
        <v>1.01</v>
      </c>
      <c r="I605" s="6" t="n">
        <v>0</v>
      </c>
      <c r="J605" s="40" t="n">
        <f aca="false">H605-I605</f>
        <v>1.01</v>
      </c>
      <c r="K605" s="41" t="n">
        <v>165</v>
      </c>
      <c r="L605" s="42" t="n">
        <f aca="false">J605*K605</f>
        <v>166.65</v>
      </c>
      <c r="M605" s="43" t="n">
        <f aca="false">H605*51.07*(1+'Chart of Accounts'!$E$67)</f>
        <v>59.0599015</v>
      </c>
    </row>
    <row r="606" customFormat="false" ht="15" hidden="false" customHeight="false" outlineLevel="0" collapsed="false">
      <c r="B606" s="7" t="s">
        <v>1103</v>
      </c>
      <c r="C606" s="39" t="n">
        <v>45688</v>
      </c>
      <c r="D606" s="7" t="s">
        <v>329</v>
      </c>
      <c r="E606" s="7" t="s">
        <v>156</v>
      </c>
      <c r="F606" s="7" t="s">
        <v>220</v>
      </c>
      <c r="G606" s="7" t="s">
        <v>505</v>
      </c>
      <c r="H606" s="6" t="n">
        <v>3.71</v>
      </c>
      <c r="I606" s="6" t="n">
        <v>0</v>
      </c>
      <c r="J606" s="40" t="n">
        <f aca="false">H606-I606</f>
        <v>3.71</v>
      </c>
      <c r="K606" s="41" t="n">
        <v>34</v>
      </c>
      <c r="L606" s="42" t="n">
        <f aca="false">J606*K606</f>
        <v>126.14</v>
      </c>
      <c r="M606" s="43" t="n">
        <f aca="false">H606*16.43*(1+'Chart of Accounts'!$E$67)</f>
        <v>69.7938185</v>
      </c>
    </row>
    <row r="607" customFormat="false" ht="15" hidden="false" customHeight="false" outlineLevel="0" collapsed="false">
      <c r="B607" s="7" t="s">
        <v>1104</v>
      </c>
      <c r="C607" s="39" t="n">
        <v>45688</v>
      </c>
      <c r="D607" s="7" t="s">
        <v>335</v>
      </c>
      <c r="E607" s="7" t="s">
        <v>154</v>
      </c>
      <c r="F607" s="7" t="s">
        <v>177</v>
      </c>
      <c r="G607" s="7" t="s">
        <v>505</v>
      </c>
      <c r="H607" s="6" t="n">
        <v>3.65</v>
      </c>
      <c r="I607" s="6" t="n">
        <v>0</v>
      </c>
      <c r="J607" s="40" t="n">
        <f aca="false">H607-I607</f>
        <v>3.65</v>
      </c>
      <c r="K607" s="41" t="n">
        <v>26.5</v>
      </c>
      <c r="L607" s="42" t="n">
        <f aca="false">J607*K607</f>
        <v>96.725</v>
      </c>
      <c r="M607" s="43" t="n">
        <f aca="false">H607*14.56*(1+'Chart of Accounts'!$E$67)</f>
        <v>60.84988</v>
      </c>
    </row>
    <row r="608" customFormat="false" ht="15" hidden="false" customHeight="false" outlineLevel="0" collapsed="false">
      <c r="B608" s="7" t="s">
        <v>1105</v>
      </c>
      <c r="C608" s="39" t="n">
        <v>45688</v>
      </c>
      <c r="D608" s="7" t="s">
        <v>339</v>
      </c>
      <c r="E608" s="7" t="s">
        <v>154</v>
      </c>
      <c r="F608" s="7" t="s">
        <v>242</v>
      </c>
      <c r="G608" s="7" t="s">
        <v>505</v>
      </c>
      <c r="H608" s="6" t="n">
        <v>3.32</v>
      </c>
      <c r="I608" s="6" t="n">
        <v>0</v>
      </c>
      <c r="J608" s="40" t="n">
        <f aca="false">H608-I608</f>
        <v>3.32</v>
      </c>
      <c r="K608" s="41" t="n">
        <v>26.5</v>
      </c>
      <c r="L608" s="42" t="n">
        <f aca="false">J608*K608</f>
        <v>87.98</v>
      </c>
      <c r="M608" s="43" t="n">
        <f aca="false">H608*17.99*(1+'Chart of Accounts'!$E$67)</f>
        <v>68.387186</v>
      </c>
    </row>
    <row r="609" customFormat="false" ht="15" hidden="false" customHeight="false" outlineLevel="0" collapsed="false">
      <c r="B609" s="7" t="s">
        <v>1106</v>
      </c>
      <c r="C609" s="39" t="n">
        <v>45688</v>
      </c>
      <c r="D609" s="7" t="s">
        <v>353</v>
      </c>
      <c r="E609" s="7" t="s">
        <v>154</v>
      </c>
      <c r="F609" s="7" t="s">
        <v>254</v>
      </c>
      <c r="G609" s="7" t="s">
        <v>505</v>
      </c>
      <c r="H609" s="6" t="n">
        <v>3.16</v>
      </c>
      <c r="I609" s="6" t="n">
        <v>0</v>
      </c>
      <c r="J609" s="40" t="n">
        <f aca="false">H609-I609</f>
        <v>3.16</v>
      </c>
      <c r="K609" s="41" t="n">
        <v>26.5</v>
      </c>
      <c r="L609" s="42" t="n">
        <f aca="false">J609*K609</f>
        <v>83.74</v>
      </c>
      <c r="M609" s="43" t="n">
        <f aca="false">H609*17.1*(1+'Chart of Accounts'!$E$67)</f>
        <v>61.87122</v>
      </c>
    </row>
    <row r="610" customFormat="false" ht="15" hidden="false" customHeight="false" outlineLevel="0" collapsed="false">
      <c r="B610" s="7" t="s">
        <v>1107</v>
      </c>
      <c r="C610" s="39" t="n">
        <v>45688</v>
      </c>
      <c r="D610" s="7" t="s">
        <v>355</v>
      </c>
      <c r="E610" s="7" t="s">
        <v>154</v>
      </c>
      <c r="F610" s="7" t="s">
        <v>201</v>
      </c>
      <c r="G610" s="7" t="s">
        <v>505</v>
      </c>
      <c r="H610" s="6" t="n">
        <v>3.13</v>
      </c>
      <c r="I610" s="6" t="n">
        <v>0</v>
      </c>
      <c r="J610" s="40" t="n">
        <f aca="false">H610-I610</f>
        <v>3.13</v>
      </c>
      <c r="K610" s="41" t="n">
        <v>26.5</v>
      </c>
      <c r="L610" s="42" t="n">
        <f aca="false">J610*K610</f>
        <v>82.945</v>
      </c>
      <c r="M610" s="43" t="n">
        <f aca="false">H610*15.19*(1+'Chart of Accounts'!$E$67)</f>
        <v>54.4386815</v>
      </c>
    </row>
    <row r="611" customFormat="false" ht="15" hidden="false" customHeight="false" outlineLevel="0" collapsed="false">
      <c r="B611" s="7" t="s">
        <v>1108</v>
      </c>
      <c r="C611" s="39" t="n">
        <v>45688</v>
      </c>
      <c r="D611" s="7" t="s">
        <v>357</v>
      </c>
      <c r="E611" s="7" t="s">
        <v>154</v>
      </c>
      <c r="F611" s="7" t="s">
        <v>207</v>
      </c>
      <c r="G611" s="7" t="s">
        <v>505</v>
      </c>
      <c r="H611" s="6" t="n">
        <v>3.63</v>
      </c>
      <c r="I611" s="6" t="n">
        <v>0</v>
      </c>
      <c r="J611" s="40" t="n">
        <f aca="false">H611-I611</f>
        <v>3.63</v>
      </c>
      <c r="K611" s="41" t="n">
        <v>26.5</v>
      </c>
      <c r="L611" s="42" t="n">
        <f aca="false">J611*K611</f>
        <v>96.195</v>
      </c>
      <c r="M611" s="43" t="n">
        <f aca="false">H611*16.65*(1+'Chart of Accounts'!$E$67)</f>
        <v>69.2032275</v>
      </c>
    </row>
    <row r="612" customFormat="false" ht="15" hidden="false" customHeight="false" outlineLevel="0" collapsed="false">
      <c r="B612" s="7" t="s">
        <v>1109</v>
      </c>
      <c r="C612" s="39" t="n">
        <v>45688</v>
      </c>
      <c r="D612" s="7" t="s">
        <v>359</v>
      </c>
      <c r="E612" s="7" t="s">
        <v>156</v>
      </c>
      <c r="F612" s="7" t="s">
        <v>212</v>
      </c>
      <c r="G612" s="7" t="s">
        <v>505</v>
      </c>
      <c r="H612" s="6" t="n">
        <v>4.24</v>
      </c>
      <c r="I612" s="6" t="n">
        <v>0</v>
      </c>
      <c r="J612" s="40" t="n">
        <f aca="false">H612-I612</f>
        <v>4.24</v>
      </c>
      <c r="K612" s="41" t="n">
        <v>34</v>
      </c>
      <c r="L612" s="42" t="n">
        <f aca="false">J612*K612</f>
        <v>144.16</v>
      </c>
      <c r="M612" s="43" t="n">
        <f aca="false">H612*16.71*(1+'Chart of Accounts'!$E$67)</f>
        <v>81.123708</v>
      </c>
    </row>
    <row r="613" customFormat="false" ht="15" hidden="false" customHeight="false" outlineLevel="0" collapsed="false">
      <c r="B613" s="7" t="s">
        <v>1110</v>
      </c>
      <c r="C613" s="39" t="n">
        <v>45688</v>
      </c>
      <c r="D613" s="7" t="s">
        <v>361</v>
      </c>
      <c r="E613" s="7" t="s">
        <v>157</v>
      </c>
      <c r="F613" s="7" t="s">
        <v>209</v>
      </c>
      <c r="G613" s="7" t="s">
        <v>502</v>
      </c>
      <c r="H613" s="6" t="n">
        <v>1.06</v>
      </c>
      <c r="I613" s="6" t="n">
        <v>0</v>
      </c>
      <c r="J613" s="40" t="n">
        <f aca="false">H613-I613</f>
        <v>1.06</v>
      </c>
      <c r="K613" s="41" t="n">
        <v>165</v>
      </c>
      <c r="L613" s="42" t="n">
        <f aca="false">J613*K613</f>
        <v>174.9</v>
      </c>
      <c r="M613" s="43" t="n">
        <f aca="false">H613*73.58*(1+'Chart of Accounts'!$E$67)</f>
        <v>89.304046</v>
      </c>
    </row>
    <row r="614" customFormat="false" ht="15" hidden="false" customHeight="false" outlineLevel="0" collapsed="false">
      <c r="B614" s="7" t="s">
        <v>1111</v>
      </c>
      <c r="C614" s="39" t="n">
        <v>45688</v>
      </c>
      <c r="D614" s="7" t="s">
        <v>371</v>
      </c>
      <c r="E614" s="7" t="s">
        <v>154</v>
      </c>
      <c r="F614" s="7" t="s">
        <v>232</v>
      </c>
      <c r="G614" s="7" t="s">
        <v>505</v>
      </c>
      <c r="H614" s="6" t="n">
        <v>4.33</v>
      </c>
      <c r="I614" s="6" t="n">
        <v>0</v>
      </c>
      <c r="J614" s="40" t="n">
        <f aca="false">H614-I614</f>
        <v>4.33</v>
      </c>
      <c r="K614" s="41" t="n">
        <v>26.5</v>
      </c>
      <c r="L614" s="42" t="n">
        <f aca="false">J614*K614</f>
        <v>114.745</v>
      </c>
      <c r="M614" s="43" t="n">
        <f aca="false">H614*16.17*(1+'Chart of Accounts'!$E$67)</f>
        <v>80.1684345</v>
      </c>
    </row>
    <row r="615" customFormat="false" ht="15" hidden="false" customHeight="false" outlineLevel="0" collapsed="false">
      <c r="B615" s="7" t="s">
        <v>1112</v>
      </c>
      <c r="C615" s="39" t="n">
        <v>45688</v>
      </c>
      <c r="D615" s="7" t="s">
        <v>379</v>
      </c>
      <c r="E615" s="7" t="s">
        <v>156</v>
      </c>
      <c r="F615" s="7" t="s">
        <v>224</v>
      </c>
      <c r="G615" s="7" t="s">
        <v>505</v>
      </c>
      <c r="H615" s="6" t="n">
        <v>4.39</v>
      </c>
      <c r="I615" s="6" t="n">
        <v>0</v>
      </c>
      <c r="J615" s="40" t="n">
        <f aca="false">H615-I615</f>
        <v>4.39</v>
      </c>
      <c r="K615" s="41" t="n">
        <v>34</v>
      </c>
      <c r="L615" s="42" t="n">
        <f aca="false">J615*K615</f>
        <v>149.26</v>
      </c>
      <c r="M615" s="43" t="n">
        <f aca="false">H615*14.93*(1+'Chart of Accounts'!$E$67)</f>
        <v>75.0463915</v>
      </c>
    </row>
    <row r="616" customFormat="false" ht="15" hidden="false" customHeight="false" outlineLevel="0" collapsed="false">
      <c r="B616" s="7" t="s">
        <v>1113</v>
      </c>
      <c r="C616" s="39" t="n">
        <v>45688</v>
      </c>
      <c r="D616" s="7" t="s">
        <v>381</v>
      </c>
      <c r="E616" s="7" t="s">
        <v>157</v>
      </c>
      <c r="F616" s="7" t="s">
        <v>234</v>
      </c>
      <c r="G616" s="7" t="s">
        <v>502</v>
      </c>
      <c r="H616" s="6" t="n">
        <v>1.09</v>
      </c>
      <c r="I616" s="6" t="n">
        <v>0</v>
      </c>
      <c r="J616" s="40" t="n">
        <f aca="false">H616-I616</f>
        <v>1.09</v>
      </c>
      <c r="K616" s="41" t="n">
        <v>165</v>
      </c>
      <c r="L616" s="42" t="n">
        <f aca="false">J616*K616</f>
        <v>179.85</v>
      </c>
      <c r="M616" s="43" t="n">
        <f aca="false">H616*89.53*(1+'Chart of Accounts'!$E$67)</f>
        <v>111.7379165</v>
      </c>
    </row>
    <row r="617" customFormat="false" ht="15" hidden="false" customHeight="false" outlineLevel="0" collapsed="false">
      <c r="B617" s="7" t="s">
        <v>1114</v>
      </c>
      <c r="C617" s="39" t="n">
        <v>45688</v>
      </c>
      <c r="D617" s="7" t="s">
        <v>389</v>
      </c>
      <c r="E617" s="7" t="s">
        <v>154</v>
      </c>
      <c r="F617" s="7" t="s">
        <v>246</v>
      </c>
      <c r="G617" s="7" t="s">
        <v>505</v>
      </c>
      <c r="H617" s="6" t="n">
        <v>3.99</v>
      </c>
      <c r="I617" s="6" t="n">
        <v>0</v>
      </c>
      <c r="J617" s="40" t="n">
        <f aca="false">H617-I617</f>
        <v>3.99</v>
      </c>
      <c r="K617" s="41" t="n">
        <v>26.5</v>
      </c>
      <c r="L617" s="42" t="n">
        <f aca="false">J617*K617</f>
        <v>105.735</v>
      </c>
      <c r="M617" s="43" t="n">
        <f aca="false">H617*16.48*(1+'Chart of Accounts'!$E$67)</f>
        <v>75.289704</v>
      </c>
    </row>
    <row r="618" customFormat="false" ht="15" hidden="false" customHeight="false" outlineLevel="0" collapsed="false">
      <c r="B618" s="7" t="s">
        <v>1115</v>
      </c>
      <c r="C618" s="39" t="n">
        <v>45688</v>
      </c>
      <c r="D618" s="7" t="s">
        <v>391</v>
      </c>
      <c r="E618" s="7" t="s">
        <v>156</v>
      </c>
      <c r="F618" s="7" t="s">
        <v>222</v>
      </c>
      <c r="G618" s="7" t="s">
        <v>505</v>
      </c>
      <c r="H618" s="6" t="n">
        <v>3.9</v>
      </c>
      <c r="I618" s="6" t="n">
        <v>0</v>
      </c>
      <c r="J618" s="40" t="n">
        <f aca="false">H618-I618</f>
        <v>3.9</v>
      </c>
      <c r="K618" s="41" t="n">
        <v>34</v>
      </c>
      <c r="L618" s="42" t="n">
        <f aca="false">J618*K618</f>
        <v>132.6</v>
      </c>
      <c r="M618" s="43" t="n">
        <f aca="false">H618*17.84*(1+'Chart of Accounts'!$E$67)</f>
        <v>79.66452</v>
      </c>
    </row>
    <row r="619" customFormat="false" ht="15" hidden="false" customHeight="false" outlineLevel="0" collapsed="false">
      <c r="B619" s="7" t="s">
        <v>1116</v>
      </c>
      <c r="C619" s="39" t="n">
        <v>45688</v>
      </c>
      <c r="D619" s="7" t="s">
        <v>395</v>
      </c>
      <c r="E619" s="7" t="s">
        <v>156</v>
      </c>
      <c r="F619" s="7" t="s">
        <v>242</v>
      </c>
      <c r="G619" s="7" t="s">
        <v>505</v>
      </c>
      <c r="H619" s="6" t="n">
        <v>3.69</v>
      </c>
      <c r="I619" s="6" t="n">
        <v>0</v>
      </c>
      <c r="J619" s="40" t="n">
        <f aca="false">H619-I619</f>
        <v>3.69</v>
      </c>
      <c r="K619" s="41" t="n">
        <v>34</v>
      </c>
      <c r="L619" s="42" t="n">
        <f aca="false">J619*K619</f>
        <v>125.46</v>
      </c>
      <c r="M619" s="43" t="n">
        <f aca="false">H619*17.99*(1+'Chart of Accounts'!$E$67)</f>
        <v>76.0086495</v>
      </c>
    </row>
    <row r="620" customFormat="false" ht="15" hidden="false" customHeight="false" outlineLevel="0" collapsed="false">
      <c r="B620" s="7" t="s">
        <v>1117</v>
      </c>
      <c r="C620" s="39" t="n">
        <v>45688</v>
      </c>
      <c r="D620" s="7" t="s">
        <v>399</v>
      </c>
      <c r="E620" s="7" t="s">
        <v>154</v>
      </c>
      <c r="F620" s="7" t="s">
        <v>262</v>
      </c>
      <c r="G620" s="7" t="s">
        <v>505</v>
      </c>
      <c r="H620" s="6" t="n">
        <v>3.36</v>
      </c>
      <c r="I620" s="6" t="n">
        <v>0</v>
      </c>
      <c r="J620" s="40" t="n">
        <f aca="false">H620-I620</f>
        <v>3.36</v>
      </c>
      <c r="K620" s="41" t="n">
        <v>26.5</v>
      </c>
      <c r="L620" s="42" t="n">
        <f aca="false">J620*K620</f>
        <v>89.04</v>
      </c>
      <c r="M620" s="43" t="n">
        <f aca="false">H620*16.02*(1+'Chart of Accounts'!$E$67)</f>
        <v>61.632144</v>
      </c>
    </row>
    <row r="621" customFormat="false" ht="15" hidden="false" customHeight="false" outlineLevel="0" collapsed="false">
      <c r="B621" s="7" t="s">
        <v>1118</v>
      </c>
      <c r="C621" s="39" t="n">
        <v>45688</v>
      </c>
      <c r="D621" s="7" t="s">
        <v>401</v>
      </c>
      <c r="E621" s="7" t="s">
        <v>156</v>
      </c>
      <c r="F621" s="7" t="s">
        <v>254</v>
      </c>
      <c r="G621" s="7" t="s">
        <v>505</v>
      </c>
      <c r="H621" s="6" t="n">
        <v>4.36</v>
      </c>
      <c r="I621" s="6" t="n">
        <v>0</v>
      </c>
      <c r="J621" s="40" t="n">
        <f aca="false">H621-I621</f>
        <v>4.36</v>
      </c>
      <c r="K621" s="41" t="n">
        <v>34</v>
      </c>
      <c r="L621" s="42" t="n">
        <f aca="false">J621*K621</f>
        <v>148.24</v>
      </c>
      <c r="M621" s="43" t="n">
        <f aca="false">H621*17.1*(1+'Chart of Accounts'!$E$67)</f>
        <v>85.36662</v>
      </c>
    </row>
    <row r="622" customFormat="false" ht="15" hidden="false" customHeight="false" outlineLevel="0" collapsed="false">
      <c r="B622" s="7" t="s">
        <v>1119</v>
      </c>
      <c r="C622" s="39" t="n">
        <v>45688</v>
      </c>
      <c r="D622" s="7" t="s">
        <v>407</v>
      </c>
      <c r="E622" s="7" t="s">
        <v>159</v>
      </c>
      <c r="F622" s="7" t="s">
        <v>260</v>
      </c>
      <c r="G622" s="7" t="s">
        <v>502</v>
      </c>
      <c r="H622" s="6" t="n">
        <v>0.99</v>
      </c>
      <c r="I622" s="6" t="n">
        <v>0</v>
      </c>
      <c r="J622" s="40" t="n">
        <f aca="false">H622-I622</f>
        <v>0.99</v>
      </c>
      <c r="K622" s="41" t="n">
        <v>135</v>
      </c>
      <c r="L622" s="42" t="n">
        <f aca="false">J622*K622</f>
        <v>133.65</v>
      </c>
      <c r="M622" s="43" t="n">
        <f aca="false">H622*79.8*(1+'Chart of Accounts'!$E$67)</f>
        <v>90.45729</v>
      </c>
    </row>
    <row r="623" customFormat="false" ht="15" hidden="false" customHeight="false" outlineLevel="0" collapsed="false">
      <c r="B623" s="7" t="s">
        <v>1120</v>
      </c>
      <c r="C623" s="39" t="n">
        <v>45688</v>
      </c>
      <c r="D623" s="7" t="s">
        <v>409</v>
      </c>
      <c r="E623" s="7" t="s">
        <v>154</v>
      </c>
      <c r="F623" s="7" t="s">
        <v>214</v>
      </c>
      <c r="G623" s="7" t="s">
        <v>505</v>
      </c>
      <c r="H623" s="6" t="n">
        <v>3.55</v>
      </c>
      <c r="I623" s="6" t="n">
        <v>0</v>
      </c>
      <c r="J623" s="40" t="n">
        <f aca="false">H623-I623</f>
        <v>3.55</v>
      </c>
      <c r="K623" s="41" t="n">
        <v>26.5</v>
      </c>
      <c r="L623" s="42" t="n">
        <f aca="false">J623*K623</f>
        <v>94.075</v>
      </c>
      <c r="M623" s="43" t="n">
        <f aca="false">H623*15.67*(1+'Chart of Accounts'!$E$67)</f>
        <v>63.6946325</v>
      </c>
    </row>
    <row r="624" customFormat="false" ht="15" hidden="false" customHeight="false" outlineLevel="0" collapsed="false">
      <c r="B624" s="7" t="s">
        <v>1121</v>
      </c>
      <c r="C624" s="39" t="n">
        <v>45688</v>
      </c>
      <c r="D624" s="7" t="s">
        <v>411</v>
      </c>
      <c r="E624" s="7" t="s">
        <v>154</v>
      </c>
      <c r="F624" s="7" t="s">
        <v>177</v>
      </c>
      <c r="G624" s="7" t="s">
        <v>505</v>
      </c>
      <c r="H624" s="6" t="n">
        <v>4.67</v>
      </c>
      <c r="I624" s="6" t="n">
        <v>0</v>
      </c>
      <c r="J624" s="40" t="n">
        <f aca="false">H624-I624</f>
        <v>4.67</v>
      </c>
      <c r="K624" s="41" t="n">
        <v>26.5</v>
      </c>
      <c r="L624" s="42" t="n">
        <f aca="false">J624*K624</f>
        <v>123.755</v>
      </c>
      <c r="M624" s="43" t="n">
        <f aca="false">H624*14.56*(1+'Chart of Accounts'!$E$67)</f>
        <v>77.854504</v>
      </c>
    </row>
    <row r="625" customFormat="false" ht="15" hidden="false" customHeight="false" outlineLevel="0" collapsed="false">
      <c r="B625" s="7" t="s">
        <v>1122</v>
      </c>
      <c r="C625" s="39" t="n">
        <v>45689</v>
      </c>
      <c r="D625" s="7" t="s">
        <v>288</v>
      </c>
      <c r="E625" s="7" t="s">
        <v>156</v>
      </c>
      <c r="F625" s="7" t="s">
        <v>191</v>
      </c>
      <c r="G625" s="7" t="s">
        <v>505</v>
      </c>
      <c r="H625" s="6" t="n">
        <v>4.13</v>
      </c>
      <c r="I625" s="6" t="n">
        <v>0</v>
      </c>
      <c r="J625" s="40" t="n">
        <f aca="false">H625-I625</f>
        <v>4.13</v>
      </c>
      <c r="K625" s="41" t="n">
        <v>34</v>
      </c>
      <c r="L625" s="42" t="n">
        <f aca="false">J625*K625</f>
        <v>140.42</v>
      </c>
      <c r="M625" s="43" t="n">
        <f aca="false">H625*16.05*(1+'Chart of Accounts'!$E$67)</f>
        <v>75.8980425</v>
      </c>
    </row>
    <row r="626" customFormat="false" ht="15" hidden="false" customHeight="false" outlineLevel="0" collapsed="false">
      <c r="B626" s="7" t="s">
        <v>1123</v>
      </c>
      <c r="C626" s="39" t="n">
        <v>45689</v>
      </c>
      <c r="D626" s="7" t="s">
        <v>321</v>
      </c>
      <c r="E626" s="7" t="s">
        <v>154</v>
      </c>
      <c r="F626" s="7" t="s">
        <v>218</v>
      </c>
      <c r="G626" s="7" t="s">
        <v>505</v>
      </c>
      <c r="H626" s="6" t="n">
        <v>3.66</v>
      </c>
      <c r="I626" s="6" t="n">
        <v>0</v>
      </c>
      <c r="J626" s="40" t="n">
        <f aca="false">H626-I626</f>
        <v>3.66</v>
      </c>
      <c r="K626" s="41" t="n">
        <v>26.5</v>
      </c>
      <c r="L626" s="42" t="n">
        <f aca="false">J626*K626</f>
        <v>96.99</v>
      </c>
      <c r="M626" s="43" t="n">
        <f aca="false">H626*16.19*(1+'Chart of Accounts'!$E$67)</f>
        <v>67.847433</v>
      </c>
    </row>
    <row r="627" customFormat="false" ht="15" hidden="false" customHeight="false" outlineLevel="0" collapsed="false">
      <c r="B627" s="7" t="s">
        <v>1124</v>
      </c>
      <c r="C627" s="39" t="n">
        <v>45689</v>
      </c>
      <c r="D627" s="7" t="s">
        <v>359</v>
      </c>
      <c r="E627" s="7" t="s">
        <v>156</v>
      </c>
      <c r="F627" s="7" t="s">
        <v>212</v>
      </c>
      <c r="G627" s="7" t="s">
        <v>505</v>
      </c>
      <c r="H627" s="6" t="n">
        <v>3.92</v>
      </c>
      <c r="I627" s="6" t="n">
        <v>0</v>
      </c>
      <c r="J627" s="40" t="n">
        <f aca="false">H627-I627</f>
        <v>3.92</v>
      </c>
      <c r="K627" s="41" t="n">
        <v>34</v>
      </c>
      <c r="L627" s="42" t="n">
        <f aca="false">J627*K627</f>
        <v>133.28</v>
      </c>
      <c r="M627" s="43" t="n">
        <f aca="false">H627*16.71*(1+'Chart of Accounts'!$E$67)</f>
        <v>75.001164</v>
      </c>
    </row>
    <row r="628" customFormat="false" ht="15" hidden="false" customHeight="false" outlineLevel="0" collapsed="false">
      <c r="B628" s="7" t="s">
        <v>1125</v>
      </c>
      <c r="C628" s="39" t="n">
        <v>45689</v>
      </c>
      <c r="D628" s="7" t="s">
        <v>391</v>
      </c>
      <c r="E628" s="7" t="s">
        <v>156</v>
      </c>
      <c r="F628" s="7" t="s">
        <v>222</v>
      </c>
      <c r="G628" s="7" t="s">
        <v>505</v>
      </c>
      <c r="H628" s="6" t="n">
        <v>4.15</v>
      </c>
      <c r="I628" s="6" t="n">
        <v>0</v>
      </c>
      <c r="J628" s="40" t="n">
        <f aca="false">H628-I628</f>
        <v>4.15</v>
      </c>
      <c r="K628" s="41" t="n">
        <v>34</v>
      </c>
      <c r="L628" s="42" t="n">
        <f aca="false">J628*K628</f>
        <v>141.1</v>
      </c>
      <c r="M628" s="43" t="n">
        <f aca="false">H628*17.84*(1+'Chart of Accounts'!$E$67)</f>
        <v>84.77122</v>
      </c>
    </row>
    <row r="629" customFormat="false" ht="15" hidden="false" customHeight="false" outlineLevel="0" collapsed="false">
      <c r="B629" s="7" t="s">
        <v>1126</v>
      </c>
      <c r="C629" s="39" t="n">
        <v>45689</v>
      </c>
      <c r="D629" s="7" t="s">
        <v>395</v>
      </c>
      <c r="E629" s="7" t="s">
        <v>156</v>
      </c>
      <c r="F629" s="7" t="s">
        <v>242</v>
      </c>
      <c r="G629" s="7" t="s">
        <v>505</v>
      </c>
      <c r="H629" s="6" t="n">
        <v>3.89</v>
      </c>
      <c r="I629" s="6" t="n">
        <v>0</v>
      </c>
      <c r="J629" s="40" t="n">
        <f aca="false">H629-I629</f>
        <v>3.89</v>
      </c>
      <c r="K629" s="41" t="n">
        <v>34</v>
      </c>
      <c r="L629" s="42" t="n">
        <f aca="false">J629*K629</f>
        <v>132.26</v>
      </c>
      <c r="M629" s="43" t="n">
        <f aca="false">H629*17.99*(1+'Chart of Accounts'!$E$67)</f>
        <v>80.1283595</v>
      </c>
    </row>
    <row r="630" customFormat="false" ht="15" hidden="false" customHeight="false" outlineLevel="0" collapsed="false">
      <c r="B630" s="7" t="s">
        <v>1127</v>
      </c>
      <c r="C630" s="39" t="n">
        <v>45689</v>
      </c>
      <c r="D630" s="7" t="s">
        <v>401</v>
      </c>
      <c r="E630" s="7" t="s">
        <v>156</v>
      </c>
      <c r="F630" s="7" t="s">
        <v>254</v>
      </c>
      <c r="G630" s="7" t="s">
        <v>505</v>
      </c>
      <c r="H630" s="6" t="n">
        <v>4.11</v>
      </c>
      <c r="I630" s="6" t="n">
        <v>0</v>
      </c>
      <c r="J630" s="40" t="n">
        <f aca="false">H630-I630</f>
        <v>4.11</v>
      </c>
      <c r="K630" s="41" t="n">
        <v>34</v>
      </c>
      <c r="L630" s="42" t="n">
        <f aca="false">J630*K630</f>
        <v>139.74</v>
      </c>
      <c r="M630" s="43" t="n">
        <f aca="false">H630*17.1*(1+'Chart of Accounts'!$E$67)</f>
        <v>80.471745</v>
      </c>
    </row>
    <row r="631" customFormat="false" ht="15" hidden="false" customHeight="false" outlineLevel="0" collapsed="false">
      <c r="B631" s="7" t="s">
        <v>1128</v>
      </c>
      <c r="C631" s="39" t="n">
        <v>45690</v>
      </c>
      <c r="D631" s="7" t="s">
        <v>288</v>
      </c>
      <c r="E631" s="7" t="s">
        <v>156</v>
      </c>
      <c r="F631" s="7" t="s">
        <v>191</v>
      </c>
      <c r="G631" s="7" t="s">
        <v>505</v>
      </c>
      <c r="H631" s="6" t="n">
        <v>4.13</v>
      </c>
      <c r="I631" s="6" t="n">
        <v>0</v>
      </c>
      <c r="J631" s="40" t="n">
        <f aca="false">H631-I631</f>
        <v>4.13</v>
      </c>
      <c r="K631" s="41" t="n">
        <v>34</v>
      </c>
      <c r="L631" s="42" t="n">
        <f aca="false">J631*K631</f>
        <v>140.42</v>
      </c>
      <c r="M631" s="43" t="n">
        <f aca="false">H631*16.05*(1+'Chart of Accounts'!$E$67)</f>
        <v>75.8980425</v>
      </c>
    </row>
    <row r="632" customFormat="false" ht="15" hidden="false" customHeight="false" outlineLevel="0" collapsed="false">
      <c r="B632" s="7" t="s">
        <v>1129</v>
      </c>
      <c r="C632" s="39" t="n">
        <v>45690</v>
      </c>
      <c r="D632" s="7" t="s">
        <v>321</v>
      </c>
      <c r="E632" s="7" t="s">
        <v>154</v>
      </c>
      <c r="F632" s="7" t="s">
        <v>218</v>
      </c>
      <c r="G632" s="7" t="s">
        <v>505</v>
      </c>
      <c r="H632" s="6" t="n">
        <v>3.64</v>
      </c>
      <c r="I632" s="6" t="n">
        <v>0</v>
      </c>
      <c r="J632" s="40" t="n">
        <f aca="false">H632-I632</f>
        <v>3.64</v>
      </c>
      <c r="K632" s="41" t="n">
        <v>26.5</v>
      </c>
      <c r="L632" s="42" t="n">
        <f aca="false">J632*K632</f>
        <v>96.46</v>
      </c>
      <c r="M632" s="43" t="n">
        <f aca="false">H632*16.19*(1+'Chart of Accounts'!$E$67)</f>
        <v>67.476682</v>
      </c>
    </row>
    <row r="633" customFormat="false" ht="15" hidden="false" customHeight="false" outlineLevel="0" collapsed="false">
      <c r="B633" s="7" t="s">
        <v>1130</v>
      </c>
      <c r="C633" s="39" t="n">
        <v>45690</v>
      </c>
      <c r="D633" s="7" t="s">
        <v>359</v>
      </c>
      <c r="E633" s="7" t="s">
        <v>156</v>
      </c>
      <c r="F633" s="7" t="s">
        <v>212</v>
      </c>
      <c r="G633" s="7" t="s">
        <v>505</v>
      </c>
      <c r="H633" s="6" t="n">
        <v>3.92</v>
      </c>
      <c r="I633" s="6" t="n">
        <v>0</v>
      </c>
      <c r="J633" s="40" t="n">
        <f aca="false">H633-I633</f>
        <v>3.92</v>
      </c>
      <c r="K633" s="41" t="n">
        <v>34</v>
      </c>
      <c r="L633" s="42" t="n">
        <f aca="false">J633*K633</f>
        <v>133.28</v>
      </c>
      <c r="M633" s="43" t="n">
        <f aca="false">H633*16.71*(1+'Chart of Accounts'!$E$67)</f>
        <v>75.001164</v>
      </c>
    </row>
    <row r="634" customFormat="false" ht="15" hidden="false" customHeight="false" outlineLevel="0" collapsed="false">
      <c r="B634" s="7" t="s">
        <v>1131</v>
      </c>
      <c r="C634" s="39" t="n">
        <v>45690</v>
      </c>
      <c r="D634" s="7" t="s">
        <v>395</v>
      </c>
      <c r="E634" s="7" t="s">
        <v>156</v>
      </c>
      <c r="F634" s="7" t="s">
        <v>242</v>
      </c>
      <c r="G634" s="7" t="s">
        <v>505</v>
      </c>
      <c r="H634" s="6" t="n">
        <v>3.78</v>
      </c>
      <c r="I634" s="6" t="n">
        <v>0</v>
      </c>
      <c r="J634" s="40" t="n">
        <f aca="false">H634-I634</f>
        <v>3.78</v>
      </c>
      <c r="K634" s="41" t="n">
        <v>34</v>
      </c>
      <c r="L634" s="42" t="n">
        <f aca="false">J634*K634</f>
        <v>128.52</v>
      </c>
      <c r="M634" s="43" t="n">
        <f aca="false">H634*17.99*(1+'Chart of Accounts'!$E$67)</f>
        <v>77.862519</v>
      </c>
    </row>
    <row r="635" customFormat="false" ht="15" hidden="false" customHeight="false" outlineLevel="0" collapsed="false">
      <c r="B635" s="7" t="s">
        <v>1132</v>
      </c>
      <c r="C635" s="39" t="n">
        <v>45690</v>
      </c>
      <c r="D635" s="7" t="s">
        <v>401</v>
      </c>
      <c r="E635" s="7" t="s">
        <v>156</v>
      </c>
      <c r="F635" s="7" t="s">
        <v>254</v>
      </c>
      <c r="G635" s="7" t="s">
        <v>505</v>
      </c>
      <c r="H635" s="6" t="n">
        <v>4.15</v>
      </c>
      <c r="I635" s="6" t="n">
        <v>0</v>
      </c>
      <c r="J635" s="40" t="n">
        <f aca="false">H635-I635</f>
        <v>4.15</v>
      </c>
      <c r="K635" s="41" t="n">
        <v>34</v>
      </c>
      <c r="L635" s="42" t="n">
        <f aca="false">J635*K635</f>
        <v>141.1</v>
      </c>
      <c r="M635" s="43" t="n">
        <f aca="false">H635*17.1*(1+'Chart of Accounts'!$E$67)</f>
        <v>81.254925</v>
      </c>
    </row>
    <row r="636" customFormat="false" ht="15" hidden="false" customHeight="false" outlineLevel="0" collapsed="false">
      <c r="B636" s="7" t="s">
        <v>1133</v>
      </c>
      <c r="C636" s="39" t="n">
        <v>45691</v>
      </c>
      <c r="D636" s="7" t="s">
        <v>280</v>
      </c>
      <c r="E636" s="7" t="s">
        <v>157</v>
      </c>
      <c r="F636" s="7" t="s">
        <v>187</v>
      </c>
      <c r="G636" s="7" t="s">
        <v>502</v>
      </c>
      <c r="H636" s="6" t="n">
        <v>0.99</v>
      </c>
      <c r="I636" s="6" t="n">
        <v>0</v>
      </c>
      <c r="J636" s="40" t="n">
        <f aca="false">H636-I636</f>
        <v>0.99</v>
      </c>
      <c r="K636" s="41" t="n">
        <v>165</v>
      </c>
      <c r="L636" s="42" t="n">
        <f aca="false">J636*K636</f>
        <v>163.35</v>
      </c>
      <c r="M636" s="43" t="n">
        <f aca="false">H636*66.48*(1+'Chart of Accounts'!$E$67)</f>
        <v>75.358404</v>
      </c>
    </row>
    <row r="637" customFormat="false" ht="15" hidden="false" customHeight="false" outlineLevel="0" collapsed="false">
      <c r="B637" s="7" t="s">
        <v>1134</v>
      </c>
      <c r="C637" s="39" t="n">
        <v>45691</v>
      </c>
      <c r="D637" s="7" t="s">
        <v>288</v>
      </c>
      <c r="E637" s="7" t="s">
        <v>156</v>
      </c>
      <c r="F637" s="7" t="s">
        <v>191</v>
      </c>
      <c r="G637" s="7" t="s">
        <v>505</v>
      </c>
      <c r="H637" s="6" t="n">
        <v>3.72</v>
      </c>
      <c r="I637" s="6" t="n">
        <v>0</v>
      </c>
      <c r="J637" s="40" t="n">
        <f aca="false">H637-I637</f>
        <v>3.72</v>
      </c>
      <c r="K637" s="41" t="n">
        <v>34</v>
      </c>
      <c r="L637" s="42" t="n">
        <f aca="false">J637*K637</f>
        <v>126.48</v>
      </c>
      <c r="M637" s="43" t="n">
        <f aca="false">H637*16.05*(1+'Chart of Accounts'!$E$67)</f>
        <v>68.36337</v>
      </c>
    </row>
    <row r="638" customFormat="false" ht="15" hidden="false" customHeight="false" outlineLevel="0" collapsed="false">
      <c r="B638" s="7" t="s">
        <v>1135</v>
      </c>
      <c r="C638" s="39" t="n">
        <v>45691</v>
      </c>
      <c r="D638" s="7" t="s">
        <v>291</v>
      </c>
      <c r="E638" s="7" t="s">
        <v>154</v>
      </c>
      <c r="F638" s="7" t="s">
        <v>194</v>
      </c>
      <c r="G638" s="7" t="s">
        <v>505</v>
      </c>
      <c r="H638" s="6" t="n">
        <v>4.48</v>
      </c>
      <c r="I638" s="6" t="n">
        <v>0.134</v>
      </c>
      <c r="J638" s="40" t="n">
        <f aca="false">H638-I638</f>
        <v>4.346</v>
      </c>
      <c r="K638" s="41" t="n">
        <v>26.5</v>
      </c>
      <c r="L638" s="42" t="n">
        <f aca="false">J638*K638</f>
        <v>115.169</v>
      </c>
      <c r="M638" s="43" t="n">
        <f aca="false">H638*16*(1+'Chart of Accounts'!$E$67)</f>
        <v>82.0736</v>
      </c>
    </row>
    <row r="639" customFormat="false" ht="15" hidden="false" customHeight="false" outlineLevel="0" collapsed="false">
      <c r="B639" s="7" t="s">
        <v>1136</v>
      </c>
      <c r="C639" s="39" t="n">
        <v>45691</v>
      </c>
      <c r="D639" s="7" t="s">
        <v>297</v>
      </c>
      <c r="E639" s="7" t="s">
        <v>156</v>
      </c>
      <c r="F639" s="7" t="s">
        <v>201</v>
      </c>
      <c r="G639" s="7" t="s">
        <v>505</v>
      </c>
      <c r="H639" s="6" t="n">
        <v>3.2</v>
      </c>
      <c r="I639" s="6" t="n">
        <v>0</v>
      </c>
      <c r="J639" s="40" t="n">
        <f aca="false">H639-I639</f>
        <v>3.2</v>
      </c>
      <c r="K639" s="41" t="n">
        <v>34</v>
      </c>
      <c r="L639" s="42" t="n">
        <f aca="false">J639*K639</f>
        <v>108.8</v>
      </c>
      <c r="M639" s="43" t="n">
        <f aca="false">H639*15.19*(1+'Chart of Accounts'!$E$67)</f>
        <v>55.65616</v>
      </c>
    </row>
    <row r="640" customFormat="false" ht="15" hidden="false" customHeight="false" outlineLevel="0" collapsed="false">
      <c r="B640" s="7" t="s">
        <v>1137</v>
      </c>
      <c r="C640" s="39" t="n">
        <v>45691</v>
      </c>
      <c r="D640" s="7" t="s">
        <v>305</v>
      </c>
      <c r="E640" s="7" t="s">
        <v>154</v>
      </c>
      <c r="F640" s="7" t="s">
        <v>205</v>
      </c>
      <c r="G640" s="7" t="s">
        <v>505</v>
      </c>
      <c r="H640" s="6" t="n">
        <v>3.87</v>
      </c>
      <c r="I640" s="6" t="n">
        <v>0</v>
      </c>
      <c r="J640" s="40" t="n">
        <f aca="false">H640-I640</f>
        <v>3.87</v>
      </c>
      <c r="K640" s="41" t="n">
        <v>26.5</v>
      </c>
      <c r="L640" s="42" t="n">
        <f aca="false">J640*K640</f>
        <v>102.555</v>
      </c>
      <c r="M640" s="43" t="n">
        <f aca="false">H640*16.36*(1+'Chart of Accounts'!$E$67)</f>
        <v>72.493614</v>
      </c>
    </row>
    <row r="641" customFormat="false" ht="15" hidden="false" customHeight="false" outlineLevel="0" collapsed="false">
      <c r="B641" s="7" t="s">
        <v>1138</v>
      </c>
      <c r="C641" s="39" t="n">
        <v>45691</v>
      </c>
      <c r="D641" s="7" t="s">
        <v>309</v>
      </c>
      <c r="E641" s="7" t="s">
        <v>159</v>
      </c>
      <c r="F641" s="7" t="s">
        <v>252</v>
      </c>
      <c r="G641" s="7" t="s">
        <v>502</v>
      </c>
      <c r="H641" s="6" t="n">
        <v>0.97</v>
      </c>
      <c r="I641" s="6" t="n">
        <v>0</v>
      </c>
      <c r="J641" s="40" t="n">
        <f aca="false">H641-I641</f>
        <v>0.97</v>
      </c>
      <c r="K641" s="41" t="n">
        <v>135</v>
      </c>
      <c r="L641" s="42" t="n">
        <f aca="false">J641*K641</f>
        <v>130.95</v>
      </c>
      <c r="M641" s="43" t="n">
        <f aca="false">H641*57.54*(1+'Chart of Accounts'!$E$67)</f>
        <v>63.906801</v>
      </c>
    </row>
    <row r="642" customFormat="false" ht="15" hidden="false" customHeight="false" outlineLevel="0" collapsed="false">
      <c r="B642" s="7" t="s">
        <v>1139</v>
      </c>
      <c r="C642" s="39" t="n">
        <v>45691</v>
      </c>
      <c r="D642" s="7" t="s">
        <v>311</v>
      </c>
      <c r="E642" s="7" t="s">
        <v>154</v>
      </c>
      <c r="F642" s="7" t="s">
        <v>196</v>
      </c>
      <c r="G642" s="7" t="s">
        <v>505</v>
      </c>
      <c r="H642" s="6" t="n">
        <v>2.97</v>
      </c>
      <c r="I642" s="6" t="n">
        <v>0.089</v>
      </c>
      <c r="J642" s="40" t="n">
        <f aca="false">H642-I642</f>
        <v>2.881</v>
      </c>
      <c r="K642" s="41" t="n">
        <v>26.5</v>
      </c>
      <c r="L642" s="42" t="n">
        <f aca="false">J642*K642</f>
        <v>76.3465</v>
      </c>
      <c r="M642" s="43" t="n">
        <f aca="false">H642*15.05*(1+'Chart of Accounts'!$E$67)</f>
        <v>51.1797825</v>
      </c>
    </row>
    <row r="643" customFormat="false" ht="15" hidden="false" customHeight="false" outlineLevel="0" collapsed="false">
      <c r="B643" s="7" t="s">
        <v>1140</v>
      </c>
      <c r="C643" s="39" t="n">
        <v>45691</v>
      </c>
      <c r="D643" s="7" t="s">
        <v>317</v>
      </c>
      <c r="E643" s="7" t="s">
        <v>156</v>
      </c>
      <c r="F643" s="7" t="s">
        <v>207</v>
      </c>
      <c r="G643" s="7" t="s">
        <v>505</v>
      </c>
      <c r="H643" s="6" t="n">
        <v>3.09</v>
      </c>
      <c r="I643" s="6" t="n">
        <v>0</v>
      </c>
      <c r="J643" s="40" t="n">
        <f aca="false">H643-I643</f>
        <v>3.09</v>
      </c>
      <c r="K643" s="41" t="n">
        <v>34</v>
      </c>
      <c r="L643" s="42" t="n">
        <f aca="false">J643*K643</f>
        <v>105.06</v>
      </c>
      <c r="M643" s="43" t="n">
        <f aca="false">H643*16.65*(1+'Chart of Accounts'!$E$67)</f>
        <v>58.9085325</v>
      </c>
    </row>
    <row r="644" customFormat="false" ht="15" hidden="false" customHeight="false" outlineLevel="0" collapsed="false">
      <c r="B644" s="7" t="s">
        <v>1141</v>
      </c>
      <c r="C644" s="39" t="n">
        <v>45691</v>
      </c>
      <c r="D644" s="7" t="s">
        <v>321</v>
      </c>
      <c r="E644" s="7" t="s">
        <v>154</v>
      </c>
      <c r="F644" s="7" t="s">
        <v>218</v>
      </c>
      <c r="G644" s="7" t="s">
        <v>505</v>
      </c>
      <c r="H644" s="6" t="n">
        <v>4.39</v>
      </c>
      <c r="I644" s="6" t="n">
        <v>0</v>
      </c>
      <c r="J644" s="40" t="n">
        <f aca="false">H644-I644</f>
        <v>4.39</v>
      </c>
      <c r="K644" s="41" t="n">
        <v>26.5</v>
      </c>
      <c r="L644" s="42" t="n">
        <f aca="false">J644*K644</f>
        <v>116.335</v>
      </c>
      <c r="M644" s="43" t="n">
        <f aca="false">H644*16.19*(1+'Chart of Accounts'!$E$67)</f>
        <v>81.3798445</v>
      </c>
    </row>
    <row r="645" customFormat="false" ht="15" hidden="false" customHeight="false" outlineLevel="0" collapsed="false">
      <c r="B645" s="7" t="s">
        <v>1142</v>
      </c>
      <c r="C645" s="39" t="n">
        <v>45691</v>
      </c>
      <c r="D645" s="7" t="s">
        <v>325</v>
      </c>
      <c r="E645" s="7" t="s">
        <v>154</v>
      </c>
      <c r="F645" s="7" t="s">
        <v>212</v>
      </c>
      <c r="G645" s="7" t="s">
        <v>505</v>
      </c>
      <c r="H645" s="6" t="n">
        <v>2.8</v>
      </c>
      <c r="I645" s="6" t="n">
        <v>0</v>
      </c>
      <c r="J645" s="40" t="n">
        <f aca="false">H645-I645</f>
        <v>2.8</v>
      </c>
      <c r="K645" s="41" t="n">
        <v>26.5</v>
      </c>
      <c r="L645" s="42" t="n">
        <f aca="false">J645*K645</f>
        <v>74.2</v>
      </c>
      <c r="M645" s="43" t="n">
        <f aca="false">H645*16.71*(1+'Chart of Accounts'!$E$67)</f>
        <v>53.57226</v>
      </c>
    </row>
    <row r="646" customFormat="false" ht="15" hidden="false" customHeight="false" outlineLevel="0" collapsed="false">
      <c r="B646" s="7" t="s">
        <v>1143</v>
      </c>
      <c r="C646" s="39" t="n">
        <v>45691</v>
      </c>
      <c r="D646" s="7" t="s">
        <v>329</v>
      </c>
      <c r="E646" s="7" t="s">
        <v>156</v>
      </c>
      <c r="F646" s="7" t="s">
        <v>220</v>
      </c>
      <c r="G646" s="7" t="s">
        <v>505</v>
      </c>
      <c r="H646" s="6" t="n">
        <v>3.79</v>
      </c>
      <c r="I646" s="6" t="n">
        <v>0</v>
      </c>
      <c r="J646" s="40" t="n">
        <f aca="false">H646-I646</f>
        <v>3.79</v>
      </c>
      <c r="K646" s="41" t="n">
        <v>34</v>
      </c>
      <c r="L646" s="42" t="n">
        <f aca="false">J646*K646</f>
        <v>128.86</v>
      </c>
      <c r="M646" s="43" t="n">
        <f aca="false">H646*16.43*(1+'Chart of Accounts'!$E$67)</f>
        <v>71.2988065</v>
      </c>
    </row>
    <row r="647" customFormat="false" ht="15" hidden="false" customHeight="false" outlineLevel="0" collapsed="false">
      <c r="B647" s="7" t="s">
        <v>1144</v>
      </c>
      <c r="C647" s="39" t="n">
        <v>45691</v>
      </c>
      <c r="D647" s="7" t="s">
        <v>331</v>
      </c>
      <c r="E647" s="7" t="s">
        <v>156</v>
      </c>
      <c r="F647" s="7" t="s">
        <v>224</v>
      </c>
      <c r="G647" s="7" t="s">
        <v>505</v>
      </c>
      <c r="H647" s="6" t="n">
        <v>4.11</v>
      </c>
      <c r="I647" s="6" t="n">
        <v>0</v>
      </c>
      <c r="J647" s="40" t="n">
        <f aca="false">H647-I647</f>
        <v>4.11</v>
      </c>
      <c r="K647" s="41" t="n">
        <v>34</v>
      </c>
      <c r="L647" s="42" t="n">
        <f aca="false">J647*K647</f>
        <v>139.74</v>
      </c>
      <c r="M647" s="43" t="n">
        <f aca="false">H647*14.93*(1+'Chart of Accounts'!$E$67)</f>
        <v>70.2598335</v>
      </c>
    </row>
    <row r="648" customFormat="false" ht="15" hidden="false" customHeight="false" outlineLevel="0" collapsed="false">
      <c r="B648" s="7" t="s">
        <v>1145</v>
      </c>
      <c r="C648" s="39" t="n">
        <v>45691</v>
      </c>
      <c r="D648" s="7" t="s">
        <v>335</v>
      </c>
      <c r="E648" s="7" t="s">
        <v>154</v>
      </c>
      <c r="F648" s="7" t="s">
        <v>177</v>
      </c>
      <c r="G648" s="7" t="s">
        <v>505</v>
      </c>
      <c r="H648" s="6" t="n">
        <v>4.09</v>
      </c>
      <c r="I648" s="6" t="n">
        <v>0</v>
      </c>
      <c r="J648" s="40" t="n">
        <f aca="false">H648-I648</f>
        <v>4.09</v>
      </c>
      <c r="K648" s="41" t="n">
        <v>26.5</v>
      </c>
      <c r="L648" s="42" t="n">
        <f aca="false">J648*K648</f>
        <v>108.385</v>
      </c>
      <c r="M648" s="43" t="n">
        <f aca="false">H648*14.56*(1+'Chart of Accounts'!$E$67)</f>
        <v>68.185208</v>
      </c>
    </row>
    <row r="649" customFormat="false" ht="15" hidden="false" customHeight="false" outlineLevel="0" collapsed="false">
      <c r="B649" s="7" t="s">
        <v>1146</v>
      </c>
      <c r="C649" s="39" t="n">
        <v>45691</v>
      </c>
      <c r="D649" s="7" t="s">
        <v>337</v>
      </c>
      <c r="E649" s="7" t="s">
        <v>154</v>
      </c>
      <c r="F649" s="7" t="s">
        <v>232</v>
      </c>
      <c r="G649" s="7" t="s">
        <v>505</v>
      </c>
      <c r="H649" s="6" t="n">
        <v>2.93</v>
      </c>
      <c r="I649" s="6" t="n">
        <v>0</v>
      </c>
      <c r="J649" s="40" t="n">
        <f aca="false">H649-I649</f>
        <v>2.93</v>
      </c>
      <c r="K649" s="41" t="n">
        <v>26.5</v>
      </c>
      <c r="L649" s="42" t="n">
        <f aca="false">J649*K649</f>
        <v>77.645</v>
      </c>
      <c r="M649" s="43" t="n">
        <f aca="false">H649*16.17*(1+'Chart of Accounts'!$E$67)</f>
        <v>54.2479245</v>
      </c>
    </row>
    <row r="650" customFormat="false" ht="15" hidden="false" customHeight="false" outlineLevel="0" collapsed="false">
      <c r="B650" s="7" t="s">
        <v>1147</v>
      </c>
      <c r="C650" s="39" t="n">
        <v>45691</v>
      </c>
      <c r="D650" s="7" t="s">
        <v>339</v>
      </c>
      <c r="E650" s="7" t="s">
        <v>154</v>
      </c>
      <c r="F650" s="7" t="s">
        <v>242</v>
      </c>
      <c r="G650" s="7" t="s">
        <v>505</v>
      </c>
      <c r="H650" s="6" t="n">
        <v>3.5</v>
      </c>
      <c r="I650" s="6" t="n">
        <v>0.105</v>
      </c>
      <c r="J650" s="40" t="n">
        <f aca="false">H650-I650</f>
        <v>3.395</v>
      </c>
      <c r="K650" s="41" t="n">
        <v>26.5</v>
      </c>
      <c r="L650" s="42" t="n">
        <f aca="false">J650*K650</f>
        <v>89.9675</v>
      </c>
      <c r="M650" s="43" t="n">
        <f aca="false">H650*17.99*(1+'Chart of Accounts'!$E$67)</f>
        <v>72.094925</v>
      </c>
    </row>
    <row r="651" customFormat="false" ht="15" hidden="false" customHeight="false" outlineLevel="0" collapsed="false">
      <c r="B651" s="7" t="s">
        <v>1148</v>
      </c>
      <c r="C651" s="39" t="n">
        <v>45691</v>
      </c>
      <c r="D651" s="7" t="s">
        <v>341</v>
      </c>
      <c r="E651" s="7" t="s">
        <v>156</v>
      </c>
      <c r="F651" s="7" t="s">
        <v>222</v>
      </c>
      <c r="G651" s="7" t="s">
        <v>505</v>
      </c>
      <c r="H651" s="6" t="n">
        <v>2.76</v>
      </c>
      <c r="I651" s="6" t="n">
        <v>0</v>
      </c>
      <c r="J651" s="40" t="n">
        <f aca="false">H651-I651</f>
        <v>2.76</v>
      </c>
      <c r="K651" s="41" t="n">
        <v>34</v>
      </c>
      <c r="L651" s="42" t="n">
        <f aca="false">J651*K651</f>
        <v>93.84</v>
      </c>
      <c r="M651" s="43" t="n">
        <f aca="false">H651*17.84*(1+'Chart of Accounts'!$E$67)</f>
        <v>56.377968</v>
      </c>
    </row>
    <row r="652" customFormat="false" ht="15" hidden="false" customHeight="false" outlineLevel="0" collapsed="false">
      <c r="B652" s="7" t="s">
        <v>1149</v>
      </c>
      <c r="C652" s="39" t="n">
        <v>45691</v>
      </c>
      <c r="D652" s="7" t="s">
        <v>343</v>
      </c>
      <c r="E652" s="7" t="s">
        <v>154</v>
      </c>
      <c r="F652" s="7" t="s">
        <v>262</v>
      </c>
      <c r="G652" s="7" t="s">
        <v>505</v>
      </c>
      <c r="H652" s="6" t="n">
        <v>3.86</v>
      </c>
      <c r="I652" s="6" t="n">
        <v>0</v>
      </c>
      <c r="J652" s="40" t="n">
        <f aca="false">H652-I652</f>
        <v>3.86</v>
      </c>
      <c r="K652" s="41" t="n">
        <v>26.5</v>
      </c>
      <c r="L652" s="42" t="n">
        <f aca="false">J652*K652</f>
        <v>102.29</v>
      </c>
      <c r="M652" s="43" t="n">
        <f aca="false">H652*16.02*(1+'Chart of Accounts'!$E$67)</f>
        <v>70.803594</v>
      </c>
    </row>
    <row r="653" customFormat="false" ht="15" hidden="false" customHeight="false" outlineLevel="0" collapsed="false">
      <c r="B653" s="7" t="s">
        <v>1150</v>
      </c>
      <c r="C653" s="39" t="n">
        <v>45691</v>
      </c>
      <c r="D653" s="7" t="s">
        <v>353</v>
      </c>
      <c r="E653" s="7" t="s">
        <v>154</v>
      </c>
      <c r="F653" s="7" t="s">
        <v>254</v>
      </c>
      <c r="G653" s="7" t="s">
        <v>505</v>
      </c>
      <c r="H653" s="6" t="n">
        <v>3.58</v>
      </c>
      <c r="I653" s="6" t="n">
        <v>0</v>
      </c>
      <c r="J653" s="40" t="n">
        <f aca="false">H653-I653</f>
        <v>3.58</v>
      </c>
      <c r="K653" s="41" t="n">
        <v>26.5</v>
      </c>
      <c r="L653" s="42" t="n">
        <f aca="false">J653*K653</f>
        <v>94.87</v>
      </c>
      <c r="M653" s="43" t="n">
        <f aca="false">H653*17.1*(1+'Chart of Accounts'!$E$67)</f>
        <v>70.09461</v>
      </c>
    </row>
    <row r="654" customFormat="false" ht="15" hidden="false" customHeight="false" outlineLevel="0" collapsed="false">
      <c r="B654" s="7" t="s">
        <v>1151</v>
      </c>
      <c r="C654" s="39" t="n">
        <v>45691</v>
      </c>
      <c r="D654" s="7" t="s">
        <v>355</v>
      </c>
      <c r="E654" s="7" t="s">
        <v>154</v>
      </c>
      <c r="F654" s="7" t="s">
        <v>201</v>
      </c>
      <c r="G654" s="7" t="s">
        <v>505</v>
      </c>
      <c r="H654" s="6" t="n">
        <v>3.4</v>
      </c>
      <c r="I654" s="6" t="n">
        <v>0</v>
      </c>
      <c r="J654" s="40" t="n">
        <f aca="false">H654-I654</f>
        <v>3.4</v>
      </c>
      <c r="K654" s="41" t="n">
        <v>26.5</v>
      </c>
      <c r="L654" s="42" t="n">
        <f aca="false">J654*K654</f>
        <v>90.1</v>
      </c>
      <c r="M654" s="43" t="n">
        <f aca="false">H654*15.19*(1+'Chart of Accounts'!$E$67)</f>
        <v>59.13467</v>
      </c>
    </row>
    <row r="655" customFormat="false" ht="15" hidden="false" customHeight="false" outlineLevel="0" collapsed="false">
      <c r="B655" s="7" t="s">
        <v>1152</v>
      </c>
      <c r="C655" s="39" t="n">
        <v>45691</v>
      </c>
      <c r="D655" s="7" t="s">
        <v>357</v>
      </c>
      <c r="E655" s="7" t="s">
        <v>154</v>
      </c>
      <c r="F655" s="7" t="s">
        <v>207</v>
      </c>
      <c r="G655" s="7" t="s">
        <v>505</v>
      </c>
      <c r="H655" s="6" t="n">
        <v>3.23</v>
      </c>
      <c r="I655" s="6" t="n">
        <v>0</v>
      </c>
      <c r="J655" s="40" t="n">
        <f aca="false">H655-I655</f>
        <v>3.23</v>
      </c>
      <c r="K655" s="41" t="n">
        <v>26.5</v>
      </c>
      <c r="L655" s="42" t="n">
        <f aca="false">J655*K655</f>
        <v>85.595</v>
      </c>
      <c r="M655" s="43" t="n">
        <f aca="false">H655*16.65*(1+'Chart of Accounts'!$E$67)</f>
        <v>61.5775275</v>
      </c>
    </row>
    <row r="656" customFormat="false" ht="15" hidden="false" customHeight="false" outlineLevel="0" collapsed="false">
      <c r="B656" s="7" t="s">
        <v>1153</v>
      </c>
      <c r="C656" s="39" t="n">
        <v>45691</v>
      </c>
      <c r="D656" s="7" t="s">
        <v>359</v>
      </c>
      <c r="E656" s="7" t="s">
        <v>156</v>
      </c>
      <c r="F656" s="7" t="s">
        <v>212</v>
      </c>
      <c r="G656" s="7" t="s">
        <v>505</v>
      </c>
      <c r="H656" s="6" t="n">
        <v>4.25</v>
      </c>
      <c r="I656" s="6" t="n">
        <v>0</v>
      </c>
      <c r="J656" s="40" t="n">
        <f aca="false">H656-I656</f>
        <v>4.25</v>
      </c>
      <c r="K656" s="41" t="n">
        <v>34</v>
      </c>
      <c r="L656" s="42" t="n">
        <f aca="false">J656*K656</f>
        <v>144.5</v>
      </c>
      <c r="M656" s="43" t="n">
        <f aca="false">H656*16.71*(1+'Chart of Accounts'!$E$67)</f>
        <v>81.3150375</v>
      </c>
    </row>
    <row r="657" customFormat="false" ht="15" hidden="false" customHeight="false" outlineLevel="0" collapsed="false">
      <c r="B657" s="7" t="s">
        <v>1154</v>
      </c>
      <c r="C657" s="39" t="n">
        <v>45691</v>
      </c>
      <c r="D657" s="7" t="s">
        <v>363</v>
      </c>
      <c r="E657" s="7" t="s">
        <v>156</v>
      </c>
      <c r="F657" s="7" t="s">
        <v>246</v>
      </c>
      <c r="G657" s="7" t="s">
        <v>505</v>
      </c>
      <c r="H657" s="6" t="n">
        <v>4.09</v>
      </c>
      <c r="I657" s="6" t="n">
        <v>0</v>
      </c>
      <c r="J657" s="40" t="n">
        <f aca="false">H657-I657</f>
        <v>4.09</v>
      </c>
      <c r="K657" s="41" t="n">
        <v>34</v>
      </c>
      <c r="L657" s="42" t="n">
        <f aca="false">J657*K657</f>
        <v>139.06</v>
      </c>
      <c r="M657" s="43" t="n">
        <f aca="false">H657*16.48*(1+'Chart of Accounts'!$E$67)</f>
        <v>77.176664</v>
      </c>
    </row>
    <row r="658" customFormat="false" ht="15" hidden="false" customHeight="false" outlineLevel="0" collapsed="false">
      <c r="B658" s="7" t="s">
        <v>1155</v>
      </c>
      <c r="C658" s="39" t="n">
        <v>45691</v>
      </c>
      <c r="D658" s="7" t="s">
        <v>371</v>
      </c>
      <c r="E658" s="7" t="s">
        <v>154</v>
      </c>
      <c r="F658" s="7" t="s">
        <v>232</v>
      </c>
      <c r="G658" s="7" t="s">
        <v>505</v>
      </c>
      <c r="H658" s="6" t="n">
        <v>4.31</v>
      </c>
      <c r="I658" s="6" t="n">
        <v>0</v>
      </c>
      <c r="J658" s="40" t="n">
        <f aca="false">H658-I658</f>
        <v>4.31</v>
      </c>
      <c r="K658" s="41" t="n">
        <v>26.5</v>
      </c>
      <c r="L658" s="42" t="n">
        <f aca="false">J658*K658</f>
        <v>114.215</v>
      </c>
      <c r="M658" s="43" t="n">
        <f aca="false">H658*16.17*(1+'Chart of Accounts'!$E$67)</f>
        <v>79.7981415</v>
      </c>
    </row>
    <row r="659" customFormat="false" ht="15" hidden="false" customHeight="false" outlineLevel="0" collapsed="false">
      <c r="B659" s="7" t="s">
        <v>1156</v>
      </c>
      <c r="C659" s="39" t="n">
        <v>45691</v>
      </c>
      <c r="D659" s="7" t="s">
        <v>375</v>
      </c>
      <c r="E659" s="7" t="s">
        <v>156</v>
      </c>
      <c r="F659" s="7" t="s">
        <v>196</v>
      </c>
      <c r="G659" s="7" t="s">
        <v>505</v>
      </c>
      <c r="H659" s="6" t="n">
        <v>3.12</v>
      </c>
      <c r="I659" s="6" t="n">
        <v>0</v>
      </c>
      <c r="J659" s="40" t="n">
        <f aca="false">H659-I659</f>
        <v>3.12</v>
      </c>
      <c r="K659" s="41" t="n">
        <v>34</v>
      </c>
      <c r="L659" s="42" t="n">
        <f aca="false">J659*K659</f>
        <v>106.08</v>
      </c>
      <c r="M659" s="43" t="n">
        <f aca="false">H659*15.05*(1+'Chart of Accounts'!$E$67)</f>
        <v>53.76462</v>
      </c>
    </row>
    <row r="660" customFormat="false" ht="15" hidden="false" customHeight="false" outlineLevel="0" collapsed="false">
      <c r="B660" s="7" t="s">
        <v>1157</v>
      </c>
      <c r="C660" s="39" t="n">
        <v>45691</v>
      </c>
      <c r="D660" s="7" t="s">
        <v>377</v>
      </c>
      <c r="E660" s="7" t="s">
        <v>154</v>
      </c>
      <c r="F660" s="7" t="s">
        <v>214</v>
      </c>
      <c r="G660" s="7" t="s">
        <v>505</v>
      </c>
      <c r="H660" s="6" t="n">
        <v>3.71</v>
      </c>
      <c r="I660" s="6" t="n">
        <v>0</v>
      </c>
      <c r="J660" s="40" t="n">
        <f aca="false">H660-I660</f>
        <v>3.71</v>
      </c>
      <c r="K660" s="41" t="n">
        <v>26.5</v>
      </c>
      <c r="L660" s="42" t="n">
        <f aca="false">J660*K660</f>
        <v>98.315</v>
      </c>
      <c r="M660" s="43" t="n">
        <f aca="false">H660*15.67*(1+'Chart of Accounts'!$E$67)</f>
        <v>66.5653765</v>
      </c>
    </row>
    <row r="661" customFormat="false" ht="15" hidden="false" customHeight="false" outlineLevel="0" collapsed="false">
      <c r="B661" s="7" t="s">
        <v>1158</v>
      </c>
      <c r="C661" s="39" t="n">
        <v>45691</v>
      </c>
      <c r="D661" s="7" t="s">
        <v>379</v>
      </c>
      <c r="E661" s="7" t="s">
        <v>156</v>
      </c>
      <c r="F661" s="7" t="s">
        <v>224</v>
      </c>
      <c r="G661" s="7" t="s">
        <v>505</v>
      </c>
      <c r="H661" s="6" t="n">
        <v>4.79</v>
      </c>
      <c r="I661" s="6" t="n">
        <v>0</v>
      </c>
      <c r="J661" s="40" t="n">
        <f aca="false">H661-I661</f>
        <v>4.79</v>
      </c>
      <c r="K661" s="41" t="n">
        <v>34</v>
      </c>
      <c r="L661" s="42" t="n">
        <f aca="false">J661*K661</f>
        <v>162.86</v>
      </c>
      <c r="M661" s="43" t="n">
        <f aca="false">H661*14.93*(1+'Chart of Accounts'!$E$67)</f>
        <v>81.8843315</v>
      </c>
    </row>
    <row r="662" customFormat="false" ht="15" hidden="false" customHeight="false" outlineLevel="0" collapsed="false">
      <c r="B662" s="7" t="s">
        <v>1159</v>
      </c>
      <c r="C662" s="39" t="n">
        <v>45691</v>
      </c>
      <c r="D662" s="7" t="s">
        <v>389</v>
      </c>
      <c r="E662" s="7" t="s">
        <v>154</v>
      </c>
      <c r="F662" s="7" t="s">
        <v>246</v>
      </c>
      <c r="G662" s="7" t="s">
        <v>505</v>
      </c>
      <c r="H662" s="6" t="n">
        <v>4.4</v>
      </c>
      <c r="I662" s="6" t="n">
        <v>0</v>
      </c>
      <c r="J662" s="40" t="n">
        <f aca="false">H662-I662</f>
        <v>4.4</v>
      </c>
      <c r="K662" s="41" t="n">
        <v>26.5</v>
      </c>
      <c r="L662" s="42" t="n">
        <f aca="false">J662*K662</f>
        <v>116.6</v>
      </c>
      <c r="M662" s="43" t="n">
        <f aca="false">H662*16.48*(1+'Chart of Accounts'!$E$67)</f>
        <v>83.02624</v>
      </c>
    </row>
    <row r="663" customFormat="false" ht="15" hidden="false" customHeight="false" outlineLevel="0" collapsed="false">
      <c r="B663" s="7" t="s">
        <v>1160</v>
      </c>
      <c r="C663" s="39" t="n">
        <v>45691</v>
      </c>
      <c r="D663" s="7" t="s">
        <v>391</v>
      </c>
      <c r="E663" s="7" t="s">
        <v>156</v>
      </c>
      <c r="F663" s="7" t="s">
        <v>222</v>
      </c>
      <c r="G663" s="7" t="s">
        <v>505</v>
      </c>
      <c r="H663" s="6" t="n">
        <v>3.71</v>
      </c>
      <c r="I663" s="6" t="n">
        <v>0</v>
      </c>
      <c r="J663" s="40" t="n">
        <f aca="false">H663-I663</f>
        <v>3.71</v>
      </c>
      <c r="K663" s="41" t="n">
        <v>34</v>
      </c>
      <c r="L663" s="42" t="n">
        <f aca="false">J663*K663</f>
        <v>126.14</v>
      </c>
      <c r="M663" s="43" t="n">
        <f aca="false">H663*17.84*(1+'Chart of Accounts'!$E$67)</f>
        <v>75.783428</v>
      </c>
    </row>
    <row r="664" customFormat="false" ht="15" hidden="false" customHeight="false" outlineLevel="0" collapsed="false">
      <c r="B664" s="7" t="s">
        <v>1161</v>
      </c>
      <c r="C664" s="39" t="n">
        <v>45691</v>
      </c>
      <c r="D664" s="7" t="s">
        <v>395</v>
      </c>
      <c r="E664" s="7" t="s">
        <v>156</v>
      </c>
      <c r="F664" s="7" t="s">
        <v>242</v>
      </c>
      <c r="G664" s="7" t="s">
        <v>505</v>
      </c>
      <c r="H664" s="6" t="n">
        <v>3.64</v>
      </c>
      <c r="I664" s="6" t="n">
        <v>0</v>
      </c>
      <c r="J664" s="40" t="n">
        <f aca="false">H664-I664</f>
        <v>3.64</v>
      </c>
      <c r="K664" s="41" t="n">
        <v>34</v>
      </c>
      <c r="L664" s="42" t="n">
        <f aca="false">J664*K664</f>
        <v>123.76</v>
      </c>
      <c r="M664" s="43" t="n">
        <f aca="false">H664*17.99*(1+'Chart of Accounts'!$E$67)</f>
        <v>74.978722</v>
      </c>
    </row>
    <row r="665" customFormat="false" ht="15" hidden="false" customHeight="false" outlineLevel="0" collapsed="false">
      <c r="B665" s="7" t="s">
        <v>1162</v>
      </c>
      <c r="C665" s="39" t="n">
        <v>45691</v>
      </c>
      <c r="D665" s="7" t="s">
        <v>399</v>
      </c>
      <c r="E665" s="7" t="s">
        <v>154</v>
      </c>
      <c r="F665" s="7" t="s">
        <v>262</v>
      </c>
      <c r="G665" s="7" t="s">
        <v>505</v>
      </c>
      <c r="H665" s="6" t="n">
        <v>3.09</v>
      </c>
      <c r="I665" s="6" t="n">
        <v>0</v>
      </c>
      <c r="J665" s="40" t="n">
        <f aca="false">H665-I665</f>
        <v>3.09</v>
      </c>
      <c r="K665" s="41" t="n">
        <v>26.5</v>
      </c>
      <c r="L665" s="42" t="n">
        <f aca="false">J665*K665</f>
        <v>81.885</v>
      </c>
      <c r="M665" s="43" t="n">
        <f aca="false">H665*16.02*(1+'Chart of Accounts'!$E$67)</f>
        <v>56.679561</v>
      </c>
    </row>
    <row r="666" customFormat="false" ht="15" hidden="false" customHeight="false" outlineLevel="0" collapsed="false">
      <c r="B666" s="7" t="s">
        <v>1163</v>
      </c>
      <c r="C666" s="39" t="n">
        <v>45691</v>
      </c>
      <c r="D666" s="7" t="s">
        <v>401</v>
      </c>
      <c r="E666" s="7" t="s">
        <v>156</v>
      </c>
      <c r="F666" s="7" t="s">
        <v>254</v>
      </c>
      <c r="G666" s="7" t="s">
        <v>505</v>
      </c>
      <c r="H666" s="6" t="n">
        <v>4</v>
      </c>
      <c r="I666" s="6" t="n">
        <v>0</v>
      </c>
      <c r="J666" s="40" t="n">
        <f aca="false">H666-I666</f>
        <v>4</v>
      </c>
      <c r="K666" s="41" t="n">
        <v>34</v>
      </c>
      <c r="L666" s="42" t="n">
        <f aca="false">J666*K666</f>
        <v>136</v>
      </c>
      <c r="M666" s="43" t="n">
        <f aca="false">H666*17.1*(1+'Chart of Accounts'!$E$67)</f>
        <v>78.318</v>
      </c>
    </row>
    <row r="667" customFormat="false" ht="15" hidden="false" customHeight="false" outlineLevel="0" collapsed="false">
      <c r="B667" s="7" t="s">
        <v>1164</v>
      </c>
      <c r="C667" s="39" t="n">
        <v>45691</v>
      </c>
      <c r="D667" s="7" t="s">
        <v>409</v>
      </c>
      <c r="E667" s="7" t="s">
        <v>154</v>
      </c>
      <c r="F667" s="7" t="s">
        <v>214</v>
      </c>
      <c r="G667" s="7" t="s">
        <v>505</v>
      </c>
      <c r="H667" s="6" t="n">
        <v>3.28</v>
      </c>
      <c r="I667" s="6" t="n">
        <v>0</v>
      </c>
      <c r="J667" s="40" t="n">
        <f aca="false">H667-I667</f>
        <v>3.28</v>
      </c>
      <c r="K667" s="41" t="n">
        <v>26.5</v>
      </c>
      <c r="L667" s="42" t="n">
        <f aca="false">J667*K667</f>
        <v>86.92</v>
      </c>
      <c r="M667" s="43" t="n">
        <f aca="false">H667*15.67*(1+'Chart of Accounts'!$E$67)</f>
        <v>58.850252</v>
      </c>
    </row>
    <row r="668" customFormat="false" ht="15" hidden="false" customHeight="false" outlineLevel="0" collapsed="false">
      <c r="B668" s="7" t="s">
        <v>1165</v>
      </c>
      <c r="C668" s="39" t="n">
        <v>45691</v>
      </c>
      <c r="D668" s="7" t="s">
        <v>411</v>
      </c>
      <c r="E668" s="7" t="s">
        <v>154</v>
      </c>
      <c r="F668" s="7" t="s">
        <v>177</v>
      </c>
      <c r="G668" s="7" t="s">
        <v>505</v>
      </c>
      <c r="H668" s="6" t="n">
        <v>4.28</v>
      </c>
      <c r="I668" s="6" t="n">
        <v>0</v>
      </c>
      <c r="J668" s="40" t="n">
        <f aca="false">H668-I668</f>
        <v>4.28</v>
      </c>
      <c r="K668" s="41" t="n">
        <v>26.5</v>
      </c>
      <c r="L668" s="42" t="n">
        <f aca="false">J668*K668</f>
        <v>113.42</v>
      </c>
      <c r="M668" s="43" t="n">
        <f aca="false">H668*14.56*(1+'Chart of Accounts'!$E$67)</f>
        <v>71.352736</v>
      </c>
    </row>
    <row r="669" customFormat="false" ht="15" hidden="false" customHeight="false" outlineLevel="0" collapsed="false">
      <c r="B669" s="7" t="s">
        <v>1166</v>
      </c>
      <c r="C669" s="39" t="n">
        <v>45692</v>
      </c>
      <c r="D669" s="7" t="s">
        <v>288</v>
      </c>
      <c r="E669" s="7" t="s">
        <v>156</v>
      </c>
      <c r="F669" s="7" t="s">
        <v>191</v>
      </c>
      <c r="G669" s="7" t="s">
        <v>505</v>
      </c>
      <c r="H669" s="6" t="n">
        <v>3.83</v>
      </c>
      <c r="I669" s="6" t="n">
        <v>0</v>
      </c>
      <c r="J669" s="40" t="n">
        <f aca="false">H669-I669</f>
        <v>3.83</v>
      </c>
      <c r="K669" s="41" t="n">
        <v>34</v>
      </c>
      <c r="L669" s="42" t="n">
        <f aca="false">J669*K669</f>
        <v>130.22</v>
      </c>
      <c r="M669" s="43" t="n">
        <f aca="false">H669*16.05*(1+'Chart of Accounts'!$E$67)</f>
        <v>70.3848675</v>
      </c>
    </row>
    <row r="670" customFormat="false" ht="15" hidden="false" customHeight="false" outlineLevel="0" collapsed="false">
      <c r="B670" s="7" t="s">
        <v>1167</v>
      </c>
      <c r="C670" s="39" t="n">
        <v>45692</v>
      </c>
      <c r="D670" s="7" t="s">
        <v>301</v>
      </c>
      <c r="E670" s="7" t="s">
        <v>157</v>
      </c>
      <c r="F670" s="7" t="s">
        <v>209</v>
      </c>
      <c r="G670" s="7" t="s">
        <v>502</v>
      </c>
      <c r="H670" s="6" t="n">
        <v>0.93</v>
      </c>
      <c r="I670" s="6" t="n">
        <v>0</v>
      </c>
      <c r="J670" s="40" t="n">
        <f aca="false">H670-I670</f>
        <v>0.93</v>
      </c>
      <c r="K670" s="41" t="n">
        <v>165</v>
      </c>
      <c r="L670" s="42" t="n">
        <f aca="false">J670*K670</f>
        <v>153.45</v>
      </c>
      <c r="M670" s="43" t="n">
        <f aca="false">H670*73.58*(1+'Chart of Accounts'!$E$67)</f>
        <v>78.351663</v>
      </c>
    </row>
    <row r="671" customFormat="false" ht="15" hidden="false" customHeight="false" outlineLevel="0" collapsed="false">
      <c r="B671" s="7" t="s">
        <v>1168</v>
      </c>
      <c r="C671" s="39" t="n">
        <v>45692</v>
      </c>
      <c r="D671" s="7" t="s">
        <v>313</v>
      </c>
      <c r="E671" s="7" t="s">
        <v>156</v>
      </c>
      <c r="F671" s="7" t="s">
        <v>184</v>
      </c>
      <c r="G671" s="7" t="s">
        <v>505</v>
      </c>
      <c r="H671" s="6" t="n">
        <v>4.21</v>
      </c>
      <c r="I671" s="6" t="n">
        <v>0</v>
      </c>
      <c r="J671" s="40" t="n">
        <f aca="false">H671-I671</f>
        <v>4.21</v>
      </c>
      <c r="K671" s="41" t="n">
        <v>34</v>
      </c>
      <c r="L671" s="42" t="n">
        <f aca="false">J671*K671</f>
        <v>143.14</v>
      </c>
      <c r="M671" s="43" t="n">
        <f aca="false">H671*17.34*(1+'Chart of Accounts'!$E$67)</f>
        <v>83.586603</v>
      </c>
    </row>
    <row r="672" customFormat="false" ht="15" hidden="false" customHeight="false" outlineLevel="0" collapsed="false">
      <c r="B672" s="7" t="s">
        <v>1169</v>
      </c>
      <c r="C672" s="39" t="n">
        <v>45692</v>
      </c>
      <c r="D672" s="7" t="s">
        <v>319</v>
      </c>
      <c r="E672" s="7" t="s">
        <v>157</v>
      </c>
      <c r="F672" s="7" t="s">
        <v>234</v>
      </c>
      <c r="G672" s="7" t="s">
        <v>502</v>
      </c>
      <c r="H672" s="6" t="n">
        <v>0.92</v>
      </c>
      <c r="I672" s="6" t="n">
        <v>0</v>
      </c>
      <c r="J672" s="40" t="n">
        <f aca="false">H672-I672</f>
        <v>0.92</v>
      </c>
      <c r="K672" s="41" t="n">
        <v>165</v>
      </c>
      <c r="L672" s="42" t="n">
        <f aca="false">J672*K672</f>
        <v>151.8</v>
      </c>
      <c r="M672" s="43" t="n">
        <f aca="false">H672*89.53*(1+'Chart of Accounts'!$E$67)</f>
        <v>94.310902</v>
      </c>
    </row>
    <row r="673" customFormat="false" ht="15" hidden="false" customHeight="false" outlineLevel="0" collapsed="false">
      <c r="B673" s="7" t="s">
        <v>1170</v>
      </c>
      <c r="C673" s="39" t="n">
        <v>45692</v>
      </c>
      <c r="D673" s="7" t="s">
        <v>321</v>
      </c>
      <c r="E673" s="7" t="s">
        <v>154</v>
      </c>
      <c r="F673" s="7" t="s">
        <v>218</v>
      </c>
      <c r="G673" s="7" t="s">
        <v>505</v>
      </c>
      <c r="H673" s="6" t="n">
        <v>3.89</v>
      </c>
      <c r="I673" s="6" t="n">
        <v>0.117</v>
      </c>
      <c r="J673" s="40" t="n">
        <f aca="false">H673-I673</f>
        <v>3.773</v>
      </c>
      <c r="K673" s="41" t="n">
        <v>26.5</v>
      </c>
      <c r="L673" s="42" t="n">
        <f aca="false">J673*K673</f>
        <v>99.9845</v>
      </c>
      <c r="M673" s="43" t="n">
        <f aca="false">H673*16.19*(1+'Chart of Accounts'!$E$67)</f>
        <v>72.1110695</v>
      </c>
    </row>
    <row r="674" customFormat="false" ht="15" hidden="false" customHeight="false" outlineLevel="0" collapsed="false">
      <c r="B674" s="7" t="s">
        <v>1171</v>
      </c>
      <c r="C674" s="39" t="n">
        <v>45692</v>
      </c>
      <c r="D674" s="7" t="s">
        <v>323</v>
      </c>
      <c r="E674" s="7" t="s">
        <v>159</v>
      </c>
      <c r="F674" s="7" t="s">
        <v>266</v>
      </c>
      <c r="G674" s="7" t="s">
        <v>502</v>
      </c>
      <c r="H674" s="6" t="n">
        <v>1.04</v>
      </c>
      <c r="I674" s="6" t="n">
        <v>0</v>
      </c>
      <c r="J674" s="40" t="n">
        <f aca="false">H674-I674</f>
        <v>1.04</v>
      </c>
      <c r="K674" s="41" t="n">
        <v>135</v>
      </c>
      <c r="L674" s="42" t="n">
        <f aca="false">J674*K674</f>
        <v>140.4</v>
      </c>
      <c r="M674" s="43" t="n">
        <f aca="false">H674*75.18*(1+'Chart of Accounts'!$E$67)</f>
        <v>89.524344</v>
      </c>
    </row>
    <row r="675" customFormat="false" ht="15" hidden="false" customHeight="false" outlineLevel="0" collapsed="false">
      <c r="B675" s="7" t="s">
        <v>1172</v>
      </c>
      <c r="C675" s="39" t="n">
        <v>45692</v>
      </c>
      <c r="D675" s="7" t="s">
        <v>327</v>
      </c>
      <c r="E675" s="7" t="s">
        <v>157</v>
      </c>
      <c r="F675" s="7" t="s">
        <v>228</v>
      </c>
      <c r="G675" s="7" t="s">
        <v>502</v>
      </c>
      <c r="H675" s="6" t="n">
        <v>0.92</v>
      </c>
      <c r="I675" s="6" t="n">
        <v>0</v>
      </c>
      <c r="J675" s="40" t="n">
        <f aca="false">H675-I675</f>
        <v>0.92</v>
      </c>
      <c r="K675" s="41" t="n">
        <v>165</v>
      </c>
      <c r="L675" s="42" t="n">
        <f aca="false">J675*K675</f>
        <v>151.8</v>
      </c>
      <c r="M675" s="43" t="n">
        <f aca="false">H675*51.07*(1+'Chart of Accounts'!$E$67)</f>
        <v>53.797138</v>
      </c>
    </row>
    <row r="676" customFormat="false" ht="15" hidden="false" customHeight="false" outlineLevel="0" collapsed="false">
      <c r="B676" s="7" t="s">
        <v>1173</v>
      </c>
      <c r="C676" s="39" t="n">
        <v>45692</v>
      </c>
      <c r="D676" s="7" t="s">
        <v>329</v>
      </c>
      <c r="E676" s="7" t="s">
        <v>156</v>
      </c>
      <c r="F676" s="7" t="s">
        <v>220</v>
      </c>
      <c r="G676" s="7" t="s">
        <v>505</v>
      </c>
      <c r="H676" s="6" t="n">
        <v>3.84</v>
      </c>
      <c r="I676" s="6" t="n">
        <v>0</v>
      </c>
      <c r="J676" s="40" t="n">
        <f aca="false">H676-I676</f>
        <v>3.84</v>
      </c>
      <c r="K676" s="41" t="n">
        <v>34</v>
      </c>
      <c r="L676" s="42" t="n">
        <f aca="false">J676*K676</f>
        <v>130.56</v>
      </c>
      <c r="M676" s="43" t="n">
        <f aca="false">H676*16.43*(1+'Chart of Accounts'!$E$67)</f>
        <v>72.239424</v>
      </c>
    </row>
    <row r="677" customFormat="false" ht="15" hidden="false" customHeight="false" outlineLevel="0" collapsed="false">
      <c r="B677" s="7" t="s">
        <v>1174</v>
      </c>
      <c r="C677" s="39" t="n">
        <v>45692</v>
      </c>
      <c r="D677" s="7" t="s">
        <v>359</v>
      </c>
      <c r="E677" s="7" t="s">
        <v>156</v>
      </c>
      <c r="F677" s="7" t="s">
        <v>212</v>
      </c>
      <c r="G677" s="7" t="s">
        <v>505</v>
      </c>
      <c r="H677" s="6" t="n">
        <v>3.88</v>
      </c>
      <c r="I677" s="6" t="n">
        <v>0</v>
      </c>
      <c r="J677" s="40" t="n">
        <f aca="false">H677-I677</f>
        <v>3.88</v>
      </c>
      <c r="K677" s="41" t="n">
        <v>34</v>
      </c>
      <c r="L677" s="42" t="n">
        <f aca="false">J677*K677</f>
        <v>131.92</v>
      </c>
      <c r="M677" s="43" t="n">
        <f aca="false">H677*16.71*(1+'Chart of Accounts'!$E$67)</f>
        <v>74.235846</v>
      </c>
    </row>
    <row r="678" customFormat="false" ht="15" hidden="false" customHeight="false" outlineLevel="0" collapsed="false">
      <c r="B678" s="7" t="s">
        <v>1175</v>
      </c>
      <c r="C678" s="39" t="n">
        <v>45692</v>
      </c>
      <c r="D678" s="7" t="s">
        <v>361</v>
      </c>
      <c r="E678" s="7" t="s">
        <v>157</v>
      </c>
      <c r="F678" s="7" t="s">
        <v>209</v>
      </c>
      <c r="G678" s="7" t="s">
        <v>502</v>
      </c>
      <c r="H678" s="6" t="n">
        <v>1.1</v>
      </c>
      <c r="I678" s="6" t="n">
        <v>0</v>
      </c>
      <c r="J678" s="40" t="n">
        <f aca="false">H678-I678</f>
        <v>1.1</v>
      </c>
      <c r="K678" s="41" t="n">
        <v>165</v>
      </c>
      <c r="L678" s="42" t="n">
        <f aca="false">J678*K678</f>
        <v>181.5</v>
      </c>
      <c r="M678" s="43" t="n">
        <f aca="false">H678*73.58*(1+'Chart of Accounts'!$E$67)</f>
        <v>92.67401</v>
      </c>
    </row>
    <row r="679" customFormat="false" ht="15" hidden="false" customHeight="false" outlineLevel="0" collapsed="false">
      <c r="B679" s="7" t="s">
        <v>1176</v>
      </c>
      <c r="C679" s="39" t="n">
        <v>45692</v>
      </c>
      <c r="D679" s="7" t="s">
        <v>381</v>
      </c>
      <c r="E679" s="7" t="s">
        <v>157</v>
      </c>
      <c r="F679" s="7" t="s">
        <v>234</v>
      </c>
      <c r="G679" s="7" t="s">
        <v>502</v>
      </c>
      <c r="H679" s="6" t="n">
        <v>1.06</v>
      </c>
      <c r="I679" s="6" t="n">
        <v>0</v>
      </c>
      <c r="J679" s="40" t="n">
        <f aca="false">H679-I679</f>
        <v>1.06</v>
      </c>
      <c r="K679" s="41" t="n">
        <v>165</v>
      </c>
      <c r="L679" s="42" t="n">
        <f aca="false">J679*K679</f>
        <v>174.9</v>
      </c>
      <c r="M679" s="43" t="n">
        <f aca="false">H679*89.53*(1+'Chart of Accounts'!$E$67)</f>
        <v>108.662561</v>
      </c>
    </row>
    <row r="680" customFormat="false" ht="15" hidden="false" customHeight="false" outlineLevel="0" collapsed="false">
      <c r="B680" s="7" t="s">
        <v>1177</v>
      </c>
      <c r="C680" s="39" t="n">
        <v>45692</v>
      </c>
      <c r="D680" s="7" t="s">
        <v>389</v>
      </c>
      <c r="E680" s="7" t="s">
        <v>154</v>
      </c>
      <c r="F680" s="7" t="s">
        <v>246</v>
      </c>
      <c r="G680" s="7" t="s">
        <v>505</v>
      </c>
      <c r="H680" s="6" t="n">
        <v>4.17</v>
      </c>
      <c r="I680" s="6" t="n">
        <v>0</v>
      </c>
      <c r="J680" s="40" t="n">
        <f aca="false">H680-I680</f>
        <v>4.17</v>
      </c>
      <c r="K680" s="41" t="n">
        <v>26.5</v>
      </c>
      <c r="L680" s="42" t="n">
        <f aca="false">J680*K680</f>
        <v>110.505</v>
      </c>
      <c r="M680" s="43" t="n">
        <f aca="false">H680*16.48*(1+'Chart of Accounts'!$E$67)</f>
        <v>78.686232</v>
      </c>
    </row>
    <row r="681" customFormat="false" ht="15" hidden="false" customHeight="false" outlineLevel="0" collapsed="false">
      <c r="B681" s="7" t="s">
        <v>1178</v>
      </c>
      <c r="C681" s="39" t="n">
        <v>45692</v>
      </c>
      <c r="D681" s="7" t="s">
        <v>391</v>
      </c>
      <c r="E681" s="7" t="s">
        <v>156</v>
      </c>
      <c r="F681" s="7" t="s">
        <v>222</v>
      </c>
      <c r="G681" s="7" t="s">
        <v>505</v>
      </c>
      <c r="H681" s="6" t="n">
        <v>3.71</v>
      </c>
      <c r="I681" s="6" t="n">
        <v>0</v>
      </c>
      <c r="J681" s="40" t="n">
        <f aca="false">H681-I681</f>
        <v>3.71</v>
      </c>
      <c r="K681" s="41" t="n">
        <v>34</v>
      </c>
      <c r="L681" s="42" t="n">
        <f aca="false">J681*K681</f>
        <v>126.14</v>
      </c>
      <c r="M681" s="43" t="n">
        <f aca="false">H681*17.84*(1+'Chart of Accounts'!$E$67)</f>
        <v>75.783428</v>
      </c>
    </row>
    <row r="682" customFormat="false" ht="15" hidden="false" customHeight="false" outlineLevel="0" collapsed="false">
      <c r="B682" s="7" t="s">
        <v>1179</v>
      </c>
      <c r="C682" s="39" t="n">
        <v>45692</v>
      </c>
      <c r="D682" s="7" t="s">
        <v>395</v>
      </c>
      <c r="E682" s="7" t="s">
        <v>156</v>
      </c>
      <c r="F682" s="7" t="s">
        <v>242</v>
      </c>
      <c r="G682" s="7" t="s">
        <v>505</v>
      </c>
      <c r="H682" s="6" t="n">
        <v>3.65</v>
      </c>
      <c r="I682" s="6" t="n">
        <v>0</v>
      </c>
      <c r="J682" s="40" t="n">
        <f aca="false">H682-I682</f>
        <v>3.65</v>
      </c>
      <c r="K682" s="41" t="n">
        <v>34</v>
      </c>
      <c r="L682" s="42" t="n">
        <f aca="false">J682*K682</f>
        <v>124.1</v>
      </c>
      <c r="M682" s="43" t="n">
        <f aca="false">H682*17.99*(1+'Chart of Accounts'!$E$67)</f>
        <v>75.1847075</v>
      </c>
    </row>
    <row r="683" customFormat="false" ht="15" hidden="false" customHeight="false" outlineLevel="0" collapsed="false">
      <c r="B683" s="7" t="s">
        <v>1180</v>
      </c>
      <c r="C683" s="39" t="n">
        <v>45692</v>
      </c>
      <c r="D683" s="7" t="s">
        <v>401</v>
      </c>
      <c r="E683" s="7" t="s">
        <v>156</v>
      </c>
      <c r="F683" s="7" t="s">
        <v>254</v>
      </c>
      <c r="G683" s="7" t="s">
        <v>505</v>
      </c>
      <c r="H683" s="6" t="n">
        <v>4.03</v>
      </c>
      <c r="I683" s="6" t="n">
        <v>0</v>
      </c>
      <c r="J683" s="40" t="n">
        <f aca="false">H683-I683</f>
        <v>4.03</v>
      </c>
      <c r="K683" s="41" t="n">
        <v>34</v>
      </c>
      <c r="L683" s="42" t="n">
        <f aca="false">J683*K683</f>
        <v>137.02</v>
      </c>
      <c r="M683" s="43" t="n">
        <f aca="false">H683*17.1*(1+'Chart of Accounts'!$E$67)</f>
        <v>78.905385</v>
      </c>
    </row>
    <row r="684" customFormat="false" ht="15" hidden="false" customHeight="false" outlineLevel="0" collapsed="false">
      <c r="B684" s="7" t="s">
        <v>1181</v>
      </c>
      <c r="C684" s="39" t="n">
        <v>45692</v>
      </c>
      <c r="D684" s="7" t="s">
        <v>407</v>
      </c>
      <c r="E684" s="7" t="s">
        <v>159</v>
      </c>
      <c r="F684" s="7" t="s">
        <v>260</v>
      </c>
      <c r="G684" s="7" t="s">
        <v>502</v>
      </c>
      <c r="H684" s="6" t="n">
        <v>0.96</v>
      </c>
      <c r="I684" s="6" t="n">
        <v>0</v>
      </c>
      <c r="J684" s="40" t="n">
        <f aca="false">H684-I684</f>
        <v>0.96</v>
      </c>
      <c r="K684" s="41" t="n">
        <v>135</v>
      </c>
      <c r="L684" s="42" t="n">
        <f aca="false">J684*K684</f>
        <v>129.6</v>
      </c>
      <c r="M684" s="43" t="n">
        <f aca="false">H684*79.8*(1+'Chart of Accounts'!$E$67)</f>
        <v>87.71616</v>
      </c>
    </row>
    <row r="685" customFormat="false" ht="15" hidden="false" customHeight="false" outlineLevel="0" collapsed="false">
      <c r="B685" s="7" t="s">
        <v>1182</v>
      </c>
      <c r="C685" s="39" t="n">
        <v>45693</v>
      </c>
      <c r="D685" s="7" t="s">
        <v>280</v>
      </c>
      <c r="E685" s="7" t="s">
        <v>157</v>
      </c>
      <c r="F685" s="7" t="s">
        <v>187</v>
      </c>
      <c r="G685" s="7" t="s">
        <v>502</v>
      </c>
      <c r="H685" s="6" t="n">
        <v>1.1</v>
      </c>
      <c r="I685" s="6" t="n">
        <v>0.055</v>
      </c>
      <c r="J685" s="40" t="n">
        <f aca="false">H685-I685</f>
        <v>1.045</v>
      </c>
      <c r="K685" s="41" t="n">
        <v>165</v>
      </c>
      <c r="L685" s="42" t="n">
        <f aca="false">J685*K685</f>
        <v>172.425</v>
      </c>
      <c r="M685" s="43" t="n">
        <f aca="false">H685*66.48*(1+'Chart of Accounts'!$E$67)</f>
        <v>83.73156</v>
      </c>
    </row>
    <row r="686" customFormat="false" ht="15" hidden="false" customHeight="false" outlineLevel="0" collapsed="false">
      <c r="B686" s="7" t="s">
        <v>1183</v>
      </c>
      <c r="C686" s="39" t="n">
        <v>45693</v>
      </c>
      <c r="D686" s="7" t="s">
        <v>286</v>
      </c>
      <c r="E686" s="7" t="s">
        <v>157</v>
      </c>
      <c r="F686" s="7" t="s">
        <v>228</v>
      </c>
      <c r="G686" s="7" t="s">
        <v>502</v>
      </c>
      <c r="H686" s="6" t="n">
        <v>1.09</v>
      </c>
      <c r="I686" s="6" t="n">
        <v>0</v>
      </c>
      <c r="J686" s="40" t="n">
        <f aca="false">H686-I686</f>
        <v>1.09</v>
      </c>
      <c r="K686" s="41" t="n">
        <v>165</v>
      </c>
      <c r="L686" s="42" t="n">
        <f aca="false">J686*K686</f>
        <v>179.85</v>
      </c>
      <c r="M686" s="43" t="n">
        <f aca="false">H686*51.07*(1+'Chart of Accounts'!$E$67)</f>
        <v>63.7379135</v>
      </c>
    </row>
    <row r="687" customFormat="false" ht="15" hidden="false" customHeight="false" outlineLevel="0" collapsed="false">
      <c r="B687" s="7" t="s">
        <v>1184</v>
      </c>
      <c r="C687" s="39" t="n">
        <v>45693</v>
      </c>
      <c r="D687" s="7" t="s">
        <v>288</v>
      </c>
      <c r="E687" s="7" t="s">
        <v>156</v>
      </c>
      <c r="F687" s="7" t="s">
        <v>191</v>
      </c>
      <c r="G687" s="7" t="s">
        <v>505</v>
      </c>
      <c r="H687" s="6" t="n">
        <v>4.39</v>
      </c>
      <c r="I687" s="6" t="n">
        <v>0</v>
      </c>
      <c r="J687" s="40" t="n">
        <f aca="false">H687-I687</f>
        <v>4.39</v>
      </c>
      <c r="K687" s="41" t="n">
        <v>34</v>
      </c>
      <c r="L687" s="42" t="n">
        <f aca="false">J687*K687</f>
        <v>149.26</v>
      </c>
      <c r="M687" s="43" t="n">
        <f aca="false">H687*16.05*(1+'Chart of Accounts'!$E$67)</f>
        <v>80.6761275</v>
      </c>
    </row>
    <row r="688" customFormat="false" ht="15" hidden="false" customHeight="false" outlineLevel="0" collapsed="false">
      <c r="B688" s="7" t="s">
        <v>1185</v>
      </c>
      <c r="C688" s="39" t="n">
        <v>45693</v>
      </c>
      <c r="D688" s="7" t="s">
        <v>291</v>
      </c>
      <c r="E688" s="7" t="s">
        <v>154</v>
      </c>
      <c r="F688" s="7" t="s">
        <v>194</v>
      </c>
      <c r="G688" s="7" t="s">
        <v>505</v>
      </c>
      <c r="H688" s="6" t="n">
        <v>5.01</v>
      </c>
      <c r="I688" s="6" t="n">
        <v>0</v>
      </c>
      <c r="J688" s="40" t="n">
        <f aca="false">H688-I688</f>
        <v>5.01</v>
      </c>
      <c r="K688" s="41" t="n">
        <v>26.5</v>
      </c>
      <c r="L688" s="42" t="n">
        <f aca="false">J688*K688</f>
        <v>132.765</v>
      </c>
      <c r="M688" s="43" t="n">
        <f aca="false">H688*16*(1+'Chart of Accounts'!$E$67)</f>
        <v>91.7832</v>
      </c>
    </row>
    <row r="689" customFormat="false" ht="15" hidden="false" customHeight="false" outlineLevel="0" collapsed="false">
      <c r="B689" s="7" t="s">
        <v>1186</v>
      </c>
      <c r="C689" s="39" t="n">
        <v>45693</v>
      </c>
      <c r="D689" s="7" t="s">
        <v>305</v>
      </c>
      <c r="E689" s="7" t="s">
        <v>154</v>
      </c>
      <c r="F689" s="7" t="s">
        <v>205</v>
      </c>
      <c r="G689" s="7" t="s">
        <v>505</v>
      </c>
      <c r="H689" s="6" t="n">
        <v>4.26</v>
      </c>
      <c r="I689" s="6" t="n">
        <v>0</v>
      </c>
      <c r="J689" s="40" t="n">
        <f aca="false">H689-I689</f>
        <v>4.26</v>
      </c>
      <c r="K689" s="41" t="n">
        <v>26.5</v>
      </c>
      <c r="L689" s="42" t="n">
        <f aca="false">J689*K689</f>
        <v>112.89</v>
      </c>
      <c r="M689" s="43" t="n">
        <f aca="false">H689*16.36*(1+'Chart of Accounts'!$E$67)</f>
        <v>79.799172</v>
      </c>
    </row>
    <row r="690" customFormat="false" ht="15" hidden="false" customHeight="false" outlineLevel="0" collapsed="false">
      <c r="B690" s="7" t="s">
        <v>1187</v>
      </c>
      <c r="C690" s="39" t="n">
        <v>45693</v>
      </c>
      <c r="D690" s="7" t="s">
        <v>309</v>
      </c>
      <c r="E690" s="7" t="s">
        <v>159</v>
      </c>
      <c r="F690" s="7" t="s">
        <v>252</v>
      </c>
      <c r="G690" s="7" t="s">
        <v>502</v>
      </c>
      <c r="H690" s="6" t="n">
        <v>1</v>
      </c>
      <c r="I690" s="6" t="n">
        <v>0</v>
      </c>
      <c r="J690" s="40" t="n">
        <f aca="false">H690-I690</f>
        <v>1</v>
      </c>
      <c r="K690" s="41" t="n">
        <v>135</v>
      </c>
      <c r="L690" s="42" t="n">
        <f aca="false">J690*K690</f>
        <v>135</v>
      </c>
      <c r="M690" s="43" t="n">
        <f aca="false">H690*57.54*(1+'Chart of Accounts'!$E$67)</f>
        <v>65.8833</v>
      </c>
    </row>
    <row r="691" customFormat="false" ht="15" hidden="false" customHeight="false" outlineLevel="0" collapsed="false">
      <c r="B691" s="7" t="s">
        <v>1188</v>
      </c>
      <c r="C691" s="39" t="n">
        <v>45693</v>
      </c>
      <c r="D691" s="7" t="s">
        <v>313</v>
      </c>
      <c r="E691" s="7" t="s">
        <v>156</v>
      </c>
      <c r="F691" s="7" t="s">
        <v>184</v>
      </c>
      <c r="G691" s="7" t="s">
        <v>505</v>
      </c>
      <c r="H691" s="6" t="n">
        <v>3.93</v>
      </c>
      <c r="I691" s="6" t="n">
        <v>0</v>
      </c>
      <c r="J691" s="40" t="n">
        <f aca="false">H691-I691</f>
        <v>3.93</v>
      </c>
      <c r="K691" s="41" t="n">
        <v>34</v>
      </c>
      <c r="L691" s="42" t="n">
        <f aca="false">J691*K691</f>
        <v>133.62</v>
      </c>
      <c r="M691" s="43" t="n">
        <f aca="false">H691*17.34*(1+'Chart of Accounts'!$E$67)</f>
        <v>78.027399</v>
      </c>
    </row>
    <row r="692" customFormat="false" ht="15" hidden="false" customHeight="false" outlineLevel="0" collapsed="false">
      <c r="B692" s="7" t="s">
        <v>1189</v>
      </c>
      <c r="C692" s="39" t="n">
        <v>45693</v>
      </c>
      <c r="D692" s="7" t="s">
        <v>321</v>
      </c>
      <c r="E692" s="7" t="s">
        <v>154</v>
      </c>
      <c r="F692" s="7" t="s">
        <v>218</v>
      </c>
      <c r="G692" s="7" t="s">
        <v>505</v>
      </c>
      <c r="H692" s="6" t="n">
        <v>4.3</v>
      </c>
      <c r="I692" s="6" t="n">
        <v>0</v>
      </c>
      <c r="J692" s="40" t="n">
        <f aca="false">H692-I692</f>
        <v>4.3</v>
      </c>
      <c r="K692" s="41" t="n">
        <v>26.5</v>
      </c>
      <c r="L692" s="42" t="n">
        <f aca="false">J692*K692</f>
        <v>113.95</v>
      </c>
      <c r="M692" s="43" t="n">
        <f aca="false">H692*16.19*(1+'Chart of Accounts'!$E$67)</f>
        <v>79.711465</v>
      </c>
    </row>
    <row r="693" customFormat="false" ht="15" hidden="false" customHeight="false" outlineLevel="0" collapsed="false">
      <c r="B693" s="7" t="s">
        <v>1190</v>
      </c>
      <c r="C693" s="39" t="n">
        <v>45693</v>
      </c>
      <c r="D693" s="7" t="s">
        <v>329</v>
      </c>
      <c r="E693" s="7" t="s">
        <v>156</v>
      </c>
      <c r="F693" s="7" t="s">
        <v>220</v>
      </c>
      <c r="G693" s="7" t="s">
        <v>505</v>
      </c>
      <c r="H693" s="6" t="n">
        <v>3.82</v>
      </c>
      <c r="I693" s="6" t="n">
        <v>0</v>
      </c>
      <c r="J693" s="40" t="n">
        <f aca="false">H693-I693</f>
        <v>3.82</v>
      </c>
      <c r="K693" s="41" t="n">
        <v>34</v>
      </c>
      <c r="L693" s="42" t="n">
        <f aca="false">J693*K693</f>
        <v>129.88</v>
      </c>
      <c r="M693" s="43" t="n">
        <f aca="false">H693*16.43*(1+'Chart of Accounts'!$E$67)</f>
        <v>71.863177</v>
      </c>
    </row>
    <row r="694" customFormat="false" ht="15" hidden="false" customHeight="false" outlineLevel="0" collapsed="false">
      <c r="B694" s="7" t="s">
        <v>1191</v>
      </c>
      <c r="C694" s="39" t="n">
        <v>45693</v>
      </c>
      <c r="D694" s="7" t="s">
        <v>335</v>
      </c>
      <c r="E694" s="7" t="s">
        <v>154</v>
      </c>
      <c r="F694" s="7" t="s">
        <v>177</v>
      </c>
      <c r="G694" s="7" t="s">
        <v>505</v>
      </c>
      <c r="H694" s="6" t="n">
        <v>4.36</v>
      </c>
      <c r="I694" s="6" t="n">
        <v>0.131</v>
      </c>
      <c r="J694" s="40" t="n">
        <f aca="false">H694-I694</f>
        <v>4.229</v>
      </c>
      <c r="K694" s="41" t="n">
        <v>26.5</v>
      </c>
      <c r="L694" s="42" t="n">
        <f aca="false">J694*K694</f>
        <v>112.0685</v>
      </c>
      <c r="M694" s="43" t="n">
        <f aca="false">H694*14.56*(1+'Chart of Accounts'!$E$67)</f>
        <v>72.686432</v>
      </c>
    </row>
    <row r="695" customFormat="false" ht="15" hidden="false" customHeight="false" outlineLevel="0" collapsed="false">
      <c r="B695" s="7" t="s">
        <v>1192</v>
      </c>
      <c r="C695" s="39" t="n">
        <v>45693</v>
      </c>
      <c r="D695" s="7" t="s">
        <v>339</v>
      </c>
      <c r="E695" s="7" t="s">
        <v>154</v>
      </c>
      <c r="F695" s="7" t="s">
        <v>242</v>
      </c>
      <c r="G695" s="7" t="s">
        <v>505</v>
      </c>
      <c r="H695" s="6" t="n">
        <v>3.52</v>
      </c>
      <c r="I695" s="6" t="n">
        <v>0</v>
      </c>
      <c r="J695" s="40" t="n">
        <f aca="false">H695-I695</f>
        <v>3.52</v>
      </c>
      <c r="K695" s="41" t="n">
        <v>26.5</v>
      </c>
      <c r="L695" s="42" t="n">
        <f aca="false">J695*K695</f>
        <v>93.28</v>
      </c>
      <c r="M695" s="43" t="n">
        <f aca="false">H695*17.99*(1+'Chart of Accounts'!$E$67)</f>
        <v>72.506896</v>
      </c>
    </row>
    <row r="696" customFormat="false" ht="15" hidden="false" customHeight="false" outlineLevel="0" collapsed="false">
      <c r="B696" s="7" t="s">
        <v>1193</v>
      </c>
      <c r="C696" s="39" t="n">
        <v>45693</v>
      </c>
      <c r="D696" s="7" t="s">
        <v>353</v>
      </c>
      <c r="E696" s="7" t="s">
        <v>154</v>
      </c>
      <c r="F696" s="7" t="s">
        <v>254</v>
      </c>
      <c r="G696" s="7" t="s">
        <v>505</v>
      </c>
      <c r="H696" s="6" t="n">
        <v>3.31</v>
      </c>
      <c r="I696" s="6" t="n">
        <v>0</v>
      </c>
      <c r="J696" s="40" t="n">
        <f aca="false">H696-I696</f>
        <v>3.31</v>
      </c>
      <c r="K696" s="41" t="n">
        <v>26.5</v>
      </c>
      <c r="L696" s="42" t="n">
        <f aca="false">J696*K696</f>
        <v>87.715</v>
      </c>
      <c r="M696" s="43" t="n">
        <f aca="false">H696*17.1*(1+'Chart of Accounts'!$E$67)</f>
        <v>64.808145</v>
      </c>
    </row>
    <row r="697" customFormat="false" ht="15" hidden="false" customHeight="false" outlineLevel="0" collapsed="false">
      <c r="B697" s="7" t="s">
        <v>1194</v>
      </c>
      <c r="C697" s="39" t="n">
        <v>45693</v>
      </c>
      <c r="D697" s="7" t="s">
        <v>355</v>
      </c>
      <c r="E697" s="7" t="s">
        <v>154</v>
      </c>
      <c r="F697" s="7" t="s">
        <v>201</v>
      </c>
      <c r="G697" s="7" t="s">
        <v>505</v>
      </c>
      <c r="H697" s="6" t="n">
        <v>3.04</v>
      </c>
      <c r="I697" s="6" t="n">
        <v>0</v>
      </c>
      <c r="J697" s="40" t="n">
        <f aca="false">H697-I697</f>
        <v>3.04</v>
      </c>
      <c r="K697" s="41" t="n">
        <v>26.5</v>
      </c>
      <c r="L697" s="42" t="n">
        <f aca="false">J697*K697</f>
        <v>80.56</v>
      </c>
      <c r="M697" s="43" t="n">
        <f aca="false">H697*15.19*(1+'Chart of Accounts'!$E$67)</f>
        <v>52.873352</v>
      </c>
    </row>
    <row r="698" customFormat="false" ht="15" hidden="false" customHeight="false" outlineLevel="0" collapsed="false">
      <c r="B698" s="7" t="s">
        <v>1195</v>
      </c>
      <c r="C698" s="39" t="n">
        <v>45693</v>
      </c>
      <c r="D698" s="7" t="s">
        <v>357</v>
      </c>
      <c r="E698" s="7" t="s">
        <v>154</v>
      </c>
      <c r="F698" s="7" t="s">
        <v>207</v>
      </c>
      <c r="G698" s="7" t="s">
        <v>505</v>
      </c>
      <c r="H698" s="6" t="n">
        <v>3.29</v>
      </c>
      <c r="I698" s="6" t="n">
        <v>0</v>
      </c>
      <c r="J698" s="40" t="n">
        <f aca="false">H698-I698</f>
        <v>3.29</v>
      </c>
      <c r="K698" s="41" t="n">
        <v>26.5</v>
      </c>
      <c r="L698" s="42" t="n">
        <f aca="false">J698*K698</f>
        <v>87.185</v>
      </c>
      <c r="M698" s="43" t="n">
        <f aca="false">H698*16.65*(1+'Chart of Accounts'!$E$67)</f>
        <v>62.7213825</v>
      </c>
    </row>
    <row r="699" customFormat="false" ht="15" hidden="false" customHeight="false" outlineLevel="0" collapsed="false">
      <c r="B699" s="7" t="s">
        <v>1196</v>
      </c>
      <c r="C699" s="39" t="n">
        <v>45693</v>
      </c>
      <c r="D699" s="7" t="s">
        <v>359</v>
      </c>
      <c r="E699" s="7" t="s">
        <v>156</v>
      </c>
      <c r="F699" s="7" t="s">
        <v>212</v>
      </c>
      <c r="G699" s="7" t="s">
        <v>505</v>
      </c>
      <c r="H699" s="6" t="n">
        <v>4.26</v>
      </c>
      <c r="I699" s="6" t="n">
        <v>0</v>
      </c>
      <c r="J699" s="40" t="n">
        <f aca="false">H699-I699</f>
        <v>4.26</v>
      </c>
      <c r="K699" s="41" t="n">
        <v>34</v>
      </c>
      <c r="L699" s="42" t="n">
        <f aca="false">J699*K699</f>
        <v>144.84</v>
      </c>
      <c r="M699" s="43" t="n">
        <f aca="false">H699*16.71*(1+'Chart of Accounts'!$E$67)</f>
        <v>81.506367</v>
      </c>
    </row>
    <row r="700" customFormat="false" ht="15" hidden="false" customHeight="false" outlineLevel="0" collapsed="false">
      <c r="B700" s="7" t="s">
        <v>1197</v>
      </c>
      <c r="C700" s="39" t="n">
        <v>45693</v>
      </c>
      <c r="D700" s="7" t="s">
        <v>371</v>
      </c>
      <c r="E700" s="7" t="s">
        <v>154</v>
      </c>
      <c r="F700" s="7" t="s">
        <v>232</v>
      </c>
      <c r="G700" s="7" t="s">
        <v>505</v>
      </c>
      <c r="H700" s="6" t="n">
        <v>4.73</v>
      </c>
      <c r="I700" s="6" t="n">
        <v>0</v>
      </c>
      <c r="J700" s="40" t="n">
        <f aca="false">H700-I700</f>
        <v>4.73</v>
      </c>
      <c r="K700" s="41" t="n">
        <v>26.5</v>
      </c>
      <c r="L700" s="42" t="n">
        <f aca="false">J700*K700</f>
        <v>125.345</v>
      </c>
      <c r="M700" s="43" t="n">
        <f aca="false">H700*16.17*(1+'Chart of Accounts'!$E$67)</f>
        <v>87.5742945</v>
      </c>
    </row>
    <row r="701" customFormat="false" ht="15" hidden="false" customHeight="false" outlineLevel="0" collapsed="false">
      <c r="B701" s="7" t="s">
        <v>1198</v>
      </c>
      <c r="C701" s="39" t="n">
        <v>45693</v>
      </c>
      <c r="D701" s="7" t="s">
        <v>379</v>
      </c>
      <c r="E701" s="7" t="s">
        <v>156</v>
      </c>
      <c r="F701" s="7" t="s">
        <v>224</v>
      </c>
      <c r="G701" s="7" t="s">
        <v>505</v>
      </c>
      <c r="H701" s="6" t="n">
        <v>4.84</v>
      </c>
      <c r="I701" s="6" t="n">
        <v>0</v>
      </c>
      <c r="J701" s="40" t="n">
        <f aca="false">H701-I701</f>
        <v>4.84</v>
      </c>
      <c r="K701" s="41" t="n">
        <v>34</v>
      </c>
      <c r="L701" s="42" t="n">
        <f aca="false">J701*K701</f>
        <v>164.56</v>
      </c>
      <c r="M701" s="43" t="n">
        <f aca="false">H701*14.93*(1+'Chart of Accounts'!$E$67)</f>
        <v>82.739074</v>
      </c>
    </row>
    <row r="702" customFormat="false" ht="15" hidden="false" customHeight="false" outlineLevel="0" collapsed="false">
      <c r="B702" s="7" t="s">
        <v>1199</v>
      </c>
      <c r="C702" s="39" t="n">
        <v>45693</v>
      </c>
      <c r="D702" s="7" t="s">
        <v>389</v>
      </c>
      <c r="E702" s="7" t="s">
        <v>154</v>
      </c>
      <c r="F702" s="7" t="s">
        <v>246</v>
      </c>
      <c r="G702" s="7" t="s">
        <v>505</v>
      </c>
      <c r="H702" s="6" t="n">
        <v>4.23</v>
      </c>
      <c r="I702" s="6" t="n">
        <v>0.127</v>
      </c>
      <c r="J702" s="40" t="n">
        <f aca="false">H702-I702</f>
        <v>4.103</v>
      </c>
      <c r="K702" s="41" t="n">
        <v>26.5</v>
      </c>
      <c r="L702" s="42" t="n">
        <f aca="false">J702*K702</f>
        <v>108.7295</v>
      </c>
      <c r="M702" s="43" t="n">
        <f aca="false">H702*16.48*(1+'Chart of Accounts'!$E$67)</f>
        <v>79.818408</v>
      </c>
    </row>
    <row r="703" customFormat="false" ht="15" hidden="false" customHeight="false" outlineLevel="0" collapsed="false">
      <c r="B703" s="7" t="s">
        <v>1200</v>
      </c>
      <c r="C703" s="39" t="n">
        <v>45693</v>
      </c>
      <c r="D703" s="7" t="s">
        <v>391</v>
      </c>
      <c r="E703" s="7" t="s">
        <v>156</v>
      </c>
      <c r="F703" s="7" t="s">
        <v>222</v>
      </c>
      <c r="G703" s="7" t="s">
        <v>505</v>
      </c>
      <c r="H703" s="6" t="n">
        <v>4.29</v>
      </c>
      <c r="I703" s="6" t="n">
        <v>0</v>
      </c>
      <c r="J703" s="40" t="n">
        <f aca="false">H703-I703</f>
        <v>4.29</v>
      </c>
      <c r="K703" s="41" t="n">
        <v>34</v>
      </c>
      <c r="L703" s="42" t="n">
        <f aca="false">J703*K703</f>
        <v>145.86</v>
      </c>
      <c r="M703" s="43" t="n">
        <f aca="false">H703*17.84*(1+'Chart of Accounts'!$E$67)</f>
        <v>87.630972</v>
      </c>
    </row>
    <row r="704" customFormat="false" ht="15" hidden="false" customHeight="false" outlineLevel="0" collapsed="false">
      <c r="B704" s="7" t="s">
        <v>1201</v>
      </c>
      <c r="C704" s="39" t="n">
        <v>45693</v>
      </c>
      <c r="D704" s="7" t="s">
        <v>393</v>
      </c>
      <c r="E704" s="7" t="s">
        <v>157</v>
      </c>
      <c r="F704" s="7" t="s">
        <v>203</v>
      </c>
      <c r="G704" s="7" t="s">
        <v>502</v>
      </c>
      <c r="H704" s="6" t="n">
        <v>1.09</v>
      </c>
      <c r="I704" s="6" t="n">
        <v>0</v>
      </c>
      <c r="J704" s="40" t="n">
        <f aca="false">H704-I704</f>
        <v>1.09</v>
      </c>
      <c r="K704" s="41" t="n">
        <v>165</v>
      </c>
      <c r="L704" s="42" t="n">
        <f aca="false">J704*K704</f>
        <v>179.85</v>
      </c>
      <c r="M704" s="43" t="n">
        <f aca="false">H704*49.43*(1+'Chart of Accounts'!$E$67)</f>
        <v>61.6911115</v>
      </c>
    </row>
    <row r="705" customFormat="false" ht="15" hidden="false" customHeight="false" outlineLevel="0" collapsed="false">
      <c r="B705" s="7" t="s">
        <v>1202</v>
      </c>
      <c r="C705" s="39" t="n">
        <v>45693</v>
      </c>
      <c r="D705" s="7" t="s">
        <v>395</v>
      </c>
      <c r="E705" s="7" t="s">
        <v>156</v>
      </c>
      <c r="F705" s="7" t="s">
        <v>242</v>
      </c>
      <c r="G705" s="7" t="s">
        <v>505</v>
      </c>
      <c r="H705" s="6" t="n">
        <v>3.71</v>
      </c>
      <c r="I705" s="6" t="n">
        <v>0</v>
      </c>
      <c r="J705" s="40" t="n">
        <f aca="false">H705-I705</f>
        <v>3.71</v>
      </c>
      <c r="K705" s="41" t="n">
        <v>34</v>
      </c>
      <c r="L705" s="42" t="n">
        <f aca="false">J705*K705</f>
        <v>126.14</v>
      </c>
      <c r="M705" s="43" t="n">
        <f aca="false">H705*17.99*(1+'Chart of Accounts'!$E$67)</f>
        <v>76.4206205</v>
      </c>
    </row>
    <row r="706" customFormat="false" ht="15" hidden="false" customHeight="false" outlineLevel="0" collapsed="false">
      <c r="B706" s="7" t="s">
        <v>1203</v>
      </c>
      <c r="C706" s="39" t="n">
        <v>45693</v>
      </c>
      <c r="D706" s="7" t="s">
        <v>399</v>
      </c>
      <c r="E706" s="7" t="s">
        <v>154</v>
      </c>
      <c r="F706" s="7" t="s">
        <v>262</v>
      </c>
      <c r="G706" s="7" t="s">
        <v>505</v>
      </c>
      <c r="H706" s="6" t="n">
        <v>3.62</v>
      </c>
      <c r="I706" s="6" t="n">
        <v>0</v>
      </c>
      <c r="J706" s="40" t="n">
        <f aca="false">H706-I706</f>
        <v>3.62</v>
      </c>
      <c r="K706" s="41" t="n">
        <v>26.5</v>
      </c>
      <c r="L706" s="42" t="n">
        <f aca="false">J706*K706</f>
        <v>95.93</v>
      </c>
      <c r="M706" s="43" t="n">
        <f aca="false">H706*16.02*(1+'Chart of Accounts'!$E$67)</f>
        <v>66.401298</v>
      </c>
    </row>
    <row r="707" customFormat="false" ht="15" hidden="false" customHeight="false" outlineLevel="0" collapsed="false">
      <c r="B707" s="7" t="s">
        <v>1204</v>
      </c>
      <c r="C707" s="39" t="n">
        <v>45693</v>
      </c>
      <c r="D707" s="7" t="s">
        <v>401</v>
      </c>
      <c r="E707" s="7" t="s">
        <v>156</v>
      </c>
      <c r="F707" s="7" t="s">
        <v>254</v>
      </c>
      <c r="G707" s="7" t="s">
        <v>505</v>
      </c>
      <c r="H707" s="6" t="n">
        <v>3.8</v>
      </c>
      <c r="I707" s="6" t="n">
        <v>0</v>
      </c>
      <c r="J707" s="40" t="n">
        <f aca="false">H707-I707</f>
        <v>3.8</v>
      </c>
      <c r="K707" s="41" t="n">
        <v>34</v>
      </c>
      <c r="L707" s="42" t="n">
        <f aca="false">J707*K707</f>
        <v>129.2</v>
      </c>
      <c r="M707" s="43" t="n">
        <f aca="false">H707*17.1*(1+'Chart of Accounts'!$E$67)</f>
        <v>74.4021</v>
      </c>
    </row>
    <row r="708" customFormat="false" ht="15" hidden="false" customHeight="false" outlineLevel="0" collapsed="false">
      <c r="B708" s="7" t="s">
        <v>1205</v>
      </c>
      <c r="C708" s="39" t="n">
        <v>45693</v>
      </c>
      <c r="D708" s="7" t="s">
        <v>409</v>
      </c>
      <c r="E708" s="7" t="s">
        <v>154</v>
      </c>
      <c r="F708" s="7" t="s">
        <v>214</v>
      </c>
      <c r="G708" s="7" t="s">
        <v>505</v>
      </c>
      <c r="H708" s="6" t="n">
        <v>3.11</v>
      </c>
      <c r="I708" s="6" t="n">
        <v>0</v>
      </c>
      <c r="J708" s="40" t="n">
        <f aca="false">H708-I708</f>
        <v>3.11</v>
      </c>
      <c r="K708" s="41" t="n">
        <v>26.5</v>
      </c>
      <c r="L708" s="42" t="n">
        <f aca="false">J708*K708</f>
        <v>82.415</v>
      </c>
      <c r="M708" s="43" t="n">
        <f aca="false">H708*15.67*(1+'Chart of Accounts'!$E$67)</f>
        <v>55.8000865</v>
      </c>
    </row>
    <row r="709" customFormat="false" ht="15" hidden="false" customHeight="false" outlineLevel="0" collapsed="false">
      <c r="B709" s="7" t="s">
        <v>1206</v>
      </c>
      <c r="C709" s="39" t="n">
        <v>45693</v>
      </c>
      <c r="D709" s="7" t="s">
        <v>411</v>
      </c>
      <c r="E709" s="7" t="s">
        <v>154</v>
      </c>
      <c r="F709" s="7" t="s">
        <v>177</v>
      </c>
      <c r="G709" s="7" t="s">
        <v>505</v>
      </c>
      <c r="H709" s="6" t="n">
        <v>4.85</v>
      </c>
      <c r="I709" s="6" t="n">
        <v>0</v>
      </c>
      <c r="J709" s="40" t="n">
        <f aca="false">H709-I709</f>
        <v>4.85</v>
      </c>
      <c r="K709" s="41" t="n">
        <v>26.5</v>
      </c>
      <c r="L709" s="42" t="n">
        <f aca="false">J709*K709</f>
        <v>128.525</v>
      </c>
      <c r="M709" s="43" t="n">
        <f aca="false">H709*14.56*(1+'Chart of Accounts'!$E$67)</f>
        <v>80.85532</v>
      </c>
    </row>
    <row r="710" customFormat="false" ht="15" hidden="false" customHeight="false" outlineLevel="0" collapsed="false">
      <c r="B710" s="7" t="s">
        <v>1207</v>
      </c>
      <c r="C710" s="39" t="n">
        <v>45694</v>
      </c>
      <c r="D710" s="7" t="s">
        <v>297</v>
      </c>
      <c r="E710" s="7" t="s">
        <v>156</v>
      </c>
      <c r="F710" s="7" t="s">
        <v>201</v>
      </c>
      <c r="G710" s="7" t="s">
        <v>505</v>
      </c>
      <c r="H710" s="6" t="n">
        <v>2.75</v>
      </c>
      <c r="I710" s="6" t="n">
        <v>0</v>
      </c>
      <c r="J710" s="40" t="n">
        <f aca="false">H710-I710</f>
        <v>2.75</v>
      </c>
      <c r="K710" s="41" t="n">
        <v>34</v>
      </c>
      <c r="L710" s="42" t="n">
        <f aca="false">J710*K710</f>
        <v>93.5</v>
      </c>
      <c r="M710" s="43" t="n">
        <f aca="false">H710*15.19*(1+'Chart of Accounts'!$E$67)</f>
        <v>47.8295125</v>
      </c>
    </row>
    <row r="711" customFormat="false" ht="15" hidden="false" customHeight="false" outlineLevel="0" collapsed="false">
      <c r="B711" s="7" t="s">
        <v>1208</v>
      </c>
      <c r="C711" s="39" t="n">
        <v>45694</v>
      </c>
      <c r="D711" s="7" t="s">
        <v>313</v>
      </c>
      <c r="E711" s="7" t="s">
        <v>156</v>
      </c>
      <c r="F711" s="7" t="s">
        <v>184</v>
      </c>
      <c r="G711" s="7" t="s">
        <v>505</v>
      </c>
      <c r="H711" s="6" t="n">
        <v>4.25</v>
      </c>
      <c r="I711" s="6" t="n">
        <v>0</v>
      </c>
      <c r="J711" s="40" t="n">
        <f aca="false">H711-I711</f>
        <v>4.25</v>
      </c>
      <c r="K711" s="41" t="n">
        <v>34</v>
      </c>
      <c r="L711" s="42" t="n">
        <f aca="false">J711*K711</f>
        <v>144.5</v>
      </c>
      <c r="M711" s="43" t="n">
        <f aca="false">H711*17.34*(1+'Chart of Accounts'!$E$67)</f>
        <v>84.380775</v>
      </c>
    </row>
    <row r="712" customFormat="false" ht="15" hidden="false" customHeight="false" outlineLevel="0" collapsed="false">
      <c r="B712" s="7" t="s">
        <v>1209</v>
      </c>
      <c r="C712" s="39" t="n">
        <v>45694</v>
      </c>
      <c r="D712" s="7" t="s">
        <v>317</v>
      </c>
      <c r="E712" s="7" t="s">
        <v>156</v>
      </c>
      <c r="F712" s="7" t="s">
        <v>207</v>
      </c>
      <c r="G712" s="7" t="s">
        <v>505</v>
      </c>
      <c r="H712" s="6" t="n">
        <v>2.78</v>
      </c>
      <c r="I712" s="6" t="n">
        <v>0</v>
      </c>
      <c r="J712" s="40" t="n">
        <f aca="false">H712-I712</f>
        <v>2.78</v>
      </c>
      <c r="K712" s="41" t="n">
        <v>34</v>
      </c>
      <c r="L712" s="42" t="n">
        <f aca="false">J712*K712</f>
        <v>94.52</v>
      </c>
      <c r="M712" s="43" t="n">
        <f aca="false">H712*16.65*(1+'Chart of Accounts'!$E$67)</f>
        <v>52.998615</v>
      </c>
    </row>
    <row r="713" customFormat="false" ht="15" hidden="false" customHeight="false" outlineLevel="0" collapsed="false">
      <c r="B713" s="7" t="s">
        <v>1210</v>
      </c>
      <c r="C713" s="39" t="n">
        <v>45694</v>
      </c>
      <c r="D713" s="7" t="s">
        <v>321</v>
      </c>
      <c r="E713" s="7" t="s">
        <v>154</v>
      </c>
      <c r="F713" s="7" t="s">
        <v>218</v>
      </c>
      <c r="G713" s="7" t="s">
        <v>505</v>
      </c>
      <c r="H713" s="6" t="n">
        <v>4.18</v>
      </c>
      <c r="I713" s="6" t="n">
        <v>0</v>
      </c>
      <c r="J713" s="40" t="n">
        <f aca="false">H713-I713</f>
        <v>4.18</v>
      </c>
      <c r="K713" s="41" t="n">
        <v>26.5</v>
      </c>
      <c r="L713" s="42" t="n">
        <f aca="false">J713*K713</f>
        <v>110.77</v>
      </c>
      <c r="M713" s="43" t="n">
        <f aca="false">H713*16.19*(1+'Chart of Accounts'!$E$67)</f>
        <v>77.486959</v>
      </c>
    </row>
    <row r="714" customFormat="false" ht="15" hidden="false" customHeight="false" outlineLevel="0" collapsed="false">
      <c r="B714" s="7" t="s">
        <v>1211</v>
      </c>
      <c r="C714" s="39" t="n">
        <v>45694</v>
      </c>
      <c r="D714" s="7" t="s">
        <v>325</v>
      </c>
      <c r="E714" s="7" t="s">
        <v>154</v>
      </c>
      <c r="F714" s="7" t="s">
        <v>212</v>
      </c>
      <c r="G714" s="7" t="s">
        <v>505</v>
      </c>
      <c r="H714" s="6" t="n">
        <v>3.23</v>
      </c>
      <c r="I714" s="6" t="n">
        <v>0</v>
      </c>
      <c r="J714" s="40" t="n">
        <f aca="false">H714-I714</f>
        <v>3.23</v>
      </c>
      <c r="K714" s="41" t="n">
        <v>26.5</v>
      </c>
      <c r="L714" s="42" t="n">
        <f aca="false">J714*K714</f>
        <v>85.595</v>
      </c>
      <c r="M714" s="43" t="n">
        <f aca="false">H714*16.71*(1+'Chart of Accounts'!$E$67)</f>
        <v>61.7994285</v>
      </c>
    </row>
    <row r="715" customFormat="false" ht="15" hidden="false" customHeight="false" outlineLevel="0" collapsed="false">
      <c r="B715" s="7" t="s">
        <v>1212</v>
      </c>
      <c r="C715" s="39" t="n">
        <v>45694</v>
      </c>
      <c r="D715" s="7" t="s">
        <v>329</v>
      </c>
      <c r="E715" s="7" t="s">
        <v>156</v>
      </c>
      <c r="F715" s="7" t="s">
        <v>220</v>
      </c>
      <c r="G715" s="7" t="s">
        <v>505</v>
      </c>
      <c r="H715" s="6" t="n">
        <v>4.2</v>
      </c>
      <c r="I715" s="6" t="n">
        <v>0</v>
      </c>
      <c r="J715" s="40" t="n">
        <f aca="false">H715-I715</f>
        <v>4.2</v>
      </c>
      <c r="K715" s="41" t="n">
        <v>34</v>
      </c>
      <c r="L715" s="42" t="n">
        <f aca="false">J715*K715</f>
        <v>142.8</v>
      </c>
      <c r="M715" s="43" t="n">
        <f aca="false">H715*16.43*(1+'Chart of Accounts'!$E$67)</f>
        <v>79.01187</v>
      </c>
    </row>
    <row r="716" customFormat="false" ht="15" hidden="false" customHeight="false" outlineLevel="0" collapsed="false">
      <c r="B716" s="7" t="s">
        <v>1213</v>
      </c>
      <c r="C716" s="39" t="n">
        <v>45694</v>
      </c>
      <c r="D716" s="7" t="s">
        <v>331</v>
      </c>
      <c r="E716" s="7" t="s">
        <v>156</v>
      </c>
      <c r="F716" s="7" t="s">
        <v>224</v>
      </c>
      <c r="G716" s="7" t="s">
        <v>505</v>
      </c>
      <c r="H716" s="6" t="n">
        <v>3.71</v>
      </c>
      <c r="I716" s="6" t="n">
        <v>0</v>
      </c>
      <c r="J716" s="40" t="n">
        <f aca="false">H716-I716</f>
        <v>3.71</v>
      </c>
      <c r="K716" s="41" t="n">
        <v>34</v>
      </c>
      <c r="L716" s="42" t="n">
        <f aca="false">J716*K716</f>
        <v>126.14</v>
      </c>
      <c r="M716" s="43" t="n">
        <f aca="false">H716*14.93*(1+'Chart of Accounts'!$E$67)</f>
        <v>63.4218935</v>
      </c>
    </row>
    <row r="717" customFormat="false" ht="15" hidden="false" customHeight="false" outlineLevel="0" collapsed="false">
      <c r="B717" s="7" t="s">
        <v>1214</v>
      </c>
      <c r="C717" s="39" t="n">
        <v>45694</v>
      </c>
      <c r="D717" s="7" t="s">
        <v>337</v>
      </c>
      <c r="E717" s="7" t="s">
        <v>154</v>
      </c>
      <c r="F717" s="7" t="s">
        <v>232</v>
      </c>
      <c r="G717" s="7" t="s">
        <v>505</v>
      </c>
      <c r="H717" s="6" t="n">
        <v>3.09</v>
      </c>
      <c r="I717" s="6" t="n">
        <v>0</v>
      </c>
      <c r="J717" s="40" t="n">
        <f aca="false">H717-I717</f>
        <v>3.09</v>
      </c>
      <c r="K717" s="41" t="n">
        <v>26.5</v>
      </c>
      <c r="L717" s="42" t="n">
        <f aca="false">J717*K717</f>
        <v>81.885</v>
      </c>
      <c r="M717" s="43" t="n">
        <f aca="false">H717*16.17*(1+'Chart of Accounts'!$E$67)</f>
        <v>57.2102685</v>
      </c>
    </row>
    <row r="718" customFormat="false" ht="15" hidden="false" customHeight="false" outlineLevel="0" collapsed="false">
      <c r="B718" s="7" t="s">
        <v>1215</v>
      </c>
      <c r="C718" s="39" t="n">
        <v>45694</v>
      </c>
      <c r="D718" s="7" t="s">
        <v>341</v>
      </c>
      <c r="E718" s="7" t="s">
        <v>156</v>
      </c>
      <c r="F718" s="7" t="s">
        <v>222</v>
      </c>
      <c r="G718" s="7" t="s">
        <v>505</v>
      </c>
      <c r="H718" s="6" t="n">
        <v>3.08</v>
      </c>
      <c r="I718" s="6" t="n">
        <v>0</v>
      </c>
      <c r="J718" s="40" t="n">
        <f aca="false">H718-I718</f>
        <v>3.08</v>
      </c>
      <c r="K718" s="41" t="n">
        <v>34</v>
      </c>
      <c r="L718" s="42" t="n">
        <f aca="false">J718*K718</f>
        <v>104.72</v>
      </c>
      <c r="M718" s="43" t="n">
        <f aca="false">H718*17.84*(1+'Chart of Accounts'!$E$67)</f>
        <v>62.914544</v>
      </c>
    </row>
    <row r="719" customFormat="false" ht="15" hidden="false" customHeight="false" outlineLevel="0" collapsed="false">
      <c r="B719" s="7" t="s">
        <v>1216</v>
      </c>
      <c r="C719" s="39" t="n">
        <v>45694</v>
      </c>
      <c r="D719" s="7" t="s">
        <v>343</v>
      </c>
      <c r="E719" s="7" t="s">
        <v>154</v>
      </c>
      <c r="F719" s="7" t="s">
        <v>262</v>
      </c>
      <c r="G719" s="7" t="s">
        <v>505</v>
      </c>
      <c r="H719" s="6" t="n">
        <v>4.15</v>
      </c>
      <c r="I719" s="6" t="n">
        <v>0.124</v>
      </c>
      <c r="J719" s="40" t="n">
        <f aca="false">H719-I719</f>
        <v>4.026</v>
      </c>
      <c r="K719" s="41" t="n">
        <v>26.5</v>
      </c>
      <c r="L719" s="42" t="n">
        <f aca="false">J719*K719</f>
        <v>106.689</v>
      </c>
      <c r="M719" s="43" t="n">
        <f aca="false">H719*16.02*(1+'Chart of Accounts'!$E$67)</f>
        <v>76.123035</v>
      </c>
    </row>
    <row r="720" customFormat="false" ht="15" hidden="false" customHeight="false" outlineLevel="0" collapsed="false">
      <c r="B720" s="7" t="s">
        <v>1217</v>
      </c>
      <c r="C720" s="39" t="n">
        <v>45694</v>
      </c>
      <c r="D720" s="7" t="s">
        <v>359</v>
      </c>
      <c r="E720" s="7" t="s">
        <v>156</v>
      </c>
      <c r="F720" s="7" t="s">
        <v>212</v>
      </c>
      <c r="G720" s="7" t="s">
        <v>505</v>
      </c>
      <c r="H720" s="6" t="n">
        <v>3.68</v>
      </c>
      <c r="I720" s="6" t="n">
        <v>0</v>
      </c>
      <c r="J720" s="40" t="n">
        <f aca="false">H720-I720</f>
        <v>3.68</v>
      </c>
      <c r="K720" s="41" t="n">
        <v>34</v>
      </c>
      <c r="L720" s="42" t="n">
        <f aca="false">J720*K720</f>
        <v>125.12</v>
      </c>
      <c r="M720" s="43" t="n">
        <f aca="false">H720*16.71*(1+'Chart of Accounts'!$E$67)</f>
        <v>70.409256</v>
      </c>
    </row>
    <row r="721" customFormat="false" ht="15" hidden="false" customHeight="false" outlineLevel="0" collapsed="false">
      <c r="B721" s="7" t="s">
        <v>1218</v>
      </c>
      <c r="C721" s="39" t="n">
        <v>45694</v>
      </c>
      <c r="D721" s="7" t="s">
        <v>363</v>
      </c>
      <c r="E721" s="7" t="s">
        <v>156</v>
      </c>
      <c r="F721" s="7" t="s">
        <v>246</v>
      </c>
      <c r="G721" s="7" t="s">
        <v>505</v>
      </c>
      <c r="H721" s="6" t="n">
        <v>3.91</v>
      </c>
      <c r="I721" s="6" t="n">
        <v>0</v>
      </c>
      <c r="J721" s="40" t="n">
        <f aca="false">H721-I721</f>
        <v>3.91</v>
      </c>
      <c r="K721" s="41" t="n">
        <v>34</v>
      </c>
      <c r="L721" s="42" t="n">
        <f aca="false">J721*K721</f>
        <v>132.94</v>
      </c>
      <c r="M721" s="43" t="n">
        <f aca="false">H721*16.48*(1+'Chart of Accounts'!$E$67)</f>
        <v>73.780136</v>
      </c>
    </row>
    <row r="722" customFormat="false" ht="15" hidden="false" customHeight="false" outlineLevel="0" collapsed="false">
      <c r="B722" s="7" t="s">
        <v>1219</v>
      </c>
      <c r="C722" s="39" t="n">
        <v>45694</v>
      </c>
      <c r="D722" s="7" t="s">
        <v>375</v>
      </c>
      <c r="E722" s="7" t="s">
        <v>156</v>
      </c>
      <c r="F722" s="7" t="s">
        <v>196</v>
      </c>
      <c r="G722" s="7" t="s">
        <v>505</v>
      </c>
      <c r="H722" s="6" t="n">
        <v>2.78</v>
      </c>
      <c r="I722" s="6" t="n">
        <v>0</v>
      </c>
      <c r="J722" s="40" t="n">
        <f aca="false">H722-I722</f>
        <v>2.78</v>
      </c>
      <c r="K722" s="41" t="n">
        <v>34</v>
      </c>
      <c r="L722" s="42" t="n">
        <f aca="false">J722*K722</f>
        <v>94.52</v>
      </c>
      <c r="M722" s="43" t="n">
        <f aca="false">H722*15.05*(1+'Chart of Accounts'!$E$67)</f>
        <v>47.905655</v>
      </c>
    </row>
    <row r="723" customFormat="false" ht="15" hidden="false" customHeight="false" outlineLevel="0" collapsed="false">
      <c r="B723" s="7" t="s">
        <v>1220</v>
      </c>
      <c r="C723" s="39" t="n">
        <v>45694</v>
      </c>
      <c r="D723" s="7" t="s">
        <v>377</v>
      </c>
      <c r="E723" s="7" t="s">
        <v>154</v>
      </c>
      <c r="F723" s="7" t="s">
        <v>214</v>
      </c>
      <c r="G723" s="7" t="s">
        <v>505</v>
      </c>
      <c r="H723" s="6" t="n">
        <v>4.04</v>
      </c>
      <c r="I723" s="6" t="n">
        <v>0</v>
      </c>
      <c r="J723" s="40" t="n">
        <f aca="false">H723-I723</f>
        <v>4.04</v>
      </c>
      <c r="K723" s="41" t="n">
        <v>26.5</v>
      </c>
      <c r="L723" s="42" t="n">
        <f aca="false">J723*K723</f>
        <v>107.06</v>
      </c>
      <c r="M723" s="43" t="n">
        <f aca="false">H723*15.67*(1+'Chart of Accounts'!$E$67)</f>
        <v>72.486286</v>
      </c>
    </row>
    <row r="724" customFormat="false" ht="15" hidden="false" customHeight="false" outlineLevel="0" collapsed="false">
      <c r="B724" s="7" t="s">
        <v>1221</v>
      </c>
      <c r="C724" s="39" t="n">
        <v>45694</v>
      </c>
      <c r="D724" s="7" t="s">
        <v>389</v>
      </c>
      <c r="E724" s="7" t="s">
        <v>154</v>
      </c>
      <c r="F724" s="7" t="s">
        <v>246</v>
      </c>
      <c r="G724" s="7" t="s">
        <v>505</v>
      </c>
      <c r="H724" s="6" t="n">
        <v>4.22</v>
      </c>
      <c r="I724" s="6" t="n">
        <v>0</v>
      </c>
      <c r="J724" s="40" t="n">
        <f aca="false">H724-I724</f>
        <v>4.22</v>
      </c>
      <c r="K724" s="41" t="n">
        <v>26.5</v>
      </c>
      <c r="L724" s="42" t="n">
        <f aca="false">J724*K724</f>
        <v>111.83</v>
      </c>
      <c r="M724" s="43" t="n">
        <f aca="false">H724*16.48*(1+'Chart of Accounts'!$E$67)</f>
        <v>79.629712</v>
      </c>
    </row>
    <row r="725" customFormat="false" ht="15" hidden="false" customHeight="false" outlineLevel="0" collapsed="false">
      <c r="B725" s="7" t="s">
        <v>1222</v>
      </c>
      <c r="C725" s="39" t="n">
        <v>45694</v>
      </c>
      <c r="D725" s="7" t="s">
        <v>391</v>
      </c>
      <c r="E725" s="7" t="s">
        <v>156</v>
      </c>
      <c r="F725" s="7" t="s">
        <v>222</v>
      </c>
      <c r="G725" s="7" t="s">
        <v>505</v>
      </c>
      <c r="H725" s="6" t="n">
        <v>4.13</v>
      </c>
      <c r="I725" s="6" t="n">
        <v>0</v>
      </c>
      <c r="J725" s="40" t="n">
        <f aca="false">H725-I725</f>
        <v>4.13</v>
      </c>
      <c r="K725" s="41" t="n">
        <v>34</v>
      </c>
      <c r="L725" s="42" t="n">
        <f aca="false">J725*K725</f>
        <v>140.42</v>
      </c>
      <c r="M725" s="43" t="n">
        <f aca="false">H725*17.84*(1+'Chart of Accounts'!$E$67)</f>
        <v>84.362684</v>
      </c>
    </row>
    <row r="726" customFormat="false" ht="15" hidden="false" customHeight="false" outlineLevel="0" collapsed="false">
      <c r="B726" s="7" t="s">
        <v>1223</v>
      </c>
      <c r="C726" s="39" t="n">
        <v>45694</v>
      </c>
      <c r="D726" s="7" t="s">
        <v>395</v>
      </c>
      <c r="E726" s="7" t="s">
        <v>156</v>
      </c>
      <c r="F726" s="7" t="s">
        <v>242</v>
      </c>
      <c r="G726" s="7" t="s">
        <v>505</v>
      </c>
      <c r="H726" s="6" t="n">
        <v>4.01</v>
      </c>
      <c r="I726" s="6" t="n">
        <v>0</v>
      </c>
      <c r="J726" s="40" t="n">
        <f aca="false">H726-I726</f>
        <v>4.01</v>
      </c>
      <c r="K726" s="41" t="n">
        <v>34</v>
      </c>
      <c r="L726" s="42" t="n">
        <f aca="false">J726*K726</f>
        <v>136.34</v>
      </c>
      <c r="M726" s="43" t="n">
        <f aca="false">H726*17.99*(1+'Chart of Accounts'!$E$67)</f>
        <v>82.6001855</v>
      </c>
    </row>
    <row r="727" customFormat="false" ht="15" hidden="false" customHeight="false" outlineLevel="0" collapsed="false">
      <c r="B727" s="7" t="s">
        <v>1224</v>
      </c>
      <c r="C727" s="39" t="n">
        <v>45694</v>
      </c>
      <c r="D727" s="7" t="s">
        <v>401</v>
      </c>
      <c r="E727" s="7" t="s">
        <v>156</v>
      </c>
      <c r="F727" s="7" t="s">
        <v>254</v>
      </c>
      <c r="G727" s="7" t="s">
        <v>505</v>
      </c>
      <c r="H727" s="6" t="n">
        <v>3.64</v>
      </c>
      <c r="I727" s="6" t="n">
        <v>0</v>
      </c>
      <c r="J727" s="40" t="n">
        <f aca="false">H727-I727</f>
        <v>3.64</v>
      </c>
      <c r="K727" s="41" t="n">
        <v>34</v>
      </c>
      <c r="L727" s="42" t="n">
        <f aca="false">J727*K727</f>
        <v>123.76</v>
      </c>
      <c r="M727" s="43" t="n">
        <f aca="false">H727*17.1*(1+'Chart of Accounts'!$E$67)</f>
        <v>71.26938</v>
      </c>
    </row>
    <row r="728" customFormat="false" ht="15" hidden="false" customHeight="false" outlineLevel="0" collapsed="false">
      <c r="B728" s="7" t="s">
        <v>1225</v>
      </c>
      <c r="C728" s="39" t="n">
        <v>45695</v>
      </c>
      <c r="D728" s="7" t="s">
        <v>280</v>
      </c>
      <c r="E728" s="7" t="s">
        <v>157</v>
      </c>
      <c r="F728" s="7" t="s">
        <v>187</v>
      </c>
      <c r="G728" s="7" t="s">
        <v>502</v>
      </c>
      <c r="H728" s="6" t="n">
        <v>1</v>
      </c>
      <c r="I728" s="6" t="n">
        <v>0</v>
      </c>
      <c r="J728" s="40" t="n">
        <f aca="false">H728-I728</f>
        <v>1</v>
      </c>
      <c r="K728" s="41" t="n">
        <v>165</v>
      </c>
      <c r="L728" s="42" t="n">
        <f aca="false">J728*K728</f>
        <v>165</v>
      </c>
      <c r="M728" s="43" t="n">
        <f aca="false">H728*66.48*(1+'Chart of Accounts'!$E$67)</f>
        <v>76.1196</v>
      </c>
    </row>
    <row r="729" customFormat="false" ht="15" hidden="false" customHeight="false" outlineLevel="0" collapsed="false">
      <c r="B729" s="7" t="s">
        <v>1226</v>
      </c>
      <c r="C729" s="39" t="n">
        <v>45695</v>
      </c>
      <c r="D729" s="7" t="s">
        <v>288</v>
      </c>
      <c r="E729" s="7" t="s">
        <v>156</v>
      </c>
      <c r="F729" s="7" t="s">
        <v>191</v>
      </c>
      <c r="G729" s="7" t="s">
        <v>505</v>
      </c>
      <c r="H729" s="6" t="n">
        <v>4.08</v>
      </c>
      <c r="I729" s="6" t="n">
        <v>0</v>
      </c>
      <c r="J729" s="40" t="n">
        <f aca="false">H729-I729</f>
        <v>4.08</v>
      </c>
      <c r="K729" s="41" t="n">
        <v>34</v>
      </c>
      <c r="L729" s="42" t="n">
        <f aca="false">J729*K729</f>
        <v>138.72</v>
      </c>
      <c r="M729" s="43" t="n">
        <f aca="false">H729*16.05*(1+'Chart of Accounts'!$E$67)</f>
        <v>74.97918</v>
      </c>
    </row>
    <row r="730" customFormat="false" ht="15" hidden="false" customHeight="false" outlineLevel="0" collapsed="false">
      <c r="B730" s="7" t="s">
        <v>1227</v>
      </c>
      <c r="C730" s="39" t="n">
        <v>45695</v>
      </c>
      <c r="D730" s="7" t="s">
        <v>291</v>
      </c>
      <c r="E730" s="7" t="s">
        <v>154</v>
      </c>
      <c r="F730" s="7" t="s">
        <v>194</v>
      </c>
      <c r="G730" s="7" t="s">
        <v>505</v>
      </c>
      <c r="H730" s="6" t="n">
        <v>5.12</v>
      </c>
      <c r="I730" s="6" t="n">
        <v>0.154</v>
      </c>
      <c r="J730" s="40" t="n">
        <f aca="false">H730-I730</f>
        <v>4.966</v>
      </c>
      <c r="K730" s="41" t="n">
        <v>26.5</v>
      </c>
      <c r="L730" s="42" t="n">
        <f aca="false">J730*K730</f>
        <v>131.599</v>
      </c>
      <c r="M730" s="43" t="n">
        <f aca="false">H730*16*(1+'Chart of Accounts'!$E$67)</f>
        <v>93.7984</v>
      </c>
    </row>
    <row r="731" customFormat="false" ht="15" hidden="false" customHeight="false" outlineLevel="0" collapsed="false">
      <c r="B731" s="7" t="s">
        <v>1228</v>
      </c>
      <c r="C731" s="39" t="n">
        <v>45695</v>
      </c>
      <c r="D731" s="7" t="s">
        <v>301</v>
      </c>
      <c r="E731" s="7" t="s">
        <v>157</v>
      </c>
      <c r="F731" s="7" t="s">
        <v>209</v>
      </c>
      <c r="G731" s="7" t="s">
        <v>502</v>
      </c>
      <c r="H731" s="6" t="n">
        <v>1.07</v>
      </c>
      <c r="I731" s="6" t="n">
        <v>0</v>
      </c>
      <c r="J731" s="40" t="n">
        <f aca="false">H731-I731</f>
        <v>1.07</v>
      </c>
      <c r="K731" s="41" t="n">
        <v>165</v>
      </c>
      <c r="L731" s="42" t="n">
        <f aca="false">J731*K731</f>
        <v>176.55</v>
      </c>
      <c r="M731" s="43" t="n">
        <f aca="false">H731*73.58*(1+'Chart of Accounts'!$E$67)</f>
        <v>90.146537</v>
      </c>
    </row>
    <row r="732" customFormat="false" ht="15" hidden="false" customHeight="false" outlineLevel="0" collapsed="false">
      <c r="B732" s="7" t="s">
        <v>1229</v>
      </c>
      <c r="C732" s="39" t="n">
        <v>45695</v>
      </c>
      <c r="D732" s="7" t="s">
        <v>305</v>
      </c>
      <c r="E732" s="7" t="s">
        <v>154</v>
      </c>
      <c r="F732" s="7" t="s">
        <v>205</v>
      </c>
      <c r="G732" s="7" t="s">
        <v>505</v>
      </c>
      <c r="H732" s="6" t="n">
        <v>4.15</v>
      </c>
      <c r="I732" s="6" t="n">
        <v>0</v>
      </c>
      <c r="J732" s="40" t="n">
        <f aca="false">H732-I732</f>
        <v>4.15</v>
      </c>
      <c r="K732" s="41" t="n">
        <v>26.5</v>
      </c>
      <c r="L732" s="42" t="n">
        <f aca="false">J732*K732</f>
        <v>109.975</v>
      </c>
      <c r="M732" s="43" t="n">
        <f aca="false">H732*16.36*(1+'Chart of Accounts'!$E$67)</f>
        <v>77.73863</v>
      </c>
    </row>
    <row r="733" customFormat="false" ht="15" hidden="false" customHeight="false" outlineLevel="0" collapsed="false">
      <c r="B733" s="7" t="s">
        <v>1230</v>
      </c>
      <c r="C733" s="39" t="n">
        <v>45695</v>
      </c>
      <c r="D733" s="7" t="s">
        <v>313</v>
      </c>
      <c r="E733" s="7" t="s">
        <v>156</v>
      </c>
      <c r="F733" s="7" t="s">
        <v>184</v>
      </c>
      <c r="G733" s="7" t="s">
        <v>505</v>
      </c>
      <c r="H733" s="6" t="n">
        <v>3.61</v>
      </c>
      <c r="I733" s="6" t="n">
        <v>0</v>
      </c>
      <c r="J733" s="40" t="n">
        <f aca="false">H733-I733</f>
        <v>3.61</v>
      </c>
      <c r="K733" s="41" t="n">
        <v>34</v>
      </c>
      <c r="L733" s="42" t="n">
        <f aca="false">J733*K733</f>
        <v>122.74</v>
      </c>
      <c r="M733" s="43" t="n">
        <f aca="false">H733*17.34*(1+'Chart of Accounts'!$E$67)</f>
        <v>71.674023</v>
      </c>
    </row>
    <row r="734" customFormat="false" ht="15" hidden="false" customHeight="false" outlineLevel="0" collapsed="false">
      <c r="B734" s="7" t="s">
        <v>1231</v>
      </c>
      <c r="C734" s="39" t="n">
        <v>45695</v>
      </c>
      <c r="D734" s="7" t="s">
        <v>319</v>
      </c>
      <c r="E734" s="7" t="s">
        <v>157</v>
      </c>
      <c r="F734" s="7" t="s">
        <v>234</v>
      </c>
      <c r="G734" s="7" t="s">
        <v>502</v>
      </c>
      <c r="H734" s="6" t="n">
        <v>1.09</v>
      </c>
      <c r="I734" s="6" t="n">
        <v>0</v>
      </c>
      <c r="J734" s="40" t="n">
        <f aca="false">H734-I734</f>
        <v>1.09</v>
      </c>
      <c r="K734" s="41" t="n">
        <v>165</v>
      </c>
      <c r="L734" s="42" t="n">
        <f aca="false">J734*K734</f>
        <v>179.85</v>
      </c>
      <c r="M734" s="43" t="n">
        <f aca="false">H734*89.53*(1+'Chart of Accounts'!$E$67)</f>
        <v>111.7379165</v>
      </c>
    </row>
    <row r="735" customFormat="false" ht="15" hidden="false" customHeight="false" outlineLevel="0" collapsed="false">
      <c r="B735" s="7" t="s">
        <v>1232</v>
      </c>
      <c r="C735" s="39" t="n">
        <v>45695</v>
      </c>
      <c r="D735" s="7" t="s">
        <v>321</v>
      </c>
      <c r="E735" s="7" t="s">
        <v>154</v>
      </c>
      <c r="F735" s="7" t="s">
        <v>218</v>
      </c>
      <c r="G735" s="7" t="s">
        <v>505</v>
      </c>
      <c r="H735" s="6" t="n">
        <v>4.17</v>
      </c>
      <c r="I735" s="6" t="n">
        <v>0</v>
      </c>
      <c r="J735" s="40" t="n">
        <f aca="false">H735-I735</f>
        <v>4.17</v>
      </c>
      <c r="K735" s="41" t="n">
        <v>26.5</v>
      </c>
      <c r="L735" s="42" t="n">
        <f aca="false">J735*K735</f>
        <v>110.505</v>
      </c>
      <c r="M735" s="43" t="n">
        <f aca="false">H735*16.19*(1+'Chart of Accounts'!$E$67)</f>
        <v>77.3015835</v>
      </c>
    </row>
    <row r="736" customFormat="false" ht="15" hidden="false" customHeight="false" outlineLevel="0" collapsed="false">
      <c r="B736" s="7" t="s">
        <v>1233</v>
      </c>
      <c r="C736" s="39" t="n">
        <v>45695</v>
      </c>
      <c r="D736" s="7" t="s">
        <v>323</v>
      </c>
      <c r="E736" s="7" t="s">
        <v>159</v>
      </c>
      <c r="F736" s="7" t="s">
        <v>266</v>
      </c>
      <c r="G736" s="7" t="s">
        <v>502</v>
      </c>
      <c r="H736" s="6" t="n">
        <v>0.98</v>
      </c>
      <c r="I736" s="6" t="n">
        <v>0</v>
      </c>
      <c r="J736" s="40" t="n">
        <f aca="false">H736-I736</f>
        <v>0.98</v>
      </c>
      <c r="K736" s="41" t="n">
        <v>135</v>
      </c>
      <c r="L736" s="42" t="n">
        <f aca="false">J736*K736</f>
        <v>132.3</v>
      </c>
      <c r="M736" s="43" t="n">
        <f aca="false">H736*75.18*(1+'Chart of Accounts'!$E$67)</f>
        <v>84.359478</v>
      </c>
    </row>
    <row r="737" customFormat="false" ht="15" hidden="false" customHeight="false" outlineLevel="0" collapsed="false">
      <c r="B737" s="7" t="s">
        <v>1234</v>
      </c>
      <c r="C737" s="39" t="n">
        <v>45695</v>
      </c>
      <c r="D737" s="7" t="s">
        <v>327</v>
      </c>
      <c r="E737" s="7" t="s">
        <v>157</v>
      </c>
      <c r="F737" s="7" t="s">
        <v>228</v>
      </c>
      <c r="G737" s="7" t="s">
        <v>502</v>
      </c>
      <c r="H737" s="6" t="n">
        <v>0.93</v>
      </c>
      <c r="I737" s="6" t="n">
        <v>0.047</v>
      </c>
      <c r="J737" s="40" t="n">
        <f aca="false">H737-I737</f>
        <v>0.883</v>
      </c>
      <c r="K737" s="41" t="n">
        <v>165</v>
      </c>
      <c r="L737" s="42" t="n">
        <f aca="false">J737*K737</f>
        <v>145.695</v>
      </c>
      <c r="M737" s="43" t="n">
        <f aca="false">H737*51.07*(1+'Chart of Accounts'!$E$67)</f>
        <v>54.3818895</v>
      </c>
    </row>
    <row r="738" customFormat="false" ht="15" hidden="false" customHeight="false" outlineLevel="0" collapsed="false">
      <c r="B738" s="7" t="s">
        <v>1235</v>
      </c>
      <c r="C738" s="39" t="n">
        <v>45695</v>
      </c>
      <c r="D738" s="7" t="s">
        <v>329</v>
      </c>
      <c r="E738" s="7" t="s">
        <v>156</v>
      </c>
      <c r="F738" s="7" t="s">
        <v>220</v>
      </c>
      <c r="G738" s="7" t="s">
        <v>505</v>
      </c>
      <c r="H738" s="6" t="n">
        <v>4.34</v>
      </c>
      <c r="I738" s="6" t="n">
        <v>0</v>
      </c>
      <c r="J738" s="40" t="n">
        <f aca="false">H738-I738</f>
        <v>4.34</v>
      </c>
      <c r="K738" s="41" t="n">
        <v>34</v>
      </c>
      <c r="L738" s="42" t="n">
        <f aca="false">J738*K738</f>
        <v>147.56</v>
      </c>
      <c r="M738" s="43" t="n">
        <f aca="false">H738*16.43*(1+'Chart of Accounts'!$E$67)</f>
        <v>81.645599</v>
      </c>
    </row>
    <row r="739" customFormat="false" ht="15" hidden="false" customHeight="false" outlineLevel="0" collapsed="false">
      <c r="B739" s="7" t="s">
        <v>1236</v>
      </c>
      <c r="C739" s="39" t="n">
        <v>45695</v>
      </c>
      <c r="D739" s="7" t="s">
        <v>335</v>
      </c>
      <c r="E739" s="7" t="s">
        <v>154</v>
      </c>
      <c r="F739" s="7" t="s">
        <v>177</v>
      </c>
      <c r="G739" s="7" t="s">
        <v>505</v>
      </c>
      <c r="H739" s="6" t="n">
        <v>3.86</v>
      </c>
      <c r="I739" s="6" t="n">
        <v>0</v>
      </c>
      <c r="J739" s="40" t="n">
        <f aca="false">H739-I739</f>
        <v>3.86</v>
      </c>
      <c r="K739" s="41" t="n">
        <v>26.5</v>
      </c>
      <c r="L739" s="42" t="n">
        <f aca="false">J739*K739</f>
        <v>102.29</v>
      </c>
      <c r="M739" s="43" t="n">
        <f aca="false">H739*14.56*(1+'Chart of Accounts'!$E$67)</f>
        <v>64.350832</v>
      </c>
    </row>
    <row r="740" customFormat="false" ht="15" hidden="false" customHeight="false" outlineLevel="0" collapsed="false">
      <c r="B740" s="7" t="s">
        <v>1237</v>
      </c>
      <c r="C740" s="39" t="n">
        <v>45695</v>
      </c>
      <c r="D740" s="7" t="s">
        <v>339</v>
      </c>
      <c r="E740" s="7" t="s">
        <v>154</v>
      </c>
      <c r="F740" s="7" t="s">
        <v>242</v>
      </c>
      <c r="G740" s="7" t="s">
        <v>505</v>
      </c>
      <c r="H740" s="6" t="n">
        <v>3.43</v>
      </c>
      <c r="I740" s="6" t="n">
        <v>0</v>
      </c>
      <c r="J740" s="40" t="n">
        <f aca="false">H740-I740</f>
        <v>3.43</v>
      </c>
      <c r="K740" s="41" t="n">
        <v>26.5</v>
      </c>
      <c r="L740" s="42" t="n">
        <f aca="false">J740*K740</f>
        <v>90.895</v>
      </c>
      <c r="M740" s="43" t="n">
        <f aca="false">H740*17.99*(1+'Chart of Accounts'!$E$67)</f>
        <v>70.6530265</v>
      </c>
    </row>
    <row r="741" customFormat="false" ht="15" hidden="false" customHeight="false" outlineLevel="0" collapsed="false">
      <c r="B741" s="7" t="s">
        <v>1238</v>
      </c>
      <c r="C741" s="39" t="n">
        <v>45695</v>
      </c>
      <c r="D741" s="7" t="s">
        <v>353</v>
      </c>
      <c r="E741" s="7" t="s">
        <v>154</v>
      </c>
      <c r="F741" s="7" t="s">
        <v>254</v>
      </c>
      <c r="G741" s="7" t="s">
        <v>505</v>
      </c>
      <c r="H741" s="6" t="n">
        <v>3.29</v>
      </c>
      <c r="I741" s="6" t="n">
        <v>0</v>
      </c>
      <c r="J741" s="40" t="n">
        <f aca="false">H741-I741</f>
        <v>3.29</v>
      </c>
      <c r="K741" s="41" t="n">
        <v>26.5</v>
      </c>
      <c r="L741" s="42" t="n">
        <f aca="false">J741*K741</f>
        <v>87.185</v>
      </c>
      <c r="M741" s="43" t="n">
        <f aca="false">H741*17.1*(1+'Chart of Accounts'!$E$67)</f>
        <v>64.416555</v>
      </c>
    </row>
    <row r="742" customFormat="false" ht="15" hidden="false" customHeight="false" outlineLevel="0" collapsed="false">
      <c r="B742" s="7" t="s">
        <v>1239</v>
      </c>
      <c r="C742" s="39" t="n">
        <v>45695</v>
      </c>
      <c r="D742" s="7" t="s">
        <v>355</v>
      </c>
      <c r="E742" s="7" t="s">
        <v>154</v>
      </c>
      <c r="F742" s="7" t="s">
        <v>201</v>
      </c>
      <c r="G742" s="7" t="s">
        <v>505</v>
      </c>
      <c r="H742" s="6" t="n">
        <v>3.16</v>
      </c>
      <c r="I742" s="6" t="n">
        <v>0.095</v>
      </c>
      <c r="J742" s="40" t="n">
        <f aca="false">H742-I742</f>
        <v>3.065</v>
      </c>
      <c r="K742" s="41" t="n">
        <v>26.5</v>
      </c>
      <c r="L742" s="42" t="n">
        <f aca="false">J742*K742</f>
        <v>81.2225</v>
      </c>
      <c r="M742" s="43" t="n">
        <f aca="false">H742*15.19*(1+'Chart of Accounts'!$E$67)</f>
        <v>54.960458</v>
      </c>
    </row>
    <row r="743" customFormat="false" ht="15" hidden="false" customHeight="false" outlineLevel="0" collapsed="false">
      <c r="B743" s="7" t="s">
        <v>1240</v>
      </c>
      <c r="C743" s="39" t="n">
        <v>45695</v>
      </c>
      <c r="D743" s="7" t="s">
        <v>357</v>
      </c>
      <c r="E743" s="7" t="s">
        <v>154</v>
      </c>
      <c r="F743" s="7" t="s">
        <v>207</v>
      </c>
      <c r="G743" s="7" t="s">
        <v>505</v>
      </c>
      <c r="H743" s="6" t="n">
        <v>3.41</v>
      </c>
      <c r="I743" s="6" t="n">
        <v>0</v>
      </c>
      <c r="J743" s="40" t="n">
        <f aca="false">H743-I743</f>
        <v>3.41</v>
      </c>
      <c r="K743" s="41" t="n">
        <v>26.5</v>
      </c>
      <c r="L743" s="42" t="n">
        <f aca="false">J743*K743</f>
        <v>90.365</v>
      </c>
      <c r="M743" s="43" t="n">
        <f aca="false">H743*16.65*(1+'Chart of Accounts'!$E$67)</f>
        <v>65.0090925</v>
      </c>
    </row>
    <row r="744" customFormat="false" ht="15" hidden="false" customHeight="false" outlineLevel="0" collapsed="false">
      <c r="B744" s="7" t="s">
        <v>1241</v>
      </c>
      <c r="C744" s="39" t="n">
        <v>45695</v>
      </c>
      <c r="D744" s="7" t="s">
        <v>359</v>
      </c>
      <c r="E744" s="7" t="s">
        <v>156</v>
      </c>
      <c r="F744" s="7" t="s">
        <v>212</v>
      </c>
      <c r="G744" s="7" t="s">
        <v>505</v>
      </c>
      <c r="H744" s="6" t="n">
        <v>4.13</v>
      </c>
      <c r="I744" s="6" t="n">
        <v>0</v>
      </c>
      <c r="J744" s="40" t="n">
        <f aca="false">H744-I744</f>
        <v>4.13</v>
      </c>
      <c r="K744" s="41" t="n">
        <v>34</v>
      </c>
      <c r="L744" s="42" t="n">
        <f aca="false">J744*K744</f>
        <v>140.42</v>
      </c>
      <c r="M744" s="43" t="n">
        <f aca="false">H744*16.71*(1+'Chart of Accounts'!$E$67)</f>
        <v>79.0190835</v>
      </c>
    </row>
    <row r="745" customFormat="false" ht="15" hidden="false" customHeight="false" outlineLevel="0" collapsed="false">
      <c r="B745" s="7" t="s">
        <v>1242</v>
      </c>
      <c r="C745" s="39" t="n">
        <v>45695</v>
      </c>
      <c r="D745" s="7" t="s">
        <v>371</v>
      </c>
      <c r="E745" s="7" t="s">
        <v>154</v>
      </c>
      <c r="F745" s="7" t="s">
        <v>232</v>
      </c>
      <c r="G745" s="7" t="s">
        <v>505</v>
      </c>
      <c r="H745" s="6" t="n">
        <v>5.09</v>
      </c>
      <c r="I745" s="6" t="n">
        <v>0</v>
      </c>
      <c r="J745" s="40" t="n">
        <f aca="false">H745-I745</f>
        <v>5.09</v>
      </c>
      <c r="K745" s="41" t="n">
        <v>26.5</v>
      </c>
      <c r="L745" s="42" t="n">
        <f aca="false">J745*K745</f>
        <v>134.885</v>
      </c>
      <c r="M745" s="43" t="n">
        <f aca="false">H745*16.17*(1+'Chart of Accounts'!$E$67)</f>
        <v>94.2395685</v>
      </c>
    </row>
    <row r="746" customFormat="false" ht="15" hidden="false" customHeight="false" outlineLevel="0" collapsed="false">
      <c r="B746" s="7" t="s">
        <v>1243</v>
      </c>
      <c r="C746" s="39" t="n">
        <v>45695</v>
      </c>
      <c r="D746" s="7" t="s">
        <v>379</v>
      </c>
      <c r="E746" s="7" t="s">
        <v>156</v>
      </c>
      <c r="F746" s="7" t="s">
        <v>224</v>
      </c>
      <c r="G746" s="7" t="s">
        <v>505</v>
      </c>
      <c r="H746" s="6" t="n">
        <v>4.87</v>
      </c>
      <c r="I746" s="6" t="n">
        <v>0</v>
      </c>
      <c r="J746" s="40" t="n">
        <f aca="false">H746-I746</f>
        <v>4.87</v>
      </c>
      <c r="K746" s="41" t="n">
        <v>34</v>
      </c>
      <c r="L746" s="42" t="n">
        <f aca="false">J746*K746</f>
        <v>165.58</v>
      </c>
      <c r="M746" s="43" t="n">
        <f aca="false">H746*14.93*(1+'Chart of Accounts'!$E$67)</f>
        <v>83.2519195</v>
      </c>
    </row>
    <row r="747" customFormat="false" ht="15" hidden="false" customHeight="false" outlineLevel="0" collapsed="false">
      <c r="B747" s="7" t="s">
        <v>1244</v>
      </c>
      <c r="C747" s="39" t="n">
        <v>45695</v>
      </c>
      <c r="D747" s="7" t="s">
        <v>381</v>
      </c>
      <c r="E747" s="7" t="s">
        <v>157</v>
      </c>
      <c r="F747" s="7" t="s">
        <v>234</v>
      </c>
      <c r="G747" s="7" t="s">
        <v>502</v>
      </c>
      <c r="H747" s="6" t="n">
        <v>1.06</v>
      </c>
      <c r="I747" s="6" t="n">
        <v>0</v>
      </c>
      <c r="J747" s="40" t="n">
        <f aca="false">H747-I747</f>
        <v>1.06</v>
      </c>
      <c r="K747" s="41" t="n">
        <v>165</v>
      </c>
      <c r="L747" s="42" t="n">
        <f aca="false">J747*K747</f>
        <v>174.9</v>
      </c>
      <c r="M747" s="43" t="n">
        <f aca="false">H747*89.53*(1+'Chart of Accounts'!$E$67)</f>
        <v>108.662561</v>
      </c>
    </row>
    <row r="748" customFormat="false" ht="15" hidden="false" customHeight="false" outlineLevel="0" collapsed="false">
      <c r="B748" s="7" t="s">
        <v>1245</v>
      </c>
      <c r="C748" s="39" t="n">
        <v>45695</v>
      </c>
      <c r="D748" s="7" t="s">
        <v>389</v>
      </c>
      <c r="E748" s="7" t="s">
        <v>154</v>
      </c>
      <c r="F748" s="7" t="s">
        <v>246</v>
      </c>
      <c r="G748" s="7" t="s">
        <v>505</v>
      </c>
      <c r="H748" s="6" t="n">
        <v>4.22</v>
      </c>
      <c r="I748" s="6" t="n">
        <v>0</v>
      </c>
      <c r="J748" s="40" t="n">
        <f aca="false">H748-I748</f>
        <v>4.22</v>
      </c>
      <c r="K748" s="41" t="n">
        <v>26.5</v>
      </c>
      <c r="L748" s="42" t="n">
        <f aca="false">J748*K748</f>
        <v>111.83</v>
      </c>
      <c r="M748" s="43" t="n">
        <f aca="false">H748*16.48*(1+'Chart of Accounts'!$E$67)</f>
        <v>79.629712</v>
      </c>
    </row>
    <row r="749" customFormat="false" ht="15" hidden="false" customHeight="false" outlineLevel="0" collapsed="false">
      <c r="B749" s="7" t="s">
        <v>1246</v>
      </c>
      <c r="C749" s="39" t="n">
        <v>45695</v>
      </c>
      <c r="D749" s="7" t="s">
        <v>391</v>
      </c>
      <c r="E749" s="7" t="s">
        <v>156</v>
      </c>
      <c r="F749" s="7" t="s">
        <v>222</v>
      </c>
      <c r="G749" s="7" t="s">
        <v>505</v>
      </c>
      <c r="H749" s="6" t="n">
        <v>3.82</v>
      </c>
      <c r="I749" s="6" t="n">
        <v>0</v>
      </c>
      <c r="J749" s="40" t="n">
        <f aca="false">H749-I749</f>
        <v>3.82</v>
      </c>
      <c r="K749" s="41" t="n">
        <v>34</v>
      </c>
      <c r="L749" s="42" t="n">
        <f aca="false">J749*K749</f>
        <v>129.88</v>
      </c>
      <c r="M749" s="43" t="n">
        <f aca="false">H749*17.84*(1+'Chart of Accounts'!$E$67)</f>
        <v>78.030376</v>
      </c>
    </row>
    <row r="750" customFormat="false" ht="15" hidden="false" customHeight="false" outlineLevel="0" collapsed="false">
      <c r="B750" s="7" t="s">
        <v>1247</v>
      </c>
      <c r="C750" s="39" t="n">
        <v>45695</v>
      </c>
      <c r="D750" s="7" t="s">
        <v>395</v>
      </c>
      <c r="E750" s="7" t="s">
        <v>156</v>
      </c>
      <c r="F750" s="7" t="s">
        <v>242</v>
      </c>
      <c r="G750" s="7" t="s">
        <v>505</v>
      </c>
      <c r="H750" s="6" t="n">
        <v>4.06</v>
      </c>
      <c r="I750" s="6" t="n">
        <v>0</v>
      </c>
      <c r="J750" s="40" t="n">
        <f aca="false">H750-I750</f>
        <v>4.06</v>
      </c>
      <c r="K750" s="41" t="n">
        <v>34</v>
      </c>
      <c r="L750" s="42" t="n">
        <f aca="false">J750*K750</f>
        <v>138.04</v>
      </c>
      <c r="M750" s="43" t="n">
        <f aca="false">H750*17.99*(1+'Chart of Accounts'!$E$67)</f>
        <v>83.630113</v>
      </c>
    </row>
    <row r="751" customFormat="false" ht="15" hidden="false" customHeight="false" outlineLevel="0" collapsed="false">
      <c r="B751" s="7" t="s">
        <v>1248</v>
      </c>
      <c r="C751" s="39" t="n">
        <v>45695</v>
      </c>
      <c r="D751" s="7" t="s">
        <v>399</v>
      </c>
      <c r="E751" s="7" t="s">
        <v>154</v>
      </c>
      <c r="F751" s="7" t="s">
        <v>262</v>
      </c>
      <c r="G751" s="7" t="s">
        <v>505</v>
      </c>
      <c r="H751" s="6" t="n">
        <v>3.24</v>
      </c>
      <c r="I751" s="6" t="n">
        <v>0</v>
      </c>
      <c r="J751" s="40" t="n">
        <f aca="false">H751-I751</f>
        <v>3.24</v>
      </c>
      <c r="K751" s="41" t="n">
        <v>26.5</v>
      </c>
      <c r="L751" s="42" t="n">
        <f aca="false">J751*K751</f>
        <v>85.86</v>
      </c>
      <c r="M751" s="43" t="n">
        <f aca="false">H751*16.02*(1+'Chart of Accounts'!$E$67)</f>
        <v>59.430996</v>
      </c>
    </row>
    <row r="752" customFormat="false" ht="15" hidden="false" customHeight="false" outlineLevel="0" collapsed="false">
      <c r="B752" s="7" t="s">
        <v>1249</v>
      </c>
      <c r="C752" s="39" t="n">
        <v>45695</v>
      </c>
      <c r="D752" s="7" t="s">
        <v>401</v>
      </c>
      <c r="E752" s="7" t="s">
        <v>156</v>
      </c>
      <c r="F752" s="7" t="s">
        <v>254</v>
      </c>
      <c r="G752" s="7" t="s">
        <v>505</v>
      </c>
      <c r="H752" s="6" t="n">
        <v>3.89</v>
      </c>
      <c r="I752" s="6" t="n">
        <v>0</v>
      </c>
      <c r="J752" s="40" t="n">
        <f aca="false">H752-I752</f>
        <v>3.89</v>
      </c>
      <c r="K752" s="41" t="n">
        <v>34</v>
      </c>
      <c r="L752" s="42" t="n">
        <f aca="false">J752*K752</f>
        <v>132.26</v>
      </c>
      <c r="M752" s="43" t="n">
        <f aca="false">H752*17.1*(1+'Chart of Accounts'!$E$67)</f>
        <v>76.164255</v>
      </c>
    </row>
    <row r="753" customFormat="false" ht="15" hidden="false" customHeight="false" outlineLevel="0" collapsed="false">
      <c r="B753" s="7" t="s">
        <v>1250</v>
      </c>
      <c r="C753" s="39" t="n">
        <v>45695</v>
      </c>
      <c r="D753" s="7" t="s">
        <v>407</v>
      </c>
      <c r="E753" s="7" t="s">
        <v>159</v>
      </c>
      <c r="F753" s="7" t="s">
        <v>260</v>
      </c>
      <c r="G753" s="7" t="s">
        <v>502</v>
      </c>
      <c r="H753" s="6" t="n">
        <v>1.01</v>
      </c>
      <c r="I753" s="6" t="n">
        <v>0</v>
      </c>
      <c r="J753" s="40" t="n">
        <f aca="false">H753-I753</f>
        <v>1.01</v>
      </c>
      <c r="K753" s="41" t="n">
        <v>135</v>
      </c>
      <c r="L753" s="42" t="n">
        <f aca="false">J753*K753</f>
        <v>136.35</v>
      </c>
      <c r="M753" s="43" t="n">
        <f aca="false">H753*79.8*(1+'Chart of Accounts'!$E$67)</f>
        <v>92.28471</v>
      </c>
    </row>
    <row r="754" customFormat="false" ht="15" hidden="false" customHeight="false" outlineLevel="0" collapsed="false">
      <c r="B754" s="7" t="s">
        <v>1251</v>
      </c>
      <c r="C754" s="39" t="n">
        <v>45695</v>
      </c>
      <c r="D754" s="7" t="s">
        <v>409</v>
      </c>
      <c r="E754" s="7" t="s">
        <v>154</v>
      </c>
      <c r="F754" s="7" t="s">
        <v>214</v>
      </c>
      <c r="G754" s="7" t="s">
        <v>505</v>
      </c>
      <c r="H754" s="6" t="n">
        <v>3.34</v>
      </c>
      <c r="I754" s="6" t="n">
        <v>0</v>
      </c>
      <c r="J754" s="40" t="n">
        <f aca="false">H754-I754</f>
        <v>3.34</v>
      </c>
      <c r="K754" s="41" t="n">
        <v>26.5</v>
      </c>
      <c r="L754" s="42" t="n">
        <f aca="false">J754*K754</f>
        <v>88.51</v>
      </c>
      <c r="M754" s="43" t="n">
        <f aca="false">H754*15.67*(1+'Chart of Accounts'!$E$67)</f>
        <v>59.926781</v>
      </c>
    </row>
    <row r="755" customFormat="false" ht="15" hidden="false" customHeight="false" outlineLevel="0" collapsed="false">
      <c r="B755" s="7" t="s">
        <v>1252</v>
      </c>
      <c r="C755" s="39" t="n">
        <v>45695</v>
      </c>
      <c r="D755" s="7" t="s">
        <v>411</v>
      </c>
      <c r="E755" s="7" t="s">
        <v>154</v>
      </c>
      <c r="F755" s="7" t="s">
        <v>177</v>
      </c>
      <c r="G755" s="7" t="s">
        <v>505</v>
      </c>
      <c r="H755" s="6" t="n">
        <v>4.43</v>
      </c>
      <c r="I755" s="6" t="n">
        <v>0</v>
      </c>
      <c r="J755" s="40" t="n">
        <f aca="false">H755-I755</f>
        <v>4.43</v>
      </c>
      <c r="K755" s="41" t="n">
        <v>26.5</v>
      </c>
      <c r="L755" s="42" t="n">
        <f aca="false">J755*K755</f>
        <v>117.395</v>
      </c>
      <c r="M755" s="43" t="n">
        <f aca="false">H755*14.56*(1+'Chart of Accounts'!$E$67)</f>
        <v>73.853416</v>
      </c>
    </row>
    <row r="756" customFormat="false" ht="15" hidden="false" customHeight="false" outlineLevel="0" collapsed="false">
      <c r="B756" s="7" t="s">
        <v>1253</v>
      </c>
      <c r="C756" s="39" t="n">
        <v>45696</v>
      </c>
      <c r="D756" s="7" t="s">
        <v>288</v>
      </c>
      <c r="E756" s="7" t="s">
        <v>156</v>
      </c>
      <c r="F756" s="7" t="s">
        <v>191</v>
      </c>
      <c r="G756" s="7" t="s">
        <v>505</v>
      </c>
      <c r="H756" s="6" t="n">
        <v>3.72</v>
      </c>
      <c r="I756" s="6" t="n">
        <v>0</v>
      </c>
      <c r="J756" s="40" t="n">
        <f aca="false">H756-I756</f>
        <v>3.72</v>
      </c>
      <c r="K756" s="41" t="n">
        <v>34</v>
      </c>
      <c r="L756" s="42" t="n">
        <f aca="false">J756*K756</f>
        <v>126.48</v>
      </c>
      <c r="M756" s="43" t="n">
        <f aca="false">H756*16.05*(1+'Chart of Accounts'!$E$67)</f>
        <v>68.36337</v>
      </c>
    </row>
    <row r="757" customFormat="false" ht="15" hidden="false" customHeight="false" outlineLevel="0" collapsed="false">
      <c r="B757" s="7" t="s">
        <v>1254</v>
      </c>
      <c r="C757" s="39" t="n">
        <v>45696</v>
      </c>
      <c r="D757" s="7" t="s">
        <v>321</v>
      </c>
      <c r="E757" s="7" t="s">
        <v>154</v>
      </c>
      <c r="F757" s="7" t="s">
        <v>218</v>
      </c>
      <c r="G757" s="7" t="s">
        <v>505</v>
      </c>
      <c r="H757" s="6" t="n">
        <v>4.04</v>
      </c>
      <c r="I757" s="6" t="n">
        <v>0</v>
      </c>
      <c r="J757" s="40" t="n">
        <f aca="false">H757-I757</f>
        <v>4.04</v>
      </c>
      <c r="K757" s="41" t="n">
        <v>26.5</v>
      </c>
      <c r="L757" s="42" t="n">
        <f aca="false">J757*K757</f>
        <v>107.06</v>
      </c>
      <c r="M757" s="43" t="n">
        <f aca="false">H757*16.19*(1+'Chart of Accounts'!$E$67)</f>
        <v>74.891702</v>
      </c>
    </row>
    <row r="758" customFormat="false" ht="15" hidden="false" customHeight="false" outlineLevel="0" collapsed="false">
      <c r="B758" s="7" t="s">
        <v>1255</v>
      </c>
      <c r="C758" s="39" t="n">
        <v>45696</v>
      </c>
      <c r="D758" s="7" t="s">
        <v>359</v>
      </c>
      <c r="E758" s="7" t="s">
        <v>156</v>
      </c>
      <c r="F758" s="7" t="s">
        <v>212</v>
      </c>
      <c r="G758" s="7" t="s">
        <v>505</v>
      </c>
      <c r="H758" s="6" t="n">
        <v>3.94</v>
      </c>
      <c r="I758" s="6" t="n">
        <v>0</v>
      </c>
      <c r="J758" s="40" t="n">
        <f aca="false">H758-I758</f>
        <v>3.94</v>
      </c>
      <c r="K758" s="41" t="n">
        <v>34</v>
      </c>
      <c r="L758" s="42" t="n">
        <f aca="false">J758*K758</f>
        <v>133.96</v>
      </c>
      <c r="M758" s="43" t="n">
        <f aca="false">H758*16.71*(1+'Chart of Accounts'!$E$67)</f>
        <v>75.383823</v>
      </c>
    </row>
    <row r="759" customFormat="false" ht="15" hidden="false" customHeight="false" outlineLevel="0" collapsed="false">
      <c r="B759" s="7" t="s">
        <v>1256</v>
      </c>
      <c r="C759" s="39" t="n">
        <v>45696</v>
      </c>
      <c r="D759" s="7" t="s">
        <v>391</v>
      </c>
      <c r="E759" s="7" t="s">
        <v>156</v>
      </c>
      <c r="F759" s="7" t="s">
        <v>222</v>
      </c>
      <c r="G759" s="7" t="s">
        <v>505</v>
      </c>
      <c r="H759" s="6" t="n">
        <v>4.18</v>
      </c>
      <c r="I759" s="6" t="n">
        <v>0</v>
      </c>
      <c r="J759" s="40" t="n">
        <f aca="false">H759-I759</f>
        <v>4.18</v>
      </c>
      <c r="K759" s="41" t="n">
        <v>34</v>
      </c>
      <c r="L759" s="42" t="n">
        <f aca="false">J759*K759</f>
        <v>142.12</v>
      </c>
      <c r="M759" s="43" t="n">
        <f aca="false">H759*17.84*(1+'Chart of Accounts'!$E$67)</f>
        <v>85.384024</v>
      </c>
    </row>
    <row r="760" customFormat="false" ht="15" hidden="false" customHeight="false" outlineLevel="0" collapsed="false">
      <c r="B760" s="7" t="s">
        <v>1257</v>
      </c>
      <c r="C760" s="39" t="n">
        <v>45696</v>
      </c>
      <c r="D760" s="7" t="s">
        <v>395</v>
      </c>
      <c r="E760" s="7" t="s">
        <v>156</v>
      </c>
      <c r="F760" s="7" t="s">
        <v>242</v>
      </c>
      <c r="G760" s="7" t="s">
        <v>505</v>
      </c>
      <c r="H760" s="6" t="n">
        <v>3.9</v>
      </c>
      <c r="I760" s="6" t="n">
        <v>0</v>
      </c>
      <c r="J760" s="40" t="n">
        <f aca="false">H760-I760</f>
        <v>3.9</v>
      </c>
      <c r="K760" s="41" t="n">
        <v>34</v>
      </c>
      <c r="L760" s="42" t="n">
        <f aca="false">J760*K760</f>
        <v>132.6</v>
      </c>
      <c r="M760" s="43" t="n">
        <f aca="false">H760*17.99*(1+'Chart of Accounts'!$E$67)</f>
        <v>80.334345</v>
      </c>
    </row>
    <row r="761" customFormat="false" ht="15" hidden="false" customHeight="false" outlineLevel="0" collapsed="false">
      <c r="B761" s="7" t="s">
        <v>1258</v>
      </c>
      <c r="C761" s="39" t="n">
        <v>45696</v>
      </c>
      <c r="D761" s="7" t="s">
        <v>401</v>
      </c>
      <c r="E761" s="7" t="s">
        <v>156</v>
      </c>
      <c r="F761" s="7" t="s">
        <v>254</v>
      </c>
      <c r="G761" s="7" t="s">
        <v>505</v>
      </c>
      <c r="H761" s="6" t="n">
        <v>3.74</v>
      </c>
      <c r="I761" s="6" t="n">
        <v>0</v>
      </c>
      <c r="J761" s="40" t="n">
        <f aca="false">H761-I761</f>
        <v>3.74</v>
      </c>
      <c r="K761" s="41" t="n">
        <v>34</v>
      </c>
      <c r="L761" s="42" t="n">
        <f aca="false">J761*K761</f>
        <v>127.16</v>
      </c>
      <c r="M761" s="43" t="n">
        <f aca="false">H761*17.1*(1+'Chart of Accounts'!$E$67)</f>
        <v>73.22733</v>
      </c>
    </row>
    <row r="762" customFormat="false" ht="15" hidden="false" customHeight="false" outlineLevel="0" collapsed="false">
      <c r="B762" s="7" t="s">
        <v>1259</v>
      </c>
      <c r="C762" s="39" t="n">
        <v>45697</v>
      </c>
      <c r="D762" s="7" t="s">
        <v>288</v>
      </c>
      <c r="E762" s="7" t="s">
        <v>156</v>
      </c>
      <c r="F762" s="7" t="s">
        <v>191</v>
      </c>
      <c r="G762" s="7" t="s">
        <v>505</v>
      </c>
      <c r="H762" s="6" t="n">
        <v>4.36</v>
      </c>
      <c r="I762" s="6" t="n">
        <v>0</v>
      </c>
      <c r="J762" s="40" t="n">
        <f aca="false">H762-I762</f>
        <v>4.36</v>
      </c>
      <c r="K762" s="41" t="n">
        <v>34</v>
      </c>
      <c r="L762" s="42" t="n">
        <f aca="false">J762*K762</f>
        <v>148.24</v>
      </c>
      <c r="M762" s="43" t="n">
        <f aca="false">H762*16.05*(1+'Chart of Accounts'!$E$67)</f>
        <v>80.12481</v>
      </c>
    </row>
    <row r="763" customFormat="false" ht="15" hidden="false" customHeight="false" outlineLevel="0" collapsed="false">
      <c r="B763" s="7" t="s">
        <v>1260</v>
      </c>
      <c r="C763" s="39" t="n">
        <v>45697</v>
      </c>
      <c r="D763" s="7" t="s">
        <v>321</v>
      </c>
      <c r="E763" s="7" t="s">
        <v>154</v>
      </c>
      <c r="F763" s="7" t="s">
        <v>218</v>
      </c>
      <c r="G763" s="7" t="s">
        <v>505</v>
      </c>
      <c r="H763" s="6" t="n">
        <v>3.83</v>
      </c>
      <c r="I763" s="6" t="n">
        <v>0</v>
      </c>
      <c r="J763" s="40" t="n">
        <f aca="false">H763-I763</f>
        <v>3.83</v>
      </c>
      <c r="K763" s="41" t="n">
        <v>26.5</v>
      </c>
      <c r="L763" s="42" t="n">
        <f aca="false">J763*K763</f>
        <v>101.495</v>
      </c>
      <c r="M763" s="43" t="n">
        <f aca="false">H763*16.19*(1+'Chart of Accounts'!$E$67)</f>
        <v>70.9988165</v>
      </c>
    </row>
    <row r="764" customFormat="false" ht="15" hidden="false" customHeight="false" outlineLevel="0" collapsed="false">
      <c r="B764" s="7" t="s">
        <v>1261</v>
      </c>
      <c r="C764" s="39" t="n">
        <v>45697</v>
      </c>
      <c r="D764" s="7" t="s">
        <v>391</v>
      </c>
      <c r="E764" s="7" t="s">
        <v>156</v>
      </c>
      <c r="F764" s="7" t="s">
        <v>222</v>
      </c>
      <c r="G764" s="7" t="s">
        <v>505</v>
      </c>
      <c r="H764" s="6" t="n">
        <v>3.83</v>
      </c>
      <c r="I764" s="6" t="n">
        <v>0</v>
      </c>
      <c r="J764" s="40" t="n">
        <f aca="false">H764-I764</f>
        <v>3.83</v>
      </c>
      <c r="K764" s="41" t="n">
        <v>34</v>
      </c>
      <c r="L764" s="42" t="n">
        <f aca="false">J764*K764</f>
        <v>130.22</v>
      </c>
      <c r="M764" s="43" t="n">
        <f aca="false">H764*17.84*(1+'Chart of Accounts'!$E$67)</f>
        <v>78.234644</v>
      </c>
    </row>
    <row r="765" customFormat="false" ht="15" hidden="false" customHeight="false" outlineLevel="0" collapsed="false">
      <c r="B765" s="7" t="s">
        <v>1262</v>
      </c>
      <c r="C765" s="39" t="n">
        <v>45697</v>
      </c>
      <c r="D765" s="7" t="s">
        <v>395</v>
      </c>
      <c r="E765" s="7" t="s">
        <v>156</v>
      </c>
      <c r="F765" s="7" t="s">
        <v>242</v>
      </c>
      <c r="G765" s="7" t="s">
        <v>505</v>
      </c>
      <c r="H765" s="6" t="n">
        <v>3.79</v>
      </c>
      <c r="I765" s="6" t="n">
        <v>0</v>
      </c>
      <c r="J765" s="40" t="n">
        <f aca="false">H765-I765</f>
        <v>3.79</v>
      </c>
      <c r="K765" s="41" t="n">
        <v>34</v>
      </c>
      <c r="L765" s="42" t="n">
        <f aca="false">J765*K765</f>
        <v>128.86</v>
      </c>
      <c r="M765" s="43" t="n">
        <f aca="false">H765*17.99*(1+'Chart of Accounts'!$E$67)</f>
        <v>78.0685045</v>
      </c>
    </row>
    <row r="766" customFormat="false" ht="15" hidden="false" customHeight="false" outlineLevel="0" collapsed="false">
      <c r="B766" s="7" t="s">
        <v>1263</v>
      </c>
      <c r="C766" s="39" t="n">
        <v>45697</v>
      </c>
      <c r="D766" s="7" t="s">
        <v>401</v>
      </c>
      <c r="E766" s="7" t="s">
        <v>156</v>
      </c>
      <c r="F766" s="7" t="s">
        <v>254</v>
      </c>
      <c r="G766" s="7" t="s">
        <v>505</v>
      </c>
      <c r="H766" s="6" t="n">
        <v>4.4</v>
      </c>
      <c r="I766" s="6" t="n">
        <v>0</v>
      </c>
      <c r="J766" s="40" t="n">
        <f aca="false">H766-I766</f>
        <v>4.4</v>
      </c>
      <c r="K766" s="41" t="n">
        <v>34</v>
      </c>
      <c r="L766" s="42" t="n">
        <f aca="false">J766*K766</f>
        <v>149.6</v>
      </c>
      <c r="M766" s="43" t="n">
        <f aca="false">H766*17.1*(1+'Chart of Accounts'!$E$67)</f>
        <v>86.1498</v>
      </c>
    </row>
    <row r="767" customFormat="false" ht="15" hidden="false" customHeight="false" outlineLevel="0" collapsed="false">
      <c r="B767" s="7" t="s">
        <v>1264</v>
      </c>
      <c r="C767" s="39" t="n">
        <v>45698</v>
      </c>
      <c r="D767" s="7" t="s">
        <v>280</v>
      </c>
      <c r="E767" s="7" t="s">
        <v>157</v>
      </c>
      <c r="F767" s="7" t="s">
        <v>187</v>
      </c>
      <c r="G767" s="7" t="s">
        <v>502</v>
      </c>
      <c r="H767" s="6" t="n">
        <v>1.01</v>
      </c>
      <c r="I767" s="6" t="n">
        <v>0</v>
      </c>
      <c r="J767" s="40" t="n">
        <f aca="false">H767-I767</f>
        <v>1.01</v>
      </c>
      <c r="K767" s="41" t="n">
        <v>165</v>
      </c>
      <c r="L767" s="42" t="n">
        <f aca="false">J767*K767</f>
        <v>166.65</v>
      </c>
      <c r="M767" s="43" t="n">
        <f aca="false">H767*66.48*(1+'Chart of Accounts'!$E$67)</f>
        <v>76.880796</v>
      </c>
    </row>
    <row r="768" customFormat="false" ht="15" hidden="false" customHeight="false" outlineLevel="0" collapsed="false">
      <c r="B768" s="7" t="s">
        <v>1265</v>
      </c>
      <c r="C768" s="39" t="n">
        <v>45698</v>
      </c>
      <c r="D768" s="7" t="s">
        <v>291</v>
      </c>
      <c r="E768" s="7" t="s">
        <v>154</v>
      </c>
      <c r="F768" s="7" t="s">
        <v>194</v>
      </c>
      <c r="G768" s="7" t="s">
        <v>505</v>
      </c>
      <c r="H768" s="6" t="n">
        <v>4.52</v>
      </c>
      <c r="I768" s="6" t="n">
        <v>0</v>
      </c>
      <c r="J768" s="40" t="n">
        <f aca="false">H768-I768</f>
        <v>4.52</v>
      </c>
      <c r="K768" s="41" t="n">
        <v>26.5</v>
      </c>
      <c r="L768" s="42" t="n">
        <f aca="false">J768*K768</f>
        <v>119.78</v>
      </c>
      <c r="M768" s="43" t="n">
        <f aca="false">H768*16*(1+'Chart of Accounts'!$E$67)</f>
        <v>82.8064</v>
      </c>
    </row>
    <row r="769" customFormat="false" ht="15" hidden="false" customHeight="false" outlineLevel="0" collapsed="false">
      <c r="B769" s="7" t="s">
        <v>1266</v>
      </c>
      <c r="C769" s="39" t="n">
        <v>45698</v>
      </c>
      <c r="D769" s="7" t="s">
        <v>305</v>
      </c>
      <c r="E769" s="7" t="s">
        <v>154</v>
      </c>
      <c r="F769" s="7" t="s">
        <v>205</v>
      </c>
      <c r="G769" s="7" t="s">
        <v>505</v>
      </c>
      <c r="H769" s="6" t="n">
        <v>3.9</v>
      </c>
      <c r="I769" s="6" t="n">
        <v>0</v>
      </c>
      <c r="J769" s="40" t="n">
        <f aca="false">H769-I769</f>
        <v>3.9</v>
      </c>
      <c r="K769" s="41" t="n">
        <v>26.5</v>
      </c>
      <c r="L769" s="42" t="n">
        <f aca="false">J769*K769</f>
        <v>103.35</v>
      </c>
      <c r="M769" s="43" t="n">
        <f aca="false">H769*16.36*(1+'Chart of Accounts'!$E$67)</f>
        <v>73.05558</v>
      </c>
    </row>
    <row r="770" customFormat="false" ht="15" hidden="false" customHeight="false" outlineLevel="0" collapsed="false">
      <c r="B770" s="7" t="s">
        <v>1267</v>
      </c>
      <c r="C770" s="39" t="n">
        <v>45698</v>
      </c>
      <c r="D770" s="7" t="s">
        <v>309</v>
      </c>
      <c r="E770" s="7" t="s">
        <v>159</v>
      </c>
      <c r="F770" s="7" t="s">
        <v>252</v>
      </c>
      <c r="G770" s="7" t="s">
        <v>502</v>
      </c>
      <c r="H770" s="6" t="n">
        <v>0.94</v>
      </c>
      <c r="I770" s="6" t="n">
        <v>0</v>
      </c>
      <c r="J770" s="40" t="n">
        <f aca="false">H770-I770</f>
        <v>0.94</v>
      </c>
      <c r="K770" s="41" t="n">
        <v>135</v>
      </c>
      <c r="L770" s="42" t="n">
        <f aca="false">J770*K770</f>
        <v>126.9</v>
      </c>
      <c r="M770" s="43" t="n">
        <f aca="false">H770*57.54*(1+'Chart of Accounts'!$E$67)</f>
        <v>61.930302</v>
      </c>
    </row>
    <row r="771" customFormat="false" ht="15" hidden="false" customHeight="false" outlineLevel="0" collapsed="false">
      <c r="B771" s="7" t="s">
        <v>1268</v>
      </c>
      <c r="C771" s="39" t="n">
        <v>45698</v>
      </c>
      <c r="D771" s="7" t="s">
        <v>311</v>
      </c>
      <c r="E771" s="7" t="s">
        <v>154</v>
      </c>
      <c r="F771" s="7" t="s">
        <v>196</v>
      </c>
      <c r="G771" s="7" t="s">
        <v>505</v>
      </c>
      <c r="H771" s="6" t="n">
        <v>3.28</v>
      </c>
      <c r="I771" s="6" t="n">
        <v>0.098</v>
      </c>
      <c r="J771" s="40" t="n">
        <f aca="false">H771-I771</f>
        <v>3.182</v>
      </c>
      <c r="K771" s="41" t="n">
        <v>26.5</v>
      </c>
      <c r="L771" s="42" t="n">
        <f aca="false">J771*K771</f>
        <v>84.323</v>
      </c>
      <c r="M771" s="43" t="n">
        <f aca="false">H771*15.05*(1+'Chart of Accounts'!$E$67)</f>
        <v>56.52178</v>
      </c>
    </row>
    <row r="772" customFormat="false" ht="15" hidden="false" customHeight="false" outlineLevel="0" collapsed="false">
      <c r="B772" s="7" t="s">
        <v>1269</v>
      </c>
      <c r="C772" s="39" t="n">
        <v>45698</v>
      </c>
      <c r="D772" s="7" t="s">
        <v>313</v>
      </c>
      <c r="E772" s="7" t="s">
        <v>156</v>
      </c>
      <c r="F772" s="7" t="s">
        <v>184</v>
      </c>
      <c r="G772" s="7" t="s">
        <v>505</v>
      </c>
      <c r="H772" s="6" t="n">
        <v>3.82</v>
      </c>
      <c r="I772" s="6" t="n">
        <v>0</v>
      </c>
      <c r="J772" s="40" t="n">
        <f aca="false">H772-I772</f>
        <v>3.82</v>
      </c>
      <c r="K772" s="41" t="n">
        <v>34</v>
      </c>
      <c r="L772" s="42" t="n">
        <f aca="false">J772*K772</f>
        <v>129.88</v>
      </c>
      <c r="M772" s="43" t="n">
        <f aca="false">H772*17.34*(1+'Chart of Accounts'!$E$67)</f>
        <v>75.843426</v>
      </c>
    </row>
    <row r="773" customFormat="false" ht="15" hidden="false" customHeight="false" outlineLevel="0" collapsed="false">
      <c r="B773" s="7" t="s">
        <v>1270</v>
      </c>
      <c r="C773" s="39" t="n">
        <v>45698</v>
      </c>
      <c r="D773" s="7" t="s">
        <v>317</v>
      </c>
      <c r="E773" s="7" t="s">
        <v>156</v>
      </c>
      <c r="F773" s="7" t="s">
        <v>207</v>
      </c>
      <c r="G773" s="7" t="s">
        <v>505</v>
      </c>
      <c r="H773" s="6" t="n">
        <v>3.21</v>
      </c>
      <c r="I773" s="6" t="n">
        <v>0</v>
      </c>
      <c r="J773" s="40" t="n">
        <f aca="false">H773-I773</f>
        <v>3.21</v>
      </c>
      <c r="K773" s="41" t="n">
        <v>34</v>
      </c>
      <c r="L773" s="42" t="n">
        <f aca="false">J773*K773</f>
        <v>109.14</v>
      </c>
      <c r="M773" s="43" t="n">
        <f aca="false">H773*16.65*(1+'Chart of Accounts'!$E$67)</f>
        <v>61.1962425</v>
      </c>
    </row>
    <row r="774" customFormat="false" ht="15" hidden="false" customHeight="false" outlineLevel="0" collapsed="false">
      <c r="B774" s="7" t="s">
        <v>1271</v>
      </c>
      <c r="C774" s="39" t="n">
        <v>45698</v>
      </c>
      <c r="D774" s="7" t="s">
        <v>321</v>
      </c>
      <c r="E774" s="7" t="s">
        <v>154</v>
      </c>
      <c r="F774" s="7" t="s">
        <v>218</v>
      </c>
      <c r="G774" s="7" t="s">
        <v>505</v>
      </c>
      <c r="H774" s="6" t="n">
        <v>3.97</v>
      </c>
      <c r="I774" s="6" t="n">
        <v>0</v>
      </c>
      <c r="J774" s="40" t="n">
        <f aca="false">H774-I774</f>
        <v>3.97</v>
      </c>
      <c r="K774" s="41" t="n">
        <v>26.5</v>
      </c>
      <c r="L774" s="42" t="n">
        <f aca="false">J774*K774</f>
        <v>105.205</v>
      </c>
      <c r="M774" s="43" t="n">
        <f aca="false">H774*16.19*(1+'Chart of Accounts'!$E$67)</f>
        <v>73.5940735</v>
      </c>
    </row>
    <row r="775" customFormat="false" ht="15" hidden="false" customHeight="false" outlineLevel="0" collapsed="false">
      <c r="B775" s="7" t="s">
        <v>1272</v>
      </c>
      <c r="C775" s="39" t="n">
        <v>45698</v>
      </c>
      <c r="D775" s="7" t="s">
        <v>325</v>
      </c>
      <c r="E775" s="7" t="s">
        <v>154</v>
      </c>
      <c r="F775" s="7" t="s">
        <v>212</v>
      </c>
      <c r="G775" s="7" t="s">
        <v>505</v>
      </c>
      <c r="H775" s="6" t="n">
        <v>3</v>
      </c>
      <c r="I775" s="6" t="n">
        <v>0</v>
      </c>
      <c r="J775" s="40" t="n">
        <f aca="false">H775-I775</f>
        <v>3</v>
      </c>
      <c r="K775" s="41" t="n">
        <v>26.5</v>
      </c>
      <c r="L775" s="42" t="n">
        <f aca="false">J775*K775</f>
        <v>79.5</v>
      </c>
      <c r="M775" s="43" t="n">
        <f aca="false">H775*16.71*(1+'Chart of Accounts'!$E$67)</f>
        <v>57.39885</v>
      </c>
    </row>
    <row r="776" customFormat="false" ht="15" hidden="false" customHeight="false" outlineLevel="0" collapsed="false">
      <c r="B776" s="7" t="s">
        <v>1273</v>
      </c>
      <c r="C776" s="39" t="n">
        <v>45698</v>
      </c>
      <c r="D776" s="7" t="s">
        <v>329</v>
      </c>
      <c r="E776" s="7" t="s">
        <v>156</v>
      </c>
      <c r="F776" s="7" t="s">
        <v>220</v>
      </c>
      <c r="G776" s="7" t="s">
        <v>505</v>
      </c>
      <c r="H776" s="6" t="n">
        <v>4.07</v>
      </c>
      <c r="I776" s="6" t="n">
        <v>0</v>
      </c>
      <c r="J776" s="40" t="n">
        <f aca="false">H776-I776</f>
        <v>4.07</v>
      </c>
      <c r="K776" s="41" t="n">
        <v>34</v>
      </c>
      <c r="L776" s="42" t="n">
        <f aca="false">J776*K776</f>
        <v>138.38</v>
      </c>
      <c r="M776" s="43" t="n">
        <f aca="false">H776*16.43*(1+'Chart of Accounts'!$E$67)</f>
        <v>76.5662645</v>
      </c>
    </row>
    <row r="777" customFormat="false" ht="15" hidden="false" customHeight="false" outlineLevel="0" collapsed="false">
      <c r="B777" s="7" t="s">
        <v>1274</v>
      </c>
      <c r="C777" s="39" t="n">
        <v>45698</v>
      </c>
      <c r="D777" s="7" t="s">
        <v>331</v>
      </c>
      <c r="E777" s="7" t="s">
        <v>156</v>
      </c>
      <c r="F777" s="7" t="s">
        <v>224</v>
      </c>
      <c r="G777" s="7" t="s">
        <v>505</v>
      </c>
      <c r="H777" s="6" t="n">
        <v>3.7</v>
      </c>
      <c r="I777" s="6" t="n">
        <v>0</v>
      </c>
      <c r="J777" s="40" t="n">
        <f aca="false">H777-I777</f>
        <v>3.7</v>
      </c>
      <c r="K777" s="41" t="n">
        <v>34</v>
      </c>
      <c r="L777" s="42" t="n">
        <f aca="false">J777*K777</f>
        <v>125.8</v>
      </c>
      <c r="M777" s="43" t="n">
        <f aca="false">H777*14.93*(1+'Chart of Accounts'!$E$67)</f>
        <v>63.250945</v>
      </c>
    </row>
    <row r="778" customFormat="false" ht="15" hidden="false" customHeight="false" outlineLevel="0" collapsed="false">
      <c r="B778" s="7" t="s">
        <v>1275</v>
      </c>
      <c r="C778" s="39" t="n">
        <v>45698</v>
      </c>
      <c r="D778" s="7" t="s">
        <v>335</v>
      </c>
      <c r="E778" s="7" t="s">
        <v>154</v>
      </c>
      <c r="F778" s="7" t="s">
        <v>177</v>
      </c>
      <c r="G778" s="7" t="s">
        <v>505</v>
      </c>
      <c r="H778" s="6" t="n">
        <v>4.34</v>
      </c>
      <c r="I778" s="6" t="n">
        <v>0</v>
      </c>
      <c r="J778" s="40" t="n">
        <f aca="false">H778-I778</f>
        <v>4.34</v>
      </c>
      <c r="K778" s="41" t="n">
        <v>26.5</v>
      </c>
      <c r="L778" s="42" t="n">
        <f aca="false">J778*K778</f>
        <v>115.01</v>
      </c>
      <c r="M778" s="43" t="n">
        <f aca="false">H778*14.56*(1+'Chart of Accounts'!$E$67)</f>
        <v>72.353008</v>
      </c>
    </row>
    <row r="779" customFormat="false" ht="15" hidden="false" customHeight="false" outlineLevel="0" collapsed="false">
      <c r="B779" s="7" t="s">
        <v>1276</v>
      </c>
      <c r="C779" s="39" t="n">
        <v>45698</v>
      </c>
      <c r="D779" s="7" t="s">
        <v>337</v>
      </c>
      <c r="E779" s="7" t="s">
        <v>154</v>
      </c>
      <c r="F779" s="7" t="s">
        <v>232</v>
      </c>
      <c r="G779" s="7" t="s">
        <v>505</v>
      </c>
      <c r="H779" s="6" t="n">
        <v>2.9</v>
      </c>
      <c r="I779" s="6" t="n">
        <v>0</v>
      </c>
      <c r="J779" s="40" t="n">
        <f aca="false">H779-I779</f>
        <v>2.9</v>
      </c>
      <c r="K779" s="41" t="n">
        <v>26.5</v>
      </c>
      <c r="L779" s="42" t="n">
        <f aca="false">J779*K779</f>
        <v>76.85</v>
      </c>
      <c r="M779" s="43" t="n">
        <f aca="false">H779*16.17*(1+'Chart of Accounts'!$E$67)</f>
        <v>53.692485</v>
      </c>
    </row>
    <row r="780" customFormat="false" ht="15" hidden="false" customHeight="false" outlineLevel="0" collapsed="false">
      <c r="B780" s="7" t="s">
        <v>1277</v>
      </c>
      <c r="C780" s="39" t="n">
        <v>45698</v>
      </c>
      <c r="D780" s="7" t="s">
        <v>339</v>
      </c>
      <c r="E780" s="7" t="s">
        <v>154</v>
      </c>
      <c r="F780" s="7" t="s">
        <v>242</v>
      </c>
      <c r="G780" s="7" t="s">
        <v>505</v>
      </c>
      <c r="H780" s="6" t="n">
        <v>3.63</v>
      </c>
      <c r="I780" s="6" t="n">
        <v>0</v>
      </c>
      <c r="J780" s="40" t="n">
        <f aca="false">H780-I780</f>
        <v>3.63</v>
      </c>
      <c r="K780" s="41" t="n">
        <v>26.5</v>
      </c>
      <c r="L780" s="42" t="n">
        <f aca="false">J780*K780</f>
        <v>96.195</v>
      </c>
      <c r="M780" s="43" t="n">
        <f aca="false">H780*17.99*(1+'Chart of Accounts'!$E$67)</f>
        <v>74.7727365</v>
      </c>
    </row>
    <row r="781" customFormat="false" ht="15" hidden="false" customHeight="false" outlineLevel="0" collapsed="false">
      <c r="B781" s="7" t="s">
        <v>1278</v>
      </c>
      <c r="C781" s="39" t="n">
        <v>45698</v>
      </c>
      <c r="D781" s="7" t="s">
        <v>341</v>
      </c>
      <c r="E781" s="7" t="s">
        <v>156</v>
      </c>
      <c r="F781" s="7" t="s">
        <v>222</v>
      </c>
      <c r="G781" s="7" t="s">
        <v>505</v>
      </c>
      <c r="H781" s="6" t="n">
        <v>2.77</v>
      </c>
      <c r="I781" s="6" t="n">
        <v>0</v>
      </c>
      <c r="J781" s="40" t="n">
        <f aca="false">H781-I781</f>
        <v>2.77</v>
      </c>
      <c r="K781" s="41" t="n">
        <v>34</v>
      </c>
      <c r="L781" s="42" t="n">
        <f aca="false">J781*K781</f>
        <v>94.18</v>
      </c>
      <c r="M781" s="43" t="n">
        <f aca="false">H781*17.84*(1+'Chart of Accounts'!$E$67)</f>
        <v>56.582236</v>
      </c>
    </row>
    <row r="782" customFormat="false" ht="15" hidden="false" customHeight="false" outlineLevel="0" collapsed="false">
      <c r="B782" s="7" t="s">
        <v>1279</v>
      </c>
      <c r="C782" s="39" t="n">
        <v>45698</v>
      </c>
      <c r="D782" s="7" t="s">
        <v>343</v>
      </c>
      <c r="E782" s="7" t="s">
        <v>154</v>
      </c>
      <c r="F782" s="7" t="s">
        <v>262</v>
      </c>
      <c r="G782" s="7" t="s">
        <v>505</v>
      </c>
      <c r="H782" s="6" t="n">
        <v>3.85</v>
      </c>
      <c r="I782" s="6" t="n">
        <v>0</v>
      </c>
      <c r="J782" s="40" t="n">
        <f aca="false">H782-I782</f>
        <v>3.85</v>
      </c>
      <c r="K782" s="41" t="n">
        <v>26.5</v>
      </c>
      <c r="L782" s="42" t="n">
        <f aca="false">J782*K782</f>
        <v>102.025</v>
      </c>
      <c r="M782" s="43" t="n">
        <f aca="false">H782*16.02*(1+'Chart of Accounts'!$E$67)</f>
        <v>70.620165</v>
      </c>
    </row>
    <row r="783" customFormat="false" ht="15" hidden="false" customHeight="false" outlineLevel="0" collapsed="false">
      <c r="B783" s="7" t="s">
        <v>1280</v>
      </c>
      <c r="C783" s="39" t="n">
        <v>45698</v>
      </c>
      <c r="D783" s="7" t="s">
        <v>353</v>
      </c>
      <c r="E783" s="7" t="s">
        <v>154</v>
      </c>
      <c r="F783" s="7" t="s">
        <v>254</v>
      </c>
      <c r="G783" s="7" t="s">
        <v>505</v>
      </c>
      <c r="H783" s="6" t="n">
        <v>3.51</v>
      </c>
      <c r="I783" s="6" t="n">
        <v>0</v>
      </c>
      <c r="J783" s="40" t="n">
        <f aca="false">H783-I783</f>
        <v>3.51</v>
      </c>
      <c r="K783" s="41" t="n">
        <v>26.5</v>
      </c>
      <c r="L783" s="42" t="n">
        <f aca="false">J783*K783</f>
        <v>93.015</v>
      </c>
      <c r="M783" s="43" t="n">
        <f aca="false">H783*17.1*(1+'Chart of Accounts'!$E$67)</f>
        <v>68.724045</v>
      </c>
    </row>
    <row r="784" customFormat="false" ht="15" hidden="false" customHeight="false" outlineLevel="0" collapsed="false">
      <c r="B784" s="7" t="s">
        <v>1281</v>
      </c>
      <c r="C784" s="39" t="n">
        <v>45698</v>
      </c>
      <c r="D784" s="7" t="s">
        <v>355</v>
      </c>
      <c r="E784" s="7" t="s">
        <v>154</v>
      </c>
      <c r="F784" s="7" t="s">
        <v>201</v>
      </c>
      <c r="G784" s="7" t="s">
        <v>505</v>
      </c>
      <c r="H784" s="6" t="n">
        <v>3.57</v>
      </c>
      <c r="I784" s="6" t="n">
        <v>0</v>
      </c>
      <c r="J784" s="40" t="n">
        <f aca="false">H784-I784</f>
        <v>3.57</v>
      </c>
      <c r="K784" s="41" t="n">
        <v>26.5</v>
      </c>
      <c r="L784" s="42" t="n">
        <f aca="false">J784*K784</f>
        <v>94.605</v>
      </c>
      <c r="M784" s="43" t="n">
        <f aca="false">H784*15.19*(1+'Chart of Accounts'!$E$67)</f>
        <v>62.0914035</v>
      </c>
    </row>
    <row r="785" customFormat="false" ht="15" hidden="false" customHeight="false" outlineLevel="0" collapsed="false">
      <c r="B785" s="7" t="s">
        <v>1282</v>
      </c>
      <c r="C785" s="39" t="n">
        <v>45698</v>
      </c>
      <c r="D785" s="7" t="s">
        <v>357</v>
      </c>
      <c r="E785" s="7" t="s">
        <v>154</v>
      </c>
      <c r="F785" s="7" t="s">
        <v>207</v>
      </c>
      <c r="G785" s="7" t="s">
        <v>505</v>
      </c>
      <c r="H785" s="6" t="n">
        <v>3.2</v>
      </c>
      <c r="I785" s="6" t="n">
        <v>0</v>
      </c>
      <c r="J785" s="40" t="n">
        <f aca="false">H785-I785</f>
        <v>3.2</v>
      </c>
      <c r="K785" s="41" t="n">
        <v>26.5</v>
      </c>
      <c r="L785" s="42" t="n">
        <f aca="false">J785*K785</f>
        <v>84.8</v>
      </c>
      <c r="M785" s="43" t="n">
        <f aca="false">H785*16.65*(1+'Chart of Accounts'!$E$67)</f>
        <v>61.0056</v>
      </c>
    </row>
    <row r="786" customFormat="false" ht="15" hidden="false" customHeight="false" outlineLevel="0" collapsed="false">
      <c r="B786" s="7" t="s">
        <v>1283</v>
      </c>
      <c r="C786" s="39" t="n">
        <v>45698</v>
      </c>
      <c r="D786" s="7" t="s">
        <v>359</v>
      </c>
      <c r="E786" s="7" t="s">
        <v>156</v>
      </c>
      <c r="F786" s="7" t="s">
        <v>212</v>
      </c>
      <c r="G786" s="7" t="s">
        <v>505</v>
      </c>
      <c r="H786" s="6" t="n">
        <v>3.77</v>
      </c>
      <c r="I786" s="6" t="n">
        <v>0</v>
      </c>
      <c r="J786" s="40" t="n">
        <f aca="false">H786-I786</f>
        <v>3.77</v>
      </c>
      <c r="K786" s="41" t="n">
        <v>34</v>
      </c>
      <c r="L786" s="42" t="n">
        <f aca="false">J786*K786</f>
        <v>128.18</v>
      </c>
      <c r="M786" s="43" t="n">
        <f aca="false">H786*16.71*(1+'Chart of Accounts'!$E$67)</f>
        <v>72.1312215</v>
      </c>
    </row>
    <row r="787" customFormat="false" ht="15" hidden="false" customHeight="false" outlineLevel="0" collapsed="false">
      <c r="B787" s="7" t="s">
        <v>1284</v>
      </c>
      <c r="C787" s="39" t="n">
        <v>45698</v>
      </c>
      <c r="D787" s="7" t="s">
        <v>363</v>
      </c>
      <c r="E787" s="7" t="s">
        <v>156</v>
      </c>
      <c r="F787" s="7" t="s">
        <v>246</v>
      </c>
      <c r="G787" s="7" t="s">
        <v>505</v>
      </c>
      <c r="H787" s="6" t="n">
        <v>4.17</v>
      </c>
      <c r="I787" s="6" t="n">
        <v>0</v>
      </c>
      <c r="J787" s="40" t="n">
        <f aca="false">H787-I787</f>
        <v>4.17</v>
      </c>
      <c r="K787" s="41" t="n">
        <v>34</v>
      </c>
      <c r="L787" s="42" t="n">
        <f aca="false">J787*K787</f>
        <v>141.78</v>
      </c>
      <c r="M787" s="43" t="n">
        <f aca="false">H787*16.48*(1+'Chart of Accounts'!$E$67)</f>
        <v>78.686232</v>
      </c>
    </row>
    <row r="788" customFormat="false" ht="15" hidden="false" customHeight="false" outlineLevel="0" collapsed="false">
      <c r="B788" s="7" t="s">
        <v>1285</v>
      </c>
      <c r="C788" s="39" t="n">
        <v>45698</v>
      </c>
      <c r="D788" s="7" t="s">
        <v>371</v>
      </c>
      <c r="E788" s="7" t="s">
        <v>154</v>
      </c>
      <c r="F788" s="7" t="s">
        <v>232</v>
      </c>
      <c r="G788" s="7" t="s">
        <v>505</v>
      </c>
      <c r="H788" s="6" t="n">
        <v>4.25</v>
      </c>
      <c r="I788" s="6" t="n">
        <v>0</v>
      </c>
      <c r="J788" s="40" t="n">
        <f aca="false">H788-I788</f>
        <v>4.25</v>
      </c>
      <c r="K788" s="41" t="n">
        <v>26.5</v>
      </c>
      <c r="L788" s="42" t="n">
        <f aca="false">J788*K788</f>
        <v>112.625</v>
      </c>
      <c r="M788" s="43" t="n">
        <f aca="false">H788*16.17*(1+'Chart of Accounts'!$E$67)</f>
        <v>78.6872625</v>
      </c>
    </row>
    <row r="789" customFormat="false" ht="15" hidden="false" customHeight="false" outlineLevel="0" collapsed="false">
      <c r="B789" s="7" t="s">
        <v>1286</v>
      </c>
      <c r="C789" s="39" t="n">
        <v>45698</v>
      </c>
      <c r="D789" s="7" t="s">
        <v>375</v>
      </c>
      <c r="E789" s="7" t="s">
        <v>156</v>
      </c>
      <c r="F789" s="7" t="s">
        <v>196</v>
      </c>
      <c r="G789" s="7" t="s">
        <v>505</v>
      </c>
      <c r="H789" s="6" t="n">
        <v>2.8</v>
      </c>
      <c r="I789" s="6" t="n">
        <v>0</v>
      </c>
      <c r="J789" s="40" t="n">
        <f aca="false">H789-I789</f>
        <v>2.8</v>
      </c>
      <c r="K789" s="41" t="n">
        <v>34</v>
      </c>
      <c r="L789" s="42" t="n">
        <f aca="false">J789*K789</f>
        <v>95.2</v>
      </c>
      <c r="M789" s="43" t="n">
        <f aca="false">H789*15.05*(1+'Chart of Accounts'!$E$67)</f>
        <v>48.2503</v>
      </c>
    </row>
    <row r="790" customFormat="false" ht="15" hidden="false" customHeight="false" outlineLevel="0" collapsed="false">
      <c r="B790" s="7" t="s">
        <v>1287</v>
      </c>
      <c r="C790" s="39" t="n">
        <v>45698</v>
      </c>
      <c r="D790" s="7" t="s">
        <v>377</v>
      </c>
      <c r="E790" s="7" t="s">
        <v>154</v>
      </c>
      <c r="F790" s="7" t="s">
        <v>214</v>
      </c>
      <c r="G790" s="7" t="s">
        <v>505</v>
      </c>
      <c r="H790" s="6" t="n">
        <v>4.04</v>
      </c>
      <c r="I790" s="6" t="n">
        <v>0.121</v>
      </c>
      <c r="J790" s="40" t="n">
        <f aca="false">H790-I790</f>
        <v>3.919</v>
      </c>
      <c r="K790" s="41" t="n">
        <v>26.5</v>
      </c>
      <c r="L790" s="42" t="n">
        <f aca="false">J790*K790</f>
        <v>103.8535</v>
      </c>
      <c r="M790" s="43" t="n">
        <f aca="false">H790*15.67*(1+'Chart of Accounts'!$E$67)</f>
        <v>72.486286</v>
      </c>
    </row>
    <row r="791" customFormat="false" ht="15" hidden="false" customHeight="false" outlineLevel="0" collapsed="false">
      <c r="B791" s="7" t="s">
        <v>1288</v>
      </c>
      <c r="C791" s="39" t="n">
        <v>45698</v>
      </c>
      <c r="D791" s="7" t="s">
        <v>379</v>
      </c>
      <c r="E791" s="7" t="s">
        <v>156</v>
      </c>
      <c r="F791" s="7" t="s">
        <v>224</v>
      </c>
      <c r="G791" s="7" t="s">
        <v>505</v>
      </c>
      <c r="H791" s="6" t="n">
        <v>4.3</v>
      </c>
      <c r="I791" s="6" t="n">
        <v>0</v>
      </c>
      <c r="J791" s="40" t="n">
        <f aca="false">H791-I791</f>
        <v>4.3</v>
      </c>
      <c r="K791" s="41" t="n">
        <v>34</v>
      </c>
      <c r="L791" s="42" t="n">
        <f aca="false">J791*K791</f>
        <v>146.2</v>
      </c>
      <c r="M791" s="43" t="n">
        <f aca="false">H791*14.93*(1+'Chart of Accounts'!$E$67)</f>
        <v>73.507855</v>
      </c>
    </row>
    <row r="792" customFormat="false" ht="15" hidden="false" customHeight="false" outlineLevel="0" collapsed="false">
      <c r="B792" s="7" t="s">
        <v>1289</v>
      </c>
      <c r="C792" s="39" t="n">
        <v>45698</v>
      </c>
      <c r="D792" s="7" t="s">
        <v>389</v>
      </c>
      <c r="E792" s="7" t="s">
        <v>154</v>
      </c>
      <c r="F792" s="7" t="s">
        <v>246</v>
      </c>
      <c r="G792" s="7" t="s">
        <v>505</v>
      </c>
      <c r="H792" s="6" t="n">
        <v>3.65</v>
      </c>
      <c r="I792" s="6" t="n">
        <v>0</v>
      </c>
      <c r="J792" s="40" t="n">
        <f aca="false">H792-I792</f>
        <v>3.65</v>
      </c>
      <c r="K792" s="41" t="n">
        <v>26.5</v>
      </c>
      <c r="L792" s="42" t="n">
        <f aca="false">J792*K792</f>
        <v>96.725</v>
      </c>
      <c r="M792" s="43" t="n">
        <f aca="false">H792*16.48*(1+'Chart of Accounts'!$E$67)</f>
        <v>68.87404</v>
      </c>
    </row>
    <row r="793" customFormat="false" ht="15" hidden="false" customHeight="false" outlineLevel="0" collapsed="false">
      <c r="B793" s="7" t="s">
        <v>1290</v>
      </c>
      <c r="C793" s="39" t="n">
        <v>45698</v>
      </c>
      <c r="D793" s="7" t="s">
        <v>391</v>
      </c>
      <c r="E793" s="7" t="s">
        <v>156</v>
      </c>
      <c r="F793" s="7" t="s">
        <v>222</v>
      </c>
      <c r="G793" s="7" t="s">
        <v>505</v>
      </c>
      <c r="H793" s="6" t="n">
        <v>3.76</v>
      </c>
      <c r="I793" s="6" t="n">
        <v>0</v>
      </c>
      <c r="J793" s="40" t="n">
        <f aca="false">H793-I793</f>
        <v>3.76</v>
      </c>
      <c r="K793" s="41" t="n">
        <v>34</v>
      </c>
      <c r="L793" s="42" t="n">
        <f aca="false">J793*K793</f>
        <v>127.84</v>
      </c>
      <c r="M793" s="43" t="n">
        <f aca="false">H793*17.84*(1+'Chart of Accounts'!$E$67)</f>
        <v>76.804768</v>
      </c>
    </row>
    <row r="794" customFormat="false" ht="15" hidden="false" customHeight="false" outlineLevel="0" collapsed="false">
      <c r="B794" s="7" t="s">
        <v>1291</v>
      </c>
      <c r="C794" s="39" t="n">
        <v>45698</v>
      </c>
      <c r="D794" s="7" t="s">
        <v>395</v>
      </c>
      <c r="E794" s="7" t="s">
        <v>156</v>
      </c>
      <c r="F794" s="7" t="s">
        <v>242</v>
      </c>
      <c r="G794" s="7" t="s">
        <v>505</v>
      </c>
      <c r="H794" s="6" t="n">
        <v>4.35</v>
      </c>
      <c r="I794" s="6" t="n">
        <v>0</v>
      </c>
      <c r="J794" s="40" t="n">
        <f aca="false">H794-I794</f>
        <v>4.35</v>
      </c>
      <c r="K794" s="41" t="n">
        <v>34</v>
      </c>
      <c r="L794" s="42" t="n">
        <f aca="false">J794*K794</f>
        <v>147.9</v>
      </c>
      <c r="M794" s="43" t="n">
        <f aca="false">H794*17.99*(1+'Chart of Accounts'!$E$67)</f>
        <v>89.6036925</v>
      </c>
    </row>
    <row r="795" customFormat="false" ht="15" hidden="false" customHeight="false" outlineLevel="0" collapsed="false">
      <c r="B795" s="7" t="s">
        <v>1292</v>
      </c>
      <c r="C795" s="39" t="n">
        <v>45698</v>
      </c>
      <c r="D795" s="7" t="s">
        <v>399</v>
      </c>
      <c r="E795" s="7" t="s">
        <v>154</v>
      </c>
      <c r="F795" s="7" t="s">
        <v>262</v>
      </c>
      <c r="G795" s="7" t="s">
        <v>505</v>
      </c>
      <c r="H795" s="6" t="n">
        <v>3.61</v>
      </c>
      <c r="I795" s="6" t="n">
        <v>0</v>
      </c>
      <c r="J795" s="40" t="n">
        <f aca="false">H795-I795</f>
        <v>3.61</v>
      </c>
      <c r="K795" s="41" t="n">
        <v>26.5</v>
      </c>
      <c r="L795" s="42" t="n">
        <f aca="false">J795*K795</f>
        <v>95.665</v>
      </c>
      <c r="M795" s="43" t="n">
        <f aca="false">H795*16.02*(1+'Chart of Accounts'!$E$67)</f>
        <v>66.217869</v>
      </c>
    </row>
    <row r="796" customFormat="false" ht="15" hidden="false" customHeight="false" outlineLevel="0" collapsed="false">
      <c r="B796" s="7" t="s">
        <v>1293</v>
      </c>
      <c r="C796" s="39" t="n">
        <v>45698</v>
      </c>
      <c r="D796" s="7" t="s">
        <v>401</v>
      </c>
      <c r="E796" s="7" t="s">
        <v>156</v>
      </c>
      <c r="F796" s="7" t="s">
        <v>254</v>
      </c>
      <c r="G796" s="7" t="s">
        <v>505</v>
      </c>
      <c r="H796" s="6" t="n">
        <v>3.76</v>
      </c>
      <c r="I796" s="6" t="n">
        <v>0</v>
      </c>
      <c r="J796" s="40" t="n">
        <f aca="false">H796-I796</f>
        <v>3.76</v>
      </c>
      <c r="K796" s="41" t="n">
        <v>34</v>
      </c>
      <c r="L796" s="42" t="n">
        <f aca="false">J796*K796</f>
        <v>127.84</v>
      </c>
      <c r="M796" s="43" t="n">
        <f aca="false">H796*17.1*(1+'Chart of Accounts'!$E$67)</f>
        <v>73.61892</v>
      </c>
    </row>
    <row r="797" customFormat="false" ht="15" hidden="false" customHeight="false" outlineLevel="0" collapsed="false">
      <c r="B797" s="7" t="s">
        <v>1294</v>
      </c>
      <c r="C797" s="39" t="n">
        <v>45698</v>
      </c>
      <c r="D797" s="7" t="s">
        <v>409</v>
      </c>
      <c r="E797" s="7" t="s">
        <v>154</v>
      </c>
      <c r="F797" s="7" t="s">
        <v>214</v>
      </c>
      <c r="G797" s="7" t="s">
        <v>505</v>
      </c>
      <c r="H797" s="6" t="n">
        <v>3.06</v>
      </c>
      <c r="I797" s="6" t="n">
        <v>0</v>
      </c>
      <c r="J797" s="40" t="n">
        <f aca="false">H797-I797</f>
        <v>3.06</v>
      </c>
      <c r="K797" s="41" t="n">
        <v>26.5</v>
      </c>
      <c r="L797" s="42" t="n">
        <f aca="false">J797*K797</f>
        <v>81.09</v>
      </c>
      <c r="M797" s="43" t="n">
        <f aca="false">H797*15.67*(1+'Chart of Accounts'!$E$67)</f>
        <v>54.902979</v>
      </c>
    </row>
    <row r="798" customFormat="false" ht="15" hidden="false" customHeight="false" outlineLevel="0" collapsed="false">
      <c r="B798" s="7" t="s">
        <v>1295</v>
      </c>
      <c r="C798" s="39" t="n">
        <v>45698</v>
      </c>
      <c r="D798" s="7" t="s">
        <v>411</v>
      </c>
      <c r="E798" s="7" t="s">
        <v>154</v>
      </c>
      <c r="F798" s="7" t="s">
        <v>177</v>
      </c>
      <c r="G798" s="7" t="s">
        <v>505</v>
      </c>
      <c r="H798" s="6" t="n">
        <v>4.31</v>
      </c>
      <c r="I798" s="6" t="n">
        <v>0.129</v>
      </c>
      <c r="J798" s="40" t="n">
        <f aca="false">H798-I798</f>
        <v>4.181</v>
      </c>
      <c r="K798" s="41" t="n">
        <v>26.5</v>
      </c>
      <c r="L798" s="42" t="n">
        <f aca="false">J798*K798</f>
        <v>110.7965</v>
      </c>
      <c r="M798" s="43" t="n">
        <f aca="false">H798*14.56*(1+'Chart of Accounts'!$E$67)</f>
        <v>71.852872</v>
      </c>
    </row>
    <row r="799" customFormat="false" ht="15" hidden="false" customHeight="false" outlineLevel="0" collapsed="false">
      <c r="B799" s="7" t="s">
        <v>1296</v>
      </c>
      <c r="C799" s="39" t="n">
        <v>45699</v>
      </c>
      <c r="D799" s="7" t="s">
        <v>288</v>
      </c>
      <c r="E799" s="7" t="s">
        <v>156</v>
      </c>
      <c r="F799" s="7" t="s">
        <v>191</v>
      </c>
      <c r="G799" s="7" t="s">
        <v>505</v>
      </c>
      <c r="H799" s="6" t="n">
        <v>4.34</v>
      </c>
      <c r="I799" s="6" t="n">
        <v>0</v>
      </c>
      <c r="J799" s="40" t="n">
        <f aca="false">H799-I799</f>
        <v>4.34</v>
      </c>
      <c r="K799" s="41" t="n">
        <v>34</v>
      </c>
      <c r="L799" s="42" t="n">
        <f aca="false">J799*K799</f>
        <v>147.56</v>
      </c>
      <c r="M799" s="43" t="n">
        <f aca="false">H799*16.05*(1+'Chart of Accounts'!$E$67)</f>
        <v>79.757265</v>
      </c>
    </row>
    <row r="800" customFormat="false" ht="15" hidden="false" customHeight="false" outlineLevel="0" collapsed="false">
      <c r="B800" s="7" t="s">
        <v>1297</v>
      </c>
      <c r="C800" s="39" t="n">
        <v>45699</v>
      </c>
      <c r="D800" s="7" t="s">
        <v>301</v>
      </c>
      <c r="E800" s="7" t="s">
        <v>157</v>
      </c>
      <c r="F800" s="7" t="s">
        <v>209</v>
      </c>
      <c r="G800" s="7" t="s">
        <v>502</v>
      </c>
      <c r="H800" s="6" t="n">
        <v>1</v>
      </c>
      <c r="I800" s="6" t="n">
        <v>0</v>
      </c>
      <c r="J800" s="40" t="n">
        <f aca="false">H800-I800</f>
        <v>1</v>
      </c>
      <c r="K800" s="41" t="n">
        <v>165</v>
      </c>
      <c r="L800" s="42" t="n">
        <f aca="false">J800*K800</f>
        <v>165</v>
      </c>
      <c r="M800" s="43" t="n">
        <f aca="false">H800*73.58*(1+'Chart of Accounts'!$E$67)</f>
        <v>84.2491</v>
      </c>
    </row>
    <row r="801" customFormat="false" ht="15" hidden="false" customHeight="false" outlineLevel="0" collapsed="false">
      <c r="B801" s="7" t="s">
        <v>1298</v>
      </c>
      <c r="C801" s="39" t="n">
        <v>45699</v>
      </c>
      <c r="D801" s="7" t="s">
        <v>313</v>
      </c>
      <c r="E801" s="7" t="s">
        <v>156</v>
      </c>
      <c r="F801" s="7" t="s">
        <v>184</v>
      </c>
      <c r="G801" s="7" t="s">
        <v>505</v>
      </c>
      <c r="H801" s="6" t="n">
        <v>3.88</v>
      </c>
      <c r="I801" s="6" t="n">
        <v>0</v>
      </c>
      <c r="J801" s="40" t="n">
        <f aca="false">H801-I801</f>
        <v>3.88</v>
      </c>
      <c r="K801" s="41" t="n">
        <v>34</v>
      </c>
      <c r="L801" s="42" t="n">
        <f aca="false">J801*K801</f>
        <v>131.92</v>
      </c>
      <c r="M801" s="43" t="n">
        <f aca="false">H801*17.34*(1+'Chart of Accounts'!$E$67)</f>
        <v>77.034684</v>
      </c>
    </row>
    <row r="802" customFormat="false" ht="15" hidden="false" customHeight="false" outlineLevel="0" collapsed="false">
      <c r="B802" s="7" t="s">
        <v>1299</v>
      </c>
      <c r="C802" s="39" t="n">
        <v>45699</v>
      </c>
      <c r="D802" s="7" t="s">
        <v>319</v>
      </c>
      <c r="E802" s="7" t="s">
        <v>157</v>
      </c>
      <c r="F802" s="7" t="s">
        <v>234</v>
      </c>
      <c r="G802" s="7" t="s">
        <v>502</v>
      </c>
      <c r="H802" s="6" t="n">
        <v>0.99</v>
      </c>
      <c r="I802" s="6" t="n">
        <v>0</v>
      </c>
      <c r="J802" s="40" t="n">
        <f aca="false">H802-I802</f>
        <v>0.99</v>
      </c>
      <c r="K802" s="41" t="n">
        <v>165</v>
      </c>
      <c r="L802" s="42" t="n">
        <f aca="false">J802*K802</f>
        <v>163.35</v>
      </c>
      <c r="M802" s="43" t="n">
        <f aca="false">H802*89.53*(1+'Chart of Accounts'!$E$67)</f>
        <v>101.4867315</v>
      </c>
    </row>
    <row r="803" customFormat="false" ht="15" hidden="false" customHeight="false" outlineLevel="0" collapsed="false">
      <c r="B803" s="7" t="s">
        <v>1300</v>
      </c>
      <c r="C803" s="39" t="n">
        <v>45699</v>
      </c>
      <c r="D803" s="7" t="s">
        <v>321</v>
      </c>
      <c r="E803" s="7" t="s">
        <v>154</v>
      </c>
      <c r="F803" s="7" t="s">
        <v>218</v>
      </c>
      <c r="G803" s="7" t="s">
        <v>505</v>
      </c>
      <c r="H803" s="6" t="n">
        <v>4.09</v>
      </c>
      <c r="I803" s="6" t="n">
        <v>0</v>
      </c>
      <c r="J803" s="40" t="n">
        <f aca="false">H803-I803</f>
        <v>4.09</v>
      </c>
      <c r="K803" s="41" t="n">
        <v>26.5</v>
      </c>
      <c r="L803" s="42" t="n">
        <f aca="false">J803*K803</f>
        <v>108.385</v>
      </c>
      <c r="M803" s="43" t="n">
        <f aca="false">H803*16.19*(1+'Chart of Accounts'!$E$67)</f>
        <v>75.8185795</v>
      </c>
    </row>
    <row r="804" customFormat="false" ht="15" hidden="false" customHeight="false" outlineLevel="0" collapsed="false">
      <c r="B804" s="7" t="s">
        <v>1301</v>
      </c>
      <c r="C804" s="39" t="n">
        <v>45699</v>
      </c>
      <c r="D804" s="7" t="s">
        <v>323</v>
      </c>
      <c r="E804" s="7" t="s">
        <v>159</v>
      </c>
      <c r="F804" s="7" t="s">
        <v>266</v>
      </c>
      <c r="G804" s="7" t="s">
        <v>502</v>
      </c>
      <c r="H804" s="6" t="n">
        <v>1.08</v>
      </c>
      <c r="I804" s="6" t="n">
        <v>0.076</v>
      </c>
      <c r="J804" s="40" t="n">
        <f aca="false">H804-I804</f>
        <v>1.004</v>
      </c>
      <c r="K804" s="41" t="n">
        <v>135</v>
      </c>
      <c r="L804" s="42" t="n">
        <f aca="false">J804*K804</f>
        <v>135.54</v>
      </c>
      <c r="M804" s="43" t="n">
        <f aca="false">H804*75.18*(1+'Chart of Accounts'!$E$67)</f>
        <v>92.967588</v>
      </c>
    </row>
    <row r="805" customFormat="false" ht="15" hidden="false" customHeight="false" outlineLevel="0" collapsed="false">
      <c r="B805" s="7" t="s">
        <v>1302</v>
      </c>
      <c r="C805" s="39" t="n">
        <v>45699</v>
      </c>
      <c r="D805" s="7" t="s">
        <v>327</v>
      </c>
      <c r="E805" s="7" t="s">
        <v>157</v>
      </c>
      <c r="F805" s="7" t="s">
        <v>228</v>
      </c>
      <c r="G805" s="7" t="s">
        <v>502</v>
      </c>
      <c r="H805" s="6" t="n">
        <v>0.98</v>
      </c>
      <c r="I805" s="6" t="n">
        <v>0</v>
      </c>
      <c r="J805" s="40" t="n">
        <f aca="false">H805-I805</f>
        <v>0.98</v>
      </c>
      <c r="K805" s="41" t="n">
        <v>165</v>
      </c>
      <c r="L805" s="42" t="n">
        <f aca="false">J805*K805</f>
        <v>161.7</v>
      </c>
      <c r="M805" s="43" t="n">
        <f aca="false">H805*51.07*(1+'Chart of Accounts'!$E$67)</f>
        <v>57.305647</v>
      </c>
    </row>
    <row r="806" customFormat="false" ht="15" hidden="false" customHeight="false" outlineLevel="0" collapsed="false">
      <c r="B806" s="7" t="s">
        <v>1303</v>
      </c>
      <c r="C806" s="39" t="n">
        <v>45699</v>
      </c>
      <c r="D806" s="7" t="s">
        <v>329</v>
      </c>
      <c r="E806" s="7" t="s">
        <v>156</v>
      </c>
      <c r="F806" s="7" t="s">
        <v>220</v>
      </c>
      <c r="G806" s="7" t="s">
        <v>505</v>
      </c>
      <c r="H806" s="6" t="n">
        <v>4.24</v>
      </c>
      <c r="I806" s="6" t="n">
        <v>0</v>
      </c>
      <c r="J806" s="40" t="n">
        <f aca="false">H806-I806</f>
        <v>4.24</v>
      </c>
      <c r="K806" s="41" t="n">
        <v>34</v>
      </c>
      <c r="L806" s="42" t="n">
        <f aca="false">J806*K806</f>
        <v>144.16</v>
      </c>
      <c r="M806" s="43" t="n">
        <f aca="false">H806*16.43*(1+'Chart of Accounts'!$E$67)</f>
        <v>79.764364</v>
      </c>
    </row>
    <row r="807" customFormat="false" ht="15" hidden="false" customHeight="false" outlineLevel="0" collapsed="false">
      <c r="B807" s="7" t="s">
        <v>1304</v>
      </c>
      <c r="C807" s="39" t="n">
        <v>45699</v>
      </c>
      <c r="D807" s="7" t="s">
        <v>361</v>
      </c>
      <c r="E807" s="7" t="s">
        <v>157</v>
      </c>
      <c r="F807" s="7" t="s">
        <v>209</v>
      </c>
      <c r="G807" s="7" t="s">
        <v>502</v>
      </c>
      <c r="H807" s="6" t="n">
        <v>1.06</v>
      </c>
      <c r="I807" s="6" t="n">
        <v>0</v>
      </c>
      <c r="J807" s="40" t="n">
        <f aca="false">H807-I807</f>
        <v>1.06</v>
      </c>
      <c r="K807" s="41" t="n">
        <v>165</v>
      </c>
      <c r="L807" s="42" t="n">
        <f aca="false">J807*K807</f>
        <v>174.9</v>
      </c>
      <c r="M807" s="43" t="n">
        <f aca="false">H807*73.58*(1+'Chart of Accounts'!$E$67)</f>
        <v>89.304046</v>
      </c>
    </row>
    <row r="808" customFormat="false" ht="15" hidden="false" customHeight="false" outlineLevel="0" collapsed="false">
      <c r="B808" s="7" t="s">
        <v>1305</v>
      </c>
      <c r="C808" s="39" t="n">
        <v>45699</v>
      </c>
      <c r="D808" s="7" t="s">
        <v>381</v>
      </c>
      <c r="E808" s="7" t="s">
        <v>157</v>
      </c>
      <c r="F808" s="7" t="s">
        <v>234</v>
      </c>
      <c r="G808" s="7" t="s">
        <v>502</v>
      </c>
      <c r="H808" s="6" t="n">
        <v>1</v>
      </c>
      <c r="I808" s="6" t="n">
        <v>0</v>
      </c>
      <c r="J808" s="40" t="n">
        <f aca="false">H808-I808</f>
        <v>1</v>
      </c>
      <c r="K808" s="41" t="n">
        <v>165</v>
      </c>
      <c r="L808" s="42" t="n">
        <f aca="false">J808*K808</f>
        <v>165</v>
      </c>
      <c r="M808" s="43" t="n">
        <f aca="false">H808*89.53*(1+'Chart of Accounts'!$E$67)</f>
        <v>102.51185</v>
      </c>
    </row>
    <row r="809" customFormat="false" ht="15" hidden="false" customHeight="false" outlineLevel="0" collapsed="false">
      <c r="B809" s="7" t="s">
        <v>1306</v>
      </c>
      <c r="C809" s="39" t="n">
        <v>45699</v>
      </c>
      <c r="D809" s="7" t="s">
        <v>389</v>
      </c>
      <c r="E809" s="7" t="s">
        <v>154</v>
      </c>
      <c r="F809" s="7" t="s">
        <v>246</v>
      </c>
      <c r="G809" s="7" t="s">
        <v>505</v>
      </c>
      <c r="H809" s="6" t="n">
        <v>3.91</v>
      </c>
      <c r="I809" s="6" t="n">
        <v>0</v>
      </c>
      <c r="J809" s="40" t="n">
        <f aca="false">H809-I809</f>
        <v>3.91</v>
      </c>
      <c r="K809" s="41" t="n">
        <v>26.5</v>
      </c>
      <c r="L809" s="42" t="n">
        <f aca="false">J809*K809</f>
        <v>103.615</v>
      </c>
      <c r="M809" s="43" t="n">
        <f aca="false">H809*16.48*(1+'Chart of Accounts'!$E$67)</f>
        <v>73.780136</v>
      </c>
    </row>
    <row r="810" customFormat="false" ht="15" hidden="false" customHeight="false" outlineLevel="0" collapsed="false">
      <c r="B810" s="7" t="s">
        <v>1307</v>
      </c>
      <c r="C810" s="39" t="n">
        <v>45699</v>
      </c>
      <c r="D810" s="7" t="s">
        <v>391</v>
      </c>
      <c r="E810" s="7" t="s">
        <v>156</v>
      </c>
      <c r="F810" s="7" t="s">
        <v>222</v>
      </c>
      <c r="G810" s="7" t="s">
        <v>505</v>
      </c>
      <c r="H810" s="6" t="n">
        <v>3.78</v>
      </c>
      <c r="I810" s="6" t="n">
        <v>0</v>
      </c>
      <c r="J810" s="40" t="n">
        <f aca="false">H810-I810</f>
        <v>3.78</v>
      </c>
      <c r="K810" s="41" t="n">
        <v>34</v>
      </c>
      <c r="L810" s="42" t="n">
        <f aca="false">J810*K810</f>
        <v>128.52</v>
      </c>
      <c r="M810" s="43" t="n">
        <f aca="false">H810*17.84*(1+'Chart of Accounts'!$E$67)</f>
        <v>77.213304</v>
      </c>
    </row>
    <row r="811" customFormat="false" ht="15" hidden="false" customHeight="false" outlineLevel="0" collapsed="false">
      <c r="B811" s="7" t="s">
        <v>1308</v>
      </c>
      <c r="C811" s="39" t="n">
        <v>45699</v>
      </c>
      <c r="D811" s="7" t="s">
        <v>395</v>
      </c>
      <c r="E811" s="7" t="s">
        <v>156</v>
      </c>
      <c r="F811" s="7" t="s">
        <v>242</v>
      </c>
      <c r="G811" s="7" t="s">
        <v>505</v>
      </c>
      <c r="H811" s="6" t="n">
        <v>3.65</v>
      </c>
      <c r="I811" s="6" t="n">
        <v>0</v>
      </c>
      <c r="J811" s="40" t="n">
        <f aca="false">H811-I811</f>
        <v>3.65</v>
      </c>
      <c r="K811" s="41" t="n">
        <v>34</v>
      </c>
      <c r="L811" s="42" t="n">
        <f aca="false">J811*K811</f>
        <v>124.1</v>
      </c>
      <c r="M811" s="43" t="n">
        <f aca="false">H811*17.99*(1+'Chart of Accounts'!$E$67)</f>
        <v>75.1847075</v>
      </c>
    </row>
    <row r="812" customFormat="false" ht="15" hidden="false" customHeight="false" outlineLevel="0" collapsed="false">
      <c r="B812" s="7" t="s">
        <v>1309</v>
      </c>
      <c r="C812" s="39" t="n">
        <v>45699</v>
      </c>
      <c r="D812" s="7" t="s">
        <v>401</v>
      </c>
      <c r="E812" s="7" t="s">
        <v>156</v>
      </c>
      <c r="F812" s="7" t="s">
        <v>254</v>
      </c>
      <c r="G812" s="7" t="s">
        <v>505</v>
      </c>
      <c r="H812" s="6" t="n">
        <v>4.21</v>
      </c>
      <c r="I812" s="6" t="n">
        <v>0</v>
      </c>
      <c r="J812" s="40" t="n">
        <f aca="false">H812-I812</f>
        <v>4.21</v>
      </c>
      <c r="K812" s="41" t="n">
        <v>34</v>
      </c>
      <c r="L812" s="42" t="n">
        <f aca="false">J812*K812</f>
        <v>143.14</v>
      </c>
      <c r="M812" s="43" t="n">
        <f aca="false">H812*17.1*(1+'Chart of Accounts'!$E$67)</f>
        <v>82.429695</v>
      </c>
    </row>
    <row r="813" customFormat="false" ht="15" hidden="false" customHeight="false" outlineLevel="0" collapsed="false">
      <c r="B813" s="7" t="s">
        <v>1310</v>
      </c>
      <c r="C813" s="39" t="n">
        <v>45699</v>
      </c>
      <c r="D813" s="7" t="s">
        <v>407</v>
      </c>
      <c r="E813" s="7" t="s">
        <v>159</v>
      </c>
      <c r="F813" s="7" t="s">
        <v>260</v>
      </c>
      <c r="G813" s="7" t="s">
        <v>502</v>
      </c>
      <c r="H813" s="6" t="n">
        <v>0.92</v>
      </c>
      <c r="I813" s="6" t="n">
        <v>0</v>
      </c>
      <c r="J813" s="40" t="n">
        <f aca="false">H813-I813</f>
        <v>0.92</v>
      </c>
      <c r="K813" s="41" t="n">
        <v>135</v>
      </c>
      <c r="L813" s="42" t="n">
        <f aca="false">J813*K813</f>
        <v>124.2</v>
      </c>
      <c r="M813" s="43" t="n">
        <f aca="false">H813*79.8*(1+'Chart of Accounts'!$E$67)</f>
        <v>84.06132</v>
      </c>
    </row>
    <row r="814" customFormat="false" ht="15" hidden="false" customHeight="false" outlineLevel="0" collapsed="false">
      <c r="B814" s="7" t="s">
        <v>1311</v>
      </c>
      <c r="C814" s="39" t="n">
        <v>45700</v>
      </c>
      <c r="D814" s="7" t="s">
        <v>280</v>
      </c>
      <c r="E814" s="7" t="s">
        <v>157</v>
      </c>
      <c r="F814" s="7" t="s">
        <v>187</v>
      </c>
      <c r="G814" s="7" t="s">
        <v>502</v>
      </c>
      <c r="H814" s="6" t="n">
        <v>1.06</v>
      </c>
      <c r="I814" s="6" t="n">
        <v>0.053</v>
      </c>
      <c r="J814" s="40" t="n">
        <f aca="false">H814-I814</f>
        <v>1.007</v>
      </c>
      <c r="K814" s="41" t="n">
        <v>165</v>
      </c>
      <c r="L814" s="42" t="n">
        <f aca="false">J814*K814</f>
        <v>166.155</v>
      </c>
      <c r="M814" s="43" t="n">
        <f aca="false">H814*66.48*(1+'Chart of Accounts'!$E$67)</f>
        <v>80.686776</v>
      </c>
    </row>
    <row r="815" customFormat="false" ht="15" hidden="false" customHeight="false" outlineLevel="0" collapsed="false">
      <c r="B815" s="7" t="s">
        <v>1312</v>
      </c>
      <c r="C815" s="39" t="n">
        <v>45700</v>
      </c>
      <c r="D815" s="7" t="s">
        <v>286</v>
      </c>
      <c r="E815" s="7" t="s">
        <v>157</v>
      </c>
      <c r="F815" s="7" t="s">
        <v>228</v>
      </c>
      <c r="G815" s="7" t="s">
        <v>502</v>
      </c>
      <c r="H815" s="6" t="n">
        <v>1.1</v>
      </c>
      <c r="I815" s="6" t="n">
        <v>0</v>
      </c>
      <c r="J815" s="40" t="n">
        <f aca="false">H815-I815</f>
        <v>1.1</v>
      </c>
      <c r="K815" s="41" t="n">
        <v>165</v>
      </c>
      <c r="L815" s="42" t="n">
        <f aca="false">J815*K815</f>
        <v>181.5</v>
      </c>
      <c r="M815" s="43" t="n">
        <f aca="false">H815*51.07*(1+'Chart of Accounts'!$E$67)</f>
        <v>64.322665</v>
      </c>
    </row>
    <row r="816" customFormat="false" ht="15" hidden="false" customHeight="false" outlineLevel="0" collapsed="false">
      <c r="B816" s="7" t="s">
        <v>1313</v>
      </c>
      <c r="C816" s="39" t="n">
        <v>45700</v>
      </c>
      <c r="D816" s="7" t="s">
        <v>288</v>
      </c>
      <c r="E816" s="7" t="s">
        <v>156</v>
      </c>
      <c r="F816" s="7" t="s">
        <v>191</v>
      </c>
      <c r="G816" s="7" t="s">
        <v>505</v>
      </c>
      <c r="H816" s="6" t="n">
        <v>4.24</v>
      </c>
      <c r="I816" s="6" t="n">
        <v>0</v>
      </c>
      <c r="J816" s="40" t="n">
        <f aca="false">H816-I816</f>
        <v>4.24</v>
      </c>
      <c r="K816" s="41" t="n">
        <v>34</v>
      </c>
      <c r="L816" s="42" t="n">
        <f aca="false">J816*K816</f>
        <v>144.16</v>
      </c>
      <c r="M816" s="43" t="n">
        <f aca="false">H816*16.05*(1+'Chart of Accounts'!$E$67)</f>
        <v>77.91954</v>
      </c>
    </row>
    <row r="817" customFormat="false" ht="15" hidden="false" customHeight="false" outlineLevel="0" collapsed="false">
      <c r="B817" s="7" t="s">
        <v>1314</v>
      </c>
      <c r="C817" s="39" t="n">
        <v>45700</v>
      </c>
      <c r="D817" s="7" t="s">
        <v>291</v>
      </c>
      <c r="E817" s="7" t="s">
        <v>154</v>
      </c>
      <c r="F817" s="7" t="s">
        <v>194</v>
      </c>
      <c r="G817" s="7" t="s">
        <v>505</v>
      </c>
      <c r="H817" s="6" t="n">
        <v>4.99</v>
      </c>
      <c r="I817" s="6" t="n">
        <v>0</v>
      </c>
      <c r="J817" s="40" t="n">
        <f aca="false">H817-I817</f>
        <v>4.99</v>
      </c>
      <c r="K817" s="41" t="n">
        <v>26.5</v>
      </c>
      <c r="L817" s="42" t="n">
        <f aca="false">J817*K817</f>
        <v>132.235</v>
      </c>
      <c r="M817" s="43" t="n">
        <f aca="false">H817*16*(1+'Chart of Accounts'!$E$67)</f>
        <v>91.4168</v>
      </c>
    </row>
    <row r="818" customFormat="false" ht="15" hidden="false" customHeight="false" outlineLevel="0" collapsed="false">
      <c r="B818" s="7" t="s">
        <v>1315</v>
      </c>
      <c r="C818" s="39" t="n">
        <v>45700</v>
      </c>
      <c r="D818" s="7" t="s">
        <v>305</v>
      </c>
      <c r="E818" s="7" t="s">
        <v>154</v>
      </c>
      <c r="F818" s="7" t="s">
        <v>205</v>
      </c>
      <c r="G818" s="7" t="s">
        <v>505</v>
      </c>
      <c r="H818" s="6" t="n">
        <v>4.24</v>
      </c>
      <c r="I818" s="6" t="n">
        <v>0</v>
      </c>
      <c r="J818" s="40" t="n">
        <f aca="false">H818-I818</f>
        <v>4.24</v>
      </c>
      <c r="K818" s="41" t="n">
        <v>26.5</v>
      </c>
      <c r="L818" s="42" t="n">
        <f aca="false">J818*K818</f>
        <v>112.36</v>
      </c>
      <c r="M818" s="43" t="n">
        <f aca="false">H818*16.36*(1+'Chart of Accounts'!$E$67)</f>
        <v>79.424528</v>
      </c>
    </row>
    <row r="819" customFormat="false" ht="15" hidden="false" customHeight="false" outlineLevel="0" collapsed="false">
      <c r="B819" s="7" t="s">
        <v>1316</v>
      </c>
      <c r="C819" s="39" t="n">
        <v>45700</v>
      </c>
      <c r="D819" s="7" t="s">
        <v>309</v>
      </c>
      <c r="E819" s="7" t="s">
        <v>159</v>
      </c>
      <c r="F819" s="7" t="s">
        <v>252</v>
      </c>
      <c r="G819" s="7" t="s">
        <v>502</v>
      </c>
      <c r="H819" s="6" t="n">
        <v>0.91</v>
      </c>
      <c r="I819" s="6" t="n">
        <v>0</v>
      </c>
      <c r="J819" s="40" t="n">
        <f aca="false">H819-I819</f>
        <v>0.91</v>
      </c>
      <c r="K819" s="41" t="n">
        <v>135</v>
      </c>
      <c r="L819" s="42" t="n">
        <f aca="false">J819*K819</f>
        <v>122.85</v>
      </c>
      <c r="M819" s="43" t="n">
        <f aca="false">H819*57.54*(1+'Chart of Accounts'!$E$67)</f>
        <v>59.953803</v>
      </c>
    </row>
    <row r="820" customFormat="false" ht="15" hidden="false" customHeight="false" outlineLevel="0" collapsed="false">
      <c r="B820" s="7" t="s">
        <v>1317</v>
      </c>
      <c r="C820" s="39" t="n">
        <v>45700</v>
      </c>
      <c r="D820" s="7" t="s">
        <v>313</v>
      </c>
      <c r="E820" s="7" t="s">
        <v>156</v>
      </c>
      <c r="F820" s="7" t="s">
        <v>184</v>
      </c>
      <c r="G820" s="7" t="s">
        <v>505</v>
      </c>
      <c r="H820" s="6" t="n">
        <v>4.05</v>
      </c>
      <c r="I820" s="6" t="n">
        <v>0</v>
      </c>
      <c r="J820" s="40" t="n">
        <f aca="false">H820-I820</f>
        <v>4.05</v>
      </c>
      <c r="K820" s="41" t="n">
        <v>34</v>
      </c>
      <c r="L820" s="42" t="n">
        <f aca="false">J820*K820</f>
        <v>137.7</v>
      </c>
      <c r="M820" s="43" t="n">
        <f aca="false">H820*17.34*(1+'Chart of Accounts'!$E$67)</f>
        <v>80.409915</v>
      </c>
    </row>
    <row r="821" customFormat="false" ht="15" hidden="false" customHeight="false" outlineLevel="0" collapsed="false">
      <c r="B821" s="7" t="s">
        <v>1318</v>
      </c>
      <c r="C821" s="39" t="n">
        <v>45700</v>
      </c>
      <c r="D821" s="7" t="s">
        <v>321</v>
      </c>
      <c r="E821" s="7" t="s">
        <v>154</v>
      </c>
      <c r="F821" s="7" t="s">
        <v>218</v>
      </c>
      <c r="G821" s="7" t="s">
        <v>505</v>
      </c>
      <c r="H821" s="6" t="n">
        <v>4.39</v>
      </c>
      <c r="I821" s="6" t="n">
        <v>0</v>
      </c>
      <c r="J821" s="40" t="n">
        <f aca="false">H821-I821</f>
        <v>4.39</v>
      </c>
      <c r="K821" s="41" t="n">
        <v>26.5</v>
      </c>
      <c r="L821" s="42" t="n">
        <f aca="false">J821*K821</f>
        <v>116.335</v>
      </c>
      <c r="M821" s="43" t="n">
        <f aca="false">H821*16.19*(1+'Chart of Accounts'!$E$67)</f>
        <v>81.3798445</v>
      </c>
    </row>
    <row r="822" customFormat="false" ht="15" hidden="false" customHeight="false" outlineLevel="0" collapsed="false">
      <c r="B822" s="7" t="s">
        <v>1319</v>
      </c>
      <c r="C822" s="39" t="n">
        <v>45700</v>
      </c>
      <c r="D822" s="7" t="s">
        <v>329</v>
      </c>
      <c r="E822" s="7" t="s">
        <v>156</v>
      </c>
      <c r="F822" s="7" t="s">
        <v>220</v>
      </c>
      <c r="G822" s="7" t="s">
        <v>505</v>
      </c>
      <c r="H822" s="6" t="n">
        <v>3.85</v>
      </c>
      <c r="I822" s="6" t="n">
        <v>0</v>
      </c>
      <c r="J822" s="40" t="n">
        <f aca="false">H822-I822</f>
        <v>3.85</v>
      </c>
      <c r="K822" s="41" t="n">
        <v>34</v>
      </c>
      <c r="L822" s="42" t="n">
        <f aca="false">J822*K822</f>
        <v>130.9</v>
      </c>
      <c r="M822" s="43" t="n">
        <f aca="false">H822*16.43*(1+'Chart of Accounts'!$E$67)</f>
        <v>72.4275475</v>
      </c>
    </row>
    <row r="823" customFormat="false" ht="15" hidden="false" customHeight="false" outlineLevel="0" collapsed="false">
      <c r="B823" s="7" t="s">
        <v>1320</v>
      </c>
      <c r="C823" s="39" t="n">
        <v>45700</v>
      </c>
      <c r="D823" s="7" t="s">
        <v>335</v>
      </c>
      <c r="E823" s="7" t="s">
        <v>154</v>
      </c>
      <c r="F823" s="7" t="s">
        <v>177</v>
      </c>
      <c r="G823" s="7" t="s">
        <v>505</v>
      </c>
      <c r="H823" s="6" t="n">
        <v>3.79</v>
      </c>
      <c r="I823" s="6" t="n">
        <v>0</v>
      </c>
      <c r="J823" s="40" t="n">
        <f aca="false">H823-I823</f>
        <v>3.79</v>
      </c>
      <c r="K823" s="41" t="n">
        <v>26.5</v>
      </c>
      <c r="L823" s="42" t="n">
        <f aca="false">J823*K823</f>
        <v>100.435</v>
      </c>
      <c r="M823" s="43" t="n">
        <f aca="false">H823*14.56*(1+'Chart of Accounts'!$E$67)</f>
        <v>63.183848</v>
      </c>
    </row>
    <row r="824" customFormat="false" ht="15" hidden="false" customHeight="false" outlineLevel="0" collapsed="false">
      <c r="B824" s="7" t="s">
        <v>1321</v>
      </c>
      <c r="C824" s="39" t="n">
        <v>45700</v>
      </c>
      <c r="D824" s="7" t="s">
        <v>339</v>
      </c>
      <c r="E824" s="7" t="s">
        <v>154</v>
      </c>
      <c r="F824" s="7" t="s">
        <v>242</v>
      </c>
      <c r="G824" s="7" t="s">
        <v>505</v>
      </c>
      <c r="H824" s="6" t="n">
        <v>3</v>
      </c>
      <c r="I824" s="6" t="n">
        <v>0</v>
      </c>
      <c r="J824" s="40" t="n">
        <f aca="false">H824-I824</f>
        <v>3</v>
      </c>
      <c r="K824" s="41" t="n">
        <v>26.5</v>
      </c>
      <c r="L824" s="42" t="n">
        <f aca="false">J824*K824</f>
        <v>79.5</v>
      </c>
      <c r="M824" s="43" t="n">
        <f aca="false">H824*17.99*(1+'Chart of Accounts'!$E$67)</f>
        <v>61.79565</v>
      </c>
    </row>
    <row r="825" customFormat="false" ht="15" hidden="false" customHeight="false" outlineLevel="0" collapsed="false">
      <c r="B825" s="7" t="s">
        <v>1322</v>
      </c>
      <c r="C825" s="39" t="n">
        <v>45700</v>
      </c>
      <c r="D825" s="7" t="s">
        <v>353</v>
      </c>
      <c r="E825" s="7" t="s">
        <v>154</v>
      </c>
      <c r="F825" s="7" t="s">
        <v>254</v>
      </c>
      <c r="G825" s="7" t="s">
        <v>505</v>
      </c>
      <c r="H825" s="6" t="n">
        <v>3.09</v>
      </c>
      <c r="I825" s="6" t="n">
        <v>0</v>
      </c>
      <c r="J825" s="40" t="n">
        <f aca="false">H825-I825</f>
        <v>3.09</v>
      </c>
      <c r="K825" s="41" t="n">
        <v>26.5</v>
      </c>
      <c r="L825" s="42" t="n">
        <f aca="false">J825*K825</f>
        <v>81.885</v>
      </c>
      <c r="M825" s="43" t="n">
        <f aca="false">H825*17.1*(1+'Chart of Accounts'!$E$67)</f>
        <v>60.500655</v>
      </c>
    </row>
    <row r="826" customFormat="false" ht="15" hidden="false" customHeight="false" outlineLevel="0" collapsed="false">
      <c r="B826" s="7" t="s">
        <v>1323</v>
      </c>
      <c r="C826" s="39" t="n">
        <v>45700</v>
      </c>
      <c r="D826" s="7" t="s">
        <v>355</v>
      </c>
      <c r="E826" s="7" t="s">
        <v>154</v>
      </c>
      <c r="F826" s="7" t="s">
        <v>201</v>
      </c>
      <c r="G826" s="7" t="s">
        <v>505</v>
      </c>
      <c r="H826" s="6" t="n">
        <v>3.56</v>
      </c>
      <c r="I826" s="6" t="n">
        <v>0.107</v>
      </c>
      <c r="J826" s="40" t="n">
        <f aca="false">H826-I826</f>
        <v>3.453</v>
      </c>
      <c r="K826" s="41" t="n">
        <v>26.5</v>
      </c>
      <c r="L826" s="42" t="n">
        <f aca="false">J826*K826</f>
        <v>91.5045</v>
      </c>
      <c r="M826" s="43" t="n">
        <f aca="false">H826*15.19*(1+'Chart of Accounts'!$E$67)</f>
        <v>61.917478</v>
      </c>
    </row>
    <row r="827" customFormat="false" ht="15" hidden="false" customHeight="false" outlineLevel="0" collapsed="false">
      <c r="B827" s="7" t="s">
        <v>1324</v>
      </c>
      <c r="C827" s="39" t="n">
        <v>45700</v>
      </c>
      <c r="D827" s="7" t="s">
        <v>357</v>
      </c>
      <c r="E827" s="7" t="s">
        <v>154</v>
      </c>
      <c r="F827" s="7" t="s">
        <v>207</v>
      </c>
      <c r="G827" s="7" t="s">
        <v>505</v>
      </c>
      <c r="H827" s="6" t="n">
        <v>3.39</v>
      </c>
      <c r="I827" s="6" t="n">
        <v>0</v>
      </c>
      <c r="J827" s="40" t="n">
        <f aca="false">H827-I827</f>
        <v>3.39</v>
      </c>
      <c r="K827" s="41" t="n">
        <v>26.5</v>
      </c>
      <c r="L827" s="42" t="n">
        <f aca="false">J827*K827</f>
        <v>89.835</v>
      </c>
      <c r="M827" s="43" t="n">
        <f aca="false">H827*16.65*(1+'Chart of Accounts'!$E$67)</f>
        <v>64.6278075</v>
      </c>
    </row>
    <row r="828" customFormat="false" ht="15" hidden="false" customHeight="false" outlineLevel="0" collapsed="false">
      <c r="B828" s="7" t="s">
        <v>1325</v>
      </c>
      <c r="C828" s="39" t="n">
        <v>45700</v>
      </c>
      <c r="D828" s="7" t="s">
        <v>359</v>
      </c>
      <c r="E828" s="7" t="s">
        <v>156</v>
      </c>
      <c r="F828" s="7" t="s">
        <v>212</v>
      </c>
      <c r="G828" s="7" t="s">
        <v>505</v>
      </c>
      <c r="H828" s="6" t="n">
        <v>4.28</v>
      </c>
      <c r="I828" s="6" t="n">
        <v>0</v>
      </c>
      <c r="J828" s="40" t="n">
        <f aca="false">H828-I828</f>
        <v>4.28</v>
      </c>
      <c r="K828" s="41" t="n">
        <v>34</v>
      </c>
      <c r="L828" s="42" t="n">
        <f aca="false">J828*K828</f>
        <v>145.52</v>
      </c>
      <c r="M828" s="43" t="n">
        <f aca="false">H828*16.71*(1+'Chart of Accounts'!$E$67)</f>
        <v>81.889026</v>
      </c>
    </row>
    <row r="829" customFormat="false" ht="15" hidden="false" customHeight="false" outlineLevel="0" collapsed="false">
      <c r="B829" s="7" t="s">
        <v>1326</v>
      </c>
      <c r="C829" s="39" t="n">
        <v>45700</v>
      </c>
      <c r="D829" s="7" t="s">
        <v>371</v>
      </c>
      <c r="E829" s="7" t="s">
        <v>154</v>
      </c>
      <c r="F829" s="7" t="s">
        <v>232</v>
      </c>
      <c r="G829" s="7" t="s">
        <v>505</v>
      </c>
      <c r="H829" s="6" t="n">
        <v>4.55</v>
      </c>
      <c r="I829" s="6" t="n">
        <v>0</v>
      </c>
      <c r="J829" s="40" t="n">
        <f aca="false">H829-I829</f>
        <v>4.55</v>
      </c>
      <c r="K829" s="41" t="n">
        <v>26.5</v>
      </c>
      <c r="L829" s="42" t="n">
        <f aca="false">J829*K829</f>
        <v>120.575</v>
      </c>
      <c r="M829" s="43" t="n">
        <f aca="false">H829*16.17*(1+'Chart of Accounts'!$E$67)</f>
        <v>84.2416575</v>
      </c>
    </row>
    <row r="830" customFormat="false" ht="15" hidden="false" customHeight="false" outlineLevel="0" collapsed="false">
      <c r="B830" s="7" t="s">
        <v>1327</v>
      </c>
      <c r="C830" s="39" t="n">
        <v>45700</v>
      </c>
      <c r="D830" s="7" t="s">
        <v>379</v>
      </c>
      <c r="E830" s="7" t="s">
        <v>156</v>
      </c>
      <c r="F830" s="7" t="s">
        <v>224</v>
      </c>
      <c r="G830" s="7" t="s">
        <v>505</v>
      </c>
      <c r="H830" s="6" t="n">
        <v>4.29</v>
      </c>
      <c r="I830" s="6" t="n">
        <v>0</v>
      </c>
      <c r="J830" s="40" t="n">
        <f aca="false">H830-I830</f>
        <v>4.29</v>
      </c>
      <c r="K830" s="41" t="n">
        <v>34</v>
      </c>
      <c r="L830" s="42" t="n">
        <f aca="false">J830*K830</f>
        <v>145.86</v>
      </c>
      <c r="M830" s="43" t="n">
        <f aca="false">H830*14.93*(1+'Chart of Accounts'!$E$67)</f>
        <v>73.3369065</v>
      </c>
    </row>
    <row r="831" customFormat="false" ht="15" hidden="false" customHeight="false" outlineLevel="0" collapsed="false">
      <c r="B831" s="7" t="s">
        <v>1328</v>
      </c>
      <c r="C831" s="39" t="n">
        <v>45700</v>
      </c>
      <c r="D831" s="7" t="s">
        <v>389</v>
      </c>
      <c r="E831" s="7" t="s">
        <v>154</v>
      </c>
      <c r="F831" s="7" t="s">
        <v>246</v>
      </c>
      <c r="G831" s="7" t="s">
        <v>505</v>
      </c>
      <c r="H831" s="6" t="n">
        <v>3.73</v>
      </c>
      <c r="I831" s="6" t="n">
        <v>0</v>
      </c>
      <c r="J831" s="40" t="n">
        <f aca="false">H831-I831</f>
        <v>3.73</v>
      </c>
      <c r="K831" s="41" t="n">
        <v>26.5</v>
      </c>
      <c r="L831" s="42" t="n">
        <f aca="false">J831*K831</f>
        <v>98.845</v>
      </c>
      <c r="M831" s="43" t="n">
        <f aca="false">H831*16.48*(1+'Chart of Accounts'!$E$67)</f>
        <v>70.383608</v>
      </c>
    </row>
    <row r="832" customFormat="false" ht="15" hidden="false" customHeight="false" outlineLevel="0" collapsed="false">
      <c r="B832" s="7" t="s">
        <v>1329</v>
      </c>
      <c r="C832" s="39" t="n">
        <v>45700</v>
      </c>
      <c r="D832" s="7" t="s">
        <v>391</v>
      </c>
      <c r="E832" s="7" t="s">
        <v>156</v>
      </c>
      <c r="F832" s="7" t="s">
        <v>222</v>
      </c>
      <c r="G832" s="7" t="s">
        <v>505</v>
      </c>
      <c r="H832" s="6" t="n">
        <v>4.37</v>
      </c>
      <c r="I832" s="6" t="n">
        <v>0</v>
      </c>
      <c r="J832" s="40" t="n">
        <f aca="false">H832-I832</f>
        <v>4.37</v>
      </c>
      <c r="K832" s="41" t="n">
        <v>34</v>
      </c>
      <c r="L832" s="42" t="n">
        <f aca="false">J832*K832</f>
        <v>148.58</v>
      </c>
      <c r="M832" s="43" t="n">
        <f aca="false">H832*17.84*(1+'Chart of Accounts'!$E$67)</f>
        <v>89.265116</v>
      </c>
    </row>
    <row r="833" customFormat="false" ht="15" hidden="false" customHeight="false" outlineLevel="0" collapsed="false">
      <c r="B833" s="7" t="s">
        <v>1330</v>
      </c>
      <c r="C833" s="39" t="n">
        <v>45700</v>
      </c>
      <c r="D833" s="7" t="s">
        <v>393</v>
      </c>
      <c r="E833" s="7" t="s">
        <v>157</v>
      </c>
      <c r="F833" s="7" t="s">
        <v>203</v>
      </c>
      <c r="G833" s="7" t="s">
        <v>502</v>
      </c>
      <c r="H833" s="6" t="n">
        <v>1.09</v>
      </c>
      <c r="I833" s="6" t="n">
        <v>0</v>
      </c>
      <c r="J833" s="40" t="n">
        <f aca="false">H833-I833</f>
        <v>1.09</v>
      </c>
      <c r="K833" s="41" t="n">
        <v>165</v>
      </c>
      <c r="L833" s="42" t="n">
        <f aca="false">J833*K833</f>
        <v>179.85</v>
      </c>
      <c r="M833" s="43" t="n">
        <f aca="false">H833*49.43*(1+'Chart of Accounts'!$E$67)</f>
        <v>61.6911115</v>
      </c>
    </row>
    <row r="834" customFormat="false" ht="15" hidden="false" customHeight="false" outlineLevel="0" collapsed="false">
      <c r="B834" s="7" t="s">
        <v>1331</v>
      </c>
      <c r="C834" s="39" t="n">
        <v>45700</v>
      </c>
      <c r="D834" s="7" t="s">
        <v>395</v>
      </c>
      <c r="E834" s="7" t="s">
        <v>156</v>
      </c>
      <c r="F834" s="7" t="s">
        <v>242</v>
      </c>
      <c r="G834" s="7" t="s">
        <v>505</v>
      </c>
      <c r="H834" s="6" t="n">
        <v>4.23</v>
      </c>
      <c r="I834" s="6" t="n">
        <v>0</v>
      </c>
      <c r="J834" s="40" t="n">
        <f aca="false">H834-I834</f>
        <v>4.23</v>
      </c>
      <c r="K834" s="41" t="n">
        <v>34</v>
      </c>
      <c r="L834" s="42" t="n">
        <f aca="false">J834*K834</f>
        <v>143.82</v>
      </c>
      <c r="M834" s="43" t="n">
        <f aca="false">H834*17.99*(1+'Chart of Accounts'!$E$67)</f>
        <v>87.1318665</v>
      </c>
    </row>
    <row r="835" customFormat="false" ht="15" hidden="false" customHeight="false" outlineLevel="0" collapsed="false">
      <c r="B835" s="7" t="s">
        <v>1332</v>
      </c>
      <c r="C835" s="39" t="n">
        <v>45700</v>
      </c>
      <c r="D835" s="7" t="s">
        <v>399</v>
      </c>
      <c r="E835" s="7" t="s">
        <v>154</v>
      </c>
      <c r="F835" s="7" t="s">
        <v>262</v>
      </c>
      <c r="G835" s="7" t="s">
        <v>505</v>
      </c>
      <c r="H835" s="6" t="n">
        <v>3.12</v>
      </c>
      <c r="I835" s="6" t="n">
        <v>0</v>
      </c>
      <c r="J835" s="40" t="n">
        <f aca="false">H835-I835</f>
        <v>3.12</v>
      </c>
      <c r="K835" s="41" t="n">
        <v>26.5</v>
      </c>
      <c r="L835" s="42" t="n">
        <f aca="false">J835*K835</f>
        <v>82.68</v>
      </c>
      <c r="M835" s="43" t="n">
        <f aca="false">H835*16.02*(1+'Chart of Accounts'!$E$67)</f>
        <v>57.229848</v>
      </c>
    </row>
    <row r="836" customFormat="false" ht="15" hidden="false" customHeight="false" outlineLevel="0" collapsed="false">
      <c r="B836" s="7" t="s">
        <v>1333</v>
      </c>
      <c r="C836" s="39" t="n">
        <v>45700</v>
      </c>
      <c r="D836" s="7" t="s">
        <v>401</v>
      </c>
      <c r="E836" s="7" t="s">
        <v>156</v>
      </c>
      <c r="F836" s="7" t="s">
        <v>254</v>
      </c>
      <c r="G836" s="7" t="s">
        <v>505</v>
      </c>
      <c r="H836" s="6" t="n">
        <v>3.7</v>
      </c>
      <c r="I836" s="6" t="n">
        <v>0</v>
      </c>
      <c r="J836" s="40" t="n">
        <f aca="false">H836-I836</f>
        <v>3.7</v>
      </c>
      <c r="K836" s="41" t="n">
        <v>34</v>
      </c>
      <c r="L836" s="42" t="n">
        <f aca="false">J836*K836</f>
        <v>125.8</v>
      </c>
      <c r="M836" s="43" t="n">
        <f aca="false">H836*17.1*(1+'Chart of Accounts'!$E$67)</f>
        <v>72.44415</v>
      </c>
    </row>
    <row r="837" customFormat="false" ht="15" hidden="false" customHeight="false" outlineLevel="0" collapsed="false">
      <c r="B837" s="7" t="s">
        <v>1334</v>
      </c>
      <c r="C837" s="39" t="n">
        <v>45700</v>
      </c>
      <c r="D837" s="7" t="s">
        <v>409</v>
      </c>
      <c r="E837" s="7" t="s">
        <v>154</v>
      </c>
      <c r="F837" s="7" t="s">
        <v>214</v>
      </c>
      <c r="G837" s="7" t="s">
        <v>505</v>
      </c>
      <c r="H837" s="6" t="n">
        <v>3.63</v>
      </c>
      <c r="I837" s="6" t="n">
        <v>0</v>
      </c>
      <c r="J837" s="40" t="n">
        <f aca="false">H837-I837</f>
        <v>3.63</v>
      </c>
      <c r="K837" s="41" t="n">
        <v>26.5</v>
      </c>
      <c r="L837" s="42" t="n">
        <f aca="false">J837*K837</f>
        <v>96.195</v>
      </c>
      <c r="M837" s="43" t="n">
        <f aca="false">H837*15.67*(1+'Chart of Accounts'!$E$67)</f>
        <v>65.1300045</v>
      </c>
    </row>
    <row r="838" customFormat="false" ht="15" hidden="false" customHeight="false" outlineLevel="0" collapsed="false">
      <c r="B838" s="7" t="s">
        <v>1335</v>
      </c>
      <c r="C838" s="39" t="n">
        <v>45700</v>
      </c>
      <c r="D838" s="7" t="s">
        <v>411</v>
      </c>
      <c r="E838" s="7" t="s">
        <v>154</v>
      </c>
      <c r="F838" s="7" t="s">
        <v>177</v>
      </c>
      <c r="G838" s="7" t="s">
        <v>505</v>
      </c>
      <c r="H838" s="6" t="n">
        <v>5.1</v>
      </c>
      <c r="I838" s="6" t="n">
        <v>0</v>
      </c>
      <c r="J838" s="40" t="n">
        <f aca="false">H838-I838</f>
        <v>5.1</v>
      </c>
      <c r="K838" s="41" t="n">
        <v>26.5</v>
      </c>
      <c r="L838" s="42" t="n">
        <f aca="false">J838*K838</f>
        <v>135.15</v>
      </c>
      <c r="M838" s="43" t="n">
        <f aca="false">H838*14.56*(1+'Chart of Accounts'!$E$67)</f>
        <v>85.02312</v>
      </c>
    </row>
    <row r="839" customFormat="false" ht="15" hidden="false" customHeight="false" outlineLevel="0" collapsed="false">
      <c r="B839" s="7" t="s">
        <v>1336</v>
      </c>
      <c r="C839" s="39" t="n">
        <v>45701</v>
      </c>
      <c r="D839" s="7" t="s">
        <v>288</v>
      </c>
      <c r="E839" s="7" t="s">
        <v>156</v>
      </c>
      <c r="F839" s="7" t="s">
        <v>191</v>
      </c>
      <c r="G839" s="7" t="s">
        <v>505</v>
      </c>
      <c r="H839" s="6" t="n">
        <v>4.34</v>
      </c>
      <c r="I839" s="6" t="n">
        <v>0</v>
      </c>
      <c r="J839" s="40" t="n">
        <f aca="false">H839-I839</f>
        <v>4.34</v>
      </c>
      <c r="K839" s="41" t="n">
        <v>34</v>
      </c>
      <c r="L839" s="42" t="n">
        <f aca="false">J839*K839</f>
        <v>147.56</v>
      </c>
      <c r="M839" s="43" t="n">
        <f aca="false">H839*16.05*(1+'Chart of Accounts'!$E$67)</f>
        <v>79.757265</v>
      </c>
    </row>
    <row r="840" customFormat="false" ht="15" hidden="false" customHeight="false" outlineLevel="0" collapsed="false">
      <c r="B840" s="7" t="s">
        <v>1337</v>
      </c>
      <c r="C840" s="39" t="n">
        <v>45701</v>
      </c>
      <c r="D840" s="7" t="s">
        <v>297</v>
      </c>
      <c r="E840" s="7" t="s">
        <v>156</v>
      </c>
      <c r="F840" s="7" t="s">
        <v>201</v>
      </c>
      <c r="G840" s="7" t="s">
        <v>505</v>
      </c>
      <c r="H840" s="6" t="n">
        <v>3.04</v>
      </c>
      <c r="I840" s="6" t="n">
        <v>0</v>
      </c>
      <c r="J840" s="40" t="n">
        <f aca="false">H840-I840</f>
        <v>3.04</v>
      </c>
      <c r="K840" s="41" t="n">
        <v>34</v>
      </c>
      <c r="L840" s="42" t="n">
        <f aca="false">J840*K840</f>
        <v>103.36</v>
      </c>
      <c r="M840" s="43" t="n">
        <f aca="false">H840*15.19*(1+'Chart of Accounts'!$E$67)</f>
        <v>52.873352</v>
      </c>
    </row>
    <row r="841" customFormat="false" ht="15" hidden="false" customHeight="false" outlineLevel="0" collapsed="false">
      <c r="B841" s="7" t="s">
        <v>1338</v>
      </c>
      <c r="C841" s="39" t="n">
        <v>45701</v>
      </c>
      <c r="D841" s="7" t="s">
        <v>311</v>
      </c>
      <c r="E841" s="7" t="s">
        <v>154</v>
      </c>
      <c r="F841" s="7" t="s">
        <v>196</v>
      </c>
      <c r="G841" s="7" t="s">
        <v>505</v>
      </c>
      <c r="H841" s="6" t="n">
        <v>3.15</v>
      </c>
      <c r="I841" s="6" t="n">
        <v>0</v>
      </c>
      <c r="J841" s="40" t="n">
        <f aca="false">H841-I841</f>
        <v>3.15</v>
      </c>
      <c r="K841" s="41" t="n">
        <v>26.5</v>
      </c>
      <c r="L841" s="42" t="n">
        <f aca="false">J841*K841</f>
        <v>83.475</v>
      </c>
      <c r="M841" s="43" t="n">
        <f aca="false">H841*15.05*(1+'Chart of Accounts'!$E$67)</f>
        <v>54.2815875</v>
      </c>
    </row>
    <row r="842" customFormat="false" ht="15" hidden="false" customHeight="false" outlineLevel="0" collapsed="false">
      <c r="B842" s="7" t="s">
        <v>1339</v>
      </c>
      <c r="C842" s="39" t="n">
        <v>45701</v>
      </c>
      <c r="D842" s="7" t="s">
        <v>313</v>
      </c>
      <c r="E842" s="7" t="s">
        <v>156</v>
      </c>
      <c r="F842" s="7" t="s">
        <v>184</v>
      </c>
      <c r="G842" s="7" t="s">
        <v>505</v>
      </c>
      <c r="H842" s="6" t="n">
        <v>3.73</v>
      </c>
      <c r="I842" s="6" t="n">
        <v>0</v>
      </c>
      <c r="J842" s="40" t="n">
        <f aca="false">H842-I842</f>
        <v>3.73</v>
      </c>
      <c r="K842" s="41" t="n">
        <v>34</v>
      </c>
      <c r="L842" s="42" t="n">
        <f aca="false">J842*K842</f>
        <v>126.82</v>
      </c>
      <c r="M842" s="43" t="n">
        <f aca="false">H842*17.34*(1+'Chart of Accounts'!$E$67)</f>
        <v>74.056539</v>
      </c>
    </row>
    <row r="843" customFormat="false" ht="15" hidden="false" customHeight="false" outlineLevel="0" collapsed="false">
      <c r="B843" s="7" t="s">
        <v>1340</v>
      </c>
      <c r="C843" s="39" t="n">
        <v>45701</v>
      </c>
      <c r="D843" s="7" t="s">
        <v>317</v>
      </c>
      <c r="E843" s="7" t="s">
        <v>156</v>
      </c>
      <c r="F843" s="7" t="s">
        <v>207</v>
      </c>
      <c r="G843" s="7" t="s">
        <v>505</v>
      </c>
      <c r="H843" s="6" t="n">
        <v>3.13</v>
      </c>
      <c r="I843" s="6" t="n">
        <v>0</v>
      </c>
      <c r="J843" s="40" t="n">
        <f aca="false">H843-I843</f>
        <v>3.13</v>
      </c>
      <c r="K843" s="41" t="n">
        <v>34</v>
      </c>
      <c r="L843" s="42" t="n">
        <f aca="false">J843*K843</f>
        <v>106.42</v>
      </c>
      <c r="M843" s="43" t="n">
        <f aca="false">H843*16.65*(1+'Chart of Accounts'!$E$67)</f>
        <v>59.6711025</v>
      </c>
    </row>
    <row r="844" customFormat="false" ht="15" hidden="false" customHeight="false" outlineLevel="0" collapsed="false">
      <c r="B844" s="7" t="s">
        <v>1341</v>
      </c>
      <c r="C844" s="39" t="n">
        <v>45701</v>
      </c>
      <c r="D844" s="7" t="s">
        <v>321</v>
      </c>
      <c r="E844" s="7" t="s">
        <v>154</v>
      </c>
      <c r="F844" s="7" t="s">
        <v>218</v>
      </c>
      <c r="G844" s="7" t="s">
        <v>505</v>
      </c>
      <c r="H844" s="6" t="n">
        <v>3.96</v>
      </c>
      <c r="I844" s="6" t="n">
        <v>0</v>
      </c>
      <c r="J844" s="40" t="n">
        <f aca="false">H844-I844</f>
        <v>3.96</v>
      </c>
      <c r="K844" s="41" t="n">
        <v>26.5</v>
      </c>
      <c r="L844" s="42" t="n">
        <f aca="false">J844*K844</f>
        <v>104.94</v>
      </c>
      <c r="M844" s="43" t="n">
        <f aca="false">H844*16.19*(1+'Chart of Accounts'!$E$67)</f>
        <v>73.408698</v>
      </c>
    </row>
    <row r="845" customFormat="false" ht="15" hidden="false" customHeight="false" outlineLevel="0" collapsed="false">
      <c r="B845" s="7" t="s">
        <v>1342</v>
      </c>
      <c r="C845" s="39" t="n">
        <v>45701</v>
      </c>
      <c r="D845" s="7" t="s">
        <v>325</v>
      </c>
      <c r="E845" s="7" t="s">
        <v>154</v>
      </c>
      <c r="F845" s="7" t="s">
        <v>212</v>
      </c>
      <c r="G845" s="7" t="s">
        <v>505</v>
      </c>
      <c r="H845" s="6" t="n">
        <v>2.74</v>
      </c>
      <c r="I845" s="6" t="n">
        <v>0.082</v>
      </c>
      <c r="J845" s="40" t="n">
        <f aca="false">H845-I845</f>
        <v>2.658</v>
      </c>
      <c r="K845" s="41" t="n">
        <v>26.5</v>
      </c>
      <c r="L845" s="42" t="n">
        <f aca="false">J845*K845</f>
        <v>70.437</v>
      </c>
      <c r="M845" s="43" t="n">
        <f aca="false">H845*16.71*(1+'Chart of Accounts'!$E$67)</f>
        <v>52.424283</v>
      </c>
    </row>
    <row r="846" customFormat="false" ht="15" hidden="false" customHeight="false" outlineLevel="0" collapsed="false">
      <c r="B846" s="7" t="s">
        <v>1343</v>
      </c>
      <c r="C846" s="39" t="n">
        <v>45701</v>
      </c>
      <c r="D846" s="7" t="s">
        <v>329</v>
      </c>
      <c r="E846" s="7" t="s">
        <v>156</v>
      </c>
      <c r="F846" s="7" t="s">
        <v>220</v>
      </c>
      <c r="G846" s="7" t="s">
        <v>505</v>
      </c>
      <c r="H846" s="6" t="n">
        <v>3.6</v>
      </c>
      <c r="I846" s="6" t="n">
        <v>0</v>
      </c>
      <c r="J846" s="40" t="n">
        <f aca="false">H846-I846</f>
        <v>3.6</v>
      </c>
      <c r="K846" s="41" t="n">
        <v>34</v>
      </c>
      <c r="L846" s="42" t="n">
        <f aca="false">J846*K846</f>
        <v>122.4</v>
      </c>
      <c r="M846" s="43" t="n">
        <f aca="false">H846*16.43*(1+'Chart of Accounts'!$E$67)</f>
        <v>67.72446</v>
      </c>
    </row>
    <row r="847" customFormat="false" ht="15" hidden="false" customHeight="false" outlineLevel="0" collapsed="false">
      <c r="B847" s="7" t="s">
        <v>1344</v>
      </c>
      <c r="C847" s="39" t="n">
        <v>45701</v>
      </c>
      <c r="D847" s="7" t="s">
        <v>331</v>
      </c>
      <c r="E847" s="7" t="s">
        <v>156</v>
      </c>
      <c r="F847" s="7" t="s">
        <v>224</v>
      </c>
      <c r="G847" s="7" t="s">
        <v>505</v>
      </c>
      <c r="H847" s="6" t="n">
        <v>4.38</v>
      </c>
      <c r="I847" s="6" t="n">
        <v>0</v>
      </c>
      <c r="J847" s="40" t="n">
        <f aca="false">H847-I847</f>
        <v>4.38</v>
      </c>
      <c r="K847" s="41" t="n">
        <v>34</v>
      </c>
      <c r="L847" s="42" t="n">
        <f aca="false">J847*K847</f>
        <v>148.92</v>
      </c>
      <c r="M847" s="43" t="n">
        <f aca="false">H847*14.93*(1+'Chart of Accounts'!$E$67)</f>
        <v>74.875443</v>
      </c>
    </row>
    <row r="848" customFormat="false" ht="15" hidden="false" customHeight="false" outlineLevel="0" collapsed="false">
      <c r="B848" s="7" t="s">
        <v>1345</v>
      </c>
      <c r="C848" s="39" t="n">
        <v>45701</v>
      </c>
      <c r="D848" s="7" t="s">
        <v>337</v>
      </c>
      <c r="E848" s="7" t="s">
        <v>154</v>
      </c>
      <c r="F848" s="7" t="s">
        <v>232</v>
      </c>
      <c r="G848" s="7" t="s">
        <v>505</v>
      </c>
      <c r="H848" s="6" t="n">
        <v>2.93</v>
      </c>
      <c r="I848" s="6" t="n">
        <v>0.088</v>
      </c>
      <c r="J848" s="40" t="n">
        <f aca="false">H848-I848</f>
        <v>2.842</v>
      </c>
      <c r="K848" s="41" t="n">
        <v>26.5</v>
      </c>
      <c r="L848" s="42" t="n">
        <f aca="false">J848*K848</f>
        <v>75.313</v>
      </c>
      <c r="M848" s="43" t="n">
        <f aca="false">H848*16.17*(1+'Chart of Accounts'!$E$67)</f>
        <v>54.2479245</v>
      </c>
    </row>
    <row r="849" customFormat="false" ht="15" hidden="false" customHeight="false" outlineLevel="0" collapsed="false">
      <c r="B849" s="7" t="s">
        <v>1346</v>
      </c>
      <c r="C849" s="39" t="n">
        <v>45701</v>
      </c>
      <c r="D849" s="7" t="s">
        <v>341</v>
      </c>
      <c r="E849" s="7" t="s">
        <v>156</v>
      </c>
      <c r="F849" s="7" t="s">
        <v>222</v>
      </c>
      <c r="G849" s="7" t="s">
        <v>505</v>
      </c>
      <c r="H849" s="6" t="n">
        <v>2.99</v>
      </c>
      <c r="I849" s="6" t="n">
        <v>0</v>
      </c>
      <c r="J849" s="40" t="n">
        <f aca="false">H849-I849</f>
        <v>2.99</v>
      </c>
      <c r="K849" s="41" t="n">
        <v>34</v>
      </c>
      <c r="L849" s="42" t="n">
        <f aca="false">J849*K849</f>
        <v>101.66</v>
      </c>
      <c r="M849" s="43" t="n">
        <f aca="false">H849*17.84*(1+'Chart of Accounts'!$E$67)</f>
        <v>61.076132</v>
      </c>
    </row>
    <row r="850" customFormat="false" ht="15" hidden="false" customHeight="false" outlineLevel="0" collapsed="false">
      <c r="B850" s="7" t="s">
        <v>1347</v>
      </c>
      <c r="C850" s="39" t="n">
        <v>45701</v>
      </c>
      <c r="D850" s="7" t="s">
        <v>343</v>
      </c>
      <c r="E850" s="7" t="s">
        <v>154</v>
      </c>
      <c r="F850" s="7" t="s">
        <v>262</v>
      </c>
      <c r="G850" s="7" t="s">
        <v>505</v>
      </c>
      <c r="H850" s="6" t="n">
        <v>4.15</v>
      </c>
      <c r="I850" s="6" t="n">
        <v>0.124</v>
      </c>
      <c r="J850" s="40" t="n">
        <f aca="false">H850-I850</f>
        <v>4.026</v>
      </c>
      <c r="K850" s="41" t="n">
        <v>26.5</v>
      </c>
      <c r="L850" s="42" t="n">
        <f aca="false">J850*K850</f>
        <v>106.689</v>
      </c>
      <c r="M850" s="43" t="n">
        <f aca="false">H850*16.02*(1+'Chart of Accounts'!$E$67)</f>
        <v>76.123035</v>
      </c>
    </row>
    <row r="851" customFormat="false" ht="15" hidden="false" customHeight="false" outlineLevel="0" collapsed="false">
      <c r="B851" s="7" t="s">
        <v>1348</v>
      </c>
      <c r="C851" s="39" t="n">
        <v>45701</v>
      </c>
      <c r="D851" s="7" t="s">
        <v>359</v>
      </c>
      <c r="E851" s="7" t="s">
        <v>156</v>
      </c>
      <c r="F851" s="7" t="s">
        <v>212</v>
      </c>
      <c r="G851" s="7" t="s">
        <v>505</v>
      </c>
      <c r="H851" s="6" t="n">
        <v>4.28</v>
      </c>
      <c r="I851" s="6" t="n">
        <v>0</v>
      </c>
      <c r="J851" s="40" t="n">
        <f aca="false">H851-I851</f>
        <v>4.28</v>
      </c>
      <c r="K851" s="41" t="n">
        <v>34</v>
      </c>
      <c r="L851" s="42" t="n">
        <f aca="false">J851*K851</f>
        <v>145.52</v>
      </c>
      <c r="M851" s="43" t="n">
        <f aca="false">H851*16.71*(1+'Chart of Accounts'!$E$67)</f>
        <v>81.889026</v>
      </c>
    </row>
    <row r="852" customFormat="false" ht="15" hidden="false" customHeight="false" outlineLevel="0" collapsed="false">
      <c r="B852" s="7" t="s">
        <v>1349</v>
      </c>
      <c r="C852" s="39" t="n">
        <v>45701</v>
      </c>
      <c r="D852" s="7" t="s">
        <v>363</v>
      </c>
      <c r="E852" s="7" t="s">
        <v>156</v>
      </c>
      <c r="F852" s="7" t="s">
        <v>246</v>
      </c>
      <c r="G852" s="7" t="s">
        <v>505</v>
      </c>
      <c r="H852" s="6" t="n">
        <v>4.36</v>
      </c>
      <c r="I852" s="6" t="n">
        <v>0</v>
      </c>
      <c r="J852" s="40" t="n">
        <f aca="false">H852-I852</f>
        <v>4.36</v>
      </c>
      <c r="K852" s="41" t="n">
        <v>34</v>
      </c>
      <c r="L852" s="42" t="n">
        <f aca="false">J852*K852</f>
        <v>148.24</v>
      </c>
      <c r="M852" s="43" t="n">
        <f aca="false">H852*16.48*(1+'Chart of Accounts'!$E$67)</f>
        <v>82.271456</v>
      </c>
    </row>
    <row r="853" customFormat="false" ht="15" hidden="false" customHeight="false" outlineLevel="0" collapsed="false">
      <c r="B853" s="7" t="s">
        <v>1350</v>
      </c>
      <c r="C853" s="39" t="n">
        <v>45701</v>
      </c>
      <c r="D853" s="7" t="s">
        <v>375</v>
      </c>
      <c r="E853" s="7" t="s">
        <v>156</v>
      </c>
      <c r="F853" s="7" t="s">
        <v>196</v>
      </c>
      <c r="G853" s="7" t="s">
        <v>505</v>
      </c>
      <c r="H853" s="6" t="n">
        <v>2.93</v>
      </c>
      <c r="I853" s="6" t="n">
        <v>0</v>
      </c>
      <c r="J853" s="40" t="n">
        <f aca="false">H853-I853</f>
        <v>2.93</v>
      </c>
      <c r="K853" s="41" t="n">
        <v>34</v>
      </c>
      <c r="L853" s="42" t="n">
        <f aca="false">J853*K853</f>
        <v>99.62</v>
      </c>
      <c r="M853" s="43" t="n">
        <f aca="false">H853*15.05*(1+'Chart of Accounts'!$E$67)</f>
        <v>50.4904925</v>
      </c>
    </row>
    <row r="854" customFormat="false" ht="15" hidden="false" customHeight="false" outlineLevel="0" collapsed="false">
      <c r="B854" s="7" t="s">
        <v>1351</v>
      </c>
      <c r="C854" s="39" t="n">
        <v>45701</v>
      </c>
      <c r="D854" s="7" t="s">
        <v>377</v>
      </c>
      <c r="E854" s="7" t="s">
        <v>154</v>
      </c>
      <c r="F854" s="7" t="s">
        <v>214</v>
      </c>
      <c r="G854" s="7" t="s">
        <v>505</v>
      </c>
      <c r="H854" s="6" t="n">
        <v>4.32</v>
      </c>
      <c r="I854" s="6" t="n">
        <v>0</v>
      </c>
      <c r="J854" s="40" t="n">
        <f aca="false">H854-I854</f>
        <v>4.32</v>
      </c>
      <c r="K854" s="41" t="n">
        <v>26.5</v>
      </c>
      <c r="L854" s="42" t="n">
        <f aca="false">J854*K854</f>
        <v>114.48</v>
      </c>
      <c r="M854" s="43" t="n">
        <f aca="false">H854*15.67*(1+'Chart of Accounts'!$E$67)</f>
        <v>77.510088</v>
      </c>
    </row>
    <row r="855" customFormat="false" ht="15" hidden="false" customHeight="false" outlineLevel="0" collapsed="false">
      <c r="B855" s="7" t="s">
        <v>1352</v>
      </c>
      <c r="C855" s="39" t="n">
        <v>45701</v>
      </c>
      <c r="D855" s="7" t="s">
        <v>389</v>
      </c>
      <c r="E855" s="7" t="s">
        <v>154</v>
      </c>
      <c r="F855" s="7" t="s">
        <v>246</v>
      </c>
      <c r="G855" s="7" t="s">
        <v>505</v>
      </c>
      <c r="H855" s="6" t="n">
        <v>4.09</v>
      </c>
      <c r="I855" s="6" t="n">
        <v>0.123</v>
      </c>
      <c r="J855" s="40" t="n">
        <f aca="false">H855-I855</f>
        <v>3.967</v>
      </c>
      <c r="K855" s="41" t="n">
        <v>26.5</v>
      </c>
      <c r="L855" s="42" t="n">
        <f aca="false">J855*K855</f>
        <v>105.1255</v>
      </c>
      <c r="M855" s="43" t="n">
        <f aca="false">H855*16.48*(1+'Chart of Accounts'!$E$67)</f>
        <v>77.176664</v>
      </c>
    </row>
    <row r="856" customFormat="false" ht="15" hidden="false" customHeight="false" outlineLevel="0" collapsed="false">
      <c r="B856" s="7" t="s">
        <v>1353</v>
      </c>
      <c r="C856" s="39" t="n">
        <v>45701</v>
      </c>
      <c r="D856" s="7" t="s">
        <v>391</v>
      </c>
      <c r="E856" s="7" t="s">
        <v>156</v>
      </c>
      <c r="F856" s="7" t="s">
        <v>222</v>
      </c>
      <c r="G856" s="7" t="s">
        <v>505</v>
      </c>
      <c r="H856" s="6" t="n">
        <v>4.35</v>
      </c>
      <c r="I856" s="6" t="n">
        <v>0</v>
      </c>
      <c r="J856" s="40" t="n">
        <f aca="false">H856-I856</f>
        <v>4.35</v>
      </c>
      <c r="K856" s="41" t="n">
        <v>34</v>
      </c>
      <c r="L856" s="42" t="n">
        <f aca="false">J856*K856</f>
        <v>147.9</v>
      </c>
      <c r="M856" s="43" t="n">
        <f aca="false">H856*17.84*(1+'Chart of Accounts'!$E$67)</f>
        <v>88.85658</v>
      </c>
    </row>
    <row r="857" customFormat="false" ht="15" hidden="false" customHeight="false" outlineLevel="0" collapsed="false">
      <c r="B857" s="7" t="s">
        <v>1354</v>
      </c>
      <c r="C857" s="39" t="n">
        <v>45701</v>
      </c>
      <c r="D857" s="7" t="s">
        <v>395</v>
      </c>
      <c r="E857" s="7" t="s">
        <v>156</v>
      </c>
      <c r="F857" s="7" t="s">
        <v>242</v>
      </c>
      <c r="G857" s="7" t="s">
        <v>505</v>
      </c>
      <c r="H857" s="6" t="n">
        <v>3.73</v>
      </c>
      <c r="I857" s="6" t="n">
        <v>0</v>
      </c>
      <c r="J857" s="40" t="n">
        <f aca="false">H857-I857</f>
        <v>3.73</v>
      </c>
      <c r="K857" s="41" t="n">
        <v>34</v>
      </c>
      <c r="L857" s="42" t="n">
        <f aca="false">J857*K857</f>
        <v>126.82</v>
      </c>
      <c r="M857" s="43" t="n">
        <f aca="false">H857*17.99*(1+'Chart of Accounts'!$E$67)</f>
        <v>76.8325915</v>
      </c>
    </row>
    <row r="858" customFormat="false" ht="15" hidden="false" customHeight="false" outlineLevel="0" collapsed="false">
      <c r="B858" s="7" t="s">
        <v>1355</v>
      </c>
      <c r="C858" s="39" t="n">
        <v>45701</v>
      </c>
      <c r="D858" s="7" t="s">
        <v>401</v>
      </c>
      <c r="E858" s="7" t="s">
        <v>156</v>
      </c>
      <c r="F858" s="7" t="s">
        <v>254</v>
      </c>
      <c r="G858" s="7" t="s">
        <v>505</v>
      </c>
      <c r="H858" s="6" t="n">
        <v>3.75</v>
      </c>
      <c r="I858" s="6" t="n">
        <v>0</v>
      </c>
      <c r="J858" s="40" t="n">
        <f aca="false">H858-I858</f>
        <v>3.75</v>
      </c>
      <c r="K858" s="41" t="n">
        <v>34</v>
      </c>
      <c r="L858" s="42" t="n">
        <f aca="false">J858*K858</f>
        <v>127.5</v>
      </c>
      <c r="M858" s="43" t="n">
        <f aca="false">H858*17.1*(1+'Chart of Accounts'!$E$67)</f>
        <v>73.423125</v>
      </c>
    </row>
    <row r="859" customFormat="false" ht="15" hidden="false" customHeight="false" outlineLevel="0" collapsed="false">
      <c r="B859" s="7" t="s">
        <v>1356</v>
      </c>
      <c r="C859" s="39" t="n">
        <v>45702</v>
      </c>
      <c r="D859" s="7" t="s">
        <v>280</v>
      </c>
      <c r="E859" s="7" t="s">
        <v>157</v>
      </c>
      <c r="F859" s="7" t="s">
        <v>187</v>
      </c>
      <c r="G859" s="7" t="s">
        <v>502</v>
      </c>
      <c r="H859" s="6" t="n">
        <v>1.05</v>
      </c>
      <c r="I859" s="6" t="n">
        <v>0</v>
      </c>
      <c r="J859" s="40" t="n">
        <f aca="false">H859-I859</f>
        <v>1.05</v>
      </c>
      <c r="K859" s="41" t="n">
        <v>165</v>
      </c>
      <c r="L859" s="42" t="n">
        <f aca="false">J859*K859</f>
        <v>173.25</v>
      </c>
      <c r="M859" s="43" t="n">
        <f aca="false">H859*66.48*(1+'Chart of Accounts'!$E$67)</f>
        <v>79.92558</v>
      </c>
    </row>
    <row r="860" customFormat="false" ht="15" hidden="false" customHeight="false" outlineLevel="0" collapsed="false">
      <c r="B860" s="7" t="s">
        <v>1357</v>
      </c>
      <c r="C860" s="39" t="n">
        <v>45702</v>
      </c>
      <c r="D860" s="7" t="s">
        <v>288</v>
      </c>
      <c r="E860" s="7" t="s">
        <v>156</v>
      </c>
      <c r="F860" s="7" t="s">
        <v>191</v>
      </c>
      <c r="G860" s="7" t="s">
        <v>505</v>
      </c>
      <c r="H860" s="6" t="n">
        <v>3.79</v>
      </c>
      <c r="I860" s="6" t="n">
        <v>0</v>
      </c>
      <c r="J860" s="40" t="n">
        <f aca="false">H860-I860</f>
        <v>3.79</v>
      </c>
      <c r="K860" s="41" t="n">
        <v>34</v>
      </c>
      <c r="L860" s="42" t="n">
        <f aca="false">J860*K860</f>
        <v>128.86</v>
      </c>
      <c r="M860" s="43" t="n">
        <f aca="false">H860*16.05*(1+'Chart of Accounts'!$E$67)</f>
        <v>69.6497775</v>
      </c>
    </row>
    <row r="861" customFormat="false" ht="15" hidden="false" customHeight="false" outlineLevel="0" collapsed="false">
      <c r="B861" s="7" t="s">
        <v>1358</v>
      </c>
      <c r="C861" s="39" t="n">
        <v>45702</v>
      </c>
      <c r="D861" s="7" t="s">
        <v>291</v>
      </c>
      <c r="E861" s="7" t="s">
        <v>154</v>
      </c>
      <c r="F861" s="7" t="s">
        <v>194</v>
      </c>
      <c r="G861" s="7" t="s">
        <v>505</v>
      </c>
      <c r="H861" s="6" t="n">
        <v>4.98</v>
      </c>
      <c r="I861" s="6" t="n">
        <v>0</v>
      </c>
      <c r="J861" s="40" t="n">
        <f aca="false">H861-I861</f>
        <v>4.98</v>
      </c>
      <c r="K861" s="41" t="n">
        <v>26.5</v>
      </c>
      <c r="L861" s="42" t="n">
        <f aca="false">J861*K861</f>
        <v>131.97</v>
      </c>
      <c r="M861" s="43" t="n">
        <f aca="false">H861*16*(1+'Chart of Accounts'!$E$67)</f>
        <v>91.2336</v>
      </c>
    </row>
    <row r="862" customFormat="false" ht="15" hidden="false" customHeight="false" outlineLevel="0" collapsed="false">
      <c r="B862" s="7" t="s">
        <v>1359</v>
      </c>
      <c r="C862" s="39" t="n">
        <v>45702</v>
      </c>
      <c r="D862" s="7" t="s">
        <v>301</v>
      </c>
      <c r="E862" s="7" t="s">
        <v>157</v>
      </c>
      <c r="F862" s="7" t="s">
        <v>209</v>
      </c>
      <c r="G862" s="7" t="s">
        <v>502</v>
      </c>
      <c r="H862" s="6" t="n">
        <v>0.99</v>
      </c>
      <c r="I862" s="6" t="n">
        <v>0</v>
      </c>
      <c r="J862" s="40" t="n">
        <f aca="false">H862-I862</f>
        <v>0.99</v>
      </c>
      <c r="K862" s="41" t="n">
        <v>165</v>
      </c>
      <c r="L862" s="42" t="n">
        <f aca="false">J862*K862</f>
        <v>163.35</v>
      </c>
      <c r="M862" s="43" t="n">
        <f aca="false">H862*73.58*(1+'Chart of Accounts'!$E$67)</f>
        <v>83.406609</v>
      </c>
    </row>
    <row r="863" customFormat="false" ht="15" hidden="false" customHeight="false" outlineLevel="0" collapsed="false">
      <c r="B863" s="7" t="s">
        <v>1360</v>
      </c>
      <c r="C863" s="39" t="n">
        <v>45702</v>
      </c>
      <c r="D863" s="7" t="s">
        <v>305</v>
      </c>
      <c r="E863" s="7" t="s">
        <v>154</v>
      </c>
      <c r="F863" s="7" t="s">
        <v>205</v>
      </c>
      <c r="G863" s="7" t="s">
        <v>505</v>
      </c>
      <c r="H863" s="6" t="n">
        <v>4.08</v>
      </c>
      <c r="I863" s="6" t="n">
        <v>0.122</v>
      </c>
      <c r="J863" s="40" t="n">
        <f aca="false">H863-I863</f>
        <v>3.958</v>
      </c>
      <c r="K863" s="41" t="n">
        <v>26.5</v>
      </c>
      <c r="L863" s="42" t="n">
        <f aca="false">J863*K863</f>
        <v>104.887</v>
      </c>
      <c r="M863" s="43" t="n">
        <f aca="false">H863*16.36*(1+'Chart of Accounts'!$E$67)</f>
        <v>76.427376</v>
      </c>
    </row>
    <row r="864" customFormat="false" ht="15" hidden="false" customHeight="false" outlineLevel="0" collapsed="false">
      <c r="B864" s="7" t="s">
        <v>1361</v>
      </c>
      <c r="C864" s="39" t="n">
        <v>45702</v>
      </c>
      <c r="D864" s="7" t="s">
        <v>309</v>
      </c>
      <c r="E864" s="7" t="s">
        <v>159</v>
      </c>
      <c r="F864" s="7" t="s">
        <v>252</v>
      </c>
      <c r="G864" s="7" t="s">
        <v>502</v>
      </c>
      <c r="H864" s="6" t="n">
        <v>0.93</v>
      </c>
      <c r="I864" s="6" t="n">
        <v>0.065</v>
      </c>
      <c r="J864" s="40" t="n">
        <f aca="false">H864-I864</f>
        <v>0.865</v>
      </c>
      <c r="K864" s="41" t="n">
        <v>135</v>
      </c>
      <c r="L864" s="42" t="n">
        <f aca="false">J864*K864</f>
        <v>116.775</v>
      </c>
      <c r="M864" s="43" t="n">
        <f aca="false">H864*57.54*(1+'Chart of Accounts'!$E$67)</f>
        <v>61.271469</v>
      </c>
    </row>
    <row r="865" customFormat="false" ht="15" hidden="false" customHeight="false" outlineLevel="0" collapsed="false">
      <c r="B865" s="7" t="s">
        <v>1362</v>
      </c>
      <c r="C865" s="39" t="n">
        <v>45702</v>
      </c>
      <c r="D865" s="7" t="s">
        <v>313</v>
      </c>
      <c r="E865" s="7" t="s">
        <v>156</v>
      </c>
      <c r="F865" s="7" t="s">
        <v>184</v>
      </c>
      <c r="G865" s="7" t="s">
        <v>505</v>
      </c>
      <c r="H865" s="6" t="n">
        <v>4.28</v>
      </c>
      <c r="I865" s="6" t="n">
        <v>0</v>
      </c>
      <c r="J865" s="40" t="n">
        <f aca="false">H865-I865</f>
        <v>4.28</v>
      </c>
      <c r="K865" s="41" t="n">
        <v>34</v>
      </c>
      <c r="L865" s="42" t="n">
        <f aca="false">J865*K865</f>
        <v>145.52</v>
      </c>
      <c r="M865" s="43" t="n">
        <f aca="false">H865*17.34*(1+'Chart of Accounts'!$E$67)</f>
        <v>84.976404</v>
      </c>
    </row>
    <row r="866" customFormat="false" ht="15" hidden="false" customHeight="false" outlineLevel="0" collapsed="false">
      <c r="B866" s="7" t="s">
        <v>1363</v>
      </c>
      <c r="C866" s="39" t="n">
        <v>45702</v>
      </c>
      <c r="D866" s="7" t="s">
        <v>319</v>
      </c>
      <c r="E866" s="7" t="s">
        <v>157</v>
      </c>
      <c r="F866" s="7" t="s">
        <v>234</v>
      </c>
      <c r="G866" s="7" t="s">
        <v>502</v>
      </c>
      <c r="H866" s="6" t="n">
        <v>1</v>
      </c>
      <c r="I866" s="6" t="n">
        <v>0.05</v>
      </c>
      <c r="J866" s="40" t="n">
        <f aca="false">H866-I866</f>
        <v>0.95</v>
      </c>
      <c r="K866" s="41" t="n">
        <v>165</v>
      </c>
      <c r="L866" s="42" t="n">
        <f aca="false">J866*K866</f>
        <v>156.75</v>
      </c>
      <c r="M866" s="43" t="n">
        <f aca="false">H866*89.53*(1+'Chart of Accounts'!$E$67)</f>
        <v>102.51185</v>
      </c>
    </row>
    <row r="867" customFormat="false" ht="15" hidden="false" customHeight="false" outlineLevel="0" collapsed="false">
      <c r="B867" s="7" t="s">
        <v>1364</v>
      </c>
      <c r="C867" s="39" t="n">
        <v>45702</v>
      </c>
      <c r="D867" s="7" t="s">
        <v>321</v>
      </c>
      <c r="E867" s="7" t="s">
        <v>154</v>
      </c>
      <c r="F867" s="7" t="s">
        <v>218</v>
      </c>
      <c r="G867" s="7" t="s">
        <v>505</v>
      </c>
      <c r="H867" s="6" t="n">
        <v>4.04</v>
      </c>
      <c r="I867" s="6" t="n">
        <v>0</v>
      </c>
      <c r="J867" s="40" t="n">
        <f aca="false">H867-I867</f>
        <v>4.04</v>
      </c>
      <c r="K867" s="41" t="n">
        <v>26.5</v>
      </c>
      <c r="L867" s="42" t="n">
        <f aca="false">J867*K867</f>
        <v>107.06</v>
      </c>
      <c r="M867" s="43" t="n">
        <f aca="false">H867*16.19*(1+'Chart of Accounts'!$E$67)</f>
        <v>74.891702</v>
      </c>
    </row>
    <row r="868" customFormat="false" ht="15" hidden="false" customHeight="false" outlineLevel="0" collapsed="false">
      <c r="B868" s="7" t="s">
        <v>1365</v>
      </c>
      <c r="C868" s="39" t="n">
        <v>45702</v>
      </c>
      <c r="D868" s="7" t="s">
        <v>323</v>
      </c>
      <c r="E868" s="7" t="s">
        <v>159</v>
      </c>
      <c r="F868" s="7" t="s">
        <v>266</v>
      </c>
      <c r="G868" s="7" t="s">
        <v>502</v>
      </c>
      <c r="H868" s="6" t="n">
        <v>0.97</v>
      </c>
      <c r="I868" s="6" t="n">
        <v>0</v>
      </c>
      <c r="J868" s="40" t="n">
        <f aca="false">H868-I868</f>
        <v>0.97</v>
      </c>
      <c r="K868" s="41" t="n">
        <v>135</v>
      </c>
      <c r="L868" s="42" t="n">
        <f aca="false">J868*K868</f>
        <v>130.95</v>
      </c>
      <c r="M868" s="43" t="n">
        <f aca="false">H868*75.18*(1+'Chart of Accounts'!$E$67)</f>
        <v>83.498667</v>
      </c>
    </row>
    <row r="869" customFormat="false" ht="15" hidden="false" customHeight="false" outlineLevel="0" collapsed="false">
      <c r="B869" s="7" t="s">
        <v>1366</v>
      </c>
      <c r="C869" s="39" t="n">
        <v>45702</v>
      </c>
      <c r="D869" s="7" t="s">
        <v>327</v>
      </c>
      <c r="E869" s="7" t="s">
        <v>157</v>
      </c>
      <c r="F869" s="7" t="s">
        <v>228</v>
      </c>
      <c r="G869" s="7" t="s">
        <v>502</v>
      </c>
      <c r="H869" s="6" t="n">
        <v>0.99</v>
      </c>
      <c r="I869" s="6" t="n">
        <v>0</v>
      </c>
      <c r="J869" s="40" t="n">
        <f aca="false">H869-I869</f>
        <v>0.99</v>
      </c>
      <c r="K869" s="41" t="n">
        <v>165</v>
      </c>
      <c r="L869" s="42" t="n">
        <f aca="false">J869*K869</f>
        <v>163.35</v>
      </c>
      <c r="M869" s="43" t="n">
        <f aca="false">H869*51.07*(1+'Chart of Accounts'!$E$67)</f>
        <v>57.8903985</v>
      </c>
    </row>
    <row r="870" customFormat="false" ht="15" hidden="false" customHeight="false" outlineLevel="0" collapsed="false">
      <c r="B870" s="7" t="s">
        <v>1367</v>
      </c>
      <c r="C870" s="39" t="n">
        <v>45702</v>
      </c>
      <c r="D870" s="7" t="s">
        <v>329</v>
      </c>
      <c r="E870" s="7" t="s">
        <v>156</v>
      </c>
      <c r="F870" s="7" t="s">
        <v>220</v>
      </c>
      <c r="G870" s="7" t="s">
        <v>505</v>
      </c>
      <c r="H870" s="6" t="n">
        <v>3.65</v>
      </c>
      <c r="I870" s="6" t="n">
        <v>0</v>
      </c>
      <c r="J870" s="40" t="n">
        <f aca="false">H870-I870</f>
        <v>3.65</v>
      </c>
      <c r="K870" s="41" t="n">
        <v>34</v>
      </c>
      <c r="L870" s="42" t="n">
        <f aca="false">J870*K870</f>
        <v>124.1</v>
      </c>
      <c r="M870" s="43" t="n">
        <f aca="false">H870*16.43*(1+'Chart of Accounts'!$E$67)</f>
        <v>68.6650775</v>
      </c>
    </row>
    <row r="871" customFormat="false" ht="15" hidden="false" customHeight="false" outlineLevel="0" collapsed="false">
      <c r="B871" s="7" t="s">
        <v>1368</v>
      </c>
      <c r="C871" s="39" t="n">
        <v>45702</v>
      </c>
      <c r="D871" s="7" t="s">
        <v>335</v>
      </c>
      <c r="E871" s="7" t="s">
        <v>154</v>
      </c>
      <c r="F871" s="7" t="s">
        <v>177</v>
      </c>
      <c r="G871" s="7" t="s">
        <v>505</v>
      </c>
      <c r="H871" s="6" t="n">
        <v>3.67</v>
      </c>
      <c r="I871" s="6" t="n">
        <v>0</v>
      </c>
      <c r="J871" s="40" t="n">
        <f aca="false">H871-I871</f>
        <v>3.67</v>
      </c>
      <c r="K871" s="41" t="n">
        <v>26.5</v>
      </c>
      <c r="L871" s="42" t="n">
        <f aca="false">J871*K871</f>
        <v>97.255</v>
      </c>
      <c r="M871" s="43" t="n">
        <f aca="false">H871*14.56*(1+'Chart of Accounts'!$E$67)</f>
        <v>61.183304</v>
      </c>
    </row>
    <row r="872" customFormat="false" ht="15" hidden="false" customHeight="false" outlineLevel="0" collapsed="false">
      <c r="B872" s="7" t="s">
        <v>1369</v>
      </c>
      <c r="C872" s="39" t="n">
        <v>45702</v>
      </c>
      <c r="D872" s="7" t="s">
        <v>339</v>
      </c>
      <c r="E872" s="7" t="s">
        <v>154</v>
      </c>
      <c r="F872" s="7" t="s">
        <v>242</v>
      </c>
      <c r="G872" s="7" t="s">
        <v>505</v>
      </c>
      <c r="H872" s="6" t="n">
        <v>3.65</v>
      </c>
      <c r="I872" s="6" t="n">
        <v>0</v>
      </c>
      <c r="J872" s="40" t="n">
        <f aca="false">H872-I872</f>
        <v>3.65</v>
      </c>
      <c r="K872" s="41" t="n">
        <v>26.5</v>
      </c>
      <c r="L872" s="42" t="n">
        <f aca="false">J872*K872</f>
        <v>96.725</v>
      </c>
      <c r="M872" s="43" t="n">
        <f aca="false">H872*17.99*(1+'Chart of Accounts'!$E$67)</f>
        <v>75.1847075</v>
      </c>
    </row>
    <row r="873" customFormat="false" ht="15" hidden="false" customHeight="false" outlineLevel="0" collapsed="false">
      <c r="B873" s="7" t="s">
        <v>1370</v>
      </c>
      <c r="C873" s="39" t="n">
        <v>45702</v>
      </c>
      <c r="D873" s="7" t="s">
        <v>353</v>
      </c>
      <c r="E873" s="7" t="s">
        <v>154</v>
      </c>
      <c r="F873" s="7" t="s">
        <v>254</v>
      </c>
      <c r="G873" s="7" t="s">
        <v>505</v>
      </c>
      <c r="H873" s="6" t="n">
        <v>3.56</v>
      </c>
      <c r="I873" s="6" t="n">
        <v>0</v>
      </c>
      <c r="J873" s="40" t="n">
        <f aca="false">H873-I873</f>
        <v>3.56</v>
      </c>
      <c r="K873" s="41" t="n">
        <v>26.5</v>
      </c>
      <c r="L873" s="42" t="n">
        <f aca="false">J873*K873</f>
        <v>94.34</v>
      </c>
      <c r="M873" s="43" t="n">
        <f aca="false">H873*17.1*(1+'Chart of Accounts'!$E$67)</f>
        <v>69.70302</v>
      </c>
    </row>
    <row r="874" customFormat="false" ht="15" hidden="false" customHeight="false" outlineLevel="0" collapsed="false">
      <c r="B874" s="7" t="s">
        <v>1371</v>
      </c>
      <c r="C874" s="39" t="n">
        <v>45702</v>
      </c>
      <c r="D874" s="7" t="s">
        <v>355</v>
      </c>
      <c r="E874" s="7" t="s">
        <v>154</v>
      </c>
      <c r="F874" s="7" t="s">
        <v>201</v>
      </c>
      <c r="G874" s="7" t="s">
        <v>505</v>
      </c>
      <c r="H874" s="6" t="n">
        <v>3.36</v>
      </c>
      <c r="I874" s="6" t="n">
        <v>0</v>
      </c>
      <c r="J874" s="40" t="n">
        <f aca="false">H874-I874</f>
        <v>3.36</v>
      </c>
      <c r="K874" s="41" t="n">
        <v>26.5</v>
      </c>
      <c r="L874" s="42" t="n">
        <f aca="false">J874*K874</f>
        <v>89.04</v>
      </c>
      <c r="M874" s="43" t="n">
        <f aca="false">H874*15.19*(1+'Chart of Accounts'!$E$67)</f>
        <v>58.438968</v>
      </c>
    </row>
    <row r="875" customFormat="false" ht="15" hidden="false" customHeight="false" outlineLevel="0" collapsed="false">
      <c r="B875" s="7" t="s">
        <v>1372</v>
      </c>
      <c r="C875" s="39" t="n">
        <v>45702</v>
      </c>
      <c r="D875" s="7" t="s">
        <v>357</v>
      </c>
      <c r="E875" s="7" t="s">
        <v>154</v>
      </c>
      <c r="F875" s="7" t="s">
        <v>207</v>
      </c>
      <c r="G875" s="7" t="s">
        <v>505</v>
      </c>
      <c r="H875" s="6" t="n">
        <v>3.59</v>
      </c>
      <c r="I875" s="6" t="n">
        <v>0.108</v>
      </c>
      <c r="J875" s="40" t="n">
        <f aca="false">H875-I875</f>
        <v>3.482</v>
      </c>
      <c r="K875" s="41" t="n">
        <v>26.5</v>
      </c>
      <c r="L875" s="42" t="n">
        <f aca="false">J875*K875</f>
        <v>92.273</v>
      </c>
      <c r="M875" s="43" t="n">
        <f aca="false">H875*16.65*(1+'Chart of Accounts'!$E$67)</f>
        <v>68.4406575</v>
      </c>
    </row>
    <row r="876" customFormat="false" ht="15" hidden="false" customHeight="false" outlineLevel="0" collapsed="false">
      <c r="B876" s="7" t="s">
        <v>1373</v>
      </c>
      <c r="C876" s="39" t="n">
        <v>45702</v>
      </c>
      <c r="D876" s="7" t="s">
        <v>359</v>
      </c>
      <c r="E876" s="7" t="s">
        <v>156</v>
      </c>
      <c r="F876" s="7" t="s">
        <v>212</v>
      </c>
      <c r="G876" s="7" t="s">
        <v>505</v>
      </c>
      <c r="H876" s="6" t="n">
        <v>4.32</v>
      </c>
      <c r="I876" s="6" t="n">
        <v>0</v>
      </c>
      <c r="J876" s="40" t="n">
        <f aca="false">H876-I876</f>
        <v>4.32</v>
      </c>
      <c r="K876" s="41" t="n">
        <v>34</v>
      </c>
      <c r="L876" s="42" t="n">
        <f aca="false">J876*K876</f>
        <v>146.88</v>
      </c>
      <c r="M876" s="43" t="n">
        <f aca="false">H876*16.71*(1+'Chart of Accounts'!$E$67)</f>
        <v>82.654344</v>
      </c>
    </row>
    <row r="877" customFormat="false" ht="15" hidden="false" customHeight="false" outlineLevel="0" collapsed="false">
      <c r="B877" s="7" t="s">
        <v>1374</v>
      </c>
      <c r="C877" s="39" t="n">
        <v>45702</v>
      </c>
      <c r="D877" s="7" t="s">
        <v>361</v>
      </c>
      <c r="E877" s="7" t="s">
        <v>157</v>
      </c>
      <c r="F877" s="7" t="s">
        <v>209</v>
      </c>
      <c r="G877" s="7" t="s">
        <v>502</v>
      </c>
      <c r="H877" s="6" t="n">
        <v>1.08</v>
      </c>
      <c r="I877" s="6" t="n">
        <v>0</v>
      </c>
      <c r="J877" s="40" t="n">
        <f aca="false">H877-I877</f>
        <v>1.08</v>
      </c>
      <c r="K877" s="41" t="n">
        <v>165</v>
      </c>
      <c r="L877" s="42" t="n">
        <f aca="false">J877*K877</f>
        <v>178.2</v>
      </c>
      <c r="M877" s="43" t="n">
        <f aca="false">H877*73.58*(1+'Chart of Accounts'!$E$67)</f>
        <v>90.989028</v>
      </c>
    </row>
    <row r="878" customFormat="false" ht="15" hidden="false" customHeight="false" outlineLevel="0" collapsed="false">
      <c r="B878" s="7" t="s">
        <v>1375</v>
      </c>
      <c r="C878" s="39" t="n">
        <v>45702</v>
      </c>
      <c r="D878" s="7" t="s">
        <v>371</v>
      </c>
      <c r="E878" s="7" t="s">
        <v>154</v>
      </c>
      <c r="F878" s="7" t="s">
        <v>232</v>
      </c>
      <c r="G878" s="7" t="s">
        <v>505</v>
      </c>
      <c r="H878" s="6" t="n">
        <v>4.78</v>
      </c>
      <c r="I878" s="6" t="n">
        <v>0</v>
      </c>
      <c r="J878" s="40" t="n">
        <f aca="false">H878-I878</f>
        <v>4.78</v>
      </c>
      <c r="K878" s="41" t="n">
        <v>26.5</v>
      </c>
      <c r="L878" s="42" t="n">
        <f aca="false">J878*K878</f>
        <v>126.67</v>
      </c>
      <c r="M878" s="43" t="n">
        <f aca="false">H878*16.17*(1+'Chart of Accounts'!$E$67)</f>
        <v>88.500027</v>
      </c>
    </row>
    <row r="879" customFormat="false" ht="15" hidden="false" customHeight="false" outlineLevel="0" collapsed="false">
      <c r="B879" s="7" t="s">
        <v>1376</v>
      </c>
      <c r="C879" s="39" t="n">
        <v>45702</v>
      </c>
      <c r="D879" s="7" t="s">
        <v>379</v>
      </c>
      <c r="E879" s="7" t="s">
        <v>156</v>
      </c>
      <c r="F879" s="7" t="s">
        <v>224</v>
      </c>
      <c r="G879" s="7" t="s">
        <v>505</v>
      </c>
      <c r="H879" s="6" t="n">
        <v>4.36</v>
      </c>
      <c r="I879" s="6" t="n">
        <v>0</v>
      </c>
      <c r="J879" s="40" t="n">
        <f aca="false">H879-I879</f>
        <v>4.36</v>
      </c>
      <c r="K879" s="41" t="n">
        <v>34</v>
      </c>
      <c r="L879" s="42" t="n">
        <f aca="false">J879*K879</f>
        <v>148.24</v>
      </c>
      <c r="M879" s="43" t="n">
        <f aca="false">H879*14.93*(1+'Chart of Accounts'!$E$67)</f>
        <v>74.533546</v>
      </c>
    </row>
    <row r="880" customFormat="false" ht="15" hidden="false" customHeight="false" outlineLevel="0" collapsed="false">
      <c r="B880" s="7" t="s">
        <v>1377</v>
      </c>
      <c r="C880" s="39" t="n">
        <v>45702</v>
      </c>
      <c r="D880" s="7" t="s">
        <v>381</v>
      </c>
      <c r="E880" s="7" t="s">
        <v>157</v>
      </c>
      <c r="F880" s="7" t="s">
        <v>234</v>
      </c>
      <c r="G880" s="7" t="s">
        <v>502</v>
      </c>
      <c r="H880" s="6" t="n">
        <v>1.06</v>
      </c>
      <c r="I880" s="6" t="n">
        <v>0</v>
      </c>
      <c r="J880" s="40" t="n">
        <f aca="false">H880-I880</f>
        <v>1.06</v>
      </c>
      <c r="K880" s="41" t="n">
        <v>165</v>
      </c>
      <c r="L880" s="42" t="n">
        <f aca="false">J880*K880</f>
        <v>174.9</v>
      </c>
      <c r="M880" s="43" t="n">
        <f aca="false">H880*89.53*(1+'Chart of Accounts'!$E$67)</f>
        <v>108.662561</v>
      </c>
    </row>
    <row r="881" customFormat="false" ht="15" hidden="false" customHeight="false" outlineLevel="0" collapsed="false">
      <c r="B881" s="7" t="s">
        <v>1378</v>
      </c>
      <c r="C881" s="39" t="n">
        <v>45702</v>
      </c>
      <c r="D881" s="7" t="s">
        <v>389</v>
      </c>
      <c r="E881" s="7" t="s">
        <v>154</v>
      </c>
      <c r="F881" s="7" t="s">
        <v>246</v>
      </c>
      <c r="G881" s="7" t="s">
        <v>505</v>
      </c>
      <c r="H881" s="6" t="n">
        <v>4.39</v>
      </c>
      <c r="I881" s="6" t="n">
        <v>0</v>
      </c>
      <c r="J881" s="40" t="n">
        <f aca="false">H881-I881</f>
        <v>4.39</v>
      </c>
      <c r="K881" s="41" t="n">
        <v>26.5</v>
      </c>
      <c r="L881" s="42" t="n">
        <f aca="false">J881*K881</f>
        <v>116.335</v>
      </c>
      <c r="M881" s="43" t="n">
        <f aca="false">H881*16.48*(1+'Chart of Accounts'!$E$67)</f>
        <v>82.837544</v>
      </c>
    </row>
    <row r="882" customFormat="false" ht="15" hidden="false" customHeight="false" outlineLevel="0" collapsed="false">
      <c r="B882" s="7" t="s">
        <v>1379</v>
      </c>
      <c r="C882" s="39" t="n">
        <v>45702</v>
      </c>
      <c r="D882" s="7" t="s">
        <v>391</v>
      </c>
      <c r="E882" s="7" t="s">
        <v>156</v>
      </c>
      <c r="F882" s="7" t="s">
        <v>222</v>
      </c>
      <c r="G882" s="7" t="s">
        <v>505</v>
      </c>
      <c r="H882" s="6" t="n">
        <v>4.1</v>
      </c>
      <c r="I882" s="6" t="n">
        <v>0</v>
      </c>
      <c r="J882" s="40" t="n">
        <f aca="false">H882-I882</f>
        <v>4.1</v>
      </c>
      <c r="K882" s="41" t="n">
        <v>34</v>
      </c>
      <c r="L882" s="42" t="n">
        <f aca="false">J882*K882</f>
        <v>139.4</v>
      </c>
      <c r="M882" s="43" t="n">
        <f aca="false">H882*17.84*(1+'Chart of Accounts'!$E$67)</f>
        <v>83.74988</v>
      </c>
    </row>
    <row r="883" customFormat="false" ht="15" hidden="false" customHeight="false" outlineLevel="0" collapsed="false">
      <c r="B883" s="7" t="s">
        <v>1380</v>
      </c>
      <c r="C883" s="39" t="n">
        <v>45702</v>
      </c>
      <c r="D883" s="7" t="s">
        <v>395</v>
      </c>
      <c r="E883" s="7" t="s">
        <v>156</v>
      </c>
      <c r="F883" s="7" t="s">
        <v>242</v>
      </c>
      <c r="G883" s="7" t="s">
        <v>505</v>
      </c>
      <c r="H883" s="6" t="n">
        <v>4.33</v>
      </c>
      <c r="I883" s="6" t="n">
        <v>0</v>
      </c>
      <c r="J883" s="40" t="n">
        <f aca="false">H883-I883</f>
        <v>4.33</v>
      </c>
      <c r="K883" s="41" t="n">
        <v>34</v>
      </c>
      <c r="L883" s="42" t="n">
        <f aca="false">J883*K883</f>
        <v>147.22</v>
      </c>
      <c r="M883" s="43" t="n">
        <f aca="false">H883*17.99*(1+'Chart of Accounts'!$E$67)</f>
        <v>89.1917215</v>
      </c>
    </row>
    <row r="884" customFormat="false" ht="15" hidden="false" customHeight="false" outlineLevel="0" collapsed="false">
      <c r="B884" s="7" t="s">
        <v>1381</v>
      </c>
      <c r="C884" s="39" t="n">
        <v>45702</v>
      </c>
      <c r="D884" s="7" t="s">
        <v>397</v>
      </c>
      <c r="E884" s="7" t="s">
        <v>159</v>
      </c>
      <c r="F884" s="7" t="s">
        <v>203</v>
      </c>
      <c r="G884" s="7" t="s">
        <v>502</v>
      </c>
      <c r="H884" s="6" t="n">
        <v>0.98</v>
      </c>
      <c r="I884" s="6" t="n">
        <v>0</v>
      </c>
      <c r="J884" s="40" t="n">
        <f aca="false">H884-I884</f>
        <v>0.98</v>
      </c>
      <c r="K884" s="41" t="n">
        <v>135</v>
      </c>
      <c r="L884" s="42" t="n">
        <f aca="false">J884*K884</f>
        <v>132.3</v>
      </c>
      <c r="M884" s="43" t="n">
        <f aca="false">H884*49.43*(1+'Chart of Accounts'!$E$67)</f>
        <v>55.465403</v>
      </c>
    </row>
    <row r="885" customFormat="false" ht="15" hidden="false" customHeight="false" outlineLevel="0" collapsed="false">
      <c r="B885" s="7" t="s">
        <v>1382</v>
      </c>
      <c r="C885" s="39" t="n">
        <v>45702</v>
      </c>
      <c r="D885" s="7" t="s">
        <v>399</v>
      </c>
      <c r="E885" s="7" t="s">
        <v>154</v>
      </c>
      <c r="F885" s="7" t="s">
        <v>262</v>
      </c>
      <c r="G885" s="7" t="s">
        <v>505</v>
      </c>
      <c r="H885" s="6" t="n">
        <v>3.18</v>
      </c>
      <c r="I885" s="6" t="n">
        <v>0</v>
      </c>
      <c r="J885" s="40" t="n">
        <f aca="false">H885-I885</f>
        <v>3.18</v>
      </c>
      <c r="K885" s="41" t="n">
        <v>26.5</v>
      </c>
      <c r="L885" s="42" t="n">
        <f aca="false">J885*K885</f>
        <v>84.27</v>
      </c>
      <c r="M885" s="43" t="n">
        <f aca="false">H885*16.02*(1+'Chart of Accounts'!$E$67)</f>
        <v>58.330422</v>
      </c>
    </row>
    <row r="886" customFormat="false" ht="15" hidden="false" customHeight="false" outlineLevel="0" collapsed="false">
      <c r="B886" s="7" t="s">
        <v>1383</v>
      </c>
      <c r="C886" s="39" t="n">
        <v>45702</v>
      </c>
      <c r="D886" s="7" t="s">
        <v>401</v>
      </c>
      <c r="E886" s="7" t="s">
        <v>156</v>
      </c>
      <c r="F886" s="7" t="s">
        <v>254</v>
      </c>
      <c r="G886" s="7" t="s">
        <v>505</v>
      </c>
      <c r="H886" s="6" t="n">
        <v>4.23</v>
      </c>
      <c r="I886" s="6" t="n">
        <v>0</v>
      </c>
      <c r="J886" s="40" t="n">
        <f aca="false">H886-I886</f>
        <v>4.23</v>
      </c>
      <c r="K886" s="41" t="n">
        <v>34</v>
      </c>
      <c r="L886" s="42" t="n">
        <f aca="false">J886*K886</f>
        <v>143.82</v>
      </c>
      <c r="M886" s="43" t="n">
        <f aca="false">H886*17.1*(1+'Chart of Accounts'!$E$67)</f>
        <v>82.821285</v>
      </c>
    </row>
    <row r="887" customFormat="false" ht="15" hidden="false" customHeight="false" outlineLevel="0" collapsed="false">
      <c r="B887" s="7" t="s">
        <v>1384</v>
      </c>
      <c r="C887" s="39" t="n">
        <v>45702</v>
      </c>
      <c r="D887" s="7" t="s">
        <v>407</v>
      </c>
      <c r="E887" s="7" t="s">
        <v>159</v>
      </c>
      <c r="F887" s="7" t="s">
        <v>260</v>
      </c>
      <c r="G887" s="7" t="s">
        <v>502</v>
      </c>
      <c r="H887" s="6" t="n">
        <v>0.98</v>
      </c>
      <c r="I887" s="6" t="n">
        <v>0.069</v>
      </c>
      <c r="J887" s="40" t="n">
        <f aca="false">H887-I887</f>
        <v>0.911</v>
      </c>
      <c r="K887" s="41" t="n">
        <v>135</v>
      </c>
      <c r="L887" s="42" t="n">
        <f aca="false">J887*K887</f>
        <v>122.985</v>
      </c>
      <c r="M887" s="43" t="n">
        <f aca="false">H887*79.8*(1+'Chart of Accounts'!$E$67)</f>
        <v>89.54358</v>
      </c>
    </row>
    <row r="888" customFormat="false" ht="15" hidden="false" customHeight="false" outlineLevel="0" collapsed="false">
      <c r="B888" s="7" t="s">
        <v>1385</v>
      </c>
      <c r="C888" s="39" t="n">
        <v>45702</v>
      </c>
      <c r="D888" s="7" t="s">
        <v>409</v>
      </c>
      <c r="E888" s="7" t="s">
        <v>154</v>
      </c>
      <c r="F888" s="7" t="s">
        <v>214</v>
      </c>
      <c r="G888" s="7" t="s">
        <v>505</v>
      </c>
      <c r="H888" s="6" t="n">
        <v>3.39</v>
      </c>
      <c r="I888" s="6" t="n">
        <v>0</v>
      </c>
      <c r="J888" s="40" t="n">
        <f aca="false">H888-I888</f>
        <v>3.39</v>
      </c>
      <c r="K888" s="41" t="n">
        <v>26.5</v>
      </c>
      <c r="L888" s="42" t="n">
        <f aca="false">J888*K888</f>
        <v>89.835</v>
      </c>
      <c r="M888" s="43" t="n">
        <f aca="false">H888*15.67*(1+'Chart of Accounts'!$E$67)</f>
        <v>60.8238885</v>
      </c>
    </row>
    <row r="889" customFormat="false" ht="15" hidden="false" customHeight="false" outlineLevel="0" collapsed="false">
      <c r="B889" s="7" t="s">
        <v>1386</v>
      </c>
      <c r="C889" s="39" t="n">
        <v>45702</v>
      </c>
      <c r="D889" s="7" t="s">
        <v>411</v>
      </c>
      <c r="E889" s="7" t="s">
        <v>154</v>
      </c>
      <c r="F889" s="7" t="s">
        <v>177</v>
      </c>
      <c r="G889" s="7" t="s">
        <v>505</v>
      </c>
      <c r="H889" s="6" t="n">
        <v>5.06</v>
      </c>
      <c r="I889" s="6" t="n">
        <v>0.152</v>
      </c>
      <c r="J889" s="40" t="n">
        <f aca="false">H889-I889</f>
        <v>4.908</v>
      </c>
      <c r="K889" s="41" t="n">
        <v>26.5</v>
      </c>
      <c r="L889" s="42" t="n">
        <f aca="false">J889*K889</f>
        <v>130.062</v>
      </c>
      <c r="M889" s="43" t="n">
        <f aca="false">H889*14.56*(1+'Chart of Accounts'!$E$67)</f>
        <v>84.356272</v>
      </c>
    </row>
    <row r="890" customFormat="false" ht="15" hidden="false" customHeight="false" outlineLevel="0" collapsed="false">
      <c r="B890" s="7" t="s">
        <v>1387</v>
      </c>
      <c r="C890" s="39" t="n">
        <v>45703</v>
      </c>
      <c r="D890" s="7" t="s">
        <v>288</v>
      </c>
      <c r="E890" s="7" t="s">
        <v>156</v>
      </c>
      <c r="F890" s="7" t="s">
        <v>191</v>
      </c>
      <c r="G890" s="7" t="s">
        <v>505</v>
      </c>
      <c r="H890" s="6" t="n">
        <v>3.83</v>
      </c>
      <c r="I890" s="6" t="n">
        <v>0</v>
      </c>
      <c r="J890" s="40" t="n">
        <f aca="false">H890-I890</f>
        <v>3.83</v>
      </c>
      <c r="K890" s="41" t="n">
        <v>34</v>
      </c>
      <c r="L890" s="42" t="n">
        <f aca="false">J890*K890</f>
        <v>130.22</v>
      </c>
      <c r="M890" s="43" t="n">
        <f aca="false">H890*16.05*(1+'Chart of Accounts'!$E$67)</f>
        <v>70.3848675</v>
      </c>
    </row>
    <row r="891" customFormat="false" ht="15" hidden="false" customHeight="false" outlineLevel="0" collapsed="false">
      <c r="B891" s="7" t="s">
        <v>1388</v>
      </c>
      <c r="C891" s="39" t="n">
        <v>45703</v>
      </c>
      <c r="D891" s="7" t="s">
        <v>321</v>
      </c>
      <c r="E891" s="7" t="s">
        <v>154</v>
      </c>
      <c r="F891" s="7" t="s">
        <v>218</v>
      </c>
      <c r="G891" s="7" t="s">
        <v>505</v>
      </c>
      <c r="H891" s="6" t="n">
        <v>3.93</v>
      </c>
      <c r="I891" s="6" t="n">
        <v>0</v>
      </c>
      <c r="J891" s="40" t="n">
        <f aca="false">H891-I891</f>
        <v>3.93</v>
      </c>
      <c r="K891" s="41" t="n">
        <v>26.5</v>
      </c>
      <c r="L891" s="42" t="n">
        <f aca="false">J891*K891</f>
        <v>104.145</v>
      </c>
      <c r="M891" s="43" t="n">
        <f aca="false">H891*16.19*(1+'Chart of Accounts'!$E$67)</f>
        <v>72.8525715</v>
      </c>
    </row>
    <row r="892" customFormat="false" ht="15" hidden="false" customHeight="false" outlineLevel="0" collapsed="false">
      <c r="B892" s="7" t="s">
        <v>1389</v>
      </c>
      <c r="C892" s="39" t="n">
        <v>45703</v>
      </c>
      <c r="D892" s="7" t="s">
        <v>359</v>
      </c>
      <c r="E892" s="7" t="s">
        <v>156</v>
      </c>
      <c r="F892" s="7" t="s">
        <v>212</v>
      </c>
      <c r="G892" s="7" t="s">
        <v>505</v>
      </c>
      <c r="H892" s="6" t="n">
        <v>4.09</v>
      </c>
      <c r="I892" s="6" t="n">
        <v>0</v>
      </c>
      <c r="J892" s="40" t="n">
        <f aca="false">H892-I892</f>
        <v>4.09</v>
      </c>
      <c r="K892" s="41" t="n">
        <v>34</v>
      </c>
      <c r="L892" s="42" t="n">
        <f aca="false">J892*K892</f>
        <v>139.06</v>
      </c>
      <c r="M892" s="43" t="n">
        <f aca="false">H892*16.71*(1+'Chart of Accounts'!$E$67)</f>
        <v>78.2537655</v>
      </c>
    </row>
    <row r="893" customFormat="false" ht="15" hidden="false" customHeight="false" outlineLevel="0" collapsed="false">
      <c r="B893" s="7" t="s">
        <v>1390</v>
      </c>
      <c r="C893" s="39" t="n">
        <v>45703</v>
      </c>
      <c r="D893" s="7" t="s">
        <v>391</v>
      </c>
      <c r="E893" s="7" t="s">
        <v>156</v>
      </c>
      <c r="F893" s="7" t="s">
        <v>222</v>
      </c>
      <c r="G893" s="7" t="s">
        <v>505</v>
      </c>
      <c r="H893" s="6" t="n">
        <v>3.72</v>
      </c>
      <c r="I893" s="6" t="n">
        <v>0</v>
      </c>
      <c r="J893" s="40" t="n">
        <f aca="false">H893-I893</f>
        <v>3.72</v>
      </c>
      <c r="K893" s="41" t="n">
        <v>34</v>
      </c>
      <c r="L893" s="42" t="n">
        <f aca="false">J893*K893</f>
        <v>126.48</v>
      </c>
      <c r="M893" s="43" t="n">
        <f aca="false">H893*17.84*(1+'Chart of Accounts'!$E$67)</f>
        <v>75.987696</v>
      </c>
    </row>
    <row r="894" customFormat="false" ht="15" hidden="false" customHeight="false" outlineLevel="0" collapsed="false">
      <c r="B894" s="7" t="s">
        <v>1391</v>
      </c>
      <c r="C894" s="39" t="n">
        <v>45703</v>
      </c>
      <c r="D894" s="7" t="s">
        <v>395</v>
      </c>
      <c r="E894" s="7" t="s">
        <v>156</v>
      </c>
      <c r="F894" s="7" t="s">
        <v>242</v>
      </c>
      <c r="G894" s="7" t="s">
        <v>505</v>
      </c>
      <c r="H894" s="6" t="n">
        <v>3.63</v>
      </c>
      <c r="I894" s="6" t="n">
        <v>0</v>
      </c>
      <c r="J894" s="40" t="n">
        <f aca="false">H894-I894</f>
        <v>3.63</v>
      </c>
      <c r="K894" s="41" t="n">
        <v>34</v>
      </c>
      <c r="L894" s="42" t="n">
        <f aca="false">J894*K894</f>
        <v>123.42</v>
      </c>
      <c r="M894" s="43" t="n">
        <f aca="false">H894*17.99*(1+'Chart of Accounts'!$E$67)</f>
        <v>74.7727365</v>
      </c>
    </row>
    <row r="895" customFormat="false" ht="15" hidden="false" customHeight="false" outlineLevel="0" collapsed="false">
      <c r="B895" s="7" t="s">
        <v>1392</v>
      </c>
      <c r="C895" s="39" t="n">
        <v>45703</v>
      </c>
      <c r="D895" s="7" t="s">
        <v>401</v>
      </c>
      <c r="E895" s="7" t="s">
        <v>156</v>
      </c>
      <c r="F895" s="7" t="s">
        <v>254</v>
      </c>
      <c r="G895" s="7" t="s">
        <v>505</v>
      </c>
      <c r="H895" s="6" t="n">
        <v>3.79</v>
      </c>
      <c r="I895" s="6" t="n">
        <v>0</v>
      </c>
      <c r="J895" s="40" t="n">
        <f aca="false">H895-I895</f>
        <v>3.79</v>
      </c>
      <c r="K895" s="41" t="n">
        <v>34</v>
      </c>
      <c r="L895" s="42" t="n">
        <f aca="false">J895*K895</f>
        <v>128.86</v>
      </c>
      <c r="M895" s="43" t="n">
        <f aca="false">H895*17.1*(1+'Chart of Accounts'!$E$67)</f>
        <v>74.206305</v>
      </c>
    </row>
    <row r="896" customFormat="false" ht="15" hidden="false" customHeight="false" outlineLevel="0" collapsed="false">
      <c r="B896" s="7" t="s">
        <v>1393</v>
      </c>
      <c r="C896" s="39" t="n">
        <v>45704</v>
      </c>
      <c r="D896" s="7" t="s">
        <v>321</v>
      </c>
      <c r="E896" s="7" t="s">
        <v>154</v>
      </c>
      <c r="F896" s="7" t="s">
        <v>218</v>
      </c>
      <c r="G896" s="7" t="s">
        <v>505</v>
      </c>
      <c r="H896" s="6" t="n">
        <v>3.85</v>
      </c>
      <c r="I896" s="6" t="n">
        <v>0</v>
      </c>
      <c r="J896" s="40" t="n">
        <f aca="false">H896-I896</f>
        <v>3.85</v>
      </c>
      <c r="K896" s="41" t="n">
        <v>26.5</v>
      </c>
      <c r="L896" s="42" t="n">
        <f aca="false">J896*K896</f>
        <v>102.025</v>
      </c>
      <c r="M896" s="43" t="n">
        <f aca="false">H896*16.19*(1+'Chart of Accounts'!$E$67)</f>
        <v>71.3695675</v>
      </c>
    </row>
    <row r="897" customFormat="false" ht="15" hidden="false" customHeight="false" outlineLevel="0" collapsed="false">
      <c r="B897" s="7" t="s">
        <v>1394</v>
      </c>
      <c r="C897" s="39" t="n">
        <v>45704</v>
      </c>
      <c r="D897" s="7" t="s">
        <v>359</v>
      </c>
      <c r="E897" s="7" t="s">
        <v>156</v>
      </c>
      <c r="F897" s="7" t="s">
        <v>212</v>
      </c>
      <c r="G897" s="7" t="s">
        <v>505</v>
      </c>
      <c r="H897" s="6" t="n">
        <v>4.15</v>
      </c>
      <c r="I897" s="6" t="n">
        <v>0</v>
      </c>
      <c r="J897" s="40" t="n">
        <f aca="false">H897-I897</f>
        <v>4.15</v>
      </c>
      <c r="K897" s="41" t="n">
        <v>34</v>
      </c>
      <c r="L897" s="42" t="n">
        <f aca="false">J897*K897</f>
        <v>141.1</v>
      </c>
      <c r="M897" s="43" t="n">
        <f aca="false">H897*16.71*(1+'Chart of Accounts'!$E$67)</f>
        <v>79.4017425</v>
      </c>
    </row>
    <row r="898" customFormat="false" ht="15" hidden="false" customHeight="false" outlineLevel="0" collapsed="false">
      <c r="B898" s="7" t="s">
        <v>1395</v>
      </c>
      <c r="C898" s="39" t="n">
        <v>45704</v>
      </c>
      <c r="D898" s="7" t="s">
        <v>391</v>
      </c>
      <c r="E898" s="7" t="s">
        <v>156</v>
      </c>
      <c r="F898" s="7" t="s">
        <v>222</v>
      </c>
      <c r="G898" s="7" t="s">
        <v>505</v>
      </c>
      <c r="H898" s="6" t="n">
        <v>3.84</v>
      </c>
      <c r="I898" s="6" t="n">
        <v>0</v>
      </c>
      <c r="J898" s="40" t="n">
        <f aca="false">H898-I898</f>
        <v>3.84</v>
      </c>
      <c r="K898" s="41" t="n">
        <v>34</v>
      </c>
      <c r="L898" s="42" t="n">
        <f aca="false">J898*K898</f>
        <v>130.56</v>
      </c>
      <c r="M898" s="43" t="n">
        <f aca="false">H898*17.84*(1+'Chart of Accounts'!$E$67)</f>
        <v>78.438912</v>
      </c>
    </row>
    <row r="899" customFormat="false" ht="15" hidden="false" customHeight="false" outlineLevel="0" collapsed="false">
      <c r="B899" s="7" t="s">
        <v>1396</v>
      </c>
      <c r="C899" s="39" t="n">
        <v>45704</v>
      </c>
      <c r="D899" s="7" t="s">
        <v>395</v>
      </c>
      <c r="E899" s="7" t="s">
        <v>156</v>
      </c>
      <c r="F899" s="7" t="s">
        <v>242</v>
      </c>
      <c r="G899" s="7" t="s">
        <v>505</v>
      </c>
      <c r="H899" s="6" t="n">
        <v>3.86</v>
      </c>
      <c r="I899" s="6" t="n">
        <v>0</v>
      </c>
      <c r="J899" s="40" t="n">
        <f aca="false">H899-I899</f>
        <v>3.86</v>
      </c>
      <c r="K899" s="41" t="n">
        <v>34</v>
      </c>
      <c r="L899" s="42" t="n">
        <f aca="false">J899*K899</f>
        <v>131.24</v>
      </c>
      <c r="M899" s="43" t="n">
        <f aca="false">H899*17.99*(1+'Chart of Accounts'!$E$67)</f>
        <v>79.510403</v>
      </c>
    </row>
    <row r="900" customFormat="false" ht="15" hidden="false" customHeight="false" outlineLevel="0" collapsed="false">
      <c r="B900" s="7" t="s">
        <v>1397</v>
      </c>
      <c r="C900" s="39" t="n">
        <v>45704</v>
      </c>
      <c r="D900" s="7" t="s">
        <v>401</v>
      </c>
      <c r="E900" s="7" t="s">
        <v>156</v>
      </c>
      <c r="F900" s="7" t="s">
        <v>254</v>
      </c>
      <c r="G900" s="7" t="s">
        <v>505</v>
      </c>
      <c r="H900" s="6" t="n">
        <v>3.67</v>
      </c>
      <c r="I900" s="6" t="n">
        <v>0</v>
      </c>
      <c r="J900" s="40" t="n">
        <f aca="false">H900-I900</f>
        <v>3.67</v>
      </c>
      <c r="K900" s="41" t="n">
        <v>34</v>
      </c>
      <c r="L900" s="42" t="n">
        <f aca="false">J900*K900</f>
        <v>124.78</v>
      </c>
      <c r="M900" s="43" t="n">
        <f aca="false">H900*17.1*(1+'Chart of Accounts'!$E$67)</f>
        <v>71.856765</v>
      </c>
    </row>
    <row r="901" customFormat="false" ht="15" hidden="false" customHeight="false" outlineLevel="0" collapsed="false">
      <c r="B901" s="7" t="s">
        <v>1398</v>
      </c>
      <c r="C901" s="39" t="n">
        <v>45705</v>
      </c>
      <c r="D901" s="7" t="s">
        <v>280</v>
      </c>
      <c r="E901" s="7" t="s">
        <v>157</v>
      </c>
      <c r="F901" s="7" t="s">
        <v>187</v>
      </c>
      <c r="G901" s="7" t="s">
        <v>502</v>
      </c>
      <c r="H901" s="6" t="n">
        <v>0.98</v>
      </c>
      <c r="I901" s="6" t="n">
        <v>0</v>
      </c>
      <c r="J901" s="40" t="n">
        <f aca="false">H901-I901</f>
        <v>0.98</v>
      </c>
      <c r="K901" s="41" t="n">
        <v>165</v>
      </c>
      <c r="L901" s="42" t="n">
        <f aca="false">J901*K901</f>
        <v>161.7</v>
      </c>
      <c r="M901" s="43" t="n">
        <f aca="false">H901*66.48*(1+'Chart of Accounts'!$E$67)</f>
        <v>74.597208</v>
      </c>
    </row>
    <row r="902" customFormat="false" ht="15" hidden="false" customHeight="false" outlineLevel="0" collapsed="false">
      <c r="B902" s="7" t="s">
        <v>1399</v>
      </c>
      <c r="C902" s="39" t="n">
        <v>45705</v>
      </c>
      <c r="D902" s="7" t="s">
        <v>288</v>
      </c>
      <c r="E902" s="7" t="s">
        <v>156</v>
      </c>
      <c r="F902" s="7" t="s">
        <v>191</v>
      </c>
      <c r="G902" s="7" t="s">
        <v>505</v>
      </c>
      <c r="H902" s="6" t="n">
        <v>3.9</v>
      </c>
      <c r="I902" s="6" t="n">
        <v>0</v>
      </c>
      <c r="J902" s="40" t="n">
        <f aca="false">H902-I902</f>
        <v>3.9</v>
      </c>
      <c r="K902" s="41" t="n">
        <v>34</v>
      </c>
      <c r="L902" s="42" t="n">
        <f aca="false">J902*K902</f>
        <v>132.6</v>
      </c>
      <c r="M902" s="43" t="n">
        <f aca="false">H902*16.05*(1+'Chart of Accounts'!$E$67)</f>
        <v>71.671275</v>
      </c>
    </row>
    <row r="903" customFormat="false" ht="15" hidden="false" customHeight="false" outlineLevel="0" collapsed="false">
      <c r="B903" s="7" t="s">
        <v>1400</v>
      </c>
      <c r="C903" s="39" t="n">
        <v>45705</v>
      </c>
      <c r="D903" s="7" t="s">
        <v>291</v>
      </c>
      <c r="E903" s="7" t="s">
        <v>154</v>
      </c>
      <c r="F903" s="7" t="s">
        <v>194</v>
      </c>
      <c r="G903" s="7" t="s">
        <v>505</v>
      </c>
      <c r="H903" s="6" t="n">
        <v>4.26</v>
      </c>
      <c r="I903" s="6" t="n">
        <v>0</v>
      </c>
      <c r="J903" s="40" t="n">
        <f aca="false">H903-I903</f>
        <v>4.26</v>
      </c>
      <c r="K903" s="41" t="n">
        <v>26.5</v>
      </c>
      <c r="L903" s="42" t="n">
        <f aca="false">J903*K903</f>
        <v>112.89</v>
      </c>
      <c r="M903" s="43" t="n">
        <f aca="false">H903*16*(1+'Chart of Accounts'!$E$67)</f>
        <v>78.0432</v>
      </c>
    </row>
    <row r="904" customFormat="false" ht="15" hidden="false" customHeight="false" outlineLevel="0" collapsed="false">
      <c r="B904" s="7" t="s">
        <v>1401</v>
      </c>
      <c r="C904" s="39" t="n">
        <v>45705</v>
      </c>
      <c r="D904" s="7" t="s">
        <v>297</v>
      </c>
      <c r="E904" s="7" t="s">
        <v>156</v>
      </c>
      <c r="F904" s="7" t="s">
        <v>201</v>
      </c>
      <c r="G904" s="7" t="s">
        <v>505</v>
      </c>
      <c r="H904" s="6" t="n">
        <v>3.17</v>
      </c>
      <c r="I904" s="6" t="n">
        <v>0</v>
      </c>
      <c r="J904" s="40" t="n">
        <f aca="false">H904-I904</f>
        <v>3.17</v>
      </c>
      <c r="K904" s="41" t="n">
        <v>34</v>
      </c>
      <c r="L904" s="42" t="n">
        <f aca="false">J904*K904</f>
        <v>107.78</v>
      </c>
      <c r="M904" s="43" t="n">
        <f aca="false">H904*15.19*(1+'Chart of Accounts'!$E$67)</f>
        <v>55.1343835</v>
      </c>
    </row>
    <row r="905" customFormat="false" ht="15" hidden="false" customHeight="false" outlineLevel="0" collapsed="false">
      <c r="B905" s="7" t="s">
        <v>1402</v>
      </c>
      <c r="C905" s="39" t="n">
        <v>45705</v>
      </c>
      <c r="D905" s="7" t="s">
        <v>305</v>
      </c>
      <c r="E905" s="7" t="s">
        <v>154</v>
      </c>
      <c r="F905" s="7" t="s">
        <v>205</v>
      </c>
      <c r="G905" s="7" t="s">
        <v>505</v>
      </c>
      <c r="H905" s="6" t="n">
        <v>3.74</v>
      </c>
      <c r="I905" s="6" t="n">
        <v>0</v>
      </c>
      <c r="J905" s="40" t="n">
        <f aca="false">H905-I905</f>
        <v>3.74</v>
      </c>
      <c r="K905" s="41" t="n">
        <v>26.5</v>
      </c>
      <c r="L905" s="42" t="n">
        <f aca="false">J905*K905</f>
        <v>99.11</v>
      </c>
      <c r="M905" s="43" t="n">
        <f aca="false">H905*16.36*(1+'Chart of Accounts'!$E$67)</f>
        <v>70.058428</v>
      </c>
    </row>
    <row r="906" customFormat="false" ht="15" hidden="false" customHeight="false" outlineLevel="0" collapsed="false">
      <c r="B906" s="7" t="s">
        <v>1403</v>
      </c>
      <c r="C906" s="39" t="n">
        <v>45705</v>
      </c>
      <c r="D906" s="7" t="s">
        <v>309</v>
      </c>
      <c r="E906" s="7" t="s">
        <v>159</v>
      </c>
      <c r="F906" s="7" t="s">
        <v>252</v>
      </c>
      <c r="G906" s="7" t="s">
        <v>502</v>
      </c>
      <c r="H906" s="6" t="n">
        <v>0.91</v>
      </c>
      <c r="I906" s="6" t="n">
        <v>0.064</v>
      </c>
      <c r="J906" s="40" t="n">
        <f aca="false">H906-I906</f>
        <v>0.846</v>
      </c>
      <c r="K906" s="41" t="n">
        <v>135</v>
      </c>
      <c r="L906" s="42" t="n">
        <f aca="false">J906*K906</f>
        <v>114.21</v>
      </c>
      <c r="M906" s="43" t="n">
        <f aca="false">H906*57.54*(1+'Chart of Accounts'!$E$67)</f>
        <v>59.953803</v>
      </c>
    </row>
    <row r="907" customFormat="false" ht="15" hidden="false" customHeight="false" outlineLevel="0" collapsed="false">
      <c r="B907" s="7" t="s">
        <v>1404</v>
      </c>
      <c r="C907" s="39" t="n">
        <v>45705</v>
      </c>
      <c r="D907" s="7" t="s">
        <v>311</v>
      </c>
      <c r="E907" s="7" t="s">
        <v>154</v>
      </c>
      <c r="F907" s="7" t="s">
        <v>196</v>
      </c>
      <c r="G907" s="7" t="s">
        <v>505</v>
      </c>
      <c r="H907" s="6" t="n">
        <v>2.92</v>
      </c>
      <c r="I907" s="6" t="n">
        <v>0</v>
      </c>
      <c r="J907" s="40" t="n">
        <f aca="false">H907-I907</f>
        <v>2.92</v>
      </c>
      <c r="K907" s="41" t="n">
        <v>26.5</v>
      </c>
      <c r="L907" s="42" t="n">
        <f aca="false">J907*K907</f>
        <v>77.38</v>
      </c>
      <c r="M907" s="43" t="n">
        <f aca="false">H907*15.05*(1+'Chart of Accounts'!$E$67)</f>
        <v>50.31817</v>
      </c>
    </row>
    <row r="908" customFormat="false" ht="15" hidden="false" customHeight="false" outlineLevel="0" collapsed="false">
      <c r="B908" s="7" t="s">
        <v>1405</v>
      </c>
      <c r="C908" s="39" t="n">
        <v>45705</v>
      </c>
      <c r="D908" s="7" t="s">
        <v>313</v>
      </c>
      <c r="E908" s="7" t="s">
        <v>156</v>
      </c>
      <c r="F908" s="7" t="s">
        <v>184</v>
      </c>
      <c r="G908" s="7" t="s">
        <v>505</v>
      </c>
      <c r="H908" s="6" t="n">
        <v>3.97</v>
      </c>
      <c r="I908" s="6" t="n">
        <v>0</v>
      </c>
      <c r="J908" s="40" t="n">
        <f aca="false">H908-I908</f>
        <v>3.97</v>
      </c>
      <c r="K908" s="41" t="n">
        <v>34</v>
      </c>
      <c r="L908" s="42" t="n">
        <f aca="false">J908*K908</f>
        <v>134.98</v>
      </c>
      <c r="M908" s="43" t="n">
        <f aca="false">H908*17.34*(1+'Chart of Accounts'!$E$67)</f>
        <v>78.821571</v>
      </c>
    </row>
    <row r="909" customFormat="false" ht="15" hidden="false" customHeight="false" outlineLevel="0" collapsed="false">
      <c r="B909" s="7" t="s">
        <v>1406</v>
      </c>
      <c r="C909" s="39" t="n">
        <v>45705</v>
      </c>
      <c r="D909" s="7" t="s">
        <v>317</v>
      </c>
      <c r="E909" s="7" t="s">
        <v>156</v>
      </c>
      <c r="F909" s="7" t="s">
        <v>207</v>
      </c>
      <c r="G909" s="7" t="s">
        <v>505</v>
      </c>
      <c r="H909" s="6" t="n">
        <v>3.11</v>
      </c>
      <c r="I909" s="6" t="n">
        <v>0</v>
      </c>
      <c r="J909" s="40" t="n">
        <f aca="false">H909-I909</f>
        <v>3.11</v>
      </c>
      <c r="K909" s="41" t="n">
        <v>34</v>
      </c>
      <c r="L909" s="42" t="n">
        <f aca="false">J909*K909</f>
        <v>105.74</v>
      </c>
      <c r="M909" s="43" t="n">
        <f aca="false">H909*16.65*(1+'Chart of Accounts'!$E$67)</f>
        <v>59.2898175</v>
      </c>
    </row>
    <row r="910" customFormat="false" ht="15" hidden="false" customHeight="false" outlineLevel="0" collapsed="false">
      <c r="B910" s="7" t="s">
        <v>1407</v>
      </c>
      <c r="C910" s="39" t="n">
        <v>45705</v>
      </c>
      <c r="D910" s="7" t="s">
        <v>321</v>
      </c>
      <c r="E910" s="7" t="s">
        <v>154</v>
      </c>
      <c r="F910" s="7" t="s">
        <v>218</v>
      </c>
      <c r="G910" s="7" t="s">
        <v>505</v>
      </c>
      <c r="H910" s="6" t="n">
        <v>3.96</v>
      </c>
      <c r="I910" s="6" t="n">
        <v>0</v>
      </c>
      <c r="J910" s="40" t="n">
        <f aca="false">H910-I910</f>
        <v>3.96</v>
      </c>
      <c r="K910" s="41" t="n">
        <v>26.5</v>
      </c>
      <c r="L910" s="42" t="n">
        <f aca="false">J910*K910</f>
        <v>104.94</v>
      </c>
      <c r="M910" s="43" t="n">
        <f aca="false">H910*16.19*(1+'Chart of Accounts'!$E$67)</f>
        <v>73.408698</v>
      </c>
    </row>
    <row r="911" customFormat="false" ht="15" hidden="false" customHeight="false" outlineLevel="0" collapsed="false">
      <c r="B911" s="7" t="s">
        <v>1408</v>
      </c>
      <c r="C911" s="39" t="n">
        <v>45705</v>
      </c>
      <c r="D911" s="7" t="s">
        <v>325</v>
      </c>
      <c r="E911" s="7" t="s">
        <v>154</v>
      </c>
      <c r="F911" s="7" t="s">
        <v>212</v>
      </c>
      <c r="G911" s="7" t="s">
        <v>505</v>
      </c>
      <c r="H911" s="6" t="n">
        <v>3.03</v>
      </c>
      <c r="I911" s="6" t="n">
        <v>0</v>
      </c>
      <c r="J911" s="40" t="n">
        <f aca="false">H911-I911</f>
        <v>3.03</v>
      </c>
      <c r="K911" s="41" t="n">
        <v>26.5</v>
      </c>
      <c r="L911" s="42" t="n">
        <f aca="false">J911*K911</f>
        <v>80.295</v>
      </c>
      <c r="M911" s="43" t="n">
        <f aca="false">H911*16.71*(1+'Chart of Accounts'!$E$67)</f>
        <v>57.9728385</v>
      </c>
    </row>
    <row r="912" customFormat="false" ht="15" hidden="false" customHeight="false" outlineLevel="0" collapsed="false">
      <c r="B912" s="7" t="s">
        <v>1409</v>
      </c>
      <c r="C912" s="39" t="n">
        <v>45705</v>
      </c>
      <c r="D912" s="7" t="s">
        <v>329</v>
      </c>
      <c r="E912" s="7" t="s">
        <v>156</v>
      </c>
      <c r="F912" s="7" t="s">
        <v>220</v>
      </c>
      <c r="G912" s="7" t="s">
        <v>505</v>
      </c>
      <c r="H912" s="6" t="n">
        <v>3.81</v>
      </c>
      <c r="I912" s="6" t="n">
        <v>0</v>
      </c>
      <c r="J912" s="40" t="n">
        <f aca="false">H912-I912</f>
        <v>3.81</v>
      </c>
      <c r="K912" s="41" t="n">
        <v>34</v>
      </c>
      <c r="L912" s="42" t="n">
        <f aca="false">J912*K912</f>
        <v>129.54</v>
      </c>
      <c r="M912" s="43" t="n">
        <f aca="false">H912*16.43*(1+'Chart of Accounts'!$E$67)</f>
        <v>71.6750535</v>
      </c>
    </row>
    <row r="913" customFormat="false" ht="15" hidden="false" customHeight="false" outlineLevel="0" collapsed="false">
      <c r="B913" s="7" t="s">
        <v>1410</v>
      </c>
      <c r="C913" s="39" t="n">
        <v>45705</v>
      </c>
      <c r="D913" s="7" t="s">
        <v>331</v>
      </c>
      <c r="E913" s="7" t="s">
        <v>156</v>
      </c>
      <c r="F913" s="7" t="s">
        <v>224</v>
      </c>
      <c r="G913" s="7" t="s">
        <v>505</v>
      </c>
      <c r="H913" s="6" t="n">
        <v>3.62</v>
      </c>
      <c r="I913" s="6" t="n">
        <v>0</v>
      </c>
      <c r="J913" s="40" t="n">
        <f aca="false">H913-I913</f>
        <v>3.62</v>
      </c>
      <c r="K913" s="41" t="n">
        <v>34</v>
      </c>
      <c r="L913" s="42" t="n">
        <f aca="false">J913*K913</f>
        <v>123.08</v>
      </c>
      <c r="M913" s="43" t="n">
        <f aca="false">H913*14.93*(1+'Chart of Accounts'!$E$67)</f>
        <v>61.883357</v>
      </c>
    </row>
    <row r="914" customFormat="false" ht="15" hidden="false" customHeight="false" outlineLevel="0" collapsed="false">
      <c r="B914" s="7" t="s">
        <v>1411</v>
      </c>
      <c r="C914" s="39" t="n">
        <v>45705</v>
      </c>
      <c r="D914" s="7" t="s">
        <v>335</v>
      </c>
      <c r="E914" s="7" t="s">
        <v>154</v>
      </c>
      <c r="F914" s="7" t="s">
        <v>177</v>
      </c>
      <c r="G914" s="7" t="s">
        <v>505</v>
      </c>
      <c r="H914" s="6" t="n">
        <v>4.22</v>
      </c>
      <c r="I914" s="6" t="n">
        <v>0</v>
      </c>
      <c r="J914" s="40" t="n">
        <f aca="false">H914-I914</f>
        <v>4.22</v>
      </c>
      <c r="K914" s="41" t="n">
        <v>26.5</v>
      </c>
      <c r="L914" s="42" t="n">
        <f aca="false">J914*K914</f>
        <v>111.83</v>
      </c>
      <c r="M914" s="43" t="n">
        <f aca="false">H914*14.56*(1+'Chart of Accounts'!$E$67)</f>
        <v>70.352464</v>
      </c>
    </row>
    <row r="915" customFormat="false" ht="15" hidden="false" customHeight="false" outlineLevel="0" collapsed="false">
      <c r="B915" s="7" t="s">
        <v>1412</v>
      </c>
      <c r="C915" s="39" t="n">
        <v>45705</v>
      </c>
      <c r="D915" s="7" t="s">
        <v>337</v>
      </c>
      <c r="E915" s="7" t="s">
        <v>154</v>
      </c>
      <c r="F915" s="7" t="s">
        <v>232</v>
      </c>
      <c r="G915" s="7" t="s">
        <v>505</v>
      </c>
      <c r="H915" s="6" t="n">
        <v>2.84</v>
      </c>
      <c r="I915" s="6" t="n">
        <v>0</v>
      </c>
      <c r="J915" s="40" t="n">
        <f aca="false">H915-I915</f>
        <v>2.84</v>
      </c>
      <c r="K915" s="41" t="n">
        <v>26.5</v>
      </c>
      <c r="L915" s="42" t="n">
        <f aca="false">J915*K915</f>
        <v>75.26</v>
      </c>
      <c r="M915" s="43" t="n">
        <f aca="false">H915*16.17*(1+'Chart of Accounts'!$E$67)</f>
        <v>52.581606</v>
      </c>
    </row>
    <row r="916" customFormat="false" ht="15" hidden="false" customHeight="false" outlineLevel="0" collapsed="false">
      <c r="B916" s="7" t="s">
        <v>1413</v>
      </c>
      <c r="C916" s="39" t="n">
        <v>45705</v>
      </c>
      <c r="D916" s="7" t="s">
        <v>339</v>
      </c>
      <c r="E916" s="7" t="s">
        <v>154</v>
      </c>
      <c r="F916" s="7" t="s">
        <v>242</v>
      </c>
      <c r="G916" s="7" t="s">
        <v>505</v>
      </c>
      <c r="H916" s="6" t="n">
        <v>3.34</v>
      </c>
      <c r="I916" s="6" t="n">
        <v>0</v>
      </c>
      <c r="J916" s="40" t="n">
        <f aca="false">H916-I916</f>
        <v>3.34</v>
      </c>
      <c r="K916" s="41" t="n">
        <v>26.5</v>
      </c>
      <c r="L916" s="42" t="n">
        <f aca="false">J916*K916</f>
        <v>88.51</v>
      </c>
      <c r="M916" s="43" t="n">
        <f aca="false">H916*17.99*(1+'Chart of Accounts'!$E$67)</f>
        <v>68.799157</v>
      </c>
    </row>
    <row r="917" customFormat="false" ht="15" hidden="false" customHeight="false" outlineLevel="0" collapsed="false">
      <c r="B917" s="7" t="s">
        <v>1414</v>
      </c>
      <c r="C917" s="39" t="n">
        <v>45705</v>
      </c>
      <c r="D917" s="7" t="s">
        <v>341</v>
      </c>
      <c r="E917" s="7" t="s">
        <v>156</v>
      </c>
      <c r="F917" s="7" t="s">
        <v>222</v>
      </c>
      <c r="G917" s="7" t="s">
        <v>505</v>
      </c>
      <c r="H917" s="6" t="n">
        <v>3.11</v>
      </c>
      <c r="I917" s="6" t="n">
        <v>0</v>
      </c>
      <c r="J917" s="40" t="n">
        <f aca="false">H917-I917</f>
        <v>3.11</v>
      </c>
      <c r="K917" s="41" t="n">
        <v>34</v>
      </c>
      <c r="L917" s="42" t="n">
        <f aca="false">J917*K917</f>
        <v>105.74</v>
      </c>
      <c r="M917" s="43" t="n">
        <f aca="false">H917*17.84*(1+'Chart of Accounts'!$E$67)</f>
        <v>63.527348</v>
      </c>
    </row>
    <row r="918" customFormat="false" ht="15" hidden="false" customHeight="false" outlineLevel="0" collapsed="false">
      <c r="B918" s="7" t="s">
        <v>1415</v>
      </c>
      <c r="C918" s="39" t="n">
        <v>45705</v>
      </c>
      <c r="D918" s="7" t="s">
        <v>343</v>
      </c>
      <c r="E918" s="7" t="s">
        <v>154</v>
      </c>
      <c r="F918" s="7" t="s">
        <v>262</v>
      </c>
      <c r="G918" s="7" t="s">
        <v>505</v>
      </c>
      <c r="H918" s="6" t="n">
        <v>3.74</v>
      </c>
      <c r="I918" s="6" t="n">
        <v>0</v>
      </c>
      <c r="J918" s="40" t="n">
        <f aca="false">H918-I918</f>
        <v>3.74</v>
      </c>
      <c r="K918" s="41" t="n">
        <v>26.5</v>
      </c>
      <c r="L918" s="42" t="n">
        <f aca="false">J918*K918</f>
        <v>99.11</v>
      </c>
      <c r="M918" s="43" t="n">
        <f aca="false">H918*16.02*(1+'Chart of Accounts'!$E$67)</f>
        <v>68.602446</v>
      </c>
    </row>
    <row r="919" customFormat="false" ht="15" hidden="false" customHeight="false" outlineLevel="0" collapsed="false">
      <c r="B919" s="7" t="s">
        <v>1416</v>
      </c>
      <c r="C919" s="39" t="n">
        <v>45705</v>
      </c>
      <c r="D919" s="7" t="s">
        <v>353</v>
      </c>
      <c r="E919" s="7" t="s">
        <v>154</v>
      </c>
      <c r="F919" s="7" t="s">
        <v>254</v>
      </c>
      <c r="G919" s="7" t="s">
        <v>505</v>
      </c>
      <c r="H919" s="6" t="n">
        <v>3.41</v>
      </c>
      <c r="I919" s="6" t="n">
        <v>0</v>
      </c>
      <c r="J919" s="40" t="n">
        <f aca="false">H919-I919</f>
        <v>3.41</v>
      </c>
      <c r="K919" s="41" t="n">
        <v>26.5</v>
      </c>
      <c r="L919" s="42" t="n">
        <f aca="false">J919*K919</f>
        <v>90.365</v>
      </c>
      <c r="M919" s="43" t="n">
        <f aca="false">H919*17.1*(1+'Chart of Accounts'!$E$67)</f>
        <v>66.766095</v>
      </c>
    </row>
    <row r="920" customFormat="false" ht="15" hidden="false" customHeight="false" outlineLevel="0" collapsed="false">
      <c r="B920" s="7" t="s">
        <v>1417</v>
      </c>
      <c r="C920" s="39" t="n">
        <v>45705</v>
      </c>
      <c r="D920" s="7" t="s">
        <v>355</v>
      </c>
      <c r="E920" s="7" t="s">
        <v>154</v>
      </c>
      <c r="F920" s="7" t="s">
        <v>201</v>
      </c>
      <c r="G920" s="7" t="s">
        <v>505</v>
      </c>
      <c r="H920" s="6" t="n">
        <v>3.47</v>
      </c>
      <c r="I920" s="6" t="n">
        <v>0</v>
      </c>
      <c r="J920" s="40" t="n">
        <f aca="false">H920-I920</f>
        <v>3.47</v>
      </c>
      <c r="K920" s="41" t="n">
        <v>26.5</v>
      </c>
      <c r="L920" s="42" t="n">
        <f aca="false">J920*K920</f>
        <v>91.955</v>
      </c>
      <c r="M920" s="43" t="n">
        <f aca="false">H920*15.19*(1+'Chart of Accounts'!$E$67)</f>
        <v>60.3521485</v>
      </c>
    </row>
    <row r="921" customFormat="false" ht="15" hidden="false" customHeight="false" outlineLevel="0" collapsed="false">
      <c r="B921" s="7" t="s">
        <v>1418</v>
      </c>
      <c r="C921" s="39" t="n">
        <v>45705</v>
      </c>
      <c r="D921" s="7" t="s">
        <v>357</v>
      </c>
      <c r="E921" s="7" t="s">
        <v>154</v>
      </c>
      <c r="F921" s="7" t="s">
        <v>207</v>
      </c>
      <c r="G921" s="7" t="s">
        <v>505</v>
      </c>
      <c r="H921" s="6" t="n">
        <v>3.57</v>
      </c>
      <c r="I921" s="6" t="n">
        <v>0</v>
      </c>
      <c r="J921" s="40" t="n">
        <f aca="false">H921-I921</f>
        <v>3.57</v>
      </c>
      <c r="K921" s="41" t="n">
        <v>26.5</v>
      </c>
      <c r="L921" s="42" t="n">
        <f aca="false">J921*K921</f>
        <v>94.605</v>
      </c>
      <c r="M921" s="43" t="n">
        <f aca="false">H921*16.65*(1+'Chart of Accounts'!$E$67)</f>
        <v>68.0593725</v>
      </c>
    </row>
    <row r="922" customFormat="false" ht="15" hidden="false" customHeight="false" outlineLevel="0" collapsed="false">
      <c r="B922" s="7" t="s">
        <v>1419</v>
      </c>
      <c r="C922" s="39" t="n">
        <v>45705</v>
      </c>
      <c r="D922" s="7" t="s">
        <v>359</v>
      </c>
      <c r="E922" s="7" t="s">
        <v>156</v>
      </c>
      <c r="F922" s="7" t="s">
        <v>212</v>
      </c>
      <c r="G922" s="7" t="s">
        <v>505</v>
      </c>
      <c r="H922" s="6" t="n">
        <v>3.84</v>
      </c>
      <c r="I922" s="6" t="n">
        <v>0</v>
      </c>
      <c r="J922" s="40" t="n">
        <f aca="false">H922-I922</f>
        <v>3.84</v>
      </c>
      <c r="K922" s="41" t="n">
        <v>34</v>
      </c>
      <c r="L922" s="42" t="n">
        <f aca="false">J922*K922</f>
        <v>130.56</v>
      </c>
      <c r="M922" s="43" t="n">
        <f aca="false">H922*16.71*(1+'Chart of Accounts'!$E$67)</f>
        <v>73.470528</v>
      </c>
    </row>
    <row r="923" customFormat="false" ht="15" hidden="false" customHeight="false" outlineLevel="0" collapsed="false">
      <c r="B923" s="7" t="s">
        <v>1420</v>
      </c>
      <c r="C923" s="39" t="n">
        <v>45705</v>
      </c>
      <c r="D923" s="7" t="s">
        <v>371</v>
      </c>
      <c r="E923" s="7" t="s">
        <v>154</v>
      </c>
      <c r="F923" s="7" t="s">
        <v>232</v>
      </c>
      <c r="G923" s="7" t="s">
        <v>505</v>
      </c>
      <c r="H923" s="6" t="n">
        <v>5.1</v>
      </c>
      <c r="I923" s="6" t="n">
        <v>0</v>
      </c>
      <c r="J923" s="40" t="n">
        <f aca="false">H923-I923</f>
        <v>5.1</v>
      </c>
      <c r="K923" s="41" t="n">
        <v>26.5</v>
      </c>
      <c r="L923" s="42" t="n">
        <f aca="false">J923*K923</f>
        <v>135.15</v>
      </c>
      <c r="M923" s="43" t="n">
        <f aca="false">H923*16.17*(1+'Chart of Accounts'!$E$67)</f>
        <v>94.424715</v>
      </c>
    </row>
    <row r="924" customFormat="false" ht="15" hidden="false" customHeight="false" outlineLevel="0" collapsed="false">
      <c r="B924" s="7" t="s">
        <v>1421</v>
      </c>
      <c r="C924" s="39" t="n">
        <v>45705</v>
      </c>
      <c r="D924" s="7" t="s">
        <v>375</v>
      </c>
      <c r="E924" s="7" t="s">
        <v>156</v>
      </c>
      <c r="F924" s="7" t="s">
        <v>196</v>
      </c>
      <c r="G924" s="7" t="s">
        <v>505</v>
      </c>
      <c r="H924" s="6" t="n">
        <v>3.06</v>
      </c>
      <c r="I924" s="6" t="n">
        <v>0</v>
      </c>
      <c r="J924" s="40" t="n">
        <f aca="false">H924-I924</f>
        <v>3.06</v>
      </c>
      <c r="K924" s="41" t="n">
        <v>34</v>
      </c>
      <c r="L924" s="42" t="n">
        <f aca="false">J924*K924</f>
        <v>104.04</v>
      </c>
      <c r="M924" s="43" t="n">
        <f aca="false">H924*15.05*(1+'Chart of Accounts'!$E$67)</f>
        <v>52.730685</v>
      </c>
    </row>
    <row r="925" customFormat="false" ht="15" hidden="false" customHeight="false" outlineLevel="0" collapsed="false">
      <c r="B925" s="7" t="s">
        <v>1422</v>
      </c>
      <c r="C925" s="39" t="n">
        <v>45705</v>
      </c>
      <c r="D925" s="7" t="s">
        <v>377</v>
      </c>
      <c r="E925" s="7" t="s">
        <v>154</v>
      </c>
      <c r="F925" s="7" t="s">
        <v>214</v>
      </c>
      <c r="G925" s="7" t="s">
        <v>505</v>
      </c>
      <c r="H925" s="6" t="n">
        <v>3.99</v>
      </c>
      <c r="I925" s="6" t="n">
        <v>0</v>
      </c>
      <c r="J925" s="40" t="n">
        <f aca="false">H925-I925</f>
        <v>3.99</v>
      </c>
      <c r="K925" s="41" t="n">
        <v>26.5</v>
      </c>
      <c r="L925" s="42" t="n">
        <f aca="false">J925*K925</f>
        <v>105.735</v>
      </c>
      <c r="M925" s="43" t="n">
        <f aca="false">H925*15.67*(1+'Chart of Accounts'!$E$67)</f>
        <v>71.5891785</v>
      </c>
    </row>
    <row r="926" customFormat="false" ht="15" hidden="false" customHeight="false" outlineLevel="0" collapsed="false">
      <c r="B926" s="7" t="s">
        <v>1423</v>
      </c>
      <c r="C926" s="39" t="n">
        <v>45705</v>
      </c>
      <c r="D926" s="7" t="s">
        <v>379</v>
      </c>
      <c r="E926" s="7" t="s">
        <v>156</v>
      </c>
      <c r="F926" s="7" t="s">
        <v>224</v>
      </c>
      <c r="G926" s="7" t="s">
        <v>505</v>
      </c>
      <c r="H926" s="6" t="n">
        <v>4.5</v>
      </c>
      <c r="I926" s="6" t="n">
        <v>0</v>
      </c>
      <c r="J926" s="40" t="n">
        <f aca="false">H926-I926</f>
        <v>4.5</v>
      </c>
      <c r="K926" s="41" t="n">
        <v>34</v>
      </c>
      <c r="L926" s="42" t="n">
        <f aca="false">J926*K926</f>
        <v>153</v>
      </c>
      <c r="M926" s="43" t="n">
        <f aca="false">H926*14.93*(1+'Chart of Accounts'!$E$67)</f>
        <v>76.926825</v>
      </c>
    </row>
    <row r="927" customFormat="false" ht="15" hidden="false" customHeight="false" outlineLevel="0" collapsed="false">
      <c r="B927" s="7" t="s">
        <v>1424</v>
      </c>
      <c r="C927" s="39" t="n">
        <v>45705</v>
      </c>
      <c r="D927" s="7" t="s">
        <v>389</v>
      </c>
      <c r="E927" s="7" t="s">
        <v>154</v>
      </c>
      <c r="F927" s="7" t="s">
        <v>246</v>
      </c>
      <c r="G927" s="7" t="s">
        <v>505</v>
      </c>
      <c r="H927" s="6" t="n">
        <v>4.36</v>
      </c>
      <c r="I927" s="6" t="n">
        <v>0</v>
      </c>
      <c r="J927" s="40" t="n">
        <f aca="false">H927-I927</f>
        <v>4.36</v>
      </c>
      <c r="K927" s="41" t="n">
        <v>26.5</v>
      </c>
      <c r="L927" s="42" t="n">
        <f aca="false">J927*K927</f>
        <v>115.54</v>
      </c>
      <c r="M927" s="43" t="n">
        <f aca="false">H927*16.48*(1+'Chart of Accounts'!$E$67)</f>
        <v>82.271456</v>
      </c>
    </row>
    <row r="928" customFormat="false" ht="15" hidden="false" customHeight="false" outlineLevel="0" collapsed="false">
      <c r="B928" s="7" t="s">
        <v>1425</v>
      </c>
      <c r="C928" s="39" t="n">
        <v>45705</v>
      </c>
      <c r="D928" s="7" t="s">
        <v>391</v>
      </c>
      <c r="E928" s="7" t="s">
        <v>156</v>
      </c>
      <c r="F928" s="7" t="s">
        <v>222</v>
      </c>
      <c r="G928" s="7" t="s">
        <v>505</v>
      </c>
      <c r="H928" s="6" t="n">
        <v>4.01</v>
      </c>
      <c r="I928" s="6" t="n">
        <v>0</v>
      </c>
      <c r="J928" s="40" t="n">
        <f aca="false">H928-I928</f>
        <v>4.01</v>
      </c>
      <c r="K928" s="41" t="n">
        <v>34</v>
      </c>
      <c r="L928" s="42" t="n">
        <f aca="false">J928*K928</f>
        <v>136.34</v>
      </c>
      <c r="M928" s="43" t="n">
        <f aca="false">H928*17.84*(1+'Chart of Accounts'!$E$67)</f>
        <v>81.911468</v>
      </c>
    </row>
    <row r="929" customFormat="false" ht="15" hidden="false" customHeight="false" outlineLevel="0" collapsed="false">
      <c r="B929" s="7" t="s">
        <v>1426</v>
      </c>
      <c r="C929" s="39" t="n">
        <v>45705</v>
      </c>
      <c r="D929" s="7" t="s">
        <v>395</v>
      </c>
      <c r="E929" s="7" t="s">
        <v>156</v>
      </c>
      <c r="F929" s="7" t="s">
        <v>242</v>
      </c>
      <c r="G929" s="7" t="s">
        <v>505</v>
      </c>
      <c r="H929" s="6" t="n">
        <v>4.29</v>
      </c>
      <c r="I929" s="6" t="n">
        <v>0</v>
      </c>
      <c r="J929" s="40" t="n">
        <f aca="false">H929-I929</f>
        <v>4.29</v>
      </c>
      <c r="K929" s="41" t="n">
        <v>34</v>
      </c>
      <c r="L929" s="42" t="n">
        <f aca="false">J929*K929</f>
        <v>145.86</v>
      </c>
      <c r="M929" s="43" t="n">
        <f aca="false">H929*17.99*(1+'Chart of Accounts'!$E$67)</f>
        <v>88.3677795</v>
      </c>
    </row>
    <row r="930" customFormat="false" ht="15" hidden="false" customHeight="false" outlineLevel="0" collapsed="false">
      <c r="B930" s="7" t="s">
        <v>1427</v>
      </c>
      <c r="C930" s="39" t="n">
        <v>45705</v>
      </c>
      <c r="D930" s="7" t="s">
        <v>399</v>
      </c>
      <c r="E930" s="7" t="s">
        <v>154</v>
      </c>
      <c r="F930" s="7" t="s">
        <v>262</v>
      </c>
      <c r="G930" s="7" t="s">
        <v>505</v>
      </c>
      <c r="H930" s="6" t="n">
        <v>3.21</v>
      </c>
      <c r="I930" s="6" t="n">
        <v>0.096</v>
      </c>
      <c r="J930" s="40" t="n">
        <f aca="false">H930-I930</f>
        <v>3.114</v>
      </c>
      <c r="K930" s="41" t="n">
        <v>26.5</v>
      </c>
      <c r="L930" s="42" t="n">
        <f aca="false">J930*K930</f>
        <v>82.521</v>
      </c>
      <c r="M930" s="43" t="n">
        <f aca="false">H930*16.02*(1+'Chart of Accounts'!$E$67)</f>
        <v>58.880709</v>
      </c>
    </row>
    <row r="931" customFormat="false" ht="15" hidden="false" customHeight="false" outlineLevel="0" collapsed="false">
      <c r="B931" s="7" t="s">
        <v>1428</v>
      </c>
      <c r="C931" s="39" t="n">
        <v>45705</v>
      </c>
      <c r="D931" s="7" t="s">
        <v>401</v>
      </c>
      <c r="E931" s="7" t="s">
        <v>156</v>
      </c>
      <c r="F931" s="7" t="s">
        <v>254</v>
      </c>
      <c r="G931" s="7" t="s">
        <v>505</v>
      </c>
      <c r="H931" s="6" t="n">
        <v>4</v>
      </c>
      <c r="I931" s="6" t="n">
        <v>0</v>
      </c>
      <c r="J931" s="40" t="n">
        <f aca="false">H931-I931</f>
        <v>4</v>
      </c>
      <c r="K931" s="41" t="n">
        <v>34</v>
      </c>
      <c r="L931" s="42" t="n">
        <f aca="false">J931*K931</f>
        <v>136</v>
      </c>
      <c r="M931" s="43" t="n">
        <f aca="false">H931*17.1*(1+'Chart of Accounts'!$E$67)</f>
        <v>78.318</v>
      </c>
    </row>
    <row r="932" customFormat="false" ht="15" hidden="false" customHeight="false" outlineLevel="0" collapsed="false">
      <c r="B932" s="7" t="s">
        <v>1429</v>
      </c>
      <c r="C932" s="39" t="n">
        <v>45705</v>
      </c>
      <c r="D932" s="7" t="s">
        <v>409</v>
      </c>
      <c r="E932" s="7" t="s">
        <v>154</v>
      </c>
      <c r="F932" s="7" t="s">
        <v>214</v>
      </c>
      <c r="G932" s="7" t="s">
        <v>505</v>
      </c>
      <c r="H932" s="6" t="n">
        <v>3.27</v>
      </c>
      <c r="I932" s="6" t="n">
        <v>0</v>
      </c>
      <c r="J932" s="40" t="n">
        <f aca="false">H932-I932</f>
        <v>3.27</v>
      </c>
      <c r="K932" s="41" t="n">
        <v>26.5</v>
      </c>
      <c r="L932" s="42" t="n">
        <f aca="false">J932*K932</f>
        <v>86.655</v>
      </c>
      <c r="M932" s="43" t="n">
        <f aca="false">H932*15.67*(1+'Chart of Accounts'!$E$67)</f>
        <v>58.6708305</v>
      </c>
    </row>
    <row r="933" customFormat="false" ht="15" hidden="false" customHeight="false" outlineLevel="0" collapsed="false">
      <c r="B933" s="7" t="s">
        <v>1430</v>
      </c>
      <c r="C933" s="39" t="n">
        <v>45705</v>
      </c>
      <c r="D933" s="7" t="s">
        <v>411</v>
      </c>
      <c r="E933" s="7" t="s">
        <v>154</v>
      </c>
      <c r="F933" s="7" t="s">
        <v>177</v>
      </c>
      <c r="G933" s="7" t="s">
        <v>505</v>
      </c>
      <c r="H933" s="6" t="n">
        <v>5.13</v>
      </c>
      <c r="I933" s="6" t="n">
        <v>0</v>
      </c>
      <c r="J933" s="40" t="n">
        <f aca="false">H933-I933</f>
        <v>5.13</v>
      </c>
      <c r="K933" s="41" t="n">
        <v>26.5</v>
      </c>
      <c r="L933" s="42" t="n">
        <f aca="false">J933*K933</f>
        <v>135.945</v>
      </c>
      <c r="M933" s="43" t="n">
        <f aca="false">H933*14.56*(1+'Chart of Accounts'!$E$67)</f>
        <v>85.523256</v>
      </c>
    </row>
    <row r="934" customFormat="false" ht="15" hidden="false" customHeight="false" outlineLevel="0" collapsed="false">
      <c r="B934" s="7" t="s">
        <v>1431</v>
      </c>
      <c r="C934" s="39" t="n">
        <v>45706</v>
      </c>
      <c r="D934" s="7" t="s">
        <v>288</v>
      </c>
      <c r="E934" s="7" t="s">
        <v>156</v>
      </c>
      <c r="F934" s="7" t="s">
        <v>191</v>
      </c>
      <c r="G934" s="7" t="s">
        <v>505</v>
      </c>
      <c r="H934" s="6" t="n">
        <v>4.17</v>
      </c>
      <c r="I934" s="6" t="n">
        <v>0</v>
      </c>
      <c r="J934" s="40" t="n">
        <f aca="false">H934-I934</f>
        <v>4.17</v>
      </c>
      <c r="K934" s="41" t="n">
        <v>34</v>
      </c>
      <c r="L934" s="42" t="n">
        <f aca="false">J934*K934</f>
        <v>141.78</v>
      </c>
      <c r="M934" s="43" t="n">
        <f aca="false">H934*16.05*(1+'Chart of Accounts'!$E$67)</f>
        <v>76.6331325</v>
      </c>
    </row>
    <row r="935" customFormat="false" ht="15" hidden="false" customHeight="false" outlineLevel="0" collapsed="false">
      <c r="B935" s="7" t="s">
        <v>1432</v>
      </c>
      <c r="C935" s="39" t="n">
        <v>45706</v>
      </c>
      <c r="D935" s="7" t="s">
        <v>301</v>
      </c>
      <c r="E935" s="7" t="s">
        <v>157</v>
      </c>
      <c r="F935" s="7" t="s">
        <v>209</v>
      </c>
      <c r="G935" s="7" t="s">
        <v>502</v>
      </c>
      <c r="H935" s="6" t="n">
        <v>1</v>
      </c>
      <c r="I935" s="6" t="n">
        <v>0</v>
      </c>
      <c r="J935" s="40" t="n">
        <f aca="false">H935-I935</f>
        <v>1</v>
      </c>
      <c r="K935" s="41" t="n">
        <v>165</v>
      </c>
      <c r="L935" s="42" t="n">
        <f aca="false">J935*K935</f>
        <v>165</v>
      </c>
      <c r="M935" s="43" t="n">
        <f aca="false">H935*73.58*(1+'Chart of Accounts'!$E$67)</f>
        <v>84.2491</v>
      </c>
    </row>
    <row r="936" customFormat="false" ht="15" hidden="false" customHeight="false" outlineLevel="0" collapsed="false">
      <c r="B936" s="7" t="s">
        <v>1433</v>
      </c>
      <c r="C936" s="39" t="n">
        <v>45706</v>
      </c>
      <c r="D936" s="7" t="s">
        <v>313</v>
      </c>
      <c r="E936" s="7" t="s">
        <v>156</v>
      </c>
      <c r="F936" s="7" t="s">
        <v>184</v>
      </c>
      <c r="G936" s="7" t="s">
        <v>505</v>
      </c>
      <c r="H936" s="6" t="n">
        <v>3.84</v>
      </c>
      <c r="I936" s="6" t="n">
        <v>0</v>
      </c>
      <c r="J936" s="40" t="n">
        <f aca="false">H936-I936</f>
        <v>3.84</v>
      </c>
      <c r="K936" s="41" t="n">
        <v>34</v>
      </c>
      <c r="L936" s="42" t="n">
        <f aca="false">J936*K936</f>
        <v>130.56</v>
      </c>
      <c r="M936" s="43" t="n">
        <f aca="false">H936*17.34*(1+'Chart of Accounts'!$E$67)</f>
        <v>76.240512</v>
      </c>
    </row>
    <row r="937" customFormat="false" ht="15" hidden="false" customHeight="false" outlineLevel="0" collapsed="false">
      <c r="B937" s="7" t="s">
        <v>1434</v>
      </c>
      <c r="C937" s="39" t="n">
        <v>45706</v>
      </c>
      <c r="D937" s="7" t="s">
        <v>319</v>
      </c>
      <c r="E937" s="7" t="s">
        <v>157</v>
      </c>
      <c r="F937" s="7" t="s">
        <v>234</v>
      </c>
      <c r="G937" s="7" t="s">
        <v>502</v>
      </c>
      <c r="H937" s="6" t="n">
        <v>1.01</v>
      </c>
      <c r="I937" s="6" t="n">
        <v>0</v>
      </c>
      <c r="J937" s="40" t="n">
        <f aca="false">H937-I937</f>
        <v>1.01</v>
      </c>
      <c r="K937" s="41" t="n">
        <v>165</v>
      </c>
      <c r="L937" s="42" t="n">
        <f aca="false">J937*K937</f>
        <v>166.65</v>
      </c>
      <c r="M937" s="43" t="n">
        <f aca="false">H937*89.53*(1+'Chart of Accounts'!$E$67)</f>
        <v>103.5369685</v>
      </c>
    </row>
    <row r="938" customFormat="false" ht="15" hidden="false" customHeight="false" outlineLevel="0" collapsed="false">
      <c r="B938" s="7" t="s">
        <v>1435</v>
      </c>
      <c r="C938" s="39" t="n">
        <v>45706</v>
      </c>
      <c r="D938" s="7" t="s">
        <v>321</v>
      </c>
      <c r="E938" s="7" t="s">
        <v>154</v>
      </c>
      <c r="F938" s="7" t="s">
        <v>218</v>
      </c>
      <c r="G938" s="7" t="s">
        <v>505</v>
      </c>
      <c r="H938" s="6" t="n">
        <v>4.19</v>
      </c>
      <c r="I938" s="6" t="n">
        <v>0</v>
      </c>
      <c r="J938" s="40" t="n">
        <f aca="false">H938-I938</f>
        <v>4.19</v>
      </c>
      <c r="K938" s="41" t="n">
        <v>26.5</v>
      </c>
      <c r="L938" s="42" t="n">
        <f aca="false">J938*K938</f>
        <v>111.035</v>
      </c>
      <c r="M938" s="43" t="n">
        <f aca="false">H938*16.19*(1+'Chart of Accounts'!$E$67)</f>
        <v>77.6723345</v>
      </c>
    </row>
    <row r="939" customFormat="false" ht="15" hidden="false" customHeight="false" outlineLevel="0" collapsed="false">
      <c r="B939" s="7" t="s">
        <v>1436</v>
      </c>
      <c r="C939" s="39" t="n">
        <v>45706</v>
      </c>
      <c r="D939" s="7" t="s">
        <v>323</v>
      </c>
      <c r="E939" s="7" t="s">
        <v>159</v>
      </c>
      <c r="F939" s="7" t="s">
        <v>266</v>
      </c>
      <c r="G939" s="7" t="s">
        <v>502</v>
      </c>
      <c r="H939" s="6" t="n">
        <v>1.08</v>
      </c>
      <c r="I939" s="6" t="n">
        <v>0</v>
      </c>
      <c r="J939" s="40" t="n">
        <f aca="false">H939-I939</f>
        <v>1.08</v>
      </c>
      <c r="K939" s="41" t="n">
        <v>135</v>
      </c>
      <c r="L939" s="42" t="n">
        <f aca="false">J939*K939</f>
        <v>145.8</v>
      </c>
      <c r="M939" s="43" t="n">
        <f aca="false">H939*75.18*(1+'Chart of Accounts'!$E$67)</f>
        <v>92.967588</v>
      </c>
    </row>
    <row r="940" customFormat="false" ht="15" hidden="false" customHeight="false" outlineLevel="0" collapsed="false">
      <c r="B940" s="7" t="s">
        <v>1437</v>
      </c>
      <c r="C940" s="39" t="n">
        <v>45706</v>
      </c>
      <c r="D940" s="7" t="s">
        <v>327</v>
      </c>
      <c r="E940" s="7" t="s">
        <v>157</v>
      </c>
      <c r="F940" s="7" t="s">
        <v>228</v>
      </c>
      <c r="G940" s="7" t="s">
        <v>502</v>
      </c>
      <c r="H940" s="6" t="n">
        <v>1.03</v>
      </c>
      <c r="I940" s="6" t="n">
        <v>0</v>
      </c>
      <c r="J940" s="40" t="n">
        <f aca="false">H940-I940</f>
        <v>1.03</v>
      </c>
      <c r="K940" s="41" t="n">
        <v>165</v>
      </c>
      <c r="L940" s="42" t="n">
        <f aca="false">J940*K940</f>
        <v>169.95</v>
      </c>
      <c r="M940" s="43" t="n">
        <f aca="false">H940*51.07*(1+'Chart of Accounts'!$E$67)</f>
        <v>60.2294045</v>
      </c>
    </row>
    <row r="941" customFormat="false" ht="15" hidden="false" customHeight="false" outlineLevel="0" collapsed="false">
      <c r="B941" s="7" t="s">
        <v>1438</v>
      </c>
      <c r="C941" s="39" t="n">
        <v>45706</v>
      </c>
      <c r="D941" s="7" t="s">
        <v>329</v>
      </c>
      <c r="E941" s="7" t="s">
        <v>156</v>
      </c>
      <c r="F941" s="7" t="s">
        <v>220</v>
      </c>
      <c r="G941" s="7" t="s">
        <v>505</v>
      </c>
      <c r="H941" s="6" t="n">
        <v>4.3</v>
      </c>
      <c r="I941" s="6" t="n">
        <v>0</v>
      </c>
      <c r="J941" s="40" t="n">
        <f aca="false">H941-I941</f>
        <v>4.3</v>
      </c>
      <c r="K941" s="41" t="n">
        <v>34</v>
      </c>
      <c r="L941" s="42" t="n">
        <f aca="false">J941*K941</f>
        <v>146.2</v>
      </c>
      <c r="M941" s="43" t="n">
        <f aca="false">H941*16.43*(1+'Chart of Accounts'!$E$67)</f>
        <v>80.893105</v>
      </c>
    </row>
    <row r="942" customFormat="false" ht="15" hidden="false" customHeight="false" outlineLevel="0" collapsed="false">
      <c r="B942" s="7" t="s">
        <v>1439</v>
      </c>
      <c r="C942" s="39" t="n">
        <v>45706</v>
      </c>
      <c r="D942" s="7" t="s">
        <v>359</v>
      </c>
      <c r="E942" s="7" t="s">
        <v>156</v>
      </c>
      <c r="F942" s="7" t="s">
        <v>212</v>
      </c>
      <c r="G942" s="7" t="s">
        <v>505</v>
      </c>
      <c r="H942" s="6" t="n">
        <v>3.9</v>
      </c>
      <c r="I942" s="6" t="n">
        <v>0</v>
      </c>
      <c r="J942" s="40" t="n">
        <f aca="false">H942-I942</f>
        <v>3.9</v>
      </c>
      <c r="K942" s="41" t="n">
        <v>34</v>
      </c>
      <c r="L942" s="42" t="n">
        <f aca="false">J942*K942</f>
        <v>132.6</v>
      </c>
      <c r="M942" s="43" t="n">
        <f aca="false">H942*16.71*(1+'Chart of Accounts'!$E$67)</f>
        <v>74.618505</v>
      </c>
    </row>
    <row r="943" customFormat="false" ht="15" hidden="false" customHeight="false" outlineLevel="0" collapsed="false">
      <c r="B943" s="7" t="s">
        <v>1440</v>
      </c>
      <c r="C943" s="39" t="n">
        <v>45706</v>
      </c>
      <c r="D943" s="7" t="s">
        <v>361</v>
      </c>
      <c r="E943" s="7" t="s">
        <v>157</v>
      </c>
      <c r="F943" s="7" t="s">
        <v>209</v>
      </c>
      <c r="G943" s="7" t="s">
        <v>502</v>
      </c>
      <c r="H943" s="6" t="n">
        <v>0.92</v>
      </c>
      <c r="I943" s="6" t="n">
        <v>0</v>
      </c>
      <c r="J943" s="40" t="n">
        <f aca="false">H943-I943</f>
        <v>0.92</v>
      </c>
      <c r="K943" s="41" t="n">
        <v>165</v>
      </c>
      <c r="L943" s="42" t="n">
        <f aca="false">J943*K943</f>
        <v>151.8</v>
      </c>
      <c r="M943" s="43" t="n">
        <f aca="false">H943*73.58*(1+'Chart of Accounts'!$E$67)</f>
        <v>77.509172</v>
      </c>
    </row>
    <row r="944" customFormat="false" ht="15" hidden="false" customHeight="false" outlineLevel="0" collapsed="false">
      <c r="B944" s="7" t="s">
        <v>1441</v>
      </c>
      <c r="C944" s="39" t="n">
        <v>45706</v>
      </c>
      <c r="D944" s="7" t="s">
        <v>381</v>
      </c>
      <c r="E944" s="7" t="s">
        <v>157</v>
      </c>
      <c r="F944" s="7" t="s">
        <v>234</v>
      </c>
      <c r="G944" s="7" t="s">
        <v>502</v>
      </c>
      <c r="H944" s="6" t="n">
        <v>1.02</v>
      </c>
      <c r="I944" s="6" t="n">
        <v>0</v>
      </c>
      <c r="J944" s="40" t="n">
        <f aca="false">H944-I944</f>
        <v>1.02</v>
      </c>
      <c r="K944" s="41" t="n">
        <v>165</v>
      </c>
      <c r="L944" s="42" t="n">
        <f aca="false">J944*K944</f>
        <v>168.3</v>
      </c>
      <c r="M944" s="43" t="n">
        <f aca="false">H944*89.53*(1+'Chart of Accounts'!$E$67)</f>
        <v>104.562087</v>
      </c>
    </row>
    <row r="945" customFormat="false" ht="15" hidden="false" customHeight="false" outlineLevel="0" collapsed="false">
      <c r="B945" s="7" t="s">
        <v>1442</v>
      </c>
      <c r="C945" s="39" t="n">
        <v>45706</v>
      </c>
      <c r="D945" s="7" t="s">
        <v>389</v>
      </c>
      <c r="E945" s="7" t="s">
        <v>154</v>
      </c>
      <c r="F945" s="7" t="s">
        <v>246</v>
      </c>
      <c r="G945" s="7" t="s">
        <v>505</v>
      </c>
      <c r="H945" s="6" t="n">
        <v>3.76</v>
      </c>
      <c r="I945" s="6" t="n">
        <v>0</v>
      </c>
      <c r="J945" s="40" t="n">
        <f aca="false">H945-I945</f>
        <v>3.76</v>
      </c>
      <c r="K945" s="41" t="n">
        <v>26.5</v>
      </c>
      <c r="L945" s="42" t="n">
        <f aca="false">J945*K945</f>
        <v>99.64</v>
      </c>
      <c r="M945" s="43" t="n">
        <f aca="false">H945*16.48*(1+'Chart of Accounts'!$E$67)</f>
        <v>70.949696</v>
      </c>
    </row>
    <row r="946" customFormat="false" ht="15" hidden="false" customHeight="false" outlineLevel="0" collapsed="false">
      <c r="B946" s="7" t="s">
        <v>1443</v>
      </c>
      <c r="C946" s="39" t="n">
        <v>45706</v>
      </c>
      <c r="D946" s="7" t="s">
        <v>391</v>
      </c>
      <c r="E946" s="7" t="s">
        <v>156</v>
      </c>
      <c r="F946" s="7" t="s">
        <v>222</v>
      </c>
      <c r="G946" s="7" t="s">
        <v>505</v>
      </c>
      <c r="H946" s="6" t="n">
        <v>4.02</v>
      </c>
      <c r="I946" s="6" t="n">
        <v>0</v>
      </c>
      <c r="J946" s="40" t="n">
        <f aca="false">H946-I946</f>
        <v>4.02</v>
      </c>
      <c r="K946" s="41" t="n">
        <v>34</v>
      </c>
      <c r="L946" s="42" t="n">
        <f aca="false">J946*K946</f>
        <v>136.68</v>
      </c>
      <c r="M946" s="43" t="n">
        <f aca="false">H946*17.84*(1+'Chart of Accounts'!$E$67)</f>
        <v>82.115736</v>
      </c>
    </row>
    <row r="947" customFormat="false" ht="15" hidden="false" customHeight="false" outlineLevel="0" collapsed="false">
      <c r="B947" s="7" t="s">
        <v>1444</v>
      </c>
      <c r="C947" s="39" t="n">
        <v>45706</v>
      </c>
      <c r="D947" s="7" t="s">
        <v>395</v>
      </c>
      <c r="E947" s="7" t="s">
        <v>156</v>
      </c>
      <c r="F947" s="7" t="s">
        <v>242</v>
      </c>
      <c r="G947" s="7" t="s">
        <v>505</v>
      </c>
      <c r="H947" s="6" t="n">
        <v>3.72</v>
      </c>
      <c r="I947" s="6" t="n">
        <v>0</v>
      </c>
      <c r="J947" s="40" t="n">
        <f aca="false">H947-I947</f>
        <v>3.72</v>
      </c>
      <c r="K947" s="41" t="n">
        <v>34</v>
      </c>
      <c r="L947" s="42" t="n">
        <f aca="false">J947*K947</f>
        <v>126.48</v>
      </c>
      <c r="M947" s="43" t="n">
        <f aca="false">H947*17.99*(1+'Chart of Accounts'!$E$67)</f>
        <v>76.626606</v>
      </c>
    </row>
    <row r="948" customFormat="false" ht="15" hidden="false" customHeight="false" outlineLevel="0" collapsed="false">
      <c r="B948" s="7" t="s">
        <v>1445</v>
      </c>
      <c r="C948" s="39" t="n">
        <v>45706</v>
      </c>
      <c r="D948" s="7" t="s">
        <v>397</v>
      </c>
      <c r="E948" s="7" t="s">
        <v>159</v>
      </c>
      <c r="F948" s="7" t="s">
        <v>203</v>
      </c>
      <c r="G948" s="7" t="s">
        <v>502</v>
      </c>
      <c r="H948" s="6" t="n">
        <v>1.1</v>
      </c>
      <c r="I948" s="6" t="n">
        <v>0</v>
      </c>
      <c r="J948" s="40" t="n">
        <f aca="false">H948-I948</f>
        <v>1.1</v>
      </c>
      <c r="K948" s="41" t="n">
        <v>135</v>
      </c>
      <c r="L948" s="42" t="n">
        <f aca="false">J948*K948</f>
        <v>148.5</v>
      </c>
      <c r="M948" s="43" t="n">
        <f aca="false">H948*49.43*(1+'Chart of Accounts'!$E$67)</f>
        <v>62.257085</v>
      </c>
    </row>
    <row r="949" customFormat="false" ht="15" hidden="false" customHeight="false" outlineLevel="0" collapsed="false">
      <c r="B949" s="7" t="s">
        <v>1446</v>
      </c>
      <c r="C949" s="39" t="n">
        <v>45706</v>
      </c>
      <c r="D949" s="7" t="s">
        <v>401</v>
      </c>
      <c r="E949" s="7" t="s">
        <v>156</v>
      </c>
      <c r="F949" s="7" t="s">
        <v>254</v>
      </c>
      <c r="G949" s="7" t="s">
        <v>505</v>
      </c>
      <c r="H949" s="6" t="n">
        <v>3.71</v>
      </c>
      <c r="I949" s="6" t="n">
        <v>0</v>
      </c>
      <c r="J949" s="40" t="n">
        <f aca="false">H949-I949</f>
        <v>3.71</v>
      </c>
      <c r="K949" s="41" t="n">
        <v>34</v>
      </c>
      <c r="L949" s="42" t="n">
        <f aca="false">J949*K949</f>
        <v>126.14</v>
      </c>
      <c r="M949" s="43" t="n">
        <f aca="false">H949*17.1*(1+'Chart of Accounts'!$E$67)</f>
        <v>72.639945</v>
      </c>
    </row>
    <row r="950" customFormat="false" ht="15" hidden="false" customHeight="false" outlineLevel="0" collapsed="false">
      <c r="B950" s="7" t="s">
        <v>1447</v>
      </c>
      <c r="C950" s="39" t="n">
        <v>45706</v>
      </c>
      <c r="D950" s="7" t="s">
        <v>407</v>
      </c>
      <c r="E950" s="7" t="s">
        <v>159</v>
      </c>
      <c r="F950" s="7" t="s">
        <v>260</v>
      </c>
      <c r="G950" s="7" t="s">
        <v>502</v>
      </c>
      <c r="H950" s="6" t="n">
        <v>0.92</v>
      </c>
      <c r="I950" s="6" t="n">
        <v>0</v>
      </c>
      <c r="J950" s="40" t="n">
        <f aca="false">H950-I950</f>
        <v>0.92</v>
      </c>
      <c r="K950" s="41" t="n">
        <v>135</v>
      </c>
      <c r="L950" s="42" t="n">
        <f aca="false">J950*K950</f>
        <v>124.2</v>
      </c>
      <c r="M950" s="43" t="n">
        <f aca="false">H950*79.8*(1+'Chart of Accounts'!$E$67)</f>
        <v>84.06132</v>
      </c>
    </row>
    <row r="951" customFormat="false" ht="15" hidden="false" customHeight="false" outlineLevel="0" collapsed="false">
      <c r="B951" s="7" t="s">
        <v>1448</v>
      </c>
      <c r="C951" s="39" t="n">
        <v>45707</v>
      </c>
      <c r="D951" s="7" t="s">
        <v>280</v>
      </c>
      <c r="E951" s="7" t="s">
        <v>157</v>
      </c>
      <c r="F951" s="7" t="s">
        <v>187</v>
      </c>
      <c r="G951" s="7" t="s">
        <v>502</v>
      </c>
      <c r="H951" s="6" t="n">
        <v>0.96</v>
      </c>
      <c r="I951" s="6" t="n">
        <v>0</v>
      </c>
      <c r="J951" s="40" t="n">
        <f aca="false">H951-I951</f>
        <v>0.96</v>
      </c>
      <c r="K951" s="41" t="n">
        <v>165</v>
      </c>
      <c r="L951" s="42" t="n">
        <f aca="false">J951*K951</f>
        <v>158.4</v>
      </c>
      <c r="M951" s="43" t="n">
        <f aca="false">H951*66.48*(1+'Chart of Accounts'!$E$67)</f>
        <v>73.074816</v>
      </c>
    </row>
    <row r="952" customFormat="false" ht="15" hidden="false" customHeight="false" outlineLevel="0" collapsed="false">
      <c r="B952" s="7" t="s">
        <v>1449</v>
      </c>
      <c r="C952" s="39" t="n">
        <v>45707</v>
      </c>
      <c r="D952" s="7" t="s">
        <v>286</v>
      </c>
      <c r="E952" s="7" t="s">
        <v>157</v>
      </c>
      <c r="F952" s="7" t="s">
        <v>228</v>
      </c>
      <c r="G952" s="7" t="s">
        <v>502</v>
      </c>
      <c r="H952" s="6" t="n">
        <v>0.94</v>
      </c>
      <c r="I952" s="6" t="n">
        <v>0</v>
      </c>
      <c r="J952" s="40" t="n">
        <f aca="false">H952-I952</f>
        <v>0.94</v>
      </c>
      <c r="K952" s="41" t="n">
        <v>165</v>
      </c>
      <c r="L952" s="42" t="n">
        <f aca="false">J952*K952</f>
        <v>155.1</v>
      </c>
      <c r="M952" s="43" t="n">
        <f aca="false">H952*51.07*(1+'Chart of Accounts'!$E$67)</f>
        <v>54.966641</v>
      </c>
    </row>
    <row r="953" customFormat="false" ht="15" hidden="false" customHeight="false" outlineLevel="0" collapsed="false">
      <c r="B953" s="7" t="s">
        <v>1450</v>
      </c>
      <c r="C953" s="39" t="n">
        <v>45707</v>
      </c>
      <c r="D953" s="7" t="s">
        <v>288</v>
      </c>
      <c r="E953" s="7" t="s">
        <v>156</v>
      </c>
      <c r="F953" s="7" t="s">
        <v>191</v>
      </c>
      <c r="G953" s="7" t="s">
        <v>505</v>
      </c>
      <c r="H953" s="6" t="n">
        <v>3.73</v>
      </c>
      <c r="I953" s="6" t="n">
        <v>0</v>
      </c>
      <c r="J953" s="40" t="n">
        <f aca="false">H953-I953</f>
        <v>3.73</v>
      </c>
      <c r="K953" s="41" t="n">
        <v>34</v>
      </c>
      <c r="L953" s="42" t="n">
        <f aca="false">J953*K953</f>
        <v>126.82</v>
      </c>
      <c r="M953" s="43" t="n">
        <f aca="false">H953*16.05*(1+'Chart of Accounts'!$E$67)</f>
        <v>68.5471425</v>
      </c>
    </row>
    <row r="954" customFormat="false" ht="15" hidden="false" customHeight="false" outlineLevel="0" collapsed="false">
      <c r="B954" s="7" t="s">
        <v>1451</v>
      </c>
      <c r="C954" s="39" t="n">
        <v>45707</v>
      </c>
      <c r="D954" s="7" t="s">
        <v>291</v>
      </c>
      <c r="E954" s="7" t="s">
        <v>154</v>
      </c>
      <c r="F954" s="7" t="s">
        <v>194</v>
      </c>
      <c r="G954" s="7" t="s">
        <v>505</v>
      </c>
      <c r="H954" s="6" t="n">
        <v>4.32</v>
      </c>
      <c r="I954" s="6" t="n">
        <v>0</v>
      </c>
      <c r="J954" s="40" t="n">
        <f aca="false">H954-I954</f>
        <v>4.32</v>
      </c>
      <c r="K954" s="41" t="n">
        <v>26.5</v>
      </c>
      <c r="L954" s="42" t="n">
        <f aca="false">J954*K954</f>
        <v>114.48</v>
      </c>
      <c r="M954" s="43" t="n">
        <f aca="false">H954*16*(1+'Chart of Accounts'!$E$67)</f>
        <v>79.1424</v>
      </c>
    </row>
    <row r="955" customFormat="false" ht="15" hidden="false" customHeight="false" outlineLevel="0" collapsed="false">
      <c r="B955" s="7" t="s">
        <v>1452</v>
      </c>
      <c r="C955" s="39" t="n">
        <v>45707</v>
      </c>
      <c r="D955" s="7" t="s">
        <v>305</v>
      </c>
      <c r="E955" s="7" t="s">
        <v>154</v>
      </c>
      <c r="F955" s="7" t="s">
        <v>205</v>
      </c>
      <c r="G955" s="7" t="s">
        <v>505</v>
      </c>
      <c r="H955" s="6" t="n">
        <v>3.94</v>
      </c>
      <c r="I955" s="6" t="n">
        <v>0.118</v>
      </c>
      <c r="J955" s="40" t="n">
        <f aca="false">H955-I955</f>
        <v>3.822</v>
      </c>
      <c r="K955" s="41" t="n">
        <v>26.5</v>
      </c>
      <c r="L955" s="42" t="n">
        <f aca="false">J955*K955</f>
        <v>101.283</v>
      </c>
      <c r="M955" s="43" t="n">
        <f aca="false">H955*16.36*(1+'Chart of Accounts'!$E$67)</f>
        <v>73.804868</v>
      </c>
    </row>
    <row r="956" customFormat="false" ht="15" hidden="false" customHeight="false" outlineLevel="0" collapsed="false">
      <c r="B956" s="7" t="s">
        <v>1453</v>
      </c>
      <c r="C956" s="39" t="n">
        <v>45707</v>
      </c>
      <c r="D956" s="7" t="s">
        <v>309</v>
      </c>
      <c r="E956" s="7" t="s">
        <v>159</v>
      </c>
      <c r="F956" s="7" t="s">
        <v>252</v>
      </c>
      <c r="G956" s="7" t="s">
        <v>502</v>
      </c>
      <c r="H956" s="6" t="n">
        <v>1.01</v>
      </c>
      <c r="I956" s="6" t="n">
        <v>0</v>
      </c>
      <c r="J956" s="40" t="n">
        <f aca="false">H956-I956</f>
        <v>1.01</v>
      </c>
      <c r="K956" s="41" t="n">
        <v>135</v>
      </c>
      <c r="L956" s="42" t="n">
        <f aca="false">J956*K956</f>
        <v>136.35</v>
      </c>
      <c r="M956" s="43" t="n">
        <f aca="false">H956*57.54*(1+'Chart of Accounts'!$E$67)</f>
        <v>66.542133</v>
      </c>
    </row>
    <row r="957" customFormat="false" ht="15" hidden="false" customHeight="false" outlineLevel="0" collapsed="false">
      <c r="B957" s="7" t="s">
        <v>1454</v>
      </c>
      <c r="C957" s="39" t="n">
        <v>45707</v>
      </c>
      <c r="D957" s="7" t="s">
        <v>313</v>
      </c>
      <c r="E957" s="7" t="s">
        <v>156</v>
      </c>
      <c r="F957" s="7" t="s">
        <v>184</v>
      </c>
      <c r="G957" s="7" t="s">
        <v>505</v>
      </c>
      <c r="H957" s="6" t="n">
        <v>4.31</v>
      </c>
      <c r="I957" s="6" t="n">
        <v>0</v>
      </c>
      <c r="J957" s="40" t="n">
        <f aca="false">H957-I957</f>
        <v>4.31</v>
      </c>
      <c r="K957" s="41" t="n">
        <v>34</v>
      </c>
      <c r="L957" s="42" t="n">
        <f aca="false">J957*K957</f>
        <v>146.54</v>
      </c>
      <c r="M957" s="43" t="n">
        <f aca="false">H957*17.34*(1+'Chart of Accounts'!$E$67)</f>
        <v>85.572033</v>
      </c>
    </row>
    <row r="958" customFormat="false" ht="15" hidden="false" customHeight="false" outlineLevel="0" collapsed="false">
      <c r="B958" s="7" t="s">
        <v>1455</v>
      </c>
      <c r="C958" s="39" t="n">
        <v>45707</v>
      </c>
      <c r="D958" s="7" t="s">
        <v>329</v>
      </c>
      <c r="E958" s="7" t="s">
        <v>156</v>
      </c>
      <c r="F958" s="7" t="s">
        <v>220</v>
      </c>
      <c r="G958" s="7" t="s">
        <v>505</v>
      </c>
      <c r="H958" s="6" t="n">
        <v>3.8</v>
      </c>
      <c r="I958" s="6" t="n">
        <v>0</v>
      </c>
      <c r="J958" s="40" t="n">
        <f aca="false">H958-I958</f>
        <v>3.8</v>
      </c>
      <c r="K958" s="41" t="n">
        <v>34</v>
      </c>
      <c r="L958" s="42" t="n">
        <f aca="false">J958*K958</f>
        <v>129.2</v>
      </c>
      <c r="M958" s="43" t="n">
        <f aca="false">H958*16.43*(1+'Chart of Accounts'!$E$67)</f>
        <v>71.48693</v>
      </c>
    </row>
    <row r="959" customFormat="false" ht="15" hidden="false" customHeight="false" outlineLevel="0" collapsed="false">
      <c r="B959" s="7" t="s">
        <v>1456</v>
      </c>
      <c r="C959" s="39" t="n">
        <v>45707</v>
      </c>
      <c r="D959" s="7" t="s">
        <v>335</v>
      </c>
      <c r="E959" s="7" t="s">
        <v>154</v>
      </c>
      <c r="F959" s="7" t="s">
        <v>177</v>
      </c>
      <c r="G959" s="7" t="s">
        <v>505</v>
      </c>
      <c r="H959" s="6" t="n">
        <v>3.7</v>
      </c>
      <c r="I959" s="6" t="n">
        <v>0</v>
      </c>
      <c r="J959" s="40" t="n">
        <f aca="false">H959-I959</f>
        <v>3.7</v>
      </c>
      <c r="K959" s="41" t="n">
        <v>26.5</v>
      </c>
      <c r="L959" s="42" t="n">
        <f aca="false">J959*K959</f>
        <v>98.05</v>
      </c>
      <c r="M959" s="43" t="n">
        <f aca="false">H959*14.56*(1+'Chart of Accounts'!$E$67)</f>
        <v>61.68344</v>
      </c>
    </row>
    <row r="960" customFormat="false" ht="15" hidden="false" customHeight="false" outlineLevel="0" collapsed="false">
      <c r="B960" s="7" t="s">
        <v>1457</v>
      </c>
      <c r="C960" s="39" t="n">
        <v>45707</v>
      </c>
      <c r="D960" s="7" t="s">
        <v>339</v>
      </c>
      <c r="E960" s="7" t="s">
        <v>154</v>
      </c>
      <c r="F960" s="7" t="s">
        <v>242</v>
      </c>
      <c r="G960" s="7" t="s">
        <v>505</v>
      </c>
      <c r="H960" s="6" t="n">
        <v>3.11</v>
      </c>
      <c r="I960" s="6" t="n">
        <v>0</v>
      </c>
      <c r="J960" s="40" t="n">
        <f aca="false">H960-I960</f>
        <v>3.11</v>
      </c>
      <c r="K960" s="41" t="n">
        <v>26.5</v>
      </c>
      <c r="L960" s="42" t="n">
        <f aca="false">J960*K960</f>
        <v>82.415</v>
      </c>
      <c r="M960" s="43" t="n">
        <f aca="false">H960*17.99*(1+'Chart of Accounts'!$E$67)</f>
        <v>64.0614905</v>
      </c>
    </row>
    <row r="961" customFormat="false" ht="15" hidden="false" customHeight="false" outlineLevel="0" collapsed="false">
      <c r="B961" s="7" t="s">
        <v>1458</v>
      </c>
      <c r="C961" s="39" t="n">
        <v>45707</v>
      </c>
      <c r="D961" s="7" t="s">
        <v>353</v>
      </c>
      <c r="E961" s="7" t="s">
        <v>154</v>
      </c>
      <c r="F961" s="7" t="s">
        <v>254</v>
      </c>
      <c r="G961" s="7" t="s">
        <v>505</v>
      </c>
      <c r="H961" s="6" t="n">
        <v>3.19</v>
      </c>
      <c r="I961" s="6" t="n">
        <v>0</v>
      </c>
      <c r="J961" s="40" t="n">
        <f aca="false">H961-I961</f>
        <v>3.19</v>
      </c>
      <c r="K961" s="41" t="n">
        <v>26.5</v>
      </c>
      <c r="L961" s="42" t="n">
        <f aca="false">J961*K961</f>
        <v>84.535</v>
      </c>
      <c r="M961" s="43" t="n">
        <f aca="false">H961*17.1*(1+'Chart of Accounts'!$E$67)</f>
        <v>62.458605</v>
      </c>
    </row>
    <row r="962" customFormat="false" ht="15" hidden="false" customHeight="false" outlineLevel="0" collapsed="false">
      <c r="B962" s="7" t="s">
        <v>1459</v>
      </c>
      <c r="C962" s="39" t="n">
        <v>45707</v>
      </c>
      <c r="D962" s="7" t="s">
        <v>355</v>
      </c>
      <c r="E962" s="7" t="s">
        <v>154</v>
      </c>
      <c r="F962" s="7" t="s">
        <v>201</v>
      </c>
      <c r="G962" s="7" t="s">
        <v>505</v>
      </c>
      <c r="H962" s="6" t="n">
        <v>3.23</v>
      </c>
      <c r="I962" s="6" t="n">
        <v>0</v>
      </c>
      <c r="J962" s="40" t="n">
        <f aca="false">H962-I962</f>
        <v>3.23</v>
      </c>
      <c r="K962" s="41" t="n">
        <v>26.5</v>
      </c>
      <c r="L962" s="42" t="n">
        <f aca="false">J962*K962</f>
        <v>85.595</v>
      </c>
      <c r="M962" s="43" t="n">
        <f aca="false">H962*15.19*(1+'Chart of Accounts'!$E$67)</f>
        <v>56.1779365</v>
      </c>
    </row>
    <row r="963" customFormat="false" ht="15" hidden="false" customHeight="false" outlineLevel="0" collapsed="false">
      <c r="B963" s="7" t="s">
        <v>1460</v>
      </c>
      <c r="C963" s="39" t="n">
        <v>45707</v>
      </c>
      <c r="D963" s="7" t="s">
        <v>357</v>
      </c>
      <c r="E963" s="7" t="s">
        <v>154</v>
      </c>
      <c r="F963" s="7" t="s">
        <v>207</v>
      </c>
      <c r="G963" s="7" t="s">
        <v>505</v>
      </c>
      <c r="H963" s="6" t="n">
        <v>3.23</v>
      </c>
      <c r="I963" s="6" t="n">
        <v>0</v>
      </c>
      <c r="J963" s="40" t="n">
        <f aca="false">H963-I963</f>
        <v>3.23</v>
      </c>
      <c r="K963" s="41" t="n">
        <v>26.5</v>
      </c>
      <c r="L963" s="42" t="n">
        <f aca="false">J963*K963</f>
        <v>85.595</v>
      </c>
      <c r="M963" s="43" t="n">
        <f aca="false">H963*16.65*(1+'Chart of Accounts'!$E$67)</f>
        <v>61.5775275</v>
      </c>
    </row>
    <row r="964" customFormat="false" ht="15" hidden="false" customHeight="false" outlineLevel="0" collapsed="false">
      <c r="B964" s="7" t="s">
        <v>1461</v>
      </c>
      <c r="C964" s="39" t="n">
        <v>45707</v>
      </c>
      <c r="D964" s="7" t="s">
        <v>359</v>
      </c>
      <c r="E964" s="7" t="s">
        <v>156</v>
      </c>
      <c r="F964" s="7" t="s">
        <v>212</v>
      </c>
      <c r="G964" s="7" t="s">
        <v>505</v>
      </c>
      <c r="H964" s="6" t="n">
        <v>3.75</v>
      </c>
      <c r="I964" s="6" t="n">
        <v>0</v>
      </c>
      <c r="J964" s="40" t="n">
        <f aca="false">H964-I964</f>
        <v>3.75</v>
      </c>
      <c r="K964" s="41" t="n">
        <v>34</v>
      </c>
      <c r="L964" s="42" t="n">
        <f aca="false">J964*K964</f>
        <v>127.5</v>
      </c>
      <c r="M964" s="43" t="n">
        <f aca="false">H964*16.71*(1+'Chart of Accounts'!$E$67)</f>
        <v>71.7485625</v>
      </c>
    </row>
    <row r="965" customFormat="false" ht="15" hidden="false" customHeight="false" outlineLevel="0" collapsed="false">
      <c r="B965" s="7" t="s">
        <v>1462</v>
      </c>
      <c r="C965" s="39" t="n">
        <v>45707</v>
      </c>
      <c r="D965" s="7" t="s">
        <v>371</v>
      </c>
      <c r="E965" s="7" t="s">
        <v>154</v>
      </c>
      <c r="F965" s="7" t="s">
        <v>232</v>
      </c>
      <c r="G965" s="7" t="s">
        <v>505</v>
      </c>
      <c r="H965" s="6" t="n">
        <v>4.58</v>
      </c>
      <c r="I965" s="6" t="n">
        <v>0</v>
      </c>
      <c r="J965" s="40" t="n">
        <f aca="false">H965-I965</f>
        <v>4.58</v>
      </c>
      <c r="K965" s="41" t="n">
        <v>26.5</v>
      </c>
      <c r="L965" s="42" t="n">
        <f aca="false">J965*K965</f>
        <v>121.37</v>
      </c>
      <c r="M965" s="43" t="n">
        <f aca="false">H965*16.17*(1+'Chart of Accounts'!$E$67)</f>
        <v>84.797097</v>
      </c>
    </row>
    <row r="966" customFormat="false" ht="15" hidden="false" customHeight="false" outlineLevel="0" collapsed="false">
      <c r="B966" s="7" t="s">
        <v>1463</v>
      </c>
      <c r="C966" s="39" t="n">
        <v>45707</v>
      </c>
      <c r="D966" s="7" t="s">
        <v>379</v>
      </c>
      <c r="E966" s="7" t="s">
        <v>156</v>
      </c>
      <c r="F966" s="7" t="s">
        <v>224</v>
      </c>
      <c r="G966" s="7" t="s">
        <v>505</v>
      </c>
      <c r="H966" s="6" t="n">
        <v>4.32</v>
      </c>
      <c r="I966" s="6" t="n">
        <v>0</v>
      </c>
      <c r="J966" s="40" t="n">
        <f aca="false">H966-I966</f>
        <v>4.32</v>
      </c>
      <c r="K966" s="41" t="n">
        <v>34</v>
      </c>
      <c r="L966" s="42" t="n">
        <f aca="false">J966*K966</f>
        <v>146.88</v>
      </c>
      <c r="M966" s="43" t="n">
        <f aca="false">H966*14.93*(1+'Chart of Accounts'!$E$67)</f>
        <v>73.849752</v>
      </c>
    </row>
    <row r="967" customFormat="false" ht="15" hidden="false" customHeight="false" outlineLevel="0" collapsed="false">
      <c r="B967" s="7" t="s">
        <v>1464</v>
      </c>
      <c r="C967" s="39" t="n">
        <v>45707</v>
      </c>
      <c r="D967" s="7" t="s">
        <v>389</v>
      </c>
      <c r="E967" s="7" t="s">
        <v>154</v>
      </c>
      <c r="F967" s="7" t="s">
        <v>246</v>
      </c>
      <c r="G967" s="7" t="s">
        <v>505</v>
      </c>
      <c r="H967" s="6" t="n">
        <v>3.74</v>
      </c>
      <c r="I967" s="6" t="n">
        <v>0</v>
      </c>
      <c r="J967" s="40" t="n">
        <f aca="false">H967-I967</f>
        <v>3.74</v>
      </c>
      <c r="K967" s="41" t="n">
        <v>26.5</v>
      </c>
      <c r="L967" s="42" t="n">
        <f aca="false">J967*K967</f>
        <v>99.11</v>
      </c>
      <c r="M967" s="43" t="n">
        <f aca="false">H967*16.48*(1+'Chart of Accounts'!$E$67)</f>
        <v>70.572304</v>
      </c>
    </row>
    <row r="968" customFormat="false" ht="15" hidden="false" customHeight="false" outlineLevel="0" collapsed="false">
      <c r="B968" s="7" t="s">
        <v>1465</v>
      </c>
      <c r="C968" s="39" t="n">
        <v>45707</v>
      </c>
      <c r="D968" s="7" t="s">
        <v>391</v>
      </c>
      <c r="E968" s="7" t="s">
        <v>156</v>
      </c>
      <c r="F968" s="7" t="s">
        <v>222</v>
      </c>
      <c r="G968" s="7" t="s">
        <v>505</v>
      </c>
      <c r="H968" s="6" t="n">
        <v>3.63</v>
      </c>
      <c r="I968" s="6" t="n">
        <v>0</v>
      </c>
      <c r="J968" s="40" t="n">
        <f aca="false">H968-I968</f>
        <v>3.63</v>
      </c>
      <c r="K968" s="41" t="n">
        <v>34</v>
      </c>
      <c r="L968" s="42" t="n">
        <f aca="false">J968*K968</f>
        <v>123.42</v>
      </c>
      <c r="M968" s="43" t="n">
        <f aca="false">H968*17.84*(1+'Chart of Accounts'!$E$67)</f>
        <v>74.149284</v>
      </c>
    </row>
    <row r="969" customFormat="false" ht="15" hidden="false" customHeight="false" outlineLevel="0" collapsed="false">
      <c r="B969" s="7" t="s">
        <v>1466</v>
      </c>
      <c r="C969" s="39" t="n">
        <v>45707</v>
      </c>
      <c r="D969" s="7" t="s">
        <v>393</v>
      </c>
      <c r="E969" s="7" t="s">
        <v>157</v>
      </c>
      <c r="F969" s="7" t="s">
        <v>203</v>
      </c>
      <c r="G969" s="7" t="s">
        <v>502</v>
      </c>
      <c r="H969" s="6" t="n">
        <v>1.01</v>
      </c>
      <c r="I969" s="6" t="n">
        <v>0</v>
      </c>
      <c r="J969" s="40" t="n">
        <f aca="false">H969-I969</f>
        <v>1.01</v>
      </c>
      <c r="K969" s="41" t="n">
        <v>165</v>
      </c>
      <c r="L969" s="42" t="n">
        <f aca="false">J969*K969</f>
        <v>166.65</v>
      </c>
      <c r="M969" s="43" t="n">
        <f aca="false">H969*49.43*(1+'Chart of Accounts'!$E$67)</f>
        <v>57.1633235</v>
      </c>
    </row>
    <row r="970" customFormat="false" ht="15" hidden="false" customHeight="false" outlineLevel="0" collapsed="false">
      <c r="B970" s="7" t="s">
        <v>1467</v>
      </c>
      <c r="C970" s="39" t="n">
        <v>45707</v>
      </c>
      <c r="D970" s="7" t="s">
        <v>395</v>
      </c>
      <c r="E970" s="7" t="s">
        <v>156</v>
      </c>
      <c r="F970" s="7" t="s">
        <v>242</v>
      </c>
      <c r="G970" s="7" t="s">
        <v>505</v>
      </c>
      <c r="H970" s="6" t="n">
        <v>4.13</v>
      </c>
      <c r="I970" s="6" t="n">
        <v>0</v>
      </c>
      <c r="J970" s="40" t="n">
        <f aca="false">H970-I970</f>
        <v>4.13</v>
      </c>
      <c r="K970" s="41" t="n">
        <v>34</v>
      </c>
      <c r="L970" s="42" t="n">
        <f aca="false">J970*K970</f>
        <v>140.42</v>
      </c>
      <c r="M970" s="43" t="n">
        <f aca="false">H970*17.99*(1+'Chart of Accounts'!$E$67)</f>
        <v>85.0720115</v>
      </c>
    </row>
    <row r="971" customFormat="false" ht="15" hidden="false" customHeight="false" outlineLevel="0" collapsed="false">
      <c r="B971" s="7" t="s">
        <v>1468</v>
      </c>
      <c r="C971" s="39" t="n">
        <v>45707</v>
      </c>
      <c r="D971" s="7" t="s">
        <v>399</v>
      </c>
      <c r="E971" s="7" t="s">
        <v>154</v>
      </c>
      <c r="F971" s="7" t="s">
        <v>262</v>
      </c>
      <c r="G971" s="7" t="s">
        <v>505</v>
      </c>
      <c r="H971" s="6" t="n">
        <v>3.46</v>
      </c>
      <c r="I971" s="6" t="n">
        <v>0</v>
      </c>
      <c r="J971" s="40" t="n">
        <f aca="false">H971-I971</f>
        <v>3.46</v>
      </c>
      <c r="K971" s="41" t="n">
        <v>26.5</v>
      </c>
      <c r="L971" s="42" t="n">
        <f aca="false">J971*K971</f>
        <v>91.69</v>
      </c>
      <c r="M971" s="43" t="n">
        <f aca="false">H971*16.02*(1+'Chart of Accounts'!$E$67)</f>
        <v>63.466434</v>
      </c>
    </row>
    <row r="972" customFormat="false" ht="15" hidden="false" customHeight="false" outlineLevel="0" collapsed="false">
      <c r="B972" s="7" t="s">
        <v>1469</v>
      </c>
      <c r="C972" s="39" t="n">
        <v>45707</v>
      </c>
      <c r="D972" s="7" t="s">
        <v>401</v>
      </c>
      <c r="E972" s="7" t="s">
        <v>156</v>
      </c>
      <c r="F972" s="7" t="s">
        <v>254</v>
      </c>
      <c r="G972" s="7" t="s">
        <v>505</v>
      </c>
      <c r="H972" s="6" t="n">
        <v>4.04</v>
      </c>
      <c r="I972" s="6" t="n">
        <v>0</v>
      </c>
      <c r="J972" s="40" t="n">
        <f aca="false">H972-I972</f>
        <v>4.04</v>
      </c>
      <c r="K972" s="41" t="n">
        <v>34</v>
      </c>
      <c r="L972" s="42" t="n">
        <f aca="false">J972*K972</f>
        <v>137.36</v>
      </c>
      <c r="M972" s="43" t="n">
        <f aca="false">H972*17.1*(1+'Chart of Accounts'!$E$67)</f>
        <v>79.10118</v>
      </c>
    </row>
    <row r="973" customFormat="false" ht="15" hidden="false" customHeight="false" outlineLevel="0" collapsed="false">
      <c r="B973" s="7" t="s">
        <v>1470</v>
      </c>
      <c r="C973" s="39" t="n">
        <v>45707</v>
      </c>
      <c r="D973" s="7" t="s">
        <v>409</v>
      </c>
      <c r="E973" s="7" t="s">
        <v>154</v>
      </c>
      <c r="F973" s="7" t="s">
        <v>214</v>
      </c>
      <c r="G973" s="7" t="s">
        <v>505</v>
      </c>
      <c r="H973" s="6" t="n">
        <v>3.46</v>
      </c>
      <c r="I973" s="6" t="n">
        <v>0</v>
      </c>
      <c r="J973" s="40" t="n">
        <f aca="false">H973-I973</f>
        <v>3.46</v>
      </c>
      <c r="K973" s="41" t="n">
        <v>26.5</v>
      </c>
      <c r="L973" s="42" t="n">
        <f aca="false">J973*K973</f>
        <v>91.69</v>
      </c>
      <c r="M973" s="43" t="n">
        <f aca="false">H973*15.67*(1+'Chart of Accounts'!$E$67)</f>
        <v>62.079839</v>
      </c>
    </row>
    <row r="974" customFormat="false" ht="15" hidden="false" customHeight="false" outlineLevel="0" collapsed="false">
      <c r="B974" s="7" t="s">
        <v>1471</v>
      </c>
      <c r="C974" s="39" t="n">
        <v>45707</v>
      </c>
      <c r="D974" s="7" t="s">
        <v>411</v>
      </c>
      <c r="E974" s="7" t="s">
        <v>154</v>
      </c>
      <c r="F974" s="7" t="s">
        <v>177</v>
      </c>
      <c r="G974" s="7" t="s">
        <v>505</v>
      </c>
      <c r="H974" s="6" t="n">
        <v>4.82</v>
      </c>
      <c r="I974" s="6" t="n">
        <v>0</v>
      </c>
      <c r="J974" s="40" t="n">
        <f aca="false">H974-I974</f>
        <v>4.82</v>
      </c>
      <c r="K974" s="41" t="n">
        <v>26.5</v>
      </c>
      <c r="L974" s="42" t="n">
        <f aca="false">J974*K974</f>
        <v>127.73</v>
      </c>
      <c r="M974" s="43" t="n">
        <f aca="false">H974*14.56*(1+'Chart of Accounts'!$E$67)</f>
        <v>80.355184</v>
      </c>
    </row>
    <row r="975" customFormat="false" ht="15" hidden="false" customHeight="false" outlineLevel="0" collapsed="false">
      <c r="B975" s="7" t="s">
        <v>1472</v>
      </c>
      <c r="C975" s="39" t="n">
        <v>45708</v>
      </c>
      <c r="D975" s="7" t="s">
        <v>288</v>
      </c>
      <c r="E975" s="7" t="s">
        <v>156</v>
      </c>
      <c r="F975" s="7" t="s">
        <v>191</v>
      </c>
      <c r="G975" s="7" t="s">
        <v>505</v>
      </c>
      <c r="H975" s="6" t="n">
        <v>4.08</v>
      </c>
      <c r="I975" s="6" t="n">
        <v>0</v>
      </c>
      <c r="J975" s="40" t="n">
        <f aca="false">H975-I975</f>
        <v>4.08</v>
      </c>
      <c r="K975" s="41" t="n">
        <v>34</v>
      </c>
      <c r="L975" s="42" t="n">
        <f aca="false">J975*K975</f>
        <v>138.72</v>
      </c>
      <c r="M975" s="43" t="n">
        <f aca="false">H975*16.05*(1+'Chart of Accounts'!$E$67)</f>
        <v>74.97918</v>
      </c>
    </row>
    <row r="976" customFormat="false" ht="15" hidden="false" customHeight="false" outlineLevel="0" collapsed="false">
      <c r="B976" s="7" t="s">
        <v>1473</v>
      </c>
      <c r="C976" s="39" t="n">
        <v>45708</v>
      </c>
      <c r="D976" s="7" t="s">
        <v>297</v>
      </c>
      <c r="E976" s="7" t="s">
        <v>156</v>
      </c>
      <c r="F976" s="7" t="s">
        <v>201</v>
      </c>
      <c r="G976" s="7" t="s">
        <v>505</v>
      </c>
      <c r="H976" s="6" t="n">
        <v>2.76</v>
      </c>
      <c r="I976" s="6" t="n">
        <v>0</v>
      </c>
      <c r="J976" s="40" t="n">
        <f aca="false">H976-I976</f>
        <v>2.76</v>
      </c>
      <c r="K976" s="41" t="n">
        <v>34</v>
      </c>
      <c r="L976" s="42" t="n">
        <f aca="false">J976*K976</f>
        <v>93.84</v>
      </c>
      <c r="M976" s="43" t="n">
        <f aca="false">H976*15.19*(1+'Chart of Accounts'!$E$67)</f>
        <v>48.003438</v>
      </c>
    </row>
    <row r="977" customFormat="false" ht="15" hidden="false" customHeight="false" outlineLevel="0" collapsed="false">
      <c r="B977" s="7" t="s">
        <v>1474</v>
      </c>
      <c r="C977" s="39" t="n">
        <v>45708</v>
      </c>
      <c r="D977" s="7" t="s">
        <v>311</v>
      </c>
      <c r="E977" s="7" t="s">
        <v>154</v>
      </c>
      <c r="F977" s="7" t="s">
        <v>196</v>
      </c>
      <c r="G977" s="7" t="s">
        <v>505</v>
      </c>
      <c r="H977" s="6" t="n">
        <v>2.77</v>
      </c>
      <c r="I977" s="6" t="n">
        <v>0</v>
      </c>
      <c r="J977" s="40" t="n">
        <f aca="false">H977-I977</f>
        <v>2.77</v>
      </c>
      <c r="K977" s="41" t="n">
        <v>26.5</v>
      </c>
      <c r="L977" s="42" t="n">
        <f aca="false">J977*K977</f>
        <v>73.405</v>
      </c>
      <c r="M977" s="43" t="n">
        <f aca="false">H977*15.05*(1+'Chart of Accounts'!$E$67)</f>
        <v>47.7333325</v>
      </c>
    </row>
    <row r="978" customFormat="false" ht="15" hidden="false" customHeight="false" outlineLevel="0" collapsed="false">
      <c r="B978" s="7" t="s">
        <v>1475</v>
      </c>
      <c r="C978" s="39" t="n">
        <v>45708</v>
      </c>
      <c r="D978" s="7" t="s">
        <v>313</v>
      </c>
      <c r="E978" s="7" t="s">
        <v>156</v>
      </c>
      <c r="F978" s="7" t="s">
        <v>184</v>
      </c>
      <c r="G978" s="7" t="s">
        <v>505</v>
      </c>
      <c r="H978" s="6" t="n">
        <v>3.76</v>
      </c>
      <c r="I978" s="6" t="n">
        <v>0</v>
      </c>
      <c r="J978" s="40" t="n">
        <f aca="false">H978-I978</f>
        <v>3.76</v>
      </c>
      <c r="K978" s="41" t="n">
        <v>34</v>
      </c>
      <c r="L978" s="42" t="n">
        <f aca="false">J978*K978</f>
        <v>127.84</v>
      </c>
      <c r="M978" s="43" t="n">
        <f aca="false">H978*17.34*(1+'Chart of Accounts'!$E$67)</f>
        <v>74.652168</v>
      </c>
    </row>
    <row r="979" customFormat="false" ht="15" hidden="false" customHeight="false" outlineLevel="0" collapsed="false">
      <c r="B979" s="7" t="s">
        <v>1476</v>
      </c>
      <c r="C979" s="39" t="n">
        <v>45708</v>
      </c>
      <c r="D979" s="7" t="s">
        <v>317</v>
      </c>
      <c r="E979" s="7" t="s">
        <v>156</v>
      </c>
      <c r="F979" s="7" t="s">
        <v>207</v>
      </c>
      <c r="G979" s="7" t="s">
        <v>505</v>
      </c>
      <c r="H979" s="6" t="n">
        <v>2.82</v>
      </c>
      <c r="I979" s="6" t="n">
        <v>0</v>
      </c>
      <c r="J979" s="40" t="n">
        <f aca="false">H979-I979</f>
        <v>2.82</v>
      </c>
      <c r="K979" s="41" t="n">
        <v>34</v>
      </c>
      <c r="L979" s="42" t="n">
        <f aca="false">J979*K979</f>
        <v>95.88</v>
      </c>
      <c r="M979" s="43" t="n">
        <f aca="false">H979*16.65*(1+'Chart of Accounts'!$E$67)</f>
        <v>53.761185</v>
      </c>
    </row>
    <row r="980" customFormat="false" ht="15" hidden="false" customHeight="false" outlineLevel="0" collapsed="false">
      <c r="B980" s="7" t="s">
        <v>1477</v>
      </c>
      <c r="C980" s="39" t="n">
        <v>45708</v>
      </c>
      <c r="D980" s="7" t="s">
        <v>321</v>
      </c>
      <c r="E980" s="7" t="s">
        <v>154</v>
      </c>
      <c r="F980" s="7" t="s">
        <v>218</v>
      </c>
      <c r="G980" s="7" t="s">
        <v>505</v>
      </c>
      <c r="H980" s="6" t="n">
        <v>3.63</v>
      </c>
      <c r="I980" s="6" t="n">
        <v>0</v>
      </c>
      <c r="J980" s="40" t="n">
        <f aca="false">H980-I980</f>
        <v>3.63</v>
      </c>
      <c r="K980" s="41" t="n">
        <v>26.5</v>
      </c>
      <c r="L980" s="42" t="n">
        <f aca="false">J980*K980</f>
        <v>96.195</v>
      </c>
      <c r="M980" s="43" t="n">
        <f aca="false">H980*16.19*(1+'Chart of Accounts'!$E$67)</f>
        <v>67.2913065</v>
      </c>
    </row>
    <row r="981" customFormat="false" ht="15" hidden="false" customHeight="false" outlineLevel="0" collapsed="false">
      <c r="B981" s="7" t="s">
        <v>1478</v>
      </c>
      <c r="C981" s="39" t="n">
        <v>45708</v>
      </c>
      <c r="D981" s="7" t="s">
        <v>325</v>
      </c>
      <c r="E981" s="7" t="s">
        <v>154</v>
      </c>
      <c r="F981" s="7" t="s">
        <v>212</v>
      </c>
      <c r="G981" s="7" t="s">
        <v>505</v>
      </c>
      <c r="H981" s="6" t="n">
        <v>3.26</v>
      </c>
      <c r="I981" s="6" t="n">
        <v>0.098</v>
      </c>
      <c r="J981" s="40" t="n">
        <f aca="false">H981-I981</f>
        <v>3.162</v>
      </c>
      <c r="K981" s="41" t="n">
        <v>26.5</v>
      </c>
      <c r="L981" s="42" t="n">
        <f aca="false">J981*K981</f>
        <v>83.793</v>
      </c>
      <c r="M981" s="43" t="n">
        <f aca="false">H981*16.71*(1+'Chart of Accounts'!$E$67)</f>
        <v>62.373417</v>
      </c>
    </row>
    <row r="982" customFormat="false" ht="15" hidden="false" customHeight="false" outlineLevel="0" collapsed="false">
      <c r="B982" s="7" t="s">
        <v>1479</v>
      </c>
      <c r="C982" s="39" t="n">
        <v>45708</v>
      </c>
      <c r="D982" s="7" t="s">
        <v>329</v>
      </c>
      <c r="E982" s="7" t="s">
        <v>156</v>
      </c>
      <c r="F982" s="7" t="s">
        <v>220</v>
      </c>
      <c r="G982" s="7" t="s">
        <v>505</v>
      </c>
      <c r="H982" s="6" t="n">
        <v>4.14</v>
      </c>
      <c r="I982" s="6" t="n">
        <v>0</v>
      </c>
      <c r="J982" s="40" t="n">
        <f aca="false">H982-I982</f>
        <v>4.14</v>
      </c>
      <c r="K982" s="41" t="n">
        <v>34</v>
      </c>
      <c r="L982" s="42" t="n">
        <f aca="false">J982*K982</f>
        <v>140.76</v>
      </c>
      <c r="M982" s="43" t="n">
        <f aca="false">H982*16.43*(1+'Chart of Accounts'!$E$67)</f>
        <v>77.883129</v>
      </c>
    </row>
    <row r="983" customFormat="false" ht="15" hidden="false" customHeight="false" outlineLevel="0" collapsed="false">
      <c r="B983" s="7" t="s">
        <v>1480</v>
      </c>
      <c r="C983" s="39" t="n">
        <v>45708</v>
      </c>
      <c r="D983" s="7" t="s">
        <v>331</v>
      </c>
      <c r="E983" s="7" t="s">
        <v>156</v>
      </c>
      <c r="F983" s="7" t="s">
        <v>224</v>
      </c>
      <c r="G983" s="7" t="s">
        <v>505</v>
      </c>
      <c r="H983" s="6" t="n">
        <v>4.14</v>
      </c>
      <c r="I983" s="6" t="n">
        <v>0</v>
      </c>
      <c r="J983" s="40" t="n">
        <f aca="false">H983-I983</f>
        <v>4.14</v>
      </c>
      <c r="K983" s="41" t="n">
        <v>34</v>
      </c>
      <c r="L983" s="42" t="n">
        <f aca="false">J983*K983</f>
        <v>140.76</v>
      </c>
      <c r="M983" s="43" t="n">
        <f aca="false">H983*14.93*(1+'Chart of Accounts'!$E$67)</f>
        <v>70.772679</v>
      </c>
    </row>
    <row r="984" customFormat="false" ht="15" hidden="false" customHeight="false" outlineLevel="0" collapsed="false">
      <c r="B984" s="7" t="s">
        <v>1481</v>
      </c>
      <c r="C984" s="39" t="n">
        <v>45708</v>
      </c>
      <c r="D984" s="7" t="s">
        <v>337</v>
      </c>
      <c r="E984" s="7" t="s">
        <v>154</v>
      </c>
      <c r="F984" s="7" t="s">
        <v>232</v>
      </c>
      <c r="G984" s="7" t="s">
        <v>505</v>
      </c>
      <c r="H984" s="6" t="n">
        <v>3.01</v>
      </c>
      <c r="I984" s="6" t="n">
        <v>0.09</v>
      </c>
      <c r="J984" s="40" t="n">
        <f aca="false">H984-I984</f>
        <v>2.92</v>
      </c>
      <c r="K984" s="41" t="n">
        <v>26.5</v>
      </c>
      <c r="L984" s="42" t="n">
        <f aca="false">J984*K984</f>
        <v>77.38</v>
      </c>
      <c r="M984" s="43" t="n">
        <f aca="false">H984*16.17*(1+'Chart of Accounts'!$E$67)</f>
        <v>55.7290965</v>
      </c>
    </row>
    <row r="985" customFormat="false" ht="15" hidden="false" customHeight="false" outlineLevel="0" collapsed="false">
      <c r="B985" s="7" t="s">
        <v>1482</v>
      </c>
      <c r="C985" s="39" t="n">
        <v>45708</v>
      </c>
      <c r="D985" s="7" t="s">
        <v>341</v>
      </c>
      <c r="E985" s="7" t="s">
        <v>156</v>
      </c>
      <c r="F985" s="7" t="s">
        <v>222</v>
      </c>
      <c r="G985" s="7" t="s">
        <v>505</v>
      </c>
      <c r="H985" s="6" t="n">
        <v>2.85</v>
      </c>
      <c r="I985" s="6" t="n">
        <v>0</v>
      </c>
      <c r="J985" s="40" t="n">
        <f aca="false">H985-I985</f>
        <v>2.85</v>
      </c>
      <c r="K985" s="41" t="n">
        <v>34</v>
      </c>
      <c r="L985" s="42" t="n">
        <f aca="false">J985*K985</f>
        <v>96.9</v>
      </c>
      <c r="M985" s="43" t="n">
        <f aca="false">H985*17.84*(1+'Chart of Accounts'!$E$67)</f>
        <v>58.21638</v>
      </c>
    </row>
    <row r="986" customFormat="false" ht="15" hidden="false" customHeight="false" outlineLevel="0" collapsed="false">
      <c r="B986" s="7" t="s">
        <v>1483</v>
      </c>
      <c r="C986" s="39" t="n">
        <v>45708</v>
      </c>
      <c r="D986" s="7" t="s">
        <v>343</v>
      </c>
      <c r="E986" s="7" t="s">
        <v>154</v>
      </c>
      <c r="F986" s="7" t="s">
        <v>262</v>
      </c>
      <c r="G986" s="7" t="s">
        <v>505</v>
      </c>
      <c r="H986" s="6" t="n">
        <v>3.84</v>
      </c>
      <c r="I986" s="6" t="n">
        <v>0.115</v>
      </c>
      <c r="J986" s="40" t="n">
        <f aca="false">H986-I986</f>
        <v>3.725</v>
      </c>
      <c r="K986" s="41" t="n">
        <v>26.5</v>
      </c>
      <c r="L986" s="42" t="n">
        <f aca="false">J986*K986</f>
        <v>98.7125</v>
      </c>
      <c r="M986" s="43" t="n">
        <f aca="false">H986*16.02*(1+'Chart of Accounts'!$E$67)</f>
        <v>70.436736</v>
      </c>
    </row>
    <row r="987" customFormat="false" ht="15" hidden="false" customHeight="false" outlineLevel="0" collapsed="false">
      <c r="B987" s="7" t="s">
        <v>1484</v>
      </c>
      <c r="C987" s="39" t="n">
        <v>45708</v>
      </c>
      <c r="D987" s="7" t="s">
        <v>359</v>
      </c>
      <c r="E987" s="7" t="s">
        <v>156</v>
      </c>
      <c r="F987" s="7" t="s">
        <v>212</v>
      </c>
      <c r="G987" s="7" t="s">
        <v>505</v>
      </c>
      <c r="H987" s="6" t="n">
        <v>3.74</v>
      </c>
      <c r="I987" s="6" t="n">
        <v>0</v>
      </c>
      <c r="J987" s="40" t="n">
        <f aca="false">H987-I987</f>
        <v>3.74</v>
      </c>
      <c r="K987" s="41" t="n">
        <v>34</v>
      </c>
      <c r="L987" s="42" t="n">
        <f aca="false">J987*K987</f>
        <v>127.16</v>
      </c>
      <c r="M987" s="43" t="n">
        <f aca="false">H987*16.71*(1+'Chart of Accounts'!$E$67)</f>
        <v>71.557233</v>
      </c>
    </row>
    <row r="988" customFormat="false" ht="15" hidden="false" customHeight="false" outlineLevel="0" collapsed="false">
      <c r="B988" s="7" t="s">
        <v>1485</v>
      </c>
      <c r="C988" s="39" t="n">
        <v>45708</v>
      </c>
      <c r="D988" s="7" t="s">
        <v>363</v>
      </c>
      <c r="E988" s="7" t="s">
        <v>156</v>
      </c>
      <c r="F988" s="7" t="s">
        <v>246</v>
      </c>
      <c r="G988" s="7" t="s">
        <v>505</v>
      </c>
      <c r="H988" s="6" t="n">
        <v>4.24</v>
      </c>
      <c r="I988" s="6" t="n">
        <v>0</v>
      </c>
      <c r="J988" s="40" t="n">
        <f aca="false">H988-I988</f>
        <v>4.24</v>
      </c>
      <c r="K988" s="41" t="n">
        <v>34</v>
      </c>
      <c r="L988" s="42" t="n">
        <f aca="false">J988*K988</f>
        <v>144.16</v>
      </c>
      <c r="M988" s="43" t="n">
        <f aca="false">H988*16.48*(1+'Chart of Accounts'!$E$67)</f>
        <v>80.007104</v>
      </c>
    </row>
    <row r="989" customFormat="false" ht="15" hidden="false" customHeight="false" outlineLevel="0" collapsed="false">
      <c r="B989" s="7" t="s">
        <v>1486</v>
      </c>
      <c r="C989" s="39" t="n">
        <v>45708</v>
      </c>
      <c r="D989" s="7" t="s">
        <v>375</v>
      </c>
      <c r="E989" s="7" t="s">
        <v>156</v>
      </c>
      <c r="F989" s="7" t="s">
        <v>196</v>
      </c>
      <c r="G989" s="7" t="s">
        <v>505</v>
      </c>
      <c r="H989" s="6" t="n">
        <v>2.76</v>
      </c>
      <c r="I989" s="6" t="n">
        <v>0</v>
      </c>
      <c r="J989" s="40" t="n">
        <f aca="false">H989-I989</f>
        <v>2.76</v>
      </c>
      <c r="K989" s="41" t="n">
        <v>34</v>
      </c>
      <c r="L989" s="42" t="n">
        <f aca="false">J989*K989</f>
        <v>93.84</v>
      </c>
      <c r="M989" s="43" t="n">
        <f aca="false">H989*15.05*(1+'Chart of Accounts'!$E$67)</f>
        <v>47.56101</v>
      </c>
    </row>
    <row r="990" customFormat="false" ht="15" hidden="false" customHeight="false" outlineLevel="0" collapsed="false">
      <c r="B990" s="7" t="s">
        <v>1487</v>
      </c>
      <c r="C990" s="39" t="n">
        <v>45708</v>
      </c>
      <c r="D990" s="7" t="s">
        <v>377</v>
      </c>
      <c r="E990" s="7" t="s">
        <v>154</v>
      </c>
      <c r="F990" s="7" t="s">
        <v>214</v>
      </c>
      <c r="G990" s="7" t="s">
        <v>505</v>
      </c>
      <c r="H990" s="6" t="n">
        <v>4.28</v>
      </c>
      <c r="I990" s="6" t="n">
        <v>0</v>
      </c>
      <c r="J990" s="40" t="n">
        <f aca="false">H990-I990</f>
        <v>4.28</v>
      </c>
      <c r="K990" s="41" t="n">
        <v>26.5</v>
      </c>
      <c r="L990" s="42" t="n">
        <f aca="false">J990*K990</f>
        <v>113.42</v>
      </c>
      <c r="M990" s="43" t="n">
        <f aca="false">H990*15.67*(1+'Chart of Accounts'!$E$67)</f>
        <v>76.792402</v>
      </c>
    </row>
    <row r="991" customFormat="false" ht="15" hidden="false" customHeight="false" outlineLevel="0" collapsed="false">
      <c r="B991" s="7" t="s">
        <v>1488</v>
      </c>
      <c r="C991" s="39" t="n">
        <v>45708</v>
      </c>
      <c r="D991" s="7" t="s">
        <v>389</v>
      </c>
      <c r="E991" s="7" t="s">
        <v>154</v>
      </c>
      <c r="F991" s="7" t="s">
        <v>246</v>
      </c>
      <c r="G991" s="7" t="s">
        <v>505</v>
      </c>
      <c r="H991" s="6" t="n">
        <v>3.89</v>
      </c>
      <c r="I991" s="6" t="n">
        <v>0</v>
      </c>
      <c r="J991" s="40" t="n">
        <f aca="false">H991-I991</f>
        <v>3.89</v>
      </c>
      <c r="K991" s="41" t="n">
        <v>26.5</v>
      </c>
      <c r="L991" s="42" t="n">
        <f aca="false">J991*K991</f>
        <v>103.085</v>
      </c>
      <c r="M991" s="43" t="n">
        <f aca="false">H991*16.48*(1+'Chart of Accounts'!$E$67)</f>
        <v>73.402744</v>
      </c>
    </row>
    <row r="992" customFormat="false" ht="15" hidden="false" customHeight="false" outlineLevel="0" collapsed="false">
      <c r="B992" s="7" t="s">
        <v>1489</v>
      </c>
      <c r="C992" s="39" t="n">
        <v>45708</v>
      </c>
      <c r="D992" s="7" t="s">
        <v>391</v>
      </c>
      <c r="E992" s="7" t="s">
        <v>156</v>
      </c>
      <c r="F992" s="7" t="s">
        <v>222</v>
      </c>
      <c r="G992" s="7" t="s">
        <v>505</v>
      </c>
      <c r="H992" s="6" t="n">
        <v>4.3</v>
      </c>
      <c r="I992" s="6" t="n">
        <v>0</v>
      </c>
      <c r="J992" s="40" t="n">
        <f aca="false">H992-I992</f>
        <v>4.3</v>
      </c>
      <c r="K992" s="41" t="n">
        <v>34</v>
      </c>
      <c r="L992" s="42" t="n">
        <f aca="false">J992*K992</f>
        <v>146.2</v>
      </c>
      <c r="M992" s="43" t="n">
        <f aca="false">H992*17.84*(1+'Chart of Accounts'!$E$67)</f>
        <v>87.83524</v>
      </c>
    </row>
    <row r="993" customFormat="false" ht="15" hidden="false" customHeight="false" outlineLevel="0" collapsed="false">
      <c r="B993" s="7" t="s">
        <v>1490</v>
      </c>
      <c r="C993" s="39" t="n">
        <v>45708</v>
      </c>
      <c r="D993" s="7" t="s">
        <v>395</v>
      </c>
      <c r="E993" s="7" t="s">
        <v>156</v>
      </c>
      <c r="F993" s="7" t="s">
        <v>242</v>
      </c>
      <c r="G993" s="7" t="s">
        <v>505</v>
      </c>
      <c r="H993" s="6" t="n">
        <v>3.75</v>
      </c>
      <c r="I993" s="6" t="n">
        <v>0</v>
      </c>
      <c r="J993" s="40" t="n">
        <f aca="false">H993-I993</f>
        <v>3.75</v>
      </c>
      <c r="K993" s="41" t="n">
        <v>34</v>
      </c>
      <c r="L993" s="42" t="n">
        <f aca="false">J993*K993</f>
        <v>127.5</v>
      </c>
      <c r="M993" s="43" t="n">
        <f aca="false">H993*17.99*(1+'Chart of Accounts'!$E$67)</f>
        <v>77.2445625</v>
      </c>
    </row>
    <row r="994" customFormat="false" ht="15" hidden="false" customHeight="false" outlineLevel="0" collapsed="false">
      <c r="B994" s="7" t="s">
        <v>1491</v>
      </c>
      <c r="C994" s="39" t="n">
        <v>45708</v>
      </c>
      <c r="D994" s="7" t="s">
        <v>401</v>
      </c>
      <c r="E994" s="7" t="s">
        <v>156</v>
      </c>
      <c r="F994" s="7" t="s">
        <v>254</v>
      </c>
      <c r="G994" s="7" t="s">
        <v>505</v>
      </c>
      <c r="H994" s="6" t="n">
        <v>3.82</v>
      </c>
      <c r="I994" s="6" t="n">
        <v>0</v>
      </c>
      <c r="J994" s="40" t="n">
        <f aca="false">H994-I994</f>
        <v>3.82</v>
      </c>
      <c r="K994" s="41" t="n">
        <v>34</v>
      </c>
      <c r="L994" s="42" t="n">
        <f aca="false">J994*K994</f>
        <v>129.88</v>
      </c>
      <c r="M994" s="43" t="n">
        <f aca="false">H994*17.1*(1+'Chart of Accounts'!$E$67)</f>
        <v>74.79369</v>
      </c>
    </row>
    <row r="995" customFormat="false" ht="15" hidden="false" customHeight="false" outlineLevel="0" collapsed="false">
      <c r="B995" s="7" t="s">
        <v>1492</v>
      </c>
      <c r="C995" s="39" t="n">
        <v>45709</v>
      </c>
      <c r="D995" s="7" t="s">
        <v>280</v>
      </c>
      <c r="E995" s="7" t="s">
        <v>157</v>
      </c>
      <c r="F995" s="7" t="s">
        <v>187</v>
      </c>
      <c r="G995" s="7" t="s">
        <v>502</v>
      </c>
      <c r="H995" s="6" t="n">
        <v>1.06</v>
      </c>
      <c r="I995" s="6" t="n">
        <v>0</v>
      </c>
      <c r="J995" s="40" t="n">
        <f aca="false">H995-I995</f>
        <v>1.06</v>
      </c>
      <c r="K995" s="41" t="n">
        <v>165</v>
      </c>
      <c r="L995" s="42" t="n">
        <f aca="false">J995*K995</f>
        <v>174.9</v>
      </c>
      <c r="M995" s="43" t="n">
        <f aca="false">H995*66.48*(1+'Chart of Accounts'!$E$67)</f>
        <v>80.686776</v>
      </c>
    </row>
    <row r="996" customFormat="false" ht="15" hidden="false" customHeight="false" outlineLevel="0" collapsed="false">
      <c r="B996" s="7" t="s">
        <v>1493</v>
      </c>
      <c r="C996" s="39" t="n">
        <v>45709</v>
      </c>
      <c r="D996" s="7" t="s">
        <v>288</v>
      </c>
      <c r="E996" s="7" t="s">
        <v>156</v>
      </c>
      <c r="F996" s="7" t="s">
        <v>191</v>
      </c>
      <c r="G996" s="7" t="s">
        <v>505</v>
      </c>
      <c r="H996" s="6" t="n">
        <v>3.69</v>
      </c>
      <c r="I996" s="6" t="n">
        <v>0</v>
      </c>
      <c r="J996" s="40" t="n">
        <f aca="false">H996-I996</f>
        <v>3.69</v>
      </c>
      <c r="K996" s="41" t="n">
        <v>34</v>
      </c>
      <c r="L996" s="42" t="n">
        <f aca="false">J996*K996</f>
        <v>125.46</v>
      </c>
      <c r="M996" s="43" t="n">
        <f aca="false">H996*16.05*(1+'Chart of Accounts'!$E$67)</f>
        <v>67.8120525</v>
      </c>
    </row>
    <row r="997" customFormat="false" ht="15" hidden="false" customHeight="false" outlineLevel="0" collapsed="false">
      <c r="B997" s="7" t="s">
        <v>1494</v>
      </c>
      <c r="C997" s="39" t="n">
        <v>45709</v>
      </c>
      <c r="D997" s="7" t="s">
        <v>291</v>
      </c>
      <c r="E997" s="7" t="s">
        <v>154</v>
      </c>
      <c r="F997" s="7" t="s">
        <v>194</v>
      </c>
      <c r="G997" s="7" t="s">
        <v>505</v>
      </c>
      <c r="H997" s="6" t="n">
        <v>5.08</v>
      </c>
      <c r="I997" s="6" t="n">
        <v>0</v>
      </c>
      <c r="J997" s="40" t="n">
        <f aca="false">H997-I997</f>
        <v>5.08</v>
      </c>
      <c r="K997" s="41" t="n">
        <v>26.5</v>
      </c>
      <c r="L997" s="42" t="n">
        <f aca="false">J997*K997</f>
        <v>134.62</v>
      </c>
      <c r="M997" s="43" t="n">
        <f aca="false">H997*16*(1+'Chart of Accounts'!$E$67)</f>
        <v>93.0656</v>
      </c>
    </row>
    <row r="998" customFormat="false" ht="15" hidden="false" customHeight="false" outlineLevel="0" collapsed="false">
      <c r="B998" s="7" t="s">
        <v>1495</v>
      </c>
      <c r="C998" s="39" t="n">
        <v>45709</v>
      </c>
      <c r="D998" s="7" t="s">
        <v>301</v>
      </c>
      <c r="E998" s="7" t="s">
        <v>157</v>
      </c>
      <c r="F998" s="7" t="s">
        <v>209</v>
      </c>
      <c r="G998" s="7" t="s">
        <v>502</v>
      </c>
      <c r="H998" s="6" t="n">
        <v>1.02</v>
      </c>
      <c r="I998" s="6" t="n">
        <v>0</v>
      </c>
      <c r="J998" s="40" t="n">
        <f aca="false">H998-I998</f>
        <v>1.02</v>
      </c>
      <c r="K998" s="41" t="n">
        <v>165</v>
      </c>
      <c r="L998" s="42" t="n">
        <f aca="false">J998*K998</f>
        <v>168.3</v>
      </c>
      <c r="M998" s="43" t="n">
        <f aca="false">H998*73.58*(1+'Chart of Accounts'!$E$67)</f>
        <v>85.934082</v>
      </c>
    </row>
    <row r="999" customFormat="false" ht="15" hidden="false" customHeight="false" outlineLevel="0" collapsed="false">
      <c r="B999" s="7" t="s">
        <v>1496</v>
      </c>
      <c r="C999" s="39" t="n">
        <v>45709</v>
      </c>
      <c r="D999" s="7" t="s">
        <v>305</v>
      </c>
      <c r="E999" s="7" t="s">
        <v>154</v>
      </c>
      <c r="F999" s="7" t="s">
        <v>205</v>
      </c>
      <c r="G999" s="7" t="s">
        <v>505</v>
      </c>
      <c r="H999" s="6" t="n">
        <v>3.75</v>
      </c>
      <c r="I999" s="6" t="n">
        <v>0</v>
      </c>
      <c r="J999" s="40" t="n">
        <f aca="false">H999-I999</f>
        <v>3.75</v>
      </c>
      <c r="K999" s="41" t="n">
        <v>26.5</v>
      </c>
      <c r="L999" s="42" t="n">
        <f aca="false">J999*K999</f>
        <v>99.375</v>
      </c>
      <c r="M999" s="43" t="n">
        <f aca="false">H999*16.36*(1+'Chart of Accounts'!$E$67)</f>
        <v>70.24575</v>
      </c>
    </row>
    <row r="1000" customFormat="false" ht="15" hidden="false" customHeight="false" outlineLevel="0" collapsed="false">
      <c r="B1000" s="7" t="s">
        <v>1497</v>
      </c>
      <c r="C1000" s="39" t="n">
        <v>45709</v>
      </c>
      <c r="D1000" s="7" t="s">
        <v>309</v>
      </c>
      <c r="E1000" s="7" t="s">
        <v>159</v>
      </c>
      <c r="F1000" s="7" t="s">
        <v>252</v>
      </c>
      <c r="G1000" s="7" t="s">
        <v>502</v>
      </c>
      <c r="H1000" s="6" t="n">
        <v>0.91</v>
      </c>
      <c r="I1000" s="6" t="n">
        <v>0</v>
      </c>
      <c r="J1000" s="40" t="n">
        <f aca="false">H1000-I1000</f>
        <v>0.91</v>
      </c>
      <c r="K1000" s="41" t="n">
        <v>135</v>
      </c>
      <c r="L1000" s="42" t="n">
        <f aca="false">J1000*K1000</f>
        <v>122.85</v>
      </c>
      <c r="M1000" s="43" t="n">
        <f aca="false">H1000*57.54*(1+'Chart of Accounts'!$E$67)</f>
        <v>59.953803</v>
      </c>
    </row>
    <row r="1001" customFormat="false" ht="15" hidden="false" customHeight="false" outlineLevel="0" collapsed="false">
      <c r="B1001" s="7" t="s">
        <v>1498</v>
      </c>
      <c r="C1001" s="39" t="n">
        <v>45709</v>
      </c>
      <c r="D1001" s="7" t="s">
        <v>313</v>
      </c>
      <c r="E1001" s="7" t="s">
        <v>156</v>
      </c>
      <c r="F1001" s="7" t="s">
        <v>184</v>
      </c>
      <c r="G1001" s="7" t="s">
        <v>505</v>
      </c>
      <c r="H1001" s="6" t="n">
        <v>4.38</v>
      </c>
      <c r="I1001" s="6" t="n">
        <v>0</v>
      </c>
      <c r="J1001" s="40" t="n">
        <f aca="false">H1001-I1001</f>
        <v>4.38</v>
      </c>
      <c r="K1001" s="41" t="n">
        <v>34</v>
      </c>
      <c r="L1001" s="42" t="n">
        <f aca="false">J1001*K1001</f>
        <v>148.92</v>
      </c>
      <c r="M1001" s="43" t="n">
        <f aca="false">H1001*17.34*(1+'Chart of Accounts'!$E$67)</f>
        <v>86.961834</v>
      </c>
    </row>
    <row r="1002" customFormat="false" ht="15" hidden="false" customHeight="false" outlineLevel="0" collapsed="false">
      <c r="B1002" s="7" t="s">
        <v>1499</v>
      </c>
      <c r="C1002" s="39" t="n">
        <v>45709</v>
      </c>
      <c r="D1002" s="7" t="s">
        <v>319</v>
      </c>
      <c r="E1002" s="7" t="s">
        <v>157</v>
      </c>
      <c r="F1002" s="7" t="s">
        <v>234</v>
      </c>
      <c r="G1002" s="7" t="s">
        <v>502</v>
      </c>
      <c r="H1002" s="6" t="n">
        <v>0.92</v>
      </c>
      <c r="I1002" s="6" t="n">
        <v>0.046</v>
      </c>
      <c r="J1002" s="40" t="n">
        <f aca="false">H1002-I1002</f>
        <v>0.874</v>
      </c>
      <c r="K1002" s="41" t="n">
        <v>165</v>
      </c>
      <c r="L1002" s="42" t="n">
        <f aca="false">J1002*K1002</f>
        <v>144.21</v>
      </c>
      <c r="M1002" s="43" t="n">
        <f aca="false">H1002*89.53*(1+'Chart of Accounts'!$E$67)</f>
        <v>94.310902</v>
      </c>
    </row>
    <row r="1003" customFormat="false" ht="15" hidden="false" customHeight="false" outlineLevel="0" collapsed="false">
      <c r="B1003" s="7" t="s">
        <v>1500</v>
      </c>
      <c r="C1003" s="39" t="n">
        <v>45709</v>
      </c>
      <c r="D1003" s="7" t="s">
        <v>321</v>
      </c>
      <c r="E1003" s="7" t="s">
        <v>154</v>
      </c>
      <c r="F1003" s="7" t="s">
        <v>218</v>
      </c>
      <c r="G1003" s="7" t="s">
        <v>505</v>
      </c>
      <c r="H1003" s="6" t="n">
        <v>3.81</v>
      </c>
      <c r="I1003" s="6" t="n">
        <v>0</v>
      </c>
      <c r="J1003" s="40" t="n">
        <f aca="false">H1003-I1003</f>
        <v>3.81</v>
      </c>
      <c r="K1003" s="41" t="n">
        <v>26.5</v>
      </c>
      <c r="L1003" s="42" t="n">
        <f aca="false">J1003*K1003</f>
        <v>100.965</v>
      </c>
      <c r="M1003" s="43" t="n">
        <f aca="false">H1003*16.19*(1+'Chart of Accounts'!$E$67)</f>
        <v>70.6280655</v>
      </c>
    </row>
    <row r="1004" customFormat="false" ht="15" hidden="false" customHeight="false" outlineLevel="0" collapsed="false">
      <c r="B1004" s="7" t="s">
        <v>1501</v>
      </c>
      <c r="C1004" s="39" t="n">
        <v>45709</v>
      </c>
      <c r="D1004" s="7" t="s">
        <v>323</v>
      </c>
      <c r="E1004" s="7" t="s">
        <v>159</v>
      </c>
      <c r="F1004" s="7" t="s">
        <v>266</v>
      </c>
      <c r="G1004" s="7" t="s">
        <v>502</v>
      </c>
      <c r="H1004" s="6" t="n">
        <v>1.04</v>
      </c>
      <c r="I1004" s="6" t="n">
        <v>0</v>
      </c>
      <c r="J1004" s="40" t="n">
        <f aca="false">H1004-I1004</f>
        <v>1.04</v>
      </c>
      <c r="K1004" s="41" t="n">
        <v>135</v>
      </c>
      <c r="L1004" s="42" t="n">
        <f aca="false">J1004*K1004</f>
        <v>140.4</v>
      </c>
      <c r="M1004" s="43" t="n">
        <f aca="false">H1004*75.18*(1+'Chart of Accounts'!$E$67)</f>
        <v>89.524344</v>
      </c>
    </row>
    <row r="1005" customFormat="false" ht="15" hidden="false" customHeight="false" outlineLevel="0" collapsed="false">
      <c r="B1005" s="7" t="s">
        <v>1502</v>
      </c>
      <c r="C1005" s="39" t="n">
        <v>45709</v>
      </c>
      <c r="D1005" s="7" t="s">
        <v>327</v>
      </c>
      <c r="E1005" s="7" t="s">
        <v>157</v>
      </c>
      <c r="F1005" s="7" t="s">
        <v>228</v>
      </c>
      <c r="G1005" s="7" t="s">
        <v>502</v>
      </c>
      <c r="H1005" s="6" t="n">
        <v>1.01</v>
      </c>
      <c r="I1005" s="6" t="n">
        <v>0</v>
      </c>
      <c r="J1005" s="40" t="n">
        <f aca="false">H1005-I1005</f>
        <v>1.01</v>
      </c>
      <c r="K1005" s="41" t="n">
        <v>165</v>
      </c>
      <c r="L1005" s="42" t="n">
        <f aca="false">J1005*K1005</f>
        <v>166.65</v>
      </c>
      <c r="M1005" s="43" t="n">
        <f aca="false">H1005*51.07*(1+'Chart of Accounts'!$E$67)</f>
        <v>59.0599015</v>
      </c>
    </row>
    <row r="1006" customFormat="false" ht="15" hidden="false" customHeight="false" outlineLevel="0" collapsed="false">
      <c r="B1006" s="7" t="s">
        <v>1503</v>
      </c>
      <c r="C1006" s="39" t="n">
        <v>45709</v>
      </c>
      <c r="D1006" s="7" t="s">
        <v>329</v>
      </c>
      <c r="E1006" s="7" t="s">
        <v>156</v>
      </c>
      <c r="F1006" s="7" t="s">
        <v>220</v>
      </c>
      <c r="G1006" s="7" t="s">
        <v>505</v>
      </c>
      <c r="H1006" s="6" t="n">
        <v>3.87</v>
      </c>
      <c r="I1006" s="6" t="n">
        <v>0</v>
      </c>
      <c r="J1006" s="40" t="n">
        <f aca="false">H1006-I1006</f>
        <v>3.87</v>
      </c>
      <c r="K1006" s="41" t="n">
        <v>34</v>
      </c>
      <c r="L1006" s="42" t="n">
        <f aca="false">J1006*K1006</f>
        <v>131.58</v>
      </c>
      <c r="M1006" s="43" t="n">
        <f aca="false">H1006*16.43*(1+'Chart of Accounts'!$E$67)</f>
        <v>72.8037945</v>
      </c>
    </row>
    <row r="1007" customFormat="false" ht="15" hidden="false" customHeight="false" outlineLevel="0" collapsed="false">
      <c r="B1007" s="7" t="s">
        <v>1504</v>
      </c>
      <c r="C1007" s="39" t="n">
        <v>45709</v>
      </c>
      <c r="D1007" s="7" t="s">
        <v>335</v>
      </c>
      <c r="E1007" s="7" t="s">
        <v>154</v>
      </c>
      <c r="F1007" s="7" t="s">
        <v>177</v>
      </c>
      <c r="G1007" s="7" t="s">
        <v>505</v>
      </c>
      <c r="H1007" s="6" t="n">
        <v>3.68</v>
      </c>
      <c r="I1007" s="6" t="n">
        <v>0</v>
      </c>
      <c r="J1007" s="40" t="n">
        <f aca="false">H1007-I1007</f>
        <v>3.68</v>
      </c>
      <c r="K1007" s="41" t="n">
        <v>26.5</v>
      </c>
      <c r="L1007" s="42" t="n">
        <f aca="false">J1007*K1007</f>
        <v>97.52</v>
      </c>
      <c r="M1007" s="43" t="n">
        <f aca="false">H1007*14.56*(1+'Chart of Accounts'!$E$67)</f>
        <v>61.350016</v>
      </c>
    </row>
    <row r="1008" customFormat="false" ht="15" hidden="false" customHeight="false" outlineLevel="0" collapsed="false">
      <c r="B1008" s="7" t="s">
        <v>1505</v>
      </c>
      <c r="C1008" s="39" t="n">
        <v>45709</v>
      </c>
      <c r="D1008" s="7" t="s">
        <v>339</v>
      </c>
      <c r="E1008" s="7" t="s">
        <v>154</v>
      </c>
      <c r="F1008" s="7" t="s">
        <v>242</v>
      </c>
      <c r="G1008" s="7" t="s">
        <v>505</v>
      </c>
      <c r="H1008" s="6" t="n">
        <v>3.23</v>
      </c>
      <c r="I1008" s="6" t="n">
        <v>0</v>
      </c>
      <c r="J1008" s="40" t="n">
        <f aca="false">H1008-I1008</f>
        <v>3.23</v>
      </c>
      <c r="K1008" s="41" t="n">
        <v>26.5</v>
      </c>
      <c r="L1008" s="42" t="n">
        <f aca="false">J1008*K1008</f>
        <v>85.595</v>
      </c>
      <c r="M1008" s="43" t="n">
        <f aca="false">H1008*17.99*(1+'Chart of Accounts'!$E$67)</f>
        <v>66.5333165</v>
      </c>
    </row>
    <row r="1009" customFormat="false" ht="15" hidden="false" customHeight="false" outlineLevel="0" collapsed="false">
      <c r="B1009" s="7" t="s">
        <v>1506</v>
      </c>
      <c r="C1009" s="39" t="n">
        <v>45709</v>
      </c>
      <c r="D1009" s="7" t="s">
        <v>353</v>
      </c>
      <c r="E1009" s="7" t="s">
        <v>154</v>
      </c>
      <c r="F1009" s="7" t="s">
        <v>254</v>
      </c>
      <c r="G1009" s="7" t="s">
        <v>505</v>
      </c>
      <c r="H1009" s="6" t="n">
        <v>3.56</v>
      </c>
      <c r="I1009" s="6" t="n">
        <v>0</v>
      </c>
      <c r="J1009" s="40" t="n">
        <f aca="false">H1009-I1009</f>
        <v>3.56</v>
      </c>
      <c r="K1009" s="41" t="n">
        <v>26.5</v>
      </c>
      <c r="L1009" s="42" t="n">
        <f aca="false">J1009*K1009</f>
        <v>94.34</v>
      </c>
      <c r="M1009" s="43" t="n">
        <f aca="false">H1009*17.1*(1+'Chart of Accounts'!$E$67)</f>
        <v>69.70302</v>
      </c>
    </row>
    <row r="1010" customFormat="false" ht="15" hidden="false" customHeight="false" outlineLevel="0" collapsed="false">
      <c r="B1010" s="7" t="s">
        <v>1507</v>
      </c>
      <c r="C1010" s="39" t="n">
        <v>45709</v>
      </c>
      <c r="D1010" s="7" t="s">
        <v>355</v>
      </c>
      <c r="E1010" s="7" t="s">
        <v>154</v>
      </c>
      <c r="F1010" s="7" t="s">
        <v>201</v>
      </c>
      <c r="G1010" s="7" t="s">
        <v>505</v>
      </c>
      <c r="H1010" s="6" t="n">
        <v>3.04</v>
      </c>
      <c r="I1010" s="6" t="n">
        <v>0</v>
      </c>
      <c r="J1010" s="40" t="n">
        <f aca="false">H1010-I1010</f>
        <v>3.04</v>
      </c>
      <c r="K1010" s="41" t="n">
        <v>26.5</v>
      </c>
      <c r="L1010" s="42" t="n">
        <f aca="false">J1010*K1010</f>
        <v>80.56</v>
      </c>
      <c r="M1010" s="43" t="n">
        <f aca="false">H1010*15.19*(1+'Chart of Accounts'!$E$67)</f>
        <v>52.873352</v>
      </c>
    </row>
    <row r="1011" customFormat="false" ht="15" hidden="false" customHeight="false" outlineLevel="0" collapsed="false">
      <c r="B1011" s="7" t="s">
        <v>1508</v>
      </c>
      <c r="C1011" s="39" t="n">
        <v>45709</v>
      </c>
      <c r="D1011" s="7" t="s">
        <v>357</v>
      </c>
      <c r="E1011" s="7" t="s">
        <v>154</v>
      </c>
      <c r="F1011" s="7" t="s">
        <v>207</v>
      </c>
      <c r="G1011" s="7" t="s">
        <v>505</v>
      </c>
      <c r="H1011" s="6" t="n">
        <v>3.57</v>
      </c>
      <c r="I1011" s="6" t="n">
        <v>0</v>
      </c>
      <c r="J1011" s="40" t="n">
        <f aca="false">H1011-I1011</f>
        <v>3.57</v>
      </c>
      <c r="K1011" s="41" t="n">
        <v>26.5</v>
      </c>
      <c r="L1011" s="42" t="n">
        <f aca="false">J1011*K1011</f>
        <v>94.605</v>
      </c>
      <c r="M1011" s="43" t="n">
        <f aca="false">H1011*16.65*(1+'Chart of Accounts'!$E$67)</f>
        <v>68.0593725</v>
      </c>
    </row>
    <row r="1012" customFormat="false" ht="15" hidden="false" customHeight="false" outlineLevel="0" collapsed="false">
      <c r="B1012" s="7" t="s">
        <v>1509</v>
      </c>
      <c r="C1012" s="39" t="n">
        <v>45709</v>
      </c>
      <c r="D1012" s="7" t="s">
        <v>359</v>
      </c>
      <c r="E1012" s="7" t="s">
        <v>156</v>
      </c>
      <c r="F1012" s="7" t="s">
        <v>212</v>
      </c>
      <c r="G1012" s="7" t="s">
        <v>505</v>
      </c>
      <c r="H1012" s="6" t="n">
        <v>3.66</v>
      </c>
      <c r="I1012" s="6" t="n">
        <v>0</v>
      </c>
      <c r="J1012" s="40" t="n">
        <f aca="false">H1012-I1012</f>
        <v>3.66</v>
      </c>
      <c r="K1012" s="41" t="n">
        <v>34</v>
      </c>
      <c r="L1012" s="42" t="n">
        <f aca="false">J1012*K1012</f>
        <v>124.44</v>
      </c>
      <c r="M1012" s="43" t="n">
        <f aca="false">H1012*16.71*(1+'Chart of Accounts'!$E$67)</f>
        <v>70.026597</v>
      </c>
    </row>
    <row r="1013" customFormat="false" ht="15" hidden="false" customHeight="false" outlineLevel="0" collapsed="false">
      <c r="B1013" s="7" t="s">
        <v>1510</v>
      </c>
      <c r="C1013" s="39" t="n">
        <v>45709</v>
      </c>
      <c r="D1013" s="7" t="s">
        <v>361</v>
      </c>
      <c r="E1013" s="7" t="s">
        <v>157</v>
      </c>
      <c r="F1013" s="7" t="s">
        <v>209</v>
      </c>
      <c r="G1013" s="7" t="s">
        <v>502</v>
      </c>
      <c r="H1013" s="6" t="n">
        <v>1.09</v>
      </c>
      <c r="I1013" s="6" t="n">
        <v>0</v>
      </c>
      <c r="J1013" s="40" t="n">
        <f aca="false">H1013-I1013</f>
        <v>1.09</v>
      </c>
      <c r="K1013" s="41" t="n">
        <v>165</v>
      </c>
      <c r="L1013" s="42" t="n">
        <f aca="false">J1013*K1013</f>
        <v>179.85</v>
      </c>
      <c r="M1013" s="43" t="n">
        <f aca="false">H1013*73.58*(1+'Chart of Accounts'!$E$67)</f>
        <v>91.831519</v>
      </c>
    </row>
    <row r="1014" customFormat="false" ht="15" hidden="false" customHeight="false" outlineLevel="0" collapsed="false">
      <c r="B1014" s="7" t="s">
        <v>1511</v>
      </c>
      <c r="C1014" s="39" t="n">
        <v>45709</v>
      </c>
      <c r="D1014" s="7" t="s">
        <v>371</v>
      </c>
      <c r="E1014" s="7" t="s">
        <v>154</v>
      </c>
      <c r="F1014" s="7" t="s">
        <v>232</v>
      </c>
      <c r="G1014" s="7" t="s">
        <v>505</v>
      </c>
      <c r="H1014" s="6" t="n">
        <v>4.8</v>
      </c>
      <c r="I1014" s="6" t="n">
        <v>0</v>
      </c>
      <c r="J1014" s="40" t="n">
        <f aca="false">H1014-I1014</f>
        <v>4.8</v>
      </c>
      <c r="K1014" s="41" t="n">
        <v>26.5</v>
      </c>
      <c r="L1014" s="42" t="n">
        <f aca="false">J1014*K1014</f>
        <v>127.2</v>
      </c>
      <c r="M1014" s="43" t="n">
        <f aca="false">H1014*16.17*(1+'Chart of Accounts'!$E$67)</f>
        <v>88.87032</v>
      </c>
    </row>
    <row r="1015" customFormat="false" ht="15" hidden="false" customHeight="false" outlineLevel="0" collapsed="false">
      <c r="B1015" s="7" t="s">
        <v>1512</v>
      </c>
      <c r="C1015" s="39" t="n">
        <v>45709</v>
      </c>
      <c r="D1015" s="7" t="s">
        <v>379</v>
      </c>
      <c r="E1015" s="7" t="s">
        <v>156</v>
      </c>
      <c r="F1015" s="7" t="s">
        <v>224</v>
      </c>
      <c r="G1015" s="7" t="s">
        <v>505</v>
      </c>
      <c r="H1015" s="6" t="n">
        <v>4.63</v>
      </c>
      <c r="I1015" s="6" t="n">
        <v>0</v>
      </c>
      <c r="J1015" s="40" t="n">
        <f aca="false">H1015-I1015</f>
        <v>4.63</v>
      </c>
      <c r="K1015" s="41" t="n">
        <v>34</v>
      </c>
      <c r="L1015" s="42" t="n">
        <f aca="false">J1015*K1015</f>
        <v>157.42</v>
      </c>
      <c r="M1015" s="43" t="n">
        <f aca="false">H1015*14.93*(1+'Chart of Accounts'!$E$67)</f>
        <v>79.1491555</v>
      </c>
    </row>
    <row r="1016" customFormat="false" ht="15" hidden="false" customHeight="false" outlineLevel="0" collapsed="false">
      <c r="B1016" s="7" t="s">
        <v>1513</v>
      </c>
      <c r="C1016" s="39" t="n">
        <v>45709</v>
      </c>
      <c r="D1016" s="7" t="s">
        <v>381</v>
      </c>
      <c r="E1016" s="7" t="s">
        <v>157</v>
      </c>
      <c r="F1016" s="7" t="s">
        <v>234</v>
      </c>
      <c r="G1016" s="7" t="s">
        <v>502</v>
      </c>
      <c r="H1016" s="6" t="n">
        <v>1.07</v>
      </c>
      <c r="I1016" s="6" t="n">
        <v>0.054</v>
      </c>
      <c r="J1016" s="40" t="n">
        <f aca="false">H1016-I1016</f>
        <v>1.016</v>
      </c>
      <c r="K1016" s="41" t="n">
        <v>165</v>
      </c>
      <c r="L1016" s="42" t="n">
        <f aca="false">J1016*K1016</f>
        <v>167.64</v>
      </c>
      <c r="M1016" s="43" t="n">
        <f aca="false">H1016*89.53*(1+'Chart of Accounts'!$E$67)</f>
        <v>109.6876795</v>
      </c>
    </row>
    <row r="1017" customFormat="false" ht="15" hidden="false" customHeight="false" outlineLevel="0" collapsed="false">
      <c r="B1017" s="7" t="s">
        <v>1514</v>
      </c>
      <c r="C1017" s="39" t="n">
        <v>45709</v>
      </c>
      <c r="D1017" s="7" t="s">
        <v>389</v>
      </c>
      <c r="E1017" s="7" t="s">
        <v>154</v>
      </c>
      <c r="F1017" s="7" t="s">
        <v>246</v>
      </c>
      <c r="G1017" s="7" t="s">
        <v>505</v>
      </c>
      <c r="H1017" s="6" t="n">
        <v>4</v>
      </c>
      <c r="I1017" s="6" t="n">
        <v>0.12</v>
      </c>
      <c r="J1017" s="40" t="n">
        <f aca="false">H1017-I1017</f>
        <v>3.88</v>
      </c>
      <c r="K1017" s="41" t="n">
        <v>26.5</v>
      </c>
      <c r="L1017" s="42" t="n">
        <f aca="false">J1017*K1017</f>
        <v>102.82</v>
      </c>
      <c r="M1017" s="43" t="n">
        <f aca="false">H1017*16.48*(1+'Chart of Accounts'!$E$67)</f>
        <v>75.4784</v>
      </c>
    </row>
    <row r="1018" customFormat="false" ht="15" hidden="false" customHeight="false" outlineLevel="0" collapsed="false">
      <c r="B1018" s="7" t="s">
        <v>1515</v>
      </c>
      <c r="C1018" s="39" t="n">
        <v>45709</v>
      </c>
      <c r="D1018" s="7" t="s">
        <v>391</v>
      </c>
      <c r="E1018" s="7" t="s">
        <v>156</v>
      </c>
      <c r="F1018" s="7" t="s">
        <v>222</v>
      </c>
      <c r="G1018" s="7" t="s">
        <v>505</v>
      </c>
      <c r="H1018" s="6" t="n">
        <v>3.93</v>
      </c>
      <c r="I1018" s="6" t="n">
        <v>0</v>
      </c>
      <c r="J1018" s="40" t="n">
        <f aca="false">H1018-I1018</f>
        <v>3.93</v>
      </c>
      <c r="K1018" s="41" t="n">
        <v>34</v>
      </c>
      <c r="L1018" s="42" t="n">
        <f aca="false">J1018*K1018</f>
        <v>133.62</v>
      </c>
      <c r="M1018" s="43" t="n">
        <f aca="false">H1018*17.84*(1+'Chart of Accounts'!$E$67)</f>
        <v>80.277324</v>
      </c>
    </row>
    <row r="1019" customFormat="false" ht="15" hidden="false" customHeight="false" outlineLevel="0" collapsed="false">
      <c r="B1019" s="7" t="s">
        <v>1516</v>
      </c>
      <c r="C1019" s="39" t="n">
        <v>45709</v>
      </c>
      <c r="D1019" s="7" t="s">
        <v>395</v>
      </c>
      <c r="E1019" s="7" t="s">
        <v>156</v>
      </c>
      <c r="F1019" s="7" t="s">
        <v>242</v>
      </c>
      <c r="G1019" s="7" t="s">
        <v>505</v>
      </c>
      <c r="H1019" s="6" t="n">
        <v>3.67</v>
      </c>
      <c r="I1019" s="6" t="n">
        <v>0</v>
      </c>
      <c r="J1019" s="40" t="n">
        <f aca="false">H1019-I1019</f>
        <v>3.67</v>
      </c>
      <c r="K1019" s="41" t="n">
        <v>34</v>
      </c>
      <c r="L1019" s="42" t="n">
        <f aca="false">J1019*K1019</f>
        <v>124.78</v>
      </c>
      <c r="M1019" s="43" t="n">
        <f aca="false">H1019*17.99*(1+'Chart of Accounts'!$E$67)</f>
        <v>75.5966785</v>
      </c>
    </row>
    <row r="1020" customFormat="false" ht="15" hidden="false" customHeight="false" outlineLevel="0" collapsed="false">
      <c r="B1020" s="7" t="s">
        <v>1517</v>
      </c>
      <c r="C1020" s="39" t="n">
        <v>45709</v>
      </c>
      <c r="D1020" s="7" t="s">
        <v>397</v>
      </c>
      <c r="E1020" s="7" t="s">
        <v>159</v>
      </c>
      <c r="F1020" s="7" t="s">
        <v>203</v>
      </c>
      <c r="G1020" s="7" t="s">
        <v>502</v>
      </c>
      <c r="H1020" s="6" t="n">
        <v>0.96</v>
      </c>
      <c r="I1020" s="6" t="n">
        <v>0</v>
      </c>
      <c r="J1020" s="40" t="n">
        <f aca="false">H1020-I1020</f>
        <v>0.96</v>
      </c>
      <c r="K1020" s="41" t="n">
        <v>135</v>
      </c>
      <c r="L1020" s="42" t="n">
        <f aca="false">J1020*K1020</f>
        <v>129.6</v>
      </c>
      <c r="M1020" s="43" t="n">
        <f aca="false">H1020*49.43*(1+'Chart of Accounts'!$E$67)</f>
        <v>54.333456</v>
      </c>
    </row>
    <row r="1021" customFormat="false" ht="15" hidden="false" customHeight="false" outlineLevel="0" collapsed="false">
      <c r="B1021" s="7" t="s">
        <v>1518</v>
      </c>
      <c r="C1021" s="39" t="n">
        <v>45709</v>
      </c>
      <c r="D1021" s="7" t="s">
        <v>399</v>
      </c>
      <c r="E1021" s="7" t="s">
        <v>154</v>
      </c>
      <c r="F1021" s="7" t="s">
        <v>262</v>
      </c>
      <c r="G1021" s="7" t="s">
        <v>505</v>
      </c>
      <c r="H1021" s="6" t="n">
        <v>3.45</v>
      </c>
      <c r="I1021" s="6" t="n">
        <v>0</v>
      </c>
      <c r="J1021" s="40" t="n">
        <f aca="false">H1021-I1021</f>
        <v>3.45</v>
      </c>
      <c r="K1021" s="41" t="n">
        <v>26.5</v>
      </c>
      <c r="L1021" s="42" t="n">
        <f aca="false">J1021*K1021</f>
        <v>91.425</v>
      </c>
      <c r="M1021" s="43" t="n">
        <f aca="false">H1021*16.02*(1+'Chart of Accounts'!$E$67)</f>
        <v>63.283005</v>
      </c>
    </row>
    <row r="1022" customFormat="false" ht="15" hidden="false" customHeight="false" outlineLevel="0" collapsed="false">
      <c r="B1022" s="7" t="s">
        <v>1519</v>
      </c>
      <c r="C1022" s="39" t="n">
        <v>45709</v>
      </c>
      <c r="D1022" s="7" t="s">
        <v>401</v>
      </c>
      <c r="E1022" s="7" t="s">
        <v>156</v>
      </c>
      <c r="F1022" s="7" t="s">
        <v>254</v>
      </c>
      <c r="G1022" s="7" t="s">
        <v>505</v>
      </c>
      <c r="H1022" s="6" t="n">
        <v>3.64</v>
      </c>
      <c r="I1022" s="6" t="n">
        <v>0</v>
      </c>
      <c r="J1022" s="40" t="n">
        <f aca="false">H1022-I1022</f>
        <v>3.64</v>
      </c>
      <c r="K1022" s="41" t="n">
        <v>34</v>
      </c>
      <c r="L1022" s="42" t="n">
        <f aca="false">J1022*K1022</f>
        <v>123.76</v>
      </c>
      <c r="M1022" s="43" t="n">
        <f aca="false">H1022*17.1*(1+'Chart of Accounts'!$E$67)</f>
        <v>71.26938</v>
      </c>
    </row>
    <row r="1023" customFormat="false" ht="15" hidden="false" customHeight="false" outlineLevel="0" collapsed="false">
      <c r="B1023" s="7" t="s">
        <v>1520</v>
      </c>
      <c r="C1023" s="39" t="n">
        <v>45709</v>
      </c>
      <c r="D1023" s="7" t="s">
        <v>407</v>
      </c>
      <c r="E1023" s="7" t="s">
        <v>159</v>
      </c>
      <c r="F1023" s="7" t="s">
        <v>260</v>
      </c>
      <c r="G1023" s="7" t="s">
        <v>502</v>
      </c>
      <c r="H1023" s="6" t="n">
        <v>1.01</v>
      </c>
      <c r="I1023" s="6" t="n">
        <v>0</v>
      </c>
      <c r="J1023" s="40" t="n">
        <f aca="false">H1023-I1023</f>
        <v>1.01</v>
      </c>
      <c r="K1023" s="41" t="n">
        <v>135</v>
      </c>
      <c r="L1023" s="42" t="n">
        <f aca="false">J1023*K1023</f>
        <v>136.35</v>
      </c>
      <c r="M1023" s="43" t="n">
        <f aca="false">H1023*79.8*(1+'Chart of Accounts'!$E$67)</f>
        <v>92.28471</v>
      </c>
    </row>
    <row r="1024" customFormat="false" ht="15" hidden="false" customHeight="false" outlineLevel="0" collapsed="false">
      <c r="B1024" s="7" t="s">
        <v>1521</v>
      </c>
      <c r="C1024" s="39" t="n">
        <v>45709</v>
      </c>
      <c r="D1024" s="7" t="s">
        <v>409</v>
      </c>
      <c r="E1024" s="7" t="s">
        <v>154</v>
      </c>
      <c r="F1024" s="7" t="s">
        <v>214</v>
      </c>
      <c r="G1024" s="7" t="s">
        <v>505</v>
      </c>
      <c r="H1024" s="6" t="n">
        <v>3.44</v>
      </c>
      <c r="I1024" s="6" t="n">
        <v>0.103</v>
      </c>
      <c r="J1024" s="40" t="n">
        <f aca="false">H1024-I1024</f>
        <v>3.337</v>
      </c>
      <c r="K1024" s="41" t="n">
        <v>26.5</v>
      </c>
      <c r="L1024" s="42" t="n">
        <f aca="false">J1024*K1024</f>
        <v>88.4305</v>
      </c>
      <c r="M1024" s="43" t="n">
        <f aca="false">H1024*15.67*(1+'Chart of Accounts'!$E$67)</f>
        <v>61.720996</v>
      </c>
    </row>
    <row r="1025" customFormat="false" ht="15" hidden="false" customHeight="false" outlineLevel="0" collapsed="false">
      <c r="B1025" s="7" t="s">
        <v>1522</v>
      </c>
      <c r="C1025" s="39" t="n">
        <v>45709</v>
      </c>
      <c r="D1025" s="7" t="s">
        <v>411</v>
      </c>
      <c r="E1025" s="7" t="s">
        <v>154</v>
      </c>
      <c r="F1025" s="7" t="s">
        <v>177</v>
      </c>
      <c r="G1025" s="7" t="s">
        <v>505</v>
      </c>
      <c r="H1025" s="6" t="n">
        <v>4.91</v>
      </c>
      <c r="I1025" s="6" t="n">
        <v>0</v>
      </c>
      <c r="J1025" s="40" t="n">
        <f aca="false">H1025-I1025</f>
        <v>4.91</v>
      </c>
      <c r="K1025" s="41" t="n">
        <v>26.5</v>
      </c>
      <c r="L1025" s="42" t="n">
        <f aca="false">J1025*K1025</f>
        <v>130.115</v>
      </c>
      <c r="M1025" s="43" t="n">
        <f aca="false">H1025*14.56*(1+'Chart of Accounts'!$E$67)</f>
        <v>81.855592</v>
      </c>
    </row>
    <row r="1026" customFormat="false" ht="15" hidden="false" customHeight="false" outlineLevel="0" collapsed="false">
      <c r="B1026" s="7" t="s">
        <v>1523</v>
      </c>
      <c r="C1026" s="39" t="n">
        <v>45710</v>
      </c>
      <c r="D1026" s="7" t="s">
        <v>288</v>
      </c>
      <c r="E1026" s="7" t="s">
        <v>156</v>
      </c>
      <c r="F1026" s="7" t="s">
        <v>191</v>
      </c>
      <c r="G1026" s="7" t="s">
        <v>505</v>
      </c>
      <c r="H1026" s="6" t="n">
        <v>4.26</v>
      </c>
      <c r="I1026" s="6" t="n">
        <v>0</v>
      </c>
      <c r="J1026" s="40" t="n">
        <f aca="false">H1026-I1026</f>
        <v>4.26</v>
      </c>
      <c r="K1026" s="41" t="n">
        <v>34</v>
      </c>
      <c r="L1026" s="42" t="n">
        <f aca="false">J1026*K1026</f>
        <v>144.84</v>
      </c>
      <c r="M1026" s="43" t="n">
        <f aca="false">H1026*16.05*(1+'Chart of Accounts'!$E$67)</f>
        <v>78.287085</v>
      </c>
    </row>
    <row r="1027" customFormat="false" ht="15" hidden="false" customHeight="false" outlineLevel="0" collapsed="false">
      <c r="B1027" s="7" t="s">
        <v>1524</v>
      </c>
      <c r="C1027" s="39" t="n">
        <v>45710</v>
      </c>
      <c r="D1027" s="7" t="s">
        <v>321</v>
      </c>
      <c r="E1027" s="7" t="s">
        <v>154</v>
      </c>
      <c r="F1027" s="7" t="s">
        <v>218</v>
      </c>
      <c r="G1027" s="7" t="s">
        <v>505</v>
      </c>
      <c r="H1027" s="6" t="n">
        <v>4.02</v>
      </c>
      <c r="I1027" s="6" t="n">
        <v>0.121</v>
      </c>
      <c r="J1027" s="40" t="n">
        <f aca="false">H1027-I1027</f>
        <v>3.899</v>
      </c>
      <c r="K1027" s="41" t="n">
        <v>26.5</v>
      </c>
      <c r="L1027" s="42" t="n">
        <f aca="false">J1027*K1027</f>
        <v>103.3235</v>
      </c>
      <c r="M1027" s="43" t="n">
        <f aca="false">H1027*16.19*(1+'Chart of Accounts'!$E$67)</f>
        <v>74.520951</v>
      </c>
    </row>
    <row r="1028" customFormat="false" ht="15" hidden="false" customHeight="false" outlineLevel="0" collapsed="false">
      <c r="B1028" s="7" t="s">
        <v>1525</v>
      </c>
      <c r="C1028" s="39" t="n">
        <v>45710</v>
      </c>
      <c r="D1028" s="7" t="s">
        <v>359</v>
      </c>
      <c r="E1028" s="7" t="s">
        <v>156</v>
      </c>
      <c r="F1028" s="7" t="s">
        <v>212</v>
      </c>
      <c r="G1028" s="7" t="s">
        <v>505</v>
      </c>
      <c r="H1028" s="6" t="n">
        <v>3.73</v>
      </c>
      <c r="I1028" s="6" t="n">
        <v>0</v>
      </c>
      <c r="J1028" s="40" t="n">
        <f aca="false">H1028-I1028</f>
        <v>3.73</v>
      </c>
      <c r="K1028" s="41" t="n">
        <v>34</v>
      </c>
      <c r="L1028" s="42" t="n">
        <f aca="false">J1028*K1028</f>
        <v>126.82</v>
      </c>
      <c r="M1028" s="43" t="n">
        <f aca="false">H1028*16.71*(1+'Chart of Accounts'!$E$67)</f>
        <v>71.3659035</v>
      </c>
    </row>
    <row r="1029" customFormat="false" ht="15" hidden="false" customHeight="false" outlineLevel="0" collapsed="false">
      <c r="B1029" s="7" t="s">
        <v>1526</v>
      </c>
      <c r="C1029" s="39" t="n">
        <v>45710</v>
      </c>
      <c r="D1029" s="7" t="s">
        <v>391</v>
      </c>
      <c r="E1029" s="7" t="s">
        <v>156</v>
      </c>
      <c r="F1029" s="7" t="s">
        <v>222</v>
      </c>
      <c r="G1029" s="7" t="s">
        <v>505</v>
      </c>
      <c r="H1029" s="6" t="n">
        <v>4.18</v>
      </c>
      <c r="I1029" s="6" t="n">
        <v>0</v>
      </c>
      <c r="J1029" s="40" t="n">
        <f aca="false">H1029-I1029</f>
        <v>4.18</v>
      </c>
      <c r="K1029" s="41" t="n">
        <v>34</v>
      </c>
      <c r="L1029" s="42" t="n">
        <f aca="false">J1029*K1029</f>
        <v>142.12</v>
      </c>
      <c r="M1029" s="43" t="n">
        <f aca="false">H1029*17.84*(1+'Chart of Accounts'!$E$67)</f>
        <v>85.384024</v>
      </c>
    </row>
    <row r="1030" customFormat="false" ht="15" hidden="false" customHeight="false" outlineLevel="0" collapsed="false">
      <c r="B1030" s="7" t="s">
        <v>1527</v>
      </c>
      <c r="C1030" s="39" t="n">
        <v>45710</v>
      </c>
      <c r="D1030" s="7" t="s">
        <v>395</v>
      </c>
      <c r="E1030" s="7" t="s">
        <v>156</v>
      </c>
      <c r="F1030" s="7" t="s">
        <v>242</v>
      </c>
      <c r="G1030" s="7" t="s">
        <v>505</v>
      </c>
      <c r="H1030" s="6" t="n">
        <v>3.75</v>
      </c>
      <c r="I1030" s="6" t="n">
        <v>0</v>
      </c>
      <c r="J1030" s="40" t="n">
        <f aca="false">H1030-I1030</f>
        <v>3.75</v>
      </c>
      <c r="K1030" s="41" t="n">
        <v>34</v>
      </c>
      <c r="L1030" s="42" t="n">
        <f aca="false">J1030*K1030</f>
        <v>127.5</v>
      </c>
      <c r="M1030" s="43" t="n">
        <f aca="false">H1030*17.99*(1+'Chart of Accounts'!$E$67)</f>
        <v>77.2445625</v>
      </c>
    </row>
    <row r="1031" customFormat="false" ht="15" hidden="false" customHeight="false" outlineLevel="0" collapsed="false">
      <c r="B1031" s="7" t="s">
        <v>1528</v>
      </c>
      <c r="C1031" s="39" t="n">
        <v>45710</v>
      </c>
      <c r="D1031" s="7" t="s">
        <v>401</v>
      </c>
      <c r="E1031" s="7" t="s">
        <v>156</v>
      </c>
      <c r="F1031" s="7" t="s">
        <v>254</v>
      </c>
      <c r="G1031" s="7" t="s">
        <v>505</v>
      </c>
      <c r="H1031" s="6" t="n">
        <v>3.97</v>
      </c>
      <c r="I1031" s="6" t="n">
        <v>0</v>
      </c>
      <c r="J1031" s="40" t="n">
        <f aca="false">H1031-I1031</f>
        <v>3.97</v>
      </c>
      <c r="K1031" s="41" t="n">
        <v>34</v>
      </c>
      <c r="L1031" s="42" t="n">
        <f aca="false">J1031*K1031</f>
        <v>134.98</v>
      </c>
      <c r="M1031" s="43" t="n">
        <f aca="false">H1031*17.1*(1+'Chart of Accounts'!$E$67)</f>
        <v>77.730615</v>
      </c>
    </row>
    <row r="1032" customFormat="false" ht="15" hidden="false" customHeight="false" outlineLevel="0" collapsed="false">
      <c r="B1032" s="7" t="s">
        <v>1529</v>
      </c>
      <c r="C1032" s="39" t="n">
        <v>45711</v>
      </c>
      <c r="D1032" s="7" t="s">
        <v>288</v>
      </c>
      <c r="E1032" s="7" t="s">
        <v>156</v>
      </c>
      <c r="F1032" s="7" t="s">
        <v>191</v>
      </c>
      <c r="G1032" s="7" t="s">
        <v>505</v>
      </c>
      <c r="H1032" s="6" t="n">
        <v>3.69</v>
      </c>
      <c r="I1032" s="6" t="n">
        <v>0</v>
      </c>
      <c r="J1032" s="40" t="n">
        <f aca="false">H1032-I1032</f>
        <v>3.69</v>
      </c>
      <c r="K1032" s="41" t="n">
        <v>34</v>
      </c>
      <c r="L1032" s="42" t="n">
        <f aca="false">J1032*K1032</f>
        <v>125.46</v>
      </c>
      <c r="M1032" s="43" t="n">
        <f aca="false">H1032*16.05*(1+'Chart of Accounts'!$E$67)</f>
        <v>67.8120525</v>
      </c>
    </row>
    <row r="1033" customFormat="false" ht="15" hidden="false" customHeight="false" outlineLevel="0" collapsed="false">
      <c r="B1033" s="7" t="s">
        <v>1530</v>
      </c>
      <c r="C1033" s="39" t="n">
        <v>45711</v>
      </c>
      <c r="D1033" s="7" t="s">
        <v>321</v>
      </c>
      <c r="E1033" s="7" t="s">
        <v>154</v>
      </c>
      <c r="F1033" s="7" t="s">
        <v>218</v>
      </c>
      <c r="G1033" s="7" t="s">
        <v>505</v>
      </c>
      <c r="H1033" s="6" t="n">
        <v>4.27</v>
      </c>
      <c r="I1033" s="6" t="n">
        <v>0</v>
      </c>
      <c r="J1033" s="40" t="n">
        <f aca="false">H1033-I1033</f>
        <v>4.27</v>
      </c>
      <c r="K1033" s="41" t="n">
        <v>26.5</v>
      </c>
      <c r="L1033" s="42" t="n">
        <f aca="false">J1033*K1033</f>
        <v>113.155</v>
      </c>
      <c r="M1033" s="43" t="n">
        <f aca="false">H1033*16.19*(1+'Chart of Accounts'!$E$67)</f>
        <v>79.1553385</v>
      </c>
    </row>
    <row r="1034" customFormat="false" ht="15" hidden="false" customHeight="false" outlineLevel="0" collapsed="false">
      <c r="B1034" s="7" t="s">
        <v>1531</v>
      </c>
      <c r="C1034" s="39" t="n">
        <v>45711</v>
      </c>
      <c r="D1034" s="7" t="s">
        <v>359</v>
      </c>
      <c r="E1034" s="7" t="s">
        <v>156</v>
      </c>
      <c r="F1034" s="7" t="s">
        <v>212</v>
      </c>
      <c r="G1034" s="7" t="s">
        <v>505</v>
      </c>
      <c r="H1034" s="6" t="n">
        <v>3.96</v>
      </c>
      <c r="I1034" s="6" t="n">
        <v>0</v>
      </c>
      <c r="J1034" s="40" t="n">
        <f aca="false">H1034-I1034</f>
        <v>3.96</v>
      </c>
      <c r="K1034" s="41" t="n">
        <v>34</v>
      </c>
      <c r="L1034" s="42" t="n">
        <f aca="false">J1034*K1034</f>
        <v>134.64</v>
      </c>
      <c r="M1034" s="43" t="n">
        <f aca="false">H1034*16.71*(1+'Chart of Accounts'!$E$67)</f>
        <v>75.766482</v>
      </c>
    </row>
    <row r="1035" customFormat="false" ht="15" hidden="false" customHeight="false" outlineLevel="0" collapsed="false">
      <c r="B1035" s="7" t="s">
        <v>1532</v>
      </c>
      <c r="C1035" s="39" t="n">
        <v>45711</v>
      </c>
      <c r="D1035" s="7" t="s">
        <v>391</v>
      </c>
      <c r="E1035" s="7" t="s">
        <v>156</v>
      </c>
      <c r="F1035" s="7" t="s">
        <v>222</v>
      </c>
      <c r="G1035" s="7" t="s">
        <v>505</v>
      </c>
      <c r="H1035" s="6" t="n">
        <v>3.71</v>
      </c>
      <c r="I1035" s="6" t="n">
        <v>0</v>
      </c>
      <c r="J1035" s="40" t="n">
        <f aca="false">H1035-I1035</f>
        <v>3.71</v>
      </c>
      <c r="K1035" s="41" t="n">
        <v>34</v>
      </c>
      <c r="L1035" s="42" t="n">
        <f aca="false">J1035*K1035</f>
        <v>126.14</v>
      </c>
      <c r="M1035" s="43" t="n">
        <f aca="false">H1035*17.84*(1+'Chart of Accounts'!$E$67)</f>
        <v>75.783428</v>
      </c>
    </row>
    <row r="1036" customFormat="false" ht="15" hidden="false" customHeight="false" outlineLevel="0" collapsed="false">
      <c r="B1036" s="7" t="s">
        <v>1533</v>
      </c>
      <c r="C1036" s="39" t="n">
        <v>45711</v>
      </c>
      <c r="D1036" s="7" t="s">
        <v>395</v>
      </c>
      <c r="E1036" s="7" t="s">
        <v>156</v>
      </c>
      <c r="F1036" s="7" t="s">
        <v>242</v>
      </c>
      <c r="G1036" s="7" t="s">
        <v>505</v>
      </c>
      <c r="H1036" s="6" t="n">
        <v>3.64</v>
      </c>
      <c r="I1036" s="6" t="n">
        <v>0</v>
      </c>
      <c r="J1036" s="40" t="n">
        <f aca="false">H1036-I1036</f>
        <v>3.64</v>
      </c>
      <c r="K1036" s="41" t="n">
        <v>34</v>
      </c>
      <c r="L1036" s="42" t="n">
        <f aca="false">J1036*K1036</f>
        <v>123.76</v>
      </c>
      <c r="M1036" s="43" t="n">
        <f aca="false">H1036*17.99*(1+'Chart of Accounts'!$E$67)</f>
        <v>74.978722</v>
      </c>
    </row>
    <row r="1037" customFormat="false" ht="15" hidden="false" customHeight="false" outlineLevel="0" collapsed="false">
      <c r="B1037" s="7" t="s">
        <v>1534</v>
      </c>
      <c r="C1037" s="39" t="n">
        <v>45711</v>
      </c>
      <c r="D1037" s="7" t="s">
        <v>401</v>
      </c>
      <c r="E1037" s="7" t="s">
        <v>156</v>
      </c>
      <c r="F1037" s="7" t="s">
        <v>254</v>
      </c>
      <c r="G1037" s="7" t="s">
        <v>505</v>
      </c>
      <c r="H1037" s="6" t="n">
        <v>3.99</v>
      </c>
      <c r="I1037" s="6" t="n">
        <v>0</v>
      </c>
      <c r="J1037" s="40" t="n">
        <f aca="false">H1037-I1037</f>
        <v>3.99</v>
      </c>
      <c r="K1037" s="41" t="n">
        <v>34</v>
      </c>
      <c r="L1037" s="42" t="n">
        <f aca="false">J1037*K1037</f>
        <v>135.66</v>
      </c>
      <c r="M1037" s="43" t="n">
        <f aca="false">H1037*17.1*(1+'Chart of Accounts'!$E$67)</f>
        <v>78.122205</v>
      </c>
    </row>
    <row r="1038" customFormat="false" ht="15" hidden="false" customHeight="false" outlineLevel="0" collapsed="false">
      <c r="B1038" s="7" t="s">
        <v>1535</v>
      </c>
      <c r="C1038" s="39" t="n">
        <v>45712</v>
      </c>
      <c r="D1038" s="7" t="s">
        <v>280</v>
      </c>
      <c r="E1038" s="7" t="s">
        <v>157</v>
      </c>
      <c r="F1038" s="7" t="s">
        <v>187</v>
      </c>
      <c r="G1038" s="7" t="s">
        <v>502</v>
      </c>
      <c r="H1038" s="6" t="n">
        <v>0.94</v>
      </c>
      <c r="I1038" s="6" t="n">
        <v>0</v>
      </c>
      <c r="J1038" s="40" t="n">
        <f aca="false">H1038-I1038</f>
        <v>0.94</v>
      </c>
      <c r="K1038" s="41" t="n">
        <v>165</v>
      </c>
      <c r="L1038" s="42" t="n">
        <f aca="false">J1038*K1038</f>
        <v>155.1</v>
      </c>
      <c r="M1038" s="43" t="n">
        <f aca="false">H1038*66.48*(1+'Chart of Accounts'!$E$67)</f>
        <v>71.552424</v>
      </c>
    </row>
    <row r="1039" customFormat="false" ht="15" hidden="false" customHeight="false" outlineLevel="0" collapsed="false">
      <c r="B1039" s="7" t="s">
        <v>1536</v>
      </c>
      <c r="C1039" s="39" t="n">
        <v>45712</v>
      </c>
      <c r="D1039" s="7" t="s">
        <v>288</v>
      </c>
      <c r="E1039" s="7" t="s">
        <v>156</v>
      </c>
      <c r="F1039" s="7" t="s">
        <v>191</v>
      </c>
      <c r="G1039" s="7" t="s">
        <v>505</v>
      </c>
      <c r="H1039" s="6" t="n">
        <v>3.7</v>
      </c>
      <c r="I1039" s="6" t="n">
        <v>0</v>
      </c>
      <c r="J1039" s="40" t="n">
        <f aca="false">H1039-I1039</f>
        <v>3.7</v>
      </c>
      <c r="K1039" s="41" t="n">
        <v>34</v>
      </c>
      <c r="L1039" s="42" t="n">
        <f aca="false">J1039*K1039</f>
        <v>125.8</v>
      </c>
      <c r="M1039" s="43" t="n">
        <f aca="false">H1039*16.05*(1+'Chart of Accounts'!$E$67)</f>
        <v>67.995825</v>
      </c>
    </row>
    <row r="1040" customFormat="false" ht="15" hidden="false" customHeight="false" outlineLevel="0" collapsed="false">
      <c r="B1040" s="7" t="s">
        <v>1537</v>
      </c>
      <c r="C1040" s="39" t="n">
        <v>45712</v>
      </c>
      <c r="D1040" s="7" t="s">
        <v>291</v>
      </c>
      <c r="E1040" s="7" t="s">
        <v>154</v>
      </c>
      <c r="F1040" s="7" t="s">
        <v>194</v>
      </c>
      <c r="G1040" s="7" t="s">
        <v>505</v>
      </c>
      <c r="H1040" s="6" t="n">
        <v>5.02</v>
      </c>
      <c r="I1040" s="6" t="n">
        <v>0</v>
      </c>
      <c r="J1040" s="40" t="n">
        <f aca="false">H1040-I1040</f>
        <v>5.02</v>
      </c>
      <c r="K1040" s="41" t="n">
        <v>26.5</v>
      </c>
      <c r="L1040" s="42" t="n">
        <f aca="false">J1040*K1040</f>
        <v>133.03</v>
      </c>
      <c r="M1040" s="43" t="n">
        <f aca="false">H1040*16*(1+'Chart of Accounts'!$E$67)</f>
        <v>91.9664</v>
      </c>
    </row>
    <row r="1041" customFormat="false" ht="15" hidden="false" customHeight="false" outlineLevel="0" collapsed="false">
      <c r="B1041" s="7" t="s">
        <v>1538</v>
      </c>
      <c r="C1041" s="39" t="n">
        <v>45712</v>
      </c>
      <c r="D1041" s="7" t="s">
        <v>297</v>
      </c>
      <c r="E1041" s="7" t="s">
        <v>156</v>
      </c>
      <c r="F1041" s="7" t="s">
        <v>201</v>
      </c>
      <c r="G1041" s="7" t="s">
        <v>505</v>
      </c>
      <c r="H1041" s="6" t="n">
        <v>3.29</v>
      </c>
      <c r="I1041" s="6" t="n">
        <v>0</v>
      </c>
      <c r="J1041" s="40" t="n">
        <f aca="false">H1041-I1041</f>
        <v>3.29</v>
      </c>
      <c r="K1041" s="41" t="n">
        <v>34</v>
      </c>
      <c r="L1041" s="42" t="n">
        <f aca="false">J1041*K1041</f>
        <v>111.86</v>
      </c>
      <c r="M1041" s="43" t="n">
        <f aca="false">H1041*15.19*(1+'Chart of Accounts'!$E$67)</f>
        <v>57.2214895</v>
      </c>
    </row>
    <row r="1042" customFormat="false" ht="15" hidden="false" customHeight="false" outlineLevel="0" collapsed="false">
      <c r="B1042" s="7" t="s">
        <v>1539</v>
      </c>
      <c r="C1042" s="39" t="n">
        <v>45712</v>
      </c>
      <c r="D1042" s="7" t="s">
        <v>305</v>
      </c>
      <c r="E1042" s="7" t="s">
        <v>154</v>
      </c>
      <c r="F1042" s="7" t="s">
        <v>205</v>
      </c>
      <c r="G1042" s="7" t="s">
        <v>505</v>
      </c>
      <c r="H1042" s="6" t="n">
        <v>3.82</v>
      </c>
      <c r="I1042" s="6" t="n">
        <v>0</v>
      </c>
      <c r="J1042" s="40" t="n">
        <f aca="false">H1042-I1042</f>
        <v>3.82</v>
      </c>
      <c r="K1042" s="41" t="n">
        <v>26.5</v>
      </c>
      <c r="L1042" s="42" t="n">
        <f aca="false">J1042*K1042</f>
        <v>101.23</v>
      </c>
      <c r="M1042" s="43" t="n">
        <f aca="false">H1042*16.36*(1+'Chart of Accounts'!$E$67)</f>
        <v>71.557004</v>
      </c>
    </row>
    <row r="1043" customFormat="false" ht="15" hidden="false" customHeight="false" outlineLevel="0" collapsed="false">
      <c r="B1043" s="7" t="s">
        <v>1540</v>
      </c>
      <c r="C1043" s="39" t="n">
        <v>45712</v>
      </c>
      <c r="D1043" s="7" t="s">
        <v>309</v>
      </c>
      <c r="E1043" s="7" t="s">
        <v>159</v>
      </c>
      <c r="F1043" s="7" t="s">
        <v>252</v>
      </c>
      <c r="G1043" s="7" t="s">
        <v>502</v>
      </c>
      <c r="H1043" s="6" t="n">
        <v>0.99</v>
      </c>
      <c r="I1043" s="6" t="n">
        <v>0</v>
      </c>
      <c r="J1043" s="40" t="n">
        <f aca="false">H1043-I1043</f>
        <v>0.99</v>
      </c>
      <c r="K1043" s="41" t="n">
        <v>135</v>
      </c>
      <c r="L1043" s="42" t="n">
        <f aca="false">J1043*K1043</f>
        <v>133.65</v>
      </c>
      <c r="M1043" s="43" t="n">
        <f aca="false">H1043*57.54*(1+'Chart of Accounts'!$E$67)</f>
        <v>65.224467</v>
      </c>
    </row>
    <row r="1044" customFormat="false" ht="15" hidden="false" customHeight="false" outlineLevel="0" collapsed="false">
      <c r="B1044" s="7" t="s">
        <v>1541</v>
      </c>
      <c r="C1044" s="39" t="n">
        <v>45712</v>
      </c>
      <c r="D1044" s="7" t="s">
        <v>311</v>
      </c>
      <c r="E1044" s="7" t="s">
        <v>154</v>
      </c>
      <c r="F1044" s="7" t="s">
        <v>196</v>
      </c>
      <c r="G1044" s="7" t="s">
        <v>505</v>
      </c>
      <c r="H1044" s="6" t="n">
        <v>3.12</v>
      </c>
      <c r="I1044" s="6" t="n">
        <v>0</v>
      </c>
      <c r="J1044" s="40" t="n">
        <f aca="false">H1044-I1044</f>
        <v>3.12</v>
      </c>
      <c r="K1044" s="41" t="n">
        <v>26.5</v>
      </c>
      <c r="L1044" s="42" t="n">
        <f aca="false">J1044*K1044</f>
        <v>82.68</v>
      </c>
      <c r="M1044" s="43" t="n">
        <f aca="false">H1044*15.05*(1+'Chart of Accounts'!$E$67)</f>
        <v>53.76462</v>
      </c>
    </row>
    <row r="1045" customFormat="false" ht="15" hidden="false" customHeight="false" outlineLevel="0" collapsed="false">
      <c r="B1045" s="7" t="s">
        <v>1542</v>
      </c>
      <c r="C1045" s="39" t="n">
        <v>45712</v>
      </c>
      <c r="D1045" s="7" t="s">
        <v>313</v>
      </c>
      <c r="E1045" s="7" t="s">
        <v>156</v>
      </c>
      <c r="F1045" s="7" t="s">
        <v>184</v>
      </c>
      <c r="G1045" s="7" t="s">
        <v>505</v>
      </c>
      <c r="H1045" s="6" t="n">
        <v>4.16</v>
      </c>
      <c r="I1045" s="6" t="n">
        <v>0</v>
      </c>
      <c r="J1045" s="40" t="n">
        <f aca="false">H1045-I1045</f>
        <v>4.16</v>
      </c>
      <c r="K1045" s="41" t="n">
        <v>34</v>
      </c>
      <c r="L1045" s="42" t="n">
        <f aca="false">J1045*K1045</f>
        <v>141.44</v>
      </c>
      <c r="M1045" s="43" t="n">
        <f aca="false">H1045*17.34*(1+'Chart of Accounts'!$E$67)</f>
        <v>82.593888</v>
      </c>
    </row>
    <row r="1046" customFormat="false" ht="15" hidden="false" customHeight="false" outlineLevel="0" collapsed="false">
      <c r="B1046" s="7" t="s">
        <v>1543</v>
      </c>
      <c r="C1046" s="39" t="n">
        <v>45712</v>
      </c>
      <c r="D1046" s="7" t="s">
        <v>317</v>
      </c>
      <c r="E1046" s="7" t="s">
        <v>156</v>
      </c>
      <c r="F1046" s="7" t="s">
        <v>207</v>
      </c>
      <c r="G1046" s="7" t="s">
        <v>505</v>
      </c>
      <c r="H1046" s="6" t="n">
        <v>3.26</v>
      </c>
      <c r="I1046" s="6" t="n">
        <v>0</v>
      </c>
      <c r="J1046" s="40" t="n">
        <f aca="false">H1046-I1046</f>
        <v>3.26</v>
      </c>
      <c r="K1046" s="41" t="n">
        <v>34</v>
      </c>
      <c r="L1046" s="42" t="n">
        <f aca="false">J1046*K1046</f>
        <v>110.84</v>
      </c>
      <c r="M1046" s="43" t="n">
        <f aca="false">H1046*16.65*(1+'Chart of Accounts'!$E$67)</f>
        <v>62.149455</v>
      </c>
    </row>
    <row r="1047" customFormat="false" ht="15" hidden="false" customHeight="false" outlineLevel="0" collapsed="false">
      <c r="B1047" s="7" t="s">
        <v>1544</v>
      </c>
      <c r="C1047" s="39" t="n">
        <v>45712</v>
      </c>
      <c r="D1047" s="7" t="s">
        <v>321</v>
      </c>
      <c r="E1047" s="7" t="s">
        <v>154</v>
      </c>
      <c r="F1047" s="7" t="s">
        <v>218</v>
      </c>
      <c r="G1047" s="7" t="s">
        <v>505</v>
      </c>
      <c r="H1047" s="6" t="n">
        <v>4.1</v>
      </c>
      <c r="I1047" s="6" t="n">
        <v>0</v>
      </c>
      <c r="J1047" s="40" t="n">
        <f aca="false">H1047-I1047</f>
        <v>4.1</v>
      </c>
      <c r="K1047" s="41" t="n">
        <v>26.5</v>
      </c>
      <c r="L1047" s="42" t="n">
        <f aca="false">J1047*K1047</f>
        <v>108.65</v>
      </c>
      <c r="M1047" s="43" t="n">
        <f aca="false">H1047*16.19*(1+'Chart of Accounts'!$E$67)</f>
        <v>76.003955</v>
      </c>
    </row>
    <row r="1048" customFormat="false" ht="15" hidden="false" customHeight="false" outlineLevel="0" collapsed="false">
      <c r="B1048" s="7" t="s">
        <v>1545</v>
      </c>
      <c r="C1048" s="39" t="n">
        <v>45712</v>
      </c>
      <c r="D1048" s="7" t="s">
        <v>325</v>
      </c>
      <c r="E1048" s="7" t="s">
        <v>154</v>
      </c>
      <c r="F1048" s="7" t="s">
        <v>212</v>
      </c>
      <c r="G1048" s="7" t="s">
        <v>505</v>
      </c>
      <c r="H1048" s="6" t="n">
        <v>3.1</v>
      </c>
      <c r="I1048" s="6" t="n">
        <v>0</v>
      </c>
      <c r="J1048" s="40" t="n">
        <f aca="false">H1048-I1048</f>
        <v>3.1</v>
      </c>
      <c r="K1048" s="41" t="n">
        <v>26.5</v>
      </c>
      <c r="L1048" s="42" t="n">
        <f aca="false">J1048*K1048</f>
        <v>82.15</v>
      </c>
      <c r="M1048" s="43" t="n">
        <f aca="false">H1048*16.71*(1+'Chart of Accounts'!$E$67)</f>
        <v>59.312145</v>
      </c>
    </row>
    <row r="1049" customFormat="false" ht="15" hidden="false" customHeight="false" outlineLevel="0" collapsed="false">
      <c r="B1049" s="7" t="s">
        <v>1546</v>
      </c>
      <c r="C1049" s="39" t="n">
        <v>45712</v>
      </c>
      <c r="D1049" s="7" t="s">
        <v>329</v>
      </c>
      <c r="E1049" s="7" t="s">
        <v>156</v>
      </c>
      <c r="F1049" s="7" t="s">
        <v>220</v>
      </c>
      <c r="G1049" s="7" t="s">
        <v>505</v>
      </c>
      <c r="H1049" s="6" t="n">
        <v>4.37</v>
      </c>
      <c r="I1049" s="6" t="n">
        <v>0</v>
      </c>
      <c r="J1049" s="40" t="n">
        <f aca="false">H1049-I1049</f>
        <v>4.37</v>
      </c>
      <c r="K1049" s="41" t="n">
        <v>34</v>
      </c>
      <c r="L1049" s="42" t="n">
        <f aca="false">J1049*K1049</f>
        <v>148.58</v>
      </c>
      <c r="M1049" s="43" t="n">
        <f aca="false">H1049*16.43*(1+'Chart of Accounts'!$E$67)</f>
        <v>82.2099695</v>
      </c>
    </row>
    <row r="1050" customFormat="false" ht="15" hidden="false" customHeight="false" outlineLevel="0" collapsed="false">
      <c r="B1050" s="7" t="s">
        <v>1547</v>
      </c>
      <c r="C1050" s="39" t="n">
        <v>45712</v>
      </c>
      <c r="D1050" s="7" t="s">
        <v>331</v>
      </c>
      <c r="E1050" s="7" t="s">
        <v>156</v>
      </c>
      <c r="F1050" s="7" t="s">
        <v>224</v>
      </c>
      <c r="G1050" s="7" t="s">
        <v>505</v>
      </c>
      <c r="H1050" s="6" t="n">
        <v>3.86</v>
      </c>
      <c r="I1050" s="6" t="n">
        <v>0</v>
      </c>
      <c r="J1050" s="40" t="n">
        <f aca="false">H1050-I1050</f>
        <v>3.86</v>
      </c>
      <c r="K1050" s="41" t="n">
        <v>34</v>
      </c>
      <c r="L1050" s="42" t="n">
        <f aca="false">J1050*K1050</f>
        <v>131.24</v>
      </c>
      <c r="M1050" s="43" t="n">
        <f aca="false">H1050*14.93*(1+'Chart of Accounts'!$E$67)</f>
        <v>65.986121</v>
      </c>
    </row>
    <row r="1051" customFormat="false" ht="15" hidden="false" customHeight="false" outlineLevel="0" collapsed="false">
      <c r="B1051" s="7" t="s">
        <v>1548</v>
      </c>
      <c r="C1051" s="39" t="n">
        <v>45712</v>
      </c>
      <c r="D1051" s="7" t="s">
        <v>335</v>
      </c>
      <c r="E1051" s="7" t="s">
        <v>154</v>
      </c>
      <c r="F1051" s="7" t="s">
        <v>177</v>
      </c>
      <c r="G1051" s="7" t="s">
        <v>505</v>
      </c>
      <c r="H1051" s="6" t="n">
        <v>3.98</v>
      </c>
      <c r="I1051" s="6" t="n">
        <v>0</v>
      </c>
      <c r="J1051" s="40" t="n">
        <f aca="false">H1051-I1051</f>
        <v>3.98</v>
      </c>
      <c r="K1051" s="41" t="n">
        <v>26.5</v>
      </c>
      <c r="L1051" s="42" t="n">
        <f aca="false">J1051*K1051</f>
        <v>105.47</v>
      </c>
      <c r="M1051" s="43" t="n">
        <f aca="false">H1051*14.56*(1+'Chart of Accounts'!$E$67)</f>
        <v>66.351376</v>
      </c>
    </row>
    <row r="1052" customFormat="false" ht="15" hidden="false" customHeight="false" outlineLevel="0" collapsed="false">
      <c r="B1052" s="7" t="s">
        <v>1549</v>
      </c>
      <c r="C1052" s="39" t="n">
        <v>45712</v>
      </c>
      <c r="D1052" s="7" t="s">
        <v>337</v>
      </c>
      <c r="E1052" s="7" t="s">
        <v>154</v>
      </c>
      <c r="F1052" s="7" t="s">
        <v>232</v>
      </c>
      <c r="G1052" s="7" t="s">
        <v>505</v>
      </c>
      <c r="H1052" s="6" t="n">
        <v>2.95</v>
      </c>
      <c r="I1052" s="6" t="n">
        <v>0</v>
      </c>
      <c r="J1052" s="40" t="n">
        <f aca="false">H1052-I1052</f>
        <v>2.95</v>
      </c>
      <c r="K1052" s="41" t="n">
        <v>26.5</v>
      </c>
      <c r="L1052" s="42" t="n">
        <f aca="false">J1052*K1052</f>
        <v>78.175</v>
      </c>
      <c r="M1052" s="43" t="n">
        <f aca="false">H1052*16.17*(1+'Chart of Accounts'!$E$67)</f>
        <v>54.6182175</v>
      </c>
    </row>
    <row r="1053" customFormat="false" ht="15" hidden="false" customHeight="false" outlineLevel="0" collapsed="false">
      <c r="B1053" s="7" t="s">
        <v>1550</v>
      </c>
      <c r="C1053" s="39" t="n">
        <v>45712</v>
      </c>
      <c r="D1053" s="7" t="s">
        <v>339</v>
      </c>
      <c r="E1053" s="7" t="s">
        <v>154</v>
      </c>
      <c r="F1053" s="7" t="s">
        <v>242</v>
      </c>
      <c r="G1053" s="7" t="s">
        <v>505</v>
      </c>
      <c r="H1053" s="6" t="n">
        <v>3.19</v>
      </c>
      <c r="I1053" s="6" t="n">
        <v>0</v>
      </c>
      <c r="J1053" s="40" t="n">
        <f aca="false">H1053-I1053</f>
        <v>3.19</v>
      </c>
      <c r="K1053" s="41" t="n">
        <v>26.5</v>
      </c>
      <c r="L1053" s="42" t="n">
        <f aca="false">J1053*K1053</f>
        <v>84.535</v>
      </c>
      <c r="M1053" s="43" t="n">
        <f aca="false">H1053*17.99*(1+'Chart of Accounts'!$E$67)</f>
        <v>65.7093745</v>
      </c>
    </row>
    <row r="1054" customFormat="false" ht="15" hidden="false" customHeight="false" outlineLevel="0" collapsed="false">
      <c r="B1054" s="7" t="s">
        <v>1551</v>
      </c>
      <c r="C1054" s="39" t="n">
        <v>45712</v>
      </c>
      <c r="D1054" s="7" t="s">
        <v>341</v>
      </c>
      <c r="E1054" s="7" t="s">
        <v>156</v>
      </c>
      <c r="F1054" s="7" t="s">
        <v>222</v>
      </c>
      <c r="G1054" s="7" t="s">
        <v>505</v>
      </c>
      <c r="H1054" s="6" t="n">
        <v>3.01</v>
      </c>
      <c r="I1054" s="6" t="n">
        <v>0</v>
      </c>
      <c r="J1054" s="40" t="n">
        <f aca="false">H1054-I1054</f>
        <v>3.01</v>
      </c>
      <c r="K1054" s="41" t="n">
        <v>34</v>
      </c>
      <c r="L1054" s="42" t="n">
        <f aca="false">J1054*K1054</f>
        <v>102.34</v>
      </c>
      <c r="M1054" s="43" t="n">
        <f aca="false">H1054*17.84*(1+'Chart of Accounts'!$E$67)</f>
        <v>61.484668</v>
      </c>
    </row>
    <row r="1055" customFormat="false" ht="15" hidden="false" customHeight="false" outlineLevel="0" collapsed="false">
      <c r="B1055" s="7" t="s">
        <v>1552</v>
      </c>
      <c r="C1055" s="39" t="n">
        <v>45712</v>
      </c>
      <c r="D1055" s="7" t="s">
        <v>343</v>
      </c>
      <c r="E1055" s="7" t="s">
        <v>154</v>
      </c>
      <c r="F1055" s="7" t="s">
        <v>262</v>
      </c>
      <c r="G1055" s="7" t="s">
        <v>505</v>
      </c>
      <c r="H1055" s="6" t="n">
        <v>4.14</v>
      </c>
      <c r="I1055" s="6" t="n">
        <v>0</v>
      </c>
      <c r="J1055" s="40" t="n">
        <f aca="false">H1055-I1055</f>
        <v>4.14</v>
      </c>
      <c r="K1055" s="41" t="n">
        <v>26.5</v>
      </c>
      <c r="L1055" s="42" t="n">
        <f aca="false">J1055*K1055</f>
        <v>109.71</v>
      </c>
      <c r="M1055" s="43" t="n">
        <f aca="false">H1055*16.02*(1+'Chart of Accounts'!$E$67)</f>
        <v>75.939606</v>
      </c>
    </row>
    <row r="1056" customFormat="false" ht="15" hidden="false" customHeight="false" outlineLevel="0" collapsed="false">
      <c r="B1056" s="7" t="s">
        <v>1553</v>
      </c>
      <c r="C1056" s="39" t="n">
        <v>45712</v>
      </c>
      <c r="D1056" s="7" t="s">
        <v>353</v>
      </c>
      <c r="E1056" s="7" t="s">
        <v>154</v>
      </c>
      <c r="F1056" s="7" t="s">
        <v>254</v>
      </c>
      <c r="G1056" s="7" t="s">
        <v>505</v>
      </c>
      <c r="H1056" s="6" t="n">
        <v>3.11</v>
      </c>
      <c r="I1056" s="6" t="n">
        <v>0</v>
      </c>
      <c r="J1056" s="40" t="n">
        <f aca="false">H1056-I1056</f>
        <v>3.11</v>
      </c>
      <c r="K1056" s="41" t="n">
        <v>26.5</v>
      </c>
      <c r="L1056" s="42" t="n">
        <f aca="false">J1056*K1056</f>
        <v>82.415</v>
      </c>
      <c r="M1056" s="43" t="n">
        <f aca="false">H1056*17.1*(1+'Chart of Accounts'!$E$67)</f>
        <v>60.892245</v>
      </c>
    </row>
    <row r="1057" customFormat="false" ht="15" hidden="false" customHeight="false" outlineLevel="0" collapsed="false">
      <c r="B1057" s="7" t="s">
        <v>1554</v>
      </c>
      <c r="C1057" s="39" t="n">
        <v>45712</v>
      </c>
      <c r="D1057" s="7" t="s">
        <v>355</v>
      </c>
      <c r="E1057" s="7" t="s">
        <v>154</v>
      </c>
      <c r="F1057" s="7" t="s">
        <v>201</v>
      </c>
      <c r="G1057" s="7" t="s">
        <v>505</v>
      </c>
      <c r="H1057" s="6" t="n">
        <v>3.56</v>
      </c>
      <c r="I1057" s="6" t="n">
        <v>0</v>
      </c>
      <c r="J1057" s="40" t="n">
        <f aca="false">H1057-I1057</f>
        <v>3.56</v>
      </c>
      <c r="K1057" s="41" t="n">
        <v>26.5</v>
      </c>
      <c r="L1057" s="42" t="n">
        <f aca="false">J1057*K1057</f>
        <v>94.34</v>
      </c>
      <c r="M1057" s="43" t="n">
        <f aca="false">H1057*15.19*(1+'Chart of Accounts'!$E$67)</f>
        <v>61.917478</v>
      </c>
    </row>
    <row r="1058" customFormat="false" ht="15" hidden="false" customHeight="false" outlineLevel="0" collapsed="false">
      <c r="B1058" s="7" t="s">
        <v>1555</v>
      </c>
      <c r="C1058" s="39" t="n">
        <v>45712</v>
      </c>
      <c r="D1058" s="7" t="s">
        <v>357</v>
      </c>
      <c r="E1058" s="7" t="s">
        <v>154</v>
      </c>
      <c r="F1058" s="7" t="s">
        <v>207</v>
      </c>
      <c r="G1058" s="7" t="s">
        <v>505</v>
      </c>
      <c r="H1058" s="6" t="n">
        <v>3.5</v>
      </c>
      <c r="I1058" s="6" t="n">
        <v>0</v>
      </c>
      <c r="J1058" s="40" t="n">
        <f aca="false">H1058-I1058</f>
        <v>3.5</v>
      </c>
      <c r="K1058" s="41" t="n">
        <v>26.5</v>
      </c>
      <c r="L1058" s="42" t="n">
        <f aca="false">J1058*K1058</f>
        <v>92.75</v>
      </c>
      <c r="M1058" s="43" t="n">
        <f aca="false">H1058*16.65*(1+'Chart of Accounts'!$E$67)</f>
        <v>66.724875</v>
      </c>
    </row>
    <row r="1059" customFormat="false" ht="15" hidden="false" customHeight="false" outlineLevel="0" collapsed="false">
      <c r="B1059" s="7" t="s">
        <v>1556</v>
      </c>
      <c r="C1059" s="39" t="n">
        <v>45712</v>
      </c>
      <c r="D1059" s="7" t="s">
        <v>359</v>
      </c>
      <c r="E1059" s="7" t="s">
        <v>156</v>
      </c>
      <c r="F1059" s="7" t="s">
        <v>212</v>
      </c>
      <c r="G1059" s="7" t="s">
        <v>505</v>
      </c>
      <c r="H1059" s="6" t="n">
        <v>3.68</v>
      </c>
      <c r="I1059" s="6" t="n">
        <v>0</v>
      </c>
      <c r="J1059" s="40" t="n">
        <f aca="false">H1059-I1059</f>
        <v>3.68</v>
      </c>
      <c r="K1059" s="41" t="n">
        <v>34</v>
      </c>
      <c r="L1059" s="42" t="n">
        <f aca="false">J1059*K1059</f>
        <v>125.12</v>
      </c>
      <c r="M1059" s="43" t="n">
        <f aca="false">H1059*16.71*(1+'Chart of Accounts'!$E$67)</f>
        <v>70.409256</v>
      </c>
    </row>
    <row r="1060" customFormat="false" ht="15" hidden="false" customHeight="false" outlineLevel="0" collapsed="false">
      <c r="B1060" s="7" t="s">
        <v>1557</v>
      </c>
      <c r="C1060" s="39" t="n">
        <v>45712</v>
      </c>
      <c r="D1060" s="7" t="s">
        <v>363</v>
      </c>
      <c r="E1060" s="7" t="s">
        <v>156</v>
      </c>
      <c r="F1060" s="7" t="s">
        <v>246</v>
      </c>
      <c r="G1060" s="7" t="s">
        <v>505</v>
      </c>
      <c r="H1060" s="6" t="n">
        <v>4.29</v>
      </c>
      <c r="I1060" s="6" t="n">
        <v>0</v>
      </c>
      <c r="J1060" s="40" t="n">
        <f aca="false">H1060-I1060</f>
        <v>4.29</v>
      </c>
      <c r="K1060" s="41" t="n">
        <v>34</v>
      </c>
      <c r="L1060" s="42" t="n">
        <f aca="false">J1060*K1060</f>
        <v>145.86</v>
      </c>
      <c r="M1060" s="43" t="n">
        <f aca="false">H1060*16.48*(1+'Chart of Accounts'!$E$67)</f>
        <v>80.950584</v>
      </c>
    </row>
    <row r="1061" customFormat="false" ht="15" hidden="false" customHeight="false" outlineLevel="0" collapsed="false">
      <c r="B1061" s="7" t="s">
        <v>1558</v>
      </c>
      <c r="C1061" s="39" t="n">
        <v>45712</v>
      </c>
      <c r="D1061" s="7" t="s">
        <v>371</v>
      </c>
      <c r="E1061" s="7" t="s">
        <v>154</v>
      </c>
      <c r="F1061" s="7" t="s">
        <v>232</v>
      </c>
      <c r="G1061" s="7" t="s">
        <v>505</v>
      </c>
      <c r="H1061" s="6" t="n">
        <v>4.42</v>
      </c>
      <c r="I1061" s="6" t="n">
        <v>0</v>
      </c>
      <c r="J1061" s="40" t="n">
        <f aca="false">H1061-I1061</f>
        <v>4.42</v>
      </c>
      <c r="K1061" s="41" t="n">
        <v>26.5</v>
      </c>
      <c r="L1061" s="42" t="n">
        <f aca="false">J1061*K1061</f>
        <v>117.13</v>
      </c>
      <c r="M1061" s="43" t="n">
        <f aca="false">H1061*16.17*(1+'Chart of Accounts'!$E$67)</f>
        <v>81.834753</v>
      </c>
    </row>
    <row r="1062" customFormat="false" ht="15" hidden="false" customHeight="false" outlineLevel="0" collapsed="false">
      <c r="B1062" s="7" t="s">
        <v>1559</v>
      </c>
      <c r="C1062" s="39" t="n">
        <v>45712</v>
      </c>
      <c r="D1062" s="7" t="s">
        <v>375</v>
      </c>
      <c r="E1062" s="7" t="s">
        <v>156</v>
      </c>
      <c r="F1062" s="7" t="s">
        <v>196</v>
      </c>
      <c r="G1062" s="7" t="s">
        <v>505</v>
      </c>
      <c r="H1062" s="6" t="n">
        <v>2.87</v>
      </c>
      <c r="I1062" s="6" t="n">
        <v>0</v>
      </c>
      <c r="J1062" s="40" t="n">
        <f aca="false">H1062-I1062</f>
        <v>2.87</v>
      </c>
      <c r="K1062" s="41" t="n">
        <v>34</v>
      </c>
      <c r="L1062" s="42" t="n">
        <f aca="false">J1062*K1062</f>
        <v>97.58</v>
      </c>
      <c r="M1062" s="43" t="n">
        <f aca="false">H1062*15.05*(1+'Chart of Accounts'!$E$67)</f>
        <v>49.4565575</v>
      </c>
    </row>
    <row r="1063" customFormat="false" ht="15" hidden="false" customHeight="false" outlineLevel="0" collapsed="false">
      <c r="B1063" s="7" t="s">
        <v>1560</v>
      </c>
      <c r="C1063" s="39" t="n">
        <v>45712</v>
      </c>
      <c r="D1063" s="7" t="s">
        <v>377</v>
      </c>
      <c r="E1063" s="7" t="s">
        <v>154</v>
      </c>
      <c r="F1063" s="7" t="s">
        <v>214</v>
      </c>
      <c r="G1063" s="7" t="s">
        <v>505</v>
      </c>
      <c r="H1063" s="6" t="n">
        <v>3.91</v>
      </c>
      <c r="I1063" s="6" t="n">
        <v>0</v>
      </c>
      <c r="J1063" s="40" t="n">
        <f aca="false">H1063-I1063</f>
        <v>3.91</v>
      </c>
      <c r="K1063" s="41" t="n">
        <v>26.5</v>
      </c>
      <c r="L1063" s="42" t="n">
        <f aca="false">J1063*K1063</f>
        <v>103.615</v>
      </c>
      <c r="M1063" s="43" t="n">
        <f aca="false">H1063*15.67*(1+'Chart of Accounts'!$E$67)</f>
        <v>70.1538065</v>
      </c>
    </row>
    <row r="1064" customFormat="false" ht="15" hidden="false" customHeight="false" outlineLevel="0" collapsed="false">
      <c r="B1064" s="7" t="s">
        <v>1561</v>
      </c>
      <c r="C1064" s="39" t="n">
        <v>45712</v>
      </c>
      <c r="D1064" s="7" t="s">
        <v>379</v>
      </c>
      <c r="E1064" s="7" t="s">
        <v>156</v>
      </c>
      <c r="F1064" s="7" t="s">
        <v>224</v>
      </c>
      <c r="G1064" s="7" t="s">
        <v>505</v>
      </c>
      <c r="H1064" s="6" t="n">
        <v>4.49</v>
      </c>
      <c r="I1064" s="6" t="n">
        <v>0</v>
      </c>
      <c r="J1064" s="40" t="n">
        <f aca="false">H1064-I1064</f>
        <v>4.49</v>
      </c>
      <c r="K1064" s="41" t="n">
        <v>34</v>
      </c>
      <c r="L1064" s="42" t="n">
        <f aca="false">J1064*K1064</f>
        <v>152.66</v>
      </c>
      <c r="M1064" s="43" t="n">
        <f aca="false">H1064*14.93*(1+'Chart of Accounts'!$E$67)</f>
        <v>76.7558765</v>
      </c>
    </row>
    <row r="1065" customFormat="false" ht="15" hidden="false" customHeight="false" outlineLevel="0" collapsed="false">
      <c r="B1065" s="7" t="s">
        <v>1562</v>
      </c>
      <c r="C1065" s="39" t="n">
        <v>45712</v>
      </c>
      <c r="D1065" s="7" t="s">
        <v>389</v>
      </c>
      <c r="E1065" s="7" t="s">
        <v>154</v>
      </c>
      <c r="F1065" s="7" t="s">
        <v>246</v>
      </c>
      <c r="G1065" s="7" t="s">
        <v>505</v>
      </c>
      <c r="H1065" s="6" t="n">
        <v>3.8</v>
      </c>
      <c r="I1065" s="6" t="n">
        <v>0</v>
      </c>
      <c r="J1065" s="40" t="n">
        <f aca="false">H1065-I1065</f>
        <v>3.8</v>
      </c>
      <c r="K1065" s="41" t="n">
        <v>26.5</v>
      </c>
      <c r="L1065" s="42" t="n">
        <f aca="false">J1065*K1065</f>
        <v>100.7</v>
      </c>
      <c r="M1065" s="43" t="n">
        <f aca="false">H1065*16.48*(1+'Chart of Accounts'!$E$67)</f>
        <v>71.70448</v>
      </c>
    </row>
    <row r="1066" customFormat="false" ht="15" hidden="false" customHeight="false" outlineLevel="0" collapsed="false">
      <c r="B1066" s="7" t="s">
        <v>1563</v>
      </c>
      <c r="C1066" s="39" t="n">
        <v>45712</v>
      </c>
      <c r="D1066" s="7" t="s">
        <v>391</v>
      </c>
      <c r="E1066" s="7" t="s">
        <v>156</v>
      </c>
      <c r="F1066" s="7" t="s">
        <v>222</v>
      </c>
      <c r="G1066" s="7" t="s">
        <v>505</v>
      </c>
      <c r="H1066" s="6" t="n">
        <v>4.3</v>
      </c>
      <c r="I1066" s="6" t="n">
        <v>0</v>
      </c>
      <c r="J1066" s="40" t="n">
        <f aca="false">H1066-I1066</f>
        <v>4.3</v>
      </c>
      <c r="K1066" s="41" t="n">
        <v>34</v>
      </c>
      <c r="L1066" s="42" t="n">
        <f aca="false">J1066*K1066</f>
        <v>146.2</v>
      </c>
      <c r="M1066" s="43" t="n">
        <f aca="false">H1066*17.84*(1+'Chart of Accounts'!$E$67)</f>
        <v>87.83524</v>
      </c>
    </row>
    <row r="1067" customFormat="false" ht="15" hidden="false" customHeight="false" outlineLevel="0" collapsed="false">
      <c r="B1067" s="7" t="s">
        <v>1564</v>
      </c>
      <c r="C1067" s="39" t="n">
        <v>45712</v>
      </c>
      <c r="D1067" s="7" t="s">
        <v>395</v>
      </c>
      <c r="E1067" s="7" t="s">
        <v>156</v>
      </c>
      <c r="F1067" s="7" t="s">
        <v>242</v>
      </c>
      <c r="G1067" s="7" t="s">
        <v>505</v>
      </c>
      <c r="H1067" s="6" t="n">
        <v>4.16</v>
      </c>
      <c r="I1067" s="6" t="n">
        <v>0</v>
      </c>
      <c r="J1067" s="40" t="n">
        <f aca="false">H1067-I1067</f>
        <v>4.16</v>
      </c>
      <c r="K1067" s="41" t="n">
        <v>34</v>
      </c>
      <c r="L1067" s="42" t="n">
        <f aca="false">J1067*K1067</f>
        <v>141.44</v>
      </c>
      <c r="M1067" s="43" t="n">
        <f aca="false">H1067*17.99*(1+'Chart of Accounts'!$E$67)</f>
        <v>85.689968</v>
      </c>
    </row>
    <row r="1068" customFormat="false" ht="15" hidden="false" customHeight="false" outlineLevel="0" collapsed="false">
      <c r="B1068" s="7" t="s">
        <v>1565</v>
      </c>
      <c r="C1068" s="39" t="n">
        <v>45712</v>
      </c>
      <c r="D1068" s="7" t="s">
        <v>399</v>
      </c>
      <c r="E1068" s="7" t="s">
        <v>154</v>
      </c>
      <c r="F1068" s="7" t="s">
        <v>262</v>
      </c>
      <c r="G1068" s="7" t="s">
        <v>505</v>
      </c>
      <c r="H1068" s="6" t="n">
        <v>3.36</v>
      </c>
      <c r="I1068" s="6" t="n">
        <v>0</v>
      </c>
      <c r="J1068" s="40" t="n">
        <f aca="false">H1068-I1068</f>
        <v>3.36</v>
      </c>
      <c r="K1068" s="41" t="n">
        <v>26.5</v>
      </c>
      <c r="L1068" s="42" t="n">
        <f aca="false">J1068*K1068</f>
        <v>89.04</v>
      </c>
      <c r="M1068" s="43" t="n">
        <f aca="false">H1068*16.02*(1+'Chart of Accounts'!$E$67)</f>
        <v>61.632144</v>
      </c>
    </row>
    <row r="1069" customFormat="false" ht="15" hidden="false" customHeight="false" outlineLevel="0" collapsed="false">
      <c r="B1069" s="7" t="s">
        <v>1566</v>
      </c>
      <c r="C1069" s="39" t="n">
        <v>45712</v>
      </c>
      <c r="D1069" s="7" t="s">
        <v>401</v>
      </c>
      <c r="E1069" s="7" t="s">
        <v>156</v>
      </c>
      <c r="F1069" s="7" t="s">
        <v>254</v>
      </c>
      <c r="G1069" s="7" t="s">
        <v>505</v>
      </c>
      <c r="H1069" s="6" t="n">
        <v>4.37</v>
      </c>
      <c r="I1069" s="6" t="n">
        <v>0</v>
      </c>
      <c r="J1069" s="40" t="n">
        <f aca="false">H1069-I1069</f>
        <v>4.37</v>
      </c>
      <c r="K1069" s="41" t="n">
        <v>34</v>
      </c>
      <c r="L1069" s="42" t="n">
        <f aca="false">J1069*K1069</f>
        <v>148.58</v>
      </c>
      <c r="M1069" s="43" t="n">
        <f aca="false">H1069*17.1*(1+'Chart of Accounts'!$E$67)</f>
        <v>85.562415</v>
      </c>
    </row>
    <row r="1070" customFormat="false" ht="15" hidden="false" customHeight="false" outlineLevel="0" collapsed="false">
      <c r="B1070" s="7" t="s">
        <v>1567</v>
      </c>
      <c r="C1070" s="39" t="n">
        <v>45712</v>
      </c>
      <c r="D1070" s="7" t="s">
        <v>409</v>
      </c>
      <c r="E1070" s="7" t="s">
        <v>154</v>
      </c>
      <c r="F1070" s="7" t="s">
        <v>214</v>
      </c>
      <c r="G1070" s="7" t="s">
        <v>505</v>
      </c>
      <c r="H1070" s="6" t="n">
        <v>3.46</v>
      </c>
      <c r="I1070" s="6" t="n">
        <v>0</v>
      </c>
      <c r="J1070" s="40" t="n">
        <f aca="false">H1070-I1070</f>
        <v>3.46</v>
      </c>
      <c r="K1070" s="41" t="n">
        <v>26.5</v>
      </c>
      <c r="L1070" s="42" t="n">
        <f aca="false">J1070*K1070</f>
        <v>91.69</v>
      </c>
      <c r="M1070" s="43" t="n">
        <f aca="false">H1070*15.67*(1+'Chart of Accounts'!$E$67)</f>
        <v>62.079839</v>
      </c>
    </row>
    <row r="1071" customFormat="false" ht="15" hidden="false" customHeight="false" outlineLevel="0" collapsed="false">
      <c r="B1071" s="7" t="s">
        <v>1568</v>
      </c>
      <c r="C1071" s="39" t="n">
        <v>45712</v>
      </c>
      <c r="D1071" s="7" t="s">
        <v>411</v>
      </c>
      <c r="E1071" s="7" t="s">
        <v>154</v>
      </c>
      <c r="F1071" s="7" t="s">
        <v>177</v>
      </c>
      <c r="G1071" s="7" t="s">
        <v>505</v>
      </c>
      <c r="H1071" s="6" t="n">
        <v>4.68</v>
      </c>
      <c r="I1071" s="6" t="n">
        <v>0</v>
      </c>
      <c r="J1071" s="40" t="n">
        <f aca="false">H1071-I1071</f>
        <v>4.68</v>
      </c>
      <c r="K1071" s="41" t="n">
        <v>26.5</v>
      </c>
      <c r="L1071" s="42" t="n">
        <f aca="false">J1071*K1071</f>
        <v>124.02</v>
      </c>
      <c r="M1071" s="43" t="n">
        <f aca="false">H1071*14.56*(1+'Chart of Accounts'!$E$67)</f>
        <v>78.021216</v>
      </c>
    </row>
    <row r="1072" customFormat="false" ht="15" hidden="false" customHeight="false" outlineLevel="0" collapsed="false">
      <c r="B1072" s="7" t="s">
        <v>1569</v>
      </c>
      <c r="C1072" s="39" t="n">
        <v>45713</v>
      </c>
      <c r="D1072" s="7" t="s">
        <v>288</v>
      </c>
      <c r="E1072" s="7" t="s">
        <v>156</v>
      </c>
      <c r="F1072" s="7" t="s">
        <v>191</v>
      </c>
      <c r="G1072" s="7" t="s">
        <v>505</v>
      </c>
      <c r="H1072" s="6" t="n">
        <v>4.05</v>
      </c>
      <c r="I1072" s="6" t="n">
        <v>0</v>
      </c>
      <c r="J1072" s="40" t="n">
        <f aca="false">H1072-I1072</f>
        <v>4.05</v>
      </c>
      <c r="K1072" s="41" t="n">
        <v>34</v>
      </c>
      <c r="L1072" s="42" t="n">
        <f aca="false">J1072*K1072</f>
        <v>137.7</v>
      </c>
      <c r="M1072" s="43" t="n">
        <f aca="false">H1072*16.05*(1+'Chart of Accounts'!$E$67)</f>
        <v>74.4278625</v>
      </c>
    </row>
    <row r="1073" customFormat="false" ht="15" hidden="false" customHeight="false" outlineLevel="0" collapsed="false">
      <c r="B1073" s="7" t="s">
        <v>1570</v>
      </c>
      <c r="C1073" s="39" t="n">
        <v>45713</v>
      </c>
      <c r="D1073" s="7" t="s">
        <v>301</v>
      </c>
      <c r="E1073" s="7" t="s">
        <v>157</v>
      </c>
      <c r="F1073" s="7" t="s">
        <v>209</v>
      </c>
      <c r="G1073" s="7" t="s">
        <v>502</v>
      </c>
      <c r="H1073" s="6" t="n">
        <v>0.95</v>
      </c>
      <c r="I1073" s="6" t="n">
        <v>0</v>
      </c>
      <c r="J1073" s="40" t="n">
        <f aca="false">H1073-I1073</f>
        <v>0.95</v>
      </c>
      <c r="K1073" s="41" t="n">
        <v>165</v>
      </c>
      <c r="L1073" s="42" t="n">
        <f aca="false">J1073*K1073</f>
        <v>156.75</v>
      </c>
      <c r="M1073" s="43" t="n">
        <f aca="false">H1073*73.58*(1+'Chart of Accounts'!$E$67)</f>
        <v>80.036645</v>
      </c>
    </row>
    <row r="1074" customFormat="false" ht="15" hidden="false" customHeight="false" outlineLevel="0" collapsed="false">
      <c r="B1074" s="7" t="s">
        <v>1571</v>
      </c>
      <c r="C1074" s="39" t="n">
        <v>45713</v>
      </c>
      <c r="D1074" s="7" t="s">
        <v>313</v>
      </c>
      <c r="E1074" s="7" t="s">
        <v>156</v>
      </c>
      <c r="F1074" s="7" t="s">
        <v>184</v>
      </c>
      <c r="G1074" s="7" t="s">
        <v>505</v>
      </c>
      <c r="H1074" s="6" t="n">
        <v>3.72</v>
      </c>
      <c r="I1074" s="6" t="n">
        <v>0</v>
      </c>
      <c r="J1074" s="40" t="n">
        <f aca="false">H1074-I1074</f>
        <v>3.72</v>
      </c>
      <c r="K1074" s="41" t="n">
        <v>34</v>
      </c>
      <c r="L1074" s="42" t="n">
        <f aca="false">J1074*K1074</f>
        <v>126.48</v>
      </c>
      <c r="M1074" s="43" t="n">
        <f aca="false">H1074*17.34*(1+'Chart of Accounts'!$E$67)</f>
        <v>73.857996</v>
      </c>
    </row>
    <row r="1075" customFormat="false" ht="15" hidden="false" customHeight="false" outlineLevel="0" collapsed="false">
      <c r="B1075" s="7" t="s">
        <v>1572</v>
      </c>
      <c r="C1075" s="39" t="n">
        <v>45713</v>
      </c>
      <c r="D1075" s="7" t="s">
        <v>319</v>
      </c>
      <c r="E1075" s="7" t="s">
        <v>157</v>
      </c>
      <c r="F1075" s="7" t="s">
        <v>234</v>
      </c>
      <c r="G1075" s="7" t="s">
        <v>502</v>
      </c>
      <c r="H1075" s="6" t="n">
        <v>0.91</v>
      </c>
      <c r="I1075" s="6" t="n">
        <v>0</v>
      </c>
      <c r="J1075" s="40" t="n">
        <f aca="false">H1075-I1075</f>
        <v>0.91</v>
      </c>
      <c r="K1075" s="41" t="n">
        <v>165</v>
      </c>
      <c r="L1075" s="42" t="n">
        <f aca="false">J1075*K1075</f>
        <v>150.15</v>
      </c>
      <c r="M1075" s="43" t="n">
        <f aca="false">H1075*89.53*(1+'Chart of Accounts'!$E$67)</f>
        <v>93.2857835</v>
      </c>
    </row>
    <row r="1076" customFormat="false" ht="15" hidden="false" customHeight="false" outlineLevel="0" collapsed="false">
      <c r="B1076" s="7" t="s">
        <v>1573</v>
      </c>
      <c r="C1076" s="39" t="n">
        <v>45713</v>
      </c>
      <c r="D1076" s="7" t="s">
        <v>321</v>
      </c>
      <c r="E1076" s="7" t="s">
        <v>154</v>
      </c>
      <c r="F1076" s="7" t="s">
        <v>218</v>
      </c>
      <c r="G1076" s="7" t="s">
        <v>505</v>
      </c>
      <c r="H1076" s="6" t="n">
        <v>4.13</v>
      </c>
      <c r="I1076" s="6" t="n">
        <v>0</v>
      </c>
      <c r="J1076" s="40" t="n">
        <f aca="false">H1076-I1076</f>
        <v>4.13</v>
      </c>
      <c r="K1076" s="41" t="n">
        <v>26.5</v>
      </c>
      <c r="L1076" s="42" t="n">
        <f aca="false">J1076*K1076</f>
        <v>109.445</v>
      </c>
      <c r="M1076" s="43" t="n">
        <f aca="false">H1076*16.19*(1+'Chart of Accounts'!$E$67)</f>
        <v>76.5600815</v>
      </c>
    </row>
    <row r="1077" customFormat="false" ht="15" hidden="false" customHeight="false" outlineLevel="0" collapsed="false">
      <c r="B1077" s="7" t="s">
        <v>1574</v>
      </c>
      <c r="C1077" s="39" t="n">
        <v>45713</v>
      </c>
      <c r="D1077" s="7" t="s">
        <v>323</v>
      </c>
      <c r="E1077" s="7" t="s">
        <v>159</v>
      </c>
      <c r="F1077" s="7" t="s">
        <v>266</v>
      </c>
      <c r="G1077" s="7" t="s">
        <v>502</v>
      </c>
      <c r="H1077" s="6" t="n">
        <v>0.97</v>
      </c>
      <c r="I1077" s="6" t="n">
        <v>0</v>
      </c>
      <c r="J1077" s="40" t="n">
        <f aca="false">H1077-I1077</f>
        <v>0.97</v>
      </c>
      <c r="K1077" s="41" t="n">
        <v>135</v>
      </c>
      <c r="L1077" s="42" t="n">
        <f aca="false">J1077*K1077</f>
        <v>130.95</v>
      </c>
      <c r="M1077" s="43" t="n">
        <f aca="false">H1077*75.18*(1+'Chart of Accounts'!$E$67)</f>
        <v>83.498667</v>
      </c>
    </row>
    <row r="1078" customFormat="false" ht="15" hidden="false" customHeight="false" outlineLevel="0" collapsed="false">
      <c r="B1078" s="7" t="s">
        <v>1575</v>
      </c>
      <c r="C1078" s="39" t="n">
        <v>45713</v>
      </c>
      <c r="D1078" s="7" t="s">
        <v>327</v>
      </c>
      <c r="E1078" s="7" t="s">
        <v>157</v>
      </c>
      <c r="F1078" s="7" t="s">
        <v>228</v>
      </c>
      <c r="G1078" s="7" t="s">
        <v>502</v>
      </c>
      <c r="H1078" s="6" t="n">
        <v>0.94</v>
      </c>
      <c r="I1078" s="6" t="n">
        <v>0.047</v>
      </c>
      <c r="J1078" s="40" t="n">
        <f aca="false">H1078-I1078</f>
        <v>0.893</v>
      </c>
      <c r="K1078" s="41" t="n">
        <v>165</v>
      </c>
      <c r="L1078" s="42" t="n">
        <f aca="false">J1078*K1078</f>
        <v>147.345</v>
      </c>
      <c r="M1078" s="43" t="n">
        <f aca="false">H1078*51.07*(1+'Chart of Accounts'!$E$67)</f>
        <v>54.966641</v>
      </c>
    </row>
    <row r="1079" customFormat="false" ht="15" hidden="false" customHeight="false" outlineLevel="0" collapsed="false">
      <c r="B1079" s="7" t="s">
        <v>1576</v>
      </c>
      <c r="C1079" s="39" t="n">
        <v>45713</v>
      </c>
      <c r="D1079" s="7" t="s">
        <v>329</v>
      </c>
      <c r="E1079" s="7" t="s">
        <v>156</v>
      </c>
      <c r="F1079" s="7" t="s">
        <v>220</v>
      </c>
      <c r="G1079" s="7" t="s">
        <v>505</v>
      </c>
      <c r="H1079" s="6" t="n">
        <v>4</v>
      </c>
      <c r="I1079" s="6" t="n">
        <v>0</v>
      </c>
      <c r="J1079" s="40" t="n">
        <f aca="false">H1079-I1079</f>
        <v>4</v>
      </c>
      <c r="K1079" s="41" t="n">
        <v>34</v>
      </c>
      <c r="L1079" s="42" t="n">
        <f aca="false">J1079*K1079</f>
        <v>136</v>
      </c>
      <c r="M1079" s="43" t="n">
        <f aca="false">H1079*16.43*(1+'Chart of Accounts'!$E$67)</f>
        <v>75.2494</v>
      </c>
    </row>
    <row r="1080" customFormat="false" ht="15" hidden="false" customHeight="false" outlineLevel="0" collapsed="false">
      <c r="B1080" s="7" t="s">
        <v>1577</v>
      </c>
      <c r="C1080" s="39" t="n">
        <v>45713</v>
      </c>
      <c r="D1080" s="7" t="s">
        <v>359</v>
      </c>
      <c r="E1080" s="7" t="s">
        <v>156</v>
      </c>
      <c r="F1080" s="7" t="s">
        <v>212</v>
      </c>
      <c r="G1080" s="7" t="s">
        <v>505</v>
      </c>
      <c r="H1080" s="6" t="n">
        <v>3.67</v>
      </c>
      <c r="I1080" s="6" t="n">
        <v>0</v>
      </c>
      <c r="J1080" s="40" t="n">
        <f aca="false">H1080-I1080</f>
        <v>3.67</v>
      </c>
      <c r="K1080" s="41" t="n">
        <v>34</v>
      </c>
      <c r="L1080" s="42" t="n">
        <f aca="false">J1080*K1080</f>
        <v>124.78</v>
      </c>
      <c r="M1080" s="43" t="n">
        <f aca="false">H1080*16.71*(1+'Chart of Accounts'!$E$67)</f>
        <v>70.2179265</v>
      </c>
    </row>
    <row r="1081" customFormat="false" ht="15" hidden="false" customHeight="false" outlineLevel="0" collapsed="false">
      <c r="B1081" s="7" t="s">
        <v>1578</v>
      </c>
      <c r="C1081" s="39" t="n">
        <v>45713</v>
      </c>
      <c r="D1081" s="7" t="s">
        <v>361</v>
      </c>
      <c r="E1081" s="7" t="s">
        <v>157</v>
      </c>
      <c r="F1081" s="7" t="s">
        <v>209</v>
      </c>
      <c r="G1081" s="7" t="s">
        <v>502</v>
      </c>
      <c r="H1081" s="6" t="n">
        <v>0.97</v>
      </c>
      <c r="I1081" s="6" t="n">
        <v>0</v>
      </c>
      <c r="J1081" s="40" t="n">
        <f aca="false">H1081-I1081</f>
        <v>0.97</v>
      </c>
      <c r="K1081" s="41" t="n">
        <v>165</v>
      </c>
      <c r="L1081" s="42" t="n">
        <f aca="false">J1081*K1081</f>
        <v>160.05</v>
      </c>
      <c r="M1081" s="43" t="n">
        <f aca="false">H1081*73.58*(1+'Chart of Accounts'!$E$67)</f>
        <v>81.721627</v>
      </c>
    </row>
    <row r="1082" customFormat="false" ht="15" hidden="false" customHeight="false" outlineLevel="0" collapsed="false">
      <c r="B1082" s="7" t="s">
        <v>1579</v>
      </c>
      <c r="C1082" s="39" t="n">
        <v>45713</v>
      </c>
      <c r="D1082" s="7" t="s">
        <v>381</v>
      </c>
      <c r="E1082" s="7" t="s">
        <v>157</v>
      </c>
      <c r="F1082" s="7" t="s">
        <v>234</v>
      </c>
      <c r="G1082" s="7" t="s">
        <v>502</v>
      </c>
      <c r="H1082" s="6" t="n">
        <v>1.05</v>
      </c>
      <c r="I1082" s="6" t="n">
        <v>0</v>
      </c>
      <c r="J1082" s="40" t="n">
        <f aca="false">H1082-I1082</f>
        <v>1.05</v>
      </c>
      <c r="K1082" s="41" t="n">
        <v>165</v>
      </c>
      <c r="L1082" s="42" t="n">
        <f aca="false">J1082*K1082</f>
        <v>173.25</v>
      </c>
      <c r="M1082" s="43" t="n">
        <f aca="false">H1082*89.53*(1+'Chart of Accounts'!$E$67)</f>
        <v>107.6374425</v>
      </c>
    </row>
    <row r="1083" customFormat="false" ht="15" hidden="false" customHeight="false" outlineLevel="0" collapsed="false">
      <c r="B1083" s="7" t="s">
        <v>1580</v>
      </c>
      <c r="C1083" s="39" t="n">
        <v>45713</v>
      </c>
      <c r="D1083" s="7" t="s">
        <v>389</v>
      </c>
      <c r="E1083" s="7" t="s">
        <v>154</v>
      </c>
      <c r="F1083" s="7" t="s">
        <v>246</v>
      </c>
      <c r="G1083" s="7" t="s">
        <v>505</v>
      </c>
      <c r="H1083" s="6" t="n">
        <v>4.26</v>
      </c>
      <c r="I1083" s="6" t="n">
        <v>0.128</v>
      </c>
      <c r="J1083" s="40" t="n">
        <f aca="false">H1083-I1083</f>
        <v>4.132</v>
      </c>
      <c r="K1083" s="41" t="n">
        <v>26.5</v>
      </c>
      <c r="L1083" s="42" t="n">
        <f aca="false">J1083*K1083</f>
        <v>109.498</v>
      </c>
      <c r="M1083" s="43" t="n">
        <f aca="false">H1083*16.48*(1+'Chart of Accounts'!$E$67)</f>
        <v>80.384496</v>
      </c>
    </row>
    <row r="1084" customFormat="false" ht="15" hidden="false" customHeight="false" outlineLevel="0" collapsed="false">
      <c r="B1084" s="7" t="s">
        <v>1581</v>
      </c>
      <c r="C1084" s="39" t="n">
        <v>45713</v>
      </c>
      <c r="D1084" s="7" t="s">
        <v>391</v>
      </c>
      <c r="E1084" s="7" t="s">
        <v>156</v>
      </c>
      <c r="F1084" s="7" t="s">
        <v>222</v>
      </c>
      <c r="G1084" s="7" t="s">
        <v>505</v>
      </c>
      <c r="H1084" s="6" t="n">
        <v>4.14</v>
      </c>
      <c r="I1084" s="6" t="n">
        <v>0</v>
      </c>
      <c r="J1084" s="40" t="n">
        <f aca="false">H1084-I1084</f>
        <v>4.14</v>
      </c>
      <c r="K1084" s="41" t="n">
        <v>34</v>
      </c>
      <c r="L1084" s="42" t="n">
        <f aca="false">J1084*K1084</f>
        <v>140.76</v>
      </c>
      <c r="M1084" s="43" t="n">
        <f aca="false">H1084*17.84*(1+'Chart of Accounts'!$E$67)</f>
        <v>84.566952</v>
      </c>
    </row>
    <row r="1085" customFormat="false" ht="15" hidden="false" customHeight="false" outlineLevel="0" collapsed="false">
      <c r="B1085" s="7" t="s">
        <v>1582</v>
      </c>
      <c r="C1085" s="39" t="n">
        <v>45713</v>
      </c>
      <c r="D1085" s="7" t="s">
        <v>395</v>
      </c>
      <c r="E1085" s="7" t="s">
        <v>156</v>
      </c>
      <c r="F1085" s="7" t="s">
        <v>242</v>
      </c>
      <c r="G1085" s="7" t="s">
        <v>505</v>
      </c>
      <c r="H1085" s="6" t="n">
        <v>4.09</v>
      </c>
      <c r="I1085" s="6" t="n">
        <v>0</v>
      </c>
      <c r="J1085" s="40" t="n">
        <f aca="false">H1085-I1085</f>
        <v>4.09</v>
      </c>
      <c r="K1085" s="41" t="n">
        <v>34</v>
      </c>
      <c r="L1085" s="42" t="n">
        <f aca="false">J1085*K1085</f>
        <v>139.06</v>
      </c>
      <c r="M1085" s="43" t="n">
        <f aca="false">H1085*17.99*(1+'Chart of Accounts'!$E$67)</f>
        <v>84.2480695</v>
      </c>
    </row>
    <row r="1086" customFormat="false" ht="15" hidden="false" customHeight="false" outlineLevel="0" collapsed="false">
      <c r="B1086" s="7" t="s">
        <v>1583</v>
      </c>
      <c r="C1086" s="39" t="n">
        <v>45713</v>
      </c>
      <c r="D1086" s="7" t="s">
        <v>397</v>
      </c>
      <c r="E1086" s="7" t="s">
        <v>159</v>
      </c>
      <c r="F1086" s="7" t="s">
        <v>203</v>
      </c>
      <c r="G1086" s="7" t="s">
        <v>502</v>
      </c>
      <c r="H1086" s="6" t="n">
        <v>1.04</v>
      </c>
      <c r="I1086" s="6" t="n">
        <v>0</v>
      </c>
      <c r="J1086" s="40" t="n">
        <f aca="false">H1086-I1086</f>
        <v>1.04</v>
      </c>
      <c r="K1086" s="41" t="n">
        <v>135</v>
      </c>
      <c r="L1086" s="42" t="n">
        <f aca="false">J1086*K1086</f>
        <v>140.4</v>
      </c>
      <c r="M1086" s="43" t="n">
        <f aca="false">H1086*49.43*(1+'Chart of Accounts'!$E$67)</f>
        <v>58.861244</v>
      </c>
    </row>
    <row r="1087" customFormat="false" ht="15" hidden="false" customHeight="false" outlineLevel="0" collapsed="false">
      <c r="B1087" s="7" t="s">
        <v>1584</v>
      </c>
      <c r="C1087" s="39" t="n">
        <v>45713</v>
      </c>
      <c r="D1087" s="7" t="s">
        <v>401</v>
      </c>
      <c r="E1087" s="7" t="s">
        <v>156</v>
      </c>
      <c r="F1087" s="7" t="s">
        <v>254</v>
      </c>
      <c r="G1087" s="7" t="s">
        <v>505</v>
      </c>
      <c r="H1087" s="6" t="n">
        <v>4.36</v>
      </c>
      <c r="I1087" s="6" t="n">
        <v>0</v>
      </c>
      <c r="J1087" s="40" t="n">
        <f aca="false">H1087-I1087</f>
        <v>4.36</v>
      </c>
      <c r="K1087" s="41" t="n">
        <v>34</v>
      </c>
      <c r="L1087" s="42" t="n">
        <f aca="false">J1087*K1087</f>
        <v>148.24</v>
      </c>
      <c r="M1087" s="43" t="n">
        <f aca="false">H1087*17.1*(1+'Chart of Accounts'!$E$67)</f>
        <v>85.36662</v>
      </c>
    </row>
    <row r="1088" customFormat="false" ht="15" hidden="false" customHeight="false" outlineLevel="0" collapsed="false">
      <c r="B1088" s="7" t="s">
        <v>1585</v>
      </c>
      <c r="C1088" s="39" t="n">
        <v>45713</v>
      </c>
      <c r="D1088" s="7" t="s">
        <v>407</v>
      </c>
      <c r="E1088" s="7" t="s">
        <v>159</v>
      </c>
      <c r="F1088" s="7" t="s">
        <v>260</v>
      </c>
      <c r="G1088" s="7" t="s">
        <v>502</v>
      </c>
      <c r="H1088" s="6" t="n">
        <v>0.96</v>
      </c>
      <c r="I1088" s="6" t="n">
        <v>0</v>
      </c>
      <c r="J1088" s="40" t="n">
        <f aca="false">H1088-I1088</f>
        <v>0.96</v>
      </c>
      <c r="K1088" s="41" t="n">
        <v>135</v>
      </c>
      <c r="L1088" s="42" t="n">
        <f aca="false">J1088*K1088</f>
        <v>129.6</v>
      </c>
      <c r="M1088" s="43" t="n">
        <f aca="false">H1088*79.8*(1+'Chart of Accounts'!$E$67)</f>
        <v>87.71616</v>
      </c>
    </row>
    <row r="1089" customFormat="false" ht="15" hidden="false" customHeight="false" outlineLevel="0" collapsed="false">
      <c r="B1089" s="7" t="s">
        <v>1586</v>
      </c>
      <c r="C1089" s="39" t="n">
        <v>45714</v>
      </c>
      <c r="D1089" s="7" t="s">
        <v>280</v>
      </c>
      <c r="E1089" s="7" t="s">
        <v>157</v>
      </c>
      <c r="F1089" s="7" t="s">
        <v>187</v>
      </c>
      <c r="G1089" s="7" t="s">
        <v>502</v>
      </c>
      <c r="H1089" s="6" t="n">
        <v>0.97</v>
      </c>
      <c r="I1089" s="6" t="n">
        <v>0</v>
      </c>
      <c r="J1089" s="40" t="n">
        <f aca="false">H1089-I1089</f>
        <v>0.97</v>
      </c>
      <c r="K1089" s="41" t="n">
        <v>165</v>
      </c>
      <c r="L1089" s="42" t="n">
        <f aca="false">J1089*K1089</f>
        <v>160.05</v>
      </c>
      <c r="M1089" s="43" t="n">
        <f aca="false">H1089*66.48*(1+'Chart of Accounts'!$E$67)</f>
        <v>73.836012</v>
      </c>
    </row>
    <row r="1090" customFormat="false" ht="15" hidden="false" customHeight="false" outlineLevel="0" collapsed="false">
      <c r="B1090" s="7" t="s">
        <v>1587</v>
      </c>
      <c r="C1090" s="39" t="n">
        <v>45714</v>
      </c>
      <c r="D1090" s="7" t="s">
        <v>286</v>
      </c>
      <c r="E1090" s="7" t="s">
        <v>157</v>
      </c>
      <c r="F1090" s="7" t="s">
        <v>228</v>
      </c>
      <c r="G1090" s="7" t="s">
        <v>502</v>
      </c>
      <c r="H1090" s="6" t="n">
        <v>0.91</v>
      </c>
      <c r="I1090" s="6" t="n">
        <v>0</v>
      </c>
      <c r="J1090" s="40" t="n">
        <f aca="false">H1090-I1090</f>
        <v>0.91</v>
      </c>
      <c r="K1090" s="41" t="n">
        <v>165</v>
      </c>
      <c r="L1090" s="42" t="n">
        <f aca="false">J1090*K1090</f>
        <v>150.15</v>
      </c>
      <c r="M1090" s="43" t="n">
        <f aca="false">H1090*51.07*(1+'Chart of Accounts'!$E$67)</f>
        <v>53.2123865</v>
      </c>
    </row>
    <row r="1091" customFormat="false" ht="15" hidden="false" customHeight="false" outlineLevel="0" collapsed="false">
      <c r="B1091" s="7" t="s">
        <v>1588</v>
      </c>
      <c r="C1091" s="39" t="n">
        <v>45714</v>
      </c>
      <c r="D1091" s="7" t="s">
        <v>288</v>
      </c>
      <c r="E1091" s="7" t="s">
        <v>156</v>
      </c>
      <c r="F1091" s="7" t="s">
        <v>191</v>
      </c>
      <c r="G1091" s="7" t="s">
        <v>505</v>
      </c>
      <c r="H1091" s="6" t="n">
        <v>4.01</v>
      </c>
      <c r="I1091" s="6" t="n">
        <v>0</v>
      </c>
      <c r="J1091" s="40" t="n">
        <f aca="false">H1091-I1091</f>
        <v>4.01</v>
      </c>
      <c r="K1091" s="41" t="n">
        <v>34</v>
      </c>
      <c r="L1091" s="42" t="n">
        <f aca="false">J1091*K1091</f>
        <v>136.34</v>
      </c>
      <c r="M1091" s="43" t="n">
        <f aca="false">H1091*16.05*(1+'Chart of Accounts'!$E$67)</f>
        <v>73.6927725</v>
      </c>
    </row>
    <row r="1092" customFormat="false" ht="15" hidden="false" customHeight="false" outlineLevel="0" collapsed="false">
      <c r="B1092" s="7" t="s">
        <v>1589</v>
      </c>
      <c r="C1092" s="39" t="n">
        <v>45714</v>
      </c>
      <c r="D1092" s="7" t="s">
        <v>291</v>
      </c>
      <c r="E1092" s="7" t="s">
        <v>154</v>
      </c>
      <c r="F1092" s="7" t="s">
        <v>194</v>
      </c>
      <c r="G1092" s="7" t="s">
        <v>505</v>
      </c>
      <c r="H1092" s="6" t="n">
        <v>5.09</v>
      </c>
      <c r="I1092" s="6" t="n">
        <v>0.153</v>
      </c>
      <c r="J1092" s="40" t="n">
        <f aca="false">H1092-I1092</f>
        <v>4.937</v>
      </c>
      <c r="K1092" s="41" t="n">
        <v>26.5</v>
      </c>
      <c r="L1092" s="42" t="n">
        <f aca="false">J1092*K1092</f>
        <v>130.8305</v>
      </c>
      <c r="M1092" s="43" t="n">
        <f aca="false">H1092*16*(1+'Chart of Accounts'!$E$67)</f>
        <v>93.2488</v>
      </c>
    </row>
    <row r="1093" customFormat="false" ht="15" hidden="false" customHeight="false" outlineLevel="0" collapsed="false">
      <c r="B1093" s="7" t="s">
        <v>1590</v>
      </c>
      <c r="C1093" s="39" t="n">
        <v>45714</v>
      </c>
      <c r="D1093" s="7" t="s">
        <v>305</v>
      </c>
      <c r="E1093" s="7" t="s">
        <v>154</v>
      </c>
      <c r="F1093" s="7" t="s">
        <v>205</v>
      </c>
      <c r="G1093" s="7" t="s">
        <v>505</v>
      </c>
      <c r="H1093" s="6" t="n">
        <v>3.65</v>
      </c>
      <c r="I1093" s="6" t="n">
        <v>0</v>
      </c>
      <c r="J1093" s="40" t="n">
        <f aca="false">H1093-I1093</f>
        <v>3.65</v>
      </c>
      <c r="K1093" s="41" t="n">
        <v>26.5</v>
      </c>
      <c r="L1093" s="42" t="n">
        <f aca="false">J1093*K1093</f>
        <v>96.725</v>
      </c>
      <c r="M1093" s="43" t="n">
        <f aca="false">H1093*16.36*(1+'Chart of Accounts'!$E$67)</f>
        <v>68.37253</v>
      </c>
    </row>
    <row r="1094" customFormat="false" ht="15" hidden="false" customHeight="false" outlineLevel="0" collapsed="false">
      <c r="B1094" s="7" t="s">
        <v>1591</v>
      </c>
      <c r="C1094" s="39" t="n">
        <v>45714</v>
      </c>
      <c r="D1094" s="7" t="s">
        <v>309</v>
      </c>
      <c r="E1094" s="7" t="s">
        <v>159</v>
      </c>
      <c r="F1094" s="7" t="s">
        <v>252</v>
      </c>
      <c r="G1094" s="7" t="s">
        <v>502</v>
      </c>
      <c r="H1094" s="6" t="n">
        <v>1.07</v>
      </c>
      <c r="I1094" s="6" t="n">
        <v>0.075</v>
      </c>
      <c r="J1094" s="40" t="n">
        <f aca="false">H1094-I1094</f>
        <v>0.995</v>
      </c>
      <c r="K1094" s="41" t="n">
        <v>135</v>
      </c>
      <c r="L1094" s="42" t="n">
        <f aca="false">J1094*K1094</f>
        <v>134.325</v>
      </c>
      <c r="M1094" s="43" t="n">
        <f aca="false">H1094*57.54*(1+'Chart of Accounts'!$E$67)</f>
        <v>70.495131</v>
      </c>
    </row>
    <row r="1095" customFormat="false" ht="15" hidden="false" customHeight="false" outlineLevel="0" collapsed="false">
      <c r="B1095" s="7" t="s">
        <v>1592</v>
      </c>
      <c r="C1095" s="39" t="n">
        <v>45714</v>
      </c>
      <c r="D1095" s="7" t="s">
        <v>313</v>
      </c>
      <c r="E1095" s="7" t="s">
        <v>156</v>
      </c>
      <c r="F1095" s="7" t="s">
        <v>184</v>
      </c>
      <c r="G1095" s="7" t="s">
        <v>505</v>
      </c>
      <c r="H1095" s="6" t="n">
        <v>4.03</v>
      </c>
      <c r="I1095" s="6" t="n">
        <v>0</v>
      </c>
      <c r="J1095" s="40" t="n">
        <f aca="false">H1095-I1095</f>
        <v>4.03</v>
      </c>
      <c r="K1095" s="41" t="n">
        <v>34</v>
      </c>
      <c r="L1095" s="42" t="n">
        <f aca="false">J1095*K1095</f>
        <v>137.02</v>
      </c>
      <c r="M1095" s="43" t="n">
        <f aca="false">H1095*17.34*(1+'Chart of Accounts'!$E$67)</f>
        <v>80.012829</v>
      </c>
    </row>
    <row r="1096" customFormat="false" ht="15" hidden="false" customHeight="false" outlineLevel="0" collapsed="false">
      <c r="B1096" s="7" t="s">
        <v>1593</v>
      </c>
      <c r="C1096" s="39" t="n">
        <v>45714</v>
      </c>
      <c r="D1096" s="7" t="s">
        <v>321</v>
      </c>
      <c r="E1096" s="7" t="s">
        <v>154</v>
      </c>
      <c r="F1096" s="7" t="s">
        <v>218</v>
      </c>
      <c r="G1096" s="7" t="s">
        <v>505</v>
      </c>
      <c r="H1096" s="6" t="n">
        <v>4.22</v>
      </c>
      <c r="I1096" s="6" t="n">
        <v>0</v>
      </c>
      <c r="J1096" s="40" t="n">
        <f aca="false">H1096-I1096</f>
        <v>4.22</v>
      </c>
      <c r="K1096" s="41" t="n">
        <v>26.5</v>
      </c>
      <c r="L1096" s="42" t="n">
        <f aca="false">J1096*K1096</f>
        <v>111.83</v>
      </c>
      <c r="M1096" s="43" t="n">
        <f aca="false">H1096*16.19*(1+'Chart of Accounts'!$E$67)</f>
        <v>78.228461</v>
      </c>
    </row>
    <row r="1097" customFormat="false" ht="15" hidden="false" customHeight="false" outlineLevel="0" collapsed="false">
      <c r="B1097" s="7" t="s">
        <v>1594</v>
      </c>
      <c r="C1097" s="39" t="n">
        <v>45714</v>
      </c>
      <c r="D1097" s="7" t="s">
        <v>329</v>
      </c>
      <c r="E1097" s="7" t="s">
        <v>156</v>
      </c>
      <c r="F1097" s="7" t="s">
        <v>220</v>
      </c>
      <c r="G1097" s="7" t="s">
        <v>505</v>
      </c>
      <c r="H1097" s="6" t="n">
        <v>4.2</v>
      </c>
      <c r="I1097" s="6" t="n">
        <v>0</v>
      </c>
      <c r="J1097" s="40" t="n">
        <f aca="false">H1097-I1097</f>
        <v>4.2</v>
      </c>
      <c r="K1097" s="41" t="n">
        <v>34</v>
      </c>
      <c r="L1097" s="42" t="n">
        <f aca="false">J1097*K1097</f>
        <v>142.8</v>
      </c>
      <c r="M1097" s="43" t="n">
        <f aca="false">H1097*16.43*(1+'Chart of Accounts'!$E$67)</f>
        <v>79.01187</v>
      </c>
    </row>
    <row r="1098" customFormat="false" ht="15" hidden="false" customHeight="false" outlineLevel="0" collapsed="false">
      <c r="B1098" s="7" t="s">
        <v>1595</v>
      </c>
      <c r="C1098" s="39" t="n">
        <v>45714</v>
      </c>
      <c r="D1098" s="7" t="s">
        <v>335</v>
      </c>
      <c r="E1098" s="7" t="s">
        <v>154</v>
      </c>
      <c r="F1098" s="7" t="s">
        <v>177</v>
      </c>
      <c r="G1098" s="7" t="s">
        <v>505</v>
      </c>
      <c r="H1098" s="6" t="n">
        <v>3.87</v>
      </c>
      <c r="I1098" s="6" t="n">
        <v>0.116</v>
      </c>
      <c r="J1098" s="40" t="n">
        <f aca="false">H1098-I1098</f>
        <v>3.754</v>
      </c>
      <c r="K1098" s="41" t="n">
        <v>26.5</v>
      </c>
      <c r="L1098" s="42" t="n">
        <f aca="false">J1098*K1098</f>
        <v>99.481</v>
      </c>
      <c r="M1098" s="43" t="n">
        <f aca="false">H1098*14.56*(1+'Chart of Accounts'!$E$67)</f>
        <v>64.517544</v>
      </c>
    </row>
    <row r="1099" customFormat="false" ht="15" hidden="false" customHeight="false" outlineLevel="0" collapsed="false">
      <c r="B1099" s="7" t="s">
        <v>1596</v>
      </c>
      <c r="C1099" s="39" t="n">
        <v>45714</v>
      </c>
      <c r="D1099" s="7" t="s">
        <v>339</v>
      </c>
      <c r="E1099" s="7" t="s">
        <v>154</v>
      </c>
      <c r="F1099" s="7" t="s">
        <v>242</v>
      </c>
      <c r="G1099" s="7" t="s">
        <v>505</v>
      </c>
      <c r="H1099" s="6" t="n">
        <v>3.53</v>
      </c>
      <c r="I1099" s="6" t="n">
        <v>0</v>
      </c>
      <c r="J1099" s="40" t="n">
        <f aca="false">H1099-I1099</f>
        <v>3.53</v>
      </c>
      <c r="K1099" s="41" t="n">
        <v>26.5</v>
      </c>
      <c r="L1099" s="42" t="n">
        <f aca="false">J1099*K1099</f>
        <v>93.545</v>
      </c>
      <c r="M1099" s="43" t="n">
        <f aca="false">H1099*17.99*(1+'Chart of Accounts'!$E$67)</f>
        <v>72.7128815</v>
      </c>
    </row>
    <row r="1100" customFormat="false" ht="15" hidden="false" customHeight="false" outlineLevel="0" collapsed="false">
      <c r="B1100" s="7" t="s">
        <v>1597</v>
      </c>
      <c r="C1100" s="39" t="n">
        <v>45714</v>
      </c>
      <c r="D1100" s="7" t="s">
        <v>353</v>
      </c>
      <c r="E1100" s="7" t="s">
        <v>154</v>
      </c>
      <c r="F1100" s="7" t="s">
        <v>254</v>
      </c>
      <c r="G1100" s="7" t="s">
        <v>505</v>
      </c>
      <c r="H1100" s="6" t="n">
        <v>3.15</v>
      </c>
      <c r="I1100" s="6" t="n">
        <v>0</v>
      </c>
      <c r="J1100" s="40" t="n">
        <f aca="false">H1100-I1100</f>
        <v>3.15</v>
      </c>
      <c r="K1100" s="41" t="n">
        <v>26.5</v>
      </c>
      <c r="L1100" s="42" t="n">
        <f aca="false">J1100*K1100</f>
        <v>83.475</v>
      </c>
      <c r="M1100" s="43" t="n">
        <f aca="false">H1100*17.1*(1+'Chart of Accounts'!$E$67)</f>
        <v>61.675425</v>
      </c>
    </row>
    <row r="1101" customFormat="false" ht="15" hidden="false" customHeight="false" outlineLevel="0" collapsed="false">
      <c r="B1101" s="7" t="s">
        <v>1598</v>
      </c>
      <c r="C1101" s="39" t="n">
        <v>45714</v>
      </c>
      <c r="D1101" s="7" t="s">
        <v>355</v>
      </c>
      <c r="E1101" s="7" t="s">
        <v>154</v>
      </c>
      <c r="F1101" s="7" t="s">
        <v>201</v>
      </c>
      <c r="G1101" s="7" t="s">
        <v>505</v>
      </c>
      <c r="H1101" s="6" t="n">
        <v>3.42</v>
      </c>
      <c r="I1101" s="6" t="n">
        <v>0.103</v>
      </c>
      <c r="J1101" s="40" t="n">
        <f aca="false">H1101-I1101</f>
        <v>3.317</v>
      </c>
      <c r="K1101" s="41" t="n">
        <v>26.5</v>
      </c>
      <c r="L1101" s="42" t="n">
        <f aca="false">J1101*K1101</f>
        <v>87.9005</v>
      </c>
      <c r="M1101" s="43" t="n">
        <f aca="false">H1101*15.19*(1+'Chart of Accounts'!$E$67)</f>
        <v>59.482521</v>
      </c>
    </row>
    <row r="1102" customFormat="false" ht="15" hidden="false" customHeight="false" outlineLevel="0" collapsed="false">
      <c r="B1102" s="7" t="s">
        <v>1599</v>
      </c>
      <c r="C1102" s="39" t="n">
        <v>45714</v>
      </c>
      <c r="D1102" s="7" t="s">
        <v>357</v>
      </c>
      <c r="E1102" s="7" t="s">
        <v>154</v>
      </c>
      <c r="F1102" s="7" t="s">
        <v>207</v>
      </c>
      <c r="G1102" s="7" t="s">
        <v>505</v>
      </c>
      <c r="H1102" s="6" t="n">
        <v>3.45</v>
      </c>
      <c r="I1102" s="6" t="n">
        <v>0</v>
      </c>
      <c r="J1102" s="40" t="n">
        <f aca="false">H1102-I1102</f>
        <v>3.45</v>
      </c>
      <c r="K1102" s="41" t="n">
        <v>26.5</v>
      </c>
      <c r="L1102" s="42" t="n">
        <f aca="false">J1102*K1102</f>
        <v>91.425</v>
      </c>
      <c r="M1102" s="43" t="n">
        <f aca="false">H1102*16.65*(1+'Chart of Accounts'!$E$67)</f>
        <v>65.7716625</v>
      </c>
    </row>
    <row r="1103" customFormat="false" ht="15" hidden="false" customHeight="false" outlineLevel="0" collapsed="false">
      <c r="B1103" s="7" t="s">
        <v>1600</v>
      </c>
      <c r="C1103" s="39" t="n">
        <v>45714</v>
      </c>
      <c r="D1103" s="7" t="s">
        <v>359</v>
      </c>
      <c r="E1103" s="7" t="s">
        <v>156</v>
      </c>
      <c r="F1103" s="7" t="s">
        <v>212</v>
      </c>
      <c r="G1103" s="7" t="s">
        <v>505</v>
      </c>
      <c r="H1103" s="6" t="n">
        <v>4.09</v>
      </c>
      <c r="I1103" s="6" t="n">
        <v>0</v>
      </c>
      <c r="J1103" s="40" t="n">
        <f aca="false">H1103-I1103</f>
        <v>4.09</v>
      </c>
      <c r="K1103" s="41" t="n">
        <v>34</v>
      </c>
      <c r="L1103" s="42" t="n">
        <f aca="false">J1103*K1103</f>
        <v>139.06</v>
      </c>
      <c r="M1103" s="43" t="n">
        <f aca="false">H1103*16.71*(1+'Chart of Accounts'!$E$67)</f>
        <v>78.2537655</v>
      </c>
    </row>
    <row r="1104" customFormat="false" ht="15" hidden="false" customHeight="false" outlineLevel="0" collapsed="false">
      <c r="B1104" s="7" t="s">
        <v>1601</v>
      </c>
      <c r="C1104" s="39" t="n">
        <v>45714</v>
      </c>
      <c r="D1104" s="7" t="s">
        <v>371</v>
      </c>
      <c r="E1104" s="7" t="s">
        <v>154</v>
      </c>
      <c r="F1104" s="7" t="s">
        <v>232</v>
      </c>
      <c r="G1104" s="7" t="s">
        <v>505</v>
      </c>
      <c r="H1104" s="6" t="n">
        <v>4.85</v>
      </c>
      <c r="I1104" s="6" t="n">
        <v>0</v>
      </c>
      <c r="J1104" s="40" t="n">
        <f aca="false">H1104-I1104</f>
        <v>4.85</v>
      </c>
      <c r="K1104" s="41" t="n">
        <v>26.5</v>
      </c>
      <c r="L1104" s="42" t="n">
        <f aca="false">J1104*K1104</f>
        <v>128.525</v>
      </c>
      <c r="M1104" s="43" t="n">
        <f aca="false">H1104*16.17*(1+'Chart of Accounts'!$E$67)</f>
        <v>89.7960525</v>
      </c>
    </row>
    <row r="1105" customFormat="false" ht="15" hidden="false" customHeight="false" outlineLevel="0" collapsed="false">
      <c r="B1105" s="7" t="s">
        <v>1602</v>
      </c>
      <c r="C1105" s="39" t="n">
        <v>45714</v>
      </c>
      <c r="D1105" s="7" t="s">
        <v>379</v>
      </c>
      <c r="E1105" s="7" t="s">
        <v>156</v>
      </c>
      <c r="F1105" s="7" t="s">
        <v>224</v>
      </c>
      <c r="G1105" s="7" t="s">
        <v>505</v>
      </c>
      <c r="H1105" s="6" t="n">
        <v>4.3</v>
      </c>
      <c r="I1105" s="6" t="n">
        <v>0</v>
      </c>
      <c r="J1105" s="40" t="n">
        <f aca="false">H1105-I1105</f>
        <v>4.3</v>
      </c>
      <c r="K1105" s="41" t="n">
        <v>34</v>
      </c>
      <c r="L1105" s="42" t="n">
        <f aca="false">J1105*K1105</f>
        <v>146.2</v>
      </c>
      <c r="M1105" s="43" t="n">
        <f aca="false">H1105*14.93*(1+'Chart of Accounts'!$E$67)</f>
        <v>73.507855</v>
      </c>
    </row>
    <row r="1106" customFormat="false" ht="15" hidden="false" customHeight="false" outlineLevel="0" collapsed="false">
      <c r="B1106" s="7" t="s">
        <v>1603</v>
      </c>
      <c r="C1106" s="39" t="n">
        <v>45714</v>
      </c>
      <c r="D1106" s="7" t="s">
        <v>389</v>
      </c>
      <c r="E1106" s="7" t="s">
        <v>154</v>
      </c>
      <c r="F1106" s="7" t="s">
        <v>246</v>
      </c>
      <c r="G1106" s="7" t="s">
        <v>505</v>
      </c>
      <c r="H1106" s="6" t="n">
        <v>3.67</v>
      </c>
      <c r="I1106" s="6" t="n">
        <v>0</v>
      </c>
      <c r="J1106" s="40" t="n">
        <f aca="false">H1106-I1106</f>
        <v>3.67</v>
      </c>
      <c r="K1106" s="41" t="n">
        <v>26.5</v>
      </c>
      <c r="L1106" s="42" t="n">
        <f aca="false">J1106*K1106</f>
        <v>97.255</v>
      </c>
      <c r="M1106" s="43" t="n">
        <f aca="false">H1106*16.48*(1+'Chart of Accounts'!$E$67)</f>
        <v>69.251432</v>
      </c>
    </row>
    <row r="1107" customFormat="false" ht="15" hidden="false" customHeight="false" outlineLevel="0" collapsed="false">
      <c r="B1107" s="7" t="s">
        <v>1604</v>
      </c>
      <c r="C1107" s="39" t="n">
        <v>45714</v>
      </c>
      <c r="D1107" s="7" t="s">
        <v>391</v>
      </c>
      <c r="E1107" s="7" t="s">
        <v>156</v>
      </c>
      <c r="F1107" s="7" t="s">
        <v>222</v>
      </c>
      <c r="G1107" s="7" t="s">
        <v>505</v>
      </c>
      <c r="H1107" s="6" t="n">
        <v>3.92</v>
      </c>
      <c r="I1107" s="6" t="n">
        <v>0</v>
      </c>
      <c r="J1107" s="40" t="n">
        <f aca="false">H1107-I1107</f>
        <v>3.92</v>
      </c>
      <c r="K1107" s="41" t="n">
        <v>34</v>
      </c>
      <c r="L1107" s="42" t="n">
        <f aca="false">J1107*K1107</f>
        <v>133.28</v>
      </c>
      <c r="M1107" s="43" t="n">
        <f aca="false">H1107*17.84*(1+'Chart of Accounts'!$E$67)</f>
        <v>80.073056</v>
      </c>
    </row>
    <row r="1108" customFormat="false" ht="15" hidden="false" customHeight="false" outlineLevel="0" collapsed="false">
      <c r="B1108" s="7" t="s">
        <v>1605</v>
      </c>
      <c r="C1108" s="39" t="n">
        <v>45714</v>
      </c>
      <c r="D1108" s="7" t="s">
        <v>393</v>
      </c>
      <c r="E1108" s="7" t="s">
        <v>157</v>
      </c>
      <c r="F1108" s="7" t="s">
        <v>203</v>
      </c>
      <c r="G1108" s="7" t="s">
        <v>502</v>
      </c>
      <c r="H1108" s="6" t="n">
        <v>1.01</v>
      </c>
      <c r="I1108" s="6" t="n">
        <v>0</v>
      </c>
      <c r="J1108" s="40" t="n">
        <f aca="false">H1108-I1108</f>
        <v>1.01</v>
      </c>
      <c r="K1108" s="41" t="n">
        <v>165</v>
      </c>
      <c r="L1108" s="42" t="n">
        <f aca="false">J1108*K1108</f>
        <v>166.65</v>
      </c>
      <c r="M1108" s="43" t="n">
        <f aca="false">H1108*49.43*(1+'Chart of Accounts'!$E$67)</f>
        <v>57.1633235</v>
      </c>
    </row>
    <row r="1109" customFormat="false" ht="15" hidden="false" customHeight="false" outlineLevel="0" collapsed="false">
      <c r="B1109" s="7" t="s">
        <v>1606</v>
      </c>
      <c r="C1109" s="39" t="n">
        <v>45714</v>
      </c>
      <c r="D1109" s="7" t="s">
        <v>395</v>
      </c>
      <c r="E1109" s="7" t="s">
        <v>156</v>
      </c>
      <c r="F1109" s="7" t="s">
        <v>242</v>
      </c>
      <c r="G1109" s="7" t="s">
        <v>505</v>
      </c>
      <c r="H1109" s="6" t="n">
        <v>4.24</v>
      </c>
      <c r="I1109" s="6" t="n">
        <v>0</v>
      </c>
      <c r="J1109" s="40" t="n">
        <f aca="false">H1109-I1109</f>
        <v>4.24</v>
      </c>
      <c r="K1109" s="41" t="n">
        <v>34</v>
      </c>
      <c r="L1109" s="42" t="n">
        <f aca="false">J1109*K1109</f>
        <v>144.16</v>
      </c>
      <c r="M1109" s="43" t="n">
        <f aca="false">H1109*17.99*(1+'Chart of Accounts'!$E$67)</f>
        <v>87.337852</v>
      </c>
    </row>
    <row r="1110" customFormat="false" ht="15" hidden="false" customHeight="false" outlineLevel="0" collapsed="false">
      <c r="B1110" s="7" t="s">
        <v>1607</v>
      </c>
      <c r="C1110" s="39" t="n">
        <v>45714</v>
      </c>
      <c r="D1110" s="7" t="s">
        <v>399</v>
      </c>
      <c r="E1110" s="7" t="s">
        <v>154</v>
      </c>
      <c r="F1110" s="7" t="s">
        <v>262</v>
      </c>
      <c r="G1110" s="7" t="s">
        <v>505</v>
      </c>
      <c r="H1110" s="6" t="n">
        <v>3.1</v>
      </c>
      <c r="I1110" s="6" t="n">
        <v>0</v>
      </c>
      <c r="J1110" s="40" t="n">
        <f aca="false">H1110-I1110</f>
        <v>3.1</v>
      </c>
      <c r="K1110" s="41" t="n">
        <v>26.5</v>
      </c>
      <c r="L1110" s="42" t="n">
        <f aca="false">J1110*K1110</f>
        <v>82.15</v>
      </c>
      <c r="M1110" s="43" t="n">
        <f aca="false">H1110*16.02*(1+'Chart of Accounts'!$E$67)</f>
        <v>56.86299</v>
      </c>
    </row>
    <row r="1111" customFormat="false" ht="15" hidden="false" customHeight="false" outlineLevel="0" collapsed="false">
      <c r="B1111" s="7" t="s">
        <v>1608</v>
      </c>
      <c r="C1111" s="39" t="n">
        <v>45714</v>
      </c>
      <c r="D1111" s="7" t="s">
        <v>401</v>
      </c>
      <c r="E1111" s="7" t="s">
        <v>156</v>
      </c>
      <c r="F1111" s="7" t="s">
        <v>254</v>
      </c>
      <c r="G1111" s="7" t="s">
        <v>505</v>
      </c>
      <c r="H1111" s="6" t="n">
        <v>4.24</v>
      </c>
      <c r="I1111" s="6" t="n">
        <v>0</v>
      </c>
      <c r="J1111" s="40" t="n">
        <f aca="false">H1111-I1111</f>
        <v>4.24</v>
      </c>
      <c r="K1111" s="41" t="n">
        <v>34</v>
      </c>
      <c r="L1111" s="42" t="n">
        <f aca="false">J1111*K1111</f>
        <v>144.16</v>
      </c>
      <c r="M1111" s="43" t="n">
        <f aca="false">H1111*17.1*(1+'Chart of Accounts'!$E$67)</f>
        <v>83.01708</v>
      </c>
    </row>
    <row r="1112" customFormat="false" ht="15" hidden="false" customHeight="false" outlineLevel="0" collapsed="false">
      <c r="B1112" s="7" t="s">
        <v>1609</v>
      </c>
      <c r="C1112" s="39" t="n">
        <v>45714</v>
      </c>
      <c r="D1112" s="7" t="s">
        <v>409</v>
      </c>
      <c r="E1112" s="7" t="s">
        <v>154</v>
      </c>
      <c r="F1112" s="7" t="s">
        <v>214</v>
      </c>
      <c r="G1112" s="7" t="s">
        <v>505</v>
      </c>
      <c r="H1112" s="6" t="n">
        <v>3.63</v>
      </c>
      <c r="I1112" s="6" t="n">
        <v>0</v>
      </c>
      <c r="J1112" s="40" t="n">
        <f aca="false">H1112-I1112</f>
        <v>3.63</v>
      </c>
      <c r="K1112" s="41" t="n">
        <v>26.5</v>
      </c>
      <c r="L1112" s="42" t="n">
        <f aca="false">J1112*K1112</f>
        <v>96.195</v>
      </c>
      <c r="M1112" s="43" t="n">
        <f aca="false">H1112*15.67*(1+'Chart of Accounts'!$E$67)</f>
        <v>65.1300045</v>
      </c>
    </row>
    <row r="1113" customFormat="false" ht="15" hidden="false" customHeight="false" outlineLevel="0" collapsed="false">
      <c r="B1113" s="7" t="s">
        <v>1610</v>
      </c>
      <c r="C1113" s="39" t="n">
        <v>45715</v>
      </c>
      <c r="D1113" s="7" t="s">
        <v>288</v>
      </c>
      <c r="E1113" s="7" t="s">
        <v>156</v>
      </c>
      <c r="F1113" s="7" t="s">
        <v>191</v>
      </c>
      <c r="G1113" s="7" t="s">
        <v>505</v>
      </c>
      <c r="H1113" s="6" t="n">
        <v>3.92</v>
      </c>
      <c r="I1113" s="6" t="n">
        <v>0</v>
      </c>
      <c r="J1113" s="40" t="n">
        <f aca="false">H1113-I1113</f>
        <v>3.92</v>
      </c>
      <c r="K1113" s="41" t="n">
        <v>34</v>
      </c>
      <c r="L1113" s="42" t="n">
        <f aca="false">J1113*K1113</f>
        <v>133.28</v>
      </c>
      <c r="M1113" s="43" t="n">
        <f aca="false">H1113*16.05*(1+'Chart of Accounts'!$E$67)</f>
        <v>72.03882</v>
      </c>
    </row>
    <row r="1114" customFormat="false" ht="15" hidden="false" customHeight="false" outlineLevel="0" collapsed="false">
      <c r="B1114" s="7" t="s">
        <v>1611</v>
      </c>
      <c r="C1114" s="39" t="n">
        <v>45715</v>
      </c>
      <c r="D1114" s="7" t="s">
        <v>297</v>
      </c>
      <c r="E1114" s="7" t="s">
        <v>156</v>
      </c>
      <c r="F1114" s="7" t="s">
        <v>201</v>
      </c>
      <c r="G1114" s="7" t="s">
        <v>505</v>
      </c>
      <c r="H1114" s="6" t="n">
        <v>2.83</v>
      </c>
      <c r="I1114" s="6" t="n">
        <v>0</v>
      </c>
      <c r="J1114" s="40" t="n">
        <f aca="false">H1114-I1114</f>
        <v>2.83</v>
      </c>
      <c r="K1114" s="41" t="n">
        <v>34</v>
      </c>
      <c r="L1114" s="42" t="n">
        <f aca="false">J1114*K1114</f>
        <v>96.22</v>
      </c>
      <c r="M1114" s="43" t="n">
        <f aca="false">H1114*15.19*(1+'Chart of Accounts'!$E$67)</f>
        <v>49.2209165</v>
      </c>
    </row>
    <row r="1115" customFormat="false" ht="15" hidden="false" customHeight="false" outlineLevel="0" collapsed="false">
      <c r="B1115" s="7" t="s">
        <v>1612</v>
      </c>
      <c r="C1115" s="39" t="n">
        <v>45715</v>
      </c>
      <c r="D1115" s="7" t="s">
        <v>311</v>
      </c>
      <c r="E1115" s="7" t="s">
        <v>154</v>
      </c>
      <c r="F1115" s="7" t="s">
        <v>196</v>
      </c>
      <c r="G1115" s="7" t="s">
        <v>505</v>
      </c>
      <c r="H1115" s="6" t="n">
        <v>2.83</v>
      </c>
      <c r="I1115" s="6" t="n">
        <v>0</v>
      </c>
      <c r="J1115" s="40" t="n">
        <f aca="false">H1115-I1115</f>
        <v>2.83</v>
      </c>
      <c r="K1115" s="41" t="n">
        <v>26.5</v>
      </c>
      <c r="L1115" s="42" t="n">
        <f aca="false">J1115*K1115</f>
        <v>74.995</v>
      </c>
      <c r="M1115" s="43" t="n">
        <f aca="false">H1115*15.05*(1+'Chart of Accounts'!$E$67)</f>
        <v>48.7672675</v>
      </c>
    </row>
    <row r="1116" customFormat="false" ht="15" hidden="false" customHeight="false" outlineLevel="0" collapsed="false">
      <c r="B1116" s="7" t="s">
        <v>1613</v>
      </c>
      <c r="C1116" s="39" t="n">
        <v>45715</v>
      </c>
      <c r="D1116" s="7" t="s">
        <v>313</v>
      </c>
      <c r="E1116" s="7" t="s">
        <v>156</v>
      </c>
      <c r="F1116" s="7" t="s">
        <v>184</v>
      </c>
      <c r="G1116" s="7" t="s">
        <v>505</v>
      </c>
      <c r="H1116" s="6" t="n">
        <v>3.71</v>
      </c>
      <c r="I1116" s="6" t="n">
        <v>0</v>
      </c>
      <c r="J1116" s="40" t="n">
        <f aca="false">H1116-I1116</f>
        <v>3.71</v>
      </c>
      <c r="K1116" s="41" t="n">
        <v>34</v>
      </c>
      <c r="L1116" s="42" t="n">
        <f aca="false">J1116*K1116</f>
        <v>126.14</v>
      </c>
      <c r="M1116" s="43" t="n">
        <f aca="false">H1116*17.34*(1+'Chart of Accounts'!$E$67)</f>
        <v>73.659453</v>
      </c>
    </row>
    <row r="1117" customFormat="false" ht="15" hidden="false" customHeight="false" outlineLevel="0" collapsed="false">
      <c r="B1117" s="7" t="s">
        <v>1614</v>
      </c>
      <c r="C1117" s="39" t="n">
        <v>45715</v>
      </c>
      <c r="D1117" s="7" t="s">
        <v>317</v>
      </c>
      <c r="E1117" s="7" t="s">
        <v>156</v>
      </c>
      <c r="F1117" s="7" t="s">
        <v>207</v>
      </c>
      <c r="G1117" s="7" t="s">
        <v>505</v>
      </c>
      <c r="H1117" s="6" t="n">
        <v>2.85</v>
      </c>
      <c r="I1117" s="6" t="n">
        <v>0</v>
      </c>
      <c r="J1117" s="40" t="n">
        <f aca="false">H1117-I1117</f>
        <v>2.85</v>
      </c>
      <c r="K1117" s="41" t="n">
        <v>34</v>
      </c>
      <c r="L1117" s="42" t="n">
        <f aca="false">J1117*K1117</f>
        <v>96.9</v>
      </c>
      <c r="M1117" s="43" t="n">
        <f aca="false">H1117*16.65*(1+'Chart of Accounts'!$E$67)</f>
        <v>54.3331125</v>
      </c>
    </row>
    <row r="1118" customFormat="false" ht="15" hidden="false" customHeight="false" outlineLevel="0" collapsed="false">
      <c r="B1118" s="7" t="s">
        <v>1615</v>
      </c>
      <c r="C1118" s="39" t="n">
        <v>45715</v>
      </c>
      <c r="D1118" s="7" t="s">
        <v>321</v>
      </c>
      <c r="E1118" s="7" t="s">
        <v>154</v>
      </c>
      <c r="F1118" s="7" t="s">
        <v>218</v>
      </c>
      <c r="G1118" s="7" t="s">
        <v>505</v>
      </c>
      <c r="H1118" s="6" t="n">
        <v>4.05</v>
      </c>
      <c r="I1118" s="6" t="n">
        <v>0</v>
      </c>
      <c r="J1118" s="40" t="n">
        <f aca="false">H1118-I1118</f>
        <v>4.05</v>
      </c>
      <c r="K1118" s="41" t="n">
        <v>26.5</v>
      </c>
      <c r="L1118" s="42" t="n">
        <f aca="false">J1118*K1118</f>
        <v>107.325</v>
      </c>
      <c r="M1118" s="43" t="n">
        <f aca="false">H1118*16.19*(1+'Chart of Accounts'!$E$67)</f>
        <v>75.0770775</v>
      </c>
    </row>
    <row r="1119" customFormat="false" ht="15" hidden="false" customHeight="false" outlineLevel="0" collapsed="false">
      <c r="B1119" s="7" t="s">
        <v>1616</v>
      </c>
      <c r="C1119" s="39" t="n">
        <v>45715</v>
      </c>
      <c r="D1119" s="7" t="s">
        <v>325</v>
      </c>
      <c r="E1119" s="7" t="s">
        <v>154</v>
      </c>
      <c r="F1119" s="7" t="s">
        <v>212</v>
      </c>
      <c r="G1119" s="7" t="s">
        <v>505</v>
      </c>
      <c r="H1119" s="6" t="n">
        <v>3.29</v>
      </c>
      <c r="I1119" s="6" t="n">
        <v>0</v>
      </c>
      <c r="J1119" s="40" t="n">
        <f aca="false">H1119-I1119</f>
        <v>3.29</v>
      </c>
      <c r="K1119" s="41" t="n">
        <v>26.5</v>
      </c>
      <c r="L1119" s="42" t="n">
        <f aca="false">J1119*K1119</f>
        <v>87.185</v>
      </c>
      <c r="M1119" s="43" t="n">
        <f aca="false">H1119*16.71*(1+'Chart of Accounts'!$E$67)</f>
        <v>62.9474055</v>
      </c>
    </row>
    <row r="1120" customFormat="false" ht="15" hidden="false" customHeight="false" outlineLevel="0" collapsed="false">
      <c r="B1120" s="7" t="s">
        <v>1617</v>
      </c>
      <c r="C1120" s="39" t="n">
        <v>45715</v>
      </c>
      <c r="D1120" s="7" t="s">
        <v>329</v>
      </c>
      <c r="E1120" s="7" t="s">
        <v>156</v>
      </c>
      <c r="F1120" s="7" t="s">
        <v>220</v>
      </c>
      <c r="G1120" s="7" t="s">
        <v>505</v>
      </c>
      <c r="H1120" s="6" t="n">
        <v>3.66</v>
      </c>
      <c r="I1120" s="6" t="n">
        <v>0</v>
      </c>
      <c r="J1120" s="40" t="n">
        <f aca="false">H1120-I1120</f>
        <v>3.66</v>
      </c>
      <c r="K1120" s="41" t="n">
        <v>34</v>
      </c>
      <c r="L1120" s="42" t="n">
        <f aca="false">J1120*K1120</f>
        <v>124.44</v>
      </c>
      <c r="M1120" s="43" t="n">
        <f aca="false">H1120*16.43*(1+'Chart of Accounts'!$E$67)</f>
        <v>68.853201</v>
      </c>
    </row>
    <row r="1121" customFormat="false" ht="15" hidden="false" customHeight="false" outlineLevel="0" collapsed="false">
      <c r="B1121" s="7" t="s">
        <v>1618</v>
      </c>
      <c r="C1121" s="39" t="n">
        <v>45715</v>
      </c>
      <c r="D1121" s="7" t="s">
        <v>331</v>
      </c>
      <c r="E1121" s="7" t="s">
        <v>156</v>
      </c>
      <c r="F1121" s="7" t="s">
        <v>224</v>
      </c>
      <c r="G1121" s="7" t="s">
        <v>505</v>
      </c>
      <c r="H1121" s="6" t="n">
        <v>3.76</v>
      </c>
      <c r="I1121" s="6" t="n">
        <v>0</v>
      </c>
      <c r="J1121" s="40" t="n">
        <f aca="false">H1121-I1121</f>
        <v>3.76</v>
      </c>
      <c r="K1121" s="41" t="n">
        <v>34</v>
      </c>
      <c r="L1121" s="42" t="n">
        <f aca="false">J1121*K1121</f>
        <v>127.84</v>
      </c>
      <c r="M1121" s="43" t="n">
        <f aca="false">H1121*14.93*(1+'Chart of Accounts'!$E$67)</f>
        <v>64.276636</v>
      </c>
    </row>
    <row r="1122" customFormat="false" ht="15" hidden="false" customHeight="false" outlineLevel="0" collapsed="false">
      <c r="B1122" s="7" t="s">
        <v>1619</v>
      </c>
      <c r="C1122" s="39" t="n">
        <v>45715</v>
      </c>
      <c r="D1122" s="7" t="s">
        <v>337</v>
      </c>
      <c r="E1122" s="7" t="s">
        <v>154</v>
      </c>
      <c r="F1122" s="7" t="s">
        <v>232</v>
      </c>
      <c r="G1122" s="7" t="s">
        <v>505</v>
      </c>
      <c r="H1122" s="6" t="n">
        <v>2.91</v>
      </c>
      <c r="I1122" s="6" t="n">
        <v>0</v>
      </c>
      <c r="J1122" s="40" t="n">
        <f aca="false">H1122-I1122</f>
        <v>2.91</v>
      </c>
      <c r="K1122" s="41" t="n">
        <v>26.5</v>
      </c>
      <c r="L1122" s="42" t="n">
        <f aca="false">J1122*K1122</f>
        <v>77.115</v>
      </c>
      <c r="M1122" s="43" t="n">
        <f aca="false">H1122*16.17*(1+'Chart of Accounts'!$E$67)</f>
        <v>53.8776315</v>
      </c>
    </row>
    <row r="1123" customFormat="false" ht="15" hidden="false" customHeight="false" outlineLevel="0" collapsed="false">
      <c r="B1123" s="7" t="s">
        <v>1620</v>
      </c>
      <c r="C1123" s="39" t="n">
        <v>45715</v>
      </c>
      <c r="D1123" s="7" t="s">
        <v>341</v>
      </c>
      <c r="E1123" s="7" t="s">
        <v>156</v>
      </c>
      <c r="F1123" s="7" t="s">
        <v>222</v>
      </c>
      <c r="G1123" s="7" t="s">
        <v>505</v>
      </c>
      <c r="H1123" s="6" t="n">
        <v>2.87</v>
      </c>
      <c r="I1123" s="6" t="n">
        <v>0</v>
      </c>
      <c r="J1123" s="40" t="n">
        <f aca="false">H1123-I1123</f>
        <v>2.87</v>
      </c>
      <c r="K1123" s="41" t="n">
        <v>34</v>
      </c>
      <c r="L1123" s="42" t="n">
        <f aca="false">J1123*K1123</f>
        <v>97.58</v>
      </c>
      <c r="M1123" s="43" t="n">
        <f aca="false">H1123*17.84*(1+'Chart of Accounts'!$E$67)</f>
        <v>58.624916</v>
      </c>
    </row>
    <row r="1124" customFormat="false" ht="15" hidden="false" customHeight="false" outlineLevel="0" collapsed="false">
      <c r="B1124" s="7" t="s">
        <v>1621</v>
      </c>
      <c r="C1124" s="39" t="n">
        <v>45715</v>
      </c>
      <c r="D1124" s="7" t="s">
        <v>343</v>
      </c>
      <c r="E1124" s="7" t="s">
        <v>154</v>
      </c>
      <c r="F1124" s="7" t="s">
        <v>262</v>
      </c>
      <c r="G1124" s="7" t="s">
        <v>505</v>
      </c>
      <c r="H1124" s="6" t="n">
        <v>3.99</v>
      </c>
      <c r="I1124" s="6" t="n">
        <v>0</v>
      </c>
      <c r="J1124" s="40" t="n">
        <f aca="false">H1124-I1124</f>
        <v>3.99</v>
      </c>
      <c r="K1124" s="41" t="n">
        <v>26.5</v>
      </c>
      <c r="L1124" s="42" t="n">
        <f aca="false">J1124*K1124</f>
        <v>105.735</v>
      </c>
      <c r="M1124" s="43" t="n">
        <f aca="false">H1124*16.02*(1+'Chart of Accounts'!$E$67)</f>
        <v>73.188171</v>
      </c>
    </row>
    <row r="1125" customFormat="false" ht="15" hidden="false" customHeight="false" outlineLevel="0" collapsed="false">
      <c r="B1125" s="7" t="s">
        <v>1622</v>
      </c>
      <c r="C1125" s="39" t="n">
        <v>45715</v>
      </c>
      <c r="D1125" s="7" t="s">
        <v>359</v>
      </c>
      <c r="E1125" s="7" t="s">
        <v>156</v>
      </c>
      <c r="F1125" s="7" t="s">
        <v>212</v>
      </c>
      <c r="G1125" s="7" t="s">
        <v>505</v>
      </c>
      <c r="H1125" s="6" t="n">
        <v>4.15</v>
      </c>
      <c r="I1125" s="6" t="n">
        <v>0</v>
      </c>
      <c r="J1125" s="40" t="n">
        <f aca="false">H1125-I1125</f>
        <v>4.15</v>
      </c>
      <c r="K1125" s="41" t="n">
        <v>34</v>
      </c>
      <c r="L1125" s="42" t="n">
        <f aca="false">J1125*K1125</f>
        <v>141.1</v>
      </c>
      <c r="M1125" s="43" t="n">
        <f aca="false">H1125*16.71*(1+'Chart of Accounts'!$E$67)</f>
        <v>79.4017425</v>
      </c>
    </row>
    <row r="1126" customFormat="false" ht="15" hidden="false" customHeight="false" outlineLevel="0" collapsed="false">
      <c r="B1126" s="7" t="s">
        <v>1623</v>
      </c>
      <c r="C1126" s="39" t="n">
        <v>45715</v>
      </c>
      <c r="D1126" s="7" t="s">
        <v>363</v>
      </c>
      <c r="E1126" s="7" t="s">
        <v>156</v>
      </c>
      <c r="F1126" s="7" t="s">
        <v>246</v>
      </c>
      <c r="G1126" s="7" t="s">
        <v>505</v>
      </c>
      <c r="H1126" s="6" t="n">
        <v>4.25</v>
      </c>
      <c r="I1126" s="6" t="n">
        <v>0</v>
      </c>
      <c r="J1126" s="40" t="n">
        <f aca="false">H1126-I1126</f>
        <v>4.25</v>
      </c>
      <c r="K1126" s="41" t="n">
        <v>34</v>
      </c>
      <c r="L1126" s="42" t="n">
        <f aca="false">J1126*K1126</f>
        <v>144.5</v>
      </c>
      <c r="M1126" s="43" t="n">
        <f aca="false">H1126*16.48*(1+'Chart of Accounts'!$E$67)</f>
        <v>80.1958</v>
      </c>
    </row>
    <row r="1127" customFormat="false" ht="15" hidden="false" customHeight="false" outlineLevel="0" collapsed="false">
      <c r="B1127" s="7" t="s">
        <v>1624</v>
      </c>
      <c r="C1127" s="39" t="n">
        <v>45715</v>
      </c>
      <c r="D1127" s="7" t="s">
        <v>375</v>
      </c>
      <c r="E1127" s="7" t="s">
        <v>156</v>
      </c>
      <c r="F1127" s="7" t="s">
        <v>196</v>
      </c>
      <c r="G1127" s="7" t="s">
        <v>505</v>
      </c>
      <c r="H1127" s="6" t="n">
        <v>2.89</v>
      </c>
      <c r="I1127" s="6" t="n">
        <v>0</v>
      </c>
      <c r="J1127" s="40" t="n">
        <f aca="false">H1127-I1127</f>
        <v>2.89</v>
      </c>
      <c r="K1127" s="41" t="n">
        <v>34</v>
      </c>
      <c r="L1127" s="42" t="n">
        <f aca="false">J1127*K1127</f>
        <v>98.26</v>
      </c>
      <c r="M1127" s="43" t="n">
        <f aca="false">H1127*15.05*(1+'Chart of Accounts'!$E$67)</f>
        <v>49.8012025</v>
      </c>
    </row>
    <row r="1128" customFormat="false" ht="15" hidden="false" customHeight="false" outlineLevel="0" collapsed="false">
      <c r="B1128" s="7" t="s">
        <v>1625</v>
      </c>
      <c r="C1128" s="39" t="n">
        <v>45715</v>
      </c>
      <c r="D1128" s="7" t="s">
        <v>377</v>
      </c>
      <c r="E1128" s="7" t="s">
        <v>154</v>
      </c>
      <c r="F1128" s="7" t="s">
        <v>214</v>
      </c>
      <c r="G1128" s="7" t="s">
        <v>505</v>
      </c>
      <c r="H1128" s="6" t="n">
        <v>4.11</v>
      </c>
      <c r="I1128" s="6" t="n">
        <v>0</v>
      </c>
      <c r="J1128" s="40" t="n">
        <f aca="false">H1128-I1128</f>
        <v>4.11</v>
      </c>
      <c r="K1128" s="41" t="n">
        <v>26.5</v>
      </c>
      <c r="L1128" s="42" t="n">
        <f aca="false">J1128*K1128</f>
        <v>108.915</v>
      </c>
      <c r="M1128" s="43" t="n">
        <f aca="false">H1128*15.67*(1+'Chart of Accounts'!$E$67)</f>
        <v>73.7422365</v>
      </c>
    </row>
    <row r="1129" customFormat="false" ht="15" hidden="false" customHeight="false" outlineLevel="0" collapsed="false">
      <c r="B1129" s="7" t="s">
        <v>1626</v>
      </c>
      <c r="C1129" s="39" t="n">
        <v>45715</v>
      </c>
      <c r="D1129" s="7" t="s">
        <v>389</v>
      </c>
      <c r="E1129" s="7" t="s">
        <v>154</v>
      </c>
      <c r="F1129" s="7" t="s">
        <v>246</v>
      </c>
      <c r="G1129" s="7" t="s">
        <v>505</v>
      </c>
      <c r="H1129" s="6" t="n">
        <v>4.14</v>
      </c>
      <c r="I1129" s="6" t="n">
        <v>0</v>
      </c>
      <c r="J1129" s="40" t="n">
        <f aca="false">H1129-I1129</f>
        <v>4.14</v>
      </c>
      <c r="K1129" s="41" t="n">
        <v>26.5</v>
      </c>
      <c r="L1129" s="42" t="n">
        <f aca="false">J1129*K1129</f>
        <v>109.71</v>
      </c>
      <c r="M1129" s="43" t="n">
        <f aca="false">H1129*16.48*(1+'Chart of Accounts'!$E$67)</f>
        <v>78.120144</v>
      </c>
    </row>
    <row r="1130" customFormat="false" ht="15" hidden="false" customHeight="false" outlineLevel="0" collapsed="false">
      <c r="B1130" s="7" t="s">
        <v>1627</v>
      </c>
      <c r="C1130" s="39" t="n">
        <v>45715</v>
      </c>
      <c r="D1130" s="7" t="s">
        <v>391</v>
      </c>
      <c r="E1130" s="7" t="s">
        <v>156</v>
      </c>
      <c r="F1130" s="7" t="s">
        <v>222</v>
      </c>
      <c r="G1130" s="7" t="s">
        <v>505</v>
      </c>
      <c r="H1130" s="6" t="n">
        <v>3.96</v>
      </c>
      <c r="I1130" s="6" t="n">
        <v>0</v>
      </c>
      <c r="J1130" s="40" t="n">
        <f aca="false">H1130-I1130</f>
        <v>3.96</v>
      </c>
      <c r="K1130" s="41" t="n">
        <v>34</v>
      </c>
      <c r="L1130" s="42" t="n">
        <f aca="false">J1130*K1130</f>
        <v>134.64</v>
      </c>
      <c r="M1130" s="43" t="n">
        <f aca="false">H1130*17.84*(1+'Chart of Accounts'!$E$67)</f>
        <v>80.890128</v>
      </c>
    </row>
    <row r="1131" customFormat="false" ht="15" hidden="false" customHeight="false" outlineLevel="0" collapsed="false">
      <c r="B1131" s="7" t="s">
        <v>1628</v>
      </c>
      <c r="C1131" s="39" t="n">
        <v>45715</v>
      </c>
      <c r="D1131" s="7" t="s">
        <v>395</v>
      </c>
      <c r="E1131" s="7" t="s">
        <v>156</v>
      </c>
      <c r="F1131" s="7" t="s">
        <v>242</v>
      </c>
      <c r="G1131" s="7" t="s">
        <v>505</v>
      </c>
      <c r="H1131" s="6" t="n">
        <v>3.69</v>
      </c>
      <c r="I1131" s="6" t="n">
        <v>0</v>
      </c>
      <c r="J1131" s="40" t="n">
        <f aca="false">H1131-I1131</f>
        <v>3.69</v>
      </c>
      <c r="K1131" s="41" t="n">
        <v>34</v>
      </c>
      <c r="L1131" s="42" t="n">
        <f aca="false">J1131*K1131</f>
        <v>125.46</v>
      </c>
      <c r="M1131" s="43" t="n">
        <f aca="false">H1131*17.99*(1+'Chart of Accounts'!$E$67)</f>
        <v>76.0086495</v>
      </c>
    </row>
    <row r="1132" customFormat="false" ht="15" hidden="false" customHeight="false" outlineLevel="0" collapsed="false">
      <c r="B1132" s="7" t="s">
        <v>1629</v>
      </c>
      <c r="C1132" s="39" t="n">
        <v>45715</v>
      </c>
      <c r="D1132" s="7" t="s">
        <v>401</v>
      </c>
      <c r="E1132" s="7" t="s">
        <v>156</v>
      </c>
      <c r="F1132" s="7" t="s">
        <v>254</v>
      </c>
      <c r="G1132" s="7" t="s">
        <v>505</v>
      </c>
      <c r="H1132" s="6" t="n">
        <v>3.82</v>
      </c>
      <c r="I1132" s="6" t="n">
        <v>0</v>
      </c>
      <c r="J1132" s="40" t="n">
        <f aca="false">H1132-I1132</f>
        <v>3.82</v>
      </c>
      <c r="K1132" s="41" t="n">
        <v>34</v>
      </c>
      <c r="L1132" s="42" t="n">
        <f aca="false">J1132*K1132</f>
        <v>129.88</v>
      </c>
      <c r="M1132" s="43" t="n">
        <f aca="false">H1132*17.1*(1+'Chart of Accounts'!$E$67)</f>
        <v>74.79369</v>
      </c>
    </row>
    <row r="1133" customFormat="false" ht="15" hidden="false" customHeight="false" outlineLevel="0" collapsed="false">
      <c r="B1133" s="7" t="s">
        <v>1630</v>
      </c>
      <c r="C1133" s="39" t="n">
        <v>45716</v>
      </c>
      <c r="D1133" s="7" t="s">
        <v>280</v>
      </c>
      <c r="E1133" s="7" t="s">
        <v>157</v>
      </c>
      <c r="F1133" s="7" t="s">
        <v>187</v>
      </c>
      <c r="G1133" s="7" t="s">
        <v>502</v>
      </c>
      <c r="H1133" s="6" t="n">
        <v>0.94</v>
      </c>
      <c r="I1133" s="6" t="n">
        <v>0</v>
      </c>
      <c r="J1133" s="40" t="n">
        <f aca="false">H1133-I1133</f>
        <v>0.94</v>
      </c>
      <c r="K1133" s="41" t="n">
        <v>165</v>
      </c>
      <c r="L1133" s="42" t="n">
        <f aca="false">J1133*K1133</f>
        <v>155.1</v>
      </c>
      <c r="M1133" s="43" t="n">
        <f aca="false">H1133*66.48*(1+'Chart of Accounts'!$E$67)</f>
        <v>71.552424</v>
      </c>
    </row>
    <row r="1134" customFormat="false" ht="15" hidden="false" customHeight="false" outlineLevel="0" collapsed="false">
      <c r="B1134" s="7" t="s">
        <v>1631</v>
      </c>
      <c r="C1134" s="39" t="n">
        <v>45716</v>
      </c>
      <c r="D1134" s="7" t="s">
        <v>288</v>
      </c>
      <c r="E1134" s="7" t="s">
        <v>156</v>
      </c>
      <c r="F1134" s="7" t="s">
        <v>191</v>
      </c>
      <c r="G1134" s="7" t="s">
        <v>505</v>
      </c>
      <c r="H1134" s="6" t="n">
        <v>4.18</v>
      </c>
      <c r="I1134" s="6" t="n">
        <v>0</v>
      </c>
      <c r="J1134" s="40" t="n">
        <f aca="false">H1134-I1134</f>
        <v>4.18</v>
      </c>
      <c r="K1134" s="41" t="n">
        <v>34</v>
      </c>
      <c r="L1134" s="42" t="n">
        <f aca="false">J1134*K1134</f>
        <v>142.12</v>
      </c>
      <c r="M1134" s="43" t="n">
        <f aca="false">H1134*16.05*(1+'Chart of Accounts'!$E$67)</f>
        <v>76.816905</v>
      </c>
    </row>
    <row r="1135" customFormat="false" ht="15" hidden="false" customHeight="false" outlineLevel="0" collapsed="false">
      <c r="B1135" s="7" t="s">
        <v>1632</v>
      </c>
      <c r="C1135" s="39" t="n">
        <v>45716</v>
      </c>
      <c r="D1135" s="7" t="s">
        <v>291</v>
      </c>
      <c r="E1135" s="7" t="s">
        <v>154</v>
      </c>
      <c r="F1135" s="7" t="s">
        <v>194</v>
      </c>
      <c r="G1135" s="7" t="s">
        <v>505</v>
      </c>
      <c r="H1135" s="6" t="n">
        <v>4.79</v>
      </c>
      <c r="I1135" s="6" t="n">
        <v>0</v>
      </c>
      <c r="J1135" s="40" t="n">
        <f aca="false">H1135-I1135</f>
        <v>4.79</v>
      </c>
      <c r="K1135" s="41" t="n">
        <v>26.5</v>
      </c>
      <c r="L1135" s="42" t="n">
        <f aca="false">J1135*K1135</f>
        <v>126.935</v>
      </c>
      <c r="M1135" s="43" t="n">
        <f aca="false">H1135*16*(1+'Chart of Accounts'!$E$67)</f>
        <v>87.7528</v>
      </c>
    </row>
    <row r="1136" customFormat="false" ht="15" hidden="false" customHeight="false" outlineLevel="0" collapsed="false">
      <c r="B1136" s="7" t="s">
        <v>1633</v>
      </c>
      <c r="C1136" s="39" t="n">
        <v>45716</v>
      </c>
      <c r="D1136" s="7" t="s">
        <v>301</v>
      </c>
      <c r="E1136" s="7" t="s">
        <v>157</v>
      </c>
      <c r="F1136" s="7" t="s">
        <v>209</v>
      </c>
      <c r="G1136" s="7" t="s">
        <v>502</v>
      </c>
      <c r="H1136" s="6" t="n">
        <v>1.05</v>
      </c>
      <c r="I1136" s="6" t="n">
        <v>0.053</v>
      </c>
      <c r="J1136" s="40" t="n">
        <f aca="false">H1136-I1136</f>
        <v>0.997</v>
      </c>
      <c r="K1136" s="41" t="n">
        <v>165</v>
      </c>
      <c r="L1136" s="42" t="n">
        <f aca="false">J1136*K1136</f>
        <v>164.505</v>
      </c>
      <c r="M1136" s="43" t="n">
        <f aca="false">H1136*73.58*(1+'Chart of Accounts'!$E$67)</f>
        <v>88.461555</v>
      </c>
    </row>
    <row r="1137" customFormat="false" ht="15" hidden="false" customHeight="false" outlineLevel="0" collapsed="false">
      <c r="B1137" s="7" t="s">
        <v>1634</v>
      </c>
      <c r="C1137" s="39" t="n">
        <v>45716</v>
      </c>
      <c r="D1137" s="7" t="s">
        <v>305</v>
      </c>
      <c r="E1137" s="7" t="s">
        <v>154</v>
      </c>
      <c r="F1137" s="7" t="s">
        <v>205</v>
      </c>
      <c r="G1137" s="7" t="s">
        <v>505</v>
      </c>
      <c r="H1137" s="6" t="n">
        <v>3.81</v>
      </c>
      <c r="I1137" s="6" t="n">
        <v>0</v>
      </c>
      <c r="J1137" s="40" t="n">
        <f aca="false">H1137-I1137</f>
        <v>3.81</v>
      </c>
      <c r="K1137" s="41" t="n">
        <v>26.5</v>
      </c>
      <c r="L1137" s="42" t="n">
        <f aca="false">J1137*K1137</f>
        <v>100.965</v>
      </c>
      <c r="M1137" s="43" t="n">
        <f aca="false">H1137*16.36*(1+'Chart of Accounts'!$E$67)</f>
        <v>71.369682</v>
      </c>
    </row>
    <row r="1138" customFormat="false" ht="15" hidden="false" customHeight="false" outlineLevel="0" collapsed="false">
      <c r="B1138" s="7" t="s">
        <v>1635</v>
      </c>
      <c r="C1138" s="39" t="n">
        <v>45716</v>
      </c>
      <c r="D1138" s="7" t="s">
        <v>309</v>
      </c>
      <c r="E1138" s="7" t="s">
        <v>159</v>
      </c>
      <c r="F1138" s="7" t="s">
        <v>252</v>
      </c>
      <c r="G1138" s="7" t="s">
        <v>502</v>
      </c>
      <c r="H1138" s="6" t="n">
        <v>1.03</v>
      </c>
      <c r="I1138" s="6" t="n">
        <v>0</v>
      </c>
      <c r="J1138" s="40" t="n">
        <f aca="false">H1138-I1138</f>
        <v>1.03</v>
      </c>
      <c r="K1138" s="41" t="n">
        <v>135</v>
      </c>
      <c r="L1138" s="42" t="n">
        <f aca="false">J1138*K1138</f>
        <v>139.05</v>
      </c>
      <c r="M1138" s="43" t="n">
        <f aca="false">H1138*57.54*(1+'Chart of Accounts'!$E$67)</f>
        <v>67.859799</v>
      </c>
    </row>
    <row r="1139" customFormat="false" ht="15" hidden="false" customHeight="false" outlineLevel="0" collapsed="false">
      <c r="B1139" s="7" t="s">
        <v>1636</v>
      </c>
      <c r="C1139" s="39" t="n">
        <v>45716</v>
      </c>
      <c r="D1139" s="7" t="s">
        <v>313</v>
      </c>
      <c r="E1139" s="7" t="s">
        <v>156</v>
      </c>
      <c r="F1139" s="7" t="s">
        <v>184</v>
      </c>
      <c r="G1139" s="7" t="s">
        <v>505</v>
      </c>
      <c r="H1139" s="6" t="n">
        <v>4.31</v>
      </c>
      <c r="I1139" s="6" t="n">
        <v>0</v>
      </c>
      <c r="J1139" s="40" t="n">
        <f aca="false">H1139-I1139</f>
        <v>4.31</v>
      </c>
      <c r="K1139" s="41" t="n">
        <v>34</v>
      </c>
      <c r="L1139" s="42" t="n">
        <f aca="false">J1139*K1139</f>
        <v>146.54</v>
      </c>
      <c r="M1139" s="43" t="n">
        <f aca="false">H1139*17.34*(1+'Chart of Accounts'!$E$67)</f>
        <v>85.572033</v>
      </c>
    </row>
    <row r="1140" customFormat="false" ht="15" hidden="false" customHeight="false" outlineLevel="0" collapsed="false">
      <c r="B1140" s="7" t="s">
        <v>1637</v>
      </c>
      <c r="C1140" s="39" t="n">
        <v>45716</v>
      </c>
      <c r="D1140" s="7" t="s">
        <v>319</v>
      </c>
      <c r="E1140" s="7" t="s">
        <v>157</v>
      </c>
      <c r="F1140" s="7" t="s">
        <v>234</v>
      </c>
      <c r="G1140" s="7" t="s">
        <v>502</v>
      </c>
      <c r="H1140" s="6" t="n">
        <v>0.93</v>
      </c>
      <c r="I1140" s="6" t="n">
        <v>0.047</v>
      </c>
      <c r="J1140" s="40" t="n">
        <f aca="false">H1140-I1140</f>
        <v>0.883</v>
      </c>
      <c r="K1140" s="41" t="n">
        <v>165</v>
      </c>
      <c r="L1140" s="42" t="n">
        <f aca="false">J1140*K1140</f>
        <v>145.695</v>
      </c>
      <c r="M1140" s="43" t="n">
        <f aca="false">H1140*89.53*(1+'Chart of Accounts'!$E$67)</f>
        <v>95.3360205</v>
      </c>
    </row>
    <row r="1141" customFormat="false" ht="15" hidden="false" customHeight="false" outlineLevel="0" collapsed="false">
      <c r="B1141" s="7" t="s">
        <v>1638</v>
      </c>
      <c r="C1141" s="39" t="n">
        <v>45716</v>
      </c>
      <c r="D1141" s="7" t="s">
        <v>323</v>
      </c>
      <c r="E1141" s="7" t="s">
        <v>159</v>
      </c>
      <c r="F1141" s="7" t="s">
        <v>266</v>
      </c>
      <c r="G1141" s="7" t="s">
        <v>502</v>
      </c>
      <c r="H1141" s="6" t="n">
        <v>1.07</v>
      </c>
      <c r="I1141" s="6" t="n">
        <v>0</v>
      </c>
      <c r="J1141" s="40" t="n">
        <f aca="false">H1141-I1141</f>
        <v>1.07</v>
      </c>
      <c r="K1141" s="41" t="n">
        <v>135</v>
      </c>
      <c r="L1141" s="42" t="n">
        <f aca="false">J1141*K1141</f>
        <v>144.45</v>
      </c>
      <c r="M1141" s="43" t="n">
        <f aca="false">H1141*75.18*(1+'Chart of Accounts'!$E$67)</f>
        <v>92.106777</v>
      </c>
    </row>
    <row r="1142" customFormat="false" ht="15" hidden="false" customHeight="false" outlineLevel="0" collapsed="false">
      <c r="B1142" s="7" t="s">
        <v>1639</v>
      </c>
      <c r="C1142" s="39" t="n">
        <v>45716</v>
      </c>
      <c r="D1142" s="7" t="s">
        <v>327</v>
      </c>
      <c r="E1142" s="7" t="s">
        <v>157</v>
      </c>
      <c r="F1142" s="7" t="s">
        <v>228</v>
      </c>
      <c r="G1142" s="7" t="s">
        <v>502</v>
      </c>
      <c r="H1142" s="6" t="n">
        <v>0.93</v>
      </c>
      <c r="I1142" s="6" t="n">
        <v>0</v>
      </c>
      <c r="J1142" s="40" t="n">
        <f aca="false">H1142-I1142</f>
        <v>0.93</v>
      </c>
      <c r="K1142" s="41" t="n">
        <v>165</v>
      </c>
      <c r="L1142" s="42" t="n">
        <f aca="false">J1142*K1142</f>
        <v>153.45</v>
      </c>
      <c r="M1142" s="43" t="n">
        <f aca="false">H1142*51.07*(1+'Chart of Accounts'!$E$67)</f>
        <v>54.3818895</v>
      </c>
    </row>
    <row r="1143" customFormat="false" ht="15" hidden="false" customHeight="false" outlineLevel="0" collapsed="false">
      <c r="B1143" s="7" t="s">
        <v>1640</v>
      </c>
      <c r="C1143" s="39" t="n">
        <v>45716</v>
      </c>
      <c r="D1143" s="7" t="s">
        <v>329</v>
      </c>
      <c r="E1143" s="7" t="s">
        <v>156</v>
      </c>
      <c r="F1143" s="7" t="s">
        <v>220</v>
      </c>
      <c r="G1143" s="7" t="s">
        <v>505</v>
      </c>
      <c r="H1143" s="6" t="n">
        <v>3.74</v>
      </c>
      <c r="I1143" s="6" t="n">
        <v>0</v>
      </c>
      <c r="J1143" s="40" t="n">
        <f aca="false">H1143-I1143</f>
        <v>3.74</v>
      </c>
      <c r="K1143" s="41" t="n">
        <v>34</v>
      </c>
      <c r="L1143" s="42" t="n">
        <f aca="false">J1143*K1143</f>
        <v>127.16</v>
      </c>
      <c r="M1143" s="43" t="n">
        <f aca="false">H1143*16.43*(1+'Chart of Accounts'!$E$67)</f>
        <v>70.358189</v>
      </c>
    </row>
    <row r="1144" customFormat="false" ht="15" hidden="false" customHeight="false" outlineLevel="0" collapsed="false">
      <c r="B1144" s="7" t="s">
        <v>1641</v>
      </c>
      <c r="C1144" s="39" t="n">
        <v>45716</v>
      </c>
      <c r="D1144" s="7" t="s">
        <v>335</v>
      </c>
      <c r="E1144" s="7" t="s">
        <v>154</v>
      </c>
      <c r="F1144" s="7" t="s">
        <v>177</v>
      </c>
      <c r="G1144" s="7" t="s">
        <v>505</v>
      </c>
      <c r="H1144" s="6" t="n">
        <v>4.37</v>
      </c>
      <c r="I1144" s="6" t="n">
        <v>0</v>
      </c>
      <c r="J1144" s="40" t="n">
        <f aca="false">H1144-I1144</f>
        <v>4.37</v>
      </c>
      <c r="K1144" s="41" t="n">
        <v>26.5</v>
      </c>
      <c r="L1144" s="42" t="n">
        <f aca="false">J1144*K1144</f>
        <v>115.805</v>
      </c>
      <c r="M1144" s="43" t="n">
        <f aca="false">H1144*14.56*(1+'Chart of Accounts'!$E$67)</f>
        <v>72.853144</v>
      </c>
    </row>
    <row r="1145" customFormat="false" ht="15" hidden="false" customHeight="false" outlineLevel="0" collapsed="false">
      <c r="B1145" s="7" t="s">
        <v>1642</v>
      </c>
      <c r="C1145" s="39" t="n">
        <v>45716</v>
      </c>
      <c r="D1145" s="7" t="s">
        <v>339</v>
      </c>
      <c r="E1145" s="7" t="s">
        <v>154</v>
      </c>
      <c r="F1145" s="7" t="s">
        <v>242</v>
      </c>
      <c r="G1145" s="7" t="s">
        <v>505</v>
      </c>
      <c r="H1145" s="6" t="n">
        <v>3.24</v>
      </c>
      <c r="I1145" s="6" t="n">
        <v>0</v>
      </c>
      <c r="J1145" s="40" t="n">
        <f aca="false">H1145-I1145</f>
        <v>3.24</v>
      </c>
      <c r="K1145" s="41" t="n">
        <v>26.5</v>
      </c>
      <c r="L1145" s="42" t="n">
        <f aca="false">J1145*K1145</f>
        <v>85.86</v>
      </c>
      <c r="M1145" s="43" t="n">
        <f aca="false">H1145*17.99*(1+'Chart of Accounts'!$E$67)</f>
        <v>66.739302</v>
      </c>
    </row>
    <row r="1146" customFormat="false" ht="15" hidden="false" customHeight="false" outlineLevel="0" collapsed="false">
      <c r="B1146" s="7" t="s">
        <v>1643</v>
      </c>
      <c r="C1146" s="39" t="n">
        <v>45716</v>
      </c>
      <c r="D1146" s="7" t="s">
        <v>353</v>
      </c>
      <c r="E1146" s="7" t="s">
        <v>154</v>
      </c>
      <c r="F1146" s="7" t="s">
        <v>254</v>
      </c>
      <c r="G1146" s="7" t="s">
        <v>505</v>
      </c>
      <c r="H1146" s="6" t="n">
        <v>3.04</v>
      </c>
      <c r="I1146" s="6" t="n">
        <v>0.091</v>
      </c>
      <c r="J1146" s="40" t="n">
        <f aca="false">H1146-I1146</f>
        <v>2.949</v>
      </c>
      <c r="K1146" s="41" t="n">
        <v>26.5</v>
      </c>
      <c r="L1146" s="42" t="n">
        <f aca="false">J1146*K1146</f>
        <v>78.1485</v>
      </c>
      <c r="M1146" s="43" t="n">
        <f aca="false">H1146*17.1*(1+'Chart of Accounts'!$E$67)</f>
        <v>59.52168</v>
      </c>
    </row>
    <row r="1147" customFormat="false" ht="15" hidden="false" customHeight="false" outlineLevel="0" collapsed="false">
      <c r="B1147" s="7" t="s">
        <v>1644</v>
      </c>
      <c r="C1147" s="39" t="n">
        <v>45716</v>
      </c>
      <c r="D1147" s="7" t="s">
        <v>355</v>
      </c>
      <c r="E1147" s="7" t="s">
        <v>154</v>
      </c>
      <c r="F1147" s="7" t="s">
        <v>201</v>
      </c>
      <c r="G1147" s="7" t="s">
        <v>505</v>
      </c>
      <c r="H1147" s="6" t="n">
        <v>3.14</v>
      </c>
      <c r="I1147" s="6" t="n">
        <v>0</v>
      </c>
      <c r="J1147" s="40" t="n">
        <f aca="false">H1147-I1147</f>
        <v>3.14</v>
      </c>
      <c r="K1147" s="41" t="n">
        <v>26.5</v>
      </c>
      <c r="L1147" s="42" t="n">
        <f aca="false">J1147*K1147</f>
        <v>83.21</v>
      </c>
      <c r="M1147" s="43" t="n">
        <f aca="false">H1147*15.19*(1+'Chart of Accounts'!$E$67)</f>
        <v>54.612607</v>
      </c>
    </row>
    <row r="1148" customFormat="false" ht="15" hidden="false" customHeight="false" outlineLevel="0" collapsed="false">
      <c r="B1148" s="7" t="s">
        <v>1645</v>
      </c>
      <c r="C1148" s="39" t="n">
        <v>45716</v>
      </c>
      <c r="D1148" s="7" t="s">
        <v>357</v>
      </c>
      <c r="E1148" s="7" t="s">
        <v>154</v>
      </c>
      <c r="F1148" s="7" t="s">
        <v>207</v>
      </c>
      <c r="G1148" s="7" t="s">
        <v>505</v>
      </c>
      <c r="H1148" s="6" t="n">
        <v>3.31</v>
      </c>
      <c r="I1148" s="6" t="n">
        <v>0.099</v>
      </c>
      <c r="J1148" s="40" t="n">
        <f aca="false">H1148-I1148</f>
        <v>3.211</v>
      </c>
      <c r="K1148" s="41" t="n">
        <v>26.5</v>
      </c>
      <c r="L1148" s="42" t="n">
        <f aca="false">J1148*K1148</f>
        <v>85.0915</v>
      </c>
      <c r="M1148" s="43" t="n">
        <f aca="false">H1148*16.65*(1+'Chart of Accounts'!$E$67)</f>
        <v>63.1026675</v>
      </c>
    </row>
    <row r="1149" customFormat="false" ht="15" hidden="false" customHeight="false" outlineLevel="0" collapsed="false">
      <c r="B1149" s="7" t="s">
        <v>1646</v>
      </c>
      <c r="C1149" s="39" t="n">
        <v>45716</v>
      </c>
      <c r="D1149" s="7" t="s">
        <v>359</v>
      </c>
      <c r="E1149" s="7" t="s">
        <v>156</v>
      </c>
      <c r="F1149" s="7" t="s">
        <v>212</v>
      </c>
      <c r="G1149" s="7" t="s">
        <v>505</v>
      </c>
      <c r="H1149" s="6" t="n">
        <v>4.38</v>
      </c>
      <c r="I1149" s="6" t="n">
        <v>0</v>
      </c>
      <c r="J1149" s="40" t="n">
        <f aca="false">H1149-I1149</f>
        <v>4.38</v>
      </c>
      <c r="K1149" s="41" t="n">
        <v>34</v>
      </c>
      <c r="L1149" s="42" t="n">
        <f aca="false">J1149*K1149</f>
        <v>148.92</v>
      </c>
      <c r="M1149" s="43" t="n">
        <f aca="false">H1149*16.71*(1+'Chart of Accounts'!$E$67)</f>
        <v>83.802321</v>
      </c>
    </row>
    <row r="1150" customFormat="false" ht="15" hidden="false" customHeight="false" outlineLevel="0" collapsed="false">
      <c r="B1150" s="7" t="s">
        <v>1647</v>
      </c>
      <c r="C1150" s="39" t="n">
        <v>45716</v>
      </c>
      <c r="D1150" s="7" t="s">
        <v>361</v>
      </c>
      <c r="E1150" s="7" t="s">
        <v>157</v>
      </c>
      <c r="F1150" s="7" t="s">
        <v>209</v>
      </c>
      <c r="G1150" s="7" t="s">
        <v>502</v>
      </c>
      <c r="H1150" s="6" t="n">
        <v>1</v>
      </c>
      <c r="I1150" s="6" t="n">
        <v>0</v>
      </c>
      <c r="J1150" s="40" t="n">
        <f aca="false">H1150-I1150</f>
        <v>1</v>
      </c>
      <c r="K1150" s="41" t="n">
        <v>165</v>
      </c>
      <c r="L1150" s="42" t="n">
        <f aca="false">J1150*K1150</f>
        <v>165</v>
      </c>
      <c r="M1150" s="43" t="n">
        <f aca="false">H1150*73.58*(1+'Chart of Accounts'!$E$67)</f>
        <v>84.2491</v>
      </c>
    </row>
    <row r="1151" customFormat="false" ht="15" hidden="false" customHeight="false" outlineLevel="0" collapsed="false">
      <c r="B1151" s="7" t="s">
        <v>1648</v>
      </c>
      <c r="C1151" s="39" t="n">
        <v>45716</v>
      </c>
      <c r="D1151" s="7" t="s">
        <v>371</v>
      </c>
      <c r="E1151" s="7" t="s">
        <v>154</v>
      </c>
      <c r="F1151" s="7" t="s">
        <v>232</v>
      </c>
      <c r="G1151" s="7" t="s">
        <v>505</v>
      </c>
      <c r="H1151" s="6" t="n">
        <v>4.45</v>
      </c>
      <c r="I1151" s="6" t="n">
        <v>0</v>
      </c>
      <c r="J1151" s="40" t="n">
        <f aca="false">H1151-I1151</f>
        <v>4.45</v>
      </c>
      <c r="K1151" s="41" t="n">
        <v>26.5</v>
      </c>
      <c r="L1151" s="42" t="n">
        <f aca="false">J1151*K1151</f>
        <v>117.925</v>
      </c>
      <c r="M1151" s="43" t="n">
        <f aca="false">H1151*16.17*(1+'Chart of Accounts'!$E$67)</f>
        <v>82.3901925</v>
      </c>
    </row>
    <row r="1152" customFormat="false" ht="15" hidden="false" customHeight="false" outlineLevel="0" collapsed="false">
      <c r="B1152" s="7" t="s">
        <v>1649</v>
      </c>
      <c r="C1152" s="39" t="n">
        <v>45716</v>
      </c>
      <c r="D1152" s="7" t="s">
        <v>379</v>
      </c>
      <c r="E1152" s="7" t="s">
        <v>156</v>
      </c>
      <c r="F1152" s="7" t="s">
        <v>224</v>
      </c>
      <c r="G1152" s="7" t="s">
        <v>505</v>
      </c>
      <c r="H1152" s="6" t="n">
        <v>4.81</v>
      </c>
      <c r="I1152" s="6" t="n">
        <v>0</v>
      </c>
      <c r="J1152" s="40" t="n">
        <f aca="false">H1152-I1152</f>
        <v>4.81</v>
      </c>
      <c r="K1152" s="41" t="n">
        <v>34</v>
      </c>
      <c r="L1152" s="42" t="n">
        <f aca="false">J1152*K1152</f>
        <v>163.54</v>
      </c>
      <c r="M1152" s="43" t="n">
        <f aca="false">H1152*14.93*(1+'Chart of Accounts'!$E$67)</f>
        <v>82.2262285</v>
      </c>
    </row>
    <row r="1153" customFormat="false" ht="15" hidden="false" customHeight="false" outlineLevel="0" collapsed="false">
      <c r="B1153" s="7" t="s">
        <v>1650</v>
      </c>
      <c r="C1153" s="39" t="n">
        <v>45716</v>
      </c>
      <c r="D1153" s="7" t="s">
        <v>381</v>
      </c>
      <c r="E1153" s="7" t="s">
        <v>157</v>
      </c>
      <c r="F1153" s="7" t="s">
        <v>234</v>
      </c>
      <c r="G1153" s="7" t="s">
        <v>502</v>
      </c>
      <c r="H1153" s="6" t="n">
        <v>1.07</v>
      </c>
      <c r="I1153" s="6" t="n">
        <v>0</v>
      </c>
      <c r="J1153" s="40" t="n">
        <f aca="false">H1153-I1153</f>
        <v>1.07</v>
      </c>
      <c r="K1153" s="41" t="n">
        <v>165</v>
      </c>
      <c r="L1153" s="42" t="n">
        <f aca="false">J1153*K1153</f>
        <v>176.55</v>
      </c>
      <c r="M1153" s="43" t="n">
        <f aca="false">H1153*89.53*(1+'Chart of Accounts'!$E$67)</f>
        <v>109.6876795</v>
      </c>
    </row>
    <row r="1154" customFormat="false" ht="15" hidden="false" customHeight="false" outlineLevel="0" collapsed="false">
      <c r="B1154" s="7" t="s">
        <v>1651</v>
      </c>
      <c r="C1154" s="39" t="n">
        <v>45716</v>
      </c>
      <c r="D1154" s="7" t="s">
        <v>389</v>
      </c>
      <c r="E1154" s="7" t="s">
        <v>154</v>
      </c>
      <c r="F1154" s="7" t="s">
        <v>246</v>
      </c>
      <c r="G1154" s="7" t="s">
        <v>505</v>
      </c>
      <c r="H1154" s="6" t="n">
        <v>4.33</v>
      </c>
      <c r="I1154" s="6" t="n">
        <v>0</v>
      </c>
      <c r="J1154" s="40" t="n">
        <f aca="false">H1154-I1154</f>
        <v>4.33</v>
      </c>
      <c r="K1154" s="41" t="n">
        <v>26.5</v>
      </c>
      <c r="L1154" s="42" t="n">
        <f aca="false">J1154*K1154</f>
        <v>114.745</v>
      </c>
      <c r="M1154" s="43" t="n">
        <f aca="false">H1154*16.48*(1+'Chart of Accounts'!$E$67)</f>
        <v>81.705368</v>
      </c>
    </row>
    <row r="1155" customFormat="false" ht="15" hidden="false" customHeight="false" outlineLevel="0" collapsed="false">
      <c r="B1155" s="7" t="s">
        <v>1652</v>
      </c>
      <c r="C1155" s="39" t="n">
        <v>45716</v>
      </c>
      <c r="D1155" s="7" t="s">
        <v>391</v>
      </c>
      <c r="E1155" s="7" t="s">
        <v>156</v>
      </c>
      <c r="F1155" s="7" t="s">
        <v>222</v>
      </c>
      <c r="G1155" s="7" t="s">
        <v>505</v>
      </c>
      <c r="H1155" s="6" t="n">
        <v>4.29</v>
      </c>
      <c r="I1155" s="6" t="n">
        <v>0</v>
      </c>
      <c r="J1155" s="40" t="n">
        <f aca="false">H1155-I1155</f>
        <v>4.29</v>
      </c>
      <c r="K1155" s="41" t="n">
        <v>34</v>
      </c>
      <c r="L1155" s="42" t="n">
        <f aca="false">J1155*K1155</f>
        <v>145.86</v>
      </c>
      <c r="M1155" s="43" t="n">
        <f aca="false">H1155*17.84*(1+'Chart of Accounts'!$E$67)</f>
        <v>87.630972</v>
      </c>
    </row>
    <row r="1156" customFormat="false" ht="15" hidden="false" customHeight="false" outlineLevel="0" collapsed="false">
      <c r="B1156" s="7" t="s">
        <v>1653</v>
      </c>
      <c r="C1156" s="39" t="n">
        <v>45716</v>
      </c>
      <c r="D1156" s="7" t="s">
        <v>395</v>
      </c>
      <c r="E1156" s="7" t="s">
        <v>156</v>
      </c>
      <c r="F1156" s="7" t="s">
        <v>242</v>
      </c>
      <c r="G1156" s="7" t="s">
        <v>505</v>
      </c>
      <c r="H1156" s="6" t="n">
        <v>4.08</v>
      </c>
      <c r="I1156" s="6" t="n">
        <v>0</v>
      </c>
      <c r="J1156" s="40" t="n">
        <f aca="false">H1156-I1156</f>
        <v>4.08</v>
      </c>
      <c r="K1156" s="41" t="n">
        <v>34</v>
      </c>
      <c r="L1156" s="42" t="n">
        <f aca="false">J1156*K1156</f>
        <v>138.72</v>
      </c>
      <c r="M1156" s="43" t="n">
        <f aca="false">H1156*17.99*(1+'Chart of Accounts'!$E$67)</f>
        <v>84.042084</v>
      </c>
    </row>
    <row r="1157" customFormat="false" ht="15" hidden="false" customHeight="false" outlineLevel="0" collapsed="false">
      <c r="B1157" s="7" t="s">
        <v>1654</v>
      </c>
      <c r="C1157" s="39" t="n">
        <v>45716</v>
      </c>
      <c r="D1157" s="7" t="s">
        <v>397</v>
      </c>
      <c r="E1157" s="7" t="s">
        <v>159</v>
      </c>
      <c r="F1157" s="7" t="s">
        <v>203</v>
      </c>
      <c r="G1157" s="7" t="s">
        <v>502</v>
      </c>
      <c r="H1157" s="6" t="n">
        <v>0.93</v>
      </c>
      <c r="I1157" s="6" t="n">
        <v>0</v>
      </c>
      <c r="J1157" s="40" t="n">
        <f aca="false">H1157-I1157</f>
        <v>0.93</v>
      </c>
      <c r="K1157" s="41" t="n">
        <v>135</v>
      </c>
      <c r="L1157" s="42" t="n">
        <f aca="false">J1157*K1157</f>
        <v>125.55</v>
      </c>
      <c r="M1157" s="43" t="n">
        <f aca="false">H1157*49.43*(1+'Chart of Accounts'!$E$67)</f>
        <v>52.6355355</v>
      </c>
    </row>
    <row r="1158" customFormat="false" ht="15" hidden="false" customHeight="false" outlineLevel="0" collapsed="false">
      <c r="B1158" s="7" t="s">
        <v>1655</v>
      </c>
      <c r="C1158" s="39" t="n">
        <v>45716</v>
      </c>
      <c r="D1158" s="7" t="s">
        <v>399</v>
      </c>
      <c r="E1158" s="7" t="s">
        <v>154</v>
      </c>
      <c r="F1158" s="7" t="s">
        <v>262</v>
      </c>
      <c r="G1158" s="7" t="s">
        <v>505</v>
      </c>
      <c r="H1158" s="6" t="n">
        <v>3.14</v>
      </c>
      <c r="I1158" s="6" t="n">
        <v>0</v>
      </c>
      <c r="J1158" s="40" t="n">
        <f aca="false">H1158-I1158</f>
        <v>3.14</v>
      </c>
      <c r="K1158" s="41" t="n">
        <v>26.5</v>
      </c>
      <c r="L1158" s="42" t="n">
        <f aca="false">J1158*K1158</f>
        <v>83.21</v>
      </c>
      <c r="M1158" s="43" t="n">
        <f aca="false">H1158*16.02*(1+'Chart of Accounts'!$E$67)</f>
        <v>57.596706</v>
      </c>
    </row>
    <row r="1159" customFormat="false" ht="15" hidden="false" customHeight="false" outlineLevel="0" collapsed="false">
      <c r="B1159" s="7" t="s">
        <v>1656</v>
      </c>
      <c r="C1159" s="39" t="n">
        <v>45716</v>
      </c>
      <c r="D1159" s="7" t="s">
        <v>401</v>
      </c>
      <c r="E1159" s="7" t="s">
        <v>156</v>
      </c>
      <c r="F1159" s="7" t="s">
        <v>254</v>
      </c>
      <c r="G1159" s="7" t="s">
        <v>505</v>
      </c>
      <c r="H1159" s="6" t="n">
        <v>4.17</v>
      </c>
      <c r="I1159" s="6" t="n">
        <v>0</v>
      </c>
      <c r="J1159" s="40" t="n">
        <f aca="false">H1159-I1159</f>
        <v>4.17</v>
      </c>
      <c r="K1159" s="41" t="n">
        <v>34</v>
      </c>
      <c r="L1159" s="42" t="n">
        <f aca="false">J1159*K1159</f>
        <v>141.78</v>
      </c>
      <c r="M1159" s="43" t="n">
        <f aca="false">H1159*17.1*(1+'Chart of Accounts'!$E$67)</f>
        <v>81.646515</v>
      </c>
    </row>
    <row r="1160" customFormat="false" ht="15" hidden="false" customHeight="false" outlineLevel="0" collapsed="false">
      <c r="B1160" s="7" t="s">
        <v>1657</v>
      </c>
      <c r="C1160" s="39" t="n">
        <v>45716</v>
      </c>
      <c r="D1160" s="7" t="s">
        <v>407</v>
      </c>
      <c r="E1160" s="7" t="s">
        <v>159</v>
      </c>
      <c r="F1160" s="7" t="s">
        <v>260</v>
      </c>
      <c r="G1160" s="7" t="s">
        <v>502</v>
      </c>
      <c r="H1160" s="6" t="n">
        <v>1.06</v>
      </c>
      <c r="I1160" s="6" t="n">
        <v>0</v>
      </c>
      <c r="J1160" s="40" t="n">
        <f aca="false">H1160-I1160</f>
        <v>1.06</v>
      </c>
      <c r="K1160" s="41" t="n">
        <v>135</v>
      </c>
      <c r="L1160" s="42" t="n">
        <f aca="false">J1160*K1160</f>
        <v>143.1</v>
      </c>
      <c r="M1160" s="43" t="n">
        <f aca="false">H1160*79.8*(1+'Chart of Accounts'!$E$67)</f>
        <v>96.85326</v>
      </c>
    </row>
    <row r="1161" customFormat="false" ht="15" hidden="false" customHeight="false" outlineLevel="0" collapsed="false">
      <c r="B1161" s="7" t="s">
        <v>1658</v>
      </c>
      <c r="C1161" s="39" t="n">
        <v>45716</v>
      </c>
      <c r="D1161" s="7" t="s">
        <v>409</v>
      </c>
      <c r="E1161" s="7" t="s">
        <v>154</v>
      </c>
      <c r="F1161" s="7" t="s">
        <v>214</v>
      </c>
      <c r="G1161" s="7" t="s">
        <v>505</v>
      </c>
      <c r="H1161" s="6" t="n">
        <v>3.32</v>
      </c>
      <c r="I1161" s="6" t="n">
        <v>0</v>
      </c>
      <c r="J1161" s="40" t="n">
        <f aca="false">H1161-I1161</f>
        <v>3.32</v>
      </c>
      <c r="K1161" s="41" t="n">
        <v>26.5</v>
      </c>
      <c r="L1161" s="42" t="n">
        <f aca="false">J1161*K1161</f>
        <v>87.98</v>
      </c>
      <c r="M1161" s="43" t="n">
        <f aca="false">H1161*15.67*(1+'Chart of Accounts'!$E$67)</f>
        <v>59.567938</v>
      </c>
    </row>
    <row r="1162" customFormat="false" ht="15" hidden="false" customHeight="false" outlineLevel="0" collapsed="false">
      <c r="B1162" s="7" t="s">
        <v>1659</v>
      </c>
      <c r="C1162" s="39" t="n">
        <v>45717</v>
      </c>
      <c r="D1162" s="7" t="s">
        <v>288</v>
      </c>
      <c r="E1162" s="7" t="s">
        <v>156</v>
      </c>
      <c r="F1162" s="7" t="s">
        <v>191</v>
      </c>
      <c r="G1162" s="7" t="s">
        <v>505</v>
      </c>
      <c r="H1162" s="6" t="n">
        <v>3.7</v>
      </c>
      <c r="I1162" s="6" t="n">
        <v>0</v>
      </c>
      <c r="J1162" s="40" t="n">
        <f aca="false">H1162-I1162</f>
        <v>3.7</v>
      </c>
      <c r="K1162" s="41" t="n">
        <v>34</v>
      </c>
      <c r="L1162" s="42" t="n">
        <f aca="false">J1162*K1162</f>
        <v>125.8</v>
      </c>
      <c r="M1162" s="43" t="n">
        <f aca="false">H1162*16.05*(1+'Chart of Accounts'!$E$67)</f>
        <v>67.995825</v>
      </c>
    </row>
    <row r="1163" customFormat="false" ht="15" hidden="false" customHeight="false" outlineLevel="0" collapsed="false">
      <c r="B1163" s="7" t="s">
        <v>1660</v>
      </c>
      <c r="C1163" s="39" t="n">
        <v>45717</v>
      </c>
      <c r="D1163" s="7" t="s">
        <v>321</v>
      </c>
      <c r="E1163" s="7" t="s">
        <v>154</v>
      </c>
      <c r="F1163" s="7" t="s">
        <v>218</v>
      </c>
      <c r="G1163" s="7" t="s">
        <v>505</v>
      </c>
      <c r="H1163" s="6" t="n">
        <v>4.01</v>
      </c>
      <c r="I1163" s="6" t="n">
        <v>0.12</v>
      </c>
      <c r="J1163" s="40" t="n">
        <f aca="false">H1163-I1163</f>
        <v>3.89</v>
      </c>
      <c r="K1163" s="41" t="n">
        <v>26.5</v>
      </c>
      <c r="L1163" s="42" t="n">
        <f aca="false">J1163*K1163</f>
        <v>103.085</v>
      </c>
      <c r="M1163" s="43" t="n">
        <f aca="false">H1163*16.19*(1+'Chart of Accounts'!$E$67)</f>
        <v>74.3355755</v>
      </c>
    </row>
    <row r="1164" customFormat="false" ht="15" hidden="false" customHeight="false" outlineLevel="0" collapsed="false">
      <c r="B1164" s="7" t="s">
        <v>1661</v>
      </c>
      <c r="C1164" s="39" t="n">
        <v>45717</v>
      </c>
      <c r="D1164" s="7" t="s">
        <v>359</v>
      </c>
      <c r="E1164" s="7" t="s">
        <v>156</v>
      </c>
      <c r="F1164" s="7" t="s">
        <v>212</v>
      </c>
      <c r="G1164" s="7" t="s">
        <v>505</v>
      </c>
      <c r="H1164" s="6" t="n">
        <v>3.73</v>
      </c>
      <c r="I1164" s="6" t="n">
        <v>0</v>
      </c>
      <c r="J1164" s="40" t="n">
        <f aca="false">H1164-I1164</f>
        <v>3.73</v>
      </c>
      <c r="K1164" s="41" t="n">
        <v>34</v>
      </c>
      <c r="L1164" s="42" t="n">
        <f aca="false">J1164*K1164</f>
        <v>126.82</v>
      </c>
      <c r="M1164" s="43" t="n">
        <f aca="false">H1164*16.71*(1+'Chart of Accounts'!$E$67)</f>
        <v>71.3659035</v>
      </c>
    </row>
    <row r="1165" customFormat="false" ht="15" hidden="false" customHeight="false" outlineLevel="0" collapsed="false">
      <c r="B1165" s="7" t="s">
        <v>1662</v>
      </c>
      <c r="C1165" s="39" t="n">
        <v>45717</v>
      </c>
      <c r="D1165" s="7" t="s">
        <v>391</v>
      </c>
      <c r="E1165" s="7" t="s">
        <v>156</v>
      </c>
      <c r="F1165" s="7" t="s">
        <v>222</v>
      </c>
      <c r="G1165" s="7" t="s">
        <v>505</v>
      </c>
      <c r="H1165" s="6" t="n">
        <v>3.92</v>
      </c>
      <c r="I1165" s="6" t="n">
        <v>0</v>
      </c>
      <c r="J1165" s="40" t="n">
        <f aca="false">H1165-I1165</f>
        <v>3.92</v>
      </c>
      <c r="K1165" s="41" t="n">
        <v>34</v>
      </c>
      <c r="L1165" s="42" t="n">
        <f aca="false">J1165*K1165</f>
        <v>133.28</v>
      </c>
      <c r="M1165" s="43" t="n">
        <f aca="false">H1165*17.84*(1+'Chart of Accounts'!$E$67)</f>
        <v>80.073056</v>
      </c>
    </row>
    <row r="1166" customFormat="false" ht="15" hidden="false" customHeight="false" outlineLevel="0" collapsed="false">
      <c r="B1166" s="7" t="s">
        <v>1663</v>
      </c>
      <c r="C1166" s="39" t="n">
        <v>45717</v>
      </c>
      <c r="D1166" s="7" t="s">
        <v>395</v>
      </c>
      <c r="E1166" s="7" t="s">
        <v>156</v>
      </c>
      <c r="F1166" s="7" t="s">
        <v>242</v>
      </c>
      <c r="G1166" s="7" t="s">
        <v>505</v>
      </c>
      <c r="H1166" s="6" t="n">
        <v>4.3</v>
      </c>
      <c r="I1166" s="6" t="n">
        <v>0</v>
      </c>
      <c r="J1166" s="40" t="n">
        <f aca="false">H1166-I1166</f>
        <v>4.3</v>
      </c>
      <c r="K1166" s="41" t="n">
        <v>34</v>
      </c>
      <c r="L1166" s="42" t="n">
        <f aca="false">J1166*K1166</f>
        <v>146.2</v>
      </c>
      <c r="M1166" s="43" t="n">
        <f aca="false">H1166*17.99*(1+'Chart of Accounts'!$E$67)</f>
        <v>88.573765</v>
      </c>
    </row>
    <row r="1167" customFormat="false" ht="15" hidden="false" customHeight="false" outlineLevel="0" collapsed="false">
      <c r="B1167" s="7" t="s">
        <v>1664</v>
      </c>
      <c r="C1167" s="39" t="n">
        <v>45717</v>
      </c>
      <c r="D1167" s="7" t="s">
        <v>401</v>
      </c>
      <c r="E1167" s="7" t="s">
        <v>156</v>
      </c>
      <c r="F1167" s="7" t="s">
        <v>254</v>
      </c>
      <c r="G1167" s="7" t="s">
        <v>505</v>
      </c>
      <c r="H1167" s="6" t="n">
        <v>4.36</v>
      </c>
      <c r="I1167" s="6" t="n">
        <v>0</v>
      </c>
      <c r="J1167" s="40" t="n">
        <f aca="false">H1167-I1167</f>
        <v>4.36</v>
      </c>
      <c r="K1167" s="41" t="n">
        <v>34</v>
      </c>
      <c r="L1167" s="42" t="n">
        <f aca="false">J1167*K1167</f>
        <v>148.24</v>
      </c>
      <c r="M1167" s="43" t="n">
        <f aca="false">H1167*17.1*(1+'Chart of Accounts'!$E$67)</f>
        <v>85.36662</v>
      </c>
    </row>
    <row r="1168" customFormat="false" ht="15" hidden="false" customHeight="false" outlineLevel="0" collapsed="false">
      <c r="B1168" s="7" t="s">
        <v>1665</v>
      </c>
      <c r="C1168" s="39" t="n">
        <v>45718</v>
      </c>
      <c r="D1168" s="7" t="s">
        <v>288</v>
      </c>
      <c r="E1168" s="7" t="s">
        <v>156</v>
      </c>
      <c r="F1168" s="7" t="s">
        <v>191</v>
      </c>
      <c r="G1168" s="7" t="s">
        <v>505</v>
      </c>
      <c r="H1168" s="6" t="n">
        <v>3.98</v>
      </c>
      <c r="I1168" s="6" t="n">
        <v>0</v>
      </c>
      <c r="J1168" s="40" t="n">
        <f aca="false">H1168-I1168</f>
        <v>3.98</v>
      </c>
      <c r="K1168" s="41" t="n">
        <v>34</v>
      </c>
      <c r="L1168" s="42" t="n">
        <f aca="false">J1168*K1168</f>
        <v>135.32</v>
      </c>
      <c r="M1168" s="43" t="n">
        <f aca="false">H1168*16.05*(1+'Chart of Accounts'!$E$67)</f>
        <v>73.141455</v>
      </c>
    </row>
    <row r="1169" customFormat="false" ht="15" hidden="false" customHeight="false" outlineLevel="0" collapsed="false">
      <c r="B1169" s="7" t="s">
        <v>1666</v>
      </c>
      <c r="C1169" s="39" t="n">
        <v>45718</v>
      </c>
      <c r="D1169" s="7" t="s">
        <v>321</v>
      </c>
      <c r="E1169" s="7" t="s">
        <v>154</v>
      </c>
      <c r="F1169" s="7" t="s">
        <v>218</v>
      </c>
      <c r="G1169" s="7" t="s">
        <v>505</v>
      </c>
      <c r="H1169" s="6" t="n">
        <v>3.93</v>
      </c>
      <c r="I1169" s="6" t="n">
        <v>0</v>
      </c>
      <c r="J1169" s="40" t="n">
        <f aca="false">H1169-I1169</f>
        <v>3.93</v>
      </c>
      <c r="K1169" s="41" t="n">
        <v>26.5</v>
      </c>
      <c r="L1169" s="42" t="n">
        <f aca="false">J1169*K1169</f>
        <v>104.145</v>
      </c>
      <c r="M1169" s="43" t="n">
        <f aca="false">H1169*16.19*(1+'Chart of Accounts'!$E$67)</f>
        <v>72.8525715</v>
      </c>
    </row>
    <row r="1170" customFormat="false" ht="15" hidden="false" customHeight="false" outlineLevel="0" collapsed="false">
      <c r="B1170" s="7" t="s">
        <v>1667</v>
      </c>
      <c r="C1170" s="39" t="n">
        <v>45718</v>
      </c>
      <c r="D1170" s="7" t="s">
        <v>359</v>
      </c>
      <c r="E1170" s="7" t="s">
        <v>156</v>
      </c>
      <c r="F1170" s="7" t="s">
        <v>212</v>
      </c>
      <c r="G1170" s="7" t="s">
        <v>505</v>
      </c>
      <c r="H1170" s="6" t="n">
        <v>4.21</v>
      </c>
      <c r="I1170" s="6" t="n">
        <v>0</v>
      </c>
      <c r="J1170" s="40" t="n">
        <f aca="false">H1170-I1170</f>
        <v>4.21</v>
      </c>
      <c r="K1170" s="41" t="n">
        <v>34</v>
      </c>
      <c r="L1170" s="42" t="n">
        <f aca="false">J1170*K1170</f>
        <v>143.14</v>
      </c>
      <c r="M1170" s="43" t="n">
        <f aca="false">H1170*16.71*(1+'Chart of Accounts'!$E$67)</f>
        <v>80.5497195</v>
      </c>
    </row>
    <row r="1171" customFormat="false" ht="15" hidden="false" customHeight="false" outlineLevel="0" collapsed="false">
      <c r="B1171" s="7" t="s">
        <v>1668</v>
      </c>
      <c r="C1171" s="39" t="n">
        <v>45718</v>
      </c>
      <c r="D1171" s="7" t="s">
        <v>391</v>
      </c>
      <c r="E1171" s="7" t="s">
        <v>156</v>
      </c>
      <c r="F1171" s="7" t="s">
        <v>222</v>
      </c>
      <c r="G1171" s="7" t="s">
        <v>505</v>
      </c>
      <c r="H1171" s="6" t="n">
        <v>3.73</v>
      </c>
      <c r="I1171" s="6" t="n">
        <v>0</v>
      </c>
      <c r="J1171" s="40" t="n">
        <f aca="false">H1171-I1171</f>
        <v>3.73</v>
      </c>
      <c r="K1171" s="41" t="n">
        <v>34</v>
      </c>
      <c r="L1171" s="42" t="n">
        <f aca="false">J1171*K1171</f>
        <v>126.82</v>
      </c>
      <c r="M1171" s="43" t="n">
        <f aca="false">H1171*17.84*(1+'Chart of Accounts'!$E$67)</f>
        <v>76.191964</v>
      </c>
    </row>
    <row r="1172" customFormat="false" ht="15" hidden="false" customHeight="false" outlineLevel="0" collapsed="false">
      <c r="B1172" s="7" t="s">
        <v>1669</v>
      </c>
      <c r="C1172" s="39" t="n">
        <v>45718</v>
      </c>
      <c r="D1172" s="7" t="s">
        <v>395</v>
      </c>
      <c r="E1172" s="7" t="s">
        <v>156</v>
      </c>
      <c r="F1172" s="7" t="s">
        <v>242</v>
      </c>
      <c r="G1172" s="7" t="s">
        <v>505</v>
      </c>
      <c r="H1172" s="6" t="n">
        <v>4.08</v>
      </c>
      <c r="I1172" s="6" t="n">
        <v>0</v>
      </c>
      <c r="J1172" s="40" t="n">
        <f aca="false">H1172-I1172</f>
        <v>4.08</v>
      </c>
      <c r="K1172" s="41" t="n">
        <v>34</v>
      </c>
      <c r="L1172" s="42" t="n">
        <f aca="false">J1172*K1172</f>
        <v>138.72</v>
      </c>
      <c r="M1172" s="43" t="n">
        <f aca="false">H1172*17.99*(1+'Chart of Accounts'!$E$67)</f>
        <v>84.042084</v>
      </c>
    </row>
    <row r="1173" customFormat="false" ht="15" hidden="false" customHeight="false" outlineLevel="0" collapsed="false">
      <c r="B1173" s="7" t="s">
        <v>1670</v>
      </c>
      <c r="C1173" s="39" t="n">
        <v>45719</v>
      </c>
      <c r="D1173" s="7" t="s">
        <v>280</v>
      </c>
      <c r="E1173" s="7" t="s">
        <v>157</v>
      </c>
      <c r="F1173" s="7" t="s">
        <v>187</v>
      </c>
      <c r="G1173" s="7" t="s">
        <v>502</v>
      </c>
      <c r="H1173" s="6" t="n">
        <v>1.07</v>
      </c>
      <c r="I1173" s="6" t="n">
        <v>0</v>
      </c>
      <c r="J1173" s="40" t="n">
        <f aca="false">H1173-I1173</f>
        <v>1.07</v>
      </c>
      <c r="K1173" s="41" t="n">
        <v>165</v>
      </c>
      <c r="L1173" s="42" t="n">
        <f aca="false">J1173*K1173</f>
        <v>176.55</v>
      </c>
      <c r="M1173" s="43" t="n">
        <f aca="false">H1173*66.48*(1+'Chart of Accounts'!$E$67)</f>
        <v>81.447972</v>
      </c>
    </row>
    <row r="1174" customFormat="false" ht="15" hidden="false" customHeight="false" outlineLevel="0" collapsed="false">
      <c r="B1174" s="7" t="s">
        <v>1671</v>
      </c>
      <c r="C1174" s="39" t="n">
        <v>45719</v>
      </c>
      <c r="D1174" s="7" t="s">
        <v>288</v>
      </c>
      <c r="E1174" s="7" t="s">
        <v>156</v>
      </c>
      <c r="F1174" s="7" t="s">
        <v>191</v>
      </c>
      <c r="G1174" s="7" t="s">
        <v>505</v>
      </c>
      <c r="H1174" s="6" t="n">
        <v>3.72</v>
      </c>
      <c r="I1174" s="6" t="n">
        <v>0</v>
      </c>
      <c r="J1174" s="40" t="n">
        <f aca="false">H1174-I1174</f>
        <v>3.72</v>
      </c>
      <c r="K1174" s="41" t="n">
        <v>34</v>
      </c>
      <c r="L1174" s="42" t="n">
        <f aca="false">J1174*K1174</f>
        <v>126.48</v>
      </c>
      <c r="M1174" s="43" t="n">
        <f aca="false">H1174*16.05*(1+'Chart of Accounts'!$E$67)</f>
        <v>68.36337</v>
      </c>
    </row>
    <row r="1175" customFormat="false" ht="15" hidden="false" customHeight="false" outlineLevel="0" collapsed="false">
      <c r="B1175" s="7" t="s">
        <v>1672</v>
      </c>
      <c r="C1175" s="39" t="n">
        <v>45719</v>
      </c>
      <c r="D1175" s="7" t="s">
        <v>291</v>
      </c>
      <c r="E1175" s="7" t="s">
        <v>154</v>
      </c>
      <c r="F1175" s="7" t="s">
        <v>194</v>
      </c>
      <c r="G1175" s="7" t="s">
        <v>505</v>
      </c>
      <c r="H1175" s="6" t="n">
        <v>4.77</v>
      </c>
      <c r="I1175" s="6" t="n">
        <v>0</v>
      </c>
      <c r="J1175" s="40" t="n">
        <f aca="false">H1175-I1175</f>
        <v>4.77</v>
      </c>
      <c r="K1175" s="41" t="n">
        <v>26.5</v>
      </c>
      <c r="L1175" s="42" t="n">
        <f aca="false">J1175*K1175</f>
        <v>126.405</v>
      </c>
      <c r="M1175" s="43" t="n">
        <f aca="false">H1175*16*(1+'Chart of Accounts'!$E$67)</f>
        <v>87.3864</v>
      </c>
    </row>
    <row r="1176" customFormat="false" ht="15" hidden="false" customHeight="false" outlineLevel="0" collapsed="false">
      <c r="B1176" s="7" t="s">
        <v>1673</v>
      </c>
      <c r="C1176" s="39" t="n">
        <v>45719</v>
      </c>
      <c r="D1176" s="7" t="s">
        <v>297</v>
      </c>
      <c r="E1176" s="7" t="s">
        <v>156</v>
      </c>
      <c r="F1176" s="7" t="s">
        <v>201</v>
      </c>
      <c r="G1176" s="7" t="s">
        <v>505</v>
      </c>
      <c r="H1176" s="6" t="n">
        <v>3</v>
      </c>
      <c r="I1176" s="6" t="n">
        <v>0</v>
      </c>
      <c r="J1176" s="40" t="n">
        <f aca="false">H1176-I1176</f>
        <v>3</v>
      </c>
      <c r="K1176" s="41" t="n">
        <v>34</v>
      </c>
      <c r="L1176" s="42" t="n">
        <f aca="false">J1176*K1176</f>
        <v>102</v>
      </c>
      <c r="M1176" s="43" t="n">
        <f aca="false">H1176*15.19*(1+'Chart of Accounts'!$E$67)</f>
        <v>52.17765</v>
      </c>
    </row>
    <row r="1177" customFormat="false" ht="15" hidden="false" customHeight="false" outlineLevel="0" collapsed="false">
      <c r="B1177" s="7" t="s">
        <v>1674</v>
      </c>
      <c r="C1177" s="39" t="n">
        <v>45719</v>
      </c>
      <c r="D1177" s="7" t="s">
        <v>305</v>
      </c>
      <c r="E1177" s="7" t="s">
        <v>154</v>
      </c>
      <c r="F1177" s="7" t="s">
        <v>205</v>
      </c>
      <c r="G1177" s="7" t="s">
        <v>505</v>
      </c>
      <c r="H1177" s="6" t="n">
        <v>3.7</v>
      </c>
      <c r="I1177" s="6" t="n">
        <v>0</v>
      </c>
      <c r="J1177" s="40" t="n">
        <f aca="false">H1177-I1177</f>
        <v>3.7</v>
      </c>
      <c r="K1177" s="41" t="n">
        <v>26.5</v>
      </c>
      <c r="L1177" s="42" t="n">
        <f aca="false">J1177*K1177</f>
        <v>98.05</v>
      </c>
      <c r="M1177" s="43" t="n">
        <f aca="false">H1177*16.36*(1+'Chart of Accounts'!$E$67)</f>
        <v>69.30914</v>
      </c>
    </row>
    <row r="1178" customFormat="false" ht="15" hidden="false" customHeight="false" outlineLevel="0" collapsed="false">
      <c r="B1178" s="7" t="s">
        <v>1675</v>
      </c>
      <c r="C1178" s="39" t="n">
        <v>45719</v>
      </c>
      <c r="D1178" s="7" t="s">
        <v>309</v>
      </c>
      <c r="E1178" s="7" t="s">
        <v>159</v>
      </c>
      <c r="F1178" s="7" t="s">
        <v>252</v>
      </c>
      <c r="G1178" s="7" t="s">
        <v>502</v>
      </c>
      <c r="H1178" s="6" t="n">
        <v>1.08</v>
      </c>
      <c r="I1178" s="6" t="n">
        <v>0</v>
      </c>
      <c r="J1178" s="40" t="n">
        <f aca="false">H1178-I1178</f>
        <v>1.08</v>
      </c>
      <c r="K1178" s="41" t="n">
        <v>135</v>
      </c>
      <c r="L1178" s="42" t="n">
        <f aca="false">J1178*K1178</f>
        <v>145.8</v>
      </c>
      <c r="M1178" s="43" t="n">
        <f aca="false">H1178*57.54*(1+'Chart of Accounts'!$E$67)</f>
        <v>71.153964</v>
      </c>
    </row>
    <row r="1179" customFormat="false" ht="15" hidden="false" customHeight="false" outlineLevel="0" collapsed="false">
      <c r="B1179" s="7" t="s">
        <v>1676</v>
      </c>
      <c r="C1179" s="39" t="n">
        <v>45719</v>
      </c>
      <c r="D1179" s="7" t="s">
        <v>311</v>
      </c>
      <c r="E1179" s="7" t="s">
        <v>154</v>
      </c>
      <c r="F1179" s="7" t="s">
        <v>196</v>
      </c>
      <c r="G1179" s="7" t="s">
        <v>505</v>
      </c>
      <c r="H1179" s="6" t="n">
        <v>3.01</v>
      </c>
      <c r="I1179" s="6" t="n">
        <v>0.09</v>
      </c>
      <c r="J1179" s="40" t="n">
        <f aca="false">H1179-I1179</f>
        <v>2.92</v>
      </c>
      <c r="K1179" s="41" t="n">
        <v>26.5</v>
      </c>
      <c r="L1179" s="42" t="n">
        <f aca="false">J1179*K1179</f>
        <v>77.38</v>
      </c>
      <c r="M1179" s="43" t="n">
        <f aca="false">H1179*15.05*(1+'Chart of Accounts'!$E$67)</f>
        <v>51.8690725</v>
      </c>
    </row>
    <row r="1180" customFormat="false" ht="15" hidden="false" customHeight="false" outlineLevel="0" collapsed="false">
      <c r="B1180" s="7" t="s">
        <v>1677</v>
      </c>
      <c r="C1180" s="39" t="n">
        <v>45719</v>
      </c>
      <c r="D1180" s="7" t="s">
        <v>313</v>
      </c>
      <c r="E1180" s="7" t="s">
        <v>156</v>
      </c>
      <c r="F1180" s="7" t="s">
        <v>184</v>
      </c>
      <c r="G1180" s="7" t="s">
        <v>505</v>
      </c>
      <c r="H1180" s="6" t="n">
        <v>4.02</v>
      </c>
      <c r="I1180" s="6" t="n">
        <v>0</v>
      </c>
      <c r="J1180" s="40" t="n">
        <f aca="false">H1180-I1180</f>
        <v>4.02</v>
      </c>
      <c r="K1180" s="41" t="n">
        <v>34</v>
      </c>
      <c r="L1180" s="42" t="n">
        <f aca="false">J1180*K1180</f>
        <v>136.68</v>
      </c>
      <c r="M1180" s="43" t="n">
        <f aca="false">H1180*17.34*(1+'Chart of Accounts'!$E$67)</f>
        <v>79.814286</v>
      </c>
    </row>
    <row r="1181" customFormat="false" ht="15" hidden="false" customHeight="false" outlineLevel="0" collapsed="false">
      <c r="B1181" s="7" t="s">
        <v>1678</v>
      </c>
      <c r="C1181" s="39" t="n">
        <v>45719</v>
      </c>
      <c r="D1181" s="7" t="s">
        <v>317</v>
      </c>
      <c r="E1181" s="7" t="s">
        <v>156</v>
      </c>
      <c r="F1181" s="7" t="s">
        <v>207</v>
      </c>
      <c r="G1181" s="7" t="s">
        <v>505</v>
      </c>
      <c r="H1181" s="6" t="n">
        <v>3.17</v>
      </c>
      <c r="I1181" s="6" t="n">
        <v>0</v>
      </c>
      <c r="J1181" s="40" t="n">
        <f aca="false">H1181-I1181</f>
        <v>3.17</v>
      </c>
      <c r="K1181" s="41" t="n">
        <v>34</v>
      </c>
      <c r="L1181" s="42" t="n">
        <f aca="false">J1181*K1181</f>
        <v>107.78</v>
      </c>
      <c r="M1181" s="43" t="n">
        <f aca="false">H1181*16.65*(1+'Chart of Accounts'!$E$67)</f>
        <v>60.4336725</v>
      </c>
    </row>
    <row r="1182" customFormat="false" ht="15" hidden="false" customHeight="false" outlineLevel="0" collapsed="false">
      <c r="B1182" s="7" t="s">
        <v>1679</v>
      </c>
      <c r="C1182" s="39" t="n">
        <v>45719</v>
      </c>
      <c r="D1182" s="7" t="s">
        <v>321</v>
      </c>
      <c r="E1182" s="7" t="s">
        <v>154</v>
      </c>
      <c r="F1182" s="7" t="s">
        <v>218</v>
      </c>
      <c r="G1182" s="7" t="s">
        <v>505</v>
      </c>
      <c r="H1182" s="6" t="n">
        <v>4.19</v>
      </c>
      <c r="I1182" s="6" t="n">
        <v>0</v>
      </c>
      <c r="J1182" s="40" t="n">
        <f aca="false">H1182-I1182</f>
        <v>4.19</v>
      </c>
      <c r="K1182" s="41" t="n">
        <v>26.5</v>
      </c>
      <c r="L1182" s="42" t="n">
        <f aca="false">J1182*K1182</f>
        <v>111.035</v>
      </c>
      <c r="M1182" s="43" t="n">
        <f aca="false">H1182*16.19*(1+'Chart of Accounts'!$E$67)</f>
        <v>77.6723345</v>
      </c>
    </row>
    <row r="1183" customFormat="false" ht="15" hidden="false" customHeight="false" outlineLevel="0" collapsed="false">
      <c r="B1183" s="7" t="s">
        <v>1680</v>
      </c>
      <c r="C1183" s="39" t="n">
        <v>45719</v>
      </c>
      <c r="D1183" s="7" t="s">
        <v>325</v>
      </c>
      <c r="E1183" s="7" t="s">
        <v>154</v>
      </c>
      <c r="F1183" s="7" t="s">
        <v>212</v>
      </c>
      <c r="G1183" s="7" t="s">
        <v>505</v>
      </c>
      <c r="H1183" s="6" t="n">
        <v>2.76</v>
      </c>
      <c r="I1183" s="6" t="n">
        <v>0</v>
      </c>
      <c r="J1183" s="40" t="n">
        <f aca="false">H1183-I1183</f>
        <v>2.76</v>
      </c>
      <c r="K1183" s="41" t="n">
        <v>26.5</v>
      </c>
      <c r="L1183" s="42" t="n">
        <f aca="false">J1183*K1183</f>
        <v>73.14</v>
      </c>
      <c r="M1183" s="43" t="n">
        <f aca="false">H1183*16.71*(1+'Chart of Accounts'!$E$67)</f>
        <v>52.806942</v>
      </c>
    </row>
    <row r="1184" customFormat="false" ht="15" hidden="false" customHeight="false" outlineLevel="0" collapsed="false">
      <c r="B1184" s="7" t="s">
        <v>1681</v>
      </c>
      <c r="C1184" s="39" t="n">
        <v>45719</v>
      </c>
      <c r="D1184" s="7" t="s">
        <v>329</v>
      </c>
      <c r="E1184" s="7" t="s">
        <v>156</v>
      </c>
      <c r="F1184" s="7" t="s">
        <v>220</v>
      </c>
      <c r="G1184" s="7" t="s">
        <v>505</v>
      </c>
      <c r="H1184" s="6" t="n">
        <v>3.79</v>
      </c>
      <c r="I1184" s="6" t="n">
        <v>0</v>
      </c>
      <c r="J1184" s="40" t="n">
        <f aca="false">H1184-I1184</f>
        <v>3.79</v>
      </c>
      <c r="K1184" s="41" t="n">
        <v>34</v>
      </c>
      <c r="L1184" s="42" t="n">
        <f aca="false">J1184*K1184</f>
        <v>128.86</v>
      </c>
      <c r="M1184" s="43" t="n">
        <f aca="false">H1184*16.43*(1+'Chart of Accounts'!$E$67)</f>
        <v>71.2988065</v>
      </c>
    </row>
    <row r="1185" customFormat="false" ht="15" hidden="false" customHeight="false" outlineLevel="0" collapsed="false">
      <c r="B1185" s="7" t="s">
        <v>1682</v>
      </c>
      <c r="C1185" s="39" t="n">
        <v>45719</v>
      </c>
      <c r="D1185" s="7" t="s">
        <v>331</v>
      </c>
      <c r="E1185" s="7" t="s">
        <v>156</v>
      </c>
      <c r="F1185" s="7" t="s">
        <v>224</v>
      </c>
      <c r="G1185" s="7" t="s">
        <v>505</v>
      </c>
      <c r="H1185" s="6" t="n">
        <v>4.3</v>
      </c>
      <c r="I1185" s="6" t="n">
        <v>0</v>
      </c>
      <c r="J1185" s="40" t="n">
        <f aca="false">H1185-I1185</f>
        <v>4.3</v>
      </c>
      <c r="K1185" s="41" t="n">
        <v>34</v>
      </c>
      <c r="L1185" s="42" t="n">
        <f aca="false">J1185*K1185</f>
        <v>146.2</v>
      </c>
      <c r="M1185" s="43" t="n">
        <f aca="false">H1185*14.93*(1+'Chart of Accounts'!$E$67)</f>
        <v>73.507855</v>
      </c>
    </row>
    <row r="1186" customFormat="false" ht="15" hidden="false" customHeight="false" outlineLevel="0" collapsed="false">
      <c r="B1186" s="7" t="s">
        <v>1683</v>
      </c>
      <c r="C1186" s="39" t="n">
        <v>45719</v>
      </c>
      <c r="D1186" s="7" t="s">
        <v>335</v>
      </c>
      <c r="E1186" s="7" t="s">
        <v>154</v>
      </c>
      <c r="F1186" s="7" t="s">
        <v>177</v>
      </c>
      <c r="G1186" s="7" t="s">
        <v>505</v>
      </c>
      <c r="H1186" s="6" t="n">
        <v>4.17</v>
      </c>
      <c r="I1186" s="6" t="n">
        <v>0</v>
      </c>
      <c r="J1186" s="40" t="n">
        <f aca="false">H1186-I1186</f>
        <v>4.17</v>
      </c>
      <c r="K1186" s="41" t="n">
        <v>26.5</v>
      </c>
      <c r="L1186" s="42" t="n">
        <f aca="false">J1186*K1186</f>
        <v>110.505</v>
      </c>
      <c r="M1186" s="43" t="n">
        <f aca="false">H1186*14.56*(1+'Chart of Accounts'!$E$67)</f>
        <v>69.518904</v>
      </c>
    </row>
    <row r="1187" customFormat="false" ht="15" hidden="false" customHeight="false" outlineLevel="0" collapsed="false">
      <c r="B1187" s="7" t="s">
        <v>1684</v>
      </c>
      <c r="C1187" s="39" t="n">
        <v>45719</v>
      </c>
      <c r="D1187" s="7" t="s">
        <v>339</v>
      </c>
      <c r="E1187" s="7" t="s">
        <v>154</v>
      </c>
      <c r="F1187" s="7" t="s">
        <v>242</v>
      </c>
      <c r="G1187" s="7" t="s">
        <v>505</v>
      </c>
      <c r="H1187" s="6" t="n">
        <v>3.14</v>
      </c>
      <c r="I1187" s="6" t="n">
        <v>0</v>
      </c>
      <c r="J1187" s="40" t="n">
        <f aca="false">H1187-I1187</f>
        <v>3.14</v>
      </c>
      <c r="K1187" s="41" t="n">
        <v>26.5</v>
      </c>
      <c r="L1187" s="42" t="n">
        <f aca="false">J1187*K1187</f>
        <v>83.21</v>
      </c>
      <c r="M1187" s="43" t="n">
        <f aca="false">H1187*17.99*(1+'Chart of Accounts'!$E$67)</f>
        <v>64.679447</v>
      </c>
    </row>
    <row r="1188" customFormat="false" ht="15" hidden="false" customHeight="false" outlineLevel="0" collapsed="false">
      <c r="B1188" s="7" t="s">
        <v>1685</v>
      </c>
      <c r="C1188" s="39" t="n">
        <v>45719</v>
      </c>
      <c r="D1188" s="7" t="s">
        <v>341</v>
      </c>
      <c r="E1188" s="7" t="s">
        <v>156</v>
      </c>
      <c r="F1188" s="7" t="s">
        <v>222</v>
      </c>
      <c r="G1188" s="7" t="s">
        <v>505</v>
      </c>
      <c r="H1188" s="6" t="n">
        <v>2.76</v>
      </c>
      <c r="I1188" s="6" t="n">
        <v>0</v>
      </c>
      <c r="J1188" s="40" t="n">
        <f aca="false">H1188-I1188</f>
        <v>2.76</v>
      </c>
      <c r="K1188" s="41" t="n">
        <v>34</v>
      </c>
      <c r="L1188" s="42" t="n">
        <f aca="false">J1188*K1188</f>
        <v>93.84</v>
      </c>
      <c r="M1188" s="43" t="n">
        <f aca="false">H1188*17.84*(1+'Chart of Accounts'!$E$67)</f>
        <v>56.377968</v>
      </c>
    </row>
    <row r="1189" customFormat="false" ht="15" hidden="false" customHeight="false" outlineLevel="0" collapsed="false">
      <c r="B1189" s="7" t="s">
        <v>1686</v>
      </c>
      <c r="C1189" s="39" t="n">
        <v>45719</v>
      </c>
      <c r="D1189" s="7" t="s">
        <v>343</v>
      </c>
      <c r="E1189" s="7" t="s">
        <v>154</v>
      </c>
      <c r="F1189" s="7" t="s">
        <v>262</v>
      </c>
      <c r="G1189" s="7" t="s">
        <v>505</v>
      </c>
      <c r="H1189" s="6" t="n">
        <v>3.81</v>
      </c>
      <c r="I1189" s="6" t="n">
        <v>0</v>
      </c>
      <c r="J1189" s="40" t="n">
        <f aca="false">H1189-I1189</f>
        <v>3.81</v>
      </c>
      <c r="K1189" s="41" t="n">
        <v>26.5</v>
      </c>
      <c r="L1189" s="42" t="n">
        <f aca="false">J1189*K1189</f>
        <v>100.965</v>
      </c>
      <c r="M1189" s="43" t="n">
        <f aca="false">H1189*16.02*(1+'Chart of Accounts'!$E$67)</f>
        <v>69.886449</v>
      </c>
    </row>
    <row r="1190" customFormat="false" ht="15" hidden="false" customHeight="false" outlineLevel="0" collapsed="false">
      <c r="B1190" s="7" t="s">
        <v>1687</v>
      </c>
      <c r="C1190" s="39" t="n">
        <v>45719</v>
      </c>
      <c r="D1190" s="7" t="s">
        <v>353</v>
      </c>
      <c r="E1190" s="7" t="s">
        <v>154</v>
      </c>
      <c r="F1190" s="7" t="s">
        <v>254</v>
      </c>
      <c r="G1190" s="7" t="s">
        <v>505</v>
      </c>
      <c r="H1190" s="6" t="n">
        <v>3.41</v>
      </c>
      <c r="I1190" s="6" t="n">
        <v>0</v>
      </c>
      <c r="J1190" s="40" t="n">
        <f aca="false">H1190-I1190</f>
        <v>3.41</v>
      </c>
      <c r="K1190" s="41" t="n">
        <v>26.5</v>
      </c>
      <c r="L1190" s="42" t="n">
        <f aca="false">J1190*K1190</f>
        <v>90.365</v>
      </c>
      <c r="M1190" s="43" t="n">
        <f aca="false">H1190*17.1*(1+'Chart of Accounts'!$E$67)</f>
        <v>66.766095</v>
      </c>
    </row>
    <row r="1191" customFormat="false" ht="15" hidden="false" customHeight="false" outlineLevel="0" collapsed="false">
      <c r="B1191" s="7" t="s">
        <v>1688</v>
      </c>
      <c r="C1191" s="39" t="n">
        <v>45719</v>
      </c>
      <c r="D1191" s="7" t="s">
        <v>355</v>
      </c>
      <c r="E1191" s="7" t="s">
        <v>154</v>
      </c>
      <c r="F1191" s="7" t="s">
        <v>201</v>
      </c>
      <c r="G1191" s="7" t="s">
        <v>505</v>
      </c>
      <c r="H1191" s="6" t="n">
        <v>3.14</v>
      </c>
      <c r="I1191" s="6" t="n">
        <v>0</v>
      </c>
      <c r="J1191" s="40" t="n">
        <f aca="false">H1191-I1191</f>
        <v>3.14</v>
      </c>
      <c r="K1191" s="41" t="n">
        <v>26.5</v>
      </c>
      <c r="L1191" s="42" t="n">
        <f aca="false">J1191*K1191</f>
        <v>83.21</v>
      </c>
      <c r="M1191" s="43" t="n">
        <f aca="false">H1191*15.19*(1+'Chart of Accounts'!$E$67)</f>
        <v>54.612607</v>
      </c>
    </row>
    <row r="1192" customFormat="false" ht="15" hidden="false" customHeight="false" outlineLevel="0" collapsed="false">
      <c r="B1192" s="7" t="s">
        <v>1689</v>
      </c>
      <c r="C1192" s="39" t="n">
        <v>45719</v>
      </c>
      <c r="D1192" s="7" t="s">
        <v>357</v>
      </c>
      <c r="E1192" s="7" t="s">
        <v>154</v>
      </c>
      <c r="F1192" s="7" t="s">
        <v>207</v>
      </c>
      <c r="G1192" s="7" t="s">
        <v>505</v>
      </c>
      <c r="H1192" s="6" t="n">
        <v>3.12</v>
      </c>
      <c r="I1192" s="6" t="n">
        <v>0</v>
      </c>
      <c r="J1192" s="40" t="n">
        <f aca="false">H1192-I1192</f>
        <v>3.12</v>
      </c>
      <c r="K1192" s="41" t="n">
        <v>26.5</v>
      </c>
      <c r="L1192" s="42" t="n">
        <f aca="false">J1192*K1192</f>
        <v>82.68</v>
      </c>
      <c r="M1192" s="43" t="n">
        <f aca="false">H1192*16.65*(1+'Chart of Accounts'!$E$67)</f>
        <v>59.48046</v>
      </c>
    </row>
    <row r="1193" customFormat="false" ht="15" hidden="false" customHeight="false" outlineLevel="0" collapsed="false">
      <c r="B1193" s="7" t="s">
        <v>1690</v>
      </c>
      <c r="C1193" s="39" t="n">
        <v>45719</v>
      </c>
      <c r="D1193" s="7" t="s">
        <v>359</v>
      </c>
      <c r="E1193" s="7" t="s">
        <v>156</v>
      </c>
      <c r="F1193" s="7" t="s">
        <v>212</v>
      </c>
      <c r="G1193" s="7" t="s">
        <v>505</v>
      </c>
      <c r="H1193" s="6" t="n">
        <v>4.39</v>
      </c>
      <c r="I1193" s="6" t="n">
        <v>0</v>
      </c>
      <c r="J1193" s="40" t="n">
        <f aca="false">H1193-I1193</f>
        <v>4.39</v>
      </c>
      <c r="K1193" s="41" t="n">
        <v>34</v>
      </c>
      <c r="L1193" s="42" t="n">
        <f aca="false">J1193*K1193</f>
        <v>149.26</v>
      </c>
      <c r="M1193" s="43" t="n">
        <f aca="false">H1193*16.71*(1+'Chart of Accounts'!$E$67)</f>
        <v>83.9936505</v>
      </c>
    </row>
    <row r="1194" customFormat="false" ht="15" hidden="false" customHeight="false" outlineLevel="0" collapsed="false">
      <c r="B1194" s="7" t="s">
        <v>1691</v>
      </c>
      <c r="C1194" s="39" t="n">
        <v>45719</v>
      </c>
      <c r="D1194" s="7" t="s">
        <v>363</v>
      </c>
      <c r="E1194" s="7" t="s">
        <v>156</v>
      </c>
      <c r="F1194" s="7" t="s">
        <v>246</v>
      </c>
      <c r="G1194" s="7" t="s">
        <v>505</v>
      </c>
      <c r="H1194" s="6" t="n">
        <v>3.92</v>
      </c>
      <c r="I1194" s="6" t="n">
        <v>0</v>
      </c>
      <c r="J1194" s="40" t="n">
        <f aca="false">H1194-I1194</f>
        <v>3.92</v>
      </c>
      <c r="K1194" s="41" t="n">
        <v>34</v>
      </c>
      <c r="L1194" s="42" t="n">
        <f aca="false">J1194*K1194</f>
        <v>133.28</v>
      </c>
      <c r="M1194" s="43" t="n">
        <f aca="false">H1194*16.48*(1+'Chart of Accounts'!$E$67)</f>
        <v>73.968832</v>
      </c>
    </row>
    <row r="1195" customFormat="false" ht="15" hidden="false" customHeight="false" outlineLevel="0" collapsed="false">
      <c r="B1195" s="7" t="s">
        <v>1692</v>
      </c>
      <c r="C1195" s="39" t="n">
        <v>45719</v>
      </c>
      <c r="D1195" s="7" t="s">
        <v>371</v>
      </c>
      <c r="E1195" s="7" t="s">
        <v>154</v>
      </c>
      <c r="F1195" s="7" t="s">
        <v>232</v>
      </c>
      <c r="G1195" s="7" t="s">
        <v>505</v>
      </c>
      <c r="H1195" s="6" t="n">
        <v>4.31</v>
      </c>
      <c r="I1195" s="6" t="n">
        <v>0</v>
      </c>
      <c r="J1195" s="40" t="n">
        <f aca="false">H1195-I1195</f>
        <v>4.31</v>
      </c>
      <c r="K1195" s="41" t="n">
        <v>26.5</v>
      </c>
      <c r="L1195" s="42" t="n">
        <f aca="false">J1195*K1195</f>
        <v>114.215</v>
      </c>
      <c r="M1195" s="43" t="n">
        <f aca="false">H1195*16.17*(1+'Chart of Accounts'!$E$67)</f>
        <v>79.7981415</v>
      </c>
    </row>
    <row r="1196" customFormat="false" ht="15" hidden="false" customHeight="false" outlineLevel="0" collapsed="false">
      <c r="B1196" s="7" t="s">
        <v>1693</v>
      </c>
      <c r="C1196" s="39" t="n">
        <v>45719</v>
      </c>
      <c r="D1196" s="7" t="s">
        <v>375</v>
      </c>
      <c r="E1196" s="7" t="s">
        <v>156</v>
      </c>
      <c r="F1196" s="7" t="s">
        <v>196</v>
      </c>
      <c r="G1196" s="7" t="s">
        <v>505</v>
      </c>
      <c r="H1196" s="6" t="n">
        <v>3.27</v>
      </c>
      <c r="I1196" s="6" t="n">
        <v>0</v>
      </c>
      <c r="J1196" s="40" t="n">
        <f aca="false">H1196-I1196</f>
        <v>3.27</v>
      </c>
      <c r="K1196" s="41" t="n">
        <v>34</v>
      </c>
      <c r="L1196" s="42" t="n">
        <f aca="false">J1196*K1196</f>
        <v>111.18</v>
      </c>
      <c r="M1196" s="43" t="n">
        <f aca="false">H1196*15.05*(1+'Chart of Accounts'!$E$67)</f>
        <v>56.3494575</v>
      </c>
    </row>
    <row r="1197" customFormat="false" ht="15" hidden="false" customHeight="false" outlineLevel="0" collapsed="false">
      <c r="B1197" s="7" t="s">
        <v>1694</v>
      </c>
      <c r="C1197" s="39" t="n">
        <v>45719</v>
      </c>
      <c r="D1197" s="7" t="s">
        <v>377</v>
      </c>
      <c r="E1197" s="7" t="s">
        <v>154</v>
      </c>
      <c r="F1197" s="7" t="s">
        <v>214</v>
      </c>
      <c r="G1197" s="7" t="s">
        <v>505</v>
      </c>
      <c r="H1197" s="6" t="n">
        <v>4.23</v>
      </c>
      <c r="I1197" s="6" t="n">
        <v>0</v>
      </c>
      <c r="J1197" s="40" t="n">
        <f aca="false">H1197-I1197</f>
        <v>4.23</v>
      </c>
      <c r="K1197" s="41" t="n">
        <v>26.5</v>
      </c>
      <c r="L1197" s="42" t="n">
        <f aca="false">J1197*K1197</f>
        <v>112.095</v>
      </c>
      <c r="M1197" s="43" t="n">
        <f aca="false">H1197*15.67*(1+'Chart of Accounts'!$E$67)</f>
        <v>75.8952945</v>
      </c>
    </row>
    <row r="1198" customFormat="false" ht="15" hidden="false" customHeight="false" outlineLevel="0" collapsed="false">
      <c r="B1198" s="7" t="s">
        <v>1695</v>
      </c>
      <c r="C1198" s="39" t="n">
        <v>45719</v>
      </c>
      <c r="D1198" s="7" t="s">
        <v>379</v>
      </c>
      <c r="E1198" s="7" t="s">
        <v>156</v>
      </c>
      <c r="F1198" s="7" t="s">
        <v>224</v>
      </c>
      <c r="G1198" s="7" t="s">
        <v>505</v>
      </c>
      <c r="H1198" s="6" t="n">
        <v>4.84</v>
      </c>
      <c r="I1198" s="6" t="n">
        <v>0</v>
      </c>
      <c r="J1198" s="40" t="n">
        <f aca="false">H1198-I1198</f>
        <v>4.84</v>
      </c>
      <c r="K1198" s="41" t="n">
        <v>34</v>
      </c>
      <c r="L1198" s="42" t="n">
        <f aca="false">J1198*K1198</f>
        <v>164.56</v>
      </c>
      <c r="M1198" s="43" t="n">
        <f aca="false">H1198*14.93*(1+'Chart of Accounts'!$E$67)</f>
        <v>82.739074</v>
      </c>
    </row>
    <row r="1199" customFormat="false" ht="15" hidden="false" customHeight="false" outlineLevel="0" collapsed="false">
      <c r="B1199" s="7" t="s">
        <v>1696</v>
      </c>
      <c r="C1199" s="39" t="n">
        <v>45719</v>
      </c>
      <c r="D1199" s="7" t="s">
        <v>389</v>
      </c>
      <c r="E1199" s="7" t="s">
        <v>154</v>
      </c>
      <c r="F1199" s="7" t="s">
        <v>246</v>
      </c>
      <c r="G1199" s="7" t="s">
        <v>505</v>
      </c>
      <c r="H1199" s="6" t="n">
        <v>4.11</v>
      </c>
      <c r="I1199" s="6" t="n">
        <v>0</v>
      </c>
      <c r="J1199" s="40" t="n">
        <f aca="false">H1199-I1199</f>
        <v>4.11</v>
      </c>
      <c r="K1199" s="41" t="n">
        <v>26.5</v>
      </c>
      <c r="L1199" s="42" t="n">
        <f aca="false">J1199*K1199</f>
        <v>108.915</v>
      </c>
      <c r="M1199" s="43" t="n">
        <f aca="false">H1199*16.48*(1+'Chart of Accounts'!$E$67)</f>
        <v>77.554056</v>
      </c>
    </row>
    <row r="1200" customFormat="false" ht="15" hidden="false" customHeight="false" outlineLevel="0" collapsed="false">
      <c r="B1200" s="7" t="s">
        <v>1697</v>
      </c>
      <c r="C1200" s="39" t="n">
        <v>45719</v>
      </c>
      <c r="D1200" s="7" t="s">
        <v>391</v>
      </c>
      <c r="E1200" s="7" t="s">
        <v>156</v>
      </c>
      <c r="F1200" s="7" t="s">
        <v>222</v>
      </c>
      <c r="G1200" s="7" t="s">
        <v>505</v>
      </c>
      <c r="H1200" s="6" t="n">
        <v>3.98</v>
      </c>
      <c r="I1200" s="6" t="n">
        <v>0</v>
      </c>
      <c r="J1200" s="40" t="n">
        <f aca="false">H1200-I1200</f>
        <v>3.98</v>
      </c>
      <c r="K1200" s="41" t="n">
        <v>34</v>
      </c>
      <c r="L1200" s="42" t="n">
        <f aca="false">J1200*K1200</f>
        <v>135.32</v>
      </c>
      <c r="M1200" s="43" t="n">
        <f aca="false">H1200*17.84*(1+'Chart of Accounts'!$E$67)</f>
        <v>81.298664</v>
      </c>
    </row>
    <row r="1201" customFormat="false" ht="15" hidden="false" customHeight="false" outlineLevel="0" collapsed="false">
      <c r="B1201" s="7" t="s">
        <v>1698</v>
      </c>
      <c r="C1201" s="39" t="n">
        <v>45719</v>
      </c>
      <c r="D1201" s="7" t="s">
        <v>395</v>
      </c>
      <c r="E1201" s="7" t="s">
        <v>156</v>
      </c>
      <c r="F1201" s="7" t="s">
        <v>242</v>
      </c>
      <c r="G1201" s="7" t="s">
        <v>505</v>
      </c>
      <c r="H1201" s="6" t="n">
        <v>3.81</v>
      </c>
      <c r="I1201" s="6" t="n">
        <v>0</v>
      </c>
      <c r="J1201" s="40" t="n">
        <f aca="false">H1201-I1201</f>
        <v>3.81</v>
      </c>
      <c r="K1201" s="41" t="n">
        <v>34</v>
      </c>
      <c r="L1201" s="42" t="n">
        <f aca="false">J1201*K1201</f>
        <v>129.54</v>
      </c>
      <c r="M1201" s="43" t="n">
        <f aca="false">H1201*17.99*(1+'Chart of Accounts'!$E$67)</f>
        <v>78.4804755</v>
      </c>
    </row>
    <row r="1202" customFormat="false" ht="15" hidden="false" customHeight="false" outlineLevel="0" collapsed="false">
      <c r="B1202" s="7" t="s">
        <v>1699</v>
      </c>
      <c r="C1202" s="39" t="n">
        <v>45719</v>
      </c>
      <c r="D1202" s="7" t="s">
        <v>399</v>
      </c>
      <c r="E1202" s="7" t="s">
        <v>154</v>
      </c>
      <c r="F1202" s="7" t="s">
        <v>262</v>
      </c>
      <c r="G1202" s="7" t="s">
        <v>505</v>
      </c>
      <c r="H1202" s="6" t="n">
        <v>3.48</v>
      </c>
      <c r="I1202" s="6" t="n">
        <v>0</v>
      </c>
      <c r="J1202" s="40" t="n">
        <f aca="false">H1202-I1202</f>
        <v>3.48</v>
      </c>
      <c r="K1202" s="41" t="n">
        <v>26.5</v>
      </c>
      <c r="L1202" s="42" t="n">
        <f aca="false">J1202*K1202</f>
        <v>92.22</v>
      </c>
      <c r="M1202" s="43" t="n">
        <f aca="false">H1202*16.02*(1+'Chart of Accounts'!$E$67)</f>
        <v>63.833292</v>
      </c>
    </row>
    <row r="1203" customFormat="false" ht="15" hidden="false" customHeight="false" outlineLevel="0" collapsed="false">
      <c r="B1203" s="7" t="s">
        <v>1700</v>
      </c>
      <c r="C1203" s="39" t="n">
        <v>45719</v>
      </c>
      <c r="D1203" s="7" t="s">
        <v>401</v>
      </c>
      <c r="E1203" s="7" t="s">
        <v>156</v>
      </c>
      <c r="F1203" s="7" t="s">
        <v>254</v>
      </c>
      <c r="G1203" s="7" t="s">
        <v>505</v>
      </c>
      <c r="H1203" s="6" t="n">
        <v>4.12</v>
      </c>
      <c r="I1203" s="6" t="n">
        <v>0</v>
      </c>
      <c r="J1203" s="40" t="n">
        <f aca="false">H1203-I1203</f>
        <v>4.12</v>
      </c>
      <c r="K1203" s="41" t="n">
        <v>34</v>
      </c>
      <c r="L1203" s="42" t="n">
        <f aca="false">J1203*K1203</f>
        <v>140.08</v>
      </c>
      <c r="M1203" s="43" t="n">
        <f aca="false">H1203*17.1*(1+'Chart of Accounts'!$E$67)</f>
        <v>80.66754</v>
      </c>
    </row>
    <row r="1204" customFormat="false" ht="15" hidden="false" customHeight="false" outlineLevel="0" collapsed="false">
      <c r="B1204" s="7" t="s">
        <v>1701</v>
      </c>
      <c r="C1204" s="39" t="n">
        <v>45719</v>
      </c>
      <c r="D1204" s="7" t="s">
        <v>409</v>
      </c>
      <c r="E1204" s="7" t="s">
        <v>154</v>
      </c>
      <c r="F1204" s="7" t="s">
        <v>214</v>
      </c>
      <c r="G1204" s="7" t="s">
        <v>505</v>
      </c>
      <c r="H1204" s="6" t="n">
        <v>3.04</v>
      </c>
      <c r="I1204" s="6" t="n">
        <v>0</v>
      </c>
      <c r="J1204" s="40" t="n">
        <f aca="false">H1204-I1204</f>
        <v>3.04</v>
      </c>
      <c r="K1204" s="41" t="n">
        <v>26.5</v>
      </c>
      <c r="L1204" s="42" t="n">
        <f aca="false">J1204*K1204</f>
        <v>80.56</v>
      </c>
      <c r="M1204" s="43" t="n">
        <f aca="false">H1204*15.67*(1+'Chart of Accounts'!$E$67)</f>
        <v>54.544136</v>
      </c>
    </row>
    <row r="1205" customFormat="false" ht="15" hidden="false" customHeight="false" outlineLevel="0" collapsed="false">
      <c r="B1205" s="7" t="s">
        <v>1702</v>
      </c>
      <c r="C1205" s="39" t="n">
        <v>45720</v>
      </c>
      <c r="D1205" s="7" t="s">
        <v>288</v>
      </c>
      <c r="E1205" s="7" t="s">
        <v>156</v>
      </c>
      <c r="F1205" s="7" t="s">
        <v>191</v>
      </c>
      <c r="G1205" s="7" t="s">
        <v>505</v>
      </c>
      <c r="H1205" s="6" t="n">
        <v>4.34</v>
      </c>
      <c r="I1205" s="6" t="n">
        <v>0</v>
      </c>
      <c r="J1205" s="40" t="n">
        <f aca="false">H1205-I1205</f>
        <v>4.34</v>
      </c>
      <c r="K1205" s="41" t="n">
        <v>34</v>
      </c>
      <c r="L1205" s="42" t="n">
        <f aca="false">J1205*K1205</f>
        <v>147.56</v>
      </c>
      <c r="M1205" s="43" t="n">
        <f aca="false">H1205*16.05*(1+'Chart of Accounts'!$E$67)</f>
        <v>79.757265</v>
      </c>
    </row>
    <row r="1206" customFormat="false" ht="15" hidden="false" customHeight="false" outlineLevel="0" collapsed="false">
      <c r="B1206" s="7" t="s">
        <v>1703</v>
      </c>
      <c r="C1206" s="39" t="n">
        <v>45720</v>
      </c>
      <c r="D1206" s="7" t="s">
        <v>301</v>
      </c>
      <c r="E1206" s="7" t="s">
        <v>157</v>
      </c>
      <c r="F1206" s="7" t="s">
        <v>209</v>
      </c>
      <c r="G1206" s="7" t="s">
        <v>502</v>
      </c>
      <c r="H1206" s="6" t="n">
        <v>1.06</v>
      </c>
      <c r="I1206" s="6" t="n">
        <v>0</v>
      </c>
      <c r="J1206" s="40" t="n">
        <f aca="false">H1206-I1206</f>
        <v>1.06</v>
      </c>
      <c r="K1206" s="41" t="n">
        <v>165</v>
      </c>
      <c r="L1206" s="42" t="n">
        <f aca="false">J1206*K1206</f>
        <v>174.9</v>
      </c>
      <c r="M1206" s="43" t="n">
        <f aca="false">H1206*73.58*(1+'Chart of Accounts'!$E$67)</f>
        <v>89.304046</v>
      </c>
    </row>
    <row r="1207" customFormat="false" ht="15" hidden="false" customHeight="false" outlineLevel="0" collapsed="false">
      <c r="B1207" s="7" t="s">
        <v>1704</v>
      </c>
      <c r="C1207" s="39" t="n">
        <v>45720</v>
      </c>
      <c r="D1207" s="7" t="s">
        <v>313</v>
      </c>
      <c r="E1207" s="7" t="s">
        <v>156</v>
      </c>
      <c r="F1207" s="7" t="s">
        <v>184</v>
      </c>
      <c r="G1207" s="7" t="s">
        <v>505</v>
      </c>
      <c r="H1207" s="6" t="n">
        <v>4.09</v>
      </c>
      <c r="I1207" s="6" t="n">
        <v>0</v>
      </c>
      <c r="J1207" s="40" t="n">
        <f aca="false">H1207-I1207</f>
        <v>4.09</v>
      </c>
      <c r="K1207" s="41" t="n">
        <v>34</v>
      </c>
      <c r="L1207" s="42" t="n">
        <f aca="false">J1207*K1207</f>
        <v>139.06</v>
      </c>
      <c r="M1207" s="43" t="n">
        <f aca="false">H1207*17.34*(1+'Chart of Accounts'!$E$67)</f>
        <v>81.204087</v>
      </c>
    </row>
    <row r="1208" customFormat="false" ht="15" hidden="false" customHeight="false" outlineLevel="0" collapsed="false">
      <c r="B1208" s="7" t="s">
        <v>1705</v>
      </c>
      <c r="C1208" s="39" t="n">
        <v>45720</v>
      </c>
      <c r="D1208" s="7" t="s">
        <v>319</v>
      </c>
      <c r="E1208" s="7" t="s">
        <v>157</v>
      </c>
      <c r="F1208" s="7" t="s">
        <v>234</v>
      </c>
      <c r="G1208" s="7" t="s">
        <v>502</v>
      </c>
      <c r="H1208" s="6" t="n">
        <v>1.03</v>
      </c>
      <c r="I1208" s="6" t="n">
        <v>0.052</v>
      </c>
      <c r="J1208" s="40" t="n">
        <f aca="false">H1208-I1208</f>
        <v>0.978</v>
      </c>
      <c r="K1208" s="41" t="n">
        <v>165</v>
      </c>
      <c r="L1208" s="42" t="n">
        <f aca="false">J1208*K1208</f>
        <v>161.37</v>
      </c>
      <c r="M1208" s="43" t="n">
        <f aca="false">H1208*89.53*(1+'Chart of Accounts'!$E$67)</f>
        <v>105.5872055</v>
      </c>
    </row>
    <row r="1209" customFormat="false" ht="15" hidden="false" customHeight="false" outlineLevel="0" collapsed="false">
      <c r="B1209" s="7" t="s">
        <v>1706</v>
      </c>
      <c r="C1209" s="39" t="n">
        <v>45720</v>
      </c>
      <c r="D1209" s="7" t="s">
        <v>321</v>
      </c>
      <c r="E1209" s="7" t="s">
        <v>154</v>
      </c>
      <c r="F1209" s="7" t="s">
        <v>218</v>
      </c>
      <c r="G1209" s="7" t="s">
        <v>505</v>
      </c>
      <c r="H1209" s="6" t="n">
        <v>3.82</v>
      </c>
      <c r="I1209" s="6" t="n">
        <v>0</v>
      </c>
      <c r="J1209" s="40" t="n">
        <f aca="false">H1209-I1209</f>
        <v>3.82</v>
      </c>
      <c r="K1209" s="41" t="n">
        <v>26.5</v>
      </c>
      <c r="L1209" s="42" t="n">
        <f aca="false">J1209*K1209</f>
        <v>101.23</v>
      </c>
      <c r="M1209" s="43" t="n">
        <f aca="false">H1209*16.19*(1+'Chart of Accounts'!$E$67)</f>
        <v>70.813441</v>
      </c>
    </row>
    <row r="1210" customFormat="false" ht="15" hidden="false" customHeight="false" outlineLevel="0" collapsed="false">
      <c r="B1210" s="7" t="s">
        <v>1707</v>
      </c>
      <c r="C1210" s="39" t="n">
        <v>45720</v>
      </c>
      <c r="D1210" s="7" t="s">
        <v>323</v>
      </c>
      <c r="E1210" s="7" t="s">
        <v>159</v>
      </c>
      <c r="F1210" s="7" t="s">
        <v>266</v>
      </c>
      <c r="G1210" s="7" t="s">
        <v>502</v>
      </c>
      <c r="H1210" s="6" t="n">
        <v>0.98</v>
      </c>
      <c r="I1210" s="6" t="n">
        <v>0.069</v>
      </c>
      <c r="J1210" s="40" t="n">
        <f aca="false">H1210-I1210</f>
        <v>0.911</v>
      </c>
      <c r="K1210" s="41" t="n">
        <v>135</v>
      </c>
      <c r="L1210" s="42" t="n">
        <f aca="false">J1210*K1210</f>
        <v>122.985</v>
      </c>
      <c r="M1210" s="43" t="n">
        <f aca="false">H1210*75.18*(1+'Chart of Accounts'!$E$67)</f>
        <v>84.359478</v>
      </c>
    </row>
    <row r="1211" customFormat="false" ht="15" hidden="false" customHeight="false" outlineLevel="0" collapsed="false">
      <c r="B1211" s="7" t="s">
        <v>1708</v>
      </c>
      <c r="C1211" s="39" t="n">
        <v>45720</v>
      </c>
      <c r="D1211" s="7" t="s">
        <v>327</v>
      </c>
      <c r="E1211" s="7" t="s">
        <v>157</v>
      </c>
      <c r="F1211" s="7" t="s">
        <v>228</v>
      </c>
      <c r="G1211" s="7" t="s">
        <v>502</v>
      </c>
      <c r="H1211" s="6" t="n">
        <v>1.04</v>
      </c>
      <c r="I1211" s="6" t="n">
        <v>0</v>
      </c>
      <c r="J1211" s="40" t="n">
        <f aca="false">H1211-I1211</f>
        <v>1.04</v>
      </c>
      <c r="K1211" s="41" t="n">
        <v>165</v>
      </c>
      <c r="L1211" s="42" t="n">
        <f aca="false">J1211*K1211</f>
        <v>171.6</v>
      </c>
      <c r="M1211" s="43" t="n">
        <f aca="false">H1211*51.07*(1+'Chart of Accounts'!$E$67)</f>
        <v>60.814156</v>
      </c>
    </row>
    <row r="1212" customFormat="false" ht="15" hidden="false" customHeight="false" outlineLevel="0" collapsed="false">
      <c r="B1212" s="7" t="s">
        <v>1709</v>
      </c>
      <c r="C1212" s="39" t="n">
        <v>45720</v>
      </c>
      <c r="D1212" s="7" t="s">
        <v>329</v>
      </c>
      <c r="E1212" s="7" t="s">
        <v>156</v>
      </c>
      <c r="F1212" s="7" t="s">
        <v>220</v>
      </c>
      <c r="G1212" s="7" t="s">
        <v>505</v>
      </c>
      <c r="H1212" s="6" t="n">
        <v>4.18</v>
      </c>
      <c r="I1212" s="6" t="n">
        <v>0</v>
      </c>
      <c r="J1212" s="40" t="n">
        <f aca="false">H1212-I1212</f>
        <v>4.18</v>
      </c>
      <c r="K1212" s="41" t="n">
        <v>34</v>
      </c>
      <c r="L1212" s="42" t="n">
        <f aca="false">J1212*K1212</f>
        <v>142.12</v>
      </c>
      <c r="M1212" s="43" t="n">
        <f aca="false">H1212*16.43*(1+'Chart of Accounts'!$E$67)</f>
        <v>78.635623</v>
      </c>
    </row>
    <row r="1213" customFormat="false" ht="15" hidden="false" customHeight="false" outlineLevel="0" collapsed="false">
      <c r="B1213" s="7" t="s">
        <v>1710</v>
      </c>
      <c r="C1213" s="39" t="n">
        <v>45720</v>
      </c>
      <c r="D1213" s="7" t="s">
        <v>359</v>
      </c>
      <c r="E1213" s="7" t="s">
        <v>156</v>
      </c>
      <c r="F1213" s="7" t="s">
        <v>212</v>
      </c>
      <c r="G1213" s="7" t="s">
        <v>505</v>
      </c>
      <c r="H1213" s="6" t="n">
        <v>3.88</v>
      </c>
      <c r="I1213" s="6" t="n">
        <v>0</v>
      </c>
      <c r="J1213" s="40" t="n">
        <f aca="false">H1213-I1213</f>
        <v>3.88</v>
      </c>
      <c r="K1213" s="41" t="n">
        <v>34</v>
      </c>
      <c r="L1213" s="42" t="n">
        <f aca="false">J1213*K1213</f>
        <v>131.92</v>
      </c>
      <c r="M1213" s="43" t="n">
        <f aca="false">H1213*16.71*(1+'Chart of Accounts'!$E$67)</f>
        <v>74.235846</v>
      </c>
    </row>
    <row r="1214" customFormat="false" ht="15" hidden="false" customHeight="false" outlineLevel="0" collapsed="false">
      <c r="B1214" s="7" t="s">
        <v>1711</v>
      </c>
      <c r="C1214" s="39" t="n">
        <v>45720</v>
      </c>
      <c r="D1214" s="7" t="s">
        <v>361</v>
      </c>
      <c r="E1214" s="7" t="s">
        <v>157</v>
      </c>
      <c r="F1214" s="7" t="s">
        <v>209</v>
      </c>
      <c r="G1214" s="7" t="s">
        <v>502</v>
      </c>
      <c r="H1214" s="6" t="n">
        <v>1.09</v>
      </c>
      <c r="I1214" s="6" t="n">
        <v>0</v>
      </c>
      <c r="J1214" s="40" t="n">
        <f aca="false">H1214-I1214</f>
        <v>1.09</v>
      </c>
      <c r="K1214" s="41" t="n">
        <v>165</v>
      </c>
      <c r="L1214" s="42" t="n">
        <f aca="false">J1214*K1214</f>
        <v>179.85</v>
      </c>
      <c r="M1214" s="43" t="n">
        <f aca="false">H1214*73.58*(1+'Chart of Accounts'!$E$67)</f>
        <v>91.831519</v>
      </c>
    </row>
    <row r="1215" customFormat="false" ht="15" hidden="false" customHeight="false" outlineLevel="0" collapsed="false">
      <c r="B1215" s="7" t="s">
        <v>1712</v>
      </c>
      <c r="C1215" s="39" t="n">
        <v>45720</v>
      </c>
      <c r="D1215" s="7" t="s">
        <v>381</v>
      </c>
      <c r="E1215" s="7" t="s">
        <v>157</v>
      </c>
      <c r="F1215" s="7" t="s">
        <v>234</v>
      </c>
      <c r="G1215" s="7" t="s">
        <v>502</v>
      </c>
      <c r="H1215" s="6" t="n">
        <v>0.9</v>
      </c>
      <c r="I1215" s="6" t="n">
        <v>0</v>
      </c>
      <c r="J1215" s="40" t="n">
        <f aca="false">H1215-I1215</f>
        <v>0.9</v>
      </c>
      <c r="K1215" s="41" t="n">
        <v>165</v>
      </c>
      <c r="L1215" s="42" t="n">
        <f aca="false">J1215*K1215</f>
        <v>148.5</v>
      </c>
      <c r="M1215" s="43" t="n">
        <f aca="false">H1215*89.53*(1+'Chart of Accounts'!$E$67)</f>
        <v>92.260665</v>
      </c>
    </row>
    <row r="1216" customFormat="false" ht="15" hidden="false" customHeight="false" outlineLevel="0" collapsed="false">
      <c r="B1216" s="7" t="s">
        <v>1713</v>
      </c>
      <c r="C1216" s="39" t="n">
        <v>45720</v>
      </c>
      <c r="D1216" s="7" t="s">
        <v>389</v>
      </c>
      <c r="E1216" s="7" t="s">
        <v>154</v>
      </c>
      <c r="F1216" s="7" t="s">
        <v>246</v>
      </c>
      <c r="G1216" s="7" t="s">
        <v>505</v>
      </c>
      <c r="H1216" s="6" t="n">
        <v>4.05</v>
      </c>
      <c r="I1216" s="6" t="n">
        <v>0</v>
      </c>
      <c r="J1216" s="40" t="n">
        <f aca="false">H1216-I1216</f>
        <v>4.05</v>
      </c>
      <c r="K1216" s="41" t="n">
        <v>26.5</v>
      </c>
      <c r="L1216" s="42" t="n">
        <f aca="false">J1216*K1216</f>
        <v>107.325</v>
      </c>
      <c r="M1216" s="43" t="n">
        <f aca="false">H1216*16.48*(1+'Chart of Accounts'!$E$67)</f>
        <v>76.42188</v>
      </c>
    </row>
    <row r="1217" customFormat="false" ht="15" hidden="false" customHeight="false" outlineLevel="0" collapsed="false">
      <c r="B1217" s="7" t="s">
        <v>1714</v>
      </c>
      <c r="C1217" s="39" t="n">
        <v>45720</v>
      </c>
      <c r="D1217" s="7" t="s">
        <v>391</v>
      </c>
      <c r="E1217" s="7" t="s">
        <v>156</v>
      </c>
      <c r="F1217" s="7" t="s">
        <v>222</v>
      </c>
      <c r="G1217" s="7" t="s">
        <v>505</v>
      </c>
      <c r="H1217" s="6" t="n">
        <v>3.69</v>
      </c>
      <c r="I1217" s="6" t="n">
        <v>0</v>
      </c>
      <c r="J1217" s="40" t="n">
        <f aca="false">H1217-I1217</f>
        <v>3.69</v>
      </c>
      <c r="K1217" s="41" t="n">
        <v>34</v>
      </c>
      <c r="L1217" s="42" t="n">
        <f aca="false">J1217*K1217</f>
        <v>125.46</v>
      </c>
      <c r="M1217" s="43" t="n">
        <f aca="false">H1217*17.84*(1+'Chart of Accounts'!$E$67)</f>
        <v>75.374892</v>
      </c>
    </row>
    <row r="1218" customFormat="false" ht="15" hidden="false" customHeight="false" outlineLevel="0" collapsed="false">
      <c r="B1218" s="7" t="s">
        <v>1715</v>
      </c>
      <c r="C1218" s="39" t="n">
        <v>45720</v>
      </c>
      <c r="D1218" s="7" t="s">
        <v>395</v>
      </c>
      <c r="E1218" s="7" t="s">
        <v>156</v>
      </c>
      <c r="F1218" s="7" t="s">
        <v>242</v>
      </c>
      <c r="G1218" s="7" t="s">
        <v>505</v>
      </c>
      <c r="H1218" s="6" t="n">
        <v>4.03</v>
      </c>
      <c r="I1218" s="6" t="n">
        <v>0</v>
      </c>
      <c r="J1218" s="40" t="n">
        <f aca="false">H1218-I1218</f>
        <v>4.03</v>
      </c>
      <c r="K1218" s="41" t="n">
        <v>34</v>
      </c>
      <c r="L1218" s="42" t="n">
        <f aca="false">J1218*K1218</f>
        <v>137.02</v>
      </c>
      <c r="M1218" s="43" t="n">
        <f aca="false">H1218*17.99*(1+'Chart of Accounts'!$E$67)</f>
        <v>83.0121565</v>
      </c>
    </row>
    <row r="1219" customFormat="false" ht="15" hidden="false" customHeight="false" outlineLevel="0" collapsed="false">
      <c r="B1219" s="7" t="s">
        <v>1716</v>
      </c>
      <c r="C1219" s="39" t="n">
        <v>45720</v>
      </c>
      <c r="D1219" s="7" t="s">
        <v>397</v>
      </c>
      <c r="E1219" s="7" t="s">
        <v>159</v>
      </c>
      <c r="F1219" s="7" t="s">
        <v>203</v>
      </c>
      <c r="G1219" s="7" t="s">
        <v>502</v>
      </c>
      <c r="H1219" s="6" t="n">
        <v>0.99</v>
      </c>
      <c r="I1219" s="6" t="n">
        <v>0</v>
      </c>
      <c r="J1219" s="40" t="n">
        <f aca="false">H1219-I1219</f>
        <v>0.99</v>
      </c>
      <c r="K1219" s="41" t="n">
        <v>135</v>
      </c>
      <c r="L1219" s="42" t="n">
        <f aca="false">J1219*K1219</f>
        <v>133.65</v>
      </c>
      <c r="M1219" s="43" t="n">
        <f aca="false">H1219*49.43*(1+'Chart of Accounts'!$E$67)</f>
        <v>56.0313765</v>
      </c>
    </row>
    <row r="1220" customFormat="false" ht="15" hidden="false" customHeight="false" outlineLevel="0" collapsed="false">
      <c r="B1220" s="7" t="s">
        <v>1717</v>
      </c>
      <c r="C1220" s="39" t="n">
        <v>45720</v>
      </c>
      <c r="D1220" s="7" t="s">
        <v>401</v>
      </c>
      <c r="E1220" s="7" t="s">
        <v>156</v>
      </c>
      <c r="F1220" s="7" t="s">
        <v>254</v>
      </c>
      <c r="G1220" s="7" t="s">
        <v>505</v>
      </c>
      <c r="H1220" s="6" t="n">
        <v>3.79</v>
      </c>
      <c r="I1220" s="6" t="n">
        <v>0</v>
      </c>
      <c r="J1220" s="40" t="n">
        <f aca="false">H1220-I1220</f>
        <v>3.79</v>
      </c>
      <c r="K1220" s="41" t="n">
        <v>34</v>
      </c>
      <c r="L1220" s="42" t="n">
        <f aca="false">J1220*K1220</f>
        <v>128.86</v>
      </c>
      <c r="M1220" s="43" t="n">
        <f aca="false">H1220*17.1*(1+'Chart of Accounts'!$E$67)</f>
        <v>74.206305</v>
      </c>
    </row>
    <row r="1221" customFormat="false" ht="15" hidden="false" customHeight="false" outlineLevel="0" collapsed="false">
      <c r="B1221" s="7" t="s">
        <v>1718</v>
      </c>
      <c r="C1221" s="39" t="n">
        <v>45720</v>
      </c>
      <c r="D1221" s="7" t="s">
        <v>407</v>
      </c>
      <c r="E1221" s="7" t="s">
        <v>159</v>
      </c>
      <c r="F1221" s="7" t="s">
        <v>260</v>
      </c>
      <c r="G1221" s="7" t="s">
        <v>502</v>
      </c>
      <c r="H1221" s="6" t="n">
        <v>1.04</v>
      </c>
      <c r="I1221" s="6" t="n">
        <v>0</v>
      </c>
      <c r="J1221" s="40" t="n">
        <f aca="false">H1221-I1221</f>
        <v>1.04</v>
      </c>
      <c r="K1221" s="41" t="n">
        <v>135</v>
      </c>
      <c r="L1221" s="42" t="n">
        <f aca="false">J1221*K1221</f>
        <v>140.4</v>
      </c>
      <c r="M1221" s="43" t="n">
        <f aca="false">H1221*79.8*(1+'Chart of Accounts'!$E$67)</f>
        <v>95.02584</v>
      </c>
    </row>
    <row r="1222" customFormat="false" ht="15" hidden="false" customHeight="false" outlineLevel="0" collapsed="false">
      <c r="B1222" s="7" t="s">
        <v>1719</v>
      </c>
      <c r="C1222" s="39" t="n">
        <v>45721</v>
      </c>
      <c r="D1222" s="7" t="s">
        <v>280</v>
      </c>
      <c r="E1222" s="7" t="s">
        <v>157</v>
      </c>
      <c r="F1222" s="7" t="s">
        <v>187</v>
      </c>
      <c r="G1222" s="7" t="s">
        <v>502</v>
      </c>
      <c r="H1222" s="6" t="n">
        <v>1</v>
      </c>
      <c r="I1222" s="6" t="n">
        <v>0</v>
      </c>
      <c r="J1222" s="40" t="n">
        <f aca="false">H1222-I1222</f>
        <v>1</v>
      </c>
      <c r="K1222" s="41" t="n">
        <v>165</v>
      </c>
      <c r="L1222" s="42" t="n">
        <f aca="false">J1222*K1222</f>
        <v>165</v>
      </c>
      <c r="M1222" s="43" t="n">
        <f aca="false">H1222*66.48*(1+'Chart of Accounts'!$E$67)</f>
        <v>76.1196</v>
      </c>
    </row>
    <row r="1223" customFormat="false" ht="15" hidden="false" customHeight="false" outlineLevel="0" collapsed="false">
      <c r="B1223" s="7" t="s">
        <v>1720</v>
      </c>
      <c r="C1223" s="39" t="n">
        <v>45721</v>
      </c>
      <c r="D1223" s="7" t="s">
        <v>286</v>
      </c>
      <c r="E1223" s="7" t="s">
        <v>157</v>
      </c>
      <c r="F1223" s="7" t="s">
        <v>228</v>
      </c>
      <c r="G1223" s="7" t="s">
        <v>502</v>
      </c>
      <c r="H1223" s="6" t="n">
        <v>1.06</v>
      </c>
      <c r="I1223" s="6" t="n">
        <v>0</v>
      </c>
      <c r="J1223" s="40" t="n">
        <f aca="false">H1223-I1223</f>
        <v>1.06</v>
      </c>
      <c r="K1223" s="41" t="n">
        <v>165</v>
      </c>
      <c r="L1223" s="42" t="n">
        <f aca="false">J1223*K1223</f>
        <v>174.9</v>
      </c>
      <c r="M1223" s="43" t="n">
        <f aca="false">H1223*51.07*(1+'Chart of Accounts'!$E$67)</f>
        <v>61.983659</v>
      </c>
    </row>
    <row r="1224" customFormat="false" ht="15" hidden="false" customHeight="false" outlineLevel="0" collapsed="false">
      <c r="B1224" s="7" t="s">
        <v>1721</v>
      </c>
      <c r="C1224" s="39" t="n">
        <v>45721</v>
      </c>
      <c r="D1224" s="7" t="s">
        <v>288</v>
      </c>
      <c r="E1224" s="7" t="s">
        <v>156</v>
      </c>
      <c r="F1224" s="7" t="s">
        <v>191</v>
      </c>
      <c r="G1224" s="7" t="s">
        <v>505</v>
      </c>
      <c r="H1224" s="6" t="n">
        <v>4.24</v>
      </c>
      <c r="I1224" s="6" t="n">
        <v>0</v>
      </c>
      <c r="J1224" s="40" t="n">
        <f aca="false">H1224-I1224</f>
        <v>4.24</v>
      </c>
      <c r="K1224" s="41" t="n">
        <v>34</v>
      </c>
      <c r="L1224" s="42" t="n">
        <f aca="false">J1224*K1224</f>
        <v>144.16</v>
      </c>
      <c r="M1224" s="43" t="n">
        <f aca="false">H1224*16.05*(1+'Chart of Accounts'!$E$67)</f>
        <v>77.91954</v>
      </c>
    </row>
    <row r="1225" customFormat="false" ht="15" hidden="false" customHeight="false" outlineLevel="0" collapsed="false">
      <c r="B1225" s="7" t="s">
        <v>1722</v>
      </c>
      <c r="C1225" s="39" t="n">
        <v>45721</v>
      </c>
      <c r="D1225" s="7" t="s">
        <v>291</v>
      </c>
      <c r="E1225" s="7" t="s">
        <v>154</v>
      </c>
      <c r="F1225" s="7" t="s">
        <v>194</v>
      </c>
      <c r="G1225" s="7" t="s">
        <v>505</v>
      </c>
      <c r="H1225" s="6" t="n">
        <v>4.7</v>
      </c>
      <c r="I1225" s="6" t="n">
        <v>0</v>
      </c>
      <c r="J1225" s="40" t="n">
        <f aca="false">H1225-I1225</f>
        <v>4.7</v>
      </c>
      <c r="K1225" s="41" t="n">
        <v>26.5</v>
      </c>
      <c r="L1225" s="42" t="n">
        <f aca="false">J1225*K1225</f>
        <v>124.55</v>
      </c>
      <c r="M1225" s="43" t="n">
        <f aca="false">H1225*16*(1+'Chart of Accounts'!$E$67)</f>
        <v>86.104</v>
      </c>
    </row>
    <row r="1226" customFormat="false" ht="15" hidden="false" customHeight="false" outlineLevel="0" collapsed="false">
      <c r="B1226" s="7" t="s">
        <v>1723</v>
      </c>
      <c r="C1226" s="39" t="n">
        <v>45721</v>
      </c>
      <c r="D1226" s="7" t="s">
        <v>305</v>
      </c>
      <c r="E1226" s="7" t="s">
        <v>154</v>
      </c>
      <c r="F1226" s="7" t="s">
        <v>205</v>
      </c>
      <c r="G1226" s="7" t="s">
        <v>505</v>
      </c>
      <c r="H1226" s="6" t="n">
        <v>3.83</v>
      </c>
      <c r="I1226" s="6" t="n">
        <v>0</v>
      </c>
      <c r="J1226" s="40" t="n">
        <f aca="false">H1226-I1226</f>
        <v>3.83</v>
      </c>
      <c r="K1226" s="41" t="n">
        <v>26.5</v>
      </c>
      <c r="L1226" s="42" t="n">
        <f aca="false">J1226*K1226</f>
        <v>101.495</v>
      </c>
      <c r="M1226" s="43" t="n">
        <f aca="false">H1226*16.36*(1+'Chart of Accounts'!$E$67)</f>
        <v>71.744326</v>
      </c>
    </row>
    <row r="1227" customFormat="false" ht="15" hidden="false" customHeight="false" outlineLevel="0" collapsed="false">
      <c r="B1227" s="7" t="s">
        <v>1724</v>
      </c>
      <c r="C1227" s="39" t="n">
        <v>45721</v>
      </c>
      <c r="D1227" s="7" t="s">
        <v>309</v>
      </c>
      <c r="E1227" s="7" t="s">
        <v>159</v>
      </c>
      <c r="F1227" s="7" t="s">
        <v>252</v>
      </c>
      <c r="G1227" s="7" t="s">
        <v>502</v>
      </c>
      <c r="H1227" s="6" t="n">
        <v>0.97</v>
      </c>
      <c r="I1227" s="6" t="n">
        <v>0</v>
      </c>
      <c r="J1227" s="40" t="n">
        <f aca="false">H1227-I1227</f>
        <v>0.97</v>
      </c>
      <c r="K1227" s="41" t="n">
        <v>135</v>
      </c>
      <c r="L1227" s="42" t="n">
        <f aca="false">J1227*K1227</f>
        <v>130.95</v>
      </c>
      <c r="M1227" s="43" t="n">
        <f aca="false">H1227*57.54*(1+'Chart of Accounts'!$E$67)</f>
        <v>63.906801</v>
      </c>
    </row>
    <row r="1228" customFormat="false" ht="15" hidden="false" customHeight="false" outlineLevel="0" collapsed="false">
      <c r="B1228" s="7" t="s">
        <v>1725</v>
      </c>
      <c r="C1228" s="39" t="n">
        <v>45721</v>
      </c>
      <c r="D1228" s="7" t="s">
        <v>313</v>
      </c>
      <c r="E1228" s="7" t="s">
        <v>156</v>
      </c>
      <c r="F1228" s="7" t="s">
        <v>184</v>
      </c>
      <c r="G1228" s="7" t="s">
        <v>505</v>
      </c>
      <c r="H1228" s="6" t="n">
        <v>3.85</v>
      </c>
      <c r="I1228" s="6" t="n">
        <v>0</v>
      </c>
      <c r="J1228" s="40" t="n">
        <f aca="false">H1228-I1228</f>
        <v>3.85</v>
      </c>
      <c r="K1228" s="41" t="n">
        <v>34</v>
      </c>
      <c r="L1228" s="42" t="n">
        <f aca="false">J1228*K1228</f>
        <v>130.9</v>
      </c>
      <c r="M1228" s="43" t="n">
        <f aca="false">H1228*17.34*(1+'Chart of Accounts'!$E$67)</f>
        <v>76.439055</v>
      </c>
    </row>
    <row r="1229" customFormat="false" ht="15" hidden="false" customHeight="false" outlineLevel="0" collapsed="false">
      <c r="B1229" s="7" t="s">
        <v>1726</v>
      </c>
      <c r="C1229" s="39" t="n">
        <v>45721</v>
      </c>
      <c r="D1229" s="7" t="s">
        <v>321</v>
      </c>
      <c r="E1229" s="7" t="s">
        <v>154</v>
      </c>
      <c r="F1229" s="7" t="s">
        <v>218</v>
      </c>
      <c r="G1229" s="7" t="s">
        <v>505</v>
      </c>
      <c r="H1229" s="6" t="n">
        <v>3.75</v>
      </c>
      <c r="I1229" s="6" t="n">
        <v>0</v>
      </c>
      <c r="J1229" s="40" t="n">
        <f aca="false">H1229-I1229</f>
        <v>3.75</v>
      </c>
      <c r="K1229" s="41" t="n">
        <v>26.5</v>
      </c>
      <c r="L1229" s="42" t="n">
        <f aca="false">J1229*K1229</f>
        <v>99.375</v>
      </c>
      <c r="M1229" s="43" t="n">
        <f aca="false">H1229*16.19*(1+'Chart of Accounts'!$E$67)</f>
        <v>69.5158125</v>
      </c>
    </row>
    <row r="1230" customFormat="false" ht="15" hidden="false" customHeight="false" outlineLevel="0" collapsed="false">
      <c r="B1230" s="7" t="s">
        <v>1727</v>
      </c>
      <c r="C1230" s="39" t="n">
        <v>45721</v>
      </c>
      <c r="D1230" s="7" t="s">
        <v>329</v>
      </c>
      <c r="E1230" s="7" t="s">
        <v>156</v>
      </c>
      <c r="F1230" s="7" t="s">
        <v>220</v>
      </c>
      <c r="G1230" s="7" t="s">
        <v>505</v>
      </c>
      <c r="H1230" s="6" t="n">
        <v>3.75</v>
      </c>
      <c r="I1230" s="6" t="n">
        <v>0</v>
      </c>
      <c r="J1230" s="40" t="n">
        <f aca="false">H1230-I1230</f>
        <v>3.75</v>
      </c>
      <c r="K1230" s="41" t="n">
        <v>34</v>
      </c>
      <c r="L1230" s="42" t="n">
        <f aca="false">J1230*K1230</f>
        <v>127.5</v>
      </c>
      <c r="M1230" s="43" t="n">
        <f aca="false">H1230*16.43*(1+'Chart of Accounts'!$E$67)</f>
        <v>70.5463125</v>
      </c>
    </row>
    <row r="1231" customFormat="false" ht="15" hidden="false" customHeight="false" outlineLevel="0" collapsed="false">
      <c r="B1231" s="7" t="s">
        <v>1728</v>
      </c>
      <c r="C1231" s="39" t="n">
        <v>45721</v>
      </c>
      <c r="D1231" s="7" t="s">
        <v>335</v>
      </c>
      <c r="E1231" s="7" t="s">
        <v>154</v>
      </c>
      <c r="F1231" s="7" t="s">
        <v>177</v>
      </c>
      <c r="G1231" s="7" t="s">
        <v>505</v>
      </c>
      <c r="H1231" s="6" t="n">
        <v>3.79</v>
      </c>
      <c r="I1231" s="6" t="n">
        <v>0</v>
      </c>
      <c r="J1231" s="40" t="n">
        <f aca="false">H1231-I1231</f>
        <v>3.79</v>
      </c>
      <c r="K1231" s="41" t="n">
        <v>26.5</v>
      </c>
      <c r="L1231" s="42" t="n">
        <f aca="false">J1231*K1231</f>
        <v>100.435</v>
      </c>
      <c r="M1231" s="43" t="n">
        <f aca="false">H1231*14.56*(1+'Chart of Accounts'!$E$67)</f>
        <v>63.183848</v>
      </c>
    </row>
    <row r="1232" customFormat="false" ht="15" hidden="false" customHeight="false" outlineLevel="0" collapsed="false">
      <c r="B1232" s="7" t="s">
        <v>1729</v>
      </c>
      <c r="C1232" s="39" t="n">
        <v>45721</v>
      </c>
      <c r="D1232" s="7" t="s">
        <v>339</v>
      </c>
      <c r="E1232" s="7" t="s">
        <v>154</v>
      </c>
      <c r="F1232" s="7" t="s">
        <v>242</v>
      </c>
      <c r="G1232" s="7" t="s">
        <v>505</v>
      </c>
      <c r="H1232" s="6" t="n">
        <v>3.56</v>
      </c>
      <c r="I1232" s="6" t="n">
        <v>0</v>
      </c>
      <c r="J1232" s="40" t="n">
        <f aca="false">H1232-I1232</f>
        <v>3.56</v>
      </c>
      <c r="K1232" s="41" t="n">
        <v>26.5</v>
      </c>
      <c r="L1232" s="42" t="n">
        <f aca="false">J1232*K1232</f>
        <v>94.34</v>
      </c>
      <c r="M1232" s="43" t="n">
        <f aca="false">H1232*17.99*(1+'Chart of Accounts'!$E$67)</f>
        <v>73.330838</v>
      </c>
    </row>
    <row r="1233" customFormat="false" ht="15" hidden="false" customHeight="false" outlineLevel="0" collapsed="false">
      <c r="B1233" s="7" t="s">
        <v>1730</v>
      </c>
      <c r="C1233" s="39" t="n">
        <v>45721</v>
      </c>
      <c r="D1233" s="7" t="s">
        <v>353</v>
      </c>
      <c r="E1233" s="7" t="s">
        <v>154</v>
      </c>
      <c r="F1233" s="7" t="s">
        <v>254</v>
      </c>
      <c r="G1233" s="7" t="s">
        <v>505</v>
      </c>
      <c r="H1233" s="6" t="n">
        <v>3.52</v>
      </c>
      <c r="I1233" s="6" t="n">
        <v>0.106</v>
      </c>
      <c r="J1233" s="40" t="n">
        <f aca="false">H1233-I1233</f>
        <v>3.414</v>
      </c>
      <c r="K1233" s="41" t="n">
        <v>26.5</v>
      </c>
      <c r="L1233" s="42" t="n">
        <f aca="false">J1233*K1233</f>
        <v>90.471</v>
      </c>
      <c r="M1233" s="43" t="n">
        <f aca="false">H1233*17.1*(1+'Chart of Accounts'!$E$67)</f>
        <v>68.91984</v>
      </c>
    </row>
    <row r="1234" customFormat="false" ht="15" hidden="false" customHeight="false" outlineLevel="0" collapsed="false">
      <c r="B1234" s="7" t="s">
        <v>1731</v>
      </c>
      <c r="C1234" s="39" t="n">
        <v>45721</v>
      </c>
      <c r="D1234" s="7" t="s">
        <v>355</v>
      </c>
      <c r="E1234" s="7" t="s">
        <v>154</v>
      </c>
      <c r="F1234" s="7" t="s">
        <v>201</v>
      </c>
      <c r="G1234" s="7" t="s">
        <v>505</v>
      </c>
      <c r="H1234" s="6" t="n">
        <v>3.64</v>
      </c>
      <c r="I1234" s="6" t="n">
        <v>0.109</v>
      </c>
      <c r="J1234" s="40" t="n">
        <f aca="false">H1234-I1234</f>
        <v>3.531</v>
      </c>
      <c r="K1234" s="41" t="n">
        <v>26.5</v>
      </c>
      <c r="L1234" s="42" t="n">
        <f aca="false">J1234*K1234</f>
        <v>93.5715</v>
      </c>
      <c r="M1234" s="43" t="n">
        <f aca="false">H1234*15.19*(1+'Chart of Accounts'!$E$67)</f>
        <v>63.308882</v>
      </c>
    </row>
    <row r="1235" customFormat="false" ht="15" hidden="false" customHeight="false" outlineLevel="0" collapsed="false">
      <c r="B1235" s="7" t="s">
        <v>1732</v>
      </c>
      <c r="C1235" s="39" t="n">
        <v>45721</v>
      </c>
      <c r="D1235" s="7" t="s">
        <v>357</v>
      </c>
      <c r="E1235" s="7" t="s">
        <v>154</v>
      </c>
      <c r="F1235" s="7" t="s">
        <v>207</v>
      </c>
      <c r="G1235" s="7" t="s">
        <v>505</v>
      </c>
      <c r="H1235" s="6" t="n">
        <v>3.57</v>
      </c>
      <c r="I1235" s="6" t="n">
        <v>0</v>
      </c>
      <c r="J1235" s="40" t="n">
        <f aca="false">H1235-I1235</f>
        <v>3.57</v>
      </c>
      <c r="K1235" s="41" t="n">
        <v>26.5</v>
      </c>
      <c r="L1235" s="42" t="n">
        <f aca="false">J1235*K1235</f>
        <v>94.605</v>
      </c>
      <c r="M1235" s="43" t="n">
        <f aca="false">H1235*16.65*(1+'Chart of Accounts'!$E$67)</f>
        <v>68.0593725</v>
      </c>
    </row>
    <row r="1236" customFormat="false" ht="15" hidden="false" customHeight="false" outlineLevel="0" collapsed="false">
      <c r="B1236" s="7" t="s">
        <v>1733</v>
      </c>
      <c r="C1236" s="39" t="n">
        <v>45721</v>
      </c>
      <c r="D1236" s="7" t="s">
        <v>359</v>
      </c>
      <c r="E1236" s="7" t="s">
        <v>156</v>
      </c>
      <c r="F1236" s="7" t="s">
        <v>212</v>
      </c>
      <c r="G1236" s="7" t="s">
        <v>505</v>
      </c>
      <c r="H1236" s="6" t="n">
        <v>3.9</v>
      </c>
      <c r="I1236" s="6" t="n">
        <v>0</v>
      </c>
      <c r="J1236" s="40" t="n">
        <f aca="false">H1236-I1236</f>
        <v>3.9</v>
      </c>
      <c r="K1236" s="41" t="n">
        <v>34</v>
      </c>
      <c r="L1236" s="42" t="n">
        <f aca="false">J1236*K1236</f>
        <v>132.6</v>
      </c>
      <c r="M1236" s="43" t="n">
        <f aca="false">H1236*16.71*(1+'Chart of Accounts'!$E$67)</f>
        <v>74.618505</v>
      </c>
    </row>
    <row r="1237" customFormat="false" ht="15" hidden="false" customHeight="false" outlineLevel="0" collapsed="false">
      <c r="B1237" s="7" t="s">
        <v>1734</v>
      </c>
      <c r="C1237" s="39" t="n">
        <v>45721</v>
      </c>
      <c r="D1237" s="7" t="s">
        <v>371</v>
      </c>
      <c r="E1237" s="7" t="s">
        <v>154</v>
      </c>
      <c r="F1237" s="7" t="s">
        <v>232</v>
      </c>
      <c r="G1237" s="7" t="s">
        <v>505</v>
      </c>
      <c r="H1237" s="6" t="n">
        <v>5.02</v>
      </c>
      <c r="I1237" s="6" t="n">
        <v>0</v>
      </c>
      <c r="J1237" s="40" t="n">
        <f aca="false">H1237-I1237</f>
        <v>5.02</v>
      </c>
      <c r="K1237" s="41" t="n">
        <v>26.5</v>
      </c>
      <c r="L1237" s="42" t="n">
        <f aca="false">J1237*K1237</f>
        <v>133.03</v>
      </c>
      <c r="M1237" s="43" t="n">
        <f aca="false">H1237*16.17*(1+'Chart of Accounts'!$E$67)</f>
        <v>92.943543</v>
      </c>
    </row>
    <row r="1238" customFormat="false" ht="15" hidden="false" customHeight="false" outlineLevel="0" collapsed="false">
      <c r="B1238" s="7" t="s">
        <v>1735</v>
      </c>
      <c r="C1238" s="39" t="n">
        <v>45721</v>
      </c>
      <c r="D1238" s="7" t="s">
        <v>379</v>
      </c>
      <c r="E1238" s="7" t="s">
        <v>156</v>
      </c>
      <c r="F1238" s="7" t="s">
        <v>224</v>
      </c>
      <c r="G1238" s="7" t="s">
        <v>505</v>
      </c>
      <c r="H1238" s="6" t="n">
        <v>4.37</v>
      </c>
      <c r="I1238" s="6" t="n">
        <v>0</v>
      </c>
      <c r="J1238" s="40" t="n">
        <f aca="false">H1238-I1238</f>
        <v>4.37</v>
      </c>
      <c r="K1238" s="41" t="n">
        <v>34</v>
      </c>
      <c r="L1238" s="42" t="n">
        <f aca="false">J1238*K1238</f>
        <v>148.58</v>
      </c>
      <c r="M1238" s="43" t="n">
        <f aca="false">H1238*14.93*(1+'Chart of Accounts'!$E$67)</f>
        <v>74.7044945</v>
      </c>
    </row>
    <row r="1239" customFormat="false" ht="15" hidden="false" customHeight="false" outlineLevel="0" collapsed="false">
      <c r="B1239" s="7" t="s">
        <v>1736</v>
      </c>
      <c r="C1239" s="39" t="n">
        <v>45721</v>
      </c>
      <c r="D1239" s="7" t="s">
        <v>389</v>
      </c>
      <c r="E1239" s="7" t="s">
        <v>154</v>
      </c>
      <c r="F1239" s="7" t="s">
        <v>246</v>
      </c>
      <c r="G1239" s="7" t="s">
        <v>505</v>
      </c>
      <c r="H1239" s="6" t="n">
        <v>3.92</v>
      </c>
      <c r="I1239" s="6" t="n">
        <v>0.118</v>
      </c>
      <c r="J1239" s="40" t="n">
        <f aca="false">H1239-I1239</f>
        <v>3.802</v>
      </c>
      <c r="K1239" s="41" t="n">
        <v>26.5</v>
      </c>
      <c r="L1239" s="42" t="n">
        <f aca="false">J1239*K1239</f>
        <v>100.753</v>
      </c>
      <c r="M1239" s="43" t="n">
        <f aca="false">H1239*16.48*(1+'Chart of Accounts'!$E$67)</f>
        <v>73.968832</v>
      </c>
    </row>
    <row r="1240" customFormat="false" ht="15" hidden="false" customHeight="false" outlineLevel="0" collapsed="false">
      <c r="B1240" s="7" t="s">
        <v>1737</v>
      </c>
      <c r="C1240" s="39" t="n">
        <v>45721</v>
      </c>
      <c r="D1240" s="7" t="s">
        <v>391</v>
      </c>
      <c r="E1240" s="7" t="s">
        <v>156</v>
      </c>
      <c r="F1240" s="7" t="s">
        <v>222</v>
      </c>
      <c r="G1240" s="7" t="s">
        <v>505</v>
      </c>
      <c r="H1240" s="6" t="n">
        <v>4.02</v>
      </c>
      <c r="I1240" s="6" t="n">
        <v>0</v>
      </c>
      <c r="J1240" s="40" t="n">
        <f aca="false">H1240-I1240</f>
        <v>4.02</v>
      </c>
      <c r="K1240" s="41" t="n">
        <v>34</v>
      </c>
      <c r="L1240" s="42" t="n">
        <f aca="false">J1240*K1240</f>
        <v>136.68</v>
      </c>
      <c r="M1240" s="43" t="n">
        <f aca="false">H1240*17.84*(1+'Chart of Accounts'!$E$67)</f>
        <v>82.115736</v>
      </c>
    </row>
    <row r="1241" customFormat="false" ht="15" hidden="false" customHeight="false" outlineLevel="0" collapsed="false">
      <c r="B1241" s="7" t="s">
        <v>1738</v>
      </c>
      <c r="C1241" s="39" t="n">
        <v>45721</v>
      </c>
      <c r="D1241" s="7" t="s">
        <v>393</v>
      </c>
      <c r="E1241" s="7" t="s">
        <v>157</v>
      </c>
      <c r="F1241" s="7" t="s">
        <v>203</v>
      </c>
      <c r="G1241" s="7" t="s">
        <v>502</v>
      </c>
      <c r="H1241" s="6" t="n">
        <v>0.91</v>
      </c>
      <c r="I1241" s="6" t="n">
        <v>0</v>
      </c>
      <c r="J1241" s="40" t="n">
        <f aca="false">H1241-I1241</f>
        <v>0.91</v>
      </c>
      <c r="K1241" s="41" t="n">
        <v>165</v>
      </c>
      <c r="L1241" s="42" t="n">
        <f aca="false">J1241*K1241</f>
        <v>150.15</v>
      </c>
      <c r="M1241" s="43" t="n">
        <f aca="false">H1241*49.43*(1+'Chart of Accounts'!$E$67)</f>
        <v>51.5035885</v>
      </c>
    </row>
    <row r="1242" customFormat="false" ht="15" hidden="false" customHeight="false" outlineLevel="0" collapsed="false">
      <c r="B1242" s="7" t="s">
        <v>1739</v>
      </c>
      <c r="C1242" s="39" t="n">
        <v>45721</v>
      </c>
      <c r="D1242" s="7" t="s">
        <v>395</v>
      </c>
      <c r="E1242" s="7" t="s">
        <v>156</v>
      </c>
      <c r="F1242" s="7" t="s">
        <v>242</v>
      </c>
      <c r="G1242" s="7" t="s">
        <v>505</v>
      </c>
      <c r="H1242" s="6" t="n">
        <v>4.22</v>
      </c>
      <c r="I1242" s="6" t="n">
        <v>0</v>
      </c>
      <c r="J1242" s="40" t="n">
        <f aca="false">H1242-I1242</f>
        <v>4.22</v>
      </c>
      <c r="K1242" s="41" t="n">
        <v>34</v>
      </c>
      <c r="L1242" s="42" t="n">
        <f aca="false">J1242*K1242</f>
        <v>143.48</v>
      </c>
      <c r="M1242" s="43" t="n">
        <f aca="false">H1242*17.99*(1+'Chart of Accounts'!$E$67)</f>
        <v>86.925881</v>
      </c>
    </row>
    <row r="1243" customFormat="false" ht="15" hidden="false" customHeight="false" outlineLevel="0" collapsed="false">
      <c r="B1243" s="7" t="s">
        <v>1740</v>
      </c>
      <c r="C1243" s="39" t="n">
        <v>45721</v>
      </c>
      <c r="D1243" s="7" t="s">
        <v>399</v>
      </c>
      <c r="E1243" s="7" t="s">
        <v>154</v>
      </c>
      <c r="F1243" s="7" t="s">
        <v>262</v>
      </c>
      <c r="G1243" s="7" t="s">
        <v>505</v>
      </c>
      <c r="H1243" s="6" t="n">
        <v>3.35</v>
      </c>
      <c r="I1243" s="6" t="n">
        <v>0.1</v>
      </c>
      <c r="J1243" s="40" t="n">
        <f aca="false">H1243-I1243</f>
        <v>3.25</v>
      </c>
      <c r="K1243" s="41" t="n">
        <v>26.5</v>
      </c>
      <c r="L1243" s="42" t="n">
        <f aca="false">J1243*K1243</f>
        <v>86.125</v>
      </c>
      <c r="M1243" s="43" t="n">
        <f aca="false">H1243*16.02*(1+'Chart of Accounts'!$E$67)</f>
        <v>61.448715</v>
      </c>
    </row>
    <row r="1244" customFormat="false" ht="15" hidden="false" customHeight="false" outlineLevel="0" collapsed="false">
      <c r="B1244" s="7" t="s">
        <v>1741</v>
      </c>
      <c r="C1244" s="39" t="n">
        <v>45721</v>
      </c>
      <c r="D1244" s="7" t="s">
        <v>401</v>
      </c>
      <c r="E1244" s="7" t="s">
        <v>156</v>
      </c>
      <c r="F1244" s="7" t="s">
        <v>254</v>
      </c>
      <c r="G1244" s="7" t="s">
        <v>505</v>
      </c>
      <c r="H1244" s="6" t="n">
        <v>4.14</v>
      </c>
      <c r="I1244" s="6" t="n">
        <v>0</v>
      </c>
      <c r="J1244" s="40" t="n">
        <f aca="false">H1244-I1244</f>
        <v>4.14</v>
      </c>
      <c r="K1244" s="41" t="n">
        <v>34</v>
      </c>
      <c r="L1244" s="42" t="n">
        <f aca="false">J1244*K1244</f>
        <v>140.76</v>
      </c>
      <c r="M1244" s="43" t="n">
        <f aca="false">H1244*17.1*(1+'Chart of Accounts'!$E$67)</f>
        <v>81.05913</v>
      </c>
    </row>
    <row r="1245" customFormat="false" ht="15" hidden="false" customHeight="false" outlineLevel="0" collapsed="false">
      <c r="B1245" s="7" t="s">
        <v>1742</v>
      </c>
      <c r="C1245" s="39" t="n">
        <v>45721</v>
      </c>
      <c r="D1245" s="7" t="s">
        <v>409</v>
      </c>
      <c r="E1245" s="7" t="s">
        <v>154</v>
      </c>
      <c r="F1245" s="7" t="s">
        <v>214</v>
      </c>
      <c r="G1245" s="7" t="s">
        <v>505</v>
      </c>
      <c r="H1245" s="6" t="n">
        <v>3.24</v>
      </c>
      <c r="I1245" s="6" t="n">
        <v>0</v>
      </c>
      <c r="J1245" s="40" t="n">
        <f aca="false">H1245-I1245</f>
        <v>3.24</v>
      </c>
      <c r="K1245" s="41" t="n">
        <v>26.5</v>
      </c>
      <c r="L1245" s="42" t="n">
        <f aca="false">J1245*K1245</f>
        <v>85.86</v>
      </c>
      <c r="M1245" s="43" t="n">
        <f aca="false">H1245*15.67*(1+'Chart of Accounts'!$E$67)</f>
        <v>58.132566</v>
      </c>
    </row>
    <row r="1246" customFormat="false" ht="15" hidden="false" customHeight="false" outlineLevel="0" collapsed="false">
      <c r="B1246" s="7" t="s">
        <v>1743</v>
      </c>
      <c r="C1246" s="39" t="n">
        <v>45721</v>
      </c>
      <c r="D1246" s="7" t="s">
        <v>411</v>
      </c>
      <c r="E1246" s="7" t="s">
        <v>154</v>
      </c>
      <c r="F1246" s="7" t="s">
        <v>177</v>
      </c>
      <c r="G1246" s="7" t="s">
        <v>505</v>
      </c>
      <c r="H1246" s="6" t="n">
        <v>4.45</v>
      </c>
      <c r="I1246" s="6" t="n">
        <v>0</v>
      </c>
      <c r="J1246" s="40" t="n">
        <f aca="false">H1246-I1246</f>
        <v>4.45</v>
      </c>
      <c r="K1246" s="41" t="n">
        <v>26.5</v>
      </c>
      <c r="L1246" s="42" t="n">
        <f aca="false">J1246*K1246</f>
        <v>117.925</v>
      </c>
      <c r="M1246" s="43" t="n">
        <f aca="false">H1246*14.56*(1+'Chart of Accounts'!$E$67)</f>
        <v>74.18684</v>
      </c>
    </row>
    <row r="1247" customFormat="false" ht="15" hidden="false" customHeight="false" outlineLevel="0" collapsed="false">
      <c r="B1247" s="7" t="s">
        <v>1744</v>
      </c>
      <c r="C1247" s="39" t="n">
        <v>45722</v>
      </c>
      <c r="D1247" s="7" t="s">
        <v>288</v>
      </c>
      <c r="E1247" s="7" t="s">
        <v>156</v>
      </c>
      <c r="F1247" s="7" t="s">
        <v>191</v>
      </c>
      <c r="G1247" s="7" t="s">
        <v>505</v>
      </c>
      <c r="H1247" s="6" t="n">
        <v>3.87</v>
      </c>
      <c r="I1247" s="6" t="n">
        <v>0</v>
      </c>
      <c r="J1247" s="40" t="n">
        <f aca="false">H1247-I1247</f>
        <v>3.87</v>
      </c>
      <c r="K1247" s="41" t="n">
        <v>34</v>
      </c>
      <c r="L1247" s="42" t="n">
        <f aca="false">J1247*K1247</f>
        <v>131.58</v>
      </c>
      <c r="M1247" s="43" t="n">
        <f aca="false">H1247*16.05*(1+'Chart of Accounts'!$E$67)</f>
        <v>71.1199575</v>
      </c>
    </row>
    <row r="1248" customFormat="false" ht="15" hidden="false" customHeight="false" outlineLevel="0" collapsed="false">
      <c r="B1248" s="7" t="s">
        <v>1745</v>
      </c>
      <c r="C1248" s="39" t="n">
        <v>45722</v>
      </c>
      <c r="D1248" s="7" t="s">
        <v>297</v>
      </c>
      <c r="E1248" s="7" t="s">
        <v>156</v>
      </c>
      <c r="F1248" s="7" t="s">
        <v>201</v>
      </c>
      <c r="G1248" s="7" t="s">
        <v>505</v>
      </c>
      <c r="H1248" s="6" t="n">
        <v>2.95</v>
      </c>
      <c r="I1248" s="6" t="n">
        <v>0</v>
      </c>
      <c r="J1248" s="40" t="n">
        <f aca="false">H1248-I1248</f>
        <v>2.95</v>
      </c>
      <c r="K1248" s="41" t="n">
        <v>34</v>
      </c>
      <c r="L1248" s="42" t="n">
        <f aca="false">J1248*K1248</f>
        <v>100.3</v>
      </c>
      <c r="M1248" s="43" t="n">
        <f aca="false">H1248*15.19*(1+'Chart of Accounts'!$E$67)</f>
        <v>51.3080225</v>
      </c>
    </row>
    <row r="1249" customFormat="false" ht="15" hidden="false" customHeight="false" outlineLevel="0" collapsed="false">
      <c r="B1249" s="7" t="s">
        <v>1746</v>
      </c>
      <c r="C1249" s="39" t="n">
        <v>45722</v>
      </c>
      <c r="D1249" s="7" t="s">
        <v>311</v>
      </c>
      <c r="E1249" s="7" t="s">
        <v>154</v>
      </c>
      <c r="F1249" s="7" t="s">
        <v>196</v>
      </c>
      <c r="G1249" s="7" t="s">
        <v>505</v>
      </c>
      <c r="H1249" s="6" t="n">
        <v>2.94</v>
      </c>
      <c r="I1249" s="6" t="n">
        <v>0</v>
      </c>
      <c r="J1249" s="40" t="n">
        <f aca="false">H1249-I1249</f>
        <v>2.94</v>
      </c>
      <c r="K1249" s="41" t="n">
        <v>26.5</v>
      </c>
      <c r="L1249" s="42" t="n">
        <f aca="false">J1249*K1249</f>
        <v>77.91</v>
      </c>
      <c r="M1249" s="43" t="n">
        <f aca="false">H1249*15.05*(1+'Chart of Accounts'!$E$67)</f>
        <v>50.662815</v>
      </c>
    </row>
    <row r="1250" customFormat="false" ht="15" hidden="false" customHeight="false" outlineLevel="0" collapsed="false">
      <c r="B1250" s="7" t="s">
        <v>1747</v>
      </c>
      <c r="C1250" s="39" t="n">
        <v>45722</v>
      </c>
      <c r="D1250" s="7" t="s">
        <v>313</v>
      </c>
      <c r="E1250" s="7" t="s">
        <v>156</v>
      </c>
      <c r="F1250" s="7" t="s">
        <v>184</v>
      </c>
      <c r="G1250" s="7" t="s">
        <v>505</v>
      </c>
      <c r="H1250" s="6" t="n">
        <v>4.38</v>
      </c>
      <c r="I1250" s="6" t="n">
        <v>0</v>
      </c>
      <c r="J1250" s="40" t="n">
        <f aca="false">H1250-I1250</f>
        <v>4.38</v>
      </c>
      <c r="K1250" s="41" t="n">
        <v>34</v>
      </c>
      <c r="L1250" s="42" t="n">
        <f aca="false">J1250*K1250</f>
        <v>148.92</v>
      </c>
      <c r="M1250" s="43" t="n">
        <f aca="false">H1250*17.34*(1+'Chart of Accounts'!$E$67)</f>
        <v>86.961834</v>
      </c>
    </row>
    <row r="1251" customFormat="false" ht="15" hidden="false" customHeight="false" outlineLevel="0" collapsed="false">
      <c r="B1251" s="7" t="s">
        <v>1748</v>
      </c>
      <c r="C1251" s="39" t="n">
        <v>45722</v>
      </c>
      <c r="D1251" s="7" t="s">
        <v>317</v>
      </c>
      <c r="E1251" s="7" t="s">
        <v>156</v>
      </c>
      <c r="F1251" s="7" t="s">
        <v>207</v>
      </c>
      <c r="G1251" s="7" t="s">
        <v>505</v>
      </c>
      <c r="H1251" s="6" t="n">
        <v>3.13</v>
      </c>
      <c r="I1251" s="6" t="n">
        <v>0</v>
      </c>
      <c r="J1251" s="40" t="n">
        <f aca="false">H1251-I1251</f>
        <v>3.13</v>
      </c>
      <c r="K1251" s="41" t="n">
        <v>34</v>
      </c>
      <c r="L1251" s="42" t="n">
        <f aca="false">J1251*K1251</f>
        <v>106.42</v>
      </c>
      <c r="M1251" s="43" t="n">
        <f aca="false">H1251*16.65*(1+'Chart of Accounts'!$E$67)</f>
        <v>59.6711025</v>
      </c>
    </row>
    <row r="1252" customFormat="false" ht="15" hidden="false" customHeight="false" outlineLevel="0" collapsed="false">
      <c r="B1252" s="7" t="s">
        <v>1749</v>
      </c>
      <c r="C1252" s="39" t="n">
        <v>45722</v>
      </c>
      <c r="D1252" s="7" t="s">
        <v>321</v>
      </c>
      <c r="E1252" s="7" t="s">
        <v>154</v>
      </c>
      <c r="F1252" s="7" t="s">
        <v>218</v>
      </c>
      <c r="G1252" s="7" t="s">
        <v>505</v>
      </c>
      <c r="H1252" s="6" t="n">
        <v>4.29</v>
      </c>
      <c r="I1252" s="6" t="n">
        <v>0</v>
      </c>
      <c r="J1252" s="40" t="n">
        <f aca="false">H1252-I1252</f>
        <v>4.29</v>
      </c>
      <c r="K1252" s="41" t="n">
        <v>26.5</v>
      </c>
      <c r="L1252" s="42" t="n">
        <f aca="false">J1252*K1252</f>
        <v>113.685</v>
      </c>
      <c r="M1252" s="43" t="n">
        <f aca="false">H1252*16.19*(1+'Chart of Accounts'!$E$67)</f>
        <v>79.5260895</v>
      </c>
    </row>
    <row r="1253" customFormat="false" ht="15" hidden="false" customHeight="false" outlineLevel="0" collapsed="false">
      <c r="B1253" s="7" t="s">
        <v>1750</v>
      </c>
      <c r="C1253" s="39" t="n">
        <v>45722</v>
      </c>
      <c r="D1253" s="7" t="s">
        <v>325</v>
      </c>
      <c r="E1253" s="7" t="s">
        <v>154</v>
      </c>
      <c r="F1253" s="7" t="s">
        <v>212</v>
      </c>
      <c r="G1253" s="7" t="s">
        <v>505</v>
      </c>
      <c r="H1253" s="6" t="n">
        <v>3.14</v>
      </c>
      <c r="I1253" s="6" t="n">
        <v>0.094</v>
      </c>
      <c r="J1253" s="40" t="n">
        <f aca="false">H1253-I1253</f>
        <v>3.046</v>
      </c>
      <c r="K1253" s="41" t="n">
        <v>26.5</v>
      </c>
      <c r="L1253" s="42" t="n">
        <f aca="false">J1253*K1253</f>
        <v>80.719</v>
      </c>
      <c r="M1253" s="43" t="n">
        <f aca="false">H1253*16.71*(1+'Chart of Accounts'!$E$67)</f>
        <v>60.077463</v>
      </c>
    </row>
    <row r="1254" customFormat="false" ht="15" hidden="false" customHeight="false" outlineLevel="0" collapsed="false">
      <c r="B1254" s="7" t="s">
        <v>1751</v>
      </c>
      <c r="C1254" s="39" t="n">
        <v>45722</v>
      </c>
      <c r="D1254" s="7" t="s">
        <v>329</v>
      </c>
      <c r="E1254" s="7" t="s">
        <v>156</v>
      </c>
      <c r="F1254" s="7" t="s">
        <v>220</v>
      </c>
      <c r="G1254" s="7" t="s">
        <v>505</v>
      </c>
      <c r="H1254" s="6" t="n">
        <v>3.94</v>
      </c>
      <c r="I1254" s="6" t="n">
        <v>0</v>
      </c>
      <c r="J1254" s="40" t="n">
        <f aca="false">H1254-I1254</f>
        <v>3.94</v>
      </c>
      <c r="K1254" s="41" t="n">
        <v>34</v>
      </c>
      <c r="L1254" s="42" t="n">
        <f aca="false">J1254*K1254</f>
        <v>133.96</v>
      </c>
      <c r="M1254" s="43" t="n">
        <f aca="false">H1254*16.43*(1+'Chart of Accounts'!$E$67)</f>
        <v>74.120659</v>
      </c>
    </row>
    <row r="1255" customFormat="false" ht="15" hidden="false" customHeight="false" outlineLevel="0" collapsed="false">
      <c r="B1255" s="7" t="s">
        <v>1752</v>
      </c>
      <c r="C1255" s="39" t="n">
        <v>45722</v>
      </c>
      <c r="D1255" s="7" t="s">
        <v>331</v>
      </c>
      <c r="E1255" s="7" t="s">
        <v>156</v>
      </c>
      <c r="F1255" s="7" t="s">
        <v>224</v>
      </c>
      <c r="G1255" s="7" t="s">
        <v>505</v>
      </c>
      <c r="H1255" s="6" t="n">
        <v>4.1</v>
      </c>
      <c r="I1255" s="6" t="n">
        <v>0</v>
      </c>
      <c r="J1255" s="40" t="n">
        <f aca="false">H1255-I1255</f>
        <v>4.1</v>
      </c>
      <c r="K1255" s="41" t="n">
        <v>34</v>
      </c>
      <c r="L1255" s="42" t="n">
        <f aca="false">J1255*K1255</f>
        <v>139.4</v>
      </c>
      <c r="M1255" s="43" t="n">
        <f aca="false">H1255*14.93*(1+'Chart of Accounts'!$E$67)</f>
        <v>70.088885</v>
      </c>
    </row>
    <row r="1256" customFormat="false" ht="15" hidden="false" customHeight="false" outlineLevel="0" collapsed="false">
      <c r="B1256" s="7" t="s">
        <v>1753</v>
      </c>
      <c r="C1256" s="39" t="n">
        <v>45722</v>
      </c>
      <c r="D1256" s="7" t="s">
        <v>337</v>
      </c>
      <c r="E1256" s="7" t="s">
        <v>154</v>
      </c>
      <c r="F1256" s="7" t="s">
        <v>232</v>
      </c>
      <c r="G1256" s="7" t="s">
        <v>505</v>
      </c>
      <c r="H1256" s="6" t="n">
        <v>2.99</v>
      </c>
      <c r="I1256" s="6" t="n">
        <v>0</v>
      </c>
      <c r="J1256" s="40" t="n">
        <f aca="false">H1256-I1256</f>
        <v>2.99</v>
      </c>
      <c r="K1256" s="41" t="n">
        <v>26.5</v>
      </c>
      <c r="L1256" s="42" t="n">
        <f aca="false">J1256*K1256</f>
        <v>79.235</v>
      </c>
      <c r="M1256" s="43" t="n">
        <f aca="false">H1256*16.17*(1+'Chart of Accounts'!$E$67)</f>
        <v>55.3588035</v>
      </c>
    </row>
    <row r="1257" customFormat="false" ht="15" hidden="false" customHeight="false" outlineLevel="0" collapsed="false">
      <c r="B1257" s="7" t="s">
        <v>1754</v>
      </c>
      <c r="C1257" s="39" t="n">
        <v>45722</v>
      </c>
      <c r="D1257" s="7" t="s">
        <v>341</v>
      </c>
      <c r="E1257" s="7" t="s">
        <v>156</v>
      </c>
      <c r="F1257" s="7" t="s">
        <v>222</v>
      </c>
      <c r="G1257" s="7" t="s">
        <v>505</v>
      </c>
      <c r="H1257" s="6" t="n">
        <v>2.73</v>
      </c>
      <c r="I1257" s="6" t="n">
        <v>0</v>
      </c>
      <c r="J1257" s="40" t="n">
        <f aca="false">H1257-I1257</f>
        <v>2.73</v>
      </c>
      <c r="K1257" s="41" t="n">
        <v>34</v>
      </c>
      <c r="L1257" s="42" t="n">
        <f aca="false">J1257*K1257</f>
        <v>92.82</v>
      </c>
      <c r="M1257" s="43" t="n">
        <f aca="false">H1257*17.84*(1+'Chart of Accounts'!$E$67)</f>
        <v>55.765164</v>
      </c>
    </row>
    <row r="1258" customFormat="false" ht="15" hidden="false" customHeight="false" outlineLevel="0" collapsed="false">
      <c r="B1258" s="7" t="s">
        <v>1755</v>
      </c>
      <c r="C1258" s="39" t="n">
        <v>45722</v>
      </c>
      <c r="D1258" s="7" t="s">
        <v>343</v>
      </c>
      <c r="E1258" s="7" t="s">
        <v>154</v>
      </c>
      <c r="F1258" s="7" t="s">
        <v>262</v>
      </c>
      <c r="G1258" s="7" t="s">
        <v>505</v>
      </c>
      <c r="H1258" s="6" t="n">
        <v>3.77</v>
      </c>
      <c r="I1258" s="6" t="n">
        <v>0</v>
      </c>
      <c r="J1258" s="40" t="n">
        <f aca="false">H1258-I1258</f>
        <v>3.77</v>
      </c>
      <c r="K1258" s="41" t="n">
        <v>26.5</v>
      </c>
      <c r="L1258" s="42" t="n">
        <f aca="false">J1258*K1258</f>
        <v>99.905</v>
      </c>
      <c r="M1258" s="43" t="n">
        <f aca="false">H1258*16.02*(1+'Chart of Accounts'!$E$67)</f>
        <v>69.152733</v>
      </c>
    </row>
    <row r="1259" customFormat="false" ht="15" hidden="false" customHeight="false" outlineLevel="0" collapsed="false">
      <c r="B1259" s="7" t="s">
        <v>1756</v>
      </c>
      <c r="C1259" s="39" t="n">
        <v>45722</v>
      </c>
      <c r="D1259" s="7" t="s">
        <v>359</v>
      </c>
      <c r="E1259" s="7" t="s">
        <v>156</v>
      </c>
      <c r="F1259" s="7" t="s">
        <v>212</v>
      </c>
      <c r="G1259" s="7" t="s">
        <v>505</v>
      </c>
      <c r="H1259" s="6" t="n">
        <v>3.68</v>
      </c>
      <c r="I1259" s="6" t="n">
        <v>0</v>
      </c>
      <c r="J1259" s="40" t="n">
        <f aca="false">H1259-I1259</f>
        <v>3.68</v>
      </c>
      <c r="K1259" s="41" t="n">
        <v>34</v>
      </c>
      <c r="L1259" s="42" t="n">
        <f aca="false">J1259*K1259</f>
        <v>125.12</v>
      </c>
      <c r="M1259" s="43" t="n">
        <f aca="false">H1259*16.71*(1+'Chart of Accounts'!$E$67)</f>
        <v>70.409256</v>
      </c>
    </row>
    <row r="1260" customFormat="false" ht="15" hidden="false" customHeight="false" outlineLevel="0" collapsed="false">
      <c r="B1260" s="7" t="s">
        <v>1757</v>
      </c>
      <c r="C1260" s="39" t="n">
        <v>45722</v>
      </c>
      <c r="D1260" s="7" t="s">
        <v>363</v>
      </c>
      <c r="E1260" s="7" t="s">
        <v>156</v>
      </c>
      <c r="F1260" s="7" t="s">
        <v>246</v>
      </c>
      <c r="G1260" s="7" t="s">
        <v>505</v>
      </c>
      <c r="H1260" s="6" t="n">
        <v>3.89</v>
      </c>
      <c r="I1260" s="6" t="n">
        <v>0</v>
      </c>
      <c r="J1260" s="40" t="n">
        <f aca="false">H1260-I1260</f>
        <v>3.89</v>
      </c>
      <c r="K1260" s="41" t="n">
        <v>34</v>
      </c>
      <c r="L1260" s="42" t="n">
        <f aca="false">J1260*K1260</f>
        <v>132.26</v>
      </c>
      <c r="M1260" s="43" t="n">
        <f aca="false">H1260*16.48*(1+'Chart of Accounts'!$E$67)</f>
        <v>73.402744</v>
      </c>
    </row>
    <row r="1261" customFormat="false" ht="15" hidden="false" customHeight="false" outlineLevel="0" collapsed="false">
      <c r="B1261" s="7" t="s">
        <v>1758</v>
      </c>
      <c r="C1261" s="39" t="n">
        <v>45722</v>
      </c>
      <c r="D1261" s="7" t="s">
        <v>375</v>
      </c>
      <c r="E1261" s="7" t="s">
        <v>156</v>
      </c>
      <c r="F1261" s="7" t="s">
        <v>196</v>
      </c>
      <c r="G1261" s="7" t="s">
        <v>505</v>
      </c>
      <c r="H1261" s="6" t="n">
        <v>2.91</v>
      </c>
      <c r="I1261" s="6" t="n">
        <v>0</v>
      </c>
      <c r="J1261" s="40" t="n">
        <f aca="false">H1261-I1261</f>
        <v>2.91</v>
      </c>
      <c r="K1261" s="41" t="n">
        <v>34</v>
      </c>
      <c r="L1261" s="42" t="n">
        <f aca="false">J1261*K1261</f>
        <v>98.94</v>
      </c>
      <c r="M1261" s="43" t="n">
        <f aca="false">H1261*15.05*(1+'Chart of Accounts'!$E$67)</f>
        <v>50.1458475</v>
      </c>
    </row>
    <row r="1262" customFormat="false" ht="15" hidden="false" customHeight="false" outlineLevel="0" collapsed="false">
      <c r="B1262" s="7" t="s">
        <v>1759</v>
      </c>
      <c r="C1262" s="39" t="n">
        <v>45722</v>
      </c>
      <c r="D1262" s="7" t="s">
        <v>377</v>
      </c>
      <c r="E1262" s="7" t="s">
        <v>154</v>
      </c>
      <c r="F1262" s="7" t="s">
        <v>214</v>
      </c>
      <c r="G1262" s="7" t="s">
        <v>505</v>
      </c>
      <c r="H1262" s="6" t="n">
        <v>4.14</v>
      </c>
      <c r="I1262" s="6" t="n">
        <v>0</v>
      </c>
      <c r="J1262" s="40" t="n">
        <f aca="false">H1262-I1262</f>
        <v>4.14</v>
      </c>
      <c r="K1262" s="41" t="n">
        <v>26.5</v>
      </c>
      <c r="L1262" s="42" t="n">
        <f aca="false">J1262*K1262</f>
        <v>109.71</v>
      </c>
      <c r="M1262" s="43" t="n">
        <f aca="false">H1262*15.67*(1+'Chart of Accounts'!$E$67)</f>
        <v>74.280501</v>
      </c>
    </row>
    <row r="1263" customFormat="false" ht="15" hidden="false" customHeight="false" outlineLevel="0" collapsed="false">
      <c r="B1263" s="7" t="s">
        <v>1760</v>
      </c>
      <c r="C1263" s="39" t="n">
        <v>45722</v>
      </c>
      <c r="D1263" s="7" t="s">
        <v>389</v>
      </c>
      <c r="E1263" s="7" t="s">
        <v>154</v>
      </c>
      <c r="F1263" s="7" t="s">
        <v>246</v>
      </c>
      <c r="G1263" s="7" t="s">
        <v>505</v>
      </c>
      <c r="H1263" s="6" t="n">
        <v>4.12</v>
      </c>
      <c r="I1263" s="6" t="n">
        <v>0</v>
      </c>
      <c r="J1263" s="40" t="n">
        <f aca="false">H1263-I1263</f>
        <v>4.12</v>
      </c>
      <c r="K1263" s="41" t="n">
        <v>26.5</v>
      </c>
      <c r="L1263" s="42" t="n">
        <f aca="false">J1263*K1263</f>
        <v>109.18</v>
      </c>
      <c r="M1263" s="43" t="n">
        <f aca="false">H1263*16.48*(1+'Chart of Accounts'!$E$67)</f>
        <v>77.742752</v>
      </c>
    </row>
    <row r="1264" customFormat="false" ht="15" hidden="false" customHeight="false" outlineLevel="0" collapsed="false">
      <c r="B1264" s="7" t="s">
        <v>1761</v>
      </c>
      <c r="C1264" s="39" t="n">
        <v>45722</v>
      </c>
      <c r="D1264" s="7" t="s">
        <v>391</v>
      </c>
      <c r="E1264" s="7" t="s">
        <v>156</v>
      </c>
      <c r="F1264" s="7" t="s">
        <v>222</v>
      </c>
      <c r="G1264" s="7" t="s">
        <v>505</v>
      </c>
      <c r="H1264" s="6" t="n">
        <v>3.83</v>
      </c>
      <c r="I1264" s="6" t="n">
        <v>0</v>
      </c>
      <c r="J1264" s="40" t="n">
        <f aca="false">H1264-I1264</f>
        <v>3.83</v>
      </c>
      <c r="K1264" s="41" t="n">
        <v>34</v>
      </c>
      <c r="L1264" s="42" t="n">
        <f aca="false">J1264*K1264</f>
        <v>130.22</v>
      </c>
      <c r="M1264" s="43" t="n">
        <f aca="false">H1264*17.84*(1+'Chart of Accounts'!$E$67)</f>
        <v>78.234644</v>
      </c>
    </row>
    <row r="1265" customFormat="false" ht="15" hidden="false" customHeight="false" outlineLevel="0" collapsed="false">
      <c r="B1265" s="7" t="s">
        <v>1762</v>
      </c>
      <c r="C1265" s="39" t="n">
        <v>45722</v>
      </c>
      <c r="D1265" s="7" t="s">
        <v>395</v>
      </c>
      <c r="E1265" s="7" t="s">
        <v>156</v>
      </c>
      <c r="F1265" s="7" t="s">
        <v>242</v>
      </c>
      <c r="G1265" s="7" t="s">
        <v>505</v>
      </c>
      <c r="H1265" s="6" t="n">
        <v>4.22</v>
      </c>
      <c r="I1265" s="6" t="n">
        <v>0</v>
      </c>
      <c r="J1265" s="40" t="n">
        <f aca="false">H1265-I1265</f>
        <v>4.22</v>
      </c>
      <c r="K1265" s="41" t="n">
        <v>34</v>
      </c>
      <c r="L1265" s="42" t="n">
        <f aca="false">J1265*K1265</f>
        <v>143.48</v>
      </c>
      <c r="M1265" s="43" t="n">
        <f aca="false">H1265*17.99*(1+'Chart of Accounts'!$E$67)</f>
        <v>86.925881</v>
      </c>
    </row>
    <row r="1266" customFormat="false" ht="15" hidden="false" customHeight="false" outlineLevel="0" collapsed="false">
      <c r="B1266" s="7" t="s">
        <v>1763</v>
      </c>
      <c r="C1266" s="39" t="n">
        <v>45722</v>
      </c>
      <c r="D1266" s="7" t="s">
        <v>401</v>
      </c>
      <c r="E1266" s="7" t="s">
        <v>156</v>
      </c>
      <c r="F1266" s="7" t="s">
        <v>254</v>
      </c>
      <c r="G1266" s="7" t="s">
        <v>505</v>
      </c>
      <c r="H1266" s="6" t="n">
        <v>4.09</v>
      </c>
      <c r="I1266" s="6" t="n">
        <v>0</v>
      </c>
      <c r="J1266" s="40" t="n">
        <f aca="false">H1266-I1266</f>
        <v>4.09</v>
      </c>
      <c r="K1266" s="41" t="n">
        <v>34</v>
      </c>
      <c r="L1266" s="42" t="n">
        <f aca="false">J1266*K1266</f>
        <v>139.06</v>
      </c>
      <c r="M1266" s="43" t="n">
        <f aca="false">H1266*17.1*(1+'Chart of Accounts'!$E$67)</f>
        <v>80.080155</v>
      </c>
    </row>
    <row r="1267" customFormat="false" ht="15" hidden="false" customHeight="false" outlineLevel="0" collapsed="false">
      <c r="B1267" s="7" t="s">
        <v>1764</v>
      </c>
      <c r="C1267" s="39" t="n">
        <v>45723</v>
      </c>
      <c r="D1267" s="7" t="s">
        <v>280</v>
      </c>
      <c r="E1267" s="7" t="s">
        <v>157</v>
      </c>
      <c r="F1267" s="7" t="s">
        <v>187</v>
      </c>
      <c r="G1267" s="7" t="s">
        <v>502</v>
      </c>
      <c r="H1267" s="6" t="n">
        <v>1.07</v>
      </c>
      <c r="I1267" s="6" t="n">
        <v>0</v>
      </c>
      <c r="J1267" s="40" t="n">
        <f aca="false">H1267-I1267</f>
        <v>1.07</v>
      </c>
      <c r="K1267" s="41" t="n">
        <v>165</v>
      </c>
      <c r="L1267" s="42" t="n">
        <f aca="false">J1267*K1267</f>
        <v>176.55</v>
      </c>
      <c r="M1267" s="43" t="n">
        <f aca="false">H1267*66.48*(1+'Chart of Accounts'!$E$67)</f>
        <v>81.447972</v>
      </c>
    </row>
    <row r="1268" customFormat="false" ht="15" hidden="false" customHeight="false" outlineLevel="0" collapsed="false">
      <c r="B1268" s="7" t="s">
        <v>1765</v>
      </c>
      <c r="C1268" s="39" t="n">
        <v>45723</v>
      </c>
      <c r="D1268" s="7" t="s">
        <v>288</v>
      </c>
      <c r="E1268" s="7" t="s">
        <v>156</v>
      </c>
      <c r="F1268" s="7" t="s">
        <v>191</v>
      </c>
      <c r="G1268" s="7" t="s">
        <v>505</v>
      </c>
      <c r="H1268" s="6" t="n">
        <v>3.94</v>
      </c>
      <c r="I1268" s="6" t="n">
        <v>0</v>
      </c>
      <c r="J1268" s="40" t="n">
        <f aca="false">H1268-I1268</f>
        <v>3.94</v>
      </c>
      <c r="K1268" s="41" t="n">
        <v>34</v>
      </c>
      <c r="L1268" s="42" t="n">
        <f aca="false">J1268*K1268</f>
        <v>133.96</v>
      </c>
      <c r="M1268" s="43" t="n">
        <f aca="false">H1268*16.05*(1+'Chart of Accounts'!$E$67)</f>
        <v>72.406365</v>
      </c>
    </row>
    <row r="1269" customFormat="false" ht="15" hidden="false" customHeight="false" outlineLevel="0" collapsed="false">
      <c r="B1269" s="7" t="s">
        <v>1766</v>
      </c>
      <c r="C1269" s="39" t="n">
        <v>45723</v>
      </c>
      <c r="D1269" s="7" t="s">
        <v>291</v>
      </c>
      <c r="E1269" s="7" t="s">
        <v>154</v>
      </c>
      <c r="F1269" s="7" t="s">
        <v>194</v>
      </c>
      <c r="G1269" s="7" t="s">
        <v>505</v>
      </c>
      <c r="H1269" s="6" t="n">
        <v>5.05</v>
      </c>
      <c r="I1269" s="6" t="n">
        <v>0</v>
      </c>
      <c r="J1269" s="40" t="n">
        <f aca="false">H1269-I1269</f>
        <v>5.05</v>
      </c>
      <c r="K1269" s="41" t="n">
        <v>26.5</v>
      </c>
      <c r="L1269" s="42" t="n">
        <f aca="false">J1269*K1269</f>
        <v>133.825</v>
      </c>
      <c r="M1269" s="43" t="n">
        <f aca="false">H1269*16*(1+'Chart of Accounts'!$E$67)</f>
        <v>92.516</v>
      </c>
    </row>
    <row r="1270" customFormat="false" ht="15" hidden="false" customHeight="false" outlineLevel="0" collapsed="false">
      <c r="B1270" s="7" t="s">
        <v>1767</v>
      </c>
      <c r="C1270" s="39" t="n">
        <v>45723</v>
      </c>
      <c r="D1270" s="7" t="s">
        <v>301</v>
      </c>
      <c r="E1270" s="7" t="s">
        <v>157</v>
      </c>
      <c r="F1270" s="7" t="s">
        <v>209</v>
      </c>
      <c r="G1270" s="7" t="s">
        <v>502</v>
      </c>
      <c r="H1270" s="6" t="n">
        <v>0.96</v>
      </c>
      <c r="I1270" s="6" t="n">
        <v>0</v>
      </c>
      <c r="J1270" s="40" t="n">
        <f aca="false">H1270-I1270</f>
        <v>0.96</v>
      </c>
      <c r="K1270" s="41" t="n">
        <v>165</v>
      </c>
      <c r="L1270" s="42" t="n">
        <f aca="false">J1270*K1270</f>
        <v>158.4</v>
      </c>
      <c r="M1270" s="43" t="n">
        <f aca="false">H1270*73.58*(1+'Chart of Accounts'!$E$67)</f>
        <v>80.879136</v>
      </c>
    </row>
    <row r="1271" customFormat="false" ht="15" hidden="false" customHeight="false" outlineLevel="0" collapsed="false">
      <c r="B1271" s="7" t="s">
        <v>1768</v>
      </c>
      <c r="C1271" s="39" t="n">
        <v>45723</v>
      </c>
      <c r="D1271" s="7" t="s">
        <v>305</v>
      </c>
      <c r="E1271" s="7" t="s">
        <v>154</v>
      </c>
      <c r="F1271" s="7" t="s">
        <v>205</v>
      </c>
      <c r="G1271" s="7" t="s">
        <v>505</v>
      </c>
      <c r="H1271" s="6" t="n">
        <v>4.08</v>
      </c>
      <c r="I1271" s="6" t="n">
        <v>0</v>
      </c>
      <c r="J1271" s="40" t="n">
        <f aca="false">H1271-I1271</f>
        <v>4.08</v>
      </c>
      <c r="K1271" s="41" t="n">
        <v>26.5</v>
      </c>
      <c r="L1271" s="42" t="n">
        <f aca="false">J1271*K1271</f>
        <v>108.12</v>
      </c>
      <c r="M1271" s="43" t="n">
        <f aca="false">H1271*16.36*(1+'Chart of Accounts'!$E$67)</f>
        <v>76.427376</v>
      </c>
    </row>
    <row r="1272" customFormat="false" ht="15" hidden="false" customHeight="false" outlineLevel="0" collapsed="false">
      <c r="B1272" s="7" t="s">
        <v>1769</v>
      </c>
      <c r="C1272" s="39" t="n">
        <v>45723</v>
      </c>
      <c r="D1272" s="7" t="s">
        <v>309</v>
      </c>
      <c r="E1272" s="7" t="s">
        <v>159</v>
      </c>
      <c r="F1272" s="7" t="s">
        <v>252</v>
      </c>
      <c r="G1272" s="7" t="s">
        <v>502</v>
      </c>
      <c r="H1272" s="6" t="n">
        <v>1.06</v>
      </c>
      <c r="I1272" s="6" t="n">
        <v>0</v>
      </c>
      <c r="J1272" s="40" t="n">
        <f aca="false">H1272-I1272</f>
        <v>1.06</v>
      </c>
      <c r="K1272" s="41" t="n">
        <v>135</v>
      </c>
      <c r="L1272" s="42" t="n">
        <f aca="false">J1272*K1272</f>
        <v>143.1</v>
      </c>
      <c r="M1272" s="43" t="n">
        <f aca="false">H1272*57.54*(1+'Chart of Accounts'!$E$67)</f>
        <v>69.836298</v>
      </c>
    </row>
    <row r="1273" customFormat="false" ht="15" hidden="false" customHeight="false" outlineLevel="0" collapsed="false">
      <c r="B1273" s="7" t="s">
        <v>1770</v>
      </c>
      <c r="C1273" s="39" t="n">
        <v>45723</v>
      </c>
      <c r="D1273" s="7" t="s">
        <v>313</v>
      </c>
      <c r="E1273" s="7" t="s">
        <v>156</v>
      </c>
      <c r="F1273" s="7" t="s">
        <v>184</v>
      </c>
      <c r="G1273" s="7" t="s">
        <v>505</v>
      </c>
      <c r="H1273" s="6" t="n">
        <v>4.02</v>
      </c>
      <c r="I1273" s="6" t="n">
        <v>0</v>
      </c>
      <c r="J1273" s="40" t="n">
        <f aca="false">H1273-I1273</f>
        <v>4.02</v>
      </c>
      <c r="K1273" s="41" t="n">
        <v>34</v>
      </c>
      <c r="L1273" s="42" t="n">
        <f aca="false">J1273*K1273</f>
        <v>136.68</v>
      </c>
      <c r="M1273" s="43" t="n">
        <f aca="false">H1273*17.34*(1+'Chart of Accounts'!$E$67)</f>
        <v>79.814286</v>
      </c>
    </row>
    <row r="1274" customFormat="false" ht="15" hidden="false" customHeight="false" outlineLevel="0" collapsed="false">
      <c r="B1274" s="7" t="s">
        <v>1771</v>
      </c>
      <c r="C1274" s="39" t="n">
        <v>45723</v>
      </c>
      <c r="D1274" s="7" t="s">
        <v>319</v>
      </c>
      <c r="E1274" s="7" t="s">
        <v>157</v>
      </c>
      <c r="F1274" s="7" t="s">
        <v>234</v>
      </c>
      <c r="G1274" s="7" t="s">
        <v>502</v>
      </c>
      <c r="H1274" s="6" t="n">
        <v>1.07</v>
      </c>
      <c r="I1274" s="6" t="n">
        <v>0</v>
      </c>
      <c r="J1274" s="40" t="n">
        <f aca="false">H1274-I1274</f>
        <v>1.07</v>
      </c>
      <c r="K1274" s="41" t="n">
        <v>165</v>
      </c>
      <c r="L1274" s="42" t="n">
        <f aca="false">J1274*K1274</f>
        <v>176.55</v>
      </c>
      <c r="M1274" s="43" t="n">
        <f aca="false">H1274*89.53*(1+'Chart of Accounts'!$E$67)</f>
        <v>109.6876795</v>
      </c>
    </row>
    <row r="1275" customFormat="false" ht="15" hidden="false" customHeight="false" outlineLevel="0" collapsed="false">
      <c r="B1275" s="7" t="s">
        <v>1772</v>
      </c>
      <c r="C1275" s="39" t="n">
        <v>45723</v>
      </c>
      <c r="D1275" s="7" t="s">
        <v>321</v>
      </c>
      <c r="E1275" s="7" t="s">
        <v>154</v>
      </c>
      <c r="F1275" s="7" t="s">
        <v>218</v>
      </c>
      <c r="G1275" s="7" t="s">
        <v>505</v>
      </c>
      <c r="H1275" s="6" t="n">
        <v>3.8</v>
      </c>
      <c r="I1275" s="6" t="n">
        <v>0</v>
      </c>
      <c r="J1275" s="40" t="n">
        <f aca="false">H1275-I1275</f>
        <v>3.8</v>
      </c>
      <c r="K1275" s="41" t="n">
        <v>26.5</v>
      </c>
      <c r="L1275" s="42" t="n">
        <f aca="false">J1275*K1275</f>
        <v>100.7</v>
      </c>
      <c r="M1275" s="43" t="n">
        <f aca="false">H1275*16.19*(1+'Chart of Accounts'!$E$67)</f>
        <v>70.44269</v>
      </c>
    </row>
    <row r="1276" customFormat="false" ht="15" hidden="false" customHeight="false" outlineLevel="0" collapsed="false">
      <c r="B1276" s="7" t="s">
        <v>1773</v>
      </c>
      <c r="C1276" s="39" t="n">
        <v>45723</v>
      </c>
      <c r="D1276" s="7" t="s">
        <v>323</v>
      </c>
      <c r="E1276" s="7" t="s">
        <v>159</v>
      </c>
      <c r="F1276" s="7" t="s">
        <v>266</v>
      </c>
      <c r="G1276" s="7" t="s">
        <v>502</v>
      </c>
      <c r="H1276" s="6" t="n">
        <v>0.94</v>
      </c>
      <c r="I1276" s="6" t="n">
        <v>0.066</v>
      </c>
      <c r="J1276" s="40" t="n">
        <f aca="false">H1276-I1276</f>
        <v>0.874</v>
      </c>
      <c r="K1276" s="41" t="n">
        <v>135</v>
      </c>
      <c r="L1276" s="42" t="n">
        <f aca="false">J1276*K1276</f>
        <v>117.99</v>
      </c>
      <c r="M1276" s="43" t="n">
        <f aca="false">H1276*75.18*(1+'Chart of Accounts'!$E$67)</f>
        <v>80.916234</v>
      </c>
    </row>
    <row r="1277" customFormat="false" ht="15" hidden="false" customHeight="false" outlineLevel="0" collapsed="false">
      <c r="B1277" s="7" t="s">
        <v>1774</v>
      </c>
      <c r="C1277" s="39" t="n">
        <v>45723</v>
      </c>
      <c r="D1277" s="7" t="s">
        <v>327</v>
      </c>
      <c r="E1277" s="7" t="s">
        <v>157</v>
      </c>
      <c r="F1277" s="7" t="s">
        <v>228</v>
      </c>
      <c r="G1277" s="7" t="s">
        <v>502</v>
      </c>
      <c r="H1277" s="6" t="n">
        <v>1.09</v>
      </c>
      <c r="I1277" s="6" t="n">
        <v>0.055</v>
      </c>
      <c r="J1277" s="40" t="n">
        <f aca="false">H1277-I1277</f>
        <v>1.035</v>
      </c>
      <c r="K1277" s="41" t="n">
        <v>165</v>
      </c>
      <c r="L1277" s="42" t="n">
        <f aca="false">J1277*K1277</f>
        <v>170.775</v>
      </c>
      <c r="M1277" s="43" t="n">
        <f aca="false">H1277*51.07*(1+'Chart of Accounts'!$E$67)</f>
        <v>63.7379135</v>
      </c>
    </row>
    <row r="1278" customFormat="false" ht="15" hidden="false" customHeight="false" outlineLevel="0" collapsed="false">
      <c r="B1278" s="7" t="s">
        <v>1775</v>
      </c>
      <c r="C1278" s="39" t="n">
        <v>45723</v>
      </c>
      <c r="D1278" s="7" t="s">
        <v>329</v>
      </c>
      <c r="E1278" s="7" t="s">
        <v>156</v>
      </c>
      <c r="F1278" s="7" t="s">
        <v>220</v>
      </c>
      <c r="G1278" s="7" t="s">
        <v>505</v>
      </c>
      <c r="H1278" s="6" t="n">
        <v>4.22</v>
      </c>
      <c r="I1278" s="6" t="n">
        <v>0</v>
      </c>
      <c r="J1278" s="40" t="n">
        <f aca="false">H1278-I1278</f>
        <v>4.22</v>
      </c>
      <c r="K1278" s="41" t="n">
        <v>34</v>
      </c>
      <c r="L1278" s="42" t="n">
        <f aca="false">J1278*K1278</f>
        <v>143.48</v>
      </c>
      <c r="M1278" s="43" t="n">
        <f aca="false">H1278*16.43*(1+'Chart of Accounts'!$E$67)</f>
        <v>79.388117</v>
      </c>
    </row>
    <row r="1279" customFormat="false" ht="15" hidden="false" customHeight="false" outlineLevel="0" collapsed="false">
      <c r="B1279" s="7" t="s">
        <v>1776</v>
      </c>
      <c r="C1279" s="39" t="n">
        <v>45723</v>
      </c>
      <c r="D1279" s="7" t="s">
        <v>335</v>
      </c>
      <c r="E1279" s="7" t="s">
        <v>154</v>
      </c>
      <c r="F1279" s="7" t="s">
        <v>177</v>
      </c>
      <c r="G1279" s="7" t="s">
        <v>505</v>
      </c>
      <c r="H1279" s="6" t="n">
        <v>3.68</v>
      </c>
      <c r="I1279" s="6" t="n">
        <v>0.11</v>
      </c>
      <c r="J1279" s="40" t="n">
        <f aca="false">H1279-I1279</f>
        <v>3.57</v>
      </c>
      <c r="K1279" s="41" t="n">
        <v>26.5</v>
      </c>
      <c r="L1279" s="42" t="n">
        <f aca="false">J1279*K1279</f>
        <v>94.605</v>
      </c>
      <c r="M1279" s="43" t="n">
        <f aca="false">H1279*14.56*(1+'Chart of Accounts'!$E$67)</f>
        <v>61.350016</v>
      </c>
    </row>
    <row r="1280" customFormat="false" ht="15" hidden="false" customHeight="false" outlineLevel="0" collapsed="false">
      <c r="B1280" s="7" t="s">
        <v>1777</v>
      </c>
      <c r="C1280" s="39" t="n">
        <v>45723</v>
      </c>
      <c r="D1280" s="7" t="s">
        <v>339</v>
      </c>
      <c r="E1280" s="7" t="s">
        <v>154</v>
      </c>
      <c r="F1280" s="7" t="s">
        <v>242</v>
      </c>
      <c r="G1280" s="7" t="s">
        <v>505</v>
      </c>
      <c r="H1280" s="6" t="n">
        <v>3.62</v>
      </c>
      <c r="I1280" s="6" t="n">
        <v>0</v>
      </c>
      <c r="J1280" s="40" t="n">
        <f aca="false">H1280-I1280</f>
        <v>3.62</v>
      </c>
      <c r="K1280" s="41" t="n">
        <v>26.5</v>
      </c>
      <c r="L1280" s="42" t="n">
        <f aca="false">J1280*K1280</f>
        <v>95.93</v>
      </c>
      <c r="M1280" s="43" t="n">
        <f aca="false">H1280*17.99*(1+'Chart of Accounts'!$E$67)</f>
        <v>74.566751</v>
      </c>
    </row>
    <row r="1281" customFormat="false" ht="15" hidden="false" customHeight="false" outlineLevel="0" collapsed="false">
      <c r="B1281" s="7" t="s">
        <v>1778</v>
      </c>
      <c r="C1281" s="39" t="n">
        <v>45723</v>
      </c>
      <c r="D1281" s="7" t="s">
        <v>353</v>
      </c>
      <c r="E1281" s="7" t="s">
        <v>154</v>
      </c>
      <c r="F1281" s="7" t="s">
        <v>254</v>
      </c>
      <c r="G1281" s="7" t="s">
        <v>505</v>
      </c>
      <c r="H1281" s="6" t="n">
        <v>3.49</v>
      </c>
      <c r="I1281" s="6" t="n">
        <v>0.105</v>
      </c>
      <c r="J1281" s="40" t="n">
        <f aca="false">H1281-I1281</f>
        <v>3.385</v>
      </c>
      <c r="K1281" s="41" t="n">
        <v>26.5</v>
      </c>
      <c r="L1281" s="42" t="n">
        <f aca="false">J1281*K1281</f>
        <v>89.7025</v>
      </c>
      <c r="M1281" s="43" t="n">
        <f aca="false">H1281*17.1*(1+'Chart of Accounts'!$E$67)</f>
        <v>68.332455</v>
      </c>
    </row>
    <row r="1282" customFormat="false" ht="15" hidden="false" customHeight="false" outlineLevel="0" collapsed="false">
      <c r="B1282" s="7" t="s">
        <v>1779</v>
      </c>
      <c r="C1282" s="39" t="n">
        <v>45723</v>
      </c>
      <c r="D1282" s="7" t="s">
        <v>355</v>
      </c>
      <c r="E1282" s="7" t="s">
        <v>154</v>
      </c>
      <c r="F1282" s="7" t="s">
        <v>201</v>
      </c>
      <c r="G1282" s="7" t="s">
        <v>505</v>
      </c>
      <c r="H1282" s="6" t="n">
        <v>3.35</v>
      </c>
      <c r="I1282" s="6" t="n">
        <v>0.1</v>
      </c>
      <c r="J1282" s="40" t="n">
        <f aca="false">H1282-I1282</f>
        <v>3.25</v>
      </c>
      <c r="K1282" s="41" t="n">
        <v>26.5</v>
      </c>
      <c r="L1282" s="42" t="n">
        <f aca="false">J1282*K1282</f>
        <v>86.125</v>
      </c>
      <c r="M1282" s="43" t="n">
        <f aca="false">H1282*15.19*(1+'Chart of Accounts'!$E$67)</f>
        <v>58.2650425</v>
      </c>
    </row>
    <row r="1283" customFormat="false" ht="15" hidden="false" customHeight="false" outlineLevel="0" collapsed="false">
      <c r="B1283" s="7" t="s">
        <v>1780</v>
      </c>
      <c r="C1283" s="39" t="n">
        <v>45723</v>
      </c>
      <c r="D1283" s="7" t="s">
        <v>357</v>
      </c>
      <c r="E1283" s="7" t="s">
        <v>154</v>
      </c>
      <c r="F1283" s="7" t="s">
        <v>207</v>
      </c>
      <c r="G1283" s="7" t="s">
        <v>505</v>
      </c>
      <c r="H1283" s="6" t="n">
        <v>3.24</v>
      </c>
      <c r="I1283" s="6" t="n">
        <v>0</v>
      </c>
      <c r="J1283" s="40" t="n">
        <f aca="false">H1283-I1283</f>
        <v>3.24</v>
      </c>
      <c r="K1283" s="41" t="n">
        <v>26.5</v>
      </c>
      <c r="L1283" s="42" t="n">
        <f aca="false">J1283*K1283</f>
        <v>85.86</v>
      </c>
      <c r="M1283" s="43" t="n">
        <f aca="false">H1283*16.65*(1+'Chart of Accounts'!$E$67)</f>
        <v>61.76817</v>
      </c>
    </row>
    <row r="1284" customFormat="false" ht="15" hidden="false" customHeight="false" outlineLevel="0" collapsed="false">
      <c r="B1284" s="7" t="s">
        <v>1781</v>
      </c>
      <c r="C1284" s="39" t="n">
        <v>45723</v>
      </c>
      <c r="D1284" s="7" t="s">
        <v>359</v>
      </c>
      <c r="E1284" s="7" t="s">
        <v>156</v>
      </c>
      <c r="F1284" s="7" t="s">
        <v>212</v>
      </c>
      <c r="G1284" s="7" t="s">
        <v>505</v>
      </c>
      <c r="H1284" s="6" t="n">
        <v>3.97</v>
      </c>
      <c r="I1284" s="6" t="n">
        <v>0</v>
      </c>
      <c r="J1284" s="40" t="n">
        <f aca="false">H1284-I1284</f>
        <v>3.97</v>
      </c>
      <c r="K1284" s="41" t="n">
        <v>34</v>
      </c>
      <c r="L1284" s="42" t="n">
        <f aca="false">J1284*K1284</f>
        <v>134.98</v>
      </c>
      <c r="M1284" s="43" t="n">
        <f aca="false">H1284*16.71*(1+'Chart of Accounts'!$E$67)</f>
        <v>75.9578115</v>
      </c>
    </row>
    <row r="1285" customFormat="false" ht="15" hidden="false" customHeight="false" outlineLevel="0" collapsed="false">
      <c r="B1285" s="7" t="s">
        <v>1782</v>
      </c>
      <c r="C1285" s="39" t="n">
        <v>45723</v>
      </c>
      <c r="D1285" s="7" t="s">
        <v>361</v>
      </c>
      <c r="E1285" s="7" t="s">
        <v>157</v>
      </c>
      <c r="F1285" s="7" t="s">
        <v>209</v>
      </c>
      <c r="G1285" s="7" t="s">
        <v>502</v>
      </c>
      <c r="H1285" s="6" t="n">
        <v>1.01</v>
      </c>
      <c r="I1285" s="6" t="n">
        <v>0</v>
      </c>
      <c r="J1285" s="40" t="n">
        <f aca="false">H1285-I1285</f>
        <v>1.01</v>
      </c>
      <c r="K1285" s="41" t="n">
        <v>165</v>
      </c>
      <c r="L1285" s="42" t="n">
        <f aca="false">J1285*K1285</f>
        <v>166.65</v>
      </c>
      <c r="M1285" s="43" t="n">
        <f aca="false">H1285*73.58*(1+'Chart of Accounts'!$E$67)</f>
        <v>85.091591</v>
      </c>
    </row>
    <row r="1286" customFormat="false" ht="15" hidden="false" customHeight="false" outlineLevel="0" collapsed="false">
      <c r="B1286" s="7" t="s">
        <v>1783</v>
      </c>
      <c r="C1286" s="39" t="n">
        <v>45723</v>
      </c>
      <c r="D1286" s="7" t="s">
        <v>371</v>
      </c>
      <c r="E1286" s="7" t="s">
        <v>154</v>
      </c>
      <c r="F1286" s="7" t="s">
        <v>232</v>
      </c>
      <c r="G1286" s="7" t="s">
        <v>505</v>
      </c>
      <c r="H1286" s="6" t="n">
        <v>4.7</v>
      </c>
      <c r="I1286" s="6" t="n">
        <v>0</v>
      </c>
      <c r="J1286" s="40" t="n">
        <f aca="false">H1286-I1286</f>
        <v>4.7</v>
      </c>
      <c r="K1286" s="41" t="n">
        <v>26.5</v>
      </c>
      <c r="L1286" s="42" t="n">
        <f aca="false">J1286*K1286</f>
        <v>124.55</v>
      </c>
      <c r="M1286" s="43" t="n">
        <f aca="false">H1286*16.17*(1+'Chart of Accounts'!$E$67)</f>
        <v>87.018855</v>
      </c>
    </row>
    <row r="1287" customFormat="false" ht="15" hidden="false" customHeight="false" outlineLevel="0" collapsed="false">
      <c r="B1287" s="7" t="s">
        <v>1784</v>
      </c>
      <c r="C1287" s="39" t="n">
        <v>45723</v>
      </c>
      <c r="D1287" s="7" t="s">
        <v>379</v>
      </c>
      <c r="E1287" s="7" t="s">
        <v>156</v>
      </c>
      <c r="F1287" s="7" t="s">
        <v>224</v>
      </c>
      <c r="G1287" s="7" t="s">
        <v>505</v>
      </c>
      <c r="H1287" s="6" t="n">
        <v>4.9</v>
      </c>
      <c r="I1287" s="6" t="n">
        <v>0</v>
      </c>
      <c r="J1287" s="40" t="n">
        <f aca="false">H1287-I1287</f>
        <v>4.9</v>
      </c>
      <c r="K1287" s="41" t="n">
        <v>34</v>
      </c>
      <c r="L1287" s="42" t="n">
        <f aca="false">J1287*K1287</f>
        <v>166.6</v>
      </c>
      <c r="M1287" s="43" t="n">
        <f aca="false">H1287*14.93*(1+'Chart of Accounts'!$E$67)</f>
        <v>83.764765</v>
      </c>
    </row>
    <row r="1288" customFormat="false" ht="15" hidden="false" customHeight="false" outlineLevel="0" collapsed="false">
      <c r="B1288" s="7" t="s">
        <v>1785</v>
      </c>
      <c r="C1288" s="39" t="n">
        <v>45723</v>
      </c>
      <c r="D1288" s="7" t="s">
        <v>381</v>
      </c>
      <c r="E1288" s="7" t="s">
        <v>157</v>
      </c>
      <c r="F1288" s="7" t="s">
        <v>234</v>
      </c>
      <c r="G1288" s="7" t="s">
        <v>502</v>
      </c>
      <c r="H1288" s="6" t="n">
        <v>1.03</v>
      </c>
      <c r="I1288" s="6" t="n">
        <v>0</v>
      </c>
      <c r="J1288" s="40" t="n">
        <f aca="false">H1288-I1288</f>
        <v>1.03</v>
      </c>
      <c r="K1288" s="41" t="n">
        <v>165</v>
      </c>
      <c r="L1288" s="42" t="n">
        <f aca="false">J1288*K1288</f>
        <v>169.95</v>
      </c>
      <c r="M1288" s="43" t="n">
        <f aca="false">H1288*89.53*(1+'Chart of Accounts'!$E$67)</f>
        <v>105.5872055</v>
      </c>
    </row>
    <row r="1289" customFormat="false" ht="15" hidden="false" customHeight="false" outlineLevel="0" collapsed="false">
      <c r="B1289" s="7" t="s">
        <v>1786</v>
      </c>
      <c r="C1289" s="39" t="n">
        <v>45723</v>
      </c>
      <c r="D1289" s="7" t="s">
        <v>389</v>
      </c>
      <c r="E1289" s="7" t="s">
        <v>154</v>
      </c>
      <c r="F1289" s="7" t="s">
        <v>246</v>
      </c>
      <c r="G1289" s="7" t="s">
        <v>505</v>
      </c>
      <c r="H1289" s="6" t="n">
        <v>3.99</v>
      </c>
      <c r="I1289" s="6" t="n">
        <v>0.12</v>
      </c>
      <c r="J1289" s="40" t="n">
        <f aca="false">H1289-I1289</f>
        <v>3.87</v>
      </c>
      <c r="K1289" s="41" t="n">
        <v>26.5</v>
      </c>
      <c r="L1289" s="42" t="n">
        <f aca="false">J1289*K1289</f>
        <v>102.555</v>
      </c>
      <c r="M1289" s="43" t="n">
        <f aca="false">H1289*16.48*(1+'Chart of Accounts'!$E$67)</f>
        <v>75.289704</v>
      </c>
    </row>
    <row r="1290" customFormat="false" ht="15" hidden="false" customHeight="false" outlineLevel="0" collapsed="false">
      <c r="B1290" s="7" t="s">
        <v>1787</v>
      </c>
      <c r="C1290" s="39" t="n">
        <v>45723</v>
      </c>
      <c r="D1290" s="7" t="s">
        <v>391</v>
      </c>
      <c r="E1290" s="7" t="s">
        <v>156</v>
      </c>
      <c r="F1290" s="7" t="s">
        <v>222</v>
      </c>
      <c r="G1290" s="7" t="s">
        <v>505</v>
      </c>
      <c r="H1290" s="6" t="n">
        <v>3.85</v>
      </c>
      <c r="I1290" s="6" t="n">
        <v>0</v>
      </c>
      <c r="J1290" s="40" t="n">
        <f aca="false">H1290-I1290</f>
        <v>3.85</v>
      </c>
      <c r="K1290" s="41" t="n">
        <v>34</v>
      </c>
      <c r="L1290" s="42" t="n">
        <f aca="false">J1290*K1290</f>
        <v>130.9</v>
      </c>
      <c r="M1290" s="43" t="n">
        <f aca="false">H1290*17.84*(1+'Chart of Accounts'!$E$67)</f>
        <v>78.64318</v>
      </c>
    </row>
    <row r="1291" customFormat="false" ht="15" hidden="false" customHeight="false" outlineLevel="0" collapsed="false">
      <c r="B1291" s="7" t="s">
        <v>1788</v>
      </c>
      <c r="C1291" s="39" t="n">
        <v>45723</v>
      </c>
      <c r="D1291" s="7" t="s">
        <v>395</v>
      </c>
      <c r="E1291" s="7" t="s">
        <v>156</v>
      </c>
      <c r="F1291" s="7" t="s">
        <v>242</v>
      </c>
      <c r="G1291" s="7" t="s">
        <v>505</v>
      </c>
      <c r="H1291" s="6" t="n">
        <v>3.61</v>
      </c>
      <c r="I1291" s="6" t="n">
        <v>0</v>
      </c>
      <c r="J1291" s="40" t="n">
        <f aca="false">H1291-I1291</f>
        <v>3.61</v>
      </c>
      <c r="K1291" s="41" t="n">
        <v>34</v>
      </c>
      <c r="L1291" s="42" t="n">
        <f aca="false">J1291*K1291</f>
        <v>122.74</v>
      </c>
      <c r="M1291" s="43" t="n">
        <f aca="false">H1291*17.99*(1+'Chart of Accounts'!$E$67)</f>
        <v>74.3607655</v>
      </c>
    </row>
    <row r="1292" customFormat="false" ht="15" hidden="false" customHeight="false" outlineLevel="0" collapsed="false">
      <c r="B1292" s="7" t="s">
        <v>1789</v>
      </c>
      <c r="C1292" s="39" t="n">
        <v>45723</v>
      </c>
      <c r="D1292" s="7" t="s">
        <v>397</v>
      </c>
      <c r="E1292" s="7" t="s">
        <v>159</v>
      </c>
      <c r="F1292" s="7" t="s">
        <v>203</v>
      </c>
      <c r="G1292" s="7" t="s">
        <v>502</v>
      </c>
      <c r="H1292" s="6" t="n">
        <v>0.93</v>
      </c>
      <c r="I1292" s="6" t="n">
        <v>0</v>
      </c>
      <c r="J1292" s="40" t="n">
        <f aca="false">H1292-I1292</f>
        <v>0.93</v>
      </c>
      <c r="K1292" s="41" t="n">
        <v>135</v>
      </c>
      <c r="L1292" s="42" t="n">
        <f aca="false">J1292*K1292</f>
        <v>125.55</v>
      </c>
      <c r="M1292" s="43" t="n">
        <f aca="false">H1292*49.43*(1+'Chart of Accounts'!$E$67)</f>
        <v>52.6355355</v>
      </c>
    </row>
    <row r="1293" customFormat="false" ht="15" hidden="false" customHeight="false" outlineLevel="0" collapsed="false">
      <c r="B1293" s="7" t="s">
        <v>1790</v>
      </c>
      <c r="C1293" s="39" t="n">
        <v>45723</v>
      </c>
      <c r="D1293" s="7" t="s">
        <v>399</v>
      </c>
      <c r="E1293" s="7" t="s">
        <v>154</v>
      </c>
      <c r="F1293" s="7" t="s">
        <v>262</v>
      </c>
      <c r="G1293" s="7" t="s">
        <v>505</v>
      </c>
      <c r="H1293" s="6" t="n">
        <v>3.46</v>
      </c>
      <c r="I1293" s="6" t="n">
        <v>0</v>
      </c>
      <c r="J1293" s="40" t="n">
        <f aca="false">H1293-I1293</f>
        <v>3.46</v>
      </c>
      <c r="K1293" s="41" t="n">
        <v>26.5</v>
      </c>
      <c r="L1293" s="42" t="n">
        <f aca="false">J1293*K1293</f>
        <v>91.69</v>
      </c>
      <c r="M1293" s="43" t="n">
        <f aca="false">H1293*16.02*(1+'Chart of Accounts'!$E$67)</f>
        <v>63.466434</v>
      </c>
    </row>
    <row r="1294" customFormat="false" ht="15" hidden="false" customHeight="false" outlineLevel="0" collapsed="false">
      <c r="B1294" s="7" t="s">
        <v>1791</v>
      </c>
      <c r="C1294" s="39" t="n">
        <v>45723</v>
      </c>
      <c r="D1294" s="7" t="s">
        <v>401</v>
      </c>
      <c r="E1294" s="7" t="s">
        <v>156</v>
      </c>
      <c r="F1294" s="7" t="s">
        <v>254</v>
      </c>
      <c r="G1294" s="7" t="s">
        <v>505</v>
      </c>
      <c r="H1294" s="6" t="n">
        <v>3.84</v>
      </c>
      <c r="I1294" s="6" t="n">
        <v>0</v>
      </c>
      <c r="J1294" s="40" t="n">
        <f aca="false">H1294-I1294</f>
        <v>3.84</v>
      </c>
      <c r="K1294" s="41" t="n">
        <v>34</v>
      </c>
      <c r="L1294" s="42" t="n">
        <f aca="false">J1294*K1294</f>
        <v>130.56</v>
      </c>
      <c r="M1294" s="43" t="n">
        <f aca="false">H1294*17.1*(1+'Chart of Accounts'!$E$67)</f>
        <v>75.18528</v>
      </c>
    </row>
    <row r="1295" customFormat="false" ht="15" hidden="false" customHeight="false" outlineLevel="0" collapsed="false">
      <c r="B1295" s="7" t="s">
        <v>1792</v>
      </c>
      <c r="C1295" s="39" t="n">
        <v>45723</v>
      </c>
      <c r="D1295" s="7" t="s">
        <v>407</v>
      </c>
      <c r="E1295" s="7" t="s">
        <v>159</v>
      </c>
      <c r="F1295" s="7" t="s">
        <v>260</v>
      </c>
      <c r="G1295" s="7" t="s">
        <v>502</v>
      </c>
      <c r="H1295" s="6" t="n">
        <v>1.02</v>
      </c>
      <c r="I1295" s="6" t="n">
        <v>0</v>
      </c>
      <c r="J1295" s="40" t="n">
        <f aca="false">H1295-I1295</f>
        <v>1.02</v>
      </c>
      <c r="K1295" s="41" t="n">
        <v>135</v>
      </c>
      <c r="L1295" s="42" t="n">
        <f aca="false">J1295*K1295</f>
        <v>137.7</v>
      </c>
      <c r="M1295" s="43" t="n">
        <f aca="false">H1295*79.8*(1+'Chart of Accounts'!$E$67)</f>
        <v>93.19842</v>
      </c>
    </row>
    <row r="1296" customFormat="false" ht="15" hidden="false" customHeight="false" outlineLevel="0" collapsed="false">
      <c r="B1296" s="7" t="s">
        <v>1793</v>
      </c>
      <c r="C1296" s="39" t="n">
        <v>45723</v>
      </c>
      <c r="D1296" s="7" t="s">
        <v>409</v>
      </c>
      <c r="E1296" s="7" t="s">
        <v>154</v>
      </c>
      <c r="F1296" s="7" t="s">
        <v>214</v>
      </c>
      <c r="G1296" s="7" t="s">
        <v>505</v>
      </c>
      <c r="H1296" s="6" t="n">
        <v>3.13</v>
      </c>
      <c r="I1296" s="6" t="n">
        <v>0</v>
      </c>
      <c r="J1296" s="40" t="n">
        <f aca="false">H1296-I1296</f>
        <v>3.13</v>
      </c>
      <c r="K1296" s="41" t="n">
        <v>26.5</v>
      </c>
      <c r="L1296" s="42" t="n">
        <f aca="false">J1296*K1296</f>
        <v>82.945</v>
      </c>
      <c r="M1296" s="43" t="n">
        <f aca="false">H1296*15.67*(1+'Chart of Accounts'!$E$67)</f>
        <v>56.1589295</v>
      </c>
    </row>
    <row r="1297" customFormat="false" ht="15" hidden="false" customHeight="false" outlineLevel="0" collapsed="false">
      <c r="B1297" s="7" t="s">
        <v>1794</v>
      </c>
      <c r="C1297" s="39" t="n">
        <v>45723</v>
      </c>
      <c r="D1297" s="7" t="s">
        <v>411</v>
      </c>
      <c r="E1297" s="7" t="s">
        <v>154</v>
      </c>
      <c r="F1297" s="7" t="s">
        <v>177</v>
      </c>
      <c r="G1297" s="7" t="s">
        <v>505</v>
      </c>
      <c r="H1297" s="6" t="n">
        <v>4.43</v>
      </c>
      <c r="I1297" s="6" t="n">
        <v>0</v>
      </c>
      <c r="J1297" s="40" t="n">
        <f aca="false">H1297-I1297</f>
        <v>4.43</v>
      </c>
      <c r="K1297" s="41" t="n">
        <v>26.5</v>
      </c>
      <c r="L1297" s="42" t="n">
        <f aca="false">J1297*K1297</f>
        <v>117.395</v>
      </c>
      <c r="M1297" s="43" t="n">
        <f aca="false">H1297*14.56*(1+'Chart of Accounts'!$E$67)</f>
        <v>73.853416</v>
      </c>
    </row>
    <row r="1298" customFormat="false" ht="15" hidden="false" customHeight="false" outlineLevel="0" collapsed="false">
      <c r="B1298" s="7" t="s">
        <v>1795</v>
      </c>
      <c r="C1298" s="39" t="n">
        <v>45724</v>
      </c>
      <c r="D1298" s="7" t="s">
        <v>288</v>
      </c>
      <c r="E1298" s="7" t="s">
        <v>156</v>
      </c>
      <c r="F1298" s="7" t="s">
        <v>191</v>
      </c>
      <c r="G1298" s="7" t="s">
        <v>505</v>
      </c>
      <c r="H1298" s="6" t="n">
        <v>4.26</v>
      </c>
      <c r="I1298" s="6" t="n">
        <v>0</v>
      </c>
      <c r="J1298" s="40" t="n">
        <f aca="false">H1298-I1298</f>
        <v>4.26</v>
      </c>
      <c r="K1298" s="41" t="n">
        <v>34</v>
      </c>
      <c r="L1298" s="42" t="n">
        <f aca="false">J1298*K1298</f>
        <v>144.84</v>
      </c>
      <c r="M1298" s="43" t="n">
        <f aca="false">H1298*16.05*(1+'Chart of Accounts'!$E$67)</f>
        <v>78.287085</v>
      </c>
    </row>
    <row r="1299" customFormat="false" ht="15" hidden="false" customHeight="false" outlineLevel="0" collapsed="false">
      <c r="B1299" s="7" t="s">
        <v>1796</v>
      </c>
      <c r="C1299" s="39" t="n">
        <v>45724</v>
      </c>
      <c r="D1299" s="7" t="s">
        <v>321</v>
      </c>
      <c r="E1299" s="7" t="s">
        <v>154</v>
      </c>
      <c r="F1299" s="7" t="s">
        <v>218</v>
      </c>
      <c r="G1299" s="7" t="s">
        <v>505</v>
      </c>
      <c r="H1299" s="6" t="n">
        <v>4.1</v>
      </c>
      <c r="I1299" s="6" t="n">
        <v>0</v>
      </c>
      <c r="J1299" s="40" t="n">
        <f aca="false">H1299-I1299</f>
        <v>4.1</v>
      </c>
      <c r="K1299" s="41" t="n">
        <v>26.5</v>
      </c>
      <c r="L1299" s="42" t="n">
        <f aca="false">J1299*K1299</f>
        <v>108.65</v>
      </c>
      <c r="M1299" s="43" t="n">
        <f aca="false">H1299*16.19*(1+'Chart of Accounts'!$E$67)</f>
        <v>76.003955</v>
      </c>
    </row>
    <row r="1300" customFormat="false" ht="15" hidden="false" customHeight="false" outlineLevel="0" collapsed="false">
      <c r="B1300" s="7" t="s">
        <v>1797</v>
      </c>
      <c r="C1300" s="39" t="n">
        <v>45724</v>
      </c>
      <c r="D1300" s="7" t="s">
        <v>359</v>
      </c>
      <c r="E1300" s="7" t="s">
        <v>156</v>
      </c>
      <c r="F1300" s="7" t="s">
        <v>212</v>
      </c>
      <c r="G1300" s="7" t="s">
        <v>505</v>
      </c>
      <c r="H1300" s="6" t="n">
        <v>4.09</v>
      </c>
      <c r="I1300" s="6" t="n">
        <v>0</v>
      </c>
      <c r="J1300" s="40" t="n">
        <f aca="false">H1300-I1300</f>
        <v>4.09</v>
      </c>
      <c r="K1300" s="41" t="n">
        <v>34</v>
      </c>
      <c r="L1300" s="42" t="n">
        <f aca="false">J1300*K1300</f>
        <v>139.06</v>
      </c>
      <c r="M1300" s="43" t="n">
        <f aca="false">H1300*16.71*(1+'Chart of Accounts'!$E$67)</f>
        <v>78.2537655</v>
      </c>
    </row>
    <row r="1301" customFormat="false" ht="15" hidden="false" customHeight="false" outlineLevel="0" collapsed="false">
      <c r="B1301" s="7" t="s">
        <v>1798</v>
      </c>
      <c r="C1301" s="39" t="n">
        <v>45724</v>
      </c>
      <c r="D1301" s="7" t="s">
        <v>391</v>
      </c>
      <c r="E1301" s="7" t="s">
        <v>156</v>
      </c>
      <c r="F1301" s="7" t="s">
        <v>222</v>
      </c>
      <c r="G1301" s="7" t="s">
        <v>505</v>
      </c>
      <c r="H1301" s="6" t="n">
        <v>4.12</v>
      </c>
      <c r="I1301" s="6" t="n">
        <v>0</v>
      </c>
      <c r="J1301" s="40" t="n">
        <f aca="false">H1301-I1301</f>
        <v>4.12</v>
      </c>
      <c r="K1301" s="41" t="n">
        <v>34</v>
      </c>
      <c r="L1301" s="42" t="n">
        <f aca="false">J1301*K1301</f>
        <v>140.08</v>
      </c>
      <c r="M1301" s="43" t="n">
        <f aca="false">H1301*17.84*(1+'Chart of Accounts'!$E$67)</f>
        <v>84.158416</v>
      </c>
    </row>
    <row r="1302" customFormat="false" ht="15" hidden="false" customHeight="false" outlineLevel="0" collapsed="false">
      <c r="B1302" s="7" t="s">
        <v>1799</v>
      </c>
      <c r="C1302" s="39" t="n">
        <v>45724</v>
      </c>
      <c r="D1302" s="7" t="s">
        <v>395</v>
      </c>
      <c r="E1302" s="7" t="s">
        <v>156</v>
      </c>
      <c r="F1302" s="7" t="s">
        <v>242</v>
      </c>
      <c r="G1302" s="7" t="s">
        <v>505</v>
      </c>
      <c r="H1302" s="6" t="n">
        <v>3.75</v>
      </c>
      <c r="I1302" s="6" t="n">
        <v>0</v>
      </c>
      <c r="J1302" s="40" t="n">
        <f aca="false">H1302-I1302</f>
        <v>3.75</v>
      </c>
      <c r="K1302" s="41" t="n">
        <v>34</v>
      </c>
      <c r="L1302" s="42" t="n">
        <f aca="false">J1302*K1302</f>
        <v>127.5</v>
      </c>
      <c r="M1302" s="43" t="n">
        <f aca="false">H1302*17.99*(1+'Chart of Accounts'!$E$67)</f>
        <v>77.2445625</v>
      </c>
    </row>
    <row r="1303" customFormat="false" ht="15" hidden="false" customHeight="false" outlineLevel="0" collapsed="false">
      <c r="B1303" s="7" t="s">
        <v>1800</v>
      </c>
      <c r="C1303" s="39" t="n">
        <v>45724</v>
      </c>
      <c r="D1303" s="7" t="s">
        <v>401</v>
      </c>
      <c r="E1303" s="7" t="s">
        <v>156</v>
      </c>
      <c r="F1303" s="7" t="s">
        <v>254</v>
      </c>
      <c r="G1303" s="7" t="s">
        <v>505</v>
      </c>
      <c r="H1303" s="6" t="n">
        <v>3.69</v>
      </c>
      <c r="I1303" s="6" t="n">
        <v>0</v>
      </c>
      <c r="J1303" s="40" t="n">
        <f aca="false">H1303-I1303</f>
        <v>3.69</v>
      </c>
      <c r="K1303" s="41" t="n">
        <v>34</v>
      </c>
      <c r="L1303" s="42" t="n">
        <f aca="false">J1303*K1303</f>
        <v>125.46</v>
      </c>
      <c r="M1303" s="43" t="n">
        <f aca="false">H1303*17.1*(1+'Chart of Accounts'!$E$67)</f>
        <v>72.248355</v>
      </c>
    </row>
    <row r="1304" customFormat="false" ht="15" hidden="false" customHeight="false" outlineLevel="0" collapsed="false">
      <c r="B1304" s="7" t="s">
        <v>1801</v>
      </c>
      <c r="C1304" s="39" t="n">
        <v>45725</v>
      </c>
      <c r="D1304" s="7" t="s">
        <v>288</v>
      </c>
      <c r="E1304" s="7" t="s">
        <v>156</v>
      </c>
      <c r="F1304" s="7" t="s">
        <v>191</v>
      </c>
      <c r="G1304" s="7" t="s">
        <v>505</v>
      </c>
      <c r="H1304" s="6" t="n">
        <v>4.16</v>
      </c>
      <c r="I1304" s="6" t="n">
        <v>0</v>
      </c>
      <c r="J1304" s="40" t="n">
        <f aca="false">H1304-I1304</f>
        <v>4.16</v>
      </c>
      <c r="K1304" s="41" t="n">
        <v>34</v>
      </c>
      <c r="L1304" s="42" t="n">
        <f aca="false">J1304*K1304</f>
        <v>141.44</v>
      </c>
      <c r="M1304" s="43" t="n">
        <f aca="false">H1304*16.05*(1+'Chart of Accounts'!$E$67)</f>
        <v>76.44936</v>
      </c>
    </row>
    <row r="1305" customFormat="false" ht="15" hidden="false" customHeight="false" outlineLevel="0" collapsed="false">
      <c r="B1305" s="7" t="s">
        <v>1802</v>
      </c>
      <c r="C1305" s="39" t="n">
        <v>45725</v>
      </c>
      <c r="D1305" s="7" t="s">
        <v>321</v>
      </c>
      <c r="E1305" s="7" t="s">
        <v>154</v>
      </c>
      <c r="F1305" s="7" t="s">
        <v>218</v>
      </c>
      <c r="G1305" s="7" t="s">
        <v>505</v>
      </c>
      <c r="H1305" s="6" t="n">
        <v>3.72</v>
      </c>
      <c r="I1305" s="6" t="n">
        <v>0.112</v>
      </c>
      <c r="J1305" s="40" t="n">
        <f aca="false">H1305-I1305</f>
        <v>3.608</v>
      </c>
      <c r="K1305" s="41" t="n">
        <v>26.5</v>
      </c>
      <c r="L1305" s="42" t="n">
        <f aca="false">J1305*K1305</f>
        <v>95.612</v>
      </c>
      <c r="M1305" s="43" t="n">
        <f aca="false">H1305*16.19*(1+'Chart of Accounts'!$E$67)</f>
        <v>68.959686</v>
      </c>
    </row>
    <row r="1306" customFormat="false" ht="15" hidden="false" customHeight="false" outlineLevel="0" collapsed="false">
      <c r="B1306" s="7" t="s">
        <v>1803</v>
      </c>
      <c r="C1306" s="39" t="n">
        <v>45725</v>
      </c>
      <c r="D1306" s="7" t="s">
        <v>359</v>
      </c>
      <c r="E1306" s="7" t="s">
        <v>156</v>
      </c>
      <c r="F1306" s="7" t="s">
        <v>212</v>
      </c>
      <c r="G1306" s="7" t="s">
        <v>505</v>
      </c>
      <c r="H1306" s="6" t="n">
        <v>4.38</v>
      </c>
      <c r="I1306" s="6" t="n">
        <v>0</v>
      </c>
      <c r="J1306" s="40" t="n">
        <f aca="false">H1306-I1306</f>
        <v>4.38</v>
      </c>
      <c r="K1306" s="41" t="n">
        <v>34</v>
      </c>
      <c r="L1306" s="42" t="n">
        <f aca="false">J1306*K1306</f>
        <v>148.92</v>
      </c>
      <c r="M1306" s="43" t="n">
        <f aca="false">H1306*16.71*(1+'Chart of Accounts'!$E$67)</f>
        <v>83.802321</v>
      </c>
    </row>
    <row r="1307" customFormat="false" ht="15" hidden="false" customHeight="false" outlineLevel="0" collapsed="false">
      <c r="B1307" s="7" t="s">
        <v>1804</v>
      </c>
      <c r="C1307" s="39" t="n">
        <v>45725</v>
      </c>
      <c r="D1307" s="7" t="s">
        <v>395</v>
      </c>
      <c r="E1307" s="7" t="s">
        <v>156</v>
      </c>
      <c r="F1307" s="7" t="s">
        <v>242</v>
      </c>
      <c r="G1307" s="7" t="s">
        <v>505</v>
      </c>
      <c r="H1307" s="6" t="n">
        <v>3.72</v>
      </c>
      <c r="I1307" s="6" t="n">
        <v>0</v>
      </c>
      <c r="J1307" s="40" t="n">
        <f aca="false">H1307-I1307</f>
        <v>3.72</v>
      </c>
      <c r="K1307" s="41" t="n">
        <v>34</v>
      </c>
      <c r="L1307" s="42" t="n">
        <f aca="false">J1307*K1307</f>
        <v>126.48</v>
      </c>
      <c r="M1307" s="43" t="n">
        <f aca="false">H1307*17.99*(1+'Chart of Accounts'!$E$67)</f>
        <v>76.626606</v>
      </c>
    </row>
    <row r="1308" customFormat="false" ht="15" hidden="false" customHeight="false" outlineLevel="0" collapsed="false">
      <c r="B1308" s="7" t="s">
        <v>1805</v>
      </c>
      <c r="C1308" s="39" t="n">
        <v>45725</v>
      </c>
      <c r="D1308" s="7" t="s">
        <v>401</v>
      </c>
      <c r="E1308" s="7" t="s">
        <v>156</v>
      </c>
      <c r="F1308" s="7" t="s">
        <v>254</v>
      </c>
      <c r="G1308" s="7" t="s">
        <v>505</v>
      </c>
      <c r="H1308" s="6" t="n">
        <v>3.85</v>
      </c>
      <c r="I1308" s="6" t="n">
        <v>0</v>
      </c>
      <c r="J1308" s="40" t="n">
        <f aca="false">H1308-I1308</f>
        <v>3.85</v>
      </c>
      <c r="K1308" s="41" t="n">
        <v>34</v>
      </c>
      <c r="L1308" s="42" t="n">
        <f aca="false">J1308*K1308</f>
        <v>130.9</v>
      </c>
      <c r="M1308" s="43" t="n">
        <f aca="false">H1308*17.1*(1+'Chart of Accounts'!$E$67)</f>
        <v>75.381075</v>
      </c>
    </row>
    <row r="1309" customFormat="false" ht="15" hidden="false" customHeight="false" outlineLevel="0" collapsed="false">
      <c r="B1309" s="7" t="s">
        <v>1806</v>
      </c>
      <c r="C1309" s="39" t="n">
        <v>45726</v>
      </c>
      <c r="D1309" s="7" t="s">
        <v>280</v>
      </c>
      <c r="E1309" s="7" t="s">
        <v>157</v>
      </c>
      <c r="F1309" s="7" t="s">
        <v>187</v>
      </c>
      <c r="G1309" s="7" t="s">
        <v>502</v>
      </c>
      <c r="H1309" s="6" t="n">
        <v>0.99</v>
      </c>
      <c r="I1309" s="6" t="n">
        <v>0</v>
      </c>
      <c r="J1309" s="40" t="n">
        <f aca="false">H1309-I1309</f>
        <v>0.99</v>
      </c>
      <c r="K1309" s="41" t="n">
        <v>165</v>
      </c>
      <c r="L1309" s="42" t="n">
        <f aca="false">J1309*K1309</f>
        <v>163.35</v>
      </c>
      <c r="M1309" s="43" t="n">
        <f aca="false">H1309*66.48*(1+'Chart of Accounts'!$E$67)</f>
        <v>75.358404</v>
      </c>
    </row>
    <row r="1310" customFormat="false" ht="15" hidden="false" customHeight="false" outlineLevel="0" collapsed="false">
      <c r="B1310" s="7" t="s">
        <v>1807</v>
      </c>
      <c r="C1310" s="39" t="n">
        <v>45726</v>
      </c>
      <c r="D1310" s="7" t="s">
        <v>288</v>
      </c>
      <c r="E1310" s="7" t="s">
        <v>156</v>
      </c>
      <c r="F1310" s="7" t="s">
        <v>191</v>
      </c>
      <c r="G1310" s="7" t="s">
        <v>505</v>
      </c>
      <c r="H1310" s="6" t="n">
        <v>4.27</v>
      </c>
      <c r="I1310" s="6" t="n">
        <v>0</v>
      </c>
      <c r="J1310" s="40" t="n">
        <f aca="false">H1310-I1310</f>
        <v>4.27</v>
      </c>
      <c r="K1310" s="41" t="n">
        <v>34</v>
      </c>
      <c r="L1310" s="42" t="n">
        <f aca="false">J1310*K1310</f>
        <v>145.18</v>
      </c>
      <c r="M1310" s="43" t="n">
        <f aca="false">H1310*16.05*(1+'Chart of Accounts'!$E$67)</f>
        <v>78.4708575</v>
      </c>
    </row>
    <row r="1311" customFormat="false" ht="15" hidden="false" customHeight="false" outlineLevel="0" collapsed="false">
      <c r="B1311" s="7" t="s">
        <v>1808</v>
      </c>
      <c r="C1311" s="39" t="n">
        <v>45726</v>
      </c>
      <c r="D1311" s="7" t="s">
        <v>291</v>
      </c>
      <c r="E1311" s="7" t="s">
        <v>154</v>
      </c>
      <c r="F1311" s="7" t="s">
        <v>194</v>
      </c>
      <c r="G1311" s="7" t="s">
        <v>505</v>
      </c>
      <c r="H1311" s="6" t="n">
        <v>4.92</v>
      </c>
      <c r="I1311" s="6" t="n">
        <v>0</v>
      </c>
      <c r="J1311" s="40" t="n">
        <f aca="false">H1311-I1311</f>
        <v>4.92</v>
      </c>
      <c r="K1311" s="41" t="n">
        <v>26.5</v>
      </c>
      <c r="L1311" s="42" t="n">
        <f aca="false">J1311*K1311</f>
        <v>130.38</v>
      </c>
      <c r="M1311" s="43" t="n">
        <f aca="false">H1311*16*(1+'Chart of Accounts'!$E$67)</f>
        <v>90.1344</v>
      </c>
    </row>
    <row r="1312" customFormat="false" ht="15" hidden="false" customHeight="false" outlineLevel="0" collapsed="false">
      <c r="B1312" s="7" t="s">
        <v>1809</v>
      </c>
      <c r="C1312" s="39" t="n">
        <v>45726</v>
      </c>
      <c r="D1312" s="7" t="s">
        <v>297</v>
      </c>
      <c r="E1312" s="7" t="s">
        <v>156</v>
      </c>
      <c r="F1312" s="7" t="s">
        <v>201</v>
      </c>
      <c r="G1312" s="7" t="s">
        <v>505</v>
      </c>
      <c r="H1312" s="6" t="n">
        <v>2.82</v>
      </c>
      <c r="I1312" s="6" t="n">
        <v>0</v>
      </c>
      <c r="J1312" s="40" t="n">
        <f aca="false">H1312-I1312</f>
        <v>2.82</v>
      </c>
      <c r="K1312" s="41" t="n">
        <v>34</v>
      </c>
      <c r="L1312" s="42" t="n">
        <f aca="false">J1312*K1312</f>
        <v>95.88</v>
      </c>
      <c r="M1312" s="43" t="n">
        <f aca="false">H1312*15.19*(1+'Chart of Accounts'!$E$67)</f>
        <v>49.046991</v>
      </c>
    </row>
    <row r="1313" customFormat="false" ht="15" hidden="false" customHeight="false" outlineLevel="0" collapsed="false">
      <c r="B1313" s="7" t="s">
        <v>1810</v>
      </c>
      <c r="C1313" s="39" t="n">
        <v>45726</v>
      </c>
      <c r="D1313" s="7" t="s">
        <v>305</v>
      </c>
      <c r="E1313" s="7" t="s">
        <v>154</v>
      </c>
      <c r="F1313" s="7" t="s">
        <v>205</v>
      </c>
      <c r="G1313" s="7" t="s">
        <v>505</v>
      </c>
      <c r="H1313" s="6" t="n">
        <v>4.26</v>
      </c>
      <c r="I1313" s="6" t="n">
        <v>0</v>
      </c>
      <c r="J1313" s="40" t="n">
        <f aca="false">H1313-I1313</f>
        <v>4.26</v>
      </c>
      <c r="K1313" s="41" t="n">
        <v>26.5</v>
      </c>
      <c r="L1313" s="42" t="n">
        <f aca="false">J1313*K1313</f>
        <v>112.89</v>
      </c>
      <c r="M1313" s="43" t="n">
        <f aca="false">H1313*16.36*(1+'Chart of Accounts'!$E$67)</f>
        <v>79.799172</v>
      </c>
    </row>
    <row r="1314" customFormat="false" ht="15" hidden="false" customHeight="false" outlineLevel="0" collapsed="false">
      <c r="B1314" s="7" t="s">
        <v>1811</v>
      </c>
      <c r="C1314" s="39" t="n">
        <v>45726</v>
      </c>
      <c r="D1314" s="7" t="s">
        <v>309</v>
      </c>
      <c r="E1314" s="7" t="s">
        <v>159</v>
      </c>
      <c r="F1314" s="7" t="s">
        <v>252</v>
      </c>
      <c r="G1314" s="7" t="s">
        <v>502</v>
      </c>
      <c r="H1314" s="6" t="n">
        <v>0.95</v>
      </c>
      <c r="I1314" s="6" t="n">
        <v>0</v>
      </c>
      <c r="J1314" s="40" t="n">
        <f aca="false">H1314-I1314</f>
        <v>0.95</v>
      </c>
      <c r="K1314" s="41" t="n">
        <v>135</v>
      </c>
      <c r="L1314" s="42" t="n">
        <f aca="false">J1314*K1314</f>
        <v>128.25</v>
      </c>
      <c r="M1314" s="43" t="n">
        <f aca="false">H1314*57.54*(1+'Chart of Accounts'!$E$67)</f>
        <v>62.589135</v>
      </c>
    </row>
    <row r="1315" customFormat="false" ht="15" hidden="false" customHeight="false" outlineLevel="0" collapsed="false">
      <c r="B1315" s="7" t="s">
        <v>1812</v>
      </c>
      <c r="C1315" s="39" t="n">
        <v>45726</v>
      </c>
      <c r="D1315" s="7" t="s">
        <v>311</v>
      </c>
      <c r="E1315" s="7" t="s">
        <v>154</v>
      </c>
      <c r="F1315" s="7" t="s">
        <v>196</v>
      </c>
      <c r="G1315" s="7" t="s">
        <v>505</v>
      </c>
      <c r="H1315" s="6" t="n">
        <v>3.14</v>
      </c>
      <c r="I1315" s="6" t="n">
        <v>0</v>
      </c>
      <c r="J1315" s="40" t="n">
        <f aca="false">H1315-I1315</f>
        <v>3.14</v>
      </c>
      <c r="K1315" s="41" t="n">
        <v>26.5</v>
      </c>
      <c r="L1315" s="42" t="n">
        <f aca="false">J1315*K1315</f>
        <v>83.21</v>
      </c>
      <c r="M1315" s="43" t="n">
        <f aca="false">H1315*15.05*(1+'Chart of Accounts'!$E$67)</f>
        <v>54.109265</v>
      </c>
    </row>
    <row r="1316" customFormat="false" ht="15" hidden="false" customHeight="false" outlineLevel="0" collapsed="false">
      <c r="B1316" s="7" t="s">
        <v>1813</v>
      </c>
      <c r="C1316" s="39" t="n">
        <v>45726</v>
      </c>
      <c r="D1316" s="7" t="s">
        <v>313</v>
      </c>
      <c r="E1316" s="7" t="s">
        <v>156</v>
      </c>
      <c r="F1316" s="7" t="s">
        <v>184</v>
      </c>
      <c r="G1316" s="7" t="s">
        <v>505</v>
      </c>
      <c r="H1316" s="6" t="n">
        <v>4.22</v>
      </c>
      <c r="I1316" s="6" t="n">
        <v>0</v>
      </c>
      <c r="J1316" s="40" t="n">
        <f aca="false">H1316-I1316</f>
        <v>4.22</v>
      </c>
      <c r="K1316" s="41" t="n">
        <v>34</v>
      </c>
      <c r="L1316" s="42" t="n">
        <f aca="false">J1316*K1316</f>
        <v>143.48</v>
      </c>
      <c r="M1316" s="43" t="n">
        <f aca="false">H1316*17.34*(1+'Chart of Accounts'!$E$67)</f>
        <v>83.785146</v>
      </c>
    </row>
    <row r="1317" customFormat="false" ht="15" hidden="false" customHeight="false" outlineLevel="0" collapsed="false">
      <c r="B1317" s="7" t="s">
        <v>1814</v>
      </c>
      <c r="C1317" s="39" t="n">
        <v>45726</v>
      </c>
      <c r="D1317" s="7" t="s">
        <v>317</v>
      </c>
      <c r="E1317" s="7" t="s">
        <v>156</v>
      </c>
      <c r="F1317" s="7" t="s">
        <v>207</v>
      </c>
      <c r="G1317" s="7" t="s">
        <v>505</v>
      </c>
      <c r="H1317" s="6" t="n">
        <v>2.98</v>
      </c>
      <c r="I1317" s="6" t="n">
        <v>0</v>
      </c>
      <c r="J1317" s="40" t="n">
        <f aca="false">H1317-I1317</f>
        <v>2.98</v>
      </c>
      <c r="K1317" s="41" t="n">
        <v>34</v>
      </c>
      <c r="L1317" s="42" t="n">
        <f aca="false">J1317*K1317</f>
        <v>101.32</v>
      </c>
      <c r="M1317" s="43" t="n">
        <f aca="false">H1317*16.65*(1+'Chart of Accounts'!$E$67)</f>
        <v>56.811465</v>
      </c>
    </row>
    <row r="1318" customFormat="false" ht="15" hidden="false" customHeight="false" outlineLevel="0" collapsed="false">
      <c r="B1318" s="7" t="s">
        <v>1815</v>
      </c>
      <c r="C1318" s="39" t="n">
        <v>45726</v>
      </c>
      <c r="D1318" s="7" t="s">
        <v>321</v>
      </c>
      <c r="E1318" s="7" t="s">
        <v>154</v>
      </c>
      <c r="F1318" s="7" t="s">
        <v>218</v>
      </c>
      <c r="G1318" s="7" t="s">
        <v>505</v>
      </c>
      <c r="H1318" s="6" t="n">
        <v>3.86</v>
      </c>
      <c r="I1318" s="6" t="n">
        <v>0.116</v>
      </c>
      <c r="J1318" s="40" t="n">
        <f aca="false">H1318-I1318</f>
        <v>3.744</v>
      </c>
      <c r="K1318" s="41" t="n">
        <v>26.5</v>
      </c>
      <c r="L1318" s="42" t="n">
        <f aca="false">J1318*K1318</f>
        <v>99.216</v>
      </c>
      <c r="M1318" s="43" t="n">
        <f aca="false">H1318*16.19*(1+'Chart of Accounts'!$E$67)</f>
        <v>71.554943</v>
      </c>
    </row>
    <row r="1319" customFormat="false" ht="15" hidden="false" customHeight="false" outlineLevel="0" collapsed="false">
      <c r="B1319" s="7" t="s">
        <v>1816</v>
      </c>
      <c r="C1319" s="39" t="n">
        <v>45726</v>
      </c>
      <c r="D1319" s="7" t="s">
        <v>325</v>
      </c>
      <c r="E1319" s="7" t="s">
        <v>154</v>
      </c>
      <c r="F1319" s="7" t="s">
        <v>212</v>
      </c>
      <c r="G1319" s="7" t="s">
        <v>505</v>
      </c>
      <c r="H1319" s="6" t="n">
        <v>3.26</v>
      </c>
      <c r="I1319" s="6" t="n">
        <v>0</v>
      </c>
      <c r="J1319" s="40" t="n">
        <f aca="false">H1319-I1319</f>
        <v>3.26</v>
      </c>
      <c r="K1319" s="41" t="n">
        <v>26.5</v>
      </c>
      <c r="L1319" s="42" t="n">
        <f aca="false">J1319*K1319</f>
        <v>86.39</v>
      </c>
      <c r="M1319" s="43" t="n">
        <f aca="false">H1319*16.71*(1+'Chart of Accounts'!$E$67)</f>
        <v>62.373417</v>
      </c>
    </row>
    <row r="1320" customFormat="false" ht="15" hidden="false" customHeight="false" outlineLevel="0" collapsed="false">
      <c r="B1320" s="7" t="s">
        <v>1817</v>
      </c>
      <c r="C1320" s="39" t="n">
        <v>45726</v>
      </c>
      <c r="D1320" s="7" t="s">
        <v>329</v>
      </c>
      <c r="E1320" s="7" t="s">
        <v>156</v>
      </c>
      <c r="F1320" s="7" t="s">
        <v>220</v>
      </c>
      <c r="G1320" s="7" t="s">
        <v>505</v>
      </c>
      <c r="H1320" s="6" t="n">
        <v>4.11</v>
      </c>
      <c r="I1320" s="6" t="n">
        <v>0</v>
      </c>
      <c r="J1320" s="40" t="n">
        <f aca="false">H1320-I1320</f>
        <v>4.11</v>
      </c>
      <c r="K1320" s="41" t="n">
        <v>34</v>
      </c>
      <c r="L1320" s="42" t="n">
        <f aca="false">J1320*K1320</f>
        <v>139.74</v>
      </c>
      <c r="M1320" s="43" t="n">
        <f aca="false">H1320*16.43*(1+'Chart of Accounts'!$E$67)</f>
        <v>77.3187585</v>
      </c>
    </row>
    <row r="1321" customFormat="false" ht="15" hidden="false" customHeight="false" outlineLevel="0" collapsed="false">
      <c r="B1321" s="7" t="s">
        <v>1818</v>
      </c>
      <c r="C1321" s="39" t="n">
        <v>45726</v>
      </c>
      <c r="D1321" s="7" t="s">
        <v>331</v>
      </c>
      <c r="E1321" s="7" t="s">
        <v>156</v>
      </c>
      <c r="F1321" s="7" t="s">
        <v>224</v>
      </c>
      <c r="G1321" s="7" t="s">
        <v>505</v>
      </c>
      <c r="H1321" s="6" t="n">
        <v>4.29</v>
      </c>
      <c r="I1321" s="6" t="n">
        <v>0</v>
      </c>
      <c r="J1321" s="40" t="n">
        <f aca="false">H1321-I1321</f>
        <v>4.29</v>
      </c>
      <c r="K1321" s="41" t="n">
        <v>34</v>
      </c>
      <c r="L1321" s="42" t="n">
        <f aca="false">J1321*K1321</f>
        <v>145.86</v>
      </c>
      <c r="M1321" s="43" t="n">
        <f aca="false">H1321*14.93*(1+'Chart of Accounts'!$E$67)</f>
        <v>73.3369065</v>
      </c>
    </row>
    <row r="1322" customFormat="false" ht="15" hidden="false" customHeight="false" outlineLevel="0" collapsed="false">
      <c r="B1322" s="7" t="s">
        <v>1819</v>
      </c>
      <c r="C1322" s="39" t="n">
        <v>45726</v>
      </c>
      <c r="D1322" s="7" t="s">
        <v>335</v>
      </c>
      <c r="E1322" s="7" t="s">
        <v>154</v>
      </c>
      <c r="F1322" s="7" t="s">
        <v>177</v>
      </c>
      <c r="G1322" s="7" t="s">
        <v>505</v>
      </c>
      <c r="H1322" s="6" t="n">
        <v>4.11</v>
      </c>
      <c r="I1322" s="6" t="n">
        <v>0</v>
      </c>
      <c r="J1322" s="40" t="n">
        <f aca="false">H1322-I1322</f>
        <v>4.11</v>
      </c>
      <c r="K1322" s="41" t="n">
        <v>26.5</v>
      </c>
      <c r="L1322" s="42" t="n">
        <f aca="false">J1322*K1322</f>
        <v>108.915</v>
      </c>
      <c r="M1322" s="43" t="n">
        <f aca="false">H1322*14.56*(1+'Chart of Accounts'!$E$67)</f>
        <v>68.518632</v>
      </c>
    </row>
    <row r="1323" customFormat="false" ht="15" hidden="false" customHeight="false" outlineLevel="0" collapsed="false">
      <c r="B1323" s="7" t="s">
        <v>1820</v>
      </c>
      <c r="C1323" s="39" t="n">
        <v>45726</v>
      </c>
      <c r="D1323" s="7" t="s">
        <v>337</v>
      </c>
      <c r="E1323" s="7" t="s">
        <v>154</v>
      </c>
      <c r="F1323" s="7" t="s">
        <v>232</v>
      </c>
      <c r="G1323" s="7" t="s">
        <v>505</v>
      </c>
      <c r="H1323" s="6" t="n">
        <v>2.87</v>
      </c>
      <c r="I1323" s="6" t="n">
        <v>0</v>
      </c>
      <c r="J1323" s="40" t="n">
        <f aca="false">H1323-I1323</f>
        <v>2.87</v>
      </c>
      <c r="K1323" s="41" t="n">
        <v>26.5</v>
      </c>
      <c r="L1323" s="42" t="n">
        <f aca="false">J1323*K1323</f>
        <v>76.055</v>
      </c>
      <c r="M1323" s="43" t="n">
        <f aca="false">H1323*16.17*(1+'Chart of Accounts'!$E$67)</f>
        <v>53.1370455</v>
      </c>
    </row>
    <row r="1324" customFormat="false" ht="15" hidden="false" customHeight="false" outlineLevel="0" collapsed="false">
      <c r="B1324" s="7" t="s">
        <v>1821</v>
      </c>
      <c r="C1324" s="39" t="n">
        <v>45726</v>
      </c>
      <c r="D1324" s="7" t="s">
        <v>339</v>
      </c>
      <c r="E1324" s="7" t="s">
        <v>154</v>
      </c>
      <c r="F1324" s="7" t="s">
        <v>242</v>
      </c>
      <c r="G1324" s="7" t="s">
        <v>505</v>
      </c>
      <c r="H1324" s="6" t="n">
        <v>3.01</v>
      </c>
      <c r="I1324" s="6" t="n">
        <v>0</v>
      </c>
      <c r="J1324" s="40" t="n">
        <f aca="false">H1324-I1324</f>
        <v>3.01</v>
      </c>
      <c r="K1324" s="41" t="n">
        <v>26.5</v>
      </c>
      <c r="L1324" s="42" t="n">
        <f aca="false">J1324*K1324</f>
        <v>79.765</v>
      </c>
      <c r="M1324" s="43" t="n">
        <f aca="false">H1324*17.99*(1+'Chart of Accounts'!$E$67)</f>
        <v>62.0016355</v>
      </c>
    </row>
    <row r="1325" customFormat="false" ht="15" hidden="false" customHeight="false" outlineLevel="0" collapsed="false">
      <c r="B1325" s="7" t="s">
        <v>1822</v>
      </c>
      <c r="C1325" s="39" t="n">
        <v>45726</v>
      </c>
      <c r="D1325" s="7" t="s">
        <v>341</v>
      </c>
      <c r="E1325" s="7" t="s">
        <v>156</v>
      </c>
      <c r="F1325" s="7" t="s">
        <v>222</v>
      </c>
      <c r="G1325" s="7" t="s">
        <v>505</v>
      </c>
      <c r="H1325" s="6" t="n">
        <v>2.99</v>
      </c>
      <c r="I1325" s="6" t="n">
        <v>0</v>
      </c>
      <c r="J1325" s="40" t="n">
        <f aca="false">H1325-I1325</f>
        <v>2.99</v>
      </c>
      <c r="K1325" s="41" t="n">
        <v>34</v>
      </c>
      <c r="L1325" s="42" t="n">
        <f aca="false">J1325*K1325</f>
        <v>101.66</v>
      </c>
      <c r="M1325" s="43" t="n">
        <f aca="false">H1325*17.84*(1+'Chart of Accounts'!$E$67)</f>
        <v>61.076132</v>
      </c>
    </row>
    <row r="1326" customFormat="false" ht="15" hidden="false" customHeight="false" outlineLevel="0" collapsed="false">
      <c r="B1326" s="7" t="s">
        <v>1823</v>
      </c>
      <c r="C1326" s="39" t="n">
        <v>45726</v>
      </c>
      <c r="D1326" s="7" t="s">
        <v>343</v>
      </c>
      <c r="E1326" s="7" t="s">
        <v>154</v>
      </c>
      <c r="F1326" s="7" t="s">
        <v>262</v>
      </c>
      <c r="G1326" s="7" t="s">
        <v>505</v>
      </c>
      <c r="H1326" s="6" t="n">
        <v>3.67</v>
      </c>
      <c r="I1326" s="6" t="n">
        <v>0.11</v>
      </c>
      <c r="J1326" s="40" t="n">
        <f aca="false">H1326-I1326</f>
        <v>3.56</v>
      </c>
      <c r="K1326" s="41" t="n">
        <v>26.5</v>
      </c>
      <c r="L1326" s="42" t="n">
        <f aca="false">J1326*K1326</f>
        <v>94.34</v>
      </c>
      <c r="M1326" s="43" t="n">
        <f aca="false">H1326*16.02*(1+'Chart of Accounts'!$E$67)</f>
        <v>67.318443</v>
      </c>
    </row>
    <row r="1327" customFormat="false" ht="15" hidden="false" customHeight="false" outlineLevel="0" collapsed="false">
      <c r="B1327" s="7" t="s">
        <v>1824</v>
      </c>
      <c r="C1327" s="39" t="n">
        <v>45726</v>
      </c>
      <c r="D1327" s="7" t="s">
        <v>353</v>
      </c>
      <c r="E1327" s="7" t="s">
        <v>154</v>
      </c>
      <c r="F1327" s="7" t="s">
        <v>254</v>
      </c>
      <c r="G1327" s="7" t="s">
        <v>505</v>
      </c>
      <c r="H1327" s="6" t="n">
        <v>3.41</v>
      </c>
      <c r="I1327" s="6" t="n">
        <v>0</v>
      </c>
      <c r="J1327" s="40" t="n">
        <f aca="false">H1327-I1327</f>
        <v>3.41</v>
      </c>
      <c r="K1327" s="41" t="n">
        <v>26.5</v>
      </c>
      <c r="L1327" s="42" t="n">
        <f aca="false">J1327*K1327</f>
        <v>90.365</v>
      </c>
      <c r="M1327" s="43" t="n">
        <f aca="false">H1327*17.1*(1+'Chart of Accounts'!$E$67)</f>
        <v>66.766095</v>
      </c>
    </row>
    <row r="1328" customFormat="false" ht="15" hidden="false" customHeight="false" outlineLevel="0" collapsed="false">
      <c r="B1328" s="7" t="s">
        <v>1825</v>
      </c>
      <c r="C1328" s="39" t="n">
        <v>45726</v>
      </c>
      <c r="D1328" s="7" t="s">
        <v>355</v>
      </c>
      <c r="E1328" s="7" t="s">
        <v>154</v>
      </c>
      <c r="F1328" s="7" t="s">
        <v>201</v>
      </c>
      <c r="G1328" s="7" t="s">
        <v>505</v>
      </c>
      <c r="H1328" s="6" t="n">
        <v>3.42</v>
      </c>
      <c r="I1328" s="6" t="n">
        <v>0</v>
      </c>
      <c r="J1328" s="40" t="n">
        <f aca="false">H1328-I1328</f>
        <v>3.42</v>
      </c>
      <c r="K1328" s="41" t="n">
        <v>26.5</v>
      </c>
      <c r="L1328" s="42" t="n">
        <f aca="false">J1328*K1328</f>
        <v>90.63</v>
      </c>
      <c r="M1328" s="43" t="n">
        <f aca="false">H1328*15.19*(1+'Chart of Accounts'!$E$67)</f>
        <v>59.482521</v>
      </c>
    </row>
    <row r="1329" customFormat="false" ht="15" hidden="false" customHeight="false" outlineLevel="0" collapsed="false">
      <c r="B1329" s="7" t="s">
        <v>1826</v>
      </c>
      <c r="C1329" s="39" t="n">
        <v>45726</v>
      </c>
      <c r="D1329" s="7" t="s">
        <v>357</v>
      </c>
      <c r="E1329" s="7" t="s">
        <v>154</v>
      </c>
      <c r="F1329" s="7" t="s">
        <v>207</v>
      </c>
      <c r="G1329" s="7" t="s">
        <v>505</v>
      </c>
      <c r="H1329" s="6" t="n">
        <v>3.47</v>
      </c>
      <c r="I1329" s="6" t="n">
        <v>0.104</v>
      </c>
      <c r="J1329" s="40" t="n">
        <f aca="false">H1329-I1329</f>
        <v>3.366</v>
      </c>
      <c r="K1329" s="41" t="n">
        <v>26.5</v>
      </c>
      <c r="L1329" s="42" t="n">
        <f aca="false">J1329*K1329</f>
        <v>89.199</v>
      </c>
      <c r="M1329" s="43" t="n">
        <f aca="false">H1329*16.65*(1+'Chart of Accounts'!$E$67)</f>
        <v>66.1529475</v>
      </c>
    </row>
    <row r="1330" customFormat="false" ht="15" hidden="false" customHeight="false" outlineLevel="0" collapsed="false">
      <c r="B1330" s="7" t="s">
        <v>1827</v>
      </c>
      <c r="C1330" s="39" t="n">
        <v>45726</v>
      </c>
      <c r="D1330" s="7" t="s">
        <v>359</v>
      </c>
      <c r="E1330" s="7" t="s">
        <v>156</v>
      </c>
      <c r="F1330" s="7" t="s">
        <v>212</v>
      </c>
      <c r="G1330" s="7" t="s">
        <v>505</v>
      </c>
      <c r="H1330" s="6" t="n">
        <v>3.79</v>
      </c>
      <c r="I1330" s="6" t="n">
        <v>0</v>
      </c>
      <c r="J1330" s="40" t="n">
        <f aca="false">H1330-I1330</f>
        <v>3.79</v>
      </c>
      <c r="K1330" s="41" t="n">
        <v>34</v>
      </c>
      <c r="L1330" s="42" t="n">
        <f aca="false">J1330*K1330</f>
        <v>128.86</v>
      </c>
      <c r="M1330" s="43" t="n">
        <f aca="false">H1330*16.71*(1+'Chart of Accounts'!$E$67)</f>
        <v>72.5138805</v>
      </c>
    </row>
    <row r="1331" customFormat="false" ht="15" hidden="false" customHeight="false" outlineLevel="0" collapsed="false">
      <c r="B1331" s="7" t="s">
        <v>1828</v>
      </c>
      <c r="C1331" s="39" t="n">
        <v>45726</v>
      </c>
      <c r="D1331" s="7" t="s">
        <v>363</v>
      </c>
      <c r="E1331" s="7" t="s">
        <v>156</v>
      </c>
      <c r="F1331" s="7" t="s">
        <v>246</v>
      </c>
      <c r="G1331" s="7" t="s">
        <v>505</v>
      </c>
      <c r="H1331" s="6" t="n">
        <v>4.21</v>
      </c>
      <c r="I1331" s="6" t="n">
        <v>0</v>
      </c>
      <c r="J1331" s="40" t="n">
        <f aca="false">H1331-I1331</f>
        <v>4.21</v>
      </c>
      <c r="K1331" s="41" t="n">
        <v>34</v>
      </c>
      <c r="L1331" s="42" t="n">
        <f aca="false">J1331*K1331</f>
        <v>143.14</v>
      </c>
      <c r="M1331" s="43" t="n">
        <f aca="false">H1331*16.48*(1+'Chart of Accounts'!$E$67)</f>
        <v>79.441016</v>
      </c>
    </row>
    <row r="1332" customFormat="false" ht="15" hidden="false" customHeight="false" outlineLevel="0" collapsed="false">
      <c r="B1332" s="7" t="s">
        <v>1829</v>
      </c>
      <c r="C1332" s="39" t="n">
        <v>45726</v>
      </c>
      <c r="D1332" s="7" t="s">
        <v>371</v>
      </c>
      <c r="E1332" s="7" t="s">
        <v>154</v>
      </c>
      <c r="F1332" s="7" t="s">
        <v>232</v>
      </c>
      <c r="G1332" s="7" t="s">
        <v>505</v>
      </c>
      <c r="H1332" s="6" t="n">
        <v>4.38</v>
      </c>
      <c r="I1332" s="6" t="n">
        <v>0</v>
      </c>
      <c r="J1332" s="40" t="n">
        <f aca="false">H1332-I1332</f>
        <v>4.38</v>
      </c>
      <c r="K1332" s="41" t="n">
        <v>26.5</v>
      </c>
      <c r="L1332" s="42" t="n">
        <f aca="false">J1332*K1332</f>
        <v>116.07</v>
      </c>
      <c r="M1332" s="43" t="n">
        <f aca="false">H1332*16.17*(1+'Chart of Accounts'!$E$67)</f>
        <v>81.094167</v>
      </c>
    </row>
    <row r="1333" customFormat="false" ht="15" hidden="false" customHeight="false" outlineLevel="0" collapsed="false">
      <c r="B1333" s="7" t="s">
        <v>1830</v>
      </c>
      <c r="C1333" s="39" t="n">
        <v>45726</v>
      </c>
      <c r="D1333" s="7" t="s">
        <v>375</v>
      </c>
      <c r="E1333" s="7" t="s">
        <v>156</v>
      </c>
      <c r="F1333" s="7" t="s">
        <v>196</v>
      </c>
      <c r="G1333" s="7" t="s">
        <v>505</v>
      </c>
      <c r="H1333" s="6" t="n">
        <v>2.78</v>
      </c>
      <c r="I1333" s="6" t="n">
        <v>0</v>
      </c>
      <c r="J1333" s="40" t="n">
        <f aca="false">H1333-I1333</f>
        <v>2.78</v>
      </c>
      <c r="K1333" s="41" t="n">
        <v>34</v>
      </c>
      <c r="L1333" s="42" t="n">
        <f aca="false">J1333*K1333</f>
        <v>94.52</v>
      </c>
      <c r="M1333" s="43" t="n">
        <f aca="false">H1333*15.05*(1+'Chart of Accounts'!$E$67)</f>
        <v>47.905655</v>
      </c>
    </row>
    <row r="1334" customFormat="false" ht="15" hidden="false" customHeight="false" outlineLevel="0" collapsed="false">
      <c r="B1334" s="7" t="s">
        <v>1831</v>
      </c>
      <c r="C1334" s="39" t="n">
        <v>45726</v>
      </c>
      <c r="D1334" s="7" t="s">
        <v>377</v>
      </c>
      <c r="E1334" s="7" t="s">
        <v>154</v>
      </c>
      <c r="F1334" s="7" t="s">
        <v>214</v>
      </c>
      <c r="G1334" s="7" t="s">
        <v>505</v>
      </c>
      <c r="H1334" s="6" t="n">
        <v>3.95</v>
      </c>
      <c r="I1334" s="6" t="n">
        <v>0</v>
      </c>
      <c r="J1334" s="40" t="n">
        <f aca="false">H1334-I1334</f>
        <v>3.95</v>
      </c>
      <c r="K1334" s="41" t="n">
        <v>26.5</v>
      </c>
      <c r="L1334" s="42" t="n">
        <f aca="false">J1334*K1334</f>
        <v>104.675</v>
      </c>
      <c r="M1334" s="43" t="n">
        <f aca="false">H1334*15.67*(1+'Chart of Accounts'!$E$67)</f>
        <v>70.8714925</v>
      </c>
    </row>
    <row r="1335" customFormat="false" ht="15" hidden="false" customHeight="false" outlineLevel="0" collapsed="false">
      <c r="B1335" s="7" t="s">
        <v>1832</v>
      </c>
      <c r="C1335" s="39" t="n">
        <v>45726</v>
      </c>
      <c r="D1335" s="7" t="s">
        <v>379</v>
      </c>
      <c r="E1335" s="7" t="s">
        <v>156</v>
      </c>
      <c r="F1335" s="7" t="s">
        <v>224</v>
      </c>
      <c r="G1335" s="7" t="s">
        <v>505</v>
      </c>
      <c r="H1335" s="6" t="n">
        <v>4.38</v>
      </c>
      <c r="I1335" s="6" t="n">
        <v>0</v>
      </c>
      <c r="J1335" s="40" t="n">
        <f aca="false">H1335-I1335</f>
        <v>4.38</v>
      </c>
      <c r="K1335" s="41" t="n">
        <v>34</v>
      </c>
      <c r="L1335" s="42" t="n">
        <f aca="false">J1335*K1335</f>
        <v>148.92</v>
      </c>
      <c r="M1335" s="43" t="n">
        <f aca="false">H1335*14.93*(1+'Chart of Accounts'!$E$67)</f>
        <v>74.875443</v>
      </c>
    </row>
    <row r="1336" customFormat="false" ht="15" hidden="false" customHeight="false" outlineLevel="0" collapsed="false">
      <c r="B1336" s="7" t="s">
        <v>1833</v>
      </c>
      <c r="C1336" s="39" t="n">
        <v>45726</v>
      </c>
      <c r="D1336" s="7" t="s">
        <v>389</v>
      </c>
      <c r="E1336" s="7" t="s">
        <v>154</v>
      </c>
      <c r="F1336" s="7" t="s">
        <v>246</v>
      </c>
      <c r="G1336" s="7" t="s">
        <v>505</v>
      </c>
      <c r="H1336" s="6" t="n">
        <v>4.19</v>
      </c>
      <c r="I1336" s="6" t="n">
        <v>0</v>
      </c>
      <c r="J1336" s="40" t="n">
        <f aca="false">H1336-I1336</f>
        <v>4.19</v>
      </c>
      <c r="K1336" s="41" t="n">
        <v>26.5</v>
      </c>
      <c r="L1336" s="42" t="n">
        <f aca="false">J1336*K1336</f>
        <v>111.035</v>
      </c>
      <c r="M1336" s="43" t="n">
        <f aca="false">H1336*16.48*(1+'Chart of Accounts'!$E$67)</f>
        <v>79.063624</v>
      </c>
    </row>
    <row r="1337" customFormat="false" ht="15" hidden="false" customHeight="false" outlineLevel="0" collapsed="false">
      <c r="B1337" s="7" t="s">
        <v>1834</v>
      </c>
      <c r="C1337" s="39" t="n">
        <v>45726</v>
      </c>
      <c r="D1337" s="7" t="s">
        <v>391</v>
      </c>
      <c r="E1337" s="7" t="s">
        <v>156</v>
      </c>
      <c r="F1337" s="7" t="s">
        <v>222</v>
      </c>
      <c r="G1337" s="7" t="s">
        <v>505</v>
      </c>
      <c r="H1337" s="6" t="n">
        <v>4.33</v>
      </c>
      <c r="I1337" s="6" t="n">
        <v>0</v>
      </c>
      <c r="J1337" s="40" t="n">
        <f aca="false">H1337-I1337</f>
        <v>4.33</v>
      </c>
      <c r="K1337" s="41" t="n">
        <v>34</v>
      </c>
      <c r="L1337" s="42" t="n">
        <f aca="false">J1337*K1337</f>
        <v>147.22</v>
      </c>
      <c r="M1337" s="43" t="n">
        <f aca="false">H1337*17.84*(1+'Chart of Accounts'!$E$67)</f>
        <v>88.448044</v>
      </c>
    </row>
    <row r="1338" customFormat="false" ht="15" hidden="false" customHeight="false" outlineLevel="0" collapsed="false">
      <c r="B1338" s="7" t="s">
        <v>1835</v>
      </c>
      <c r="C1338" s="39" t="n">
        <v>45726</v>
      </c>
      <c r="D1338" s="7" t="s">
        <v>395</v>
      </c>
      <c r="E1338" s="7" t="s">
        <v>156</v>
      </c>
      <c r="F1338" s="7" t="s">
        <v>242</v>
      </c>
      <c r="G1338" s="7" t="s">
        <v>505</v>
      </c>
      <c r="H1338" s="6" t="n">
        <v>3.72</v>
      </c>
      <c r="I1338" s="6" t="n">
        <v>0</v>
      </c>
      <c r="J1338" s="40" t="n">
        <f aca="false">H1338-I1338</f>
        <v>3.72</v>
      </c>
      <c r="K1338" s="41" t="n">
        <v>34</v>
      </c>
      <c r="L1338" s="42" t="n">
        <f aca="false">J1338*K1338</f>
        <v>126.48</v>
      </c>
      <c r="M1338" s="43" t="n">
        <f aca="false">H1338*17.99*(1+'Chart of Accounts'!$E$67)</f>
        <v>76.626606</v>
      </c>
    </row>
    <row r="1339" customFormat="false" ht="15" hidden="false" customHeight="false" outlineLevel="0" collapsed="false">
      <c r="B1339" s="7" t="s">
        <v>1836</v>
      </c>
      <c r="C1339" s="39" t="n">
        <v>45726</v>
      </c>
      <c r="D1339" s="7" t="s">
        <v>401</v>
      </c>
      <c r="E1339" s="7" t="s">
        <v>156</v>
      </c>
      <c r="F1339" s="7" t="s">
        <v>254</v>
      </c>
      <c r="G1339" s="7" t="s">
        <v>505</v>
      </c>
      <c r="H1339" s="6" t="n">
        <v>4</v>
      </c>
      <c r="I1339" s="6" t="n">
        <v>0</v>
      </c>
      <c r="J1339" s="40" t="n">
        <f aca="false">H1339-I1339</f>
        <v>4</v>
      </c>
      <c r="K1339" s="41" t="n">
        <v>34</v>
      </c>
      <c r="L1339" s="42" t="n">
        <f aca="false">J1339*K1339</f>
        <v>136</v>
      </c>
      <c r="M1339" s="43" t="n">
        <f aca="false">H1339*17.1*(1+'Chart of Accounts'!$E$67)</f>
        <v>78.318</v>
      </c>
    </row>
    <row r="1340" customFormat="false" ht="15" hidden="false" customHeight="false" outlineLevel="0" collapsed="false">
      <c r="B1340" s="7" t="s">
        <v>1837</v>
      </c>
      <c r="C1340" s="39" t="n">
        <v>45726</v>
      </c>
      <c r="D1340" s="7" t="s">
        <v>409</v>
      </c>
      <c r="E1340" s="7" t="s">
        <v>154</v>
      </c>
      <c r="F1340" s="7" t="s">
        <v>214</v>
      </c>
      <c r="G1340" s="7" t="s">
        <v>505</v>
      </c>
      <c r="H1340" s="6" t="n">
        <v>3.41</v>
      </c>
      <c r="I1340" s="6" t="n">
        <v>0</v>
      </c>
      <c r="J1340" s="40" t="n">
        <f aca="false">H1340-I1340</f>
        <v>3.41</v>
      </c>
      <c r="K1340" s="41" t="n">
        <v>26.5</v>
      </c>
      <c r="L1340" s="42" t="n">
        <f aca="false">J1340*K1340</f>
        <v>90.365</v>
      </c>
      <c r="M1340" s="43" t="n">
        <f aca="false">H1340*15.67*(1+'Chart of Accounts'!$E$67)</f>
        <v>61.1827315</v>
      </c>
    </row>
    <row r="1341" customFormat="false" ht="15" hidden="false" customHeight="false" outlineLevel="0" collapsed="false">
      <c r="B1341" s="7" t="s">
        <v>1838</v>
      </c>
      <c r="C1341" s="39" t="n">
        <v>45726</v>
      </c>
      <c r="D1341" s="7" t="s">
        <v>411</v>
      </c>
      <c r="E1341" s="7" t="s">
        <v>154</v>
      </c>
      <c r="F1341" s="7" t="s">
        <v>177</v>
      </c>
      <c r="G1341" s="7" t="s">
        <v>505</v>
      </c>
      <c r="H1341" s="6" t="n">
        <v>4.5</v>
      </c>
      <c r="I1341" s="6" t="n">
        <v>0</v>
      </c>
      <c r="J1341" s="40" t="n">
        <f aca="false">H1341-I1341</f>
        <v>4.5</v>
      </c>
      <c r="K1341" s="41" t="n">
        <v>26.5</v>
      </c>
      <c r="L1341" s="42" t="n">
        <f aca="false">J1341*K1341</f>
        <v>119.25</v>
      </c>
      <c r="M1341" s="43" t="n">
        <f aca="false">H1341*14.56*(1+'Chart of Accounts'!$E$67)</f>
        <v>75.0204</v>
      </c>
    </row>
    <row r="1342" customFormat="false" ht="15" hidden="false" customHeight="false" outlineLevel="0" collapsed="false">
      <c r="B1342" s="7" t="s">
        <v>1839</v>
      </c>
      <c r="C1342" s="39" t="n">
        <v>45727</v>
      </c>
      <c r="D1342" s="7" t="s">
        <v>288</v>
      </c>
      <c r="E1342" s="7" t="s">
        <v>156</v>
      </c>
      <c r="F1342" s="7" t="s">
        <v>191</v>
      </c>
      <c r="G1342" s="7" t="s">
        <v>505</v>
      </c>
      <c r="H1342" s="6" t="n">
        <v>4.26</v>
      </c>
      <c r="I1342" s="6" t="n">
        <v>0</v>
      </c>
      <c r="J1342" s="40" t="n">
        <f aca="false">H1342-I1342</f>
        <v>4.26</v>
      </c>
      <c r="K1342" s="41" t="n">
        <v>34</v>
      </c>
      <c r="L1342" s="42" t="n">
        <f aca="false">J1342*K1342</f>
        <v>144.84</v>
      </c>
      <c r="M1342" s="43" t="n">
        <f aca="false">H1342*16.05*(1+'Chart of Accounts'!$E$67)</f>
        <v>78.287085</v>
      </c>
    </row>
    <row r="1343" customFormat="false" ht="15" hidden="false" customHeight="false" outlineLevel="0" collapsed="false">
      <c r="B1343" s="7" t="s">
        <v>1840</v>
      </c>
      <c r="C1343" s="39" t="n">
        <v>45727</v>
      </c>
      <c r="D1343" s="7" t="s">
        <v>301</v>
      </c>
      <c r="E1343" s="7" t="s">
        <v>157</v>
      </c>
      <c r="F1343" s="7" t="s">
        <v>209</v>
      </c>
      <c r="G1343" s="7" t="s">
        <v>502</v>
      </c>
      <c r="H1343" s="6" t="n">
        <v>1.05</v>
      </c>
      <c r="I1343" s="6" t="n">
        <v>0</v>
      </c>
      <c r="J1343" s="40" t="n">
        <f aca="false">H1343-I1343</f>
        <v>1.05</v>
      </c>
      <c r="K1343" s="41" t="n">
        <v>165</v>
      </c>
      <c r="L1343" s="42" t="n">
        <f aca="false">J1343*K1343</f>
        <v>173.25</v>
      </c>
      <c r="M1343" s="43" t="n">
        <f aca="false">H1343*73.58*(1+'Chart of Accounts'!$E$67)</f>
        <v>88.461555</v>
      </c>
    </row>
    <row r="1344" customFormat="false" ht="15" hidden="false" customHeight="false" outlineLevel="0" collapsed="false">
      <c r="B1344" s="7" t="s">
        <v>1841</v>
      </c>
      <c r="C1344" s="39" t="n">
        <v>45727</v>
      </c>
      <c r="D1344" s="7" t="s">
        <v>313</v>
      </c>
      <c r="E1344" s="7" t="s">
        <v>156</v>
      </c>
      <c r="F1344" s="7" t="s">
        <v>184</v>
      </c>
      <c r="G1344" s="7" t="s">
        <v>505</v>
      </c>
      <c r="H1344" s="6" t="n">
        <v>3.93</v>
      </c>
      <c r="I1344" s="6" t="n">
        <v>0</v>
      </c>
      <c r="J1344" s="40" t="n">
        <f aca="false">H1344-I1344</f>
        <v>3.93</v>
      </c>
      <c r="K1344" s="41" t="n">
        <v>34</v>
      </c>
      <c r="L1344" s="42" t="n">
        <f aca="false">J1344*K1344</f>
        <v>133.62</v>
      </c>
      <c r="M1344" s="43" t="n">
        <f aca="false">H1344*17.34*(1+'Chart of Accounts'!$E$67)</f>
        <v>78.027399</v>
      </c>
    </row>
    <row r="1345" customFormat="false" ht="15" hidden="false" customHeight="false" outlineLevel="0" collapsed="false">
      <c r="B1345" s="7" t="s">
        <v>1842</v>
      </c>
      <c r="C1345" s="39" t="n">
        <v>45727</v>
      </c>
      <c r="D1345" s="7" t="s">
        <v>319</v>
      </c>
      <c r="E1345" s="7" t="s">
        <v>157</v>
      </c>
      <c r="F1345" s="7" t="s">
        <v>234</v>
      </c>
      <c r="G1345" s="7" t="s">
        <v>502</v>
      </c>
      <c r="H1345" s="6" t="n">
        <v>1.03</v>
      </c>
      <c r="I1345" s="6" t="n">
        <v>0</v>
      </c>
      <c r="J1345" s="40" t="n">
        <f aca="false">H1345-I1345</f>
        <v>1.03</v>
      </c>
      <c r="K1345" s="41" t="n">
        <v>165</v>
      </c>
      <c r="L1345" s="42" t="n">
        <f aca="false">J1345*K1345</f>
        <v>169.95</v>
      </c>
      <c r="M1345" s="43" t="n">
        <f aca="false">H1345*89.53*(1+'Chart of Accounts'!$E$67)</f>
        <v>105.5872055</v>
      </c>
    </row>
    <row r="1346" customFormat="false" ht="15" hidden="false" customHeight="false" outlineLevel="0" collapsed="false">
      <c r="B1346" s="7" t="s">
        <v>1843</v>
      </c>
      <c r="C1346" s="39" t="n">
        <v>45727</v>
      </c>
      <c r="D1346" s="7" t="s">
        <v>321</v>
      </c>
      <c r="E1346" s="7" t="s">
        <v>154</v>
      </c>
      <c r="F1346" s="7" t="s">
        <v>218</v>
      </c>
      <c r="G1346" s="7" t="s">
        <v>505</v>
      </c>
      <c r="H1346" s="6" t="n">
        <v>3.74</v>
      </c>
      <c r="I1346" s="6" t="n">
        <v>0.112</v>
      </c>
      <c r="J1346" s="40" t="n">
        <f aca="false">H1346-I1346</f>
        <v>3.628</v>
      </c>
      <c r="K1346" s="41" t="n">
        <v>26.5</v>
      </c>
      <c r="L1346" s="42" t="n">
        <f aca="false">J1346*K1346</f>
        <v>96.142</v>
      </c>
      <c r="M1346" s="43" t="n">
        <f aca="false">H1346*16.19*(1+'Chart of Accounts'!$E$67)</f>
        <v>69.330437</v>
      </c>
    </row>
    <row r="1347" customFormat="false" ht="15" hidden="false" customHeight="false" outlineLevel="0" collapsed="false">
      <c r="B1347" s="7" t="s">
        <v>1844</v>
      </c>
      <c r="C1347" s="39" t="n">
        <v>45727</v>
      </c>
      <c r="D1347" s="7" t="s">
        <v>323</v>
      </c>
      <c r="E1347" s="7" t="s">
        <v>159</v>
      </c>
      <c r="F1347" s="7" t="s">
        <v>266</v>
      </c>
      <c r="G1347" s="7" t="s">
        <v>502</v>
      </c>
      <c r="H1347" s="6" t="n">
        <v>0.94</v>
      </c>
      <c r="I1347" s="6" t="n">
        <v>0</v>
      </c>
      <c r="J1347" s="40" t="n">
        <f aca="false">H1347-I1347</f>
        <v>0.94</v>
      </c>
      <c r="K1347" s="41" t="n">
        <v>135</v>
      </c>
      <c r="L1347" s="42" t="n">
        <f aca="false">J1347*K1347</f>
        <v>126.9</v>
      </c>
      <c r="M1347" s="43" t="n">
        <f aca="false">H1347*75.18*(1+'Chart of Accounts'!$E$67)</f>
        <v>80.916234</v>
      </c>
    </row>
    <row r="1348" customFormat="false" ht="15" hidden="false" customHeight="false" outlineLevel="0" collapsed="false">
      <c r="B1348" s="7" t="s">
        <v>1845</v>
      </c>
      <c r="C1348" s="39" t="n">
        <v>45727</v>
      </c>
      <c r="D1348" s="7" t="s">
        <v>327</v>
      </c>
      <c r="E1348" s="7" t="s">
        <v>157</v>
      </c>
      <c r="F1348" s="7" t="s">
        <v>228</v>
      </c>
      <c r="G1348" s="7" t="s">
        <v>502</v>
      </c>
      <c r="H1348" s="6" t="n">
        <v>0.98</v>
      </c>
      <c r="I1348" s="6" t="n">
        <v>0</v>
      </c>
      <c r="J1348" s="40" t="n">
        <f aca="false">H1348-I1348</f>
        <v>0.98</v>
      </c>
      <c r="K1348" s="41" t="n">
        <v>165</v>
      </c>
      <c r="L1348" s="42" t="n">
        <f aca="false">J1348*K1348</f>
        <v>161.7</v>
      </c>
      <c r="M1348" s="43" t="n">
        <f aca="false">H1348*51.07*(1+'Chart of Accounts'!$E$67)</f>
        <v>57.305647</v>
      </c>
    </row>
    <row r="1349" customFormat="false" ht="15" hidden="false" customHeight="false" outlineLevel="0" collapsed="false">
      <c r="B1349" s="7" t="s">
        <v>1846</v>
      </c>
      <c r="C1349" s="39" t="n">
        <v>45727</v>
      </c>
      <c r="D1349" s="7" t="s">
        <v>329</v>
      </c>
      <c r="E1349" s="7" t="s">
        <v>156</v>
      </c>
      <c r="F1349" s="7" t="s">
        <v>220</v>
      </c>
      <c r="G1349" s="7" t="s">
        <v>505</v>
      </c>
      <c r="H1349" s="6" t="n">
        <v>4.07</v>
      </c>
      <c r="I1349" s="6" t="n">
        <v>0</v>
      </c>
      <c r="J1349" s="40" t="n">
        <f aca="false">H1349-I1349</f>
        <v>4.07</v>
      </c>
      <c r="K1349" s="41" t="n">
        <v>34</v>
      </c>
      <c r="L1349" s="42" t="n">
        <f aca="false">J1349*K1349</f>
        <v>138.38</v>
      </c>
      <c r="M1349" s="43" t="n">
        <f aca="false">H1349*16.43*(1+'Chart of Accounts'!$E$67)</f>
        <v>76.5662645</v>
      </c>
    </row>
    <row r="1350" customFormat="false" ht="15" hidden="false" customHeight="false" outlineLevel="0" collapsed="false">
      <c r="B1350" s="7" t="s">
        <v>1847</v>
      </c>
      <c r="C1350" s="39" t="n">
        <v>45727</v>
      </c>
      <c r="D1350" s="7" t="s">
        <v>361</v>
      </c>
      <c r="E1350" s="7" t="s">
        <v>157</v>
      </c>
      <c r="F1350" s="7" t="s">
        <v>209</v>
      </c>
      <c r="G1350" s="7" t="s">
        <v>502</v>
      </c>
      <c r="H1350" s="6" t="n">
        <v>1.03</v>
      </c>
      <c r="I1350" s="6" t="n">
        <v>0</v>
      </c>
      <c r="J1350" s="40" t="n">
        <f aca="false">H1350-I1350</f>
        <v>1.03</v>
      </c>
      <c r="K1350" s="41" t="n">
        <v>165</v>
      </c>
      <c r="L1350" s="42" t="n">
        <f aca="false">J1350*K1350</f>
        <v>169.95</v>
      </c>
      <c r="M1350" s="43" t="n">
        <f aca="false">H1350*73.58*(1+'Chart of Accounts'!$E$67)</f>
        <v>86.776573</v>
      </c>
    </row>
    <row r="1351" customFormat="false" ht="15" hidden="false" customHeight="false" outlineLevel="0" collapsed="false">
      <c r="B1351" s="7" t="s">
        <v>1848</v>
      </c>
      <c r="C1351" s="39" t="n">
        <v>45727</v>
      </c>
      <c r="D1351" s="7" t="s">
        <v>381</v>
      </c>
      <c r="E1351" s="7" t="s">
        <v>157</v>
      </c>
      <c r="F1351" s="7" t="s">
        <v>234</v>
      </c>
      <c r="G1351" s="7" t="s">
        <v>502</v>
      </c>
      <c r="H1351" s="6" t="n">
        <v>0.99</v>
      </c>
      <c r="I1351" s="6" t="n">
        <v>0</v>
      </c>
      <c r="J1351" s="40" t="n">
        <f aca="false">H1351-I1351</f>
        <v>0.99</v>
      </c>
      <c r="K1351" s="41" t="n">
        <v>165</v>
      </c>
      <c r="L1351" s="42" t="n">
        <f aca="false">J1351*K1351</f>
        <v>163.35</v>
      </c>
      <c r="M1351" s="43" t="n">
        <f aca="false">H1351*89.53*(1+'Chart of Accounts'!$E$67)</f>
        <v>101.4867315</v>
      </c>
    </row>
    <row r="1352" customFormat="false" ht="15" hidden="false" customHeight="false" outlineLevel="0" collapsed="false">
      <c r="B1352" s="7" t="s">
        <v>1849</v>
      </c>
      <c r="C1352" s="39" t="n">
        <v>45727</v>
      </c>
      <c r="D1352" s="7" t="s">
        <v>389</v>
      </c>
      <c r="E1352" s="7" t="s">
        <v>154</v>
      </c>
      <c r="F1352" s="7" t="s">
        <v>246</v>
      </c>
      <c r="G1352" s="7" t="s">
        <v>505</v>
      </c>
      <c r="H1352" s="6" t="n">
        <v>4.19</v>
      </c>
      <c r="I1352" s="6" t="n">
        <v>0</v>
      </c>
      <c r="J1352" s="40" t="n">
        <f aca="false">H1352-I1352</f>
        <v>4.19</v>
      </c>
      <c r="K1352" s="41" t="n">
        <v>26.5</v>
      </c>
      <c r="L1352" s="42" t="n">
        <f aca="false">J1352*K1352</f>
        <v>111.035</v>
      </c>
      <c r="M1352" s="43" t="n">
        <f aca="false">H1352*16.48*(1+'Chart of Accounts'!$E$67)</f>
        <v>79.063624</v>
      </c>
    </row>
    <row r="1353" customFormat="false" ht="15" hidden="false" customHeight="false" outlineLevel="0" collapsed="false">
      <c r="B1353" s="7" t="s">
        <v>1850</v>
      </c>
      <c r="C1353" s="39" t="n">
        <v>45727</v>
      </c>
      <c r="D1353" s="7" t="s">
        <v>391</v>
      </c>
      <c r="E1353" s="7" t="s">
        <v>156</v>
      </c>
      <c r="F1353" s="7" t="s">
        <v>222</v>
      </c>
      <c r="G1353" s="7" t="s">
        <v>505</v>
      </c>
      <c r="H1353" s="6" t="n">
        <v>4.24</v>
      </c>
      <c r="I1353" s="6" t="n">
        <v>0</v>
      </c>
      <c r="J1353" s="40" t="n">
        <f aca="false">H1353-I1353</f>
        <v>4.24</v>
      </c>
      <c r="K1353" s="41" t="n">
        <v>34</v>
      </c>
      <c r="L1353" s="42" t="n">
        <f aca="false">J1353*K1353</f>
        <v>144.16</v>
      </c>
      <c r="M1353" s="43" t="n">
        <f aca="false">H1353*17.84*(1+'Chart of Accounts'!$E$67)</f>
        <v>86.609632</v>
      </c>
    </row>
    <row r="1354" customFormat="false" ht="15" hidden="false" customHeight="false" outlineLevel="0" collapsed="false">
      <c r="B1354" s="7" t="s">
        <v>1851</v>
      </c>
      <c r="C1354" s="39" t="n">
        <v>45727</v>
      </c>
      <c r="D1354" s="7" t="s">
        <v>395</v>
      </c>
      <c r="E1354" s="7" t="s">
        <v>156</v>
      </c>
      <c r="F1354" s="7" t="s">
        <v>242</v>
      </c>
      <c r="G1354" s="7" t="s">
        <v>505</v>
      </c>
      <c r="H1354" s="6" t="n">
        <v>4.02</v>
      </c>
      <c r="I1354" s="6" t="n">
        <v>0</v>
      </c>
      <c r="J1354" s="40" t="n">
        <f aca="false">H1354-I1354</f>
        <v>4.02</v>
      </c>
      <c r="K1354" s="41" t="n">
        <v>34</v>
      </c>
      <c r="L1354" s="42" t="n">
        <f aca="false">J1354*K1354</f>
        <v>136.68</v>
      </c>
      <c r="M1354" s="43" t="n">
        <f aca="false">H1354*17.99*(1+'Chart of Accounts'!$E$67)</f>
        <v>82.806171</v>
      </c>
    </row>
    <row r="1355" customFormat="false" ht="15" hidden="false" customHeight="false" outlineLevel="0" collapsed="false">
      <c r="B1355" s="7" t="s">
        <v>1852</v>
      </c>
      <c r="C1355" s="39" t="n">
        <v>45727</v>
      </c>
      <c r="D1355" s="7" t="s">
        <v>397</v>
      </c>
      <c r="E1355" s="7" t="s">
        <v>159</v>
      </c>
      <c r="F1355" s="7" t="s">
        <v>203</v>
      </c>
      <c r="G1355" s="7" t="s">
        <v>502</v>
      </c>
      <c r="H1355" s="6" t="n">
        <v>0.92</v>
      </c>
      <c r="I1355" s="6" t="n">
        <v>0</v>
      </c>
      <c r="J1355" s="40" t="n">
        <f aca="false">H1355-I1355</f>
        <v>0.92</v>
      </c>
      <c r="K1355" s="41" t="n">
        <v>135</v>
      </c>
      <c r="L1355" s="42" t="n">
        <f aca="false">J1355*K1355</f>
        <v>124.2</v>
      </c>
      <c r="M1355" s="43" t="n">
        <f aca="false">H1355*49.43*(1+'Chart of Accounts'!$E$67)</f>
        <v>52.069562</v>
      </c>
    </row>
    <row r="1356" customFormat="false" ht="15" hidden="false" customHeight="false" outlineLevel="0" collapsed="false">
      <c r="B1356" s="7" t="s">
        <v>1853</v>
      </c>
      <c r="C1356" s="39" t="n">
        <v>45727</v>
      </c>
      <c r="D1356" s="7" t="s">
        <v>401</v>
      </c>
      <c r="E1356" s="7" t="s">
        <v>156</v>
      </c>
      <c r="F1356" s="7" t="s">
        <v>254</v>
      </c>
      <c r="G1356" s="7" t="s">
        <v>505</v>
      </c>
      <c r="H1356" s="6" t="n">
        <v>3.68</v>
      </c>
      <c r="I1356" s="6" t="n">
        <v>0</v>
      </c>
      <c r="J1356" s="40" t="n">
        <f aca="false">H1356-I1356</f>
        <v>3.68</v>
      </c>
      <c r="K1356" s="41" t="n">
        <v>34</v>
      </c>
      <c r="L1356" s="42" t="n">
        <f aca="false">J1356*K1356</f>
        <v>125.12</v>
      </c>
      <c r="M1356" s="43" t="n">
        <f aca="false">H1356*17.1*(1+'Chart of Accounts'!$E$67)</f>
        <v>72.05256</v>
      </c>
    </row>
    <row r="1357" customFormat="false" ht="15" hidden="false" customHeight="false" outlineLevel="0" collapsed="false">
      <c r="B1357" s="7" t="s">
        <v>1854</v>
      </c>
      <c r="C1357" s="39" t="n">
        <v>45727</v>
      </c>
      <c r="D1357" s="7" t="s">
        <v>407</v>
      </c>
      <c r="E1357" s="7" t="s">
        <v>159</v>
      </c>
      <c r="F1357" s="7" t="s">
        <v>260</v>
      </c>
      <c r="G1357" s="7" t="s">
        <v>502</v>
      </c>
      <c r="H1357" s="6" t="n">
        <v>0.94</v>
      </c>
      <c r="I1357" s="6" t="n">
        <v>0</v>
      </c>
      <c r="J1357" s="40" t="n">
        <f aca="false">H1357-I1357</f>
        <v>0.94</v>
      </c>
      <c r="K1357" s="41" t="n">
        <v>135</v>
      </c>
      <c r="L1357" s="42" t="n">
        <f aca="false">J1357*K1357</f>
        <v>126.9</v>
      </c>
      <c r="M1357" s="43" t="n">
        <f aca="false">H1357*79.8*(1+'Chart of Accounts'!$E$67)</f>
        <v>85.88874</v>
      </c>
    </row>
    <row r="1358" customFormat="false" ht="15" hidden="false" customHeight="false" outlineLevel="0" collapsed="false">
      <c r="B1358" s="7" t="s">
        <v>1855</v>
      </c>
      <c r="C1358" s="39" t="n">
        <v>45728</v>
      </c>
      <c r="D1358" s="7" t="s">
        <v>280</v>
      </c>
      <c r="E1358" s="7" t="s">
        <v>157</v>
      </c>
      <c r="F1358" s="7" t="s">
        <v>187</v>
      </c>
      <c r="G1358" s="7" t="s">
        <v>502</v>
      </c>
      <c r="H1358" s="6" t="n">
        <v>1.09</v>
      </c>
      <c r="I1358" s="6" t="n">
        <v>0</v>
      </c>
      <c r="J1358" s="40" t="n">
        <f aca="false">H1358-I1358</f>
        <v>1.09</v>
      </c>
      <c r="K1358" s="41" t="n">
        <v>165</v>
      </c>
      <c r="L1358" s="42" t="n">
        <f aca="false">J1358*K1358</f>
        <v>179.85</v>
      </c>
      <c r="M1358" s="43" t="n">
        <f aca="false">H1358*66.48*(1+'Chart of Accounts'!$E$67)</f>
        <v>82.970364</v>
      </c>
    </row>
    <row r="1359" customFormat="false" ht="15" hidden="false" customHeight="false" outlineLevel="0" collapsed="false">
      <c r="B1359" s="7" t="s">
        <v>1856</v>
      </c>
      <c r="C1359" s="39" t="n">
        <v>45728</v>
      </c>
      <c r="D1359" s="7" t="s">
        <v>286</v>
      </c>
      <c r="E1359" s="7" t="s">
        <v>157</v>
      </c>
      <c r="F1359" s="7" t="s">
        <v>228</v>
      </c>
      <c r="G1359" s="7" t="s">
        <v>502</v>
      </c>
      <c r="H1359" s="6" t="n">
        <v>1.05</v>
      </c>
      <c r="I1359" s="6" t="n">
        <v>0</v>
      </c>
      <c r="J1359" s="40" t="n">
        <f aca="false">H1359-I1359</f>
        <v>1.05</v>
      </c>
      <c r="K1359" s="41" t="n">
        <v>165</v>
      </c>
      <c r="L1359" s="42" t="n">
        <f aca="false">J1359*K1359</f>
        <v>173.25</v>
      </c>
      <c r="M1359" s="43" t="n">
        <f aca="false">H1359*51.07*(1+'Chart of Accounts'!$E$67)</f>
        <v>61.3989075</v>
      </c>
    </row>
    <row r="1360" customFormat="false" ht="15" hidden="false" customHeight="false" outlineLevel="0" collapsed="false">
      <c r="B1360" s="7" t="s">
        <v>1857</v>
      </c>
      <c r="C1360" s="39" t="n">
        <v>45728</v>
      </c>
      <c r="D1360" s="7" t="s">
        <v>288</v>
      </c>
      <c r="E1360" s="7" t="s">
        <v>156</v>
      </c>
      <c r="F1360" s="7" t="s">
        <v>191</v>
      </c>
      <c r="G1360" s="7" t="s">
        <v>505</v>
      </c>
      <c r="H1360" s="6" t="n">
        <v>4.14</v>
      </c>
      <c r="I1360" s="6" t="n">
        <v>0</v>
      </c>
      <c r="J1360" s="40" t="n">
        <f aca="false">H1360-I1360</f>
        <v>4.14</v>
      </c>
      <c r="K1360" s="41" t="n">
        <v>34</v>
      </c>
      <c r="L1360" s="42" t="n">
        <f aca="false">J1360*K1360</f>
        <v>140.76</v>
      </c>
      <c r="M1360" s="43" t="n">
        <f aca="false">H1360*16.05*(1+'Chart of Accounts'!$E$67)</f>
        <v>76.081815</v>
      </c>
    </row>
    <row r="1361" customFormat="false" ht="15" hidden="false" customHeight="false" outlineLevel="0" collapsed="false">
      <c r="B1361" s="7" t="s">
        <v>1858</v>
      </c>
      <c r="C1361" s="39" t="n">
        <v>45728</v>
      </c>
      <c r="D1361" s="7" t="s">
        <v>291</v>
      </c>
      <c r="E1361" s="7" t="s">
        <v>154</v>
      </c>
      <c r="F1361" s="7" t="s">
        <v>194</v>
      </c>
      <c r="G1361" s="7" t="s">
        <v>505</v>
      </c>
      <c r="H1361" s="6" t="n">
        <v>4.3</v>
      </c>
      <c r="I1361" s="6" t="n">
        <v>0</v>
      </c>
      <c r="J1361" s="40" t="n">
        <f aca="false">H1361-I1361</f>
        <v>4.3</v>
      </c>
      <c r="K1361" s="41" t="n">
        <v>26.5</v>
      </c>
      <c r="L1361" s="42" t="n">
        <f aca="false">J1361*K1361</f>
        <v>113.95</v>
      </c>
      <c r="M1361" s="43" t="n">
        <f aca="false">H1361*16*(1+'Chart of Accounts'!$E$67)</f>
        <v>78.776</v>
      </c>
    </row>
    <row r="1362" customFormat="false" ht="15" hidden="false" customHeight="false" outlineLevel="0" collapsed="false">
      <c r="B1362" s="7" t="s">
        <v>1859</v>
      </c>
      <c r="C1362" s="39" t="n">
        <v>45728</v>
      </c>
      <c r="D1362" s="7" t="s">
        <v>305</v>
      </c>
      <c r="E1362" s="7" t="s">
        <v>154</v>
      </c>
      <c r="F1362" s="7" t="s">
        <v>205</v>
      </c>
      <c r="G1362" s="7" t="s">
        <v>505</v>
      </c>
      <c r="H1362" s="6" t="n">
        <v>4</v>
      </c>
      <c r="I1362" s="6" t="n">
        <v>0</v>
      </c>
      <c r="J1362" s="40" t="n">
        <f aca="false">H1362-I1362</f>
        <v>4</v>
      </c>
      <c r="K1362" s="41" t="n">
        <v>26.5</v>
      </c>
      <c r="L1362" s="42" t="n">
        <f aca="false">J1362*K1362</f>
        <v>106</v>
      </c>
      <c r="M1362" s="43" t="n">
        <f aca="false">H1362*16.36*(1+'Chart of Accounts'!$E$67)</f>
        <v>74.9288</v>
      </c>
    </row>
    <row r="1363" customFormat="false" ht="15" hidden="false" customHeight="false" outlineLevel="0" collapsed="false">
      <c r="B1363" s="7" t="s">
        <v>1860</v>
      </c>
      <c r="C1363" s="39" t="n">
        <v>45728</v>
      </c>
      <c r="D1363" s="7" t="s">
        <v>309</v>
      </c>
      <c r="E1363" s="7" t="s">
        <v>159</v>
      </c>
      <c r="F1363" s="7" t="s">
        <v>252</v>
      </c>
      <c r="G1363" s="7" t="s">
        <v>502</v>
      </c>
      <c r="H1363" s="6" t="n">
        <v>1.02</v>
      </c>
      <c r="I1363" s="6" t="n">
        <v>0</v>
      </c>
      <c r="J1363" s="40" t="n">
        <f aca="false">H1363-I1363</f>
        <v>1.02</v>
      </c>
      <c r="K1363" s="41" t="n">
        <v>135</v>
      </c>
      <c r="L1363" s="42" t="n">
        <f aca="false">J1363*K1363</f>
        <v>137.7</v>
      </c>
      <c r="M1363" s="43" t="n">
        <f aca="false">H1363*57.54*(1+'Chart of Accounts'!$E$67)</f>
        <v>67.200966</v>
      </c>
    </row>
    <row r="1364" customFormat="false" ht="15" hidden="false" customHeight="false" outlineLevel="0" collapsed="false">
      <c r="B1364" s="7" t="s">
        <v>1861</v>
      </c>
      <c r="C1364" s="39" t="n">
        <v>45728</v>
      </c>
      <c r="D1364" s="7" t="s">
        <v>313</v>
      </c>
      <c r="E1364" s="7" t="s">
        <v>156</v>
      </c>
      <c r="F1364" s="7" t="s">
        <v>184</v>
      </c>
      <c r="G1364" s="7" t="s">
        <v>505</v>
      </c>
      <c r="H1364" s="6" t="n">
        <v>4.04</v>
      </c>
      <c r="I1364" s="6" t="n">
        <v>0</v>
      </c>
      <c r="J1364" s="40" t="n">
        <f aca="false">H1364-I1364</f>
        <v>4.04</v>
      </c>
      <c r="K1364" s="41" t="n">
        <v>34</v>
      </c>
      <c r="L1364" s="42" t="n">
        <f aca="false">J1364*K1364</f>
        <v>137.36</v>
      </c>
      <c r="M1364" s="43" t="n">
        <f aca="false">H1364*17.34*(1+'Chart of Accounts'!$E$67)</f>
        <v>80.211372</v>
      </c>
    </row>
    <row r="1365" customFormat="false" ht="15" hidden="false" customHeight="false" outlineLevel="0" collapsed="false">
      <c r="B1365" s="7" t="s">
        <v>1862</v>
      </c>
      <c r="C1365" s="39" t="n">
        <v>45728</v>
      </c>
      <c r="D1365" s="7" t="s">
        <v>321</v>
      </c>
      <c r="E1365" s="7" t="s">
        <v>154</v>
      </c>
      <c r="F1365" s="7" t="s">
        <v>218</v>
      </c>
      <c r="G1365" s="7" t="s">
        <v>505</v>
      </c>
      <c r="H1365" s="6" t="n">
        <v>3.93</v>
      </c>
      <c r="I1365" s="6" t="n">
        <v>0</v>
      </c>
      <c r="J1365" s="40" t="n">
        <f aca="false">H1365-I1365</f>
        <v>3.93</v>
      </c>
      <c r="K1365" s="41" t="n">
        <v>26.5</v>
      </c>
      <c r="L1365" s="42" t="n">
        <f aca="false">J1365*K1365</f>
        <v>104.145</v>
      </c>
      <c r="M1365" s="43" t="n">
        <f aca="false">H1365*16.19*(1+'Chart of Accounts'!$E$67)</f>
        <v>72.8525715</v>
      </c>
    </row>
    <row r="1366" customFormat="false" ht="15" hidden="false" customHeight="false" outlineLevel="0" collapsed="false">
      <c r="B1366" s="7" t="s">
        <v>1863</v>
      </c>
      <c r="C1366" s="39" t="n">
        <v>45728</v>
      </c>
      <c r="D1366" s="7" t="s">
        <v>329</v>
      </c>
      <c r="E1366" s="7" t="s">
        <v>156</v>
      </c>
      <c r="F1366" s="7" t="s">
        <v>220</v>
      </c>
      <c r="G1366" s="7" t="s">
        <v>505</v>
      </c>
      <c r="H1366" s="6" t="n">
        <v>3.86</v>
      </c>
      <c r="I1366" s="6" t="n">
        <v>0</v>
      </c>
      <c r="J1366" s="40" t="n">
        <f aca="false">H1366-I1366</f>
        <v>3.86</v>
      </c>
      <c r="K1366" s="41" t="n">
        <v>34</v>
      </c>
      <c r="L1366" s="42" t="n">
        <f aca="false">J1366*K1366</f>
        <v>131.24</v>
      </c>
      <c r="M1366" s="43" t="n">
        <f aca="false">H1366*16.43*(1+'Chart of Accounts'!$E$67)</f>
        <v>72.615671</v>
      </c>
    </row>
    <row r="1367" customFormat="false" ht="15" hidden="false" customHeight="false" outlineLevel="0" collapsed="false">
      <c r="B1367" s="7" t="s">
        <v>1864</v>
      </c>
      <c r="C1367" s="39" t="n">
        <v>45728</v>
      </c>
      <c r="D1367" s="7" t="s">
        <v>335</v>
      </c>
      <c r="E1367" s="7" t="s">
        <v>154</v>
      </c>
      <c r="F1367" s="7" t="s">
        <v>177</v>
      </c>
      <c r="G1367" s="7" t="s">
        <v>505</v>
      </c>
      <c r="H1367" s="6" t="n">
        <v>3.9</v>
      </c>
      <c r="I1367" s="6" t="n">
        <v>0</v>
      </c>
      <c r="J1367" s="40" t="n">
        <f aca="false">H1367-I1367</f>
        <v>3.9</v>
      </c>
      <c r="K1367" s="41" t="n">
        <v>26.5</v>
      </c>
      <c r="L1367" s="42" t="n">
        <f aca="false">J1367*K1367</f>
        <v>103.35</v>
      </c>
      <c r="M1367" s="43" t="n">
        <f aca="false">H1367*14.56*(1+'Chart of Accounts'!$E$67)</f>
        <v>65.01768</v>
      </c>
    </row>
    <row r="1368" customFormat="false" ht="15" hidden="false" customHeight="false" outlineLevel="0" collapsed="false">
      <c r="B1368" s="7" t="s">
        <v>1865</v>
      </c>
      <c r="C1368" s="39" t="n">
        <v>45728</v>
      </c>
      <c r="D1368" s="7" t="s">
        <v>339</v>
      </c>
      <c r="E1368" s="7" t="s">
        <v>154</v>
      </c>
      <c r="F1368" s="7" t="s">
        <v>242</v>
      </c>
      <c r="G1368" s="7" t="s">
        <v>505</v>
      </c>
      <c r="H1368" s="6" t="n">
        <v>3.24</v>
      </c>
      <c r="I1368" s="6" t="n">
        <v>0</v>
      </c>
      <c r="J1368" s="40" t="n">
        <f aca="false">H1368-I1368</f>
        <v>3.24</v>
      </c>
      <c r="K1368" s="41" t="n">
        <v>26.5</v>
      </c>
      <c r="L1368" s="42" t="n">
        <f aca="false">J1368*K1368</f>
        <v>85.86</v>
      </c>
      <c r="M1368" s="43" t="n">
        <f aca="false">H1368*17.99*(1+'Chart of Accounts'!$E$67)</f>
        <v>66.739302</v>
      </c>
    </row>
    <row r="1369" customFormat="false" ht="15" hidden="false" customHeight="false" outlineLevel="0" collapsed="false">
      <c r="B1369" s="7" t="s">
        <v>1866</v>
      </c>
      <c r="C1369" s="39" t="n">
        <v>45728</v>
      </c>
      <c r="D1369" s="7" t="s">
        <v>353</v>
      </c>
      <c r="E1369" s="7" t="s">
        <v>154</v>
      </c>
      <c r="F1369" s="7" t="s">
        <v>254</v>
      </c>
      <c r="G1369" s="7" t="s">
        <v>505</v>
      </c>
      <c r="H1369" s="6" t="n">
        <v>3</v>
      </c>
      <c r="I1369" s="6" t="n">
        <v>0</v>
      </c>
      <c r="J1369" s="40" t="n">
        <f aca="false">H1369-I1369</f>
        <v>3</v>
      </c>
      <c r="K1369" s="41" t="n">
        <v>26.5</v>
      </c>
      <c r="L1369" s="42" t="n">
        <f aca="false">J1369*K1369</f>
        <v>79.5</v>
      </c>
      <c r="M1369" s="43" t="n">
        <f aca="false">H1369*17.1*(1+'Chart of Accounts'!$E$67)</f>
        <v>58.7385</v>
      </c>
    </row>
    <row r="1370" customFormat="false" ht="15" hidden="false" customHeight="false" outlineLevel="0" collapsed="false">
      <c r="B1370" s="7" t="s">
        <v>1867</v>
      </c>
      <c r="C1370" s="39" t="n">
        <v>45728</v>
      </c>
      <c r="D1370" s="7" t="s">
        <v>355</v>
      </c>
      <c r="E1370" s="7" t="s">
        <v>154</v>
      </c>
      <c r="F1370" s="7" t="s">
        <v>201</v>
      </c>
      <c r="G1370" s="7" t="s">
        <v>505</v>
      </c>
      <c r="H1370" s="6" t="n">
        <v>3.01</v>
      </c>
      <c r="I1370" s="6" t="n">
        <v>0</v>
      </c>
      <c r="J1370" s="40" t="n">
        <f aca="false">H1370-I1370</f>
        <v>3.01</v>
      </c>
      <c r="K1370" s="41" t="n">
        <v>26.5</v>
      </c>
      <c r="L1370" s="42" t="n">
        <f aca="false">J1370*K1370</f>
        <v>79.765</v>
      </c>
      <c r="M1370" s="43" t="n">
        <f aca="false">H1370*15.19*(1+'Chart of Accounts'!$E$67)</f>
        <v>52.3515755</v>
      </c>
    </row>
    <row r="1371" customFormat="false" ht="15" hidden="false" customHeight="false" outlineLevel="0" collapsed="false">
      <c r="B1371" s="7" t="s">
        <v>1868</v>
      </c>
      <c r="C1371" s="39" t="n">
        <v>45728</v>
      </c>
      <c r="D1371" s="7" t="s">
        <v>357</v>
      </c>
      <c r="E1371" s="7" t="s">
        <v>154</v>
      </c>
      <c r="F1371" s="7" t="s">
        <v>207</v>
      </c>
      <c r="G1371" s="7" t="s">
        <v>505</v>
      </c>
      <c r="H1371" s="6" t="n">
        <v>3</v>
      </c>
      <c r="I1371" s="6" t="n">
        <v>0</v>
      </c>
      <c r="J1371" s="40" t="n">
        <f aca="false">H1371-I1371</f>
        <v>3</v>
      </c>
      <c r="K1371" s="41" t="n">
        <v>26.5</v>
      </c>
      <c r="L1371" s="42" t="n">
        <f aca="false">J1371*K1371</f>
        <v>79.5</v>
      </c>
      <c r="M1371" s="43" t="n">
        <f aca="false">H1371*16.65*(1+'Chart of Accounts'!$E$67)</f>
        <v>57.19275</v>
      </c>
    </row>
    <row r="1372" customFormat="false" ht="15" hidden="false" customHeight="false" outlineLevel="0" collapsed="false">
      <c r="B1372" s="7" t="s">
        <v>1869</v>
      </c>
      <c r="C1372" s="39" t="n">
        <v>45728</v>
      </c>
      <c r="D1372" s="7" t="s">
        <v>359</v>
      </c>
      <c r="E1372" s="7" t="s">
        <v>156</v>
      </c>
      <c r="F1372" s="7" t="s">
        <v>212</v>
      </c>
      <c r="G1372" s="7" t="s">
        <v>505</v>
      </c>
      <c r="H1372" s="6" t="n">
        <v>3.85</v>
      </c>
      <c r="I1372" s="6" t="n">
        <v>0</v>
      </c>
      <c r="J1372" s="40" t="n">
        <f aca="false">H1372-I1372</f>
        <v>3.85</v>
      </c>
      <c r="K1372" s="41" t="n">
        <v>34</v>
      </c>
      <c r="L1372" s="42" t="n">
        <f aca="false">J1372*K1372</f>
        <v>130.9</v>
      </c>
      <c r="M1372" s="43" t="n">
        <f aca="false">H1372*16.71*(1+'Chart of Accounts'!$E$67)</f>
        <v>73.6618575</v>
      </c>
    </row>
    <row r="1373" customFormat="false" ht="15" hidden="false" customHeight="false" outlineLevel="0" collapsed="false">
      <c r="B1373" s="7" t="s">
        <v>1870</v>
      </c>
      <c r="C1373" s="39" t="n">
        <v>45728</v>
      </c>
      <c r="D1373" s="7" t="s">
        <v>371</v>
      </c>
      <c r="E1373" s="7" t="s">
        <v>154</v>
      </c>
      <c r="F1373" s="7" t="s">
        <v>232</v>
      </c>
      <c r="G1373" s="7" t="s">
        <v>505</v>
      </c>
      <c r="H1373" s="6" t="n">
        <v>4.97</v>
      </c>
      <c r="I1373" s="6" t="n">
        <v>0</v>
      </c>
      <c r="J1373" s="40" t="n">
        <f aca="false">H1373-I1373</f>
        <v>4.97</v>
      </c>
      <c r="K1373" s="41" t="n">
        <v>26.5</v>
      </c>
      <c r="L1373" s="42" t="n">
        <f aca="false">J1373*K1373</f>
        <v>131.705</v>
      </c>
      <c r="M1373" s="43" t="n">
        <f aca="false">H1373*16.17*(1+'Chart of Accounts'!$E$67)</f>
        <v>92.0178105</v>
      </c>
    </row>
    <row r="1374" customFormat="false" ht="15" hidden="false" customHeight="false" outlineLevel="0" collapsed="false">
      <c r="B1374" s="7" t="s">
        <v>1871</v>
      </c>
      <c r="C1374" s="39" t="n">
        <v>45728</v>
      </c>
      <c r="D1374" s="7" t="s">
        <v>379</v>
      </c>
      <c r="E1374" s="7" t="s">
        <v>156</v>
      </c>
      <c r="F1374" s="7" t="s">
        <v>224</v>
      </c>
      <c r="G1374" s="7" t="s">
        <v>505</v>
      </c>
      <c r="H1374" s="6" t="n">
        <v>4.73</v>
      </c>
      <c r="I1374" s="6" t="n">
        <v>0</v>
      </c>
      <c r="J1374" s="40" t="n">
        <f aca="false">H1374-I1374</f>
        <v>4.73</v>
      </c>
      <c r="K1374" s="41" t="n">
        <v>34</v>
      </c>
      <c r="L1374" s="42" t="n">
        <f aca="false">J1374*K1374</f>
        <v>160.82</v>
      </c>
      <c r="M1374" s="43" t="n">
        <f aca="false">H1374*14.93*(1+'Chart of Accounts'!$E$67)</f>
        <v>80.8586405</v>
      </c>
    </row>
    <row r="1375" customFormat="false" ht="15" hidden="false" customHeight="false" outlineLevel="0" collapsed="false">
      <c r="B1375" s="7" t="s">
        <v>1872</v>
      </c>
      <c r="C1375" s="39" t="n">
        <v>45728</v>
      </c>
      <c r="D1375" s="7" t="s">
        <v>389</v>
      </c>
      <c r="E1375" s="7" t="s">
        <v>154</v>
      </c>
      <c r="F1375" s="7" t="s">
        <v>246</v>
      </c>
      <c r="G1375" s="7" t="s">
        <v>505</v>
      </c>
      <c r="H1375" s="6" t="n">
        <v>3.97</v>
      </c>
      <c r="I1375" s="6" t="n">
        <v>0</v>
      </c>
      <c r="J1375" s="40" t="n">
        <f aca="false">H1375-I1375</f>
        <v>3.97</v>
      </c>
      <c r="K1375" s="41" t="n">
        <v>26.5</v>
      </c>
      <c r="L1375" s="42" t="n">
        <f aca="false">J1375*K1375</f>
        <v>105.205</v>
      </c>
      <c r="M1375" s="43" t="n">
        <f aca="false">H1375*16.48*(1+'Chart of Accounts'!$E$67)</f>
        <v>74.912312</v>
      </c>
    </row>
    <row r="1376" customFormat="false" ht="15" hidden="false" customHeight="false" outlineLevel="0" collapsed="false">
      <c r="B1376" s="7" t="s">
        <v>1873</v>
      </c>
      <c r="C1376" s="39" t="n">
        <v>45728</v>
      </c>
      <c r="D1376" s="7" t="s">
        <v>391</v>
      </c>
      <c r="E1376" s="7" t="s">
        <v>156</v>
      </c>
      <c r="F1376" s="7" t="s">
        <v>222</v>
      </c>
      <c r="G1376" s="7" t="s">
        <v>505</v>
      </c>
      <c r="H1376" s="6" t="n">
        <v>4.31</v>
      </c>
      <c r="I1376" s="6" t="n">
        <v>0</v>
      </c>
      <c r="J1376" s="40" t="n">
        <f aca="false">H1376-I1376</f>
        <v>4.31</v>
      </c>
      <c r="K1376" s="41" t="n">
        <v>34</v>
      </c>
      <c r="L1376" s="42" t="n">
        <f aca="false">J1376*K1376</f>
        <v>146.54</v>
      </c>
      <c r="M1376" s="43" t="n">
        <f aca="false">H1376*17.84*(1+'Chart of Accounts'!$E$67)</f>
        <v>88.039508</v>
      </c>
    </row>
    <row r="1377" customFormat="false" ht="15" hidden="false" customHeight="false" outlineLevel="0" collapsed="false">
      <c r="B1377" s="7" t="s">
        <v>1874</v>
      </c>
      <c r="C1377" s="39" t="n">
        <v>45728</v>
      </c>
      <c r="D1377" s="7" t="s">
        <v>393</v>
      </c>
      <c r="E1377" s="7" t="s">
        <v>157</v>
      </c>
      <c r="F1377" s="7" t="s">
        <v>203</v>
      </c>
      <c r="G1377" s="7" t="s">
        <v>502</v>
      </c>
      <c r="H1377" s="6" t="n">
        <v>0.96</v>
      </c>
      <c r="I1377" s="6" t="n">
        <v>0</v>
      </c>
      <c r="J1377" s="40" t="n">
        <f aca="false">H1377-I1377</f>
        <v>0.96</v>
      </c>
      <c r="K1377" s="41" t="n">
        <v>165</v>
      </c>
      <c r="L1377" s="42" t="n">
        <f aca="false">J1377*K1377</f>
        <v>158.4</v>
      </c>
      <c r="M1377" s="43" t="n">
        <f aca="false">H1377*49.43*(1+'Chart of Accounts'!$E$67)</f>
        <v>54.333456</v>
      </c>
    </row>
    <row r="1378" customFormat="false" ht="15" hidden="false" customHeight="false" outlineLevel="0" collapsed="false">
      <c r="B1378" s="7" t="s">
        <v>1875</v>
      </c>
      <c r="C1378" s="39" t="n">
        <v>45728</v>
      </c>
      <c r="D1378" s="7" t="s">
        <v>395</v>
      </c>
      <c r="E1378" s="7" t="s">
        <v>156</v>
      </c>
      <c r="F1378" s="7" t="s">
        <v>242</v>
      </c>
      <c r="G1378" s="7" t="s">
        <v>505</v>
      </c>
      <c r="H1378" s="6" t="n">
        <v>3.77</v>
      </c>
      <c r="I1378" s="6" t="n">
        <v>0</v>
      </c>
      <c r="J1378" s="40" t="n">
        <f aca="false">H1378-I1378</f>
        <v>3.77</v>
      </c>
      <c r="K1378" s="41" t="n">
        <v>34</v>
      </c>
      <c r="L1378" s="42" t="n">
        <f aca="false">J1378*K1378</f>
        <v>128.18</v>
      </c>
      <c r="M1378" s="43" t="n">
        <f aca="false">H1378*17.99*(1+'Chart of Accounts'!$E$67)</f>
        <v>77.6565335</v>
      </c>
    </row>
    <row r="1379" customFormat="false" ht="15" hidden="false" customHeight="false" outlineLevel="0" collapsed="false">
      <c r="B1379" s="7" t="s">
        <v>1876</v>
      </c>
      <c r="C1379" s="39" t="n">
        <v>45728</v>
      </c>
      <c r="D1379" s="7" t="s">
        <v>399</v>
      </c>
      <c r="E1379" s="7" t="s">
        <v>154</v>
      </c>
      <c r="F1379" s="7" t="s">
        <v>262</v>
      </c>
      <c r="G1379" s="7" t="s">
        <v>505</v>
      </c>
      <c r="H1379" s="6" t="n">
        <v>3.32</v>
      </c>
      <c r="I1379" s="6" t="n">
        <v>0</v>
      </c>
      <c r="J1379" s="40" t="n">
        <f aca="false">H1379-I1379</f>
        <v>3.32</v>
      </c>
      <c r="K1379" s="41" t="n">
        <v>26.5</v>
      </c>
      <c r="L1379" s="42" t="n">
        <f aca="false">J1379*K1379</f>
        <v>87.98</v>
      </c>
      <c r="M1379" s="43" t="n">
        <f aca="false">H1379*16.02*(1+'Chart of Accounts'!$E$67)</f>
        <v>60.898428</v>
      </c>
    </row>
    <row r="1380" customFormat="false" ht="15" hidden="false" customHeight="false" outlineLevel="0" collapsed="false">
      <c r="B1380" s="7" t="s">
        <v>1877</v>
      </c>
      <c r="C1380" s="39" t="n">
        <v>45728</v>
      </c>
      <c r="D1380" s="7" t="s">
        <v>401</v>
      </c>
      <c r="E1380" s="7" t="s">
        <v>156</v>
      </c>
      <c r="F1380" s="7" t="s">
        <v>254</v>
      </c>
      <c r="G1380" s="7" t="s">
        <v>505</v>
      </c>
      <c r="H1380" s="6" t="n">
        <v>4.16</v>
      </c>
      <c r="I1380" s="6" t="n">
        <v>0</v>
      </c>
      <c r="J1380" s="40" t="n">
        <f aca="false">H1380-I1380</f>
        <v>4.16</v>
      </c>
      <c r="K1380" s="41" t="n">
        <v>34</v>
      </c>
      <c r="L1380" s="42" t="n">
        <f aca="false">J1380*K1380</f>
        <v>141.44</v>
      </c>
      <c r="M1380" s="43" t="n">
        <f aca="false">H1380*17.1*(1+'Chart of Accounts'!$E$67)</f>
        <v>81.45072</v>
      </c>
    </row>
    <row r="1381" customFormat="false" ht="15" hidden="false" customHeight="false" outlineLevel="0" collapsed="false">
      <c r="B1381" s="7" t="s">
        <v>1878</v>
      </c>
      <c r="C1381" s="39" t="n">
        <v>45728</v>
      </c>
      <c r="D1381" s="7" t="s">
        <v>409</v>
      </c>
      <c r="E1381" s="7" t="s">
        <v>154</v>
      </c>
      <c r="F1381" s="7" t="s">
        <v>214</v>
      </c>
      <c r="G1381" s="7" t="s">
        <v>505</v>
      </c>
      <c r="H1381" s="6" t="n">
        <v>3.43</v>
      </c>
      <c r="I1381" s="6" t="n">
        <v>0</v>
      </c>
      <c r="J1381" s="40" t="n">
        <f aca="false">H1381-I1381</f>
        <v>3.43</v>
      </c>
      <c r="K1381" s="41" t="n">
        <v>26.5</v>
      </c>
      <c r="L1381" s="42" t="n">
        <f aca="false">J1381*K1381</f>
        <v>90.895</v>
      </c>
      <c r="M1381" s="43" t="n">
        <f aca="false">H1381*15.67*(1+'Chart of Accounts'!$E$67)</f>
        <v>61.5415745</v>
      </c>
    </row>
    <row r="1382" customFormat="false" ht="15" hidden="false" customHeight="false" outlineLevel="0" collapsed="false">
      <c r="B1382" s="7" t="s">
        <v>1879</v>
      </c>
      <c r="C1382" s="39" t="n">
        <v>45728</v>
      </c>
      <c r="D1382" s="7" t="s">
        <v>411</v>
      </c>
      <c r="E1382" s="7" t="s">
        <v>154</v>
      </c>
      <c r="F1382" s="7" t="s">
        <v>177</v>
      </c>
      <c r="G1382" s="7" t="s">
        <v>505</v>
      </c>
      <c r="H1382" s="6" t="n">
        <v>4.56</v>
      </c>
      <c r="I1382" s="6" t="n">
        <v>0</v>
      </c>
      <c r="J1382" s="40" t="n">
        <f aca="false">H1382-I1382</f>
        <v>4.56</v>
      </c>
      <c r="K1382" s="41" t="n">
        <v>26.5</v>
      </c>
      <c r="L1382" s="42" t="n">
        <f aca="false">J1382*K1382</f>
        <v>120.84</v>
      </c>
      <c r="M1382" s="43" t="n">
        <f aca="false">H1382*14.56*(1+'Chart of Accounts'!$E$67)</f>
        <v>76.020672</v>
      </c>
    </row>
    <row r="1383" customFormat="false" ht="15" hidden="false" customHeight="false" outlineLevel="0" collapsed="false">
      <c r="B1383" s="7" t="s">
        <v>1880</v>
      </c>
      <c r="C1383" s="39" t="n">
        <v>45729</v>
      </c>
      <c r="D1383" s="7" t="s">
        <v>288</v>
      </c>
      <c r="E1383" s="7" t="s">
        <v>156</v>
      </c>
      <c r="F1383" s="7" t="s">
        <v>191</v>
      </c>
      <c r="G1383" s="7" t="s">
        <v>505</v>
      </c>
      <c r="H1383" s="6" t="n">
        <v>3.87</v>
      </c>
      <c r="I1383" s="6" t="n">
        <v>0</v>
      </c>
      <c r="J1383" s="40" t="n">
        <f aca="false">H1383-I1383</f>
        <v>3.87</v>
      </c>
      <c r="K1383" s="41" t="n">
        <v>34</v>
      </c>
      <c r="L1383" s="42" t="n">
        <f aca="false">J1383*K1383</f>
        <v>131.58</v>
      </c>
      <c r="M1383" s="43" t="n">
        <f aca="false">H1383*16.05*(1+'Chart of Accounts'!$E$67)</f>
        <v>71.1199575</v>
      </c>
    </row>
    <row r="1384" customFormat="false" ht="15" hidden="false" customHeight="false" outlineLevel="0" collapsed="false">
      <c r="B1384" s="7" t="s">
        <v>1881</v>
      </c>
      <c r="C1384" s="39" t="n">
        <v>45729</v>
      </c>
      <c r="D1384" s="7" t="s">
        <v>297</v>
      </c>
      <c r="E1384" s="7" t="s">
        <v>156</v>
      </c>
      <c r="F1384" s="7" t="s">
        <v>201</v>
      </c>
      <c r="G1384" s="7" t="s">
        <v>505</v>
      </c>
      <c r="H1384" s="6" t="n">
        <v>3.26</v>
      </c>
      <c r="I1384" s="6" t="n">
        <v>0</v>
      </c>
      <c r="J1384" s="40" t="n">
        <f aca="false">H1384-I1384</f>
        <v>3.26</v>
      </c>
      <c r="K1384" s="41" t="n">
        <v>34</v>
      </c>
      <c r="L1384" s="42" t="n">
        <f aca="false">J1384*K1384</f>
        <v>110.84</v>
      </c>
      <c r="M1384" s="43" t="n">
        <f aca="false">H1384*15.19*(1+'Chart of Accounts'!$E$67)</f>
        <v>56.699713</v>
      </c>
    </row>
    <row r="1385" customFormat="false" ht="15" hidden="false" customHeight="false" outlineLevel="0" collapsed="false">
      <c r="B1385" s="7" t="s">
        <v>1882</v>
      </c>
      <c r="C1385" s="39" t="n">
        <v>45729</v>
      </c>
      <c r="D1385" s="7" t="s">
        <v>311</v>
      </c>
      <c r="E1385" s="7" t="s">
        <v>154</v>
      </c>
      <c r="F1385" s="7" t="s">
        <v>196</v>
      </c>
      <c r="G1385" s="7" t="s">
        <v>505</v>
      </c>
      <c r="H1385" s="6" t="n">
        <v>3.15</v>
      </c>
      <c r="I1385" s="6" t="n">
        <v>0</v>
      </c>
      <c r="J1385" s="40" t="n">
        <f aca="false">H1385-I1385</f>
        <v>3.15</v>
      </c>
      <c r="K1385" s="41" t="n">
        <v>26.5</v>
      </c>
      <c r="L1385" s="42" t="n">
        <f aca="false">J1385*K1385</f>
        <v>83.475</v>
      </c>
      <c r="M1385" s="43" t="n">
        <f aca="false">H1385*15.05*(1+'Chart of Accounts'!$E$67)</f>
        <v>54.2815875</v>
      </c>
    </row>
    <row r="1386" customFormat="false" ht="15" hidden="false" customHeight="false" outlineLevel="0" collapsed="false">
      <c r="B1386" s="7" t="s">
        <v>1883</v>
      </c>
      <c r="C1386" s="39" t="n">
        <v>45729</v>
      </c>
      <c r="D1386" s="7" t="s">
        <v>313</v>
      </c>
      <c r="E1386" s="7" t="s">
        <v>156</v>
      </c>
      <c r="F1386" s="7" t="s">
        <v>184</v>
      </c>
      <c r="G1386" s="7" t="s">
        <v>505</v>
      </c>
      <c r="H1386" s="6" t="n">
        <v>4.11</v>
      </c>
      <c r="I1386" s="6" t="n">
        <v>0</v>
      </c>
      <c r="J1386" s="40" t="n">
        <f aca="false">H1386-I1386</f>
        <v>4.11</v>
      </c>
      <c r="K1386" s="41" t="n">
        <v>34</v>
      </c>
      <c r="L1386" s="42" t="n">
        <f aca="false">J1386*K1386</f>
        <v>139.74</v>
      </c>
      <c r="M1386" s="43" t="n">
        <f aca="false">H1386*17.34*(1+'Chart of Accounts'!$E$67)</f>
        <v>81.601173</v>
      </c>
    </row>
    <row r="1387" customFormat="false" ht="15" hidden="false" customHeight="false" outlineLevel="0" collapsed="false">
      <c r="B1387" s="7" t="s">
        <v>1884</v>
      </c>
      <c r="C1387" s="39" t="n">
        <v>45729</v>
      </c>
      <c r="D1387" s="7" t="s">
        <v>317</v>
      </c>
      <c r="E1387" s="7" t="s">
        <v>156</v>
      </c>
      <c r="F1387" s="7" t="s">
        <v>207</v>
      </c>
      <c r="G1387" s="7" t="s">
        <v>505</v>
      </c>
      <c r="H1387" s="6" t="n">
        <v>3.01</v>
      </c>
      <c r="I1387" s="6" t="n">
        <v>0</v>
      </c>
      <c r="J1387" s="40" t="n">
        <f aca="false">H1387-I1387</f>
        <v>3.01</v>
      </c>
      <c r="K1387" s="41" t="n">
        <v>34</v>
      </c>
      <c r="L1387" s="42" t="n">
        <f aca="false">J1387*K1387</f>
        <v>102.34</v>
      </c>
      <c r="M1387" s="43" t="n">
        <f aca="false">H1387*16.65*(1+'Chart of Accounts'!$E$67)</f>
        <v>57.3833925</v>
      </c>
    </row>
    <row r="1388" customFormat="false" ht="15" hidden="false" customHeight="false" outlineLevel="0" collapsed="false">
      <c r="B1388" s="7" t="s">
        <v>1885</v>
      </c>
      <c r="C1388" s="39" t="n">
        <v>45729</v>
      </c>
      <c r="D1388" s="7" t="s">
        <v>321</v>
      </c>
      <c r="E1388" s="7" t="s">
        <v>154</v>
      </c>
      <c r="F1388" s="7" t="s">
        <v>218</v>
      </c>
      <c r="G1388" s="7" t="s">
        <v>505</v>
      </c>
      <c r="H1388" s="6" t="n">
        <v>3.86</v>
      </c>
      <c r="I1388" s="6" t="n">
        <v>0</v>
      </c>
      <c r="J1388" s="40" t="n">
        <f aca="false">H1388-I1388</f>
        <v>3.86</v>
      </c>
      <c r="K1388" s="41" t="n">
        <v>26.5</v>
      </c>
      <c r="L1388" s="42" t="n">
        <f aca="false">J1388*K1388</f>
        <v>102.29</v>
      </c>
      <c r="M1388" s="43" t="n">
        <f aca="false">H1388*16.19*(1+'Chart of Accounts'!$E$67)</f>
        <v>71.554943</v>
      </c>
    </row>
    <row r="1389" customFormat="false" ht="15" hidden="false" customHeight="false" outlineLevel="0" collapsed="false">
      <c r="B1389" s="7" t="s">
        <v>1886</v>
      </c>
      <c r="C1389" s="39" t="n">
        <v>45729</v>
      </c>
      <c r="D1389" s="7" t="s">
        <v>325</v>
      </c>
      <c r="E1389" s="7" t="s">
        <v>154</v>
      </c>
      <c r="F1389" s="7" t="s">
        <v>212</v>
      </c>
      <c r="G1389" s="7" t="s">
        <v>505</v>
      </c>
      <c r="H1389" s="6" t="n">
        <v>3.1</v>
      </c>
      <c r="I1389" s="6" t="n">
        <v>0</v>
      </c>
      <c r="J1389" s="40" t="n">
        <f aca="false">H1389-I1389</f>
        <v>3.1</v>
      </c>
      <c r="K1389" s="41" t="n">
        <v>26.5</v>
      </c>
      <c r="L1389" s="42" t="n">
        <f aca="false">J1389*K1389</f>
        <v>82.15</v>
      </c>
      <c r="M1389" s="43" t="n">
        <f aca="false">H1389*16.71*(1+'Chart of Accounts'!$E$67)</f>
        <v>59.312145</v>
      </c>
    </row>
    <row r="1390" customFormat="false" ht="15" hidden="false" customHeight="false" outlineLevel="0" collapsed="false">
      <c r="B1390" s="7" t="s">
        <v>1887</v>
      </c>
      <c r="C1390" s="39" t="n">
        <v>45729</v>
      </c>
      <c r="D1390" s="7" t="s">
        <v>329</v>
      </c>
      <c r="E1390" s="7" t="s">
        <v>156</v>
      </c>
      <c r="F1390" s="7" t="s">
        <v>220</v>
      </c>
      <c r="G1390" s="7" t="s">
        <v>505</v>
      </c>
      <c r="H1390" s="6" t="n">
        <v>4.2</v>
      </c>
      <c r="I1390" s="6" t="n">
        <v>0</v>
      </c>
      <c r="J1390" s="40" t="n">
        <f aca="false">H1390-I1390</f>
        <v>4.2</v>
      </c>
      <c r="K1390" s="41" t="n">
        <v>34</v>
      </c>
      <c r="L1390" s="42" t="n">
        <f aca="false">J1390*K1390</f>
        <v>142.8</v>
      </c>
      <c r="M1390" s="43" t="n">
        <f aca="false">H1390*16.43*(1+'Chart of Accounts'!$E$67)</f>
        <v>79.01187</v>
      </c>
    </row>
    <row r="1391" customFormat="false" ht="15" hidden="false" customHeight="false" outlineLevel="0" collapsed="false">
      <c r="B1391" s="7" t="s">
        <v>1888</v>
      </c>
      <c r="C1391" s="39" t="n">
        <v>45729</v>
      </c>
      <c r="D1391" s="7" t="s">
        <v>331</v>
      </c>
      <c r="E1391" s="7" t="s">
        <v>156</v>
      </c>
      <c r="F1391" s="7" t="s">
        <v>224</v>
      </c>
      <c r="G1391" s="7" t="s">
        <v>505</v>
      </c>
      <c r="H1391" s="6" t="n">
        <v>3.95</v>
      </c>
      <c r="I1391" s="6" t="n">
        <v>0</v>
      </c>
      <c r="J1391" s="40" t="n">
        <f aca="false">H1391-I1391</f>
        <v>3.95</v>
      </c>
      <c r="K1391" s="41" t="n">
        <v>34</v>
      </c>
      <c r="L1391" s="42" t="n">
        <f aca="false">J1391*K1391</f>
        <v>134.3</v>
      </c>
      <c r="M1391" s="43" t="n">
        <f aca="false">H1391*14.93*(1+'Chart of Accounts'!$E$67)</f>
        <v>67.5246575</v>
      </c>
    </row>
    <row r="1392" customFormat="false" ht="15" hidden="false" customHeight="false" outlineLevel="0" collapsed="false">
      <c r="B1392" s="7" t="s">
        <v>1889</v>
      </c>
      <c r="C1392" s="39" t="n">
        <v>45729</v>
      </c>
      <c r="D1392" s="7" t="s">
        <v>337</v>
      </c>
      <c r="E1392" s="7" t="s">
        <v>154</v>
      </c>
      <c r="F1392" s="7" t="s">
        <v>232</v>
      </c>
      <c r="G1392" s="7" t="s">
        <v>505</v>
      </c>
      <c r="H1392" s="6" t="n">
        <v>2.9</v>
      </c>
      <c r="I1392" s="6" t="n">
        <v>0</v>
      </c>
      <c r="J1392" s="40" t="n">
        <f aca="false">H1392-I1392</f>
        <v>2.9</v>
      </c>
      <c r="K1392" s="41" t="n">
        <v>26.5</v>
      </c>
      <c r="L1392" s="42" t="n">
        <f aca="false">J1392*K1392</f>
        <v>76.85</v>
      </c>
      <c r="M1392" s="43" t="n">
        <f aca="false">H1392*16.17*(1+'Chart of Accounts'!$E$67)</f>
        <v>53.692485</v>
      </c>
    </row>
    <row r="1393" customFormat="false" ht="15" hidden="false" customHeight="false" outlineLevel="0" collapsed="false">
      <c r="B1393" s="7" t="s">
        <v>1890</v>
      </c>
      <c r="C1393" s="39" t="n">
        <v>45729</v>
      </c>
      <c r="D1393" s="7" t="s">
        <v>341</v>
      </c>
      <c r="E1393" s="7" t="s">
        <v>156</v>
      </c>
      <c r="F1393" s="7" t="s">
        <v>222</v>
      </c>
      <c r="G1393" s="7" t="s">
        <v>505</v>
      </c>
      <c r="H1393" s="6" t="n">
        <v>3.03</v>
      </c>
      <c r="I1393" s="6" t="n">
        <v>0</v>
      </c>
      <c r="J1393" s="40" t="n">
        <f aca="false">H1393-I1393</f>
        <v>3.03</v>
      </c>
      <c r="K1393" s="41" t="n">
        <v>34</v>
      </c>
      <c r="L1393" s="42" t="n">
        <f aca="false">J1393*K1393</f>
        <v>103.02</v>
      </c>
      <c r="M1393" s="43" t="n">
        <f aca="false">H1393*17.84*(1+'Chart of Accounts'!$E$67)</f>
        <v>61.893204</v>
      </c>
    </row>
    <row r="1394" customFormat="false" ht="15" hidden="false" customHeight="false" outlineLevel="0" collapsed="false">
      <c r="B1394" s="7" t="s">
        <v>1891</v>
      </c>
      <c r="C1394" s="39" t="n">
        <v>45729</v>
      </c>
      <c r="D1394" s="7" t="s">
        <v>343</v>
      </c>
      <c r="E1394" s="7" t="s">
        <v>154</v>
      </c>
      <c r="F1394" s="7" t="s">
        <v>262</v>
      </c>
      <c r="G1394" s="7" t="s">
        <v>505</v>
      </c>
      <c r="H1394" s="6" t="n">
        <v>3.95</v>
      </c>
      <c r="I1394" s="6" t="n">
        <v>0</v>
      </c>
      <c r="J1394" s="40" t="n">
        <f aca="false">H1394-I1394</f>
        <v>3.95</v>
      </c>
      <c r="K1394" s="41" t="n">
        <v>26.5</v>
      </c>
      <c r="L1394" s="42" t="n">
        <f aca="false">J1394*K1394</f>
        <v>104.675</v>
      </c>
      <c r="M1394" s="43" t="n">
        <f aca="false">H1394*16.02*(1+'Chart of Accounts'!$E$67)</f>
        <v>72.454455</v>
      </c>
    </row>
    <row r="1395" customFormat="false" ht="15" hidden="false" customHeight="false" outlineLevel="0" collapsed="false">
      <c r="B1395" s="7" t="s">
        <v>1892</v>
      </c>
      <c r="C1395" s="39" t="n">
        <v>45729</v>
      </c>
      <c r="D1395" s="7" t="s">
        <v>359</v>
      </c>
      <c r="E1395" s="7" t="s">
        <v>156</v>
      </c>
      <c r="F1395" s="7" t="s">
        <v>212</v>
      </c>
      <c r="G1395" s="7" t="s">
        <v>505</v>
      </c>
      <c r="H1395" s="6" t="n">
        <v>3.98</v>
      </c>
      <c r="I1395" s="6" t="n">
        <v>0</v>
      </c>
      <c r="J1395" s="40" t="n">
        <f aca="false">H1395-I1395</f>
        <v>3.98</v>
      </c>
      <c r="K1395" s="41" t="n">
        <v>34</v>
      </c>
      <c r="L1395" s="42" t="n">
        <f aca="false">J1395*K1395</f>
        <v>135.32</v>
      </c>
      <c r="M1395" s="43" t="n">
        <f aca="false">H1395*16.71*(1+'Chart of Accounts'!$E$67)</f>
        <v>76.149141</v>
      </c>
    </row>
    <row r="1396" customFormat="false" ht="15" hidden="false" customHeight="false" outlineLevel="0" collapsed="false">
      <c r="B1396" s="7" t="s">
        <v>1893</v>
      </c>
      <c r="C1396" s="39" t="n">
        <v>45729</v>
      </c>
      <c r="D1396" s="7" t="s">
        <v>363</v>
      </c>
      <c r="E1396" s="7" t="s">
        <v>156</v>
      </c>
      <c r="F1396" s="7" t="s">
        <v>246</v>
      </c>
      <c r="G1396" s="7" t="s">
        <v>505</v>
      </c>
      <c r="H1396" s="6" t="n">
        <v>4.06</v>
      </c>
      <c r="I1396" s="6" t="n">
        <v>0</v>
      </c>
      <c r="J1396" s="40" t="n">
        <f aca="false">H1396-I1396</f>
        <v>4.06</v>
      </c>
      <c r="K1396" s="41" t="n">
        <v>34</v>
      </c>
      <c r="L1396" s="42" t="n">
        <f aca="false">J1396*K1396</f>
        <v>138.04</v>
      </c>
      <c r="M1396" s="43" t="n">
        <f aca="false">H1396*16.48*(1+'Chart of Accounts'!$E$67)</f>
        <v>76.610576</v>
      </c>
    </row>
    <row r="1397" customFormat="false" ht="15" hidden="false" customHeight="false" outlineLevel="0" collapsed="false">
      <c r="B1397" s="7" t="s">
        <v>1894</v>
      </c>
      <c r="C1397" s="39" t="n">
        <v>45729</v>
      </c>
      <c r="D1397" s="7" t="s">
        <v>375</v>
      </c>
      <c r="E1397" s="7" t="s">
        <v>156</v>
      </c>
      <c r="F1397" s="7" t="s">
        <v>196</v>
      </c>
      <c r="G1397" s="7" t="s">
        <v>505</v>
      </c>
      <c r="H1397" s="6" t="n">
        <v>3.01</v>
      </c>
      <c r="I1397" s="6" t="n">
        <v>0</v>
      </c>
      <c r="J1397" s="40" t="n">
        <f aca="false">H1397-I1397</f>
        <v>3.01</v>
      </c>
      <c r="K1397" s="41" t="n">
        <v>34</v>
      </c>
      <c r="L1397" s="42" t="n">
        <f aca="false">J1397*K1397</f>
        <v>102.34</v>
      </c>
      <c r="M1397" s="43" t="n">
        <f aca="false">H1397*15.05*(1+'Chart of Accounts'!$E$67)</f>
        <v>51.8690725</v>
      </c>
    </row>
    <row r="1398" customFormat="false" ht="15" hidden="false" customHeight="false" outlineLevel="0" collapsed="false">
      <c r="B1398" s="7" t="s">
        <v>1895</v>
      </c>
      <c r="C1398" s="39" t="n">
        <v>45729</v>
      </c>
      <c r="D1398" s="7" t="s">
        <v>377</v>
      </c>
      <c r="E1398" s="7" t="s">
        <v>154</v>
      </c>
      <c r="F1398" s="7" t="s">
        <v>214</v>
      </c>
      <c r="G1398" s="7" t="s">
        <v>505</v>
      </c>
      <c r="H1398" s="6" t="n">
        <v>3.94</v>
      </c>
      <c r="I1398" s="6" t="n">
        <v>0</v>
      </c>
      <c r="J1398" s="40" t="n">
        <f aca="false">H1398-I1398</f>
        <v>3.94</v>
      </c>
      <c r="K1398" s="41" t="n">
        <v>26.5</v>
      </c>
      <c r="L1398" s="42" t="n">
        <f aca="false">J1398*K1398</f>
        <v>104.41</v>
      </c>
      <c r="M1398" s="43" t="n">
        <f aca="false">H1398*15.67*(1+'Chart of Accounts'!$E$67)</f>
        <v>70.692071</v>
      </c>
    </row>
    <row r="1399" customFormat="false" ht="15" hidden="false" customHeight="false" outlineLevel="0" collapsed="false">
      <c r="B1399" s="7" t="s">
        <v>1896</v>
      </c>
      <c r="C1399" s="39" t="n">
        <v>45729</v>
      </c>
      <c r="D1399" s="7" t="s">
        <v>389</v>
      </c>
      <c r="E1399" s="7" t="s">
        <v>154</v>
      </c>
      <c r="F1399" s="7" t="s">
        <v>246</v>
      </c>
      <c r="G1399" s="7" t="s">
        <v>505</v>
      </c>
      <c r="H1399" s="6" t="n">
        <v>3.69</v>
      </c>
      <c r="I1399" s="6" t="n">
        <v>0</v>
      </c>
      <c r="J1399" s="40" t="n">
        <f aca="false">H1399-I1399</f>
        <v>3.69</v>
      </c>
      <c r="K1399" s="41" t="n">
        <v>26.5</v>
      </c>
      <c r="L1399" s="42" t="n">
        <f aca="false">J1399*K1399</f>
        <v>97.785</v>
      </c>
      <c r="M1399" s="43" t="n">
        <f aca="false">H1399*16.48*(1+'Chart of Accounts'!$E$67)</f>
        <v>69.628824</v>
      </c>
    </row>
    <row r="1400" customFormat="false" ht="15" hidden="false" customHeight="false" outlineLevel="0" collapsed="false">
      <c r="B1400" s="7" t="s">
        <v>1897</v>
      </c>
      <c r="C1400" s="39" t="n">
        <v>45729</v>
      </c>
      <c r="D1400" s="7" t="s">
        <v>391</v>
      </c>
      <c r="E1400" s="7" t="s">
        <v>156</v>
      </c>
      <c r="F1400" s="7" t="s">
        <v>222</v>
      </c>
      <c r="G1400" s="7" t="s">
        <v>505</v>
      </c>
      <c r="H1400" s="6" t="n">
        <v>3.75</v>
      </c>
      <c r="I1400" s="6" t="n">
        <v>0</v>
      </c>
      <c r="J1400" s="40" t="n">
        <f aca="false">H1400-I1400</f>
        <v>3.75</v>
      </c>
      <c r="K1400" s="41" t="n">
        <v>34</v>
      </c>
      <c r="L1400" s="42" t="n">
        <f aca="false">J1400*K1400</f>
        <v>127.5</v>
      </c>
      <c r="M1400" s="43" t="n">
        <f aca="false">H1400*17.84*(1+'Chart of Accounts'!$E$67)</f>
        <v>76.6005</v>
      </c>
    </row>
    <row r="1401" customFormat="false" ht="15" hidden="false" customHeight="false" outlineLevel="0" collapsed="false">
      <c r="B1401" s="7" t="s">
        <v>1898</v>
      </c>
      <c r="C1401" s="39" t="n">
        <v>45729</v>
      </c>
      <c r="D1401" s="7" t="s">
        <v>395</v>
      </c>
      <c r="E1401" s="7" t="s">
        <v>156</v>
      </c>
      <c r="F1401" s="7" t="s">
        <v>242</v>
      </c>
      <c r="G1401" s="7" t="s">
        <v>505</v>
      </c>
      <c r="H1401" s="6" t="n">
        <v>4.22</v>
      </c>
      <c r="I1401" s="6" t="n">
        <v>0</v>
      </c>
      <c r="J1401" s="40" t="n">
        <f aca="false">H1401-I1401</f>
        <v>4.22</v>
      </c>
      <c r="K1401" s="41" t="n">
        <v>34</v>
      </c>
      <c r="L1401" s="42" t="n">
        <f aca="false">J1401*K1401</f>
        <v>143.48</v>
      </c>
      <c r="M1401" s="43" t="n">
        <f aca="false">H1401*17.99*(1+'Chart of Accounts'!$E$67)</f>
        <v>86.925881</v>
      </c>
    </row>
    <row r="1402" customFormat="false" ht="15" hidden="false" customHeight="false" outlineLevel="0" collapsed="false">
      <c r="B1402" s="7" t="s">
        <v>1899</v>
      </c>
      <c r="C1402" s="39" t="n">
        <v>45729</v>
      </c>
      <c r="D1402" s="7" t="s">
        <v>401</v>
      </c>
      <c r="E1402" s="7" t="s">
        <v>156</v>
      </c>
      <c r="F1402" s="7" t="s">
        <v>254</v>
      </c>
      <c r="G1402" s="7" t="s">
        <v>505</v>
      </c>
      <c r="H1402" s="6" t="n">
        <v>4.26</v>
      </c>
      <c r="I1402" s="6" t="n">
        <v>0</v>
      </c>
      <c r="J1402" s="40" t="n">
        <f aca="false">H1402-I1402</f>
        <v>4.26</v>
      </c>
      <c r="K1402" s="41" t="n">
        <v>34</v>
      </c>
      <c r="L1402" s="42" t="n">
        <f aca="false">J1402*K1402</f>
        <v>144.84</v>
      </c>
      <c r="M1402" s="43" t="n">
        <f aca="false">H1402*17.1*(1+'Chart of Accounts'!$E$67)</f>
        <v>83.40867</v>
      </c>
    </row>
    <row r="1403" customFormat="false" ht="15" hidden="false" customHeight="false" outlineLevel="0" collapsed="false">
      <c r="B1403" s="7" t="s">
        <v>1900</v>
      </c>
      <c r="C1403" s="39" t="n">
        <v>45730</v>
      </c>
      <c r="D1403" s="7" t="s">
        <v>280</v>
      </c>
      <c r="E1403" s="7" t="s">
        <v>157</v>
      </c>
      <c r="F1403" s="7" t="s">
        <v>187</v>
      </c>
      <c r="G1403" s="7" t="s">
        <v>502</v>
      </c>
      <c r="H1403" s="6" t="n">
        <v>0.99</v>
      </c>
      <c r="I1403" s="6" t="n">
        <v>0</v>
      </c>
      <c r="J1403" s="40" t="n">
        <f aca="false">H1403-I1403</f>
        <v>0.99</v>
      </c>
      <c r="K1403" s="41" t="n">
        <v>165</v>
      </c>
      <c r="L1403" s="42" t="n">
        <f aca="false">J1403*K1403</f>
        <v>163.35</v>
      </c>
      <c r="M1403" s="43" t="n">
        <f aca="false">H1403*66.48*(1+'Chart of Accounts'!$E$67)</f>
        <v>75.358404</v>
      </c>
    </row>
    <row r="1404" customFormat="false" ht="15" hidden="false" customHeight="false" outlineLevel="0" collapsed="false">
      <c r="B1404" s="7" t="s">
        <v>1901</v>
      </c>
      <c r="C1404" s="39" t="n">
        <v>45730</v>
      </c>
      <c r="D1404" s="7" t="s">
        <v>288</v>
      </c>
      <c r="E1404" s="7" t="s">
        <v>156</v>
      </c>
      <c r="F1404" s="7" t="s">
        <v>191</v>
      </c>
      <c r="G1404" s="7" t="s">
        <v>505</v>
      </c>
      <c r="H1404" s="6" t="n">
        <v>4.15</v>
      </c>
      <c r="I1404" s="6" t="n">
        <v>0</v>
      </c>
      <c r="J1404" s="40" t="n">
        <f aca="false">H1404-I1404</f>
        <v>4.15</v>
      </c>
      <c r="K1404" s="41" t="n">
        <v>34</v>
      </c>
      <c r="L1404" s="42" t="n">
        <f aca="false">J1404*K1404</f>
        <v>141.1</v>
      </c>
      <c r="M1404" s="43" t="n">
        <f aca="false">H1404*16.05*(1+'Chart of Accounts'!$E$67)</f>
        <v>76.2655875</v>
      </c>
    </row>
    <row r="1405" customFormat="false" ht="15" hidden="false" customHeight="false" outlineLevel="0" collapsed="false">
      <c r="B1405" s="7" t="s">
        <v>1902</v>
      </c>
      <c r="C1405" s="39" t="n">
        <v>45730</v>
      </c>
      <c r="D1405" s="7" t="s">
        <v>291</v>
      </c>
      <c r="E1405" s="7" t="s">
        <v>154</v>
      </c>
      <c r="F1405" s="7" t="s">
        <v>194</v>
      </c>
      <c r="G1405" s="7" t="s">
        <v>505</v>
      </c>
      <c r="H1405" s="6" t="n">
        <v>4.28</v>
      </c>
      <c r="I1405" s="6" t="n">
        <v>0</v>
      </c>
      <c r="J1405" s="40" t="n">
        <f aca="false">H1405-I1405</f>
        <v>4.28</v>
      </c>
      <c r="K1405" s="41" t="n">
        <v>26.5</v>
      </c>
      <c r="L1405" s="42" t="n">
        <f aca="false">J1405*K1405</f>
        <v>113.42</v>
      </c>
      <c r="M1405" s="43" t="n">
        <f aca="false">H1405*16*(1+'Chart of Accounts'!$E$67)</f>
        <v>78.4096</v>
      </c>
    </row>
    <row r="1406" customFormat="false" ht="15" hidden="false" customHeight="false" outlineLevel="0" collapsed="false">
      <c r="B1406" s="7" t="s">
        <v>1903</v>
      </c>
      <c r="C1406" s="39" t="n">
        <v>45730</v>
      </c>
      <c r="D1406" s="7" t="s">
        <v>301</v>
      </c>
      <c r="E1406" s="7" t="s">
        <v>157</v>
      </c>
      <c r="F1406" s="7" t="s">
        <v>209</v>
      </c>
      <c r="G1406" s="7" t="s">
        <v>502</v>
      </c>
      <c r="H1406" s="6" t="n">
        <v>1.02</v>
      </c>
      <c r="I1406" s="6" t="n">
        <v>0</v>
      </c>
      <c r="J1406" s="40" t="n">
        <f aca="false">H1406-I1406</f>
        <v>1.02</v>
      </c>
      <c r="K1406" s="41" t="n">
        <v>165</v>
      </c>
      <c r="L1406" s="42" t="n">
        <f aca="false">J1406*K1406</f>
        <v>168.3</v>
      </c>
      <c r="M1406" s="43" t="n">
        <f aca="false">H1406*73.58*(1+'Chart of Accounts'!$E$67)</f>
        <v>85.934082</v>
      </c>
    </row>
    <row r="1407" customFormat="false" ht="15" hidden="false" customHeight="false" outlineLevel="0" collapsed="false">
      <c r="B1407" s="7" t="s">
        <v>1904</v>
      </c>
      <c r="C1407" s="39" t="n">
        <v>45730</v>
      </c>
      <c r="D1407" s="7" t="s">
        <v>305</v>
      </c>
      <c r="E1407" s="7" t="s">
        <v>154</v>
      </c>
      <c r="F1407" s="7" t="s">
        <v>205</v>
      </c>
      <c r="G1407" s="7" t="s">
        <v>505</v>
      </c>
      <c r="H1407" s="6" t="n">
        <v>3.83</v>
      </c>
      <c r="I1407" s="6" t="n">
        <v>0</v>
      </c>
      <c r="J1407" s="40" t="n">
        <f aca="false">H1407-I1407</f>
        <v>3.83</v>
      </c>
      <c r="K1407" s="41" t="n">
        <v>26.5</v>
      </c>
      <c r="L1407" s="42" t="n">
        <f aca="false">J1407*K1407</f>
        <v>101.495</v>
      </c>
      <c r="M1407" s="43" t="n">
        <f aca="false">H1407*16.36*(1+'Chart of Accounts'!$E$67)</f>
        <v>71.744326</v>
      </c>
    </row>
    <row r="1408" customFormat="false" ht="15" hidden="false" customHeight="false" outlineLevel="0" collapsed="false">
      <c r="B1408" s="7" t="s">
        <v>1905</v>
      </c>
      <c r="C1408" s="39" t="n">
        <v>45730</v>
      </c>
      <c r="D1408" s="7" t="s">
        <v>309</v>
      </c>
      <c r="E1408" s="7" t="s">
        <v>159</v>
      </c>
      <c r="F1408" s="7" t="s">
        <v>252</v>
      </c>
      <c r="G1408" s="7" t="s">
        <v>502</v>
      </c>
      <c r="H1408" s="6" t="n">
        <v>0.96</v>
      </c>
      <c r="I1408" s="6" t="n">
        <v>0</v>
      </c>
      <c r="J1408" s="40" t="n">
        <f aca="false">H1408-I1408</f>
        <v>0.96</v>
      </c>
      <c r="K1408" s="41" t="n">
        <v>135</v>
      </c>
      <c r="L1408" s="42" t="n">
        <f aca="false">J1408*K1408</f>
        <v>129.6</v>
      </c>
      <c r="M1408" s="43" t="n">
        <f aca="false">H1408*57.54*(1+'Chart of Accounts'!$E$67)</f>
        <v>63.247968</v>
      </c>
    </row>
    <row r="1409" customFormat="false" ht="15" hidden="false" customHeight="false" outlineLevel="0" collapsed="false">
      <c r="B1409" s="7" t="s">
        <v>1906</v>
      </c>
      <c r="C1409" s="39" t="n">
        <v>45730</v>
      </c>
      <c r="D1409" s="7" t="s">
        <v>313</v>
      </c>
      <c r="E1409" s="7" t="s">
        <v>156</v>
      </c>
      <c r="F1409" s="7" t="s">
        <v>184</v>
      </c>
      <c r="G1409" s="7" t="s">
        <v>505</v>
      </c>
      <c r="H1409" s="6" t="n">
        <v>4.19</v>
      </c>
      <c r="I1409" s="6" t="n">
        <v>0</v>
      </c>
      <c r="J1409" s="40" t="n">
        <f aca="false">H1409-I1409</f>
        <v>4.19</v>
      </c>
      <c r="K1409" s="41" t="n">
        <v>34</v>
      </c>
      <c r="L1409" s="42" t="n">
        <f aca="false">J1409*K1409</f>
        <v>142.46</v>
      </c>
      <c r="M1409" s="43" t="n">
        <f aca="false">H1409*17.34*(1+'Chart of Accounts'!$E$67)</f>
        <v>83.189517</v>
      </c>
    </row>
    <row r="1410" customFormat="false" ht="15" hidden="false" customHeight="false" outlineLevel="0" collapsed="false">
      <c r="B1410" s="7" t="s">
        <v>1907</v>
      </c>
      <c r="C1410" s="39" t="n">
        <v>45730</v>
      </c>
      <c r="D1410" s="7" t="s">
        <v>319</v>
      </c>
      <c r="E1410" s="7" t="s">
        <v>157</v>
      </c>
      <c r="F1410" s="7" t="s">
        <v>234</v>
      </c>
      <c r="G1410" s="7" t="s">
        <v>502</v>
      </c>
      <c r="H1410" s="6" t="n">
        <v>1.05</v>
      </c>
      <c r="I1410" s="6" t="n">
        <v>0</v>
      </c>
      <c r="J1410" s="40" t="n">
        <f aca="false">H1410-I1410</f>
        <v>1.05</v>
      </c>
      <c r="K1410" s="41" t="n">
        <v>165</v>
      </c>
      <c r="L1410" s="42" t="n">
        <f aca="false">J1410*K1410</f>
        <v>173.25</v>
      </c>
      <c r="M1410" s="43" t="n">
        <f aca="false">H1410*89.53*(1+'Chart of Accounts'!$E$67)</f>
        <v>107.6374425</v>
      </c>
    </row>
    <row r="1411" customFormat="false" ht="15" hidden="false" customHeight="false" outlineLevel="0" collapsed="false">
      <c r="B1411" s="7" t="s">
        <v>1908</v>
      </c>
      <c r="C1411" s="39" t="n">
        <v>45730</v>
      </c>
      <c r="D1411" s="7" t="s">
        <v>321</v>
      </c>
      <c r="E1411" s="7" t="s">
        <v>154</v>
      </c>
      <c r="F1411" s="7" t="s">
        <v>218</v>
      </c>
      <c r="G1411" s="7" t="s">
        <v>505</v>
      </c>
      <c r="H1411" s="6" t="n">
        <v>4.39</v>
      </c>
      <c r="I1411" s="6" t="n">
        <v>0</v>
      </c>
      <c r="J1411" s="40" t="n">
        <f aca="false">H1411-I1411</f>
        <v>4.39</v>
      </c>
      <c r="K1411" s="41" t="n">
        <v>26.5</v>
      </c>
      <c r="L1411" s="42" t="n">
        <f aca="false">J1411*K1411</f>
        <v>116.335</v>
      </c>
      <c r="M1411" s="43" t="n">
        <f aca="false">H1411*16.19*(1+'Chart of Accounts'!$E$67)</f>
        <v>81.3798445</v>
      </c>
    </row>
    <row r="1412" customFormat="false" ht="15" hidden="false" customHeight="false" outlineLevel="0" collapsed="false">
      <c r="B1412" s="7" t="s">
        <v>1909</v>
      </c>
      <c r="C1412" s="39" t="n">
        <v>45730</v>
      </c>
      <c r="D1412" s="7" t="s">
        <v>323</v>
      </c>
      <c r="E1412" s="7" t="s">
        <v>159</v>
      </c>
      <c r="F1412" s="7" t="s">
        <v>266</v>
      </c>
      <c r="G1412" s="7" t="s">
        <v>502</v>
      </c>
      <c r="H1412" s="6" t="n">
        <v>0.98</v>
      </c>
      <c r="I1412" s="6" t="n">
        <v>0</v>
      </c>
      <c r="J1412" s="40" t="n">
        <f aca="false">H1412-I1412</f>
        <v>0.98</v>
      </c>
      <c r="K1412" s="41" t="n">
        <v>135</v>
      </c>
      <c r="L1412" s="42" t="n">
        <f aca="false">J1412*K1412</f>
        <v>132.3</v>
      </c>
      <c r="M1412" s="43" t="n">
        <f aca="false">H1412*75.18*(1+'Chart of Accounts'!$E$67)</f>
        <v>84.359478</v>
      </c>
    </row>
    <row r="1413" customFormat="false" ht="15" hidden="false" customHeight="false" outlineLevel="0" collapsed="false">
      <c r="B1413" s="7" t="s">
        <v>1910</v>
      </c>
      <c r="C1413" s="39" t="n">
        <v>45730</v>
      </c>
      <c r="D1413" s="7" t="s">
        <v>327</v>
      </c>
      <c r="E1413" s="7" t="s">
        <v>157</v>
      </c>
      <c r="F1413" s="7" t="s">
        <v>228</v>
      </c>
      <c r="G1413" s="7" t="s">
        <v>502</v>
      </c>
      <c r="H1413" s="6" t="n">
        <v>0.95</v>
      </c>
      <c r="I1413" s="6" t="n">
        <v>0</v>
      </c>
      <c r="J1413" s="40" t="n">
        <f aca="false">H1413-I1413</f>
        <v>0.95</v>
      </c>
      <c r="K1413" s="41" t="n">
        <v>165</v>
      </c>
      <c r="L1413" s="42" t="n">
        <f aca="false">J1413*K1413</f>
        <v>156.75</v>
      </c>
      <c r="M1413" s="43" t="n">
        <f aca="false">H1413*51.07*(1+'Chart of Accounts'!$E$67)</f>
        <v>55.5513925</v>
      </c>
    </row>
    <row r="1414" customFormat="false" ht="15" hidden="false" customHeight="false" outlineLevel="0" collapsed="false">
      <c r="B1414" s="7" t="s">
        <v>1911</v>
      </c>
      <c r="C1414" s="39" t="n">
        <v>45730</v>
      </c>
      <c r="D1414" s="7" t="s">
        <v>329</v>
      </c>
      <c r="E1414" s="7" t="s">
        <v>156</v>
      </c>
      <c r="F1414" s="7" t="s">
        <v>220</v>
      </c>
      <c r="G1414" s="7" t="s">
        <v>505</v>
      </c>
      <c r="H1414" s="6" t="n">
        <v>4.16</v>
      </c>
      <c r="I1414" s="6" t="n">
        <v>0</v>
      </c>
      <c r="J1414" s="40" t="n">
        <f aca="false">H1414-I1414</f>
        <v>4.16</v>
      </c>
      <c r="K1414" s="41" t="n">
        <v>34</v>
      </c>
      <c r="L1414" s="42" t="n">
        <f aca="false">J1414*K1414</f>
        <v>141.44</v>
      </c>
      <c r="M1414" s="43" t="n">
        <f aca="false">H1414*16.43*(1+'Chart of Accounts'!$E$67)</f>
        <v>78.259376</v>
      </c>
    </row>
    <row r="1415" customFormat="false" ht="15" hidden="false" customHeight="false" outlineLevel="0" collapsed="false">
      <c r="B1415" s="7" t="s">
        <v>1912</v>
      </c>
      <c r="C1415" s="39" t="n">
        <v>45730</v>
      </c>
      <c r="D1415" s="7" t="s">
        <v>335</v>
      </c>
      <c r="E1415" s="7" t="s">
        <v>154</v>
      </c>
      <c r="F1415" s="7" t="s">
        <v>177</v>
      </c>
      <c r="G1415" s="7" t="s">
        <v>505</v>
      </c>
      <c r="H1415" s="6" t="n">
        <v>4.36</v>
      </c>
      <c r="I1415" s="6" t="n">
        <v>0</v>
      </c>
      <c r="J1415" s="40" t="n">
        <f aca="false">H1415-I1415</f>
        <v>4.36</v>
      </c>
      <c r="K1415" s="41" t="n">
        <v>26.5</v>
      </c>
      <c r="L1415" s="42" t="n">
        <f aca="false">J1415*K1415</f>
        <v>115.54</v>
      </c>
      <c r="M1415" s="43" t="n">
        <f aca="false">H1415*14.56*(1+'Chart of Accounts'!$E$67)</f>
        <v>72.686432</v>
      </c>
    </row>
    <row r="1416" customFormat="false" ht="15" hidden="false" customHeight="false" outlineLevel="0" collapsed="false">
      <c r="B1416" s="7" t="s">
        <v>1913</v>
      </c>
      <c r="C1416" s="39" t="n">
        <v>45730</v>
      </c>
      <c r="D1416" s="7" t="s">
        <v>339</v>
      </c>
      <c r="E1416" s="7" t="s">
        <v>154</v>
      </c>
      <c r="F1416" s="7" t="s">
        <v>242</v>
      </c>
      <c r="G1416" s="7" t="s">
        <v>505</v>
      </c>
      <c r="H1416" s="6" t="n">
        <v>3.44</v>
      </c>
      <c r="I1416" s="6" t="n">
        <v>0</v>
      </c>
      <c r="J1416" s="40" t="n">
        <f aca="false">H1416-I1416</f>
        <v>3.44</v>
      </c>
      <c r="K1416" s="41" t="n">
        <v>26.5</v>
      </c>
      <c r="L1416" s="42" t="n">
        <f aca="false">J1416*K1416</f>
        <v>91.16</v>
      </c>
      <c r="M1416" s="43" t="n">
        <f aca="false">H1416*17.99*(1+'Chart of Accounts'!$E$67)</f>
        <v>70.859012</v>
      </c>
    </row>
    <row r="1417" customFormat="false" ht="15" hidden="false" customHeight="false" outlineLevel="0" collapsed="false">
      <c r="B1417" s="7" t="s">
        <v>1914</v>
      </c>
      <c r="C1417" s="39" t="n">
        <v>45730</v>
      </c>
      <c r="D1417" s="7" t="s">
        <v>353</v>
      </c>
      <c r="E1417" s="7" t="s">
        <v>154</v>
      </c>
      <c r="F1417" s="7" t="s">
        <v>254</v>
      </c>
      <c r="G1417" s="7" t="s">
        <v>505</v>
      </c>
      <c r="H1417" s="6" t="n">
        <v>3.07</v>
      </c>
      <c r="I1417" s="6" t="n">
        <v>0</v>
      </c>
      <c r="J1417" s="40" t="n">
        <f aca="false">H1417-I1417</f>
        <v>3.07</v>
      </c>
      <c r="K1417" s="41" t="n">
        <v>26.5</v>
      </c>
      <c r="L1417" s="42" t="n">
        <f aca="false">J1417*K1417</f>
        <v>81.355</v>
      </c>
      <c r="M1417" s="43" t="n">
        <f aca="false">H1417*17.1*(1+'Chart of Accounts'!$E$67)</f>
        <v>60.109065</v>
      </c>
    </row>
    <row r="1418" customFormat="false" ht="15" hidden="false" customHeight="false" outlineLevel="0" collapsed="false">
      <c r="B1418" s="7" t="s">
        <v>1915</v>
      </c>
      <c r="C1418" s="39" t="n">
        <v>45730</v>
      </c>
      <c r="D1418" s="7" t="s">
        <v>355</v>
      </c>
      <c r="E1418" s="7" t="s">
        <v>154</v>
      </c>
      <c r="F1418" s="7" t="s">
        <v>201</v>
      </c>
      <c r="G1418" s="7" t="s">
        <v>505</v>
      </c>
      <c r="H1418" s="6" t="n">
        <v>3.26</v>
      </c>
      <c r="I1418" s="6" t="n">
        <v>0</v>
      </c>
      <c r="J1418" s="40" t="n">
        <f aca="false">H1418-I1418</f>
        <v>3.26</v>
      </c>
      <c r="K1418" s="41" t="n">
        <v>26.5</v>
      </c>
      <c r="L1418" s="42" t="n">
        <f aca="false">J1418*K1418</f>
        <v>86.39</v>
      </c>
      <c r="M1418" s="43" t="n">
        <f aca="false">H1418*15.19*(1+'Chart of Accounts'!$E$67)</f>
        <v>56.699713</v>
      </c>
    </row>
    <row r="1419" customFormat="false" ht="15" hidden="false" customHeight="false" outlineLevel="0" collapsed="false">
      <c r="B1419" s="7" t="s">
        <v>1916</v>
      </c>
      <c r="C1419" s="39" t="n">
        <v>45730</v>
      </c>
      <c r="D1419" s="7" t="s">
        <v>357</v>
      </c>
      <c r="E1419" s="7" t="s">
        <v>154</v>
      </c>
      <c r="F1419" s="7" t="s">
        <v>207</v>
      </c>
      <c r="G1419" s="7" t="s">
        <v>505</v>
      </c>
      <c r="H1419" s="6" t="n">
        <v>3.47</v>
      </c>
      <c r="I1419" s="6" t="n">
        <v>0</v>
      </c>
      <c r="J1419" s="40" t="n">
        <f aca="false">H1419-I1419</f>
        <v>3.47</v>
      </c>
      <c r="K1419" s="41" t="n">
        <v>26.5</v>
      </c>
      <c r="L1419" s="42" t="n">
        <f aca="false">J1419*K1419</f>
        <v>91.955</v>
      </c>
      <c r="M1419" s="43" t="n">
        <f aca="false">H1419*16.65*(1+'Chart of Accounts'!$E$67)</f>
        <v>66.1529475</v>
      </c>
    </row>
    <row r="1420" customFormat="false" ht="15" hidden="false" customHeight="false" outlineLevel="0" collapsed="false">
      <c r="B1420" s="7" t="s">
        <v>1917</v>
      </c>
      <c r="C1420" s="39" t="n">
        <v>45730</v>
      </c>
      <c r="D1420" s="7" t="s">
        <v>359</v>
      </c>
      <c r="E1420" s="7" t="s">
        <v>156</v>
      </c>
      <c r="F1420" s="7" t="s">
        <v>212</v>
      </c>
      <c r="G1420" s="7" t="s">
        <v>505</v>
      </c>
      <c r="H1420" s="6" t="n">
        <v>4.08</v>
      </c>
      <c r="I1420" s="6" t="n">
        <v>0</v>
      </c>
      <c r="J1420" s="40" t="n">
        <f aca="false">H1420-I1420</f>
        <v>4.08</v>
      </c>
      <c r="K1420" s="41" t="n">
        <v>34</v>
      </c>
      <c r="L1420" s="42" t="n">
        <f aca="false">J1420*K1420</f>
        <v>138.72</v>
      </c>
      <c r="M1420" s="43" t="n">
        <f aca="false">H1420*16.71*(1+'Chart of Accounts'!$E$67)</f>
        <v>78.062436</v>
      </c>
    </row>
    <row r="1421" customFormat="false" ht="15" hidden="false" customHeight="false" outlineLevel="0" collapsed="false">
      <c r="B1421" s="7" t="s">
        <v>1918</v>
      </c>
      <c r="C1421" s="39" t="n">
        <v>45730</v>
      </c>
      <c r="D1421" s="7" t="s">
        <v>361</v>
      </c>
      <c r="E1421" s="7" t="s">
        <v>157</v>
      </c>
      <c r="F1421" s="7" t="s">
        <v>209</v>
      </c>
      <c r="G1421" s="7" t="s">
        <v>502</v>
      </c>
      <c r="H1421" s="6" t="n">
        <v>1.09</v>
      </c>
      <c r="I1421" s="6" t="n">
        <v>0</v>
      </c>
      <c r="J1421" s="40" t="n">
        <f aca="false">H1421-I1421</f>
        <v>1.09</v>
      </c>
      <c r="K1421" s="41" t="n">
        <v>165</v>
      </c>
      <c r="L1421" s="42" t="n">
        <f aca="false">J1421*K1421</f>
        <v>179.85</v>
      </c>
      <c r="M1421" s="43" t="n">
        <f aca="false">H1421*73.58*(1+'Chart of Accounts'!$E$67)</f>
        <v>91.831519</v>
      </c>
    </row>
    <row r="1422" customFormat="false" ht="15" hidden="false" customHeight="false" outlineLevel="0" collapsed="false">
      <c r="B1422" s="7" t="s">
        <v>1919</v>
      </c>
      <c r="C1422" s="39" t="n">
        <v>45730</v>
      </c>
      <c r="D1422" s="7" t="s">
        <v>371</v>
      </c>
      <c r="E1422" s="7" t="s">
        <v>154</v>
      </c>
      <c r="F1422" s="7" t="s">
        <v>232</v>
      </c>
      <c r="G1422" s="7" t="s">
        <v>505</v>
      </c>
      <c r="H1422" s="6" t="n">
        <v>4.24</v>
      </c>
      <c r="I1422" s="6" t="n">
        <v>0</v>
      </c>
      <c r="J1422" s="40" t="n">
        <f aca="false">H1422-I1422</f>
        <v>4.24</v>
      </c>
      <c r="K1422" s="41" t="n">
        <v>26.5</v>
      </c>
      <c r="L1422" s="42" t="n">
        <f aca="false">J1422*K1422</f>
        <v>112.36</v>
      </c>
      <c r="M1422" s="43" t="n">
        <f aca="false">H1422*16.17*(1+'Chart of Accounts'!$E$67)</f>
        <v>78.502116</v>
      </c>
    </row>
    <row r="1423" customFormat="false" ht="15" hidden="false" customHeight="false" outlineLevel="0" collapsed="false">
      <c r="B1423" s="7" t="s">
        <v>1920</v>
      </c>
      <c r="C1423" s="39" t="n">
        <v>45730</v>
      </c>
      <c r="D1423" s="7" t="s">
        <v>379</v>
      </c>
      <c r="E1423" s="7" t="s">
        <v>156</v>
      </c>
      <c r="F1423" s="7" t="s">
        <v>224</v>
      </c>
      <c r="G1423" s="7" t="s">
        <v>505</v>
      </c>
      <c r="H1423" s="6" t="n">
        <v>4.66</v>
      </c>
      <c r="I1423" s="6" t="n">
        <v>0</v>
      </c>
      <c r="J1423" s="40" t="n">
        <f aca="false">H1423-I1423</f>
        <v>4.66</v>
      </c>
      <c r="K1423" s="41" t="n">
        <v>34</v>
      </c>
      <c r="L1423" s="42" t="n">
        <f aca="false">J1423*K1423</f>
        <v>158.44</v>
      </c>
      <c r="M1423" s="43" t="n">
        <f aca="false">H1423*14.93*(1+'Chart of Accounts'!$E$67)</f>
        <v>79.662001</v>
      </c>
    </row>
    <row r="1424" customFormat="false" ht="15" hidden="false" customHeight="false" outlineLevel="0" collapsed="false">
      <c r="B1424" s="7" t="s">
        <v>1921</v>
      </c>
      <c r="C1424" s="39" t="n">
        <v>45730</v>
      </c>
      <c r="D1424" s="7" t="s">
        <v>381</v>
      </c>
      <c r="E1424" s="7" t="s">
        <v>157</v>
      </c>
      <c r="F1424" s="7" t="s">
        <v>234</v>
      </c>
      <c r="G1424" s="7" t="s">
        <v>502</v>
      </c>
      <c r="H1424" s="6" t="n">
        <v>1.04</v>
      </c>
      <c r="I1424" s="6" t="n">
        <v>0</v>
      </c>
      <c r="J1424" s="40" t="n">
        <f aca="false">H1424-I1424</f>
        <v>1.04</v>
      </c>
      <c r="K1424" s="41" t="n">
        <v>165</v>
      </c>
      <c r="L1424" s="42" t="n">
        <f aca="false">J1424*K1424</f>
        <v>171.6</v>
      </c>
      <c r="M1424" s="43" t="n">
        <f aca="false">H1424*89.53*(1+'Chart of Accounts'!$E$67)</f>
        <v>106.612324</v>
      </c>
    </row>
    <row r="1425" customFormat="false" ht="15" hidden="false" customHeight="false" outlineLevel="0" collapsed="false">
      <c r="B1425" s="7" t="s">
        <v>1922</v>
      </c>
      <c r="C1425" s="39" t="n">
        <v>45730</v>
      </c>
      <c r="D1425" s="7" t="s">
        <v>389</v>
      </c>
      <c r="E1425" s="7" t="s">
        <v>154</v>
      </c>
      <c r="F1425" s="7" t="s">
        <v>246</v>
      </c>
      <c r="G1425" s="7" t="s">
        <v>505</v>
      </c>
      <c r="H1425" s="6" t="n">
        <v>4.4</v>
      </c>
      <c r="I1425" s="6" t="n">
        <v>0</v>
      </c>
      <c r="J1425" s="40" t="n">
        <f aca="false">H1425-I1425</f>
        <v>4.4</v>
      </c>
      <c r="K1425" s="41" t="n">
        <v>26.5</v>
      </c>
      <c r="L1425" s="42" t="n">
        <f aca="false">J1425*K1425</f>
        <v>116.6</v>
      </c>
      <c r="M1425" s="43" t="n">
        <f aca="false">H1425*16.48*(1+'Chart of Accounts'!$E$67)</f>
        <v>83.02624</v>
      </c>
    </row>
    <row r="1426" customFormat="false" ht="15" hidden="false" customHeight="false" outlineLevel="0" collapsed="false">
      <c r="B1426" s="7" t="s">
        <v>1923</v>
      </c>
      <c r="C1426" s="39" t="n">
        <v>45730</v>
      </c>
      <c r="D1426" s="7" t="s">
        <v>391</v>
      </c>
      <c r="E1426" s="7" t="s">
        <v>156</v>
      </c>
      <c r="F1426" s="7" t="s">
        <v>222</v>
      </c>
      <c r="G1426" s="7" t="s">
        <v>505</v>
      </c>
      <c r="H1426" s="6" t="n">
        <v>3.65</v>
      </c>
      <c r="I1426" s="6" t="n">
        <v>0</v>
      </c>
      <c r="J1426" s="40" t="n">
        <f aca="false">H1426-I1426</f>
        <v>3.65</v>
      </c>
      <c r="K1426" s="41" t="n">
        <v>34</v>
      </c>
      <c r="L1426" s="42" t="n">
        <f aca="false">J1426*K1426</f>
        <v>124.1</v>
      </c>
      <c r="M1426" s="43" t="n">
        <f aca="false">H1426*17.84*(1+'Chart of Accounts'!$E$67)</f>
        <v>74.55782</v>
      </c>
    </row>
    <row r="1427" customFormat="false" ht="15" hidden="false" customHeight="false" outlineLevel="0" collapsed="false">
      <c r="B1427" s="7" t="s">
        <v>1924</v>
      </c>
      <c r="C1427" s="39" t="n">
        <v>45730</v>
      </c>
      <c r="D1427" s="7" t="s">
        <v>395</v>
      </c>
      <c r="E1427" s="7" t="s">
        <v>156</v>
      </c>
      <c r="F1427" s="7" t="s">
        <v>242</v>
      </c>
      <c r="G1427" s="7" t="s">
        <v>505</v>
      </c>
      <c r="H1427" s="6" t="n">
        <v>4.4</v>
      </c>
      <c r="I1427" s="6" t="n">
        <v>0</v>
      </c>
      <c r="J1427" s="40" t="n">
        <f aca="false">H1427-I1427</f>
        <v>4.4</v>
      </c>
      <c r="K1427" s="41" t="n">
        <v>34</v>
      </c>
      <c r="L1427" s="42" t="n">
        <f aca="false">J1427*K1427</f>
        <v>149.6</v>
      </c>
      <c r="M1427" s="43" t="n">
        <f aca="false">H1427*17.99*(1+'Chart of Accounts'!$E$67)</f>
        <v>90.63362</v>
      </c>
    </row>
    <row r="1428" customFormat="false" ht="15" hidden="false" customHeight="false" outlineLevel="0" collapsed="false">
      <c r="B1428" s="7" t="s">
        <v>1925</v>
      </c>
      <c r="C1428" s="39" t="n">
        <v>45730</v>
      </c>
      <c r="D1428" s="7" t="s">
        <v>397</v>
      </c>
      <c r="E1428" s="7" t="s">
        <v>159</v>
      </c>
      <c r="F1428" s="7" t="s">
        <v>203</v>
      </c>
      <c r="G1428" s="7" t="s">
        <v>502</v>
      </c>
      <c r="H1428" s="6" t="n">
        <v>1.09</v>
      </c>
      <c r="I1428" s="6" t="n">
        <v>0</v>
      </c>
      <c r="J1428" s="40" t="n">
        <f aca="false">H1428-I1428</f>
        <v>1.09</v>
      </c>
      <c r="K1428" s="41" t="n">
        <v>135</v>
      </c>
      <c r="L1428" s="42" t="n">
        <f aca="false">J1428*K1428</f>
        <v>147.15</v>
      </c>
      <c r="M1428" s="43" t="n">
        <f aca="false">H1428*49.43*(1+'Chart of Accounts'!$E$67)</f>
        <v>61.6911115</v>
      </c>
    </row>
    <row r="1429" customFormat="false" ht="15" hidden="false" customHeight="false" outlineLevel="0" collapsed="false">
      <c r="B1429" s="7" t="s">
        <v>1926</v>
      </c>
      <c r="C1429" s="39" t="n">
        <v>45730</v>
      </c>
      <c r="D1429" s="7" t="s">
        <v>399</v>
      </c>
      <c r="E1429" s="7" t="s">
        <v>154</v>
      </c>
      <c r="F1429" s="7" t="s">
        <v>262</v>
      </c>
      <c r="G1429" s="7" t="s">
        <v>505</v>
      </c>
      <c r="H1429" s="6" t="n">
        <v>3.26</v>
      </c>
      <c r="I1429" s="6" t="n">
        <v>0</v>
      </c>
      <c r="J1429" s="40" t="n">
        <f aca="false">H1429-I1429</f>
        <v>3.26</v>
      </c>
      <c r="K1429" s="41" t="n">
        <v>26.5</v>
      </c>
      <c r="L1429" s="42" t="n">
        <f aca="false">J1429*K1429</f>
        <v>86.39</v>
      </c>
      <c r="M1429" s="43" t="n">
        <f aca="false">H1429*16.02*(1+'Chart of Accounts'!$E$67)</f>
        <v>59.797854</v>
      </c>
    </row>
    <row r="1430" customFormat="false" ht="15" hidden="false" customHeight="false" outlineLevel="0" collapsed="false">
      <c r="B1430" s="7" t="s">
        <v>1927</v>
      </c>
      <c r="C1430" s="39" t="n">
        <v>45730</v>
      </c>
      <c r="D1430" s="7" t="s">
        <v>401</v>
      </c>
      <c r="E1430" s="7" t="s">
        <v>156</v>
      </c>
      <c r="F1430" s="7" t="s">
        <v>254</v>
      </c>
      <c r="G1430" s="7" t="s">
        <v>505</v>
      </c>
      <c r="H1430" s="6" t="n">
        <v>4.02</v>
      </c>
      <c r="I1430" s="6" t="n">
        <v>0</v>
      </c>
      <c r="J1430" s="40" t="n">
        <f aca="false">H1430-I1430</f>
        <v>4.02</v>
      </c>
      <c r="K1430" s="41" t="n">
        <v>34</v>
      </c>
      <c r="L1430" s="42" t="n">
        <f aca="false">J1430*K1430</f>
        <v>136.68</v>
      </c>
      <c r="M1430" s="43" t="n">
        <f aca="false">H1430*17.1*(1+'Chart of Accounts'!$E$67)</f>
        <v>78.70959</v>
      </c>
    </row>
    <row r="1431" customFormat="false" ht="15" hidden="false" customHeight="false" outlineLevel="0" collapsed="false">
      <c r="B1431" s="7" t="s">
        <v>1928</v>
      </c>
      <c r="C1431" s="39" t="n">
        <v>45730</v>
      </c>
      <c r="D1431" s="7" t="s">
        <v>407</v>
      </c>
      <c r="E1431" s="7" t="s">
        <v>159</v>
      </c>
      <c r="F1431" s="7" t="s">
        <v>260</v>
      </c>
      <c r="G1431" s="7" t="s">
        <v>502</v>
      </c>
      <c r="H1431" s="6" t="n">
        <v>1.04</v>
      </c>
      <c r="I1431" s="6" t="n">
        <v>0</v>
      </c>
      <c r="J1431" s="40" t="n">
        <f aca="false">H1431-I1431</f>
        <v>1.04</v>
      </c>
      <c r="K1431" s="41" t="n">
        <v>135</v>
      </c>
      <c r="L1431" s="42" t="n">
        <f aca="false">J1431*K1431</f>
        <v>140.4</v>
      </c>
      <c r="M1431" s="43" t="n">
        <f aca="false">H1431*79.8*(1+'Chart of Accounts'!$E$67)</f>
        <v>95.02584</v>
      </c>
    </row>
    <row r="1432" customFormat="false" ht="15" hidden="false" customHeight="false" outlineLevel="0" collapsed="false">
      <c r="B1432" s="7" t="s">
        <v>1929</v>
      </c>
      <c r="C1432" s="39" t="n">
        <v>45730</v>
      </c>
      <c r="D1432" s="7" t="s">
        <v>409</v>
      </c>
      <c r="E1432" s="7" t="s">
        <v>154</v>
      </c>
      <c r="F1432" s="7" t="s">
        <v>214</v>
      </c>
      <c r="G1432" s="7" t="s">
        <v>505</v>
      </c>
      <c r="H1432" s="6" t="n">
        <v>3.28</v>
      </c>
      <c r="I1432" s="6" t="n">
        <v>0</v>
      </c>
      <c r="J1432" s="40" t="n">
        <f aca="false">H1432-I1432</f>
        <v>3.28</v>
      </c>
      <c r="K1432" s="41" t="n">
        <v>26.5</v>
      </c>
      <c r="L1432" s="42" t="n">
        <f aca="false">J1432*K1432</f>
        <v>86.92</v>
      </c>
      <c r="M1432" s="43" t="n">
        <f aca="false">H1432*15.67*(1+'Chart of Accounts'!$E$67)</f>
        <v>58.850252</v>
      </c>
    </row>
    <row r="1433" customFormat="false" ht="15" hidden="false" customHeight="false" outlineLevel="0" collapsed="false">
      <c r="B1433" s="7" t="s">
        <v>1930</v>
      </c>
      <c r="C1433" s="39" t="n">
        <v>45730</v>
      </c>
      <c r="D1433" s="7" t="s">
        <v>411</v>
      </c>
      <c r="E1433" s="7" t="s">
        <v>154</v>
      </c>
      <c r="F1433" s="7" t="s">
        <v>177</v>
      </c>
      <c r="G1433" s="7" t="s">
        <v>505</v>
      </c>
      <c r="H1433" s="6" t="n">
        <v>4.62</v>
      </c>
      <c r="I1433" s="6" t="n">
        <v>0</v>
      </c>
      <c r="J1433" s="40" t="n">
        <f aca="false">H1433-I1433</f>
        <v>4.62</v>
      </c>
      <c r="K1433" s="41" t="n">
        <v>26.5</v>
      </c>
      <c r="L1433" s="42" t="n">
        <f aca="false">J1433*K1433</f>
        <v>122.43</v>
      </c>
      <c r="M1433" s="43" t="n">
        <f aca="false">H1433*14.56*(1+'Chart of Accounts'!$E$67)</f>
        <v>77.020944</v>
      </c>
    </row>
    <row r="1434" customFormat="false" ht="15" hidden="false" customHeight="false" outlineLevel="0" collapsed="false">
      <c r="B1434" s="7" t="s">
        <v>1931</v>
      </c>
      <c r="C1434" s="39" t="n">
        <v>45731</v>
      </c>
      <c r="D1434" s="7" t="s">
        <v>288</v>
      </c>
      <c r="E1434" s="7" t="s">
        <v>156</v>
      </c>
      <c r="F1434" s="7" t="s">
        <v>191</v>
      </c>
      <c r="G1434" s="7" t="s">
        <v>505</v>
      </c>
      <c r="H1434" s="6" t="n">
        <v>4.06</v>
      </c>
      <c r="I1434" s="6" t="n">
        <v>0</v>
      </c>
      <c r="J1434" s="40" t="n">
        <f aca="false">H1434-I1434</f>
        <v>4.06</v>
      </c>
      <c r="K1434" s="41" t="n">
        <v>34</v>
      </c>
      <c r="L1434" s="42" t="n">
        <f aca="false">J1434*K1434</f>
        <v>138.04</v>
      </c>
      <c r="M1434" s="43" t="n">
        <f aca="false">H1434*16.05*(1+'Chart of Accounts'!$E$67)</f>
        <v>74.611635</v>
      </c>
    </row>
    <row r="1435" customFormat="false" ht="15" hidden="false" customHeight="false" outlineLevel="0" collapsed="false">
      <c r="B1435" s="7" t="s">
        <v>1932</v>
      </c>
      <c r="C1435" s="39" t="n">
        <v>45731</v>
      </c>
      <c r="D1435" s="7" t="s">
        <v>321</v>
      </c>
      <c r="E1435" s="7" t="s">
        <v>154</v>
      </c>
      <c r="F1435" s="7" t="s">
        <v>218</v>
      </c>
      <c r="G1435" s="7" t="s">
        <v>505</v>
      </c>
      <c r="H1435" s="6" t="n">
        <v>3.71</v>
      </c>
      <c r="I1435" s="6" t="n">
        <v>0</v>
      </c>
      <c r="J1435" s="40" t="n">
        <f aca="false">H1435-I1435</f>
        <v>3.71</v>
      </c>
      <c r="K1435" s="41" t="n">
        <v>26.5</v>
      </c>
      <c r="L1435" s="42" t="n">
        <f aca="false">J1435*K1435</f>
        <v>98.315</v>
      </c>
      <c r="M1435" s="43" t="n">
        <f aca="false">H1435*16.19*(1+'Chart of Accounts'!$E$67)</f>
        <v>68.7743105</v>
      </c>
    </row>
    <row r="1436" customFormat="false" ht="15" hidden="false" customHeight="false" outlineLevel="0" collapsed="false">
      <c r="B1436" s="7" t="s">
        <v>1933</v>
      </c>
      <c r="C1436" s="39" t="n">
        <v>45731</v>
      </c>
      <c r="D1436" s="7" t="s">
        <v>359</v>
      </c>
      <c r="E1436" s="7" t="s">
        <v>156</v>
      </c>
      <c r="F1436" s="7" t="s">
        <v>212</v>
      </c>
      <c r="G1436" s="7" t="s">
        <v>505</v>
      </c>
      <c r="H1436" s="6" t="n">
        <v>4.33</v>
      </c>
      <c r="I1436" s="6" t="n">
        <v>0</v>
      </c>
      <c r="J1436" s="40" t="n">
        <f aca="false">H1436-I1436</f>
        <v>4.33</v>
      </c>
      <c r="K1436" s="41" t="n">
        <v>34</v>
      </c>
      <c r="L1436" s="42" t="n">
        <f aca="false">J1436*K1436</f>
        <v>147.22</v>
      </c>
      <c r="M1436" s="43" t="n">
        <f aca="false">H1436*16.71*(1+'Chart of Accounts'!$E$67)</f>
        <v>82.8456735</v>
      </c>
    </row>
    <row r="1437" customFormat="false" ht="15" hidden="false" customHeight="false" outlineLevel="0" collapsed="false">
      <c r="B1437" s="7" t="s">
        <v>1934</v>
      </c>
      <c r="C1437" s="39" t="n">
        <v>45731</v>
      </c>
      <c r="D1437" s="7" t="s">
        <v>391</v>
      </c>
      <c r="E1437" s="7" t="s">
        <v>156</v>
      </c>
      <c r="F1437" s="7" t="s">
        <v>222</v>
      </c>
      <c r="G1437" s="7" t="s">
        <v>505</v>
      </c>
      <c r="H1437" s="6" t="n">
        <v>4.22</v>
      </c>
      <c r="I1437" s="6" t="n">
        <v>0</v>
      </c>
      <c r="J1437" s="40" t="n">
        <f aca="false">H1437-I1437</f>
        <v>4.22</v>
      </c>
      <c r="K1437" s="41" t="n">
        <v>34</v>
      </c>
      <c r="L1437" s="42" t="n">
        <f aca="false">J1437*K1437</f>
        <v>143.48</v>
      </c>
      <c r="M1437" s="43" t="n">
        <f aca="false">H1437*17.84*(1+'Chart of Accounts'!$E$67)</f>
        <v>86.201096</v>
      </c>
    </row>
    <row r="1438" customFormat="false" ht="15" hidden="false" customHeight="false" outlineLevel="0" collapsed="false">
      <c r="B1438" s="7" t="s">
        <v>1935</v>
      </c>
      <c r="C1438" s="39" t="n">
        <v>45731</v>
      </c>
      <c r="D1438" s="7" t="s">
        <v>395</v>
      </c>
      <c r="E1438" s="7" t="s">
        <v>156</v>
      </c>
      <c r="F1438" s="7" t="s">
        <v>242</v>
      </c>
      <c r="G1438" s="7" t="s">
        <v>505</v>
      </c>
      <c r="H1438" s="6" t="n">
        <v>3.73</v>
      </c>
      <c r="I1438" s="6" t="n">
        <v>0</v>
      </c>
      <c r="J1438" s="40" t="n">
        <f aca="false">H1438-I1438</f>
        <v>3.73</v>
      </c>
      <c r="K1438" s="41" t="n">
        <v>34</v>
      </c>
      <c r="L1438" s="42" t="n">
        <f aca="false">J1438*K1438</f>
        <v>126.82</v>
      </c>
      <c r="M1438" s="43" t="n">
        <f aca="false">H1438*17.99*(1+'Chart of Accounts'!$E$67)</f>
        <v>76.8325915</v>
      </c>
    </row>
    <row r="1439" customFormat="false" ht="15" hidden="false" customHeight="false" outlineLevel="0" collapsed="false">
      <c r="B1439" s="7" t="s">
        <v>1936</v>
      </c>
      <c r="C1439" s="39" t="n">
        <v>45731</v>
      </c>
      <c r="D1439" s="7" t="s">
        <v>401</v>
      </c>
      <c r="E1439" s="7" t="s">
        <v>156</v>
      </c>
      <c r="F1439" s="7" t="s">
        <v>254</v>
      </c>
      <c r="G1439" s="7" t="s">
        <v>505</v>
      </c>
      <c r="H1439" s="6" t="n">
        <v>4.18</v>
      </c>
      <c r="I1439" s="6" t="n">
        <v>0</v>
      </c>
      <c r="J1439" s="40" t="n">
        <f aca="false">H1439-I1439</f>
        <v>4.18</v>
      </c>
      <c r="K1439" s="41" t="n">
        <v>34</v>
      </c>
      <c r="L1439" s="42" t="n">
        <f aca="false">J1439*K1439</f>
        <v>142.12</v>
      </c>
      <c r="M1439" s="43" t="n">
        <f aca="false">H1439*17.1*(1+'Chart of Accounts'!$E$67)</f>
        <v>81.84231</v>
      </c>
    </row>
    <row r="1440" customFormat="false" ht="15" hidden="false" customHeight="false" outlineLevel="0" collapsed="false">
      <c r="B1440" s="7" t="s">
        <v>1937</v>
      </c>
      <c r="C1440" s="39" t="n">
        <v>45732</v>
      </c>
      <c r="D1440" s="7" t="s">
        <v>288</v>
      </c>
      <c r="E1440" s="7" t="s">
        <v>156</v>
      </c>
      <c r="F1440" s="7" t="s">
        <v>191</v>
      </c>
      <c r="G1440" s="7" t="s">
        <v>505</v>
      </c>
      <c r="H1440" s="6" t="n">
        <v>3.72</v>
      </c>
      <c r="I1440" s="6" t="n">
        <v>0</v>
      </c>
      <c r="J1440" s="40" t="n">
        <f aca="false">H1440-I1440</f>
        <v>3.72</v>
      </c>
      <c r="K1440" s="41" t="n">
        <v>34</v>
      </c>
      <c r="L1440" s="42" t="n">
        <f aca="false">J1440*K1440</f>
        <v>126.48</v>
      </c>
      <c r="M1440" s="43" t="n">
        <f aca="false">H1440*16.05*(1+'Chart of Accounts'!$E$67)</f>
        <v>68.36337</v>
      </c>
    </row>
    <row r="1441" customFormat="false" ht="15" hidden="false" customHeight="false" outlineLevel="0" collapsed="false">
      <c r="B1441" s="7" t="s">
        <v>1938</v>
      </c>
      <c r="C1441" s="39" t="n">
        <v>45732</v>
      </c>
      <c r="D1441" s="7" t="s">
        <v>321</v>
      </c>
      <c r="E1441" s="7" t="s">
        <v>154</v>
      </c>
      <c r="F1441" s="7" t="s">
        <v>218</v>
      </c>
      <c r="G1441" s="7" t="s">
        <v>505</v>
      </c>
      <c r="H1441" s="6" t="n">
        <v>4.38</v>
      </c>
      <c r="I1441" s="6" t="n">
        <v>0</v>
      </c>
      <c r="J1441" s="40" t="n">
        <f aca="false">H1441-I1441</f>
        <v>4.38</v>
      </c>
      <c r="K1441" s="41" t="n">
        <v>26.5</v>
      </c>
      <c r="L1441" s="42" t="n">
        <f aca="false">J1441*K1441</f>
        <v>116.07</v>
      </c>
      <c r="M1441" s="43" t="n">
        <f aca="false">H1441*16.19*(1+'Chart of Accounts'!$E$67)</f>
        <v>81.194469</v>
      </c>
    </row>
    <row r="1442" customFormat="false" ht="15" hidden="false" customHeight="false" outlineLevel="0" collapsed="false">
      <c r="B1442" s="7" t="s">
        <v>1939</v>
      </c>
      <c r="C1442" s="39" t="n">
        <v>45732</v>
      </c>
      <c r="D1442" s="7" t="s">
        <v>359</v>
      </c>
      <c r="E1442" s="7" t="s">
        <v>156</v>
      </c>
      <c r="F1442" s="7" t="s">
        <v>212</v>
      </c>
      <c r="G1442" s="7" t="s">
        <v>505</v>
      </c>
      <c r="H1442" s="6" t="n">
        <v>4.2</v>
      </c>
      <c r="I1442" s="6" t="n">
        <v>0</v>
      </c>
      <c r="J1442" s="40" t="n">
        <f aca="false">H1442-I1442</f>
        <v>4.2</v>
      </c>
      <c r="K1442" s="41" t="n">
        <v>34</v>
      </c>
      <c r="L1442" s="42" t="n">
        <f aca="false">J1442*K1442</f>
        <v>142.8</v>
      </c>
      <c r="M1442" s="43" t="n">
        <f aca="false">H1442*16.71*(1+'Chart of Accounts'!$E$67)</f>
        <v>80.35839</v>
      </c>
    </row>
    <row r="1443" customFormat="false" ht="15" hidden="false" customHeight="false" outlineLevel="0" collapsed="false">
      <c r="B1443" s="7" t="s">
        <v>1940</v>
      </c>
      <c r="C1443" s="39" t="n">
        <v>45732</v>
      </c>
      <c r="D1443" s="7" t="s">
        <v>391</v>
      </c>
      <c r="E1443" s="7" t="s">
        <v>156</v>
      </c>
      <c r="F1443" s="7" t="s">
        <v>222</v>
      </c>
      <c r="G1443" s="7" t="s">
        <v>505</v>
      </c>
      <c r="H1443" s="6" t="n">
        <v>4.19</v>
      </c>
      <c r="I1443" s="6" t="n">
        <v>0</v>
      </c>
      <c r="J1443" s="40" t="n">
        <f aca="false">H1443-I1443</f>
        <v>4.19</v>
      </c>
      <c r="K1443" s="41" t="n">
        <v>34</v>
      </c>
      <c r="L1443" s="42" t="n">
        <f aca="false">J1443*K1443</f>
        <v>142.46</v>
      </c>
      <c r="M1443" s="43" t="n">
        <f aca="false">H1443*17.84*(1+'Chart of Accounts'!$E$67)</f>
        <v>85.588292</v>
      </c>
    </row>
    <row r="1444" customFormat="false" ht="15" hidden="false" customHeight="false" outlineLevel="0" collapsed="false">
      <c r="B1444" s="7" t="s">
        <v>1941</v>
      </c>
      <c r="C1444" s="39" t="n">
        <v>45732</v>
      </c>
      <c r="D1444" s="7" t="s">
        <v>395</v>
      </c>
      <c r="E1444" s="7" t="s">
        <v>156</v>
      </c>
      <c r="F1444" s="7" t="s">
        <v>242</v>
      </c>
      <c r="G1444" s="7" t="s">
        <v>505</v>
      </c>
      <c r="H1444" s="6" t="n">
        <v>3.71</v>
      </c>
      <c r="I1444" s="6" t="n">
        <v>0</v>
      </c>
      <c r="J1444" s="40" t="n">
        <f aca="false">H1444-I1444</f>
        <v>3.71</v>
      </c>
      <c r="K1444" s="41" t="n">
        <v>34</v>
      </c>
      <c r="L1444" s="42" t="n">
        <f aca="false">J1444*K1444</f>
        <v>126.14</v>
      </c>
      <c r="M1444" s="43" t="n">
        <f aca="false">H1444*17.99*(1+'Chart of Accounts'!$E$67)</f>
        <v>76.4206205</v>
      </c>
    </row>
    <row r="1445" customFormat="false" ht="15" hidden="false" customHeight="false" outlineLevel="0" collapsed="false">
      <c r="B1445" s="7" t="s">
        <v>1942</v>
      </c>
      <c r="C1445" s="39" t="n">
        <v>45732</v>
      </c>
      <c r="D1445" s="7" t="s">
        <v>401</v>
      </c>
      <c r="E1445" s="7" t="s">
        <v>156</v>
      </c>
      <c r="F1445" s="7" t="s">
        <v>254</v>
      </c>
      <c r="G1445" s="7" t="s">
        <v>505</v>
      </c>
      <c r="H1445" s="6" t="n">
        <v>4.09</v>
      </c>
      <c r="I1445" s="6" t="n">
        <v>0</v>
      </c>
      <c r="J1445" s="40" t="n">
        <f aca="false">H1445-I1445</f>
        <v>4.09</v>
      </c>
      <c r="K1445" s="41" t="n">
        <v>34</v>
      </c>
      <c r="L1445" s="42" t="n">
        <f aca="false">J1445*K1445</f>
        <v>139.06</v>
      </c>
      <c r="M1445" s="43" t="n">
        <f aca="false">H1445*17.1*(1+'Chart of Accounts'!$E$67)</f>
        <v>80.080155</v>
      </c>
    </row>
    <row r="1446" customFormat="false" ht="15" hidden="false" customHeight="false" outlineLevel="0" collapsed="false">
      <c r="B1446" s="7" t="s">
        <v>1943</v>
      </c>
      <c r="C1446" s="39" t="n">
        <v>45733</v>
      </c>
      <c r="D1446" s="7" t="s">
        <v>280</v>
      </c>
      <c r="E1446" s="7" t="s">
        <v>157</v>
      </c>
      <c r="F1446" s="7" t="s">
        <v>187</v>
      </c>
      <c r="G1446" s="7" t="s">
        <v>502</v>
      </c>
      <c r="H1446" s="6" t="n">
        <v>1.02</v>
      </c>
      <c r="I1446" s="6" t="n">
        <v>0.051</v>
      </c>
      <c r="J1446" s="40" t="n">
        <f aca="false">H1446-I1446</f>
        <v>0.969</v>
      </c>
      <c r="K1446" s="41" t="n">
        <v>165</v>
      </c>
      <c r="L1446" s="42" t="n">
        <f aca="false">J1446*K1446</f>
        <v>159.885</v>
      </c>
      <c r="M1446" s="43" t="n">
        <f aca="false">H1446*66.48*(1+'Chart of Accounts'!$E$67)</f>
        <v>77.641992</v>
      </c>
    </row>
    <row r="1447" customFormat="false" ht="15" hidden="false" customHeight="false" outlineLevel="0" collapsed="false">
      <c r="B1447" s="7" t="s">
        <v>1944</v>
      </c>
      <c r="C1447" s="39" t="n">
        <v>45733</v>
      </c>
      <c r="D1447" s="7" t="s">
        <v>288</v>
      </c>
      <c r="E1447" s="7" t="s">
        <v>156</v>
      </c>
      <c r="F1447" s="7" t="s">
        <v>191</v>
      </c>
      <c r="G1447" s="7" t="s">
        <v>505</v>
      </c>
      <c r="H1447" s="6" t="n">
        <v>3.66</v>
      </c>
      <c r="I1447" s="6" t="n">
        <v>0</v>
      </c>
      <c r="J1447" s="40" t="n">
        <f aca="false">H1447-I1447</f>
        <v>3.66</v>
      </c>
      <c r="K1447" s="41" t="n">
        <v>34</v>
      </c>
      <c r="L1447" s="42" t="n">
        <f aca="false">J1447*K1447</f>
        <v>124.44</v>
      </c>
      <c r="M1447" s="43" t="n">
        <f aca="false">H1447*16.05*(1+'Chart of Accounts'!$E$67)</f>
        <v>67.260735</v>
      </c>
    </row>
    <row r="1448" customFormat="false" ht="15" hidden="false" customHeight="false" outlineLevel="0" collapsed="false">
      <c r="B1448" s="7" t="s">
        <v>1945</v>
      </c>
      <c r="C1448" s="39" t="n">
        <v>45733</v>
      </c>
      <c r="D1448" s="7" t="s">
        <v>291</v>
      </c>
      <c r="E1448" s="7" t="s">
        <v>154</v>
      </c>
      <c r="F1448" s="7" t="s">
        <v>194</v>
      </c>
      <c r="G1448" s="7" t="s">
        <v>505</v>
      </c>
      <c r="H1448" s="6" t="n">
        <v>4.99</v>
      </c>
      <c r="I1448" s="6" t="n">
        <v>0</v>
      </c>
      <c r="J1448" s="40" t="n">
        <f aca="false">H1448-I1448</f>
        <v>4.99</v>
      </c>
      <c r="K1448" s="41" t="n">
        <v>26.5</v>
      </c>
      <c r="L1448" s="42" t="n">
        <f aca="false">J1448*K1448</f>
        <v>132.235</v>
      </c>
      <c r="M1448" s="43" t="n">
        <f aca="false">H1448*16*(1+'Chart of Accounts'!$E$67)</f>
        <v>91.4168</v>
      </c>
    </row>
    <row r="1449" customFormat="false" ht="15" hidden="false" customHeight="false" outlineLevel="0" collapsed="false">
      <c r="B1449" s="7" t="s">
        <v>1946</v>
      </c>
      <c r="C1449" s="39" t="n">
        <v>45733</v>
      </c>
      <c r="D1449" s="7" t="s">
        <v>297</v>
      </c>
      <c r="E1449" s="7" t="s">
        <v>156</v>
      </c>
      <c r="F1449" s="7" t="s">
        <v>201</v>
      </c>
      <c r="G1449" s="7" t="s">
        <v>505</v>
      </c>
      <c r="H1449" s="6" t="n">
        <v>2.81</v>
      </c>
      <c r="I1449" s="6" t="n">
        <v>0</v>
      </c>
      <c r="J1449" s="40" t="n">
        <f aca="false">H1449-I1449</f>
        <v>2.81</v>
      </c>
      <c r="K1449" s="41" t="n">
        <v>34</v>
      </c>
      <c r="L1449" s="42" t="n">
        <f aca="false">J1449*K1449</f>
        <v>95.54</v>
      </c>
      <c r="M1449" s="43" t="n">
        <f aca="false">H1449*15.19*(1+'Chart of Accounts'!$E$67)</f>
        <v>48.8730655</v>
      </c>
    </row>
    <row r="1450" customFormat="false" ht="15" hidden="false" customHeight="false" outlineLevel="0" collapsed="false">
      <c r="B1450" s="7" t="s">
        <v>1947</v>
      </c>
      <c r="C1450" s="39" t="n">
        <v>45733</v>
      </c>
      <c r="D1450" s="7" t="s">
        <v>305</v>
      </c>
      <c r="E1450" s="7" t="s">
        <v>154</v>
      </c>
      <c r="F1450" s="7" t="s">
        <v>205</v>
      </c>
      <c r="G1450" s="7" t="s">
        <v>505</v>
      </c>
      <c r="H1450" s="6" t="n">
        <v>3.73</v>
      </c>
      <c r="I1450" s="6" t="n">
        <v>0</v>
      </c>
      <c r="J1450" s="40" t="n">
        <f aca="false">H1450-I1450</f>
        <v>3.73</v>
      </c>
      <c r="K1450" s="41" t="n">
        <v>26.5</v>
      </c>
      <c r="L1450" s="42" t="n">
        <f aca="false">J1450*K1450</f>
        <v>98.845</v>
      </c>
      <c r="M1450" s="43" t="n">
        <f aca="false">H1450*16.36*(1+'Chart of Accounts'!$E$67)</f>
        <v>69.871106</v>
      </c>
    </row>
    <row r="1451" customFormat="false" ht="15" hidden="false" customHeight="false" outlineLevel="0" collapsed="false">
      <c r="B1451" s="7" t="s">
        <v>1948</v>
      </c>
      <c r="C1451" s="39" t="n">
        <v>45733</v>
      </c>
      <c r="D1451" s="7" t="s">
        <v>309</v>
      </c>
      <c r="E1451" s="7" t="s">
        <v>159</v>
      </c>
      <c r="F1451" s="7" t="s">
        <v>252</v>
      </c>
      <c r="G1451" s="7" t="s">
        <v>502</v>
      </c>
      <c r="H1451" s="6" t="n">
        <v>1.09</v>
      </c>
      <c r="I1451" s="6" t="n">
        <v>0</v>
      </c>
      <c r="J1451" s="40" t="n">
        <f aca="false">H1451-I1451</f>
        <v>1.09</v>
      </c>
      <c r="K1451" s="41" t="n">
        <v>135</v>
      </c>
      <c r="L1451" s="42" t="n">
        <f aca="false">J1451*K1451</f>
        <v>147.15</v>
      </c>
      <c r="M1451" s="43" t="n">
        <f aca="false">H1451*57.54*(1+'Chart of Accounts'!$E$67)</f>
        <v>71.812797</v>
      </c>
    </row>
    <row r="1452" customFormat="false" ht="15" hidden="false" customHeight="false" outlineLevel="0" collapsed="false">
      <c r="B1452" s="7" t="s">
        <v>1949</v>
      </c>
      <c r="C1452" s="39" t="n">
        <v>45733</v>
      </c>
      <c r="D1452" s="7" t="s">
        <v>311</v>
      </c>
      <c r="E1452" s="7" t="s">
        <v>154</v>
      </c>
      <c r="F1452" s="7" t="s">
        <v>196</v>
      </c>
      <c r="G1452" s="7" t="s">
        <v>505</v>
      </c>
      <c r="H1452" s="6" t="n">
        <v>2.83</v>
      </c>
      <c r="I1452" s="6" t="n">
        <v>0</v>
      </c>
      <c r="J1452" s="40" t="n">
        <f aca="false">H1452-I1452</f>
        <v>2.83</v>
      </c>
      <c r="K1452" s="41" t="n">
        <v>26.5</v>
      </c>
      <c r="L1452" s="42" t="n">
        <f aca="false">J1452*K1452</f>
        <v>74.995</v>
      </c>
      <c r="M1452" s="43" t="n">
        <f aca="false">H1452*15.05*(1+'Chart of Accounts'!$E$67)</f>
        <v>48.7672675</v>
      </c>
    </row>
    <row r="1453" customFormat="false" ht="15" hidden="false" customHeight="false" outlineLevel="0" collapsed="false">
      <c r="B1453" s="7" t="s">
        <v>1950</v>
      </c>
      <c r="C1453" s="39" t="n">
        <v>45733</v>
      </c>
      <c r="D1453" s="7" t="s">
        <v>313</v>
      </c>
      <c r="E1453" s="7" t="s">
        <v>156</v>
      </c>
      <c r="F1453" s="7" t="s">
        <v>184</v>
      </c>
      <c r="G1453" s="7" t="s">
        <v>505</v>
      </c>
      <c r="H1453" s="6" t="n">
        <v>3.76</v>
      </c>
      <c r="I1453" s="6" t="n">
        <v>0</v>
      </c>
      <c r="J1453" s="40" t="n">
        <f aca="false">H1453-I1453</f>
        <v>3.76</v>
      </c>
      <c r="K1453" s="41" t="n">
        <v>34</v>
      </c>
      <c r="L1453" s="42" t="n">
        <f aca="false">J1453*K1453</f>
        <v>127.84</v>
      </c>
      <c r="M1453" s="43" t="n">
        <f aca="false">H1453*17.34*(1+'Chart of Accounts'!$E$67)</f>
        <v>74.652168</v>
      </c>
    </row>
    <row r="1454" customFormat="false" ht="15" hidden="false" customHeight="false" outlineLevel="0" collapsed="false">
      <c r="B1454" s="7" t="s">
        <v>1951</v>
      </c>
      <c r="C1454" s="39" t="n">
        <v>45733</v>
      </c>
      <c r="D1454" s="7" t="s">
        <v>317</v>
      </c>
      <c r="E1454" s="7" t="s">
        <v>156</v>
      </c>
      <c r="F1454" s="7" t="s">
        <v>207</v>
      </c>
      <c r="G1454" s="7" t="s">
        <v>505</v>
      </c>
      <c r="H1454" s="6" t="n">
        <v>2.96</v>
      </c>
      <c r="I1454" s="6" t="n">
        <v>0</v>
      </c>
      <c r="J1454" s="40" t="n">
        <f aca="false">H1454-I1454</f>
        <v>2.96</v>
      </c>
      <c r="K1454" s="41" t="n">
        <v>34</v>
      </c>
      <c r="L1454" s="42" t="n">
        <f aca="false">J1454*K1454</f>
        <v>100.64</v>
      </c>
      <c r="M1454" s="43" t="n">
        <f aca="false">H1454*16.65*(1+'Chart of Accounts'!$E$67)</f>
        <v>56.43018</v>
      </c>
    </row>
    <row r="1455" customFormat="false" ht="15" hidden="false" customHeight="false" outlineLevel="0" collapsed="false">
      <c r="B1455" s="7" t="s">
        <v>1952</v>
      </c>
      <c r="C1455" s="39" t="n">
        <v>45733</v>
      </c>
      <c r="D1455" s="7" t="s">
        <v>321</v>
      </c>
      <c r="E1455" s="7" t="s">
        <v>154</v>
      </c>
      <c r="F1455" s="7" t="s">
        <v>218</v>
      </c>
      <c r="G1455" s="7" t="s">
        <v>505</v>
      </c>
      <c r="H1455" s="6" t="n">
        <v>4.29</v>
      </c>
      <c r="I1455" s="6" t="n">
        <v>0</v>
      </c>
      <c r="J1455" s="40" t="n">
        <f aca="false">H1455-I1455</f>
        <v>4.29</v>
      </c>
      <c r="K1455" s="41" t="n">
        <v>26.5</v>
      </c>
      <c r="L1455" s="42" t="n">
        <f aca="false">J1455*K1455</f>
        <v>113.685</v>
      </c>
      <c r="M1455" s="43" t="n">
        <f aca="false">H1455*16.19*(1+'Chart of Accounts'!$E$67)</f>
        <v>79.5260895</v>
      </c>
    </row>
    <row r="1456" customFormat="false" ht="15" hidden="false" customHeight="false" outlineLevel="0" collapsed="false">
      <c r="B1456" s="7" t="s">
        <v>1953</v>
      </c>
      <c r="C1456" s="39" t="n">
        <v>45733</v>
      </c>
      <c r="D1456" s="7" t="s">
        <v>325</v>
      </c>
      <c r="E1456" s="7" t="s">
        <v>154</v>
      </c>
      <c r="F1456" s="7" t="s">
        <v>212</v>
      </c>
      <c r="G1456" s="7" t="s">
        <v>505</v>
      </c>
      <c r="H1456" s="6" t="n">
        <v>3.17</v>
      </c>
      <c r="I1456" s="6" t="n">
        <v>0</v>
      </c>
      <c r="J1456" s="40" t="n">
        <f aca="false">H1456-I1456</f>
        <v>3.17</v>
      </c>
      <c r="K1456" s="41" t="n">
        <v>26.5</v>
      </c>
      <c r="L1456" s="42" t="n">
        <f aca="false">J1456*K1456</f>
        <v>84.005</v>
      </c>
      <c r="M1456" s="43" t="n">
        <f aca="false">H1456*16.71*(1+'Chart of Accounts'!$E$67)</f>
        <v>60.6514515</v>
      </c>
    </row>
    <row r="1457" customFormat="false" ht="15" hidden="false" customHeight="false" outlineLevel="0" collapsed="false">
      <c r="B1457" s="7" t="s">
        <v>1954</v>
      </c>
      <c r="C1457" s="39" t="n">
        <v>45733</v>
      </c>
      <c r="D1457" s="7" t="s">
        <v>329</v>
      </c>
      <c r="E1457" s="7" t="s">
        <v>156</v>
      </c>
      <c r="F1457" s="7" t="s">
        <v>220</v>
      </c>
      <c r="G1457" s="7" t="s">
        <v>505</v>
      </c>
      <c r="H1457" s="6" t="n">
        <v>4.18</v>
      </c>
      <c r="I1457" s="6" t="n">
        <v>0</v>
      </c>
      <c r="J1457" s="40" t="n">
        <f aca="false">H1457-I1457</f>
        <v>4.18</v>
      </c>
      <c r="K1457" s="41" t="n">
        <v>34</v>
      </c>
      <c r="L1457" s="42" t="n">
        <f aca="false">J1457*K1457</f>
        <v>142.12</v>
      </c>
      <c r="M1457" s="43" t="n">
        <f aca="false">H1457*16.43*(1+'Chart of Accounts'!$E$67)</f>
        <v>78.635623</v>
      </c>
    </row>
    <row r="1458" customFormat="false" ht="15" hidden="false" customHeight="false" outlineLevel="0" collapsed="false">
      <c r="B1458" s="7" t="s">
        <v>1955</v>
      </c>
      <c r="C1458" s="39" t="n">
        <v>45733</v>
      </c>
      <c r="D1458" s="7" t="s">
        <v>331</v>
      </c>
      <c r="E1458" s="7" t="s">
        <v>156</v>
      </c>
      <c r="F1458" s="7" t="s">
        <v>224</v>
      </c>
      <c r="G1458" s="7" t="s">
        <v>505</v>
      </c>
      <c r="H1458" s="6" t="n">
        <v>4.06</v>
      </c>
      <c r="I1458" s="6" t="n">
        <v>0</v>
      </c>
      <c r="J1458" s="40" t="n">
        <f aca="false">H1458-I1458</f>
        <v>4.06</v>
      </c>
      <c r="K1458" s="41" t="n">
        <v>34</v>
      </c>
      <c r="L1458" s="42" t="n">
        <f aca="false">J1458*K1458</f>
        <v>138.04</v>
      </c>
      <c r="M1458" s="43" t="n">
        <f aca="false">H1458*14.93*(1+'Chart of Accounts'!$E$67)</f>
        <v>69.405091</v>
      </c>
    </row>
    <row r="1459" customFormat="false" ht="15" hidden="false" customHeight="false" outlineLevel="0" collapsed="false">
      <c r="B1459" s="7" t="s">
        <v>1956</v>
      </c>
      <c r="C1459" s="39" t="n">
        <v>45733</v>
      </c>
      <c r="D1459" s="7" t="s">
        <v>335</v>
      </c>
      <c r="E1459" s="7" t="s">
        <v>154</v>
      </c>
      <c r="F1459" s="7" t="s">
        <v>177</v>
      </c>
      <c r="G1459" s="7" t="s">
        <v>505</v>
      </c>
      <c r="H1459" s="6" t="n">
        <v>4.16</v>
      </c>
      <c r="I1459" s="6" t="n">
        <v>0.125</v>
      </c>
      <c r="J1459" s="40" t="n">
        <f aca="false">H1459-I1459</f>
        <v>4.035</v>
      </c>
      <c r="K1459" s="41" t="n">
        <v>26.5</v>
      </c>
      <c r="L1459" s="42" t="n">
        <f aca="false">J1459*K1459</f>
        <v>106.9275</v>
      </c>
      <c r="M1459" s="43" t="n">
        <f aca="false">H1459*14.56*(1+'Chart of Accounts'!$E$67)</f>
        <v>69.352192</v>
      </c>
    </row>
    <row r="1460" customFormat="false" ht="15" hidden="false" customHeight="false" outlineLevel="0" collapsed="false">
      <c r="B1460" s="7" t="s">
        <v>1957</v>
      </c>
      <c r="C1460" s="39" t="n">
        <v>45733</v>
      </c>
      <c r="D1460" s="7" t="s">
        <v>337</v>
      </c>
      <c r="E1460" s="7" t="s">
        <v>154</v>
      </c>
      <c r="F1460" s="7" t="s">
        <v>232</v>
      </c>
      <c r="G1460" s="7" t="s">
        <v>505</v>
      </c>
      <c r="H1460" s="6" t="n">
        <v>2.97</v>
      </c>
      <c r="I1460" s="6" t="n">
        <v>0</v>
      </c>
      <c r="J1460" s="40" t="n">
        <f aca="false">H1460-I1460</f>
        <v>2.97</v>
      </c>
      <c r="K1460" s="41" t="n">
        <v>26.5</v>
      </c>
      <c r="L1460" s="42" t="n">
        <f aca="false">J1460*K1460</f>
        <v>78.705</v>
      </c>
      <c r="M1460" s="43" t="n">
        <f aca="false">H1460*16.17*(1+'Chart of Accounts'!$E$67)</f>
        <v>54.9885105</v>
      </c>
    </row>
    <row r="1461" customFormat="false" ht="15" hidden="false" customHeight="false" outlineLevel="0" collapsed="false">
      <c r="B1461" s="7" t="s">
        <v>1958</v>
      </c>
      <c r="C1461" s="39" t="n">
        <v>45733</v>
      </c>
      <c r="D1461" s="7" t="s">
        <v>339</v>
      </c>
      <c r="E1461" s="7" t="s">
        <v>154</v>
      </c>
      <c r="F1461" s="7" t="s">
        <v>242</v>
      </c>
      <c r="G1461" s="7" t="s">
        <v>505</v>
      </c>
      <c r="H1461" s="6" t="n">
        <v>3.16</v>
      </c>
      <c r="I1461" s="6" t="n">
        <v>0</v>
      </c>
      <c r="J1461" s="40" t="n">
        <f aca="false">H1461-I1461</f>
        <v>3.16</v>
      </c>
      <c r="K1461" s="41" t="n">
        <v>26.5</v>
      </c>
      <c r="L1461" s="42" t="n">
        <f aca="false">J1461*K1461</f>
        <v>83.74</v>
      </c>
      <c r="M1461" s="43" t="n">
        <f aca="false">H1461*17.99*(1+'Chart of Accounts'!$E$67)</f>
        <v>65.091418</v>
      </c>
    </row>
    <row r="1462" customFormat="false" ht="15" hidden="false" customHeight="false" outlineLevel="0" collapsed="false">
      <c r="B1462" s="7" t="s">
        <v>1959</v>
      </c>
      <c r="C1462" s="39" t="n">
        <v>45733</v>
      </c>
      <c r="D1462" s="7" t="s">
        <v>341</v>
      </c>
      <c r="E1462" s="7" t="s">
        <v>156</v>
      </c>
      <c r="F1462" s="7" t="s">
        <v>222</v>
      </c>
      <c r="G1462" s="7" t="s">
        <v>505</v>
      </c>
      <c r="H1462" s="6" t="n">
        <v>2.72</v>
      </c>
      <c r="I1462" s="6" t="n">
        <v>0</v>
      </c>
      <c r="J1462" s="40" t="n">
        <f aca="false">H1462-I1462</f>
        <v>2.72</v>
      </c>
      <c r="K1462" s="41" t="n">
        <v>34</v>
      </c>
      <c r="L1462" s="42" t="n">
        <f aca="false">J1462*K1462</f>
        <v>92.48</v>
      </c>
      <c r="M1462" s="43" t="n">
        <f aca="false">H1462*17.84*(1+'Chart of Accounts'!$E$67)</f>
        <v>55.560896</v>
      </c>
    </row>
    <row r="1463" customFormat="false" ht="15" hidden="false" customHeight="false" outlineLevel="0" collapsed="false">
      <c r="B1463" s="7" t="s">
        <v>1960</v>
      </c>
      <c r="C1463" s="39" t="n">
        <v>45733</v>
      </c>
      <c r="D1463" s="7" t="s">
        <v>343</v>
      </c>
      <c r="E1463" s="7" t="s">
        <v>154</v>
      </c>
      <c r="F1463" s="7" t="s">
        <v>262</v>
      </c>
      <c r="G1463" s="7" t="s">
        <v>505</v>
      </c>
      <c r="H1463" s="6" t="n">
        <v>4.37</v>
      </c>
      <c r="I1463" s="6" t="n">
        <v>0</v>
      </c>
      <c r="J1463" s="40" t="n">
        <f aca="false">H1463-I1463</f>
        <v>4.37</v>
      </c>
      <c r="K1463" s="41" t="n">
        <v>26.5</v>
      </c>
      <c r="L1463" s="42" t="n">
        <f aca="false">J1463*K1463</f>
        <v>115.805</v>
      </c>
      <c r="M1463" s="43" t="n">
        <f aca="false">H1463*16.02*(1+'Chart of Accounts'!$E$67)</f>
        <v>80.158473</v>
      </c>
    </row>
    <row r="1464" customFormat="false" ht="15" hidden="false" customHeight="false" outlineLevel="0" collapsed="false">
      <c r="B1464" s="7" t="s">
        <v>1961</v>
      </c>
      <c r="C1464" s="39" t="n">
        <v>45733</v>
      </c>
      <c r="D1464" s="7" t="s">
        <v>353</v>
      </c>
      <c r="E1464" s="7" t="s">
        <v>154</v>
      </c>
      <c r="F1464" s="7" t="s">
        <v>254</v>
      </c>
      <c r="G1464" s="7" t="s">
        <v>505</v>
      </c>
      <c r="H1464" s="6" t="n">
        <v>3.59</v>
      </c>
      <c r="I1464" s="6" t="n">
        <v>0</v>
      </c>
      <c r="J1464" s="40" t="n">
        <f aca="false">H1464-I1464</f>
        <v>3.59</v>
      </c>
      <c r="K1464" s="41" t="n">
        <v>26.5</v>
      </c>
      <c r="L1464" s="42" t="n">
        <f aca="false">J1464*K1464</f>
        <v>95.135</v>
      </c>
      <c r="M1464" s="43" t="n">
        <f aca="false">H1464*17.1*(1+'Chart of Accounts'!$E$67)</f>
        <v>70.290405</v>
      </c>
    </row>
    <row r="1465" customFormat="false" ht="15" hidden="false" customHeight="false" outlineLevel="0" collapsed="false">
      <c r="B1465" s="7" t="s">
        <v>1962</v>
      </c>
      <c r="C1465" s="39" t="n">
        <v>45733</v>
      </c>
      <c r="D1465" s="7" t="s">
        <v>355</v>
      </c>
      <c r="E1465" s="7" t="s">
        <v>154</v>
      </c>
      <c r="F1465" s="7" t="s">
        <v>201</v>
      </c>
      <c r="G1465" s="7" t="s">
        <v>505</v>
      </c>
      <c r="H1465" s="6" t="n">
        <v>3.11</v>
      </c>
      <c r="I1465" s="6" t="n">
        <v>0</v>
      </c>
      <c r="J1465" s="40" t="n">
        <f aca="false">H1465-I1465</f>
        <v>3.11</v>
      </c>
      <c r="K1465" s="41" t="n">
        <v>26.5</v>
      </c>
      <c r="L1465" s="42" t="n">
        <f aca="false">J1465*K1465</f>
        <v>82.415</v>
      </c>
      <c r="M1465" s="43" t="n">
        <f aca="false">H1465*15.19*(1+'Chart of Accounts'!$E$67)</f>
        <v>54.0908305</v>
      </c>
    </row>
    <row r="1466" customFormat="false" ht="15" hidden="false" customHeight="false" outlineLevel="0" collapsed="false">
      <c r="B1466" s="7" t="s">
        <v>1963</v>
      </c>
      <c r="C1466" s="39" t="n">
        <v>45733</v>
      </c>
      <c r="D1466" s="7" t="s">
        <v>357</v>
      </c>
      <c r="E1466" s="7" t="s">
        <v>154</v>
      </c>
      <c r="F1466" s="7" t="s">
        <v>207</v>
      </c>
      <c r="G1466" s="7" t="s">
        <v>505</v>
      </c>
      <c r="H1466" s="6" t="n">
        <v>3.46</v>
      </c>
      <c r="I1466" s="6" t="n">
        <v>0</v>
      </c>
      <c r="J1466" s="40" t="n">
        <f aca="false">H1466-I1466</f>
        <v>3.46</v>
      </c>
      <c r="K1466" s="41" t="n">
        <v>26.5</v>
      </c>
      <c r="L1466" s="42" t="n">
        <f aca="false">J1466*K1466</f>
        <v>91.69</v>
      </c>
      <c r="M1466" s="43" t="n">
        <f aca="false">H1466*16.65*(1+'Chart of Accounts'!$E$67)</f>
        <v>65.962305</v>
      </c>
    </row>
    <row r="1467" customFormat="false" ht="15" hidden="false" customHeight="false" outlineLevel="0" collapsed="false">
      <c r="B1467" s="7" t="s">
        <v>1964</v>
      </c>
      <c r="C1467" s="39" t="n">
        <v>45733</v>
      </c>
      <c r="D1467" s="7" t="s">
        <v>359</v>
      </c>
      <c r="E1467" s="7" t="s">
        <v>156</v>
      </c>
      <c r="F1467" s="7" t="s">
        <v>212</v>
      </c>
      <c r="G1467" s="7" t="s">
        <v>505</v>
      </c>
      <c r="H1467" s="6" t="n">
        <v>4.12</v>
      </c>
      <c r="I1467" s="6" t="n">
        <v>0</v>
      </c>
      <c r="J1467" s="40" t="n">
        <f aca="false">H1467-I1467</f>
        <v>4.12</v>
      </c>
      <c r="K1467" s="41" t="n">
        <v>34</v>
      </c>
      <c r="L1467" s="42" t="n">
        <f aca="false">J1467*K1467</f>
        <v>140.08</v>
      </c>
      <c r="M1467" s="43" t="n">
        <f aca="false">H1467*16.71*(1+'Chart of Accounts'!$E$67)</f>
        <v>78.827754</v>
      </c>
    </row>
    <row r="1468" customFormat="false" ht="15" hidden="false" customHeight="false" outlineLevel="0" collapsed="false">
      <c r="B1468" s="7" t="s">
        <v>1965</v>
      </c>
      <c r="C1468" s="39" t="n">
        <v>45733</v>
      </c>
      <c r="D1468" s="7" t="s">
        <v>363</v>
      </c>
      <c r="E1468" s="7" t="s">
        <v>156</v>
      </c>
      <c r="F1468" s="7" t="s">
        <v>246</v>
      </c>
      <c r="G1468" s="7" t="s">
        <v>505</v>
      </c>
      <c r="H1468" s="6" t="n">
        <v>3.74</v>
      </c>
      <c r="I1468" s="6" t="n">
        <v>0</v>
      </c>
      <c r="J1468" s="40" t="n">
        <f aca="false">H1468-I1468</f>
        <v>3.74</v>
      </c>
      <c r="K1468" s="41" t="n">
        <v>34</v>
      </c>
      <c r="L1468" s="42" t="n">
        <f aca="false">J1468*K1468</f>
        <v>127.16</v>
      </c>
      <c r="M1468" s="43" t="n">
        <f aca="false">H1468*16.48*(1+'Chart of Accounts'!$E$67)</f>
        <v>70.572304</v>
      </c>
    </row>
    <row r="1469" customFormat="false" ht="15" hidden="false" customHeight="false" outlineLevel="0" collapsed="false">
      <c r="B1469" s="7" t="s">
        <v>1966</v>
      </c>
      <c r="C1469" s="39" t="n">
        <v>45733</v>
      </c>
      <c r="D1469" s="7" t="s">
        <v>371</v>
      </c>
      <c r="E1469" s="7" t="s">
        <v>154</v>
      </c>
      <c r="F1469" s="7" t="s">
        <v>232</v>
      </c>
      <c r="G1469" s="7" t="s">
        <v>505</v>
      </c>
      <c r="H1469" s="6" t="n">
        <v>4.71</v>
      </c>
      <c r="I1469" s="6" t="n">
        <v>0</v>
      </c>
      <c r="J1469" s="40" t="n">
        <f aca="false">H1469-I1469</f>
        <v>4.71</v>
      </c>
      <c r="K1469" s="41" t="n">
        <v>26.5</v>
      </c>
      <c r="L1469" s="42" t="n">
        <f aca="false">J1469*K1469</f>
        <v>124.815</v>
      </c>
      <c r="M1469" s="43" t="n">
        <f aca="false">H1469*16.17*(1+'Chart of Accounts'!$E$67)</f>
        <v>87.2040015</v>
      </c>
    </row>
    <row r="1470" customFormat="false" ht="15" hidden="false" customHeight="false" outlineLevel="0" collapsed="false">
      <c r="B1470" s="7" t="s">
        <v>1967</v>
      </c>
      <c r="C1470" s="39" t="n">
        <v>45733</v>
      </c>
      <c r="D1470" s="7" t="s">
        <v>375</v>
      </c>
      <c r="E1470" s="7" t="s">
        <v>156</v>
      </c>
      <c r="F1470" s="7" t="s">
        <v>196</v>
      </c>
      <c r="G1470" s="7" t="s">
        <v>505</v>
      </c>
      <c r="H1470" s="6" t="n">
        <v>2.71</v>
      </c>
      <c r="I1470" s="6" t="n">
        <v>0</v>
      </c>
      <c r="J1470" s="40" t="n">
        <f aca="false">H1470-I1470</f>
        <v>2.71</v>
      </c>
      <c r="K1470" s="41" t="n">
        <v>34</v>
      </c>
      <c r="L1470" s="42" t="n">
        <f aca="false">J1470*K1470</f>
        <v>92.14</v>
      </c>
      <c r="M1470" s="43" t="n">
        <f aca="false">H1470*15.05*(1+'Chart of Accounts'!$E$67)</f>
        <v>46.6993975</v>
      </c>
    </row>
    <row r="1471" customFormat="false" ht="15" hidden="false" customHeight="false" outlineLevel="0" collapsed="false">
      <c r="B1471" s="7" t="s">
        <v>1968</v>
      </c>
      <c r="C1471" s="39" t="n">
        <v>45733</v>
      </c>
      <c r="D1471" s="7" t="s">
        <v>377</v>
      </c>
      <c r="E1471" s="7" t="s">
        <v>154</v>
      </c>
      <c r="F1471" s="7" t="s">
        <v>214</v>
      </c>
      <c r="G1471" s="7" t="s">
        <v>505</v>
      </c>
      <c r="H1471" s="6" t="n">
        <v>4.32</v>
      </c>
      <c r="I1471" s="6" t="n">
        <v>0.13</v>
      </c>
      <c r="J1471" s="40" t="n">
        <f aca="false">H1471-I1471</f>
        <v>4.19</v>
      </c>
      <c r="K1471" s="41" t="n">
        <v>26.5</v>
      </c>
      <c r="L1471" s="42" t="n">
        <f aca="false">J1471*K1471</f>
        <v>111.035</v>
      </c>
      <c r="M1471" s="43" t="n">
        <f aca="false">H1471*15.67*(1+'Chart of Accounts'!$E$67)</f>
        <v>77.510088</v>
      </c>
    </row>
    <row r="1472" customFormat="false" ht="15" hidden="false" customHeight="false" outlineLevel="0" collapsed="false">
      <c r="B1472" s="7" t="s">
        <v>1969</v>
      </c>
      <c r="C1472" s="39" t="n">
        <v>45733</v>
      </c>
      <c r="D1472" s="7" t="s">
        <v>379</v>
      </c>
      <c r="E1472" s="7" t="s">
        <v>156</v>
      </c>
      <c r="F1472" s="7" t="s">
        <v>224</v>
      </c>
      <c r="G1472" s="7" t="s">
        <v>505</v>
      </c>
      <c r="H1472" s="6" t="n">
        <v>4.5</v>
      </c>
      <c r="I1472" s="6" t="n">
        <v>0</v>
      </c>
      <c r="J1472" s="40" t="n">
        <f aca="false">H1472-I1472</f>
        <v>4.5</v>
      </c>
      <c r="K1472" s="41" t="n">
        <v>34</v>
      </c>
      <c r="L1472" s="42" t="n">
        <f aca="false">J1472*K1472</f>
        <v>153</v>
      </c>
      <c r="M1472" s="43" t="n">
        <f aca="false">H1472*14.93*(1+'Chart of Accounts'!$E$67)</f>
        <v>76.926825</v>
      </c>
    </row>
    <row r="1473" customFormat="false" ht="15" hidden="false" customHeight="false" outlineLevel="0" collapsed="false">
      <c r="B1473" s="7" t="s">
        <v>1970</v>
      </c>
      <c r="C1473" s="39" t="n">
        <v>45733</v>
      </c>
      <c r="D1473" s="7" t="s">
        <v>389</v>
      </c>
      <c r="E1473" s="7" t="s">
        <v>154</v>
      </c>
      <c r="F1473" s="7" t="s">
        <v>246</v>
      </c>
      <c r="G1473" s="7" t="s">
        <v>505</v>
      </c>
      <c r="H1473" s="6" t="n">
        <v>3.73</v>
      </c>
      <c r="I1473" s="6" t="n">
        <v>0.112</v>
      </c>
      <c r="J1473" s="40" t="n">
        <f aca="false">H1473-I1473</f>
        <v>3.618</v>
      </c>
      <c r="K1473" s="41" t="n">
        <v>26.5</v>
      </c>
      <c r="L1473" s="42" t="n">
        <f aca="false">J1473*K1473</f>
        <v>95.877</v>
      </c>
      <c r="M1473" s="43" t="n">
        <f aca="false">H1473*16.48*(1+'Chart of Accounts'!$E$67)</f>
        <v>70.383608</v>
      </c>
    </row>
    <row r="1474" customFormat="false" ht="15" hidden="false" customHeight="false" outlineLevel="0" collapsed="false">
      <c r="B1474" s="7" t="s">
        <v>1971</v>
      </c>
      <c r="C1474" s="39" t="n">
        <v>45733</v>
      </c>
      <c r="D1474" s="7" t="s">
        <v>391</v>
      </c>
      <c r="E1474" s="7" t="s">
        <v>156</v>
      </c>
      <c r="F1474" s="7" t="s">
        <v>222</v>
      </c>
      <c r="G1474" s="7" t="s">
        <v>505</v>
      </c>
      <c r="H1474" s="6" t="n">
        <v>4.16</v>
      </c>
      <c r="I1474" s="6" t="n">
        <v>0</v>
      </c>
      <c r="J1474" s="40" t="n">
        <f aca="false">H1474-I1474</f>
        <v>4.16</v>
      </c>
      <c r="K1474" s="41" t="n">
        <v>34</v>
      </c>
      <c r="L1474" s="42" t="n">
        <f aca="false">J1474*K1474</f>
        <v>141.44</v>
      </c>
      <c r="M1474" s="43" t="n">
        <f aca="false">H1474*17.84*(1+'Chart of Accounts'!$E$67)</f>
        <v>84.975488</v>
      </c>
    </row>
    <row r="1475" customFormat="false" ht="15" hidden="false" customHeight="false" outlineLevel="0" collapsed="false">
      <c r="B1475" s="7" t="s">
        <v>1972</v>
      </c>
      <c r="C1475" s="39" t="n">
        <v>45733</v>
      </c>
      <c r="D1475" s="7" t="s">
        <v>395</v>
      </c>
      <c r="E1475" s="7" t="s">
        <v>156</v>
      </c>
      <c r="F1475" s="7" t="s">
        <v>242</v>
      </c>
      <c r="G1475" s="7" t="s">
        <v>505</v>
      </c>
      <c r="H1475" s="6" t="n">
        <v>4.17</v>
      </c>
      <c r="I1475" s="6" t="n">
        <v>0</v>
      </c>
      <c r="J1475" s="40" t="n">
        <f aca="false">H1475-I1475</f>
        <v>4.17</v>
      </c>
      <c r="K1475" s="41" t="n">
        <v>34</v>
      </c>
      <c r="L1475" s="42" t="n">
        <f aca="false">J1475*K1475</f>
        <v>141.78</v>
      </c>
      <c r="M1475" s="43" t="n">
        <f aca="false">H1475*17.99*(1+'Chart of Accounts'!$E$67)</f>
        <v>85.8959535</v>
      </c>
    </row>
    <row r="1476" customFormat="false" ht="15" hidden="false" customHeight="false" outlineLevel="0" collapsed="false">
      <c r="B1476" s="7" t="s">
        <v>1973</v>
      </c>
      <c r="C1476" s="39" t="n">
        <v>45733</v>
      </c>
      <c r="D1476" s="7" t="s">
        <v>399</v>
      </c>
      <c r="E1476" s="7" t="s">
        <v>154</v>
      </c>
      <c r="F1476" s="7" t="s">
        <v>262</v>
      </c>
      <c r="G1476" s="7" t="s">
        <v>505</v>
      </c>
      <c r="H1476" s="6" t="n">
        <v>3.41</v>
      </c>
      <c r="I1476" s="6" t="n">
        <v>0</v>
      </c>
      <c r="J1476" s="40" t="n">
        <f aca="false">H1476-I1476</f>
        <v>3.41</v>
      </c>
      <c r="K1476" s="41" t="n">
        <v>26.5</v>
      </c>
      <c r="L1476" s="42" t="n">
        <f aca="false">J1476*K1476</f>
        <v>90.365</v>
      </c>
      <c r="M1476" s="43" t="n">
        <f aca="false">H1476*16.02*(1+'Chart of Accounts'!$E$67)</f>
        <v>62.549289</v>
      </c>
    </row>
    <row r="1477" customFormat="false" ht="15" hidden="false" customHeight="false" outlineLevel="0" collapsed="false">
      <c r="B1477" s="7" t="s">
        <v>1974</v>
      </c>
      <c r="C1477" s="39" t="n">
        <v>45733</v>
      </c>
      <c r="D1477" s="7" t="s">
        <v>401</v>
      </c>
      <c r="E1477" s="7" t="s">
        <v>156</v>
      </c>
      <c r="F1477" s="7" t="s">
        <v>254</v>
      </c>
      <c r="G1477" s="7" t="s">
        <v>505</v>
      </c>
      <c r="H1477" s="6" t="n">
        <v>3.64</v>
      </c>
      <c r="I1477" s="6" t="n">
        <v>0</v>
      </c>
      <c r="J1477" s="40" t="n">
        <f aca="false">H1477-I1477</f>
        <v>3.64</v>
      </c>
      <c r="K1477" s="41" t="n">
        <v>34</v>
      </c>
      <c r="L1477" s="42" t="n">
        <f aca="false">J1477*K1477</f>
        <v>123.76</v>
      </c>
      <c r="M1477" s="43" t="n">
        <f aca="false">H1477*17.1*(1+'Chart of Accounts'!$E$67)</f>
        <v>71.26938</v>
      </c>
    </row>
    <row r="1478" customFormat="false" ht="15" hidden="false" customHeight="false" outlineLevel="0" collapsed="false">
      <c r="B1478" s="7" t="s">
        <v>1975</v>
      </c>
      <c r="C1478" s="39" t="n">
        <v>45733</v>
      </c>
      <c r="D1478" s="7" t="s">
        <v>409</v>
      </c>
      <c r="E1478" s="7" t="s">
        <v>154</v>
      </c>
      <c r="F1478" s="7" t="s">
        <v>214</v>
      </c>
      <c r="G1478" s="7" t="s">
        <v>505</v>
      </c>
      <c r="H1478" s="6" t="n">
        <v>3.58</v>
      </c>
      <c r="I1478" s="6" t="n">
        <v>0</v>
      </c>
      <c r="J1478" s="40" t="n">
        <f aca="false">H1478-I1478</f>
        <v>3.58</v>
      </c>
      <c r="K1478" s="41" t="n">
        <v>26.5</v>
      </c>
      <c r="L1478" s="42" t="n">
        <f aca="false">J1478*K1478</f>
        <v>94.87</v>
      </c>
      <c r="M1478" s="43" t="n">
        <f aca="false">H1478*15.67*(1+'Chart of Accounts'!$E$67)</f>
        <v>64.232897</v>
      </c>
    </row>
    <row r="1479" customFormat="false" ht="15" hidden="false" customHeight="false" outlineLevel="0" collapsed="false">
      <c r="B1479" s="7" t="s">
        <v>1976</v>
      </c>
      <c r="C1479" s="39" t="n">
        <v>45733</v>
      </c>
      <c r="D1479" s="7" t="s">
        <v>411</v>
      </c>
      <c r="E1479" s="7" t="s">
        <v>154</v>
      </c>
      <c r="F1479" s="7" t="s">
        <v>177</v>
      </c>
      <c r="G1479" s="7" t="s">
        <v>505</v>
      </c>
      <c r="H1479" s="6" t="n">
        <v>4.33</v>
      </c>
      <c r="I1479" s="6" t="n">
        <v>0.13</v>
      </c>
      <c r="J1479" s="40" t="n">
        <f aca="false">H1479-I1479</f>
        <v>4.2</v>
      </c>
      <c r="K1479" s="41" t="n">
        <v>26.5</v>
      </c>
      <c r="L1479" s="42" t="n">
        <f aca="false">J1479*K1479</f>
        <v>111.3</v>
      </c>
      <c r="M1479" s="43" t="n">
        <f aca="false">H1479*14.56*(1+'Chart of Accounts'!$E$67)</f>
        <v>72.186296</v>
      </c>
    </row>
    <row r="1480" customFormat="false" ht="15" hidden="false" customHeight="false" outlineLevel="0" collapsed="false">
      <c r="B1480" s="7" t="s">
        <v>1977</v>
      </c>
      <c r="C1480" s="39" t="n">
        <v>45734</v>
      </c>
      <c r="D1480" s="7" t="s">
        <v>288</v>
      </c>
      <c r="E1480" s="7" t="s">
        <v>156</v>
      </c>
      <c r="F1480" s="7" t="s">
        <v>191</v>
      </c>
      <c r="G1480" s="7" t="s">
        <v>505</v>
      </c>
      <c r="H1480" s="6" t="n">
        <v>3.85</v>
      </c>
      <c r="I1480" s="6" t="n">
        <v>0</v>
      </c>
      <c r="J1480" s="40" t="n">
        <f aca="false">H1480-I1480</f>
        <v>3.85</v>
      </c>
      <c r="K1480" s="41" t="n">
        <v>34</v>
      </c>
      <c r="L1480" s="42" t="n">
        <f aca="false">J1480*K1480</f>
        <v>130.9</v>
      </c>
      <c r="M1480" s="43" t="n">
        <f aca="false">H1480*16.05*(1+'Chart of Accounts'!$E$67)</f>
        <v>70.7524125</v>
      </c>
    </row>
    <row r="1481" customFormat="false" ht="15" hidden="false" customHeight="false" outlineLevel="0" collapsed="false">
      <c r="B1481" s="7" t="s">
        <v>1978</v>
      </c>
      <c r="C1481" s="39" t="n">
        <v>45734</v>
      </c>
      <c r="D1481" s="7" t="s">
        <v>301</v>
      </c>
      <c r="E1481" s="7" t="s">
        <v>157</v>
      </c>
      <c r="F1481" s="7" t="s">
        <v>209</v>
      </c>
      <c r="G1481" s="7" t="s">
        <v>502</v>
      </c>
      <c r="H1481" s="6" t="n">
        <v>0.96</v>
      </c>
      <c r="I1481" s="6" t="n">
        <v>0</v>
      </c>
      <c r="J1481" s="40" t="n">
        <f aca="false">H1481-I1481</f>
        <v>0.96</v>
      </c>
      <c r="K1481" s="41" t="n">
        <v>165</v>
      </c>
      <c r="L1481" s="42" t="n">
        <f aca="false">J1481*K1481</f>
        <v>158.4</v>
      </c>
      <c r="M1481" s="43" t="n">
        <f aca="false">H1481*73.58*(1+'Chart of Accounts'!$E$67)</f>
        <v>80.879136</v>
      </c>
    </row>
    <row r="1482" customFormat="false" ht="15" hidden="false" customHeight="false" outlineLevel="0" collapsed="false">
      <c r="B1482" s="7" t="s">
        <v>1979</v>
      </c>
      <c r="C1482" s="39" t="n">
        <v>45734</v>
      </c>
      <c r="D1482" s="7" t="s">
        <v>319</v>
      </c>
      <c r="E1482" s="7" t="s">
        <v>157</v>
      </c>
      <c r="F1482" s="7" t="s">
        <v>234</v>
      </c>
      <c r="G1482" s="7" t="s">
        <v>502</v>
      </c>
      <c r="H1482" s="6" t="n">
        <v>0.9</v>
      </c>
      <c r="I1482" s="6" t="n">
        <v>0</v>
      </c>
      <c r="J1482" s="40" t="n">
        <f aca="false">H1482-I1482</f>
        <v>0.9</v>
      </c>
      <c r="K1482" s="41" t="n">
        <v>165</v>
      </c>
      <c r="L1482" s="42" t="n">
        <f aca="false">J1482*K1482</f>
        <v>148.5</v>
      </c>
      <c r="M1482" s="43" t="n">
        <f aca="false">H1482*89.53*(1+'Chart of Accounts'!$E$67)</f>
        <v>92.260665</v>
      </c>
    </row>
    <row r="1483" customFormat="false" ht="15" hidden="false" customHeight="false" outlineLevel="0" collapsed="false">
      <c r="B1483" s="7" t="s">
        <v>1980</v>
      </c>
      <c r="C1483" s="39" t="n">
        <v>45734</v>
      </c>
      <c r="D1483" s="7" t="s">
        <v>321</v>
      </c>
      <c r="E1483" s="7" t="s">
        <v>154</v>
      </c>
      <c r="F1483" s="7" t="s">
        <v>218</v>
      </c>
      <c r="G1483" s="7" t="s">
        <v>505</v>
      </c>
      <c r="H1483" s="6" t="n">
        <v>4.25</v>
      </c>
      <c r="I1483" s="6" t="n">
        <v>0</v>
      </c>
      <c r="J1483" s="40" t="n">
        <f aca="false">H1483-I1483</f>
        <v>4.25</v>
      </c>
      <c r="K1483" s="41" t="n">
        <v>26.5</v>
      </c>
      <c r="L1483" s="42" t="n">
        <f aca="false">J1483*K1483</f>
        <v>112.625</v>
      </c>
      <c r="M1483" s="43" t="n">
        <f aca="false">H1483*16.19*(1+'Chart of Accounts'!$E$67)</f>
        <v>78.7845875</v>
      </c>
    </row>
    <row r="1484" customFormat="false" ht="15" hidden="false" customHeight="false" outlineLevel="0" collapsed="false">
      <c r="B1484" s="7" t="s">
        <v>1981</v>
      </c>
      <c r="C1484" s="39" t="n">
        <v>45734</v>
      </c>
      <c r="D1484" s="7" t="s">
        <v>323</v>
      </c>
      <c r="E1484" s="7" t="s">
        <v>159</v>
      </c>
      <c r="F1484" s="7" t="s">
        <v>266</v>
      </c>
      <c r="G1484" s="7" t="s">
        <v>502</v>
      </c>
      <c r="H1484" s="6" t="n">
        <v>0.94</v>
      </c>
      <c r="I1484" s="6" t="n">
        <v>0</v>
      </c>
      <c r="J1484" s="40" t="n">
        <f aca="false">H1484-I1484</f>
        <v>0.94</v>
      </c>
      <c r="K1484" s="41" t="n">
        <v>135</v>
      </c>
      <c r="L1484" s="42" t="n">
        <f aca="false">J1484*K1484</f>
        <v>126.9</v>
      </c>
      <c r="M1484" s="43" t="n">
        <f aca="false">H1484*75.18*(1+'Chart of Accounts'!$E$67)</f>
        <v>80.916234</v>
      </c>
    </row>
    <row r="1485" customFormat="false" ht="15" hidden="false" customHeight="false" outlineLevel="0" collapsed="false">
      <c r="B1485" s="7" t="s">
        <v>1982</v>
      </c>
      <c r="C1485" s="39" t="n">
        <v>45734</v>
      </c>
      <c r="D1485" s="7" t="s">
        <v>327</v>
      </c>
      <c r="E1485" s="7" t="s">
        <v>157</v>
      </c>
      <c r="F1485" s="7" t="s">
        <v>228</v>
      </c>
      <c r="G1485" s="7" t="s">
        <v>502</v>
      </c>
      <c r="H1485" s="6" t="n">
        <v>0.99</v>
      </c>
      <c r="I1485" s="6" t="n">
        <v>0.05</v>
      </c>
      <c r="J1485" s="40" t="n">
        <f aca="false">H1485-I1485</f>
        <v>0.94</v>
      </c>
      <c r="K1485" s="41" t="n">
        <v>165</v>
      </c>
      <c r="L1485" s="42" t="n">
        <f aca="false">J1485*K1485</f>
        <v>155.1</v>
      </c>
      <c r="M1485" s="43" t="n">
        <f aca="false">H1485*51.07*(1+'Chart of Accounts'!$E$67)</f>
        <v>57.8903985</v>
      </c>
    </row>
    <row r="1486" customFormat="false" ht="15" hidden="false" customHeight="false" outlineLevel="0" collapsed="false">
      <c r="B1486" s="7" t="s">
        <v>1983</v>
      </c>
      <c r="C1486" s="39" t="n">
        <v>45734</v>
      </c>
      <c r="D1486" s="7" t="s">
        <v>329</v>
      </c>
      <c r="E1486" s="7" t="s">
        <v>156</v>
      </c>
      <c r="F1486" s="7" t="s">
        <v>220</v>
      </c>
      <c r="G1486" s="7" t="s">
        <v>505</v>
      </c>
      <c r="H1486" s="6" t="n">
        <v>4.31</v>
      </c>
      <c r="I1486" s="6" t="n">
        <v>0</v>
      </c>
      <c r="J1486" s="40" t="n">
        <f aca="false">H1486-I1486</f>
        <v>4.31</v>
      </c>
      <c r="K1486" s="41" t="n">
        <v>34</v>
      </c>
      <c r="L1486" s="42" t="n">
        <f aca="false">J1486*K1486</f>
        <v>146.54</v>
      </c>
      <c r="M1486" s="43" t="n">
        <f aca="false">H1486*16.43*(1+'Chart of Accounts'!$E$67)</f>
        <v>81.0812285</v>
      </c>
    </row>
    <row r="1487" customFormat="false" ht="15" hidden="false" customHeight="false" outlineLevel="0" collapsed="false">
      <c r="B1487" s="7" t="s">
        <v>1984</v>
      </c>
      <c r="C1487" s="39" t="n">
        <v>45734</v>
      </c>
      <c r="D1487" s="7" t="s">
        <v>359</v>
      </c>
      <c r="E1487" s="7" t="s">
        <v>156</v>
      </c>
      <c r="F1487" s="7" t="s">
        <v>212</v>
      </c>
      <c r="G1487" s="7" t="s">
        <v>505</v>
      </c>
      <c r="H1487" s="6" t="n">
        <v>4.26</v>
      </c>
      <c r="I1487" s="6" t="n">
        <v>0</v>
      </c>
      <c r="J1487" s="40" t="n">
        <f aca="false">H1487-I1487</f>
        <v>4.26</v>
      </c>
      <c r="K1487" s="41" t="n">
        <v>34</v>
      </c>
      <c r="L1487" s="42" t="n">
        <f aca="false">J1487*K1487</f>
        <v>144.84</v>
      </c>
      <c r="M1487" s="43" t="n">
        <f aca="false">H1487*16.71*(1+'Chart of Accounts'!$E$67)</f>
        <v>81.506367</v>
      </c>
    </row>
    <row r="1488" customFormat="false" ht="15" hidden="false" customHeight="false" outlineLevel="0" collapsed="false">
      <c r="B1488" s="7" t="s">
        <v>1985</v>
      </c>
      <c r="C1488" s="39" t="n">
        <v>45734</v>
      </c>
      <c r="D1488" s="7" t="s">
        <v>361</v>
      </c>
      <c r="E1488" s="7" t="s">
        <v>157</v>
      </c>
      <c r="F1488" s="7" t="s">
        <v>209</v>
      </c>
      <c r="G1488" s="7" t="s">
        <v>502</v>
      </c>
      <c r="H1488" s="6" t="n">
        <v>0.91</v>
      </c>
      <c r="I1488" s="6" t="n">
        <v>0.046</v>
      </c>
      <c r="J1488" s="40" t="n">
        <f aca="false">H1488-I1488</f>
        <v>0.864</v>
      </c>
      <c r="K1488" s="41" t="n">
        <v>165</v>
      </c>
      <c r="L1488" s="42" t="n">
        <f aca="false">J1488*K1488</f>
        <v>142.56</v>
      </c>
      <c r="M1488" s="43" t="n">
        <f aca="false">H1488*73.58*(1+'Chart of Accounts'!$E$67)</f>
        <v>76.666681</v>
      </c>
    </row>
    <row r="1489" customFormat="false" ht="15" hidden="false" customHeight="false" outlineLevel="0" collapsed="false">
      <c r="B1489" s="7" t="s">
        <v>1986</v>
      </c>
      <c r="C1489" s="39" t="n">
        <v>45734</v>
      </c>
      <c r="D1489" s="7" t="s">
        <v>381</v>
      </c>
      <c r="E1489" s="7" t="s">
        <v>157</v>
      </c>
      <c r="F1489" s="7" t="s">
        <v>234</v>
      </c>
      <c r="G1489" s="7" t="s">
        <v>502</v>
      </c>
      <c r="H1489" s="6" t="n">
        <v>0.91</v>
      </c>
      <c r="I1489" s="6" t="n">
        <v>0</v>
      </c>
      <c r="J1489" s="40" t="n">
        <f aca="false">H1489-I1489</f>
        <v>0.91</v>
      </c>
      <c r="K1489" s="41" t="n">
        <v>165</v>
      </c>
      <c r="L1489" s="42" t="n">
        <f aca="false">J1489*K1489</f>
        <v>150.15</v>
      </c>
      <c r="M1489" s="43" t="n">
        <f aca="false">H1489*89.53*(1+'Chart of Accounts'!$E$67)</f>
        <v>93.2857835</v>
      </c>
    </row>
    <row r="1490" customFormat="false" ht="15" hidden="false" customHeight="false" outlineLevel="0" collapsed="false">
      <c r="B1490" s="7" t="s">
        <v>1987</v>
      </c>
      <c r="C1490" s="39" t="n">
        <v>45734</v>
      </c>
      <c r="D1490" s="7" t="s">
        <v>389</v>
      </c>
      <c r="E1490" s="7" t="s">
        <v>154</v>
      </c>
      <c r="F1490" s="7" t="s">
        <v>246</v>
      </c>
      <c r="G1490" s="7" t="s">
        <v>505</v>
      </c>
      <c r="H1490" s="6" t="n">
        <v>3.86</v>
      </c>
      <c r="I1490" s="6" t="n">
        <v>0.116</v>
      </c>
      <c r="J1490" s="40" t="n">
        <f aca="false">H1490-I1490</f>
        <v>3.744</v>
      </c>
      <c r="K1490" s="41" t="n">
        <v>26.5</v>
      </c>
      <c r="L1490" s="42" t="n">
        <f aca="false">J1490*K1490</f>
        <v>99.216</v>
      </c>
      <c r="M1490" s="43" t="n">
        <f aca="false">H1490*16.48*(1+'Chart of Accounts'!$E$67)</f>
        <v>72.836656</v>
      </c>
    </row>
    <row r="1491" customFormat="false" ht="15" hidden="false" customHeight="false" outlineLevel="0" collapsed="false">
      <c r="B1491" s="7" t="s">
        <v>1988</v>
      </c>
      <c r="C1491" s="39" t="n">
        <v>45734</v>
      </c>
      <c r="D1491" s="7" t="s">
        <v>391</v>
      </c>
      <c r="E1491" s="7" t="s">
        <v>156</v>
      </c>
      <c r="F1491" s="7" t="s">
        <v>222</v>
      </c>
      <c r="G1491" s="7" t="s">
        <v>505</v>
      </c>
      <c r="H1491" s="6" t="n">
        <v>4.39</v>
      </c>
      <c r="I1491" s="6" t="n">
        <v>0</v>
      </c>
      <c r="J1491" s="40" t="n">
        <f aca="false">H1491-I1491</f>
        <v>4.39</v>
      </c>
      <c r="K1491" s="41" t="n">
        <v>34</v>
      </c>
      <c r="L1491" s="42" t="n">
        <f aca="false">J1491*K1491</f>
        <v>149.26</v>
      </c>
      <c r="M1491" s="43" t="n">
        <f aca="false">H1491*17.84*(1+'Chart of Accounts'!$E$67)</f>
        <v>89.673652</v>
      </c>
    </row>
    <row r="1492" customFormat="false" ht="15" hidden="false" customHeight="false" outlineLevel="0" collapsed="false">
      <c r="B1492" s="7" t="s">
        <v>1989</v>
      </c>
      <c r="C1492" s="39" t="n">
        <v>45734</v>
      </c>
      <c r="D1492" s="7" t="s">
        <v>395</v>
      </c>
      <c r="E1492" s="7" t="s">
        <v>156</v>
      </c>
      <c r="F1492" s="7" t="s">
        <v>242</v>
      </c>
      <c r="G1492" s="7" t="s">
        <v>505</v>
      </c>
      <c r="H1492" s="6" t="n">
        <v>4.13</v>
      </c>
      <c r="I1492" s="6" t="n">
        <v>0</v>
      </c>
      <c r="J1492" s="40" t="n">
        <f aca="false">H1492-I1492</f>
        <v>4.13</v>
      </c>
      <c r="K1492" s="41" t="n">
        <v>34</v>
      </c>
      <c r="L1492" s="42" t="n">
        <f aca="false">J1492*K1492</f>
        <v>140.42</v>
      </c>
      <c r="M1492" s="43" t="n">
        <f aca="false">H1492*17.99*(1+'Chart of Accounts'!$E$67)</f>
        <v>85.0720115</v>
      </c>
    </row>
    <row r="1493" customFormat="false" ht="15" hidden="false" customHeight="false" outlineLevel="0" collapsed="false">
      <c r="B1493" s="7" t="s">
        <v>1990</v>
      </c>
      <c r="C1493" s="39" t="n">
        <v>45734</v>
      </c>
      <c r="D1493" s="7" t="s">
        <v>397</v>
      </c>
      <c r="E1493" s="7" t="s">
        <v>159</v>
      </c>
      <c r="F1493" s="7" t="s">
        <v>203</v>
      </c>
      <c r="G1493" s="7" t="s">
        <v>502</v>
      </c>
      <c r="H1493" s="6" t="n">
        <v>1.01</v>
      </c>
      <c r="I1493" s="6" t="n">
        <v>0</v>
      </c>
      <c r="J1493" s="40" t="n">
        <f aca="false">H1493-I1493</f>
        <v>1.01</v>
      </c>
      <c r="K1493" s="41" t="n">
        <v>135</v>
      </c>
      <c r="L1493" s="42" t="n">
        <f aca="false">J1493*K1493</f>
        <v>136.35</v>
      </c>
      <c r="M1493" s="43" t="n">
        <f aca="false">H1493*49.43*(1+'Chart of Accounts'!$E$67)</f>
        <v>57.1633235</v>
      </c>
    </row>
    <row r="1494" customFormat="false" ht="15" hidden="false" customHeight="false" outlineLevel="0" collapsed="false">
      <c r="B1494" s="7" t="s">
        <v>1991</v>
      </c>
      <c r="C1494" s="39" t="n">
        <v>45734</v>
      </c>
      <c r="D1494" s="7" t="s">
        <v>401</v>
      </c>
      <c r="E1494" s="7" t="s">
        <v>156</v>
      </c>
      <c r="F1494" s="7" t="s">
        <v>254</v>
      </c>
      <c r="G1494" s="7" t="s">
        <v>505</v>
      </c>
      <c r="H1494" s="6" t="n">
        <v>3.89</v>
      </c>
      <c r="I1494" s="6" t="n">
        <v>0</v>
      </c>
      <c r="J1494" s="40" t="n">
        <f aca="false">H1494-I1494</f>
        <v>3.89</v>
      </c>
      <c r="K1494" s="41" t="n">
        <v>34</v>
      </c>
      <c r="L1494" s="42" t="n">
        <f aca="false">J1494*K1494</f>
        <v>132.26</v>
      </c>
      <c r="M1494" s="43" t="n">
        <f aca="false">H1494*17.1*(1+'Chart of Accounts'!$E$67)</f>
        <v>76.164255</v>
      </c>
    </row>
    <row r="1495" customFormat="false" ht="15" hidden="false" customHeight="false" outlineLevel="0" collapsed="false">
      <c r="B1495" s="7" t="s">
        <v>1992</v>
      </c>
      <c r="C1495" s="39" t="n">
        <v>45734</v>
      </c>
      <c r="D1495" s="7" t="s">
        <v>407</v>
      </c>
      <c r="E1495" s="7" t="s">
        <v>159</v>
      </c>
      <c r="F1495" s="7" t="s">
        <v>260</v>
      </c>
      <c r="G1495" s="7" t="s">
        <v>502</v>
      </c>
      <c r="H1495" s="6" t="n">
        <v>0.96</v>
      </c>
      <c r="I1495" s="6" t="n">
        <v>0</v>
      </c>
      <c r="J1495" s="40" t="n">
        <f aca="false">H1495-I1495</f>
        <v>0.96</v>
      </c>
      <c r="K1495" s="41" t="n">
        <v>135</v>
      </c>
      <c r="L1495" s="42" t="n">
        <f aca="false">J1495*K1495</f>
        <v>129.6</v>
      </c>
      <c r="M1495" s="43" t="n">
        <f aca="false">H1495*79.8*(1+'Chart of Accounts'!$E$67)</f>
        <v>87.71616</v>
      </c>
    </row>
    <row r="1496" customFormat="false" ht="15" hidden="false" customHeight="false" outlineLevel="0" collapsed="false">
      <c r="B1496" s="7" t="s">
        <v>1993</v>
      </c>
      <c r="C1496" s="39" t="n">
        <v>45735</v>
      </c>
      <c r="D1496" s="7" t="s">
        <v>280</v>
      </c>
      <c r="E1496" s="7" t="s">
        <v>157</v>
      </c>
      <c r="F1496" s="7" t="s">
        <v>187</v>
      </c>
      <c r="G1496" s="7" t="s">
        <v>502</v>
      </c>
      <c r="H1496" s="6" t="n">
        <v>1.05</v>
      </c>
      <c r="I1496" s="6" t="n">
        <v>0.053</v>
      </c>
      <c r="J1496" s="40" t="n">
        <f aca="false">H1496-I1496</f>
        <v>0.997</v>
      </c>
      <c r="K1496" s="41" t="n">
        <v>165</v>
      </c>
      <c r="L1496" s="42" t="n">
        <f aca="false">J1496*K1496</f>
        <v>164.505</v>
      </c>
      <c r="M1496" s="43" t="n">
        <f aca="false">H1496*66.48*(1+'Chart of Accounts'!$E$67)</f>
        <v>79.92558</v>
      </c>
    </row>
    <row r="1497" customFormat="false" ht="15" hidden="false" customHeight="false" outlineLevel="0" collapsed="false">
      <c r="B1497" s="7" t="s">
        <v>1994</v>
      </c>
      <c r="C1497" s="39" t="n">
        <v>45735</v>
      </c>
      <c r="D1497" s="7" t="s">
        <v>286</v>
      </c>
      <c r="E1497" s="7" t="s">
        <v>157</v>
      </c>
      <c r="F1497" s="7" t="s">
        <v>228</v>
      </c>
      <c r="G1497" s="7" t="s">
        <v>502</v>
      </c>
      <c r="H1497" s="6" t="n">
        <v>0.99</v>
      </c>
      <c r="I1497" s="6" t="n">
        <v>0</v>
      </c>
      <c r="J1497" s="40" t="n">
        <f aca="false">H1497-I1497</f>
        <v>0.99</v>
      </c>
      <c r="K1497" s="41" t="n">
        <v>165</v>
      </c>
      <c r="L1497" s="42" t="n">
        <f aca="false">J1497*K1497</f>
        <v>163.35</v>
      </c>
      <c r="M1497" s="43" t="n">
        <f aca="false">H1497*51.07*(1+'Chart of Accounts'!$E$67)</f>
        <v>57.8903985</v>
      </c>
    </row>
    <row r="1498" customFormat="false" ht="15" hidden="false" customHeight="false" outlineLevel="0" collapsed="false">
      <c r="B1498" s="7" t="s">
        <v>1995</v>
      </c>
      <c r="C1498" s="39" t="n">
        <v>45735</v>
      </c>
      <c r="D1498" s="7" t="s">
        <v>288</v>
      </c>
      <c r="E1498" s="7" t="s">
        <v>156</v>
      </c>
      <c r="F1498" s="7" t="s">
        <v>191</v>
      </c>
      <c r="G1498" s="7" t="s">
        <v>505</v>
      </c>
      <c r="H1498" s="6" t="n">
        <v>3.86</v>
      </c>
      <c r="I1498" s="6" t="n">
        <v>0</v>
      </c>
      <c r="J1498" s="40" t="n">
        <f aca="false">H1498-I1498</f>
        <v>3.86</v>
      </c>
      <c r="K1498" s="41" t="n">
        <v>34</v>
      </c>
      <c r="L1498" s="42" t="n">
        <f aca="false">J1498*K1498</f>
        <v>131.24</v>
      </c>
      <c r="M1498" s="43" t="n">
        <f aca="false">H1498*16.05*(1+'Chart of Accounts'!$E$67)</f>
        <v>70.936185</v>
      </c>
    </row>
    <row r="1499" customFormat="false" ht="15" hidden="false" customHeight="false" outlineLevel="0" collapsed="false">
      <c r="B1499" s="7" t="s">
        <v>1996</v>
      </c>
      <c r="C1499" s="39" t="n">
        <v>45735</v>
      </c>
      <c r="D1499" s="7" t="s">
        <v>291</v>
      </c>
      <c r="E1499" s="7" t="s">
        <v>154</v>
      </c>
      <c r="F1499" s="7" t="s">
        <v>194</v>
      </c>
      <c r="G1499" s="7" t="s">
        <v>505</v>
      </c>
      <c r="H1499" s="6" t="n">
        <v>4.4</v>
      </c>
      <c r="I1499" s="6" t="n">
        <v>0</v>
      </c>
      <c r="J1499" s="40" t="n">
        <f aca="false">H1499-I1499</f>
        <v>4.4</v>
      </c>
      <c r="K1499" s="41" t="n">
        <v>26.5</v>
      </c>
      <c r="L1499" s="42" t="n">
        <f aca="false">J1499*K1499</f>
        <v>116.6</v>
      </c>
      <c r="M1499" s="43" t="n">
        <f aca="false">H1499*16*(1+'Chart of Accounts'!$E$67)</f>
        <v>80.608</v>
      </c>
    </row>
    <row r="1500" customFormat="false" ht="15" hidden="false" customHeight="false" outlineLevel="0" collapsed="false">
      <c r="B1500" s="7" t="s">
        <v>1997</v>
      </c>
      <c r="C1500" s="39" t="n">
        <v>45735</v>
      </c>
      <c r="D1500" s="7" t="s">
        <v>305</v>
      </c>
      <c r="E1500" s="7" t="s">
        <v>154</v>
      </c>
      <c r="F1500" s="7" t="s">
        <v>205</v>
      </c>
      <c r="G1500" s="7" t="s">
        <v>505</v>
      </c>
      <c r="H1500" s="6" t="n">
        <v>4.38</v>
      </c>
      <c r="I1500" s="6" t="n">
        <v>0.131</v>
      </c>
      <c r="J1500" s="40" t="n">
        <f aca="false">H1500-I1500</f>
        <v>4.249</v>
      </c>
      <c r="K1500" s="41" t="n">
        <v>26.5</v>
      </c>
      <c r="L1500" s="42" t="n">
        <f aca="false">J1500*K1500</f>
        <v>112.5985</v>
      </c>
      <c r="M1500" s="43" t="n">
        <f aca="false">H1500*16.36*(1+'Chart of Accounts'!$E$67)</f>
        <v>82.047036</v>
      </c>
    </row>
    <row r="1501" customFormat="false" ht="15" hidden="false" customHeight="false" outlineLevel="0" collapsed="false">
      <c r="B1501" s="7" t="s">
        <v>1998</v>
      </c>
      <c r="C1501" s="39" t="n">
        <v>45735</v>
      </c>
      <c r="D1501" s="7" t="s">
        <v>309</v>
      </c>
      <c r="E1501" s="7" t="s">
        <v>159</v>
      </c>
      <c r="F1501" s="7" t="s">
        <v>252</v>
      </c>
      <c r="G1501" s="7" t="s">
        <v>502</v>
      </c>
      <c r="H1501" s="6" t="n">
        <v>1.04</v>
      </c>
      <c r="I1501" s="6" t="n">
        <v>0</v>
      </c>
      <c r="J1501" s="40" t="n">
        <f aca="false">H1501-I1501</f>
        <v>1.04</v>
      </c>
      <c r="K1501" s="41" t="n">
        <v>135</v>
      </c>
      <c r="L1501" s="42" t="n">
        <f aca="false">J1501*K1501</f>
        <v>140.4</v>
      </c>
      <c r="M1501" s="43" t="n">
        <f aca="false">H1501*57.54*(1+'Chart of Accounts'!$E$67)</f>
        <v>68.518632</v>
      </c>
    </row>
    <row r="1502" customFormat="false" ht="15" hidden="false" customHeight="false" outlineLevel="0" collapsed="false">
      <c r="B1502" s="7" t="s">
        <v>1999</v>
      </c>
      <c r="C1502" s="39" t="n">
        <v>45735</v>
      </c>
      <c r="D1502" s="7" t="s">
        <v>313</v>
      </c>
      <c r="E1502" s="7" t="s">
        <v>156</v>
      </c>
      <c r="F1502" s="7" t="s">
        <v>184</v>
      </c>
      <c r="G1502" s="7" t="s">
        <v>505</v>
      </c>
      <c r="H1502" s="6" t="n">
        <v>4.17</v>
      </c>
      <c r="I1502" s="6" t="n">
        <v>0</v>
      </c>
      <c r="J1502" s="40" t="n">
        <f aca="false">H1502-I1502</f>
        <v>4.17</v>
      </c>
      <c r="K1502" s="41" t="n">
        <v>34</v>
      </c>
      <c r="L1502" s="42" t="n">
        <f aca="false">J1502*K1502</f>
        <v>141.78</v>
      </c>
      <c r="M1502" s="43" t="n">
        <f aca="false">H1502*17.34*(1+'Chart of Accounts'!$E$67)</f>
        <v>82.792431</v>
      </c>
    </row>
    <row r="1503" customFormat="false" ht="15" hidden="false" customHeight="false" outlineLevel="0" collapsed="false">
      <c r="B1503" s="7" t="s">
        <v>2000</v>
      </c>
      <c r="C1503" s="39" t="n">
        <v>45735</v>
      </c>
      <c r="D1503" s="7" t="s">
        <v>321</v>
      </c>
      <c r="E1503" s="7" t="s">
        <v>154</v>
      </c>
      <c r="F1503" s="7" t="s">
        <v>218</v>
      </c>
      <c r="G1503" s="7" t="s">
        <v>505</v>
      </c>
      <c r="H1503" s="6" t="n">
        <v>3.81</v>
      </c>
      <c r="I1503" s="6" t="n">
        <v>0</v>
      </c>
      <c r="J1503" s="40" t="n">
        <f aca="false">H1503-I1503</f>
        <v>3.81</v>
      </c>
      <c r="K1503" s="41" t="n">
        <v>26.5</v>
      </c>
      <c r="L1503" s="42" t="n">
        <f aca="false">J1503*K1503</f>
        <v>100.965</v>
      </c>
      <c r="M1503" s="43" t="n">
        <f aca="false">H1503*16.19*(1+'Chart of Accounts'!$E$67)</f>
        <v>70.6280655</v>
      </c>
    </row>
    <row r="1504" customFormat="false" ht="15" hidden="false" customHeight="false" outlineLevel="0" collapsed="false">
      <c r="B1504" s="7" t="s">
        <v>2001</v>
      </c>
      <c r="C1504" s="39" t="n">
        <v>45735</v>
      </c>
      <c r="D1504" s="7" t="s">
        <v>329</v>
      </c>
      <c r="E1504" s="7" t="s">
        <v>156</v>
      </c>
      <c r="F1504" s="7" t="s">
        <v>220</v>
      </c>
      <c r="G1504" s="7" t="s">
        <v>505</v>
      </c>
      <c r="H1504" s="6" t="n">
        <v>4.34</v>
      </c>
      <c r="I1504" s="6" t="n">
        <v>0</v>
      </c>
      <c r="J1504" s="40" t="n">
        <f aca="false">H1504-I1504</f>
        <v>4.34</v>
      </c>
      <c r="K1504" s="41" t="n">
        <v>34</v>
      </c>
      <c r="L1504" s="42" t="n">
        <f aca="false">J1504*K1504</f>
        <v>147.56</v>
      </c>
      <c r="M1504" s="43" t="n">
        <f aca="false">H1504*16.43*(1+'Chart of Accounts'!$E$67)</f>
        <v>81.645599</v>
      </c>
    </row>
    <row r="1505" customFormat="false" ht="15" hidden="false" customHeight="false" outlineLevel="0" collapsed="false">
      <c r="B1505" s="7" t="s">
        <v>2002</v>
      </c>
      <c r="C1505" s="39" t="n">
        <v>45735</v>
      </c>
      <c r="D1505" s="7" t="s">
        <v>335</v>
      </c>
      <c r="E1505" s="7" t="s">
        <v>154</v>
      </c>
      <c r="F1505" s="7" t="s">
        <v>177</v>
      </c>
      <c r="G1505" s="7" t="s">
        <v>505</v>
      </c>
      <c r="H1505" s="6" t="n">
        <v>4.18</v>
      </c>
      <c r="I1505" s="6" t="n">
        <v>0</v>
      </c>
      <c r="J1505" s="40" t="n">
        <f aca="false">H1505-I1505</f>
        <v>4.18</v>
      </c>
      <c r="K1505" s="41" t="n">
        <v>26.5</v>
      </c>
      <c r="L1505" s="42" t="n">
        <f aca="false">J1505*K1505</f>
        <v>110.77</v>
      </c>
      <c r="M1505" s="43" t="n">
        <f aca="false">H1505*14.56*(1+'Chart of Accounts'!$E$67)</f>
        <v>69.685616</v>
      </c>
    </row>
    <row r="1506" customFormat="false" ht="15" hidden="false" customHeight="false" outlineLevel="0" collapsed="false">
      <c r="B1506" s="7" t="s">
        <v>2003</v>
      </c>
      <c r="C1506" s="39" t="n">
        <v>45735</v>
      </c>
      <c r="D1506" s="7" t="s">
        <v>339</v>
      </c>
      <c r="E1506" s="7" t="s">
        <v>154</v>
      </c>
      <c r="F1506" s="7" t="s">
        <v>242</v>
      </c>
      <c r="G1506" s="7" t="s">
        <v>505</v>
      </c>
      <c r="H1506" s="6" t="n">
        <v>3.59</v>
      </c>
      <c r="I1506" s="6" t="n">
        <v>0</v>
      </c>
      <c r="J1506" s="40" t="n">
        <f aca="false">H1506-I1506</f>
        <v>3.59</v>
      </c>
      <c r="K1506" s="41" t="n">
        <v>26.5</v>
      </c>
      <c r="L1506" s="42" t="n">
        <f aca="false">J1506*K1506</f>
        <v>95.135</v>
      </c>
      <c r="M1506" s="43" t="n">
        <f aca="false">H1506*17.99*(1+'Chart of Accounts'!$E$67)</f>
        <v>73.9487945</v>
      </c>
    </row>
    <row r="1507" customFormat="false" ht="15" hidden="false" customHeight="false" outlineLevel="0" collapsed="false">
      <c r="B1507" s="7" t="s">
        <v>2004</v>
      </c>
      <c r="C1507" s="39" t="n">
        <v>45735</v>
      </c>
      <c r="D1507" s="7" t="s">
        <v>353</v>
      </c>
      <c r="E1507" s="7" t="s">
        <v>154</v>
      </c>
      <c r="F1507" s="7" t="s">
        <v>254</v>
      </c>
      <c r="G1507" s="7" t="s">
        <v>505</v>
      </c>
      <c r="H1507" s="6" t="n">
        <v>3.13</v>
      </c>
      <c r="I1507" s="6" t="n">
        <v>0</v>
      </c>
      <c r="J1507" s="40" t="n">
        <f aca="false">H1507-I1507</f>
        <v>3.13</v>
      </c>
      <c r="K1507" s="41" t="n">
        <v>26.5</v>
      </c>
      <c r="L1507" s="42" t="n">
        <f aca="false">J1507*K1507</f>
        <v>82.945</v>
      </c>
      <c r="M1507" s="43" t="n">
        <f aca="false">H1507*17.1*(1+'Chart of Accounts'!$E$67)</f>
        <v>61.283835</v>
      </c>
    </row>
    <row r="1508" customFormat="false" ht="15" hidden="false" customHeight="false" outlineLevel="0" collapsed="false">
      <c r="B1508" s="7" t="s">
        <v>2005</v>
      </c>
      <c r="C1508" s="39" t="n">
        <v>45735</v>
      </c>
      <c r="D1508" s="7" t="s">
        <v>355</v>
      </c>
      <c r="E1508" s="7" t="s">
        <v>154</v>
      </c>
      <c r="F1508" s="7" t="s">
        <v>201</v>
      </c>
      <c r="G1508" s="7" t="s">
        <v>505</v>
      </c>
      <c r="H1508" s="6" t="n">
        <v>3.53</v>
      </c>
      <c r="I1508" s="6" t="n">
        <v>0</v>
      </c>
      <c r="J1508" s="40" t="n">
        <f aca="false">H1508-I1508</f>
        <v>3.53</v>
      </c>
      <c r="K1508" s="41" t="n">
        <v>26.5</v>
      </c>
      <c r="L1508" s="42" t="n">
        <f aca="false">J1508*K1508</f>
        <v>93.545</v>
      </c>
      <c r="M1508" s="43" t="n">
        <f aca="false">H1508*15.19*(1+'Chart of Accounts'!$E$67)</f>
        <v>61.3957015</v>
      </c>
    </row>
    <row r="1509" customFormat="false" ht="15" hidden="false" customHeight="false" outlineLevel="0" collapsed="false">
      <c r="B1509" s="7" t="s">
        <v>2006</v>
      </c>
      <c r="C1509" s="39" t="n">
        <v>45735</v>
      </c>
      <c r="D1509" s="7" t="s">
        <v>357</v>
      </c>
      <c r="E1509" s="7" t="s">
        <v>154</v>
      </c>
      <c r="F1509" s="7" t="s">
        <v>207</v>
      </c>
      <c r="G1509" s="7" t="s">
        <v>505</v>
      </c>
      <c r="H1509" s="6" t="n">
        <v>3.41</v>
      </c>
      <c r="I1509" s="6" t="n">
        <v>0.102</v>
      </c>
      <c r="J1509" s="40" t="n">
        <f aca="false">H1509-I1509</f>
        <v>3.308</v>
      </c>
      <c r="K1509" s="41" t="n">
        <v>26.5</v>
      </c>
      <c r="L1509" s="42" t="n">
        <f aca="false">J1509*K1509</f>
        <v>87.662</v>
      </c>
      <c r="M1509" s="43" t="n">
        <f aca="false">H1509*16.65*(1+'Chart of Accounts'!$E$67)</f>
        <v>65.0090925</v>
      </c>
    </row>
    <row r="1510" customFormat="false" ht="15" hidden="false" customHeight="false" outlineLevel="0" collapsed="false">
      <c r="B1510" s="7" t="s">
        <v>2007</v>
      </c>
      <c r="C1510" s="39" t="n">
        <v>45735</v>
      </c>
      <c r="D1510" s="7" t="s">
        <v>359</v>
      </c>
      <c r="E1510" s="7" t="s">
        <v>156</v>
      </c>
      <c r="F1510" s="7" t="s">
        <v>212</v>
      </c>
      <c r="G1510" s="7" t="s">
        <v>505</v>
      </c>
      <c r="H1510" s="6" t="n">
        <v>3.88</v>
      </c>
      <c r="I1510" s="6" t="n">
        <v>0</v>
      </c>
      <c r="J1510" s="40" t="n">
        <f aca="false">H1510-I1510</f>
        <v>3.88</v>
      </c>
      <c r="K1510" s="41" t="n">
        <v>34</v>
      </c>
      <c r="L1510" s="42" t="n">
        <f aca="false">J1510*K1510</f>
        <v>131.92</v>
      </c>
      <c r="M1510" s="43" t="n">
        <f aca="false">H1510*16.71*(1+'Chart of Accounts'!$E$67)</f>
        <v>74.235846</v>
      </c>
    </row>
    <row r="1511" customFormat="false" ht="15" hidden="false" customHeight="false" outlineLevel="0" collapsed="false">
      <c r="B1511" s="7" t="s">
        <v>2008</v>
      </c>
      <c r="C1511" s="39" t="n">
        <v>45735</v>
      </c>
      <c r="D1511" s="7" t="s">
        <v>371</v>
      </c>
      <c r="E1511" s="7" t="s">
        <v>154</v>
      </c>
      <c r="F1511" s="7" t="s">
        <v>232</v>
      </c>
      <c r="G1511" s="7" t="s">
        <v>505</v>
      </c>
      <c r="H1511" s="6" t="n">
        <v>4.8</v>
      </c>
      <c r="I1511" s="6" t="n">
        <v>0</v>
      </c>
      <c r="J1511" s="40" t="n">
        <f aca="false">H1511-I1511</f>
        <v>4.8</v>
      </c>
      <c r="K1511" s="41" t="n">
        <v>26.5</v>
      </c>
      <c r="L1511" s="42" t="n">
        <f aca="false">J1511*K1511</f>
        <v>127.2</v>
      </c>
      <c r="M1511" s="43" t="n">
        <f aca="false">H1511*16.17*(1+'Chart of Accounts'!$E$67)</f>
        <v>88.87032</v>
      </c>
    </row>
    <row r="1512" customFormat="false" ht="15" hidden="false" customHeight="false" outlineLevel="0" collapsed="false">
      <c r="B1512" s="7" t="s">
        <v>2009</v>
      </c>
      <c r="C1512" s="39" t="n">
        <v>45735</v>
      </c>
      <c r="D1512" s="7" t="s">
        <v>379</v>
      </c>
      <c r="E1512" s="7" t="s">
        <v>156</v>
      </c>
      <c r="F1512" s="7" t="s">
        <v>224</v>
      </c>
      <c r="G1512" s="7" t="s">
        <v>505</v>
      </c>
      <c r="H1512" s="6" t="n">
        <v>4.26</v>
      </c>
      <c r="I1512" s="6" t="n">
        <v>0</v>
      </c>
      <c r="J1512" s="40" t="n">
        <f aca="false">H1512-I1512</f>
        <v>4.26</v>
      </c>
      <c r="K1512" s="41" t="n">
        <v>34</v>
      </c>
      <c r="L1512" s="42" t="n">
        <f aca="false">J1512*K1512</f>
        <v>144.84</v>
      </c>
      <c r="M1512" s="43" t="n">
        <f aca="false">H1512*14.93*(1+'Chart of Accounts'!$E$67)</f>
        <v>72.824061</v>
      </c>
    </row>
    <row r="1513" customFormat="false" ht="15" hidden="false" customHeight="false" outlineLevel="0" collapsed="false">
      <c r="B1513" s="7" t="s">
        <v>2010</v>
      </c>
      <c r="C1513" s="39" t="n">
        <v>45735</v>
      </c>
      <c r="D1513" s="7" t="s">
        <v>389</v>
      </c>
      <c r="E1513" s="7" t="s">
        <v>154</v>
      </c>
      <c r="F1513" s="7" t="s">
        <v>246</v>
      </c>
      <c r="G1513" s="7" t="s">
        <v>505</v>
      </c>
      <c r="H1513" s="6" t="n">
        <v>4.21</v>
      </c>
      <c r="I1513" s="6" t="n">
        <v>0</v>
      </c>
      <c r="J1513" s="40" t="n">
        <f aca="false">H1513-I1513</f>
        <v>4.21</v>
      </c>
      <c r="K1513" s="41" t="n">
        <v>26.5</v>
      </c>
      <c r="L1513" s="42" t="n">
        <f aca="false">J1513*K1513</f>
        <v>111.565</v>
      </c>
      <c r="M1513" s="43" t="n">
        <f aca="false">H1513*16.48*(1+'Chart of Accounts'!$E$67)</f>
        <v>79.441016</v>
      </c>
    </row>
    <row r="1514" customFormat="false" ht="15" hidden="false" customHeight="false" outlineLevel="0" collapsed="false">
      <c r="B1514" s="7" t="s">
        <v>2011</v>
      </c>
      <c r="C1514" s="39" t="n">
        <v>45735</v>
      </c>
      <c r="D1514" s="7" t="s">
        <v>391</v>
      </c>
      <c r="E1514" s="7" t="s">
        <v>156</v>
      </c>
      <c r="F1514" s="7" t="s">
        <v>222</v>
      </c>
      <c r="G1514" s="7" t="s">
        <v>505</v>
      </c>
      <c r="H1514" s="6" t="n">
        <v>3.92</v>
      </c>
      <c r="I1514" s="6" t="n">
        <v>0</v>
      </c>
      <c r="J1514" s="40" t="n">
        <f aca="false">H1514-I1514</f>
        <v>3.92</v>
      </c>
      <c r="K1514" s="41" t="n">
        <v>34</v>
      </c>
      <c r="L1514" s="42" t="n">
        <f aca="false">J1514*K1514</f>
        <v>133.28</v>
      </c>
      <c r="M1514" s="43" t="n">
        <f aca="false">H1514*17.84*(1+'Chart of Accounts'!$E$67)</f>
        <v>80.073056</v>
      </c>
    </row>
    <row r="1515" customFormat="false" ht="15" hidden="false" customHeight="false" outlineLevel="0" collapsed="false">
      <c r="B1515" s="7" t="s">
        <v>2012</v>
      </c>
      <c r="C1515" s="39" t="n">
        <v>45735</v>
      </c>
      <c r="D1515" s="7" t="s">
        <v>393</v>
      </c>
      <c r="E1515" s="7" t="s">
        <v>157</v>
      </c>
      <c r="F1515" s="7" t="s">
        <v>203</v>
      </c>
      <c r="G1515" s="7" t="s">
        <v>502</v>
      </c>
      <c r="H1515" s="6" t="n">
        <v>1.07</v>
      </c>
      <c r="I1515" s="6" t="n">
        <v>0</v>
      </c>
      <c r="J1515" s="40" t="n">
        <f aca="false">H1515-I1515</f>
        <v>1.07</v>
      </c>
      <c r="K1515" s="41" t="n">
        <v>165</v>
      </c>
      <c r="L1515" s="42" t="n">
        <f aca="false">J1515*K1515</f>
        <v>176.55</v>
      </c>
      <c r="M1515" s="43" t="n">
        <f aca="false">H1515*49.43*(1+'Chart of Accounts'!$E$67)</f>
        <v>60.5591645</v>
      </c>
    </row>
    <row r="1516" customFormat="false" ht="15" hidden="false" customHeight="false" outlineLevel="0" collapsed="false">
      <c r="B1516" s="7" t="s">
        <v>2013</v>
      </c>
      <c r="C1516" s="39" t="n">
        <v>45735</v>
      </c>
      <c r="D1516" s="7" t="s">
        <v>395</v>
      </c>
      <c r="E1516" s="7" t="s">
        <v>156</v>
      </c>
      <c r="F1516" s="7" t="s">
        <v>242</v>
      </c>
      <c r="G1516" s="7" t="s">
        <v>505</v>
      </c>
      <c r="H1516" s="6" t="n">
        <v>4.34</v>
      </c>
      <c r="I1516" s="6" t="n">
        <v>0</v>
      </c>
      <c r="J1516" s="40" t="n">
        <f aca="false">H1516-I1516</f>
        <v>4.34</v>
      </c>
      <c r="K1516" s="41" t="n">
        <v>34</v>
      </c>
      <c r="L1516" s="42" t="n">
        <f aca="false">J1516*K1516</f>
        <v>147.56</v>
      </c>
      <c r="M1516" s="43" t="n">
        <f aca="false">H1516*17.99*(1+'Chart of Accounts'!$E$67)</f>
        <v>89.397707</v>
      </c>
    </row>
    <row r="1517" customFormat="false" ht="15" hidden="false" customHeight="false" outlineLevel="0" collapsed="false">
      <c r="B1517" s="7" t="s">
        <v>2014</v>
      </c>
      <c r="C1517" s="39" t="n">
        <v>45735</v>
      </c>
      <c r="D1517" s="7" t="s">
        <v>399</v>
      </c>
      <c r="E1517" s="7" t="s">
        <v>154</v>
      </c>
      <c r="F1517" s="7" t="s">
        <v>262</v>
      </c>
      <c r="G1517" s="7" t="s">
        <v>505</v>
      </c>
      <c r="H1517" s="6" t="n">
        <v>3.02</v>
      </c>
      <c r="I1517" s="6" t="n">
        <v>0</v>
      </c>
      <c r="J1517" s="40" t="n">
        <f aca="false">H1517-I1517</f>
        <v>3.02</v>
      </c>
      <c r="K1517" s="41" t="n">
        <v>26.5</v>
      </c>
      <c r="L1517" s="42" t="n">
        <f aca="false">J1517*K1517</f>
        <v>80.03</v>
      </c>
      <c r="M1517" s="43" t="n">
        <f aca="false">H1517*16.02*(1+'Chart of Accounts'!$E$67)</f>
        <v>55.395558</v>
      </c>
    </row>
    <row r="1518" customFormat="false" ht="15" hidden="false" customHeight="false" outlineLevel="0" collapsed="false">
      <c r="B1518" s="7" t="s">
        <v>2015</v>
      </c>
      <c r="C1518" s="39" t="n">
        <v>45735</v>
      </c>
      <c r="D1518" s="7" t="s">
        <v>401</v>
      </c>
      <c r="E1518" s="7" t="s">
        <v>156</v>
      </c>
      <c r="F1518" s="7" t="s">
        <v>254</v>
      </c>
      <c r="G1518" s="7" t="s">
        <v>505</v>
      </c>
      <c r="H1518" s="6" t="n">
        <v>3.97</v>
      </c>
      <c r="I1518" s="6" t="n">
        <v>0</v>
      </c>
      <c r="J1518" s="40" t="n">
        <f aca="false">H1518-I1518</f>
        <v>3.97</v>
      </c>
      <c r="K1518" s="41" t="n">
        <v>34</v>
      </c>
      <c r="L1518" s="42" t="n">
        <f aca="false">J1518*K1518</f>
        <v>134.98</v>
      </c>
      <c r="M1518" s="43" t="n">
        <f aca="false">H1518*17.1*(1+'Chart of Accounts'!$E$67)</f>
        <v>77.730615</v>
      </c>
    </row>
    <row r="1519" customFormat="false" ht="15" hidden="false" customHeight="false" outlineLevel="0" collapsed="false">
      <c r="B1519" s="7" t="s">
        <v>2016</v>
      </c>
      <c r="C1519" s="39" t="n">
        <v>45735</v>
      </c>
      <c r="D1519" s="7" t="s">
        <v>409</v>
      </c>
      <c r="E1519" s="7" t="s">
        <v>154</v>
      </c>
      <c r="F1519" s="7" t="s">
        <v>214</v>
      </c>
      <c r="G1519" s="7" t="s">
        <v>505</v>
      </c>
      <c r="H1519" s="6" t="n">
        <v>3.31</v>
      </c>
      <c r="I1519" s="6" t="n">
        <v>0</v>
      </c>
      <c r="J1519" s="40" t="n">
        <f aca="false">H1519-I1519</f>
        <v>3.31</v>
      </c>
      <c r="K1519" s="41" t="n">
        <v>26.5</v>
      </c>
      <c r="L1519" s="42" t="n">
        <f aca="false">J1519*K1519</f>
        <v>87.715</v>
      </c>
      <c r="M1519" s="43" t="n">
        <f aca="false">H1519*15.67*(1+'Chart of Accounts'!$E$67)</f>
        <v>59.3885165</v>
      </c>
    </row>
    <row r="1520" customFormat="false" ht="15" hidden="false" customHeight="false" outlineLevel="0" collapsed="false">
      <c r="B1520" s="7" t="s">
        <v>2017</v>
      </c>
      <c r="C1520" s="39" t="n">
        <v>45735</v>
      </c>
      <c r="D1520" s="7" t="s">
        <v>411</v>
      </c>
      <c r="E1520" s="7" t="s">
        <v>154</v>
      </c>
      <c r="F1520" s="7" t="s">
        <v>177</v>
      </c>
      <c r="G1520" s="7" t="s">
        <v>505</v>
      </c>
      <c r="H1520" s="6" t="n">
        <v>4.25</v>
      </c>
      <c r="I1520" s="6" t="n">
        <v>0</v>
      </c>
      <c r="J1520" s="40" t="n">
        <f aca="false">H1520-I1520</f>
        <v>4.25</v>
      </c>
      <c r="K1520" s="41" t="n">
        <v>26.5</v>
      </c>
      <c r="L1520" s="42" t="n">
        <f aca="false">J1520*K1520</f>
        <v>112.625</v>
      </c>
      <c r="M1520" s="43" t="n">
        <f aca="false">H1520*14.56*(1+'Chart of Accounts'!$E$67)</f>
        <v>70.8526</v>
      </c>
    </row>
    <row r="1521" customFormat="false" ht="15" hidden="false" customHeight="false" outlineLevel="0" collapsed="false">
      <c r="B1521" s="7" t="s">
        <v>2018</v>
      </c>
      <c r="C1521" s="39" t="n">
        <v>45736</v>
      </c>
      <c r="D1521" s="7" t="s">
        <v>288</v>
      </c>
      <c r="E1521" s="7" t="s">
        <v>156</v>
      </c>
      <c r="F1521" s="7" t="s">
        <v>191</v>
      </c>
      <c r="G1521" s="7" t="s">
        <v>505</v>
      </c>
      <c r="H1521" s="6" t="n">
        <v>4.14</v>
      </c>
      <c r="I1521" s="6" t="n">
        <v>0</v>
      </c>
      <c r="J1521" s="40" t="n">
        <f aca="false">H1521-I1521</f>
        <v>4.14</v>
      </c>
      <c r="K1521" s="41" t="n">
        <v>34</v>
      </c>
      <c r="L1521" s="42" t="n">
        <f aca="false">J1521*K1521</f>
        <v>140.76</v>
      </c>
      <c r="M1521" s="43" t="n">
        <f aca="false">H1521*16.05*(1+'Chart of Accounts'!$E$67)</f>
        <v>76.081815</v>
      </c>
    </row>
    <row r="1522" customFormat="false" ht="15" hidden="false" customHeight="false" outlineLevel="0" collapsed="false">
      <c r="B1522" s="7" t="s">
        <v>2019</v>
      </c>
      <c r="C1522" s="39" t="n">
        <v>45736</v>
      </c>
      <c r="D1522" s="7" t="s">
        <v>297</v>
      </c>
      <c r="E1522" s="7" t="s">
        <v>156</v>
      </c>
      <c r="F1522" s="7" t="s">
        <v>201</v>
      </c>
      <c r="G1522" s="7" t="s">
        <v>505</v>
      </c>
      <c r="H1522" s="6" t="n">
        <v>3.05</v>
      </c>
      <c r="I1522" s="6" t="n">
        <v>0</v>
      </c>
      <c r="J1522" s="40" t="n">
        <f aca="false">H1522-I1522</f>
        <v>3.05</v>
      </c>
      <c r="K1522" s="41" t="n">
        <v>34</v>
      </c>
      <c r="L1522" s="42" t="n">
        <f aca="false">J1522*K1522</f>
        <v>103.7</v>
      </c>
      <c r="M1522" s="43" t="n">
        <f aca="false">H1522*15.19*(1+'Chart of Accounts'!$E$67)</f>
        <v>53.0472775</v>
      </c>
    </row>
    <row r="1523" customFormat="false" ht="15" hidden="false" customHeight="false" outlineLevel="0" collapsed="false">
      <c r="B1523" s="7" t="s">
        <v>2020</v>
      </c>
      <c r="C1523" s="39" t="n">
        <v>45736</v>
      </c>
      <c r="D1523" s="7" t="s">
        <v>311</v>
      </c>
      <c r="E1523" s="7" t="s">
        <v>154</v>
      </c>
      <c r="F1523" s="7" t="s">
        <v>196</v>
      </c>
      <c r="G1523" s="7" t="s">
        <v>505</v>
      </c>
      <c r="H1523" s="6" t="n">
        <v>3.18</v>
      </c>
      <c r="I1523" s="6" t="n">
        <v>0.095</v>
      </c>
      <c r="J1523" s="40" t="n">
        <f aca="false">H1523-I1523</f>
        <v>3.085</v>
      </c>
      <c r="K1523" s="41" t="n">
        <v>26.5</v>
      </c>
      <c r="L1523" s="42" t="n">
        <f aca="false">J1523*K1523</f>
        <v>81.7525</v>
      </c>
      <c r="M1523" s="43" t="n">
        <f aca="false">H1523*15.05*(1+'Chart of Accounts'!$E$67)</f>
        <v>54.798555</v>
      </c>
    </row>
    <row r="1524" customFormat="false" ht="15" hidden="false" customHeight="false" outlineLevel="0" collapsed="false">
      <c r="B1524" s="7" t="s">
        <v>2021</v>
      </c>
      <c r="C1524" s="39" t="n">
        <v>45736</v>
      </c>
      <c r="D1524" s="7" t="s">
        <v>313</v>
      </c>
      <c r="E1524" s="7" t="s">
        <v>156</v>
      </c>
      <c r="F1524" s="7" t="s">
        <v>184</v>
      </c>
      <c r="G1524" s="7" t="s">
        <v>505</v>
      </c>
      <c r="H1524" s="6" t="n">
        <v>4.27</v>
      </c>
      <c r="I1524" s="6" t="n">
        <v>0</v>
      </c>
      <c r="J1524" s="40" t="n">
        <f aca="false">H1524-I1524</f>
        <v>4.27</v>
      </c>
      <c r="K1524" s="41" t="n">
        <v>34</v>
      </c>
      <c r="L1524" s="42" t="n">
        <f aca="false">J1524*K1524</f>
        <v>145.18</v>
      </c>
      <c r="M1524" s="43" t="n">
        <f aca="false">H1524*17.34*(1+'Chart of Accounts'!$E$67)</f>
        <v>84.777861</v>
      </c>
    </row>
    <row r="1525" customFormat="false" ht="15" hidden="false" customHeight="false" outlineLevel="0" collapsed="false">
      <c r="B1525" s="7" t="s">
        <v>2022</v>
      </c>
      <c r="C1525" s="39" t="n">
        <v>45736</v>
      </c>
      <c r="D1525" s="7" t="s">
        <v>317</v>
      </c>
      <c r="E1525" s="7" t="s">
        <v>156</v>
      </c>
      <c r="F1525" s="7" t="s">
        <v>207</v>
      </c>
      <c r="G1525" s="7" t="s">
        <v>505</v>
      </c>
      <c r="H1525" s="6" t="n">
        <v>3.02</v>
      </c>
      <c r="I1525" s="6" t="n">
        <v>0</v>
      </c>
      <c r="J1525" s="40" t="n">
        <f aca="false">H1525-I1525</f>
        <v>3.02</v>
      </c>
      <c r="K1525" s="41" t="n">
        <v>34</v>
      </c>
      <c r="L1525" s="42" t="n">
        <f aca="false">J1525*K1525</f>
        <v>102.68</v>
      </c>
      <c r="M1525" s="43" t="n">
        <f aca="false">H1525*16.65*(1+'Chart of Accounts'!$E$67)</f>
        <v>57.574035</v>
      </c>
    </row>
    <row r="1526" customFormat="false" ht="15" hidden="false" customHeight="false" outlineLevel="0" collapsed="false">
      <c r="B1526" s="7" t="s">
        <v>2023</v>
      </c>
      <c r="C1526" s="39" t="n">
        <v>45736</v>
      </c>
      <c r="D1526" s="7" t="s">
        <v>321</v>
      </c>
      <c r="E1526" s="7" t="s">
        <v>154</v>
      </c>
      <c r="F1526" s="7" t="s">
        <v>218</v>
      </c>
      <c r="G1526" s="7" t="s">
        <v>505</v>
      </c>
      <c r="H1526" s="6" t="n">
        <v>3.75</v>
      </c>
      <c r="I1526" s="6" t="n">
        <v>0</v>
      </c>
      <c r="J1526" s="40" t="n">
        <f aca="false">H1526-I1526</f>
        <v>3.75</v>
      </c>
      <c r="K1526" s="41" t="n">
        <v>26.5</v>
      </c>
      <c r="L1526" s="42" t="n">
        <f aca="false">J1526*K1526</f>
        <v>99.375</v>
      </c>
      <c r="M1526" s="43" t="n">
        <f aca="false">H1526*16.19*(1+'Chart of Accounts'!$E$67)</f>
        <v>69.5158125</v>
      </c>
    </row>
    <row r="1527" customFormat="false" ht="15" hidden="false" customHeight="false" outlineLevel="0" collapsed="false">
      <c r="B1527" s="7" t="s">
        <v>2024</v>
      </c>
      <c r="C1527" s="39" t="n">
        <v>45736</v>
      </c>
      <c r="D1527" s="7" t="s">
        <v>325</v>
      </c>
      <c r="E1527" s="7" t="s">
        <v>154</v>
      </c>
      <c r="F1527" s="7" t="s">
        <v>212</v>
      </c>
      <c r="G1527" s="7" t="s">
        <v>505</v>
      </c>
      <c r="H1527" s="6" t="n">
        <v>2.88</v>
      </c>
      <c r="I1527" s="6" t="n">
        <v>0</v>
      </c>
      <c r="J1527" s="40" t="n">
        <f aca="false">H1527-I1527</f>
        <v>2.88</v>
      </c>
      <c r="K1527" s="41" t="n">
        <v>26.5</v>
      </c>
      <c r="L1527" s="42" t="n">
        <f aca="false">J1527*K1527</f>
        <v>76.32</v>
      </c>
      <c r="M1527" s="43" t="n">
        <f aca="false">H1527*16.71*(1+'Chart of Accounts'!$E$67)</f>
        <v>55.102896</v>
      </c>
    </row>
    <row r="1528" customFormat="false" ht="15" hidden="false" customHeight="false" outlineLevel="0" collapsed="false">
      <c r="B1528" s="7" t="s">
        <v>2025</v>
      </c>
      <c r="C1528" s="39" t="n">
        <v>45736</v>
      </c>
      <c r="D1528" s="7" t="s">
        <v>329</v>
      </c>
      <c r="E1528" s="7" t="s">
        <v>156</v>
      </c>
      <c r="F1528" s="7" t="s">
        <v>220</v>
      </c>
      <c r="G1528" s="7" t="s">
        <v>505</v>
      </c>
      <c r="H1528" s="6" t="n">
        <v>3.82</v>
      </c>
      <c r="I1528" s="6" t="n">
        <v>0</v>
      </c>
      <c r="J1528" s="40" t="n">
        <f aca="false">H1528-I1528</f>
        <v>3.82</v>
      </c>
      <c r="K1528" s="41" t="n">
        <v>34</v>
      </c>
      <c r="L1528" s="42" t="n">
        <f aca="false">J1528*K1528</f>
        <v>129.88</v>
      </c>
      <c r="M1528" s="43" t="n">
        <f aca="false">H1528*16.43*(1+'Chart of Accounts'!$E$67)</f>
        <v>71.863177</v>
      </c>
    </row>
    <row r="1529" customFormat="false" ht="15" hidden="false" customHeight="false" outlineLevel="0" collapsed="false">
      <c r="B1529" s="7" t="s">
        <v>2026</v>
      </c>
      <c r="C1529" s="39" t="n">
        <v>45736</v>
      </c>
      <c r="D1529" s="7" t="s">
        <v>331</v>
      </c>
      <c r="E1529" s="7" t="s">
        <v>156</v>
      </c>
      <c r="F1529" s="7" t="s">
        <v>224</v>
      </c>
      <c r="G1529" s="7" t="s">
        <v>505</v>
      </c>
      <c r="H1529" s="6" t="n">
        <v>3.9</v>
      </c>
      <c r="I1529" s="6" t="n">
        <v>0</v>
      </c>
      <c r="J1529" s="40" t="n">
        <f aca="false">H1529-I1529</f>
        <v>3.9</v>
      </c>
      <c r="K1529" s="41" t="n">
        <v>34</v>
      </c>
      <c r="L1529" s="42" t="n">
        <f aca="false">J1529*K1529</f>
        <v>132.6</v>
      </c>
      <c r="M1529" s="43" t="n">
        <f aca="false">H1529*14.93*(1+'Chart of Accounts'!$E$67)</f>
        <v>66.669915</v>
      </c>
    </row>
    <row r="1530" customFormat="false" ht="15" hidden="false" customHeight="false" outlineLevel="0" collapsed="false">
      <c r="B1530" s="7" t="s">
        <v>2027</v>
      </c>
      <c r="C1530" s="39" t="n">
        <v>45736</v>
      </c>
      <c r="D1530" s="7" t="s">
        <v>337</v>
      </c>
      <c r="E1530" s="7" t="s">
        <v>154</v>
      </c>
      <c r="F1530" s="7" t="s">
        <v>232</v>
      </c>
      <c r="G1530" s="7" t="s">
        <v>505</v>
      </c>
      <c r="H1530" s="6" t="n">
        <v>3.02</v>
      </c>
      <c r="I1530" s="6" t="n">
        <v>0</v>
      </c>
      <c r="J1530" s="40" t="n">
        <f aca="false">H1530-I1530</f>
        <v>3.02</v>
      </c>
      <c r="K1530" s="41" t="n">
        <v>26.5</v>
      </c>
      <c r="L1530" s="42" t="n">
        <f aca="false">J1530*K1530</f>
        <v>80.03</v>
      </c>
      <c r="M1530" s="43" t="n">
        <f aca="false">H1530*16.17*(1+'Chart of Accounts'!$E$67)</f>
        <v>55.914243</v>
      </c>
    </row>
    <row r="1531" customFormat="false" ht="15" hidden="false" customHeight="false" outlineLevel="0" collapsed="false">
      <c r="B1531" s="7" t="s">
        <v>2028</v>
      </c>
      <c r="C1531" s="39" t="n">
        <v>45736</v>
      </c>
      <c r="D1531" s="7" t="s">
        <v>341</v>
      </c>
      <c r="E1531" s="7" t="s">
        <v>156</v>
      </c>
      <c r="F1531" s="7" t="s">
        <v>222</v>
      </c>
      <c r="G1531" s="7" t="s">
        <v>505</v>
      </c>
      <c r="H1531" s="6" t="n">
        <v>2.72</v>
      </c>
      <c r="I1531" s="6" t="n">
        <v>0</v>
      </c>
      <c r="J1531" s="40" t="n">
        <f aca="false">H1531-I1531</f>
        <v>2.72</v>
      </c>
      <c r="K1531" s="41" t="n">
        <v>34</v>
      </c>
      <c r="L1531" s="42" t="n">
        <f aca="false">J1531*K1531</f>
        <v>92.48</v>
      </c>
      <c r="M1531" s="43" t="n">
        <f aca="false">H1531*17.84*(1+'Chart of Accounts'!$E$67)</f>
        <v>55.560896</v>
      </c>
    </row>
    <row r="1532" customFormat="false" ht="15" hidden="false" customHeight="false" outlineLevel="0" collapsed="false">
      <c r="B1532" s="7" t="s">
        <v>2029</v>
      </c>
      <c r="C1532" s="39" t="n">
        <v>45736</v>
      </c>
      <c r="D1532" s="7" t="s">
        <v>343</v>
      </c>
      <c r="E1532" s="7" t="s">
        <v>154</v>
      </c>
      <c r="F1532" s="7" t="s">
        <v>262</v>
      </c>
      <c r="G1532" s="7" t="s">
        <v>505</v>
      </c>
      <c r="H1532" s="6" t="n">
        <v>4</v>
      </c>
      <c r="I1532" s="6" t="n">
        <v>0</v>
      </c>
      <c r="J1532" s="40" t="n">
        <f aca="false">H1532-I1532</f>
        <v>4</v>
      </c>
      <c r="K1532" s="41" t="n">
        <v>26.5</v>
      </c>
      <c r="L1532" s="42" t="n">
        <f aca="false">J1532*K1532</f>
        <v>106</v>
      </c>
      <c r="M1532" s="43" t="n">
        <f aca="false">H1532*16.02*(1+'Chart of Accounts'!$E$67)</f>
        <v>73.3716</v>
      </c>
    </row>
    <row r="1533" customFormat="false" ht="15" hidden="false" customHeight="false" outlineLevel="0" collapsed="false">
      <c r="B1533" s="7" t="s">
        <v>2030</v>
      </c>
      <c r="C1533" s="39" t="n">
        <v>45736</v>
      </c>
      <c r="D1533" s="7" t="s">
        <v>359</v>
      </c>
      <c r="E1533" s="7" t="s">
        <v>156</v>
      </c>
      <c r="F1533" s="7" t="s">
        <v>212</v>
      </c>
      <c r="G1533" s="7" t="s">
        <v>505</v>
      </c>
      <c r="H1533" s="6" t="n">
        <v>3.72</v>
      </c>
      <c r="I1533" s="6" t="n">
        <v>0</v>
      </c>
      <c r="J1533" s="40" t="n">
        <f aca="false">H1533-I1533</f>
        <v>3.72</v>
      </c>
      <c r="K1533" s="41" t="n">
        <v>34</v>
      </c>
      <c r="L1533" s="42" t="n">
        <f aca="false">J1533*K1533</f>
        <v>126.48</v>
      </c>
      <c r="M1533" s="43" t="n">
        <f aca="false">H1533*16.71*(1+'Chart of Accounts'!$E$67)</f>
        <v>71.174574</v>
      </c>
    </row>
    <row r="1534" customFormat="false" ht="15" hidden="false" customHeight="false" outlineLevel="0" collapsed="false">
      <c r="B1534" s="7" t="s">
        <v>2031</v>
      </c>
      <c r="C1534" s="39" t="n">
        <v>45736</v>
      </c>
      <c r="D1534" s="7" t="s">
        <v>363</v>
      </c>
      <c r="E1534" s="7" t="s">
        <v>156</v>
      </c>
      <c r="F1534" s="7" t="s">
        <v>246</v>
      </c>
      <c r="G1534" s="7" t="s">
        <v>505</v>
      </c>
      <c r="H1534" s="6" t="n">
        <v>4.3</v>
      </c>
      <c r="I1534" s="6" t="n">
        <v>0</v>
      </c>
      <c r="J1534" s="40" t="n">
        <f aca="false">H1534-I1534</f>
        <v>4.3</v>
      </c>
      <c r="K1534" s="41" t="n">
        <v>34</v>
      </c>
      <c r="L1534" s="42" t="n">
        <f aca="false">J1534*K1534</f>
        <v>146.2</v>
      </c>
      <c r="M1534" s="43" t="n">
        <f aca="false">H1534*16.48*(1+'Chart of Accounts'!$E$67)</f>
        <v>81.13928</v>
      </c>
    </row>
    <row r="1535" customFormat="false" ht="15" hidden="false" customHeight="false" outlineLevel="0" collapsed="false">
      <c r="B1535" s="7" t="s">
        <v>2032</v>
      </c>
      <c r="C1535" s="39" t="n">
        <v>45736</v>
      </c>
      <c r="D1535" s="7" t="s">
        <v>375</v>
      </c>
      <c r="E1535" s="7" t="s">
        <v>156</v>
      </c>
      <c r="F1535" s="7" t="s">
        <v>196</v>
      </c>
      <c r="G1535" s="7" t="s">
        <v>505</v>
      </c>
      <c r="H1535" s="6" t="n">
        <v>3.16</v>
      </c>
      <c r="I1535" s="6" t="n">
        <v>0</v>
      </c>
      <c r="J1535" s="40" t="n">
        <f aca="false">H1535-I1535</f>
        <v>3.16</v>
      </c>
      <c r="K1535" s="41" t="n">
        <v>34</v>
      </c>
      <c r="L1535" s="42" t="n">
        <f aca="false">J1535*K1535</f>
        <v>107.44</v>
      </c>
      <c r="M1535" s="43" t="n">
        <f aca="false">H1535*15.05*(1+'Chart of Accounts'!$E$67)</f>
        <v>54.45391</v>
      </c>
    </row>
    <row r="1536" customFormat="false" ht="15" hidden="false" customHeight="false" outlineLevel="0" collapsed="false">
      <c r="B1536" s="7" t="s">
        <v>2033</v>
      </c>
      <c r="C1536" s="39" t="n">
        <v>45736</v>
      </c>
      <c r="D1536" s="7" t="s">
        <v>377</v>
      </c>
      <c r="E1536" s="7" t="s">
        <v>154</v>
      </c>
      <c r="F1536" s="7" t="s">
        <v>214</v>
      </c>
      <c r="G1536" s="7" t="s">
        <v>505</v>
      </c>
      <c r="H1536" s="6" t="n">
        <v>4.01</v>
      </c>
      <c r="I1536" s="6" t="n">
        <v>0</v>
      </c>
      <c r="J1536" s="40" t="n">
        <f aca="false">H1536-I1536</f>
        <v>4.01</v>
      </c>
      <c r="K1536" s="41" t="n">
        <v>26.5</v>
      </c>
      <c r="L1536" s="42" t="n">
        <f aca="false">J1536*K1536</f>
        <v>106.265</v>
      </c>
      <c r="M1536" s="43" t="n">
        <f aca="false">H1536*15.67*(1+'Chart of Accounts'!$E$67)</f>
        <v>71.9480215</v>
      </c>
    </row>
    <row r="1537" customFormat="false" ht="15" hidden="false" customHeight="false" outlineLevel="0" collapsed="false">
      <c r="B1537" s="7" t="s">
        <v>2034</v>
      </c>
      <c r="C1537" s="39" t="n">
        <v>45736</v>
      </c>
      <c r="D1537" s="7" t="s">
        <v>389</v>
      </c>
      <c r="E1537" s="7" t="s">
        <v>154</v>
      </c>
      <c r="F1537" s="7" t="s">
        <v>246</v>
      </c>
      <c r="G1537" s="7" t="s">
        <v>505</v>
      </c>
      <c r="H1537" s="6" t="n">
        <v>3.63</v>
      </c>
      <c r="I1537" s="6" t="n">
        <v>0</v>
      </c>
      <c r="J1537" s="40" t="n">
        <f aca="false">H1537-I1537</f>
        <v>3.63</v>
      </c>
      <c r="K1537" s="41" t="n">
        <v>26.5</v>
      </c>
      <c r="L1537" s="42" t="n">
        <f aca="false">J1537*K1537</f>
        <v>96.195</v>
      </c>
      <c r="M1537" s="43" t="n">
        <f aca="false">H1537*16.48*(1+'Chart of Accounts'!$E$67)</f>
        <v>68.496648</v>
      </c>
    </row>
    <row r="1538" customFormat="false" ht="15" hidden="false" customHeight="false" outlineLevel="0" collapsed="false">
      <c r="B1538" s="7" t="s">
        <v>2035</v>
      </c>
      <c r="C1538" s="39" t="n">
        <v>45736</v>
      </c>
      <c r="D1538" s="7" t="s">
        <v>391</v>
      </c>
      <c r="E1538" s="7" t="s">
        <v>156</v>
      </c>
      <c r="F1538" s="7" t="s">
        <v>222</v>
      </c>
      <c r="G1538" s="7" t="s">
        <v>505</v>
      </c>
      <c r="H1538" s="6" t="n">
        <v>3.69</v>
      </c>
      <c r="I1538" s="6" t="n">
        <v>0</v>
      </c>
      <c r="J1538" s="40" t="n">
        <f aca="false">H1538-I1538</f>
        <v>3.69</v>
      </c>
      <c r="K1538" s="41" t="n">
        <v>34</v>
      </c>
      <c r="L1538" s="42" t="n">
        <f aca="false">J1538*K1538</f>
        <v>125.46</v>
      </c>
      <c r="M1538" s="43" t="n">
        <f aca="false">H1538*17.84*(1+'Chart of Accounts'!$E$67)</f>
        <v>75.374892</v>
      </c>
    </row>
    <row r="1539" customFormat="false" ht="15" hidden="false" customHeight="false" outlineLevel="0" collapsed="false">
      <c r="B1539" s="7" t="s">
        <v>2036</v>
      </c>
      <c r="C1539" s="39" t="n">
        <v>45736</v>
      </c>
      <c r="D1539" s="7" t="s">
        <v>395</v>
      </c>
      <c r="E1539" s="7" t="s">
        <v>156</v>
      </c>
      <c r="F1539" s="7" t="s">
        <v>242</v>
      </c>
      <c r="G1539" s="7" t="s">
        <v>505</v>
      </c>
      <c r="H1539" s="6" t="n">
        <v>4.28</v>
      </c>
      <c r="I1539" s="6" t="n">
        <v>0</v>
      </c>
      <c r="J1539" s="40" t="n">
        <f aca="false">H1539-I1539</f>
        <v>4.28</v>
      </c>
      <c r="K1539" s="41" t="n">
        <v>34</v>
      </c>
      <c r="L1539" s="42" t="n">
        <f aca="false">J1539*K1539</f>
        <v>145.52</v>
      </c>
      <c r="M1539" s="43" t="n">
        <f aca="false">H1539*17.99*(1+'Chart of Accounts'!$E$67)</f>
        <v>88.161794</v>
      </c>
    </row>
    <row r="1540" customFormat="false" ht="15" hidden="false" customHeight="false" outlineLevel="0" collapsed="false">
      <c r="B1540" s="7" t="s">
        <v>2037</v>
      </c>
      <c r="C1540" s="39" t="n">
        <v>45736</v>
      </c>
      <c r="D1540" s="7" t="s">
        <v>401</v>
      </c>
      <c r="E1540" s="7" t="s">
        <v>156</v>
      </c>
      <c r="F1540" s="7" t="s">
        <v>254</v>
      </c>
      <c r="G1540" s="7" t="s">
        <v>505</v>
      </c>
      <c r="H1540" s="6" t="n">
        <v>4.31</v>
      </c>
      <c r="I1540" s="6" t="n">
        <v>0</v>
      </c>
      <c r="J1540" s="40" t="n">
        <f aca="false">H1540-I1540</f>
        <v>4.31</v>
      </c>
      <c r="K1540" s="41" t="n">
        <v>34</v>
      </c>
      <c r="L1540" s="42" t="n">
        <f aca="false">J1540*K1540</f>
        <v>146.54</v>
      </c>
      <c r="M1540" s="43" t="n">
        <f aca="false">H1540*17.1*(1+'Chart of Accounts'!$E$67)</f>
        <v>84.387645</v>
      </c>
    </row>
    <row r="1541" customFormat="false" ht="15" hidden="false" customHeight="false" outlineLevel="0" collapsed="false">
      <c r="B1541" s="7" t="s">
        <v>2038</v>
      </c>
      <c r="C1541" s="39" t="n">
        <v>45737</v>
      </c>
      <c r="D1541" s="7" t="s">
        <v>288</v>
      </c>
      <c r="E1541" s="7" t="s">
        <v>156</v>
      </c>
      <c r="F1541" s="7" t="s">
        <v>191</v>
      </c>
      <c r="G1541" s="7" t="s">
        <v>505</v>
      </c>
      <c r="H1541" s="6" t="n">
        <v>4.11</v>
      </c>
      <c r="I1541" s="6" t="n">
        <v>0</v>
      </c>
      <c r="J1541" s="40" t="n">
        <f aca="false">H1541-I1541</f>
        <v>4.11</v>
      </c>
      <c r="K1541" s="41" t="n">
        <v>34</v>
      </c>
      <c r="L1541" s="42" t="n">
        <f aca="false">J1541*K1541</f>
        <v>139.74</v>
      </c>
      <c r="M1541" s="43" t="n">
        <f aca="false">H1541*16.05*(1+'Chart of Accounts'!$E$67)</f>
        <v>75.5304975</v>
      </c>
    </row>
    <row r="1542" customFormat="false" ht="15" hidden="false" customHeight="false" outlineLevel="0" collapsed="false">
      <c r="B1542" s="7" t="s">
        <v>2039</v>
      </c>
      <c r="C1542" s="39" t="n">
        <v>45737</v>
      </c>
      <c r="D1542" s="7" t="s">
        <v>291</v>
      </c>
      <c r="E1542" s="7" t="s">
        <v>154</v>
      </c>
      <c r="F1542" s="7" t="s">
        <v>194</v>
      </c>
      <c r="G1542" s="7" t="s">
        <v>505</v>
      </c>
      <c r="H1542" s="6" t="n">
        <v>4.47</v>
      </c>
      <c r="I1542" s="6" t="n">
        <v>0</v>
      </c>
      <c r="J1542" s="40" t="n">
        <f aca="false">H1542-I1542</f>
        <v>4.47</v>
      </c>
      <c r="K1542" s="41" t="n">
        <v>26.5</v>
      </c>
      <c r="L1542" s="42" t="n">
        <f aca="false">J1542*K1542</f>
        <v>118.455</v>
      </c>
      <c r="M1542" s="43" t="n">
        <f aca="false">H1542*16*(1+'Chart of Accounts'!$E$67)</f>
        <v>81.8904</v>
      </c>
    </row>
    <row r="1543" customFormat="false" ht="15" hidden="false" customHeight="false" outlineLevel="0" collapsed="false">
      <c r="B1543" s="7" t="s">
        <v>2040</v>
      </c>
      <c r="C1543" s="39" t="n">
        <v>45737</v>
      </c>
      <c r="D1543" s="7" t="s">
        <v>301</v>
      </c>
      <c r="E1543" s="7" t="s">
        <v>157</v>
      </c>
      <c r="F1543" s="7" t="s">
        <v>209</v>
      </c>
      <c r="G1543" s="7" t="s">
        <v>502</v>
      </c>
      <c r="H1543" s="6" t="n">
        <v>1.03</v>
      </c>
      <c r="I1543" s="6" t="n">
        <v>0</v>
      </c>
      <c r="J1543" s="40" t="n">
        <f aca="false">H1543-I1543</f>
        <v>1.03</v>
      </c>
      <c r="K1543" s="41" t="n">
        <v>165</v>
      </c>
      <c r="L1543" s="42" t="n">
        <f aca="false">J1543*K1543</f>
        <v>169.95</v>
      </c>
      <c r="M1543" s="43" t="n">
        <f aca="false">H1543*73.58*(1+'Chart of Accounts'!$E$67)</f>
        <v>86.776573</v>
      </c>
    </row>
    <row r="1544" customFormat="false" ht="15" hidden="false" customHeight="false" outlineLevel="0" collapsed="false">
      <c r="B1544" s="7" t="s">
        <v>2041</v>
      </c>
      <c r="C1544" s="39" t="n">
        <v>45737</v>
      </c>
      <c r="D1544" s="7" t="s">
        <v>305</v>
      </c>
      <c r="E1544" s="7" t="s">
        <v>154</v>
      </c>
      <c r="F1544" s="7" t="s">
        <v>205</v>
      </c>
      <c r="G1544" s="7" t="s">
        <v>505</v>
      </c>
      <c r="H1544" s="6" t="n">
        <v>3.69</v>
      </c>
      <c r="I1544" s="6" t="n">
        <v>0</v>
      </c>
      <c r="J1544" s="40" t="n">
        <f aca="false">H1544-I1544</f>
        <v>3.69</v>
      </c>
      <c r="K1544" s="41" t="n">
        <v>26.5</v>
      </c>
      <c r="L1544" s="42" t="n">
        <f aca="false">J1544*K1544</f>
        <v>97.785</v>
      </c>
      <c r="M1544" s="43" t="n">
        <f aca="false">H1544*16.36*(1+'Chart of Accounts'!$E$67)</f>
        <v>69.121818</v>
      </c>
    </row>
    <row r="1545" customFormat="false" ht="15" hidden="false" customHeight="false" outlineLevel="0" collapsed="false">
      <c r="B1545" s="7" t="s">
        <v>2042</v>
      </c>
      <c r="C1545" s="39" t="n">
        <v>45737</v>
      </c>
      <c r="D1545" s="7" t="s">
        <v>309</v>
      </c>
      <c r="E1545" s="7" t="s">
        <v>159</v>
      </c>
      <c r="F1545" s="7" t="s">
        <v>252</v>
      </c>
      <c r="G1545" s="7" t="s">
        <v>502</v>
      </c>
      <c r="H1545" s="6" t="n">
        <v>0.92</v>
      </c>
      <c r="I1545" s="6" t="n">
        <v>0</v>
      </c>
      <c r="J1545" s="40" t="n">
        <f aca="false">H1545-I1545</f>
        <v>0.92</v>
      </c>
      <c r="K1545" s="41" t="n">
        <v>135</v>
      </c>
      <c r="L1545" s="42" t="n">
        <f aca="false">J1545*K1545</f>
        <v>124.2</v>
      </c>
      <c r="M1545" s="43" t="n">
        <f aca="false">H1545*57.54*(1+'Chart of Accounts'!$E$67)</f>
        <v>60.612636</v>
      </c>
    </row>
    <row r="1546" customFormat="false" ht="15" hidden="false" customHeight="false" outlineLevel="0" collapsed="false">
      <c r="B1546" s="7" t="s">
        <v>2043</v>
      </c>
      <c r="C1546" s="39" t="n">
        <v>45737</v>
      </c>
      <c r="D1546" s="7" t="s">
        <v>313</v>
      </c>
      <c r="E1546" s="7" t="s">
        <v>156</v>
      </c>
      <c r="F1546" s="7" t="s">
        <v>184</v>
      </c>
      <c r="G1546" s="7" t="s">
        <v>505</v>
      </c>
      <c r="H1546" s="6" t="n">
        <v>3.82</v>
      </c>
      <c r="I1546" s="6" t="n">
        <v>0</v>
      </c>
      <c r="J1546" s="40" t="n">
        <f aca="false">H1546-I1546</f>
        <v>3.82</v>
      </c>
      <c r="K1546" s="41" t="n">
        <v>34</v>
      </c>
      <c r="L1546" s="42" t="n">
        <f aca="false">J1546*K1546</f>
        <v>129.88</v>
      </c>
      <c r="M1546" s="43" t="n">
        <f aca="false">H1546*17.34*(1+'Chart of Accounts'!$E$67)</f>
        <v>75.843426</v>
      </c>
    </row>
    <row r="1547" customFormat="false" ht="15" hidden="false" customHeight="false" outlineLevel="0" collapsed="false">
      <c r="B1547" s="7" t="s">
        <v>2044</v>
      </c>
      <c r="C1547" s="39" t="n">
        <v>45737</v>
      </c>
      <c r="D1547" s="7" t="s">
        <v>319</v>
      </c>
      <c r="E1547" s="7" t="s">
        <v>157</v>
      </c>
      <c r="F1547" s="7" t="s">
        <v>234</v>
      </c>
      <c r="G1547" s="7" t="s">
        <v>502</v>
      </c>
      <c r="H1547" s="6" t="n">
        <v>1.01</v>
      </c>
      <c r="I1547" s="6" t="n">
        <v>0</v>
      </c>
      <c r="J1547" s="40" t="n">
        <f aca="false">H1547-I1547</f>
        <v>1.01</v>
      </c>
      <c r="K1547" s="41" t="n">
        <v>165</v>
      </c>
      <c r="L1547" s="42" t="n">
        <f aca="false">J1547*K1547</f>
        <v>166.65</v>
      </c>
      <c r="M1547" s="43" t="n">
        <f aca="false">H1547*89.53*(1+'Chart of Accounts'!$E$67)</f>
        <v>103.5369685</v>
      </c>
    </row>
    <row r="1548" customFormat="false" ht="15" hidden="false" customHeight="false" outlineLevel="0" collapsed="false">
      <c r="B1548" s="7" t="s">
        <v>2045</v>
      </c>
      <c r="C1548" s="39" t="n">
        <v>45737</v>
      </c>
      <c r="D1548" s="7" t="s">
        <v>321</v>
      </c>
      <c r="E1548" s="7" t="s">
        <v>154</v>
      </c>
      <c r="F1548" s="7" t="s">
        <v>218</v>
      </c>
      <c r="G1548" s="7" t="s">
        <v>505</v>
      </c>
      <c r="H1548" s="6" t="n">
        <v>4.31</v>
      </c>
      <c r="I1548" s="6" t="n">
        <v>0.129</v>
      </c>
      <c r="J1548" s="40" t="n">
        <f aca="false">H1548-I1548</f>
        <v>4.181</v>
      </c>
      <c r="K1548" s="41" t="n">
        <v>26.5</v>
      </c>
      <c r="L1548" s="42" t="n">
        <f aca="false">J1548*K1548</f>
        <v>110.7965</v>
      </c>
      <c r="M1548" s="43" t="n">
        <f aca="false">H1548*16.19*(1+'Chart of Accounts'!$E$67)</f>
        <v>79.8968405</v>
      </c>
    </row>
    <row r="1549" customFormat="false" ht="15" hidden="false" customHeight="false" outlineLevel="0" collapsed="false">
      <c r="B1549" s="7" t="s">
        <v>2046</v>
      </c>
      <c r="C1549" s="39" t="n">
        <v>45737</v>
      </c>
      <c r="D1549" s="7" t="s">
        <v>323</v>
      </c>
      <c r="E1549" s="7" t="s">
        <v>159</v>
      </c>
      <c r="F1549" s="7" t="s">
        <v>266</v>
      </c>
      <c r="G1549" s="7" t="s">
        <v>502</v>
      </c>
      <c r="H1549" s="6" t="n">
        <v>0.91</v>
      </c>
      <c r="I1549" s="6" t="n">
        <v>0.064</v>
      </c>
      <c r="J1549" s="40" t="n">
        <f aca="false">H1549-I1549</f>
        <v>0.846</v>
      </c>
      <c r="K1549" s="41" t="n">
        <v>135</v>
      </c>
      <c r="L1549" s="42" t="n">
        <f aca="false">J1549*K1549</f>
        <v>114.21</v>
      </c>
      <c r="M1549" s="43" t="n">
        <f aca="false">H1549*75.18*(1+'Chart of Accounts'!$E$67)</f>
        <v>78.333801</v>
      </c>
    </row>
    <row r="1550" customFormat="false" ht="15" hidden="false" customHeight="false" outlineLevel="0" collapsed="false">
      <c r="B1550" s="7" t="s">
        <v>2047</v>
      </c>
      <c r="C1550" s="39" t="n">
        <v>45737</v>
      </c>
      <c r="D1550" s="7" t="s">
        <v>327</v>
      </c>
      <c r="E1550" s="7" t="s">
        <v>157</v>
      </c>
      <c r="F1550" s="7" t="s">
        <v>228</v>
      </c>
      <c r="G1550" s="7" t="s">
        <v>502</v>
      </c>
      <c r="H1550" s="6" t="n">
        <v>0.98</v>
      </c>
      <c r="I1550" s="6" t="n">
        <v>0</v>
      </c>
      <c r="J1550" s="40" t="n">
        <f aca="false">H1550-I1550</f>
        <v>0.98</v>
      </c>
      <c r="K1550" s="41" t="n">
        <v>165</v>
      </c>
      <c r="L1550" s="42" t="n">
        <f aca="false">J1550*K1550</f>
        <v>161.7</v>
      </c>
      <c r="M1550" s="43" t="n">
        <f aca="false">H1550*51.07*(1+'Chart of Accounts'!$E$67)</f>
        <v>57.305647</v>
      </c>
    </row>
    <row r="1551" customFormat="false" ht="15" hidden="false" customHeight="false" outlineLevel="0" collapsed="false">
      <c r="B1551" s="7" t="s">
        <v>2048</v>
      </c>
      <c r="C1551" s="39" t="n">
        <v>45737</v>
      </c>
      <c r="D1551" s="7" t="s">
        <v>329</v>
      </c>
      <c r="E1551" s="7" t="s">
        <v>156</v>
      </c>
      <c r="F1551" s="7" t="s">
        <v>220</v>
      </c>
      <c r="G1551" s="7" t="s">
        <v>505</v>
      </c>
      <c r="H1551" s="6" t="n">
        <v>4.16</v>
      </c>
      <c r="I1551" s="6" t="n">
        <v>0</v>
      </c>
      <c r="J1551" s="40" t="n">
        <f aca="false">H1551-I1551</f>
        <v>4.16</v>
      </c>
      <c r="K1551" s="41" t="n">
        <v>34</v>
      </c>
      <c r="L1551" s="42" t="n">
        <f aca="false">J1551*K1551</f>
        <v>141.44</v>
      </c>
      <c r="M1551" s="43" t="n">
        <f aca="false">H1551*16.43*(1+'Chart of Accounts'!$E$67)</f>
        <v>78.259376</v>
      </c>
    </row>
    <row r="1552" customFormat="false" ht="15" hidden="false" customHeight="false" outlineLevel="0" collapsed="false">
      <c r="B1552" s="7" t="s">
        <v>2049</v>
      </c>
      <c r="C1552" s="39" t="n">
        <v>45737</v>
      </c>
      <c r="D1552" s="7" t="s">
        <v>335</v>
      </c>
      <c r="E1552" s="7" t="s">
        <v>154</v>
      </c>
      <c r="F1552" s="7" t="s">
        <v>177</v>
      </c>
      <c r="G1552" s="7" t="s">
        <v>505</v>
      </c>
      <c r="H1552" s="6" t="n">
        <v>4.15</v>
      </c>
      <c r="I1552" s="6" t="n">
        <v>0</v>
      </c>
      <c r="J1552" s="40" t="n">
        <f aca="false">H1552-I1552</f>
        <v>4.15</v>
      </c>
      <c r="K1552" s="41" t="n">
        <v>26.5</v>
      </c>
      <c r="L1552" s="42" t="n">
        <f aca="false">J1552*K1552</f>
        <v>109.975</v>
      </c>
      <c r="M1552" s="43" t="n">
        <f aca="false">H1552*14.56*(1+'Chart of Accounts'!$E$67)</f>
        <v>69.18548</v>
      </c>
    </row>
    <row r="1553" customFormat="false" ht="15" hidden="false" customHeight="false" outlineLevel="0" collapsed="false">
      <c r="B1553" s="7" t="s">
        <v>2050</v>
      </c>
      <c r="C1553" s="39" t="n">
        <v>45737</v>
      </c>
      <c r="D1553" s="7" t="s">
        <v>339</v>
      </c>
      <c r="E1553" s="7" t="s">
        <v>154</v>
      </c>
      <c r="F1553" s="7" t="s">
        <v>242</v>
      </c>
      <c r="G1553" s="7" t="s">
        <v>505</v>
      </c>
      <c r="H1553" s="6" t="n">
        <v>3.22</v>
      </c>
      <c r="I1553" s="6" t="n">
        <v>0</v>
      </c>
      <c r="J1553" s="40" t="n">
        <f aca="false">H1553-I1553</f>
        <v>3.22</v>
      </c>
      <c r="K1553" s="41" t="n">
        <v>26.5</v>
      </c>
      <c r="L1553" s="42" t="n">
        <f aca="false">J1553*K1553</f>
        <v>85.33</v>
      </c>
      <c r="M1553" s="43" t="n">
        <f aca="false">H1553*17.99*(1+'Chart of Accounts'!$E$67)</f>
        <v>66.327331</v>
      </c>
    </row>
    <row r="1554" customFormat="false" ht="15" hidden="false" customHeight="false" outlineLevel="0" collapsed="false">
      <c r="B1554" s="7" t="s">
        <v>2051</v>
      </c>
      <c r="C1554" s="39" t="n">
        <v>45737</v>
      </c>
      <c r="D1554" s="7" t="s">
        <v>353</v>
      </c>
      <c r="E1554" s="7" t="s">
        <v>154</v>
      </c>
      <c r="F1554" s="7" t="s">
        <v>254</v>
      </c>
      <c r="G1554" s="7" t="s">
        <v>505</v>
      </c>
      <c r="H1554" s="6" t="n">
        <v>3.54</v>
      </c>
      <c r="I1554" s="6" t="n">
        <v>0</v>
      </c>
      <c r="J1554" s="40" t="n">
        <f aca="false">H1554-I1554</f>
        <v>3.54</v>
      </c>
      <c r="K1554" s="41" t="n">
        <v>26.5</v>
      </c>
      <c r="L1554" s="42" t="n">
        <f aca="false">J1554*K1554</f>
        <v>93.81</v>
      </c>
      <c r="M1554" s="43" t="n">
        <f aca="false">H1554*17.1*(1+'Chart of Accounts'!$E$67)</f>
        <v>69.31143</v>
      </c>
    </row>
    <row r="1555" customFormat="false" ht="15" hidden="false" customHeight="false" outlineLevel="0" collapsed="false">
      <c r="B1555" s="7" t="s">
        <v>2052</v>
      </c>
      <c r="C1555" s="39" t="n">
        <v>45737</v>
      </c>
      <c r="D1555" s="7" t="s">
        <v>355</v>
      </c>
      <c r="E1555" s="7" t="s">
        <v>154</v>
      </c>
      <c r="F1555" s="7" t="s">
        <v>201</v>
      </c>
      <c r="G1555" s="7" t="s">
        <v>505</v>
      </c>
      <c r="H1555" s="6" t="n">
        <v>3.51</v>
      </c>
      <c r="I1555" s="6" t="n">
        <v>0.105</v>
      </c>
      <c r="J1555" s="40" t="n">
        <f aca="false">H1555-I1555</f>
        <v>3.405</v>
      </c>
      <c r="K1555" s="41" t="n">
        <v>26.5</v>
      </c>
      <c r="L1555" s="42" t="n">
        <f aca="false">J1555*K1555</f>
        <v>90.2325</v>
      </c>
      <c r="M1555" s="43" t="n">
        <f aca="false">H1555*15.19*(1+'Chart of Accounts'!$E$67)</f>
        <v>61.0478505</v>
      </c>
    </row>
    <row r="1556" customFormat="false" ht="15" hidden="false" customHeight="false" outlineLevel="0" collapsed="false">
      <c r="B1556" s="7" t="s">
        <v>2053</v>
      </c>
      <c r="C1556" s="39" t="n">
        <v>45737</v>
      </c>
      <c r="D1556" s="7" t="s">
        <v>357</v>
      </c>
      <c r="E1556" s="7" t="s">
        <v>154</v>
      </c>
      <c r="F1556" s="7" t="s">
        <v>207</v>
      </c>
      <c r="G1556" s="7" t="s">
        <v>505</v>
      </c>
      <c r="H1556" s="6" t="n">
        <v>3.53</v>
      </c>
      <c r="I1556" s="6" t="n">
        <v>0.106</v>
      </c>
      <c r="J1556" s="40" t="n">
        <f aca="false">H1556-I1556</f>
        <v>3.424</v>
      </c>
      <c r="K1556" s="41" t="n">
        <v>26.5</v>
      </c>
      <c r="L1556" s="42" t="n">
        <f aca="false">J1556*K1556</f>
        <v>90.736</v>
      </c>
      <c r="M1556" s="43" t="n">
        <f aca="false">H1556*16.65*(1+'Chart of Accounts'!$E$67)</f>
        <v>67.2968025</v>
      </c>
    </row>
    <row r="1557" customFormat="false" ht="15" hidden="false" customHeight="false" outlineLevel="0" collapsed="false">
      <c r="B1557" s="7" t="s">
        <v>2054</v>
      </c>
      <c r="C1557" s="39" t="n">
        <v>45737</v>
      </c>
      <c r="D1557" s="7" t="s">
        <v>359</v>
      </c>
      <c r="E1557" s="7" t="s">
        <v>156</v>
      </c>
      <c r="F1557" s="7" t="s">
        <v>212</v>
      </c>
      <c r="G1557" s="7" t="s">
        <v>505</v>
      </c>
      <c r="H1557" s="6" t="n">
        <v>3.85</v>
      </c>
      <c r="I1557" s="6" t="n">
        <v>0</v>
      </c>
      <c r="J1557" s="40" t="n">
        <f aca="false">H1557-I1557</f>
        <v>3.85</v>
      </c>
      <c r="K1557" s="41" t="n">
        <v>34</v>
      </c>
      <c r="L1557" s="42" t="n">
        <f aca="false">J1557*K1557</f>
        <v>130.9</v>
      </c>
      <c r="M1557" s="43" t="n">
        <f aca="false">H1557*16.71*(1+'Chart of Accounts'!$E$67)</f>
        <v>73.6618575</v>
      </c>
    </row>
    <row r="1558" customFormat="false" ht="15" hidden="false" customHeight="false" outlineLevel="0" collapsed="false">
      <c r="B1558" s="7" t="s">
        <v>2055</v>
      </c>
      <c r="C1558" s="39" t="n">
        <v>45737</v>
      </c>
      <c r="D1558" s="7" t="s">
        <v>361</v>
      </c>
      <c r="E1558" s="7" t="s">
        <v>157</v>
      </c>
      <c r="F1558" s="7" t="s">
        <v>209</v>
      </c>
      <c r="G1558" s="7" t="s">
        <v>502</v>
      </c>
      <c r="H1558" s="6" t="n">
        <v>0.99</v>
      </c>
      <c r="I1558" s="6" t="n">
        <v>0.05</v>
      </c>
      <c r="J1558" s="40" t="n">
        <f aca="false">H1558-I1558</f>
        <v>0.94</v>
      </c>
      <c r="K1558" s="41" t="n">
        <v>165</v>
      </c>
      <c r="L1558" s="42" t="n">
        <f aca="false">J1558*K1558</f>
        <v>155.1</v>
      </c>
      <c r="M1558" s="43" t="n">
        <f aca="false">H1558*73.58*(1+'Chart of Accounts'!$E$67)</f>
        <v>83.406609</v>
      </c>
    </row>
    <row r="1559" customFormat="false" ht="15" hidden="false" customHeight="false" outlineLevel="0" collapsed="false">
      <c r="B1559" s="7" t="s">
        <v>2056</v>
      </c>
      <c r="C1559" s="39" t="n">
        <v>45737</v>
      </c>
      <c r="D1559" s="7" t="s">
        <v>371</v>
      </c>
      <c r="E1559" s="7" t="s">
        <v>154</v>
      </c>
      <c r="F1559" s="7" t="s">
        <v>232</v>
      </c>
      <c r="G1559" s="7" t="s">
        <v>505</v>
      </c>
      <c r="H1559" s="6" t="n">
        <v>5.04</v>
      </c>
      <c r="I1559" s="6" t="n">
        <v>0</v>
      </c>
      <c r="J1559" s="40" t="n">
        <f aca="false">H1559-I1559</f>
        <v>5.04</v>
      </c>
      <c r="K1559" s="41" t="n">
        <v>26.5</v>
      </c>
      <c r="L1559" s="42" t="n">
        <f aca="false">J1559*K1559</f>
        <v>133.56</v>
      </c>
      <c r="M1559" s="43" t="n">
        <f aca="false">H1559*16.17*(1+'Chart of Accounts'!$E$67)</f>
        <v>93.313836</v>
      </c>
    </row>
    <row r="1560" customFormat="false" ht="15" hidden="false" customHeight="false" outlineLevel="0" collapsed="false">
      <c r="B1560" s="7" t="s">
        <v>2057</v>
      </c>
      <c r="C1560" s="39" t="n">
        <v>45737</v>
      </c>
      <c r="D1560" s="7" t="s">
        <v>379</v>
      </c>
      <c r="E1560" s="7" t="s">
        <v>156</v>
      </c>
      <c r="F1560" s="7" t="s">
        <v>224</v>
      </c>
      <c r="G1560" s="7" t="s">
        <v>505</v>
      </c>
      <c r="H1560" s="6" t="n">
        <v>4.37</v>
      </c>
      <c r="I1560" s="6" t="n">
        <v>0</v>
      </c>
      <c r="J1560" s="40" t="n">
        <f aca="false">H1560-I1560</f>
        <v>4.37</v>
      </c>
      <c r="K1560" s="41" t="n">
        <v>34</v>
      </c>
      <c r="L1560" s="42" t="n">
        <f aca="false">J1560*K1560</f>
        <v>148.58</v>
      </c>
      <c r="M1560" s="43" t="n">
        <f aca="false">H1560*14.93*(1+'Chart of Accounts'!$E$67)</f>
        <v>74.7044945</v>
      </c>
    </row>
    <row r="1561" customFormat="false" ht="15" hidden="false" customHeight="false" outlineLevel="0" collapsed="false">
      <c r="B1561" s="7" t="s">
        <v>2058</v>
      </c>
      <c r="C1561" s="39" t="n">
        <v>45737</v>
      </c>
      <c r="D1561" s="7" t="s">
        <v>381</v>
      </c>
      <c r="E1561" s="7" t="s">
        <v>157</v>
      </c>
      <c r="F1561" s="7" t="s">
        <v>234</v>
      </c>
      <c r="G1561" s="7" t="s">
        <v>502</v>
      </c>
      <c r="H1561" s="6" t="n">
        <v>1.07</v>
      </c>
      <c r="I1561" s="6" t="n">
        <v>0</v>
      </c>
      <c r="J1561" s="40" t="n">
        <f aca="false">H1561-I1561</f>
        <v>1.07</v>
      </c>
      <c r="K1561" s="41" t="n">
        <v>165</v>
      </c>
      <c r="L1561" s="42" t="n">
        <f aca="false">J1561*K1561</f>
        <v>176.55</v>
      </c>
      <c r="M1561" s="43" t="n">
        <f aca="false">H1561*89.53*(1+'Chart of Accounts'!$E$67)</f>
        <v>109.6876795</v>
      </c>
    </row>
    <row r="1562" customFormat="false" ht="15" hidden="false" customHeight="false" outlineLevel="0" collapsed="false">
      <c r="B1562" s="7" t="s">
        <v>2059</v>
      </c>
      <c r="C1562" s="39" t="n">
        <v>45737</v>
      </c>
      <c r="D1562" s="7" t="s">
        <v>389</v>
      </c>
      <c r="E1562" s="7" t="s">
        <v>154</v>
      </c>
      <c r="F1562" s="7" t="s">
        <v>246</v>
      </c>
      <c r="G1562" s="7" t="s">
        <v>505</v>
      </c>
      <c r="H1562" s="6" t="n">
        <v>3.65</v>
      </c>
      <c r="I1562" s="6" t="n">
        <v>0</v>
      </c>
      <c r="J1562" s="40" t="n">
        <f aca="false">H1562-I1562</f>
        <v>3.65</v>
      </c>
      <c r="K1562" s="41" t="n">
        <v>26.5</v>
      </c>
      <c r="L1562" s="42" t="n">
        <f aca="false">J1562*K1562</f>
        <v>96.725</v>
      </c>
      <c r="M1562" s="43" t="n">
        <f aca="false">H1562*16.48*(1+'Chart of Accounts'!$E$67)</f>
        <v>68.87404</v>
      </c>
    </row>
    <row r="1563" customFormat="false" ht="15" hidden="false" customHeight="false" outlineLevel="0" collapsed="false">
      <c r="B1563" s="7" t="s">
        <v>2060</v>
      </c>
      <c r="C1563" s="39" t="n">
        <v>45737</v>
      </c>
      <c r="D1563" s="7" t="s">
        <v>391</v>
      </c>
      <c r="E1563" s="7" t="s">
        <v>156</v>
      </c>
      <c r="F1563" s="7" t="s">
        <v>222</v>
      </c>
      <c r="G1563" s="7" t="s">
        <v>505</v>
      </c>
      <c r="H1563" s="6" t="n">
        <v>4.28</v>
      </c>
      <c r="I1563" s="6" t="n">
        <v>0</v>
      </c>
      <c r="J1563" s="40" t="n">
        <f aca="false">H1563-I1563</f>
        <v>4.28</v>
      </c>
      <c r="K1563" s="41" t="n">
        <v>34</v>
      </c>
      <c r="L1563" s="42" t="n">
        <f aca="false">J1563*K1563</f>
        <v>145.52</v>
      </c>
      <c r="M1563" s="43" t="n">
        <f aca="false">H1563*17.84*(1+'Chart of Accounts'!$E$67)</f>
        <v>87.426704</v>
      </c>
    </row>
    <row r="1564" customFormat="false" ht="15" hidden="false" customHeight="false" outlineLevel="0" collapsed="false">
      <c r="B1564" s="7" t="s">
        <v>2061</v>
      </c>
      <c r="C1564" s="39" t="n">
        <v>45737</v>
      </c>
      <c r="D1564" s="7" t="s">
        <v>395</v>
      </c>
      <c r="E1564" s="7" t="s">
        <v>156</v>
      </c>
      <c r="F1564" s="7" t="s">
        <v>242</v>
      </c>
      <c r="G1564" s="7" t="s">
        <v>505</v>
      </c>
      <c r="H1564" s="6" t="n">
        <v>4.06</v>
      </c>
      <c r="I1564" s="6" t="n">
        <v>0</v>
      </c>
      <c r="J1564" s="40" t="n">
        <f aca="false">H1564-I1564</f>
        <v>4.06</v>
      </c>
      <c r="K1564" s="41" t="n">
        <v>34</v>
      </c>
      <c r="L1564" s="42" t="n">
        <f aca="false">J1564*K1564</f>
        <v>138.04</v>
      </c>
      <c r="M1564" s="43" t="n">
        <f aca="false">H1564*17.99*(1+'Chart of Accounts'!$E$67)</f>
        <v>83.630113</v>
      </c>
    </row>
    <row r="1565" customFormat="false" ht="15" hidden="false" customHeight="false" outlineLevel="0" collapsed="false">
      <c r="B1565" s="7" t="s">
        <v>2062</v>
      </c>
      <c r="C1565" s="39" t="n">
        <v>45737</v>
      </c>
      <c r="D1565" s="7" t="s">
        <v>397</v>
      </c>
      <c r="E1565" s="7" t="s">
        <v>159</v>
      </c>
      <c r="F1565" s="7" t="s">
        <v>203</v>
      </c>
      <c r="G1565" s="7" t="s">
        <v>502</v>
      </c>
      <c r="H1565" s="6" t="n">
        <v>1.04</v>
      </c>
      <c r="I1565" s="6" t="n">
        <v>0</v>
      </c>
      <c r="J1565" s="40" t="n">
        <f aca="false">H1565-I1565</f>
        <v>1.04</v>
      </c>
      <c r="K1565" s="41" t="n">
        <v>135</v>
      </c>
      <c r="L1565" s="42" t="n">
        <f aca="false">J1565*K1565</f>
        <v>140.4</v>
      </c>
      <c r="M1565" s="43" t="n">
        <f aca="false">H1565*49.43*(1+'Chart of Accounts'!$E$67)</f>
        <v>58.861244</v>
      </c>
    </row>
    <row r="1566" customFormat="false" ht="15" hidden="false" customHeight="false" outlineLevel="0" collapsed="false">
      <c r="B1566" s="7" t="s">
        <v>2063</v>
      </c>
      <c r="C1566" s="39" t="n">
        <v>45737</v>
      </c>
      <c r="D1566" s="7" t="s">
        <v>399</v>
      </c>
      <c r="E1566" s="7" t="s">
        <v>154</v>
      </c>
      <c r="F1566" s="7" t="s">
        <v>262</v>
      </c>
      <c r="G1566" s="7" t="s">
        <v>505</v>
      </c>
      <c r="H1566" s="6" t="n">
        <v>3.05</v>
      </c>
      <c r="I1566" s="6" t="n">
        <v>0</v>
      </c>
      <c r="J1566" s="40" t="n">
        <f aca="false">H1566-I1566</f>
        <v>3.05</v>
      </c>
      <c r="K1566" s="41" t="n">
        <v>26.5</v>
      </c>
      <c r="L1566" s="42" t="n">
        <f aca="false">J1566*K1566</f>
        <v>80.825</v>
      </c>
      <c r="M1566" s="43" t="n">
        <f aca="false">H1566*16.02*(1+'Chart of Accounts'!$E$67)</f>
        <v>55.945845</v>
      </c>
    </row>
    <row r="1567" customFormat="false" ht="15" hidden="false" customHeight="false" outlineLevel="0" collapsed="false">
      <c r="B1567" s="7" t="s">
        <v>2064</v>
      </c>
      <c r="C1567" s="39" t="n">
        <v>45737</v>
      </c>
      <c r="D1567" s="7" t="s">
        <v>401</v>
      </c>
      <c r="E1567" s="7" t="s">
        <v>156</v>
      </c>
      <c r="F1567" s="7" t="s">
        <v>254</v>
      </c>
      <c r="G1567" s="7" t="s">
        <v>505</v>
      </c>
      <c r="H1567" s="6" t="n">
        <v>4.07</v>
      </c>
      <c r="I1567" s="6" t="n">
        <v>0</v>
      </c>
      <c r="J1567" s="40" t="n">
        <f aca="false">H1567-I1567</f>
        <v>4.07</v>
      </c>
      <c r="K1567" s="41" t="n">
        <v>34</v>
      </c>
      <c r="L1567" s="42" t="n">
        <f aca="false">J1567*K1567</f>
        <v>138.38</v>
      </c>
      <c r="M1567" s="43" t="n">
        <f aca="false">H1567*17.1*(1+'Chart of Accounts'!$E$67)</f>
        <v>79.688565</v>
      </c>
    </row>
    <row r="1568" customFormat="false" ht="15" hidden="false" customHeight="false" outlineLevel="0" collapsed="false">
      <c r="B1568" s="7" t="s">
        <v>2065</v>
      </c>
      <c r="C1568" s="39" t="n">
        <v>45737</v>
      </c>
      <c r="D1568" s="7" t="s">
        <v>407</v>
      </c>
      <c r="E1568" s="7" t="s">
        <v>159</v>
      </c>
      <c r="F1568" s="7" t="s">
        <v>260</v>
      </c>
      <c r="G1568" s="7" t="s">
        <v>502</v>
      </c>
      <c r="H1568" s="6" t="n">
        <v>0.93</v>
      </c>
      <c r="I1568" s="6" t="n">
        <v>0.065</v>
      </c>
      <c r="J1568" s="40" t="n">
        <f aca="false">H1568-I1568</f>
        <v>0.865</v>
      </c>
      <c r="K1568" s="41" t="n">
        <v>135</v>
      </c>
      <c r="L1568" s="42" t="n">
        <f aca="false">J1568*K1568</f>
        <v>116.775</v>
      </c>
      <c r="M1568" s="43" t="n">
        <f aca="false">H1568*79.8*(1+'Chart of Accounts'!$E$67)</f>
        <v>84.97503</v>
      </c>
    </row>
    <row r="1569" customFormat="false" ht="15" hidden="false" customHeight="false" outlineLevel="0" collapsed="false">
      <c r="B1569" s="7" t="s">
        <v>2066</v>
      </c>
      <c r="C1569" s="39" t="n">
        <v>45737</v>
      </c>
      <c r="D1569" s="7" t="s">
        <v>409</v>
      </c>
      <c r="E1569" s="7" t="s">
        <v>154</v>
      </c>
      <c r="F1569" s="7" t="s">
        <v>214</v>
      </c>
      <c r="G1569" s="7" t="s">
        <v>505</v>
      </c>
      <c r="H1569" s="6" t="n">
        <v>3.14</v>
      </c>
      <c r="I1569" s="6" t="n">
        <v>0</v>
      </c>
      <c r="J1569" s="40" t="n">
        <f aca="false">H1569-I1569</f>
        <v>3.14</v>
      </c>
      <c r="K1569" s="41" t="n">
        <v>26.5</v>
      </c>
      <c r="L1569" s="42" t="n">
        <f aca="false">J1569*K1569</f>
        <v>83.21</v>
      </c>
      <c r="M1569" s="43" t="n">
        <f aca="false">H1569*15.67*(1+'Chart of Accounts'!$E$67)</f>
        <v>56.338351</v>
      </c>
    </row>
    <row r="1570" customFormat="false" ht="15" hidden="false" customHeight="false" outlineLevel="0" collapsed="false">
      <c r="B1570" s="7" t="s">
        <v>2067</v>
      </c>
      <c r="C1570" s="39" t="n">
        <v>45737</v>
      </c>
      <c r="D1570" s="7" t="s">
        <v>411</v>
      </c>
      <c r="E1570" s="7" t="s">
        <v>154</v>
      </c>
      <c r="F1570" s="7" t="s">
        <v>177</v>
      </c>
      <c r="G1570" s="7" t="s">
        <v>505</v>
      </c>
      <c r="H1570" s="6" t="n">
        <v>5.11</v>
      </c>
      <c r="I1570" s="6" t="n">
        <v>0</v>
      </c>
      <c r="J1570" s="40" t="n">
        <f aca="false">H1570-I1570</f>
        <v>5.11</v>
      </c>
      <c r="K1570" s="41" t="n">
        <v>26.5</v>
      </c>
      <c r="L1570" s="42" t="n">
        <f aca="false">J1570*K1570</f>
        <v>135.415</v>
      </c>
      <c r="M1570" s="43" t="n">
        <f aca="false">H1570*14.56*(1+'Chart of Accounts'!$E$67)</f>
        <v>85.189832</v>
      </c>
    </row>
    <row r="1571" customFormat="false" ht="15" hidden="false" customHeight="false" outlineLevel="0" collapsed="false">
      <c r="B1571" s="7" t="s">
        <v>2068</v>
      </c>
      <c r="C1571" s="39" t="n">
        <v>45738</v>
      </c>
      <c r="D1571" s="7" t="s">
        <v>288</v>
      </c>
      <c r="E1571" s="7" t="s">
        <v>156</v>
      </c>
      <c r="F1571" s="7" t="s">
        <v>191</v>
      </c>
      <c r="G1571" s="7" t="s">
        <v>505</v>
      </c>
      <c r="H1571" s="6" t="n">
        <v>4.16</v>
      </c>
      <c r="I1571" s="6" t="n">
        <v>0</v>
      </c>
      <c r="J1571" s="40" t="n">
        <f aca="false">H1571-I1571</f>
        <v>4.16</v>
      </c>
      <c r="K1571" s="41" t="n">
        <v>34</v>
      </c>
      <c r="L1571" s="42" t="n">
        <f aca="false">J1571*K1571</f>
        <v>141.44</v>
      </c>
      <c r="M1571" s="43" t="n">
        <f aca="false">H1571*16.05*(1+'Chart of Accounts'!$E$67)</f>
        <v>76.44936</v>
      </c>
    </row>
    <row r="1572" customFormat="false" ht="15" hidden="false" customHeight="false" outlineLevel="0" collapsed="false">
      <c r="B1572" s="7" t="s">
        <v>2069</v>
      </c>
      <c r="C1572" s="39" t="n">
        <v>45738</v>
      </c>
      <c r="D1572" s="7" t="s">
        <v>321</v>
      </c>
      <c r="E1572" s="7" t="s">
        <v>154</v>
      </c>
      <c r="F1572" s="7" t="s">
        <v>218</v>
      </c>
      <c r="G1572" s="7" t="s">
        <v>505</v>
      </c>
      <c r="H1572" s="6" t="n">
        <v>4.19</v>
      </c>
      <c r="I1572" s="6" t="n">
        <v>0</v>
      </c>
      <c r="J1572" s="40" t="n">
        <f aca="false">H1572-I1572</f>
        <v>4.19</v>
      </c>
      <c r="K1572" s="41" t="n">
        <v>26.5</v>
      </c>
      <c r="L1572" s="42" t="n">
        <f aca="false">J1572*K1572</f>
        <v>111.035</v>
      </c>
      <c r="M1572" s="43" t="n">
        <f aca="false">H1572*16.19*(1+'Chart of Accounts'!$E$67)</f>
        <v>77.6723345</v>
      </c>
    </row>
    <row r="1573" customFormat="false" ht="15" hidden="false" customHeight="false" outlineLevel="0" collapsed="false">
      <c r="B1573" s="7" t="s">
        <v>2070</v>
      </c>
      <c r="C1573" s="39" t="n">
        <v>45738</v>
      </c>
      <c r="D1573" s="7" t="s">
        <v>359</v>
      </c>
      <c r="E1573" s="7" t="s">
        <v>156</v>
      </c>
      <c r="F1573" s="7" t="s">
        <v>212</v>
      </c>
      <c r="G1573" s="7" t="s">
        <v>505</v>
      </c>
      <c r="H1573" s="6" t="n">
        <v>3.69</v>
      </c>
      <c r="I1573" s="6" t="n">
        <v>0</v>
      </c>
      <c r="J1573" s="40" t="n">
        <f aca="false">H1573-I1573</f>
        <v>3.69</v>
      </c>
      <c r="K1573" s="41" t="n">
        <v>34</v>
      </c>
      <c r="L1573" s="42" t="n">
        <f aca="false">J1573*K1573</f>
        <v>125.46</v>
      </c>
      <c r="M1573" s="43" t="n">
        <f aca="false">H1573*16.71*(1+'Chart of Accounts'!$E$67)</f>
        <v>70.6005855</v>
      </c>
    </row>
    <row r="1574" customFormat="false" ht="15" hidden="false" customHeight="false" outlineLevel="0" collapsed="false">
      <c r="B1574" s="7" t="s">
        <v>2071</v>
      </c>
      <c r="C1574" s="39" t="n">
        <v>45738</v>
      </c>
      <c r="D1574" s="7" t="s">
        <v>391</v>
      </c>
      <c r="E1574" s="7" t="s">
        <v>156</v>
      </c>
      <c r="F1574" s="7" t="s">
        <v>222</v>
      </c>
      <c r="G1574" s="7" t="s">
        <v>505</v>
      </c>
      <c r="H1574" s="6" t="n">
        <v>3.68</v>
      </c>
      <c r="I1574" s="6" t="n">
        <v>0</v>
      </c>
      <c r="J1574" s="40" t="n">
        <f aca="false">H1574-I1574</f>
        <v>3.68</v>
      </c>
      <c r="K1574" s="41" t="n">
        <v>34</v>
      </c>
      <c r="L1574" s="42" t="n">
        <f aca="false">J1574*K1574</f>
        <v>125.12</v>
      </c>
      <c r="M1574" s="43" t="n">
        <f aca="false">H1574*17.84*(1+'Chart of Accounts'!$E$67)</f>
        <v>75.170624</v>
      </c>
    </row>
    <row r="1575" customFormat="false" ht="15" hidden="false" customHeight="false" outlineLevel="0" collapsed="false">
      <c r="B1575" s="7" t="s">
        <v>2072</v>
      </c>
      <c r="C1575" s="39" t="n">
        <v>45738</v>
      </c>
      <c r="D1575" s="7" t="s">
        <v>395</v>
      </c>
      <c r="E1575" s="7" t="s">
        <v>156</v>
      </c>
      <c r="F1575" s="7" t="s">
        <v>242</v>
      </c>
      <c r="G1575" s="7" t="s">
        <v>505</v>
      </c>
      <c r="H1575" s="6" t="n">
        <v>3.92</v>
      </c>
      <c r="I1575" s="6" t="n">
        <v>0</v>
      </c>
      <c r="J1575" s="40" t="n">
        <f aca="false">H1575-I1575</f>
        <v>3.92</v>
      </c>
      <c r="K1575" s="41" t="n">
        <v>34</v>
      </c>
      <c r="L1575" s="42" t="n">
        <f aca="false">J1575*K1575</f>
        <v>133.28</v>
      </c>
      <c r="M1575" s="43" t="n">
        <f aca="false">H1575*17.99*(1+'Chart of Accounts'!$E$67)</f>
        <v>80.746316</v>
      </c>
    </row>
    <row r="1576" customFormat="false" ht="15" hidden="false" customHeight="false" outlineLevel="0" collapsed="false">
      <c r="B1576" s="7" t="s">
        <v>2073</v>
      </c>
      <c r="C1576" s="39" t="n">
        <v>45738</v>
      </c>
      <c r="D1576" s="7" t="s">
        <v>401</v>
      </c>
      <c r="E1576" s="7" t="s">
        <v>156</v>
      </c>
      <c r="F1576" s="7" t="s">
        <v>254</v>
      </c>
      <c r="G1576" s="7" t="s">
        <v>505</v>
      </c>
      <c r="H1576" s="6" t="n">
        <v>4.08</v>
      </c>
      <c r="I1576" s="6" t="n">
        <v>0</v>
      </c>
      <c r="J1576" s="40" t="n">
        <f aca="false">H1576-I1576</f>
        <v>4.08</v>
      </c>
      <c r="K1576" s="41" t="n">
        <v>34</v>
      </c>
      <c r="L1576" s="42" t="n">
        <f aca="false">J1576*K1576</f>
        <v>138.72</v>
      </c>
      <c r="M1576" s="43" t="n">
        <f aca="false">H1576*17.1*(1+'Chart of Accounts'!$E$67)</f>
        <v>79.88436</v>
      </c>
    </row>
    <row r="1577" customFormat="false" ht="15" hidden="false" customHeight="false" outlineLevel="0" collapsed="false">
      <c r="B1577" s="7" t="s">
        <v>2074</v>
      </c>
      <c r="C1577" s="39" t="n">
        <v>45739</v>
      </c>
      <c r="D1577" s="7" t="s">
        <v>288</v>
      </c>
      <c r="E1577" s="7" t="s">
        <v>156</v>
      </c>
      <c r="F1577" s="7" t="s">
        <v>191</v>
      </c>
      <c r="G1577" s="7" t="s">
        <v>505</v>
      </c>
      <c r="H1577" s="6" t="n">
        <v>4.12</v>
      </c>
      <c r="I1577" s="6" t="n">
        <v>0</v>
      </c>
      <c r="J1577" s="40" t="n">
        <f aca="false">H1577-I1577</f>
        <v>4.12</v>
      </c>
      <c r="K1577" s="41" t="n">
        <v>34</v>
      </c>
      <c r="L1577" s="42" t="n">
        <f aca="false">J1577*K1577</f>
        <v>140.08</v>
      </c>
      <c r="M1577" s="43" t="n">
        <f aca="false">H1577*16.05*(1+'Chart of Accounts'!$E$67)</f>
        <v>75.71427</v>
      </c>
    </row>
    <row r="1578" customFormat="false" ht="15" hidden="false" customHeight="false" outlineLevel="0" collapsed="false">
      <c r="B1578" s="7" t="s">
        <v>2075</v>
      </c>
      <c r="C1578" s="39" t="n">
        <v>45739</v>
      </c>
      <c r="D1578" s="7" t="s">
        <v>321</v>
      </c>
      <c r="E1578" s="7" t="s">
        <v>154</v>
      </c>
      <c r="F1578" s="7" t="s">
        <v>218</v>
      </c>
      <c r="G1578" s="7" t="s">
        <v>505</v>
      </c>
      <c r="H1578" s="6" t="n">
        <v>3.71</v>
      </c>
      <c r="I1578" s="6" t="n">
        <v>0</v>
      </c>
      <c r="J1578" s="40" t="n">
        <f aca="false">H1578-I1578</f>
        <v>3.71</v>
      </c>
      <c r="K1578" s="41" t="n">
        <v>26.5</v>
      </c>
      <c r="L1578" s="42" t="n">
        <f aca="false">J1578*K1578</f>
        <v>98.315</v>
      </c>
      <c r="M1578" s="43" t="n">
        <f aca="false">H1578*16.19*(1+'Chart of Accounts'!$E$67)</f>
        <v>68.7743105</v>
      </c>
    </row>
    <row r="1579" customFormat="false" ht="15" hidden="false" customHeight="false" outlineLevel="0" collapsed="false">
      <c r="B1579" s="7" t="s">
        <v>2076</v>
      </c>
      <c r="C1579" s="39" t="n">
        <v>45739</v>
      </c>
      <c r="D1579" s="7" t="s">
        <v>359</v>
      </c>
      <c r="E1579" s="7" t="s">
        <v>156</v>
      </c>
      <c r="F1579" s="7" t="s">
        <v>212</v>
      </c>
      <c r="G1579" s="7" t="s">
        <v>505</v>
      </c>
      <c r="H1579" s="6" t="n">
        <v>4.25</v>
      </c>
      <c r="I1579" s="6" t="n">
        <v>0</v>
      </c>
      <c r="J1579" s="40" t="n">
        <f aca="false">H1579-I1579</f>
        <v>4.25</v>
      </c>
      <c r="K1579" s="41" t="n">
        <v>34</v>
      </c>
      <c r="L1579" s="42" t="n">
        <f aca="false">J1579*K1579</f>
        <v>144.5</v>
      </c>
      <c r="M1579" s="43" t="n">
        <f aca="false">H1579*16.71*(1+'Chart of Accounts'!$E$67)</f>
        <v>81.3150375</v>
      </c>
    </row>
    <row r="1580" customFormat="false" ht="15" hidden="false" customHeight="false" outlineLevel="0" collapsed="false">
      <c r="B1580" s="7" t="s">
        <v>2077</v>
      </c>
      <c r="C1580" s="39" t="n">
        <v>45739</v>
      </c>
      <c r="D1580" s="7" t="s">
        <v>391</v>
      </c>
      <c r="E1580" s="7" t="s">
        <v>156</v>
      </c>
      <c r="F1580" s="7" t="s">
        <v>222</v>
      </c>
      <c r="G1580" s="7" t="s">
        <v>505</v>
      </c>
      <c r="H1580" s="6" t="n">
        <v>3.96</v>
      </c>
      <c r="I1580" s="6" t="n">
        <v>0</v>
      </c>
      <c r="J1580" s="40" t="n">
        <f aca="false">H1580-I1580</f>
        <v>3.96</v>
      </c>
      <c r="K1580" s="41" t="n">
        <v>34</v>
      </c>
      <c r="L1580" s="42" t="n">
        <f aca="false">J1580*K1580</f>
        <v>134.64</v>
      </c>
      <c r="M1580" s="43" t="n">
        <f aca="false">H1580*17.84*(1+'Chart of Accounts'!$E$67)</f>
        <v>80.890128</v>
      </c>
    </row>
    <row r="1581" customFormat="false" ht="15" hidden="false" customHeight="false" outlineLevel="0" collapsed="false">
      <c r="B1581" s="7" t="s">
        <v>2078</v>
      </c>
      <c r="C1581" s="39" t="n">
        <v>45739</v>
      </c>
      <c r="D1581" s="7" t="s">
        <v>395</v>
      </c>
      <c r="E1581" s="7" t="s">
        <v>156</v>
      </c>
      <c r="F1581" s="7" t="s">
        <v>242</v>
      </c>
      <c r="G1581" s="7" t="s">
        <v>505</v>
      </c>
      <c r="H1581" s="6" t="n">
        <v>3.96</v>
      </c>
      <c r="I1581" s="6" t="n">
        <v>0</v>
      </c>
      <c r="J1581" s="40" t="n">
        <f aca="false">H1581-I1581</f>
        <v>3.96</v>
      </c>
      <c r="K1581" s="41" t="n">
        <v>34</v>
      </c>
      <c r="L1581" s="42" t="n">
        <f aca="false">J1581*K1581</f>
        <v>134.64</v>
      </c>
      <c r="M1581" s="43" t="n">
        <f aca="false">H1581*17.99*(1+'Chart of Accounts'!$E$67)</f>
        <v>81.570258</v>
      </c>
    </row>
    <row r="1582" customFormat="false" ht="15" hidden="false" customHeight="false" outlineLevel="0" collapsed="false">
      <c r="B1582" s="7" t="s">
        <v>2079</v>
      </c>
      <c r="C1582" s="39" t="n">
        <v>45739</v>
      </c>
      <c r="D1582" s="7" t="s">
        <v>401</v>
      </c>
      <c r="E1582" s="7" t="s">
        <v>156</v>
      </c>
      <c r="F1582" s="7" t="s">
        <v>254</v>
      </c>
      <c r="G1582" s="7" t="s">
        <v>505</v>
      </c>
      <c r="H1582" s="6" t="n">
        <v>3.84</v>
      </c>
      <c r="I1582" s="6" t="n">
        <v>0</v>
      </c>
      <c r="J1582" s="40" t="n">
        <f aca="false">H1582-I1582</f>
        <v>3.84</v>
      </c>
      <c r="K1582" s="41" t="n">
        <v>34</v>
      </c>
      <c r="L1582" s="42" t="n">
        <f aca="false">J1582*K1582</f>
        <v>130.56</v>
      </c>
      <c r="M1582" s="43" t="n">
        <f aca="false">H1582*17.1*(1+'Chart of Accounts'!$E$67)</f>
        <v>75.18528</v>
      </c>
    </row>
    <row r="1583" customFormat="false" ht="15" hidden="false" customHeight="false" outlineLevel="0" collapsed="false">
      <c r="B1583" s="7" t="s">
        <v>2080</v>
      </c>
      <c r="C1583" s="39" t="n">
        <v>45740</v>
      </c>
      <c r="D1583" s="7" t="s">
        <v>280</v>
      </c>
      <c r="E1583" s="7" t="s">
        <v>157</v>
      </c>
      <c r="F1583" s="7" t="s">
        <v>187</v>
      </c>
      <c r="G1583" s="7" t="s">
        <v>502</v>
      </c>
      <c r="H1583" s="6" t="n">
        <v>1.08</v>
      </c>
      <c r="I1583" s="6" t="n">
        <v>0</v>
      </c>
      <c r="J1583" s="40" t="n">
        <f aca="false">H1583-I1583</f>
        <v>1.08</v>
      </c>
      <c r="K1583" s="41" t="n">
        <v>165</v>
      </c>
      <c r="L1583" s="42" t="n">
        <f aca="false">J1583*K1583</f>
        <v>178.2</v>
      </c>
      <c r="M1583" s="43" t="n">
        <f aca="false">H1583*66.48*(1+'Chart of Accounts'!$E$67)</f>
        <v>82.209168</v>
      </c>
    </row>
    <row r="1584" customFormat="false" ht="15" hidden="false" customHeight="false" outlineLevel="0" collapsed="false">
      <c r="B1584" s="7" t="s">
        <v>2081</v>
      </c>
      <c r="C1584" s="39" t="n">
        <v>45740</v>
      </c>
      <c r="D1584" s="7" t="s">
        <v>288</v>
      </c>
      <c r="E1584" s="7" t="s">
        <v>156</v>
      </c>
      <c r="F1584" s="7" t="s">
        <v>191</v>
      </c>
      <c r="G1584" s="7" t="s">
        <v>505</v>
      </c>
      <c r="H1584" s="6" t="n">
        <v>4.33</v>
      </c>
      <c r="I1584" s="6" t="n">
        <v>0</v>
      </c>
      <c r="J1584" s="40" t="n">
        <f aca="false">H1584-I1584</f>
        <v>4.33</v>
      </c>
      <c r="K1584" s="41" t="n">
        <v>34</v>
      </c>
      <c r="L1584" s="42" t="n">
        <f aca="false">J1584*K1584</f>
        <v>147.22</v>
      </c>
      <c r="M1584" s="43" t="n">
        <f aca="false">H1584*16.05*(1+'Chart of Accounts'!$E$67)</f>
        <v>79.5734925</v>
      </c>
    </row>
    <row r="1585" customFormat="false" ht="15" hidden="false" customHeight="false" outlineLevel="0" collapsed="false">
      <c r="B1585" s="7" t="s">
        <v>2082</v>
      </c>
      <c r="C1585" s="39" t="n">
        <v>45740</v>
      </c>
      <c r="D1585" s="7" t="s">
        <v>291</v>
      </c>
      <c r="E1585" s="7" t="s">
        <v>154</v>
      </c>
      <c r="F1585" s="7" t="s">
        <v>194</v>
      </c>
      <c r="G1585" s="7" t="s">
        <v>505</v>
      </c>
      <c r="H1585" s="6" t="n">
        <v>4.77</v>
      </c>
      <c r="I1585" s="6" t="n">
        <v>0</v>
      </c>
      <c r="J1585" s="40" t="n">
        <f aca="false">H1585-I1585</f>
        <v>4.77</v>
      </c>
      <c r="K1585" s="41" t="n">
        <v>26.5</v>
      </c>
      <c r="L1585" s="42" t="n">
        <f aca="false">J1585*K1585</f>
        <v>126.405</v>
      </c>
      <c r="M1585" s="43" t="n">
        <f aca="false">H1585*16*(1+'Chart of Accounts'!$E$67)</f>
        <v>87.3864</v>
      </c>
    </row>
    <row r="1586" customFormat="false" ht="15" hidden="false" customHeight="false" outlineLevel="0" collapsed="false">
      <c r="B1586" s="7" t="s">
        <v>2083</v>
      </c>
      <c r="C1586" s="39" t="n">
        <v>45740</v>
      </c>
      <c r="D1586" s="7" t="s">
        <v>297</v>
      </c>
      <c r="E1586" s="7" t="s">
        <v>156</v>
      </c>
      <c r="F1586" s="7" t="s">
        <v>201</v>
      </c>
      <c r="G1586" s="7" t="s">
        <v>505</v>
      </c>
      <c r="H1586" s="6" t="n">
        <v>3.21</v>
      </c>
      <c r="I1586" s="6" t="n">
        <v>0</v>
      </c>
      <c r="J1586" s="40" t="n">
        <f aca="false">H1586-I1586</f>
        <v>3.21</v>
      </c>
      <c r="K1586" s="41" t="n">
        <v>34</v>
      </c>
      <c r="L1586" s="42" t="n">
        <f aca="false">J1586*K1586</f>
        <v>109.14</v>
      </c>
      <c r="M1586" s="43" t="n">
        <f aca="false">H1586*15.19*(1+'Chart of Accounts'!$E$67)</f>
        <v>55.8300855</v>
      </c>
    </row>
    <row r="1587" customFormat="false" ht="15" hidden="false" customHeight="false" outlineLevel="0" collapsed="false">
      <c r="B1587" s="7" t="s">
        <v>2084</v>
      </c>
      <c r="C1587" s="39" t="n">
        <v>45740</v>
      </c>
      <c r="D1587" s="7" t="s">
        <v>307</v>
      </c>
      <c r="E1587" s="7" t="s">
        <v>157</v>
      </c>
      <c r="F1587" s="7" t="s">
        <v>264</v>
      </c>
      <c r="G1587" s="7" t="s">
        <v>502</v>
      </c>
      <c r="H1587" s="6" t="n">
        <v>1.06</v>
      </c>
      <c r="I1587" s="6" t="n">
        <v>0</v>
      </c>
      <c r="J1587" s="40" t="n">
        <f aca="false">H1587-I1587</f>
        <v>1.06</v>
      </c>
      <c r="K1587" s="41" t="n">
        <v>165</v>
      </c>
      <c r="L1587" s="42" t="n">
        <f aca="false">J1587*K1587</f>
        <v>174.9</v>
      </c>
      <c r="M1587" s="43" t="n">
        <f aca="false">H1587*55.55*(1+'Chart of Accounts'!$E$67)</f>
        <v>67.421035</v>
      </c>
    </row>
    <row r="1588" customFormat="false" ht="15" hidden="false" customHeight="false" outlineLevel="0" collapsed="false">
      <c r="B1588" s="7" t="s">
        <v>2085</v>
      </c>
      <c r="C1588" s="39" t="n">
        <v>45740</v>
      </c>
      <c r="D1588" s="7" t="s">
        <v>309</v>
      </c>
      <c r="E1588" s="7" t="s">
        <v>159</v>
      </c>
      <c r="F1588" s="7" t="s">
        <v>252</v>
      </c>
      <c r="G1588" s="7" t="s">
        <v>502</v>
      </c>
      <c r="H1588" s="6" t="n">
        <v>1.07</v>
      </c>
      <c r="I1588" s="6" t="n">
        <v>0</v>
      </c>
      <c r="J1588" s="40" t="n">
        <f aca="false">H1588-I1588</f>
        <v>1.07</v>
      </c>
      <c r="K1588" s="41" t="n">
        <v>135</v>
      </c>
      <c r="L1588" s="42" t="n">
        <f aca="false">J1588*K1588</f>
        <v>144.45</v>
      </c>
      <c r="M1588" s="43" t="n">
        <f aca="false">H1588*57.54*(1+'Chart of Accounts'!$E$67)</f>
        <v>70.495131</v>
      </c>
    </row>
    <row r="1589" customFormat="false" ht="15" hidden="false" customHeight="false" outlineLevel="0" collapsed="false">
      <c r="B1589" s="7" t="s">
        <v>2086</v>
      </c>
      <c r="C1589" s="39" t="n">
        <v>45740</v>
      </c>
      <c r="D1589" s="7" t="s">
        <v>311</v>
      </c>
      <c r="E1589" s="7" t="s">
        <v>154</v>
      </c>
      <c r="F1589" s="7" t="s">
        <v>196</v>
      </c>
      <c r="G1589" s="7" t="s">
        <v>505</v>
      </c>
      <c r="H1589" s="6" t="n">
        <v>2.94</v>
      </c>
      <c r="I1589" s="6" t="n">
        <v>0</v>
      </c>
      <c r="J1589" s="40" t="n">
        <f aca="false">H1589-I1589</f>
        <v>2.94</v>
      </c>
      <c r="K1589" s="41" t="n">
        <v>26.5</v>
      </c>
      <c r="L1589" s="42" t="n">
        <f aca="false">J1589*K1589</f>
        <v>77.91</v>
      </c>
      <c r="M1589" s="43" t="n">
        <f aca="false">H1589*15.05*(1+'Chart of Accounts'!$E$67)</f>
        <v>50.662815</v>
      </c>
    </row>
    <row r="1590" customFormat="false" ht="15" hidden="false" customHeight="false" outlineLevel="0" collapsed="false">
      <c r="B1590" s="7" t="s">
        <v>2087</v>
      </c>
      <c r="C1590" s="39" t="n">
        <v>45740</v>
      </c>
      <c r="D1590" s="7" t="s">
        <v>313</v>
      </c>
      <c r="E1590" s="7" t="s">
        <v>156</v>
      </c>
      <c r="F1590" s="7" t="s">
        <v>184</v>
      </c>
      <c r="G1590" s="7" t="s">
        <v>505</v>
      </c>
      <c r="H1590" s="6" t="n">
        <v>3.91</v>
      </c>
      <c r="I1590" s="6" t="n">
        <v>0</v>
      </c>
      <c r="J1590" s="40" t="n">
        <f aca="false">H1590-I1590</f>
        <v>3.91</v>
      </c>
      <c r="K1590" s="41" t="n">
        <v>34</v>
      </c>
      <c r="L1590" s="42" t="n">
        <f aca="false">J1590*K1590</f>
        <v>132.94</v>
      </c>
      <c r="M1590" s="43" t="n">
        <f aca="false">H1590*17.34*(1+'Chart of Accounts'!$E$67)</f>
        <v>77.630313</v>
      </c>
    </row>
    <row r="1591" customFormat="false" ht="15" hidden="false" customHeight="false" outlineLevel="0" collapsed="false">
      <c r="B1591" s="7" t="s">
        <v>2088</v>
      </c>
      <c r="C1591" s="39" t="n">
        <v>45740</v>
      </c>
      <c r="D1591" s="7" t="s">
        <v>317</v>
      </c>
      <c r="E1591" s="7" t="s">
        <v>156</v>
      </c>
      <c r="F1591" s="7" t="s">
        <v>207</v>
      </c>
      <c r="G1591" s="7" t="s">
        <v>505</v>
      </c>
      <c r="H1591" s="6" t="n">
        <v>2.98</v>
      </c>
      <c r="I1591" s="6" t="n">
        <v>0</v>
      </c>
      <c r="J1591" s="40" t="n">
        <f aca="false">H1591-I1591</f>
        <v>2.98</v>
      </c>
      <c r="K1591" s="41" t="n">
        <v>34</v>
      </c>
      <c r="L1591" s="42" t="n">
        <f aca="false">J1591*K1591</f>
        <v>101.32</v>
      </c>
      <c r="M1591" s="43" t="n">
        <f aca="false">H1591*16.65*(1+'Chart of Accounts'!$E$67)</f>
        <v>56.811465</v>
      </c>
    </row>
    <row r="1592" customFormat="false" ht="15" hidden="false" customHeight="false" outlineLevel="0" collapsed="false">
      <c r="B1592" s="7" t="s">
        <v>2089</v>
      </c>
      <c r="C1592" s="39" t="n">
        <v>45740</v>
      </c>
      <c r="D1592" s="7" t="s">
        <v>321</v>
      </c>
      <c r="E1592" s="7" t="s">
        <v>154</v>
      </c>
      <c r="F1592" s="7" t="s">
        <v>218</v>
      </c>
      <c r="G1592" s="7" t="s">
        <v>505</v>
      </c>
      <c r="H1592" s="6" t="n">
        <v>4.34</v>
      </c>
      <c r="I1592" s="6" t="n">
        <v>0</v>
      </c>
      <c r="J1592" s="40" t="n">
        <f aca="false">H1592-I1592</f>
        <v>4.34</v>
      </c>
      <c r="K1592" s="41" t="n">
        <v>26.5</v>
      </c>
      <c r="L1592" s="42" t="n">
        <f aca="false">J1592*K1592</f>
        <v>115.01</v>
      </c>
      <c r="M1592" s="43" t="n">
        <f aca="false">H1592*16.19*(1+'Chart of Accounts'!$E$67)</f>
        <v>80.452967</v>
      </c>
    </row>
    <row r="1593" customFormat="false" ht="15" hidden="false" customHeight="false" outlineLevel="0" collapsed="false">
      <c r="B1593" s="7" t="s">
        <v>2090</v>
      </c>
      <c r="C1593" s="39" t="n">
        <v>45740</v>
      </c>
      <c r="D1593" s="7" t="s">
        <v>325</v>
      </c>
      <c r="E1593" s="7" t="s">
        <v>154</v>
      </c>
      <c r="F1593" s="7" t="s">
        <v>212</v>
      </c>
      <c r="G1593" s="7" t="s">
        <v>505</v>
      </c>
      <c r="H1593" s="6" t="n">
        <v>3.3</v>
      </c>
      <c r="I1593" s="6" t="n">
        <v>0.099</v>
      </c>
      <c r="J1593" s="40" t="n">
        <f aca="false">H1593-I1593</f>
        <v>3.201</v>
      </c>
      <c r="K1593" s="41" t="n">
        <v>26.5</v>
      </c>
      <c r="L1593" s="42" t="n">
        <f aca="false">J1593*K1593</f>
        <v>84.8265</v>
      </c>
      <c r="M1593" s="43" t="n">
        <f aca="false">H1593*16.71*(1+'Chart of Accounts'!$E$67)</f>
        <v>63.138735</v>
      </c>
    </row>
    <row r="1594" customFormat="false" ht="15" hidden="false" customHeight="false" outlineLevel="0" collapsed="false">
      <c r="B1594" s="7" t="s">
        <v>2091</v>
      </c>
      <c r="C1594" s="39" t="n">
        <v>45740</v>
      </c>
      <c r="D1594" s="7" t="s">
        <v>331</v>
      </c>
      <c r="E1594" s="7" t="s">
        <v>156</v>
      </c>
      <c r="F1594" s="7" t="s">
        <v>224</v>
      </c>
      <c r="G1594" s="7" t="s">
        <v>505</v>
      </c>
      <c r="H1594" s="6" t="n">
        <v>4.31</v>
      </c>
      <c r="I1594" s="6" t="n">
        <v>0</v>
      </c>
      <c r="J1594" s="40" t="n">
        <f aca="false">H1594-I1594</f>
        <v>4.31</v>
      </c>
      <c r="K1594" s="41" t="n">
        <v>34</v>
      </c>
      <c r="L1594" s="42" t="n">
        <f aca="false">J1594*K1594</f>
        <v>146.54</v>
      </c>
      <c r="M1594" s="43" t="n">
        <f aca="false">H1594*14.93*(1+'Chart of Accounts'!$E$67)</f>
        <v>73.6788035</v>
      </c>
    </row>
    <row r="1595" customFormat="false" ht="15" hidden="false" customHeight="false" outlineLevel="0" collapsed="false">
      <c r="B1595" s="7" t="s">
        <v>2092</v>
      </c>
      <c r="C1595" s="39" t="n">
        <v>45740</v>
      </c>
      <c r="D1595" s="7" t="s">
        <v>335</v>
      </c>
      <c r="E1595" s="7" t="s">
        <v>154</v>
      </c>
      <c r="F1595" s="7" t="s">
        <v>177</v>
      </c>
      <c r="G1595" s="7" t="s">
        <v>505</v>
      </c>
      <c r="H1595" s="6" t="n">
        <v>3.71</v>
      </c>
      <c r="I1595" s="6" t="n">
        <v>0</v>
      </c>
      <c r="J1595" s="40" t="n">
        <f aca="false">H1595-I1595</f>
        <v>3.71</v>
      </c>
      <c r="K1595" s="41" t="n">
        <v>26.5</v>
      </c>
      <c r="L1595" s="42" t="n">
        <f aca="false">J1595*K1595</f>
        <v>98.315</v>
      </c>
      <c r="M1595" s="43" t="n">
        <f aca="false">H1595*14.56*(1+'Chart of Accounts'!$E$67)</f>
        <v>61.850152</v>
      </c>
    </row>
    <row r="1596" customFormat="false" ht="15" hidden="false" customHeight="false" outlineLevel="0" collapsed="false">
      <c r="B1596" s="7" t="s">
        <v>2093</v>
      </c>
      <c r="C1596" s="39" t="n">
        <v>45740</v>
      </c>
      <c r="D1596" s="7" t="s">
        <v>337</v>
      </c>
      <c r="E1596" s="7" t="s">
        <v>154</v>
      </c>
      <c r="F1596" s="7" t="s">
        <v>232</v>
      </c>
      <c r="G1596" s="7" t="s">
        <v>505</v>
      </c>
      <c r="H1596" s="6" t="n">
        <v>3.22</v>
      </c>
      <c r="I1596" s="6" t="n">
        <v>0</v>
      </c>
      <c r="J1596" s="40" t="n">
        <f aca="false">H1596-I1596</f>
        <v>3.22</v>
      </c>
      <c r="K1596" s="41" t="n">
        <v>26.5</v>
      </c>
      <c r="L1596" s="42" t="n">
        <f aca="false">J1596*K1596</f>
        <v>85.33</v>
      </c>
      <c r="M1596" s="43" t="n">
        <f aca="false">H1596*16.17*(1+'Chart of Accounts'!$E$67)</f>
        <v>59.617173</v>
      </c>
    </row>
    <row r="1597" customFormat="false" ht="15" hidden="false" customHeight="false" outlineLevel="0" collapsed="false">
      <c r="B1597" s="7" t="s">
        <v>2094</v>
      </c>
      <c r="C1597" s="39" t="n">
        <v>45740</v>
      </c>
      <c r="D1597" s="7" t="s">
        <v>339</v>
      </c>
      <c r="E1597" s="7" t="s">
        <v>154</v>
      </c>
      <c r="F1597" s="7" t="s">
        <v>242</v>
      </c>
      <c r="G1597" s="7" t="s">
        <v>505</v>
      </c>
      <c r="H1597" s="6" t="n">
        <v>3.62</v>
      </c>
      <c r="I1597" s="6" t="n">
        <v>0</v>
      </c>
      <c r="J1597" s="40" t="n">
        <f aca="false">H1597-I1597</f>
        <v>3.62</v>
      </c>
      <c r="K1597" s="41" t="n">
        <v>26.5</v>
      </c>
      <c r="L1597" s="42" t="n">
        <f aca="false">J1597*K1597</f>
        <v>95.93</v>
      </c>
      <c r="M1597" s="43" t="n">
        <f aca="false">H1597*17.99*(1+'Chart of Accounts'!$E$67)</f>
        <v>74.566751</v>
      </c>
    </row>
    <row r="1598" customFormat="false" ht="15" hidden="false" customHeight="false" outlineLevel="0" collapsed="false">
      <c r="B1598" s="7" t="s">
        <v>2095</v>
      </c>
      <c r="C1598" s="39" t="n">
        <v>45740</v>
      </c>
      <c r="D1598" s="7" t="s">
        <v>341</v>
      </c>
      <c r="E1598" s="7" t="s">
        <v>156</v>
      </c>
      <c r="F1598" s="7" t="s">
        <v>222</v>
      </c>
      <c r="G1598" s="7" t="s">
        <v>505</v>
      </c>
      <c r="H1598" s="6" t="n">
        <v>2.95</v>
      </c>
      <c r="I1598" s="6" t="n">
        <v>0</v>
      </c>
      <c r="J1598" s="40" t="n">
        <f aca="false">H1598-I1598</f>
        <v>2.95</v>
      </c>
      <c r="K1598" s="41" t="n">
        <v>34</v>
      </c>
      <c r="L1598" s="42" t="n">
        <f aca="false">J1598*K1598</f>
        <v>100.3</v>
      </c>
      <c r="M1598" s="43" t="n">
        <f aca="false">H1598*17.84*(1+'Chart of Accounts'!$E$67)</f>
        <v>60.25906</v>
      </c>
    </row>
    <row r="1599" customFormat="false" ht="15" hidden="false" customHeight="false" outlineLevel="0" collapsed="false">
      <c r="B1599" s="7" t="s">
        <v>2096</v>
      </c>
      <c r="C1599" s="39" t="n">
        <v>45740</v>
      </c>
      <c r="D1599" s="7" t="s">
        <v>343</v>
      </c>
      <c r="E1599" s="7" t="s">
        <v>154</v>
      </c>
      <c r="F1599" s="7" t="s">
        <v>262</v>
      </c>
      <c r="G1599" s="7" t="s">
        <v>505</v>
      </c>
      <c r="H1599" s="6" t="n">
        <v>3.78</v>
      </c>
      <c r="I1599" s="6" t="n">
        <v>0.113</v>
      </c>
      <c r="J1599" s="40" t="n">
        <f aca="false">H1599-I1599</f>
        <v>3.667</v>
      </c>
      <c r="K1599" s="41" t="n">
        <v>26.5</v>
      </c>
      <c r="L1599" s="42" t="n">
        <f aca="false">J1599*K1599</f>
        <v>97.1755</v>
      </c>
      <c r="M1599" s="43" t="n">
        <f aca="false">H1599*16.02*(1+'Chart of Accounts'!$E$67)</f>
        <v>69.336162</v>
      </c>
    </row>
    <row r="1600" customFormat="false" ht="15" hidden="false" customHeight="false" outlineLevel="0" collapsed="false">
      <c r="B1600" s="7" t="s">
        <v>2097</v>
      </c>
      <c r="C1600" s="39" t="n">
        <v>45740</v>
      </c>
      <c r="D1600" s="7" t="s">
        <v>353</v>
      </c>
      <c r="E1600" s="7" t="s">
        <v>154</v>
      </c>
      <c r="F1600" s="7" t="s">
        <v>254</v>
      </c>
      <c r="G1600" s="7" t="s">
        <v>505</v>
      </c>
      <c r="H1600" s="6" t="n">
        <v>3.33</v>
      </c>
      <c r="I1600" s="6" t="n">
        <v>0</v>
      </c>
      <c r="J1600" s="40" t="n">
        <f aca="false">H1600-I1600</f>
        <v>3.33</v>
      </c>
      <c r="K1600" s="41" t="n">
        <v>26.5</v>
      </c>
      <c r="L1600" s="42" t="n">
        <f aca="false">J1600*K1600</f>
        <v>88.245</v>
      </c>
      <c r="M1600" s="43" t="n">
        <f aca="false">H1600*17.1*(1+'Chart of Accounts'!$E$67)</f>
        <v>65.199735</v>
      </c>
    </row>
    <row r="1601" customFormat="false" ht="15" hidden="false" customHeight="false" outlineLevel="0" collapsed="false">
      <c r="B1601" s="7" t="s">
        <v>2098</v>
      </c>
      <c r="C1601" s="39" t="n">
        <v>45740</v>
      </c>
      <c r="D1601" s="7" t="s">
        <v>355</v>
      </c>
      <c r="E1601" s="7" t="s">
        <v>154</v>
      </c>
      <c r="F1601" s="7" t="s">
        <v>201</v>
      </c>
      <c r="G1601" s="7" t="s">
        <v>505</v>
      </c>
      <c r="H1601" s="6" t="n">
        <v>3.18</v>
      </c>
      <c r="I1601" s="6" t="n">
        <v>0</v>
      </c>
      <c r="J1601" s="40" t="n">
        <f aca="false">H1601-I1601</f>
        <v>3.18</v>
      </c>
      <c r="K1601" s="41" t="n">
        <v>26.5</v>
      </c>
      <c r="L1601" s="42" t="n">
        <f aca="false">J1601*K1601</f>
        <v>84.27</v>
      </c>
      <c r="M1601" s="43" t="n">
        <f aca="false">H1601*15.19*(1+'Chart of Accounts'!$E$67)</f>
        <v>55.308309</v>
      </c>
    </row>
    <row r="1602" customFormat="false" ht="15" hidden="false" customHeight="false" outlineLevel="0" collapsed="false">
      <c r="B1602" s="7" t="s">
        <v>2099</v>
      </c>
      <c r="C1602" s="39" t="n">
        <v>45740</v>
      </c>
      <c r="D1602" s="7" t="s">
        <v>357</v>
      </c>
      <c r="E1602" s="7" t="s">
        <v>154</v>
      </c>
      <c r="F1602" s="7" t="s">
        <v>207</v>
      </c>
      <c r="G1602" s="7" t="s">
        <v>505</v>
      </c>
      <c r="H1602" s="6" t="n">
        <v>3.02</v>
      </c>
      <c r="I1602" s="6" t="n">
        <v>0</v>
      </c>
      <c r="J1602" s="40" t="n">
        <f aca="false">H1602-I1602</f>
        <v>3.02</v>
      </c>
      <c r="K1602" s="41" t="n">
        <v>26.5</v>
      </c>
      <c r="L1602" s="42" t="n">
        <f aca="false">J1602*K1602</f>
        <v>80.03</v>
      </c>
      <c r="M1602" s="43" t="n">
        <f aca="false">H1602*16.65*(1+'Chart of Accounts'!$E$67)</f>
        <v>57.574035</v>
      </c>
    </row>
    <row r="1603" customFormat="false" ht="15" hidden="false" customHeight="false" outlineLevel="0" collapsed="false">
      <c r="B1603" s="7" t="s">
        <v>2100</v>
      </c>
      <c r="C1603" s="39" t="n">
        <v>45740</v>
      </c>
      <c r="D1603" s="7" t="s">
        <v>359</v>
      </c>
      <c r="E1603" s="7" t="s">
        <v>156</v>
      </c>
      <c r="F1603" s="7" t="s">
        <v>212</v>
      </c>
      <c r="G1603" s="7" t="s">
        <v>505</v>
      </c>
      <c r="H1603" s="6" t="n">
        <v>3.89</v>
      </c>
      <c r="I1603" s="6" t="n">
        <v>0</v>
      </c>
      <c r="J1603" s="40" t="n">
        <f aca="false">H1603-I1603</f>
        <v>3.89</v>
      </c>
      <c r="K1603" s="41" t="n">
        <v>34</v>
      </c>
      <c r="L1603" s="42" t="n">
        <f aca="false">J1603*K1603</f>
        <v>132.26</v>
      </c>
      <c r="M1603" s="43" t="n">
        <f aca="false">H1603*16.71*(1+'Chart of Accounts'!$E$67)</f>
        <v>74.4271755</v>
      </c>
    </row>
    <row r="1604" customFormat="false" ht="15" hidden="false" customHeight="false" outlineLevel="0" collapsed="false">
      <c r="B1604" s="7" t="s">
        <v>2101</v>
      </c>
      <c r="C1604" s="39" t="n">
        <v>45740</v>
      </c>
      <c r="D1604" s="7" t="s">
        <v>363</v>
      </c>
      <c r="E1604" s="7" t="s">
        <v>156</v>
      </c>
      <c r="F1604" s="7" t="s">
        <v>246</v>
      </c>
      <c r="G1604" s="7" t="s">
        <v>505</v>
      </c>
      <c r="H1604" s="6" t="n">
        <v>3.66</v>
      </c>
      <c r="I1604" s="6" t="n">
        <v>0</v>
      </c>
      <c r="J1604" s="40" t="n">
        <f aca="false">H1604-I1604</f>
        <v>3.66</v>
      </c>
      <c r="K1604" s="41" t="n">
        <v>34</v>
      </c>
      <c r="L1604" s="42" t="n">
        <f aca="false">J1604*K1604</f>
        <v>124.44</v>
      </c>
      <c r="M1604" s="43" t="n">
        <f aca="false">H1604*16.48*(1+'Chart of Accounts'!$E$67)</f>
        <v>69.062736</v>
      </c>
    </row>
    <row r="1605" customFormat="false" ht="15" hidden="false" customHeight="false" outlineLevel="0" collapsed="false">
      <c r="B1605" s="7" t="s">
        <v>2102</v>
      </c>
      <c r="C1605" s="39" t="n">
        <v>45740</v>
      </c>
      <c r="D1605" s="7" t="s">
        <v>371</v>
      </c>
      <c r="E1605" s="7" t="s">
        <v>154</v>
      </c>
      <c r="F1605" s="7" t="s">
        <v>232</v>
      </c>
      <c r="G1605" s="7" t="s">
        <v>505</v>
      </c>
      <c r="H1605" s="6" t="n">
        <v>5</v>
      </c>
      <c r="I1605" s="6" t="n">
        <v>0</v>
      </c>
      <c r="J1605" s="40" t="n">
        <f aca="false">H1605-I1605</f>
        <v>5</v>
      </c>
      <c r="K1605" s="41" t="n">
        <v>26.5</v>
      </c>
      <c r="L1605" s="42" t="n">
        <f aca="false">J1605*K1605</f>
        <v>132.5</v>
      </c>
      <c r="M1605" s="43" t="n">
        <f aca="false">H1605*16.17*(1+'Chart of Accounts'!$E$67)</f>
        <v>92.57325</v>
      </c>
    </row>
    <row r="1606" customFormat="false" ht="15" hidden="false" customHeight="false" outlineLevel="0" collapsed="false">
      <c r="B1606" s="7" t="s">
        <v>2103</v>
      </c>
      <c r="C1606" s="39" t="n">
        <v>45740</v>
      </c>
      <c r="D1606" s="7" t="s">
        <v>375</v>
      </c>
      <c r="E1606" s="7" t="s">
        <v>156</v>
      </c>
      <c r="F1606" s="7" t="s">
        <v>196</v>
      </c>
      <c r="G1606" s="7" t="s">
        <v>505</v>
      </c>
      <c r="H1606" s="6" t="n">
        <v>3.01</v>
      </c>
      <c r="I1606" s="6" t="n">
        <v>0</v>
      </c>
      <c r="J1606" s="40" t="n">
        <f aca="false">H1606-I1606</f>
        <v>3.01</v>
      </c>
      <c r="K1606" s="41" t="n">
        <v>34</v>
      </c>
      <c r="L1606" s="42" t="n">
        <f aca="false">J1606*K1606</f>
        <v>102.34</v>
      </c>
      <c r="M1606" s="43" t="n">
        <f aca="false">H1606*15.05*(1+'Chart of Accounts'!$E$67)</f>
        <v>51.8690725</v>
      </c>
    </row>
    <row r="1607" customFormat="false" ht="15" hidden="false" customHeight="false" outlineLevel="0" collapsed="false">
      <c r="B1607" s="7" t="s">
        <v>2104</v>
      </c>
      <c r="C1607" s="39" t="n">
        <v>45740</v>
      </c>
      <c r="D1607" s="7" t="s">
        <v>377</v>
      </c>
      <c r="E1607" s="7" t="s">
        <v>154</v>
      </c>
      <c r="F1607" s="7" t="s">
        <v>214</v>
      </c>
      <c r="G1607" s="7" t="s">
        <v>505</v>
      </c>
      <c r="H1607" s="6" t="n">
        <v>3.8</v>
      </c>
      <c r="I1607" s="6" t="n">
        <v>0</v>
      </c>
      <c r="J1607" s="40" t="n">
        <f aca="false">H1607-I1607</f>
        <v>3.8</v>
      </c>
      <c r="K1607" s="41" t="n">
        <v>26.5</v>
      </c>
      <c r="L1607" s="42" t="n">
        <f aca="false">J1607*K1607</f>
        <v>100.7</v>
      </c>
      <c r="M1607" s="43" t="n">
        <f aca="false">H1607*15.67*(1+'Chart of Accounts'!$E$67)</f>
        <v>68.18017</v>
      </c>
    </row>
    <row r="1608" customFormat="false" ht="15" hidden="false" customHeight="false" outlineLevel="0" collapsed="false">
      <c r="B1608" s="7" t="s">
        <v>2105</v>
      </c>
      <c r="C1608" s="39" t="n">
        <v>45740</v>
      </c>
      <c r="D1608" s="7" t="s">
        <v>379</v>
      </c>
      <c r="E1608" s="7" t="s">
        <v>156</v>
      </c>
      <c r="F1608" s="7" t="s">
        <v>224</v>
      </c>
      <c r="G1608" s="7" t="s">
        <v>505</v>
      </c>
      <c r="H1608" s="6" t="n">
        <v>4.82</v>
      </c>
      <c r="I1608" s="6" t="n">
        <v>0</v>
      </c>
      <c r="J1608" s="40" t="n">
        <f aca="false">H1608-I1608</f>
        <v>4.82</v>
      </c>
      <c r="K1608" s="41" t="n">
        <v>34</v>
      </c>
      <c r="L1608" s="42" t="n">
        <f aca="false">J1608*K1608</f>
        <v>163.88</v>
      </c>
      <c r="M1608" s="43" t="n">
        <f aca="false">H1608*14.93*(1+'Chart of Accounts'!$E$67)</f>
        <v>82.397177</v>
      </c>
    </row>
    <row r="1609" customFormat="false" ht="15" hidden="false" customHeight="false" outlineLevel="0" collapsed="false">
      <c r="B1609" s="7" t="s">
        <v>2106</v>
      </c>
      <c r="C1609" s="39" t="n">
        <v>45740</v>
      </c>
      <c r="D1609" s="7" t="s">
        <v>389</v>
      </c>
      <c r="E1609" s="7" t="s">
        <v>154</v>
      </c>
      <c r="F1609" s="7" t="s">
        <v>246</v>
      </c>
      <c r="G1609" s="7" t="s">
        <v>505</v>
      </c>
      <c r="H1609" s="6" t="n">
        <v>4.06</v>
      </c>
      <c r="I1609" s="6" t="n">
        <v>0</v>
      </c>
      <c r="J1609" s="40" t="n">
        <f aca="false">H1609-I1609</f>
        <v>4.06</v>
      </c>
      <c r="K1609" s="41" t="n">
        <v>26.5</v>
      </c>
      <c r="L1609" s="42" t="n">
        <f aca="false">J1609*K1609</f>
        <v>107.59</v>
      </c>
      <c r="M1609" s="43" t="n">
        <f aca="false">H1609*16.48*(1+'Chart of Accounts'!$E$67)</f>
        <v>76.610576</v>
      </c>
    </row>
    <row r="1610" customFormat="false" ht="15" hidden="false" customHeight="false" outlineLevel="0" collapsed="false">
      <c r="B1610" s="7" t="s">
        <v>2107</v>
      </c>
      <c r="C1610" s="39" t="n">
        <v>45740</v>
      </c>
      <c r="D1610" s="7" t="s">
        <v>395</v>
      </c>
      <c r="E1610" s="7" t="s">
        <v>156</v>
      </c>
      <c r="F1610" s="7" t="s">
        <v>242</v>
      </c>
      <c r="G1610" s="7" t="s">
        <v>505</v>
      </c>
      <c r="H1610" s="6" t="n">
        <v>4.01</v>
      </c>
      <c r="I1610" s="6" t="n">
        <v>0</v>
      </c>
      <c r="J1610" s="40" t="n">
        <f aca="false">H1610-I1610</f>
        <v>4.01</v>
      </c>
      <c r="K1610" s="41" t="n">
        <v>34</v>
      </c>
      <c r="L1610" s="42" t="n">
        <f aca="false">J1610*K1610</f>
        <v>136.34</v>
      </c>
      <c r="M1610" s="43" t="n">
        <f aca="false">H1610*17.99*(1+'Chart of Accounts'!$E$67)</f>
        <v>82.6001855</v>
      </c>
    </row>
    <row r="1611" customFormat="false" ht="15" hidden="false" customHeight="false" outlineLevel="0" collapsed="false">
      <c r="B1611" s="7" t="s">
        <v>2108</v>
      </c>
      <c r="C1611" s="39" t="n">
        <v>45740</v>
      </c>
      <c r="D1611" s="7" t="s">
        <v>399</v>
      </c>
      <c r="E1611" s="7" t="s">
        <v>154</v>
      </c>
      <c r="F1611" s="7" t="s">
        <v>262</v>
      </c>
      <c r="G1611" s="7" t="s">
        <v>505</v>
      </c>
      <c r="H1611" s="6" t="n">
        <v>3.28</v>
      </c>
      <c r="I1611" s="6" t="n">
        <v>0</v>
      </c>
      <c r="J1611" s="40" t="n">
        <f aca="false">H1611-I1611</f>
        <v>3.28</v>
      </c>
      <c r="K1611" s="41" t="n">
        <v>26.5</v>
      </c>
      <c r="L1611" s="42" t="n">
        <f aca="false">J1611*K1611</f>
        <v>86.92</v>
      </c>
      <c r="M1611" s="43" t="n">
        <f aca="false">H1611*16.02*(1+'Chart of Accounts'!$E$67)</f>
        <v>60.164712</v>
      </c>
    </row>
    <row r="1612" customFormat="false" ht="15" hidden="false" customHeight="false" outlineLevel="0" collapsed="false">
      <c r="B1612" s="7" t="s">
        <v>2109</v>
      </c>
      <c r="C1612" s="39" t="n">
        <v>45740</v>
      </c>
      <c r="D1612" s="7" t="s">
        <v>401</v>
      </c>
      <c r="E1612" s="7" t="s">
        <v>156</v>
      </c>
      <c r="F1612" s="7" t="s">
        <v>254</v>
      </c>
      <c r="G1612" s="7" t="s">
        <v>505</v>
      </c>
      <c r="H1612" s="6" t="n">
        <v>3.83</v>
      </c>
      <c r="I1612" s="6" t="n">
        <v>0</v>
      </c>
      <c r="J1612" s="40" t="n">
        <f aca="false">H1612-I1612</f>
        <v>3.83</v>
      </c>
      <c r="K1612" s="41" t="n">
        <v>34</v>
      </c>
      <c r="L1612" s="42" t="n">
        <f aca="false">J1612*K1612</f>
        <v>130.22</v>
      </c>
      <c r="M1612" s="43" t="n">
        <f aca="false">H1612*17.1*(1+'Chart of Accounts'!$E$67)</f>
        <v>74.989485</v>
      </c>
    </row>
    <row r="1613" customFormat="false" ht="15" hidden="false" customHeight="false" outlineLevel="0" collapsed="false">
      <c r="B1613" s="7" t="s">
        <v>2110</v>
      </c>
      <c r="C1613" s="39" t="n">
        <v>45740</v>
      </c>
      <c r="D1613" s="7" t="s">
        <v>409</v>
      </c>
      <c r="E1613" s="7" t="s">
        <v>154</v>
      </c>
      <c r="F1613" s="7" t="s">
        <v>214</v>
      </c>
      <c r="G1613" s="7" t="s">
        <v>505</v>
      </c>
      <c r="H1613" s="6" t="n">
        <v>3.5</v>
      </c>
      <c r="I1613" s="6" t="n">
        <v>0</v>
      </c>
      <c r="J1613" s="40" t="n">
        <f aca="false">H1613-I1613</f>
        <v>3.5</v>
      </c>
      <c r="K1613" s="41" t="n">
        <v>26.5</v>
      </c>
      <c r="L1613" s="42" t="n">
        <f aca="false">J1613*K1613</f>
        <v>92.75</v>
      </c>
      <c r="M1613" s="43" t="n">
        <f aca="false">H1613*15.67*(1+'Chart of Accounts'!$E$67)</f>
        <v>62.797525</v>
      </c>
    </row>
    <row r="1614" customFormat="false" ht="15" hidden="false" customHeight="false" outlineLevel="0" collapsed="false">
      <c r="B1614" s="7" t="s">
        <v>2111</v>
      </c>
      <c r="C1614" s="39" t="n">
        <v>45740</v>
      </c>
      <c r="D1614" s="7" t="s">
        <v>411</v>
      </c>
      <c r="E1614" s="7" t="s">
        <v>154</v>
      </c>
      <c r="F1614" s="7" t="s">
        <v>177</v>
      </c>
      <c r="G1614" s="7" t="s">
        <v>505</v>
      </c>
      <c r="H1614" s="6" t="n">
        <v>4.26</v>
      </c>
      <c r="I1614" s="6" t="n">
        <v>0</v>
      </c>
      <c r="J1614" s="40" t="n">
        <f aca="false">H1614-I1614</f>
        <v>4.26</v>
      </c>
      <c r="K1614" s="41" t="n">
        <v>26.5</v>
      </c>
      <c r="L1614" s="42" t="n">
        <f aca="false">J1614*K1614</f>
        <v>112.89</v>
      </c>
      <c r="M1614" s="43" t="n">
        <f aca="false">H1614*14.56*(1+'Chart of Accounts'!$E$67)</f>
        <v>71.019312</v>
      </c>
    </row>
    <row r="1615" customFormat="false" ht="15" hidden="false" customHeight="false" outlineLevel="0" collapsed="false">
      <c r="B1615" s="7" t="s">
        <v>2112</v>
      </c>
      <c r="C1615" s="39" t="n">
        <v>45741</v>
      </c>
      <c r="D1615" s="7" t="s">
        <v>288</v>
      </c>
      <c r="E1615" s="7" t="s">
        <v>156</v>
      </c>
      <c r="F1615" s="7" t="s">
        <v>191</v>
      </c>
      <c r="G1615" s="7" t="s">
        <v>505</v>
      </c>
      <c r="H1615" s="6" t="n">
        <v>3.64</v>
      </c>
      <c r="I1615" s="6" t="n">
        <v>0</v>
      </c>
      <c r="J1615" s="40" t="n">
        <f aca="false">H1615-I1615</f>
        <v>3.64</v>
      </c>
      <c r="K1615" s="41" t="n">
        <v>34</v>
      </c>
      <c r="L1615" s="42" t="n">
        <f aca="false">J1615*K1615</f>
        <v>123.76</v>
      </c>
      <c r="M1615" s="43" t="n">
        <f aca="false">H1615*16.05*(1+'Chart of Accounts'!$E$67)</f>
        <v>66.89319</v>
      </c>
    </row>
    <row r="1616" customFormat="false" ht="15" hidden="false" customHeight="false" outlineLevel="0" collapsed="false">
      <c r="B1616" s="7" t="s">
        <v>2113</v>
      </c>
      <c r="C1616" s="39" t="n">
        <v>45741</v>
      </c>
      <c r="D1616" s="7" t="s">
        <v>301</v>
      </c>
      <c r="E1616" s="7" t="s">
        <v>157</v>
      </c>
      <c r="F1616" s="7" t="s">
        <v>209</v>
      </c>
      <c r="G1616" s="7" t="s">
        <v>502</v>
      </c>
      <c r="H1616" s="6" t="n">
        <v>1.02</v>
      </c>
      <c r="I1616" s="6" t="n">
        <v>0.051</v>
      </c>
      <c r="J1616" s="40" t="n">
        <f aca="false">H1616-I1616</f>
        <v>0.969</v>
      </c>
      <c r="K1616" s="41" t="n">
        <v>165</v>
      </c>
      <c r="L1616" s="42" t="n">
        <f aca="false">J1616*K1616</f>
        <v>159.885</v>
      </c>
      <c r="M1616" s="43" t="n">
        <f aca="false">H1616*73.58*(1+'Chart of Accounts'!$E$67)</f>
        <v>85.934082</v>
      </c>
    </row>
    <row r="1617" customFormat="false" ht="15" hidden="false" customHeight="false" outlineLevel="0" collapsed="false">
      <c r="B1617" s="7" t="s">
        <v>2114</v>
      </c>
      <c r="C1617" s="39" t="n">
        <v>45741</v>
      </c>
      <c r="D1617" s="7" t="s">
        <v>313</v>
      </c>
      <c r="E1617" s="7" t="s">
        <v>156</v>
      </c>
      <c r="F1617" s="7" t="s">
        <v>184</v>
      </c>
      <c r="G1617" s="7" t="s">
        <v>505</v>
      </c>
      <c r="H1617" s="6" t="n">
        <v>4</v>
      </c>
      <c r="I1617" s="6" t="n">
        <v>0</v>
      </c>
      <c r="J1617" s="40" t="n">
        <f aca="false">H1617-I1617</f>
        <v>4</v>
      </c>
      <c r="K1617" s="41" t="n">
        <v>34</v>
      </c>
      <c r="L1617" s="42" t="n">
        <f aca="false">J1617*K1617</f>
        <v>136</v>
      </c>
      <c r="M1617" s="43" t="n">
        <f aca="false">H1617*17.34*(1+'Chart of Accounts'!$E$67)</f>
        <v>79.4172</v>
      </c>
    </row>
    <row r="1618" customFormat="false" ht="15" hidden="false" customHeight="false" outlineLevel="0" collapsed="false">
      <c r="B1618" s="7" t="s">
        <v>2115</v>
      </c>
      <c r="C1618" s="39" t="n">
        <v>45741</v>
      </c>
      <c r="D1618" s="7" t="s">
        <v>319</v>
      </c>
      <c r="E1618" s="7" t="s">
        <v>157</v>
      </c>
      <c r="F1618" s="7" t="s">
        <v>234</v>
      </c>
      <c r="G1618" s="7" t="s">
        <v>502</v>
      </c>
      <c r="H1618" s="6" t="n">
        <v>0.93</v>
      </c>
      <c r="I1618" s="6" t="n">
        <v>0</v>
      </c>
      <c r="J1618" s="40" t="n">
        <f aca="false">H1618-I1618</f>
        <v>0.93</v>
      </c>
      <c r="K1618" s="41" t="n">
        <v>165</v>
      </c>
      <c r="L1618" s="42" t="n">
        <f aca="false">J1618*K1618</f>
        <v>153.45</v>
      </c>
      <c r="M1618" s="43" t="n">
        <f aca="false">H1618*89.53*(1+'Chart of Accounts'!$E$67)</f>
        <v>95.3360205</v>
      </c>
    </row>
    <row r="1619" customFormat="false" ht="15" hidden="false" customHeight="false" outlineLevel="0" collapsed="false">
      <c r="B1619" s="7" t="s">
        <v>2116</v>
      </c>
      <c r="C1619" s="39" t="n">
        <v>45741</v>
      </c>
      <c r="D1619" s="7" t="s">
        <v>321</v>
      </c>
      <c r="E1619" s="7" t="s">
        <v>154</v>
      </c>
      <c r="F1619" s="7" t="s">
        <v>218</v>
      </c>
      <c r="G1619" s="7" t="s">
        <v>505</v>
      </c>
      <c r="H1619" s="6" t="n">
        <v>3.61</v>
      </c>
      <c r="I1619" s="6" t="n">
        <v>0</v>
      </c>
      <c r="J1619" s="40" t="n">
        <f aca="false">H1619-I1619</f>
        <v>3.61</v>
      </c>
      <c r="K1619" s="41" t="n">
        <v>26.5</v>
      </c>
      <c r="L1619" s="42" t="n">
        <f aca="false">J1619*K1619</f>
        <v>95.665</v>
      </c>
      <c r="M1619" s="43" t="n">
        <f aca="false">H1619*16.19*(1+'Chart of Accounts'!$E$67)</f>
        <v>66.9205555</v>
      </c>
    </row>
    <row r="1620" customFormat="false" ht="15" hidden="false" customHeight="false" outlineLevel="0" collapsed="false">
      <c r="B1620" s="7" t="s">
        <v>2117</v>
      </c>
      <c r="C1620" s="39" t="n">
        <v>45741</v>
      </c>
      <c r="D1620" s="7" t="s">
        <v>323</v>
      </c>
      <c r="E1620" s="7" t="s">
        <v>159</v>
      </c>
      <c r="F1620" s="7" t="s">
        <v>266</v>
      </c>
      <c r="G1620" s="7" t="s">
        <v>502</v>
      </c>
      <c r="H1620" s="6" t="n">
        <v>1.02</v>
      </c>
      <c r="I1620" s="6" t="n">
        <v>0</v>
      </c>
      <c r="J1620" s="40" t="n">
        <f aca="false">H1620-I1620</f>
        <v>1.02</v>
      </c>
      <c r="K1620" s="41" t="n">
        <v>135</v>
      </c>
      <c r="L1620" s="42" t="n">
        <f aca="false">J1620*K1620</f>
        <v>137.7</v>
      </c>
      <c r="M1620" s="43" t="n">
        <f aca="false">H1620*75.18*(1+'Chart of Accounts'!$E$67)</f>
        <v>87.802722</v>
      </c>
    </row>
    <row r="1621" customFormat="false" ht="15" hidden="false" customHeight="false" outlineLevel="0" collapsed="false">
      <c r="B1621" s="7" t="s">
        <v>2118</v>
      </c>
      <c r="C1621" s="39" t="n">
        <v>45741</v>
      </c>
      <c r="D1621" s="7" t="s">
        <v>327</v>
      </c>
      <c r="E1621" s="7" t="s">
        <v>157</v>
      </c>
      <c r="F1621" s="7" t="s">
        <v>228</v>
      </c>
      <c r="G1621" s="7" t="s">
        <v>502</v>
      </c>
      <c r="H1621" s="6" t="n">
        <v>1.06</v>
      </c>
      <c r="I1621" s="6" t="n">
        <v>0</v>
      </c>
      <c r="J1621" s="40" t="n">
        <f aca="false">H1621-I1621</f>
        <v>1.06</v>
      </c>
      <c r="K1621" s="41" t="n">
        <v>165</v>
      </c>
      <c r="L1621" s="42" t="n">
        <f aca="false">J1621*K1621</f>
        <v>174.9</v>
      </c>
      <c r="M1621" s="43" t="n">
        <f aca="false">H1621*51.07*(1+'Chart of Accounts'!$E$67)</f>
        <v>61.983659</v>
      </c>
    </row>
    <row r="1622" customFormat="false" ht="15" hidden="false" customHeight="false" outlineLevel="0" collapsed="false">
      <c r="B1622" s="7" t="s">
        <v>2119</v>
      </c>
      <c r="C1622" s="39" t="n">
        <v>45741</v>
      </c>
      <c r="D1622" s="7" t="s">
        <v>329</v>
      </c>
      <c r="E1622" s="7" t="s">
        <v>156</v>
      </c>
      <c r="F1622" s="7" t="s">
        <v>220</v>
      </c>
      <c r="G1622" s="7" t="s">
        <v>505</v>
      </c>
      <c r="H1622" s="6" t="n">
        <v>3.99</v>
      </c>
      <c r="I1622" s="6" t="n">
        <v>0</v>
      </c>
      <c r="J1622" s="40" t="n">
        <f aca="false">H1622-I1622</f>
        <v>3.99</v>
      </c>
      <c r="K1622" s="41" t="n">
        <v>34</v>
      </c>
      <c r="L1622" s="42" t="n">
        <f aca="false">J1622*K1622</f>
        <v>135.66</v>
      </c>
      <c r="M1622" s="43" t="n">
        <f aca="false">H1622*16.43*(1+'Chart of Accounts'!$E$67)</f>
        <v>75.0612765</v>
      </c>
    </row>
    <row r="1623" customFormat="false" ht="15" hidden="false" customHeight="false" outlineLevel="0" collapsed="false">
      <c r="B1623" s="7" t="s">
        <v>2120</v>
      </c>
      <c r="C1623" s="39" t="n">
        <v>45741</v>
      </c>
      <c r="D1623" s="7" t="s">
        <v>359</v>
      </c>
      <c r="E1623" s="7" t="s">
        <v>156</v>
      </c>
      <c r="F1623" s="7" t="s">
        <v>212</v>
      </c>
      <c r="G1623" s="7" t="s">
        <v>505</v>
      </c>
      <c r="H1623" s="6" t="n">
        <v>3.87</v>
      </c>
      <c r="I1623" s="6" t="n">
        <v>0</v>
      </c>
      <c r="J1623" s="40" t="n">
        <f aca="false">H1623-I1623</f>
        <v>3.87</v>
      </c>
      <c r="K1623" s="41" t="n">
        <v>34</v>
      </c>
      <c r="L1623" s="42" t="n">
        <f aca="false">J1623*K1623</f>
        <v>131.58</v>
      </c>
      <c r="M1623" s="43" t="n">
        <f aca="false">H1623*16.71*(1+'Chart of Accounts'!$E$67)</f>
        <v>74.0445165</v>
      </c>
    </row>
    <row r="1624" customFormat="false" ht="15" hidden="false" customHeight="false" outlineLevel="0" collapsed="false">
      <c r="B1624" s="7" t="s">
        <v>2121</v>
      </c>
      <c r="C1624" s="39" t="n">
        <v>45741</v>
      </c>
      <c r="D1624" s="7" t="s">
        <v>361</v>
      </c>
      <c r="E1624" s="7" t="s">
        <v>157</v>
      </c>
      <c r="F1624" s="7" t="s">
        <v>209</v>
      </c>
      <c r="G1624" s="7" t="s">
        <v>502</v>
      </c>
      <c r="H1624" s="6" t="n">
        <v>1.09</v>
      </c>
      <c r="I1624" s="6" t="n">
        <v>0</v>
      </c>
      <c r="J1624" s="40" t="n">
        <f aca="false">H1624-I1624</f>
        <v>1.09</v>
      </c>
      <c r="K1624" s="41" t="n">
        <v>165</v>
      </c>
      <c r="L1624" s="42" t="n">
        <f aca="false">J1624*K1624</f>
        <v>179.85</v>
      </c>
      <c r="M1624" s="43" t="n">
        <f aca="false">H1624*73.58*(1+'Chart of Accounts'!$E$67)</f>
        <v>91.831519</v>
      </c>
    </row>
    <row r="1625" customFormat="false" ht="15" hidden="false" customHeight="false" outlineLevel="0" collapsed="false">
      <c r="B1625" s="7" t="s">
        <v>2122</v>
      </c>
      <c r="C1625" s="39" t="n">
        <v>45741</v>
      </c>
      <c r="D1625" s="7" t="s">
        <v>381</v>
      </c>
      <c r="E1625" s="7" t="s">
        <v>157</v>
      </c>
      <c r="F1625" s="7" t="s">
        <v>234</v>
      </c>
      <c r="G1625" s="7" t="s">
        <v>502</v>
      </c>
      <c r="H1625" s="6" t="n">
        <v>1.1</v>
      </c>
      <c r="I1625" s="6" t="n">
        <v>0</v>
      </c>
      <c r="J1625" s="40" t="n">
        <f aca="false">H1625-I1625</f>
        <v>1.1</v>
      </c>
      <c r="K1625" s="41" t="n">
        <v>165</v>
      </c>
      <c r="L1625" s="42" t="n">
        <f aca="false">J1625*K1625</f>
        <v>181.5</v>
      </c>
      <c r="M1625" s="43" t="n">
        <f aca="false">H1625*89.53*(1+'Chart of Accounts'!$E$67)</f>
        <v>112.763035</v>
      </c>
    </row>
    <row r="1626" customFormat="false" ht="15" hidden="false" customHeight="false" outlineLevel="0" collapsed="false">
      <c r="B1626" s="7" t="s">
        <v>2123</v>
      </c>
      <c r="C1626" s="39" t="n">
        <v>45741</v>
      </c>
      <c r="D1626" s="7" t="s">
        <v>389</v>
      </c>
      <c r="E1626" s="7" t="s">
        <v>154</v>
      </c>
      <c r="F1626" s="7" t="s">
        <v>246</v>
      </c>
      <c r="G1626" s="7" t="s">
        <v>505</v>
      </c>
      <c r="H1626" s="6" t="n">
        <v>3.95</v>
      </c>
      <c r="I1626" s="6" t="n">
        <v>0</v>
      </c>
      <c r="J1626" s="40" t="n">
        <f aca="false">H1626-I1626</f>
        <v>3.95</v>
      </c>
      <c r="K1626" s="41" t="n">
        <v>26.5</v>
      </c>
      <c r="L1626" s="42" t="n">
        <f aca="false">J1626*K1626</f>
        <v>104.675</v>
      </c>
      <c r="M1626" s="43" t="n">
        <f aca="false">H1626*16.48*(1+'Chart of Accounts'!$E$67)</f>
        <v>74.53492</v>
      </c>
    </row>
    <row r="1627" customFormat="false" ht="15" hidden="false" customHeight="false" outlineLevel="0" collapsed="false">
      <c r="B1627" s="7" t="s">
        <v>2124</v>
      </c>
      <c r="C1627" s="39" t="n">
        <v>45741</v>
      </c>
      <c r="D1627" s="7" t="s">
        <v>391</v>
      </c>
      <c r="E1627" s="7" t="s">
        <v>156</v>
      </c>
      <c r="F1627" s="7" t="s">
        <v>222</v>
      </c>
      <c r="G1627" s="7" t="s">
        <v>505</v>
      </c>
      <c r="H1627" s="6" t="n">
        <v>4.19</v>
      </c>
      <c r="I1627" s="6" t="n">
        <v>0</v>
      </c>
      <c r="J1627" s="40" t="n">
        <f aca="false">H1627-I1627</f>
        <v>4.19</v>
      </c>
      <c r="K1627" s="41" t="n">
        <v>34</v>
      </c>
      <c r="L1627" s="42" t="n">
        <f aca="false">J1627*K1627</f>
        <v>142.46</v>
      </c>
      <c r="M1627" s="43" t="n">
        <f aca="false">H1627*17.84*(1+'Chart of Accounts'!$E$67)</f>
        <v>85.588292</v>
      </c>
    </row>
    <row r="1628" customFormat="false" ht="15" hidden="false" customHeight="false" outlineLevel="0" collapsed="false">
      <c r="B1628" s="7" t="s">
        <v>2125</v>
      </c>
      <c r="C1628" s="39" t="n">
        <v>45741</v>
      </c>
      <c r="D1628" s="7" t="s">
        <v>395</v>
      </c>
      <c r="E1628" s="7" t="s">
        <v>156</v>
      </c>
      <c r="F1628" s="7" t="s">
        <v>242</v>
      </c>
      <c r="G1628" s="7" t="s">
        <v>505</v>
      </c>
      <c r="H1628" s="6" t="n">
        <v>4.2</v>
      </c>
      <c r="I1628" s="6" t="n">
        <v>0</v>
      </c>
      <c r="J1628" s="40" t="n">
        <f aca="false">H1628-I1628</f>
        <v>4.2</v>
      </c>
      <c r="K1628" s="41" t="n">
        <v>34</v>
      </c>
      <c r="L1628" s="42" t="n">
        <f aca="false">J1628*K1628</f>
        <v>142.8</v>
      </c>
      <c r="M1628" s="43" t="n">
        <f aca="false">H1628*17.99*(1+'Chart of Accounts'!$E$67)</f>
        <v>86.51391</v>
      </c>
    </row>
    <row r="1629" customFormat="false" ht="15" hidden="false" customHeight="false" outlineLevel="0" collapsed="false">
      <c r="B1629" s="7" t="s">
        <v>2126</v>
      </c>
      <c r="C1629" s="39" t="n">
        <v>45741</v>
      </c>
      <c r="D1629" s="7" t="s">
        <v>397</v>
      </c>
      <c r="E1629" s="7" t="s">
        <v>159</v>
      </c>
      <c r="F1629" s="7" t="s">
        <v>203</v>
      </c>
      <c r="G1629" s="7" t="s">
        <v>502</v>
      </c>
      <c r="H1629" s="6" t="n">
        <v>0.98</v>
      </c>
      <c r="I1629" s="6" t="n">
        <v>0</v>
      </c>
      <c r="J1629" s="40" t="n">
        <f aca="false">H1629-I1629</f>
        <v>0.98</v>
      </c>
      <c r="K1629" s="41" t="n">
        <v>135</v>
      </c>
      <c r="L1629" s="42" t="n">
        <f aca="false">J1629*K1629</f>
        <v>132.3</v>
      </c>
      <c r="M1629" s="43" t="n">
        <f aca="false">H1629*49.43*(1+'Chart of Accounts'!$E$67)</f>
        <v>55.465403</v>
      </c>
    </row>
    <row r="1630" customFormat="false" ht="15" hidden="false" customHeight="false" outlineLevel="0" collapsed="false">
      <c r="B1630" s="7" t="s">
        <v>2127</v>
      </c>
      <c r="C1630" s="39" t="n">
        <v>45741</v>
      </c>
      <c r="D1630" s="7" t="s">
        <v>401</v>
      </c>
      <c r="E1630" s="7" t="s">
        <v>156</v>
      </c>
      <c r="F1630" s="7" t="s">
        <v>254</v>
      </c>
      <c r="G1630" s="7" t="s">
        <v>505</v>
      </c>
      <c r="H1630" s="6" t="n">
        <v>4.2</v>
      </c>
      <c r="I1630" s="6" t="n">
        <v>0</v>
      </c>
      <c r="J1630" s="40" t="n">
        <f aca="false">H1630-I1630</f>
        <v>4.2</v>
      </c>
      <c r="K1630" s="41" t="n">
        <v>34</v>
      </c>
      <c r="L1630" s="42" t="n">
        <f aca="false">J1630*K1630</f>
        <v>142.8</v>
      </c>
      <c r="M1630" s="43" t="n">
        <f aca="false">H1630*17.1*(1+'Chart of Accounts'!$E$67)</f>
        <v>82.2339</v>
      </c>
    </row>
    <row r="1631" customFormat="false" ht="15" hidden="false" customHeight="false" outlineLevel="0" collapsed="false">
      <c r="B1631" s="7" t="s">
        <v>2128</v>
      </c>
      <c r="C1631" s="39" t="n">
        <v>45741</v>
      </c>
      <c r="D1631" s="7" t="s">
        <v>407</v>
      </c>
      <c r="E1631" s="7" t="s">
        <v>159</v>
      </c>
      <c r="F1631" s="7" t="s">
        <v>260</v>
      </c>
      <c r="G1631" s="7" t="s">
        <v>502</v>
      </c>
      <c r="H1631" s="6" t="n">
        <v>1.04</v>
      </c>
      <c r="I1631" s="6" t="n">
        <v>0.073</v>
      </c>
      <c r="J1631" s="40" t="n">
        <f aca="false">H1631-I1631</f>
        <v>0.967</v>
      </c>
      <c r="K1631" s="41" t="n">
        <v>135</v>
      </c>
      <c r="L1631" s="42" t="n">
        <f aca="false">J1631*K1631</f>
        <v>130.545</v>
      </c>
      <c r="M1631" s="43" t="n">
        <f aca="false">H1631*79.8*(1+'Chart of Accounts'!$E$67)</f>
        <v>95.02584</v>
      </c>
    </row>
    <row r="1632" customFormat="false" ht="15" hidden="false" customHeight="false" outlineLevel="0" collapsed="false">
      <c r="B1632" s="7" t="s">
        <v>2129</v>
      </c>
      <c r="C1632" s="39" t="n">
        <v>45742</v>
      </c>
      <c r="D1632" s="7" t="s">
        <v>286</v>
      </c>
      <c r="E1632" s="7" t="s">
        <v>157</v>
      </c>
      <c r="F1632" s="7" t="s">
        <v>228</v>
      </c>
      <c r="G1632" s="7" t="s">
        <v>502</v>
      </c>
      <c r="H1632" s="6" t="n">
        <v>0.98</v>
      </c>
      <c r="I1632" s="6" t="n">
        <v>0</v>
      </c>
      <c r="J1632" s="40" t="n">
        <f aca="false">H1632-I1632</f>
        <v>0.98</v>
      </c>
      <c r="K1632" s="41" t="n">
        <v>165</v>
      </c>
      <c r="L1632" s="42" t="n">
        <f aca="false">J1632*K1632</f>
        <v>161.7</v>
      </c>
      <c r="M1632" s="43" t="n">
        <f aca="false">H1632*51.07*(1+'Chart of Accounts'!$E$67)</f>
        <v>57.305647</v>
      </c>
    </row>
    <row r="1633" customFormat="false" ht="15" hidden="false" customHeight="false" outlineLevel="0" collapsed="false">
      <c r="B1633" s="7" t="s">
        <v>2130</v>
      </c>
      <c r="C1633" s="39" t="n">
        <v>45742</v>
      </c>
      <c r="D1633" s="7" t="s">
        <v>288</v>
      </c>
      <c r="E1633" s="7" t="s">
        <v>156</v>
      </c>
      <c r="F1633" s="7" t="s">
        <v>191</v>
      </c>
      <c r="G1633" s="7" t="s">
        <v>505</v>
      </c>
      <c r="H1633" s="6" t="n">
        <v>4.36</v>
      </c>
      <c r="I1633" s="6" t="n">
        <v>0</v>
      </c>
      <c r="J1633" s="40" t="n">
        <f aca="false">H1633-I1633</f>
        <v>4.36</v>
      </c>
      <c r="K1633" s="41" t="n">
        <v>34</v>
      </c>
      <c r="L1633" s="42" t="n">
        <f aca="false">J1633*K1633</f>
        <v>148.24</v>
      </c>
      <c r="M1633" s="43" t="n">
        <f aca="false">H1633*16.05*(1+'Chart of Accounts'!$E$67)</f>
        <v>80.12481</v>
      </c>
    </row>
    <row r="1634" customFormat="false" ht="15" hidden="false" customHeight="false" outlineLevel="0" collapsed="false">
      <c r="B1634" s="7" t="s">
        <v>2131</v>
      </c>
      <c r="C1634" s="39" t="n">
        <v>45742</v>
      </c>
      <c r="D1634" s="7" t="s">
        <v>291</v>
      </c>
      <c r="E1634" s="7" t="s">
        <v>154</v>
      </c>
      <c r="F1634" s="7" t="s">
        <v>194</v>
      </c>
      <c r="G1634" s="7" t="s">
        <v>505</v>
      </c>
      <c r="H1634" s="6" t="n">
        <v>4.53</v>
      </c>
      <c r="I1634" s="6" t="n">
        <v>0</v>
      </c>
      <c r="J1634" s="40" t="n">
        <f aca="false">H1634-I1634</f>
        <v>4.53</v>
      </c>
      <c r="K1634" s="41" t="n">
        <v>26.5</v>
      </c>
      <c r="L1634" s="42" t="n">
        <f aca="false">J1634*K1634</f>
        <v>120.045</v>
      </c>
      <c r="M1634" s="43" t="n">
        <f aca="false">H1634*16*(1+'Chart of Accounts'!$E$67)</f>
        <v>82.9896</v>
      </c>
    </row>
    <row r="1635" customFormat="false" ht="15" hidden="false" customHeight="false" outlineLevel="0" collapsed="false">
      <c r="B1635" s="7" t="s">
        <v>2132</v>
      </c>
      <c r="C1635" s="39" t="n">
        <v>45742</v>
      </c>
      <c r="D1635" s="7" t="s">
        <v>305</v>
      </c>
      <c r="E1635" s="7" t="s">
        <v>154</v>
      </c>
      <c r="F1635" s="7" t="s">
        <v>205</v>
      </c>
      <c r="G1635" s="7" t="s">
        <v>505</v>
      </c>
      <c r="H1635" s="6" t="n">
        <v>4.12</v>
      </c>
      <c r="I1635" s="6" t="n">
        <v>0</v>
      </c>
      <c r="J1635" s="40" t="n">
        <f aca="false">H1635-I1635</f>
        <v>4.12</v>
      </c>
      <c r="K1635" s="41" t="n">
        <v>26.5</v>
      </c>
      <c r="L1635" s="42" t="n">
        <f aca="false">J1635*K1635</f>
        <v>109.18</v>
      </c>
      <c r="M1635" s="43" t="n">
        <f aca="false">H1635*16.36*(1+'Chart of Accounts'!$E$67)</f>
        <v>77.176664</v>
      </c>
    </row>
    <row r="1636" customFormat="false" ht="15" hidden="false" customHeight="false" outlineLevel="0" collapsed="false">
      <c r="B1636" s="7" t="s">
        <v>2133</v>
      </c>
      <c r="C1636" s="39" t="n">
        <v>45742</v>
      </c>
      <c r="D1636" s="7" t="s">
        <v>307</v>
      </c>
      <c r="E1636" s="7" t="s">
        <v>157</v>
      </c>
      <c r="F1636" s="7" t="s">
        <v>264</v>
      </c>
      <c r="G1636" s="7" t="s">
        <v>502</v>
      </c>
      <c r="H1636" s="6" t="n">
        <v>1.06</v>
      </c>
      <c r="I1636" s="6" t="n">
        <v>0</v>
      </c>
      <c r="J1636" s="40" t="n">
        <f aca="false">H1636-I1636</f>
        <v>1.06</v>
      </c>
      <c r="K1636" s="41" t="n">
        <v>165</v>
      </c>
      <c r="L1636" s="42" t="n">
        <f aca="false">J1636*K1636</f>
        <v>174.9</v>
      </c>
      <c r="M1636" s="43" t="n">
        <f aca="false">H1636*55.55*(1+'Chart of Accounts'!$E$67)</f>
        <v>67.421035</v>
      </c>
    </row>
    <row r="1637" customFormat="false" ht="15" hidden="false" customHeight="false" outlineLevel="0" collapsed="false">
      <c r="B1637" s="7" t="s">
        <v>2134</v>
      </c>
      <c r="C1637" s="39" t="n">
        <v>45742</v>
      </c>
      <c r="D1637" s="7" t="s">
        <v>309</v>
      </c>
      <c r="E1637" s="7" t="s">
        <v>159</v>
      </c>
      <c r="F1637" s="7" t="s">
        <v>252</v>
      </c>
      <c r="G1637" s="7" t="s">
        <v>502</v>
      </c>
      <c r="H1637" s="6" t="n">
        <v>0.99</v>
      </c>
      <c r="I1637" s="6" t="n">
        <v>0</v>
      </c>
      <c r="J1637" s="40" t="n">
        <f aca="false">H1637-I1637</f>
        <v>0.99</v>
      </c>
      <c r="K1637" s="41" t="n">
        <v>135</v>
      </c>
      <c r="L1637" s="42" t="n">
        <f aca="false">J1637*K1637</f>
        <v>133.65</v>
      </c>
      <c r="M1637" s="43" t="n">
        <f aca="false">H1637*57.54*(1+'Chart of Accounts'!$E$67)</f>
        <v>65.224467</v>
      </c>
    </row>
    <row r="1638" customFormat="false" ht="15" hidden="false" customHeight="false" outlineLevel="0" collapsed="false">
      <c r="B1638" s="7" t="s">
        <v>2135</v>
      </c>
      <c r="C1638" s="39" t="n">
        <v>45742</v>
      </c>
      <c r="D1638" s="7" t="s">
        <v>313</v>
      </c>
      <c r="E1638" s="7" t="s">
        <v>156</v>
      </c>
      <c r="F1638" s="7" t="s">
        <v>184</v>
      </c>
      <c r="G1638" s="7" t="s">
        <v>505</v>
      </c>
      <c r="H1638" s="6" t="n">
        <v>4.14</v>
      </c>
      <c r="I1638" s="6" t="n">
        <v>0</v>
      </c>
      <c r="J1638" s="40" t="n">
        <f aca="false">H1638-I1638</f>
        <v>4.14</v>
      </c>
      <c r="K1638" s="41" t="n">
        <v>34</v>
      </c>
      <c r="L1638" s="42" t="n">
        <f aca="false">J1638*K1638</f>
        <v>140.76</v>
      </c>
      <c r="M1638" s="43" t="n">
        <f aca="false">H1638*17.34*(1+'Chart of Accounts'!$E$67)</f>
        <v>82.196802</v>
      </c>
    </row>
    <row r="1639" customFormat="false" ht="15" hidden="false" customHeight="false" outlineLevel="0" collapsed="false">
      <c r="B1639" s="7" t="s">
        <v>2136</v>
      </c>
      <c r="C1639" s="39" t="n">
        <v>45742</v>
      </c>
      <c r="D1639" s="7" t="s">
        <v>321</v>
      </c>
      <c r="E1639" s="7" t="s">
        <v>154</v>
      </c>
      <c r="F1639" s="7" t="s">
        <v>218</v>
      </c>
      <c r="G1639" s="7" t="s">
        <v>505</v>
      </c>
      <c r="H1639" s="6" t="n">
        <v>4.14</v>
      </c>
      <c r="I1639" s="6" t="n">
        <v>0</v>
      </c>
      <c r="J1639" s="40" t="n">
        <f aca="false">H1639-I1639</f>
        <v>4.14</v>
      </c>
      <c r="K1639" s="41" t="n">
        <v>26.5</v>
      </c>
      <c r="L1639" s="42" t="n">
        <f aca="false">J1639*K1639</f>
        <v>109.71</v>
      </c>
      <c r="M1639" s="43" t="n">
        <f aca="false">H1639*16.19*(1+'Chart of Accounts'!$E$67)</f>
        <v>76.745457</v>
      </c>
    </row>
    <row r="1640" customFormat="false" ht="15" hidden="false" customHeight="false" outlineLevel="0" collapsed="false">
      <c r="B1640" s="7" t="s">
        <v>2137</v>
      </c>
      <c r="C1640" s="39" t="n">
        <v>45742</v>
      </c>
      <c r="D1640" s="7" t="s">
        <v>335</v>
      </c>
      <c r="E1640" s="7" t="s">
        <v>154</v>
      </c>
      <c r="F1640" s="7" t="s">
        <v>177</v>
      </c>
      <c r="G1640" s="7" t="s">
        <v>505</v>
      </c>
      <c r="H1640" s="6" t="n">
        <v>3.61</v>
      </c>
      <c r="I1640" s="6" t="n">
        <v>0.108</v>
      </c>
      <c r="J1640" s="40" t="n">
        <f aca="false">H1640-I1640</f>
        <v>3.502</v>
      </c>
      <c r="K1640" s="41" t="n">
        <v>26.5</v>
      </c>
      <c r="L1640" s="42" t="n">
        <f aca="false">J1640*K1640</f>
        <v>92.803</v>
      </c>
      <c r="M1640" s="43" t="n">
        <f aca="false">H1640*14.56*(1+'Chart of Accounts'!$E$67)</f>
        <v>60.183032</v>
      </c>
    </row>
    <row r="1641" customFormat="false" ht="15" hidden="false" customHeight="false" outlineLevel="0" collapsed="false">
      <c r="B1641" s="7" t="s">
        <v>2138</v>
      </c>
      <c r="C1641" s="39" t="n">
        <v>45742</v>
      </c>
      <c r="D1641" s="7" t="s">
        <v>339</v>
      </c>
      <c r="E1641" s="7" t="s">
        <v>154</v>
      </c>
      <c r="F1641" s="7" t="s">
        <v>242</v>
      </c>
      <c r="G1641" s="7" t="s">
        <v>505</v>
      </c>
      <c r="H1641" s="6" t="n">
        <v>3.3</v>
      </c>
      <c r="I1641" s="6" t="n">
        <v>0</v>
      </c>
      <c r="J1641" s="40" t="n">
        <f aca="false">H1641-I1641</f>
        <v>3.3</v>
      </c>
      <c r="K1641" s="41" t="n">
        <v>26.5</v>
      </c>
      <c r="L1641" s="42" t="n">
        <f aca="false">J1641*K1641</f>
        <v>87.45</v>
      </c>
      <c r="M1641" s="43" t="n">
        <f aca="false">H1641*17.99*(1+'Chart of Accounts'!$E$67)</f>
        <v>67.975215</v>
      </c>
    </row>
    <row r="1642" customFormat="false" ht="15" hidden="false" customHeight="false" outlineLevel="0" collapsed="false">
      <c r="B1642" s="7" t="s">
        <v>2139</v>
      </c>
      <c r="C1642" s="39" t="n">
        <v>45742</v>
      </c>
      <c r="D1642" s="7" t="s">
        <v>355</v>
      </c>
      <c r="E1642" s="7" t="s">
        <v>154</v>
      </c>
      <c r="F1642" s="7" t="s">
        <v>201</v>
      </c>
      <c r="G1642" s="7" t="s">
        <v>505</v>
      </c>
      <c r="H1642" s="6" t="n">
        <v>3.04</v>
      </c>
      <c r="I1642" s="6" t="n">
        <v>0</v>
      </c>
      <c r="J1642" s="40" t="n">
        <f aca="false">H1642-I1642</f>
        <v>3.04</v>
      </c>
      <c r="K1642" s="41" t="n">
        <v>26.5</v>
      </c>
      <c r="L1642" s="42" t="n">
        <f aca="false">J1642*K1642</f>
        <v>80.56</v>
      </c>
      <c r="M1642" s="43" t="n">
        <f aca="false">H1642*15.19*(1+'Chart of Accounts'!$E$67)</f>
        <v>52.873352</v>
      </c>
    </row>
    <row r="1643" customFormat="false" ht="15" hidden="false" customHeight="false" outlineLevel="0" collapsed="false">
      <c r="B1643" s="7" t="s">
        <v>2140</v>
      </c>
      <c r="C1643" s="39" t="n">
        <v>45742</v>
      </c>
      <c r="D1643" s="7" t="s">
        <v>357</v>
      </c>
      <c r="E1643" s="7" t="s">
        <v>154</v>
      </c>
      <c r="F1643" s="7" t="s">
        <v>207</v>
      </c>
      <c r="G1643" s="7" t="s">
        <v>505</v>
      </c>
      <c r="H1643" s="6" t="n">
        <v>3.14</v>
      </c>
      <c r="I1643" s="6" t="n">
        <v>0.094</v>
      </c>
      <c r="J1643" s="40" t="n">
        <f aca="false">H1643-I1643</f>
        <v>3.046</v>
      </c>
      <c r="K1643" s="41" t="n">
        <v>26.5</v>
      </c>
      <c r="L1643" s="42" t="n">
        <f aca="false">J1643*K1643</f>
        <v>80.719</v>
      </c>
      <c r="M1643" s="43" t="n">
        <f aca="false">H1643*16.65*(1+'Chart of Accounts'!$E$67)</f>
        <v>59.861745</v>
      </c>
    </row>
    <row r="1644" customFormat="false" ht="15" hidden="false" customHeight="false" outlineLevel="0" collapsed="false">
      <c r="B1644" s="7" t="s">
        <v>2141</v>
      </c>
      <c r="C1644" s="39" t="n">
        <v>45742</v>
      </c>
      <c r="D1644" s="7" t="s">
        <v>359</v>
      </c>
      <c r="E1644" s="7" t="s">
        <v>156</v>
      </c>
      <c r="F1644" s="7" t="s">
        <v>212</v>
      </c>
      <c r="G1644" s="7" t="s">
        <v>505</v>
      </c>
      <c r="H1644" s="6" t="n">
        <v>4.37</v>
      </c>
      <c r="I1644" s="6" t="n">
        <v>0</v>
      </c>
      <c r="J1644" s="40" t="n">
        <f aca="false">H1644-I1644</f>
        <v>4.37</v>
      </c>
      <c r="K1644" s="41" t="n">
        <v>34</v>
      </c>
      <c r="L1644" s="42" t="n">
        <f aca="false">J1644*K1644</f>
        <v>148.58</v>
      </c>
      <c r="M1644" s="43" t="n">
        <f aca="false">H1644*16.71*(1+'Chart of Accounts'!$E$67)</f>
        <v>83.6109915</v>
      </c>
    </row>
    <row r="1645" customFormat="false" ht="15" hidden="false" customHeight="false" outlineLevel="0" collapsed="false">
      <c r="B1645" s="7" t="s">
        <v>2142</v>
      </c>
      <c r="C1645" s="39" t="n">
        <v>45742</v>
      </c>
      <c r="D1645" s="7" t="s">
        <v>371</v>
      </c>
      <c r="E1645" s="7" t="s">
        <v>154</v>
      </c>
      <c r="F1645" s="7" t="s">
        <v>232</v>
      </c>
      <c r="G1645" s="7" t="s">
        <v>505</v>
      </c>
      <c r="H1645" s="6" t="n">
        <v>4.55</v>
      </c>
      <c r="I1645" s="6" t="n">
        <v>0</v>
      </c>
      <c r="J1645" s="40" t="n">
        <f aca="false">H1645-I1645</f>
        <v>4.55</v>
      </c>
      <c r="K1645" s="41" t="n">
        <v>26.5</v>
      </c>
      <c r="L1645" s="42" t="n">
        <f aca="false">J1645*K1645</f>
        <v>120.575</v>
      </c>
      <c r="M1645" s="43" t="n">
        <f aca="false">H1645*16.17*(1+'Chart of Accounts'!$E$67)</f>
        <v>84.2416575</v>
      </c>
    </row>
    <row r="1646" customFormat="false" ht="15" hidden="false" customHeight="false" outlineLevel="0" collapsed="false">
      <c r="B1646" s="7" t="s">
        <v>2143</v>
      </c>
      <c r="C1646" s="39" t="n">
        <v>45742</v>
      </c>
      <c r="D1646" s="7" t="s">
        <v>379</v>
      </c>
      <c r="E1646" s="7" t="s">
        <v>156</v>
      </c>
      <c r="F1646" s="7" t="s">
        <v>224</v>
      </c>
      <c r="G1646" s="7" t="s">
        <v>505</v>
      </c>
      <c r="H1646" s="6" t="n">
        <v>4.95</v>
      </c>
      <c r="I1646" s="6" t="n">
        <v>0</v>
      </c>
      <c r="J1646" s="40" t="n">
        <f aca="false">H1646-I1646</f>
        <v>4.95</v>
      </c>
      <c r="K1646" s="41" t="n">
        <v>34</v>
      </c>
      <c r="L1646" s="42" t="n">
        <f aca="false">J1646*K1646</f>
        <v>168.3</v>
      </c>
      <c r="M1646" s="43" t="n">
        <f aca="false">H1646*14.93*(1+'Chart of Accounts'!$E$67)</f>
        <v>84.6195075</v>
      </c>
    </row>
    <row r="1647" customFormat="false" ht="15" hidden="false" customHeight="false" outlineLevel="0" collapsed="false">
      <c r="B1647" s="7" t="s">
        <v>2144</v>
      </c>
      <c r="C1647" s="39" t="n">
        <v>45742</v>
      </c>
      <c r="D1647" s="7" t="s">
        <v>389</v>
      </c>
      <c r="E1647" s="7" t="s">
        <v>154</v>
      </c>
      <c r="F1647" s="7" t="s">
        <v>246</v>
      </c>
      <c r="G1647" s="7" t="s">
        <v>505</v>
      </c>
      <c r="H1647" s="6" t="n">
        <v>3.75</v>
      </c>
      <c r="I1647" s="6" t="n">
        <v>0</v>
      </c>
      <c r="J1647" s="40" t="n">
        <f aca="false">H1647-I1647</f>
        <v>3.75</v>
      </c>
      <c r="K1647" s="41" t="n">
        <v>26.5</v>
      </c>
      <c r="L1647" s="42" t="n">
        <f aca="false">J1647*K1647</f>
        <v>99.375</v>
      </c>
      <c r="M1647" s="43" t="n">
        <f aca="false">H1647*16.48*(1+'Chart of Accounts'!$E$67)</f>
        <v>70.761</v>
      </c>
    </row>
    <row r="1648" customFormat="false" ht="15" hidden="false" customHeight="false" outlineLevel="0" collapsed="false">
      <c r="B1648" s="7" t="s">
        <v>2145</v>
      </c>
      <c r="C1648" s="39" t="n">
        <v>45742</v>
      </c>
      <c r="D1648" s="7" t="s">
        <v>391</v>
      </c>
      <c r="E1648" s="7" t="s">
        <v>156</v>
      </c>
      <c r="F1648" s="7" t="s">
        <v>222</v>
      </c>
      <c r="G1648" s="7" t="s">
        <v>505</v>
      </c>
      <c r="H1648" s="6" t="n">
        <v>3.66</v>
      </c>
      <c r="I1648" s="6" t="n">
        <v>0</v>
      </c>
      <c r="J1648" s="40" t="n">
        <f aca="false">H1648-I1648</f>
        <v>3.66</v>
      </c>
      <c r="K1648" s="41" t="n">
        <v>34</v>
      </c>
      <c r="L1648" s="42" t="n">
        <f aca="false">J1648*K1648</f>
        <v>124.44</v>
      </c>
      <c r="M1648" s="43" t="n">
        <f aca="false">H1648*17.84*(1+'Chart of Accounts'!$E$67)</f>
        <v>74.762088</v>
      </c>
    </row>
    <row r="1649" customFormat="false" ht="15" hidden="false" customHeight="false" outlineLevel="0" collapsed="false">
      <c r="B1649" s="7" t="s">
        <v>2146</v>
      </c>
      <c r="C1649" s="39" t="n">
        <v>45742</v>
      </c>
      <c r="D1649" s="7" t="s">
        <v>393</v>
      </c>
      <c r="E1649" s="7" t="s">
        <v>157</v>
      </c>
      <c r="F1649" s="7" t="s">
        <v>203</v>
      </c>
      <c r="G1649" s="7" t="s">
        <v>502</v>
      </c>
      <c r="H1649" s="6" t="n">
        <v>1.05</v>
      </c>
      <c r="I1649" s="6" t="n">
        <v>0</v>
      </c>
      <c r="J1649" s="40" t="n">
        <f aca="false">H1649-I1649</f>
        <v>1.05</v>
      </c>
      <c r="K1649" s="41" t="n">
        <v>165</v>
      </c>
      <c r="L1649" s="42" t="n">
        <f aca="false">J1649*K1649</f>
        <v>173.25</v>
      </c>
      <c r="M1649" s="43" t="n">
        <f aca="false">H1649*49.43*(1+'Chart of Accounts'!$E$67)</f>
        <v>59.4272175</v>
      </c>
    </row>
    <row r="1650" customFormat="false" ht="15" hidden="false" customHeight="false" outlineLevel="0" collapsed="false">
      <c r="B1650" s="7" t="s">
        <v>2147</v>
      </c>
      <c r="C1650" s="39" t="n">
        <v>45742</v>
      </c>
      <c r="D1650" s="7" t="s">
        <v>395</v>
      </c>
      <c r="E1650" s="7" t="s">
        <v>156</v>
      </c>
      <c r="F1650" s="7" t="s">
        <v>242</v>
      </c>
      <c r="G1650" s="7" t="s">
        <v>505</v>
      </c>
      <c r="H1650" s="6" t="n">
        <v>4.22</v>
      </c>
      <c r="I1650" s="6" t="n">
        <v>0</v>
      </c>
      <c r="J1650" s="40" t="n">
        <f aca="false">H1650-I1650</f>
        <v>4.22</v>
      </c>
      <c r="K1650" s="41" t="n">
        <v>34</v>
      </c>
      <c r="L1650" s="42" t="n">
        <f aca="false">J1650*K1650</f>
        <v>143.48</v>
      </c>
      <c r="M1650" s="43" t="n">
        <f aca="false">H1650*17.99*(1+'Chart of Accounts'!$E$67)</f>
        <v>86.925881</v>
      </c>
    </row>
    <row r="1651" customFormat="false" ht="15" hidden="false" customHeight="false" outlineLevel="0" collapsed="false">
      <c r="B1651" s="7" t="s">
        <v>2148</v>
      </c>
      <c r="C1651" s="39" t="n">
        <v>45742</v>
      </c>
      <c r="D1651" s="7" t="s">
        <v>399</v>
      </c>
      <c r="E1651" s="7" t="s">
        <v>154</v>
      </c>
      <c r="F1651" s="7" t="s">
        <v>262</v>
      </c>
      <c r="G1651" s="7" t="s">
        <v>505</v>
      </c>
      <c r="H1651" s="6" t="n">
        <v>3.18</v>
      </c>
      <c r="I1651" s="6" t="n">
        <v>0</v>
      </c>
      <c r="J1651" s="40" t="n">
        <f aca="false">H1651-I1651</f>
        <v>3.18</v>
      </c>
      <c r="K1651" s="41" t="n">
        <v>26.5</v>
      </c>
      <c r="L1651" s="42" t="n">
        <f aca="false">J1651*K1651</f>
        <v>84.27</v>
      </c>
      <c r="M1651" s="43" t="n">
        <f aca="false">H1651*16.02*(1+'Chart of Accounts'!$E$67)</f>
        <v>58.330422</v>
      </c>
    </row>
    <row r="1652" customFormat="false" ht="15" hidden="false" customHeight="false" outlineLevel="0" collapsed="false">
      <c r="B1652" s="7" t="s">
        <v>2149</v>
      </c>
      <c r="C1652" s="39" t="n">
        <v>45742</v>
      </c>
      <c r="D1652" s="7" t="s">
        <v>401</v>
      </c>
      <c r="E1652" s="7" t="s">
        <v>156</v>
      </c>
      <c r="F1652" s="7" t="s">
        <v>254</v>
      </c>
      <c r="G1652" s="7" t="s">
        <v>505</v>
      </c>
      <c r="H1652" s="6" t="n">
        <v>4.4</v>
      </c>
      <c r="I1652" s="6" t="n">
        <v>0</v>
      </c>
      <c r="J1652" s="40" t="n">
        <f aca="false">H1652-I1652</f>
        <v>4.4</v>
      </c>
      <c r="K1652" s="41" t="n">
        <v>34</v>
      </c>
      <c r="L1652" s="42" t="n">
        <f aca="false">J1652*K1652</f>
        <v>149.6</v>
      </c>
      <c r="M1652" s="43" t="n">
        <f aca="false">H1652*17.1*(1+'Chart of Accounts'!$E$67)</f>
        <v>86.1498</v>
      </c>
    </row>
    <row r="1653" customFormat="false" ht="15" hidden="false" customHeight="false" outlineLevel="0" collapsed="false">
      <c r="B1653" s="7" t="s">
        <v>2150</v>
      </c>
      <c r="C1653" s="39" t="n">
        <v>45742</v>
      </c>
      <c r="D1653" s="7" t="s">
        <v>409</v>
      </c>
      <c r="E1653" s="7" t="s">
        <v>154</v>
      </c>
      <c r="F1653" s="7" t="s">
        <v>214</v>
      </c>
      <c r="G1653" s="7" t="s">
        <v>505</v>
      </c>
      <c r="H1653" s="6" t="n">
        <v>3.12</v>
      </c>
      <c r="I1653" s="6" t="n">
        <v>0</v>
      </c>
      <c r="J1653" s="40" t="n">
        <f aca="false">H1653-I1653</f>
        <v>3.12</v>
      </c>
      <c r="K1653" s="41" t="n">
        <v>26.5</v>
      </c>
      <c r="L1653" s="42" t="n">
        <f aca="false">J1653*K1653</f>
        <v>82.68</v>
      </c>
      <c r="M1653" s="43" t="n">
        <f aca="false">H1653*15.67*(1+'Chart of Accounts'!$E$67)</f>
        <v>55.979508</v>
      </c>
    </row>
    <row r="1654" customFormat="false" ht="15" hidden="false" customHeight="false" outlineLevel="0" collapsed="false">
      <c r="B1654" s="7" t="s">
        <v>2151</v>
      </c>
      <c r="C1654" s="39" t="n">
        <v>45742</v>
      </c>
      <c r="D1654" s="7" t="s">
        <v>411</v>
      </c>
      <c r="E1654" s="7" t="s">
        <v>154</v>
      </c>
      <c r="F1654" s="7" t="s">
        <v>177</v>
      </c>
      <c r="G1654" s="7" t="s">
        <v>505</v>
      </c>
      <c r="H1654" s="6" t="n">
        <v>4.39</v>
      </c>
      <c r="I1654" s="6" t="n">
        <v>0</v>
      </c>
      <c r="J1654" s="40" t="n">
        <f aca="false">H1654-I1654</f>
        <v>4.39</v>
      </c>
      <c r="K1654" s="41" t="n">
        <v>26.5</v>
      </c>
      <c r="L1654" s="42" t="n">
        <f aca="false">J1654*K1654</f>
        <v>116.335</v>
      </c>
      <c r="M1654" s="43" t="n">
        <f aca="false">H1654*14.56*(1+'Chart of Accounts'!$E$67)</f>
        <v>73.186568</v>
      </c>
    </row>
    <row r="1655" customFormat="false" ht="15" hidden="false" customHeight="false" outlineLevel="0" collapsed="false">
      <c r="B1655" s="7" t="s">
        <v>2152</v>
      </c>
      <c r="C1655" s="39" t="n">
        <v>45743</v>
      </c>
      <c r="D1655" s="7" t="s">
        <v>288</v>
      </c>
      <c r="E1655" s="7" t="s">
        <v>156</v>
      </c>
      <c r="F1655" s="7" t="s">
        <v>191</v>
      </c>
      <c r="G1655" s="7" t="s">
        <v>505</v>
      </c>
      <c r="H1655" s="6" t="n">
        <v>3.69</v>
      </c>
      <c r="I1655" s="6" t="n">
        <v>0</v>
      </c>
      <c r="J1655" s="40" t="n">
        <f aca="false">H1655-I1655</f>
        <v>3.69</v>
      </c>
      <c r="K1655" s="41" t="n">
        <v>34</v>
      </c>
      <c r="L1655" s="42" t="n">
        <f aca="false">J1655*K1655</f>
        <v>125.46</v>
      </c>
      <c r="M1655" s="43" t="n">
        <f aca="false">H1655*16.05*(1+'Chart of Accounts'!$E$67)</f>
        <v>67.8120525</v>
      </c>
    </row>
    <row r="1656" customFormat="false" ht="15" hidden="false" customHeight="false" outlineLevel="0" collapsed="false">
      <c r="B1656" s="7" t="s">
        <v>2153</v>
      </c>
      <c r="C1656" s="39" t="n">
        <v>45743</v>
      </c>
      <c r="D1656" s="7" t="s">
        <v>297</v>
      </c>
      <c r="E1656" s="7" t="s">
        <v>156</v>
      </c>
      <c r="F1656" s="7" t="s">
        <v>201</v>
      </c>
      <c r="G1656" s="7" t="s">
        <v>505</v>
      </c>
      <c r="H1656" s="6" t="n">
        <v>3.07</v>
      </c>
      <c r="I1656" s="6" t="n">
        <v>0</v>
      </c>
      <c r="J1656" s="40" t="n">
        <f aca="false">H1656-I1656</f>
        <v>3.07</v>
      </c>
      <c r="K1656" s="41" t="n">
        <v>34</v>
      </c>
      <c r="L1656" s="42" t="n">
        <f aca="false">J1656*K1656</f>
        <v>104.38</v>
      </c>
      <c r="M1656" s="43" t="n">
        <f aca="false">H1656*15.19*(1+'Chart of Accounts'!$E$67)</f>
        <v>53.3951285</v>
      </c>
    </row>
    <row r="1657" customFormat="false" ht="15" hidden="false" customHeight="false" outlineLevel="0" collapsed="false">
      <c r="B1657" s="7" t="s">
        <v>2154</v>
      </c>
      <c r="C1657" s="39" t="n">
        <v>45743</v>
      </c>
      <c r="D1657" s="7" t="s">
        <v>311</v>
      </c>
      <c r="E1657" s="7" t="s">
        <v>154</v>
      </c>
      <c r="F1657" s="7" t="s">
        <v>196</v>
      </c>
      <c r="G1657" s="7" t="s">
        <v>505</v>
      </c>
      <c r="H1657" s="6" t="n">
        <v>2.86</v>
      </c>
      <c r="I1657" s="6" t="n">
        <v>0.086</v>
      </c>
      <c r="J1657" s="40" t="n">
        <f aca="false">H1657-I1657</f>
        <v>2.774</v>
      </c>
      <c r="K1657" s="41" t="n">
        <v>26.5</v>
      </c>
      <c r="L1657" s="42" t="n">
        <f aca="false">J1657*K1657</f>
        <v>73.511</v>
      </c>
      <c r="M1657" s="43" t="n">
        <f aca="false">H1657*15.05*(1+'Chart of Accounts'!$E$67)</f>
        <v>49.284235</v>
      </c>
    </row>
    <row r="1658" customFormat="false" ht="15" hidden="false" customHeight="false" outlineLevel="0" collapsed="false">
      <c r="B1658" s="7" t="s">
        <v>2155</v>
      </c>
      <c r="C1658" s="39" t="n">
        <v>45743</v>
      </c>
      <c r="D1658" s="7" t="s">
        <v>313</v>
      </c>
      <c r="E1658" s="7" t="s">
        <v>156</v>
      </c>
      <c r="F1658" s="7" t="s">
        <v>184</v>
      </c>
      <c r="G1658" s="7" t="s">
        <v>505</v>
      </c>
      <c r="H1658" s="6" t="n">
        <v>4.18</v>
      </c>
      <c r="I1658" s="6" t="n">
        <v>0</v>
      </c>
      <c r="J1658" s="40" t="n">
        <f aca="false">H1658-I1658</f>
        <v>4.18</v>
      </c>
      <c r="K1658" s="41" t="n">
        <v>34</v>
      </c>
      <c r="L1658" s="42" t="n">
        <f aca="false">J1658*K1658</f>
        <v>142.12</v>
      </c>
      <c r="M1658" s="43" t="n">
        <f aca="false">H1658*17.34*(1+'Chart of Accounts'!$E$67)</f>
        <v>82.990974</v>
      </c>
    </row>
    <row r="1659" customFormat="false" ht="15" hidden="false" customHeight="false" outlineLevel="0" collapsed="false">
      <c r="B1659" s="7" t="s">
        <v>2156</v>
      </c>
      <c r="C1659" s="39" t="n">
        <v>45743</v>
      </c>
      <c r="D1659" s="7" t="s">
        <v>317</v>
      </c>
      <c r="E1659" s="7" t="s">
        <v>156</v>
      </c>
      <c r="F1659" s="7" t="s">
        <v>207</v>
      </c>
      <c r="G1659" s="7" t="s">
        <v>505</v>
      </c>
      <c r="H1659" s="6" t="n">
        <v>3</v>
      </c>
      <c r="I1659" s="6" t="n">
        <v>0</v>
      </c>
      <c r="J1659" s="40" t="n">
        <f aca="false">H1659-I1659</f>
        <v>3</v>
      </c>
      <c r="K1659" s="41" t="n">
        <v>34</v>
      </c>
      <c r="L1659" s="42" t="n">
        <f aca="false">J1659*K1659</f>
        <v>102</v>
      </c>
      <c r="M1659" s="43" t="n">
        <f aca="false">H1659*16.65*(1+'Chart of Accounts'!$E$67)</f>
        <v>57.19275</v>
      </c>
    </row>
    <row r="1660" customFormat="false" ht="15" hidden="false" customHeight="false" outlineLevel="0" collapsed="false">
      <c r="B1660" s="7" t="s">
        <v>2157</v>
      </c>
      <c r="C1660" s="39" t="n">
        <v>45743</v>
      </c>
      <c r="D1660" s="7" t="s">
        <v>321</v>
      </c>
      <c r="E1660" s="7" t="s">
        <v>154</v>
      </c>
      <c r="F1660" s="7" t="s">
        <v>218</v>
      </c>
      <c r="G1660" s="7" t="s">
        <v>505</v>
      </c>
      <c r="H1660" s="6" t="n">
        <v>3.63</v>
      </c>
      <c r="I1660" s="6" t="n">
        <v>0</v>
      </c>
      <c r="J1660" s="40" t="n">
        <f aca="false">H1660-I1660</f>
        <v>3.63</v>
      </c>
      <c r="K1660" s="41" t="n">
        <v>26.5</v>
      </c>
      <c r="L1660" s="42" t="n">
        <f aca="false">J1660*K1660</f>
        <v>96.195</v>
      </c>
      <c r="M1660" s="43" t="n">
        <f aca="false">H1660*16.19*(1+'Chart of Accounts'!$E$67)</f>
        <v>67.2913065</v>
      </c>
    </row>
    <row r="1661" customFormat="false" ht="15" hidden="false" customHeight="false" outlineLevel="0" collapsed="false">
      <c r="B1661" s="7" t="s">
        <v>2158</v>
      </c>
      <c r="C1661" s="39" t="n">
        <v>45743</v>
      </c>
      <c r="D1661" s="7" t="s">
        <v>325</v>
      </c>
      <c r="E1661" s="7" t="s">
        <v>154</v>
      </c>
      <c r="F1661" s="7" t="s">
        <v>212</v>
      </c>
      <c r="G1661" s="7" t="s">
        <v>505</v>
      </c>
      <c r="H1661" s="6" t="n">
        <v>2.9</v>
      </c>
      <c r="I1661" s="6" t="n">
        <v>0.087</v>
      </c>
      <c r="J1661" s="40" t="n">
        <f aca="false">H1661-I1661</f>
        <v>2.813</v>
      </c>
      <c r="K1661" s="41" t="n">
        <v>26.5</v>
      </c>
      <c r="L1661" s="42" t="n">
        <f aca="false">J1661*K1661</f>
        <v>74.5445</v>
      </c>
      <c r="M1661" s="43" t="n">
        <f aca="false">H1661*16.71*(1+'Chart of Accounts'!$E$67)</f>
        <v>55.485555</v>
      </c>
    </row>
    <row r="1662" customFormat="false" ht="15" hidden="false" customHeight="false" outlineLevel="0" collapsed="false">
      <c r="B1662" s="7" t="s">
        <v>2159</v>
      </c>
      <c r="C1662" s="39" t="n">
        <v>45743</v>
      </c>
      <c r="D1662" s="7" t="s">
        <v>329</v>
      </c>
      <c r="E1662" s="7" t="s">
        <v>156</v>
      </c>
      <c r="F1662" s="7" t="s">
        <v>220</v>
      </c>
      <c r="G1662" s="7" t="s">
        <v>505</v>
      </c>
      <c r="H1662" s="6" t="n">
        <v>4.17</v>
      </c>
      <c r="I1662" s="6" t="n">
        <v>0</v>
      </c>
      <c r="J1662" s="40" t="n">
        <f aca="false">H1662-I1662</f>
        <v>4.17</v>
      </c>
      <c r="K1662" s="41" t="n">
        <v>34</v>
      </c>
      <c r="L1662" s="42" t="n">
        <f aca="false">J1662*K1662</f>
        <v>141.78</v>
      </c>
      <c r="M1662" s="43" t="n">
        <f aca="false">H1662*16.43*(1+'Chart of Accounts'!$E$67)</f>
        <v>78.4474995</v>
      </c>
    </row>
    <row r="1663" customFormat="false" ht="15" hidden="false" customHeight="false" outlineLevel="0" collapsed="false">
      <c r="B1663" s="7" t="s">
        <v>2160</v>
      </c>
      <c r="C1663" s="39" t="n">
        <v>45743</v>
      </c>
      <c r="D1663" s="7" t="s">
        <v>331</v>
      </c>
      <c r="E1663" s="7" t="s">
        <v>156</v>
      </c>
      <c r="F1663" s="7" t="s">
        <v>224</v>
      </c>
      <c r="G1663" s="7" t="s">
        <v>505</v>
      </c>
      <c r="H1663" s="6" t="n">
        <v>3.92</v>
      </c>
      <c r="I1663" s="6" t="n">
        <v>0</v>
      </c>
      <c r="J1663" s="40" t="n">
        <f aca="false">H1663-I1663</f>
        <v>3.92</v>
      </c>
      <c r="K1663" s="41" t="n">
        <v>34</v>
      </c>
      <c r="L1663" s="42" t="n">
        <f aca="false">J1663*K1663</f>
        <v>133.28</v>
      </c>
      <c r="M1663" s="43" t="n">
        <f aca="false">H1663*14.93*(1+'Chart of Accounts'!$E$67)</f>
        <v>67.011812</v>
      </c>
    </row>
    <row r="1664" customFormat="false" ht="15" hidden="false" customHeight="false" outlineLevel="0" collapsed="false">
      <c r="B1664" s="7" t="s">
        <v>2161</v>
      </c>
      <c r="C1664" s="39" t="n">
        <v>45743</v>
      </c>
      <c r="D1664" s="7" t="s">
        <v>337</v>
      </c>
      <c r="E1664" s="7" t="s">
        <v>154</v>
      </c>
      <c r="F1664" s="7" t="s">
        <v>232</v>
      </c>
      <c r="G1664" s="7" t="s">
        <v>505</v>
      </c>
      <c r="H1664" s="6" t="n">
        <v>2.74</v>
      </c>
      <c r="I1664" s="6" t="n">
        <v>0</v>
      </c>
      <c r="J1664" s="40" t="n">
        <f aca="false">H1664-I1664</f>
        <v>2.74</v>
      </c>
      <c r="K1664" s="41" t="n">
        <v>26.5</v>
      </c>
      <c r="L1664" s="42" t="n">
        <f aca="false">J1664*K1664</f>
        <v>72.61</v>
      </c>
      <c r="M1664" s="43" t="n">
        <f aca="false">H1664*16.17*(1+'Chart of Accounts'!$E$67)</f>
        <v>50.730141</v>
      </c>
    </row>
    <row r="1665" customFormat="false" ht="15" hidden="false" customHeight="false" outlineLevel="0" collapsed="false">
      <c r="B1665" s="7" t="s">
        <v>2162</v>
      </c>
      <c r="C1665" s="39" t="n">
        <v>45743</v>
      </c>
      <c r="D1665" s="7" t="s">
        <v>341</v>
      </c>
      <c r="E1665" s="7" t="s">
        <v>156</v>
      </c>
      <c r="F1665" s="7" t="s">
        <v>222</v>
      </c>
      <c r="G1665" s="7" t="s">
        <v>505</v>
      </c>
      <c r="H1665" s="6" t="n">
        <v>3.11</v>
      </c>
      <c r="I1665" s="6" t="n">
        <v>0</v>
      </c>
      <c r="J1665" s="40" t="n">
        <f aca="false">H1665-I1665</f>
        <v>3.11</v>
      </c>
      <c r="K1665" s="41" t="n">
        <v>34</v>
      </c>
      <c r="L1665" s="42" t="n">
        <f aca="false">J1665*K1665</f>
        <v>105.74</v>
      </c>
      <c r="M1665" s="43" t="n">
        <f aca="false">H1665*17.84*(1+'Chart of Accounts'!$E$67)</f>
        <v>63.527348</v>
      </c>
    </row>
    <row r="1666" customFormat="false" ht="15" hidden="false" customHeight="false" outlineLevel="0" collapsed="false">
      <c r="B1666" s="7" t="s">
        <v>2163</v>
      </c>
      <c r="C1666" s="39" t="n">
        <v>45743</v>
      </c>
      <c r="D1666" s="7" t="s">
        <v>343</v>
      </c>
      <c r="E1666" s="7" t="s">
        <v>154</v>
      </c>
      <c r="F1666" s="7" t="s">
        <v>262</v>
      </c>
      <c r="G1666" s="7" t="s">
        <v>505</v>
      </c>
      <c r="H1666" s="6" t="n">
        <v>4.03</v>
      </c>
      <c r="I1666" s="6" t="n">
        <v>0</v>
      </c>
      <c r="J1666" s="40" t="n">
        <f aca="false">H1666-I1666</f>
        <v>4.03</v>
      </c>
      <c r="K1666" s="41" t="n">
        <v>26.5</v>
      </c>
      <c r="L1666" s="42" t="n">
        <f aca="false">J1666*K1666</f>
        <v>106.795</v>
      </c>
      <c r="M1666" s="43" t="n">
        <f aca="false">H1666*16.02*(1+'Chart of Accounts'!$E$67)</f>
        <v>73.921887</v>
      </c>
    </row>
    <row r="1667" customFormat="false" ht="15" hidden="false" customHeight="false" outlineLevel="0" collapsed="false">
      <c r="B1667" s="7" t="s">
        <v>2164</v>
      </c>
      <c r="C1667" s="39" t="n">
        <v>45743</v>
      </c>
      <c r="D1667" s="7" t="s">
        <v>359</v>
      </c>
      <c r="E1667" s="7" t="s">
        <v>156</v>
      </c>
      <c r="F1667" s="7" t="s">
        <v>212</v>
      </c>
      <c r="G1667" s="7" t="s">
        <v>505</v>
      </c>
      <c r="H1667" s="6" t="n">
        <v>3.84</v>
      </c>
      <c r="I1667" s="6" t="n">
        <v>0</v>
      </c>
      <c r="J1667" s="40" t="n">
        <f aca="false">H1667-I1667</f>
        <v>3.84</v>
      </c>
      <c r="K1667" s="41" t="n">
        <v>34</v>
      </c>
      <c r="L1667" s="42" t="n">
        <f aca="false">J1667*K1667</f>
        <v>130.56</v>
      </c>
      <c r="M1667" s="43" t="n">
        <f aca="false">H1667*16.71*(1+'Chart of Accounts'!$E$67)</f>
        <v>73.470528</v>
      </c>
    </row>
    <row r="1668" customFormat="false" ht="15" hidden="false" customHeight="false" outlineLevel="0" collapsed="false">
      <c r="B1668" s="7" t="s">
        <v>2165</v>
      </c>
      <c r="C1668" s="39" t="n">
        <v>45743</v>
      </c>
      <c r="D1668" s="7" t="s">
        <v>363</v>
      </c>
      <c r="E1668" s="7" t="s">
        <v>156</v>
      </c>
      <c r="F1668" s="7" t="s">
        <v>246</v>
      </c>
      <c r="G1668" s="7" t="s">
        <v>505</v>
      </c>
      <c r="H1668" s="6" t="n">
        <v>4.12</v>
      </c>
      <c r="I1668" s="6" t="n">
        <v>0</v>
      </c>
      <c r="J1668" s="40" t="n">
        <f aca="false">H1668-I1668</f>
        <v>4.12</v>
      </c>
      <c r="K1668" s="41" t="n">
        <v>34</v>
      </c>
      <c r="L1668" s="42" t="n">
        <f aca="false">J1668*K1668</f>
        <v>140.08</v>
      </c>
      <c r="M1668" s="43" t="n">
        <f aca="false">H1668*16.48*(1+'Chart of Accounts'!$E$67)</f>
        <v>77.742752</v>
      </c>
    </row>
    <row r="1669" customFormat="false" ht="15" hidden="false" customHeight="false" outlineLevel="0" collapsed="false">
      <c r="B1669" s="7" t="s">
        <v>2166</v>
      </c>
      <c r="C1669" s="39" t="n">
        <v>45743</v>
      </c>
      <c r="D1669" s="7" t="s">
        <v>375</v>
      </c>
      <c r="E1669" s="7" t="s">
        <v>156</v>
      </c>
      <c r="F1669" s="7" t="s">
        <v>196</v>
      </c>
      <c r="G1669" s="7" t="s">
        <v>505</v>
      </c>
      <c r="H1669" s="6" t="n">
        <v>2.9</v>
      </c>
      <c r="I1669" s="6" t="n">
        <v>0</v>
      </c>
      <c r="J1669" s="40" t="n">
        <f aca="false">H1669-I1669</f>
        <v>2.9</v>
      </c>
      <c r="K1669" s="41" t="n">
        <v>34</v>
      </c>
      <c r="L1669" s="42" t="n">
        <f aca="false">J1669*K1669</f>
        <v>98.6</v>
      </c>
      <c r="M1669" s="43" t="n">
        <f aca="false">H1669*15.05*(1+'Chart of Accounts'!$E$67)</f>
        <v>49.973525</v>
      </c>
    </row>
    <row r="1670" customFormat="false" ht="15" hidden="false" customHeight="false" outlineLevel="0" collapsed="false">
      <c r="B1670" s="7" t="s">
        <v>2167</v>
      </c>
      <c r="C1670" s="39" t="n">
        <v>45743</v>
      </c>
      <c r="D1670" s="7" t="s">
        <v>377</v>
      </c>
      <c r="E1670" s="7" t="s">
        <v>154</v>
      </c>
      <c r="F1670" s="7" t="s">
        <v>214</v>
      </c>
      <c r="G1670" s="7" t="s">
        <v>505</v>
      </c>
      <c r="H1670" s="6" t="n">
        <v>3.83</v>
      </c>
      <c r="I1670" s="6" t="n">
        <v>0</v>
      </c>
      <c r="J1670" s="40" t="n">
        <f aca="false">H1670-I1670</f>
        <v>3.83</v>
      </c>
      <c r="K1670" s="41" t="n">
        <v>26.5</v>
      </c>
      <c r="L1670" s="42" t="n">
        <f aca="false">J1670*K1670</f>
        <v>101.495</v>
      </c>
      <c r="M1670" s="43" t="n">
        <f aca="false">H1670*15.67*(1+'Chart of Accounts'!$E$67)</f>
        <v>68.7184345</v>
      </c>
    </row>
    <row r="1671" customFormat="false" ht="15" hidden="false" customHeight="false" outlineLevel="0" collapsed="false">
      <c r="B1671" s="7" t="s">
        <v>2168</v>
      </c>
      <c r="C1671" s="39" t="n">
        <v>45743</v>
      </c>
      <c r="D1671" s="7" t="s">
        <v>389</v>
      </c>
      <c r="E1671" s="7" t="s">
        <v>154</v>
      </c>
      <c r="F1671" s="7" t="s">
        <v>246</v>
      </c>
      <c r="G1671" s="7" t="s">
        <v>505</v>
      </c>
      <c r="H1671" s="6" t="n">
        <v>4.37</v>
      </c>
      <c r="I1671" s="6" t="n">
        <v>0</v>
      </c>
      <c r="J1671" s="40" t="n">
        <f aca="false">H1671-I1671</f>
        <v>4.37</v>
      </c>
      <c r="K1671" s="41" t="n">
        <v>26.5</v>
      </c>
      <c r="L1671" s="42" t="n">
        <f aca="false">J1671*K1671</f>
        <v>115.805</v>
      </c>
      <c r="M1671" s="43" t="n">
        <f aca="false">H1671*16.48*(1+'Chart of Accounts'!$E$67)</f>
        <v>82.460152</v>
      </c>
    </row>
    <row r="1672" customFormat="false" ht="15" hidden="false" customHeight="false" outlineLevel="0" collapsed="false">
      <c r="B1672" s="7" t="s">
        <v>2169</v>
      </c>
      <c r="C1672" s="39" t="n">
        <v>45743</v>
      </c>
      <c r="D1672" s="7" t="s">
        <v>391</v>
      </c>
      <c r="E1672" s="7" t="s">
        <v>156</v>
      </c>
      <c r="F1672" s="7" t="s">
        <v>222</v>
      </c>
      <c r="G1672" s="7" t="s">
        <v>505</v>
      </c>
      <c r="H1672" s="6" t="n">
        <v>3.91</v>
      </c>
      <c r="I1672" s="6" t="n">
        <v>0</v>
      </c>
      <c r="J1672" s="40" t="n">
        <f aca="false">H1672-I1672</f>
        <v>3.91</v>
      </c>
      <c r="K1672" s="41" t="n">
        <v>34</v>
      </c>
      <c r="L1672" s="42" t="n">
        <f aca="false">J1672*K1672</f>
        <v>132.94</v>
      </c>
      <c r="M1672" s="43" t="n">
        <f aca="false">H1672*17.84*(1+'Chart of Accounts'!$E$67)</f>
        <v>79.868788</v>
      </c>
    </row>
    <row r="1673" customFormat="false" ht="15" hidden="false" customHeight="false" outlineLevel="0" collapsed="false">
      <c r="B1673" s="7" t="s">
        <v>2170</v>
      </c>
      <c r="C1673" s="39" t="n">
        <v>45743</v>
      </c>
      <c r="D1673" s="7" t="s">
        <v>395</v>
      </c>
      <c r="E1673" s="7" t="s">
        <v>156</v>
      </c>
      <c r="F1673" s="7" t="s">
        <v>242</v>
      </c>
      <c r="G1673" s="7" t="s">
        <v>505</v>
      </c>
      <c r="H1673" s="6" t="n">
        <v>3.99</v>
      </c>
      <c r="I1673" s="6" t="n">
        <v>0</v>
      </c>
      <c r="J1673" s="40" t="n">
        <f aca="false">H1673-I1673</f>
        <v>3.99</v>
      </c>
      <c r="K1673" s="41" t="n">
        <v>34</v>
      </c>
      <c r="L1673" s="42" t="n">
        <f aca="false">J1673*K1673</f>
        <v>135.66</v>
      </c>
      <c r="M1673" s="43" t="n">
        <f aca="false">H1673*17.99*(1+'Chart of Accounts'!$E$67)</f>
        <v>82.1882145</v>
      </c>
    </row>
    <row r="1674" customFormat="false" ht="15" hidden="false" customHeight="false" outlineLevel="0" collapsed="false">
      <c r="B1674" s="7" t="s">
        <v>2171</v>
      </c>
      <c r="C1674" s="39" t="n">
        <v>45743</v>
      </c>
      <c r="D1674" s="7" t="s">
        <v>401</v>
      </c>
      <c r="E1674" s="7" t="s">
        <v>156</v>
      </c>
      <c r="F1674" s="7" t="s">
        <v>254</v>
      </c>
      <c r="G1674" s="7" t="s">
        <v>505</v>
      </c>
      <c r="H1674" s="6" t="n">
        <v>3.75</v>
      </c>
      <c r="I1674" s="6" t="n">
        <v>0</v>
      </c>
      <c r="J1674" s="40" t="n">
        <f aca="false">H1674-I1674</f>
        <v>3.75</v>
      </c>
      <c r="K1674" s="41" t="n">
        <v>34</v>
      </c>
      <c r="L1674" s="42" t="n">
        <f aca="false">J1674*K1674</f>
        <v>127.5</v>
      </c>
      <c r="M1674" s="43" t="n">
        <f aca="false">H1674*17.1*(1+'Chart of Accounts'!$E$67)</f>
        <v>73.423125</v>
      </c>
    </row>
    <row r="1675" customFormat="false" ht="15" hidden="false" customHeight="false" outlineLevel="0" collapsed="false">
      <c r="B1675" s="7" t="s">
        <v>2172</v>
      </c>
      <c r="C1675" s="39" t="n">
        <v>45744</v>
      </c>
      <c r="D1675" s="7" t="s">
        <v>280</v>
      </c>
      <c r="E1675" s="7" t="s">
        <v>157</v>
      </c>
      <c r="F1675" s="7" t="s">
        <v>187</v>
      </c>
      <c r="G1675" s="7" t="s">
        <v>502</v>
      </c>
      <c r="H1675" s="6" t="n">
        <v>1.1</v>
      </c>
      <c r="I1675" s="6" t="n">
        <v>0</v>
      </c>
      <c r="J1675" s="40" t="n">
        <f aca="false">H1675-I1675</f>
        <v>1.1</v>
      </c>
      <c r="K1675" s="41" t="n">
        <v>165</v>
      </c>
      <c r="L1675" s="42" t="n">
        <f aca="false">J1675*K1675</f>
        <v>181.5</v>
      </c>
      <c r="M1675" s="43" t="n">
        <f aca="false">H1675*66.48*(1+'Chart of Accounts'!$E$67)</f>
        <v>83.73156</v>
      </c>
    </row>
    <row r="1676" customFormat="false" ht="15" hidden="false" customHeight="false" outlineLevel="0" collapsed="false">
      <c r="B1676" s="7" t="s">
        <v>2173</v>
      </c>
      <c r="C1676" s="39" t="n">
        <v>45744</v>
      </c>
      <c r="D1676" s="7" t="s">
        <v>288</v>
      </c>
      <c r="E1676" s="7" t="s">
        <v>156</v>
      </c>
      <c r="F1676" s="7" t="s">
        <v>191</v>
      </c>
      <c r="G1676" s="7" t="s">
        <v>505</v>
      </c>
      <c r="H1676" s="6" t="n">
        <v>4.23</v>
      </c>
      <c r="I1676" s="6" t="n">
        <v>0</v>
      </c>
      <c r="J1676" s="40" t="n">
        <f aca="false">H1676-I1676</f>
        <v>4.23</v>
      </c>
      <c r="K1676" s="41" t="n">
        <v>34</v>
      </c>
      <c r="L1676" s="42" t="n">
        <f aca="false">J1676*K1676</f>
        <v>143.82</v>
      </c>
      <c r="M1676" s="43" t="n">
        <f aca="false">H1676*16.05*(1+'Chart of Accounts'!$E$67)</f>
        <v>77.7357675</v>
      </c>
    </row>
    <row r="1677" customFormat="false" ht="15" hidden="false" customHeight="false" outlineLevel="0" collapsed="false">
      <c r="B1677" s="7" t="s">
        <v>2174</v>
      </c>
      <c r="C1677" s="39" t="n">
        <v>45744</v>
      </c>
      <c r="D1677" s="7" t="s">
        <v>291</v>
      </c>
      <c r="E1677" s="7" t="s">
        <v>154</v>
      </c>
      <c r="F1677" s="7" t="s">
        <v>194</v>
      </c>
      <c r="G1677" s="7" t="s">
        <v>505</v>
      </c>
      <c r="H1677" s="6" t="n">
        <v>5.1</v>
      </c>
      <c r="I1677" s="6" t="n">
        <v>0</v>
      </c>
      <c r="J1677" s="40" t="n">
        <f aca="false">H1677-I1677</f>
        <v>5.1</v>
      </c>
      <c r="K1677" s="41" t="n">
        <v>26.5</v>
      </c>
      <c r="L1677" s="42" t="n">
        <f aca="false">J1677*K1677</f>
        <v>135.15</v>
      </c>
      <c r="M1677" s="43" t="n">
        <f aca="false">H1677*16*(1+'Chart of Accounts'!$E$67)</f>
        <v>93.432</v>
      </c>
    </row>
    <row r="1678" customFormat="false" ht="15" hidden="false" customHeight="false" outlineLevel="0" collapsed="false">
      <c r="B1678" s="7" t="s">
        <v>2175</v>
      </c>
      <c r="C1678" s="39" t="n">
        <v>45744</v>
      </c>
      <c r="D1678" s="7" t="s">
        <v>301</v>
      </c>
      <c r="E1678" s="7" t="s">
        <v>157</v>
      </c>
      <c r="F1678" s="7" t="s">
        <v>209</v>
      </c>
      <c r="G1678" s="7" t="s">
        <v>502</v>
      </c>
      <c r="H1678" s="6" t="n">
        <v>0.9</v>
      </c>
      <c r="I1678" s="6" t="n">
        <v>0</v>
      </c>
      <c r="J1678" s="40" t="n">
        <f aca="false">H1678-I1678</f>
        <v>0.9</v>
      </c>
      <c r="K1678" s="41" t="n">
        <v>165</v>
      </c>
      <c r="L1678" s="42" t="n">
        <f aca="false">J1678*K1678</f>
        <v>148.5</v>
      </c>
      <c r="M1678" s="43" t="n">
        <f aca="false">H1678*73.58*(1+'Chart of Accounts'!$E$67)</f>
        <v>75.82419</v>
      </c>
    </row>
    <row r="1679" customFormat="false" ht="15" hidden="false" customHeight="false" outlineLevel="0" collapsed="false">
      <c r="B1679" s="7" t="s">
        <v>2176</v>
      </c>
      <c r="C1679" s="39" t="n">
        <v>45744</v>
      </c>
      <c r="D1679" s="7" t="s">
        <v>305</v>
      </c>
      <c r="E1679" s="7" t="s">
        <v>154</v>
      </c>
      <c r="F1679" s="7" t="s">
        <v>205</v>
      </c>
      <c r="G1679" s="7" t="s">
        <v>505</v>
      </c>
      <c r="H1679" s="6" t="n">
        <v>4.18</v>
      </c>
      <c r="I1679" s="6" t="n">
        <v>0</v>
      </c>
      <c r="J1679" s="40" t="n">
        <f aca="false">H1679-I1679</f>
        <v>4.18</v>
      </c>
      <c r="K1679" s="41" t="n">
        <v>26.5</v>
      </c>
      <c r="L1679" s="42" t="n">
        <f aca="false">J1679*K1679</f>
        <v>110.77</v>
      </c>
      <c r="M1679" s="43" t="n">
        <f aca="false">H1679*16.36*(1+'Chart of Accounts'!$E$67)</f>
        <v>78.300596</v>
      </c>
    </row>
    <row r="1680" customFormat="false" ht="15" hidden="false" customHeight="false" outlineLevel="0" collapsed="false">
      <c r="B1680" s="7" t="s">
        <v>2177</v>
      </c>
      <c r="C1680" s="39" t="n">
        <v>45744</v>
      </c>
      <c r="D1680" s="7" t="s">
        <v>307</v>
      </c>
      <c r="E1680" s="7" t="s">
        <v>157</v>
      </c>
      <c r="F1680" s="7" t="s">
        <v>264</v>
      </c>
      <c r="G1680" s="7" t="s">
        <v>502</v>
      </c>
      <c r="H1680" s="6" t="n">
        <v>1.03</v>
      </c>
      <c r="I1680" s="6" t="n">
        <v>0</v>
      </c>
      <c r="J1680" s="40" t="n">
        <f aca="false">H1680-I1680</f>
        <v>1.03</v>
      </c>
      <c r="K1680" s="41" t="n">
        <v>165</v>
      </c>
      <c r="L1680" s="42" t="n">
        <f aca="false">J1680*K1680</f>
        <v>169.95</v>
      </c>
      <c r="M1680" s="43" t="n">
        <f aca="false">H1680*55.55*(1+'Chart of Accounts'!$E$67)</f>
        <v>65.5128925</v>
      </c>
    </row>
    <row r="1681" customFormat="false" ht="15" hidden="false" customHeight="false" outlineLevel="0" collapsed="false">
      <c r="B1681" s="7" t="s">
        <v>2178</v>
      </c>
      <c r="C1681" s="39" t="n">
        <v>45744</v>
      </c>
      <c r="D1681" s="7" t="s">
        <v>309</v>
      </c>
      <c r="E1681" s="7" t="s">
        <v>159</v>
      </c>
      <c r="F1681" s="7" t="s">
        <v>252</v>
      </c>
      <c r="G1681" s="7" t="s">
        <v>502</v>
      </c>
      <c r="H1681" s="6" t="n">
        <v>1.07</v>
      </c>
      <c r="I1681" s="6" t="n">
        <v>0</v>
      </c>
      <c r="J1681" s="40" t="n">
        <f aca="false">H1681-I1681</f>
        <v>1.07</v>
      </c>
      <c r="K1681" s="41" t="n">
        <v>135</v>
      </c>
      <c r="L1681" s="42" t="n">
        <f aca="false">J1681*K1681</f>
        <v>144.45</v>
      </c>
      <c r="M1681" s="43" t="n">
        <f aca="false">H1681*57.54*(1+'Chart of Accounts'!$E$67)</f>
        <v>70.495131</v>
      </c>
    </row>
    <row r="1682" customFormat="false" ht="15" hidden="false" customHeight="false" outlineLevel="0" collapsed="false">
      <c r="B1682" s="7" t="s">
        <v>2179</v>
      </c>
      <c r="C1682" s="39" t="n">
        <v>45744</v>
      </c>
      <c r="D1682" s="7" t="s">
        <v>313</v>
      </c>
      <c r="E1682" s="7" t="s">
        <v>156</v>
      </c>
      <c r="F1682" s="7" t="s">
        <v>184</v>
      </c>
      <c r="G1682" s="7" t="s">
        <v>505</v>
      </c>
      <c r="H1682" s="6" t="n">
        <v>3.79</v>
      </c>
      <c r="I1682" s="6" t="n">
        <v>0</v>
      </c>
      <c r="J1682" s="40" t="n">
        <f aca="false">H1682-I1682</f>
        <v>3.79</v>
      </c>
      <c r="K1682" s="41" t="n">
        <v>34</v>
      </c>
      <c r="L1682" s="42" t="n">
        <f aca="false">J1682*K1682</f>
        <v>128.86</v>
      </c>
      <c r="M1682" s="43" t="n">
        <f aca="false">H1682*17.34*(1+'Chart of Accounts'!$E$67)</f>
        <v>75.247797</v>
      </c>
    </row>
    <row r="1683" customFormat="false" ht="15" hidden="false" customHeight="false" outlineLevel="0" collapsed="false">
      <c r="B1683" s="7" t="s">
        <v>2180</v>
      </c>
      <c r="C1683" s="39" t="n">
        <v>45744</v>
      </c>
      <c r="D1683" s="7" t="s">
        <v>321</v>
      </c>
      <c r="E1683" s="7" t="s">
        <v>154</v>
      </c>
      <c r="F1683" s="7" t="s">
        <v>218</v>
      </c>
      <c r="G1683" s="7" t="s">
        <v>505</v>
      </c>
      <c r="H1683" s="6" t="n">
        <v>3.64</v>
      </c>
      <c r="I1683" s="6" t="n">
        <v>0.109</v>
      </c>
      <c r="J1683" s="40" t="n">
        <f aca="false">H1683-I1683</f>
        <v>3.531</v>
      </c>
      <c r="K1683" s="41" t="n">
        <v>26.5</v>
      </c>
      <c r="L1683" s="42" t="n">
        <f aca="false">J1683*K1683</f>
        <v>93.5715</v>
      </c>
      <c r="M1683" s="43" t="n">
        <f aca="false">H1683*16.19*(1+'Chart of Accounts'!$E$67)</f>
        <v>67.476682</v>
      </c>
    </row>
    <row r="1684" customFormat="false" ht="15" hidden="false" customHeight="false" outlineLevel="0" collapsed="false">
      <c r="B1684" s="7" t="s">
        <v>2181</v>
      </c>
      <c r="C1684" s="39" t="n">
        <v>45744</v>
      </c>
      <c r="D1684" s="7" t="s">
        <v>323</v>
      </c>
      <c r="E1684" s="7" t="s">
        <v>159</v>
      </c>
      <c r="F1684" s="7" t="s">
        <v>266</v>
      </c>
      <c r="G1684" s="7" t="s">
        <v>502</v>
      </c>
      <c r="H1684" s="6" t="n">
        <v>0.93</v>
      </c>
      <c r="I1684" s="6" t="n">
        <v>0</v>
      </c>
      <c r="J1684" s="40" t="n">
        <f aca="false">H1684-I1684</f>
        <v>0.93</v>
      </c>
      <c r="K1684" s="41" t="n">
        <v>135</v>
      </c>
      <c r="L1684" s="42" t="n">
        <f aca="false">J1684*K1684</f>
        <v>125.55</v>
      </c>
      <c r="M1684" s="43" t="n">
        <f aca="false">H1684*75.18*(1+'Chart of Accounts'!$E$67)</f>
        <v>80.055423</v>
      </c>
    </row>
    <row r="1685" customFormat="false" ht="15" hidden="false" customHeight="false" outlineLevel="0" collapsed="false">
      <c r="B1685" s="7" t="s">
        <v>2182</v>
      </c>
      <c r="C1685" s="39" t="n">
        <v>45744</v>
      </c>
      <c r="D1685" s="7" t="s">
        <v>327</v>
      </c>
      <c r="E1685" s="7" t="s">
        <v>157</v>
      </c>
      <c r="F1685" s="7" t="s">
        <v>228</v>
      </c>
      <c r="G1685" s="7" t="s">
        <v>502</v>
      </c>
      <c r="H1685" s="6" t="n">
        <v>1.06</v>
      </c>
      <c r="I1685" s="6" t="n">
        <v>0</v>
      </c>
      <c r="J1685" s="40" t="n">
        <f aca="false">H1685-I1685</f>
        <v>1.06</v>
      </c>
      <c r="K1685" s="41" t="n">
        <v>165</v>
      </c>
      <c r="L1685" s="42" t="n">
        <f aca="false">J1685*K1685</f>
        <v>174.9</v>
      </c>
      <c r="M1685" s="43" t="n">
        <f aca="false">H1685*51.07*(1+'Chart of Accounts'!$E$67)</f>
        <v>61.983659</v>
      </c>
    </row>
    <row r="1686" customFormat="false" ht="15" hidden="false" customHeight="false" outlineLevel="0" collapsed="false">
      <c r="B1686" s="7" t="s">
        <v>2183</v>
      </c>
      <c r="C1686" s="39" t="n">
        <v>45744</v>
      </c>
      <c r="D1686" s="7" t="s">
        <v>329</v>
      </c>
      <c r="E1686" s="7" t="s">
        <v>156</v>
      </c>
      <c r="F1686" s="7" t="s">
        <v>220</v>
      </c>
      <c r="G1686" s="7" t="s">
        <v>505</v>
      </c>
      <c r="H1686" s="6" t="n">
        <v>4.07</v>
      </c>
      <c r="I1686" s="6" t="n">
        <v>0</v>
      </c>
      <c r="J1686" s="40" t="n">
        <f aca="false">H1686-I1686</f>
        <v>4.07</v>
      </c>
      <c r="K1686" s="41" t="n">
        <v>34</v>
      </c>
      <c r="L1686" s="42" t="n">
        <f aca="false">J1686*K1686</f>
        <v>138.38</v>
      </c>
      <c r="M1686" s="43" t="n">
        <f aca="false">H1686*16.43*(1+'Chart of Accounts'!$E$67)</f>
        <v>76.5662645</v>
      </c>
    </row>
    <row r="1687" customFormat="false" ht="15" hidden="false" customHeight="false" outlineLevel="0" collapsed="false">
      <c r="B1687" s="7" t="s">
        <v>2184</v>
      </c>
      <c r="C1687" s="39" t="n">
        <v>45744</v>
      </c>
      <c r="D1687" s="7" t="s">
        <v>335</v>
      </c>
      <c r="E1687" s="7" t="s">
        <v>154</v>
      </c>
      <c r="F1687" s="7" t="s">
        <v>177</v>
      </c>
      <c r="G1687" s="7" t="s">
        <v>505</v>
      </c>
      <c r="H1687" s="6" t="n">
        <v>4</v>
      </c>
      <c r="I1687" s="6" t="n">
        <v>0</v>
      </c>
      <c r="J1687" s="40" t="n">
        <f aca="false">H1687-I1687</f>
        <v>4</v>
      </c>
      <c r="K1687" s="41" t="n">
        <v>26.5</v>
      </c>
      <c r="L1687" s="42" t="n">
        <f aca="false">J1687*K1687</f>
        <v>106</v>
      </c>
      <c r="M1687" s="43" t="n">
        <f aca="false">H1687*14.56*(1+'Chart of Accounts'!$E$67)</f>
        <v>66.6848</v>
      </c>
    </row>
    <row r="1688" customFormat="false" ht="15" hidden="false" customHeight="false" outlineLevel="0" collapsed="false">
      <c r="B1688" s="7" t="s">
        <v>2185</v>
      </c>
      <c r="C1688" s="39" t="n">
        <v>45744</v>
      </c>
      <c r="D1688" s="7" t="s">
        <v>339</v>
      </c>
      <c r="E1688" s="7" t="s">
        <v>154</v>
      </c>
      <c r="F1688" s="7" t="s">
        <v>242</v>
      </c>
      <c r="G1688" s="7" t="s">
        <v>505</v>
      </c>
      <c r="H1688" s="6" t="n">
        <v>3.54</v>
      </c>
      <c r="I1688" s="6" t="n">
        <v>0</v>
      </c>
      <c r="J1688" s="40" t="n">
        <f aca="false">H1688-I1688</f>
        <v>3.54</v>
      </c>
      <c r="K1688" s="41" t="n">
        <v>26.5</v>
      </c>
      <c r="L1688" s="42" t="n">
        <f aca="false">J1688*K1688</f>
        <v>93.81</v>
      </c>
      <c r="M1688" s="43" t="n">
        <f aca="false">H1688*17.99*(1+'Chart of Accounts'!$E$67)</f>
        <v>72.918867</v>
      </c>
    </row>
    <row r="1689" customFormat="false" ht="15" hidden="false" customHeight="false" outlineLevel="0" collapsed="false">
      <c r="B1689" s="7" t="s">
        <v>2186</v>
      </c>
      <c r="C1689" s="39" t="n">
        <v>45744</v>
      </c>
      <c r="D1689" s="7" t="s">
        <v>353</v>
      </c>
      <c r="E1689" s="7" t="s">
        <v>154</v>
      </c>
      <c r="F1689" s="7" t="s">
        <v>254</v>
      </c>
      <c r="G1689" s="7" t="s">
        <v>505</v>
      </c>
      <c r="H1689" s="6" t="n">
        <v>3.65</v>
      </c>
      <c r="I1689" s="6" t="n">
        <v>0</v>
      </c>
      <c r="J1689" s="40" t="n">
        <f aca="false">H1689-I1689</f>
        <v>3.65</v>
      </c>
      <c r="K1689" s="41" t="n">
        <v>26.5</v>
      </c>
      <c r="L1689" s="42" t="n">
        <f aca="false">J1689*K1689</f>
        <v>96.725</v>
      </c>
      <c r="M1689" s="43" t="n">
        <f aca="false">H1689*17.1*(1+'Chart of Accounts'!$E$67)</f>
        <v>71.465175</v>
      </c>
    </row>
    <row r="1690" customFormat="false" ht="15" hidden="false" customHeight="false" outlineLevel="0" collapsed="false">
      <c r="B1690" s="7" t="s">
        <v>2187</v>
      </c>
      <c r="C1690" s="39" t="n">
        <v>45744</v>
      </c>
      <c r="D1690" s="7" t="s">
        <v>355</v>
      </c>
      <c r="E1690" s="7" t="s">
        <v>154</v>
      </c>
      <c r="F1690" s="7" t="s">
        <v>201</v>
      </c>
      <c r="G1690" s="7" t="s">
        <v>505</v>
      </c>
      <c r="H1690" s="6" t="n">
        <v>3.65</v>
      </c>
      <c r="I1690" s="6" t="n">
        <v>0.11</v>
      </c>
      <c r="J1690" s="40" t="n">
        <f aca="false">H1690-I1690</f>
        <v>3.54</v>
      </c>
      <c r="K1690" s="41" t="n">
        <v>26.5</v>
      </c>
      <c r="L1690" s="42" t="n">
        <f aca="false">J1690*K1690</f>
        <v>93.81</v>
      </c>
      <c r="M1690" s="43" t="n">
        <f aca="false">H1690*15.19*(1+'Chart of Accounts'!$E$67)</f>
        <v>63.4828075</v>
      </c>
    </row>
    <row r="1691" customFormat="false" ht="15" hidden="false" customHeight="false" outlineLevel="0" collapsed="false">
      <c r="B1691" s="7" t="s">
        <v>2188</v>
      </c>
      <c r="C1691" s="39" t="n">
        <v>45744</v>
      </c>
      <c r="D1691" s="7" t="s">
        <v>357</v>
      </c>
      <c r="E1691" s="7" t="s">
        <v>154</v>
      </c>
      <c r="F1691" s="7" t="s">
        <v>207</v>
      </c>
      <c r="G1691" s="7" t="s">
        <v>505</v>
      </c>
      <c r="H1691" s="6" t="n">
        <v>3.56</v>
      </c>
      <c r="I1691" s="6" t="n">
        <v>0</v>
      </c>
      <c r="J1691" s="40" t="n">
        <f aca="false">H1691-I1691</f>
        <v>3.56</v>
      </c>
      <c r="K1691" s="41" t="n">
        <v>26.5</v>
      </c>
      <c r="L1691" s="42" t="n">
        <f aca="false">J1691*K1691</f>
        <v>94.34</v>
      </c>
      <c r="M1691" s="43" t="n">
        <f aca="false">H1691*16.65*(1+'Chart of Accounts'!$E$67)</f>
        <v>67.86873</v>
      </c>
    </row>
    <row r="1692" customFormat="false" ht="15" hidden="false" customHeight="false" outlineLevel="0" collapsed="false">
      <c r="B1692" s="7" t="s">
        <v>2189</v>
      </c>
      <c r="C1692" s="39" t="n">
        <v>45744</v>
      </c>
      <c r="D1692" s="7" t="s">
        <v>359</v>
      </c>
      <c r="E1692" s="7" t="s">
        <v>156</v>
      </c>
      <c r="F1692" s="7" t="s">
        <v>212</v>
      </c>
      <c r="G1692" s="7" t="s">
        <v>505</v>
      </c>
      <c r="H1692" s="6" t="n">
        <v>4.07</v>
      </c>
      <c r="I1692" s="6" t="n">
        <v>0</v>
      </c>
      <c r="J1692" s="40" t="n">
        <f aca="false">H1692-I1692</f>
        <v>4.07</v>
      </c>
      <c r="K1692" s="41" t="n">
        <v>34</v>
      </c>
      <c r="L1692" s="42" t="n">
        <f aca="false">J1692*K1692</f>
        <v>138.38</v>
      </c>
      <c r="M1692" s="43" t="n">
        <f aca="false">H1692*16.71*(1+'Chart of Accounts'!$E$67)</f>
        <v>77.8711065</v>
      </c>
    </row>
    <row r="1693" customFormat="false" ht="15" hidden="false" customHeight="false" outlineLevel="0" collapsed="false">
      <c r="B1693" s="7" t="s">
        <v>2190</v>
      </c>
      <c r="C1693" s="39" t="n">
        <v>45744</v>
      </c>
      <c r="D1693" s="7" t="s">
        <v>361</v>
      </c>
      <c r="E1693" s="7" t="s">
        <v>157</v>
      </c>
      <c r="F1693" s="7" t="s">
        <v>209</v>
      </c>
      <c r="G1693" s="7" t="s">
        <v>502</v>
      </c>
      <c r="H1693" s="6" t="n">
        <v>0.93</v>
      </c>
      <c r="I1693" s="6" t="n">
        <v>0</v>
      </c>
      <c r="J1693" s="40" t="n">
        <f aca="false">H1693-I1693</f>
        <v>0.93</v>
      </c>
      <c r="K1693" s="41" t="n">
        <v>165</v>
      </c>
      <c r="L1693" s="42" t="n">
        <f aca="false">J1693*K1693</f>
        <v>153.45</v>
      </c>
      <c r="M1693" s="43" t="n">
        <f aca="false">H1693*73.58*(1+'Chart of Accounts'!$E$67)</f>
        <v>78.351663</v>
      </c>
    </row>
    <row r="1694" customFormat="false" ht="15" hidden="false" customHeight="false" outlineLevel="0" collapsed="false">
      <c r="B1694" s="7" t="s">
        <v>2191</v>
      </c>
      <c r="C1694" s="39" t="n">
        <v>45744</v>
      </c>
      <c r="D1694" s="7" t="s">
        <v>371</v>
      </c>
      <c r="E1694" s="7" t="s">
        <v>154</v>
      </c>
      <c r="F1694" s="7" t="s">
        <v>232</v>
      </c>
      <c r="G1694" s="7" t="s">
        <v>505</v>
      </c>
      <c r="H1694" s="6" t="n">
        <v>4.72</v>
      </c>
      <c r="I1694" s="6" t="n">
        <v>0</v>
      </c>
      <c r="J1694" s="40" t="n">
        <f aca="false">H1694-I1694</f>
        <v>4.72</v>
      </c>
      <c r="K1694" s="41" t="n">
        <v>26.5</v>
      </c>
      <c r="L1694" s="42" t="n">
        <f aca="false">J1694*K1694</f>
        <v>125.08</v>
      </c>
      <c r="M1694" s="43" t="n">
        <f aca="false">H1694*16.17*(1+'Chart of Accounts'!$E$67)</f>
        <v>87.389148</v>
      </c>
    </row>
    <row r="1695" customFormat="false" ht="15" hidden="false" customHeight="false" outlineLevel="0" collapsed="false">
      <c r="B1695" s="7" t="s">
        <v>2192</v>
      </c>
      <c r="C1695" s="39" t="n">
        <v>45744</v>
      </c>
      <c r="D1695" s="7" t="s">
        <v>379</v>
      </c>
      <c r="E1695" s="7" t="s">
        <v>156</v>
      </c>
      <c r="F1695" s="7" t="s">
        <v>224</v>
      </c>
      <c r="G1695" s="7" t="s">
        <v>505</v>
      </c>
      <c r="H1695" s="6" t="n">
        <v>4.24</v>
      </c>
      <c r="I1695" s="6" t="n">
        <v>0</v>
      </c>
      <c r="J1695" s="40" t="n">
        <f aca="false">H1695-I1695</f>
        <v>4.24</v>
      </c>
      <c r="K1695" s="41" t="n">
        <v>34</v>
      </c>
      <c r="L1695" s="42" t="n">
        <f aca="false">J1695*K1695</f>
        <v>144.16</v>
      </c>
      <c r="M1695" s="43" t="n">
        <f aca="false">H1695*14.93*(1+'Chart of Accounts'!$E$67)</f>
        <v>72.482164</v>
      </c>
    </row>
    <row r="1696" customFormat="false" ht="15" hidden="false" customHeight="false" outlineLevel="0" collapsed="false">
      <c r="B1696" s="7" t="s">
        <v>2193</v>
      </c>
      <c r="C1696" s="39" t="n">
        <v>45744</v>
      </c>
      <c r="D1696" s="7" t="s">
        <v>381</v>
      </c>
      <c r="E1696" s="7" t="s">
        <v>157</v>
      </c>
      <c r="F1696" s="7" t="s">
        <v>234</v>
      </c>
      <c r="G1696" s="7" t="s">
        <v>502</v>
      </c>
      <c r="H1696" s="6" t="n">
        <v>1.02</v>
      </c>
      <c r="I1696" s="6" t="n">
        <v>0.051</v>
      </c>
      <c r="J1696" s="40" t="n">
        <f aca="false">H1696-I1696</f>
        <v>0.969</v>
      </c>
      <c r="K1696" s="41" t="n">
        <v>165</v>
      </c>
      <c r="L1696" s="42" t="n">
        <f aca="false">J1696*K1696</f>
        <v>159.885</v>
      </c>
      <c r="M1696" s="43" t="n">
        <f aca="false">H1696*89.53*(1+'Chart of Accounts'!$E$67)</f>
        <v>104.562087</v>
      </c>
    </row>
    <row r="1697" customFormat="false" ht="15" hidden="false" customHeight="false" outlineLevel="0" collapsed="false">
      <c r="B1697" s="7" t="s">
        <v>2194</v>
      </c>
      <c r="C1697" s="39" t="n">
        <v>45744</v>
      </c>
      <c r="D1697" s="7" t="s">
        <v>391</v>
      </c>
      <c r="E1697" s="7" t="s">
        <v>156</v>
      </c>
      <c r="F1697" s="7" t="s">
        <v>222</v>
      </c>
      <c r="G1697" s="7" t="s">
        <v>505</v>
      </c>
      <c r="H1697" s="6" t="n">
        <v>4.34</v>
      </c>
      <c r="I1697" s="6" t="n">
        <v>0</v>
      </c>
      <c r="J1697" s="40" t="n">
        <f aca="false">H1697-I1697</f>
        <v>4.34</v>
      </c>
      <c r="K1697" s="41" t="n">
        <v>34</v>
      </c>
      <c r="L1697" s="42" t="n">
        <f aca="false">J1697*K1697</f>
        <v>147.56</v>
      </c>
      <c r="M1697" s="43" t="n">
        <f aca="false">H1697*17.84*(1+'Chart of Accounts'!$E$67)</f>
        <v>88.652312</v>
      </c>
    </row>
    <row r="1698" customFormat="false" ht="15" hidden="false" customHeight="false" outlineLevel="0" collapsed="false">
      <c r="B1698" s="7" t="s">
        <v>2195</v>
      </c>
      <c r="C1698" s="39" t="n">
        <v>45744</v>
      </c>
      <c r="D1698" s="7" t="s">
        <v>395</v>
      </c>
      <c r="E1698" s="7" t="s">
        <v>156</v>
      </c>
      <c r="F1698" s="7" t="s">
        <v>242</v>
      </c>
      <c r="G1698" s="7" t="s">
        <v>505</v>
      </c>
      <c r="H1698" s="6" t="n">
        <v>3.83</v>
      </c>
      <c r="I1698" s="6" t="n">
        <v>0</v>
      </c>
      <c r="J1698" s="40" t="n">
        <f aca="false">H1698-I1698</f>
        <v>3.83</v>
      </c>
      <c r="K1698" s="41" t="n">
        <v>34</v>
      </c>
      <c r="L1698" s="42" t="n">
        <f aca="false">J1698*K1698</f>
        <v>130.22</v>
      </c>
      <c r="M1698" s="43" t="n">
        <f aca="false">H1698*17.99*(1+'Chart of Accounts'!$E$67)</f>
        <v>78.8924465</v>
      </c>
    </row>
    <row r="1699" customFormat="false" ht="15" hidden="false" customHeight="false" outlineLevel="0" collapsed="false">
      <c r="B1699" s="7" t="s">
        <v>2196</v>
      </c>
      <c r="C1699" s="39" t="n">
        <v>45744</v>
      </c>
      <c r="D1699" s="7" t="s">
        <v>397</v>
      </c>
      <c r="E1699" s="7" t="s">
        <v>159</v>
      </c>
      <c r="F1699" s="7" t="s">
        <v>203</v>
      </c>
      <c r="G1699" s="7" t="s">
        <v>502</v>
      </c>
      <c r="H1699" s="6" t="n">
        <v>1</v>
      </c>
      <c r="I1699" s="6" t="n">
        <v>0.07</v>
      </c>
      <c r="J1699" s="40" t="n">
        <f aca="false">H1699-I1699</f>
        <v>0.93</v>
      </c>
      <c r="K1699" s="41" t="n">
        <v>135</v>
      </c>
      <c r="L1699" s="42" t="n">
        <f aca="false">J1699*K1699</f>
        <v>125.55</v>
      </c>
      <c r="M1699" s="43" t="n">
        <f aca="false">H1699*49.43*(1+'Chart of Accounts'!$E$67)</f>
        <v>56.59735</v>
      </c>
    </row>
    <row r="1700" customFormat="false" ht="15" hidden="false" customHeight="false" outlineLevel="0" collapsed="false">
      <c r="B1700" s="7" t="s">
        <v>2197</v>
      </c>
      <c r="C1700" s="39" t="n">
        <v>45744</v>
      </c>
      <c r="D1700" s="7" t="s">
        <v>399</v>
      </c>
      <c r="E1700" s="7" t="s">
        <v>154</v>
      </c>
      <c r="F1700" s="7" t="s">
        <v>262</v>
      </c>
      <c r="G1700" s="7" t="s">
        <v>505</v>
      </c>
      <c r="H1700" s="6" t="n">
        <v>3.18</v>
      </c>
      <c r="I1700" s="6" t="n">
        <v>0</v>
      </c>
      <c r="J1700" s="40" t="n">
        <f aca="false">H1700-I1700</f>
        <v>3.18</v>
      </c>
      <c r="K1700" s="41" t="n">
        <v>26.5</v>
      </c>
      <c r="L1700" s="42" t="n">
        <f aca="false">J1700*K1700</f>
        <v>84.27</v>
      </c>
      <c r="M1700" s="43" t="n">
        <f aca="false">H1700*16.02*(1+'Chart of Accounts'!$E$67)</f>
        <v>58.330422</v>
      </c>
    </row>
    <row r="1701" customFormat="false" ht="15" hidden="false" customHeight="false" outlineLevel="0" collapsed="false">
      <c r="B1701" s="7" t="s">
        <v>2198</v>
      </c>
      <c r="C1701" s="39" t="n">
        <v>45744</v>
      </c>
      <c r="D1701" s="7" t="s">
        <v>401</v>
      </c>
      <c r="E1701" s="7" t="s">
        <v>156</v>
      </c>
      <c r="F1701" s="7" t="s">
        <v>254</v>
      </c>
      <c r="G1701" s="7" t="s">
        <v>505</v>
      </c>
      <c r="H1701" s="6" t="n">
        <v>3.74</v>
      </c>
      <c r="I1701" s="6" t="n">
        <v>0</v>
      </c>
      <c r="J1701" s="40" t="n">
        <f aca="false">H1701-I1701</f>
        <v>3.74</v>
      </c>
      <c r="K1701" s="41" t="n">
        <v>34</v>
      </c>
      <c r="L1701" s="42" t="n">
        <f aca="false">J1701*K1701</f>
        <v>127.16</v>
      </c>
      <c r="M1701" s="43" t="n">
        <f aca="false">H1701*17.1*(1+'Chart of Accounts'!$E$67)</f>
        <v>73.22733</v>
      </c>
    </row>
    <row r="1702" customFormat="false" ht="15" hidden="false" customHeight="false" outlineLevel="0" collapsed="false">
      <c r="B1702" s="7" t="s">
        <v>2199</v>
      </c>
      <c r="C1702" s="39" t="n">
        <v>45744</v>
      </c>
      <c r="D1702" s="7" t="s">
        <v>407</v>
      </c>
      <c r="E1702" s="7" t="s">
        <v>159</v>
      </c>
      <c r="F1702" s="7" t="s">
        <v>260</v>
      </c>
      <c r="G1702" s="7" t="s">
        <v>502</v>
      </c>
      <c r="H1702" s="6" t="n">
        <v>1.04</v>
      </c>
      <c r="I1702" s="6" t="n">
        <v>0.073</v>
      </c>
      <c r="J1702" s="40" t="n">
        <f aca="false">H1702-I1702</f>
        <v>0.967</v>
      </c>
      <c r="K1702" s="41" t="n">
        <v>135</v>
      </c>
      <c r="L1702" s="42" t="n">
        <f aca="false">J1702*K1702</f>
        <v>130.545</v>
      </c>
      <c r="M1702" s="43" t="n">
        <f aca="false">H1702*79.8*(1+'Chart of Accounts'!$E$67)</f>
        <v>95.02584</v>
      </c>
    </row>
    <row r="1703" customFormat="false" ht="15" hidden="false" customHeight="false" outlineLevel="0" collapsed="false">
      <c r="B1703" s="7" t="s">
        <v>2200</v>
      </c>
      <c r="C1703" s="39" t="n">
        <v>45744</v>
      </c>
      <c r="D1703" s="7" t="s">
        <v>409</v>
      </c>
      <c r="E1703" s="7" t="s">
        <v>154</v>
      </c>
      <c r="F1703" s="7" t="s">
        <v>214</v>
      </c>
      <c r="G1703" s="7" t="s">
        <v>505</v>
      </c>
      <c r="H1703" s="6" t="n">
        <v>3.55</v>
      </c>
      <c r="I1703" s="6" t="n">
        <v>0</v>
      </c>
      <c r="J1703" s="40" t="n">
        <f aca="false">H1703-I1703</f>
        <v>3.55</v>
      </c>
      <c r="K1703" s="41" t="n">
        <v>26.5</v>
      </c>
      <c r="L1703" s="42" t="n">
        <f aca="false">J1703*K1703</f>
        <v>94.075</v>
      </c>
      <c r="M1703" s="43" t="n">
        <f aca="false">H1703*15.67*(1+'Chart of Accounts'!$E$67)</f>
        <v>63.6946325</v>
      </c>
    </row>
    <row r="1704" customFormat="false" ht="15" hidden="false" customHeight="false" outlineLevel="0" collapsed="false">
      <c r="B1704" s="7" t="s">
        <v>2201</v>
      </c>
      <c r="C1704" s="39" t="n">
        <v>45744</v>
      </c>
      <c r="D1704" s="7" t="s">
        <v>411</v>
      </c>
      <c r="E1704" s="7" t="s">
        <v>154</v>
      </c>
      <c r="F1704" s="7" t="s">
        <v>177</v>
      </c>
      <c r="G1704" s="7" t="s">
        <v>505</v>
      </c>
      <c r="H1704" s="6" t="n">
        <v>4.72</v>
      </c>
      <c r="I1704" s="6" t="n">
        <v>0</v>
      </c>
      <c r="J1704" s="40" t="n">
        <f aca="false">H1704-I1704</f>
        <v>4.72</v>
      </c>
      <c r="K1704" s="41" t="n">
        <v>26.5</v>
      </c>
      <c r="L1704" s="42" t="n">
        <f aca="false">J1704*K1704</f>
        <v>125.08</v>
      </c>
      <c r="M1704" s="43" t="n">
        <f aca="false">H1704*14.56*(1+'Chart of Accounts'!$E$67)</f>
        <v>78.688064</v>
      </c>
    </row>
    <row r="1705" customFormat="false" ht="15" hidden="false" customHeight="false" outlineLevel="0" collapsed="false">
      <c r="B1705" s="7" t="s">
        <v>2202</v>
      </c>
      <c r="C1705" s="39" t="n">
        <v>45745</v>
      </c>
      <c r="D1705" s="7" t="s">
        <v>288</v>
      </c>
      <c r="E1705" s="7" t="s">
        <v>156</v>
      </c>
      <c r="F1705" s="7" t="s">
        <v>191</v>
      </c>
      <c r="G1705" s="7" t="s">
        <v>505</v>
      </c>
      <c r="H1705" s="6" t="n">
        <v>4.38</v>
      </c>
      <c r="I1705" s="6" t="n">
        <v>0</v>
      </c>
      <c r="J1705" s="40" t="n">
        <f aca="false">H1705-I1705</f>
        <v>4.38</v>
      </c>
      <c r="K1705" s="41" t="n">
        <v>34</v>
      </c>
      <c r="L1705" s="42" t="n">
        <f aca="false">J1705*K1705</f>
        <v>148.92</v>
      </c>
      <c r="M1705" s="43" t="n">
        <f aca="false">H1705*16.05*(1+'Chart of Accounts'!$E$67)</f>
        <v>80.492355</v>
      </c>
    </row>
    <row r="1706" customFormat="false" ht="15" hidden="false" customHeight="false" outlineLevel="0" collapsed="false">
      <c r="B1706" s="7" t="s">
        <v>2203</v>
      </c>
      <c r="C1706" s="39" t="n">
        <v>45745</v>
      </c>
      <c r="D1706" s="7" t="s">
        <v>321</v>
      </c>
      <c r="E1706" s="7" t="s">
        <v>154</v>
      </c>
      <c r="F1706" s="7" t="s">
        <v>218</v>
      </c>
      <c r="G1706" s="7" t="s">
        <v>505</v>
      </c>
      <c r="H1706" s="6" t="n">
        <v>4.39</v>
      </c>
      <c r="I1706" s="6" t="n">
        <v>0</v>
      </c>
      <c r="J1706" s="40" t="n">
        <f aca="false">H1706-I1706</f>
        <v>4.39</v>
      </c>
      <c r="K1706" s="41" t="n">
        <v>26.5</v>
      </c>
      <c r="L1706" s="42" t="n">
        <f aca="false">J1706*K1706</f>
        <v>116.335</v>
      </c>
      <c r="M1706" s="43" t="n">
        <f aca="false">H1706*16.19*(1+'Chart of Accounts'!$E$67)</f>
        <v>81.3798445</v>
      </c>
    </row>
    <row r="1707" customFormat="false" ht="15" hidden="false" customHeight="false" outlineLevel="0" collapsed="false">
      <c r="B1707" s="7" t="s">
        <v>2204</v>
      </c>
      <c r="C1707" s="39" t="n">
        <v>45745</v>
      </c>
      <c r="D1707" s="7" t="s">
        <v>359</v>
      </c>
      <c r="E1707" s="7" t="s">
        <v>156</v>
      </c>
      <c r="F1707" s="7" t="s">
        <v>212</v>
      </c>
      <c r="G1707" s="7" t="s">
        <v>505</v>
      </c>
      <c r="H1707" s="6" t="n">
        <v>4.1</v>
      </c>
      <c r="I1707" s="6" t="n">
        <v>0</v>
      </c>
      <c r="J1707" s="40" t="n">
        <f aca="false">H1707-I1707</f>
        <v>4.1</v>
      </c>
      <c r="K1707" s="41" t="n">
        <v>34</v>
      </c>
      <c r="L1707" s="42" t="n">
        <f aca="false">J1707*K1707</f>
        <v>139.4</v>
      </c>
      <c r="M1707" s="43" t="n">
        <f aca="false">H1707*16.71*(1+'Chart of Accounts'!$E$67)</f>
        <v>78.445095</v>
      </c>
    </row>
    <row r="1708" customFormat="false" ht="15" hidden="false" customHeight="false" outlineLevel="0" collapsed="false">
      <c r="B1708" s="7" t="s">
        <v>2205</v>
      </c>
      <c r="C1708" s="39" t="n">
        <v>45745</v>
      </c>
      <c r="D1708" s="7" t="s">
        <v>391</v>
      </c>
      <c r="E1708" s="7" t="s">
        <v>156</v>
      </c>
      <c r="F1708" s="7" t="s">
        <v>222</v>
      </c>
      <c r="G1708" s="7" t="s">
        <v>505</v>
      </c>
      <c r="H1708" s="6" t="n">
        <v>3.69</v>
      </c>
      <c r="I1708" s="6" t="n">
        <v>0</v>
      </c>
      <c r="J1708" s="40" t="n">
        <f aca="false">H1708-I1708</f>
        <v>3.69</v>
      </c>
      <c r="K1708" s="41" t="n">
        <v>34</v>
      </c>
      <c r="L1708" s="42" t="n">
        <f aca="false">J1708*K1708</f>
        <v>125.46</v>
      </c>
      <c r="M1708" s="43" t="n">
        <f aca="false">H1708*17.84*(1+'Chart of Accounts'!$E$67)</f>
        <v>75.374892</v>
      </c>
    </row>
    <row r="1709" customFormat="false" ht="15" hidden="false" customHeight="false" outlineLevel="0" collapsed="false">
      <c r="B1709" s="7" t="s">
        <v>2206</v>
      </c>
      <c r="C1709" s="39" t="n">
        <v>45745</v>
      </c>
      <c r="D1709" s="7" t="s">
        <v>395</v>
      </c>
      <c r="E1709" s="7" t="s">
        <v>156</v>
      </c>
      <c r="F1709" s="7" t="s">
        <v>242</v>
      </c>
      <c r="G1709" s="7" t="s">
        <v>505</v>
      </c>
      <c r="H1709" s="6" t="n">
        <v>4.33</v>
      </c>
      <c r="I1709" s="6" t="n">
        <v>0</v>
      </c>
      <c r="J1709" s="40" t="n">
        <f aca="false">H1709-I1709</f>
        <v>4.33</v>
      </c>
      <c r="K1709" s="41" t="n">
        <v>34</v>
      </c>
      <c r="L1709" s="42" t="n">
        <f aca="false">J1709*K1709</f>
        <v>147.22</v>
      </c>
      <c r="M1709" s="43" t="n">
        <f aca="false">H1709*17.99*(1+'Chart of Accounts'!$E$67)</f>
        <v>89.1917215</v>
      </c>
    </row>
    <row r="1710" customFormat="false" ht="15" hidden="false" customHeight="false" outlineLevel="0" collapsed="false">
      <c r="B1710" s="7" t="s">
        <v>2207</v>
      </c>
      <c r="C1710" s="39" t="n">
        <v>45745</v>
      </c>
      <c r="D1710" s="7" t="s">
        <v>401</v>
      </c>
      <c r="E1710" s="7" t="s">
        <v>156</v>
      </c>
      <c r="F1710" s="7" t="s">
        <v>254</v>
      </c>
      <c r="G1710" s="7" t="s">
        <v>505</v>
      </c>
      <c r="H1710" s="6" t="n">
        <v>4.34</v>
      </c>
      <c r="I1710" s="6" t="n">
        <v>0</v>
      </c>
      <c r="J1710" s="40" t="n">
        <f aca="false">H1710-I1710</f>
        <v>4.34</v>
      </c>
      <c r="K1710" s="41" t="n">
        <v>34</v>
      </c>
      <c r="L1710" s="42" t="n">
        <f aca="false">J1710*K1710</f>
        <v>147.56</v>
      </c>
      <c r="M1710" s="43" t="n">
        <f aca="false">H1710*17.1*(1+'Chart of Accounts'!$E$67)</f>
        <v>84.97503</v>
      </c>
    </row>
    <row r="1711" customFormat="false" ht="15" hidden="false" customHeight="false" outlineLevel="0" collapsed="false">
      <c r="B1711" s="7" t="s">
        <v>2208</v>
      </c>
      <c r="C1711" s="39" t="n">
        <v>45746</v>
      </c>
      <c r="D1711" s="7" t="s">
        <v>288</v>
      </c>
      <c r="E1711" s="7" t="s">
        <v>156</v>
      </c>
      <c r="F1711" s="7" t="s">
        <v>191</v>
      </c>
      <c r="G1711" s="7" t="s">
        <v>505</v>
      </c>
      <c r="H1711" s="6" t="n">
        <v>3.77</v>
      </c>
      <c r="I1711" s="6" t="n">
        <v>0</v>
      </c>
      <c r="J1711" s="40" t="n">
        <f aca="false">H1711-I1711</f>
        <v>3.77</v>
      </c>
      <c r="K1711" s="41" t="n">
        <v>34</v>
      </c>
      <c r="L1711" s="42" t="n">
        <f aca="false">J1711*K1711</f>
        <v>128.18</v>
      </c>
      <c r="M1711" s="43" t="n">
        <f aca="false">H1711*16.05*(1+'Chart of Accounts'!$E$67)</f>
        <v>69.2822325</v>
      </c>
    </row>
    <row r="1712" customFormat="false" ht="15" hidden="false" customHeight="false" outlineLevel="0" collapsed="false">
      <c r="B1712" s="7" t="s">
        <v>2209</v>
      </c>
      <c r="C1712" s="39" t="n">
        <v>45746</v>
      </c>
      <c r="D1712" s="7" t="s">
        <v>321</v>
      </c>
      <c r="E1712" s="7" t="s">
        <v>154</v>
      </c>
      <c r="F1712" s="7" t="s">
        <v>218</v>
      </c>
      <c r="G1712" s="7" t="s">
        <v>505</v>
      </c>
      <c r="H1712" s="6" t="n">
        <v>4.31</v>
      </c>
      <c r="I1712" s="6" t="n">
        <v>0.129</v>
      </c>
      <c r="J1712" s="40" t="n">
        <f aca="false">H1712-I1712</f>
        <v>4.181</v>
      </c>
      <c r="K1712" s="41" t="n">
        <v>26.5</v>
      </c>
      <c r="L1712" s="42" t="n">
        <f aca="false">J1712*K1712</f>
        <v>110.7965</v>
      </c>
      <c r="M1712" s="43" t="n">
        <f aca="false">H1712*16.19*(1+'Chart of Accounts'!$E$67)</f>
        <v>79.8968405</v>
      </c>
    </row>
    <row r="1713" customFormat="false" ht="15" hidden="false" customHeight="false" outlineLevel="0" collapsed="false">
      <c r="B1713" s="7" t="s">
        <v>2210</v>
      </c>
      <c r="C1713" s="39" t="n">
        <v>45746</v>
      </c>
      <c r="D1713" s="7" t="s">
        <v>359</v>
      </c>
      <c r="E1713" s="7" t="s">
        <v>156</v>
      </c>
      <c r="F1713" s="7" t="s">
        <v>212</v>
      </c>
      <c r="G1713" s="7" t="s">
        <v>505</v>
      </c>
      <c r="H1713" s="6" t="n">
        <v>3.64</v>
      </c>
      <c r="I1713" s="6" t="n">
        <v>0</v>
      </c>
      <c r="J1713" s="40" t="n">
        <f aca="false">H1713-I1713</f>
        <v>3.64</v>
      </c>
      <c r="K1713" s="41" t="n">
        <v>34</v>
      </c>
      <c r="L1713" s="42" t="n">
        <f aca="false">J1713*K1713</f>
        <v>123.76</v>
      </c>
      <c r="M1713" s="43" t="n">
        <f aca="false">H1713*16.71*(1+'Chart of Accounts'!$E$67)</f>
        <v>69.643938</v>
      </c>
    </row>
    <row r="1714" customFormat="false" ht="15" hidden="false" customHeight="false" outlineLevel="0" collapsed="false">
      <c r="B1714" s="7" t="s">
        <v>2211</v>
      </c>
      <c r="C1714" s="39" t="n">
        <v>45746</v>
      </c>
      <c r="D1714" s="7" t="s">
        <v>391</v>
      </c>
      <c r="E1714" s="7" t="s">
        <v>156</v>
      </c>
      <c r="F1714" s="7" t="s">
        <v>222</v>
      </c>
      <c r="G1714" s="7" t="s">
        <v>505</v>
      </c>
      <c r="H1714" s="6" t="n">
        <v>3.62</v>
      </c>
      <c r="I1714" s="6" t="n">
        <v>0</v>
      </c>
      <c r="J1714" s="40" t="n">
        <f aca="false">H1714-I1714</f>
        <v>3.62</v>
      </c>
      <c r="K1714" s="41" t="n">
        <v>34</v>
      </c>
      <c r="L1714" s="42" t="n">
        <f aca="false">J1714*K1714</f>
        <v>123.08</v>
      </c>
      <c r="M1714" s="43" t="n">
        <f aca="false">H1714*17.84*(1+'Chart of Accounts'!$E$67)</f>
        <v>73.945016</v>
      </c>
    </row>
    <row r="1715" customFormat="false" ht="15" hidden="false" customHeight="false" outlineLevel="0" collapsed="false">
      <c r="B1715" s="7" t="s">
        <v>2212</v>
      </c>
      <c r="C1715" s="39" t="n">
        <v>45746</v>
      </c>
      <c r="D1715" s="7" t="s">
        <v>395</v>
      </c>
      <c r="E1715" s="7" t="s">
        <v>156</v>
      </c>
      <c r="F1715" s="7" t="s">
        <v>242</v>
      </c>
      <c r="G1715" s="7" t="s">
        <v>505</v>
      </c>
      <c r="H1715" s="6" t="n">
        <v>3.79</v>
      </c>
      <c r="I1715" s="6" t="n">
        <v>0</v>
      </c>
      <c r="J1715" s="40" t="n">
        <f aca="false">H1715-I1715</f>
        <v>3.79</v>
      </c>
      <c r="K1715" s="41" t="n">
        <v>34</v>
      </c>
      <c r="L1715" s="42" t="n">
        <f aca="false">J1715*K1715</f>
        <v>128.86</v>
      </c>
      <c r="M1715" s="43" t="n">
        <f aca="false">H1715*17.99*(1+'Chart of Accounts'!$E$67)</f>
        <v>78.0685045</v>
      </c>
    </row>
    <row r="1716" customFormat="false" ht="15" hidden="false" customHeight="false" outlineLevel="0" collapsed="false">
      <c r="B1716" s="7" t="s">
        <v>2213</v>
      </c>
      <c r="C1716" s="39" t="n">
        <v>45746</v>
      </c>
      <c r="D1716" s="7" t="s">
        <v>401</v>
      </c>
      <c r="E1716" s="7" t="s">
        <v>156</v>
      </c>
      <c r="F1716" s="7" t="s">
        <v>254</v>
      </c>
      <c r="G1716" s="7" t="s">
        <v>505</v>
      </c>
      <c r="H1716" s="6" t="n">
        <v>3.94</v>
      </c>
      <c r="I1716" s="6" t="n">
        <v>0</v>
      </c>
      <c r="J1716" s="40" t="n">
        <f aca="false">H1716-I1716</f>
        <v>3.94</v>
      </c>
      <c r="K1716" s="41" t="n">
        <v>34</v>
      </c>
      <c r="L1716" s="42" t="n">
        <f aca="false">J1716*K1716</f>
        <v>133.96</v>
      </c>
      <c r="M1716" s="43" t="n">
        <f aca="false">H1716*17.1*(1+'Chart of Accounts'!$E$67)</f>
        <v>77.14323</v>
      </c>
    </row>
    <row r="1717" customFormat="false" ht="15" hidden="false" customHeight="false" outlineLevel="0" collapsed="false">
      <c r="B1717" s="7" t="s">
        <v>2214</v>
      </c>
      <c r="C1717" s="39" t="n">
        <v>45747</v>
      </c>
      <c r="D1717" s="7" t="s">
        <v>280</v>
      </c>
      <c r="E1717" s="7" t="s">
        <v>157</v>
      </c>
      <c r="F1717" s="7" t="s">
        <v>187</v>
      </c>
      <c r="G1717" s="7" t="s">
        <v>502</v>
      </c>
      <c r="H1717" s="6" t="n">
        <v>0.95</v>
      </c>
      <c r="I1717" s="6" t="n">
        <v>0</v>
      </c>
      <c r="J1717" s="40" t="n">
        <f aca="false">H1717-I1717</f>
        <v>0.95</v>
      </c>
      <c r="K1717" s="41" t="n">
        <v>165</v>
      </c>
      <c r="L1717" s="42" t="n">
        <f aca="false">J1717*K1717</f>
        <v>156.75</v>
      </c>
      <c r="M1717" s="43" t="n">
        <f aca="false">H1717*66.48*(1+'Chart of Accounts'!$E$67)</f>
        <v>72.31362</v>
      </c>
    </row>
    <row r="1718" customFormat="false" ht="15" hidden="false" customHeight="false" outlineLevel="0" collapsed="false">
      <c r="B1718" s="7" t="s">
        <v>2215</v>
      </c>
      <c r="C1718" s="39" t="n">
        <v>45747</v>
      </c>
      <c r="D1718" s="7" t="s">
        <v>288</v>
      </c>
      <c r="E1718" s="7" t="s">
        <v>156</v>
      </c>
      <c r="F1718" s="7" t="s">
        <v>191</v>
      </c>
      <c r="G1718" s="7" t="s">
        <v>505</v>
      </c>
      <c r="H1718" s="6" t="n">
        <v>3.79</v>
      </c>
      <c r="I1718" s="6" t="n">
        <v>0</v>
      </c>
      <c r="J1718" s="40" t="n">
        <f aca="false">H1718-I1718</f>
        <v>3.79</v>
      </c>
      <c r="K1718" s="41" t="n">
        <v>34</v>
      </c>
      <c r="L1718" s="42" t="n">
        <f aca="false">J1718*K1718</f>
        <v>128.86</v>
      </c>
      <c r="M1718" s="43" t="n">
        <f aca="false">H1718*16.05*(1+'Chart of Accounts'!$E$67)</f>
        <v>69.6497775</v>
      </c>
    </row>
    <row r="1719" customFormat="false" ht="15" hidden="false" customHeight="false" outlineLevel="0" collapsed="false">
      <c r="B1719" s="7" t="s">
        <v>2216</v>
      </c>
      <c r="C1719" s="39" t="n">
        <v>45747</v>
      </c>
      <c r="D1719" s="7" t="s">
        <v>291</v>
      </c>
      <c r="E1719" s="7" t="s">
        <v>154</v>
      </c>
      <c r="F1719" s="7" t="s">
        <v>194</v>
      </c>
      <c r="G1719" s="7" t="s">
        <v>505</v>
      </c>
      <c r="H1719" s="6" t="n">
        <v>5.03</v>
      </c>
      <c r="I1719" s="6" t="n">
        <v>0</v>
      </c>
      <c r="J1719" s="40" t="n">
        <f aca="false">H1719-I1719</f>
        <v>5.03</v>
      </c>
      <c r="K1719" s="41" t="n">
        <v>26.5</v>
      </c>
      <c r="L1719" s="42" t="n">
        <f aca="false">J1719*K1719</f>
        <v>133.295</v>
      </c>
      <c r="M1719" s="43" t="n">
        <f aca="false">H1719*16*(1+'Chart of Accounts'!$E$67)</f>
        <v>92.1496</v>
      </c>
    </row>
    <row r="1720" customFormat="false" ht="15" hidden="false" customHeight="false" outlineLevel="0" collapsed="false">
      <c r="B1720" s="7" t="s">
        <v>2217</v>
      </c>
      <c r="C1720" s="39" t="n">
        <v>45747</v>
      </c>
      <c r="D1720" s="7" t="s">
        <v>297</v>
      </c>
      <c r="E1720" s="7" t="s">
        <v>156</v>
      </c>
      <c r="F1720" s="7" t="s">
        <v>201</v>
      </c>
      <c r="G1720" s="7" t="s">
        <v>505</v>
      </c>
      <c r="H1720" s="6" t="n">
        <v>2.73</v>
      </c>
      <c r="I1720" s="6" t="n">
        <v>0</v>
      </c>
      <c r="J1720" s="40" t="n">
        <f aca="false">H1720-I1720</f>
        <v>2.73</v>
      </c>
      <c r="K1720" s="41" t="n">
        <v>34</v>
      </c>
      <c r="L1720" s="42" t="n">
        <f aca="false">J1720*K1720</f>
        <v>92.82</v>
      </c>
      <c r="M1720" s="43" t="n">
        <f aca="false">H1720*15.19*(1+'Chart of Accounts'!$E$67)</f>
        <v>47.4816615</v>
      </c>
    </row>
    <row r="1721" customFormat="false" ht="15" hidden="false" customHeight="false" outlineLevel="0" collapsed="false">
      <c r="B1721" s="7" t="s">
        <v>2218</v>
      </c>
      <c r="C1721" s="39" t="n">
        <v>45747</v>
      </c>
      <c r="D1721" s="7" t="s">
        <v>305</v>
      </c>
      <c r="E1721" s="7" t="s">
        <v>154</v>
      </c>
      <c r="F1721" s="7" t="s">
        <v>205</v>
      </c>
      <c r="G1721" s="7" t="s">
        <v>505</v>
      </c>
      <c r="H1721" s="6" t="n">
        <v>4.09</v>
      </c>
      <c r="I1721" s="6" t="n">
        <v>0</v>
      </c>
      <c r="J1721" s="40" t="n">
        <f aca="false">H1721-I1721</f>
        <v>4.09</v>
      </c>
      <c r="K1721" s="41" t="n">
        <v>26.5</v>
      </c>
      <c r="L1721" s="42" t="n">
        <f aca="false">J1721*K1721</f>
        <v>108.385</v>
      </c>
      <c r="M1721" s="43" t="n">
        <f aca="false">H1721*16.36*(1+'Chart of Accounts'!$E$67)</f>
        <v>76.614698</v>
      </c>
    </row>
    <row r="1722" customFormat="false" ht="15" hidden="false" customHeight="false" outlineLevel="0" collapsed="false">
      <c r="B1722" s="7" t="s">
        <v>2219</v>
      </c>
      <c r="C1722" s="39" t="n">
        <v>45747</v>
      </c>
      <c r="D1722" s="7" t="s">
        <v>307</v>
      </c>
      <c r="E1722" s="7" t="s">
        <v>157</v>
      </c>
      <c r="F1722" s="7" t="s">
        <v>264</v>
      </c>
      <c r="G1722" s="7" t="s">
        <v>502</v>
      </c>
      <c r="H1722" s="6" t="n">
        <v>0.99</v>
      </c>
      <c r="I1722" s="6" t="n">
        <v>0</v>
      </c>
      <c r="J1722" s="40" t="n">
        <f aca="false">H1722-I1722</f>
        <v>0.99</v>
      </c>
      <c r="K1722" s="41" t="n">
        <v>165</v>
      </c>
      <c r="L1722" s="42" t="n">
        <f aca="false">J1722*K1722</f>
        <v>163.35</v>
      </c>
      <c r="M1722" s="43" t="n">
        <f aca="false">H1722*55.55*(1+'Chart of Accounts'!$E$67)</f>
        <v>62.9687025</v>
      </c>
    </row>
    <row r="1723" customFormat="false" ht="15" hidden="false" customHeight="false" outlineLevel="0" collapsed="false">
      <c r="B1723" s="7" t="s">
        <v>2220</v>
      </c>
      <c r="C1723" s="39" t="n">
        <v>45747</v>
      </c>
      <c r="D1723" s="7" t="s">
        <v>309</v>
      </c>
      <c r="E1723" s="7" t="s">
        <v>159</v>
      </c>
      <c r="F1723" s="7" t="s">
        <v>252</v>
      </c>
      <c r="G1723" s="7" t="s">
        <v>502</v>
      </c>
      <c r="H1723" s="6" t="n">
        <v>0.95</v>
      </c>
      <c r="I1723" s="6" t="n">
        <v>0.067</v>
      </c>
      <c r="J1723" s="40" t="n">
        <f aca="false">H1723-I1723</f>
        <v>0.883</v>
      </c>
      <c r="K1723" s="41" t="n">
        <v>135</v>
      </c>
      <c r="L1723" s="42" t="n">
        <f aca="false">J1723*K1723</f>
        <v>119.205</v>
      </c>
      <c r="M1723" s="43" t="n">
        <f aca="false">H1723*57.54*(1+'Chart of Accounts'!$E$67)</f>
        <v>62.589135</v>
      </c>
    </row>
    <row r="1724" customFormat="false" ht="15" hidden="false" customHeight="false" outlineLevel="0" collapsed="false">
      <c r="B1724" s="7" t="s">
        <v>2221</v>
      </c>
      <c r="C1724" s="39" t="n">
        <v>45747</v>
      </c>
      <c r="D1724" s="7" t="s">
        <v>311</v>
      </c>
      <c r="E1724" s="7" t="s">
        <v>154</v>
      </c>
      <c r="F1724" s="7" t="s">
        <v>196</v>
      </c>
      <c r="G1724" s="7" t="s">
        <v>505</v>
      </c>
      <c r="H1724" s="6" t="n">
        <v>3.04</v>
      </c>
      <c r="I1724" s="6" t="n">
        <v>0.091</v>
      </c>
      <c r="J1724" s="40" t="n">
        <f aca="false">H1724-I1724</f>
        <v>2.949</v>
      </c>
      <c r="K1724" s="41" t="n">
        <v>26.5</v>
      </c>
      <c r="L1724" s="42" t="n">
        <f aca="false">J1724*K1724</f>
        <v>78.1485</v>
      </c>
      <c r="M1724" s="43" t="n">
        <f aca="false">H1724*15.05*(1+'Chart of Accounts'!$E$67)</f>
        <v>52.38604</v>
      </c>
    </row>
    <row r="1725" customFormat="false" ht="15" hidden="false" customHeight="false" outlineLevel="0" collapsed="false">
      <c r="B1725" s="7" t="s">
        <v>2222</v>
      </c>
      <c r="C1725" s="39" t="n">
        <v>45747</v>
      </c>
      <c r="D1725" s="7" t="s">
        <v>313</v>
      </c>
      <c r="E1725" s="7" t="s">
        <v>156</v>
      </c>
      <c r="F1725" s="7" t="s">
        <v>184</v>
      </c>
      <c r="G1725" s="7" t="s">
        <v>505</v>
      </c>
      <c r="H1725" s="6" t="n">
        <v>3.97</v>
      </c>
      <c r="I1725" s="6" t="n">
        <v>0</v>
      </c>
      <c r="J1725" s="40" t="n">
        <f aca="false">H1725-I1725</f>
        <v>3.97</v>
      </c>
      <c r="K1725" s="41" t="n">
        <v>34</v>
      </c>
      <c r="L1725" s="42" t="n">
        <f aca="false">J1725*K1725</f>
        <v>134.98</v>
      </c>
      <c r="M1725" s="43" t="n">
        <f aca="false">H1725*17.34*(1+'Chart of Accounts'!$E$67)</f>
        <v>78.821571</v>
      </c>
    </row>
    <row r="1726" customFormat="false" ht="15" hidden="false" customHeight="false" outlineLevel="0" collapsed="false">
      <c r="B1726" s="7" t="s">
        <v>2223</v>
      </c>
      <c r="C1726" s="39" t="n">
        <v>45747</v>
      </c>
      <c r="D1726" s="7" t="s">
        <v>317</v>
      </c>
      <c r="E1726" s="7" t="s">
        <v>156</v>
      </c>
      <c r="F1726" s="7" t="s">
        <v>207</v>
      </c>
      <c r="G1726" s="7" t="s">
        <v>505</v>
      </c>
      <c r="H1726" s="6" t="n">
        <v>2.83</v>
      </c>
      <c r="I1726" s="6" t="n">
        <v>0</v>
      </c>
      <c r="J1726" s="40" t="n">
        <f aca="false">H1726-I1726</f>
        <v>2.83</v>
      </c>
      <c r="K1726" s="41" t="n">
        <v>34</v>
      </c>
      <c r="L1726" s="42" t="n">
        <f aca="false">J1726*K1726</f>
        <v>96.22</v>
      </c>
      <c r="M1726" s="43" t="n">
        <f aca="false">H1726*16.65*(1+'Chart of Accounts'!$E$67)</f>
        <v>53.9518275</v>
      </c>
    </row>
    <row r="1727" customFormat="false" ht="15" hidden="false" customHeight="false" outlineLevel="0" collapsed="false">
      <c r="B1727" s="7" t="s">
        <v>2224</v>
      </c>
      <c r="C1727" s="39" t="n">
        <v>45747</v>
      </c>
      <c r="D1727" s="7" t="s">
        <v>321</v>
      </c>
      <c r="E1727" s="7" t="s">
        <v>154</v>
      </c>
      <c r="F1727" s="7" t="s">
        <v>218</v>
      </c>
      <c r="G1727" s="7" t="s">
        <v>505</v>
      </c>
      <c r="H1727" s="6" t="n">
        <v>4.24</v>
      </c>
      <c r="I1727" s="6" t="n">
        <v>0</v>
      </c>
      <c r="J1727" s="40" t="n">
        <f aca="false">H1727-I1727</f>
        <v>4.24</v>
      </c>
      <c r="K1727" s="41" t="n">
        <v>26.5</v>
      </c>
      <c r="L1727" s="42" t="n">
        <f aca="false">J1727*K1727</f>
        <v>112.36</v>
      </c>
      <c r="M1727" s="43" t="n">
        <f aca="false">H1727*16.19*(1+'Chart of Accounts'!$E$67)</f>
        <v>78.599212</v>
      </c>
    </row>
    <row r="1728" customFormat="false" ht="15" hidden="false" customHeight="false" outlineLevel="0" collapsed="false">
      <c r="B1728" s="7" t="s">
        <v>2225</v>
      </c>
      <c r="C1728" s="39" t="n">
        <v>45747</v>
      </c>
      <c r="D1728" s="7" t="s">
        <v>325</v>
      </c>
      <c r="E1728" s="7" t="s">
        <v>154</v>
      </c>
      <c r="F1728" s="7" t="s">
        <v>212</v>
      </c>
      <c r="G1728" s="7" t="s">
        <v>505</v>
      </c>
      <c r="H1728" s="6" t="n">
        <v>3.05</v>
      </c>
      <c r="I1728" s="6" t="n">
        <v>0</v>
      </c>
      <c r="J1728" s="40" t="n">
        <f aca="false">H1728-I1728</f>
        <v>3.05</v>
      </c>
      <c r="K1728" s="41" t="n">
        <v>26.5</v>
      </c>
      <c r="L1728" s="42" t="n">
        <f aca="false">J1728*K1728</f>
        <v>80.825</v>
      </c>
      <c r="M1728" s="43" t="n">
        <f aca="false">H1728*16.71*(1+'Chart of Accounts'!$E$67)</f>
        <v>58.3554975</v>
      </c>
    </row>
    <row r="1729" customFormat="false" ht="15" hidden="false" customHeight="false" outlineLevel="0" collapsed="false">
      <c r="B1729" s="7" t="s">
        <v>2226</v>
      </c>
      <c r="C1729" s="39" t="n">
        <v>45747</v>
      </c>
      <c r="D1729" s="7" t="s">
        <v>329</v>
      </c>
      <c r="E1729" s="7" t="s">
        <v>156</v>
      </c>
      <c r="F1729" s="7" t="s">
        <v>220</v>
      </c>
      <c r="G1729" s="7" t="s">
        <v>505</v>
      </c>
      <c r="H1729" s="6" t="n">
        <v>3.93</v>
      </c>
      <c r="I1729" s="6" t="n">
        <v>0</v>
      </c>
      <c r="J1729" s="40" t="n">
        <f aca="false">H1729-I1729</f>
        <v>3.93</v>
      </c>
      <c r="K1729" s="41" t="n">
        <v>34</v>
      </c>
      <c r="L1729" s="42" t="n">
        <f aca="false">J1729*K1729</f>
        <v>133.62</v>
      </c>
      <c r="M1729" s="43" t="n">
        <f aca="false">H1729*16.43*(1+'Chart of Accounts'!$E$67)</f>
        <v>73.9325355</v>
      </c>
    </row>
    <row r="1730" customFormat="false" ht="15" hidden="false" customHeight="false" outlineLevel="0" collapsed="false">
      <c r="B1730" s="7" t="s">
        <v>2227</v>
      </c>
      <c r="C1730" s="39" t="n">
        <v>45747</v>
      </c>
      <c r="D1730" s="7" t="s">
        <v>331</v>
      </c>
      <c r="E1730" s="7" t="s">
        <v>156</v>
      </c>
      <c r="F1730" s="7" t="s">
        <v>224</v>
      </c>
      <c r="G1730" s="7" t="s">
        <v>505</v>
      </c>
      <c r="H1730" s="6" t="n">
        <v>3.77</v>
      </c>
      <c r="I1730" s="6" t="n">
        <v>0</v>
      </c>
      <c r="J1730" s="40" t="n">
        <f aca="false">H1730-I1730</f>
        <v>3.77</v>
      </c>
      <c r="K1730" s="41" t="n">
        <v>34</v>
      </c>
      <c r="L1730" s="42" t="n">
        <f aca="false">J1730*K1730</f>
        <v>128.18</v>
      </c>
      <c r="M1730" s="43" t="n">
        <f aca="false">H1730*14.93*(1+'Chart of Accounts'!$E$67)</f>
        <v>64.4475845</v>
      </c>
    </row>
    <row r="1731" customFormat="false" ht="15" hidden="false" customHeight="false" outlineLevel="0" collapsed="false">
      <c r="B1731" s="7" t="s">
        <v>2228</v>
      </c>
      <c r="C1731" s="39" t="n">
        <v>45747</v>
      </c>
      <c r="D1731" s="7" t="s">
        <v>335</v>
      </c>
      <c r="E1731" s="7" t="s">
        <v>154</v>
      </c>
      <c r="F1731" s="7" t="s">
        <v>177</v>
      </c>
      <c r="G1731" s="7" t="s">
        <v>505</v>
      </c>
      <c r="H1731" s="6" t="n">
        <v>3.61</v>
      </c>
      <c r="I1731" s="6" t="n">
        <v>0</v>
      </c>
      <c r="J1731" s="40" t="n">
        <f aca="false">H1731-I1731</f>
        <v>3.61</v>
      </c>
      <c r="K1731" s="41" t="n">
        <v>26.5</v>
      </c>
      <c r="L1731" s="42" t="n">
        <f aca="false">J1731*K1731</f>
        <v>95.665</v>
      </c>
      <c r="M1731" s="43" t="n">
        <f aca="false">H1731*14.56*(1+'Chart of Accounts'!$E$67)</f>
        <v>60.183032</v>
      </c>
    </row>
    <row r="1732" customFormat="false" ht="15" hidden="false" customHeight="false" outlineLevel="0" collapsed="false">
      <c r="B1732" s="7" t="s">
        <v>2229</v>
      </c>
      <c r="C1732" s="39" t="n">
        <v>45747</v>
      </c>
      <c r="D1732" s="7" t="s">
        <v>337</v>
      </c>
      <c r="E1732" s="7" t="s">
        <v>154</v>
      </c>
      <c r="F1732" s="7" t="s">
        <v>232</v>
      </c>
      <c r="G1732" s="7" t="s">
        <v>505</v>
      </c>
      <c r="H1732" s="6" t="n">
        <v>2.85</v>
      </c>
      <c r="I1732" s="6" t="n">
        <v>0</v>
      </c>
      <c r="J1732" s="40" t="n">
        <f aca="false">H1732-I1732</f>
        <v>2.85</v>
      </c>
      <c r="K1732" s="41" t="n">
        <v>26.5</v>
      </c>
      <c r="L1732" s="42" t="n">
        <f aca="false">J1732*K1732</f>
        <v>75.525</v>
      </c>
      <c r="M1732" s="43" t="n">
        <f aca="false">H1732*16.17*(1+'Chart of Accounts'!$E$67)</f>
        <v>52.7667525</v>
      </c>
    </row>
    <row r="1733" customFormat="false" ht="15" hidden="false" customHeight="false" outlineLevel="0" collapsed="false">
      <c r="B1733" s="7" t="s">
        <v>2230</v>
      </c>
      <c r="C1733" s="39" t="n">
        <v>45747</v>
      </c>
      <c r="D1733" s="7" t="s">
        <v>339</v>
      </c>
      <c r="E1733" s="7" t="s">
        <v>154</v>
      </c>
      <c r="F1733" s="7" t="s">
        <v>242</v>
      </c>
      <c r="G1733" s="7" t="s">
        <v>505</v>
      </c>
      <c r="H1733" s="6" t="n">
        <v>3.62</v>
      </c>
      <c r="I1733" s="6" t="n">
        <v>0</v>
      </c>
      <c r="J1733" s="40" t="n">
        <f aca="false">H1733-I1733</f>
        <v>3.62</v>
      </c>
      <c r="K1733" s="41" t="n">
        <v>26.5</v>
      </c>
      <c r="L1733" s="42" t="n">
        <f aca="false">J1733*K1733</f>
        <v>95.93</v>
      </c>
      <c r="M1733" s="43" t="n">
        <f aca="false">H1733*17.99*(1+'Chart of Accounts'!$E$67)</f>
        <v>74.566751</v>
      </c>
    </row>
    <row r="1734" customFormat="false" ht="15" hidden="false" customHeight="false" outlineLevel="0" collapsed="false">
      <c r="B1734" s="7" t="s">
        <v>2231</v>
      </c>
      <c r="C1734" s="39" t="n">
        <v>45747</v>
      </c>
      <c r="D1734" s="7" t="s">
        <v>341</v>
      </c>
      <c r="E1734" s="7" t="s">
        <v>156</v>
      </c>
      <c r="F1734" s="7" t="s">
        <v>222</v>
      </c>
      <c r="G1734" s="7" t="s">
        <v>505</v>
      </c>
      <c r="H1734" s="6" t="n">
        <v>3.24</v>
      </c>
      <c r="I1734" s="6" t="n">
        <v>0</v>
      </c>
      <c r="J1734" s="40" t="n">
        <f aca="false">H1734-I1734</f>
        <v>3.24</v>
      </c>
      <c r="K1734" s="41" t="n">
        <v>34</v>
      </c>
      <c r="L1734" s="42" t="n">
        <f aca="false">J1734*K1734</f>
        <v>110.16</v>
      </c>
      <c r="M1734" s="43" t="n">
        <f aca="false">H1734*17.84*(1+'Chart of Accounts'!$E$67)</f>
        <v>66.182832</v>
      </c>
    </row>
    <row r="1735" customFormat="false" ht="15" hidden="false" customHeight="false" outlineLevel="0" collapsed="false">
      <c r="B1735" s="7" t="s">
        <v>2232</v>
      </c>
      <c r="C1735" s="39" t="n">
        <v>45747</v>
      </c>
      <c r="D1735" s="7" t="s">
        <v>343</v>
      </c>
      <c r="E1735" s="7" t="s">
        <v>154</v>
      </c>
      <c r="F1735" s="7" t="s">
        <v>262</v>
      </c>
      <c r="G1735" s="7" t="s">
        <v>505</v>
      </c>
      <c r="H1735" s="6" t="n">
        <v>4.39</v>
      </c>
      <c r="I1735" s="6" t="n">
        <v>0</v>
      </c>
      <c r="J1735" s="40" t="n">
        <f aca="false">H1735-I1735</f>
        <v>4.39</v>
      </c>
      <c r="K1735" s="41" t="n">
        <v>26.5</v>
      </c>
      <c r="L1735" s="42" t="n">
        <f aca="false">J1735*K1735</f>
        <v>116.335</v>
      </c>
      <c r="M1735" s="43" t="n">
        <f aca="false">H1735*16.02*(1+'Chart of Accounts'!$E$67)</f>
        <v>80.525331</v>
      </c>
    </row>
    <row r="1736" customFormat="false" ht="15" hidden="false" customHeight="false" outlineLevel="0" collapsed="false">
      <c r="B1736" s="7" t="s">
        <v>2233</v>
      </c>
      <c r="C1736" s="39" t="n">
        <v>45747</v>
      </c>
      <c r="D1736" s="7" t="s">
        <v>353</v>
      </c>
      <c r="E1736" s="7" t="s">
        <v>154</v>
      </c>
      <c r="F1736" s="7" t="s">
        <v>254</v>
      </c>
      <c r="G1736" s="7" t="s">
        <v>505</v>
      </c>
      <c r="H1736" s="6" t="n">
        <v>3.28</v>
      </c>
      <c r="I1736" s="6" t="n">
        <v>0</v>
      </c>
      <c r="J1736" s="40" t="n">
        <f aca="false">H1736-I1736</f>
        <v>3.28</v>
      </c>
      <c r="K1736" s="41" t="n">
        <v>26.5</v>
      </c>
      <c r="L1736" s="42" t="n">
        <f aca="false">J1736*K1736</f>
        <v>86.92</v>
      </c>
      <c r="M1736" s="43" t="n">
        <f aca="false">H1736*17.1*(1+'Chart of Accounts'!$E$67)</f>
        <v>64.22076</v>
      </c>
    </row>
    <row r="1737" customFormat="false" ht="15" hidden="false" customHeight="false" outlineLevel="0" collapsed="false">
      <c r="B1737" s="7" t="s">
        <v>2234</v>
      </c>
      <c r="C1737" s="39" t="n">
        <v>45747</v>
      </c>
      <c r="D1737" s="7" t="s">
        <v>355</v>
      </c>
      <c r="E1737" s="7" t="s">
        <v>154</v>
      </c>
      <c r="F1737" s="7" t="s">
        <v>201</v>
      </c>
      <c r="G1737" s="7" t="s">
        <v>505</v>
      </c>
      <c r="H1737" s="6" t="n">
        <v>3.46</v>
      </c>
      <c r="I1737" s="6" t="n">
        <v>0</v>
      </c>
      <c r="J1737" s="40" t="n">
        <f aca="false">H1737-I1737</f>
        <v>3.46</v>
      </c>
      <c r="K1737" s="41" t="n">
        <v>26.5</v>
      </c>
      <c r="L1737" s="42" t="n">
        <f aca="false">J1737*K1737</f>
        <v>91.69</v>
      </c>
      <c r="M1737" s="43" t="n">
        <f aca="false">H1737*15.19*(1+'Chart of Accounts'!$E$67)</f>
        <v>60.178223</v>
      </c>
    </row>
    <row r="1738" customFormat="false" ht="15" hidden="false" customHeight="false" outlineLevel="0" collapsed="false">
      <c r="B1738" s="7" t="s">
        <v>2235</v>
      </c>
      <c r="C1738" s="39" t="n">
        <v>45747</v>
      </c>
      <c r="D1738" s="7" t="s">
        <v>357</v>
      </c>
      <c r="E1738" s="7" t="s">
        <v>154</v>
      </c>
      <c r="F1738" s="7" t="s">
        <v>207</v>
      </c>
      <c r="G1738" s="7" t="s">
        <v>505</v>
      </c>
      <c r="H1738" s="6" t="n">
        <v>3.06</v>
      </c>
      <c r="I1738" s="6" t="n">
        <v>0</v>
      </c>
      <c r="J1738" s="40" t="n">
        <f aca="false">H1738-I1738</f>
        <v>3.06</v>
      </c>
      <c r="K1738" s="41" t="n">
        <v>26.5</v>
      </c>
      <c r="L1738" s="42" t="n">
        <f aca="false">J1738*K1738</f>
        <v>81.09</v>
      </c>
      <c r="M1738" s="43" t="n">
        <f aca="false">H1738*16.65*(1+'Chart of Accounts'!$E$67)</f>
        <v>58.336605</v>
      </c>
    </row>
    <row r="1739" customFormat="false" ht="15" hidden="false" customHeight="false" outlineLevel="0" collapsed="false">
      <c r="B1739" s="7" t="s">
        <v>2236</v>
      </c>
      <c r="C1739" s="39" t="n">
        <v>45747</v>
      </c>
      <c r="D1739" s="7" t="s">
        <v>359</v>
      </c>
      <c r="E1739" s="7" t="s">
        <v>156</v>
      </c>
      <c r="F1739" s="7" t="s">
        <v>212</v>
      </c>
      <c r="G1739" s="7" t="s">
        <v>505</v>
      </c>
      <c r="H1739" s="6" t="n">
        <v>3.93</v>
      </c>
      <c r="I1739" s="6" t="n">
        <v>0</v>
      </c>
      <c r="J1739" s="40" t="n">
        <f aca="false">H1739-I1739</f>
        <v>3.93</v>
      </c>
      <c r="K1739" s="41" t="n">
        <v>34</v>
      </c>
      <c r="L1739" s="42" t="n">
        <f aca="false">J1739*K1739</f>
        <v>133.62</v>
      </c>
      <c r="M1739" s="43" t="n">
        <f aca="false">H1739*16.71*(1+'Chart of Accounts'!$E$67)</f>
        <v>75.1924935</v>
      </c>
    </row>
    <row r="1740" customFormat="false" ht="15" hidden="false" customHeight="false" outlineLevel="0" collapsed="false">
      <c r="B1740" s="7" t="s">
        <v>2237</v>
      </c>
      <c r="C1740" s="39" t="n">
        <v>45747</v>
      </c>
      <c r="D1740" s="7" t="s">
        <v>363</v>
      </c>
      <c r="E1740" s="7" t="s">
        <v>156</v>
      </c>
      <c r="F1740" s="7" t="s">
        <v>246</v>
      </c>
      <c r="G1740" s="7" t="s">
        <v>505</v>
      </c>
      <c r="H1740" s="6" t="n">
        <v>3.79</v>
      </c>
      <c r="I1740" s="6" t="n">
        <v>0</v>
      </c>
      <c r="J1740" s="40" t="n">
        <f aca="false">H1740-I1740</f>
        <v>3.79</v>
      </c>
      <c r="K1740" s="41" t="n">
        <v>34</v>
      </c>
      <c r="L1740" s="42" t="n">
        <f aca="false">J1740*K1740</f>
        <v>128.86</v>
      </c>
      <c r="M1740" s="43" t="n">
        <f aca="false">H1740*16.48*(1+'Chart of Accounts'!$E$67)</f>
        <v>71.515784</v>
      </c>
    </row>
    <row r="1741" customFormat="false" ht="15" hidden="false" customHeight="false" outlineLevel="0" collapsed="false">
      <c r="B1741" s="7" t="s">
        <v>2238</v>
      </c>
      <c r="C1741" s="39" t="n">
        <v>45747</v>
      </c>
      <c r="D1741" s="7" t="s">
        <v>371</v>
      </c>
      <c r="E1741" s="7" t="s">
        <v>154</v>
      </c>
      <c r="F1741" s="7" t="s">
        <v>232</v>
      </c>
      <c r="G1741" s="7" t="s">
        <v>505</v>
      </c>
      <c r="H1741" s="6" t="n">
        <v>4.82</v>
      </c>
      <c r="I1741" s="6" t="n">
        <v>0</v>
      </c>
      <c r="J1741" s="40" t="n">
        <f aca="false">H1741-I1741</f>
        <v>4.82</v>
      </c>
      <c r="K1741" s="41" t="n">
        <v>26.5</v>
      </c>
      <c r="L1741" s="42" t="n">
        <f aca="false">J1741*K1741</f>
        <v>127.73</v>
      </c>
      <c r="M1741" s="43" t="n">
        <f aca="false">H1741*16.17*(1+'Chart of Accounts'!$E$67)</f>
        <v>89.240613</v>
      </c>
    </row>
    <row r="1742" customFormat="false" ht="15" hidden="false" customHeight="false" outlineLevel="0" collapsed="false">
      <c r="B1742" s="7" t="s">
        <v>2239</v>
      </c>
      <c r="C1742" s="39" t="n">
        <v>45747</v>
      </c>
      <c r="D1742" s="7" t="s">
        <v>375</v>
      </c>
      <c r="E1742" s="7" t="s">
        <v>156</v>
      </c>
      <c r="F1742" s="7" t="s">
        <v>196</v>
      </c>
      <c r="G1742" s="7" t="s">
        <v>505</v>
      </c>
      <c r="H1742" s="6" t="n">
        <v>3.04</v>
      </c>
      <c r="I1742" s="6" t="n">
        <v>0</v>
      </c>
      <c r="J1742" s="40" t="n">
        <f aca="false">H1742-I1742</f>
        <v>3.04</v>
      </c>
      <c r="K1742" s="41" t="n">
        <v>34</v>
      </c>
      <c r="L1742" s="42" t="n">
        <f aca="false">J1742*K1742</f>
        <v>103.36</v>
      </c>
      <c r="M1742" s="43" t="n">
        <f aca="false">H1742*15.05*(1+'Chart of Accounts'!$E$67)</f>
        <v>52.38604</v>
      </c>
    </row>
    <row r="1743" customFormat="false" ht="15" hidden="false" customHeight="false" outlineLevel="0" collapsed="false">
      <c r="B1743" s="7" t="s">
        <v>2240</v>
      </c>
      <c r="C1743" s="39" t="n">
        <v>45747</v>
      </c>
      <c r="D1743" s="7" t="s">
        <v>377</v>
      </c>
      <c r="E1743" s="7" t="s">
        <v>154</v>
      </c>
      <c r="F1743" s="7" t="s">
        <v>214</v>
      </c>
      <c r="G1743" s="7" t="s">
        <v>505</v>
      </c>
      <c r="H1743" s="6" t="n">
        <v>3.97</v>
      </c>
      <c r="I1743" s="6" t="n">
        <v>0</v>
      </c>
      <c r="J1743" s="40" t="n">
        <f aca="false">H1743-I1743</f>
        <v>3.97</v>
      </c>
      <c r="K1743" s="41" t="n">
        <v>26.5</v>
      </c>
      <c r="L1743" s="42" t="n">
        <f aca="false">J1743*K1743</f>
        <v>105.205</v>
      </c>
      <c r="M1743" s="43" t="n">
        <f aca="false">H1743*15.67*(1+'Chart of Accounts'!$E$67)</f>
        <v>71.2303355</v>
      </c>
    </row>
    <row r="1744" customFormat="false" ht="15" hidden="false" customHeight="false" outlineLevel="0" collapsed="false">
      <c r="B1744" s="7" t="s">
        <v>2241</v>
      </c>
      <c r="C1744" s="39" t="n">
        <v>45747</v>
      </c>
      <c r="D1744" s="7" t="s">
        <v>379</v>
      </c>
      <c r="E1744" s="7" t="s">
        <v>156</v>
      </c>
      <c r="F1744" s="7" t="s">
        <v>224</v>
      </c>
      <c r="G1744" s="7" t="s">
        <v>505</v>
      </c>
      <c r="H1744" s="6" t="n">
        <v>4.37</v>
      </c>
      <c r="I1744" s="6" t="n">
        <v>0</v>
      </c>
      <c r="J1744" s="40" t="n">
        <f aca="false">H1744-I1744</f>
        <v>4.37</v>
      </c>
      <c r="K1744" s="41" t="n">
        <v>34</v>
      </c>
      <c r="L1744" s="42" t="n">
        <f aca="false">J1744*K1744</f>
        <v>148.58</v>
      </c>
      <c r="M1744" s="43" t="n">
        <f aca="false">H1744*14.93*(1+'Chart of Accounts'!$E$67)</f>
        <v>74.7044945</v>
      </c>
    </row>
    <row r="1745" customFormat="false" ht="15" hidden="false" customHeight="false" outlineLevel="0" collapsed="false">
      <c r="B1745" s="7" t="s">
        <v>2242</v>
      </c>
      <c r="C1745" s="39" t="n">
        <v>45747</v>
      </c>
      <c r="D1745" s="7" t="s">
        <v>391</v>
      </c>
      <c r="E1745" s="7" t="s">
        <v>156</v>
      </c>
      <c r="F1745" s="7" t="s">
        <v>222</v>
      </c>
      <c r="G1745" s="7" t="s">
        <v>505</v>
      </c>
      <c r="H1745" s="6" t="n">
        <v>3.66</v>
      </c>
      <c r="I1745" s="6" t="n">
        <v>0</v>
      </c>
      <c r="J1745" s="40" t="n">
        <f aca="false">H1745-I1745</f>
        <v>3.66</v>
      </c>
      <c r="K1745" s="41" t="n">
        <v>34</v>
      </c>
      <c r="L1745" s="42" t="n">
        <f aca="false">J1745*K1745</f>
        <v>124.44</v>
      </c>
      <c r="M1745" s="43" t="n">
        <f aca="false">H1745*17.84*(1+'Chart of Accounts'!$E$67)</f>
        <v>74.762088</v>
      </c>
    </row>
    <row r="1746" customFormat="false" ht="15" hidden="false" customHeight="false" outlineLevel="0" collapsed="false">
      <c r="B1746" s="7" t="s">
        <v>2243</v>
      </c>
      <c r="C1746" s="39" t="n">
        <v>45747</v>
      </c>
      <c r="D1746" s="7" t="s">
        <v>395</v>
      </c>
      <c r="E1746" s="7" t="s">
        <v>156</v>
      </c>
      <c r="F1746" s="7" t="s">
        <v>242</v>
      </c>
      <c r="G1746" s="7" t="s">
        <v>505</v>
      </c>
      <c r="H1746" s="6" t="n">
        <v>3.63</v>
      </c>
      <c r="I1746" s="6" t="n">
        <v>0</v>
      </c>
      <c r="J1746" s="40" t="n">
        <f aca="false">H1746-I1746</f>
        <v>3.63</v>
      </c>
      <c r="K1746" s="41" t="n">
        <v>34</v>
      </c>
      <c r="L1746" s="42" t="n">
        <f aca="false">J1746*K1746</f>
        <v>123.42</v>
      </c>
      <c r="M1746" s="43" t="n">
        <f aca="false">H1746*17.99*(1+'Chart of Accounts'!$E$67)</f>
        <v>74.7727365</v>
      </c>
    </row>
    <row r="1747" customFormat="false" ht="15" hidden="false" customHeight="false" outlineLevel="0" collapsed="false">
      <c r="B1747" s="7" t="s">
        <v>2244</v>
      </c>
      <c r="C1747" s="39" t="n">
        <v>45747</v>
      </c>
      <c r="D1747" s="7" t="s">
        <v>399</v>
      </c>
      <c r="E1747" s="7" t="s">
        <v>154</v>
      </c>
      <c r="F1747" s="7" t="s">
        <v>262</v>
      </c>
      <c r="G1747" s="7" t="s">
        <v>505</v>
      </c>
      <c r="H1747" s="6" t="n">
        <v>3.63</v>
      </c>
      <c r="I1747" s="6" t="n">
        <v>0</v>
      </c>
      <c r="J1747" s="40" t="n">
        <f aca="false">H1747-I1747</f>
        <v>3.63</v>
      </c>
      <c r="K1747" s="41" t="n">
        <v>26.5</v>
      </c>
      <c r="L1747" s="42" t="n">
        <f aca="false">J1747*K1747</f>
        <v>96.195</v>
      </c>
      <c r="M1747" s="43" t="n">
        <f aca="false">H1747*16.02*(1+'Chart of Accounts'!$E$67)</f>
        <v>66.584727</v>
      </c>
    </row>
    <row r="1748" customFormat="false" ht="15" hidden="false" customHeight="false" outlineLevel="0" collapsed="false">
      <c r="B1748" s="7" t="s">
        <v>2245</v>
      </c>
      <c r="C1748" s="39" t="n">
        <v>45747</v>
      </c>
      <c r="D1748" s="7" t="s">
        <v>401</v>
      </c>
      <c r="E1748" s="7" t="s">
        <v>156</v>
      </c>
      <c r="F1748" s="7" t="s">
        <v>254</v>
      </c>
      <c r="G1748" s="7" t="s">
        <v>505</v>
      </c>
      <c r="H1748" s="6" t="n">
        <v>4.23</v>
      </c>
      <c r="I1748" s="6" t="n">
        <v>0</v>
      </c>
      <c r="J1748" s="40" t="n">
        <f aca="false">H1748-I1748</f>
        <v>4.23</v>
      </c>
      <c r="K1748" s="41" t="n">
        <v>34</v>
      </c>
      <c r="L1748" s="42" t="n">
        <f aca="false">J1748*K1748</f>
        <v>143.82</v>
      </c>
      <c r="M1748" s="43" t="n">
        <f aca="false">H1748*17.1*(1+'Chart of Accounts'!$E$67)</f>
        <v>82.821285</v>
      </c>
    </row>
    <row r="1749" customFormat="false" ht="15" hidden="false" customHeight="false" outlineLevel="0" collapsed="false">
      <c r="B1749" s="7" t="s">
        <v>2246</v>
      </c>
      <c r="C1749" s="39" t="n">
        <v>45747</v>
      </c>
      <c r="D1749" s="7" t="s">
        <v>409</v>
      </c>
      <c r="E1749" s="7" t="s">
        <v>154</v>
      </c>
      <c r="F1749" s="7" t="s">
        <v>214</v>
      </c>
      <c r="G1749" s="7" t="s">
        <v>505</v>
      </c>
      <c r="H1749" s="6" t="n">
        <v>3.49</v>
      </c>
      <c r="I1749" s="6" t="n">
        <v>0</v>
      </c>
      <c r="J1749" s="40" t="n">
        <f aca="false">H1749-I1749</f>
        <v>3.49</v>
      </c>
      <c r="K1749" s="41" t="n">
        <v>26.5</v>
      </c>
      <c r="L1749" s="42" t="n">
        <f aca="false">J1749*K1749</f>
        <v>92.485</v>
      </c>
      <c r="M1749" s="43" t="n">
        <f aca="false">H1749*15.67*(1+'Chart of Accounts'!$E$67)</f>
        <v>62.6181035</v>
      </c>
    </row>
    <row r="1750" customFormat="false" ht="15" hidden="false" customHeight="false" outlineLevel="0" collapsed="false">
      <c r="B1750" s="7" t="s">
        <v>2247</v>
      </c>
      <c r="C1750" s="39" t="n">
        <v>45747</v>
      </c>
      <c r="D1750" s="7" t="s">
        <v>411</v>
      </c>
      <c r="E1750" s="7" t="s">
        <v>154</v>
      </c>
      <c r="F1750" s="7" t="s">
        <v>177</v>
      </c>
      <c r="G1750" s="7" t="s">
        <v>505</v>
      </c>
      <c r="H1750" s="6" t="n">
        <v>4.83</v>
      </c>
      <c r="I1750" s="6" t="n">
        <v>0.145</v>
      </c>
      <c r="J1750" s="40" t="n">
        <f aca="false">H1750-I1750</f>
        <v>4.685</v>
      </c>
      <c r="K1750" s="41" t="n">
        <v>26.5</v>
      </c>
      <c r="L1750" s="42" t="n">
        <f aca="false">J1750*K1750</f>
        <v>124.1525</v>
      </c>
      <c r="M1750" s="43" t="n">
        <f aca="false">H1750*14.56*(1+'Chart of Accounts'!$E$67)</f>
        <v>80.521896</v>
      </c>
    </row>
    <row r="1751" customFormat="false" ht="15" hidden="false" customHeight="false" outlineLevel="0" collapsed="false">
      <c r="B1751" s="7" t="s">
        <v>2248</v>
      </c>
      <c r="C1751" s="39" t="n">
        <v>45748</v>
      </c>
      <c r="D1751" s="7" t="s">
        <v>288</v>
      </c>
      <c r="E1751" s="7" t="s">
        <v>156</v>
      </c>
      <c r="F1751" s="7" t="s">
        <v>191</v>
      </c>
      <c r="G1751" s="7" t="s">
        <v>505</v>
      </c>
      <c r="H1751" s="6" t="n">
        <v>3.89</v>
      </c>
      <c r="I1751" s="6" t="n">
        <v>0</v>
      </c>
      <c r="J1751" s="40" t="n">
        <f aca="false">H1751-I1751</f>
        <v>3.89</v>
      </c>
      <c r="K1751" s="41" t="n">
        <v>34</v>
      </c>
      <c r="L1751" s="42" t="n">
        <f aca="false">J1751*K1751</f>
        <v>132.26</v>
      </c>
      <c r="M1751" s="43" t="n">
        <f aca="false">H1751*16.05*(1+'Chart of Accounts'!$E$67)</f>
        <v>71.4875025</v>
      </c>
    </row>
    <row r="1752" customFormat="false" ht="15" hidden="false" customHeight="false" outlineLevel="0" collapsed="false">
      <c r="B1752" s="7" t="s">
        <v>2249</v>
      </c>
      <c r="C1752" s="39" t="n">
        <v>45748</v>
      </c>
      <c r="D1752" s="7" t="s">
        <v>301</v>
      </c>
      <c r="E1752" s="7" t="s">
        <v>157</v>
      </c>
      <c r="F1752" s="7" t="s">
        <v>209</v>
      </c>
      <c r="G1752" s="7" t="s">
        <v>502</v>
      </c>
      <c r="H1752" s="6" t="n">
        <v>0.94</v>
      </c>
      <c r="I1752" s="6" t="n">
        <v>0.047</v>
      </c>
      <c r="J1752" s="40" t="n">
        <f aca="false">H1752-I1752</f>
        <v>0.893</v>
      </c>
      <c r="K1752" s="41" t="n">
        <v>165</v>
      </c>
      <c r="L1752" s="42" t="n">
        <f aca="false">J1752*K1752</f>
        <v>147.345</v>
      </c>
      <c r="M1752" s="43" t="n">
        <f aca="false">H1752*73.58*(1+'Chart of Accounts'!$E$67)</f>
        <v>79.194154</v>
      </c>
    </row>
    <row r="1753" customFormat="false" ht="15" hidden="false" customHeight="false" outlineLevel="0" collapsed="false">
      <c r="B1753" s="7" t="s">
        <v>2250</v>
      </c>
      <c r="C1753" s="39" t="n">
        <v>45748</v>
      </c>
      <c r="D1753" s="7" t="s">
        <v>313</v>
      </c>
      <c r="E1753" s="7" t="s">
        <v>156</v>
      </c>
      <c r="F1753" s="7" t="s">
        <v>184</v>
      </c>
      <c r="G1753" s="7" t="s">
        <v>505</v>
      </c>
      <c r="H1753" s="6" t="n">
        <v>4.17</v>
      </c>
      <c r="I1753" s="6" t="n">
        <v>0</v>
      </c>
      <c r="J1753" s="40" t="n">
        <f aca="false">H1753-I1753</f>
        <v>4.17</v>
      </c>
      <c r="K1753" s="41" t="n">
        <v>34</v>
      </c>
      <c r="L1753" s="42" t="n">
        <f aca="false">J1753*K1753</f>
        <v>141.78</v>
      </c>
      <c r="M1753" s="43" t="n">
        <f aca="false">H1753*17.34*(1+'Chart of Accounts'!$E$67)</f>
        <v>82.792431</v>
      </c>
    </row>
    <row r="1754" customFormat="false" ht="15" hidden="false" customHeight="false" outlineLevel="0" collapsed="false">
      <c r="B1754" s="7" t="s">
        <v>2251</v>
      </c>
      <c r="C1754" s="39" t="n">
        <v>45748</v>
      </c>
      <c r="D1754" s="7" t="s">
        <v>319</v>
      </c>
      <c r="E1754" s="7" t="s">
        <v>157</v>
      </c>
      <c r="F1754" s="7" t="s">
        <v>234</v>
      </c>
      <c r="G1754" s="7" t="s">
        <v>502</v>
      </c>
      <c r="H1754" s="6" t="n">
        <v>0.95</v>
      </c>
      <c r="I1754" s="6" t="n">
        <v>0</v>
      </c>
      <c r="J1754" s="40" t="n">
        <f aca="false">H1754-I1754</f>
        <v>0.95</v>
      </c>
      <c r="K1754" s="41" t="n">
        <v>165</v>
      </c>
      <c r="L1754" s="42" t="n">
        <f aca="false">J1754*K1754</f>
        <v>156.75</v>
      </c>
      <c r="M1754" s="43" t="n">
        <f aca="false">H1754*89.53*(1+'Chart of Accounts'!$E$67)</f>
        <v>97.3862575</v>
      </c>
    </row>
    <row r="1755" customFormat="false" ht="15" hidden="false" customHeight="false" outlineLevel="0" collapsed="false">
      <c r="B1755" s="7" t="s">
        <v>2252</v>
      </c>
      <c r="C1755" s="39" t="n">
        <v>45748</v>
      </c>
      <c r="D1755" s="7" t="s">
        <v>321</v>
      </c>
      <c r="E1755" s="7" t="s">
        <v>154</v>
      </c>
      <c r="F1755" s="7" t="s">
        <v>218</v>
      </c>
      <c r="G1755" s="7" t="s">
        <v>505</v>
      </c>
      <c r="H1755" s="6" t="n">
        <v>4.35</v>
      </c>
      <c r="I1755" s="6" t="n">
        <v>0</v>
      </c>
      <c r="J1755" s="40" t="n">
        <f aca="false">H1755-I1755</f>
        <v>4.35</v>
      </c>
      <c r="K1755" s="41" t="n">
        <v>26.5</v>
      </c>
      <c r="L1755" s="42" t="n">
        <f aca="false">J1755*K1755</f>
        <v>115.275</v>
      </c>
      <c r="M1755" s="43" t="n">
        <f aca="false">H1755*16.19*(1+'Chart of Accounts'!$E$67)</f>
        <v>80.6383425</v>
      </c>
    </row>
    <row r="1756" customFormat="false" ht="15" hidden="false" customHeight="false" outlineLevel="0" collapsed="false">
      <c r="B1756" s="7" t="s">
        <v>2253</v>
      </c>
      <c r="C1756" s="39" t="n">
        <v>45748</v>
      </c>
      <c r="D1756" s="7" t="s">
        <v>323</v>
      </c>
      <c r="E1756" s="7" t="s">
        <v>159</v>
      </c>
      <c r="F1756" s="7" t="s">
        <v>266</v>
      </c>
      <c r="G1756" s="7" t="s">
        <v>502</v>
      </c>
      <c r="H1756" s="6" t="n">
        <v>0.94</v>
      </c>
      <c r="I1756" s="6" t="n">
        <v>0</v>
      </c>
      <c r="J1756" s="40" t="n">
        <f aca="false">H1756-I1756</f>
        <v>0.94</v>
      </c>
      <c r="K1756" s="41" t="n">
        <v>135</v>
      </c>
      <c r="L1756" s="42" t="n">
        <f aca="false">J1756*K1756</f>
        <v>126.9</v>
      </c>
      <c r="M1756" s="43" t="n">
        <f aca="false">H1756*75.18*(1+'Chart of Accounts'!$E$67)</f>
        <v>80.916234</v>
      </c>
    </row>
    <row r="1757" customFormat="false" ht="15" hidden="false" customHeight="false" outlineLevel="0" collapsed="false">
      <c r="B1757" s="7" t="s">
        <v>2254</v>
      </c>
      <c r="C1757" s="39" t="n">
        <v>45748</v>
      </c>
      <c r="D1757" s="7" t="s">
        <v>327</v>
      </c>
      <c r="E1757" s="7" t="s">
        <v>157</v>
      </c>
      <c r="F1757" s="7" t="s">
        <v>228</v>
      </c>
      <c r="G1757" s="7" t="s">
        <v>502</v>
      </c>
      <c r="H1757" s="6" t="n">
        <v>0.97</v>
      </c>
      <c r="I1757" s="6" t="n">
        <v>0</v>
      </c>
      <c r="J1757" s="40" t="n">
        <f aca="false">H1757-I1757</f>
        <v>0.97</v>
      </c>
      <c r="K1757" s="41" t="n">
        <v>165</v>
      </c>
      <c r="L1757" s="42" t="n">
        <f aca="false">J1757*K1757</f>
        <v>160.05</v>
      </c>
      <c r="M1757" s="43" t="n">
        <f aca="false">H1757*51.07*(1+'Chart of Accounts'!$E$67)</f>
        <v>56.7208955</v>
      </c>
    </row>
    <row r="1758" customFormat="false" ht="15" hidden="false" customHeight="false" outlineLevel="0" collapsed="false">
      <c r="B1758" s="7" t="s">
        <v>2255</v>
      </c>
      <c r="C1758" s="39" t="n">
        <v>45748</v>
      </c>
      <c r="D1758" s="7" t="s">
        <v>329</v>
      </c>
      <c r="E1758" s="7" t="s">
        <v>156</v>
      </c>
      <c r="F1758" s="7" t="s">
        <v>220</v>
      </c>
      <c r="G1758" s="7" t="s">
        <v>505</v>
      </c>
      <c r="H1758" s="6" t="n">
        <v>3.82</v>
      </c>
      <c r="I1758" s="6" t="n">
        <v>0</v>
      </c>
      <c r="J1758" s="40" t="n">
        <f aca="false">H1758-I1758</f>
        <v>3.82</v>
      </c>
      <c r="K1758" s="41" t="n">
        <v>34</v>
      </c>
      <c r="L1758" s="42" t="n">
        <f aca="false">J1758*K1758</f>
        <v>129.88</v>
      </c>
      <c r="M1758" s="43" t="n">
        <f aca="false">H1758*16.43*(1+'Chart of Accounts'!$E$67)</f>
        <v>71.863177</v>
      </c>
    </row>
    <row r="1759" customFormat="false" ht="15" hidden="false" customHeight="false" outlineLevel="0" collapsed="false">
      <c r="B1759" s="7" t="s">
        <v>2256</v>
      </c>
      <c r="C1759" s="39" t="n">
        <v>45748</v>
      </c>
      <c r="D1759" s="7" t="s">
        <v>359</v>
      </c>
      <c r="E1759" s="7" t="s">
        <v>156</v>
      </c>
      <c r="F1759" s="7" t="s">
        <v>212</v>
      </c>
      <c r="G1759" s="7" t="s">
        <v>505</v>
      </c>
      <c r="H1759" s="6" t="n">
        <v>3.99</v>
      </c>
      <c r="I1759" s="6" t="n">
        <v>0</v>
      </c>
      <c r="J1759" s="40" t="n">
        <f aca="false">H1759-I1759</f>
        <v>3.99</v>
      </c>
      <c r="K1759" s="41" t="n">
        <v>34</v>
      </c>
      <c r="L1759" s="42" t="n">
        <f aca="false">J1759*K1759</f>
        <v>135.66</v>
      </c>
      <c r="M1759" s="43" t="n">
        <f aca="false">H1759*16.71*(1+'Chart of Accounts'!$E$67)</f>
        <v>76.3404705</v>
      </c>
    </row>
    <row r="1760" customFormat="false" ht="15" hidden="false" customHeight="false" outlineLevel="0" collapsed="false">
      <c r="B1760" s="7" t="s">
        <v>2257</v>
      </c>
      <c r="C1760" s="39" t="n">
        <v>45748</v>
      </c>
      <c r="D1760" s="7" t="s">
        <v>361</v>
      </c>
      <c r="E1760" s="7" t="s">
        <v>157</v>
      </c>
      <c r="F1760" s="7" t="s">
        <v>209</v>
      </c>
      <c r="G1760" s="7" t="s">
        <v>502</v>
      </c>
      <c r="H1760" s="6" t="n">
        <v>1.04</v>
      </c>
      <c r="I1760" s="6" t="n">
        <v>0</v>
      </c>
      <c r="J1760" s="40" t="n">
        <f aca="false">H1760-I1760</f>
        <v>1.04</v>
      </c>
      <c r="K1760" s="41" t="n">
        <v>165</v>
      </c>
      <c r="L1760" s="42" t="n">
        <f aca="false">J1760*K1760</f>
        <v>171.6</v>
      </c>
      <c r="M1760" s="43" t="n">
        <f aca="false">H1760*73.58*(1+'Chart of Accounts'!$E$67)</f>
        <v>87.619064</v>
      </c>
    </row>
    <row r="1761" customFormat="false" ht="15" hidden="false" customHeight="false" outlineLevel="0" collapsed="false">
      <c r="B1761" s="7" t="s">
        <v>2258</v>
      </c>
      <c r="C1761" s="39" t="n">
        <v>45748</v>
      </c>
      <c r="D1761" s="7" t="s">
        <v>381</v>
      </c>
      <c r="E1761" s="7" t="s">
        <v>157</v>
      </c>
      <c r="F1761" s="7" t="s">
        <v>234</v>
      </c>
      <c r="G1761" s="7" t="s">
        <v>502</v>
      </c>
      <c r="H1761" s="6" t="n">
        <v>0.96</v>
      </c>
      <c r="I1761" s="6" t="n">
        <v>0</v>
      </c>
      <c r="J1761" s="40" t="n">
        <f aca="false">H1761-I1761</f>
        <v>0.96</v>
      </c>
      <c r="K1761" s="41" t="n">
        <v>165</v>
      </c>
      <c r="L1761" s="42" t="n">
        <f aca="false">J1761*K1761</f>
        <v>158.4</v>
      </c>
      <c r="M1761" s="43" t="n">
        <f aca="false">H1761*89.53*(1+'Chart of Accounts'!$E$67)</f>
        <v>98.411376</v>
      </c>
    </row>
    <row r="1762" customFormat="false" ht="15" hidden="false" customHeight="false" outlineLevel="0" collapsed="false">
      <c r="B1762" s="7" t="s">
        <v>2259</v>
      </c>
      <c r="C1762" s="39" t="n">
        <v>45748</v>
      </c>
      <c r="D1762" s="7" t="s">
        <v>389</v>
      </c>
      <c r="E1762" s="7" t="s">
        <v>154</v>
      </c>
      <c r="F1762" s="7" t="s">
        <v>246</v>
      </c>
      <c r="G1762" s="7" t="s">
        <v>505</v>
      </c>
      <c r="H1762" s="6" t="n">
        <v>4.36</v>
      </c>
      <c r="I1762" s="6" t="n">
        <v>0</v>
      </c>
      <c r="J1762" s="40" t="n">
        <f aca="false">H1762-I1762</f>
        <v>4.36</v>
      </c>
      <c r="K1762" s="41" t="n">
        <v>26.5</v>
      </c>
      <c r="L1762" s="42" t="n">
        <f aca="false">J1762*K1762</f>
        <v>115.54</v>
      </c>
      <c r="M1762" s="43" t="n">
        <f aca="false">H1762*16.48*(1+'Chart of Accounts'!$E$67)</f>
        <v>82.271456</v>
      </c>
    </row>
    <row r="1763" customFormat="false" ht="15" hidden="false" customHeight="false" outlineLevel="0" collapsed="false">
      <c r="B1763" s="7" t="s">
        <v>2260</v>
      </c>
      <c r="C1763" s="39" t="n">
        <v>45748</v>
      </c>
      <c r="D1763" s="7" t="s">
        <v>391</v>
      </c>
      <c r="E1763" s="7" t="s">
        <v>156</v>
      </c>
      <c r="F1763" s="7" t="s">
        <v>222</v>
      </c>
      <c r="G1763" s="7" t="s">
        <v>505</v>
      </c>
      <c r="H1763" s="6" t="n">
        <v>3.65</v>
      </c>
      <c r="I1763" s="6" t="n">
        <v>0</v>
      </c>
      <c r="J1763" s="40" t="n">
        <f aca="false">H1763-I1763</f>
        <v>3.65</v>
      </c>
      <c r="K1763" s="41" t="n">
        <v>34</v>
      </c>
      <c r="L1763" s="42" t="n">
        <f aca="false">J1763*K1763</f>
        <v>124.1</v>
      </c>
      <c r="M1763" s="43" t="n">
        <f aca="false">H1763*17.84*(1+'Chart of Accounts'!$E$67)</f>
        <v>74.55782</v>
      </c>
    </row>
    <row r="1764" customFormat="false" ht="15" hidden="false" customHeight="false" outlineLevel="0" collapsed="false">
      <c r="B1764" s="7" t="s">
        <v>2261</v>
      </c>
      <c r="C1764" s="39" t="n">
        <v>45748</v>
      </c>
      <c r="D1764" s="7" t="s">
        <v>395</v>
      </c>
      <c r="E1764" s="7" t="s">
        <v>156</v>
      </c>
      <c r="F1764" s="7" t="s">
        <v>242</v>
      </c>
      <c r="G1764" s="7" t="s">
        <v>505</v>
      </c>
      <c r="H1764" s="6" t="n">
        <v>3.66</v>
      </c>
      <c r="I1764" s="6" t="n">
        <v>0</v>
      </c>
      <c r="J1764" s="40" t="n">
        <f aca="false">H1764-I1764</f>
        <v>3.66</v>
      </c>
      <c r="K1764" s="41" t="n">
        <v>34</v>
      </c>
      <c r="L1764" s="42" t="n">
        <f aca="false">J1764*K1764</f>
        <v>124.44</v>
      </c>
      <c r="M1764" s="43" t="n">
        <f aca="false">H1764*17.99*(1+'Chart of Accounts'!$E$67)</f>
        <v>75.390693</v>
      </c>
    </row>
    <row r="1765" customFormat="false" ht="15" hidden="false" customHeight="false" outlineLevel="0" collapsed="false">
      <c r="B1765" s="7" t="s">
        <v>2262</v>
      </c>
      <c r="C1765" s="39" t="n">
        <v>45748</v>
      </c>
      <c r="D1765" s="7" t="s">
        <v>397</v>
      </c>
      <c r="E1765" s="7" t="s">
        <v>159</v>
      </c>
      <c r="F1765" s="7" t="s">
        <v>203</v>
      </c>
      <c r="G1765" s="7" t="s">
        <v>502</v>
      </c>
      <c r="H1765" s="6" t="n">
        <v>1.09</v>
      </c>
      <c r="I1765" s="6" t="n">
        <v>0</v>
      </c>
      <c r="J1765" s="40" t="n">
        <f aca="false">H1765-I1765</f>
        <v>1.09</v>
      </c>
      <c r="K1765" s="41" t="n">
        <v>135</v>
      </c>
      <c r="L1765" s="42" t="n">
        <f aca="false">J1765*K1765</f>
        <v>147.15</v>
      </c>
      <c r="M1765" s="43" t="n">
        <f aca="false">H1765*49.43*(1+'Chart of Accounts'!$E$67)</f>
        <v>61.6911115</v>
      </c>
    </row>
    <row r="1766" customFormat="false" ht="15" hidden="false" customHeight="false" outlineLevel="0" collapsed="false">
      <c r="B1766" s="7" t="s">
        <v>2263</v>
      </c>
      <c r="C1766" s="39" t="n">
        <v>45748</v>
      </c>
      <c r="D1766" s="7" t="s">
        <v>401</v>
      </c>
      <c r="E1766" s="7" t="s">
        <v>156</v>
      </c>
      <c r="F1766" s="7" t="s">
        <v>254</v>
      </c>
      <c r="G1766" s="7" t="s">
        <v>505</v>
      </c>
      <c r="H1766" s="6" t="n">
        <v>4.16</v>
      </c>
      <c r="I1766" s="6" t="n">
        <v>0</v>
      </c>
      <c r="J1766" s="40" t="n">
        <f aca="false">H1766-I1766</f>
        <v>4.16</v>
      </c>
      <c r="K1766" s="41" t="n">
        <v>34</v>
      </c>
      <c r="L1766" s="42" t="n">
        <f aca="false">J1766*K1766</f>
        <v>141.44</v>
      </c>
      <c r="M1766" s="43" t="n">
        <f aca="false">H1766*17.1*(1+'Chart of Accounts'!$E$67)</f>
        <v>81.45072</v>
      </c>
    </row>
    <row r="1767" customFormat="false" ht="15" hidden="false" customHeight="false" outlineLevel="0" collapsed="false">
      <c r="B1767" s="7" t="s">
        <v>2264</v>
      </c>
      <c r="C1767" s="39" t="n">
        <v>45748</v>
      </c>
      <c r="D1767" s="7" t="s">
        <v>407</v>
      </c>
      <c r="E1767" s="7" t="s">
        <v>159</v>
      </c>
      <c r="F1767" s="7" t="s">
        <v>260</v>
      </c>
      <c r="G1767" s="7" t="s">
        <v>502</v>
      </c>
      <c r="H1767" s="6" t="n">
        <v>1</v>
      </c>
      <c r="I1767" s="6" t="n">
        <v>0</v>
      </c>
      <c r="J1767" s="40" t="n">
        <f aca="false">H1767-I1767</f>
        <v>1</v>
      </c>
      <c r="K1767" s="41" t="n">
        <v>135</v>
      </c>
      <c r="L1767" s="42" t="n">
        <f aca="false">J1767*K1767</f>
        <v>135</v>
      </c>
      <c r="M1767" s="43" t="n">
        <f aca="false">H1767*79.8*(1+'Chart of Accounts'!$E$67)</f>
        <v>91.371</v>
      </c>
    </row>
    <row r="1768" customFormat="false" ht="15" hidden="false" customHeight="false" outlineLevel="0" collapsed="false">
      <c r="B1768" s="7" t="s">
        <v>2265</v>
      </c>
      <c r="C1768" s="39" t="n">
        <v>45749</v>
      </c>
      <c r="D1768" s="7" t="s">
        <v>280</v>
      </c>
      <c r="E1768" s="7" t="s">
        <v>157</v>
      </c>
      <c r="F1768" s="7" t="s">
        <v>187</v>
      </c>
      <c r="G1768" s="7" t="s">
        <v>502</v>
      </c>
      <c r="H1768" s="6" t="n">
        <v>1.09</v>
      </c>
      <c r="I1768" s="6" t="n">
        <v>0.055</v>
      </c>
      <c r="J1768" s="40" t="n">
        <f aca="false">H1768-I1768</f>
        <v>1.035</v>
      </c>
      <c r="K1768" s="41" t="n">
        <v>165</v>
      </c>
      <c r="L1768" s="42" t="n">
        <f aca="false">J1768*K1768</f>
        <v>170.775</v>
      </c>
      <c r="M1768" s="43" t="n">
        <f aca="false">H1768*66.48*(1+'Chart of Accounts'!$E$67)</f>
        <v>82.970364</v>
      </c>
    </row>
    <row r="1769" customFormat="false" ht="15" hidden="false" customHeight="false" outlineLevel="0" collapsed="false">
      <c r="B1769" s="7" t="s">
        <v>2266</v>
      </c>
      <c r="C1769" s="39" t="n">
        <v>45749</v>
      </c>
      <c r="D1769" s="7" t="s">
        <v>286</v>
      </c>
      <c r="E1769" s="7" t="s">
        <v>157</v>
      </c>
      <c r="F1769" s="7" t="s">
        <v>228</v>
      </c>
      <c r="G1769" s="7" t="s">
        <v>502</v>
      </c>
      <c r="H1769" s="6" t="n">
        <v>0.97</v>
      </c>
      <c r="I1769" s="6" t="n">
        <v>0</v>
      </c>
      <c r="J1769" s="40" t="n">
        <f aca="false">H1769-I1769</f>
        <v>0.97</v>
      </c>
      <c r="K1769" s="41" t="n">
        <v>165</v>
      </c>
      <c r="L1769" s="42" t="n">
        <f aca="false">J1769*K1769</f>
        <v>160.05</v>
      </c>
      <c r="M1769" s="43" t="n">
        <f aca="false">H1769*51.07*(1+'Chart of Accounts'!$E$67)</f>
        <v>56.7208955</v>
      </c>
    </row>
    <row r="1770" customFormat="false" ht="15" hidden="false" customHeight="false" outlineLevel="0" collapsed="false">
      <c r="B1770" s="7" t="s">
        <v>2267</v>
      </c>
      <c r="C1770" s="39" t="n">
        <v>45749</v>
      </c>
      <c r="D1770" s="7" t="s">
        <v>288</v>
      </c>
      <c r="E1770" s="7" t="s">
        <v>156</v>
      </c>
      <c r="F1770" s="7" t="s">
        <v>191</v>
      </c>
      <c r="G1770" s="7" t="s">
        <v>505</v>
      </c>
      <c r="H1770" s="6" t="n">
        <v>3.83</v>
      </c>
      <c r="I1770" s="6" t="n">
        <v>0</v>
      </c>
      <c r="J1770" s="40" t="n">
        <f aca="false">H1770-I1770</f>
        <v>3.83</v>
      </c>
      <c r="K1770" s="41" t="n">
        <v>34</v>
      </c>
      <c r="L1770" s="42" t="n">
        <f aca="false">J1770*K1770</f>
        <v>130.22</v>
      </c>
      <c r="M1770" s="43" t="n">
        <f aca="false">H1770*16.05*(1+'Chart of Accounts'!$E$67)</f>
        <v>70.3848675</v>
      </c>
    </row>
    <row r="1771" customFormat="false" ht="15" hidden="false" customHeight="false" outlineLevel="0" collapsed="false">
      <c r="B1771" s="7" t="s">
        <v>2268</v>
      </c>
      <c r="C1771" s="39" t="n">
        <v>45749</v>
      </c>
      <c r="D1771" s="7" t="s">
        <v>291</v>
      </c>
      <c r="E1771" s="7" t="s">
        <v>154</v>
      </c>
      <c r="F1771" s="7" t="s">
        <v>194</v>
      </c>
      <c r="G1771" s="7" t="s">
        <v>505</v>
      </c>
      <c r="H1771" s="6" t="n">
        <v>4.42</v>
      </c>
      <c r="I1771" s="6" t="n">
        <v>0</v>
      </c>
      <c r="J1771" s="40" t="n">
        <f aca="false">H1771-I1771</f>
        <v>4.42</v>
      </c>
      <c r="K1771" s="41" t="n">
        <v>26.5</v>
      </c>
      <c r="L1771" s="42" t="n">
        <f aca="false">J1771*K1771</f>
        <v>117.13</v>
      </c>
      <c r="M1771" s="43" t="n">
        <f aca="false">H1771*16*(1+'Chart of Accounts'!$E$67)</f>
        <v>80.9744</v>
      </c>
    </row>
    <row r="1772" customFormat="false" ht="15" hidden="false" customHeight="false" outlineLevel="0" collapsed="false">
      <c r="B1772" s="7" t="s">
        <v>2269</v>
      </c>
      <c r="C1772" s="39" t="n">
        <v>45749</v>
      </c>
      <c r="D1772" s="7" t="s">
        <v>305</v>
      </c>
      <c r="E1772" s="7" t="s">
        <v>154</v>
      </c>
      <c r="F1772" s="7" t="s">
        <v>205</v>
      </c>
      <c r="G1772" s="7" t="s">
        <v>505</v>
      </c>
      <c r="H1772" s="6" t="n">
        <v>3.93</v>
      </c>
      <c r="I1772" s="6" t="n">
        <v>0</v>
      </c>
      <c r="J1772" s="40" t="n">
        <f aca="false">H1772-I1772</f>
        <v>3.93</v>
      </c>
      <c r="K1772" s="41" t="n">
        <v>26.5</v>
      </c>
      <c r="L1772" s="42" t="n">
        <f aca="false">J1772*K1772</f>
        <v>104.145</v>
      </c>
      <c r="M1772" s="43" t="n">
        <f aca="false">H1772*16.36*(1+'Chart of Accounts'!$E$67)</f>
        <v>73.617546</v>
      </c>
    </row>
    <row r="1773" customFormat="false" ht="15" hidden="false" customHeight="false" outlineLevel="0" collapsed="false">
      <c r="B1773" s="7" t="s">
        <v>2270</v>
      </c>
      <c r="C1773" s="39" t="n">
        <v>45749</v>
      </c>
      <c r="D1773" s="7" t="s">
        <v>307</v>
      </c>
      <c r="E1773" s="7" t="s">
        <v>157</v>
      </c>
      <c r="F1773" s="7" t="s">
        <v>264</v>
      </c>
      <c r="G1773" s="7" t="s">
        <v>502</v>
      </c>
      <c r="H1773" s="6" t="n">
        <v>0.97</v>
      </c>
      <c r="I1773" s="6" t="n">
        <v>0</v>
      </c>
      <c r="J1773" s="40" t="n">
        <f aca="false">H1773-I1773</f>
        <v>0.97</v>
      </c>
      <c r="K1773" s="41" t="n">
        <v>165</v>
      </c>
      <c r="L1773" s="42" t="n">
        <f aca="false">J1773*K1773</f>
        <v>160.05</v>
      </c>
      <c r="M1773" s="43" t="n">
        <f aca="false">H1773*55.55*(1+'Chart of Accounts'!$E$67)</f>
        <v>61.6966075</v>
      </c>
    </row>
    <row r="1774" customFormat="false" ht="15" hidden="false" customHeight="false" outlineLevel="0" collapsed="false">
      <c r="B1774" s="7" t="s">
        <v>2271</v>
      </c>
      <c r="C1774" s="39" t="n">
        <v>45749</v>
      </c>
      <c r="D1774" s="7" t="s">
        <v>309</v>
      </c>
      <c r="E1774" s="7" t="s">
        <v>159</v>
      </c>
      <c r="F1774" s="7" t="s">
        <v>252</v>
      </c>
      <c r="G1774" s="7" t="s">
        <v>502</v>
      </c>
      <c r="H1774" s="6" t="n">
        <v>1.07</v>
      </c>
      <c r="I1774" s="6" t="n">
        <v>0</v>
      </c>
      <c r="J1774" s="40" t="n">
        <f aca="false">H1774-I1774</f>
        <v>1.07</v>
      </c>
      <c r="K1774" s="41" t="n">
        <v>135</v>
      </c>
      <c r="L1774" s="42" t="n">
        <f aca="false">J1774*K1774</f>
        <v>144.45</v>
      </c>
      <c r="M1774" s="43" t="n">
        <f aca="false">H1774*57.54*(1+'Chart of Accounts'!$E$67)</f>
        <v>70.495131</v>
      </c>
    </row>
    <row r="1775" customFormat="false" ht="15" hidden="false" customHeight="false" outlineLevel="0" collapsed="false">
      <c r="B1775" s="7" t="s">
        <v>2272</v>
      </c>
      <c r="C1775" s="39" t="n">
        <v>45749</v>
      </c>
      <c r="D1775" s="7" t="s">
        <v>313</v>
      </c>
      <c r="E1775" s="7" t="s">
        <v>156</v>
      </c>
      <c r="F1775" s="7" t="s">
        <v>184</v>
      </c>
      <c r="G1775" s="7" t="s">
        <v>505</v>
      </c>
      <c r="H1775" s="6" t="n">
        <v>3.71</v>
      </c>
      <c r="I1775" s="6" t="n">
        <v>0</v>
      </c>
      <c r="J1775" s="40" t="n">
        <f aca="false">H1775-I1775</f>
        <v>3.71</v>
      </c>
      <c r="K1775" s="41" t="n">
        <v>34</v>
      </c>
      <c r="L1775" s="42" t="n">
        <f aca="false">J1775*K1775</f>
        <v>126.14</v>
      </c>
      <c r="M1775" s="43" t="n">
        <f aca="false">H1775*17.34*(1+'Chart of Accounts'!$E$67)</f>
        <v>73.659453</v>
      </c>
    </row>
    <row r="1776" customFormat="false" ht="15" hidden="false" customHeight="false" outlineLevel="0" collapsed="false">
      <c r="B1776" s="7" t="s">
        <v>2273</v>
      </c>
      <c r="C1776" s="39" t="n">
        <v>45749</v>
      </c>
      <c r="D1776" s="7" t="s">
        <v>321</v>
      </c>
      <c r="E1776" s="7" t="s">
        <v>154</v>
      </c>
      <c r="F1776" s="7" t="s">
        <v>218</v>
      </c>
      <c r="G1776" s="7" t="s">
        <v>505</v>
      </c>
      <c r="H1776" s="6" t="n">
        <v>3.81</v>
      </c>
      <c r="I1776" s="6" t="n">
        <v>0</v>
      </c>
      <c r="J1776" s="40" t="n">
        <f aca="false">H1776-I1776</f>
        <v>3.81</v>
      </c>
      <c r="K1776" s="41" t="n">
        <v>26.5</v>
      </c>
      <c r="L1776" s="42" t="n">
        <f aca="false">J1776*K1776</f>
        <v>100.965</v>
      </c>
      <c r="M1776" s="43" t="n">
        <f aca="false">H1776*16.19*(1+'Chart of Accounts'!$E$67)</f>
        <v>70.6280655</v>
      </c>
    </row>
    <row r="1777" customFormat="false" ht="15" hidden="false" customHeight="false" outlineLevel="0" collapsed="false">
      <c r="B1777" s="7" t="s">
        <v>2274</v>
      </c>
      <c r="C1777" s="39" t="n">
        <v>45749</v>
      </c>
      <c r="D1777" s="7" t="s">
        <v>329</v>
      </c>
      <c r="E1777" s="7" t="s">
        <v>156</v>
      </c>
      <c r="F1777" s="7" t="s">
        <v>220</v>
      </c>
      <c r="G1777" s="7" t="s">
        <v>505</v>
      </c>
      <c r="H1777" s="6" t="n">
        <v>4.22</v>
      </c>
      <c r="I1777" s="6" t="n">
        <v>0</v>
      </c>
      <c r="J1777" s="40" t="n">
        <f aca="false">H1777-I1777</f>
        <v>4.22</v>
      </c>
      <c r="K1777" s="41" t="n">
        <v>34</v>
      </c>
      <c r="L1777" s="42" t="n">
        <f aca="false">J1777*K1777</f>
        <v>143.48</v>
      </c>
      <c r="M1777" s="43" t="n">
        <f aca="false">H1777*16.43*(1+'Chart of Accounts'!$E$67)</f>
        <v>79.388117</v>
      </c>
    </row>
    <row r="1778" customFormat="false" ht="15" hidden="false" customHeight="false" outlineLevel="0" collapsed="false">
      <c r="B1778" s="7" t="s">
        <v>2275</v>
      </c>
      <c r="C1778" s="39" t="n">
        <v>45749</v>
      </c>
      <c r="D1778" s="7" t="s">
        <v>335</v>
      </c>
      <c r="E1778" s="7" t="s">
        <v>154</v>
      </c>
      <c r="F1778" s="7" t="s">
        <v>177</v>
      </c>
      <c r="G1778" s="7" t="s">
        <v>505</v>
      </c>
      <c r="H1778" s="6" t="n">
        <v>3.96</v>
      </c>
      <c r="I1778" s="6" t="n">
        <v>0</v>
      </c>
      <c r="J1778" s="40" t="n">
        <f aca="false">H1778-I1778</f>
        <v>3.96</v>
      </c>
      <c r="K1778" s="41" t="n">
        <v>26.5</v>
      </c>
      <c r="L1778" s="42" t="n">
        <f aca="false">J1778*K1778</f>
        <v>104.94</v>
      </c>
      <c r="M1778" s="43" t="n">
        <f aca="false">H1778*14.56*(1+'Chart of Accounts'!$E$67)</f>
        <v>66.017952</v>
      </c>
    </row>
    <row r="1779" customFormat="false" ht="15" hidden="false" customHeight="false" outlineLevel="0" collapsed="false">
      <c r="B1779" s="7" t="s">
        <v>2276</v>
      </c>
      <c r="C1779" s="39" t="n">
        <v>45749</v>
      </c>
      <c r="D1779" s="7" t="s">
        <v>339</v>
      </c>
      <c r="E1779" s="7" t="s">
        <v>154</v>
      </c>
      <c r="F1779" s="7" t="s">
        <v>242</v>
      </c>
      <c r="G1779" s="7" t="s">
        <v>505</v>
      </c>
      <c r="H1779" s="6" t="n">
        <v>3.47</v>
      </c>
      <c r="I1779" s="6" t="n">
        <v>0</v>
      </c>
      <c r="J1779" s="40" t="n">
        <f aca="false">H1779-I1779</f>
        <v>3.47</v>
      </c>
      <c r="K1779" s="41" t="n">
        <v>26.5</v>
      </c>
      <c r="L1779" s="42" t="n">
        <f aca="false">J1779*K1779</f>
        <v>91.955</v>
      </c>
      <c r="M1779" s="43" t="n">
        <f aca="false">H1779*17.99*(1+'Chart of Accounts'!$E$67)</f>
        <v>71.4769685</v>
      </c>
    </row>
    <row r="1780" customFormat="false" ht="15" hidden="false" customHeight="false" outlineLevel="0" collapsed="false">
      <c r="B1780" s="7" t="s">
        <v>2277</v>
      </c>
      <c r="C1780" s="39" t="n">
        <v>45749</v>
      </c>
      <c r="D1780" s="7" t="s">
        <v>353</v>
      </c>
      <c r="E1780" s="7" t="s">
        <v>154</v>
      </c>
      <c r="F1780" s="7" t="s">
        <v>254</v>
      </c>
      <c r="G1780" s="7" t="s">
        <v>505</v>
      </c>
      <c r="H1780" s="6" t="n">
        <v>3.56</v>
      </c>
      <c r="I1780" s="6" t="n">
        <v>0</v>
      </c>
      <c r="J1780" s="40" t="n">
        <f aca="false">H1780-I1780</f>
        <v>3.56</v>
      </c>
      <c r="K1780" s="41" t="n">
        <v>26.5</v>
      </c>
      <c r="L1780" s="42" t="n">
        <f aca="false">J1780*K1780</f>
        <v>94.34</v>
      </c>
      <c r="M1780" s="43" t="n">
        <f aca="false">H1780*17.1*(1+'Chart of Accounts'!$E$67)</f>
        <v>69.70302</v>
      </c>
    </row>
    <row r="1781" customFormat="false" ht="15" hidden="false" customHeight="false" outlineLevel="0" collapsed="false">
      <c r="B1781" s="7" t="s">
        <v>2278</v>
      </c>
      <c r="C1781" s="39" t="n">
        <v>45749</v>
      </c>
      <c r="D1781" s="7" t="s">
        <v>355</v>
      </c>
      <c r="E1781" s="7" t="s">
        <v>154</v>
      </c>
      <c r="F1781" s="7" t="s">
        <v>201</v>
      </c>
      <c r="G1781" s="7" t="s">
        <v>505</v>
      </c>
      <c r="H1781" s="6" t="n">
        <v>3.1</v>
      </c>
      <c r="I1781" s="6" t="n">
        <v>0.093</v>
      </c>
      <c r="J1781" s="40" t="n">
        <f aca="false">H1781-I1781</f>
        <v>3.007</v>
      </c>
      <c r="K1781" s="41" t="n">
        <v>26.5</v>
      </c>
      <c r="L1781" s="42" t="n">
        <f aca="false">J1781*K1781</f>
        <v>79.6855</v>
      </c>
      <c r="M1781" s="43" t="n">
        <f aca="false">H1781*15.19*(1+'Chart of Accounts'!$E$67)</f>
        <v>53.916905</v>
      </c>
    </row>
    <row r="1782" customFormat="false" ht="15" hidden="false" customHeight="false" outlineLevel="0" collapsed="false">
      <c r="B1782" s="7" t="s">
        <v>2279</v>
      </c>
      <c r="C1782" s="39" t="n">
        <v>45749</v>
      </c>
      <c r="D1782" s="7" t="s">
        <v>357</v>
      </c>
      <c r="E1782" s="7" t="s">
        <v>154</v>
      </c>
      <c r="F1782" s="7" t="s">
        <v>207</v>
      </c>
      <c r="G1782" s="7" t="s">
        <v>505</v>
      </c>
      <c r="H1782" s="6" t="n">
        <v>3.21</v>
      </c>
      <c r="I1782" s="6" t="n">
        <v>0</v>
      </c>
      <c r="J1782" s="40" t="n">
        <f aca="false">H1782-I1782</f>
        <v>3.21</v>
      </c>
      <c r="K1782" s="41" t="n">
        <v>26.5</v>
      </c>
      <c r="L1782" s="42" t="n">
        <f aca="false">J1782*K1782</f>
        <v>85.065</v>
      </c>
      <c r="M1782" s="43" t="n">
        <f aca="false">H1782*16.65*(1+'Chart of Accounts'!$E$67)</f>
        <v>61.1962425</v>
      </c>
    </row>
    <row r="1783" customFormat="false" ht="15" hidden="false" customHeight="false" outlineLevel="0" collapsed="false">
      <c r="B1783" s="7" t="s">
        <v>2280</v>
      </c>
      <c r="C1783" s="39" t="n">
        <v>45749</v>
      </c>
      <c r="D1783" s="7" t="s">
        <v>359</v>
      </c>
      <c r="E1783" s="7" t="s">
        <v>156</v>
      </c>
      <c r="F1783" s="7" t="s">
        <v>212</v>
      </c>
      <c r="G1783" s="7" t="s">
        <v>505</v>
      </c>
      <c r="H1783" s="6" t="n">
        <v>3.75</v>
      </c>
      <c r="I1783" s="6" t="n">
        <v>0</v>
      </c>
      <c r="J1783" s="40" t="n">
        <f aca="false">H1783-I1783</f>
        <v>3.75</v>
      </c>
      <c r="K1783" s="41" t="n">
        <v>34</v>
      </c>
      <c r="L1783" s="42" t="n">
        <f aca="false">J1783*K1783</f>
        <v>127.5</v>
      </c>
      <c r="M1783" s="43" t="n">
        <f aca="false">H1783*16.71*(1+'Chart of Accounts'!$E$67)</f>
        <v>71.7485625</v>
      </c>
    </row>
    <row r="1784" customFormat="false" ht="15" hidden="false" customHeight="false" outlineLevel="0" collapsed="false">
      <c r="B1784" s="7" t="s">
        <v>2281</v>
      </c>
      <c r="C1784" s="39" t="n">
        <v>45749</v>
      </c>
      <c r="D1784" s="7" t="s">
        <v>371</v>
      </c>
      <c r="E1784" s="7" t="s">
        <v>154</v>
      </c>
      <c r="F1784" s="7" t="s">
        <v>232</v>
      </c>
      <c r="G1784" s="7" t="s">
        <v>505</v>
      </c>
      <c r="H1784" s="6" t="n">
        <v>4.5</v>
      </c>
      <c r="I1784" s="6" t="n">
        <v>0</v>
      </c>
      <c r="J1784" s="40" t="n">
        <f aca="false">H1784-I1784</f>
        <v>4.5</v>
      </c>
      <c r="K1784" s="41" t="n">
        <v>26.5</v>
      </c>
      <c r="L1784" s="42" t="n">
        <f aca="false">J1784*K1784</f>
        <v>119.25</v>
      </c>
      <c r="M1784" s="43" t="n">
        <f aca="false">H1784*16.17*(1+'Chart of Accounts'!$E$67)</f>
        <v>83.315925</v>
      </c>
    </row>
    <row r="1785" customFormat="false" ht="15" hidden="false" customHeight="false" outlineLevel="0" collapsed="false">
      <c r="B1785" s="7" t="s">
        <v>2282</v>
      </c>
      <c r="C1785" s="39" t="n">
        <v>45749</v>
      </c>
      <c r="D1785" s="7" t="s">
        <v>379</v>
      </c>
      <c r="E1785" s="7" t="s">
        <v>156</v>
      </c>
      <c r="F1785" s="7" t="s">
        <v>224</v>
      </c>
      <c r="G1785" s="7" t="s">
        <v>505</v>
      </c>
      <c r="H1785" s="6" t="n">
        <v>4.7</v>
      </c>
      <c r="I1785" s="6" t="n">
        <v>0</v>
      </c>
      <c r="J1785" s="40" t="n">
        <f aca="false">H1785-I1785</f>
        <v>4.7</v>
      </c>
      <c r="K1785" s="41" t="n">
        <v>34</v>
      </c>
      <c r="L1785" s="42" t="n">
        <f aca="false">J1785*K1785</f>
        <v>159.8</v>
      </c>
      <c r="M1785" s="43" t="n">
        <f aca="false">H1785*14.93*(1+'Chart of Accounts'!$E$67)</f>
        <v>80.345795</v>
      </c>
    </row>
    <row r="1786" customFormat="false" ht="15" hidden="false" customHeight="false" outlineLevel="0" collapsed="false">
      <c r="B1786" s="7" t="s">
        <v>2283</v>
      </c>
      <c r="C1786" s="39" t="n">
        <v>45749</v>
      </c>
      <c r="D1786" s="7" t="s">
        <v>389</v>
      </c>
      <c r="E1786" s="7" t="s">
        <v>154</v>
      </c>
      <c r="F1786" s="7" t="s">
        <v>246</v>
      </c>
      <c r="G1786" s="7" t="s">
        <v>505</v>
      </c>
      <c r="H1786" s="6" t="n">
        <v>4.34</v>
      </c>
      <c r="I1786" s="6" t="n">
        <v>0</v>
      </c>
      <c r="J1786" s="40" t="n">
        <f aca="false">H1786-I1786</f>
        <v>4.34</v>
      </c>
      <c r="K1786" s="41" t="n">
        <v>26.5</v>
      </c>
      <c r="L1786" s="42" t="n">
        <f aca="false">J1786*K1786</f>
        <v>115.01</v>
      </c>
      <c r="M1786" s="43" t="n">
        <f aca="false">H1786*16.48*(1+'Chart of Accounts'!$E$67)</f>
        <v>81.894064</v>
      </c>
    </row>
    <row r="1787" customFormat="false" ht="15" hidden="false" customHeight="false" outlineLevel="0" collapsed="false">
      <c r="B1787" s="7" t="s">
        <v>2284</v>
      </c>
      <c r="C1787" s="39" t="n">
        <v>45749</v>
      </c>
      <c r="D1787" s="7" t="s">
        <v>391</v>
      </c>
      <c r="E1787" s="7" t="s">
        <v>156</v>
      </c>
      <c r="F1787" s="7" t="s">
        <v>222</v>
      </c>
      <c r="G1787" s="7" t="s">
        <v>505</v>
      </c>
      <c r="H1787" s="6" t="n">
        <v>3.72</v>
      </c>
      <c r="I1787" s="6" t="n">
        <v>0</v>
      </c>
      <c r="J1787" s="40" t="n">
        <f aca="false">H1787-I1787</f>
        <v>3.72</v>
      </c>
      <c r="K1787" s="41" t="n">
        <v>34</v>
      </c>
      <c r="L1787" s="42" t="n">
        <f aca="false">J1787*K1787</f>
        <v>126.48</v>
      </c>
      <c r="M1787" s="43" t="n">
        <f aca="false">H1787*17.84*(1+'Chart of Accounts'!$E$67)</f>
        <v>75.987696</v>
      </c>
    </row>
    <row r="1788" customFormat="false" ht="15" hidden="false" customHeight="false" outlineLevel="0" collapsed="false">
      <c r="B1788" s="7" t="s">
        <v>2285</v>
      </c>
      <c r="C1788" s="39" t="n">
        <v>45749</v>
      </c>
      <c r="D1788" s="7" t="s">
        <v>393</v>
      </c>
      <c r="E1788" s="7" t="s">
        <v>157</v>
      </c>
      <c r="F1788" s="7" t="s">
        <v>203</v>
      </c>
      <c r="G1788" s="7" t="s">
        <v>502</v>
      </c>
      <c r="H1788" s="6" t="n">
        <v>0.9</v>
      </c>
      <c r="I1788" s="6" t="n">
        <v>0</v>
      </c>
      <c r="J1788" s="40" t="n">
        <f aca="false">H1788-I1788</f>
        <v>0.9</v>
      </c>
      <c r="K1788" s="41" t="n">
        <v>165</v>
      </c>
      <c r="L1788" s="42" t="n">
        <f aca="false">J1788*K1788</f>
        <v>148.5</v>
      </c>
      <c r="M1788" s="43" t="n">
        <f aca="false">H1788*49.43*(1+'Chart of Accounts'!$E$67)</f>
        <v>50.937615</v>
      </c>
    </row>
    <row r="1789" customFormat="false" ht="15" hidden="false" customHeight="false" outlineLevel="0" collapsed="false">
      <c r="B1789" s="7" t="s">
        <v>2286</v>
      </c>
      <c r="C1789" s="39" t="n">
        <v>45749</v>
      </c>
      <c r="D1789" s="7" t="s">
        <v>395</v>
      </c>
      <c r="E1789" s="7" t="s">
        <v>156</v>
      </c>
      <c r="F1789" s="7" t="s">
        <v>242</v>
      </c>
      <c r="G1789" s="7" t="s">
        <v>505</v>
      </c>
      <c r="H1789" s="6" t="n">
        <v>3.87</v>
      </c>
      <c r="I1789" s="6" t="n">
        <v>0</v>
      </c>
      <c r="J1789" s="40" t="n">
        <f aca="false">H1789-I1789</f>
        <v>3.87</v>
      </c>
      <c r="K1789" s="41" t="n">
        <v>34</v>
      </c>
      <c r="L1789" s="42" t="n">
        <f aca="false">J1789*K1789</f>
        <v>131.58</v>
      </c>
      <c r="M1789" s="43" t="n">
        <f aca="false">H1789*17.99*(1+'Chart of Accounts'!$E$67)</f>
        <v>79.7163885</v>
      </c>
    </row>
    <row r="1790" customFormat="false" ht="15" hidden="false" customHeight="false" outlineLevel="0" collapsed="false">
      <c r="B1790" s="7" t="s">
        <v>2287</v>
      </c>
      <c r="C1790" s="39" t="n">
        <v>45749</v>
      </c>
      <c r="D1790" s="7" t="s">
        <v>399</v>
      </c>
      <c r="E1790" s="7" t="s">
        <v>154</v>
      </c>
      <c r="F1790" s="7" t="s">
        <v>262</v>
      </c>
      <c r="G1790" s="7" t="s">
        <v>505</v>
      </c>
      <c r="H1790" s="6" t="n">
        <v>3.19</v>
      </c>
      <c r="I1790" s="6" t="n">
        <v>0</v>
      </c>
      <c r="J1790" s="40" t="n">
        <f aca="false">H1790-I1790</f>
        <v>3.19</v>
      </c>
      <c r="K1790" s="41" t="n">
        <v>26.5</v>
      </c>
      <c r="L1790" s="42" t="n">
        <f aca="false">J1790*K1790</f>
        <v>84.535</v>
      </c>
      <c r="M1790" s="43" t="n">
        <f aca="false">H1790*16.02*(1+'Chart of Accounts'!$E$67)</f>
        <v>58.513851</v>
      </c>
    </row>
    <row r="1791" customFormat="false" ht="15" hidden="false" customHeight="false" outlineLevel="0" collapsed="false">
      <c r="B1791" s="7" t="s">
        <v>2288</v>
      </c>
      <c r="C1791" s="39" t="n">
        <v>45749</v>
      </c>
      <c r="D1791" s="7" t="s">
        <v>401</v>
      </c>
      <c r="E1791" s="7" t="s">
        <v>156</v>
      </c>
      <c r="F1791" s="7" t="s">
        <v>254</v>
      </c>
      <c r="G1791" s="7" t="s">
        <v>505</v>
      </c>
      <c r="H1791" s="6" t="n">
        <v>4.06</v>
      </c>
      <c r="I1791" s="6" t="n">
        <v>0</v>
      </c>
      <c r="J1791" s="40" t="n">
        <f aca="false">H1791-I1791</f>
        <v>4.06</v>
      </c>
      <c r="K1791" s="41" t="n">
        <v>34</v>
      </c>
      <c r="L1791" s="42" t="n">
        <f aca="false">J1791*K1791</f>
        <v>138.04</v>
      </c>
      <c r="M1791" s="43" t="n">
        <f aca="false">H1791*17.1*(1+'Chart of Accounts'!$E$67)</f>
        <v>79.49277</v>
      </c>
    </row>
    <row r="1792" customFormat="false" ht="15" hidden="false" customHeight="false" outlineLevel="0" collapsed="false">
      <c r="B1792" s="7" t="s">
        <v>2289</v>
      </c>
      <c r="C1792" s="39" t="n">
        <v>45749</v>
      </c>
      <c r="D1792" s="7" t="s">
        <v>409</v>
      </c>
      <c r="E1792" s="7" t="s">
        <v>154</v>
      </c>
      <c r="F1792" s="7" t="s">
        <v>214</v>
      </c>
      <c r="G1792" s="7" t="s">
        <v>505</v>
      </c>
      <c r="H1792" s="6" t="n">
        <v>3.6</v>
      </c>
      <c r="I1792" s="6" t="n">
        <v>0</v>
      </c>
      <c r="J1792" s="40" t="n">
        <f aca="false">H1792-I1792</f>
        <v>3.6</v>
      </c>
      <c r="K1792" s="41" t="n">
        <v>26.5</v>
      </c>
      <c r="L1792" s="42" t="n">
        <f aca="false">J1792*K1792</f>
        <v>95.4</v>
      </c>
      <c r="M1792" s="43" t="n">
        <f aca="false">H1792*15.67*(1+'Chart of Accounts'!$E$67)</f>
        <v>64.59174</v>
      </c>
    </row>
    <row r="1793" customFormat="false" ht="15" hidden="false" customHeight="false" outlineLevel="0" collapsed="false">
      <c r="B1793" s="7" t="s">
        <v>2290</v>
      </c>
      <c r="C1793" s="39" t="n">
        <v>45749</v>
      </c>
      <c r="D1793" s="7" t="s">
        <v>411</v>
      </c>
      <c r="E1793" s="7" t="s">
        <v>154</v>
      </c>
      <c r="F1793" s="7" t="s">
        <v>177</v>
      </c>
      <c r="G1793" s="7" t="s">
        <v>505</v>
      </c>
      <c r="H1793" s="6" t="n">
        <v>4.88</v>
      </c>
      <c r="I1793" s="6" t="n">
        <v>0.146</v>
      </c>
      <c r="J1793" s="40" t="n">
        <f aca="false">H1793-I1793</f>
        <v>4.734</v>
      </c>
      <c r="K1793" s="41" t="n">
        <v>26.5</v>
      </c>
      <c r="L1793" s="42" t="n">
        <f aca="false">J1793*K1793</f>
        <v>125.451</v>
      </c>
      <c r="M1793" s="43" t="n">
        <f aca="false">H1793*14.56*(1+'Chart of Accounts'!$E$67)</f>
        <v>81.355456</v>
      </c>
    </row>
    <row r="1794" customFormat="false" ht="15" hidden="false" customHeight="false" outlineLevel="0" collapsed="false">
      <c r="B1794" s="7" t="s">
        <v>2291</v>
      </c>
      <c r="C1794" s="39" t="n">
        <v>45750</v>
      </c>
      <c r="D1794" s="7" t="s">
        <v>288</v>
      </c>
      <c r="E1794" s="7" t="s">
        <v>156</v>
      </c>
      <c r="F1794" s="7" t="s">
        <v>191</v>
      </c>
      <c r="G1794" s="7" t="s">
        <v>505</v>
      </c>
      <c r="H1794" s="6" t="n">
        <v>4.04</v>
      </c>
      <c r="I1794" s="6" t="n">
        <v>0</v>
      </c>
      <c r="J1794" s="40" t="n">
        <f aca="false">H1794-I1794</f>
        <v>4.04</v>
      </c>
      <c r="K1794" s="41" t="n">
        <v>34</v>
      </c>
      <c r="L1794" s="42" t="n">
        <f aca="false">J1794*K1794</f>
        <v>137.36</v>
      </c>
      <c r="M1794" s="43" t="n">
        <f aca="false">H1794*16.05*(1+'Chart of Accounts'!$E$67)</f>
        <v>74.24409</v>
      </c>
    </row>
    <row r="1795" customFormat="false" ht="15" hidden="false" customHeight="false" outlineLevel="0" collapsed="false">
      <c r="B1795" s="7" t="s">
        <v>2292</v>
      </c>
      <c r="C1795" s="39" t="n">
        <v>45750</v>
      </c>
      <c r="D1795" s="7" t="s">
        <v>297</v>
      </c>
      <c r="E1795" s="7" t="s">
        <v>156</v>
      </c>
      <c r="F1795" s="7" t="s">
        <v>201</v>
      </c>
      <c r="G1795" s="7" t="s">
        <v>505</v>
      </c>
      <c r="H1795" s="6" t="n">
        <v>3.2</v>
      </c>
      <c r="I1795" s="6" t="n">
        <v>0</v>
      </c>
      <c r="J1795" s="40" t="n">
        <f aca="false">H1795-I1795</f>
        <v>3.2</v>
      </c>
      <c r="K1795" s="41" t="n">
        <v>34</v>
      </c>
      <c r="L1795" s="42" t="n">
        <f aca="false">J1795*K1795</f>
        <v>108.8</v>
      </c>
      <c r="M1795" s="43" t="n">
        <f aca="false">H1795*15.19*(1+'Chart of Accounts'!$E$67)</f>
        <v>55.65616</v>
      </c>
    </row>
    <row r="1796" customFormat="false" ht="15" hidden="false" customHeight="false" outlineLevel="0" collapsed="false">
      <c r="B1796" s="7" t="s">
        <v>2293</v>
      </c>
      <c r="C1796" s="39" t="n">
        <v>45750</v>
      </c>
      <c r="D1796" s="7" t="s">
        <v>311</v>
      </c>
      <c r="E1796" s="7" t="s">
        <v>154</v>
      </c>
      <c r="F1796" s="7" t="s">
        <v>196</v>
      </c>
      <c r="G1796" s="7" t="s">
        <v>505</v>
      </c>
      <c r="H1796" s="6" t="n">
        <v>2.73</v>
      </c>
      <c r="I1796" s="6" t="n">
        <v>0</v>
      </c>
      <c r="J1796" s="40" t="n">
        <f aca="false">H1796-I1796</f>
        <v>2.73</v>
      </c>
      <c r="K1796" s="41" t="n">
        <v>26.5</v>
      </c>
      <c r="L1796" s="42" t="n">
        <f aca="false">J1796*K1796</f>
        <v>72.345</v>
      </c>
      <c r="M1796" s="43" t="n">
        <f aca="false">H1796*15.05*(1+'Chart of Accounts'!$E$67)</f>
        <v>47.0440425</v>
      </c>
    </row>
    <row r="1797" customFormat="false" ht="15" hidden="false" customHeight="false" outlineLevel="0" collapsed="false">
      <c r="B1797" s="7" t="s">
        <v>2294</v>
      </c>
      <c r="C1797" s="39" t="n">
        <v>45750</v>
      </c>
      <c r="D1797" s="7" t="s">
        <v>313</v>
      </c>
      <c r="E1797" s="7" t="s">
        <v>156</v>
      </c>
      <c r="F1797" s="7" t="s">
        <v>184</v>
      </c>
      <c r="G1797" s="7" t="s">
        <v>505</v>
      </c>
      <c r="H1797" s="6" t="n">
        <v>3.78</v>
      </c>
      <c r="I1797" s="6" t="n">
        <v>0</v>
      </c>
      <c r="J1797" s="40" t="n">
        <f aca="false">H1797-I1797</f>
        <v>3.78</v>
      </c>
      <c r="K1797" s="41" t="n">
        <v>34</v>
      </c>
      <c r="L1797" s="42" t="n">
        <f aca="false">J1797*K1797</f>
        <v>128.52</v>
      </c>
      <c r="M1797" s="43" t="n">
        <f aca="false">H1797*17.34*(1+'Chart of Accounts'!$E$67)</f>
        <v>75.049254</v>
      </c>
    </row>
    <row r="1798" customFormat="false" ht="15" hidden="false" customHeight="false" outlineLevel="0" collapsed="false">
      <c r="B1798" s="7" t="s">
        <v>2295</v>
      </c>
      <c r="C1798" s="39" t="n">
        <v>45750</v>
      </c>
      <c r="D1798" s="7" t="s">
        <v>317</v>
      </c>
      <c r="E1798" s="7" t="s">
        <v>156</v>
      </c>
      <c r="F1798" s="7" t="s">
        <v>207</v>
      </c>
      <c r="G1798" s="7" t="s">
        <v>505</v>
      </c>
      <c r="H1798" s="6" t="n">
        <v>2.71</v>
      </c>
      <c r="I1798" s="6" t="n">
        <v>0</v>
      </c>
      <c r="J1798" s="40" t="n">
        <f aca="false">H1798-I1798</f>
        <v>2.71</v>
      </c>
      <c r="K1798" s="41" t="n">
        <v>34</v>
      </c>
      <c r="L1798" s="42" t="n">
        <f aca="false">J1798*K1798</f>
        <v>92.14</v>
      </c>
      <c r="M1798" s="43" t="n">
        <f aca="false">H1798*16.65*(1+'Chart of Accounts'!$E$67)</f>
        <v>51.6641175</v>
      </c>
    </row>
    <row r="1799" customFormat="false" ht="15" hidden="false" customHeight="false" outlineLevel="0" collapsed="false">
      <c r="B1799" s="7" t="s">
        <v>2296</v>
      </c>
      <c r="C1799" s="39" t="n">
        <v>45750</v>
      </c>
      <c r="D1799" s="7" t="s">
        <v>321</v>
      </c>
      <c r="E1799" s="7" t="s">
        <v>154</v>
      </c>
      <c r="F1799" s="7" t="s">
        <v>218</v>
      </c>
      <c r="G1799" s="7" t="s">
        <v>505</v>
      </c>
      <c r="H1799" s="6" t="n">
        <v>4.14</v>
      </c>
      <c r="I1799" s="6" t="n">
        <v>0</v>
      </c>
      <c r="J1799" s="40" t="n">
        <f aca="false">H1799-I1799</f>
        <v>4.14</v>
      </c>
      <c r="K1799" s="41" t="n">
        <v>26.5</v>
      </c>
      <c r="L1799" s="42" t="n">
        <f aca="false">J1799*K1799</f>
        <v>109.71</v>
      </c>
      <c r="M1799" s="43" t="n">
        <f aca="false">H1799*16.19*(1+'Chart of Accounts'!$E$67)</f>
        <v>76.745457</v>
      </c>
    </row>
    <row r="1800" customFormat="false" ht="15" hidden="false" customHeight="false" outlineLevel="0" collapsed="false">
      <c r="B1800" s="7" t="s">
        <v>2297</v>
      </c>
      <c r="C1800" s="39" t="n">
        <v>45750</v>
      </c>
      <c r="D1800" s="7" t="s">
        <v>325</v>
      </c>
      <c r="E1800" s="7" t="s">
        <v>154</v>
      </c>
      <c r="F1800" s="7" t="s">
        <v>212</v>
      </c>
      <c r="G1800" s="7" t="s">
        <v>505</v>
      </c>
      <c r="H1800" s="6" t="n">
        <v>2.82</v>
      </c>
      <c r="I1800" s="6" t="n">
        <v>0</v>
      </c>
      <c r="J1800" s="40" t="n">
        <f aca="false">H1800-I1800</f>
        <v>2.82</v>
      </c>
      <c r="K1800" s="41" t="n">
        <v>26.5</v>
      </c>
      <c r="L1800" s="42" t="n">
        <f aca="false">J1800*K1800</f>
        <v>74.73</v>
      </c>
      <c r="M1800" s="43" t="n">
        <f aca="false">H1800*16.71*(1+'Chart of Accounts'!$E$67)</f>
        <v>53.954919</v>
      </c>
    </row>
    <row r="1801" customFormat="false" ht="15" hidden="false" customHeight="false" outlineLevel="0" collapsed="false">
      <c r="B1801" s="7" t="s">
        <v>2298</v>
      </c>
      <c r="C1801" s="39" t="n">
        <v>45750</v>
      </c>
      <c r="D1801" s="7" t="s">
        <v>329</v>
      </c>
      <c r="E1801" s="7" t="s">
        <v>156</v>
      </c>
      <c r="F1801" s="7" t="s">
        <v>220</v>
      </c>
      <c r="G1801" s="7" t="s">
        <v>505</v>
      </c>
      <c r="H1801" s="6" t="n">
        <v>4.35</v>
      </c>
      <c r="I1801" s="6" t="n">
        <v>0</v>
      </c>
      <c r="J1801" s="40" t="n">
        <f aca="false">H1801-I1801</f>
        <v>4.35</v>
      </c>
      <c r="K1801" s="41" t="n">
        <v>34</v>
      </c>
      <c r="L1801" s="42" t="n">
        <f aca="false">J1801*K1801</f>
        <v>147.9</v>
      </c>
      <c r="M1801" s="43" t="n">
        <f aca="false">H1801*16.43*(1+'Chart of Accounts'!$E$67)</f>
        <v>81.8337225</v>
      </c>
    </row>
    <row r="1802" customFormat="false" ht="15" hidden="false" customHeight="false" outlineLevel="0" collapsed="false">
      <c r="B1802" s="7" t="s">
        <v>2299</v>
      </c>
      <c r="C1802" s="39" t="n">
        <v>45750</v>
      </c>
      <c r="D1802" s="7" t="s">
        <v>331</v>
      </c>
      <c r="E1802" s="7" t="s">
        <v>156</v>
      </c>
      <c r="F1802" s="7" t="s">
        <v>224</v>
      </c>
      <c r="G1802" s="7" t="s">
        <v>505</v>
      </c>
      <c r="H1802" s="6" t="n">
        <v>3.72</v>
      </c>
      <c r="I1802" s="6" t="n">
        <v>0</v>
      </c>
      <c r="J1802" s="40" t="n">
        <f aca="false">H1802-I1802</f>
        <v>3.72</v>
      </c>
      <c r="K1802" s="41" t="n">
        <v>34</v>
      </c>
      <c r="L1802" s="42" t="n">
        <f aca="false">J1802*K1802</f>
        <v>126.48</v>
      </c>
      <c r="M1802" s="43" t="n">
        <f aca="false">H1802*14.93*(1+'Chart of Accounts'!$E$67)</f>
        <v>63.592842</v>
      </c>
    </row>
    <row r="1803" customFormat="false" ht="15" hidden="false" customHeight="false" outlineLevel="0" collapsed="false">
      <c r="B1803" s="7" t="s">
        <v>2300</v>
      </c>
      <c r="C1803" s="39" t="n">
        <v>45750</v>
      </c>
      <c r="D1803" s="7" t="s">
        <v>337</v>
      </c>
      <c r="E1803" s="7" t="s">
        <v>154</v>
      </c>
      <c r="F1803" s="7" t="s">
        <v>232</v>
      </c>
      <c r="G1803" s="7" t="s">
        <v>505</v>
      </c>
      <c r="H1803" s="6" t="n">
        <v>2.92</v>
      </c>
      <c r="I1803" s="6" t="n">
        <v>0</v>
      </c>
      <c r="J1803" s="40" t="n">
        <f aca="false">H1803-I1803</f>
        <v>2.92</v>
      </c>
      <c r="K1803" s="41" t="n">
        <v>26.5</v>
      </c>
      <c r="L1803" s="42" t="n">
        <f aca="false">J1803*K1803</f>
        <v>77.38</v>
      </c>
      <c r="M1803" s="43" t="n">
        <f aca="false">H1803*16.17*(1+'Chart of Accounts'!$E$67)</f>
        <v>54.062778</v>
      </c>
    </row>
    <row r="1804" customFormat="false" ht="15" hidden="false" customHeight="false" outlineLevel="0" collapsed="false">
      <c r="B1804" s="7" t="s">
        <v>2301</v>
      </c>
      <c r="C1804" s="39" t="n">
        <v>45750</v>
      </c>
      <c r="D1804" s="7" t="s">
        <v>341</v>
      </c>
      <c r="E1804" s="7" t="s">
        <v>156</v>
      </c>
      <c r="F1804" s="7" t="s">
        <v>222</v>
      </c>
      <c r="G1804" s="7" t="s">
        <v>505</v>
      </c>
      <c r="H1804" s="6" t="n">
        <v>3.29</v>
      </c>
      <c r="I1804" s="6" t="n">
        <v>0</v>
      </c>
      <c r="J1804" s="40" t="n">
        <f aca="false">H1804-I1804</f>
        <v>3.29</v>
      </c>
      <c r="K1804" s="41" t="n">
        <v>34</v>
      </c>
      <c r="L1804" s="42" t="n">
        <f aca="false">J1804*K1804</f>
        <v>111.86</v>
      </c>
      <c r="M1804" s="43" t="n">
        <f aca="false">H1804*17.84*(1+'Chart of Accounts'!$E$67)</f>
        <v>67.204172</v>
      </c>
    </row>
    <row r="1805" customFormat="false" ht="15" hidden="false" customHeight="false" outlineLevel="0" collapsed="false">
      <c r="B1805" s="7" t="s">
        <v>2302</v>
      </c>
      <c r="C1805" s="39" t="n">
        <v>45750</v>
      </c>
      <c r="D1805" s="7" t="s">
        <v>343</v>
      </c>
      <c r="E1805" s="7" t="s">
        <v>154</v>
      </c>
      <c r="F1805" s="7" t="s">
        <v>262</v>
      </c>
      <c r="G1805" s="7" t="s">
        <v>505</v>
      </c>
      <c r="H1805" s="6" t="n">
        <v>4.18</v>
      </c>
      <c r="I1805" s="6" t="n">
        <v>0</v>
      </c>
      <c r="J1805" s="40" t="n">
        <f aca="false">H1805-I1805</f>
        <v>4.18</v>
      </c>
      <c r="K1805" s="41" t="n">
        <v>26.5</v>
      </c>
      <c r="L1805" s="42" t="n">
        <f aca="false">J1805*K1805</f>
        <v>110.77</v>
      </c>
      <c r="M1805" s="43" t="n">
        <f aca="false">H1805*16.02*(1+'Chart of Accounts'!$E$67)</f>
        <v>76.673322</v>
      </c>
    </row>
    <row r="1806" customFormat="false" ht="15" hidden="false" customHeight="false" outlineLevel="0" collapsed="false">
      <c r="B1806" s="7" t="s">
        <v>2303</v>
      </c>
      <c r="C1806" s="39" t="n">
        <v>45750</v>
      </c>
      <c r="D1806" s="7" t="s">
        <v>359</v>
      </c>
      <c r="E1806" s="7" t="s">
        <v>156</v>
      </c>
      <c r="F1806" s="7" t="s">
        <v>212</v>
      </c>
      <c r="G1806" s="7" t="s">
        <v>505</v>
      </c>
      <c r="H1806" s="6" t="n">
        <v>4.24</v>
      </c>
      <c r="I1806" s="6" t="n">
        <v>0</v>
      </c>
      <c r="J1806" s="40" t="n">
        <f aca="false">H1806-I1806</f>
        <v>4.24</v>
      </c>
      <c r="K1806" s="41" t="n">
        <v>34</v>
      </c>
      <c r="L1806" s="42" t="n">
        <f aca="false">J1806*K1806</f>
        <v>144.16</v>
      </c>
      <c r="M1806" s="43" t="n">
        <f aca="false">H1806*16.71*(1+'Chart of Accounts'!$E$67)</f>
        <v>81.123708</v>
      </c>
    </row>
    <row r="1807" customFormat="false" ht="15" hidden="false" customHeight="false" outlineLevel="0" collapsed="false">
      <c r="B1807" s="7" t="s">
        <v>2304</v>
      </c>
      <c r="C1807" s="39" t="n">
        <v>45750</v>
      </c>
      <c r="D1807" s="7" t="s">
        <v>363</v>
      </c>
      <c r="E1807" s="7" t="s">
        <v>156</v>
      </c>
      <c r="F1807" s="7" t="s">
        <v>246</v>
      </c>
      <c r="G1807" s="7" t="s">
        <v>505</v>
      </c>
      <c r="H1807" s="6" t="n">
        <v>4.38</v>
      </c>
      <c r="I1807" s="6" t="n">
        <v>0</v>
      </c>
      <c r="J1807" s="40" t="n">
        <f aca="false">H1807-I1807</f>
        <v>4.38</v>
      </c>
      <c r="K1807" s="41" t="n">
        <v>34</v>
      </c>
      <c r="L1807" s="42" t="n">
        <f aca="false">J1807*K1807</f>
        <v>148.92</v>
      </c>
      <c r="M1807" s="43" t="n">
        <f aca="false">H1807*16.48*(1+'Chart of Accounts'!$E$67)</f>
        <v>82.648848</v>
      </c>
    </row>
    <row r="1808" customFormat="false" ht="15" hidden="false" customHeight="false" outlineLevel="0" collapsed="false">
      <c r="B1808" s="7" t="s">
        <v>2305</v>
      </c>
      <c r="C1808" s="39" t="n">
        <v>45750</v>
      </c>
      <c r="D1808" s="7" t="s">
        <v>375</v>
      </c>
      <c r="E1808" s="7" t="s">
        <v>156</v>
      </c>
      <c r="F1808" s="7" t="s">
        <v>196</v>
      </c>
      <c r="G1808" s="7" t="s">
        <v>505</v>
      </c>
      <c r="H1808" s="6" t="n">
        <v>2.78</v>
      </c>
      <c r="I1808" s="6" t="n">
        <v>0</v>
      </c>
      <c r="J1808" s="40" t="n">
        <f aca="false">H1808-I1808</f>
        <v>2.78</v>
      </c>
      <c r="K1808" s="41" t="n">
        <v>34</v>
      </c>
      <c r="L1808" s="42" t="n">
        <f aca="false">J1808*K1808</f>
        <v>94.52</v>
      </c>
      <c r="M1808" s="43" t="n">
        <f aca="false">H1808*15.05*(1+'Chart of Accounts'!$E$67)</f>
        <v>47.905655</v>
      </c>
    </row>
    <row r="1809" customFormat="false" ht="15" hidden="false" customHeight="false" outlineLevel="0" collapsed="false">
      <c r="B1809" s="7" t="s">
        <v>2306</v>
      </c>
      <c r="C1809" s="39" t="n">
        <v>45750</v>
      </c>
      <c r="D1809" s="7" t="s">
        <v>377</v>
      </c>
      <c r="E1809" s="7" t="s">
        <v>154</v>
      </c>
      <c r="F1809" s="7" t="s">
        <v>214</v>
      </c>
      <c r="G1809" s="7" t="s">
        <v>505</v>
      </c>
      <c r="H1809" s="6" t="n">
        <v>3.77</v>
      </c>
      <c r="I1809" s="6" t="n">
        <v>0</v>
      </c>
      <c r="J1809" s="40" t="n">
        <f aca="false">H1809-I1809</f>
        <v>3.77</v>
      </c>
      <c r="K1809" s="41" t="n">
        <v>26.5</v>
      </c>
      <c r="L1809" s="42" t="n">
        <f aca="false">J1809*K1809</f>
        <v>99.905</v>
      </c>
      <c r="M1809" s="43" t="n">
        <f aca="false">H1809*15.67*(1+'Chart of Accounts'!$E$67)</f>
        <v>67.6419055</v>
      </c>
    </row>
    <row r="1810" customFormat="false" ht="15" hidden="false" customHeight="false" outlineLevel="0" collapsed="false">
      <c r="B1810" s="7" t="s">
        <v>2307</v>
      </c>
      <c r="C1810" s="39" t="n">
        <v>45750</v>
      </c>
      <c r="D1810" s="7" t="s">
        <v>389</v>
      </c>
      <c r="E1810" s="7" t="s">
        <v>154</v>
      </c>
      <c r="F1810" s="7" t="s">
        <v>246</v>
      </c>
      <c r="G1810" s="7" t="s">
        <v>505</v>
      </c>
      <c r="H1810" s="6" t="n">
        <v>4.39</v>
      </c>
      <c r="I1810" s="6" t="n">
        <v>0</v>
      </c>
      <c r="J1810" s="40" t="n">
        <f aca="false">H1810-I1810</f>
        <v>4.39</v>
      </c>
      <c r="K1810" s="41" t="n">
        <v>26.5</v>
      </c>
      <c r="L1810" s="42" t="n">
        <f aca="false">J1810*K1810</f>
        <v>116.335</v>
      </c>
      <c r="M1810" s="43" t="n">
        <f aca="false">H1810*16.48*(1+'Chart of Accounts'!$E$67)</f>
        <v>82.837544</v>
      </c>
    </row>
    <row r="1811" customFormat="false" ht="15" hidden="false" customHeight="false" outlineLevel="0" collapsed="false">
      <c r="B1811" s="7" t="s">
        <v>2308</v>
      </c>
      <c r="C1811" s="39" t="n">
        <v>45750</v>
      </c>
      <c r="D1811" s="7" t="s">
        <v>391</v>
      </c>
      <c r="E1811" s="7" t="s">
        <v>156</v>
      </c>
      <c r="F1811" s="7" t="s">
        <v>222</v>
      </c>
      <c r="G1811" s="7" t="s">
        <v>505</v>
      </c>
      <c r="H1811" s="6" t="n">
        <v>4.2</v>
      </c>
      <c r="I1811" s="6" t="n">
        <v>0</v>
      </c>
      <c r="J1811" s="40" t="n">
        <f aca="false">H1811-I1811</f>
        <v>4.2</v>
      </c>
      <c r="K1811" s="41" t="n">
        <v>34</v>
      </c>
      <c r="L1811" s="42" t="n">
        <f aca="false">J1811*K1811</f>
        <v>142.8</v>
      </c>
      <c r="M1811" s="43" t="n">
        <f aca="false">H1811*17.84*(1+'Chart of Accounts'!$E$67)</f>
        <v>85.79256</v>
      </c>
    </row>
    <row r="1812" customFormat="false" ht="15" hidden="false" customHeight="false" outlineLevel="0" collapsed="false">
      <c r="B1812" s="7" t="s">
        <v>2309</v>
      </c>
      <c r="C1812" s="39" t="n">
        <v>45750</v>
      </c>
      <c r="D1812" s="7" t="s">
        <v>395</v>
      </c>
      <c r="E1812" s="7" t="s">
        <v>156</v>
      </c>
      <c r="F1812" s="7" t="s">
        <v>242</v>
      </c>
      <c r="G1812" s="7" t="s">
        <v>505</v>
      </c>
      <c r="H1812" s="6" t="n">
        <v>4.33</v>
      </c>
      <c r="I1812" s="6" t="n">
        <v>0</v>
      </c>
      <c r="J1812" s="40" t="n">
        <f aca="false">H1812-I1812</f>
        <v>4.33</v>
      </c>
      <c r="K1812" s="41" t="n">
        <v>34</v>
      </c>
      <c r="L1812" s="42" t="n">
        <f aca="false">J1812*K1812</f>
        <v>147.22</v>
      </c>
      <c r="M1812" s="43" t="n">
        <f aca="false">H1812*17.99*(1+'Chart of Accounts'!$E$67)</f>
        <v>89.1917215</v>
      </c>
    </row>
    <row r="1813" customFormat="false" ht="15" hidden="false" customHeight="false" outlineLevel="0" collapsed="false">
      <c r="B1813" s="7" t="s">
        <v>2310</v>
      </c>
      <c r="C1813" s="39" t="n">
        <v>45750</v>
      </c>
      <c r="D1813" s="7" t="s">
        <v>401</v>
      </c>
      <c r="E1813" s="7" t="s">
        <v>156</v>
      </c>
      <c r="F1813" s="7" t="s">
        <v>254</v>
      </c>
      <c r="G1813" s="7" t="s">
        <v>505</v>
      </c>
      <c r="H1813" s="6" t="n">
        <v>4.17</v>
      </c>
      <c r="I1813" s="6" t="n">
        <v>0</v>
      </c>
      <c r="J1813" s="40" t="n">
        <f aca="false">H1813-I1813</f>
        <v>4.17</v>
      </c>
      <c r="K1813" s="41" t="n">
        <v>34</v>
      </c>
      <c r="L1813" s="42" t="n">
        <f aca="false">J1813*K1813</f>
        <v>141.78</v>
      </c>
      <c r="M1813" s="43" t="n">
        <f aca="false">H1813*17.1*(1+'Chart of Accounts'!$E$67)</f>
        <v>81.646515</v>
      </c>
    </row>
    <row r="1814" customFormat="false" ht="15" hidden="false" customHeight="false" outlineLevel="0" collapsed="false">
      <c r="B1814" s="7" t="s">
        <v>2311</v>
      </c>
      <c r="C1814" s="39" t="n">
        <v>45751</v>
      </c>
      <c r="D1814" s="7" t="s">
        <v>280</v>
      </c>
      <c r="E1814" s="7" t="s">
        <v>157</v>
      </c>
      <c r="F1814" s="7" t="s">
        <v>187</v>
      </c>
      <c r="G1814" s="7" t="s">
        <v>502</v>
      </c>
      <c r="H1814" s="6" t="n">
        <v>0.94</v>
      </c>
      <c r="I1814" s="6" t="n">
        <v>0</v>
      </c>
      <c r="J1814" s="40" t="n">
        <f aca="false">H1814-I1814</f>
        <v>0.94</v>
      </c>
      <c r="K1814" s="41" t="n">
        <v>165</v>
      </c>
      <c r="L1814" s="42" t="n">
        <f aca="false">J1814*K1814</f>
        <v>155.1</v>
      </c>
      <c r="M1814" s="43" t="n">
        <f aca="false">H1814*66.48*(1+'Chart of Accounts'!$E$67)</f>
        <v>71.552424</v>
      </c>
    </row>
    <row r="1815" customFormat="false" ht="15" hidden="false" customHeight="false" outlineLevel="0" collapsed="false">
      <c r="B1815" s="7" t="s">
        <v>2312</v>
      </c>
      <c r="C1815" s="39" t="n">
        <v>45751</v>
      </c>
      <c r="D1815" s="7" t="s">
        <v>288</v>
      </c>
      <c r="E1815" s="7" t="s">
        <v>156</v>
      </c>
      <c r="F1815" s="7" t="s">
        <v>191</v>
      </c>
      <c r="G1815" s="7" t="s">
        <v>505</v>
      </c>
      <c r="H1815" s="6" t="n">
        <v>3.63</v>
      </c>
      <c r="I1815" s="6" t="n">
        <v>0</v>
      </c>
      <c r="J1815" s="40" t="n">
        <f aca="false">H1815-I1815</f>
        <v>3.63</v>
      </c>
      <c r="K1815" s="41" t="n">
        <v>34</v>
      </c>
      <c r="L1815" s="42" t="n">
        <f aca="false">J1815*K1815</f>
        <v>123.42</v>
      </c>
      <c r="M1815" s="43" t="n">
        <f aca="false">H1815*16.05*(1+'Chart of Accounts'!$E$67)</f>
        <v>66.7094175</v>
      </c>
    </row>
    <row r="1816" customFormat="false" ht="15" hidden="false" customHeight="false" outlineLevel="0" collapsed="false">
      <c r="B1816" s="7" t="s">
        <v>2313</v>
      </c>
      <c r="C1816" s="39" t="n">
        <v>45751</v>
      </c>
      <c r="D1816" s="7" t="s">
        <v>291</v>
      </c>
      <c r="E1816" s="7" t="s">
        <v>154</v>
      </c>
      <c r="F1816" s="7" t="s">
        <v>194</v>
      </c>
      <c r="G1816" s="7" t="s">
        <v>505</v>
      </c>
      <c r="H1816" s="6" t="n">
        <v>4.48</v>
      </c>
      <c r="I1816" s="6" t="n">
        <v>0</v>
      </c>
      <c r="J1816" s="40" t="n">
        <f aca="false">H1816-I1816</f>
        <v>4.48</v>
      </c>
      <c r="K1816" s="41" t="n">
        <v>26.5</v>
      </c>
      <c r="L1816" s="42" t="n">
        <f aca="false">J1816*K1816</f>
        <v>118.72</v>
      </c>
      <c r="M1816" s="43" t="n">
        <f aca="false">H1816*16*(1+'Chart of Accounts'!$E$67)</f>
        <v>82.0736</v>
      </c>
    </row>
    <row r="1817" customFormat="false" ht="15" hidden="false" customHeight="false" outlineLevel="0" collapsed="false">
      <c r="B1817" s="7" t="s">
        <v>2314</v>
      </c>
      <c r="C1817" s="39" t="n">
        <v>45751</v>
      </c>
      <c r="D1817" s="7" t="s">
        <v>305</v>
      </c>
      <c r="E1817" s="7" t="s">
        <v>154</v>
      </c>
      <c r="F1817" s="7" t="s">
        <v>205</v>
      </c>
      <c r="G1817" s="7" t="s">
        <v>505</v>
      </c>
      <c r="H1817" s="6" t="n">
        <v>3.84</v>
      </c>
      <c r="I1817" s="6" t="n">
        <v>0</v>
      </c>
      <c r="J1817" s="40" t="n">
        <f aca="false">H1817-I1817</f>
        <v>3.84</v>
      </c>
      <c r="K1817" s="41" t="n">
        <v>26.5</v>
      </c>
      <c r="L1817" s="42" t="n">
        <f aca="false">J1817*K1817</f>
        <v>101.76</v>
      </c>
      <c r="M1817" s="43" t="n">
        <f aca="false">H1817*16.36*(1+'Chart of Accounts'!$E$67)</f>
        <v>71.931648</v>
      </c>
    </row>
    <row r="1818" customFormat="false" ht="15" hidden="false" customHeight="false" outlineLevel="0" collapsed="false">
      <c r="B1818" s="7" t="s">
        <v>2315</v>
      </c>
      <c r="C1818" s="39" t="n">
        <v>45751</v>
      </c>
      <c r="D1818" s="7" t="s">
        <v>307</v>
      </c>
      <c r="E1818" s="7" t="s">
        <v>157</v>
      </c>
      <c r="F1818" s="7" t="s">
        <v>264</v>
      </c>
      <c r="G1818" s="7" t="s">
        <v>502</v>
      </c>
      <c r="H1818" s="6" t="n">
        <v>0.92</v>
      </c>
      <c r="I1818" s="6" t="n">
        <v>0</v>
      </c>
      <c r="J1818" s="40" t="n">
        <f aca="false">H1818-I1818</f>
        <v>0.92</v>
      </c>
      <c r="K1818" s="41" t="n">
        <v>165</v>
      </c>
      <c r="L1818" s="42" t="n">
        <f aca="false">J1818*K1818</f>
        <v>151.8</v>
      </c>
      <c r="M1818" s="43" t="n">
        <f aca="false">H1818*55.55*(1+'Chart of Accounts'!$E$67)</f>
        <v>58.51637</v>
      </c>
    </row>
    <row r="1819" customFormat="false" ht="15" hidden="false" customHeight="false" outlineLevel="0" collapsed="false">
      <c r="B1819" s="7" t="s">
        <v>2316</v>
      </c>
      <c r="C1819" s="39" t="n">
        <v>45751</v>
      </c>
      <c r="D1819" s="7" t="s">
        <v>309</v>
      </c>
      <c r="E1819" s="7" t="s">
        <v>159</v>
      </c>
      <c r="F1819" s="7" t="s">
        <v>252</v>
      </c>
      <c r="G1819" s="7" t="s">
        <v>502</v>
      </c>
      <c r="H1819" s="6" t="n">
        <v>0.94</v>
      </c>
      <c r="I1819" s="6" t="n">
        <v>0</v>
      </c>
      <c r="J1819" s="40" t="n">
        <f aca="false">H1819-I1819</f>
        <v>0.94</v>
      </c>
      <c r="K1819" s="41" t="n">
        <v>135</v>
      </c>
      <c r="L1819" s="42" t="n">
        <f aca="false">J1819*K1819</f>
        <v>126.9</v>
      </c>
      <c r="M1819" s="43" t="n">
        <f aca="false">H1819*57.54*(1+'Chart of Accounts'!$E$67)</f>
        <v>61.930302</v>
      </c>
    </row>
    <row r="1820" customFormat="false" ht="15" hidden="false" customHeight="false" outlineLevel="0" collapsed="false">
      <c r="B1820" s="7" t="s">
        <v>2317</v>
      </c>
      <c r="C1820" s="39" t="n">
        <v>45751</v>
      </c>
      <c r="D1820" s="7" t="s">
        <v>313</v>
      </c>
      <c r="E1820" s="7" t="s">
        <v>156</v>
      </c>
      <c r="F1820" s="7" t="s">
        <v>184</v>
      </c>
      <c r="G1820" s="7" t="s">
        <v>505</v>
      </c>
      <c r="H1820" s="6" t="n">
        <v>3.62</v>
      </c>
      <c r="I1820" s="6" t="n">
        <v>0</v>
      </c>
      <c r="J1820" s="40" t="n">
        <f aca="false">H1820-I1820</f>
        <v>3.62</v>
      </c>
      <c r="K1820" s="41" t="n">
        <v>34</v>
      </c>
      <c r="L1820" s="42" t="n">
        <f aca="false">J1820*K1820</f>
        <v>123.08</v>
      </c>
      <c r="M1820" s="43" t="n">
        <f aca="false">H1820*17.34*(1+'Chart of Accounts'!$E$67)</f>
        <v>71.872566</v>
      </c>
    </row>
    <row r="1821" customFormat="false" ht="15" hidden="false" customHeight="false" outlineLevel="0" collapsed="false">
      <c r="B1821" s="7" t="s">
        <v>2318</v>
      </c>
      <c r="C1821" s="39" t="n">
        <v>45751</v>
      </c>
      <c r="D1821" s="7" t="s">
        <v>319</v>
      </c>
      <c r="E1821" s="7" t="s">
        <v>157</v>
      </c>
      <c r="F1821" s="7" t="s">
        <v>234</v>
      </c>
      <c r="G1821" s="7" t="s">
        <v>502</v>
      </c>
      <c r="H1821" s="6" t="n">
        <v>1.09</v>
      </c>
      <c r="I1821" s="6" t="n">
        <v>0</v>
      </c>
      <c r="J1821" s="40" t="n">
        <f aca="false">H1821-I1821</f>
        <v>1.09</v>
      </c>
      <c r="K1821" s="41" t="n">
        <v>165</v>
      </c>
      <c r="L1821" s="42" t="n">
        <f aca="false">J1821*K1821</f>
        <v>179.85</v>
      </c>
      <c r="M1821" s="43" t="n">
        <f aca="false">H1821*89.53*(1+'Chart of Accounts'!$E$67)</f>
        <v>111.7379165</v>
      </c>
    </row>
    <row r="1822" customFormat="false" ht="15" hidden="false" customHeight="false" outlineLevel="0" collapsed="false">
      <c r="B1822" s="7" t="s">
        <v>2319</v>
      </c>
      <c r="C1822" s="39" t="n">
        <v>45751</v>
      </c>
      <c r="D1822" s="7" t="s">
        <v>321</v>
      </c>
      <c r="E1822" s="7" t="s">
        <v>154</v>
      </c>
      <c r="F1822" s="7" t="s">
        <v>218</v>
      </c>
      <c r="G1822" s="7" t="s">
        <v>505</v>
      </c>
      <c r="H1822" s="6" t="n">
        <v>3.98</v>
      </c>
      <c r="I1822" s="6" t="n">
        <v>0</v>
      </c>
      <c r="J1822" s="40" t="n">
        <f aca="false">H1822-I1822</f>
        <v>3.98</v>
      </c>
      <c r="K1822" s="41" t="n">
        <v>26.5</v>
      </c>
      <c r="L1822" s="42" t="n">
        <f aca="false">J1822*K1822</f>
        <v>105.47</v>
      </c>
      <c r="M1822" s="43" t="n">
        <f aca="false">H1822*16.19*(1+'Chart of Accounts'!$E$67)</f>
        <v>73.779449</v>
      </c>
    </row>
    <row r="1823" customFormat="false" ht="15" hidden="false" customHeight="false" outlineLevel="0" collapsed="false">
      <c r="B1823" s="7" t="s">
        <v>2320</v>
      </c>
      <c r="C1823" s="39" t="n">
        <v>45751</v>
      </c>
      <c r="D1823" s="7" t="s">
        <v>323</v>
      </c>
      <c r="E1823" s="7" t="s">
        <v>159</v>
      </c>
      <c r="F1823" s="7" t="s">
        <v>266</v>
      </c>
      <c r="G1823" s="7" t="s">
        <v>502</v>
      </c>
      <c r="H1823" s="6" t="n">
        <v>1.04</v>
      </c>
      <c r="I1823" s="6" t="n">
        <v>0</v>
      </c>
      <c r="J1823" s="40" t="n">
        <f aca="false">H1823-I1823</f>
        <v>1.04</v>
      </c>
      <c r="K1823" s="41" t="n">
        <v>135</v>
      </c>
      <c r="L1823" s="42" t="n">
        <f aca="false">J1823*K1823</f>
        <v>140.4</v>
      </c>
      <c r="M1823" s="43" t="n">
        <f aca="false">H1823*75.18*(1+'Chart of Accounts'!$E$67)</f>
        <v>89.524344</v>
      </c>
    </row>
    <row r="1824" customFormat="false" ht="15" hidden="false" customHeight="false" outlineLevel="0" collapsed="false">
      <c r="B1824" s="7" t="s">
        <v>2321</v>
      </c>
      <c r="C1824" s="39" t="n">
        <v>45751</v>
      </c>
      <c r="D1824" s="7" t="s">
        <v>327</v>
      </c>
      <c r="E1824" s="7" t="s">
        <v>157</v>
      </c>
      <c r="F1824" s="7" t="s">
        <v>228</v>
      </c>
      <c r="G1824" s="7" t="s">
        <v>502</v>
      </c>
      <c r="H1824" s="6" t="n">
        <v>0.97</v>
      </c>
      <c r="I1824" s="6" t="n">
        <v>0.049</v>
      </c>
      <c r="J1824" s="40" t="n">
        <f aca="false">H1824-I1824</f>
        <v>0.921</v>
      </c>
      <c r="K1824" s="41" t="n">
        <v>165</v>
      </c>
      <c r="L1824" s="42" t="n">
        <f aca="false">J1824*K1824</f>
        <v>151.965</v>
      </c>
      <c r="M1824" s="43" t="n">
        <f aca="false">H1824*51.07*(1+'Chart of Accounts'!$E$67)</f>
        <v>56.7208955</v>
      </c>
    </row>
    <row r="1825" customFormat="false" ht="15" hidden="false" customHeight="false" outlineLevel="0" collapsed="false">
      <c r="B1825" s="7" t="s">
        <v>2322</v>
      </c>
      <c r="C1825" s="39" t="n">
        <v>45751</v>
      </c>
      <c r="D1825" s="7" t="s">
        <v>329</v>
      </c>
      <c r="E1825" s="7" t="s">
        <v>156</v>
      </c>
      <c r="F1825" s="7" t="s">
        <v>220</v>
      </c>
      <c r="G1825" s="7" t="s">
        <v>505</v>
      </c>
      <c r="H1825" s="6" t="n">
        <v>3.81</v>
      </c>
      <c r="I1825" s="6" t="n">
        <v>0</v>
      </c>
      <c r="J1825" s="40" t="n">
        <f aca="false">H1825-I1825</f>
        <v>3.81</v>
      </c>
      <c r="K1825" s="41" t="n">
        <v>34</v>
      </c>
      <c r="L1825" s="42" t="n">
        <f aca="false">J1825*K1825</f>
        <v>129.54</v>
      </c>
      <c r="M1825" s="43" t="n">
        <f aca="false">H1825*16.43*(1+'Chart of Accounts'!$E$67)</f>
        <v>71.6750535</v>
      </c>
    </row>
    <row r="1826" customFormat="false" ht="15" hidden="false" customHeight="false" outlineLevel="0" collapsed="false">
      <c r="B1826" s="7" t="s">
        <v>2323</v>
      </c>
      <c r="C1826" s="39" t="n">
        <v>45751</v>
      </c>
      <c r="D1826" s="7" t="s">
        <v>335</v>
      </c>
      <c r="E1826" s="7" t="s">
        <v>154</v>
      </c>
      <c r="F1826" s="7" t="s">
        <v>177</v>
      </c>
      <c r="G1826" s="7" t="s">
        <v>505</v>
      </c>
      <c r="H1826" s="6" t="n">
        <v>3.97</v>
      </c>
      <c r="I1826" s="6" t="n">
        <v>0</v>
      </c>
      <c r="J1826" s="40" t="n">
        <f aca="false">H1826-I1826</f>
        <v>3.97</v>
      </c>
      <c r="K1826" s="41" t="n">
        <v>26.5</v>
      </c>
      <c r="L1826" s="42" t="n">
        <f aca="false">J1826*K1826</f>
        <v>105.205</v>
      </c>
      <c r="M1826" s="43" t="n">
        <f aca="false">H1826*14.56*(1+'Chart of Accounts'!$E$67)</f>
        <v>66.184664</v>
      </c>
    </row>
    <row r="1827" customFormat="false" ht="15" hidden="false" customHeight="false" outlineLevel="0" collapsed="false">
      <c r="B1827" s="7" t="s">
        <v>2324</v>
      </c>
      <c r="C1827" s="39" t="n">
        <v>45751</v>
      </c>
      <c r="D1827" s="7" t="s">
        <v>339</v>
      </c>
      <c r="E1827" s="7" t="s">
        <v>154</v>
      </c>
      <c r="F1827" s="7" t="s">
        <v>242</v>
      </c>
      <c r="G1827" s="7" t="s">
        <v>505</v>
      </c>
      <c r="H1827" s="6" t="n">
        <v>3.04</v>
      </c>
      <c r="I1827" s="6" t="n">
        <v>0</v>
      </c>
      <c r="J1827" s="40" t="n">
        <f aca="false">H1827-I1827</f>
        <v>3.04</v>
      </c>
      <c r="K1827" s="41" t="n">
        <v>26.5</v>
      </c>
      <c r="L1827" s="42" t="n">
        <f aca="false">J1827*K1827</f>
        <v>80.56</v>
      </c>
      <c r="M1827" s="43" t="n">
        <f aca="false">H1827*17.99*(1+'Chart of Accounts'!$E$67)</f>
        <v>62.619592</v>
      </c>
    </row>
    <row r="1828" customFormat="false" ht="15" hidden="false" customHeight="false" outlineLevel="0" collapsed="false">
      <c r="B1828" s="7" t="s">
        <v>2325</v>
      </c>
      <c r="C1828" s="39" t="n">
        <v>45751</v>
      </c>
      <c r="D1828" s="7" t="s">
        <v>353</v>
      </c>
      <c r="E1828" s="7" t="s">
        <v>154</v>
      </c>
      <c r="F1828" s="7" t="s">
        <v>254</v>
      </c>
      <c r="G1828" s="7" t="s">
        <v>505</v>
      </c>
      <c r="H1828" s="6" t="n">
        <v>3.64</v>
      </c>
      <c r="I1828" s="6" t="n">
        <v>0</v>
      </c>
      <c r="J1828" s="40" t="n">
        <f aca="false">H1828-I1828</f>
        <v>3.64</v>
      </c>
      <c r="K1828" s="41" t="n">
        <v>26.5</v>
      </c>
      <c r="L1828" s="42" t="n">
        <f aca="false">J1828*K1828</f>
        <v>96.46</v>
      </c>
      <c r="M1828" s="43" t="n">
        <f aca="false">H1828*17.1*(1+'Chart of Accounts'!$E$67)</f>
        <v>71.26938</v>
      </c>
    </row>
    <row r="1829" customFormat="false" ht="15" hidden="false" customHeight="false" outlineLevel="0" collapsed="false">
      <c r="B1829" s="7" t="s">
        <v>2326</v>
      </c>
      <c r="C1829" s="39" t="n">
        <v>45751</v>
      </c>
      <c r="D1829" s="7" t="s">
        <v>355</v>
      </c>
      <c r="E1829" s="7" t="s">
        <v>154</v>
      </c>
      <c r="F1829" s="7" t="s">
        <v>201</v>
      </c>
      <c r="G1829" s="7" t="s">
        <v>505</v>
      </c>
      <c r="H1829" s="6" t="n">
        <v>3.43</v>
      </c>
      <c r="I1829" s="6" t="n">
        <v>0</v>
      </c>
      <c r="J1829" s="40" t="n">
        <f aca="false">H1829-I1829</f>
        <v>3.43</v>
      </c>
      <c r="K1829" s="41" t="n">
        <v>26.5</v>
      </c>
      <c r="L1829" s="42" t="n">
        <f aca="false">J1829*K1829</f>
        <v>90.895</v>
      </c>
      <c r="M1829" s="43" t="n">
        <f aca="false">H1829*15.19*(1+'Chart of Accounts'!$E$67)</f>
        <v>59.6564465</v>
      </c>
    </row>
    <row r="1830" customFormat="false" ht="15" hidden="false" customHeight="false" outlineLevel="0" collapsed="false">
      <c r="B1830" s="7" t="s">
        <v>2327</v>
      </c>
      <c r="C1830" s="39" t="n">
        <v>45751</v>
      </c>
      <c r="D1830" s="7" t="s">
        <v>357</v>
      </c>
      <c r="E1830" s="7" t="s">
        <v>154</v>
      </c>
      <c r="F1830" s="7" t="s">
        <v>207</v>
      </c>
      <c r="G1830" s="7" t="s">
        <v>505</v>
      </c>
      <c r="H1830" s="6" t="n">
        <v>3.42</v>
      </c>
      <c r="I1830" s="6" t="n">
        <v>0</v>
      </c>
      <c r="J1830" s="40" t="n">
        <f aca="false">H1830-I1830</f>
        <v>3.42</v>
      </c>
      <c r="K1830" s="41" t="n">
        <v>26.5</v>
      </c>
      <c r="L1830" s="42" t="n">
        <f aca="false">J1830*K1830</f>
        <v>90.63</v>
      </c>
      <c r="M1830" s="43" t="n">
        <f aca="false">H1830*16.65*(1+'Chart of Accounts'!$E$67)</f>
        <v>65.199735</v>
      </c>
    </row>
    <row r="1831" customFormat="false" ht="15" hidden="false" customHeight="false" outlineLevel="0" collapsed="false">
      <c r="B1831" s="7" t="s">
        <v>2328</v>
      </c>
      <c r="C1831" s="39" t="n">
        <v>45751</v>
      </c>
      <c r="D1831" s="7" t="s">
        <v>359</v>
      </c>
      <c r="E1831" s="7" t="s">
        <v>156</v>
      </c>
      <c r="F1831" s="7" t="s">
        <v>212</v>
      </c>
      <c r="G1831" s="7" t="s">
        <v>505</v>
      </c>
      <c r="H1831" s="6" t="n">
        <v>3.73</v>
      </c>
      <c r="I1831" s="6" t="n">
        <v>0</v>
      </c>
      <c r="J1831" s="40" t="n">
        <f aca="false">H1831-I1831</f>
        <v>3.73</v>
      </c>
      <c r="K1831" s="41" t="n">
        <v>34</v>
      </c>
      <c r="L1831" s="42" t="n">
        <f aca="false">J1831*K1831</f>
        <v>126.82</v>
      </c>
      <c r="M1831" s="43" t="n">
        <f aca="false">H1831*16.71*(1+'Chart of Accounts'!$E$67)</f>
        <v>71.3659035</v>
      </c>
    </row>
    <row r="1832" customFormat="false" ht="15" hidden="false" customHeight="false" outlineLevel="0" collapsed="false">
      <c r="B1832" s="7" t="s">
        <v>2329</v>
      </c>
      <c r="C1832" s="39" t="n">
        <v>45751</v>
      </c>
      <c r="D1832" s="7" t="s">
        <v>361</v>
      </c>
      <c r="E1832" s="7" t="s">
        <v>157</v>
      </c>
      <c r="F1832" s="7" t="s">
        <v>209</v>
      </c>
      <c r="G1832" s="7" t="s">
        <v>502</v>
      </c>
      <c r="H1832" s="6" t="n">
        <v>1.07</v>
      </c>
      <c r="I1832" s="6" t="n">
        <v>0</v>
      </c>
      <c r="J1832" s="40" t="n">
        <f aca="false">H1832-I1832</f>
        <v>1.07</v>
      </c>
      <c r="K1832" s="41" t="n">
        <v>165</v>
      </c>
      <c r="L1832" s="42" t="n">
        <f aca="false">J1832*K1832</f>
        <v>176.55</v>
      </c>
      <c r="M1832" s="43" t="n">
        <f aca="false">H1832*73.58*(1+'Chart of Accounts'!$E$67)</f>
        <v>90.146537</v>
      </c>
    </row>
    <row r="1833" customFormat="false" ht="15" hidden="false" customHeight="false" outlineLevel="0" collapsed="false">
      <c r="B1833" s="7" t="s">
        <v>2330</v>
      </c>
      <c r="C1833" s="39" t="n">
        <v>45751</v>
      </c>
      <c r="D1833" s="7" t="s">
        <v>371</v>
      </c>
      <c r="E1833" s="7" t="s">
        <v>154</v>
      </c>
      <c r="F1833" s="7" t="s">
        <v>232</v>
      </c>
      <c r="G1833" s="7" t="s">
        <v>505</v>
      </c>
      <c r="H1833" s="6" t="n">
        <v>4.85</v>
      </c>
      <c r="I1833" s="6" t="n">
        <v>0</v>
      </c>
      <c r="J1833" s="40" t="n">
        <f aca="false">H1833-I1833</f>
        <v>4.85</v>
      </c>
      <c r="K1833" s="41" t="n">
        <v>26.5</v>
      </c>
      <c r="L1833" s="42" t="n">
        <f aca="false">J1833*K1833</f>
        <v>128.525</v>
      </c>
      <c r="M1833" s="43" t="n">
        <f aca="false">H1833*16.17*(1+'Chart of Accounts'!$E$67)</f>
        <v>89.7960525</v>
      </c>
    </row>
    <row r="1834" customFormat="false" ht="15" hidden="false" customHeight="false" outlineLevel="0" collapsed="false">
      <c r="B1834" s="7" t="s">
        <v>2331</v>
      </c>
      <c r="C1834" s="39" t="n">
        <v>45751</v>
      </c>
      <c r="D1834" s="7" t="s">
        <v>379</v>
      </c>
      <c r="E1834" s="7" t="s">
        <v>156</v>
      </c>
      <c r="F1834" s="7" t="s">
        <v>224</v>
      </c>
      <c r="G1834" s="7" t="s">
        <v>505</v>
      </c>
      <c r="H1834" s="6" t="n">
        <v>4.53</v>
      </c>
      <c r="I1834" s="6" t="n">
        <v>0</v>
      </c>
      <c r="J1834" s="40" t="n">
        <f aca="false">H1834-I1834</f>
        <v>4.53</v>
      </c>
      <c r="K1834" s="41" t="n">
        <v>34</v>
      </c>
      <c r="L1834" s="42" t="n">
        <f aca="false">J1834*K1834</f>
        <v>154.02</v>
      </c>
      <c r="M1834" s="43" t="n">
        <f aca="false">H1834*14.93*(1+'Chart of Accounts'!$E$67)</f>
        <v>77.4396705</v>
      </c>
    </row>
    <row r="1835" customFormat="false" ht="15" hidden="false" customHeight="false" outlineLevel="0" collapsed="false">
      <c r="B1835" s="7" t="s">
        <v>2332</v>
      </c>
      <c r="C1835" s="39" t="n">
        <v>45751</v>
      </c>
      <c r="D1835" s="7" t="s">
        <v>381</v>
      </c>
      <c r="E1835" s="7" t="s">
        <v>157</v>
      </c>
      <c r="F1835" s="7" t="s">
        <v>234</v>
      </c>
      <c r="G1835" s="7" t="s">
        <v>502</v>
      </c>
      <c r="H1835" s="6" t="n">
        <v>0.96</v>
      </c>
      <c r="I1835" s="6" t="n">
        <v>0</v>
      </c>
      <c r="J1835" s="40" t="n">
        <f aca="false">H1835-I1835</f>
        <v>0.96</v>
      </c>
      <c r="K1835" s="41" t="n">
        <v>165</v>
      </c>
      <c r="L1835" s="42" t="n">
        <f aca="false">J1835*K1835</f>
        <v>158.4</v>
      </c>
      <c r="M1835" s="43" t="n">
        <f aca="false">H1835*89.53*(1+'Chart of Accounts'!$E$67)</f>
        <v>98.411376</v>
      </c>
    </row>
    <row r="1836" customFormat="false" ht="15" hidden="false" customHeight="false" outlineLevel="0" collapsed="false">
      <c r="B1836" s="7" t="s">
        <v>2333</v>
      </c>
      <c r="C1836" s="39" t="n">
        <v>45751</v>
      </c>
      <c r="D1836" s="7" t="s">
        <v>389</v>
      </c>
      <c r="E1836" s="7" t="s">
        <v>154</v>
      </c>
      <c r="F1836" s="7" t="s">
        <v>246</v>
      </c>
      <c r="G1836" s="7" t="s">
        <v>505</v>
      </c>
      <c r="H1836" s="6" t="n">
        <v>4.34</v>
      </c>
      <c r="I1836" s="6" t="n">
        <v>0</v>
      </c>
      <c r="J1836" s="40" t="n">
        <f aca="false">H1836-I1836</f>
        <v>4.34</v>
      </c>
      <c r="K1836" s="41" t="n">
        <v>26.5</v>
      </c>
      <c r="L1836" s="42" t="n">
        <f aca="false">J1836*K1836</f>
        <v>115.01</v>
      </c>
      <c r="M1836" s="43" t="n">
        <f aca="false">H1836*16.48*(1+'Chart of Accounts'!$E$67)</f>
        <v>81.894064</v>
      </c>
    </row>
    <row r="1837" customFormat="false" ht="15" hidden="false" customHeight="false" outlineLevel="0" collapsed="false">
      <c r="B1837" s="7" t="s">
        <v>2334</v>
      </c>
      <c r="C1837" s="39" t="n">
        <v>45751</v>
      </c>
      <c r="D1837" s="7" t="s">
        <v>391</v>
      </c>
      <c r="E1837" s="7" t="s">
        <v>156</v>
      </c>
      <c r="F1837" s="7" t="s">
        <v>222</v>
      </c>
      <c r="G1837" s="7" t="s">
        <v>505</v>
      </c>
      <c r="H1837" s="6" t="n">
        <v>4</v>
      </c>
      <c r="I1837" s="6" t="n">
        <v>0</v>
      </c>
      <c r="J1837" s="40" t="n">
        <f aca="false">H1837-I1837</f>
        <v>4</v>
      </c>
      <c r="K1837" s="41" t="n">
        <v>34</v>
      </c>
      <c r="L1837" s="42" t="n">
        <f aca="false">J1837*K1837</f>
        <v>136</v>
      </c>
      <c r="M1837" s="43" t="n">
        <f aca="false">H1837*17.84*(1+'Chart of Accounts'!$E$67)</f>
        <v>81.7072</v>
      </c>
    </row>
    <row r="1838" customFormat="false" ht="15" hidden="false" customHeight="false" outlineLevel="0" collapsed="false">
      <c r="B1838" s="7" t="s">
        <v>2335</v>
      </c>
      <c r="C1838" s="39" t="n">
        <v>45751</v>
      </c>
      <c r="D1838" s="7" t="s">
        <v>395</v>
      </c>
      <c r="E1838" s="7" t="s">
        <v>156</v>
      </c>
      <c r="F1838" s="7" t="s">
        <v>242</v>
      </c>
      <c r="G1838" s="7" t="s">
        <v>505</v>
      </c>
      <c r="H1838" s="6" t="n">
        <v>4.05</v>
      </c>
      <c r="I1838" s="6" t="n">
        <v>0</v>
      </c>
      <c r="J1838" s="40" t="n">
        <f aca="false">H1838-I1838</f>
        <v>4.05</v>
      </c>
      <c r="K1838" s="41" t="n">
        <v>34</v>
      </c>
      <c r="L1838" s="42" t="n">
        <f aca="false">J1838*K1838</f>
        <v>137.7</v>
      </c>
      <c r="M1838" s="43" t="n">
        <f aca="false">H1838*17.99*(1+'Chart of Accounts'!$E$67)</f>
        <v>83.4241275</v>
      </c>
    </row>
    <row r="1839" customFormat="false" ht="15" hidden="false" customHeight="false" outlineLevel="0" collapsed="false">
      <c r="B1839" s="7" t="s">
        <v>2336</v>
      </c>
      <c r="C1839" s="39" t="n">
        <v>45751</v>
      </c>
      <c r="D1839" s="7" t="s">
        <v>397</v>
      </c>
      <c r="E1839" s="7" t="s">
        <v>159</v>
      </c>
      <c r="F1839" s="7" t="s">
        <v>203</v>
      </c>
      <c r="G1839" s="7" t="s">
        <v>502</v>
      </c>
      <c r="H1839" s="6" t="n">
        <v>1.07</v>
      </c>
      <c r="I1839" s="6" t="n">
        <v>0</v>
      </c>
      <c r="J1839" s="40" t="n">
        <f aca="false">H1839-I1839</f>
        <v>1.07</v>
      </c>
      <c r="K1839" s="41" t="n">
        <v>135</v>
      </c>
      <c r="L1839" s="42" t="n">
        <f aca="false">J1839*K1839</f>
        <v>144.45</v>
      </c>
      <c r="M1839" s="43" t="n">
        <f aca="false">H1839*49.43*(1+'Chart of Accounts'!$E$67)</f>
        <v>60.5591645</v>
      </c>
    </row>
    <row r="1840" customFormat="false" ht="15" hidden="false" customHeight="false" outlineLevel="0" collapsed="false">
      <c r="B1840" s="7" t="s">
        <v>2337</v>
      </c>
      <c r="C1840" s="39" t="n">
        <v>45751</v>
      </c>
      <c r="D1840" s="7" t="s">
        <v>399</v>
      </c>
      <c r="E1840" s="7" t="s">
        <v>154</v>
      </c>
      <c r="F1840" s="7" t="s">
        <v>262</v>
      </c>
      <c r="G1840" s="7" t="s">
        <v>505</v>
      </c>
      <c r="H1840" s="6" t="n">
        <v>3.54</v>
      </c>
      <c r="I1840" s="6" t="n">
        <v>0</v>
      </c>
      <c r="J1840" s="40" t="n">
        <f aca="false">H1840-I1840</f>
        <v>3.54</v>
      </c>
      <c r="K1840" s="41" t="n">
        <v>26.5</v>
      </c>
      <c r="L1840" s="42" t="n">
        <f aca="false">J1840*K1840</f>
        <v>93.81</v>
      </c>
      <c r="M1840" s="43" t="n">
        <f aca="false">H1840*16.02*(1+'Chart of Accounts'!$E$67)</f>
        <v>64.933866</v>
      </c>
    </row>
    <row r="1841" customFormat="false" ht="15" hidden="false" customHeight="false" outlineLevel="0" collapsed="false">
      <c r="B1841" s="7" t="s">
        <v>2338</v>
      </c>
      <c r="C1841" s="39" t="n">
        <v>45751</v>
      </c>
      <c r="D1841" s="7" t="s">
        <v>401</v>
      </c>
      <c r="E1841" s="7" t="s">
        <v>156</v>
      </c>
      <c r="F1841" s="7" t="s">
        <v>254</v>
      </c>
      <c r="G1841" s="7" t="s">
        <v>505</v>
      </c>
      <c r="H1841" s="6" t="n">
        <v>3.69</v>
      </c>
      <c r="I1841" s="6" t="n">
        <v>0</v>
      </c>
      <c r="J1841" s="40" t="n">
        <f aca="false">H1841-I1841</f>
        <v>3.69</v>
      </c>
      <c r="K1841" s="41" t="n">
        <v>34</v>
      </c>
      <c r="L1841" s="42" t="n">
        <f aca="false">J1841*K1841</f>
        <v>125.46</v>
      </c>
      <c r="M1841" s="43" t="n">
        <f aca="false">H1841*17.1*(1+'Chart of Accounts'!$E$67)</f>
        <v>72.248355</v>
      </c>
    </row>
    <row r="1842" customFormat="false" ht="15" hidden="false" customHeight="false" outlineLevel="0" collapsed="false">
      <c r="B1842" s="7" t="s">
        <v>2339</v>
      </c>
      <c r="C1842" s="39" t="n">
        <v>45751</v>
      </c>
      <c r="D1842" s="7" t="s">
        <v>407</v>
      </c>
      <c r="E1842" s="7" t="s">
        <v>159</v>
      </c>
      <c r="F1842" s="7" t="s">
        <v>260</v>
      </c>
      <c r="G1842" s="7" t="s">
        <v>502</v>
      </c>
      <c r="H1842" s="6" t="n">
        <v>0.97</v>
      </c>
      <c r="I1842" s="6" t="n">
        <v>0.068</v>
      </c>
      <c r="J1842" s="40" t="n">
        <f aca="false">H1842-I1842</f>
        <v>0.902</v>
      </c>
      <c r="K1842" s="41" t="n">
        <v>135</v>
      </c>
      <c r="L1842" s="42" t="n">
        <f aca="false">J1842*K1842</f>
        <v>121.77</v>
      </c>
      <c r="M1842" s="43" t="n">
        <f aca="false">H1842*79.8*(1+'Chart of Accounts'!$E$67)</f>
        <v>88.62987</v>
      </c>
    </row>
    <row r="1843" customFormat="false" ht="15" hidden="false" customHeight="false" outlineLevel="0" collapsed="false">
      <c r="B1843" s="7" t="s">
        <v>2340</v>
      </c>
      <c r="C1843" s="39" t="n">
        <v>45751</v>
      </c>
      <c r="D1843" s="7" t="s">
        <v>409</v>
      </c>
      <c r="E1843" s="7" t="s">
        <v>154</v>
      </c>
      <c r="F1843" s="7" t="s">
        <v>214</v>
      </c>
      <c r="G1843" s="7" t="s">
        <v>505</v>
      </c>
      <c r="H1843" s="6" t="n">
        <v>3.29</v>
      </c>
      <c r="I1843" s="6" t="n">
        <v>0</v>
      </c>
      <c r="J1843" s="40" t="n">
        <f aca="false">H1843-I1843</f>
        <v>3.29</v>
      </c>
      <c r="K1843" s="41" t="n">
        <v>26.5</v>
      </c>
      <c r="L1843" s="42" t="n">
        <f aca="false">J1843*K1843</f>
        <v>87.185</v>
      </c>
      <c r="M1843" s="43" t="n">
        <f aca="false">H1843*15.67*(1+'Chart of Accounts'!$E$67)</f>
        <v>59.0296735</v>
      </c>
    </row>
    <row r="1844" customFormat="false" ht="15" hidden="false" customHeight="false" outlineLevel="0" collapsed="false">
      <c r="B1844" s="7" t="s">
        <v>2341</v>
      </c>
      <c r="C1844" s="39" t="n">
        <v>45751</v>
      </c>
      <c r="D1844" s="7" t="s">
        <v>411</v>
      </c>
      <c r="E1844" s="7" t="s">
        <v>154</v>
      </c>
      <c r="F1844" s="7" t="s">
        <v>177</v>
      </c>
      <c r="G1844" s="7" t="s">
        <v>505</v>
      </c>
      <c r="H1844" s="6" t="n">
        <v>5.11</v>
      </c>
      <c r="I1844" s="6" t="n">
        <v>0</v>
      </c>
      <c r="J1844" s="40" t="n">
        <f aca="false">H1844-I1844</f>
        <v>5.11</v>
      </c>
      <c r="K1844" s="41" t="n">
        <v>26.5</v>
      </c>
      <c r="L1844" s="42" t="n">
        <f aca="false">J1844*K1844</f>
        <v>135.415</v>
      </c>
      <c r="M1844" s="43" t="n">
        <f aca="false">H1844*14.56*(1+'Chart of Accounts'!$E$67)</f>
        <v>85.189832</v>
      </c>
    </row>
    <row r="1845" customFormat="false" ht="15" hidden="false" customHeight="false" outlineLevel="0" collapsed="false">
      <c r="B1845" s="7" t="s">
        <v>2342</v>
      </c>
      <c r="C1845" s="39" t="n">
        <v>45752</v>
      </c>
      <c r="D1845" s="7" t="s">
        <v>288</v>
      </c>
      <c r="E1845" s="7" t="s">
        <v>156</v>
      </c>
      <c r="F1845" s="7" t="s">
        <v>191</v>
      </c>
      <c r="G1845" s="7" t="s">
        <v>505</v>
      </c>
      <c r="H1845" s="6" t="n">
        <v>4.2</v>
      </c>
      <c r="I1845" s="6" t="n">
        <v>0</v>
      </c>
      <c r="J1845" s="40" t="n">
        <f aca="false">H1845-I1845</f>
        <v>4.2</v>
      </c>
      <c r="K1845" s="41" t="n">
        <v>34</v>
      </c>
      <c r="L1845" s="42" t="n">
        <f aca="false">J1845*K1845</f>
        <v>142.8</v>
      </c>
      <c r="M1845" s="43" t="n">
        <f aca="false">H1845*16.05*(1+'Chart of Accounts'!$E$67)</f>
        <v>77.18445</v>
      </c>
    </row>
    <row r="1846" customFormat="false" ht="15" hidden="false" customHeight="false" outlineLevel="0" collapsed="false">
      <c r="B1846" s="7" t="s">
        <v>2343</v>
      </c>
      <c r="C1846" s="39" t="n">
        <v>45752</v>
      </c>
      <c r="D1846" s="7" t="s">
        <v>321</v>
      </c>
      <c r="E1846" s="7" t="s">
        <v>154</v>
      </c>
      <c r="F1846" s="7" t="s">
        <v>218</v>
      </c>
      <c r="G1846" s="7" t="s">
        <v>505</v>
      </c>
      <c r="H1846" s="6" t="n">
        <v>4.16</v>
      </c>
      <c r="I1846" s="6" t="n">
        <v>0</v>
      </c>
      <c r="J1846" s="40" t="n">
        <f aca="false">H1846-I1846</f>
        <v>4.16</v>
      </c>
      <c r="K1846" s="41" t="n">
        <v>26.5</v>
      </c>
      <c r="L1846" s="42" t="n">
        <f aca="false">J1846*K1846</f>
        <v>110.24</v>
      </c>
      <c r="M1846" s="43" t="n">
        <f aca="false">H1846*16.19*(1+'Chart of Accounts'!$E$67)</f>
        <v>77.116208</v>
      </c>
    </row>
    <row r="1847" customFormat="false" ht="15" hidden="false" customHeight="false" outlineLevel="0" collapsed="false">
      <c r="B1847" s="7" t="s">
        <v>2344</v>
      </c>
      <c r="C1847" s="39" t="n">
        <v>45752</v>
      </c>
      <c r="D1847" s="7" t="s">
        <v>359</v>
      </c>
      <c r="E1847" s="7" t="s">
        <v>156</v>
      </c>
      <c r="F1847" s="7" t="s">
        <v>212</v>
      </c>
      <c r="G1847" s="7" t="s">
        <v>505</v>
      </c>
      <c r="H1847" s="6" t="n">
        <v>3.77</v>
      </c>
      <c r="I1847" s="6" t="n">
        <v>0</v>
      </c>
      <c r="J1847" s="40" t="n">
        <f aca="false">H1847-I1847</f>
        <v>3.77</v>
      </c>
      <c r="K1847" s="41" t="n">
        <v>34</v>
      </c>
      <c r="L1847" s="42" t="n">
        <f aca="false">J1847*K1847</f>
        <v>128.18</v>
      </c>
      <c r="M1847" s="43" t="n">
        <f aca="false">H1847*16.71*(1+'Chart of Accounts'!$E$67)</f>
        <v>72.1312215</v>
      </c>
    </row>
    <row r="1848" customFormat="false" ht="15" hidden="false" customHeight="false" outlineLevel="0" collapsed="false">
      <c r="B1848" s="7" t="s">
        <v>2345</v>
      </c>
      <c r="C1848" s="39" t="n">
        <v>45752</v>
      </c>
      <c r="D1848" s="7" t="s">
        <v>391</v>
      </c>
      <c r="E1848" s="7" t="s">
        <v>156</v>
      </c>
      <c r="F1848" s="7" t="s">
        <v>222</v>
      </c>
      <c r="G1848" s="7" t="s">
        <v>505</v>
      </c>
      <c r="H1848" s="6" t="n">
        <v>4.21</v>
      </c>
      <c r="I1848" s="6" t="n">
        <v>0</v>
      </c>
      <c r="J1848" s="40" t="n">
        <f aca="false">H1848-I1848</f>
        <v>4.21</v>
      </c>
      <c r="K1848" s="41" t="n">
        <v>34</v>
      </c>
      <c r="L1848" s="42" t="n">
        <f aca="false">J1848*K1848</f>
        <v>143.14</v>
      </c>
      <c r="M1848" s="43" t="n">
        <f aca="false">H1848*17.84*(1+'Chart of Accounts'!$E$67)</f>
        <v>85.996828</v>
      </c>
    </row>
    <row r="1849" customFormat="false" ht="15" hidden="false" customHeight="false" outlineLevel="0" collapsed="false">
      <c r="B1849" s="7" t="s">
        <v>2346</v>
      </c>
      <c r="C1849" s="39" t="n">
        <v>45752</v>
      </c>
      <c r="D1849" s="7" t="s">
        <v>395</v>
      </c>
      <c r="E1849" s="7" t="s">
        <v>156</v>
      </c>
      <c r="F1849" s="7" t="s">
        <v>242</v>
      </c>
      <c r="G1849" s="7" t="s">
        <v>505</v>
      </c>
      <c r="H1849" s="6" t="n">
        <v>3.99</v>
      </c>
      <c r="I1849" s="6" t="n">
        <v>0</v>
      </c>
      <c r="J1849" s="40" t="n">
        <f aca="false">H1849-I1849</f>
        <v>3.99</v>
      </c>
      <c r="K1849" s="41" t="n">
        <v>34</v>
      </c>
      <c r="L1849" s="42" t="n">
        <f aca="false">J1849*K1849</f>
        <v>135.66</v>
      </c>
      <c r="M1849" s="43" t="n">
        <f aca="false">H1849*17.99*(1+'Chart of Accounts'!$E$67)</f>
        <v>82.1882145</v>
      </c>
    </row>
    <row r="1850" customFormat="false" ht="15" hidden="false" customHeight="false" outlineLevel="0" collapsed="false">
      <c r="B1850" s="7" t="s">
        <v>2347</v>
      </c>
      <c r="C1850" s="39" t="n">
        <v>45752</v>
      </c>
      <c r="D1850" s="7" t="s">
        <v>401</v>
      </c>
      <c r="E1850" s="7" t="s">
        <v>156</v>
      </c>
      <c r="F1850" s="7" t="s">
        <v>254</v>
      </c>
      <c r="G1850" s="7" t="s">
        <v>505</v>
      </c>
      <c r="H1850" s="6" t="n">
        <v>3.63</v>
      </c>
      <c r="I1850" s="6" t="n">
        <v>0</v>
      </c>
      <c r="J1850" s="40" t="n">
        <f aca="false">H1850-I1850</f>
        <v>3.63</v>
      </c>
      <c r="K1850" s="41" t="n">
        <v>34</v>
      </c>
      <c r="L1850" s="42" t="n">
        <f aca="false">J1850*K1850</f>
        <v>123.42</v>
      </c>
      <c r="M1850" s="43" t="n">
        <f aca="false">H1850*17.1*(1+'Chart of Accounts'!$E$67)</f>
        <v>71.073585</v>
      </c>
    </row>
    <row r="1851" customFormat="false" ht="15" hidden="false" customHeight="false" outlineLevel="0" collapsed="false">
      <c r="B1851" s="7" t="s">
        <v>2348</v>
      </c>
      <c r="C1851" s="39" t="n">
        <v>45753</v>
      </c>
      <c r="D1851" s="7" t="s">
        <v>288</v>
      </c>
      <c r="E1851" s="7" t="s">
        <v>156</v>
      </c>
      <c r="F1851" s="7" t="s">
        <v>191</v>
      </c>
      <c r="G1851" s="7" t="s">
        <v>505</v>
      </c>
      <c r="H1851" s="6" t="n">
        <v>3.98</v>
      </c>
      <c r="I1851" s="6" t="n">
        <v>0</v>
      </c>
      <c r="J1851" s="40" t="n">
        <f aca="false">H1851-I1851</f>
        <v>3.98</v>
      </c>
      <c r="K1851" s="41" t="n">
        <v>34</v>
      </c>
      <c r="L1851" s="42" t="n">
        <f aca="false">J1851*K1851</f>
        <v>135.32</v>
      </c>
      <c r="M1851" s="43" t="n">
        <f aca="false">H1851*16.05*(1+'Chart of Accounts'!$E$67)</f>
        <v>73.141455</v>
      </c>
    </row>
    <row r="1852" customFormat="false" ht="15" hidden="false" customHeight="false" outlineLevel="0" collapsed="false">
      <c r="B1852" s="7" t="s">
        <v>2349</v>
      </c>
      <c r="C1852" s="39" t="n">
        <v>45753</v>
      </c>
      <c r="D1852" s="7" t="s">
        <v>359</v>
      </c>
      <c r="E1852" s="7" t="s">
        <v>156</v>
      </c>
      <c r="F1852" s="7" t="s">
        <v>212</v>
      </c>
      <c r="G1852" s="7" t="s">
        <v>505</v>
      </c>
      <c r="H1852" s="6" t="n">
        <v>4.23</v>
      </c>
      <c r="I1852" s="6" t="n">
        <v>0</v>
      </c>
      <c r="J1852" s="40" t="n">
        <f aca="false">H1852-I1852</f>
        <v>4.23</v>
      </c>
      <c r="K1852" s="41" t="n">
        <v>34</v>
      </c>
      <c r="L1852" s="42" t="n">
        <f aca="false">J1852*K1852</f>
        <v>143.82</v>
      </c>
      <c r="M1852" s="43" t="n">
        <f aca="false">H1852*16.71*(1+'Chart of Accounts'!$E$67)</f>
        <v>80.9323785</v>
      </c>
    </row>
    <row r="1853" customFormat="false" ht="15" hidden="false" customHeight="false" outlineLevel="0" collapsed="false">
      <c r="B1853" s="7" t="s">
        <v>2350</v>
      </c>
      <c r="C1853" s="39" t="n">
        <v>45753</v>
      </c>
      <c r="D1853" s="7" t="s">
        <v>391</v>
      </c>
      <c r="E1853" s="7" t="s">
        <v>156</v>
      </c>
      <c r="F1853" s="7" t="s">
        <v>222</v>
      </c>
      <c r="G1853" s="7" t="s">
        <v>505</v>
      </c>
      <c r="H1853" s="6" t="n">
        <v>4.32</v>
      </c>
      <c r="I1853" s="6" t="n">
        <v>0</v>
      </c>
      <c r="J1853" s="40" t="n">
        <f aca="false">H1853-I1853</f>
        <v>4.32</v>
      </c>
      <c r="K1853" s="41" t="n">
        <v>34</v>
      </c>
      <c r="L1853" s="42" t="n">
        <f aca="false">J1853*K1853</f>
        <v>146.88</v>
      </c>
      <c r="M1853" s="43" t="n">
        <f aca="false">H1853*17.84*(1+'Chart of Accounts'!$E$67)</f>
        <v>88.243776</v>
      </c>
    </row>
    <row r="1854" customFormat="false" ht="15" hidden="false" customHeight="false" outlineLevel="0" collapsed="false">
      <c r="B1854" s="7" t="s">
        <v>2351</v>
      </c>
      <c r="C1854" s="39" t="n">
        <v>45753</v>
      </c>
      <c r="D1854" s="7" t="s">
        <v>395</v>
      </c>
      <c r="E1854" s="7" t="s">
        <v>156</v>
      </c>
      <c r="F1854" s="7" t="s">
        <v>242</v>
      </c>
      <c r="G1854" s="7" t="s">
        <v>505</v>
      </c>
      <c r="H1854" s="6" t="n">
        <v>3.67</v>
      </c>
      <c r="I1854" s="6" t="n">
        <v>0</v>
      </c>
      <c r="J1854" s="40" t="n">
        <f aca="false">H1854-I1854</f>
        <v>3.67</v>
      </c>
      <c r="K1854" s="41" t="n">
        <v>34</v>
      </c>
      <c r="L1854" s="42" t="n">
        <f aca="false">J1854*K1854</f>
        <v>124.78</v>
      </c>
      <c r="M1854" s="43" t="n">
        <f aca="false">H1854*17.99*(1+'Chart of Accounts'!$E$67)</f>
        <v>75.5966785</v>
      </c>
    </row>
    <row r="1855" customFormat="false" ht="15" hidden="false" customHeight="false" outlineLevel="0" collapsed="false">
      <c r="B1855" s="7" t="s">
        <v>2352</v>
      </c>
      <c r="C1855" s="39" t="n">
        <v>45753</v>
      </c>
      <c r="D1855" s="7" t="s">
        <v>401</v>
      </c>
      <c r="E1855" s="7" t="s">
        <v>156</v>
      </c>
      <c r="F1855" s="7" t="s">
        <v>254</v>
      </c>
      <c r="G1855" s="7" t="s">
        <v>505</v>
      </c>
      <c r="H1855" s="6" t="n">
        <v>4.36</v>
      </c>
      <c r="I1855" s="6" t="n">
        <v>0</v>
      </c>
      <c r="J1855" s="40" t="n">
        <f aca="false">H1855-I1855</f>
        <v>4.36</v>
      </c>
      <c r="K1855" s="41" t="n">
        <v>34</v>
      </c>
      <c r="L1855" s="42" t="n">
        <f aca="false">J1855*K1855</f>
        <v>148.24</v>
      </c>
      <c r="M1855" s="43" t="n">
        <f aca="false">H1855*17.1*(1+'Chart of Accounts'!$E$67)</f>
        <v>85.36662</v>
      </c>
    </row>
    <row r="1856" customFormat="false" ht="15" hidden="false" customHeight="false" outlineLevel="0" collapsed="false">
      <c r="B1856" s="7" t="s">
        <v>2353</v>
      </c>
      <c r="C1856" s="39" t="n">
        <v>45754</v>
      </c>
      <c r="D1856" s="7" t="s">
        <v>280</v>
      </c>
      <c r="E1856" s="7" t="s">
        <v>157</v>
      </c>
      <c r="F1856" s="7" t="s">
        <v>187</v>
      </c>
      <c r="G1856" s="7" t="s">
        <v>502</v>
      </c>
      <c r="H1856" s="6" t="n">
        <v>1</v>
      </c>
      <c r="I1856" s="6" t="n">
        <v>0</v>
      </c>
      <c r="J1856" s="40" t="n">
        <f aca="false">H1856-I1856</f>
        <v>1</v>
      </c>
      <c r="K1856" s="41" t="n">
        <v>165</v>
      </c>
      <c r="L1856" s="42" t="n">
        <f aca="false">J1856*K1856</f>
        <v>165</v>
      </c>
      <c r="M1856" s="43" t="n">
        <f aca="false">H1856*66.48*(1+'Chart of Accounts'!$E$67)</f>
        <v>76.1196</v>
      </c>
    </row>
    <row r="1857" customFormat="false" ht="15" hidden="false" customHeight="false" outlineLevel="0" collapsed="false">
      <c r="B1857" s="7" t="s">
        <v>2354</v>
      </c>
      <c r="C1857" s="39" t="n">
        <v>45754</v>
      </c>
      <c r="D1857" s="7" t="s">
        <v>288</v>
      </c>
      <c r="E1857" s="7" t="s">
        <v>156</v>
      </c>
      <c r="F1857" s="7" t="s">
        <v>191</v>
      </c>
      <c r="G1857" s="7" t="s">
        <v>505</v>
      </c>
      <c r="H1857" s="6" t="n">
        <v>4.06</v>
      </c>
      <c r="I1857" s="6" t="n">
        <v>0</v>
      </c>
      <c r="J1857" s="40" t="n">
        <f aca="false">H1857-I1857</f>
        <v>4.06</v>
      </c>
      <c r="K1857" s="41" t="n">
        <v>34</v>
      </c>
      <c r="L1857" s="42" t="n">
        <f aca="false">J1857*K1857</f>
        <v>138.04</v>
      </c>
      <c r="M1857" s="43" t="n">
        <f aca="false">H1857*16.05*(1+'Chart of Accounts'!$E$67)</f>
        <v>74.611635</v>
      </c>
    </row>
    <row r="1858" customFormat="false" ht="15" hidden="false" customHeight="false" outlineLevel="0" collapsed="false">
      <c r="B1858" s="7" t="s">
        <v>2355</v>
      </c>
      <c r="C1858" s="39" t="n">
        <v>45754</v>
      </c>
      <c r="D1858" s="7" t="s">
        <v>291</v>
      </c>
      <c r="E1858" s="7" t="s">
        <v>154</v>
      </c>
      <c r="F1858" s="7" t="s">
        <v>194</v>
      </c>
      <c r="G1858" s="7" t="s">
        <v>505</v>
      </c>
      <c r="H1858" s="6" t="n">
        <v>4.21</v>
      </c>
      <c r="I1858" s="6" t="n">
        <v>0</v>
      </c>
      <c r="J1858" s="40" t="n">
        <f aca="false">H1858-I1858</f>
        <v>4.21</v>
      </c>
      <c r="K1858" s="41" t="n">
        <v>26.5</v>
      </c>
      <c r="L1858" s="42" t="n">
        <f aca="false">J1858*K1858</f>
        <v>111.565</v>
      </c>
      <c r="M1858" s="43" t="n">
        <f aca="false">H1858*16*(1+'Chart of Accounts'!$E$67)</f>
        <v>77.1272</v>
      </c>
    </row>
    <row r="1859" customFormat="false" ht="15" hidden="false" customHeight="false" outlineLevel="0" collapsed="false">
      <c r="B1859" s="7" t="s">
        <v>2356</v>
      </c>
      <c r="C1859" s="39" t="n">
        <v>45754</v>
      </c>
      <c r="D1859" s="7" t="s">
        <v>297</v>
      </c>
      <c r="E1859" s="7" t="s">
        <v>156</v>
      </c>
      <c r="F1859" s="7" t="s">
        <v>201</v>
      </c>
      <c r="G1859" s="7" t="s">
        <v>505</v>
      </c>
      <c r="H1859" s="6" t="n">
        <v>2.87</v>
      </c>
      <c r="I1859" s="6" t="n">
        <v>0</v>
      </c>
      <c r="J1859" s="40" t="n">
        <f aca="false">H1859-I1859</f>
        <v>2.87</v>
      </c>
      <c r="K1859" s="41" t="n">
        <v>34</v>
      </c>
      <c r="L1859" s="42" t="n">
        <f aca="false">J1859*K1859</f>
        <v>97.58</v>
      </c>
      <c r="M1859" s="43" t="n">
        <f aca="false">H1859*15.19*(1+'Chart of Accounts'!$E$67)</f>
        <v>49.9166185</v>
      </c>
    </row>
    <row r="1860" customFormat="false" ht="15" hidden="false" customHeight="false" outlineLevel="0" collapsed="false">
      <c r="B1860" s="7" t="s">
        <v>2357</v>
      </c>
      <c r="C1860" s="39" t="n">
        <v>45754</v>
      </c>
      <c r="D1860" s="7" t="s">
        <v>305</v>
      </c>
      <c r="E1860" s="7" t="s">
        <v>154</v>
      </c>
      <c r="F1860" s="7" t="s">
        <v>205</v>
      </c>
      <c r="G1860" s="7" t="s">
        <v>505</v>
      </c>
      <c r="H1860" s="6" t="n">
        <v>4.38</v>
      </c>
      <c r="I1860" s="6" t="n">
        <v>0</v>
      </c>
      <c r="J1860" s="40" t="n">
        <f aca="false">H1860-I1860</f>
        <v>4.38</v>
      </c>
      <c r="K1860" s="41" t="n">
        <v>26.5</v>
      </c>
      <c r="L1860" s="42" t="n">
        <f aca="false">J1860*K1860</f>
        <v>116.07</v>
      </c>
      <c r="M1860" s="43" t="n">
        <f aca="false">H1860*16.36*(1+'Chart of Accounts'!$E$67)</f>
        <v>82.047036</v>
      </c>
    </row>
    <row r="1861" customFormat="false" ht="15" hidden="false" customHeight="false" outlineLevel="0" collapsed="false">
      <c r="B1861" s="7" t="s">
        <v>2358</v>
      </c>
      <c r="C1861" s="39" t="n">
        <v>45754</v>
      </c>
      <c r="D1861" s="7" t="s">
        <v>307</v>
      </c>
      <c r="E1861" s="7" t="s">
        <v>157</v>
      </c>
      <c r="F1861" s="7" t="s">
        <v>264</v>
      </c>
      <c r="G1861" s="7" t="s">
        <v>502</v>
      </c>
      <c r="H1861" s="6" t="n">
        <v>1</v>
      </c>
      <c r="I1861" s="6" t="n">
        <v>0</v>
      </c>
      <c r="J1861" s="40" t="n">
        <f aca="false">H1861-I1861</f>
        <v>1</v>
      </c>
      <c r="K1861" s="41" t="n">
        <v>165</v>
      </c>
      <c r="L1861" s="42" t="n">
        <f aca="false">J1861*K1861</f>
        <v>165</v>
      </c>
      <c r="M1861" s="43" t="n">
        <f aca="false">H1861*55.55*(1+'Chart of Accounts'!$E$67)</f>
        <v>63.60475</v>
      </c>
    </row>
    <row r="1862" customFormat="false" ht="15" hidden="false" customHeight="false" outlineLevel="0" collapsed="false">
      <c r="B1862" s="7" t="s">
        <v>2359</v>
      </c>
      <c r="C1862" s="39" t="n">
        <v>45754</v>
      </c>
      <c r="D1862" s="7" t="s">
        <v>309</v>
      </c>
      <c r="E1862" s="7" t="s">
        <v>159</v>
      </c>
      <c r="F1862" s="7" t="s">
        <v>252</v>
      </c>
      <c r="G1862" s="7" t="s">
        <v>502</v>
      </c>
      <c r="H1862" s="6" t="n">
        <v>1.02</v>
      </c>
      <c r="I1862" s="6" t="n">
        <v>0</v>
      </c>
      <c r="J1862" s="40" t="n">
        <f aca="false">H1862-I1862</f>
        <v>1.02</v>
      </c>
      <c r="K1862" s="41" t="n">
        <v>135</v>
      </c>
      <c r="L1862" s="42" t="n">
        <f aca="false">J1862*K1862</f>
        <v>137.7</v>
      </c>
      <c r="M1862" s="43" t="n">
        <f aca="false">H1862*57.54*(1+'Chart of Accounts'!$E$67)</f>
        <v>67.200966</v>
      </c>
    </row>
    <row r="1863" customFormat="false" ht="15" hidden="false" customHeight="false" outlineLevel="0" collapsed="false">
      <c r="B1863" s="7" t="s">
        <v>2360</v>
      </c>
      <c r="C1863" s="39" t="n">
        <v>45754</v>
      </c>
      <c r="D1863" s="7" t="s">
        <v>311</v>
      </c>
      <c r="E1863" s="7" t="s">
        <v>154</v>
      </c>
      <c r="F1863" s="7" t="s">
        <v>196</v>
      </c>
      <c r="G1863" s="7" t="s">
        <v>505</v>
      </c>
      <c r="H1863" s="6" t="n">
        <v>2.81</v>
      </c>
      <c r="I1863" s="6" t="n">
        <v>0</v>
      </c>
      <c r="J1863" s="40" t="n">
        <f aca="false">H1863-I1863</f>
        <v>2.81</v>
      </c>
      <c r="K1863" s="41" t="n">
        <v>26.5</v>
      </c>
      <c r="L1863" s="42" t="n">
        <f aca="false">J1863*K1863</f>
        <v>74.465</v>
      </c>
      <c r="M1863" s="43" t="n">
        <f aca="false">H1863*15.05*(1+'Chart of Accounts'!$E$67)</f>
        <v>48.4226225</v>
      </c>
    </row>
    <row r="1864" customFormat="false" ht="15" hidden="false" customHeight="false" outlineLevel="0" collapsed="false">
      <c r="B1864" s="7" t="s">
        <v>2361</v>
      </c>
      <c r="C1864" s="39" t="n">
        <v>45754</v>
      </c>
      <c r="D1864" s="7" t="s">
        <v>313</v>
      </c>
      <c r="E1864" s="7" t="s">
        <v>156</v>
      </c>
      <c r="F1864" s="7" t="s">
        <v>184</v>
      </c>
      <c r="G1864" s="7" t="s">
        <v>505</v>
      </c>
      <c r="H1864" s="6" t="n">
        <v>3.77</v>
      </c>
      <c r="I1864" s="6" t="n">
        <v>0</v>
      </c>
      <c r="J1864" s="40" t="n">
        <f aca="false">H1864-I1864</f>
        <v>3.77</v>
      </c>
      <c r="K1864" s="41" t="n">
        <v>34</v>
      </c>
      <c r="L1864" s="42" t="n">
        <f aca="false">J1864*K1864</f>
        <v>128.18</v>
      </c>
      <c r="M1864" s="43" t="n">
        <f aca="false">H1864*17.34*(1+'Chart of Accounts'!$E$67)</f>
        <v>74.850711</v>
      </c>
    </row>
    <row r="1865" customFormat="false" ht="15" hidden="false" customHeight="false" outlineLevel="0" collapsed="false">
      <c r="B1865" s="7" t="s">
        <v>2362</v>
      </c>
      <c r="C1865" s="39" t="n">
        <v>45754</v>
      </c>
      <c r="D1865" s="7" t="s">
        <v>317</v>
      </c>
      <c r="E1865" s="7" t="s">
        <v>156</v>
      </c>
      <c r="F1865" s="7" t="s">
        <v>207</v>
      </c>
      <c r="G1865" s="7" t="s">
        <v>505</v>
      </c>
      <c r="H1865" s="6" t="n">
        <v>3.29</v>
      </c>
      <c r="I1865" s="6" t="n">
        <v>0</v>
      </c>
      <c r="J1865" s="40" t="n">
        <f aca="false">H1865-I1865</f>
        <v>3.29</v>
      </c>
      <c r="K1865" s="41" t="n">
        <v>34</v>
      </c>
      <c r="L1865" s="42" t="n">
        <f aca="false">J1865*K1865</f>
        <v>111.86</v>
      </c>
      <c r="M1865" s="43" t="n">
        <f aca="false">H1865*16.65*(1+'Chart of Accounts'!$E$67)</f>
        <v>62.7213825</v>
      </c>
    </row>
    <row r="1866" customFormat="false" ht="15" hidden="false" customHeight="false" outlineLevel="0" collapsed="false">
      <c r="B1866" s="7" t="s">
        <v>2363</v>
      </c>
      <c r="C1866" s="39" t="n">
        <v>45754</v>
      </c>
      <c r="D1866" s="7" t="s">
        <v>321</v>
      </c>
      <c r="E1866" s="7" t="s">
        <v>154</v>
      </c>
      <c r="F1866" s="7" t="s">
        <v>218</v>
      </c>
      <c r="G1866" s="7" t="s">
        <v>505</v>
      </c>
      <c r="H1866" s="6" t="n">
        <v>3.71</v>
      </c>
      <c r="I1866" s="6" t="n">
        <v>0</v>
      </c>
      <c r="J1866" s="40" t="n">
        <f aca="false">H1866-I1866</f>
        <v>3.71</v>
      </c>
      <c r="K1866" s="41" t="n">
        <v>26.5</v>
      </c>
      <c r="L1866" s="42" t="n">
        <f aca="false">J1866*K1866</f>
        <v>98.315</v>
      </c>
      <c r="M1866" s="43" t="n">
        <f aca="false">H1866*16.19*(1+'Chart of Accounts'!$E$67)</f>
        <v>68.7743105</v>
      </c>
    </row>
    <row r="1867" customFormat="false" ht="15" hidden="false" customHeight="false" outlineLevel="0" collapsed="false">
      <c r="B1867" s="7" t="s">
        <v>2364</v>
      </c>
      <c r="C1867" s="39" t="n">
        <v>45754</v>
      </c>
      <c r="D1867" s="7" t="s">
        <v>325</v>
      </c>
      <c r="E1867" s="7" t="s">
        <v>154</v>
      </c>
      <c r="F1867" s="7" t="s">
        <v>212</v>
      </c>
      <c r="G1867" s="7" t="s">
        <v>505</v>
      </c>
      <c r="H1867" s="6" t="n">
        <v>3.03</v>
      </c>
      <c r="I1867" s="6" t="n">
        <v>0</v>
      </c>
      <c r="J1867" s="40" t="n">
        <f aca="false">H1867-I1867</f>
        <v>3.03</v>
      </c>
      <c r="K1867" s="41" t="n">
        <v>26.5</v>
      </c>
      <c r="L1867" s="42" t="n">
        <f aca="false">J1867*K1867</f>
        <v>80.295</v>
      </c>
      <c r="M1867" s="43" t="n">
        <f aca="false">H1867*16.71*(1+'Chart of Accounts'!$E$67)</f>
        <v>57.9728385</v>
      </c>
    </row>
    <row r="1868" customFormat="false" ht="15" hidden="false" customHeight="false" outlineLevel="0" collapsed="false">
      <c r="B1868" s="7" t="s">
        <v>2365</v>
      </c>
      <c r="C1868" s="39" t="n">
        <v>45754</v>
      </c>
      <c r="D1868" s="7" t="s">
        <v>329</v>
      </c>
      <c r="E1868" s="7" t="s">
        <v>156</v>
      </c>
      <c r="F1868" s="7" t="s">
        <v>220</v>
      </c>
      <c r="G1868" s="7" t="s">
        <v>505</v>
      </c>
      <c r="H1868" s="6" t="n">
        <v>3.69</v>
      </c>
      <c r="I1868" s="6" t="n">
        <v>0</v>
      </c>
      <c r="J1868" s="40" t="n">
        <f aca="false">H1868-I1868</f>
        <v>3.69</v>
      </c>
      <c r="K1868" s="41" t="n">
        <v>34</v>
      </c>
      <c r="L1868" s="42" t="n">
        <f aca="false">J1868*K1868</f>
        <v>125.46</v>
      </c>
      <c r="M1868" s="43" t="n">
        <f aca="false">H1868*16.43*(1+'Chart of Accounts'!$E$67)</f>
        <v>69.4175715</v>
      </c>
    </row>
    <row r="1869" customFormat="false" ht="15" hidden="false" customHeight="false" outlineLevel="0" collapsed="false">
      <c r="B1869" s="7" t="s">
        <v>2366</v>
      </c>
      <c r="C1869" s="39" t="n">
        <v>45754</v>
      </c>
      <c r="D1869" s="7" t="s">
        <v>331</v>
      </c>
      <c r="E1869" s="7" t="s">
        <v>156</v>
      </c>
      <c r="F1869" s="7" t="s">
        <v>224</v>
      </c>
      <c r="G1869" s="7" t="s">
        <v>505</v>
      </c>
      <c r="H1869" s="6" t="n">
        <v>3.85</v>
      </c>
      <c r="I1869" s="6" t="n">
        <v>0</v>
      </c>
      <c r="J1869" s="40" t="n">
        <f aca="false">H1869-I1869</f>
        <v>3.85</v>
      </c>
      <c r="K1869" s="41" t="n">
        <v>34</v>
      </c>
      <c r="L1869" s="42" t="n">
        <f aca="false">J1869*K1869</f>
        <v>130.9</v>
      </c>
      <c r="M1869" s="43" t="n">
        <f aca="false">H1869*14.93*(1+'Chart of Accounts'!$E$67)</f>
        <v>65.8151725</v>
      </c>
    </row>
    <row r="1870" customFormat="false" ht="15" hidden="false" customHeight="false" outlineLevel="0" collapsed="false">
      <c r="B1870" s="7" t="s">
        <v>2367</v>
      </c>
      <c r="C1870" s="39" t="n">
        <v>45754</v>
      </c>
      <c r="D1870" s="7" t="s">
        <v>335</v>
      </c>
      <c r="E1870" s="7" t="s">
        <v>154</v>
      </c>
      <c r="F1870" s="7" t="s">
        <v>177</v>
      </c>
      <c r="G1870" s="7" t="s">
        <v>505</v>
      </c>
      <c r="H1870" s="6" t="n">
        <v>4.04</v>
      </c>
      <c r="I1870" s="6" t="n">
        <v>0</v>
      </c>
      <c r="J1870" s="40" t="n">
        <f aca="false">H1870-I1870</f>
        <v>4.04</v>
      </c>
      <c r="K1870" s="41" t="n">
        <v>26.5</v>
      </c>
      <c r="L1870" s="42" t="n">
        <f aca="false">J1870*K1870</f>
        <v>107.06</v>
      </c>
      <c r="M1870" s="43" t="n">
        <f aca="false">H1870*14.56*(1+'Chart of Accounts'!$E$67)</f>
        <v>67.351648</v>
      </c>
    </row>
    <row r="1871" customFormat="false" ht="15" hidden="false" customHeight="false" outlineLevel="0" collapsed="false">
      <c r="B1871" s="7" t="s">
        <v>2368</v>
      </c>
      <c r="C1871" s="39" t="n">
        <v>45754</v>
      </c>
      <c r="D1871" s="7" t="s">
        <v>337</v>
      </c>
      <c r="E1871" s="7" t="s">
        <v>154</v>
      </c>
      <c r="F1871" s="7" t="s">
        <v>232</v>
      </c>
      <c r="G1871" s="7" t="s">
        <v>505</v>
      </c>
      <c r="H1871" s="6" t="n">
        <v>2.81</v>
      </c>
      <c r="I1871" s="6" t="n">
        <v>0</v>
      </c>
      <c r="J1871" s="40" t="n">
        <f aca="false">H1871-I1871</f>
        <v>2.81</v>
      </c>
      <c r="K1871" s="41" t="n">
        <v>26.5</v>
      </c>
      <c r="L1871" s="42" t="n">
        <f aca="false">J1871*K1871</f>
        <v>74.465</v>
      </c>
      <c r="M1871" s="43" t="n">
        <f aca="false">H1871*16.17*(1+'Chart of Accounts'!$E$67)</f>
        <v>52.0261665</v>
      </c>
    </row>
    <row r="1872" customFormat="false" ht="15" hidden="false" customHeight="false" outlineLevel="0" collapsed="false">
      <c r="B1872" s="7" t="s">
        <v>2369</v>
      </c>
      <c r="C1872" s="39" t="n">
        <v>45754</v>
      </c>
      <c r="D1872" s="7" t="s">
        <v>339</v>
      </c>
      <c r="E1872" s="7" t="s">
        <v>154</v>
      </c>
      <c r="F1872" s="7" t="s">
        <v>242</v>
      </c>
      <c r="G1872" s="7" t="s">
        <v>505</v>
      </c>
      <c r="H1872" s="6" t="n">
        <v>3.32</v>
      </c>
      <c r="I1872" s="6" t="n">
        <v>0</v>
      </c>
      <c r="J1872" s="40" t="n">
        <f aca="false">H1872-I1872</f>
        <v>3.32</v>
      </c>
      <c r="K1872" s="41" t="n">
        <v>26.5</v>
      </c>
      <c r="L1872" s="42" t="n">
        <f aca="false">J1872*K1872</f>
        <v>87.98</v>
      </c>
      <c r="M1872" s="43" t="n">
        <f aca="false">H1872*17.99*(1+'Chart of Accounts'!$E$67)</f>
        <v>68.387186</v>
      </c>
    </row>
    <row r="1873" customFormat="false" ht="15" hidden="false" customHeight="false" outlineLevel="0" collapsed="false">
      <c r="B1873" s="7" t="s">
        <v>2370</v>
      </c>
      <c r="C1873" s="39" t="n">
        <v>45754</v>
      </c>
      <c r="D1873" s="7" t="s">
        <v>341</v>
      </c>
      <c r="E1873" s="7" t="s">
        <v>156</v>
      </c>
      <c r="F1873" s="7" t="s">
        <v>222</v>
      </c>
      <c r="G1873" s="7" t="s">
        <v>505</v>
      </c>
      <c r="H1873" s="6" t="n">
        <v>3.3</v>
      </c>
      <c r="I1873" s="6" t="n">
        <v>0</v>
      </c>
      <c r="J1873" s="40" t="n">
        <f aca="false">H1873-I1873</f>
        <v>3.3</v>
      </c>
      <c r="K1873" s="41" t="n">
        <v>34</v>
      </c>
      <c r="L1873" s="42" t="n">
        <f aca="false">J1873*K1873</f>
        <v>112.2</v>
      </c>
      <c r="M1873" s="43" t="n">
        <f aca="false">H1873*17.84*(1+'Chart of Accounts'!$E$67)</f>
        <v>67.40844</v>
      </c>
    </row>
    <row r="1874" customFormat="false" ht="15" hidden="false" customHeight="false" outlineLevel="0" collapsed="false">
      <c r="B1874" s="7" t="s">
        <v>2371</v>
      </c>
      <c r="C1874" s="39" t="n">
        <v>45754</v>
      </c>
      <c r="D1874" s="7" t="s">
        <v>343</v>
      </c>
      <c r="E1874" s="7" t="s">
        <v>154</v>
      </c>
      <c r="F1874" s="7" t="s">
        <v>262</v>
      </c>
      <c r="G1874" s="7" t="s">
        <v>505</v>
      </c>
      <c r="H1874" s="6" t="n">
        <v>3.95</v>
      </c>
      <c r="I1874" s="6" t="n">
        <v>0.118</v>
      </c>
      <c r="J1874" s="40" t="n">
        <f aca="false">H1874-I1874</f>
        <v>3.832</v>
      </c>
      <c r="K1874" s="41" t="n">
        <v>26.5</v>
      </c>
      <c r="L1874" s="42" t="n">
        <f aca="false">J1874*K1874</f>
        <v>101.548</v>
      </c>
      <c r="M1874" s="43" t="n">
        <f aca="false">H1874*16.02*(1+'Chart of Accounts'!$E$67)</f>
        <v>72.454455</v>
      </c>
    </row>
    <row r="1875" customFormat="false" ht="15" hidden="false" customHeight="false" outlineLevel="0" collapsed="false">
      <c r="B1875" s="7" t="s">
        <v>2372</v>
      </c>
      <c r="C1875" s="39" t="n">
        <v>45754</v>
      </c>
      <c r="D1875" s="7" t="s">
        <v>351</v>
      </c>
      <c r="E1875" s="7" t="s">
        <v>154</v>
      </c>
      <c r="F1875" s="7" t="s">
        <v>201</v>
      </c>
      <c r="G1875" s="7" t="s">
        <v>505</v>
      </c>
      <c r="H1875" s="6" t="n">
        <v>2.79</v>
      </c>
      <c r="I1875" s="6" t="n">
        <v>0</v>
      </c>
      <c r="J1875" s="40" t="n">
        <f aca="false">H1875-I1875</f>
        <v>2.79</v>
      </c>
      <c r="K1875" s="41" t="n">
        <v>26.5</v>
      </c>
      <c r="L1875" s="42" t="n">
        <f aca="false">J1875*K1875</f>
        <v>73.935</v>
      </c>
      <c r="M1875" s="43" t="n">
        <f aca="false">H1875*15.19*(1+'Chart of Accounts'!$E$67)</f>
        <v>48.5252145</v>
      </c>
    </row>
    <row r="1876" customFormat="false" ht="15" hidden="false" customHeight="false" outlineLevel="0" collapsed="false">
      <c r="B1876" s="7" t="s">
        <v>2373</v>
      </c>
      <c r="C1876" s="39" t="n">
        <v>45754</v>
      </c>
      <c r="D1876" s="7" t="s">
        <v>353</v>
      </c>
      <c r="E1876" s="7" t="s">
        <v>154</v>
      </c>
      <c r="F1876" s="7" t="s">
        <v>254</v>
      </c>
      <c r="G1876" s="7" t="s">
        <v>505</v>
      </c>
      <c r="H1876" s="6" t="n">
        <v>3.07</v>
      </c>
      <c r="I1876" s="6" t="n">
        <v>0</v>
      </c>
      <c r="J1876" s="40" t="n">
        <f aca="false">H1876-I1876</f>
        <v>3.07</v>
      </c>
      <c r="K1876" s="41" t="n">
        <v>26.5</v>
      </c>
      <c r="L1876" s="42" t="n">
        <f aca="false">J1876*K1876</f>
        <v>81.355</v>
      </c>
      <c r="M1876" s="43" t="n">
        <f aca="false">H1876*17.1*(1+'Chart of Accounts'!$E$67)</f>
        <v>60.109065</v>
      </c>
    </row>
    <row r="1877" customFormat="false" ht="15" hidden="false" customHeight="false" outlineLevel="0" collapsed="false">
      <c r="B1877" s="7" t="s">
        <v>2374</v>
      </c>
      <c r="C1877" s="39" t="n">
        <v>45754</v>
      </c>
      <c r="D1877" s="7" t="s">
        <v>355</v>
      </c>
      <c r="E1877" s="7" t="s">
        <v>154</v>
      </c>
      <c r="F1877" s="7" t="s">
        <v>201</v>
      </c>
      <c r="G1877" s="7" t="s">
        <v>505</v>
      </c>
      <c r="H1877" s="6" t="n">
        <v>3.04</v>
      </c>
      <c r="I1877" s="6" t="n">
        <v>0</v>
      </c>
      <c r="J1877" s="40" t="n">
        <f aca="false">H1877-I1877</f>
        <v>3.04</v>
      </c>
      <c r="K1877" s="41" t="n">
        <v>26.5</v>
      </c>
      <c r="L1877" s="42" t="n">
        <f aca="false">J1877*K1877</f>
        <v>80.56</v>
      </c>
      <c r="M1877" s="43" t="n">
        <f aca="false">H1877*15.19*(1+'Chart of Accounts'!$E$67)</f>
        <v>52.873352</v>
      </c>
    </row>
    <row r="1878" customFormat="false" ht="15" hidden="false" customHeight="false" outlineLevel="0" collapsed="false">
      <c r="B1878" s="7" t="s">
        <v>2375</v>
      </c>
      <c r="C1878" s="39" t="n">
        <v>45754</v>
      </c>
      <c r="D1878" s="7" t="s">
        <v>357</v>
      </c>
      <c r="E1878" s="7" t="s">
        <v>154</v>
      </c>
      <c r="F1878" s="7" t="s">
        <v>207</v>
      </c>
      <c r="G1878" s="7" t="s">
        <v>505</v>
      </c>
      <c r="H1878" s="6" t="n">
        <v>3.4</v>
      </c>
      <c r="I1878" s="6" t="n">
        <v>0.102</v>
      </c>
      <c r="J1878" s="40" t="n">
        <f aca="false">H1878-I1878</f>
        <v>3.298</v>
      </c>
      <c r="K1878" s="41" t="n">
        <v>26.5</v>
      </c>
      <c r="L1878" s="42" t="n">
        <f aca="false">J1878*K1878</f>
        <v>87.397</v>
      </c>
      <c r="M1878" s="43" t="n">
        <f aca="false">H1878*16.65*(1+'Chart of Accounts'!$E$67)</f>
        <v>64.81845</v>
      </c>
    </row>
    <row r="1879" customFormat="false" ht="15" hidden="false" customHeight="false" outlineLevel="0" collapsed="false">
      <c r="B1879" s="7" t="s">
        <v>2376</v>
      </c>
      <c r="C1879" s="39" t="n">
        <v>45754</v>
      </c>
      <c r="D1879" s="7" t="s">
        <v>359</v>
      </c>
      <c r="E1879" s="7" t="s">
        <v>156</v>
      </c>
      <c r="F1879" s="7" t="s">
        <v>212</v>
      </c>
      <c r="G1879" s="7" t="s">
        <v>505</v>
      </c>
      <c r="H1879" s="6" t="n">
        <v>4.27</v>
      </c>
      <c r="I1879" s="6" t="n">
        <v>0</v>
      </c>
      <c r="J1879" s="40" t="n">
        <f aca="false">H1879-I1879</f>
        <v>4.27</v>
      </c>
      <c r="K1879" s="41" t="n">
        <v>34</v>
      </c>
      <c r="L1879" s="42" t="n">
        <f aca="false">J1879*K1879</f>
        <v>145.18</v>
      </c>
      <c r="M1879" s="43" t="n">
        <f aca="false">H1879*16.71*(1+'Chart of Accounts'!$E$67)</f>
        <v>81.6976965</v>
      </c>
    </row>
    <row r="1880" customFormat="false" ht="15" hidden="false" customHeight="false" outlineLevel="0" collapsed="false">
      <c r="B1880" s="7" t="s">
        <v>2377</v>
      </c>
      <c r="C1880" s="39" t="n">
        <v>45754</v>
      </c>
      <c r="D1880" s="7" t="s">
        <v>363</v>
      </c>
      <c r="E1880" s="7" t="s">
        <v>156</v>
      </c>
      <c r="F1880" s="7" t="s">
        <v>246</v>
      </c>
      <c r="G1880" s="7" t="s">
        <v>505</v>
      </c>
      <c r="H1880" s="6" t="n">
        <v>4.17</v>
      </c>
      <c r="I1880" s="6" t="n">
        <v>0</v>
      </c>
      <c r="J1880" s="40" t="n">
        <f aca="false">H1880-I1880</f>
        <v>4.17</v>
      </c>
      <c r="K1880" s="41" t="n">
        <v>34</v>
      </c>
      <c r="L1880" s="42" t="n">
        <f aca="false">J1880*K1880</f>
        <v>141.78</v>
      </c>
      <c r="M1880" s="43" t="n">
        <f aca="false">H1880*16.48*(1+'Chart of Accounts'!$E$67)</f>
        <v>78.686232</v>
      </c>
    </row>
    <row r="1881" customFormat="false" ht="15" hidden="false" customHeight="false" outlineLevel="0" collapsed="false">
      <c r="B1881" s="7" t="s">
        <v>2378</v>
      </c>
      <c r="C1881" s="39" t="n">
        <v>45754</v>
      </c>
      <c r="D1881" s="7" t="s">
        <v>371</v>
      </c>
      <c r="E1881" s="7" t="s">
        <v>154</v>
      </c>
      <c r="F1881" s="7" t="s">
        <v>232</v>
      </c>
      <c r="G1881" s="7" t="s">
        <v>505</v>
      </c>
      <c r="H1881" s="6" t="n">
        <v>4.94</v>
      </c>
      <c r="I1881" s="6" t="n">
        <v>0</v>
      </c>
      <c r="J1881" s="40" t="n">
        <f aca="false">H1881-I1881</f>
        <v>4.94</v>
      </c>
      <c r="K1881" s="41" t="n">
        <v>26.5</v>
      </c>
      <c r="L1881" s="42" t="n">
        <f aca="false">J1881*K1881</f>
        <v>130.91</v>
      </c>
      <c r="M1881" s="43" t="n">
        <f aca="false">H1881*16.17*(1+'Chart of Accounts'!$E$67)</f>
        <v>91.462371</v>
      </c>
    </row>
    <row r="1882" customFormat="false" ht="15" hidden="false" customHeight="false" outlineLevel="0" collapsed="false">
      <c r="B1882" s="7" t="s">
        <v>2379</v>
      </c>
      <c r="C1882" s="39" t="n">
        <v>45754</v>
      </c>
      <c r="D1882" s="7" t="s">
        <v>375</v>
      </c>
      <c r="E1882" s="7" t="s">
        <v>156</v>
      </c>
      <c r="F1882" s="7" t="s">
        <v>196</v>
      </c>
      <c r="G1882" s="7" t="s">
        <v>505</v>
      </c>
      <c r="H1882" s="6" t="n">
        <v>2.99</v>
      </c>
      <c r="I1882" s="6" t="n">
        <v>0</v>
      </c>
      <c r="J1882" s="40" t="n">
        <f aca="false">H1882-I1882</f>
        <v>2.99</v>
      </c>
      <c r="K1882" s="41" t="n">
        <v>34</v>
      </c>
      <c r="L1882" s="42" t="n">
        <f aca="false">J1882*K1882</f>
        <v>101.66</v>
      </c>
      <c r="M1882" s="43" t="n">
        <f aca="false">H1882*15.05*(1+'Chart of Accounts'!$E$67)</f>
        <v>51.5244275</v>
      </c>
    </row>
    <row r="1883" customFormat="false" ht="15" hidden="false" customHeight="false" outlineLevel="0" collapsed="false">
      <c r="B1883" s="7" t="s">
        <v>2380</v>
      </c>
      <c r="C1883" s="39" t="n">
        <v>45754</v>
      </c>
      <c r="D1883" s="7" t="s">
        <v>377</v>
      </c>
      <c r="E1883" s="7" t="s">
        <v>154</v>
      </c>
      <c r="F1883" s="7" t="s">
        <v>214</v>
      </c>
      <c r="G1883" s="7" t="s">
        <v>505</v>
      </c>
      <c r="H1883" s="6" t="n">
        <v>3.99</v>
      </c>
      <c r="I1883" s="6" t="n">
        <v>0</v>
      </c>
      <c r="J1883" s="40" t="n">
        <f aca="false">H1883-I1883</f>
        <v>3.99</v>
      </c>
      <c r="K1883" s="41" t="n">
        <v>26.5</v>
      </c>
      <c r="L1883" s="42" t="n">
        <f aca="false">J1883*K1883</f>
        <v>105.735</v>
      </c>
      <c r="M1883" s="43" t="n">
        <f aca="false">H1883*15.67*(1+'Chart of Accounts'!$E$67)</f>
        <v>71.5891785</v>
      </c>
    </row>
    <row r="1884" customFormat="false" ht="15" hidden="false" customHeight="false" outlineLevel="0" collapsed="false">
      <c r="B1884" s="7" t="s">
        <v>2381</v>
      </c>
      <c r="C1884" s="39" t="n">
        <v>45754</v>
      </c>
      <c r="D1884" s="7" t="s">
        <v>379</v>
      </c>
      <c r="E1884" s="7" t="s">
        <v>156</v>
      </c>
      <c r="F1884" s="7" t="s">
        <v>224</v>
      </c>
      <c r="G1884" s="7" t="s">
        <v>505</v>
      </c>
      <c r="H1884" s="6" t="n">
        <v>4.3</v>
      </c>
      <c r="I1884" s="6" t="n">
        <v>0</v>
      </c>
      <c r="J1884" s="40" t="n">
        <f aca="false">H1884-I1884</f>
        <v>4.3</v>
      </c>
      <c r="K1884" s="41" t="n">
        <v>34</v>
      </c>
      <c r="L1884" s="42" t="n">
        <f aca="false">J1884*K1884</f>
        <v>146.2</v>
      </c>
      <c r="M1884" s="43" t="n">
        <f aca="false">H1884*14.93*(1+'Chart of Accounts'!$E$67)</f>
        <v>73.507855</v>
      </c>
    </row>
    <row r="1885" customFormat="false" ht="15" hidden="false" customHeight="false" outlineLevel="0" collapsed="false">
      <c r="B1885" s="7" t="s">
        <v>2382</v>
      </c>
      <c r="C1885" s="39" t="n">
        <v>45754</v>
      </c>
      <c r="D1885" s="7" t="s">
        <v>389</v>
      </c>
      <c r="E1885" s="7" t="s">
        <v>154</v>
      </c>
      <c r="F1885" s="7" t="s">
        <v>246</v>
      </c>
      <c r="G1885" s="7" t="s">
        <v>505</v>
      </c>
      <c r="H1885" s="6" t="n">
        <v>4.1</v>
      </c>
      <c r="I1885" s="6" t="n">
        <v>0.123</v>
      </c>
      <c r="J1885" s="40" t="n">
        <f aca="false">H1885-I1885</f>
        <v>3.977</v>
      </c>
      <c r="K1885" s="41" t="n">
        <v>26.5</v>
      </c>
      <c r="L1885" s="42" t="n">
        <f aca="false">J1885*K1885</f>
        <v>105.3905</v>
      </c>
      <c r="M1885" s="43" t="n">
        <f aca="false">H1885*16.48*(1+'Chart of Accounts'!$E$67)</f>
        <v>77.36536</v>
      </c>
    </row>
    <row r="1886" customFormat="false" ht="15" hidden="false" customHeight="false" outlineLevel="0" collapsed="false">
      <c r="B1886" s="7" t="s">
        <v>2383</v>
      </c>
      <c r="C1886" s="39" t="n">
        <v>45754</v>
      </c>
      <c r="D1886" s="7" t="s">
        <v>391</v>
      </c>
      <c r="E1886" s="7" t="s">
        <v>156</v>
      </c>
      <c r="F1886" s="7" t="s">
        <v>222</v>
      </c>
      <c r="G1886" s="7" t="s">
        <v>505</v>
      </c>
      <c r="H1886" s="6" t="n">
        <v>3.64</v>
      </c>
      <c r="I1886" s="6" t="n">
        <v>0</v>
      </c>
      <c r="J1886" s="40" t="n">
        <f aca="false">H1886-I1886</f>
        <v>3.64</v>
      </c>
      <c r="K1886" s="41" t="n">
        <v>34</v>
      </c>
      <c r="L1886" s="42" t="n">
        <f aca="false">J1886*K1886</f>
        <v>123.76</v>
      </c>
      <c r="M1886" s="43" t="n">
        <f aca="false">H1886*17.84*(1+'Chart of Accounts'!$E$67)</f>
        <v>74.353552</v>
      </c>
    </row>
    <row r="1887" customFormat="false" ht="15" hidden="false" customHeight="false" outlineLevel="0" collapsed="false">
      <c r="B1887" s="7" t="s">
        <v>2384</v>
      </c>
      <c r="C1887" s="39" t="n">
        <v>45754</v>
      </c>
      <c r="D1887" s="7" t="s">
        <v>395</v>
      </c>
      <c r="E1887" s="7" t="s">
        <v>156</v>
      </c>
      <c r="F1887" s="7" t="s">
        <v>242</v>
      </c>
      <c r="G1887" s="7" t="s">
        <v>505</v>
      </c>
      <c r="H1887" s="6" t="n">
        <v>4.38</v>
      </c>
      <c r="I1887" s="6" t="n">
        <v>0</v>
      </c>
      <c r="J1887" s="40" t="n">
        <f aca="false">H1887-I1887</f>
        <v>4.38</v>
      </c>
      <c r="K1887" s="41" t="n">
        <v>34</v>
      </c>
      <c r="L1887" s="42" t="n">
        <f aca="false">J1887*K1887</f>
        <v>148.92</v>
      </c>
      <c r="M1887" s="43" t="n">
        <f aca="false">H1887*17.99*(1+'Chart of Accounts'!$E$67)</f>
        <v>90.221649</v>
      </c>
    </row>
    <row r="1888" customFormat="false" ht="15" hidden="false" customHeight="false" outlineLevel="0" collapsed="false">
      <c r="B1888" s="7" t="s">
        <v>2385</v>
      </c>
      <c r="C1888" s="39" t="n">
        <v>45754</v>
      </c>
      <c r="D1888" s="7" t="s">
        <v>399</v>
      </c>
      <c r="E1888" s="7" t="s">
        <v>154</v>
      </c>
      <c r="F1888" s="7" t="s">
        <v>262</v>
      </c>
      <c r="G1888" s="7" t="s">
        <v>505</v>
      </c>
      <c r="H1888" s="6" t="n">
        <v>3.1</v>
      </c>
      <c r="I1888" s="6" t="n">
        <v>0.093</v>
      </c>
      <c r="J1888" s="40" t="n">
        <f aca="false">H1888-I1888</f>
        <v>3.007</v>
      </c>
      <c r="K1888" s="41" t="n">
        <v>26.5</v>
      </c>
      <c r="L1888" s="42" t="n">
        <f aca="false">J1888*K1888</f>
        <v>79.6855</v>
      </c>
      <c r="M1888" s="43" t="n">
        <f aca="false">H1888*16.02*(1+'Chart of Accounts'!$E$67)</f>
        <v>56.86299</v>
      </c>
    </row>
    <row r="1889" customFormat="false" ht="15" hidden="false" customHeight="false" outlineLevel="0" collapsed="false">
      <c r="B1889" s="7" t="s">
        <v>2386</v>
      </c>
      <c r="C1889" s="39" t="n">
        <v>45754</v>
      </c>
      <c r="D1889" s="7" t="s">
        <v>401</v>
      </c>
      <c r="E1889" s="7" t="s">
        <v>156</v>
      </c>
      <c r="F1889" s="7" t="s">
        <v>254</v>
      </c>
      <c r="G1889" s="7" t="s">
        <v>505</v>
      </c>
      <c r="H1889" s="6" t="n">
        <v>3.66</v>
      </c>
      <c r="I1889" s="6" t="n">
        <v>0</v>
      </c>
      <c r="J1889" s="40" t="n">
        <f aca="false">H1889-I1889</f>
        <v>3.66</v>
      </c>
      <c r="K1889" s="41" t="n">
        <v>34</v>
      </c>
      <c r="L1889" s="42" t="n">
        <f aca="false">J1889*K1889</f>
        <v>124.44</v>
      </c>
      <c r="M1889" s="43" t="n">
        <f aca="false">H1889*17.1*(1+'Chart of Accounts'!$E$67)</f>
        <v>71.66097</v>
      </c>
    </row>
    <row r="1890" customFormat="false" ht="15" hidden="false" customHeight="false" outlineLevel="0" collapsed="false">
      <c r="B1890" s="7" t="s">
        <v>2387</v>
      </c>
      <c r="C1890" s="39" t="n">
        <v>45754</v>
      </c>
      <c r="D1890" s="7" t="s">
        <v>409</v>
      </c>
      <c r="E1890" s="7" t="s">
        <v>154</v>
      </c>
      <c r="F1890" s="7" t="s">
        <v>214</v>
      </c>
      <c r="G1890" s="7" t="s">
        <v>505</v>
      </c>
      <c r="H1890" s="6" t="n">
        <v>3.53</v>
      </c>
      <c r="I1890" s="6" t="n">
        <v>0</v>
      </c>
      <c r="J1890" s="40" t="n">
        <f aca="false">H1890-I1890</f>
        <v>3.53</v>
      </c>
      <c r="K1890" s="41" t="n">
        <v>26.5</v>
      </c>
      <c r="L1890" s="42" t="n">
        <f aca="false">J1890*K1890</f>
        <v>93.545</v>
      </c>
      <c r="M1890" s="43" t="n">
        <f aca="false">H1890*15.67*(1+'Chart of Accounts'!$E$67)</f>
        <v>63.3357895</v>
      </c>
    </row>
    <row r="1891" customFormat="false" ht="15" hidden="false" customHeight="false" outlineLevel="0" collapsed="false">
      <c r="B1891" s="7" t="s">
        <v>2388</v>
      </c>
      <c r="C1891" s="39" t="n">
        <v>45754</v>
      </c>
      <c r="D1891" s="7" t="s">
        <v>411</v>
      </c>
      <c r="E1891" s="7" t="s">
        <v>154</v>
      </c>
      <c r="F1891" s="7" t="s">
        <v>177</v>
      </c>
      <c r="G1891" s="7" t="s">
        <v>505</v>
      </c>
      <c r="H1891" s="6" t="n">
        <v>4.66</v>
      </c>
      <c r="I1891" s="6" t="n">
        <v>0</v>
      </c>
      <c r="J1891" s="40" t="n">
        <f aca="false">H1891-I1891</f>
        <v>4.66</v>
      </c>
      <c r="K1891" s="41" t="n">
        <v>26.5</v>
      </c>
      <c r="L1891" s="42" t="n">
        <f aca="false">J1891*K1891</f>
        <v>123.49</v>
      </c>
      <c r="M1891" s="43" t="n">
        <f aca="false">H1891*14.56*(1+'Chart of Accounts'!$E$67)</f>
        <v>77.687792</v>
      </c>
    </row>
    <row r="1892" customFormat="false" ht="15" hidden="false" customHeight="false" outlineLevel="0" collapsed="false">
      <c r="B1892" s="7" t="s">
        <v>2389</v>
      </c>
      <c r="C1892" s="39" t="n">
        <v>45755</v>
      </c>
      <c r="D1892" s="7" t="s">
        <v>288</v>
      </c>
      <c r="E1892" s="7" t="s">
        <v>156</v>
      </c>
      <c r="F1892" s="7" t="s">
        <v>191</v>
      </c>
      <c r="G1892" s="7" t="s">
        <v>505</v>
      </c>
      <c r="H1892" s="6" t="n">
        <v>4.29</v>
      </c>
      <c r="I1892" s="6" t="n">
        <v>0</v>
      </c>
      <c r="J1892" s="40" t="n">
        <f aca="false">H1892-I1892</f>
        <v>4.29</v>
      </c>
      <c r="K1892" s="41" t="n">
        <v>34</v>
      </c>
      <c r="L1892" s="42" t="n">
        <f aca="false">J1892*K1892</f>
        <v>145.86</v>
      </c>
      <c r="M1892" s="43" t="n">
        <f aca="false">H1892*16.05*(1+'Chart of Accounts'!$E$67)</f>
        <v>78.8384025</v>
      </c>
    </row>
    <row r="1893" customFormat="false" ht="15" hidden="false" customHeight="false" outlineLevel="0" collapsed="false">
      <c r="B1893" s="7" t="s">
        <v>2390</v>
      </c>
      <c r="C1893" s="39" t="n">
        <v>45755</v>
      </c>
      <c r="D1893" s="7" t="s">
        <v>301</v>
      </c>
      <c r="E1893" s="7" t="s">
        <v>157</v>
      </c>
      <c r="F1893" s="7" t="s">
        <v>209</v>
      </c>
      <c r="G1893" s="7" t="s">
        <v>502</v>
      </c>
      <c r="H1893" s="6" t="n">
        <v>0.91</v>
      </c>
      <c r="I1893" s="6" t="n">
        <v>0</v>
      </c>
      <c r="J1893" s="40" t="n">
        <f aca="false">H1893-I1893</f>
        <v>0.91</v>
      </c>
      <c r="K1893" s="41" t="n">
        <v>165</v>
      </c>
      <c r="L1893" s="42" t="n">
        <f aca="false">J1893*K1893</f>
        <v>150.15</v>
      </c>
      <c r="M1893" s="43" t="n">
        <f aca="false">H1893*73.58*(1+'Chart of Accounts'!$E$67)</f>
        <v>76.666681</v>
      </c>
    </row>
    <row r="1894" customFormat="false" ht="15" hidden="false" customHeight="false" outlineLevel="0" collapsed="false">
      <c r="B1894" s="7" t="s">
        <v>2391</v>
      </c>
      <c r="C1894" s="39" t="n">
        <v>45755</v>
      </c>
      <c r="D1894" s="7" t="s">
        <v>313</v>
      </c>
      <c r="E1894" s="7" t="s">
        <v>156</v>
      </c>
      <c r="F1894" s="7" t="s">
        <v>184</v>
      </c>
      <c r="G1894" s="7" t="s">
        <v>505</v>
      </c>
      <c r="H1894" s="6" t="n">
        <v>3.91</v>
      </c>
      <c r="I1894" s="6" t="n">
        <v>0</v>
      </c>
      <c r="J1894" s="40" t="n">
        <f aca="false">H1894-I1894</f>
        <v>3.91</v>
      </c>
      <c r="K1894" s="41" t="n">
        <v>34</v>
      </c>
      <c r="L1894" s="42" t="n">
        <f aca="false">J1894*K1894</f>
        <v>132.94</v>
      </c>
      <c r="M1894" s="43" t="n">
        <f aca="false">H1894*17.34*(1+'Chart of Accounts'!$E$67)</f>
        <v>77.630313</v>
      </c>
    </row>
    <row r="1895" customFormat="false" ht="15" hidden="false" customHeight="false" outlineLevel="0" collapsed="false">
      <c r="B1895" s="7" t="s">
        <v>2392</v>
      </c>
      <c r="C1895" s="39" t="n">
        <v>45755</v>
      </c>
      <c r="D1895" s="7" t="s">
        <v>319</v>
      </c>
      <c r="E1895" s="7" t="s">
        <v>157</v>
      </c>
      <c r="F1895" s="7" t="s">
        <v>234</v>
      </c>
      <c r="G1895" s="7" t="s">
        <v>502</v>
      </c>
      <c r="H1895" s="6" t="n">
        <v>0.99</v>
      </c>
      <c r="I1895" s="6" t="n">
        <v>0</v>
      </c>
      <c r="J1895" s="40" t="n">
        <f aca="false">H1895-I1895</f>
        <v>0.99</v>
      </c>
      <c r="K1895" s="41" t="n">
        <v>165</v>
      </c>
      <c r="L1895" s="42" t="n">
        <f aca="false">J1895*K1895</f>
        <v>163.35</v>
      </c>
      <c r="M1895" s="43" t="n">
        <f aca="false">H1895*89.53*(1+'Chart of Accounts'!$E$67)</f>
        <v>101.4867315</v>
      </c>
    </row>
    <row r="1896" customFormat="false" ht="15" hidden="false" customHeight="false" outlineLevel="0" collapsed="false">
      <c r="B1896" s="7" t="s">
        <v>2393</v>
      </c>
      <c r="C1896" s="39" t="n">
        <v>45755</v>
      </c>
      <c r="D1896" s="7" t="s">
        <v>321</v>
      </c>
      <c r="E1896" s="7" t="s">
        <v>154</v>
      </c>
      <c r="F1896" s="7" t="s">
        <v>218</v>
      </c>
      <c r="G1896" s="7" t="s">
        <v>505</v>
      </c>
      <c r="H1896" s="6" t="n">
        <v>4.29</v>
      </c>
      <c r="I1896" s="6" t="n">
        <v>0</v>
      </c>
      <c r="J1896" s="40" t="n">
        <f aca="false">H1896-I1896</f>
        <v>4.29</v>
      </c>
      <c r="K1896" s="41" t="n">
        <v>26.5</v>
      </c>
      <c r="L1896" s="42" t="n">
        <f aca="false">J1896*K1896</f>
        <v>113.685</v>
      </c>
      <c r="M1896" s="43" t="n">
        <f aca="false">H1896*16.19*(1+'Chart of Accounts'!$E$67)</f>
        <v>79.5260895</v>
      </c>
    </row>
    <row r="1897" customFormat="false" ht="15" hidden="false" customHeight="false" outlineLevel="0" collapsed="false">
      <c r="B1897" s="7" t="s">
        <v>2394</v>
      </c>
      <c r="C1897" s="39" t="n">
        <v>45755</v>
      </c>
      <c r="D1897" s="7" t="s">
        <v>323</v>
      </c>
      <c r="E1897" s="7" t="s">
        <v>159</v>
      </c>
      <c r="F1897" s="7" t="s">
        <v>266</v>
      </c>
      <c r="G1897" s="7" t="s">
        <v>502</v>
      </c>
      <c r="H1897" s="6" t="n">
        <v>1</v>
      </c>
      <c r="I1897" s="6" t="n">
        <v>0</v>
      </c>
      <c r="J1897" s="40" t="n">
        <f aca="false">H1897-I1897</f>
        <v>1</v>
      </c>
      <c r="K1897" s="41" t="n">
        <v>135</v>
      </c>
      <c r="L1897" s="42" t="n">
        <f aca="false">J1897*K1897</f>
        <v>135</v>
      </c>
      <c r="M1897" s="43" t="n">
        <f aca="false">H1897*75.18*(1+'Chart of Accounts'!$E$67)</f>
        <v>86.0811</v>
      </c>
    </row>
    <row r="1898" customFormat="false" ht="15" hidden="false" customHeight="false" outlineLevel="0" collapsed="false">
      <c r="B1898" s="7" t="s">
        <v>2395</v>
      </c>
      <c r="C1898" s="39" t="n">
        <v>45755</v>
      </c>
      <c r="D1898" s="7" t="s">
        <v>327</v>
      </c>
      <c r="E1898" s="7" t="s">
        <v>157</v>
      </c>
      <c r="F1898" s="7" t="s">
        <v>228</v>
      </c>
      <c r="G1898" s="7" t="s">
        <v>502</v>
      </c>
      <c r="H1898" s="6" t="n">
        <v>1</v>
      </c>
      <c r="I1898" s="6" t="n">
        <v>0</v>
      </c>
      <c r="J1898" s="40" t="n">
        <f aca="false">H1898-I1898</f>
        <v>1</v>
      </c>
      <c r="K1898" s="41" t="n">
        <v>165</v>
      </c>
      <c r="L1898" s="42" t="n">
        <f aca="false">J1898*K1898</f>
        <v>165</v>
      </c>
      <c r="M1898" s="43" t="n">
        <f aca="false">H1898*51.07*(1+'Chart of Accounts'!$E$67)</f>
        <v>58.47515</v>
      </c>
    </row>
    <row r="1899" customFormat="false" ht="15" hidden="false" customHeight="false" outlineLevel="0" collapsed="false">
      <c r="B1899" s="7" t="s">
        <v>2396</v>
      </c>
      <c r="C1899" s="39" t="n">
        <v>45755</v>
      </c>
      <c r="D1899" s="7" t="s">
        <v>329</v>
      </c>
      <c r="E1899" s="7" t="s">
        <v>156</v>
      </c>
      <c r="F1899" s="7" t="s">
        <v>220</v>
      </c>
      <c r="G1899" s="7" t="s">
        <v>505</v>
      </c>
      <c r="H1899" s="6" t="n">
        <v>4.13</v>
      </c>
      <c r="I1899" s="6" t="n">
        <v>0</v>
      </c>
      <c r="J1899" s="40" t="n">
        <f aca="false">H1899-I1899</f>
        <v>4.13</v>
      </c>
      <c r="K1899" s="41" t="n">
        <v>34</v>
      </c>
      <c r="L1899" s="42" t="n">
        <f aca="false">J1899*K1899</f>
        <v>140.42</v>
      </c>
      <c r="M1899" s="43" t="n">
        <f aca="false">H1899*16.43*(1+'Chart of Accounts'!$E$67)</f>
        <v>77.6950055</v>
      </c>
    </row>
    <row r="1900" customFormat="false" ht="15" hidden="false" customHeight="false" outlineLevel="0" collapsed="false">
      <c r="B1900" s="7" t="s">
        <v>2397</v>
      </c>
      <c r="C1900" s="39" t="n">
        <v>45755</v>
      </c>
      <c r="D1900" s="7" t="s">
        <v>359</v>
      </c>
      <c r="E1900" s="7" t="s">
        <v>156</v>
      </c>
      <c r="F1900" s="7" t="s">
        <v>212</v>
      </c>
      <c r="G1900" s="7" t="s">
        <v>505</v>
      </c>
      <c r="H1900" s="6" t="n">
        <v>3.98</v>
      </c>
      <c r="I1900" s="6" t="n">
        <v>0</v>
      </c>
      <c r="J1900" s="40" t="n">
        <f aca="false">H1900-I1900</f>
        <v>3.98</v>
      </c>
      <c r="K1900" s="41" t="n">
        <v>34</v>
      </c>
      <c r="L1900" s="42" t="n">
        <f aca="false">J1900*K1900</f>
        <v>135.32</v>
      </c>
      <c r="M1900" s="43" t="n">
        <f aca="false">H1900*16.71*(1+'Chart of Accounts'!$E$67)</f>
        <v>76.149141</v>
      </c>
    </row>
    <row r="1901" customFormat="false" ht="15" hidden="false" customHeight="false" outlineLevel="0" collapsed="false">
      <c r="B1901" s="7" t="s">
        <v>2398</v>
      </c>
      <c r="C1901" s="39" t="n">
        <v>45755</v>
      </c>
      <c r="D1901" s="7" t="s">
        <v>361</v>
      </c>
      <c r="E1901" s="7" t="s">
        <v>157</v>
      </c>
      <c r="F1901" s="7" t="s">
        <v>209</v>
      </c>
      <c r="G1901" s="7" t="s">
        <v>502</v>
      </c>
      <c r="H1901" s="6" t="n">
        <v>0.98</v>
      </c>
      <c r="I1901" s="6" t="n">
        <v>0</v>
      </c>
      <c r="J1901" s="40" t="n">
        <f aca="false">H1901-I1901</f>
        <v>0.98</v>
      </c>
      <c r="K1901" s="41" t="n">
        <v>165</v>
      </c>
      <c r="L1901" s="42" t="n">
        <f aca="false">J1901*K1901</f>
        <v>161.7</v>
      </c>
      <c r="M1901" s="43" t="n">
        <f aca="false">H1901*73.58*(1+'Chart of Accounts'!$E$67)</f>
        <v>82.564118</v>
      </c>
    </row>
    <row r="1902" customFormat="false" ht="15" hidden="false" customHeight="false" outlineLevel="0" collapsed="false">
      <c r="B1902" s="7" t="s">
        <v>2399</v>
      </c>
      <c r="C1902" s="39" t="n">
        <v>45755</v>
      </c>
      <c r="D1902" s="7" t="s">
        <v>381</v>
      </c>
      <c r="E1902" s="7" t="s">
        <v>157</v>
      </c>
      <c r="F1902" s="7" t="s">
        <v>234</v>
      </c>
      <c r="G1902" s="7" t="s">
        <v>502</v>
      </c>
      <c r="H1902" s="6" t="n">
        <v>1.02</v>
      </c>
      <c r="I1902" s="6" t="n">
        <v>0</v>
      </c>
      <c r="J1902" s="40" t="n">
        <f aca="false">H1902-I1902</f>
        <v>1.02</v>
      </c>
      <c r="K1902" s="41" t="n">
        <v>165</v>
      </c>
      <c r="L1902" s="42" t="n">
        <f aca="false">J1902*K1902</f>
        <v>168.3</v>
      </c>
      <c r="M1902" s="43" t="n">
        <f aca="false">H1902*89.53*(1+'Chart of Accounts'!$E$67)</f>
        <v>104.562087</v>
      </c>
    </row>
    <row r="1903" customFormat="false" ht="15" hidden="false" customHeight="false" outlineLevel="0" collapsed="false">
      <c r="B1903" s="7" t="s">
        <v>2400</v>
      </c>
      <c r="C1903" s="39" t="n">
        <v>45755</v>
      </c>
      <c r="D1903" s="7" t="s">
        <v>389</v>
      </c>
      <c r="E1903" s="7" t="s">
        <v>154</v>
      </c>
      <c r="F1903" s="7" t="s">
        <v>246</v>
      </c>
      <c r="G1903" s="7" t="s">
        <v>505</v>
      </c>
      <c r="H1903" s="6" t="n">
        <v>3.86</v>
      </c>
      <c r="I1903" s="6" t="n">
        <v>0.116</v>
      </c>
      <c r="J1903" s="40" t="n">
        <f aca="false">H1903-I1903</f>
        <v>3.744</v>
      </c>
      <c r="K1903" s="41" t="n">
        <v>26.5</v>
      </c>
      <c r="L1903" s="42" t="n">
        <f aca="false">J1903*K1903</f>
        <v>99.216</v>
      </c>
      <c r="M1903" s="43" t="n">
        <f aca="false">H1903*16.48*(1+'Chart of Accounts'!$E$67)</f>
        <v>72.836656</v>
      </c>
    </row>
    <row r="1904" customFormat="false" ht="15" hidden="false" customHeight="false" outlineLevel="0" collapsed="false">
      <c r="B1904" s="7" t="s">
        <v>2401</v>
      </c>
      <c r="C1904" s="39" t="n">
        <v>45755</v>
      </c>
      <c r="D1904" s="7" t="s">
        <v>391</v>
      </c>
      <c r="E1904" s="7" t="s">
        <v>156</v>
      </c>
      <c r="F1904" s="7" t="s">
        <v>222</v>
      </c>
      <c r="G1904" s="7" t="s">
        <v>505</v>
      </c>
      <c r="H1904" s="6" t="n">
        <v>4.27</v>
      </c>
      <c r="I1904" s="6" t="n">
        <v>0</v>
      </c>
      <c r="J1904" s="40" t="n">
        <f aca="false">H1904-I1904</f>
        <v>4.27</v>
      </c>
      <c r="K1904" s="41" t="n">
        <v>34</v>
      </c>
      <c r="L1904" s="42" t="n">
        <f aca="false">J1904*K1904</f>
        <v>145.18</v>
      </c>
      <c r="M1904" s="43" t="n">
        <f aca="false">H1904*17.84*(1+'Chart of Accounts'!$E$67)</f>
        <v>87.222436</v>
      </c>
    </row>
    <row r="1905" customFormat="false" ht="15" hidden="false" customHeight="false" outlineLevel="0" collapsed="false">
      <c r="B1905" s="7" t="s">
        <v>2402</v>
      </c>
      <c r="C1905" s="39" t="n">
        <v>45755</v>
      </c>
      <c r="D1905" s="7" t="s">
        <v>395</v>
      </c>
      <c r="E1905" s="7" t="s">
        <v>156</v>
      </c>
      <c r="F1905" s="7" t="s">
        <v>242</v>
      </c>
      <c r="G1905" s="7" t="s">
        <v>505</v>
      </c>
      <c r="H1905" s="6" t="n">
        <v>3.62</v>
      </c>
      <c r="I1905" s="6" t="n">
        <v>0</v>
      </c>
      <c r="J1905" s="40" t="n">
        <f aca="false">H1905-I1905</f>
        <v>3.62</v>
      </c>
      <c r="K1905" s="41" t="n">
        <v>34</v>
      </c>
      <c r="L1905" s="42" t="n">
        <f aca="false">J1905*K1905</f>
        <v>123.08</v>
      </c>
      <c r="M1905" s="43" t="n">
        <f aca="false">H1905*17.99*(1+'Chart of Accounts'!$E$67)</f>
        <v>74.566751</v>
      </c>
    </row>
    <row r="1906" customFormat="false" ht="15" hidden="false" customHeight="false" outlineLevel="0" collapsed="false">
      <c r="B1906" s="7" t="s">
        <v>2403</v>
      </c>
      <c r="C1906" s="39" t="n">
        <v>45755</v>
      </c>
      <c r="D1906" s="7" t="s">
        <v>397</v>
      </c>
      <c r="E1906" s="7" t="s">
        <v>159</v>
      </c>
      <c r="F1906" s="7" t="s">
        <v>203</v>
      </c>
      <c r="G1906" s="7" t="s">
        <v>502</v>
      </c>
      <c r="H1906" s="6" t="n">
        <v>0.92</v>
      </c>
      <c r="I1906" s="6" t="n">
        <v>0</v>
      </c>
      <c r="J1906" s="40" t="n">
        <f aca="false">H1906-I1906</f>
        <v>0.92</v>
      </c>
      <c r="K1906" s="41" t="n">
        <v>135</v>
      </c>
      <c r="L1906" s="42" t="n">
        <f aca="false">J1906*K1906</f>
        <v>124.2</v>
      </c>
      <c r="M1906" s="43" t="n">
        <f aca="false">H1906*49.43*(1+'Chart of Accounts'!$E$67)</f>
        <v>52.069562</v>
      </c>
    </row>
    <row r="1907" customFormat="false" ht="15" hidden="false" customHeight="false" outlineLevel="0" collapsed="false">
      <c r="B1907" s="7" t="s">
        <v>2404</v>
      </c>
      <c r="C1907" s="39" t="n">
        <v>45755</v>
      </c>
      <c r="D1907" s="7" t="s">
        <v>401</v>
      </c>
      <c r="E1907" s="7" t="s">
        <v>156</v>
      </c>
      <c r="F1907" s="7" t="s">
        <v>254</v>
      </c>
      <c r="G1907" s="7" t="s">
        <v>505</v>
      </c>
      <c r="H1907" s="6" t="n">
        <v>3.88</v>
      </c>
      <c r="I1907" s="6" t="n">
        <v>0</v>
      </c>
      <c r="J1907" s="40" t="n">
        <f aca="false">H1907-I1907</f>
        <v>3.88</v>
      </c>
      <c r="K1907" s="41" t="n">
        <v>34</v>
      </c>
      <c r="L1907" s="42" t="n">
        <f aca="false">J1907*K1907</f>
        <v>131.92</v>
      </c>
      <c r="M1907" s="43" t="n">
        <f aca="false">H1907*17.1*(1+'Chart of Accounts'!$E$67)</f>
        <v>75.96846</v>
      </c>
    </row>
    <row r="1908" customFormat="false" ht="15" hidden="false" customHeight="false" outlineLevel="0" collapsed="false">
      <c r="B1908" s="7" t="s">
        <v>2405</v>
      </c>
      <c r="C1908" s="39" t="n">
        <v>45755</v>
      </c>
      <c r="D1908" s="7" t="s">
        <v>407</v>
      </c>
      <c r="E1908" s="7" t="s">
        <v>159</v>
      </c>
      <c r="F1908" s="7" t="s">
        <v>260</v>
      </c>
      <c r="G1908" s="7" t="s">
        <v>502</v>
      </c>
      <c r="H1908" s="6" t="n">
        <v>1.03</v>
      </c>
      <c r="I1908" s="6" t="n">
        <v>0</v>
      </c>
      <c r="J1908" s="40" t="n">
        <f aca="false">H1908-I1908</f>
        <v>1.03</v>
      </c>
      <c r="K1908" s="41" t="n">
        <v>135</v>
      </c>
      <c r="L1908" s="42" t="n">
        <f aca="false">J1908*K1908</f>
        <v>139.05</v>
      </c>
      <c r="M1908" s="43" t="n">
        <f aca="false">H1908*79.8*(1+'Chart of Accounts'!$E$67)</f>
        <v>94.11213</v>
      </c>
    </row>
    <row r="1909" customFormat="false" ht="15" hidden="false" customHeight="false" outlineLevel="0" collapsed="false">
      <c r="B1909" s="7" t="s">
        <v>2406</v>
      </c>
      <c r="C1909" s="39" t="n">
        <v>45756</v>
      </c>
      <c r="D1909" s="7" t="s">
        <v>280</v>
      </c>
      <c r="E1909" s="7" t="s">
        <v>157</v>
      </c>
      <c r="F1909" s="7" t="s">
        <v>187</v>
      </c>
      <c r="G1909" s="7" t="s">
        <v>502</v>
      </c>
      <c r="H1909" s="6" t="n">
        <v>0.91</v>
      </c>
      <c r="I1909" s="6" t="n">
        <v>0</v>
      </c>
      <c r="J1909" s="40" t="n">
        <f aca="false">H1909-I1909</f>
        <v>0.91</v>
      </c>
      <c r="K1909" s="41" t="n">
        <v>165</v>
      </c>
      <c r="L1909" s="42" t="n">
        <f aca="false">J1909*K1909</f>
        <v>150.15</v>
      </c>
      <c r="M1909" s="43" t="n">
        <f aca="false">H1909*66.48*(1+'Chart of Accounts'!$E$67)</f>
        <v>69.268836</v>
      </c>
    </row>
    <row r="1910" customFormat="false" ht="15" hidden="false" customHeight="false" outlineLevel="0" collapsed="false">
      <c r="B1910" s="7" t="s">
        <v>2407</v>
      </c>
      <c r="C1910" s="39" t="n">
        <v>45756</v>
      </c>
      <c r="D1910" s="7" t="s">
        <v>286</v>
      </c>
      <c r="E1910" s="7" t="s">
        <v>157</v>
      </c>
      <c r="F1910" s="7" t="s">
        <v>228</v>
      </c>
      <c r="G1910" s="7" t="s">
        <v>502</v>
      </c>
      <c r="H1910" s="6" t="n">
        <v>0.9</v>
      </c>
      <c r="I1910" s="6" t="n">
        <v>0</v>
      </c>
      <c r="J1910" s="40" t="n">
        <f aca="false">H1910-I1910</f>
        <v>0.9</v>
      </c>
      <c r="K1910" s="41" t="n">
        <v>165</v>
      </c>
      <c r="L1910" s="42" t="n">
        <f aca="false">J1910*K1910</f>
        <v>148.5</v>
      </c>
      <c r="M1910" s="43" t="n">
        <f aca="false">H1910*51.07*(1+'Chart of Accounts'!$E$67)</f>
        <v>52.627635</v>
      </c>
    </row>
    <row r="1911" customFormat="false" ht="15" hidden="false" customHeight="false" outlineLevel="0" collapsed="false">
      <c r="B1911" s="7" t="s">
        <v>2408</v>
      </c>
      <c r="C1911" s="39" t="n">
        <v>45756</v>
      </c>
      <c r="D1911" s="7" t="s">
        <v>288</v>
      </c>
      <c r="E1911" s="7" t="s">
        <v>156</v>
      </c>
      <c r="F1911" s="7" t="s">
        <v>191</v>
      </c>
      <c r="G1911" s="7" t="s">
        <v>505</v>
      </c>
      <c r="H1911" s="6" t="n">
        <v>4.29</v>
      </c>
      <c r="I1911" s="6" t="n">
        <v>0</v>
      </c>
      <c r="J1911" s="40" t="n">
        <f aca="false">H1911-I1911</f>
        <v>4.29</v>
      </c>
      <c r="K1911" s="41" t="n">
        <v>34</v>
      </c>
      <c r="L1911" s="42" t="n">
        <f aca="false">J1911*K1911</f>
        <v>145.86</v>
      </c>
      <c r="M1911" s="43" t="n">
        <f aca="false">H1911*16.05*(1+'Chart of Accounts'!$E$67)</f>
        <v>78.8384025</v>
      </c>
    </row>
    <row r="1912" customFormat="false" ht="15" hidden="false" customHeight="false" outlineLevel="0" collapsed="false">
      <c r="B1912" s="7" t="s">
        <v>2409</v>
      </c>
      <c r="C1912" s="39" t="n">
        <v>45756</v>
      </c>
      <c r="D1912" s="7" t="s">
        <v>291</v>
      </c>
      <c r="E1912" s="7" t="s">
        <v>154</v>
      </c>
      <c r="F1912" s="7" t="s">
        <v>194</v>
      </c>
      <c r="G1912" s="7" t="s">
        <v>505</v>
      </c>
      <c r="H1912" s="6" t="n">
        <v>4.45</v>
      </c>
      <c r="I1912" s="6" t="n">
        <v>0</v>
      </c>
      <c r="J1912" s="40" t="n">
        <f aca="false">H1912-I1912</f>
        <v>4.45</v>
      </c>
      <c r="K1912" s="41" t="n">
        <v>26.5</v>
      </c>
      <c r="L1912" s="42" t="n">
        <f aca="false">J1912*K1912</f>
        <v>117.925</v>
      </c>
      <c r="M1912" s="43" t="n">
        <f aca="false">H1912*16*(1+'Chart of Accounts'!$E$67)</f>
        <v>81.524</v>
      </c>
    </row>
    <row r="1913" customFormat="false" ht="15" hidden="false" customHeight="false" outlineLevel="0" collapsed="false">
      <c r="B1913" s="7" t="s">
        <v>2410</v>
      </c>
      <c r="C1913" s="39" t="n">
        <v>45756</v>
      </c>
      <c r="D1913" s="7" t="s">
        <v>305</v>
      </c>
      <c r="E1913" s="7" t="s">
        <v>154</v>
      </c>
      <c r="F1913" s="7" t="s">
        <v>205</v>
      </c>
      <c r="G1913" s="7" t="s">
        <v>505</v>
      </c>
      <c r="H1913" s="6" t="n">
        <v>4.39</v>
      </c>
      <c r="I1913" s="6" t="n">
        <v>0</v>
      </c>
      <c r="J1913" s="40" t="n">
        <f aca="false">H1913-I1913</f>
        <v>4.39</v>
      </c>
      <c r="K1913" s="41" t="n">
        <v>26.5</v>
      </c>
      <c r="L1913" s="42" t="n">
        <f aca="false">J1913*K1913</f>
        <v>116.335</v>
      </c>
      <c r="M1913" s="43" t="n">
        <f aca="false">H1913*16.36*(1+'Chart of Accounts'!$E$67)</f>
        <v>82.234358</v>
      </c>
    </row>
    <row r="1914" customFormat="false" ht="15" hidden="false" customHeight="false" outlineLevel="0" collapsed="false">
      <c r="B1914" s="7" t="s">
        <v>2411</v>
      </c>
      <c r="C1914" s="39" t="n">
        <v>45756</v>
      </c>
      <c r="D1914" s="7" t="s">
        <v>307</v>
      </c>
      <c r="E1914" s="7" t="s">
        <v>157</v>
      </c>
      <c r="F1914" s="7" t="s">
        <v>264</v>
      </c>
      <c r="G1914" s="7" t="s">
        <v>502</v>
      </c>
      <c r="H1914" s="6" t="n">
        <v>1.01</v>
      </c>
      <c r="I1914" s="6" t="n">
        <v>0.051</v>
      </c>
      <c r="J1914" s="40" t="n">
        <f aca="false">H1914-I1914</f>
        <v>0.959</v>
      </c>
      <c r="K1914" s="41" t="n">
        <v>165</v>
      </c>
      <c r="L1914" s="42" t="n">
        <f aca="false">J1914*K1914</f>
        <v>158.235</v>
      </c>
      <c r="M1914" s="43" t="n">
        <f aca="false">H1914*55.55*(1+'Chart of Accounts'!$E$67)</f>
        <v>64.2407975</v>
      </c>
    </row>
    <row r="1915" customFormat="false" ht="15" hidden="false" customHeight="false" outlineLevel="0" collapsed="false">
      <c r="B1915" s="7" t="s">
        <v>2412</v>
      </c>
      <c r="C1915" s="39" t="n">
        <v>45756</v>
      </c>
      <c r="D1915" s="7" t="s">
        <v>309</v>
      </c>
      <c r="E1915" s="7" t="s">
        <v>159</v>
      </c>
      <c r="F1915" s="7" t="s">
        <v>252</v>
      </c>
      <c r="G1915" s="7" t="s">
        <v>502</v>
      </c>
      <c r="H1915" s="6" t="n">
        <v>1.04</v>
      </c>
      <c r="I1915" s="6" t="n">
        <v>0</v>
      </c>
      <c r="J1915" s="40" t="n">
        <f aca="false">H1915-I1915</f>
        <v>1.04</v>
      </c>
      <c r="K1915" s="41" t="n">
        <v>135</v>
      </c>
      <c r="L1915" s="42" t="n">
        <f aca="false">J1915*K1915</f>
        <v>140.4</v>
      </c>
      <c r="M1915" s="43" t="n">
        <f aca="false">H1915*57.54*(1+'Chart of Accounts'!$E$67)</f>
        <v>68.518632</v>
      </c>
    </row>
    <row r="1916" customFormat="false" ht="15" hidden="false" customHeight="false" outlineLevel="0" collapsed="false">
      <c r="B1916" s="7" t="s">
        <v>2413</v>
      </c>
      <c r="C1916" s="39" t="n">
        <v>45756</v>
      </c>
      <c r="D1916" s="7" t="s">
        <v>313</v>
      </c>
      <c r="E1916" s="7" t="s">
        <v>156</v>
      </c>
      <c r="F1916" s="7" t="s">
        <v>184</v>
      </c>
      <c r="G1916" s="7" t="s">
        <v>505</v>
      </c>
      <c r="H1916" s="6" t="n">
        <v>4.21</v>
      </c>
      <c r="I1916" s="6" t="n">
        <v>0</v>
      </c>
      <c r="J1916" s="40" t="n">
        <f aca="false">H1916-I1916</f>
        <v>4.21</v>
      </c>
      <c r="K1916" s="41" t="n">
        <v>34</v>
      </c>
      <c r="L1916" s="42" t="n">
        <f aca="false">J1916*K1916</f>
        <v>143.14</v>
      </c>
      <c r="M1916" s="43" t="n">
        <f aca="false">H1916*17.34*(1+'Chart of Accounts'!$E$67)</f>
        <v>83.586603</v>
      </c>
    </row>
    <row r="1917" customFormat="false" ht="15" hidden="false" customHeight="false" outlineLevel="0" collapsed="false">
      <c r="B1917" s="7" t="s">
        <v>2414</v>
      </c>
      <c r="C1917" s="39" t="n">
        <v>45756</v>
      </c>
      <c r="D1917" s="7" t="s">
        <v>321</v>
      </c>
      <c r="E1917" s="7" t="s">
        <v>154</v>
      </c>
      <c r="F1917" s="7" t="s">
        <v>218</v>
      </c>
      <c r="G1917" s="7" t="s">
        <v>505</v>
      </c>
      <c r="H1917" s="6" t="n">
        <v>3.89</v>
      </c>
      <c r="I1917" s="6" t="n">
        <v>0</v>
      </c>
      <c r="J1917" s="40" t="n">
        <f aca="false">H1917-I1917</f>
        <v>3.89</v>
      </c>
      <c r="K1917" s="41" t="n">
        <v>26.5</v>
      </c>
      <c r="L1917" s="42" t="n">
        <f aca="false">J1917*K1917</f>
        <v>103.085</v>
      </c>
      <c r="M1917" s="43" t="n">
        <f aca="false">H1917*16.19*(1+'Chart of Accounts'!$E$67)</f>
        <v>72.1110695</v>
      </c>
    </row>
    <row r="1918" customFormat="false" ht="15" hidden="false" customHeight="false" outlineLevel="0" collapsed="false">
      <c r="B1918" s="7" t="s">
        <v>2415</v>
      </c>
      <c r="C1918" s="39" t="n">
        <v>45756</v>
      </c>
      <c r="D1918" s="7" t="s">
        <v>329</v>
      </c>
      <c r="E1918" s="7" t="s">
        <v>156</v>
      </c>
      <c r="F1918" s="7" t="s">
        <v>220</v>
      </c>
      <c r="G1918" s="7" t="s">
        <v>505</v>
      </c>
      <c r="H1918" s="6" t="n">
        <v>4.28</v>
      </c>
      <c r="I1918" s="6" t="n">
        <v>0</v>
      </c>
      <c r="J1918" s="40" t="n">
        <f aca="false">H1918-I1918</f>
        <v>4.28</v>
      </c>
      <c r="K1918" s="41" t="n">
        <v>34</v>
      </c>
      <c r="L1918" s="42" t="n">
        <f aca="false">J1918*K1918</f>
        <v>145.52</v>
      </c>
      <c r="M1918" s="43" t="n">
        <f aca="false">H1918*16.43*(1+'Chart of Accounts'!$E$67)</f>
        <v>80.516858</v>
      </c>
    </row>
    <row r="1919" customFormat="false" ht="15" hidden="false" customHeight="false" outlineLevel="0" collapsed="false">
      <c r="B1919" s="7" t="s">
        <v>2416</v>
      </c>
      <c r="C1919" s="39" t="n">
        <v>45756</v>
      </c>
      <c r="D1919" s="7" t="s">
        <v>335</v>
      </c>
      <c r="E1919" s="7" t="s">
        <v>154</v>
      </c>
      <c r="F1919" s="7" t="s">
        <v>177</v>
      </c>
      <c r="G1919" s="7" t="s">
        <v>505</v>
      </c>
      <c r="H1919" s="6" t="n">
        <v>4.03</v>
      </c>
      <c r="I1919" s="6" t="n">
        <v>0.121</v>
      </c>
      <c r="J1919" s="40" t="n">
        <f aca="false">H1919-I1919</f>
        <v>3.909</v>
      </c>
      <c r="K1919" s="41" t="n">
        <v>26.5</v>
      </c>
      <c r="L1919" s="42" t="n">
        <f aca="false">J1919*K1919</f>
        <v>103.5885</v>
      </c>
      <c r="M1919" s="43" t="n">
        <f aca="false">H1919*14.56*(1+'Chart of Accounts'!$E$67)</f>
        <v>67.184936</v>
      </c>
    </row>
    <row r="1920" customFormat="false" ht="15" hidden="false" customHeight="false" outlineLevel="0" collapsed="false">
      <c r="B1920" s="7" t="s">
        <v>2417</v>
      </c>
      <c r="C1920" s="39" t="n">
        <v>45756</v>
      </c>
      <c r="D1920" s="7" t="s">
        <v>339</v>
      </c>
      <c r="E1920" s="7" t="s">
        <v>154</v>
      </c>
      <c r="F1920" s="7" t="s">
        <v>242</v>
      </c>
      <c r="G1920" s="7" t="s">
        <v>505</v>
      </c>
      <c r="H1920" s="6" t="n">
        <v>3.66</v>
      </c>
      <c r="I1920" s="6" t="n">
        <v>0</v>
      </c>
      <c r="J1920" s="40" t="n">
        <f aca="false">H1920-I1920</f>
        <v>3.66</v>
      </c>
      <c r="K1920" s="41" t="n">
        <v>26.5</v>
      </c>
      <c r="L1920" s="42" t="n">
        <f aca="false">J1920*K1920</f>
        <v>96.99</v>
      </c>
      <c r="M1920" s="43" t="n">
        <f aca="false">H1920*17.99*(1+'Chart of Accounts'!$E$67)</f>
        <v>75.390693</v>
      </c>
    </row>
    <row r="1921" customFormat="false" ht="15" hidden="false" customHeight="false" outlineLevel="0" collapsed="false">
      <c r="B1921" s="7" t="s">
        <v>2418</v>
      </c>
      <c r="C1921" s="39" t="n">
        <v>45756</v>
      </c>
      <c r="D1921" s="7" t="s">
        <v>353</v>
      </c>
      <c r="E1921" s="7" t="s">
        <v>154</v>
      </c>
      <c r="F1921" s="7" t="s">
        <v>254</v>
      </c>
      <c r="G1921" s="7" t="s">
        <v>505</v>
      </c>
      <c r="H1921" s="6" t="n">
        <v>3.5</v>
      </c>
      <c r="I1921" s="6" t="n">
        <v>0</v>
      </c>
      <c r="J1921" s="40" t="n">
        <f aca="false">H1921-I1921</f>
        <v>3.5</v>
      </c>
      <c r="K1921" s="41" t="n">
        <v>26.5</v>
      </c>
      <c r="L1921" s="42" t="n">
        <f aca="false">J1921*K1921</f>
        <v>92.75</v>
      </c>
      <c r="M1921" s="43" t="n">
        <f aca="false">H1921*17.1*(1+'Chart of Accounts'!$E$67)</f>
        <v>68.52825</v>
      </c>
    </row>
    <row r="1922" customFormat="false" ht="15" hidden="false" customHeight="false" outlineLevel="0" collapsed="false">
      <c r="B1922" s="7" t="s">
        <v>2419</v>
      </c>
      <c r="C1922" s="39" t="n">
        <v>45756</v>
      </c>
      <c r="D1922" s="7" t="s">
        <v>355</v>
      </c>
      <c r="E1922" s="7" t="s">
        <v>154</v>
      </c>
      <c r="F1922" s="7" t="s">
        <v>201</v>
      </c>
      <c r="G1922" s="7" t="s">
        <v>505</v>
      </c>
      <c r="H1922" s="6" t="n">
        <v>3.06</v>
      </c>
      <c r="I1922" s="6" t="n">
        <v>0.092</v>
      </c>
      <c r="J1922" s="40" t="n">
        <f aca="false">H1922-I1922</f>
        <v>2.968</v>
      </c>
      <c r="K1922" s="41" t="n">
        <v>26.5</v>
      </c>
      <c r="L1922" s="42" t="n">
        <f aca="false">J1922*K1922</f>
        <v>78.652</v>
      </c>
      <c r="M1922" s="43" t="n">
        <f aca="false">H1922*15.19*(1+'Chart of Accounts'!$E$67)</f>
        <v>53.221203</v>
      </c>
    </row>
    <row r="1923" customFormat="false" ht="15" hidden="false" customHeight="false" outlineLevel="0" collapsed="false">
      <c r="B1923" s="7" t="s">
        <v>2420</v>
      </c>
      <c r="C1923" s="39" t="n">
        <v>45756</v>
      </c>
      <c r="D1923" s="7" t="s">
        <v>357</v>
      </c>
      <c r="E1923" s="7" t="s">
        <v>154</v>
      </c>
      <c r="F1923" s="7" t="s">
        <v>207</v>
      </c>
      <c r="G1923" s="7" t="s">
        <v>505</v>
      </c>
      <c r="H1923" s="6" t="n">
        <v>3.53</v>
      </c>
      <c r="I1923" s="6" t="n">
        <v>0</v>
      </c>
      <c r="J1923" s="40" t="n">
        <f aca="false">H1923-I1923</f>
        <v>3.53</v>
      </c>
      <c r="K1923" s="41" t="n">
        <v>26.5</v>
      </c>
      <c r="L1923" s="42" t="n">
        <f aca="false">J1923*K1923</f>
        <v>93.545</v>
      </c>
      <c r="M1923" s="43" t="n">
        <f aca="false">H1923*16.65*(1+'Chart of Accounts'!$E$67)</f>
        <v>67.2968025</v>
      </c>
    </row>
    <row r="1924" customFormat="false" ht="15" hidden="false" customHeight="false" outlineLevel="0" collapsed="false">
      <c r="B1924" s="7" t="s">
        <v>2421</v>
      </c>
      <c r="C1924" s="39" t="n">
        <v>45756</v>
      </c>
      <c r="D1924" s="7" t="s">
        <v>359</v>
      </c>
      <c r="E1924" s="7" t="s">
        <v>156</v>
      </c>
      <c r="F1924" s="7" t="s">
        <v>212</v>
      </c>
      <c r="G1924" s="7" t="s">
        <v>505</v>
      </c>
      <c r="H1924" s="6" t="n">
        <v>4.24</v>
      </c>
      <c r="I1924" s="6" t="n">
        <v>0</v>
      </c>
      <c r="J1924" s="40" t="n">
        <f aca="false">H1924-I1924</f>
        <v>4.24</v>
      </c>
      <c r="K1924" s="41" t="n">
        <v>34</v>
      </c>
      <c r="L1924" s="42" t="n">
        <f aca="false">J1924*K1924</f>
        <v>144.16</v>
      </c>
      <c r="M1924" s="43" t="n">
        <f aca="false">H1924*16.71*(1+'Chart of Accounts'!$E$67)</f>
        <v>81.123708</v>
      </c>
    </row>
    <row r="1925" customFormat="false" ht="15" hidden="false" customHeight="false" outlineLevel="0" collapsed="false">
      <c r="B1925" s="7" t="s">
        <v>2422</v>
      </c>
      <c r="C1925" s="39" t="n">
        <v>45756</v>
      </c>
      <c r="D1925" s="7" t="s">
        <v>371</v>
      </c>
      <c r="E1925" s="7" t="s">
        <v>154</v>
      </c>
      <c r="F1925" s="7" t="s">
        <v>232</v>
      </c>
      <c r="G1925" s="7" t="s">
        <v>505</v>
      </c>
      <c r="H1925" s="6" t="n">
        <v>4.95</v>
      </c>
      <c r="I1925" s="6" t="n">
        <v>0</v>
      </c>
      <c r="J1925" s="40" t="n">
        <f aca="false">H1925-I1925</f>
        <v>4.95</v>
      </c>
      <c r="K1925" s="41" t="n">
        <v>26.5</v>
      </c>
      <c r="L1925" s="42" t="n">
        <f aca="false">J1925*K1925</f>
        <v>131.175</v>
      </c>
      <c r="M1925" s="43" t="n">
        <f aca="false">H1925*16.17*(1+'Chart of Accounts'!$E$67)</f>
        <v>91.6475175</v>
      </c>
    </row>
    <row r="1926" customFormat="false" ht="15" hidden="false" customHeight="false" outlineLevel="0" collapsed="false">
      <c r="B1926" s="7" t="s">
        <v>2423</v>
      </c>
      <c r="C1926" s="39" t="n">
        <v>45756</v>
      </c>
      <c r="D1926" s="7" t="s">
        <v>379</v>
      </c>
      <c r="E1926" s="7" t="s">
        <v>156</v>
      </c>
      <c r="F1926" s="7" t="s">
        <v>224</v>
      </c>
      <c r="G1926" s="7" t="s">
        <v>505</v>
      </c>
      <c r="H1926" s="6" t="n">
        <v>4.39</v>
      </c>
      <c r="I1926" s="6" t="n">
        <v>0</v>
      </c>
      <c r="J1926" s="40" t="n">
        <f aca="false">H1926-I1926</f>
        <v>4.39</v>
      </c>
      <c r="K1926" s="41" t="n">
        <v>34</v>
      </c>
      <c r="L1926" s="42" t="n">
        <f aca="false">J1926*K1926</f>
        <v>149.26</v>
      </c>
      <c r="M1926" s="43" t="n">
        <f aca="false">H1926*14.93*(1+'Chart of Accounts'!$E$67)</f>
        <v>75.0463915</v>
      </c>
    </row>
    <row r="1927" customFormat="false" ht="15" hidden="false" customHeight="false" outlineLevel="0" collapsed="false">
      <c r="B1927" s="7" t="s">
        <v>2424</v>
      </c>
      <c r="C1927" s="39" t="n">
        <v>45756</v>
      </c>
      <c r="D1927" s="7" t="s">
        <v>389</v>
      </c>
      <c r="E1927" s="7" t="s">
        <v>154</v>
      </c>
      <c r="F1927" s="7" t="s">
        <v>246</v>
      </c>
      <c r="G1927" s="7" t="s">
        <v>505</v>
      </c>
      <c r="H1927" s="6" t="n">
        <v>3.96</v>
      </c>
      <c r="I1927" s="6" t="n">
        <v>0</v>
      </c>
      <c r="J1927" s="40" t="n">
        <f aca="false">H1927-I1927</f>
        <v>3.96</v>
      </c>
      <c r="K1927" s="41" t="n">
        <v>26.5</v>
      </c>
      <c r="L1927" s="42" t="n">
        <f aca="false">J1927*K1927</f>
        <v>104.94</v>
      </c>
      <c r="M1927" s="43" t="n">
        <f aca="false">H1927*16.48*(1+'Chart of Accounts'!$E$67)</f>
        <v>74.723616</v>
      </c>
    </row>
    <row r="1928" customFormat="false" ht="15" hidden="false" customHeight="false" outlineLevel="0" collapsed="false">
      <c r="B1928" s="7" t="s">
        <v>2425</v>
      </c>
      <c r="C1928" s="39" t="n">
        <v>45756</v>
      </c>
      <c r="D1928" s="7" t="s">
        <v>391</v>
      </c>
      <c r="E1928" s="7" t="s">
        <v>156</v>
      </c>
      <c r="F1928" s="7" t="s">
        <v>222</v>
      </c>
      <c r="G1928" s="7" t="s">
        <v>505</v>
      </c>
      <c r="H1928" s="6" t="n">
        <v>3.61</v>
      </c>
      <c r="I1928" s="6" t="n">
        <v>0</v>
      </c>
      <c r="J1928" s="40" t="n">
        <f aca="false">H1928-I1928</f>
        <v>3.61</v>
      </c>
      <c r="K1928" s="41" t="n">
        <v>34</v>
      </c>
      <c r="L1928" s="42" t="n">
        <f aca="false">J1928*K1928</f>
        <v>122.74</v>
      </c>
      <c r="M1928" s="43" t="n">
        <f aca="false">H1928*17.84*(1+'Chart of Accounts'!$E$67)</f>
        <v>73.740748</v>
      </c>
    </row>
    <row r="1929" customFormat="false" ht="15" hidden="false" customHeight="false" outlineLevel="0" collapsed="false">
      <c r="B1929" s="7" t="s">
        <v>2426</v>
      </c>
      <c r="C1929" s="39" t="n">
        <v>45756</v>
      </c>
      <c r="D1929" s="7" t="s">
        <v>393</v>
      </c>
      <c r="E1929" s="7" t="s">
        <v>157</v>
      </c>
      <c r="F1929" s="7" t="s">
        <v>203</v>
      </c>
      <c r="G1929" s="7" t="s">
        <v>502</v>
      </c>
      <c r="H1929" s="6" t="n">
        <v>1.02</v>
      </c>
      <c r="I1929" s="6" t="n">
        <v>0</v>
      </c>
      <c r="J1929" s="40" t="n">
        <f aca="false">H1929-I1929</f>
        <v>1.02</v>
      </c>
      <c r="K1929" s="41" t="n">
        <v>165</v>
      </c>
      <c r="L1929" s="42" t="n">
        <f aca="false">J1929*K1929</f>
        <v>168.3</v>
      </c>
      <c r="M1929" s="43" t="n">
        <f aca="false">H1929*49.43*(1+'Chart of Accounts'!$E$67)</f>
        <v>57.729297</v>
      </c>
    </row>
    <row r="1930" customFormat="false" ht="15" hidden="false" customHeight="false" outlineLevel="0" collapsed="false">
      <c r="B1930" s="7" t="s">
        <v>2427</v>
      </c>
      <c r="C1930" s="39" t="n">
        <v>45756</v>
      </c>
      <c r="D1930" s="7" t="s">
        <v>395</v>
      </c>
      <c r="E1930" s="7" t="s">
        <v>156</v>
      </c>
      <c r="F1930" s="7" t="s">
        <v>242</v>
      </c>
      <c r="G1930" s="7" t="s">
        <v>505</v>
      </c>
      <c r="H1930" s="6" t="n">
        <v>4.19</v>
      </c>
      <c r="I1930" s="6" t="n">
        <v>0</v>
      </c>
      <c r="J1930" s="40" t="n">
        <f aca="false">H1930-I1930</f>
        <v>4.19</v>
      </c>
      <c r="K1930" s="41" t="n">
        <v>34</v>
      </c>
      <c r="L1930" s="42" t="n">
        <f aca="false">J1930*K1930</f>
        <v>142.46</v>
      </c>
      <c r="M1930" s="43" t="n">
        <f aca="false">H1930*17.99*(1+'Chart of Accounts'!$E$67)</f>
        <v>86.3079245</v>
      </c>
    </row>
    <row r="1931" customFormat="false" ht="15" hidden="false" customHeight="false" outlineLevel="0" collapsed="false">
      <c r="B1931" s="7" t="s">
        <v>2428</v>
      </c>
      <c r="C1931" s="39" t="n">
        <v>45756</v>
      </c>
      <c r="D1931" s="7" t="s">
        <v>399</v>
      </c>
      <c r="E1931" s="7" t="s">
        <v>154</v>
      </c>
      <c r="F1931" s="7" t="s">
        <v>262</v>
      </c>
      <c r="G1931" s="7" t="s">
        <v>505</v>
      </c>
      <c r="H1931" s="6" t="n">
        <v>3.36</v>
      </c>
      <c r="I1931" s="6" t="n">
        <v>0</v>
      </c>
      <c r="J1931" s="40" t="n">
        <f aca="false">H1931-I1931</f>
        <v>3.36</v>
      </c>
      <c r="K1931" s="41" t="n">
        <v>26.5</v>
      </c>
      <c r="L1931" s="42" t="n">
        <f aca="false">J1931*K1931</f>
        <v>89.04</v>
      </c>
      <c r="M1931" s="43" t="n">
        <f aca="false">H1931*16.02*(1+'Chart of Accounts'!$E$67)</f>
        <v>61.632144</v>
      </c>
    </row>
    <row r="1932" customFormat="false" ht="15" hidden="false" customHeight="false" outlineLevel="0" collapsed="false">
      <c r="B1932" s="7" t="s">
        <v>2429</v>
      </c>
      <c r="C1932" s="39" t="n">
        <v>45756</v>
      </c>
      <c r="D1932" s="7" t="s">
        <v>401</v>
      </c>
      <c r="E1932" s="7" t="s">
        <v>156</v>
      </c>
      <c r="F1932" s="7" t="s">
        <v>254</v>
      </c>
      <c r="G1932" s="7" t="s">
        <v>505</v>
      </c>
      <c r="H1932" s="6" t="n">
        <v>3.95</v>
      </c>
      <c r="I1932" s="6" t="n">
        <v>0</v>
      </c>
      <c r="J1932" s="40" t="n">
        <f aca="false">H1932-I1932</f>
        <v>3.95</v>
      </c>
      <c r="K1932" s="41" t="n">
        <v>34</v>
      </c>
      <c r="L1932" s="42" t="n">
        <f aca="false">J1932*K1932</f>
        <v>134.3</v>
      </c>
      <c r="M1932" s="43" t="n">
        <f aca="false">H1932*17.1*(1+'Chart of Accounts'!$E$67)</f>
        <v>77.339025</v>
      </c>
    </row>
    <row r="1933" customFormat="false" ht="15" hidden="false" customHeight="false" outlineLevel="0" collapsed="false">
      <c r="B1933" s="7" t="s">
        <v>2430</v>
      </c>
      <c r="C1933" s="39" t="n">
        <v>45756</v>
      </c>
      <c r="D1933" s="7" t="s">
        <v>409</v>
      </c>
      <c r="E1933" s="7" t="s">
        <v>154</v>
      </c>
      <c r="F1933" s="7" t="s">
        <v>214</v>
      </c>
      <c r="G1933" s="7" t="s">
        <v>505</v>
      </c>
      <c r="H1933" s="6" t="n">
        <v>3.35</v>
      </c>
      <c r="I1933" s="6" t="n">
        <v>0.1</v>
      </c>
      <c r="J1933" s="40" t="n">
        <f aca="false">H1933-I1933</f>
        <v>3.25</v>
      </c>
      <c r="K1933" s="41" t="n">
        <v>26.5</v>
      </c>
      <c r="L1933" s="42" t="n">
        <f aca="false">J1933*K1933</f>
        <v>86.125</v>
      </c>
      <c r="M1933" s="43" t="n">
        <f aca="false">H1933*15.67*(1+'Chart of Accounts'!$E$67)</f>
        <v>60.1062025</v>
      </c>
    </row>
    <row r="1934" customFormat="false" ht="15" hidden="false" customHeight="false" outlineLevel="0" collapsed="false">
      <c r="B1934" s="7" t="s">
        <v>2431</v>
      </c>
      <c r="C1934" s="39" t="n">
        <v>45756</v>
      </c>
      <c r="D1934" s="7" t="s">
        <v>411</v>
      </c>
      <c r="E1934" s="7" t="s">
        <v>154</v>
      </c>
      <c r="F1934" s="7" t="s">
        <v>177</v>
      </c>
      <c r="G1934" s="7" t="s">
        <v>505</v>
      </c>
      <c r="H1934" s="6" t="n">
        <v>4.34</v>
      </c>
      <c r="I1934" s="6" t="n">
        <v>0</v>
      </c>
      <c r="J1934" s="40" t="n">
        <f aca="false">H1934-I1934</f>
        <v>4.34</v>
      </c>
      <c r="K1934" s="41" t="n">
        <v>26.5</v>
      </c>
      <c r="L1934" s="42" t="n">
        <f aca="false">J1934*K1934</f>
        <v>115.01</v>
      </c>
      <c r="M1934" s="43" t="n">
        <f aca="false">H1934*14.56*(1+'Chart of Accounts'!$E$67)</f>
        <v>72.353008</v>
      </c>
    </row>
    <row r="1935" customFormat="false" ht="15" hidden="false" customHeight="false" outlineLevel="0" collapsed="false">
      <c r="B1935" s="7" t="s">
        <v>2432</v>
      </c>
      <c r="C1935" s="39" t="n">
        <v>45757</v>
      </c>
      <c r="D1935" s="7" t="s">
        <v>288</v>
      </c>
      <c r="E1935" s="7" t="s">
        <v>156</v>
      </c>
      <c r="F1935" s="7" t="s">
        <v>191</v>
      </c>
      <c r="G1935" s="7" t="s">
        <v>505</v>
      </c>
      <c r="H1935" s="6" t="n">
        <v>3.95</v>
      </c>
      <c r="I1935" s="6" t="n">
        <v>0</v>
      </c>
      <c r="J1935" s="40" t="n">
        <f aca="false">H1935-I1935</f>
        <v>3.95</v>
      </c>
      <c r="K1935" s="41" t="n">
        <v>34</v>
      </c>
      <c r="L1935" s="42" t="n">
        <f aca="false">J1935*K1935</f>
        <v>134.3</v>
      </c>
      <c r="M1935" s="43" t="n">
        <f aca="false">H1935*16.05*(1+'Chart of Accounts'!$E$67)</f>
        <v>72.5901375</v>
      </c>
    </row>
    <row r="1936" customFormat="false" ht="15" hidden="false" customHeight="false" outlineLevel="0" collapsed="false">
      <c r="B1936" s="7" t="s">
        <v>2433</v>
      </c>
      <c r="C1936" s="39" t="n">
        <v>45757</v>
      </c>
      <c r="D1936" s="7" t="s">
        <v>297</v>
      </c>
      <c r="E1936" s="7" t="s">
        <v>156</v>
      </c>
      <c r="F1936" s="7" t="s">
        <v>201</v>
      </c>
      <c r="G1936" s="7" t="s">
        <v>505</v>
      </c>
      <c r="H1936" s="6" t="n">
        <v>2.74</v>
      </c>
      <c r="I1936" s="6" t="n">
        <v>0</v>
      </c>
      <c r="J1936" s="40" t="n">
        <f aca="false">H1936-I1936</f>
        <v>2.74</v>
      </c>
      <c r="K1936" s="41" t="n">
        <v>34</v>
      </c>
      <c r="L1936" s="42" t="n">
        <f aca="false">J1936*K1936</f>
        <v>93.16</v>
      </c>
      <c r="M1936" s="43" t="n">
        <f aca="false">H1936*15.19*(1+'Chart of Accounts'!$E$67)</f>
        <v>47.655587</v>
      </c>
    </row>
    <row r="1937" customFormat="false" ht="15" hidden="false" customHeight="false" outlineLevel="0" collapsed="false">
      <c r="B1937" s="7" t="s">
        <v>2434</v>
      </c>
      <c r="C1937" s="39" t="n">
        <v>45757</v>
      </c>
      <c r="D1937" s="7" t="s">
        <v>311</v>
      </c>
      <c r="E1937" s="7" t="s">
        <v>154</v>
      </c>
      <c r="F1937" s="7" t="s">
        <v>196</v>
      </c>
      <c r="G1937" s="7" t="s">
        <v>505</v>
      </c>
      <c r="H1937" s="6" t="n">
        <v>3.19</v>
      </c>
      <c r="I1937" s="6" t="n">
        <v>0</v>
      </c>
      <c r="J1937" s="40" t="n">
        <f aca="false">H1937-I1937</f>
        <v>3.19</v>
      </c>
      <c r="K1937" s="41" t="n">
        <v>26.5</v>
      </c>
      <c r="L1937" s="42" t="n">
        <f aca="false">J1937*K1937</f>
        <v>84.535</v>
      </c>
      <c r="M1937" s="43" t="n">
        <f aca="false">H1937*15.05*(1+'Chart of Accounts'!$E$67)</f>
        <v>54.9708775</v>
      </c>
    </row>
    <row r="1938" customFormat="false" ht="15" hidden="false" customHeight="false" outlineLevel="0" collapsed="false">
      <c r="B1938" s="7" t="s">
        <v>2435</v>
      </c>
      <c r="C1938" s="39" t="n">
        <v>45757</v>
      </c>
      <c r="D1938" s="7" t="s">
        <v>313</v>
      </c>
      <c r="E1938" s="7" t="s">
        <v>156</v>
      </c>
      <c r="F1938" s="7" t="s">
        <v>184</v>
      </c>
      <c r="G1938" s="7" t="s">
        <v>505</v>
      </c>
      <c r="H1938" s="6" t="n">
        <v>4.08</v>
      </c>
      <c r="I1938" s="6" t="n">
        <v>0</v>
      </c>
      <c r="J1938" s="40" t="n">
        <f aca="false">H1938-I1938</f>
        <v>4.08</v>
      </c>
      <c r="K1938" s="41" t="n">
        <v>34</v>
      </c>
      <c r="L1938" s="42" t="n">
        <f aca="false">J1938*K1938</f>
        <v>138.72</v>
      </c>
      <c r="M1938" s="43" t="n">
        <f aca="false">H1938*17.34*(1+'Chart of Accounts'!$E$67)</f>
        <v>81.005544</v>
      </c>
    </row>
    <row r="1939" customFormat="false" ht="15" hidden="false" customHeight="false" outlineLevel="0" collapsed="false">
      <c r="B1939" s="7" t="s">
        <v>2436</v>
      </c>
      <c r="C1939" s="39" t="n">
        <v>45757</v>
      </c>
      <c r="D1939" s="7" t="s">
        <v>317</v>
      </c>
      <c r="E1939" s="7" t="s">
        <v>156</v>
      </c>
      <c r="F1939" s="7" t="s">
        <v>207</v>
      </c>
      <c r="G1939" s="7" t="s">
        <v>505</v>
      </c>
      <c r="H1939" s="6" t="n">
        <v>2.82</v>
      </c>
      <c r="I1939" s="6" t="n">
        <v>0</v>
      </c>
      <c r="J1939" s="40" t="n">
        <f aca="false">H1939-I1939</f>
        <v>2.82</v>
      </c>
      <c r="K1939" s="41" t="n">
        <v>34</v>
      </c>
      <c r="L1939" s="42" t="n">
        <f aca="false">J1939*K1939</f>
        <v>95.88</v>
      </c>
      <c r="M1939" s="43" t="n">
        <f aca="false">H1939*16.65*(1+'Chart of Accounts'!$E$67)</f>
        <v>53.761185</v>
      </c>
    </row>
    <row r="1940" customFormat="false" ht="15" hidden="false" customHeight="false" outlineLevel="0" collapsed="false">
      <c r="B1940" s="7" t="s">
        <v>2437</v>
      </c>
      <c r="C1940" s="39" t="n">
        <v>45757</v>
      </c>
      <c r="D1940" s="7" t="s">
        <v>321</v>
      </c>
      <c r="E1940" s="7" t="s">
        <v>154</v>
      </c>
      <c r="F1940" s="7" t="s">
        <v>218</v>
      </c>
      <c r="G1940" s="7" t="s">
        <v>505</v>
      </c>
      <c r="H1940" s="6" t="n">
        <v>3.97</v>
      </c>
      <c r="I1940" s="6" t="n">
        <v>0</v>
      </c>
      <c r="J1940" s="40" t="n">
        <f aca="false">H1940-I1940</f>
        <v>3.97</v>
      </c>
      <c r="K1940" s="41" t="n">
        <v>26.5</v>
      </c>
      <c r="L1940" s="42" t="n">
        <f aca="false">J1940*K1940</f>
        <v>105.205</v>
      </c>
      <c r="M1940" s="43" t="n">
        <f aca="false">H1940*16.19*(1+'Chart of Accounts'!$E$67)</f>
        <v>73.5940735</v>
      </c>
    </row>
    <row r="1941" customFormat="false" ht="15" hidden="false" customHeight="false" outlineLevel="0" collapsed="false">
      <c r="B1941" s="7" t="s">
        <v>2438</v>
      </c>
      <c r="C1941" s="39" t="n">
        <v>45757</v>
      </c>
      <c r="D1941" s="7" t="s">
        <v>325</v>
      </c>
      <c r="E1941" s="7" t="s">
        <v>154</v>
      </c>
      <c r="F1941" s="7" t="s">
        <v>212</v>
      </c>
      <c r="G1941" s="7" t="s">
        <v>505</v>
      </c>
      <c r="H1941" s="6" t="n">
        <v>3.09</v>
      </c>
      <c r="I1941" s="6" t="n">
        <v>0</v>
      </c>
      <c r="J1941" s="40" t="n">
        <f aca="false">H1941-I1941</f>
        <v>3.09</v>
      </c>
      <c r="K1941" s="41" t="n">
        <v>26.5</v>
      </c>
      <c r="L1941" s="42" t="n">
        <f aca="false">J1941*K1941</f>
        <v>81.885</v>
      </c>
      <c r="M1941" s="43" t="n">
        <f aca="false">H1941*16.71*(1+'Chart of Accounts'!$E$67)</f>
        <v>59.1208155</v>
      </c>
    </row>
    <row r="1942" customFormat="false" ht="15" hidden="false" customHeight="false" outlineLevel="0" collapsed="false">
      <c r="B1942" s="7" t="s">
        <v>2439</v>
      </c>
      <c r="C1942" s="39" t="n">
        <v>45757</v>
      </c>
      <c r="D1942" s="7" t="s">
        <v>329</v>
      </c>
      <c r="E1942" s="7" t="s">
        <v>156</v>
      </c>
      <c r="F1942" s="7" t="s">
        <v>220</v>
      </c>
      <c r="G1942" s="7" t="s">
        <v>505</v>
      </c>
      <c r="H1942" s="6" t="n">
        <v>3.71</v>
      </c>
      <c r="I1942" s="6" t="n">
        <v>0</v>
      </c>
      <c r="J1942" s="40" t="n">
        <f aca="false">H1942-I1942</f>
        <v>3.71</v>
      </c>
      <c r="K1942" s="41" t="n">
        <v>34</v>
      </c>
      <c r="L1942" s="42" t="n">
        <f aca="false">J1942*K1942</f>
        <v>126.14</v>
      </c>
      <c r="M1942" s="43" t="n">
        <f aca="false">H1942*16.43*(1+'Chart of Accounts'!$E$67)</f>
        <v>69.7938185</v>
      </c>
    </row>
    <row r="1943" customFormat="false" ht="15" hidden="false" customHeight="false" outlineLevel="0" collapsed="false">
      <c r="B1943" s="7" t="s">
        <v>2440</v>
      </c>
      <c r="C1943" s="39" t="n">
        <v>45757</v>
      </c>
      <c r="D1943" s="7" t="s">
        <v>331</v>
      </c>
      <c r="E1943" s="7" t="s">
        <v>156</v>
      </c>
      <c r="F1943" s="7" t="s">
        <v>224</v>
      </c>
      <c r="G1943" s="7" t="s">
        <v>505</v>
      </c>
      <c r="H1943" s="6" t="n">
        <v>4.13</v>
      </c>
      <c r="I1943" s="6" t="n">
        <v>0</v>
      </c>
      <c r="J1943" s="40" t="n">
        <f aca="false">H1943-I1943</f>
        <v>4.13</v>
      </c>
      <c r="K1943" s="41" t="n">
        <v>34</v>
      </c>
      <c r="L1943" s="42" t="n">
        <f aca="false">J1943*K1943</f>
        <v>140.42</v>
      </c>
      <c r="M1943" s="43" t="n">
        <f aca="false">H1943*14.93*(1+'Chart of Accounts'!$E$67)</f>
        <v>70.6017305</v>
      </c>
    </row>
    <row r="1944" customFormat="false" ht="15" hidden="false" customHeight="false" outlineLevel="0" collapsed="false">
      <c r="B1944" s="7" t="s">
        <v>2441</v>
      </c>
      <c r="C1944" s="39" t="n">
        <v>45757</v>
      </c>
      <c r="D1944" s="7" t="s">
        <v>337</v>
      </c>
      <c r="E1944" s="7" t="s">
        <v>154</v>
      </c>
      <c r="F1944" s="7" t="s">
        <v>232</v>
      </c>
      <c r="G1944" s="7" t="s">
        <v>505</v>
      </c>
      <c r="H1944" s="6" t="n">
        <v>3.28</v>
      </c>
      <c r="I1944" s="6" t="n">
        <v>0.098</v>
      </c>
      <c r="J1944" s="40" t="n">
        <f aca="false">H1944-I1944</f>
        <v>3.182</v>
      </c>
      <c r="K1944" s="41" t="n">
        <v>26.5</v>
      </c>
      <c r="L1944" s="42" t="n">
        <f aca="false">J1944*K1944</f>
        <v>84.323</v>
      </c>
      <c r="M1944" s="43" t="n">
        <f aca="false">H1944*16.17*(1+'Chart of Accounts'!$E$67)</f>
        <v>60.728052</v>
      </c>
    </row>
    <row r="1945" customFormat="false" ht="15" hidden="false" customHeight="false" outlineLevel="0" collapsed="false">
      <c r="B1945" s="7" t="s">
        <v>2442</v>
      </c>
      <c r="C1945" s="39" t="n">
        <v>45757</v>
      </c>
      <c r="D1945" s="7" t="s">
        <v>341</v>
      </c>
      <c r="E1945" s="7" t="s">
        <v>156</v>
      </c>
      <c r="F1945" s="7" t="s">
        <v>222</v>
      </c>
      <c r="G1945" s="7" t="s">
        <v>505</v>
      </c>
      <c r="H1945" s="6" t="n">
        <v>3.22</v>
      </c>
      <c r="I1945" s="6" t="n">
        <v>0</v>
      </c>
      <c r="J1945" s="40" t="n">
        <f aca="false">H1945-I1945</f>
        <v>3.22</v>
      </c>
      <c r="K1945" s="41" t="n">
        <v>34</v>
      </c>
      <c r="L1945" s="42" t="n">
        <f aca="false">J1945*K1945</f>
        <v>109.48</v>
      </c>
      <c r="M1945" s="43" t="n">
        <f aca="false">H1945*17.84*(1+'Chart of Accounts'!$E$67)</f>
        <v>65.774296</v>
      </c>
    </row>
    <row r="1946" customFormat="false" ht="15" hidden="false" customHeight="false" outlineLevel="0" collapsed="false">
      <c r="B1946" s="7" t="s">
        <v>2443</v>
      </c>
      <c r="C1946" s="39" t="n">
        <v>45757</v>
      </c>
      <c r="D1946" s="7" t="s">
        <v>343</v>
      </c>
      <c r="E1946" s="7" t="s">
        <v>154</v>
      </c>
      <c r="F1946" s="7" t="s">
        <v>262</v>
      </c>
      <c r="G1946" s="7" t="s">
        <v>505</v>
      </c>
      <c r="H1946" s="6" t="n">
        <v>4.29</v>
      </c>
      <c r="I1946" s="6" t="n">
        <v>0</v>
      </c>
      <c r="J1946" s="40" t="n">
        <f aca="false">H1946-I1946</f>
        <v>4.29</v>
      </c>
      <c r="K1946" s="41" t="n">
        <v>26.5</v>
      </c>
      <c r="L1946" s="42" t="n">
        <f aca="false">J1946*K1946</f>
        <v>113.685</v>
      </c>
      <c r="M1946" s="43" t="n">
        <f aca="false">H1946*16.02*(1+'Chart of Accounts'!$E$67)</f>
        <v>78.691041</v>
      </c>
    </row>
    <row r="1947" customFormat="false" ht="15" hidden="false" customHeight="false" outlineLevel="0" collapsed="false">
      <c r="B1947" s="7" t="s">
        <v>2444</v>
      </c>
      <c r="C1947" s="39" t="n">
        <v>45757</v>
      </c>
      <c r="D1947" s="7" t="s">
        <v>351</v>
      </c>
      <c r="E1947" s="7" t="s">
        <v>154</v>
      </c>
      <c r="F1947" s="7" t="s">
        <v>201</v>
      </c>
      <c r="G1947" s="7" t="s">
        <v>505</v>
      </c>
      <c r="H1947" s="6" t="n">
        <v>2.92</v>
      </c>
      <c r="I1947" s="6" t="n">
        <v>0.088</v>
      </c>
      <c r="J1947" s="40" t="n">
        <f aca="false">H1947-I1947</f>
        <v>2.832</v>
      </c>
      <c r="K1947" s="41" t="n">
        <v>26.5</v>
      </c>
      <c r="L1947" s="42" t="n">
        <f aca="false">J1947*K1947</f>
        <v>75.048</v>
      </c>
      <c r="M1947" s="43" t="n">
        <f aca="false">H1947*15.19*(1+'Chart of Accounts'!$E$67)</f>
        <v>50.786246</v>
      </c>
    </row>
    <row r="1948" customFormat="false" ht="15" hidden="false" customHeight="false" outlineLevel="0" collapsed="false">
      <c r="B1948" s="7" t="s">
        <v>2445</v>
      </c>
      <c r="C1948" s="39" t="n">
        <v>45757</v>
      </c>
      <c r="D1948" s="7" t="s">
        <v>359</v>
      </c>
      <c r="E1948" s="7" t="s">
        <v>156</v>
      </c>
      <c r="F1948" s="7" t="s">
        <v>212</v>
      </c>
      <c r="G1948" s="7" t="s">
        <v>505</v>
      </c>
      <c r="H1948" s="6" t="n">
        <v>4.35</v>
      </c>
      <c r="I1948" s="6" t="n">
        <v>0</v>
      </c>
      <c r="J1948" s="40" t="n">
        <f aca="false">H1948-I1948</f>
        <v>4.35</v>
      </c>
      <c r="K1948" s="41" t="n">
        <v>34</v>
      </c>
      <c r="L1948" s="42" t="n">
        <f aca="false">J1948*K1948</f>
        <v>147.9</v>
      </c>
      <c r="M1948" s="43" t="n">
        <f aca="false">H1948*16.71*(1+'Chart of Accounts'!$E$67)</f>
        <v>83.2283325</v>
      </c>
    </row>
    <row r="1949" customFormat="false" ht="15" hidden="false" customHeight="false" outlineLevel="0" collapsed="false">
      <c r="B1949" s="7" t="s">
        <v>2446</v>
      </c>
      <c r="C1949" s="39" t="n">
        <v>45757</v>
      </c>
      <c r="D1949" s="7" t="s">
        <v>363</v>
      </c>
      <c r="E1949" s="7" t="s">
        <v>156</v>
      </c>
      <c r="F1949" s="7" t="s">
        <v>246</v>
      </c>
      <c r="G1949" s="7" t="s">
        <v>505</v>
      </c>
      <c r="H1949" s="6" t="n">
        <v>3.69</v>
      </c>
      <c r="I1949" s="6" t="n">
        <v>0</v>
      </c>
      <c r="J1949" s="40" t="n">
        <f aca="false">H1949-I1949</f>
        <v>3.69</v>
      </c>
      <c r="K1949" s="41" t="n">
        <v>34</v>
      </c>
      <c r="L1949" s="42" t="n">
        <f aca="false">J1949*K1949</f>
        <v>125.46</v>
      </c>
      <c r="M1949" s="43" t="n">
        <f aca="false">H1949*16.48*(1+'Chart of Accounts'!$E$67)</f>
        <v>69.628824</v>
      </c>
    </row>
    <row r="1950" customFormat="false" ht="15" hidden="false" customHeight="false" outlineLevel="0" collapsed="false">
      <c r="B1950" s="7" t="s">
        <v>2447</v>
      </c>
      <c r="C1950" s="39" t="n">
        <v>45757</v>
      </c>
      <c r="D1950" s="7" t="s">
        <v>375</v>
      </c>
      <c r="E1950" s="7" t="s">
        <v>156</v>
      </c>
      <c r="F1950" s="7" t="s">
        <v>196</v>
      </c>
      <c r="G1950" s="7" t="s">
        <v>505</v>
      </c>
      <c r="H1950" s="6" t="n">
        <v>3.01</v>
      </c>
      <c r="I1950" s="6" t="n">
        <v>0</v>
      </c>
      <c r="J1950" s="40" t="n">
        <f aca="false">H1950-I1950</f>
        <v>3.01</v>
      </c>
      <c r="K1950" s="41" t="n">
        <v>34</v>
      </c>
      <c r="L1950" s="42" t="n">
        <f aca="false">J1950*K1950</f>
        <v>102.34</v>
      </c>
      <c r="M1950" s="43" t="n">
        <f aca="false">H1950*15.05*(1+'Chart of Accounts'!$E$67)</f>
        <v>51.8690725</v>
      </c>
    </row>
    <row r="1951" customFormat="false" ht="15" hidden="false" customHeight="false" outlineLevel="0" collapsed="false">
      <c r="B1951" s="7" t="s">
        <v>2448</v>
      </c>
      <c r="C1951" s="39" t="n">
        <v>45757</v>
      </c>
      <c r="D1951" s="7" t="s">
        <v>377</v>
      </c>
      <c r="E1951" s="7" t="s">
        <v>154</v>
      </c>
      <c r="F1951" s="7" t="s">
        <v>214</v>
      </c>
      <c r="G1951" s="7" t="s">
        <v>505</v>
      </c>
      <c r="H1951" s="6" t="n">
        <v>4.35</v>
      </c>
      <c r="I1951" s="6" t="n">
        <v>0</v>
      </c>
      <c r="J1951" s="40" t="n">
        <f aca="false">H1951-I1951</f>
        <v>4.35</v>
      </c>
      <c r="K1951" s="41" t="n">
        <v>26.5</v>
      </c>
      <c r="L1951" s="42" t="n">
        <f aca="false">J1951*K1951</f>
        <v>115.275</v>
      </c>
      <c r="M1951" s="43" t="n">
        <f aca="false">H1951*15.67*(1+'Chart of Accounts'!$E$67)</f>
        <v>78.0483525</v>
      </c>
    </row>
    <row r="1952" customFormat="false" ht="15" hidden="false" customHeight="false" outlineLevel="0" collapsed="false">
      <c r="B1952" s="7" t="s">
        <v>2449</v>
      </c>
      <c r="C1952" s="39" t="n">
        <v>45757</v>
      </c>
      <c r="D1952" s="7" t="s">
        <v>389</v>
      </c>
      <c r="E1952" s="7" t="s">
        <v>154</v>
      </c>
      <c r="F1952" s="7" t="s">
        <v>246</v>
      </c>
      <c r="G1952" s="7" t="s">
        <v>505</v>
      </c>
      <c r="H1952" s="6" t="n">
        <v>3.79</v>
      </c>
      <c r="I1952" s="6" t="n">
        <v>0</v>
      </c>
      <c r="J1952" s="40" t="n">
        <f aca="false">H1952-I1952</f>
        <v>3.79</v>
      </c>
      <c r="K1952" s="41" t="n">
        <v>26.5</v>
      </c>
      <c r="L1952" s="42" t="n">
        <f aca="false">J1952*K1952</f>
        <v>100.435</v>
      </c>
      <c r="M1952" s="43" t="n">
        <f aca="false">H1952*16.48*(1+'Chart of Accounts'!$E$67)</f>
        <v>71.515784</v>
      </c>
    </row>
    <row r="1953" customFormat="false" ht="15" hidden="false" customHeight="false" outlineLevel="0" collapsed="false">
      <c r="B1953" s="7" t="s">
        <v>2450</v>
      </c>
      <c r="C1953" s="39" t="n">
        <v>45757</v>
      </c>
      <c r="D1953" s="7" t="s">
        <v>391</v>
      </c>
      <c r="E1953" s="7" t="s">
        <v>156</v>
      </c>
      <c r="F1953" s="7" t="s">
        <v>222</v>
      </c>
      <c r="G1953" s="7" t="s">
        <v>505</v>
      </c>
      <c r="H1953" s="6" t="n">
        <v>3.86</v>
      </c>
      <c r="I1953" s="6" t="n">
        <v>0</v>
      </c>
      <c r="J1953" s="40" t="n">
        <f aca="false">H1953-I1953</f>
        <v>3.86</v>
      </c>
      <c r="K1953" s="41" t="n">
        <v>34</v>
      </c>
      <c r="L1953" s="42" t="n">
        <f aca="false">J1953*K1953</f>
        <v>131.24</v>
      </c>
      <c r="M1953" s="43" t="n">
        <f aca="false">H1953*17.84*(1+'Chart of Accounts'!$E$67)</f>
        <v>78.847448</v>
      </c>
    </row>
    <row r="1954" customFormat="false" ht="15" hidden="false" customHeight="false" outlineLevel="0" collapsed="false">
      <c r="B1954" s="7" t="s">
        <v>2451</v>
      </c>
      <c r="C1954" s="39" t="n">
        <v>45757</v>
      </c>
      <c r="D1954" s="7" t="s">
        <v>395</v>
      </c>
      <c r="E1954" s="7" t="s">
        <v>156</v>
      </c>
      <c r="F1954" s="7" t="s">
        <v>242</v>
      </c>
      <c r="G1954" s="7" t="s">
        <v>505</v>
      </c>
      <c r="H1954" s="6" t="n">
        <v>4.2</v>
      </c>
      <c r="I1954" s="6" t="n">
        <v>0</v>
      </c>
      <c r="J1954" s="40" t="n">
        <f aca="false">H1954-I1954</f>
        <v>4.2</v>
      </c>
      <c r="K1954" s="41" t="n">
        <v>34</v>
      </c>
      <c r="L1954" s="42" t="n">
        <f aca="false">J1954*K1954</f>
        <v>142.8</v>
      </c>
      <c r="M1954" s="43" t="n">
        <f aca="false">H1954*17.99*(1+'Chart of Accounts'!$E$67)</f>
        <v>86.51391</v>
      </c>
    </row>
    <row r="1955" customFormat="false" ht="15" hidden="false" customHeight="false" outlineLevel="0" collapsed="false">
      <c r="B1955" s="7" t="s">
        <v>2452</v>
      </c>
      <c r="C1955" s="39" t="n">
        <v>45757</v>
      </c>
      <c r="D1955" s="7" t="s">
        <v>401</v>
      </c>
      <c r="E1955" s="7" t="s">
        <v>156</v>
      </c>
      <c r="F1955" s="7" t="s">
        <v>254</v>
      </c>
      <c r="G1955" s="7" t="s">
        <v>505</v>
      </c>
      <c r="H1955" s="6" t="n">
        <v>3.72</v>
      </c>
      <c r="I1955" s="6" t="n">
        <v>0</v>
      </c>
      <c r="J1955" s="40" t="n">
        <f aca="false">H1955-I1955</f>
        <v>3.72</v>
      </c>
      <c r="K1955" s="41" t="n">
        <v>34</v>
      </c>
      <c r="L1955" s="42" t="n">
        <f aca="false">J1955*K1955</f>
        <v>126.48</v>
      </c>
      <c r="M1955" s="43" t="n">
        <f aca="false">H1955*17.1*(1+'Chart of Accounts'!$E$67)</f>
        <v>72.83574</v>
      </c>
    </row>
    <row r="1956" customFormat="false" ht="15" hidden="false" customHeight="false" outlineLevel="0" collapsed="false">
      <c r="B1956" s="7" t="s">
        <v>2453</v>
      </c>
      <c r="C1956" s="39" t="n">
        <v>45758</v>
      </c>
      <c r="D1956" s="7" t="s">
        <v>280</v>
      </c>
      <c r="E1956" s="7" t="s">
        <v>157</v>
      </c>
      <c r="F1956" s="7" t="s">
        <v>187</v>
      </c>
      <c r="G1956" s="7" t="s">
        <v>502</v>
      </c>
      <c r="H1956" s="6" t="n">
        <v>0.99</v>
      </c>
      <c r="I1956" s="6" t="n">
        <v>0</v>
      </c>
      <c r="J1956" s="40" t="n">
        <f aca="false">H1956-I1956</f>
        <v>0.99</v>
      </c>
      <c r="K1956" s="41" t="n">
        <v>165</v>
      </c>
      <c r="L1956" s="42" t="n">
        <f aca="false">J1956*K1956</f>
        <v>163.35</v>
      </c>
      <c r="M1956" s="43" t="n">
        <f aca="false">H1956*66.48*(1+'Chart of Accounts'!$E$67)</f>
        <v>75.358404</v>
      </c>
    </row>
    <row r="1957" customFormat="false" ht="15" hidden="false" customHeight="false" outlineLevel="0" collapsed="false">
      <c r="B1957" s="7" t="s">
        <v>2454</v>
      </c>
      <c r="C1957" s="39" t="n">
        <v>45758</v>
      </c>
      <c r="D1957" s="7" t="s">
        <v>288</v>
      </c>
      <c r="E1957" s="7" t="s">
        <v>156</v>
      </c>
      <c r="F1957" s="7" t="s">
        <v>191</v>
      </c>
      <c r="G1957" s="7" t="s">
        <v>505</v>
      </c>
      <c r="H1957" s="6" t="n">
        <v>3.99</v>
      </c>
      <c r="I1957" s="6" t="n">
        <v>0</v>
      </c>
      <c r="J1957" s="40" t="n">
        <f aca="false">H1957-I1957</f>
        <v>3.99</v>
      </c>
      <c r="K1957" s="41" t="n">
        <v>34</v>
      </c>
      <c r="L1957" s="42" t="n">
        <f aca="false">J1957*K1957</f>
        <v>135.66</v>
      </c>
      <c r="M1957" s="43" t="n">
        <f aca="false">H1957*16.05*(1+'Chart of Accounts'!$E$67)</f>
        <v>73.3252275</v>
      </c>
    </row>
    <row r="1958" customFormat="false" ht="15" hidden="false" customHeight="false" outlineLevel="0" collapsed="false">
      <c r="B1958" s="7" t="s">
        <v>2455</v>
      </c>
      <c r="C1958" s="39" t="n">
        <v>45758</v>
      </c>
      <c r="D1958" s="7" t="s">
        <v>291</v>
      </c>
      <c r="E1958" s="7" t="s">
        <v>154</v>
      </c>
      <c r="F1958" s="7" t="s">
        <v>194</v>
      </c>
      <c r="G1958" s="7" t="s">
        <v>505</v>
      </c>
      <c r="H1958" s="6" t="n">
        <v>4.5</v>
      </c>
      <c r="I1958" s="6" t="n">
        <v>0</v>
      </c>
      <c r="J1958" s="40" t="n">
        <f aca="false">H1958-I1958</f>
        <v>4.5</v>
      </c>
      <c r="K1958" s="41" t="n">
        <v>26.5</v>
      </c>
      <c r="L1958" s="42" t="n">
        <f aca="false">J1958*K1958</f>
        <v>119.25</v>
      </c>
      <c r="M1958" s="43" t="n">
        <f aca="false">H1958*16*(1+'Chart of Accounts'!$E$67)</f>
        <v>82.44</v>
      </c>
    </row>
    <row r="1959" customFormat="false" ht="15" hidden="false" customHeight="false" outlineLevel="0" collapsed="false">
      <c r="B1959" s="7" t="s">
        <v>2456</v>
      </c>
      <c r="C1959" s="39" t="n">
        <v>45758</v>
      </c>
      <c r="D1959" s="7" t="s">
        <v>301</v>
      </c>
      <c r="E1959" s="7" t="s">
        <v>157</v>
      </c>
      <c r="F1959" s="7" t="s">
        <v>209</v>
      </c>
      <c r="G1959" s="7" t="s">
        <v>502</v>
      </c>
      <c r="H1959" s="6" t="n">
        <v>1.09</v>
      </c>
      <c r="I1959" s="6" t="n">
        <v>0</v>
      </c>
      <c r="J1959" s="40" t="n">
        <f aca="false">H1959-I1959</f>
        <v>1.09</v>
      </c>
      <c r="K1959" s="41" t="n">
        <v>165</v>
      </c>
      <c r="L1959" s="42" t="n">
        <f aca="false">J1959*K1959</f>
        <v>179.85</v>
      </c>
      <c r="M1959" s="43" t="n">
        <f aca="false">H1959*73.58*(1+'Chart of Accounts'!$E$67)</f>
        <v>91.831519</v>
      </c>
    </row>
    <row r="1960" customFormat="false" ht="15" hidden="false" customHeight="false" outlineLevel="0" collapsed="false">
      <c r="B1960" s="7" t="s">
        <v>2457</v>
      </c>
      <c r="C1960" s="39" t="n">
        <v>45758</v>
      </c>
      <c r="D1960" s="7" t="s">
        <v>305</v>
      </c>
      <c r="E1960" s="7" t="s">
        <v>154</v>
      </c>
      <c r="F1960" s="7" t="s">
        <v>205</v>
      </c>
      <c r="G1960" s="7" t="s">
        <v>505</v>
      </c>
      <c r="H1960" s="6" t="n">
        <v>3.89</v>
      </c>
      <c r="I1960" s="6" t="n">
        <v>0</v>
      </c>
      <c r="J1960" s="40" t="n">
        <f aca="false">H1960-I1960</f>
        <v>3.89</v>
      </c>
      <c r="K1960" s="41" t="n">
        <v>26.5</v>
      </c>
      <c r="L1960" s="42" t="n">
        <f aca="false">J1960*K1960</f>
        <v>103.085</v>
      </c>
      <c r="M1960" s="43" t="n">
        <f aca="false">H1960*16.36*(1+'Chart of Accounts'!$E$67)</f>
        <v>72.868258</v>
      </c>
    </row>
    <row r="1961" customFormat="false" ht="15" hidden="false" customHeight="false" outlineLevel="0" collapsed="false">
      <c r="B1961" s="7" t="s">
        <v>2458</v>
      </c>
      <c r="C1961" s="39" t="n">
        <v>45758</v>
      </c>
      <c r="D1961" s="7" t="s">
        <v>307</v>
      </c>
      <c r="E1961" s="7" t="s">
        <v>157</v>
      </c>
      <c r="F1961" s="7" t="s">
        <v>264</v>
      </c>
      <c r="G1961" s="7" t="s">
        <v>502</v>
      </c>
      <c r="H1961" s="6" t="n">
        <v>0.9</v>
      </c>
      <c r="I1961" s="6" t="n">
        <v>0</v>
      </c>
      <c r="J1961" s="40" t="n">
        <f aca="false">H1961-I1961</f>
        <v>0.9</v>
      </c>
      <c r="K1961" s="41" t="n">
        <v>165</v>
      </c>
      <c r="L1961" s="42" t="n">
        <f aca="false">J1961*K1961</f>
        <v>148.5</v>
      </c>
      <c r="M1961" s="43" t="n">
        <f aca="false">H1961*55.55*(1+'Chart of Accounts'!$E$67)</f>
        <v>57.244275</v>
      </c>
    </row>
    <row r="1962" customFormat="false" ht="15" hidden="false" customHeight="false" outlineLevel="0" collapsed="false">
      <c r="B1962" s="7" t="s">
        <v>2459</v>
      </c>
      <c r="C1962" s="39" t="n">
        <v>45758</v>
      </c>
      <c r="D1962" s="7" t="s">
        <v>309</v>
      </c>
      <c r="E1962" s="7" t="s">
        <v>159</v>
      </c>
      <c r="F1962" s="7" t="s">
        <v>252</v>
      </c>
      <c r="G1962" s="7" t="s">
        <v>502</v>
      </c>
      <c r="H1962" s="6" t="n">
        <v>1.07</v>
      </c>
      <c r="I1962" s="6" t="n">
        <v>0</v>
      </c>
      <c r="J1962" s="40" t="n">
        <f aca="false">H1962-I1962</f>
        <v>1.07</v>
      </c>
      <c r="K1962" s="41" t="n">
        <v>135</v>
      </c>
      <c r="L1962" s="42" t="n">
        <f aca="false">J1962*K1962</f>
        <v>144.45</v>
      </c>
      <c r="M1962" s="43" t="n">
        <f aca="false">H1962*57.54*(1+'Chart of Accounts'!$E$67)</f>
        <v>70.495131</v>
      </c>
    </row>
    <row r="1963" customFormat="false" ht="15" hidden="false" customHeight="false" outlineLevel="0" collapsed="false">
      <c r="B1963" s="7" t="s">
        <v>2460</v>
      </c>
      <c r="C1963" s="39" t="n">
        <v>45758</v>
      </c>
      <c r="D1963" s="7" t="s">
        <v>313</v>
      </c>
      <c r="E1963" s="7" t="s">
        <v>156</v>
      </c>
      <c r="F1963" s="7" t="s">
        <v>184</v>
      </c>
      <c r="G1963" s="7" t="s">
        <v>505</v>
      </c>
      <c r="H1963" s="6" t="n">
        <v>4.15</v>
      </c>
      <c r="I1963" s="6" t="n">
        <v>0</v>
      </c>
      <c r="J1963" s="40" t="n">
        <f aca="false">H1963-I1963</f>
        <v>4.15</v>
      </c>
      <c r="K1963" s="41" t="n">
        <v>34</v>
      </c>
      <c r="L1963" s="42" t="n">
        <f aca="false">J1963*K1963</f>
        <v>141.1</v>
      </c>
      <c r="M1963" s="43" t="n">
        <f aca="false">H1963*17.34*(1+'Chart of Accounts'!$E$67)</f>
        <v>82.395345</v>
      </c>
    </row>
    <row r="1964" customFormat="false" ht="15" hidden="false" customHeight="false" outlineLevel="0" collapsed="false">
      <c r="B1964" s="7" t="s">
        <v>2461</v>
      </c>
      <c r="C1964" s="39" t="n">
        <v>45758</v>
      </c>
      <c r="D1964" s="7" t="s">
        <v>319</v>
      </c>
      <c r="E1964" s="7" t="s">
        <v>157</v>
      </c>
      <c r="F1964" s="7" t="s">
        <v>234</v>
      </c>
      <c r="G1964" s="7" t="s">
        <v>502</v>
      </c>
      <c r="H1964" s="6" t="n">
        <v>1.01</v>
      </c>
      <c r="I1964" s="6" t="n">
        <v>0</v>
      </c>
      <c r="J1964" s="40" t="n">
        <f aca="false">H1964-I1964</f>
        <v>1.01</v>
      </c>
      <c r="K1964" s="41" t="n">
        <v>165</v>
      </c>
      <c r="L1964" s="42" t="n">
        <f aca="false">J1964*K1964</f>
        <v>166.65</v>
      </c>
      <c r="M1964" s="43" t="n">
        <f aca="false">H1964*89.53*(1+'Chart of Accounts'!$E$67)</f>
        <v>103.5369685</v>
      </c>
    </row>
    <row r="1965" customFormat="false" ht="15" hidden="false" customHeight="false" outlineLevel="0" collapsed="false">
      <c r="B1965" s="7" t="s">
        <v>2462</v>
      </c>
      <c r="C1965" s="39" t="n">
        <v>45758</v>
      </c>
      <c r="D1965" s="7" t="s">
        <v>321</v>
      </c>
      <c r="E1965" s="7" t="s">
        <v>154</v>
      </c>
      <c r="F1965" s="7" t="s">
        <v>218</v>
      </c>
      <c r="G1965" s="7" t="s">
        <v>505</v>
      </c>
      <c r="H1965" s="6" t="n">
        <v>3.89</v>
      </c>
      <c r="I1965" s="6" t="n">
        <v>0.117</v>
      </c>
      <c r="J1965" s="40" t="n">
        <f aca="false">H1965-I1965</f>
        <v>3.773</v>
      </c>
      <c r="K1965" s="41" t="n">
        <v>26.5</v>
      </c>
      <c r="L1965" s="42" t="n">
        <f aca="false">J1965*K1965</f>
        <v>99.9845</v>
      </c>
      <c r="M1965" s="43" t="n">
        <f aca="false">H1965*16.19*(1+'Chart of Accounts'!$E$67)</f>
        <v>72.1110695</v>
      </c>
    </row>
    <row r="1966" customFormat="false" ht="15" hidden="false" customHeight="false" outlineLevel="0" collapsed="false">
      <c r="B1966" s="7" t="s">
        <v>2463</v>
      </c>
      <c r="C1966" s="39" t="n">
        <v>45758</v>
      </c>
      <c r="D1966" s="7" t="s">
        <v>323</v>
      </c>
      <c r="E1966" s="7" t="s">
        <v>159</v>
      </c>
      <c r="F1966" s="7" t="s">
        <v>266</v>
      </c>
      <c r="G1966" s="7" t="s">
        <v>502</v>
      </c>
      <c r="H1966" s="6" t="n">
        <v>1.07</v>
      </c>
      <c r="I1966" s="6" t="n">
        <v>0</v>
      </c>
      <c r="J1966" s="40" t="n">
        <f aca="false">H1966-I1966</f>
        <v>1.07</v>
      </c>
      <c r="K1966" s="41" t="n">
        <v>135</v>
      </c>
      <c r="L1966" s="42" t="n">
        <f aca="false">J1966*K1966</f>
        <v>144.45</v>
      </c>
      <c r="M1966" s="43" t="n">
        <f aca="false">H1966*75.18*(1+'Chart of Accounts'!$E$67)</f>
        <v>92.106777</v>
      </c>
    </row>
    <row r="1967" customFormat="false" ht="15" hidden="false" customHeight="false" outlineLevel="0" collapsed="false">
      <c r="B1967" s="7" t="s">
        <v>2464</v>
      </c>
      <c r="C1967" s="39" t="n">
        <v>45758</v>
      </c>
      <c r="D1967" s="7" t="s">
        <v>327</v>
      </c>
      <c r="E1967" s="7" t="s">
        <v>157</v>
      </c>
      <c r="F1967" s="7" t="s">
        <v>228</v>
      </c>
      <c r="G1967" s="7" t="s">
        <v>502</v>
      </c>
      <c r="H1967" s="6" t="n">
        <v>1.08</v>
      </c>
      <c r="I1967" s="6" t="n">
        <v>0</v>
      </c>
      <c r="J1967" s="40" t="n">
        <f aca="false">H1967-I1967</f>
        <v>1.08</v>
      </c>
      <c r="K1967" s="41" t="n">
        <v>165</v>
      </c>
      <c r="L1967" s="42" t="n">
        <f aca="false">J1967*K1967</f>
        <v>178.2</v>
      </c>
      <c r="M1967" s="43" t="n">
        <f aca="false">H1967*51.07*(1+'Chart of Accounts'!$E$67)</f>
        <v>63.153162</v>
      </c>
    </row>
    <row r="1968" customFormat="false" ht="15" hidden="false" customHeight="false" outlineLevel="0" collapsed="false">
      <c r="B1968" s="7" t="s">
        <v>2465</v>
      </c>
      <c r="C1968" s="39" t="n">
        <v>45758</v>
      </c>
      <c r="D1968" s="7" t="s">
        <v>329</v>
      </c>
      <c r="E1968" s="7" t="s">
        <v>156</v>
      </c>
      <c r="F1968" s="7" t="s">
        <v>220</v>
      </c>
      <c r="G1968" s="7" t="s">
        <v>505</v>
      </c>
      <c r="H1968" s="6" t="n">
        <v>3.8</v>
      </c>
      <c r="I1968" s="6" t="n">
        <v>0</v>
      </c>
      <c r="J1968" s="40" t="n">
        <f aca="false">H1968-I1968</f>
        <v>3.8</v>
      </c>
      <c r="K1968" s="41" t="n">
        <v>34</v>
      </c>
      <c r="L1968" s="42" t="n">
        <f aca="false">J1968*K1968</f>
        <v>129.2</v>
      </c>
      <c r="M1968" s="43" t="n">
        <f aca="false">H1968*16.43*(1+'Chart of Accounts'!$E$67)</f>
        <v>71.48693</v>
      </c>
    </row>
    <row r="1969" customFormat="false" ht="15" hidden="false" customHeight="false" outlineLevel="0" collapsed="false">
      <c r="B1969" s="7" t="s">
        <v>2466</v>
      </c>
      <c r="C1969" s="39" t="n">
        <v>45758</v>
      </c>
      <c r="D1969" s="7" t="s">
        <v>335</v>
      </c>
      <c r="E1969" s="7" t="s">
        <v>154</v>
      </c>
      <c r="F1969" s="7" t="s">
        <v>177</v>
      </c>
      <c r="G1969" s="7" t="s">
        <v>505</v>
      </c>
      <c r="H1969" s="6" t="n">
        <v>3.79</v>
      </c>
      <c r="I1969" s="6" t="n">
        <v>0</v>
      </c>
      <c r="J1969" s="40" t="n">
        <f aca="false">H1969-I1969</f>
        <v>3.79</v>
      </c>
      <c r="K1969" s="41" t="n">
        <v>26.5</v>
      </c>
      <c r="L1969" s="42" t="n">
        <f aca="false">J1969*K1969</f>
        <v>100.435</v>
      </c>
      <c r="M1969" s="43" t="n">
        <f aca="false">H1969*14.56*(1+'Chart of Accounts'!$E$67)</f>
        <v>63.183848</v>
      </c>
    </row>
    <row r="1970" customFormat="false" ht="15" hidden="false" customHeight="false" outlineLevel="0" collapsed="false">
      <c r="B1970" s="7" t="s">
        <v>2467</v>
      </c>
      <c r="C1970" s="39" t="n">
        <v>45758</v>
      </c>
      <c r="D1970" s="7" t="s">
        <v>339</v>
      </c>
      <c r="E1970" s="7" t="s">
        <v>154</v>
      </c>
      <c r="F1970" s="7" t="s">
        <v>242</v>
      </c>
      <c r="G1970" s="7" t="s">
        <v>505</v>
      </c>
      <c r="H1970" s="6" t="n">
        <v>3.61</v>
      </c>
      <c r="I1970" s="6" t="n">
        <v>0</v>
      </c>
      <c r="J1970" s="40" t="n">
        <f aca="false">H1970-I1970</f>
        <v>3.61</v>
      </c>
      <c r="K1970" s="41" t="n">
        <v>26.5</v>
      </c>
      <c r="L1970" s="42" t="n">
        <f aca="false">J1970*K1970</f>
        <v>95.665</v>
      </c>
      <c r="M1970" s="43" t="n">
        <f aca="false">H1970*17.99*(1+'Chart of Accounts'!$E$67)</f>
        <v>74.3607655</v>
      </c>
    </row>
    <row r="1971" customFormat="false" ht="15" hidden="false" customHeight="false" outlineLevel="0" collapsed="false">
      <c r="B1971" s="7" t="s">
        <v>2468</v>
      </c>
      <c r="C1971" s="39" t="n">
        <v>45758</v>
      </c>
      <c r="D1971" s="7" t="s">
        <v>353</v>
      </c>
      <c r="E1971" s="7" t="s">
        <v>154</v>
      </c>
      <c r="F1971" s="7" t="s">
        <v>254</v>
      </c>
      <c r="G1971" s="7" t="s">
        <v>505</v>
      </c>
      <c r="H1971" s="6" t="n">
        <v>3.51</v>
      </c>
      <c r="I1971" s="6" t="n">
        <v>0.105</v>
      </c>
      <c r="J1971" s="40" t="n">
        <f aca="false">H1971-I1971</f>
        <v>3.405</v>
      </c>
      <c r="K1971" s="41" t="n">
        <v>26.5</v>
      </c>
      <c r="L1971" s="42" t="n">
        <f aca="false">J1971*K1971</f>
        <v>90.2325</v>
      </c>
      <c r="M1971" s="43" t="n">
        <f aca="false">H1971*17.1*(1+'Chart of Accounts'!$E$67)</f>
        <v>68.724045</v>
      </c>
    </row>
    <row r="1972" customFormat="false" ht="15" hidden="false" customHeight="false" outlineLevel="0" collapsed="false">
      <c r="B1972" s="7" t="s">
        <v>2469</v>
      </c>
      <c r="C1972" s="39" t="n">
        <v>45758</v>
      </c>
      <c r="D1972" s="7" t="s">
        <v>355</v>
      </c>
      <c r="E1972" s="7" t="s">
        <v>154</v>
      </c>
      <c r="F1972" s="7" t="s">
        <v>201</v>
      </c>
      <c r="G1972" s="7" t="s">
        <v>505</v>
      </c>
      <c r="H1972" s="6" t="n">
        <v>3.58</v>
      </c>
      <c r="I1972" s="6" t="n">
        <v>0</v>
      </c>
      <c r="J1972" s="40" t="n">
        <f aca="false">H1972-I1972</f>
        <v>3.58</v>
      </c>
      <c r="K1972" s="41" t="n">
        <v>26.5</v>
      </c>
      <c r="L1972" s="42" t="n">
        <f aca="false">J1972*K1972</f>
        <v>94.87</v>
      </c>
      <c r="M1972" s="43" t="n">
        <f aca="false">H1972*15.19*(1+'Chart of Accounts'!$E$67)</f>
        <v>62.265329</v>
      </c>
    </row>
    <row r="1973" customFormat="false" ht="15" hidden="false" customHeight="false" outlineLevel="0" collapsed="false">
      <c r="B1973" s="7" t="s">
        <v>2470</v>
      </c>
      <c r="C1973" s="39" t="n">
        <v>45758</v>
      </c>
      <c r="D1973" s="7" t="s">
        <v>357</v>
      </c>
      <c r="E1973" s="7" t="s">
        <v>154</v>
      </c>
      <c r="F1973" s="7" t="s">
        <v>207</v>
      </c>
      <c r="G1973" s="7" t="s">
        <v>505</v>
      </c>
      <c r="H1973" s="6" t="n">
        <v>3.31</v>
      </c>
      <c r="I1973" s="6" t="n">
        <v>0</v>
      </c>
      <c r="J1973" s="40" t="n">
        <f aca="false">H1973-I1973</f>
        <v>3.31</v>
      </c>
      <c r="K1973" s="41" t="n">
        <v>26.5</v>
      </c>
      <c r="L1973" s="42" t="n">
        <f aca="false">J1973*K1973</f>
        <v>87.715</v>
      </c>
      <c r="M1973" s="43" t="n">
        <f aca="false">H1973*16.65*(1+'Chart of Accounts'!$E$67)</f>
        <v>63.1026675</v>
      </c>
    </row>
    <row r="1974" customFormat="false" ht="15" hidden="false" customHeight="false" outlineLevel="0" collapsed="false">
      <c r="B1974" s="7" t="s">
        <v>2471</v>
      </c>
      <c r="C1974" s="39" t="n">
        <v>45758</v>
      </c>
      <c r="D1974" s="7" t="s">
        <v>359</v>
      </c>
      <c r="E1974" s="7" t="s">
        <v>156</v>
      </c>
      <c r="F1974" s="7" t="s">
        <v>212</v>
      </c>
      <c r="G1974" s="7" t="s">
        <v>505</v>
      </c>
      <c r="H1974" s="6" t="n">
        <v>4.17</v>
      </c>
      <c r="I1974" s="6" t="n">
        <v>0</v>
      </c>
      <c r="J1974" s="40" t="n">
        <f aca="false">H1974-I1974</f>
        <v>4.17</v>
      </c>
      <c r="K1974" s="41" t="n">
        <v>34</v>
      </c>
      <c r="L1974" s="42" t="n">
        <f aca="false">J1974*K1974</f>
        <v>141.78</v>
      </c>
      <c r="M1974" s="43" t="n">
        <f aca="false">H1974*16.71*(1+'Chart of Accounts'!$E$67)</f>
        <v>79.7844015</v>
      </c>
    </row>
    <row r="1975" customFormat="false" ht="15" hidden="false" customHeight="false" outlineLevel="0" collapsed="false">
      <c r="B1975" s="7" t="s">
        <v>2472</v>
      </c>
      <c r="C1975" s="39" t="n">
        <v>45758</v>
      </c>
      <c r="D1975" s="7" t="s">
        <v>361</v>
      </c>
      <c r="E1975" s="7" t="s">
        <v>157</v>
      </c>
      <c r="F1975" s="7" t="s">
        <v>209</v>
      </c>
      <c r="G1975" s="7" t="s">
        <v>502</v>
      </c>
      <c r="H1975" s="6" t="n">
        <v>1.06</v>
      </c>
      <c r="I1975" s="6" t="n">
        <v>0</v>
      </c>
      <c r="J1975" s="40" t="n">
        <f aca="false">H1975-I1975</f>
        <v>1.06</v>
      </c>
      <c r="K1975" s="41" t="n">
        <v>165</v>
      </c>
      <c r="L1975" s="42" t="n">
        <f aca="false">J1975*K1975</f>
        <v>174.9</v>
      </c>
      <c r="M1975" s="43" t="n">
        <f aca="false">H1975*73.58*(1+'Chart of Accounts'!$E$67)</f>
        <v>89.304046</v>
      </c>
    </row>
    <row r="1976" customFormat="false" ht="15" hidden="false" customHeight="false" outlineLevel="0" collapsed="false">
      <c r="B1976" s="7" t="s">
        <v>2473</v>
      </c>
      <c r="C1976" s="39" t="n">
        <v>45758</v>
      </c>
      <c r="D1976" s="7" t="s">
        <v>371</v>
      </c>
      <c r="E1976" s="7" t="s">
        <v>154</v>
      </c>
      <c r="F1976" s="7" t="s">
        <v>232</v>
      </c>
      <c r="G1976" s="7" t="s">
        <v>505</v>
      </c>
      <c r="H1976" s="6" t="n">
        <v>4.53</v>
      </c>
      <c r="I1976" s="6" t="n">
        <v>0</v>
      </c>
      <c r="J1976" s="40" t="n">
        <f aca="false">H1976-I1976</f>
        <v>4.53</v>
      </c>
      <c r="K1976" s="41" t="n">
        <v>26.5</v>
      </c>
      <c r="L1976" s="42" t="n">
        <f aca="false">J1976*K1976</f>
        <v>120.045</v>
      </c>
      <c r="M1976" s="43" t="n">
        <f aca="false">H1976*16.17*(1+'Chart of Accounts'!$E$67)</f>
        <v>83.8713645</v>
      </c>
    </row>
    <row r="1977" customFormat="false" ht="15" hidden="false" customHeight="false" outlineLevel="0" collapsed="false">
      <c r="B1977" s="7" t="s">
        <v>2474</v>
      </c>
      <c r="C1977" s="39" t="n">
        <v>45758</v>
      </c>
      <c r="D1977" s="7" t="s">
        <v>379</v>
      </c>
      <c r="E1977" s="7" t="s">
        <v>156</v>
      </c>
      <c r="F1977" s="7" t="s">
        <v>224</v>
      </c>
      <c r="G1977" s="7" t="s">
        <v>505</v>
      </c>
      <c r="H1977" s="6" t="n">
        <v>4.89</v>
      </c>
      <c r="I1977" s="6" t="n">
        <v>0</v>
      </c>
      <c r="J1977" s="40" t="n">
        <f aca="false">H1977-I1977</f>
        <v>4.89</v>
      </c>
      <c r="K1977" s="41" t="n">
        <v>34</v>
      </c>
      <c r="L1977" s="42" t="n">
        <f aca="false">J1977*K1977</f>
        <v>166.26</v>
      </c>
      <c r="M1977" s="43" t="n">
        <f aca="false">H1977*14.93*(1+'Chart of Accounts'!$E$67)</f>
        <v>83.5938165</v>
      </c>
    </row>
    <row r="1978" customFormat="false" ht="15" hidden="false" customHeight="false" outlineLevel="0" collapsed="false">
      <c r="B1978" s="7" t="s">
        <v>2475</v>
      </c>
      <c r="C1978" s="39" t="n">
        <v>45758</v>
      </c>
      <c r="D1978" s="7" t="s">
        <v>381</v>
      </c>
      <c r="E1978" s="7" t="s">
        <v>157</v>
      </c>
      <c r="F1978" s="7" t="s">
        <v>234</v>
      </c>
      <c r="G1978" s="7" t="s">
        <v>502</v>
      </c>
      <c r="H1978" s="6" t="n">
        <v>0.91</v>
      </c>
      <c r="I1978" s="6" t="n">
        <v>0</v>
      </c>
      <c r="J1978" s="40" t="n">
        <f aca="false">H1978-I1978</f>
        <v>0.91</v>
      </c>
      <c r="K1978" s="41" t="n">
        <v>165</v>
      </c>
      <c r="L1978" s="42" t="n">
        <f aca="false">J1978*K1978</f>
        <v>150.15</v>
      </c>
      <c r="M1978" s="43" t="n">
        <f aca="false">H1978*89.53*(1+'Chart of Accounts'!$E$67)</f>
        <v>93.2857835</v>
      </c>
    </row>
    <row r="1979" customFormat="false" ht="15" hidden="false" customHeight="false" outlineLevel="0" collapsed="false">
      <c r="B1979" s="7" t="s">
        <v>2476</v>
      </c>
      <c r="C1979" s="39" t="n">
        <v>45758</v>
      </c>
      <c r="D1979" s="7" t="s">
        <v>385</v>
      </c>
      <c r="E1979" s="7" t="s">
        <v>156</v>
      </c>
      <c r="F1979" s="7" t="s">
        <v>238</v>
      </c>
      <c r="G1979" s="7" t="s">
        <v>505</v>
      </c>
      <c r="H1979" s="6" t="n">
        <v>4.23</v>
      </c>
      <c r="I1979" s="6" t="n">
        <v>0</v>
      </c>
      <c r="J1979" s="40" t="n">
        <f aca="false">H1979-I1979</f>
        <v>4.23</v>
      </c>
      <c r="K1979" s="41" t="n">
        <v>34</v>
      </c>
      <c r="L1979" s="42" t="n">
        <f aca="false">J1979*K1979</f>
        <v>143.82</v>
      </c>
      <c r="M1979" s="43" t="n">
        <f aca="false">H1979*15.85*(1+'Chart of Accounts'!$E$67)</f>
        <v>76.7670975</v>
      </c>
    </row>
    <row r="1980" customFormat="false" ht="15" hidden="false" customHeight="false" outlineLevel="0" collapsed="false">
      <c r="B1980" s="7" t="s">
        <v>2477</v>
      </c>
      <c r="C1980" s="39" t="n">
        <v>45758</v>
      </c>
      <c r="D1980" s="7" t="s">
        <v>389</v>
      </c>
      <c r="E1980" s="7" t="s">
        <v>154</v>
      </c>
      <c r="F1980" s="7" t="s">
        <v>246</v>
      </c>
      <c r="G1980" s="7" t="s">
        <v>505</v>
      </c>
      <c r="H1980" s="6" t="n">
        <v>4.1</v>
      </c>
      <c r="I1980" s="6" t="n">
        <v>0.123</v>
      </c>
      <c r="J1980" s="40" t="n">
        <f aca="false">H1980-I1980</f>
        <v>3.977</v>
      </c>
      <c r="K1980" s="41" t="n">
        <v>26.5</v>
      </c>
      <c r="L1980" s="42" t="n">
        <f aca="false">J1980*K1980</f>
        <v>105.3905</v>
      </c>
      <c r="M1980" s="43" t="n">
        <f aca="false">H1980*16.48*(1+'Chart of Accounts'!$E$67)</f>
        <v>77.36536</v>
      </c>
    </row>
    <row r="1981" customFormat="false" ht="15" hidden="false" customHeight="false" outlineLevel="0" collapsed="false">
      <c r="B1981" s="7" t="s">
        <v>2478</v>
      </c>
      <c r="C1981" s="39" t="n">
        <v>45758</v>
      </c>
      <c r="D1981" s="7" t="s">
        <v>391</v>
      </c>
      <c r="E1981" s="7" t="s">
        <v>156</v>
      </c>
      <c r="F1981" s="7" t="s">
        <v>222</v>
      </c>
      <c r="G1981" s="7" t="s">
        <v>505</v>
      </c>
      <c r="H1981" s="6" t="n">
        <v>3.73</v>
      </c>
      <c r="I1981" s="6" t="n">
        <v>0</v>
      </c>
      <c r="J1981" s="40" t="n">
        <f aca="false">H1981-I1981</f>
        <v>3.73</v>
      </c>
      <c r="K1981" s="41" t="n">
        <v>34</v>
      </c>
      <c r="L1981" s="42" t="n">
        <f aca="false">J1981*K1981</f>
        <v>126.82</v>
      </c>
      <c r="M1981" s="43" t="n">
        <f aca="false">H1981*17.84*(1+'Chart of Accounts'!$E$67)</f>
        <v>76.191964</v>
      </c>
    </row>
    <row r="1982" customFormat="false" ht="15" hidden="false" customHeight="false" outlineLevel="0" collapsed="false">
      <c r="B1982" s="7" t="s">
        <v>2479</v>
      </c>
      <c r="C1982" s="39" t="n">
        <v>45758</v>
      </c>
      <c r="D1982" s="7" t="s">
        <v>395</v>
      </c>
      <c r="E1982" s="7" t="s">
        <v>156</v>
      </c>
      <c r="F1982" s="7" t="s">
        <v>242</v>
      </c>
      <c r="G1982" s="7" t="s">
        <v>505</v>
      </c>
      <c r="H1982" s="6" t="n">
        <v>4.26</v>
      </c>
      <c r="I1982" s="6" t="n">
        <v>0</v>
      </c>
      <c r="J1982" s="40" t="n">
        <f aca="false">H1982-I1982</f>
        <v>4.26</v>
      </c>
      <c r="K1982" s="41" t="n">
        <v>34</v>
      </c>
      <c r="L1982" s="42" t="n">
        <f aca="false">J1982*K1982</f>
        <v>144.84</v>
      </c>
      <c r="M1982" s="43" t="n">
        <f aca="false">H1982*17.99*(1+'Chart of Accounts'!$E$67)</f>
        <v>87.749823</v>
      </c>
    </row>
    <row r="1983" customFormat="false" ht="15" hidden="false" customHeight="false" outlineLevel="0" collapsed="false">
      <c r="B1983" s="7" t="s">
        <v>2480</v>
      </c>
      <c r="C1983" s="39" t="n">
        <v>45758</v>
      </c>
      <c r="D1983" s="7" t="s">
        <v>397</v>
      </c>
      <c r="E1983" s="7" t="s">
        <v>159</v>
      </c>
      <c r="F1983" s="7" t="s">
        <v>203</v>
      </c>
      <c r="G1983" s="7" t="s">
        <v>502</v>
      </c>
      <c r="H1983" s="6" t="n">
        <v>1.04</v>
      </c>
      <c r="I1983" s="6" t="n">
        <v>0</v>
      </c>
      <c r="J1983" s="40" t="n">
        <f aca="false">H1983-I1983</f>
        <v>1.04</v>
      </c>
      <c r="K1983" s="41" t="n">
        <v>135</v>
      </c>
      <c r="L1983" s="42" t="n">
        <f aca="false">J1983*K1983</f>
        <v>140.4</v>
      </c>
      <c r="M1983" s="43" t="n">
        <f aca="false">H1983*49.43*(1+'Chart of Accounts'!$E$67)</f>
        <v>58.861244</v>
      </c>
    </row>
    <row r="1984" customFormat="false" ht="15" hidden="false" customHeight="false" outlineLevel="0" collapsed="false">
      <c r="B1984" s="7" t="s">
        <v>2481</v>
      </c>
      <c r="C1984" s="39" t="n">
        <v>45758</v>
      </c>
      <c r="D1984" s="7" t="s">
        <v>399</v>
      </c>
      <c r="E1984" s="7" t="s">
        <v>154</v>
      </c>
      <c r="F1984" s="7" t="s">
        <v>262</v>
      </c>
      <c r="G1984" s="7" t="s">
        <v>505</v>
      </c>
      <c r="H1984" s="6" t="n">
        <v>3.32</v>
      </c>
      <c r="I1984" s="6" t="n">
        <v>0</v>
      </c>
      <c r="J1984" s="40" t="n">
        <f aca="false">H1984-I1984</f>
        <v>3.32</v>
      </c>
      <c r="K1984" s="41" t="n">
        <v>26.5</v>
      </c>
      <c r="L1984" s="42" t="n">
        <f aca="false">J1984*K1984</f>
        <v>87.98</v>
      </c>
      <c r="M1984" s="43" t="n">
        <f aca="false">H1984*16.02*(1+'Chart of Accounts'!$E$67)</f>
        <v>60.898428</v>
      </c>
    </row>
    <row r="1985" customFormat="false" ht="15" hidden="false" customHeight="false" outlineLevel="0" collapsed="false">
      <c r="B1985" s="7" t="s">
        <v>2482</v>
      </c>
      <c r="C1985" s="39" t="n">
        <v>45758</v>
      </c>
      <c r="D1985" s="7" t="s">
        <v>401</v>
      </c>
      <c r="E1985" s="7" t="s">
        <v>156</v>
      </c>
      <c r="F1985" s="7" t="s">
        <v>254</v>
      </c>
      <c r="G1985" s="7" t="s">
        <v>505</v>
      </c>
      <c r="H1985" s="6" t="n">
        <v>4.15</v>
      </c>
      <c r="I1985" s="6" t="n">
        <v>0</v>
      </c>
      <c r="J1985" s="40" t="n">
        <f aca="false">H1985-I1985</f>
        <v>4.15</v>
      </c>
      <c r="K1985" s="41" t="n">
        <v>34</v>
      </c>
      <c r="L1985" s="42" t="n">
        <f aca="false">J1985*K1985</f>
        <v>141.1</v>
      </c>
      <c r="M1985" s="43" t="n">
        <f aca="false">H1985*17.1*(1+'Chart of Accounts'!$E$67)</f>
        <v>81.254925</v>
      </c>
    </row>
    <row r="1986" customFormat="false" ht="15" hidden="false" customHeight="false" outlineLevel="0" collapsed="false">
      <c r="B1986" s="7" t="s">
        <v>2483</v>
      </c>
      <c r="C1986" s="39" t="n">
        <v>45758</v>
      </c>
      <c r="D1986" s="7" t="s">
        <v>407</v>
      </c>
      <c r="E1986" s="7" t="s">
        <v>159</v>
      </c>
      <c r="F1986" s="7" t="s">
        <v>260</v>
      </c>
      <c r="G1986" s="7" t="s">
        <v>502</v>
      </c>
      <c r="H1986" s="6" t="n">
        <v>0.94</v>
      </c>
      <c r="I1986" s="6" t="n">
        <v>0</v>
      </c>
      <c r="J1986" s="40" t="n">
        <f aca="false">H1986-I1986</f>
        <v>0.94</v>
      </c>
      <c r="K1986" s="41" t="n">
        <v>135</v>
      </c>
      <c r="L1986" s="42" t="n">
        <f aca="false">J1986*K1986</f>
        <v>126.9</v>
      </c>
      <c r="M1986" s="43" t="n">
        <f aca="false">H1986*79.8*(1+'Chart of Accounts'!$E$67)</f>
        <v>85.88874</v>
      </c>
    </row>
    <row r="1987" customFormat="false" ht="15" hidden="false" customHeight="false" outlineLevel="0" collapsed="false">
      <c r="B1987" s="7" t="s">
        <v>2484</v>
      </c>
      <c r="C1987" s="39" t="n">
        <v>45758</v>
      </c>
      <c r="D1987" s="7" t="s">
        <v>409</v>
      </c>
      <c r="E1987" s="7" t="s">
        <v>154</v>
      </c>
      <c r="F1987" s="7" t="s">
        <v>214</v>
      </c>
      <c r="G1987" s="7" t="s">
        <v>505</v>
      </c>
      <c r="H1987" s="6" t="n">
        <v>3.58</v>
      </c>
      <c r="I1987" s="6" t="n">
        <v>0</v>
      </c>
      <c r="J1987" s="40" t="n">
        <f aca="false">H1987-I1987</f>
        <v>3.58</v>
      </c>
      <c r="K1987" s="41" t="n">
        <v>26.5</v>
      </c>
      <c r="L1987" s="42" t="n">
        <f aca="false">J1987*K1987</f>
        <v>94.87</v>
      </c>
      <c r="M1987" s="43" t="n">
        <f aca="false">H1987*15.67*(1+'Chart of Accounts'!$E$67)</f>
        <v>64.232897</v>
      </c>
    </row>
    <row r="1988" customFormat="false" ht="15" hidden="false" customHeight="false" outlineLevel="0" collapsed="false">
      <c r="B1988" s="7" t="s">
        <v>2485</v>
      </c>
      <c r="C1988" s="39" t="n">
        <v>45758</v>
      </c>
      <c r="D1988" s="7" t="s">
        <v>411</v>
      </c>
      <c r="E1988" s="7" t="s">
        <v>154</v>
      </c>
      <c r="F1988" s="7" t="s">
        <v>177</v>
      </c>
      <c r="G1988" s="7" t="s">
        <v>505</v>
      </c>
      <c r="H1988" s="6" t="n">
        <v>4.41</v>
      </c>
      <c r="I1988" s="6" t="n">
        <v>0</v>
      </c>
      <c r="J1988" s="40" t="n">
        <f aca="false">H1988-I1988</f>
        <v>4.41</v>
      </c>
      <c r="K1988" s="41" t="n">
        <v>26.5</v>
      </c>
      <c r="L1988" s="42" t="n">
        <f aca="false">J1988*K1988</f>
        <v>116.865</v>
      </c>
      <c r="M1988" s="43" t="n">
        <f aca="false">H1988*14.56*(1+'Chart of Accounts'!$E$67)</f>
        <v>73.519992</v>
      </c>
    </row>
    <row r="1989" customFormat="false" ht="15" hidden="false" customHeight="false" outlineLevel="0" collapsed="false">
      <c r="B1989" s="7" t="s">
        <v>2486</v>
      </c>
      <c r="C1989" s="39" t="n">
        <v>45759</v>
      </c>
      <c r="D1989" s="7" t="s">
        <v>288</v>
      </c>
      <c r="E1989" s="7" t="s">
        <v>156</v>
      </c>
      <c r="F1989" s="7" t="s">
        <v>191</v>
      </c>
      <c r="G1989" s="7" t="s">
        <v>505</v>
      </c>
      <c r="H1989" s="6" t="n">
        <v>4.12</v>
      </c>
      <c r="I1989" s="6" t="n">
        <v>0</v>
      </c>
      <c r="J1989" s="40" t="n">
        <f aca="false">H1989-I1989</f>
        <v>4.12</v>
      </c>
      <c r="K1989" s="41" t="n">
        <v>34</v>
      </c>
      <c r="L1989" s="42" t="n">
        <f aca="false">J1989*K1989</f>
        <v>140.08</v>
      </c>
      <c r="M1989" s="43" t="n">
        <f aca="false">H1989*16.05*(1+'Chart of Accounts'!$E$67)</f>
        <v>75.71427</v>
      </c>
    </row>
    <row r="1990" customFormat="false" ht="15" hidden="false" customHeight="false" outlineLevel="0" collapsed="false">
      <c r="B1990" s="7" t="s">
        <v>2487</v>
      </c>
      <c r="C1990" s="39" t="n">
        <v>45759</v>
      </c>
      <c r="D1990" s="7" t="s">
        <v>321</v>
      </c>
      <c r="E1990" s="7" t="s">
        <v>154</v>
      </c>
      <c r="F1990" s="7" t="s">
        <v>218</v>
      </c>
      <c r="G1990" s="7" t="s">
        <v>505</v>
      </c>
      <c r="H1990" s="6" t="n">
        <v>4.38</v>
      </c>
      <c r="I1990" s="6" t="n">
        <v>0</v>
      </c>
      <c r="J1990" s="40" t="n">
        <f aca="false">H1990-I1990</f>
        <v>4.38</v>
      </c>
      <c r="K1990" s="41" t="n">
        <v>26.5</v>
      </c>
      <c r="L1990" s="42" t="n">
        <f aca="false">J1990*K1990</f>
        <v>116.07</v>
      </c>
      <c r="M1990" s="43" t="n">
        <f aca="false">H1990*16.19*(1+'Chart of Accounts'!$E$67)</f>
        <v>81.194469</v>
      </c>
    </row>
    <row r="1991" customFormat="false" ht="15" hidden="false" customHeight="false" outlineLevel="0" collapsed="false">
      <c r="B1991" s="7" t="s">
        <v>2488</v>
      </c>
      <c r="C1991" s="39" t="n">
        <v>45759</v>
      </c>
      <c r="D1991" s="7" t="s">
        <v>359</v>
      </c>
      <c r="E1991" s="7" t="s">
        <v>156</v>
      </c>
      <c r="F1991" s="7" t="s">
        <v>212</v>
      </c>
      <c r="G1991" s="7" t="s">
        <v>505</v>
      </c>
      <c r="H1991" s="6" t="n">
        <v>3.74</v>
      </c>
      <c r="I1991" s="6" t="n">
        <v>0</v>
      </c>
      <c r="J1991" s="40" t="n">
        <f aca="false">H1991-I1991</f>
        <v>3.74</v>
      </c>
      <c r="K1991" s="41" t="n">
        <v>34</v>
      </c>
      <c r="L1991" s="42" t="n">
        <f aca="false">J1991*K1991</f>
        <v>127.16</v>
      </c>
      <c r="M1991" s="43" t="n">
        <f aca="false">H1991*16.71*(1+'Chart of Accounts'!$E$67)</f>
        <v>71.557233</v>
      </c>
    </row>
    <row r="1992" customFormat="false" ht="15" hidden="false" customHeight="false" outlineLevel="0" collapsed="false">
      <c r="B1992" s="7" t="s">
        <v>2489</v>
      </c>
      <c r="C1992" s="39" t="n">
        <v>45759</v>
      </c>
      <c r="D1992" s="7" t="s">
        <v>391</v>
      </c>
      <c r="E1992" s="7" t="s">
        <v>156</v>
      </c>
      <c r="F1992" s="7" t="s">
        <v>222</v>
      </c>
      <c r="G1992" s="7" t="s">
        <v>505</v>
      </c>
      <c r="H1992" s="6" t="n">
        <v>3.81</v>
      </c>
      <c r="I1992" s="6" t="n">
        <v>0</v>
      </c>
      <c r="J1992" s="40" t="n">
        <f aca="false">H1992-I1992</f>
        <v>3.81</v>
      </c>
      <c r="K1992" s="41" t="n">
        <v>34</v>
      </c>
      <c r="L1992" s="42" t="n">
        <f aca="false">J1992*K1992</f>
        <v>129.54</v>
      </c>
      <c r="M1992" s="43" t="n">
        <f aca="false">H1992*17.84*(1+'Chart of Accounts'!$E$67)</f>
        <v>77.826108</v>
      </c>
    </row>
    <row r="1993" customFormat="false" ht="15" hidden="false" customHeight="false" outlineLevel="0" collapsed="false">
      <c r="B1993" s="7" t="s">
        <v>2490</v>
      </c>
      <c r="C1993" s="39" t="n">
        <v>45759</v>
      </c>
      <c r="D1993" s="7" t="s">
        <v>395</v>
      </c>
      <c r="E1993" s="7" t="s">
        <v>156</v>
      </c>
      <c r="F1993" s="7" t="s">
        <v>242</v>
      </c>
      <c r="G1993" s="7" t="s">
        <v>505</v>
      </c>
      <c r="H1993" s="6" t="n">
        <v>4.36</v>
      </c>
      <c r="I1993" s="6" t="n">
        <v>0</v>
      </c>
      <c r="J1993" s="40" t="n">
        <f aca="false">H1993-I1993</f>
        <v>4.36</v>
      </c>
      <c r="K1993" s="41" t="n">
        <v>34</v>
      </c>
      <c r="L1993" s="42" t="n">
        <f aca="false">J1993*K1993</f>
        <v>148.24</v>
      </c>
      <c r="M1993" s="43" t="n">
        <f aca="false">H1993*17.99*(1+'Chart of Accounts'!$E$67)</f>
        <v>89.809678</v>
      </c>
    </row>
    <row r="1994" customFormat="false" ht="15" hidden="false" customHeight="false" outlineLevel="0" collapsed="false">
      <c r="B1994" s="7" t="s">
        <v>2491</v>
      </c>
      <c r="C1994" s="39" t="n">
        <v>45759</v>
      </c>
      <c r="D1994" s="7" t="s">
        <v>401</v>
      </c>
      <c r="E1994" s="7" t="s">
        <v>156</v>
      </c>
      <c r="F1994" s="7" t="s">
        <v>254</v>
      </c>
      <c r="G1994" s="7" t="s">
        <v>505</v>
      </c>
      <c r="H1994" s="6" t="n">
        <v>3.95</v>
      </c>
      <c r="I1994" s="6" t="n">
        <v>0</v>
      </c>
      <c r="J1994" s="40" t="n">
        <f aca="false">H1994-I1994</f>
        <v>3.95</v>
      </c>
      <c r="K1994" s="41" t="n">
        <v>34</v>
      </c>
      <c r="L1994" s="42" t="n">
        <f aca="false">J1994*K1994</f>
        <v>134.3</v>
      </c>
      <c r="M1994" s="43" t="n">
        <f aca="false">H1994*17.1*(1+'Chart of Accounts'!$E$67)</f>
        <v>77.339025</v>
      </c>
    </row>
    <row r="1995" customFormat="false" ht="15" hidden="false" customHeight="false" outlineLevel="0" collapsed="false">
      <c r="B1995" s="7" t="s">
        <v>2492</v>
      </c>
      <c r="C1995" s="39" t="n">
        <v>45760</v>
      </c>
      <c r="D1995" s="7" t="s">
        <v>288</v>
      </c>
      <c r="E1995" s="7" t="s">
        <v>156</v>
      </c>
      <c r="F1995" s="7" t="s">
        <v>191</v>
      </c>
      <c r="G1995" s="7" t="s">
        <v>505</v>
      </c>
      <c r="H1995" s="6" t="n">
        <v>4.14</v>
      </c>
      <c r="I1995" s="6" t="n">
        <v>0</v>
      </c>
      <c r="J1995" s="40" t="n">
        <f aca="false">H1995-I1995</f>
        <v>4.14</v>
      </c>
      <c r="K1995" s="41" t="n">
        <v>34</v>
      </c>
      <c r="L1995" s="42" t="n">
        <f aca="false">J1995*K1995</f>
        <v>140.76</v>
      </c>
      <c r="M1995" s="43" t="n">
        <f aca="false">H1995*16.05*(1+'Chart of Accounts'!$E$67)</f>
        <v>76.081815</v>
      </c>
    </row>
    <row r="1996" customFormat="false" ht="15" hidden="false" customHeight="false" outlineLevel="0" collapsed="false">
      <c r="B1996" s="7" t="s">
        <v>2493</v>
      </c>
      <c r="C1996" s="39" t="n">
        <v>45760</v>
      </c>
      <c r="D1996" s="7" t="s">
        <v>321</v>
      </c>
      <c r="E1996" s="7" t="s">
        <v>154</v>
      </c>
      <c r="F1996" s="7" t="s">
        <v>218</v>
      </c>
      <c r="G1996" s="7" t="s">
        <v>505</v>
      </c>
      <c r="H1996" s="6" t="n">
        <v>3.75</v>
      </c>
      <c r="I1996" s="6" t="n">
        <v>0</v>
      </c>
      <c r="J1996" s="40" t="n">
        <f aca="false">H1996-I1996</f>
        <v>3.75</v>
      </c>
      <c r="K1996" s="41" t="n">
        <v>26.5</v>
      </c>
      <c r="L1996" s="42" t="n">
        <f aca="false">J1996*K1996</f>
        <v>99.375</v>
      </c>
      <c r="M1996" s="43" t="n">
        <f aca="false">H1996*16.19*(1+'Chart of Accounts'!$E$67)</f>
        <v>69.5158125</v>
      </c>
    </row>
    <row r="1997" customFormat="false" ht="15" hidden="false" customHeight="false" outlineLevel="0" collapsed="false">
      <c r="B1997" s="7" t="s">
        <v>2494</v>
      </c>
      <c r="C1997" s="39" t="n">
        <v>45760</v>
      </c>
      <c r="D1997" s="7" t="s">
        <v>359</v>
      </c>
      <c r="E1997" s="7" t="s">
        <v>156</v>
      </c>
      <c r="F1997" s="7" t="s">
        <v>212</v>
      </c>
      <c r="G1997" s="7" t="s">
        <v>505</v>
      </c>
      <c r="H1997" s="6" t="n">
        <v>3.83</v>
      </c>
      <c r="I1997" s="6" t="n">
        <v>0</v>
      </c>
      <c r="J1997" s="40" t="n">
        <f aca="false">H1997-I1997</f>
        <v>3.83</v>
      </c>
      <c r="K1997" s="41" t="n">
        <v>34</v>
      </c>
      <c r="L1997" s="42" t="n">
        <f aca="false">J1997*K1997</f>
        <v>130.22</v>
      </c>
      <c r="M1997" s="43" t="n">
        <f aca="false">H1997*16.71*(1+'Chart of Accounts'!$E$67)</f>
        <v>73.2791985</v>
      </c>
    </row>
    <row r="1998" customFormat="false" ht="15" hidden="false" customHeight="false" outlineLevel="0" collapsed="false">
      <c r="B1998" s="7" t="s">
        <v>2495</v>
      </c>
      <c r="C1998" s="39" t="n">
        <v>45760</v>
      </c>
      <c r="D1998" s="7" t="s">
        <v>391</v>
      </c>
      <c r="E1998" s="7" t="s">
        <v>156</v>
      </c>
      <c r="F1998" s="7" t="s">
        <v>222</v>
      </c>
      <c r="G1998" s="7" t="s">
        <v>505</v>
      </c>
      <c r="H1998" s="6" t="n">
        <v>4.29</v>
      </c>
      <c r="I1998" s="6" t="n">
        <v>0</v>
      </c>
      <c r="J1998" s="40" t="n">
        <f aca="false">H1998-I1998</f>
        <v>4.29</v>
      </c>
      <c r="K1998" s="41" t="n">
        <v>34</v>
      </c>
      <c r="L1998" s="42" t="n">
        <f aca="false">J1998*K1998</f>
        <v>145.86</v>
      </c>
      <c r="M1998" s="43" t="n">
        <f aca="false">H1998*17.84*(1+'Chart of Accounts'!$E$67)</f>
        <v>87.630972</v>
      </c>
    </row>
    <row r="1999" customFormat="false" ht="15" hidden="false" customHeight="false" outlineLevel="0" collapsed="false">
      <c r="B1999" s="7" t="s">
        <v>2496</v>
      </c>
      <c r="C1999" s="39" t="n">
        <v>45760</v>
      </c>
      <c r="D1999" s="7" t="s">
        <v>395</v>
      </c>
      <c r="E1999" s="7" t="s">
        <v>156</v>
      </c>
      <c r="F1999" s="7" t="s">
        <v>242</v>
      </c>
      <c r="G1999" s="7" t="s">
        <v>505</v>
      </c>
      <c r="H1999" s="6" t="n">
        <v>3.83</v>
      </c>
      <c r="I1999" s="6" t="n">
        <v>0</v>
      </c>
      <c r="J1999" s="40" t="n">
        <f aca="false">H1999-I1999</f>
        <v>3.83</v>
      </c>
      <c r="K1999" s="41" t="n">
        <v>34</v>
      </c>
      <c r="L1999" s="42" t="n">
        <f aca="false">J1999*K1999</f>
        <v>130.22</v>
      </c>
      <c r="M1999" s="43" t="n">
        <f aca="false">H1999*17.99*(1+'Chart of Accounts'!$E$67)</f>
        <v>78.8924465</v>
      </c>
    </row>
    <row r="2000" customFormat="false" ht="15" hidden="false" customHeight="false" outlineLevel="0" collapsed="false">
      <c r="B2000" s="7" t="s">
        <v>2497</v>
      </c>
      <c r="C2000" s="39" t="n">
        <v>45760</v>
      </c>
      <c r="D2000" s="7" t="s">
        <v>401</v>
      </c>
      <c r="E2000" s="7" t="s">
        <v>156</v>
      </c>
      <c r="F2000" s="7" t="s">
        <v>254</v>
      </c>
      <c r="G2000" s="7" t="s">
        <v>505</v>
      </c>
      <c r="H2000" s="6" t="n">
        <v>3.93</v>
      </c>
      <c r="I2000" s="6" t="n">
        <v>0</v>
      </c>
      <c r="J2000" s="40" t="n">
        <f aca="false">H2000-I2000</f>
        <v>3.93</v>
      </c>
      <c r="K2000" s="41" t="n">
        <v>34</v>
      </c>
      <c r="L2000" s="42" t="n">
        <f aca="false">J2000*K2000</f>
        <v>133.62</v>
      </c>
      <c r="M2000" s="43" t="n">
        <f aca="false">H2000*17.1*(1+'Chart of Accounts'!$E$67)</f>
        <v>76.947435</v>
      </c>
    </row>
    <row r="2001" customFormat="false" ht="15" hidden="false" customHeight="false" outlineLevel="0" collapsed="false">
      <c r="B2001" s="7" t="s">
        <v>2498</v>
      </c>
      <c r="C2001" s="39" t="n">
        <v>45761</v>
      </c>
      <c r="D2001" s="7" t="s">
        <v>280</v>
      </c>
      <c r="E2001" s="7" t="s">
        <v>157</v>
      </c>
      <c r="F2001" s="7" t="s">
        <v>187</v>
      </c>
      <c r="G2001" s="7" t="s">
        <v>502</v>
      </c>
      <c r="H2001" s="6" t="n">
        <v>0.95</v>
      </c>
      <c r="I2001" s="6" t="n">
        <v>0</v>
      </c>
      <c r="J2001" s="40" t="n">
        <f aca="false">H2001-I2001</f>
        <v>0.95</v>
      </c>
      <c r="K2001" s="41" t="n">
        <v>165</v>
      </c>
      <c r="L2001" s="42" t="n">
        <f aca="false">J2001*K2001</f>
        <v>156.75</v>
      </c>
      <c r="M2001" s="43" t="n">
        <f aca="false">H2001*66.48*(1+'Chart of Accounts'!$E$67)</f>
        <v>72.31362</v>
      </c>
    </row>
    <row r="2002" customFormat="false" ht="15" hidden="false" customHeight="false" outlineLevel="0" collapsed="false">
      <c r="B2002" s="7" t="s">
        <v>2499</v>
      </c>
      <c r="C2002" s="39" t="n">
        <v>45761</v>
      </c>
      <c r="D2002" s="7" t="s">
        <v>288</v>
      </c>
      <c r="E2002" s="7" t="s">
        <v>156</v>
      </c>
      <c r="F2002" s="7" t="s">
        <v>191</v>
      </c>
      <c r="G2002" s="7" t="s">
        <v>505</v>
      </c>
      <c r="H2002" s="6" t="n">
        <v>3.9</v>
      </c>
      <c r="I2002" s="6" t="n">
        <v>0</v>
      </c>
      <c r="J2002" s="40" t="n">
        <f aca="false">H2002-I2002</f>
        <v>3.9</v>
      </c>
      <c r="K2002" s="41" t="n">
        <v>34</v>
      </c>
      <c r="L2002" s="42" t="n">
        <f aca="false">J2002*K2002</f>
        <v>132.6</v>
      </c>
      <c r="M2002" s="43" t="n">
        <f aca="false">H2002*16.05*(1+'Chart of Accounts'!$E$67)</f>
        <v>71.671275</v>
      </c>
    </row>
    <row r="2003" customFormat="false" ht="15" hidden="false" customHeight="false" outlineLevel="0" collapsed="false">
      <c r="B2003" s="7" t="s">
        <v>2500</v>
      </c>
      <c r="C2003" s="39" t="n">
        <v>45761</v>
      </c>
      <c r="D2003" s="7" t="s">
        <v>291</v>
      </c>
      <c r="E2003" s="7" t="s">
        <v>154</v>
      </c>
      <c r="F2003" s="7" t="s">
        <v>194</v>
      </c>
      <c r="G2003" s="7" t="s">
        <v>505</v>
      </c>
      <c r="H2003" s="6" t="n">
        <v>4.21</v>
      </c>
      <c r="I2003" s="6" t="n">
        <v>0</v>
      </c>
      <c r="J2003" s="40" t="n">
        <f aca="false">H2003-I2003</f>
        <v>4.21</v>
      </c>
      <c r="K2003" s="41" t="n">
        <v>26.5</v>
      </c>
      <c r="L2003" s="42" t="n">
        <f aca="false">J2003*K2003</f>
        <v>111.565</v>
      </c>
      <c r="M2003" s="43" t="n">
        <f aca="false">H2003*16*(1+'Chart of Accounts'!$E$67)</f>
        <v>77.1272</v>
      </c>
    </row>
    <row r="2004" customFormat="false" ht="15" hidden="false" customHeight="false" outlineLevel="0" collapsed="false">
      <c r="B2004" s="7" t="s">
        <v>2501</v>
      </c>
      <c r="C2004" s="39" t="n">
        <v>45761</v>
      </c>
      <c r="D2004" s="7" t="s">
        <v>297</v>
      </c>
      <c r="E2004" s="7" t="s">
        <v>156</v>
      </c>
      <c r="F2004" s="7" t="s">
        <v>201</v>
      </c>
      <c r="G2004" s="7" t="s">
        <v>505</v>
      </c>
      <c r="H2004" s="6" t="n">
        <v>3.12</v>
      </c>
      <c r="I2004" s="6" t="n">
        <v>0</v>
      </c>
      <c r="J2004" s="40" t="n">
        <f aca="false">H2004-I2004</f>
        <v>3.12</v>
      </c>
      <c r="K2004" s="41" t="n">
        <v>34</v>
      </c>
      <c r="L2004" s="42" t="n">
        <f aca="false">J2004*K2004</f>
        <v>106.08</v>
      </c>
      <c r="M2004" s="43" t="n">
        <f aca="false">H2004*15.19*(1+'Chart of Accounts'!$E$67)</f>
        <v>54.264756</v>
      </c>
    </row>
    <row r="2005" customFormat="false" ht="15" hidden="false" customHeight="false" outlineLevel="0" collapsed="false">
      <c r="B2005" s="7" t="s">
        <v>2502</v>
      </c>
      <c r="C2005" s="39" t="n">
        <v>45761</v>
      </c>
      <c r="D2005" s="7" t="s">
        <v>305</v>
      </c>
      <c r="E2005" s="7" t="s">
        <v>154</v>
      </c>
      <c r="F2005" s="7" t="s">
        <v>205</v>
      </c>
      <c r="G2005" s="7" t="s">
        <v>505</v>
      </c>
      <c r="H2005" s="6" t="n">
        <v>4.17</v>
      </c>
      <c r="I2005" s="6" t="n">
        <v>0</v>
      </c>
      <c r="J2005" s="40" t="n">
        <f aca="false">H2005-I2005</f>
        <v>4.17</v>
      </c>
      <c r="K2005" s="41" t="n">
        <v>26.5</v>
      </c>
      <c r="L2005" s="42" t="n">
        <f aca="false">J2005*K2005</f>
        <v>110.505</v>
      </c>
      <c r="M2005" s="43" t="n">
        <f aca="false">H2005*16.36*(1+'Chart of Accounts'!$E$67)</f>
        <v>78.113274</v>
      </c>
    </row>
    <row r="2006" customFormat="false" ht="15" hidden="false" customHeight="false" outlineLevel="0" collapsed="false">
      <c r="B2006" s="7" t="s">
        <v>2503</v>
      </c>
      <c r="C2006" s="39" t="n">
        <v>45761</v>
      </c>
      <c r="D2006" s="7" t="s">
        <v>307</v>
      </c>
      <c r="E2006" s="7" t="s">
        <v>157</v>
      </c>
      <c r="F2006" s="7" t="s">
        <v>264</v>
      </c>
      <c r="G2006" s="7" t="s">
        <v>502</v>
      </c>
      <c r="H2006" s="6" t="n">
        <v>0.92</v>
      </c>
      <c r="I2006" s="6" t="n">
        <v>0</v>
      </c>
      <c r="J2006" s="40" t="n">
        <f aca="false">H2006-I2006</f>
        <v>0.92</v>
      </c>
      <c r="K2006" s="41" t="n">
        <v>165</v>
      </c>
      <c r="L2006" s="42" t="n">
        <f aca="false">J2006*K2006</f>
        <v>151.8</v>
      </c>
      <c r="M2006" s="43" t="n">
        <f aca="false">H2006*55.55*(1+'Chart of Accounts'!$E$67)</f>
        <v>58.51637</v>
      </c>
    </row>
    <row r="2007" customFormat="false" ht="15" hidden="false" customHeight="false" outlineLevel="0" collapsed="false">
      <c r="B2007" s="7" t="s">
        <v>2504</v>
      </c>
      <c r="C2007" s="39" t="n">
        <v>45761</v>
      </c>
      <c r="D2007" s="7" t="s">
        <v>309</v>
      </c>
      <c r="E2007" s="7" t="s">
        <v>159</v>
      </c>
      <c r="F2007" s="7" t="s">
        <v>252</v>
      </c>
      <c r="G2007" s="7" t="s">
        <v>502</v>
      </c>
      <c r="H2007" s="6" t="n">
        <v>0.95</v>
      </c>
      <c r="I2007" s="6" t="n">
        <v>0</v>
      </c>
      <c r="J2007" s="40" t="n">
        <f aca="false">H2007-I2007</f>
        <v>0.95</v>
      </c>
      <c r="K2007" s="41" t="n">
        <v>135</v>
      </c>
      <c r="L2007" s="42" t="n">
        <f aca="false">J2007*K2007</f>
        <v>128.25</v>
      </c>
      <c r="M2007" s="43" t="n">
        <f aca="false">H2007*57.54*(1+'Chart of Accounts'!$E$67)</f>
        <v>62.589135</v>
      </c>
    </row>
    <row r="2008" customFormat="false" ht="15" hidden="false" customHeight="false" outlineLevel="0" collapsed="false">
      <c r="B2008" s="7" t="s">
        <v>2505</v>
      </c>
      <c r="C2008" s="39" t="n">
        <v>45761</v>
      </c>
      <c r="D2008" s="7" t="s">
        <v>311</v>
      </c>
      <c r="E2008" s="7" t="s">
        <v>154</v>
      </c>
      <c r="F2008" s="7" t="s">
        <v>196</v>
      </c>
      <c r="G2008" s="7" t="s">
        <v>505</v>
      </c>
      <c r="H2008" s="6" t="n">
        <v>3.26</v>
      </c>
      <c r="I2008" s="6" t="n">
        <v>0</v>
      </c>
      <c r="J2008" s="40" t="n">
        <f aca="false">H2008-I2008</f>
        <v>3.26</v>
      </c>
      <c r="K2008" s="41" t="n">
        <v>26.5</v>
      </c>
      <c r="L2008" s="42" t="n">
        <f aca="false">J2008*K2008</f>
        <v>86.39</v>
      </c>
      <c r="M2008" s="43" t="n">
        <f aca="false">H2008*15.05*(1+'Chart of Accounts'!$E$67)</f>
        <v>56.177135</v>
      </c>
    </row>
    <row r="2009" customFormat="false" ht="15" hidden="false" customHeight="false" outlineLevel="0" collapsed="false">
      <c r="B2009" s="7" t="s">
        <v>2506</v>
      </c>
      <c r="C2009" s="39" t="n">
        <v>45761</v>
      </c>
      <c r="D2009" s="7" t="s">
        <v>313</v>
      </c>
      <c r="E2009" s="7" t="s">
        <v>156</v>
      </c>
      <c r="F2009" s="7" t="s">
        <v>184</v>
      </c>
      <c r="G2009" s="7" t="s">
        <v>505</v>
      </c>
      <c r="H2009" s="6" t="n">
        <v>4.2</v>
      </c>
      <c r="I2009" s="6" t="n">
        <v>0</v>
      </c>
      <c r="J2009" s="40" t="n">
        <f aca="false">H2009-I2009</f>
        <v>4.2</v>
      </c>
      <c r="K2009" s="41" t="n">
        <v>34</v>
      </c>
      <c r="L2009" s="42" t="n">
        <f aca="false">J2009*K2009</f>
        <v>142.8</v>
      </c>
      <c r="M2009" s="43" t="n">
        <f aca="false">H2009*17.34*(1+'Chart of Accounts'!$E$67)</f>
        <v>83.38806</v>
      </c>
    </row>
    <row r="2010" customFormat="false" ht="15" hidden="false" customHeight="false" outlineLevel="0" collapsed="false">
      <c r="B2010" s="7" t="s">
        <v>2507</v>
      </c>
      <c r="C2010" s="39" t="n">
        <v>45761</v>
      </c>
      <c r="D2010" s="7" t="s">
        <v>317</v>
      </c>
      <c r="E2010" s="7" t="s">
        <v>156</v>
      </c>
      <c r="F2010" s="7" t="s">
        <v>207</v>
      </c>
      <c r="G2010" s="7" t="s">
        <v>505</v>
      </c>
      <c r="H2010" s="6" t="n">
        <v>3.07</v>
      </c>
      <c r="I2010" s="6" t="n">
        <v>0</v>
      </c>
      <c r="J2010" s="40" t="n">
        <f aca="false">H2010-I2010</f>
        <v>3.07</v>
      </c>
      <c r="K2010" s="41" t="n">
        <v>34</v>
      </c>
      <c r="L2010" s="42" t="n">
        <f aca="false">J2010*K2010</f>
        <v>104.38</v>
      </c>
      <c r="M2010" s="43" t="n">
        <f aca="false">H2010*16.65*(1+'Chart of Accounts'!$E$67)</f>
        <v>58.5272475</v>
      </c>
    </row>
    <row r="2011" customFormat="false" ht="15" hidden="false" customHeight="false" outlineLevel="0" collapsed="false">
      <c r="B2011" s="7" t="s">
        <v>2508</v>
      </c>
      <c r="C2011" s="39" t="n">
        <v>45761</v>
      </c>
      <c r="D2011" s="7" t="s">
        <v>321</v>
      </c>
      <c r="E2011" s="7" t="s">
        <v>154</v>
      </c>
      <c r="F2011" s="7" t="s">
        <v>218</v>
      </c>
      <c r="G2011" s="7" t="s">
        <v>505</v>
      </c>
      <c r="H2011" s="6" t="n">
        <v>3.9</v>
      </c>
      <c r="I2011" s="6" t="n">
        <v>0</v>
      </c>
      <c r="J2011" s="40" t="n">
        <f aca="false">H2011-I2011</f>
        <v>3.9</v>
      </c>
      <c r="K2011" s="41" t="n">
        <v>26.5</v>
      </c>
      <c r="L2011" s="42" t="n">
        <f aca="false">J2011*K2011</f>
        <v>103.35</v>
      </c>
      <c r="M2011" s="43" t="n">
        <f aca="false">H2011*16.19*(1+'Chart of Accounts'!$E$67)</f>
        <v>72.296445</v>
      </c>
    </row>
    <row r="2012" customFormat="false" ht="15" hidden="false" customHeight="false" outlineLevel="0" collapsed="false">
      <c r="B2012" s="7" t="s">
        <v>2509</v>
      </c>
      <c r="C2012" s="39" t="n">
        <v>45761</v>
      </c>
      <c r="D2012" s="7" t="s">
        <v>325</v>
      </c>
      <c r="E2012" s="7" t="s">
        <v>154</v>
      </c>
      <c r="F2012" s="7" t="s">
        <v>212</v>
      </c>
      <c r="G2012" s="7" t="s">
        <v>505</v>
      </c>
      <c r="H2012" s="6" t="n">
        <v>3.05</v>
      </c>
      <c r="I2012" s="6" t="n">
        <v>0</v>
      </c>
      <c r="J2012" s="40" t="n">
        <f aca="false">H2012-I2012</f>
        <v>3.05</v>
      </c>
      <c r="K2012" s="41" t="n">
        <v>26.5</v>
      </c>
      <c r="L2012" s="42" t="n">
        <f aca="false">J2012*K2012</f>
        <v>80.825</v>
      </c>
      <c r="M2012" s="43" t="n">
        <f aca="false">H2012*16.71*(1+'Chart of Accounts'!$E$67)</f>
        <v>58.3554975</v>
      </c>
    </row>
    <row r="2013" customFormat="false" ht="15" hidden="false" customHeight="false" outlineLevel="0" collapsed="false">
      <c r="B2013" s="7" t="s">
        <v>2510</v>
      </c>
      <c r="C2013" s="39" t="n">
        <v>45761</v>
      </c>
      <c r="D2013" s="7" t="s">
        <v>329</v>
      </c>
      <c r="E2013" s="7" t="s">
        <v>156</v>
      </c>
      <c r="F2013" s="7" t="s">
        <v>220</v>
      </c>
      <c r="G2013" s="7" t="s">
        <v>505</v>
      </c>
      <c r="H2013" s="6" t="n">
        <v>4.34</v>
      </c>
      <c r="I2013" s="6" t="n">
        <v>0</v>
      </c>
      <c r="J2013" s="40" t="n">
        <f aca="false">H2013-I2013</f>
        <v>4.34</v>
      </c>
      <c r="K2013" s="41" t="n">
        <v>34</v>
      </c>
      <c r="L2013" s="42" t="n">
        <f aca="false">J2013*K2013</f>
        <v>147.56</v>
      </c>
      <c r="M2013" s="43" t="n">
        <f aca="false">H2013*16.43*(1+'Chart of Accounts'!$E$67)</f>
        <v>81.645599</v>
      </c>
    </row>
    <row r="2014" customFormat="false" ht="15" hidden="false" customHeight="false" outlineLevel="0" collapsed="false">
      <c r="B2014" s="7" t="s">
        <v>2511</v>
      </c>
      <c r="C2014" s="39" t="n">
        <v>45761</v>
      </c>
      <c r="D2014" s="7" t="s">
        <v>331</v>
      </c>
      <c r="E2014" s="7" t="s">
        <v>156</v>
      </c>
      <c r="F2014" s="7" t="s">
        <v>224</v>
      </c>
      <c r="G2014" s="7" t="s">
        <v>505</v>
      </c>
      <c r="H2014" s="6" t="n">
        <v>3.85</v>
      </c>
      <c r="I2014" s="6" t="n">
        <v>0</v>
      </c>
      <c r="J2014" s="40" t="n">
        <f aca="false">H2014-I2014</f>
        <v>3.85</v>
      </c>
      <c r="K2014" s="41" t="n">
        <v>34</v>
      </c>
      <c r="L2014" s="42" t="n">
        <f aca="false">J2014*K2014</f>
        <v>130.9</v>
      </c>
      <c r="M2014" s="43" t="n">
        <f aca="false">H2014*14.93*(1+'Chart of Accounts'!$E$67)</f>
        <v>65.8151725</v>
      </c>
    </row>
    <row r="2015" customFormat="false" ht="15" hidden="false" customHeight="false" outlineLevel="0" collapsed="false">
      <c r="B2015" s="7" t="s">
        <v>2512</v>
      </c>
      <c r="C2015" s="39" t="n">
        <v>45761</v>
      </c>
      <c r="D2015" s="7" t="s">
        <v>335</v>
      </c>
      <c r="E2015" s="7" t="s">
        <v>154</v>
      </c>
      <c r="F2015" s="7" t="s">
        <v>177</v>
      </c>
      <c r="G2015" s="7" t="s">
        <v>505</v>
      </c>
      <c r="H2015" s="6" t="n">
        <v>3.69</v>
      </c>
      <c r="I2015" s="6" t="n">
        <v>0.111</v>
      </c>
      <c r="J2015" s="40" t="n">
        <f aca="false">H2015-I2015</f>
        <v>3.579</v>
      </c>
      <c r="K2015" s="41" t="n">
        <v>26.5</v>
      </c>
      <c r="L2015" s="42" t="n">
        <f aca="false">J2015*K2015</f>
        <v>94.8435</v>
      </c>
      <c r="M2015" s="43" t="n">
        <f aca="false">H2015*14.56*(1+'Chart of Accounts'!$E$67)</f>
        <v>61.516728</v>
      </c>
    </row>
    <row r="2016" customFormat="false" ht="15" hidden="false" customHeight="false" outlineLevel="0" collapsed="false">
      <c r="B2016" s="7" t="s">
        <v>2513</v>
      </c>
      <c r="C2016" s="39" t="n">
        <v>45761</v>
      </c>
      <c r="D2016" s="7" t="s">
        <v>337</v>
      </c>
      <c r="E2016" s="7" t="s">
        <v>154</v>
      </c>
      <c r="F2016" s="7" t="s">
        <v>232</v>
      </c>
      <c r="G2016" s="7" t="s">
        <v>505</v>
      </c>
      <c r="H2016" s="6" t="n">
        <v>3.22</v>
      </c>
      <c r="I2016" s="6" t="n">
        <v>0</v>
      </c>
      <c r="J2016" s="40" t="n">
        <f aca="false">H2016-I2016</f>
        <v>3.22</v>
      </c>
      <c r="K2016" s="41" t="n">
        <v>26.5</v>
      </c>
      <c r="L2016" s="42" t="n">
        <f aca="false">J2016*K2016</f>
        <v>85.33</v>
      </c>
      <c r="M2016" s="43" t="n">
        <f aca="false">H2016*16.17*(1+'Chart of Accounts'!$E$67)</f>
        <v>59.617173</v>
      </c>
    </row>
    <row r="2017" customFormat="false" ht="15" hidden="false" customHeight="false" outlineLevel="0" collapsed="false">
      <c r="B2017" s="7" t="s">
        <v>2514</v>
      </c>
      <c r="C2017" s="39" t="n">
        <v>45761</v>
      </c>
      <c r="D2017" s="7" t="s">
        <v>339</v>
      </c>
      <c r="E2017" s="7" t="s">
        <v>154</v>
      </c>
      <c r="F2017" s="7" t="s">
        <v>242</v>
      </c>
      <c r="G2017" s="7" t="s">
        <v>505</v>
      </c>
      <c r="H2017" s="6" t="n">
        <v>3.62</v>
      </c>
      <c r="I2017" s="6" t="n">
        <v>0</v>
      </c>
      <c r="J2017" s="40" t="n">
        <f aca="false">H2017-I2017</f>
        <v>3.62</v>
      </c>
      <c r="K2017" s="41" t="n">
        <v>26.5</v>
      </c>
      <c r="L2017" s="42" t="n">
        <f aca="false">J2017*K2017</f>
        <v>95.93</v>
      </c>
      <c r="M2017" s="43" t="n">
        <f aca="false">H2017*17.99*(1+'Chart of Accounts'!$E$67)</f>
        <v>74.566751</v>
      </c>
    </row>
    <row r="2018" customFormat="false" ht="15" hidden="false" customHeight="false" outlineLevel="0" collapsed="false">
      <c r="B2018" s="7" t="s">
        <v>2515</v>
      </c>
      <c r="C2018" s="39" t="n">
        <v>45761</v>
      </c>
      <c r="D2018" s="7" t="s">
        <v>341</v>
      </c>
      <c r="E2018" s="7" t="s">
        <v>156</v>
      </c>
      <c r="F2018" s="7" t="s">
        <v>222</v>
      </c>
      <c r="G2018" s="7" t="s">
        <v>505</v>
      </c>
      <c r="H2018" s="6" t="n">
        <v>3.07</v>
      </c>
      <c r="I2018" s="6" t="n">
        <v>0</v>
      </c>
      <c r="J2018" s="40" t="n">
        <f aca="false">H2018-I2018</f>
        <v>3.07</v>
      </c>
      <c r="K2018" s="41" t="n">
        <v>34</v>
      </c>
      <c r="L2018" s="42" t="n">
        <f aca="false">J2018*K2018</f>
        <v>104.38</v>
      </c>
      <c r="M2018" s="43" t="n">
        <f aca="false">H2018*17.84*(1+'Chart of Accounts'!$E$67)</f>
        <v>62.710276</v>
      </c>
    </row>
    <row r="2019" customFormat="false" ht="15" hidden="false" customHeight="false" outlineLevel="0" collapsed="false">
      <c r="B2019" s="7" t="s">
        <v>2516</v>
      </c>
      <c r="C2019" s="39" t="n">
        <v>45761</v>
      </c>
      <c r="D2019" s="7" t="s">
        <v>343</v>
      </c>
      <c r="E2019" s="7" t="s">
        <v>154</v>
      </c>
      <c r="F2019" s="7" t="s">
        <v>262</v>
      </c>
      <c r="G2019" s="7" t="s">
        <v>505</v>
      </c>
      <c r="H2019" s="6" t="n">
        <v>3.85</v>
      </c>
      <c r="I2019" s="6" t="n">
        <v>0</v>
      </c>
      <c r="J2019" s="40" t="n">
        <f aca="false">H2019-I2019</f>
        <v>3.85</v>
      </c>
      <c r="K2019" s="41" t="n">
        <v>26.5</v>
      </c>
      <c r="L2019" s="42" t="n">
        <f aca="false">J2019*K2019</f>
        <v>102.025</v>
      </c>
      <c r="M2019" s="43" t="n">
        <f aca="false">H2019*16.02*(1+'Chart of Accounts'!$E$67)</f>
        <v>70.620165</v>
      </c>
    </row>
    <row r="2020" customFormat="false" ht="15" hidden="false" customHeight="false" outlineLevel="0" collapsed="false">
      <c r="B2020" s="7" t="s">
        <v>2517</v>
      </c>
      <c r="C2020" s="39" t="n">
        <v>45761</v>
      </c>
      <c r="D2020" s="7" t="s">
        <v>351</v>
      </c>
      <c r="E2020" s="7" t="s">
        <v>154</v>
      </c>
      <c r="F2020" s="7" t="s">
        <v>201</v>
      </c>
      <c r="G2020" s="7" t="s">
        <v>505</v>
      </c>
      <c r="H2020" s="6" t="n">
        <v>3.3</v>
      </c>
      <c r="I2020" s="6" t="n">
        <v>0</v>
      </c>
      <c r="J2020" s="40" t="n">
        <f aca="false">H2020-I2020</f>
        <v>3.3</v>
      </c>
      <c r="K2020" s="41" t="n">
        <v>26.5</v>
      </c>
      <c r="L2020" s="42" t="n">
        <f aca="false">J2020*K2020</f>
        <v>87.45</v>
      </c>
      <c r="M2020" s="43" t="n">
        <f aca="false">H2020*15.19*(1+'Chart of Accounts'!$E$67)</f>
        <v>57.395415</v>
      </c>
    </row>
    <row r="2021" customFormat="false" ht="15" hidden="false" customHeight="false" outlineLevel="0" collapsed="false">
      <c r="B2021" s="7" t="s">
        <v>2518</v>
      </c>
      <c r="C2021" s="39" t="n">
        <v>45761</v>
      </c>
      <c r="D2021" s="7" t="s">
        <v>353</v>
      </c>
      <c r="E2021" s="7" t="s">
        <v>154</v>
      </c>
      <c r="F2021" s="7" t="s">
        <v>254</v>
      </c>
      <c r="G2021" s="7" t="s">
        <v>505</v>
      </c>
      <c r="H2021" s="6" t="n">
        <v>3.57</v>
      </c>
      <c r="I2021" s="6" t="n">
        <v>0</v>
      </c>
      <c r="J2021" s="40" t="n">
        <f aca="false">H2021-I2021</f>
        <v>3.57</v>
      </c>
      <c r="K2021" s="41" t="n">
        <v>26.5</v>
      </c>
      <c r="L2021" s="42" t="n">
        <f aca="false">J2021*K2021</f>
        <v>94.605</v>
      </c>
      <c r="M2021" s="43" t="n">
        <f aca="false">H2021*17.1*(1+'Chart of Accounts'!$E$67)</f>
        <v>69.898815</v>
      </c>
    </row>
    <row r="2022" customFormat="false" ht="15" hidden="false" customHeight="false" outlineLevel="0" collapsed="false">
      <c r="B2022" s="7" t="s">
        <v>2519</v>
      </c>
      <c r="C2022" s="39" t="n">
        <v>45761</v>
      </c>
      <c r="D2022" s="7" t="s">
        <v>355</v>
      </c>
      <c r="E2022" s="7" t="s">
        <v>154</v>
      </c>
      <c r="F2022" s="7" t="s">
        <v>201</v>
      </c>
      <c r="G2022" s="7" t="s">
        <v>505</v>
      </c>
      <c r="H2022" s="6" t="n">
        <v>3.04</v>
      </c>
      <c r="I2022" s="6" t="n">
        <v>0</v>
      </c>
      <c r="J2022" s="40" t="n">
        <f aca="false">H2022-I2022</f>
        <v>3.04</v>
      </c>
      <c r="K2022" s="41" t="n">
        <v>26.5</v>
      </c>
      <c r="L2022" s="42" t="n">
        <f aca="false">J2022*K2022</f>
        <v>80.56</v>
      </c>
      <c r="M2022" s="43" t="n">
        <f aca="false">H2022*15.19*(1+'Chart of Accounts'!$E$67)</f>
        <v>52.873352</v>
      </c>
    </row>
    <row r="2023" customFormat="false" ht="15" hidden="false" customHeight="false" outlineLevel="0" collapsed="false">
      <c r="B2023" s="7" t="s">
        <v>2520</v>
      </c>
      <c r="C2023" s="39" t="n">
        <v>45761</v>
      </c>
      <c r="D2023" s="7" t="s">
        <v>357</v>
      </c>
      <c r="E2023" s="7" t="s">
        <v>154</v>
      </c>
      <c r="F2023" s="7" t="s">
        <v>207</v>
      </c>
      <c r="G2023" s="7" t="s">
        <v>505</v>
      </c>
      <c r="H2023" s="6" t="n">
        <v>3.02</v>
      </c>
      <c r="I2023" s="6" t="n">
        <v>0</v>
      </c>
      <c r="J2023" s="40" t="n">
        <f aca="false">H2023-I2023</f>
        <v>3.02</v>
      </c>
      <c r="K2023" s="41" t="n">
        <v>26.5</v>
      </c>
      <c r="L2023" s="42" t="n">
        <f aca="false">J2023*K2023</f>
        <v>80.03</v>
      </c>
      <c r="M2023" s="43" t="n">
        <f aca="false">H2023*16.65*(1+'Chart of Accounts'!$E$67)</f>
        <v>57.574035</v>
      </c>
    </row>
    <row r="2024" customFormat="false" ht="15" hidden="false" customHeight="false" outlineLevel="0" collapsed="false">
      <c r="B2024" s="7" t="s">
        <v>2521</v>
      </c>
      <c r="C2024" s="39" t="n">
        <v>45761</v>
      </c>
      <c r="D2024" s="7" t="s">
        <v>359</v>
      </c>
      <c r="E2024" s="7" t="s">
        <v>156</v>
      </c>
      <c r="F2024" s="7" t="s">
        <v>212</v>
      </c>
      <c r="G2024" s="7" t="s">
        <v>505</v>
      </c>
      <c r="H2024" s="6" t="n">
        <v>3.95</v>
      </c>
      <c r="I2024" s="6" t="n">
        <v>0</v>
      </c>
      <c r="J2024" s="40" t="n">
        <f aca="false">H2024-I2024</f>
        <v>3.95</v>
      </c>
      <c r="K2024" s="41" t="n">
        <v>34</v>
      </c>
      <c r="L2024" s="42" t="n">
        <f aca="false">J2024*K2024</f>
        <v>134.3</v>
      </c>
      <c r="M2024" s="43" t="n">
        <f aca="false">H2024*16.71*(1+'Chart of Accounts'!$E$67)</f>
        <v>75.5751525</v>
      </c>
    </row>
    <row r="2025" customFormat="false" ht="15" hidden="false" customHeight="false" outlineLevel="0" collapsed="false">
      <c r="B2025" s="7" t="s">
        <v>2522</v>
      </c>
      <c r="C2025" s="39" t="n">
        <v>45761</v>
      </c>
      <c r="D2025" s="7" t="s">
        <v>363</v>
      </c>
      <c r="E2025" s="7" t="s">
        <v>156</v>
      </c>
      <c r="F2025" s="7" t="s">
        <v>246</v>
      </c>
      <c r="G2025" s="7" t="s">
        <v>505</v>
      </c>
      <c r="H2025" s="6" t="n">
        <v>3.63</v>
      </c>
      <c r="I2025" s="6" t="n">
        <v>0</v>
      </c>
      <c r="J2025" s="40" t="n">
        <f aca="false">H2025-I2025</f>
        <v>3.63</v>
      </c>
      <c r="K2025" s="41" t="n">
        <v>34</v>
      </c>
      <c r="L2025" s="42" t="n">
        <f aca="false">J2025*K2025</f>
        <v>123.42</v>
      </c>
      <c r="M2025" s="43" t="n">
        <f aca="false">H2025*16.48*(1+'Chart of Accounts'!$E$67)</f>
        <v>68.496648</v>
      </c>
    </row>
    <row r="2026" customFormat="false" ht="15" hidden="false" customHeight="false" outlineLevel="0" collapsed="false">
      <c r="B2026" s="7" t="s">
        <v>2523</v>
      </c>
      <c r="C2026" s="39" t="n">
        <v>45761</v>
      </c>
      <c r="D2026" s="7" t="s">
        <v>371</v>
      </c>
      <c r="E2026" s="7" t="s">
        <v>154</v>
      </c>
      <c r="F2026" s="7" t="s">
        <v>232</v>
      </c>
      <c r="G2026" s="7" t="s">
        <v>505</v>
      </c>
      <c r="H2026" s="6" t="n">
        <v>4.65</v>
      </c>
      <c r="I2026" s="6" t="n">
        <v>0</v>
      </c>
      <c r="J2026" s="40" t="n">
        <f aca="false">H2026-I2026</f>
        <v>4.65</v>
      </c>
      <c r="K2026" s="41" t="n">
        <v>26.5</v>
      </c>
      <c r="L2026" s="42" t="n">
        <f aca="false">J2026*K2026</f>
        <v>123.225</v>
      </c>
      <c r="M2026" s="43" t="n">
        <f aca="false">H2026*16.17*(1+'Chart of Accounts'!$E$67)</f>
        <v>86.0931225</v>
      </c>
    </row>
    <row r="2027" customFormat="false" ht="15" hidden="false" customHeight="false" outlineLevel="0" collapsed="false">
      <c r="B2027" s="7" t="s">
        <v>2524</v>
      </c>
      <c r="C2027" s="39" t="n">
        <v>45761</v>
      </c>
      <c r="D2027" s="7" t="s">
        <v>375</v>
      </c>
      <c r="E2027" s="7" t="s">
        <v>156</v>
      </c>
      <c r="F2027" s="7" t="s">
        <v>196</v>
      </c>
      <c r="G2027" s="7" t="s">
        <v>505</v>
      </c>
      <c r="H2027" s="6" t="n">
        <v>3.22</v>
      </c>
      <c r="I2027" s="6" t="n">
        <v>0</v>
      </c>
      <c r="J2027" s="40" t="n">
        <f aca="false">H2027-I2027</f>
        <v>3.22</v>
      </c>
      <c r="K2027" s="41" t="n">
        <v>34</v>
      </c>
      <c r="L2027" s="42" t="n">
        <f aca="false">J2027*K2027</f>
        <v>109.48</v>
      </c>
      <c r="M2027" s="43" t="n">
        <f aca="false">H2027*15.05*(1+'Chart of Accounts'!$E$67)</f>
        <v>55.487845</v>
      </c>
    </row>
    <row r="2028" customFormat="false" ht="15" hidden="false" customHeight="false" outlineLevel="0" collapsed="false">
      <c r="B2028" s="7" t="s">
        <v>2525</v>
      </c>
      <c r="C2028" s="39" t="n">
        <v>45761</v>
      </c>
      <c r="D2028" s="7" t="s">
        <v>377</v>
      </c>
      <c r="E2028" s="7" t="s">
        <v>154</v>
      </c>
      <c r="F2028" s="7" t="s">
        <v>214</v>
      </c>
      <c r="G2028" s="7" t="s">
        <v>505</v>
      </c>
      <c r="H2028" s="6" t="n">
        <v>4.29</v>
      </c>
      <c r="I2028" s="6" t="n">
        <v>0</v>
      </c>
      <c r="J2028" s="40" t="n">
        <f aca="false">H2028-I2028</f>
        <v>4.29</v>
      </c>
      <c r="K2028" s="41" t="n">
        <v>26.5</v>
      </c>
      <c r="L2028" s="42" t="n">
        <f aca="false">J2028*K2028</f>
        <v>113.685</v>
      </c>
      <c r="M2028" s="43" t="n">
        <f aca="false">H2028*15.67*(1+'Chart of Accounts'!$E$67)</f>
        <v>76.9718235</v>
      </c>
    </row>
    <row r="2029" customFormat="false" ht="15" hidden="false" customHeight="false" outlineLevel="0" collapsed="false">
      <c r="B2029" s="7" t="s">
        <v>2526</v>
      </c>
      <c r="C2029" s="39" t="n">
        <v>45761</v>
      </c>
      <c r="D2029" s="7" t="s">
        <v>379</v>
      </c>
      <c r="E2029" s="7" t="s">
        <v>156</v>
      </c>
      <c r="F2029" s="7" t="s">
        <v>224</v>
      </c>
      <c r="G2029" s="7" t="s">
        <v>505</v>
      </c>
      <c r="H2029" s="6" t="n">
        <v>4.67</v>
      </c>
      <c r="I2029" s="6" t="n">
        <v>0</v>
      </c>
      <c r="J2029" s="40" t="n">
        <f aca="false">H2029-I2029</f>
        <v>4.67</v>
      </c>
      <c r="K2029" s="41" t="n">
        <v>34</v>
      </c>
      <c r="L2029" s="42" t="n">
        <f aca="false">J2029*K2029</f>
        <v>158.78</v>
      </c>
      <c r="M2029" s="43" t="n">
        <f aca="false">H2029*14.93*(1+'Chart of Accounts'!$E$67)</f>
        <v>79.8329495</v>
      </c>
    </row>
    <row r="2030" customFormat="false" ht="15" hidden="false" customHeight="false" outlineLevel="0" collapsed="false">
      <c r="B2030" s="7" t="s">
        <v>2527</v>
      </c>
      <c r="C2030" s="39" t="n">
        <v>45761</v>
      </c>
      <c r="D2030" s="7" t="s">
        <v>385</v>
      </c>
      <c r="E2030" s="7" t="s">
        <v>156</v>
      </c>
      <c r="F2030" s="7" t="s">
        <v>238</v>
      </c>
      <c r="G2030" s="7" t="s">
        <v>505</v>
      </c>
      <c r="H2030" s="6" t="n">
        <v>4.07</v>
      </c>
      <c r="I2030" s="6" t="n">
        <v>0</v>
      </c>
      <c r="J2030" s="40" t="n">
        <f aca="false">H2030-I2030</f>
        <v>4.07</v>
      </c>
      <c r="K2030" s="41" t="n">
        <v>34</v>
      </c>
      <c r="L2030" s="42" t="n">
        <f aca="false">J2030*K2030</f>
        <v>138.38</v>
      </c>
      <c r="M2030" s="43" t="n">
        <f aca="false">H2030*15.85*(1+'Chart of Accounts'!$E$67)</f>
        <v>73.8633775</v>
      </c>
    </row>
    <row r="2031" customFormat="false" ht="15" hidden="false" customHeight="false" outlineLevel="0" collapsed="false">
      <c r="B2031" s="7" t="s">
        <v>2528</v>
      </c>
      <c r="C2031" s="39" t="n">
        <v>45761</v>
      </c>
      <c r="D2031" s="7" t="s">
        <v>389</v>
      </c>
      <c r="E2031" s="7" t="s">
        <v>154</v>
      </c>
      <c r="F2031" s="7" t="s">
        <v>246</v>
      </c>
      <c r="G2031" s="7" t="s">
        <v>505</v>
      </c>
      <c r="H2031" s="6" t="n">
        <v>4.02</v>
      </c>
      <c r="I2031" s="6" t="n">
        <v>0</v>
      </c>
      <c r="J2031" s="40" t="n">
        <f aca="false">H2031-I2031</f>
        <v>4.02</v>
      </c>
      <c r="K2031" s="41" t="n">
        <v>26.5</v>
      </c>
      <c r="L2031" s="42" t="n">
        <f aca="false">J2031*K2031</f>
        <v>106.53</v>
      </c>
      <c r="M2031" s="43" t="n">
        <f aca="false">H2031*16.48*(1+'Chart of Accounts'!$E$67)</f>
        <v>75.855792</v>
      </c>
    </row>
    <row r="2032" customFormat="false" ht="15" hidden="false" customHeight="false" outlineLevel="0" collapsed="false">
      <c r="B2032" s="7" t="s">
        <v>2529</v>
      </c>
      <c r="C2032" s="39" t="n">
        <v>45761</v>
      </c>
      <c r="D2032" s="7" t="s">
        <v>391</v>
      </c>
      <c r="E2032" s="7" t="s">
        <v>156</v>
      </c>
      <c r="F2032" s="7" t="s">
        <v>222</v>
      </c>
      <c r="G2032" s="7" t="s">
        <v>505</v>
      </c>
      <c r="H2032" s="6" t="n">
        <v>3.66</v>
      </c>
      <c r="I2032" s="6" t="n">
        <v>0</v>
      </c>
      <c r="J2032" s="40" t="n">
        <f aca="false">H2032-I2032</f>
        <v>3.66</v>
      </c>
      <c r="K2032" s="41" t="n">
        <v>34</v>
      </c>
      <c r="L2032" s="42" t="n">
        <f aca="false">J2032*K2032</f>
        <v>124.44</v>
      </c>
      <c r="M2032" s="43" t="n">
        <f aca="false">H2032*17.84*(1+'Chart of Accounts'!$E$67)</f>
        <v>74.762088</v>
      </c>
    </row>
    <row r="2033" customFormat="false" ht="15" hidden="false" customHeight="false" outlineLevel="0" collapsed="false">
      <c r="B2033" s="7" t="s">
        <v>2530</v>
      </c>
      <c r="C2033" s="39" t="n">
        <v>45761</v>
      </c>
      <c r="D2033" s="7" t="s">
        <v>395</v>
      </c>
      <c r="E2033" s="7" t="s">
        <v>156</v>
      </c>
      <c r="F2033" s="7" t="s">
        <v>242</v>
      </c>
      <c r="G2033" s="7" t="s">
        <v>505</v>
      </c>
      <c r="H2033" s="6" t="n">
        <v>4.31</v>
      </c>
      <c r="I2033" s="6" t="n">
        <v>0</v>
      </c>
      <c r="J2033" s="40" t="n">
        <f aca="false">H2033-I2033</f>
        <v>4.31</v>
      </c>
      <c r="K2033" s="41" t="n">
        <v>34</v>
      </c>
      <c r="L2033" s="42" t="n">
        <f aca="false">J2033*K2033</f>
        <v>146.54</v>
      </c>
      <c r="M2033" s="43" t="n">
        <f aca="false">H2033*17.99*(1+'Chart of Accounts'!$E$67)</f>
        <v>88.7797505</v>
      </c>
    </row>
    <row r="2034" customFormat="false" ht="15" hidden="false" customHeight="false" outlineLevel="0" collapsed="false">
      <c r="B2034" s="7" t="s">
        <v>2531</v>
      </c>
      <c r="C2034" s="39" t="n">
        <v>45761</v>
      </c>
      <c r="D2034" s="7" t="s">
        <v>399</v>
      </c>
      <c r="E2034" s="7" t="s">
        <v>154</v>
      </c>
      <c r="F2034" s="7" t="s">
        <v>262</v>
      </c>
      <c r="G2034" s="7" t="s">
        <v>505</v>
      </c>
      <c r="H2034" s="6" t="n">
        <v>3.45</v>
      </c>
      <c r="I2034" s="6" t="n">
        <v>0</v>
      </c>
      <c r="J2034" s="40" t="n">
        <f aca="false">H2034-I2034</f>
        <v>3.45</v>
      </c>
      <c r="K2034" s="41" t="n">
        <v>26.5</v>
      </c>
      <c r="L2034" s="42" t="n">
        <f aca="false">J2034*K2034</f>
        <v>91.425</v>
      </c>
      <c r="M2034" s="43" t="n">
        <f aca="false">H2034*16.02*(1+'Chart of Accounts'!$E$67)</f>
        <v>63.283005</v>
      </c>
    </row>
    <row r="2035" customFormat="false" ht="15" hidden="false" customHeight="false" outlineLevel="0" collapsed="false">
      <c r="B2035" s="7" t="s">
        <v>2532</v>
      </c>
      <c r="C2035" s="39" t="n">
        <v>45761</v>
      </c>
      <c r="D2035" s="7" t="s">
        <v>401</v>
      </c>
      <c r="E2035" s="7" t="s">
        <v>156</v>
      </c>
      <c r="F2035" s="7" t="s">
        <v>254</v>
      </c>
      <c r="G2035" s="7" t="s">
        <v>505</v>
      </c>
      <c r="H2035" s="6" t="n">
        <v>4.36</v>
      </c>
      <c r="I2035" s="6" t="n">
        <v>0</v>
      </c>
      <c r="J2035" s="40" t="n">
        <f aca="false">H2035-I2035</f>
        <v>4.36</v>
      </c>
      <c r="K2035" s="41" t="n">
        <v>34</v>
      </c>
      <c r="L2035" s="42" t="n">
        <f aca="false">J2035*K2035</f>
        <v>148.24</v>
      </c>
      <c r="M2035" s="43" t="n">
        <f aca="false">H2035*17.1*(1+'Chart of Accounts'!$E$67)</f>
        <v>85.36662</v>
      </c>
    </row>
    <row r="2036" customFormat="false" ht="15" hidden="false" customHeight="false" outlineLevel="0" collapsed="false">
      <c r="B2036" s="7" t="s">
        <v>2533</v>
      </c>
      <c r="C2036" s="39" t="n">
        <v>45761</v>
      </c>
      <c r="D2036" s="7" t="s">
        <v>409</v>
      </c>
      <c r="E2036" s="7" t="s">
        <v>154</v>
      </c>
      <c r="F2036" s="7" t="s">
        <v>214</v>
      </c>
      <c r="G2036" s="7" t="s">
        <v>505</v>
      </c>
      <c r="H2036" s="6" t="n">
        <v>3.05</v>
      </c>
      <c r="I2036" s="6" t="n">
        <v>0</v>
      </c>
      <c r="J2036" s="40" t="n">
        <f aca="false">H2036-I2036</f>
        <v>3.05</v>
      </c>
      <c r="K2036" s="41" t="n">
        <v>26.5</v>
      </c>
      <c r="L2036" s="42" t="n">
        <f aca="false">J2036*K2036</f>
        <v>80.825</v>
      </c>
      <c r="M2036" s="43" t="n">
        <f aca="false">H2036*15.67*(1+'Chart of Accounts'!$E$67)</f>
        <v>54.7235575</v>
      </c>
    </row>
    <row r="2037" customFormat="false" ht="15" hidden="false" customHeight="false" outlineLevel="0" collapsed="false">
      <c r="B2037" s="7" t="s">
        <v>2534</v>
      </c>
      <c r="C2037" s="39" t="n">
        <v>45761</v>
      </c>
      <c r="D2037" s="7" t="s">
        <v>411</v>
      </c>
      <c r="E2037" s="7" t="s">
        <v>154</v>
      </c>
      <c r="F2037" s="7" t="s">
        <v>177</v>
      </c>
      <c r="G2037" s="7" t="s">
        <v>505</v>
      </c>
      <c r="H2037" s="6" t="n">
        <v>4.62</v>
      </c>
      <c r="I2037" s="6" t="n">
        <v>0</v>
      </c>
      <c r="J2037" s="40" t="n">
        <f aca="false">H2037-I2037</f>
        <v>4.62</v>
      </c>
      <c r="K2037" s="41" t="n">
        <v>26.5</v>
      </c>
      <c r="L2037" s="42" t="n">
        <f aca="false">J2037*K2037</f>
        <v>122.43</v>
      </c>
      <c r="M2037" s="43" t="n">
        <f aca="false">H2037*14.56*(1+'Chart of Accounts'!$E$67)</f>
        <v>77.020944</v>
      </c>
    </row>
    <row r="2038" customFormat="false" ht="15" hidden="false" customHeight="false" outlineLevel="0" collapsed="false">
      <c r="B2038" s="7" t="s">
        <v>2535</v>
      </c>
      <c r="C2038" s="39" t="n">
        <v>45762</v>
      </c>
      <c r="D2038" s="7" t="s">
        <v>288</v>
      </c>
      <c r="E2038" s="7" t="s">
        <v>156</v>
      </c>
      <c r="F2038" s="7" t="s">
        <v>191</v>
      </c>
      <c r="G2038" s="7" t="s">
        <v>505</v>
      </c>
      <c r="H2038" s="6" t="n">
        <v>3.6</v>
      </c>
      <c r="I2038" s="6" t="n">
        <v>0</v>
      </c>
      <c r="J2038" s="40" t="n">
        <f aca="false">H2038-I2038</f>
        <v>3.6</v>
      </c>
      <c r="K2038" s="41" t="n">
        <v>34</v>
      </c>
      <c r="L2038" s="42" t="n">
        <f aca="false">J2038*K2038</f>
        <v>122.4</v>
      </c>
      <c r="M2038" s="43" t="n">
        <f aca="false">H2038*16.05*(1+'Chart of Accounts'!$E$67)</f>
        <v>66.1581</v>
      </c>
    </row>
    <row r="2039" customFormat="false" ht="15" hidden="false" customHeight="false" outlineLevel="0" collapsed="false">
      <c r="B2039" s="7" t="s">
        <v>2536</v>
      </c>
      <c r="C2039" s="39" t="n">
        <v>45762</v>
      </c>
      <c r="D2039" s="7" t="s">
        <v>301</v>
      </c>
      <c r="E2039" s="7" t="s">
        <v>157</v>
      </c>
      <c r="F2039" s="7" t="s">
        <v>209</v>
      </c>
      <c r="G2039" s="7" t="s">
        <v>502</v>
      </c>
      <c r="H2039" s="6" t="n">
        <v>1.09</v>
      </c>
      <c r="I2039" s="6" t="n">
        <v>0</v>
      </c>
      <c r="J2039" s="40" t="n">
        <f aca="false">H2039-I2039</f>
        <v>1.09</v>
      </c>
      <c r="K2039" s="41" t="n">
        <v>165</v>
      </c>
      <c r="L2039" s="42" t="n">
        <f aca="false">J2039*K2039</f>
        <v>179.85</v>
      </c>
      <c r="M2039" s="43" t="n">
        <f aca="false">H2039*73.58*(1+'Chart of Accounts'!$E$67)</f>
        <v>91.831519</v>
      </c>
    </row>
    <row r="2040" customFormat="false" ht="15" hidden="false" customHeight="false" outlineLevel="0" collapsed="false">
      <c r="B2040" s="7" t="s">
        <v>2537</v>
      </c>
      <c r="C2040" s="39" t="n">
        <v>45762</v>
      </c>
      <c r="D2040" s="7" t="s">
        <v>313</v>
      </c>
      <c r="E2040" s="7" t="s">
        <v>156</v>
      </c>
      <c r="F2040" s="7" t="s">
        <v>184</v>
      </c>
      <c r="G2040" s="7" t="s">
        <v>505</v>
      </c>
      <c r="H2040" s="6" t="n">
        <v>4.19</v>
      </c>
      <c r="I2040" s="6" t="n">
        <v>0</v>
      </c>
      <c r="J2040" s="40" t="n">
        <f aca="false">H2040-I2040</f>
        <v>4.19</v>
      </c>
      <c r="K2040" s="41" t="n">
        <v>34</v>
      </c>
      <c r="L2040" s="42" t="n">
        <f aca="false">J2040*K2040</f>
        <v>142.46</v>
      </c>
      <c r="M2040" s="43" t="n">
        <f aca="false">H2040*17.34*(1+'Chart of Accounts'!$E$67)</f>
        <v>83.189517</v>
      </c>
    </row>
    <row r="2041" customFormat="false" ht="15" hidden="false" customHeight="false" outlineLevel="0" collapsed="false">
      <c r="B2041" s="7" t="s">
        <v>2538</v>
      </c>
      <c r="C2041" s="39" t="n">
        <v>45762</v>
      </c>
      <c r="D2041" s="7" t="s">
        <v>319</v>
      </c>
      <c r="E2041" s="7" t="s">
        <v>157</v>
      </c>
      <c r="F2041" s="7" t="s">
        <v>234</v>
      </c>
      <c r="G2041" s="7" t="s">
        <v>502</v>
      </c>
      <c r="H2041" s="6" t="n">
        <v>0.94</v>
      </c>
      <c r="I2041" s="6" t="n">
        <v>0</v>
      </c>
      <c r="J2041" s="40" t="n">
        <f aca="false">H2041-I2041</f>
        <v>0.94</v>
      </c>
      <c r="K2041" s="41" t="n">
        <v>165</v>
      </c>
      <c r="L2041" s="42" t="n">
        <f aca="false">J2041*K2041</f>
        <v>155.1</v>
      </c>
      <c r="M2041" s="43" t="n">
        <f aca="false">H2041*89.53*(1+'Chart of Accounts'!$E$67)</f>
        <v>96.361139</v>
      </c>
    </row>
    <row r="2042" customFormat="false" ht="15" hidden="false" customHeight="false" outlineLevel="0" collapsed="false">
      <c r="B2042" s="7" t="s">
        <v>2539</v>
      </c>
      <c r="C2042" s="39" t="n">
        <v>45762</v>
      </c>
      <c r="D2042" s="7" t="s">
        <v>321</v>
      </c>
      <c r="E2042" s="7" t="s">
        <v>154</v>
      </c>
      <c r="F2042" s="7" t="s">
        <v>218</v>
      </c>
      <c r="G2042" s="7" t="s">
        <v>505</v>
      </c>
      <c r="H2042" s="6" t="n">
        <v>3.86</v>
      </c>
      <c r="I2042" s="6" t="n">
        <v>0.116</v>
      </c>
      <c r="J2042" s="40" t="n">
        <f aca="false">H2042-I2042</f>
        <v>3.744</v>
      </c>
      <c r="K2042" s="41" t="n">
        <v>26.5</v>
      </c>
      <c r="L2042" s="42" t="n">
        <f aca="false">J2042*K2042</f>
        <v>99.216</v>
      </c>
      <c r="M2042" s="43" t="n">
        <f aca="false">H2042*16.19*(1+'Chart of Accounts'!$E$67)</f>
        <v>71.554943</v>
      </c>
    </row>
    <row r="2043" customFormat="false" ht="15" hidden="false" customHeight="false" outlineLevel="0" collapsed="false">
      <c r="B2043" s="7" t="s">
        <v>2540</v>
      </c>
      <c r="C2043" s="39" t="n">
        <v>45762</v>
      </c>
      <c r="D2043" s="7" t="s">
        <v>323</v>
      </c>
      <c r="E2043" s="7" t="s">
        <v>159</v>
      </c>
      <c r="F2043" s="7" t="s">
        <v>266</v>
      </c>
      <c r="G2043" s="7" t="s">
        <v>502</v>
      </c>
      <c r="H2043" s="6" t="n">
        <v>1.09</v>
      </c>
      <c r="I2043" s="6" t="n">
        <v>0</v>
      </c>
      <c r="J2043" s="40" t="n">
        <f aca="false">H2043-I2043</f>
        <v>1.09</v>
      </c>
      <c r="K2043" s="41" t="n">
        <v>135</v>
      </c>
      <c r="L2043" s="42" t="n">
        <f aca="false">J2043*K2043</f>
        <v>147.15</v>
      </c>
      <c r="M2043" s="43" t="n">
        <f aca="false">H2043*75.18*(1+'Chart of Accounts'!$E$67)</f>
        <v>93.828399</v>
      </c>
    </row>
    <row r="2044" customFormat="false" ht="15" hidden="false" customHeight="false" outlineLevel="0" collapsed="false">
      <c r="B2044" s="7" t="s">
        <v>2541</v>
      </c>
      <c r="C2044" s="39" t="n">
        <v>45762</v>
      </c>
      <c r="D2044" s="7" t="s">
        <v>327</v>
      </c>
      <c r="E2044" s="7" t="s">
        <v>157</v>
      </c>
      <c r="F2044" s="7" t="s">
        <v>228</v>
      </c>
      <c r="G2044" s="7" t="s">
        <v>502</v>
      </c>
      <c r="H2044" s="6" t="n">
        <v>0.94</v>
      </c>
      <c r="I2044" s="6" t="n">
        <v>0</v>
      </c>
      <c r="J2044" s="40" t="n">
        <f aca="false">H2044-I2044</f>
        <v>0.94</v>
      </c>
      <c r="K2044" s="41" t="n">
        <v>165</v>
      </c>
      <c r="L2044" s="42" t="n">
        <f aca="false">J2044*K2044</f>
        <v>155.1</v>
      </c>
      <c r="M2044" s="43" t="n">
        <f aca="false">H2044*51.07*(1+'Chart of Accounts'!$E$67)</f>
        <v>54.966641</v>
      </c>
    </row>
    <row r="2045" customFormat="false" ht="15" hidden="false" customHeight="false" outlineLevel="0" collapsed="false">
      <c r="B2045" s="7" t="s">
        <v>2542</v>
      </c>
      <c r="C2045" s="39" t="n">
        <v>45762</v>
      </c>
      <c r="D2045" s="7" t="s">
        <v>329</v>
      </c>
      <c r="E2045" s="7" t="s">
        <v>156</v>
      </c>
      <c r="F2045" s="7" t="s">
        <v>220</v>
      </c>
      <c r="G2045" s="7" t="s">
        <v>505</v>
      </c>
      <c r="H2045" s="6" t="n">
        <v>3.67</v>
      </c>
      <c r="I2045" s="6" t="n">
        <v>0</v>
      </c>
      <c r="J2045" s="40" t="n">
        <f aca="false">H2045-I2045</f>
        <v>3.67</v>
      </c>
      <c r="K2045" s="41" t="n">
        <v>34</v>
      </c>
      <c r="L2045" s="42" t="n">
        <f aca="false">J2045*K2045</f>
        <v>124.78</v>
      </c>
      <c r="M2045" s="43" t="n">
        <f aca="false">H2045*16.43*(1+'Chart of Accounts'!$E$67)</f>
        <v>69.0413245</v>
      </c>
    </row>
    <row r="2046" customFormat="false" ht="15" hidden="false" customHeight="false" outlineLevel="0" collapsed="false">
      <c r="B2046" s="7" t="s">
        <v>2543</v>
      </c>
      <c r="C2046" s="39" t="n">
        <v>45762</v>
      </c>
      <c r="D2046" s="7" t="s">
        <v>359</v>
      </c>
      <c r="E2046" s="7" t="s">
        <v>156</v>
      </c>
      <c r="F2046" s="7" t="s">
        <v>212</v>
      </c>
      <c r="G2046" s="7" t="s">
        <v>505</v>
      </c>
      <c r="H2046" s="6" t="n">
        <v>4.22</v>
      </c>
      <c r="I2046" s="6" t="n">
        <v>0</v>
      </c>
      <c r="J2046" s="40" t="n">
        <f aca="false">H2046-I2046</f>
        <v>4.22</v>
      </c>
      <c r="K2046" s="41" t="n">
        <v>34</v>
      </c>
      <c r="L2046" s="42" t="n">
        <f aca="false">J2046*K2046</f>
        <v>143.48</v>
      </c>
      <c r="M2046" s="43" t="n">
        <f aca="false">H2046*16.71*(1+'Chart of Accounts'!$E$67)</f>
        <v>80.741049</v>
      </c>
    </row>
    <row r="2047" customFormat="false" ht="15" hidden="false" customHeight="false" outlineLevel="0" collapsed="false">
      <c r="B2047" s="7" t="s">
        <v>2544</v>
      </c>
      <c r="C2047" s="39" t="n">
        <v>45762</v>
      </c>
      <c r="D2047" s="7" t="s">
        <v>361</v>
      </c>
      <c r="E2047" s="7" t="s">
        <v>157</v>
      </c>
      <c r="F2047" s="7" t="s">
        <v>209</v>
      </c>
      <c r="G2047" s="7" t="s">
        <v>502</v>
      </c>
      <c r="H2047" s="6" t="n">
        <v>1.03</v>
      </c>
      <c r="I2047" s="6" t="n">
        <v>0</v>
      </c>
      <c r="J2047" s="40" t="n">
        <f aca="false">H2047-I2047</f>
        <v>1.03</v>
      </c>
      <c r="K2047" s="41" t="n">
        <v>165</v>
      </c>
      <c r="L2047" s="42" t="n">
        <f aca="false">J2047*K2047</f>
        <v>169.95</v>
      </c>
      <c r="M2047" s="43" t="n">
        <f aca="false">H2047*73.58*(1+'Chart of Accounts'!$E$67)</f>
        <v>86.776573</v>
      </c>
    </row>
    <row r="2048" customFormat="false" ht="15" hidden="false" customHeight="false" outlineLevel="0" collapsed="false">
      <c r="B2048" s="7" t="s">
        <v>2545</v>
      </c>
      <c r="C2048" s="39" t="n">
        <v>45762</v>
      </c>
      <c r="D2048" s="7" t="s">
        <v>381</v>
      </c>
      <c r="E2048" s="7" t="s">
        <v>157</v>
      </c>
      <c r="F2048" s="7" t="s">
        <v>234</v>
      </c>
      <c r="G2048" s="7" t="s">
        <v>502</v>
      </c>
      <c r="H2048" s="6" t="n">
        <v>0.99</v>
      </c>
      <c r="I2048" s="6" t="n">
        <v>0</v>
      </c>
      <c r="J2048" s="40" t="n">
        <f aca="false">H2048-I2048</f>
        <v>0.99</v>
      </c>
      <c r="K2048" s="41" t="n">
        <v>165</v>
      </c>
      <c r="L2048" s="42" t="n">
        <f aca="false">J2048*K2048</f>
        <v>163.35</v>
      </c>
      <c r="M2048" s="43" t="n">
        <f aca="false">H2048*89.53*(1+'Chart of Accounts'!$E$67)</f>
        <v>101.4867315</v>
      </c>
    </row>
    <row r="2049" customFormat="false" ht="15" hidden="false" customHeight="false" outlineLevel="0" collapsed="false">
      <c r="B2049" s="7" t="s">
        <v>2546</v>
      </c>
      <c r="C2049" s="39" t="n">
        <v>45762</v>
      </c>
      <c r="D2049" s="7" t="s">
        <v>389</v>
      </c>
      <c r="E2049" s="7" t="s">
        <v>154</v>
      </c>
      <c r="F2049" s="7" t="s">
        <v>246</v>
      </c>
      <c r="G2049" s="7" t="s">
        <v>505</v>
      </c>
      <c r="H2049" s="6" t="n">
        <v>4.15</v>
      </c>
      <c r="I2049" s="6" t="n">
        <v>0</v>
      </c>
      <c r="J2049" s="40" t="n">
        <f aca="false">H2049-I2049</f>
        <v>4.15</v>
      </c>
      <c r="K2049" s="41" t="n">
        <v>26.5</v>
      </c>
      <c r="L2049" s="42" t="n">
        <f aca="false">J2049*K2049</f>
        <v>109.975</v>
      </c>
      <c r="M2049" s="43" t="n">
        <f aca="false">H2049*16.48*(1+'Chart of Accounts'!$E$67)</f>
        <v>78.30884</v>
      </c>
    </row>
    <row r="2050" customFormat="false" ht="15" hidden="false" customHeight="false" outlineLevel="0" collapsed="false">
      <c r="B2050" s="7" t="s">
        <v>2547</v>
      </c>
      <c r="C2050" s="39" t="n">
        <v>45762</v>
      </c>
      <c r="D2050" s="7" t="s">
        <v>391</v>
      </c>
      <c r="E2050" s="7" t="s">
        <v>156</v>
      </c>
      <c r="F2050" s="7" t="s">
        <v>222</v>
      </c>
      <c r="G2050" s="7" t="s">
        <v>505</v>
      </c>
      <c r="H2050" s="6" t="n">
        <v>4.27</v>
      </c>
      <c r="I2050" s="6" t="n">
        <v>0</v>
      </c>
      <c r="J2050" s="40" t="n">
        <f aca="false">H2050-I2050</f>
        <v>4.27</v>
      </c>
      <c r="K2050" s="41" t="n">
        <v>34</v>
      </c>
      <c r="L2050" s="42" t="n">
        <f aca="false">J2050*K2050</f>
        <v>145.18</v>
      </c>
      <c r="M2050" s="43" t="n">
        <f aca="false">H2050*17.84*(1+'Chart of Accounts'!$E$67)</f>
        <v>87.222436</v>
      </c>
    </row>
    <row r="2051" customFormat="false" ht="15" hidden="false" customHeight="false" outlineLevel="0" collapsed="false">
      <c r="B2051" s="7" t="s">
        <v>2548</v>
      </c>
      <c r="C2051" s="39" t="n">
        <v>45762</v>
      </c>
      <c r="D2051" s="7" t="s">
        <v>395</v>
      </c>
      <c r="E2051" s="7" t="s">
        <v>156</v>
      </c>
      <c r="F2051" s="7" t="s">
        <v>242</v>
      </c>
      <c r="G2051" s="7" t="s">
        <v>505</v>
      </c>
      <c r="H2051" s="6" t="n">
        <v>4.31</v>
      </c>
      <c r="I2051" s="6" t="n">
        <v>0</v>
      </c>
      <c r="J2051" s="40" t="n">
        <f aca="false">H2051-I2051</f>
        <v>4.31</v>
      </c>
      <c r="K2051" s="41" t="n">
        <v>34</v>
      </c>
      <c r="L2051" s="42" t="n">
        <f aca="false">J2051*K2051</f>
        <v>146.54</v>
      </c>
      <c r="M2051" s="43" t="n">
        <f aca="false">H2051*17.99*(1+'Chart of Accounts'!$E$67)</f>
        <v>88.7797505</v>
      </c>
    </row>
    <row r="2052" customFormat="false" ht="15" hidden="false" customHeight="false" outlineLevel="0" collapsed="false">
      <c r="B2052" s="7" t="s">
        <v>2549</v>
      </c>
      <c r="C2052" s="39" t="n">
        <v>45762</v>
      </c>
      <c r="D2052" s="7" t="s">
        <v>397</v>
      </c>
      <c r="E2052" s="7" t="s">
        <v>159</v>
      </c>
      <c r="F2052" s="7" t="s">
        <v>203</v>
      </c>
      <c r="G2052" s="7" t="s">
        <v>502</v>
      </c>
      <c r="H2052" s="6" t="n">
        <v>0.98</v>
      </c>
      <c r="I2052" s="6" t="n">
        <v>0</v>
      </c>
      <c r="J2052" s="40" t="n">
        <f aca="false">H2052-I2052</f>
        <v>0.98</v>
      </c>
      <c r="K2052" s="41" t="n">
        <v>135</v>
      </c>
      <c r="L2052" s="42" t="n">
        <f aca="false">J2052*K2052</f>
        <v>132.3</v>
      </c>
      <c r="M2052" s="43" t="n">
        <f aca="false">H2052*49.43*(1+'Chart of Accounts'!$E$67)</f>
        <v>55.465403</v>
      </c>
    </row>
    <row r="2053" customFormat="false" ht="15" hidden="false" customHeight="false" outlineLevel="0" collapsed="false">
      <c r="B2053" s="7" t="s">
        <v>2550</v>
      </c>
      <c r="C2053" s="39" t="n">
        <v>45762</v>
      </c>
      <c r="D2053" s="7" t="s">
        <v>401</v>
      </c>
      <c r="E2053" s="7" t="s">
        <v>156</v>
      </c>
      <c r="F2053" s="7" t="s">
        <v>254</v>
      </c>
      <c r="G2053" s="7" t="s">
        <v>505</v>
      </c>
      <c r="H2053" s="6" t="n">
        <v>4.09</v>
      </c>
      <c r="I2053" s="6" t="n">
        <v>0</v>
      </c>
      <c r="J2053" s="40" t="n">
        <f aca="false">H2053-I2053</f>
        <v>4.09</v>
      </c>
      <c r="K2053" s="41" t="n">
        <v>34</v>
      </c>
      <c r="L2053" s="42" t="n">
        <f aca="false">J2053*K2053</f>
        <v>139.06</v>
      </c>
      <c r="M2053" s="43" t="n">
        <f aca="false">H2053*17.1*(1+'Chart of Accounts'!$E$67)</f>
        <v>80.080155</v>
      </c>
    </row>
    <row r="2054" customFormat="false" ht="15" hidden="false" customHeight="false" outlineLevel="0" collapsed="false">
      <c r="B2054" s="7" t="s">
        <v>2551</v>
      </c>
      <c r="C2054" s="39" t="n">
        <v>45762</v>
      </c>
      <c r="D2054" s="7" t="s">
        <v>407</v>
      </c>
      <c r="E2054" s="7" t="s">
        <v>159</v>
      </c>
      <c r="F2054" s="7" t="s">
        <v>260</v>
      </c>
      <c r="G2054" s="7" t="s">
        <v>502</v>
      </c>
      <c r="H2054" s="6" t="n">
        <v>0.91</v>
      </c>
      <c r="I2054" s="6" t="n">
        <v>0</v>
      </c>
      <c r="J2054" s="40" t="n">
        <f aca="false">H2054-I2054</f>
        <v>0.91</v>
      </c>
      <c r="K2054" s="41" t="n">
        <v>135</v>
      </c>
      <c r="L2054" s="42" t="n">
        <f aca="false">J2054*K2054</f>
        <v>122.85</v>
      </c>
      <c r="M2054" s="43" t="n">
        <f aca="false">H2054*79.8*(1+'Chart of Accounts'!$E$67)</f>
        <v>83.14761</v>
      </c>
    </row>
    <row r="2055" customFormat="false" ht="15" hidden="false" customHeight="false" outlineLevel="0" collapsed="false">
      <c r="B2055" s="7" t="s">
        <v>2552</v>
      </c>
      <c r="C2055" s="39" t="n">
        <v>45763</v>
      </c>
      <c r="D2055" s="7" t="s">
        <v>280</v>
      </c>
      <c r="E2055" s="7" t="s">
        <v>157</v>
      </c>
      <c r="F2055" s="7" t="s">
        <v>187</v>
      </c>
      <c r="G2055" s="7" t="s">
        <v>502</v>
      </c>
      <c r="H2055" s="6" t="n">
        <v>0.94</v>
      </c>
      <c r="I2055" s="6" t="n">
        <v>0</v>
      </c>
      <c r="J2055" s="40" t="n">
        <f aca="false">H2055-I2055</f>
        <v>0.94</v>
      </c>
      <c r="K2055" s="41" t="n">
        <v>165</v>
      </c>
      <c r="L2055" s="42" t="n">
        <f aca="false">J2055*K2055</f>
        <v>155.1</v>
      </c>
      <c r="M2055" s="43" t="n">
        <f aca="false">H2055*66.48*(1+'Chart of Accounts'!$E$67)</f>
        <v>71.552424</v>
      </c>
    </row>
    <row r="2056" customFormat="false" ht="15" hidden="false" customHeight="false" outlineLevel="0" collapsed="false">
      <c r="B2056" s="7" t="s">
        <v>2553</v>
      </c>
      <c r="C2056" s="39" t="n">
        <v>45763</v>
      </c>
      <c r="D2056" s="7" t="s">
        <v>286</v>
      </c>
      <c r="E2056" s="7" t="s">
        <v>157</v>
      </c>
      <c r="F2056" s="7" t="s">
        <v>228</v>
      </c>
      <c r="G2056" s="7" t="s">
        <v>502</v>
      </c>
      <c r="H2056" s="6" t="n">
        <v>1</v>
      </c>
      <c r="I2056" s="6" t="n">
        <v>0</v>
      </c>
      <c r="J2056" s="40" t="n">
        <f aca="false">H2056-I2056</f>
        <v>1</v>
      </c>
      <c r="K2056" s="41" t="n">
        <v>165</v>
      </c>
      <c r="L2056" s="42" t="n">
        <f aca="false">J2056*K2056</f>
        <v>165</v>
      </c>
      <c r="M2056" s="43" t="n">
        <f aca="false">H2056*51.07*(1+'Chart of Accounts'!$E$67)</f>
        <v>58.47515</v>
      </c>
    </row>
    <row r="2057" customFormat="false" ht="15" hidden="false" customHeight="false" outlineLevel="0" collapsed="false">
      <c r="B2057" s="7" t="s">
        <v>2554</v>
      </c>
      <c r="C2057" s="39" t="n">
        <v>45763</v>
      </c>
      <c r="D2057" s="7" t="s">
        <v>288</v>
      </c>
      <c r="E2057" s="7" t="s">
        <v>156</v>
      </c>
      <c r="F2057" s="7" t="s">
        <v>191</v>
      </c>
      <c r="G2057" s="7" t="s">
        <v>505</v>
      </c>
      <c r="H2057" s="6" t="n">
        <v>3.83</v>
      </c>
      <c r="I2057" s="6" t="n">
        <v>0</v>
      </c>
      <c r="J2057" s="40" t="n">
        <f aca="false">H2057-I2057</f>
        <v>3.83</v>
      </c>
      <c r="K2057" s="41" t="n">
        <v>34</v>
      </c>
      <c r="L2057" s="42" t="n">
        <f aca="false">J2057*K2057</f>
        <v>130.22</v>
      </c>
      <c r="M2057" s="43" t="n">
        <f aca="false">H2057*16.05*(1+'Chart of Accounts'!$E$67)</f>
        <v>70.3848675</v>
      </c>
    </row>
    <row r="2058" customFormat="false" ht="15" hidden="false" customHeight="false" outlineLevel="0" collapsed="false">
      <c r="B2058" s="7" t="s">
        <v>2555</v>
      </c>
      <c r="C2058" s="39" t="n">
        <v>45763</v>
      </c>
      <c r="D2058" s="7" t="s">
        <v>291</v>
      </c>
      <c r="E2058" s="7" t="s">
        <v>154</v>
      </c>
      <c r="F2058" s="7" t="s">
        <v>194</v>
      </c>
      <c r="G2058" s="7" t="s">
        <v>505</v>
      </c>
      <c r="H2058" s="6" t="n">
        <v>4.65</v>
      </c>
      <c r="I2058" s="6" t="n">
        <v>0.14</v>
      </c>
      <c r="J2058" s="40" t="n">
        <f aca="false">H2058-I2058</f>
        <v>4.51</v>
      </c>
      <c r="K2058" s="41" t="n">
        <v>26.5</v>
      </c>
      <c r="L2058" s="42" t="n">
        <f aca="false">J2058*K2058</f>
        <v>119.515</v>
      </c>
      <c r="M2058" s="43" t="n">
        <f aca="false">H2058*16*(1+'Chart of Accounts'!$E$67)</f>
        <v>85.188</v>
      </c>
    </row>
    <row r="2059" customFormat="false" ht="15" hidden="false" customHeight="false" outlineLevel="0" collapsed="false">
      <c r="B2059" s="7" t="s">
        <v>2556</v>
      </c>
      <c r="C2059" s="39" t="n">
        <v>45763</v>
      </c>
      <c r="D2059" s="7" t="s">
        <v>305</v>
      </c>
      <c r="E2059" s="7" t="s">
        <v>154</v>
      </c>
      <c r="F2059" s="7" t="s">
        <v>205</v>
      </c>
      <c r="G2059" s="7" t="s">
        <v>505</v>
      </c>
      <c r="H2059" s="6" t="n">
        <v>4.32</v>
      </c>
      <c r="I2059" s="6" t="n">
        <v>0</v>
      </c>
      <c r="J2059" s="40" t="n">
        <f aca="false">H2059-I2059</f>
        <v>4.32</v>
      </c>
      <c r="K2059" s="41" t="n">
        <v>26.5</v>
      </c>
      <c r="L2059" s="42" t="n">
        <f aca="false">J2059*K2059</f>
        <v>114.48</v>
      </c>
      <c r="M2059" s="43" t="n">
        <f aca="false">H2059*16.36*(1+'Chart of Accounts'!$E$67)</f>
        <v>80.923104</v>
      </c>
    </row>
    <row r="2060" customFormat="false" ht="15" hidden="false" customHeight="false" outlineLevel="0" collapsed="false">
      <c r="B2060" s="7" t="s">
        <v>2557</v>
      </c>
      <c r="C2060" s="39" t="n">
        <v>45763</v>
      </c>
      <c r="D2060" s="7" t="s">
        <v>307</v>
      </c>
      <c r="E2060" s="7" t="s">
        <v>157</v>
      </c>
      <c r="F2060" s="7" t="s">
        <v>264</v>
      </c>
      <c r="G2060" s="7" t="s">
        <v>502</v>
      </c>
      <c r="H2060" s="6" t="n">
        <v>0.96</v>
      </c>
      <c r="I2060" s="6" t="n">
        <v>0.048</v>
      </c>
      <c r="J2060" s="40" t="n">
        <f aca="false">H2060-I2060</f>
        <v>0.912</v>
      </c>
      <c r="K2060" s="41" t="n">
        <v>165</v>
      </c>
      <c r="L2060" s="42" t="n">
        <f aca="false">J2060*K2060</f>
        <v>150.48</v>
      </c>
      <c r="M2060" s="43" t="n">
        <f aca="false">H2060*55.55*(1+'Chart of Accounts'!$E$67)</f>
        <v>61.06056</v>
      </c>
    </row>
    <row r="2061" customFormat="false" ht="15" hidden="false" customHeight="false" outlineLevel="0" collapsed="false">
      <c r="B2061" s="7" t="s">
        <v>2558</v>
      </c>
      <c r="C2061" s="39" t="n">
        <v>45763</v>
      </c>
      <c r="D2061" s="7" t="s">
        <v>309</v>
      </c>
      <c r="E2061" s="7" t="s">
        <v>159</v>
      </c>
      <c r="F2061" s="7" t="s">
        <v>252</v>
      </c>
      <c r="G2061" s="7" t="s">
        <v>502</v>
      </c>
      <c r="H2061" s="6" t="n">
        <v>0.91</v>
      </c>
      <c r="I2061" s="6" t="n">
        <v>0</v>
      </c>
      <c r="J2061" s="40" t="n">
        <f aca="false">H2061-I2061</f>
        <v>0.91</v>
      </c>
      <c r="K2061" s="41" t="n">
        <v>135</v>
      </c>
      <c r="L2061" s="42" t="n">
        <f aca="false">J2061*K2061</f>
        <v>122.85</v>
      </c>
      <c r="M2061" s="43" t="n">
        <f aca="false">H2061*57.54*(1+'Chart of Accounts'!$E$67)</f>
        <v>59.953803</v>
      </c>
    </row>
    <row r="2062" customFormat="false" ht="15" hidden="false" customHeight="false" outlineLevel="0" collapsed="false">
      <c r="B2062" s="7" t="s">
        <v>2559</v>
      </c>
      <c r="C2062" s="39" t="n">
        <v>45763</v>
      </c>
      <c r="D2062" s="7" t="s">
        <v>313</v>
      </c>
      <c r="E2062" s="7" t="s">
        <v>156</v>
      </c>
      <c r="F2062" s="7" t="s">
        <v>184</v>
      </c>
      <c r="G2062" s="7" t="s">
        <v>505</v>
      </c>
      <c r="H2062" s="6" t="n">
        <v>3.68</v>
      </c>
      <c r="I2062" s="6" t="n">
        <v>0</v>
      </c>
      <c r="J2062" s="40" t="n">
        <f aca="false">H2062-I2062</f>
        <v>3.68</v>
      </c>
      <c r="K2062" s="41" t="n">
        <v>34</v>
      </c>
      <c r="L2062" s="42" t="n">
        <f aca="false">J2062*K2062</f>
        <v>125.12</v>
      </c>
      <c r="M2062" s="43" t="n">
        <f aca="false">H2062*17.34*(1+'Chart of Accounts'!$E$67)</f>
        <v>73.063824</v>
      </c>
    </row>
    <row r="2063" customFormat="false" ht="15" hidden="false" customHeight="false" outlineLevel="0" collapsed="false">
      <c r="B2063" s="7" t="s">
        <v>2560</v>
      </c>
      <c r="C2063" s="39" t="n">
        <v>45763</v>
      </c>
      <c r="D2063" s="7" t="s">
        <v>321</v>
      </c>
      <c r="E2063" s="7" t="s">
        <v>154</v>
      </c>
      <c r="F2063" s="7" t="s">
        <v>218</v>
      </c>
      <c r="G2063" s="7" t="s">
        <v>505</v>
      </c>
      <c r="H2063" s="6" t="n">
        <v>3.8</v>
      </c>
      <c r="I2063" s="6" t="n">
        <v>0.114</v>
      </c>
      <c r="J2063" s="40" t="n">
        <f aca="false">H2063-I2063</f>
        <v>3.686</v>
      </c>
      <c r="K2063" s="41" t="n">
        <v>26.5</v>
      </c>
      <c r="L2063" s="42" t="n">
        <f aca="false">J2063*K2063</f>
        <v>97.679</v>
      </c>
      <c r="M2063" s="43" t="n">
        <f aca="false">H2063*16.19*(1+'Chart of Accounts'!$E$67)</f>
        <v>70.44269</v>
      </c>
    </row>
    <row r="2064" customFormat="false" ht="15" hidden="false" customHeight="false" outlineLevel="0" collapsed="false">
      <c r="B2064" s="7" t="s">
        <v>2561</v>
      </c>
      <c r="C2064" s="39" t="n">
        <v>45763</v>
      </c>
      <c r="D2064" s="7" t="s">
        <v>329</v>
      </c>
      <c r="E2064" s="7" t="s">
        <v>156</v>
      </c>
      <c r="F2064" s="7" t="s">
        <v>220</v>
      </c>
      <c r="G2064" s="7" t="s">
        <v>505</v>
      </c>
      <c r="H2064" s="6" t="n">
        <v>4</v>
      </c>
      <c r="I2064" s="6" t="n">
        <v>0</v>
      </c>
      <c r="J2064" s="40" t="n">
        <f aca="false">H2064-I2064</f>
        <v>4</v>
      </c>
      <c r="K2064" s="41" t="n">
        <v>34</v>
      </c>
      <c r="L2064" s="42" t="n">
        <f aca="false">J2064*K2064</f>
        <v>136</v>
      </c>
      <c r="M2064" s="43" t="n">
        <f aca="false">H2064*16.43*(1+'Chart of Accounts'!$E$67)</f>
        <v>75.2494</v>
      </c>
    </row>
    <row r="2065" customFormat="false" ht="15" hidden="false" customHeight="false" outlineLevel="0" collapsed="false">
      <c r="B2065" s="7" t="s">
        <v>2562</v>
      </c>
      <c r="C2065" s="39" t="n">
        <v>45763</v>
      </c>
      <c r="D2065" s="7" t="s">
        <v>335</v>
      </c>
      <c r="E2065" s="7" t="s">
        <v>154</v>
      </c>
      <c r="F2065" s="7" t="s">
        <v>177</v>
      </c>
      <c r="G2065" s="7" t="s">
        <v>505</v>
      </c>
      <c r="H2065" s="6" t="n">
        <v>3.74</v>
      </c>
      <c r="I2065" s="6" t="n">
        <v>0</v>
      </c>
      <c r="J2065" s="40" t="n">
        <f aca="false">H2065-I2065</f>
        <v>3.74</v>
      </c>
      <c r="K2065" s="41" t="n">
        <v>26.5</v>
      </c>
      <c r="L2065" s="42" t="n">
        <f aca="false">J2065*K2065</f>
        <v>99.11</v>
      </c>
      <c r="M2065" s="43" t="n">
        <f aca="false">H2065*14.56*(1+'Chart of Accounts'!$E$67)</f>
        <v>62.350288</v>
      </c>
    </row>
    <row r="2066" customFormat="false" ht="15" hidden="false" customHeight="false" outlineLevel="0" collapsed="false">
      <c r="B2066" s="7" t="s">
        <v>2563</v>
      </c>
      <c r="C2066" s="39" t="n">
        <v>45763</v>
      </c>
      <c r="D2066" s="7" t="s">
        <v>339</v>
      </c>
      <c r="E2066" s="7" t="s">
        <v>154</v>
      </c>
      <c r="F2066" s="7" t="s">
        <v>242</v>
      </c>
      <c r="G2066" s="7" t="s">
        <v>505</v>
      </c>
      <c r="H2066" s="6" t="n">
        <v>3.06</v>
      </c>
      <c r="I2066" s="6" t="n">
        <v>0</v>
      </c>
      <c r="J2066" s="40" t="n">
        <f aca="false">H2066-I2066</f>
        <v>3.06</v>
      </c>
      <c r="K2066" s="41" t="n">
        <v>26.5</v>
      </c>
      <c r="L2066" s="42" t="n">
        <f aca="false">J2066*K2066</f>
        <v>81.09</v>
      </c>
      <c r="M2066" s="43" t="n">
        <f aca="false">H2066*17.99*(1+'Chart of Accounts'!$E$67)</f>
        <v>63.031563</v>
      </c>
    </row>
    <row r="2067" customFormat="false" ht="15" hidden="false" customHeight="false" outlineLevel="0" collapsed="false">
      <c r="B2067" s="7" t="s">
        <v>2564</v>
      </c>
      <c r="C2067" s="39" t="n">
        <v>45763</v>
      </c>
      <c r="D2067" s="7" t="s">
        <v>353</v>
      </c>
      <c r="E2067" s="7" t="s">
        <v>154</v>
      </c>
      <c r="F2067" s="7" t="s">
        <v>254</v>
      </c>
      <c r="G2067" s="7" t="s">
        <v>505</v>
      </c>
      <c r="H2067" s="6" t="n">
        <v>3.39</v>
      </c>
      <c r="I2067" s="6" t="n">
        <v>0</v>
      </c>
      <c r="J2067" s="40" t="n">
        <f aca="false">H2067-I2067</f>
        <v>3.39</v>
      </c>
      <c r="K2067" s="41" t="n">
        <v>26.5</v>
      </c>
      <c r="L2067" s="42" t="n">
        <f aca="false">J2067*K2067</f>
        <v>89.835</v>
      </c>
      <c r="M2067" s="43" t="n">
        <f aca="false">H2067*17.1*(1+'Chart of Accounts'!$E$67)</f>
        <v>66.374505</v>
      </c>
    </row>
    <row r="2068" customFormat="false" ht="15" hidden="false" customHeight="false" outlineLevel="0" collapsed="false">
      <c r="B2068" s="7" t="s">
        <v>2565</v>
      </c>
      <c r="C2068" s="39" t="n">
        <v>45763</v>
      </c>
      <c r="D2068" s="7" t="s">
        <v>355</v>
      </c>
      <c r="E2068" s="7" t="s">
        <v>154</v>
      </c>
      <c r="F2068" s="7" t="s">
        <v>201</v>
      </c>
      <c r="G2068" s="7" t="s">
        <v>505</v>
      </c>
      <c r="H2068" s="6" t="n">
        <v>3.42</v>
      </c>
      <c r="I2068" s="6" t="n">
        <v>0</v>
      </c>
      <c r="J2068" s="40" t="n">
        <f aca="false">H2068-I2068</f>
        <v>3.42</v>
      </c>
      <c r="K2068" s="41" t="n">
        <v>26.5</v>
      </c>
      <c r="L2068" s="42" t="n">
        <f aca="false">J2068*K2068</f>
        <v>90.63</v>
      </c>
      <c r="M2068" s="43" t="n">
        <f aca="false">H2068*15.19*(1+'Chart of Accounts'!$E$67)</f>
        <v>59.482521</v>
      </c>
    </row>
    <row r="2069" customFormat="false" ht="15" hidden="false" customHeight="false" outlineLevel="0" collapsed="false">
      <c r="B2069" s="7" t="s">
        <v>2566</v>
      </c>
      <c r="C2069" s="39" t="n">
        <v>45763</v>
      </c>
      <c r="D2069" s="7" t="s">
        <v>357</v>
      </c>
      <c r="E2069" s="7" t="s">
        <v>154</v>
      </c>
      <c r="F2069" s="7" t="s">
        <v>207</v>
      </c>
      <c r="G2069" s="7" t="s">
        <v>505</v>
      </c>
      <c r="H2069" s="6" t="n">
        <v>3.58</v>
      </c>
      <c r="I2069" s="6" t="n">
        <v>0</v>
      </c>
      <c r="J2069" s="40" t="n">
        <f aca="false">H2069-I2069</f>
        <v>3.58</v>
      </c>
      <c r="K2069" s="41" t="n">
        <v>26.5</v>
      </c>
      <c r="L2069" s="42" t="n">
        <f aca="false">J2069*K2069</f>
        <v>94.87</v>
      </c>
      <c r="M2069" s="43" t="n">
        <f aca="false">H2069*16.65*(1+'Chart of Accounts'!$E$67)</f>
        <v>68.250015</v>
      </c>
    </row>
    <row r="2070" customFormat="false" ht="15" hidden="false" customHeight="false" outlineLevel="0" collapsed="false">
      <c r="B2070" s="7" t="s">
        <v>2567</v>
      </c>
      <c r="C2070" s="39" t="n">
        <v>45763</v>
      </c>
      <c r="D2070" s="7" t="s">
        <v>359</v>
      </c>
      <c r="E2070" s="7" t="s">
        <v>156</v>
      </c>
      <c r="F2070" s="7" t="s">
        <v>212</v>
      </c>
      <c r="G2070" s="7" t="s">
        <v>505</v>
      </c>
      <c r="H2070" s="6" t="n">
        <v>4.2</v>
      </c>
      <c r="I2070" s="6" t="n">
        <v>0</v>
      </c>
      <c r="J2070" s="40" t="n">
        <f aca="false">H2070-I2070</f>
        <v>4.2</v>
      </c>
      <c r="K2070" s="41" t="n">
        <v>34</v>
      </c>
      <c r="L2070" s="42" t="n">
        <f aca="false">J2070*K2070</f>
        <v>142.8</v>
      </c>
      <c r="M2070" s="43" t="n">
        <f aca="false">H2070*16.71*(1+'Chart of Accounts'!$E$67)</f>
        <v>80.35839</v>
      </c>
    </row>
    <row r="2071" customFormat="false" ht="15" hidden="false" customHeight="false" outlineLevel="0" collapsed="false">
      <c r="B2071" s="7" t="s">
        <v>2568</v>
      </c>
      <c r="C2071" s="39" t="n">
        <v>45763</v>
      </c>
      <c r="D2071" s="7" t="s">
        <v>371</v>
      </c>
      <c r="E2071" s="7" t="s">
        <v>154</v>
      </c>
      <c r="F2071" s="7" t="s">
        <v>232</v>
      </c>
      <c r="G2071" s="7" t="s">
        <v>505</v>
      </c>
      <c r="H2071" s="6" t="n">
        <v>4.3</v>
      </c>
      <c r="I2071" s="6" t="n">
        <v>0.129</v>
      </c>
      <c r="J2071" s="40" t="n">
        <f aca="false">H2071-I2071</f>
        <v>4.171</v>
      </c>
      <c r="K2071" s="41" t="n">
        <v>26.5</v>
      </c>
      <c r="L2071" s="42" t="n">
        <f aca="false">J2071*K2071</f>
        <v>110.5315</v>
      </c>
      <c r="M2071" s="43" t="n">
        <f aca="false">H2071*16.17*(1+'Chart of Accounts'!$E$67)</f>
        <v>79.612995</v>
      </c>
    </row>
    <row r="2072" customFormat="false" ht="15" hidden="false" customHeight="false" outlineLevel="0" collapsed="false">
      <c r="B2072" s="7" t="s">
        <v>2569</v>
      </c>
      <c r="C2072" s="39" t="n">
        <v>45763</v>
      </c>
      <c r="D2072" s="7" t="s">
        <v>379</v>
      </c>
      <c r="E2072" s="7" t="s">
        <v>156</v>
      </c>
      <c r="F2072" s="7" t="s">
        <v>224</v>
      </c>
      <c r="G2072" s="7" t="s">
        <v>505</v>
      </c>
      <c r="H2072" s="6" t="n">
        <v>4.31</v>
      </c>
      <c r="I2072" s="6" t="n">
        <v>0</v>
      </c>
      <c r="J2072" s="40" t="n">
        <f aca="false">H2072-I2072</f>
        <v>4.31</v>
      </c>
      <c r="K2072" s="41" t="n">
        <v>34</v>
      </c>
      <c r="L2072" s="42" t="n">
        <f aca="false">J2072*K2072</f>
        <v>146.54</v>
      </c>
      <c r="M2072" s="43" t="n">
        <f aca="false">H2072*14.93*(1+'Chart of Accounts'!$E$67)</f>
        <v>73.6788035</v>
      </c>
    </row>
    <row r="2073" customFormat="false" ht="15" hidden="false" customHeight="false" outlineLevel="0" collapsed="false">
      <c r="B2073" s="7" t="s">
        <v>2570</v>
      </c>
      <c r="C2073" s="39" t="n">
        <v>45763</v>
      </c>
      <c r="D2073" s="7" t="s">
        <v>385</v>
      </c>
      <c r="E2073" s="7" t="s">
        <v>156</v>
      </c>
      <c r="F2073" s="7" t="s">
        <v>238</v>
      </c>
      <c r="G2073" s="7" t="s">
        <v>505</v>
      </c>
      <c r="H2073" s="6" t="n">
        <v>4.15</v>
      </c>
      <c r="I2073" s="6" t="n">
        <v>0</v>
      </c>
      <c r="J2073" s="40" t="n">
        <f aca="false">H2073-I2073</f>
        <v>4.15</v>
      </c>
      <c r="K2073" s="41" t="n">
        <v>34</v>
      </c>
      <c r="L2073" s="42" t="n">
        <f aca="false">J2073*K2073</f>
        <v>141.1</v>
      </c>
      <c r="M2073" s="43" t="n">
        <f aca="false">H2073*15.85*(1+'Chart of Accounts'!$E$67)</f>
        <v>75.3152375</v>
      </c>
    </row>
    <row r="2074" customFormat="false" ht="15" hidden="false" customHeight="false" outlineLevel="0" collapsed="false">
      <c r="B2074" s="7" t="s">
        <v>2571</v>
      </c>
      <c r="C2074" s="39" t="n">
        <v>45763</v>
      </c>
      <c r="D2074" s="7" t="s">
        <v>389</v>
      </c>
      <c r="E2074" s="7" t="s">
        <v>154</v>
      </c>
      <c r="F2074" s="7" t="s">
        <v>246</v>
      </c>
      <c r="G2074" s="7" t="s">
        <v>505</v>
      </c>
      <c r="H2074" s="6" t="n">
        <v>4.08</v>
      </c>
      <c r="I2074" s="6" t="n">
        <v>0</v>
      </c>
      <c r="J2074" s="40" t="n">
        <f aca="false">H2074-I2074</f>
        <v>4.08</v>
      </c>
      <c r="K2074" s="41" t="n">
        <v>26.5</v>
      </c>
      <c r="L2074" s="42" t="n">
        <f aca="false">J2074*K2074</f>
        <v>108.12</v>
      </c>
      <c r="M2074" s="43" t="n">
        <f aca="false">H2074*16.48*(1+'Chart of Accounts'!$E$67)</f>
        <v>76.987968</v>
      </c>
    </row>
    <row r="2075" customFormat="false" ht="15" hidden="false" customHeight="false" outlineLevel="0" collapsed="false">
      <c r="B2075" s="7" t="s">
        <v>2572</v>
      </c>
      <c r="C2075" s="39" t="n">
        <v>45763</v>
      </c>
      <c r="D2075" s="7" t="s">
        <v>391</v>
      </c>
      <c r="E2075" s="7" t="s">
        <v>156</v>
      </c>
      <c r="F2075" s="7" t="s">
        <v>222</v>
      </c>
      <c r="G2075" s="7" t="s">
        <v>505</v>
      </c>
      <c r="H2075" s="6" t="n">
        <v>4.38</v>
      </c>
      <c r="I2075" s="6" t="n">
        <v>0</v>
      </c>
      <c r="J2075" s="40" t="n">
        <f aca="false">H2075-I2075</f>
        <v>4.38</v>
      </c>
      <c r="K2075" s="41" t="n">
        <v>34</v>
      </c>
      <c r="L2075" s="42" t="n">
        <f aca="false">J2075*K2075</f>
        <v>148.92</v>
      </c>
      <c r="M2075" s="43" t="n">
        <f aca="false">H2075*17.84*(1+'Chart of Accounts'!$E$67)</f>
        <v>89.469384</v>
      </c>
    </row>
    <row r="2076" customFormat="false" ht="15" hidden="false" customHeight="false" outlineLevel="0" collapsed="false">
      <c r="B2076" s="7" t="s">
        <v>2573</v>
      </c>
      <c r="C2076" s="39" t="n">
        <v>45763</v>
      </c>
      <c r="D2076" s="7" t="s">
        <v>393</v>
      </c>
      <c r="E2076" s="7" t="s">
        <v>157</v>
      </c>
      <c r="F2076" s="7" t="s">
        <v>203</v>
      </c>
      <c r="G2076" s="7" t="s">
        <v>502</v>
      </c>
      <c r="H2076" s="6" t="n">
        <v>1.04</v>
      </c>
      <c r="I2076" s="6" t="n">
        <v>0</v>
      </c>
      <c r="J2076" s="40" t="n">
        <f aca="false">H2076-I2076</f>
        <v>1.04</v>
      </c>
      <c r="K2076" s="41" t="n">
        <v>165</v>
      </c>
      <c r="L2076" s="42" t="n">
        <f aca="false">J2076*K2076</f>
        <v>171.6</v>
      </c>
      <c r="M2076" s="43" t="n">
        <f aca="false">H2076*49.43*(1+'Chart of Accounts'!$E$67)</f>
        <v>58.861244</v>
      </c>
    </row>
    <row r="2077" customFormat="false" ht="15" hidden="false" customHeight="false" outlineLevel="0" collapsed="false">
      <c r="B2077" s="7" t="s">
        <v>2574</v>
      </c>
      <c r="C2077" s="39" t="n">
        <v>45763</v>
      </c>
      <c r="D2077" s="7" t="s">
        <v>399</v>
      </c>
      <c r="E2077" s="7" t="s">
        <v>154</v>
      </c>
      <c r="F2077" s="7" t="s">
        <v>262</v>
      </c>
      <c r="G2077" s="7" t="s">
        <v>505</v>
      </c>
      <c r="H2077" s="6" t="n">
        <v>3.54</v>
      </c>
      <c r="I2077" s="6" t="n">
        <v>0</v>
      </c>
      <c r="J2077" s="40" t="n">
        <f aca="false">H2077-I2077</f>
        <v>3.54</v>
      </c>
      <c r="K2077" s="41" t="n">
        <v>26.5</v>
      </c>
      <c r="L2077" s="42" t="n">
        <f aca="false">J2077*K2077</f>
        <v>93.81</v>
      </c>
      <c r="M2077" s="43" t="n">
        <f aca="false">H2077*16.02*(1+'Chart of Accounts'!$E$67)</f>
        <v>64.933866</v>
      </c>
    </row>
    <row r="2078" customFormat="false" ht="15" hidden="false" customHeight="false" outlineLevel="0" collapsed="false">
      <c r="B2078" s="7" t="s">
        <v>2575</v>
      </c>
      <c r="C2078" s="39" t="n">
        <v>45763</v>
      </c>
      <c r="D2078" s="7" t="s">
        <v>401</v>
      </c>
      <c r="E2078" s="7" t="s">
        <v>156</v>
      </c>
      <c r="F2078" s="7" t="s">
        <v>254</v>
      </c>
      <c r="G2078" s="7" t="s">
        <v>505</v>
      </c>
      <c r="H2078" s="6" t="n">
        <v>3.62</v>
      </c>
      <c r="I2078" s="6" t="n">
        <v>0</v>
      </c>
      <c r="J2078" s="40" t="n">
        <f aca="false">H2078-I2078</f>
        <v>3.62</v>
      </c>
      <c r="K2078" s="41" t="n">
        <v>34</v>
      </c>
      <c r="L2078" s="42" t="n">
        <f aca="false">J2078*K2078</f>
        <v>123.08</v>
      </c>
      <c r="M2078" s="43" t="n">
        <f aca="false">H2078*17.1*(1+'Chart of Accounts'!$E$67)</f>
        <v>70.87779</v>
      </c>
    </row>
    <row r="2079" customFormat="false" ht="15" hidden="false" customHeight="false" outlineLevel="0" collapsed="false">
      <c r="B2079" s="7" t="s">
        <v>2576</v>
      </c>
      <c r="C2079" s="39" t="n">
        <v>45763</v>
      </c>
      <c r="D2079" s="7" t="s">
        <v>409</v>
      </c>
      <c r="E2079" s="7" t="s">
        <v>154</v>
      </c>
      <c r="F2079" s="7" t="s">
        <v>214</v>
      </c>
      <c r="G2079" s="7" t="s">
        <v>505</v>
      </c>
      <c r="H2079" s="6" t="n">
        <v>3.16</v>
      </c>
      <c r="I2079" s="6" t="n">
        <v>0</v>
      </c>
      <c r="J2079" s="40" t="n">
        <f aca="false">H2079-I2079</f>
        <v>3.16</v>
      </c>
      <c r="K2079" s="41" t="n">
        <v>26.5</v>
      </c>
      <c r="L2079" s="42" t="n">
        <f aca="false">J2079*K2079</f>
        <v>83.74</v>
      </c>
      <c r="M2079" s="43" t="n">
        <f aca="false">H2079*15.67*(1+'Chart of Accounts'!$E$67)</f>
        <v>56.697194</v>
      </c>
    </row>
    <row r="2080" customFormat="false" ht="15" hidden="false" customHeight="false" outlineLevel="0" collapsed="false">
      <c r="B2080" s="7" t="s">
        <v>2577</v>
      </c>
      <c r="C2080" s="39" t="n">
        <v>45763</v>
      </c>
      <c r="D2080" s="7" t="s">
        <v>411</v>
      </c>
      <c r="E2080" s="7" t="s">
        <v>154</v>
      </c>
      <c r="F2080" s="7" t="s">
        <v>177</v>
      </c>
      <c r="G2080" s="7" t="s">
        <v>505</v>
      </c>
      <c r="H2080" s="6" t="n">
        <v>4.7</v>
      </c>
      <c r="I2080" s="6" t="n">
        <v>0</v>
      </c>
      <c r="J2080" s="40" t="n">
        <f aca="false">H2080-I2080</f>
        <v>4.7</v>
      </c>
      <c r="K2080" s="41" t="n">
        <v>26.5</v>
      </c>
      <c r="L2080" s="42" t="n">
        <f aca="false">J2080*K2080</f>
        <v>124.55</v>
      </c>
      <c r="M2080" s="43" t="n">
        <f aca="false">H2080*14.56*(1+'Chart of Accounts'!$E$67)</f>
        <v>78.35464</v>
      </c>
    </row>
    <row r="2081" customFormat="false" ht="15" hidden="false" customHeight="false" outlineLevel="0" collapsed="false">
      <c r="B2081" s="7" t="s">
        <v>2578</v>
      </c>
      <c r="C2081" s="39" t="n">
        <v>45764</v>
      </c>
      <c r="D2081" s="7" t="s">
        <v>288</v>
      </c>
      <c r="E2081" s="7" t="s">
        <v>156</v>
      </c>
      <c r="F2081" s="7" t="s">
        <v>191</v>
      </c>
      <c r="G2081" s="7" t="s">
        <v>505</v>
      </c>
      <c r="H2081" s="6" t="n">
        <v>3.72</v>
      </c>
      <c r="I2081" s="6" t="n">
        <v>0</v>
      </c>
      <c r="J2081" s="40" t="n">
        <f aca="false">H2081-I2081</f>
        <v>3.72</v>
      </c>
      <c r="K2081" s="41" t="n">
        <v>34</v>
      </c>
      <c r="L2081" s="42" t="n">
        <f aca="false">J2081*K2081</f>
        <v>126.48</v>
      </c>
      <c r="M2081" s="43" t="n">
        <f aca="false">H2081*16.05*(1+'Chart of Accounts'!$E$67)</f>
        <v>68.36337</v>
      </c>
    </row>
    <row r="2082" customFormat="false" ht="15" hidden="false" customHeight="false" outlineLevel="0" collapsed="false">
      <c r="B2082" s="7" t="s">
        <v>2579</v>
      </c>
      <c r="C2082" s="39" t="n">
        <v>45764</v>
      </c>
      <c r="D2082" s="7" t="s">
        <v>297</v>
      </c>
      <c r="E2082" s="7" t="s">
        <v>156</v>
      </c>
      <c r="F2082" s="7" t="s">
        <v>201</v>
      </c>
      <c r="G2082" s="7" t="s">
        <v>505</v>
      </c>
      <c r="H2082" s="6" t="n">
        <v>3.24</v>
      </c>
      <c r="I2082" s="6" t="n">
        <v>0</v>
      </c>
      <c r="J2082" s="40" t="n">
        <f aca="false">H2082-I2082</f>
        <v>3.24</v>
      </c>
      <c r="K2082" s="41" t="n">
        <v>34</v>
      </c>
      <c r="L2082" s="42" t="n">
        <f aca="false">J2082*K2082</f>
        <v>110.16</v>
      </c>
      <c r="M2082" s="43" t="n">
        <f aca="false">H2082*15.19*(1+'Chart of Accounts'!$E$67)</f>
        <v>56.351862</v>
      </c>
    </row>
    <row r="2083" customFormat="false" ht="15" hidden="false" customHeight="false" outlineLevel="0" collapsed="false">
      <c r="B2083" s="7" t="s">
        <v>2580</v>
      </c>
      <c r="C2083" s="39" t="n">
        <v>45764</v>
      </c>
      <c r="D2083" s="7" t="s">
        <v>313</v>
      </c>
      <c r="E2083" s="7" t="s">
        <v>156</v>
      </c>
      <c r="F2083" s="7" t="s">
        <v>184</v>
      </c>
      <c r="G2083" s="7" t="s">
        <v>505</v>
      </c>
      <c r="H2083" s="6" t="n">
        <v>4.07</v>
      </c>
      <c r="I2083" s="6" t="n">
        <v>0</v>
      </c>
      <c r="J2083" s="40" t="n">
        <f aca="false">H2083-I2083</f>
        <v>4.07</v>
      </c>
      <c r="K2083" s="41" t="n">
        <v>34</v>
      </c>
      <c r="L2083" s="42" t="n">
        <f aca="false">J2083*K2083</f>
        <v>138.38</v>
      </c>
      <c r="M2083" s="43" t="n">
        <f aca="false">H2083*17.34*(1+'Chart of Accounts'!$E$67)</f>
        <v>80.807001</v>
      </c>
    </row>
    <row r="2084" customFormat="false" ht="15" hidden="false" customHeight="false" outlineLevel="0" collapsed="false">
      <c r="B2084" s="7" t="s">
        <v>2581</v>
      </c>
      <c r="C2084" s="39" t="n">
        <v>45764</v>
      </c>
      <c r="D2084" s="7" t="s">
        <v>317</v>
      </c>
      <c r="E2084" s="7" t="s">
        <v>156</v>
      </c>
      <c r="F2084" s="7" t="s">
        <v>207</v>
      </c>
      <c r="G2084" s="7" t="s">
        <v>505</v>
      </c>
      <c r="H2084" s="6" t="n">
        <v>3.2</v>
      </c>
      <c r="I2084" s="6" t="n">
        <v>0</v>
      </c>
      <c r="J2084" s="40" t="n">
        <f aca="false">H2084-I2084</f>
        <v>3.2</v>
      </c>
      <c r="K2084" s="41" t="n">
        <v>34</v>
      </c>
      <c r="L2084" s="42" t="n">
        <f aca="false">J2084*K2084</f>
        <v>108.8</v>
      </c>
      <c r="M2084" s="43" t="n">
        <f aca="false">H2084*16.65*(1+'Chart of Accounts'!$E$67)</f>
        <v>61.0056</v>
      </c>
    </row>
    <row r="2085" customFormat="false" ht="15" hidden="false" customHeight="false" outlineLevel="0" collapsed="false">
      <c r="B2085" s="7" t="s">
        <v>2582</v>
      </c>
      <c r="C2085" s="39" t="n">
        <v>45764</v>
      </c>
      <c r="D2085" s="7" t="s">
        <v>321</v>
      </c>
      <c r="E2085" s="7" t="s">
        <v>154</v>
      </c>
      <c r="F2085" s="7" t="s">
        <v>218</v>
      </c>
      <c r="G2085" s="7" t="s">
        <v>505</v>
      </c>
      <c r="H2085" s="6" t="n">
        <v>4.1</v>
      </c>
      <c r="I2085" s="6" t="n">
        <v>0</v>
      </c>
      <c r="J2085" s="40" t="n">
        <f aca="false">H2085-I2085</f>
        <v>4.1</v>
      </c>
      <c r="K2085" s="41" t="n">
        <v>26.5</v>
      </c>
      <c r="L2085" s="42" t="n">
        <f aca="false">J2085*K2085</f>
        <v>108.65</v>
      </c>
      <c r="M2085" s="43" t="n">
        <f aca="false">H2085*16.19*(1+'Chart of Accounts'!$E$67)</f>
        <v>76.003955</v>
      </c>
    </row>
    <row r="2086" customFormat="false" ht="15" hidden="false" customHeight="false" outlineLevel="0" collapsed="false">
      <c r="B2086" s="7" t="s">
        <v>2583</v>
      </c>
      <c r="C2086" s="39" t="n">
        <v>45764</v>
      </c>
      <c r="D2086" s="7" t="s">
        <v>325</v>
      </c>
      <c r="E2086" s="7" t="s">
        <v>154</v>
      </c>
      <c r="F2086" s="7" t="s">
        <v>212</v>
      </c>
      <c r="G2086" s="7" t="s">
        <v>505</v>
      </c>
      <c r="H2086" s="6" t="n">
        <v>3.21</v>
      </c>
      <c r="I2086" s="6" t="n">
        <v>0</v>
      </c>
      <c r="J2086" s="40" t="n">
        <f aca="false">H2086-I2086</f>
        <v>3.21</v>
      </c>
      <c r="K2086" s="41" t="n">
        <v>26.5</v>
      </c>
      <c r="L2086" s="42" t="n">
        <f aca="false">J2086*K2086</f>
        <v>85.065</v>
      </c>
      <c r="M2086" s="43" t="n">
        <f aca="false">H2086*16.71*(1+'Chart of Accounts'!$E$67)</f>
        <v>61.4167695</v>
      </c>
    </row>
    <row r="2087" customFormat="false" ht="15" hidden="false" customHeight="false" outlineLevel="0" collapsed="false">
      <c r="B2087" s="7" t="s">
        <v>2584</v>
      </c>
      <c r="C2087" s="39" t="n">
        <v>45764</v>
      </c>
      <c r="D2087" s="7" t="s">
        <v>329</v>
      </c>
      <c r="E2087" s="7" t="s">
        <v>156</v>
      </c>
      <c r="F2087" s="7" t="s">
        <v>220</v>
      </c>
      <c r="G2087" s="7" t="s">
        <v>505</v>
      </c>
      <c r="H2087" s="6" t="n">
        <v>4.04</v>
      </c>
      <c r="I2087" s="6" t="n">
        <v>0</v>
      </c>
      <c r="J2087" s="40" t="n">
        <f aca="false">H2087-I2087</f>
        <v>4.04</v>
      </c>
      <c r="K2087" s="41" t="n">
        <v>34</v>
      </c>
      <c r="L2087" s="42" t="n">
        <f aca="false">J2087*K2087</f>
        <v>137.36</v>
      </c>
      <c r="M2087" s="43" t="n">
        <f aca="false">H2087*16.43*(1+'Chart of Accounts'!$E$67)</f>
        <v>76.001894</v>
      </c>
    </row>
    <row r="2088" customFormat="false" ht="15" hidden="false" customHeight="false" outlineLevel="0" collapsed="false">
      <c r="B2088" s="7" t="s">
        <v>2585</v>
      </c>
      <c r="C2088" s="39" t="n">
        <v>45764</v>
      </c>
      <c r="D2088" s="7" t="s">
        <v>331</v>
      </c>
      <c r="E2088" s="7" t="s">
        <v>156</v>
      </c>
      <c r="F2088" s="7" t="s">
        <v>224</v>
      </c>
      <c r="G2088" s="7" t="s">
        <v>505</v>
      </c>
      <c r="H2088" s="6" t="n">
        <v>3.99</v>
      </c>
      <c r="I2088" s="6" t="n">
        <v>0</v>
      </c>
      <c r="J2088" s="40" t="n">
        <f aca="false">H2088-I2088</f>
        <v>3.99</v>
      </c>
      <c r="K2088" s="41" t="n">
        <v>34</v>
      </c>
      <c r="L2088" s="42" t="n">
        <f aca="false">J2088*K2088</f>
        <v>135.66</v>
      </c>
      <c r="M2088" s="43" t="n">
        <f aca="false">H2088*14.93*(1+'Chart of Accounts'!$E$67)</f>
        <v>68.2084515</v>
      </c>
    </row>
    <row r="2089" customFormat="false" ht="15" hidden="false" customHeight="false" outlineLevel="0" collapsed="false">
      <c r="B2089" s="7" t="s">
        <v>2586</v>
      </c>
      <c r="C2089" s="39" t="n">
        <v>45764</v>
      </c>
      <c r="D2089" s="7" t="s">
        <v>337</v>
      </c>
      <c r="E2089" s="7" t="s">
        <v>154</v>
      </c>
      <c r="F2089" s="7" t="s">
        <v>232</v>
      </c>
      <c r="G2089" s="7" t="s">
        <v>505</v>
      </c>
      <c r="H2089" s="6" t="n">
        <v>3.11</v>
      </c>
      <c r="I2089" s="6" t="n">
        <v>0</v>
      </c>
      <c r="J2089" s="40" t="n">
        <f aca="false">H2089-I2089</f>
        <v>3.11</v>
      </c>
      <c r="K2089" s="41" t="n">
        <v>26.5</v>
      </c>
      <c r="L2089" s="42" t="n">
        <f aca="false">J2089*K2089</f>
        <v>82.415</v>
      </c>
      <c r="M2089" s="43" t="n">
        <f aca="false">H2089*16.17*(1+'Chart of Accounts'!$E$67)</f>
        <v>57.5805615</v>
      </c>
    </row>
    <row r="2090" customFormat="false" ht="15" hidden="false" customHeight="false" outlineLevel="0" collapsed="false">
      <c r="B2090" s="7" t="s">
        <v>2587</v>
      </c>
      <c r="C2090" s="39" t="n">
        <v>45764</v>
      </c>
      <c r="D2090" s="7" t="s">
        <v>341</v>
      </c>
      <c r="E2090" s="7" t="s">
        <v>156</v>
      </c>
      <c r="F2090" s="7" t="s">
        <v>222</v>
      </c>
      <c r="G2090" s="7" t="s">
        <v>505</v>
      </c>
      <c r="H2090" s="6" t="n">
        <v>3.13</v>
      </c>
      <c r="I2090" s="6" t="n">
        <v>0</v>
      </c>
      <c r="J2090" s="40" t="n">
        <f aca="false">H2090-I2090</f>
        <v>3.13</v>
      </c>
      <c r="K2090" s="41" t="n">
        <v>34</v>
      </c>
      <c r="L2090" s="42" t="n">
        <f aca="false">J2090*K2090</f>
        <v>106.42</v>
      </c>
      <c r="M2090" s="43" t="n">
        <f aca="false">H2090*17.84*(1+'Chart of Accounts'!$E$67)</f>
        <v>63.935884</v>
      </c>
    </row>
    <row r="2091" customFormat="false" ht="15" hidden="false" customHeight="false" outlineLevel="0" collapsed="false">
      <c r="B2091" s="7" t="s">
        <v>2588</v>
      </c>
      <c r="C2091" s="39" t="n">
        <v>45764</v>
      </c>
      <c r="D2091" s="7" t="s">
        <v>343</v>
      </c>
      <c r="E2091" s="7" t="s">
        <v>154</v>
      </c>
      <c r="F2091" s="7" t="s">
        <v>262</v>
      </c>
      <c r="G2091" s="7" t="s">
        <v>505</v>
      </c>
      <c r="H2091" s="6" t="n">
        <v>3.85</v>
      </c>
      <c r="I2091" s="6" t="n">
        <v>0</v>
      </c>
      <c r="J2091" s="40" t="n">
        <f aca="false">H2091-I2091</f>
        <v>3.85</v>
      </c>
      <c r="K2091" s="41" t="n">
        <v>26.5</v>
      </c>
      <c r="L2091" s="42" t="n">
        <f aca="false">J2091*K2091</f>
        <v>102.025</v>
      </c>
      <c r="M2091" s="43" t="n">
        <f aca="false">H2091*16.02*(1+'Chart of Accounts'!$E$67)</f>
        <v>70.620165</v>
      </c>
    </row>
    <row r="2092" customFormat="false" ht="15" hidden="false" customHeight="false" outlineLevel="0" collapsed="false">
      <c r="B2092" s="7" t="s">
        <v>2589</v>
      </c>
      <c r="C2092" s="39" t="n">
        <v>45764</v>
      </c>
      <c r="D2092" s="7" t="s">
        <v>351</v>
      </c>
      <c r="E2092" s="7" t="s">
        <v>154</v>
      </c>
      <c r="F2092" s="7" t="s">
        <v>201</v>
      </c>
      <c r="G2092" s="7" t="s">
        <v>505</v>
      </c>
      <c r="H2092" s="6" t="n">
        <v>2.95</v>
      </c>
      <c r="I2092" s="6" t="n">
        <v>0</v>
      </c>
      <c r="J2092" s="40" t="n">
        <f aca="false">H2092-I2092</f>
        <v>2.95</v>
      </c>
      <c r="K2092" s="41" t="n">
        <v>26.5</v>
      </c>
      <c r="L2092" s="42" t="n">
        <f aca="false">J2092*K2092</f>
        <v>78.175</v>
      </c>
      <c r="M2092" s="43" t="n">
        <f aca="false">H2092*15.19*(1+'Chart of Accounts'!$E$67)</f>
        <v>51.3080225</v>
      </c>
    </row>
    <row r="2093" customFormat="false" ht="15" hidden="false" customHeight="false" outlineLevel="0" collapsed="false">
      <c r="B2093" s="7" t="s">
        <v>2590</v>
      </c>
      <c r="C2093" s="39" t="n">
        <v>45764</v>
      </c>
      <c r="D2093" s="7" t="s">
        <v>359</v>
      </c>
      <c r="E2093" s="7" t="s">
        <v>156</v>
      </c>
      <c r="F2093" s="7" t="s">
        <v>212</v>
      </c>
      <c r="G2093" s="7" t="s">
        <v>505</v>
      </c>
      <c r="H2093" s="6" t="n">
        <v>4.35</v>
      </c>
      <c r="I2093" s="6" t="n">
        <v>0</v>
      </c>
      <c r="J2093" s="40" t="n">
        <f aca="false">H2093-I2093</f>
        <v>4.35</v>
      </c>
      <c r="K2093" s="41" t="n">
        <v>34</v>
      </c>
      <c r="L2093" s="42" t="n">
        <f aca="false">J2093*K2093</f>
        <v>147.9</v>
      </c>
      <c r="M2093" s="43" t="n">
        <f aca="false">H2093*16.71*(1+'Chart of Accounts'!$E$67)</f>
        <v>83.2283325</v>
      </c>
    </row>
    <row r="2094" customFormat="false" ht="15" hidden="false" customHeight="false" outlineLevel="0" collapsed="false">
      <c r="B2094" s="7" t="s">
        <v>2591</v>
      </c>
      <c r="C2094" s="39" t="n">
        <v>45764</v>
      </c>
      <c r="D2094" s="7" t="s">
        <v>363</v>
      </c>
      <c r="E2094" s="7" t="s">
        <v>156</v>
      </c>
      <c r="F2094" s="7" t="s">
        <v>246</v>
      </c>
      <c r="G2094" s="7" t="s">
        <v>505</v>
      </c>
      <c r="H2094" s="6" t="n">
        <v>3.62</v>
      </c>
      <c r="I2094" s="6" t="n">
        <v>0</v>
      </c>
      <c r="J2094" s="40" t="n">
        <f aca="false">H2094-I2094</f>
        <v>3.62</v>
      </c>
      <c r="K2094" s="41" t="n">
        <v>34</v>
      </c>
      <c r="L2094" s="42" t="n">
        <f aca="false">J2094*K2094</f>
        <v>123.08</v>
      </c>
      <c r="M2094" s="43" t="n">
        <f aca="false">H2094*16.48*(1+'Chart of Accounts'!$E$67)</f>
        <v>68.307952</v>
      </c>
    </row>
    <row r="2095" customFormat="false" ht="15" hidden="false" customHeight="false" outlineLevel="0" collapsed="false">
      <c r="B2095" s="7" t="s">
        <v>2592</v>
      </c>
      <c r="C2095" s="39" t="n">
        <v>45764</v>
      </c>
      <c r="D2095" s="7" t="s">
        <v>375</v>
      </c>
      <c r="E2095" s="7" t="s">
        <v>156</v>
      </c>
      <c r="F2095" s="7" t="s">
        <v>196</v>
      </c>
      <c r="G2095" s="7" t="s">
        <v>505</v>
      </c>
      <c r="H2095" s="6" t="n">
        <v>2.91</v>
      </c>
      <c r="I2095" s="6" t="n">
        <v>0</v>
      </c>
      <c r="J2095" s="40" t="n">
        <f aca="false">H2095-I2095</f>
        <v>2.91</v>
      </c>
      <c r="K2095" s="41" t="n">
        <v>34</v>
      </c>
      <c r="L2095" s="42" t="n">
        <f aca="false">J2095*K2095</f>
        <v>98.94</v>
      </c>
      <c r="M2095" s="43" t="n">
        <f aca="false">H2095*15.05*(1+'Chart of Accounts'!$E$67)</f>
        <v>50.1458475</v>
      </c>
    </row>
    <row r="2096" customFormat="false" ht="15" hidden="false" customHeight="false" outlineLevel="0" collapsed="false">
      <c r="B2096" s="7" t="s">
        <v>2593</v>
      </c>
      <c r="C2096" s="39" t="n">
        <v>45764</v>
      </c>
      <c r="D2096" s="7" t="s">
        <v>377</v>
      </c>
      <c r="E2096" s="7" t="s">
        <v>154</v>
      </c>
      <c r="F2096" s="7" t="s">
        <v>214</v>
      </c>
      <c r="G2096" s="7" t="s">
        <v>505</v>
      </c>
      <c r="H2096" s="6" t="n">
        <v>4.33</v>
      </c>
      <c r="I2096" s="6" t="n">
        <v>0</v>
      </c>
      <c r="J2096" s="40" t="n">
        <f aca="false">H2096-I2096</f>
        <v>4.33</v>
      </c>
      <c r="K2096" s="41" t="n">
        <v>26.5</v>
      </c>
      <c r="L2096" s="42" t="n">
        <f aca="false">J2096*K2096</f>
        <v>114.745</v>
      </c>
      <c r="M2096" s="43" t="n">
        <f aca="false">H2096*15.67*(1+'Chart of Accounts'!$E$67)</f>
        <v>77.6895095</v>
      </c>
    </row>
    <row r="2097" customFormat="false" ht="15" hidden="false" customHeight="false" outlineLevel="0" collapsed="false">
      <c r="B2097" s="7" t="s">
        <v>2594</v>
      </c>
      <c r="C2097" s="39" t="n">
        <v>45764</v>
      </c>
      <c r="D2097" s="7" t="s">
        <v>389</v>
      </c>
      <c r="E2097" s="7" t="s">
        <v>154</v>
      </c>
      <c r="F2097" s="7" t="s">
        <v>246</v>
      </c>
      <c r="G2097" s="7" t="s">
        <v>505</v>
      </c>
      <c r="H2097" s="6" t="n">
        <v>4.27</v>
      </c>
      <c r="I2097" s="6" t="n">
        <v>0.128</v>
      </c>
      <c r="J2097" s="40" t="n">
        <f aca="false">H2097-I2097</f>
        <v>4.142</v>
      </c>
      <c r="K2097" s="41" t="n">
        <v>26.5</v>
      </c>
      <c r="L2097" s="42" t="n">
        <f aca="false">J2097*K2097</f>
        <v>109.763</v>
      </c>
      <c r="M2097" s="43" t="n">
        <f aca="false">H2097*16.48*(1+'Chart of Accounts'!$E$67)</f>
        <v>80.573192</v>
      </c>
    </row>
    <row r="2098" customFormat="false" ht="15" hidden="false" customHeight="false" outlineLevel="0" collapsed="false">
      <c r="B2098" s="7" t="s">
        <v>2595</v>
      </c>
      <c r="C2098" s="39" t="n">
        <v>45764</v>
      </c>
      <c r="D2098" s="7" t="s">
        <v>391</v>
      </c>
      <c r="E2098" s="7" t="s">
        <v>156</v>
      </c>
      <c r="F2098" s="7" t="s">
        <v>222</v>
      </c>
      <c r="G2098" s="7" t="s">
        <v>505</v>
      </c>
      <c r="H2098" s="6" t="n">
        <v>3.83</v>
      </c>
      <c r="I2098" s="6" t="n">
        <v>0</v>
      </c>
      <c r="J2098" s="40" t="n">
        <f aca="false">H2098-I2098</f>
        <v>3.83</v>
      </c>
      <c r="K2098" s="41" t="n">
        <v>34</v>
      </c>
      <c r="L2098" s="42" t="n">
        <f aca="false">J2098*K2098</f>
        <v>130.22</v>
      </c>
      <c r="M2098" s="43" t="n">
        <f aca="false">H2098*17.84*(1+'Chart of Accounts'!$E$67)</f>
        <v>78.234644</v>
      </c>
    </row>
    <row r="2099" customFormat="false" ht="15" hidden="false" customHeight="false" outlineLevel="0" collapsed="false">
      <c r="B2099" s="7" t="s">
        <v>2596</v>
      </c>
      <c r="C2099" s="39" t="n">
        <v>45764</v>
      </c>
      <c r="D2099" s="7" t="s">
        <v>395</v>
      </c>
      <c r="E2099" s="7" t="s">
        <v>156</v>
      </c>
      <c r="F2099" s="7" t="s">
        <v>242</v>
      </c>
      <c r="G2099" s="7" t="s">
        <v>505</v>
      </c>
      <c r="H2099" s="6" t="n">
        <v>4.27</v>
      </c>
      <c r="I2099" s="6" t="n">
        <v>0</v>
      </c>
      <c r="J2099" s="40" t="n">
        <f aca="false">H2099-I2099</f>
        <v>4.27</v>
      </c>
      <c r="K2099" s="41" t="n">
        <v>34</v>
      </c>
      <c r="L2099" s="42" t="n">
        <f aca="false">J2099*K2099</f>
        <v>145.18</v>
      </c>
      <c r="M2099" s="43" t="n">
        <f aca="false">H2099*17.99*(1+'Chart of Accounts'!$E$67)</f>
        <v>87.9558085</v>
      </c>
    </row>
    <row r="2100" customFormat="false" ht="15" hidden="false" customHeight="false" outlineLevel="0" collapsed="false">
      <c r="B2100" s="7" t="s">
        <v>2597</v>
      </c>
      <c r="C2100" s="39" t="n">
        <v>45764</v>
      </c>
      <c r="D2100" s="7" t="s">
        <v>401</v>
      </c>
      <c r="E2100" s="7" t="s">
        <v>156</v>
      </c>
      <c r="F2100" s="7" t="s">
        <v>254</v>
      </c>
      <c r="G2100" s="7" t="s">
        <v>505</v>
      </c>
      <c r="H2100" s="6" t="n">
        <v>4.24</v>
      </c>
      <c r="I2100" s="6" t="n">
        <v>0</v>
      </c>
      <c r="J2100" s="40" t="n">
        <f aca="false">H2100-I2100</f>
        <v>4.24</v>
      </c>
      <c r="K2100" s="41" t="n">
        <v>34</v>
      </c>
      <c r="L2100" s="42" t="n">
        <f aca="false">J2100*K2100</f>
        <v>144.16</v>
      </c>
      <c r="M2100" s="43" t="n">
        <f aca="false">H2100*17.1*(1+'Chart of Accounts'!$E$67)</f>
        <v>83.01708</v>
      </c>
    </row>
    <row r="2101" customFormat="false" ht="15" hidden="false" customHeight="false" outlineLevel="0" collapsed="false">
      <c r="B2101" s="7" t="s">
        <v>2598</v>
      </c>
      <c r="C2101" s="39" t="n">
        <v>45765</v>
      </c>
      <c r="D2101" s="7" t="s">
        <v>280</v>
      </c>
      <c r="E2101" s="7" t="s">
        <v>157</v>
      </c>
      <c r="F2101" s="7" t="s">
        <v>187</v>
      </c>
      <c r="G2101" s="7" t="s">
        <v>502</v>
      </c>
      <c r="H2101" s="6" t="n">
        <v>1.02</v>
      </c>
      <c r="I2101" s="6" t="n">
        <v>0</v>
      </c>
      <c r="J2101" s="40" t="n">
        <f aca="false">H2101-I2101</f>
        <v>1.02</v>
      </c>
      <c r="K2101" s="41" t="n">
        <v>165</v>
      </c>
      <c r="L2101" s="42" t="n">
        <f aca="false">J2101*K2101</f>
        <v>168.3</v>
      </c>
      <c r="M2101" s="43" t="n">
        <f aca="false">H2101*66.48*(1+'Chart of Accounts'!$E$67)</f>
        <v>77.641992</v>
      </c>
    </row>
    <row r="2102" customFormat="false" ht="15" hidden="false" customHeight="false" outlineLevel="0" collapsed="false">
      <c r="B2102" s="7" t="s">
        <v>2599</v>
      </c>
      <c r="C2102" s="39" t="n">
        <v>45765</v>
      </c>
      <c r="D2102" s="7" t="s">
        <v>288</v>
      </c>
      <c r="E2102" s="7" t="s">
        <v>156</v>
      </c>
      <c r="F2102" s="7" t="s">
        <v>191</v>
      </c>
      <c r="G2102" s="7" t="s">
        <v>505</v>
      </c>
      <c r="H2102" s="6" t="n">
        <v>4.13</v>
      </c>
      <c r="I2102" s="6" t="n">
        <v>0</v>
      </c>
      <c r="J2102" s="40" t="n">
        <f aca="false">H2102-I2102</f>
        <v>4.13</v>
      </c>
      <c r="K2102" s="41" t="n">
        <v>34</v>
      </c>
      <c r="L2102" s="42" t="n">
        <f aca="false">J2102*K2102</f>
        <v>140.42</v>
      </c>
      <c r="M2102" s="43" t="n">
        <f aca="false">H2102*16.05*(1+'Chart of Accounts'!$E$67)</f>
        <v>75.8980425</v>
      </c>
    </row>
    <row r="2103" customFormat="false" ht="15" hidden="false" customHeight="false" outlineLevel="0" collapsed="false">
      <c r="B2103" s="7" t="s">
        <v>2600</v>
      </c>
      <c r="C2103" s="39" t="n">
        <v>45765</v>
      </c>
      <c r="D2103" s="7" t="s">
        <v>291</v>
      </c>
      <c r="E2103" s="7" t="s">
        <v>154</v>
      </c>
      <c r="F2103" s="7" t="s">
        <v>194</v>
      </c>
      <c r="G2103" s="7" t="s">
        <v>505</v>
      </c>
      <c r="H2103" s="6" t="n">
        <v>4.77</v>
      </c>
      <c r="I2103" s="6" t="n">
        <v>0</v>
      </c>
      <c r="J2103" s="40" t="n">
        <f aca="false">H2103-I2103</f>
        <v>4.77</v>
      </c>
      <c r="K2103" s="41" t="n">
        <v>26.5</v>
      </c>
      <c r="L2103" s="42" t="n">
        <f aca="false">J2103*K2103</f>
        <v>126.405</v>
      </c>
      <c r="M2103" s="43" t="n">
        <f aca="false">H2103*16*(1+'Chart of Accounts'!$E$67)</f>
        <v>87.3864</v>
      </c>
    </row>
    <row r="2104" customFormat="false" ht="15" hidden="false" customHeight="false" outlineLevel="0" collapsed="false">
      <c r="B2104" s="7" t="s">
        <v>2601</v>
      </c>
      <c r="C2104" s="39" t="n">
        <v>45765</v>
      </c>
      <c r="D2104" s="7" t="s">
        <v>301</v>
      </c>
      <c r="E2104" s="7" t="s">
        <v>157</v>
      </c>
      <c r="F2104" s="7" t="s">
        <v>209</v>
      </c>
      <c r="G2104" s="7" t="s">
        <v>502</v>
      </c>
      <c r="H2104" s="6" t="n">
        <v>1.1</v>
      </c>
      <c r="I2104" s="6" t="n">
        <v>0</v>
      </c>
      <c r="J2104" s="40" t="n">
        <f aca="false">H2104-I2104</f>
        <v>1.1</v>
      </c>
      <c r="K2104" s="41" t="n">
        <v>165</v>
      </c>
      <c r="L2104" s="42" t="n">
        <f aca="false">J2104*K2104</f>
        <v>181.5</v>
      </c>
      <c r="M2104" s="43" t="n">
        <f aca="false">H2104*73.58*(1+'Chart of Accounts'!$E$67)</f>
        <v>92.67401</v>
      </c>
    </row>
    <row r="2105" customFormat="false" ht="15" hidden="false" customHeight="false" outlineLevel="0" collapsed="false">
      <c r="B2105" s="7" t="s">
        <v>2602</v>
      </c>
      <c r="C2105" s="39" t="n">
        <v>45765</v>
      </c>
      <c r="D2105" s="7" t="s">
        <v>307</v>
      </c>
      <c r="E2105" s="7" t="s">
        <v>157</v>
      </c>
      <c r="F2105" s="7" t="s">
        <v>264</v>
      </c>
      <c r="G2105" s="7" t="s">
        <v>502</v>
      </c>
      <c r="H2105" s="6" t="n">
        <v>0.97</v>
      </c>
      <c r="I2105" s="6" t="n">
        <v>0</v>
      </c>
      <c r="J2105" s="40" t="n">
        <f aca="false">H2105-I2105</f>
        <v>0.97</v>
      </c>
      <c r="K2105" s="41" t="n">
        <v>165</v>
      </c>
      <c r="L2105" s="42" t="n">
        <f aca="false">J2105*K2105</f>
        <v>160.05</v>
      </c>
      <c r="M2105" s="43" t="n">
        <f aca="false">H2105*55.55*(1+'Chart of Accounts'!$E$67)</f>
        <v>61.6966075</v>
      </c>
    </row>
    <row r="2106" customFormat="false" ht="15" hidden="false" customHeight="false" outlineLevel="0" collapsed="false">
      <c r="B2106" s="7" t="s">
        <v>2603</v>
      </c>
      <c r="C2106" s="39" t="n">
        <v>45765</v>
      </c>
      <c r="D2106" s="7" t="s">
        <v>309</v>
      </c>
      <c r="E2106" s="7" t="s">
        <v>159</v>
      </c>
      <c r="F2106" s="7" t="s">
        <v>252</v>
      </c>
      <c r="G2106" s="7" t="s">
        <v>502</v>
      </c>
      <c r="H2106" s="6" t="n">
        <v>1.08</v>
      </c>
      <c r="I2106" s="6" t="n">
        <v>0.076</v>
      </c>
      <c r="J2106" s="40" t="n">
        <f aca="false">H2106-I2106</f>
        <v>1.004</v>
      </c>
      <c r="K2106" s="41" t="n">
        <v>135</v>
      </c>
      <c r="L2106" s="42" t="n">
        <f aca="false">J2106*K2106</f>
        <v>135.54</v>
      </c>
      <c r="M2106" s="43" t="n">
        <f aca="false">H2106*57.54*(1+'Chart of Accounts'!$E$67)</f>
        <v>71.153964</v>
      </c>
    </row>
    <row r="2107" customFormat="false" ht="15" hidden="false" customHeight="false" outlineLevel="0" collapsed="false">
      <c r="B2107" s="7" t="s">
        <v>2604</v>
      </c>
      <c r="C2107" s="39" t="n">
        <v>45765</v>
      </c>
      <c r="D2107" s="7" t="s">
        <v>313</v>
      </c>
      <c r="E2107" s="7" t="s">
        <v>156</v>
      </c>
      <c r="F2107" s="7" t="s">
        <v>184</v>
      </c>
      <c r="G2107" s="7" t="s">
        <v>505</v>
      </c>
      <c r="H2107" s="6" t="n">
        <v>3.94</v>
      </c>
      <c r="I2107" s="6" t="n">
        <v>0</v>
      </c>
      <c r="J2107" s="40" t="n">
        <f aca="false">H2107-I2107</f>
        <v>3.94</v>
      </c>
      <c r="K2107" s="41" t="n">
        <v>34</v>
      </c>
      <c r="L2107" s="42" t="n">
        <f aca="false">J2107*K2107</f>
        <v>133.96</v>
      </c>
      <c r="M2107" s="43" t="n">
        <f aca="false">H2107*17.34*(1+'Chart of Accounts'!$E$67)</f>
        <v>78.225942</v>
      </c>
    </row>
    <row r="2108" customFormat="false" ht="15" hidden="false" customHeight="false" outlineLevel="0" collapsed="false">
      <c r="B2108" s="7" t="s">
        <v>2605</v>
      </c>
      <c r="C2108" s="39" t="n">
        <v>45765</v>
      </c>
      <c r="D2108" s="7" t="s">
        <v>319</v>
      </c>
      <c r="E2108" s="7" t="s">
        <v>157</v>
      </c>
      <c r="F2108" s="7" t="s">
        <v>234</v>
      </c>
      <c r="G2108" s="7" t="s">
        <v>502</v>
      </c>
      <c r="H2108" s="6" t="n">
        <v>0.94</v>
      </c>
      <c r="I2108" s="6" t="n">
        <v>0</v>
      </c>
      <c r="J2108" s="40" t="n">
        <f aca="false">H2108-I2108</f>
        <v>0.94</v>
      </c>
      <c r="K2108" s="41" t="n">
        <v>165</v>
      </c>
      <c r="L2108" s="42" t="n">
        <f aca="false">J2108*K2108</f>
        <v>155.1</v>
      </c>
      <c r="M2108" s="43" t="n">
        <f aca="false">H2108*89.53*(1+'Chart of Accounts'!$E$67)</f>
        <v>96.361139</v>
      </c>
    </row>
    <row r="2109" customFormat="false" ht="15" hidden="false" customHeight="false" outlineLevel="0" collapsed="false">
      <c r="B2109" s="7" t="s">
        <v>2606</v>
      </c>
      <c r="C2109" s="39" t="n">
        <v>45765</v>
      </c>
      <c r="D2109" s="7" t="s">
        <v>321</v>
      </c>
      <c r="E2109" s="7" t="s">
        <v>154</v>
      </c>
      <c r="F2109" s="7" t="s">
        <v>218</v>
      </c>
      <c r="G2109" s="7" t="s">
        <v>505</v>
      </c>
      <c r="H2109" s="6" t="n">
        <v>3.88</v>
      </c>
      <c r="I2109" s="6" t="n">
        <v>0</v>
      </c>
      <c r="J2109" s="40" t="n">
        <f aca="false">H2109-I2109</f>
        <v>3.88</v>
      </c>
      <c r="K2109" s="41" t="n">
        <v>26.5</v>
      </c>
      <c r="L2109" s="42" t="n">
        <f aca="false">J2109*K2109</f>
        <v>102.82</v>
      </c>
      <c r="M2109" s="43" t="n">
        <f aca="false">H2109*16.19*(1+'Chart of Accounts'!$E$67)</f>
        <v>71.925694</v>
      </c>
    </row>
    <row r="2110" customFormat="false" ht="15" hidden="false" customHeight="false" outlineLevel="0" collapsed="false">
      <c r="B2110" s="7" t="s">
        <v>2607</v>
      </c>
      <c r="C2110" s="39" t="n">
        <v>45765</v>
      </c>
      <c r="D2110" s="7" t="s">
        <v>323</v>
      </c>
      <c r="E2110" s="7" t="s">
        <v>159</v>
      </c>
      <c r="F2110" s="7" t="s">
        <v>266</v>
      </c>
      <c r="G2110" s="7" t="s">
        <v>502</v>
      </c>
      <c r="H2110" s="6" t="n">
        <v>0.95</v>
      </c>
      <c r="I2110" s="6" t="n">
        <v>0</v>
      </c>
      <c r="J2110" s="40" t="n">
        <f aca="false">H2110-I2110</f>
        <v>0.95</v>
      </c>
      <c r="K2110" s="41" t="n">
        <v>135</v>
      </c>
      <c r="L2110" s="42" t="n">
        <f aca="false">J2110*K2110</f>
        <v>128.25</v>
      </c>
      <c r="M2110" s="43" t="n">
        <f aca="false">H2110*75.18*(1+'Chart of Accounts'!$E$67)</f>
        <v>81.777045</v>
      </c>
    </row>
    <row r="2111" customFormat="false" ht="15" hidden="false" customHeight="false" outlineLevel="0" collapsed="false">
      <c r="B2111" s="7" t="s">
        <v>2608</v>
      </c>
      <c r="C2111" s="39" t="n">
        <v>45765</v>
      </c>
      <c r="D2111" s="7" t="s">
        <v>327</v>
      </c>
      <c r="E2111" s="7" t="s">
        <v>157</v>
      </c>
      <c r="F2111" s="7" t="s">
        <v>228</v>
      </c>
      <c r="G2111" s="7" t="s">
        <v>502</v>
      </c>
      <c r="H2111" s="6" t="n">
        <v>1</v>
      </c>
      <c r="I2111" s="6" t="n">
        <v>0</v>
      </c>
      <c r="J2111" s="40" t="n">
        <f aca="false">H2111-I2111</f>
        <v>1</v>
      </c>
      <c r="K2111" s="41" t="n">
        <v>165</v>
      </c>
      <c r="L2111" s="42" t="n">
        <f aca="false">J2111*K2111</f>
        <v>165</v>
      </c>
      <c r="M2111" s="43" t="n">
        <f aca="false">H2111*51.07*(1+'Chart of Accounts'!$E$67)</f>
        <v>58.47515</v>
      </c>
    </row>
    <row r="2112" customFormat="false" ht="15" hidden="false" customHeight="false" outlineLevel="0" collapsed="false">
      <c r="B2112" s="7" t="s">
        <v>2609</v>
      </c>
      <c r="C2112" s="39" t="n">
        <v>45765</v>
      </c>
      <c r="D2112" s="7" t="s">
        <v>329</v>
      </c>
      <c r="E2112" s="7" t="s">
        <v>156</v>
      </c>
      <c r="F2112" s="7" t="s">
        <v>220</v>
      </c>
      <c r="G2112" s="7" t="s">
        <v>505</v>
      </c>
      <c r="H2112" s="6" t="n">
        <v>4.34</v>
      </c>
      <c r="I2112" s="6" t="n">
        <v>0</v>
      </c>
      <c r="J2112" s="40" t="n">
        <f aca="false">H2112-I2112</f>
        <v>4.34</v>
      </c>
      <c r="K2112" s="41" t="n">
        <v>34</v>
      </c>
      <c r="L2112" s="42" t="n">
        <f aca="false">J2112*K2112</f>
        <v>147.56</v>
      </c>
      <c r="M2112" s="43" t="n">
        <f aca="false">H2112*16.43*(1+'Chart of Accounts'!$E$67)</f>
        <v>81.645599</v>
      </c>
    </row>
    <row r="2113" customFormat="false" ht="15" hidden="false" customHeight="false" outlineLevel="0" collapsed="false">
      <c r="B2113" s="7" t="s">
        <v>2610</v>
      </c>
      <c r="C2113" s="39" t="n">
        <v>45765</v>
      </c>
      <c r="D2113" s="7" t="s">
        <v>335</v>
      </c>
      <c r="E2113" s="7" t="s">
        <v>154</v>
      </c>
      <c r="F2113" s="7" t="s">
        <v>177</v>
      </c>
      <c r="G2113" s="7" t="s">
        <v>505</v>
      </c>
      <c r="H2113" s="6" t="n">
        <v>4.27</v>
      </c>
      <c r="I2113" s="6" t="n">
        <v>0.128</v>
      </c>
      <c r="J2113" s="40" t="n">
        <f aca="false">H2113-I2113</f>
        <v>4.142</v>
      </c>
      <c r="K2113" s="41" t="n">
        <v>26.5</v>
      </c>
      <c r="L2113" s="42" t="n">
        <f aca="false">J2113*K2113</f>
        <v>109.763</v>
      </c>
      <c r="M2113" s="43" t="n">
        <f aca="false">H2113*14.56*(1+'Chart of Accounts'!$E$67)</f>
        <v>71.186024</v>
      </c>
    </row>
    <row r="2114" customFormat="false" ht="15" hidden="false" customHeight="false" outlineLevel="0" collapsed="false">
      <c r="B2114" s="7" t="s">
        <v>2611</v>
      </c>
      <c r="C2114" s="39" t="n">
        <v>45765</v>
      </c>
      <c r="D2114" s="7" t="s">
        <v>339</v>
      </c>
      <c r="E2114" s="7" t="s">
        <v>154</v>
      </c>
      <c r="F2114" s="7" t="s">
        <v>242</v>
      </c>
      <c r="G2114" s="7" t="s">
        <v>505</v>
      </c>
      <c r="H2114" s="6" t="n">
        <v>3.41</v>
      </c>
      <c r="I2114" s="6" t="n">
        <v>0</v>
      </c>
      <c r="J2114" s="40" t="n">
        <f aca="false">H2114-I2114</f>
        <v>3.41</v>
      </c>
      <c r="K2114" s="41" t="n">
        <v>26.5</v>
      </c>
      <c r="L2114" s="42" t="n">
        <f aca="false">J2114*K2114</f>
        <v>90.365</v>
      </c>
      <c r="M2114" s="43" t="n">
        <f aca="false">H2114*17.99*(1+'Chart of Accounts'!$E$67)</f>
        <v>70.2410555</v>
      </c>
    </row>
    <row r="2115" customFormat="false" ht="15" hidden="false" customHeight="false" outlineLevel="0" collapsed="false">
      <c r="B2115" s="7" t="s">
        <v>2612</v>
      </c>
      <c r="C2115" s="39" t="n">
        <v>45765</v>
      </c>
      <c r="D2115" s="7" t="s">
        <v>353</v>
      </c>
      <c r="E2115" s="7" t="s">
        <v>154</v>
      </c>
      <c r="F2115" s="7" t="s">
        <v>254</v>
      </c>
      <c r="G2115" s="7" t="s">
        <v>505</v>
      </c>
      <c r="H2115" s="6" t="n">
        <v>3.55</v>
      </c>
      <c r="I2115" s="6" t="n">
        <v>0.106</v>
      </c>
      <c r="J2115" s="40" t="n">
        <f aca="false">H2115-I2115</f>
        <v>3.444</v>
      </c>
      <c r="K2115" s="41" t="n">
        <v>26.5</v>
      </c>
      <c r="L2115" s="42" t="n">
        <f aca="false">J2115*K2115</f>
        <v>91.266</v>
      </c>
      <c r="M2115" s="43" t="n">
        <f aca="false">H2115*17.1*(1+'Chart of Accounts'!$E$67)</f>
        <v>69.507225</v>
      </c>
    </row>
    <row r="2116" customFormat="false" ht="15" hidden="false" customHeight="false" outlineLevel="0" collapsed="false">
      <c r="B2116" s="7" t="s">
        <v>2613</v>
      </c>
      <c r="C2116" s="39" t="n">
        <v>45765</v>
      </c>
      <c r="D2116" s="7" t="s">
        <v>355</v>
      </c>
      <c r="E2116" s="7" t="s">
        <v>154</v>
      </c>
      <c r="F2116" s="7" t="s">
        <v>201</v>
      </c>
      <c r="G2116" s="7" t="s">
        <v>505</v>
      </c>
      <c r="H2116" s="6" t="n">
        <v>3.42</v>
      </c>
      <c r="I2116" s="6" t="n">
        <v>0</v>
      </c>
      <c r="J2116" s="40" t="n">
        <f aca="false">H2116-I2116</f>
        <v>3.42</v>
      </c>
      <c r="K2116" s="41" t="n">
        <v>26.5</v>
      </c>
      <c r="L2116" s="42" t="n">
        <f aca="false">J2116*K2116</f>
        <v>90.63</v>
      </c>
      <c r="M2116" s="43" t="n">
        <f aca="false">H2116*15.19*(1+'Chart of Accounts'!$E$67)</f>
        <v>59.482521</v>
      </c>
    </row>
    <row r="2117" customFormat="false" ht="15" hidden="false" customHeight="false" outlineLevel="0" collapsed="false">
      <c r="B2117" s="7" t="s">
        <v>2614</v>
      </c>
      <c r="C2117" s="39" t="n">
        <v>45765</v>
      </c>
      <c r="D2117" s="7" t="s">
        <v>357</v>
      </c>
      <c r="E2117" s="7" t="s">
        <v>154</v>
      </c>
      <c r="F2117" s="7" t="s">
        <v>207</v>
      </c>
      <c r="G2117" s="7" t="s">
        <v>505</v>
      </c>
      <c r="H2117" s="6" t="n">
        <v>3.1</v>
      </c>
      <c r="I2117" s="6" t="n">
        <v>0</v>
      </c>
      <c r="J2117" s="40" t="n">
        <f aca="false">H2117-I2117</f>
        <v>3.1</v>
      </c>
      <c r="K2117" s="41" t="n">
        <v>26.5</v>
      </c>
      <c r="L2117" s="42" t="n">
        <f aca="false">J2117*K2117</f>
        <v>82.15</v>
      </c>
      <c r="M2117" s="43" t="n">
        <f aca="false">H2117*16.65*(1+'Chart of Accounts'!$E$67)</f>
        <v>59.099175</v>
      </c>
    </row>
    <row r="2118" customFormat="false" ht="15" hidden="false" customHeight="false" outlineLevel="0" collapsed="false">
      <c r="B2118" s="7" t="s">
        <v>2615</v>
      </c>
      <c r="C2118" s="39" t="n">
        <v>45765</v>
      </c>
      <c r="D2118" s="7" t="s">
        <v>359</v>
      </c>
      <c r="E2118" s="7" t="s">
        <v>156</v>
      </c>
      <c r="F2118" s="7" t="s">
        <v>212</v>
      </c>
      <c r="G2118" s="7" t="s">
        <v>505</v>
      </c>
      <c r="H2118" s="6" t="n">
        <v>4</v>
      </c>
      <c r="I2118" s="6" t="n">
        <v>0</v>
      </c>
      <c r="J2118" s="40" t="n">
        <f aca="false">H2118-I2118</f>
        <v>4</v>
      </c>
      <c r="K2118" s="41" t="n">
        <v>34</v>
      </c>
      <c r="L2118" s="42" t="n">
        <f aca="false">J2118*K2118</f>
        <v>136</v>
      </c>
      <c r="M2118" s="43" t="n">
        <f aca="false">H2118*16.71*(1+'Chart of Accounts'!$E$67)</f>
        <v>76.5318</v>
      </c>
    </row>
    <row r="2119" customFormat="false" ht="15" hidden="false" customHeight="false" outlineLevel="0" collapsed="false">
      <c r="B2119" s="7" t="s">
        <v>2616</v>
      </c>
      <c r="C2119" s="39" t="n">
        <v>45765</v>
      </c>
      <c r="D2119" s="7" t="s">
        <v>361</v>
      </c>
      <c r="E2119" s="7" t="s">
        <v>157</v>
      </c>
      <c r="F2119" s="7" t="s">
        <v>209</v>
      </c>
      <c r="G2119" s="7" t="s">
        <v>502</v>
      </c>
      <c r="H2119" s="6" t="n">
        <v>1.03</v>
      </c>
      <c r="I2119" s="6" t="n">
        <v>0.052</v>
      </c>
      <c r="J2119" s="40" t="n">
        <f aca="false">H2119-I2119</f>
        <v>0.978</v>
      </c>
      <c r="K2119" s="41" t="n">
        <v>165</v>
      </c>
      <c r="L2119" s="42" t="n">
        <f aca="false">J2119*K2119</f>
        <v>161.37</v>
      </c>
      <c r="M2119" s="43" t="n">
        <f aca="false">H2119*73.58*(1+'Chart of Accounts'!$E$67)</f>
        <v>86.776573</v>
      </c>
    </row>
    <row r="2120" customFormat="false" ht="15" hidden="false" customHeight="false" outlineLevel="0" collapsed="false">
      <c r="B2120" s="7" t="s">
        <v>2617</v>
      </c>
      <c r="C2120" s="39" t="n">
        <v>45765</v>
      </c>
      <c r="D2120" s="7" t="s">
        <v>365</v>
      </c>
      <c r="E2120" s="7" t="s">
        <v>154</v>
      </c>
      <c r="F2120" s="7" t="s">
        <v>194</v>
      </c>
      <c r="G2120" s="7" t="s">
        <v>505</v>
      </c>
      <c r="H2120" s="6" t="n">
        <v>4.28</v>
      </c>
      <c r="I2120" s="6" t="n">
        <v>0</v>
      </c>
      <c r="J2120" s="40" t="n">
        <f aca="false">H2120-I2120</f>
        <v>4.28</v>
      </c>
      <c r="K2120" s="41" t="n">
        <v>26.5</v>
      </c>
      <c r="L2120" s="42" t="n">
        <f aca="false">J2120*K2120</f>
        <v>113.42</v>
      </c>
      <c r="M2120" s="43" t="n">
        <f aca="false">H2120*16*(1+'Chart of Accounts'!$E$67)</f>
        <v>78.4096</v>
      </c>
    </row>
    <row r="2121" customFormat="false" ht="15" hidden="false" customHeight="false" outlineLevel="0" collapsed="false">
      <c r="B2121" s="7" t="s">
        <v>2618</v>
      </c>
      <c r="C2121" s="39" t="n">
        <v>45765</v>
      </c>
      <c r="D2121" s="7" t="s">
        <v>371</v>
      </c>
      <c r="E2121" s="7" t="s">
        <v>154</v>
      </c>
      <c r="F2121" s="7" t="s">
        <v>232</v>
      </c>
      <c r="G2121" s="7" t="s">
        <v>505</v>
      </c>
      <c r="H2121" s="6" t="n">
        <v>4.92</v>
      </c>
      <c r="I2121" s="6" t="n">
        <v>0</v>
      </c>
      <c r="J2121" s="40" t="n">
        <f aca="false">H2121-I2121</f>
        <v>4.92</v>
      </c>
      <c r="K2121" s="41" t="n">
        <v>26.5</v>
      </c>
      <c r="L2121" s="42" t="n">
        <f aca="false">J2121*K2121</f>
        <v>130.38</v>
      </c>
      <c r="M2121" s="43" t="n">
        <f aca="false">H2121*16.17*(1+'Chart of Accounts'!$E$67)</f>
        <v>91.092078</v>
      </c>
    </row>
    <row r="2122" customFormat="false" ht="15" hidden="false" customHeight="false" outlineLevel="0" collapsed="false">
      <c r="B2122" s="7" t="s">
        <v>2619</v>
      </c>
      <c r="C2122" s="39" t="n">
        <v>45765</v>
      </c>
      <c r="D2122" s="7" t="s">
        <v>379</v>
      </c>
      <c r="E2122" s="7" t="s">
        <v>156</v>
      </c>
      <c r="F2122" s="7" t="s">
        <v>224</v>
      </c>
      <c r="G2122" s="7" t="s">
        <v>505</v>
      </c>
      <c r="H2122" s="6" t="n">
        <v>4.52</v>
      </c>
      <c r="I2122" s="6" t="n">
        <v>0</v>
      </c>
      <c r="J2122" s="40" t="n">
        <f aca="false">H2122-I2122</f>
        <v>4.52</v>
      </c>
      <c r="K2122" s="41" t="n">
        <v>34</v>
      </c>
      <c r="L2122" s="42" t="n">
        <f aca="false">J2122*K2122</f>
        <v>153.68</v>
      </c>
      <c r="M2122" s="43" t="n">
        <f aca="false">H2122*14.93*(1+'Chart of Accounts'!$E$67)</f>
        <v>77.268722</v>
      </c>
    </row>
    <row r="2123" customFormat="false" ht="15" hidden="false" customHeight="false" outlineLevel="0" collapsed="false">
      <c r="B2123" s="7" t="s">
        <v>2620</v>
      </c>
      <c r="C2123" s="39" t="n">
        <v>45765</v>
      </c>
      <c r="D2123" s="7" t="s">
        <v>381</v>
      </c>
      <c r="E2123" s="7" t="s">
        <v>157</v>
      </c>
      <c r="F2123" s="7" t="s">
        <v>234</v>
      </c>
      <c r="G2123" s="7" t="s">
        <v>502</v>
      </c>
      <c r="H2123" s="6" t="n">
        <v>0.97</v>
      </c>
      <c r="I2123" s="6" t="n">
        <v>0</v>
      </c>
      <c r="J2123" s="40" t="n">
        <f aca="false">H2123-I2123</f>
        <v>0.97</v>
      </c>
      <c r="K2123" s="41" t="n">
        <v>165</v>
      </c>
      <c r="L2123" s="42" t="n">
        <f aca="false">J2123*K2123</f>
        <v>160.05</v>
      </c>
      <c r="M2123" s="43" t="n">
        <f aca="false">H2123*89.53*(1+'Chart of Accounts'!$E$67)</f>
        <v>99.4364945</v>
      </c>
    </row>
    <row r="2124" customFormat="false" ht="15" hidden="false" customHeight="false" outlineLevel="0" collapsed="false">
      <c r="B2124" s="7" t="s">
        <v>2621</v>
      </c>
      <c r="C2124" s="39" t="n">
        <v>45765</v>
      </c>
      <c r="D2124" s="7" t="s">
        <v>385</v>
      </c>
      <c r="E2124" s="7" t="s">
        <v>156</v>
      </c>
      <c r="F2124" s="7" t="s">
        <v>238</v>
      </c>
      <c r="G2124" s="7" t="s">
        <v>505</v>
      </c>
      <c r="H2124" s="6" t="n">
        <v>4.13</v>
      </c>
      <c r="I2124" s="6" t="n">
        <v>0</v>
      </c>
      <c r="J2124" s="40" t="n">
        <f aca="false">H2124-I2124</f>
        <v>4.13</v>
      </c>
      <c r="K2124" s="41" t="n">
        <v>34</v>
      </c>
      <c r="L2124" s="42" t="n">
        <f aca="false">J2124*K2124</f>
        <v>140.42</v>
      </c>
      <c r="M2124" s="43" t="n">
        <f aca="false">H2124*15.85*(1+'Chart of Accounts'!$E$67)</f>
        <v>74.9522725</v>
      </c>
    </row>
    <row r="2125" customFormat="false" ht="15" hidden="false" customHeight="false" outlineLevel="0" collapsed="false">
      <c r="B2125" s="7" t="s">
        <v>2622</v>
      </c>
      <c r="C2125" s="39" t="n">
        <v>45765</v>
      </c>
      <c r="D2125" s="7" t="s">
        <v>389</v>
      </c>
      <c r="E2125" s="7" t="s">
        <v>154</v>
      </c>
      <c r="F2125" s="7" t="s">
        <v>246</v>
      </c>
      <c r="G2125" s="7" t="s">
        <v>505</v>
      </c>
      <c r="H2125" s="6" t="n">
        <v>3.94</v>
      </c>
      <c r="I2125" s="6" t="n">
        <v>0</v>
      </c>
      <c r="J2125" s="40" t="n">
        <f aca="false">H2125-I2125</f>
        <v>3.94</v>
      </c>
      <c r="K2125" s="41" t="n">
        <v>26.5</v>
      </c>
      <c r="L2125" s="42" t="n">
        <f aca="false">J2125*K2125</f>
        <v>104.41</v>
      </c>
      <c r="M2125" s="43" t="n">
        <f aca="false">H2125*16.48*(1+'Chart of Accounts'!$E$67)</f>
        <v>74.346224</v>
      </c>
    </row>
    <row r="2126" customFormat="false" ht="15" hidden="false" customHeight="false" outlineLevel="0" collapsed="false">
      <c r="B2126" s="7" t="s">
        <v>2623</v>
      </c>
      <c r="C2126" s="39" t="n">
        <v>45765</v>
      </c>
      <c r="D2126" s="7" t="s">
        <v>391</v>
      </c>
      <c r="E2126" s="7" t="s">
        <v>156</v>
      </c>
      <c r="F2126" s="7" t="s">
        <v>222</v>
      </c>
      <c r="G2126" s="7" t="s">
        <v>505</v>
      </c>
      <c r="H2126" s="6" t="n">
        <v>3.93</v>
      </c>
      <c r="I2126" s="6" t="n">
        <v>0</v>
      </c>
      <c r="J2126" s="40" t="n">
        <f aca="false">H2126-I2126</f>
        <v>3.93</v>
      </c>
      <c r="K2126" s="41" t="n">
        <v>34</v>
      </c>
      <c r="L2126" s="42" t="n">
        <f aca="false">J2126*K2126</f>
        <v>133.62</v>
      </c>
      <c r="M2126" s="43" t="n">
        <f aca="false">H2126*17.84*(1+'Chart of Accounts'!$E$67)</f>
        <v>80.277324</v>
      </c>
    </row>
    <row r="2127" customFormat="false" ht="15" hidden="false" customHeight="false" outlineLevel="0" collapsed="false">
      <c r="B2127" s="7" t="s">
        <v>2624</v>
      </c>
      <c r="C2127" s="39" t="n">
        <v>45765</v>
      </c>
      <c r="D2127" s="7" t="s">
        <v>395</v>
      </c>
      <c r="E2127" s="7" t="s">
        <v>156</v>
      </c>
      <c r="F2127" s="7" t="s">
        <v>242</v>
      </c>
      <c r="G2127" s="7" t="s">
        <v>505</v>
      </c>
      <c r="H2127" s="6" t="n">
        <v>4.28</v>
      </c>
      <c r="I2127" s="6" t="n">
        <v>0</v>
      </c>
      <c r="J2127" s="40" t="n">
        <f aca="false">H2127-I2127</f>
        <v>4.28</v>
      </c>
      <c r="K2127" s="41" t="n">
        <v>34</v>
      </c>
      <c r="L2127" s="42" t="n">
        <f aca="false">J2127*K2127</f>
        <v>145.52</v>
      </c>
      <c r="M2127" s="43" t="n">
        <f aca="false">H2127*17.99*(1+'Chart of Accounts'!$E$67)</f>
        <v>88.161794</v>
      </c>
    </row>
    <row r="2128" customFormat="false" ht="15" hidden="false" customHeight="false" outlineLevel="0" collapsed="false">
      <c r="B2128" s="7" t="s">
        <v>2625</v>
      </c>
      <c r="C2128" s="39" t="n">
        <v>45765</v>
      </c>
      <c r="D2128" s="7" t="s">
        <v>397</v>
      </c>
      <c r="E2128" s="7" t="s">
        <v>159</v>
      </c>
      <c r="F2128" s="7" t="s">
        <v>203</v>
      </c>
      <c r="G2128" s="7" t="s">
        <v>502</v>
      </c>
      <c r="H2128" s="6" t="n">
        <v>0.91</v>
      </c>
      <c r="I2128" s="6" t="n">
        <v>0.064</v>
      </c>
      <c r="J2128" s="40" t="n">
        <f aca="false">H2128-I2128</f>
        <v>0.846</v>
      </c>
      <c r="K2128" s="41" t="n">
        <v>135</v>
      </c>
      <c r="L2128" s="42" t="n">
        <f aca="false">J2128*K2128</f>
        <v>114.21</v>
      </c>
      <c r="M2128" s="43" t="n">
        <f aca="false">H2128*49.43*(1+'Chart of Accounts'!$E$67)</f>
        <v>51.5035885</v>
      </c>
    </row>
    <row r="2129" customFormat="false" ht="15" hidden="false" customHeight="false" outlineLevel="0" collapsed="false">
      <c r="B2129" s="7" t="s">
        <v>2626</v>
      </c>
      <c r="C2129" s="39" t="n">
        <v>45765</v>
      </c>
      <c r="D2129" s="7" t="s">
        <v>399</v>
      </c>
      <c r="E2129" s="7" t="s">
        <v>154</v>
      </c>
      <c r="F2129" s="7" t="s">
        <v>262</v>
      </c>
      <c r="G2129" s="7" t="s">
        <v>505</v>
      </c>
      <c r="H2129" s="6" t="n">
        <v>3.54</v>
      </c>
      <c r="I2129" s="6" t="n">
        <v>0.106</v>
      </c>
      <c r="J2129" s="40" t="n">
        <f aca="false">H2129-I2129</f>
        <v>3.434</v>
      </c>
      <c r="K2129" s="41" t="n">
        <v>26.5</v>
      </c>
      <c r="L2129" s="42" t="n">
        <f aca="false">J2129*K2129</f>
        <v>91.001</v>
      </c>
      <c r="M2129" s="43" t="n">
        <f aca="false">H2129*16.02*(1+'Chart of Accounts'!$E$67)</f>
        <v>64.933866</v>
      </c>
    </row>
    <row r="2130" customFormat="false" ht="15" hidden="false" customHeight="false" outlineLevel="0" collapsed="false">
      <c r="B2130" s="7" t="s">
        <v>2627</v>
      </c>
      <c r="C2130" s="39" t="n">
        <v>45765</v>
      </c>
      <c r="D2130" s="7" t="s">
        <v>401</v>
      </c>
      <c r="E2130" s="7" t="s">
        <v>156</v>
      </c>
      <c r="F2130" s="7" t="s">
        <v>254</v>
      </c>
      <c r="G2130" s="7" t="s">
        <v>505</v>
      </c>
      <c r="H2130" s="6" t="n">
        <v>3.85</v>
      </c>
      <c r="I2130" s="6" t="n">
        <v>0</v>
      </c>
      <c r="J2130" s="40" t="n">
        <f aca="false">H2130-I2130</f>
        <v>3.85</v>
      </c>
      <c r="K2130" s="41" t="n">
        <v>34</v>
      </c>
      <c r="L2130" s="42" t="n">
        <f aca="false">J2130*K2130</f>
        <v>130.9</v>
      </c>
      <c r="M2130" s="43" t="n">
        <f aca="false">H2130*17.1*(1+'Chart of Accounts'!$E$67)</f>
        <v>75.381075</v>
      </c>
    </row>
    <row r="2131" customFormat="false" ht="15" hidden="false" customHeight="false" outlineLevel="0" collapsed="false">
      <c r="B2131" s="7" t="s">
        <v>2628</v>
      </c>
      <c r="C2131" s="39" t="n">
        <v>45765</v>
      </c>
      <c r="D2131" s="7" t="s">
        <v>407</v>
      </c>
      <c r="E2131" s="7" t="s">
        <v>159</v>
      </c>
      <c r="F2131" s="7" t="s">
        <v>260</v>
      </c>
      <c r="G2131" s="7" t="s">
        <v>502</v>
      </c>
      <c r="H2131" s="6" t="n">
        <v>0.91</v>
      </c>
      <c r="I2131" s="6" t="n">
        <v>0</v>
      </c>
      <c r="J2131" s="40" t="n">
        <f aca="false">H2131-I2131</f>
        <v>0.91</v>
      </c>
      <c r="K2131" s="41" t="n">
        <v>135</v>
      </c>
      <c r="L2131" s="42" t="n">
        <f aca="false">J2131*K2131</f>
        <v>122.85</v>
      </c>
      <c r="M2131" s="43" t="n">
        <f aca="false">H2131*79.8*(1+'Chart of Accounts'!$E$67)</f>
        <v>83.14761</v>
      </c>
    </row>
    <row r="2132" customFormat="false" ht="15" hidden="false" customHeight="false" outlineLevel="0" collapsed="false">
      <c r="B2132" s="7" t="s">
        <v>2629</v>
      </c>
      <c r="C2132" s="39" t="n">
        <v>45765</v>
      </c>
      <c r="D2132" s="7" t="s">
        <v>409</v>
      </c>
      <c r="E2132" s="7" t="s">
        <v>154</v>
      </c>
      <c r="F2132" s="7" t="s">
        <v>214</v>
      </c>
      <c r="G2132" s="7" t="s">
        <v>505</v>
      </c>
      <c r="H2132" s="6" t="n">
        <v>3.43</v>
      </c>
      <c r="I2132" s="6" t="n">
        <v>0.103</v>
      </c>
      <c r="J2132" s="40" t="n">
        <f aca="false">H2132-I2132</f>
        <v>3.327</v>
      </c>
      <c r="K2132" s="41" t="n">
        <v>26.5</v>
      </c>
      <c r="L2132" s="42" t="n">
        <f aca="false">J2132*K2132</f>
        <v>88.1655</v>
      </c>
      <c r="M2132" s="43" t="n">
        <f aca="false">H2132*15.67*(1+'Chart of Accounts'!$E$67)</f>
        <v>61.5415745</v>
      </c>
    </row>
    <row r="2133" customFormat="false" ht="15" hidden="false" customHeight="false" outlineLevel="0" collapsed="false">
      <c r="B2133" s="7" t="s">
        <v>2630</v>
      </c>
      <c r="C2133" s="39" t="n">
        <v>45765</v>
      </c>
      <c r="D2133" s="7" t="s">
        <v>411</v>
      </c>
      <c r="E2133" s="7" t="s">
        <v>154</v>
      </c>
      <c r="F2133" s="7" t="s">
        <v>177</v>
      </c>
      <c r="G2133" s="7" t="s">
        <v>505</v>
      </c>
      <c r="H2133" s="6" t="n">
        <v>4.79</v>
      </c>
      <c r="I2133" s="6" t="n">
        <v>0</v>
      </c>
      <c r="J2133" s="40" t="n">
        <f aca="false">H2133-I2133</f>
        <v>4.79</v>
      </c>
      <c r="K2133" s="41" t="n">
        <v>26.5</v>
      </c>
      <c r="L2133" s="42" t="n">
        <f aca="false">J2133*K2133</f>
        <v>126.935</v>
      </c>
      <c r="M2133" s="43" t="n">
        <f aca="false">H2133*14.56*(1+'Chart of Accounts'!$E$67)</f>
        <v>79.855048</v>
      </c>
    </row>
    <row r="2134" customFormat="false" ht="15" hidden="false" customHeight="false" outlineLevel="0" collapsed="false">
      <c r="B2134" s="7" t="s">
        <v>2631</v>
      </c>
      <c r="C2134" s="39" t="n">
        <v>45766</v>
      </c>
      <c r="D2134" s="7" t="s">
        <v>288</v>
      </c>
      <c r="E2134" s="7" t="s">
        <v>156</v>
      </c>
      <c r="F2134" s="7" t="s">
        <v>191</v>
      </c>
      <c r="G2134" s="7" t="s">
        <v>505</v>
      </c>
      <c r="H2134" s="6" t="n">
        <v>4.02</v>
      </c>
      <c r="I2134" s="6" t="n">
        <v>0</v>
      </c>
      <c r="J2134" s="40" t="n">
        <f aca="false">H2134-I2134</f>
        <v>4.02</v>
      </c>
      <c r="K2134" s="41" t="n">
        <v>34</v>
      </c>
      <c r="L2134" s="42" t="n">
        <f aca="false">J2134*K2134</f>
        <v>136.68</v>
      </c>
      <c r="M2134" s="43" t="n">
        <f aca="false">H2134*16.05*(1+'Chart of Accounts'!$E$67)</f>
        <v>73.876545</v>
      </c>
    </row>
    <row r="2135" customFormat="false" ht="15" hidden="false" customHeight="false" outlineLevel="0" collapsed="false">
      <c r="B2135" s="7" t="s">
        <v>2632</v>
      </c>
      <c r="C2135" s="39" t="n">
        <v>45766</v>
      </c>
      <c r="D2135" s="7" t="s">
        <v>321</v>
      </c>
      <c r="E2135" s="7" t="s">
        <v>154</v>
      </c>
      <c r="F2135" s="7" t="s">
        <v>218</v>
      </c>
      <c r="G2135" s="7" t="s">
        <v>505</v>
      </c>
      <c r="H2135" s="6" t="n">
        <v>4.14</v>
      </c>
      <c r="I2135" s="6" t="n">
        <v>0</v>
      </c>
      <c r="J2135" s="40" t="n">
        <f aca="false">H2135-I2135</f>
        <v>4.14</v>
      </c>
      <c r="K2135" s="41" t="n">
        <v>26.5</v>
      </c>
      <c r="L2135" s="42" t="n">
        <f aca="false">J2135*K2135</f>
        <v>109.71</v>
      </c>
      <c r="M2135" s="43" t="n">
        <f aca="false">H2135*16.19*(1+'Chart of Accounts'!$E$67)</f>
        <v>76.745457</v>
      </c>
    </row>
    <row r="2136" customFormat="false" ht="15" hidden="false" customHeight="false" outlineLevel="0" collapsed="false">
      <c r="B2136" s="7" t="s">
        <v>2633</v>
      </c>
      <c r="C2136" s="39" t="n">
        <v>45766</v>
      </c>
      <c r="D2136" s="7" t="s">
        <v>359</v>
      </c>
      <c r="E2136" s="7" t="s">
        <v>156</v>
      </c>
      <c r="F2136" s="7" t="s">
        <v>212</v>
      </c>
      <c r="G2136" s="7" t="s">
        <v>505</v>
      </c>
      <c r="H2136" s="6" t="n">
        <v>4.19</v>
      </c>
      <c r="I2136" s="6" t="n">
        <v>0</v>
      </c>
      <c r="J2136" s="40" t="n">
        <f aca="false">H2136-I2136</f>
        <v>4.19</v>
      </c>
      <c r="K2136" s="41" t="n">
        <v>34</v>
      </c>
      <c r="L2136" s="42" t="n">
        <f aca="false">J2136*K2136</f>
        <v>142.46</v>
      </c>
      <c r="M2136" s="43" t="n">
        <f aca="false">H2136*16.71*(1+'Chart of Accounts'!$E$67)</f>
        <v>80.1670605</v>
      </c>
    </row>
    <row r="2137" customFormat="false" ht="15" hidden="false" customHeight="false" outlineLevel="0" collapsed="false">
      <c r="B2137" s="7" t="s">
        <v>2634</v>
      </c>
      <c r="C2137" s="39" t="n">
        <v>45766</v>
      </c>
      <c r="D2137" s="7" t="s">
        <v>391</v>
      </c>
      <c r="E2137" s="7" t="s">
        <v>156</v>
      </c>
      <c r="F2137" s="7" t="s">
        <v>222</v>
      </c>
      <c r="G2137" s="7" t="s">
        <v>505</v>
      </c>
      <c r="H2137" s="6" t="n">
        <v>3.82</v>
      </c>
      <c r="I2137" s="6" t="n">
        <v>0</v>
      </c>
      <c r="J2137" s="40" t="n">
        <f aca="false">H2137-I2137</f>
        <v>3.82</v>
      </c>
      <c r="K2137" s="41" t="n">
        <v>34</v>
      </c>
      <c r="L2137" s="42" t="n">
        <f aca="false">J2137*K2137</f>
        <v>129.88</v>
      </c>
      <c r="M2137" s="43" t="n">
        <f aca="false">H2137*17.84*(1+'Chart of Accounts'!$E$67)</f>
        <v>78.030376</v>
      </c>
    </row>
    <row r="2138" customFormat="false" ht="15" hidden="false" customHeight="false" outlineLevel="0" collapsed="false">
      <c r="B2138" s="7" t="s">
        <v>2635</v>
      </c>
      <c r="C2138" s="39" t="n">
        <v>45766</v>
      </c>
      <c r="D2138" s="7" t="s">
        <v>395</v>
      </c>
      <c r="E2138" s="7" t="s">
        <v>156</v>
      </c>
      <c r="F2138" s="7" t="s">
        <v>242</v>
      </c>
      <c r="G2138" s="7" t="s">
        <v>505</v>
      </c>
      <c r="H2138" s="6" t="n">
        <v>4.16</v>
      </c>
      <c r="I2138" s="6" t="n">
        <v>0</v>
      </c>
      <c r="J2138" s="40" t="n">
        <f aca="false">H2138-I2138</f>
        <v>4.16</v>
      </c>
      <c r="K2138" s="41" t="n">
        <v>34</v>
      </c>
      <c r="L2138" s="42" t="n">
        <f aca="false">J2138*K2138</f>
        <v>141.44</v>
      </c>
      <c r="M2138" s="43" t="n">
        <f aca="false">H2138*17.99*(1+'Chart of Accounts'!$E$67)</f>
        <v>85.689968</v>
      </c>
    </row>
    <row r="2139" customFormat="false" ht="15" hidden="false" customHeight="false" outlineLevel="0" collapsed="false">
      <c r="B2139" s="7" t="s">
        <v>2636</v>
      </c>
      <c r="C2139" s="39" t="n">
        <v>45766</v>
      </c>
      <c r="D2139" s="7" t="s">
        <v>401</v>
      </c>
      <c r="E2139" s="7" t="s">
        <v>156</v>
      </c>
      <c r="F2139" s="7" t="s">
        <v>254</v>
      </c>
      <c r="G2139" s="7" t="s">
        <v>505</v>
      </c>
      <c r="H2139" s="6" t="n">
        <v>4.04</v>
      </c>
      <c r="I2139" s="6" t="n">
        <v>0</v>
      </c>
      <c r="J2139" s="40" t="n">
        <f aca="false">H2139-I2139</f>
        <v>4.04</v>
      </c>
      <c r="K2139" s="41" t="n">
        <v>34</v>
      </c>
      <c r="L2139" s="42" t="n">
        <f aca="false">J2139*K2139</f>
        <v>137.36</v>
      </c>
      <c r="M2139" s="43" t="n">
        <f aca="false">H2139*17.1*(1+'Chart of Accounts'!$E$67)</f>
        <v>79.10118</v>
      </c>
    </row>
    <row r="2140" customFormat="false" ht="15" hidden="false" customHeight="false" outlineLevel="0" collapsed="false">
      <c r="B2140" s="7" t="s">
        <v>2637</v>
      </c>
      <c r="C2140" s="39" t="n">
        <v>45767</v>
      </c>
      <c r="D2140" s="7" t="s">
        <v>288</v>
      </c>
      <c r="E2140" s="7" t="s">
        <v>156</v>
      </c>
      <c r="F2140" s="7" t="s">
        <v>191</v>
      </c>
      <c r="G2140" s="7" t="s">
        <v>505</v>
      </c>
      <c r="H2140" s="6" t="n">
        <v>4.16</v>
      </c>
      <c r="I2140" s="6" t="n">
        <v>0</v>
      </c>
      <c r="J2140" s="40" t="n">
        <f aca="false">H2140-I2140</f>
        <v>4.16</v>
      </c>
      <c r="K2140" s="41" t="n">
        <v>34</v>
      </c>
      <c r="L2140" s="42" t="n">
        <f aca="false">J2140*K2140</f>
        <v>141.44</v>
      </c>
      <c r="M2140" s="43" t="n">
        <f aca="false">H2140*16.05*(1+'Chart of Accounts'!$E$67)</f>
        <v>76.44936</v>
      </c>
    </row>
    <row r="2141" customFormat="false" ht="15" hidden="false" customHeight="false" outlineLevel="0" collapsed="false">
      <c r="B2141" s="7" t="s">
        <v>2638</v>
      </c>
      <c r="C2141" s="39" t="n">
        <v>45767</v>
      </c>
      <c r="D2141" s="7" t="s">
        <v>321</v>
      </c>
      <c r="E2141" s="7" t="s">
        <v>154</v>
      </c>
      <c r="F2141" s="7" t="s">
        <v>218</v>
      </c>
      <c r="G2141" s="7" t="s">
        <v>505</v>
      </c>
      <c r="H2141" s="6" t="n">
        <v>3.92</v>
      </c>
      <c r="I2141" s="6" t="n">
        <v>0</v>
      </c>
      <c r="J2141" s="40" t="n">
        <f aca="false">H2141-I2141</f>
        <v>3.92</v>
      </c>
      <c r="K2141" s="41" t="n">
        <v>26.5</v>
      </c>
      <c r="L2141" s="42" t="n">
        <f aca="false">J2141*K2141</f>
        <v>103.88</v>
      </c>
      <c r="M2141" s="43" t="n">
        <f aca="false">H2141*16.19*(1+'Chart of Accounts'!$E$67)</f>
        <v>72.667196</v>
      </c>
    </row>
    <row r="2142" customFormat="false" ht="15" hidden="false" customHeight="false" outlineLevel="0" collapsed="false">
      <c r="B2142" s="7" t="s">
        <v>2639</v>
      </c>
      <c r="C2142" s="39" t="n">
        <v>45767</v>
      </c>
      <c r="D2142" s="7" t="s">
        <v>359</v>
      </c>
      <c r="E2142" s="7" t="s">
        <v>156</v>
      </c>
      <c r="F2142" s="7" t="s">
        <v>212</v>
      </c>
      <c r="G2142" s="7" t="s">
        <v>505</v>
      </c>
      <c r="H2142" s="6" t="n">
        <v>3.63</v>
      </c>
      <c r="I2142" s="6" t="n">
        <v>0</v>
      </c>
      <c r="J2142" s="40" t="n">
        <f aca="false">H2142-I2142</f>
        <v>3.63</v>
      </c>
      <c r="K2142" s="41" t="n">
        <v>34</v>
      </c>
      <c r="L2142" s="42" t="n">
        <f aca="false">J2142*K2142</f>
        <v>123.42</v>
      </c>
      <c r="M2142" s="43" t="n">
        <f aca="false">H2142*16.71*(1+'Chart of Accounts'!$E$67)</f>
        <v>69.4526085</v>
      </c>
    </row>
    <row r="2143" customFormat="false" ht="15" hidden="false" customHeight="false" outlineLevel="0" collapsed="false">
      <c r="B2143" s="7" t="s">
        <v>2640</v>
      </c>
      <c r="C2143" s="39" t="n">
        <v>45767</v>
      </c>
      <c r="D2143" s="7" t="s">
        <v>391</v>
      </c>
      <c r="E2143" s="7" t="s">
        <v>156</v>
      </c>
      <c r="F2143" s="7" t="s">
        <v>222</v>
      </c>
      <c r="G2143" s="7" t="s">
        <v>505</v>
      </c>
      <c r="H2143" s="6" t="n">
        <v>4.19</v>
      </c>
      <c r="I2143" s="6" t="n">
        <v>0</v>
      </c>
      <c r="J2143" s="40" t="n">
        <f aca="false">H2143-I2143</f>
        <v>4.19</v>
      </c>
      <c r="K2143" s="41" t="n">
        <v>34</v>
      </c>
      <c r="L2143" s="42" t="n">
        <f aca="false">J2143*K2143</f>
        <v>142.46</v>
      </c>
      <c r="M2143" s="43" t="n">
        <f aca="false">H2143*17.84*(1+'Chart of Accounts'!$E$67)</f>
        <v>85.588292</v>
      </c>
    </row>
    <row r="2144" customFormat="false" ht="15" hidden="false" customHeight="false" outlineLevel="0" collapsed="false">
      <c r="B2144" s="7" t="s">
        <v>2641</v>
      </c>
      <c r="C2144" s="39" t="n">
        <v>45767</v>
      </c>
      <c r="D2144" s="7" t="s">
        <v>395</v>
      </c>
      <c r="E2144" s="7" t="s">
        <v>156</v>
      </c>
      <c r="F2144" s="7" t="s">
        <v>242</v>
      </c>
      <c r="G2144" s="7" t="s">
        <v>505</v>
      </c>
      <c r="H2144" s="6" t="n">
        <v>3.83</v>
      </c>
      <c r="I2144" s="6" t="n">
        <v>0</v>
      </c>
      <c r="J2144" s="40" t="n">
        <f aca="false">H2144-I2144</f>
        <v>3.83</v>
      </c>
      <c r="K2144" s="41" t="n">
        <v>34</v>
      </c>
      <c r="L2144" s="42" t="n">
        <f aca="false">J2144*K2144</f>
        <v>130.22</v>
      </c>
      <c r="M2144" s="43" t="n">
        <f aca="false">H2144*17.99*(1+'Chart of Accounts'!$E$67)</f>
        <v>78.8924465</v>
      </c>
    </row>
    <row r="2145" customFormat="false" ht="15" hidden="false" customHeight="false" outlineLevel="0" collapsed="false">
      <c r="B2145" s="7" t="s">
        <v>2642</v>
      </c>
      <c r="C2145" s="39" t="n">
        <v>45767</v>
      </c>
      <c r="D2145" s="7" t="s">
        <v>401</v>
      </c>
      <c r="E2145" s="7" t="s">
        <v>156</v>
      </c>
      <c r="F2145" s="7" t="s">
        <v>254</v>
      </c>
      <c r="G2145" s="7" t="s">
        <v>505</v>
      </c>
      <c r="H2145" s="6" t="n">
        <v>4.02</v>
      </c>
      <c r="I2145" s="6" t="n">
        <v>0</v>
      </c>
      <c r="J2145" s="40" t="n">
        <f aca="false">H2145-I2145</f>
        <v>4.02</v>
      </c>
      <c r="K2145" s="41" t="n">
        <v>34</v>
      </c>
      <c r="L2145" s="42" t="n">
        <f aca="false">J2145*K2145</f>
        <v>136.68</v>
      </c>
      <c r="M2145" s="43" t="n">
        <f aca="false">H2145*17.1*(1+'Chart of Accounts'!$E$67)</f>
        <v>78.70959</v>
      </c>
    </row>
    <row r="2146" customFormat="false" ht="15" hidden="false" customHeight="false" outlineLevel="0" collapsed="false">
      <c r="B2146" s="7" t="s">
        <v>2643</v>
      </c>
      <c r="C2146" s="39" t="n">
        <v>45768</v>
      </c>
      <c r="D2146" s="7" t="s">
        <v>280</v>
      </c>
      <c r="E2146" s="7" t="s">
        <v>157</v>
      </c>
      <c r="F2146" s="7" t="s">
        <v>187</v>
      </c>
      <c r="G2146" s="7" t="s">
        <v>502</v>
      </c>
      <c r="H2146" s="6" t="n">
        <v>0.91</v>
      </c>
      <c r="I2146" s="6" t="n">
        <v>0</v>
      </c>
      <c r="J2146" s="40" t="n">
        <f aca="false">H2146-I2146</f>
        <v>0.91</v>
      </c>
      <c r="K2146" s="41" t="n">
        <v>165</v>
      </c>
      <c r="L2146" s="42" t="n">
        <f aca="false">J2146*K2146</f>
        <v>150.15</v>
      </c>
      <c r="M2146" s="43" t="n">
        <f aca="false">H2146*66.48*(1+'Chart of Accounts'!$E$67)</f>
        <v>69.268836</v>
      </c>
    </row>
    <row r="2147" customFormat="false" ht="15" hidden="false" customHeight="false" outlineLevel="0" collapsed="false">
      <c r="B2147" s="7" t="s">
        <v>2644</v>
      </c>
      <c r="C2147" s="39" t="n">
        <v>45768</v>
      </c>
      <c r="D2147" s="7" t="s">
        <v>288</v>
      </c>
      <c r="E2147" s="7" t="s">
        <v>156</v>
      </c>
      <c r="F2147" s="7" t="s">
        <v>191</v>
      </c>
      <c r="G2147" s="7" t="s">
        <v>505</v>
      </c>
      <c r="H2147" s="6" t="n">
        <v>3.79</v>
      </c>
      <c r="I2147" s="6" t="n">
        <v>0</v>
      </c>
      <c r="J2147" s="40" t="n">
        <f aca="false">H2147-I2147</f>
        <v>3.79</v>
      </c>
      <c r="K2147" s="41" t="n">
        <v>34</v>
      </c>
      <c r="L2147" s="42" t="n">
        <f aca="false">J2147*K2147</f>
        <v>128.86</v>
      </c>
      <c r="M2147" s="43" t="n">
        <f aca="false">H2147*16.05*(1+'Chart of Accounts'!$E$67)</f>
        <v>69.6497775</v>
      </c>
    </row>
    <row r="2148" customFormat="false" ht="15" hidden="false" customHeight="false" outlineLevel="0" collapsed="false">
      <c r="B2148" s="7" t="s">
        <v>2645</v>
      </c>
      <c r="C2148" s="39" t="n">
        <v>45768</v>
      </c>
      <c r="D2148" s="7" t="s">
        <v>291</v>
      </c>
      <c r="E2148" s="7" t="s">
        <v>154</v>
      </c>
      <c r="F2148" s="7" t="s">
        <v>194</v>
      </c>
      <c r="G2148" s="7" t="s">
        <v>505</v>
      </c>
      <c r="H2148" s="6" t="n">
        <v>5.12</v>
      </c>
      <c r="I2148" s="6" t="n">
        <v>0.154</v>
      </c>
      <c r="J2148" s="40" t="n">
        <f aca="false">H2148-I2148</f>
        <v>4.966</v>
      </c>
      <c r="K2148" s="41" t="n">
        <v>26.5</v>
      </c>
      <c r="L2148" s="42" t="n">
        <f aca="false">J2148*K2148</f>
        <v>131.599</v>
      </c>
      <c r="M2148" s="43" t="n">
        <f aca="false">H2148*16*(1+'Chart of Accounts'!$E$67)</f>
        <v>93.7984</v>
      </c>
    </row>
    <row r="2149" customFormat="false" ht="15" hidden="false" customHeight="false" outlineLevel="0" collapsed="false">
      <c r="B2149" s="7" t="s">
        <v>2646</v>
      </c>
      <c r="C2149" s="39" t="n">
        <v>45768</v>
      </c>
      <c r="D2149" s="7" t="s">
        <v>297</v>
      </c>
      <c r="E2149" s="7" t="s">
        <v>156</v>
      </c>
      <c r="F2149" s="7" t="s">
        <v>201</v>
      </c>
      <c r="G2149" s="7" t="s">
        <v>505</v>
      </c>
      <c r="H2149" s="6" t="n">
        <v>2.92</v>
      </c>
      <c r="I2149" s="6" t="n">
        <v>0</v>
      </c>
      <c r="J2149" s="40" t="n">
        <f aca="false">H2149-I2149</f>
        <v>2.92</v>
      </c>
      <c r="K2149" s="41" t="n">
        <v>34</v>
      </c>
      <c r="L2149" s="42" t="n">
        <f aca="false">J2149*K2149</f>
        <v>99.28</v>
      </c>
      <c r="M2149" s="43" t="n">
        <f aca="false">H2149*15.19*(1+'Chart of Accounts'!$E$67)</f>
        <v>50.786246</v>
      </c>
    </row>
    <row r="2150" customFormat="false" ht="15" hidden="false" customHeight="false" outlineLevel="0" collapsed="false">
      <c r="B2150" s="7" t="s">
        <v>2647</v>
      </c>
      <c r="C2150" s="39" t="n">
        <v>45768</v>
      </c>
      <c r="D2150" s="7" t="s">
        <v>305</v>
      </c>
      <c r="E2150" s="7" t="s">
        <v>154</v>
      </c>
      <c r="F2150" s="7" t="s">
        <v>205</v>
      </c>
      <c r="G2150" s="7" t="s">
        <v>505</v>
      </c>
      <c r="H2150" s="6" t="n">
        <v>3.64</v>
      </c>
      <c r="I2150" s="6" t="n">
        <v>0.109</v>
      </c>
      <c r="J2150" s="40" t="n">
        <f aca="false">H2150-I2150</f>
        <v>3.531</v>
      </c>
      <c r="K2150" s="41" t="n">
        <v>26.5</v>
      </c>
      <c r="L2150" s="42" t="n">
        <f aca="false">J2150*K2150</f>
        <v>93.5715</v>
      </c>
      <c r="M2150" s="43" t="n">
        <f aca="false">H2150*16.36*(1+'Chart of Accounts'!$E$67)</f>
        <v>68.185208</v>
      </c>
    </row>
    <row r="2151" customFormat="false" ht="15" hidden="false" customHeight="false" outlineLevel="0" collapsed="false">
      <c r="B2151" s="7" t="s">
        <v>2648</v>
      </c>
      <c r="C2151" s="39" t="n">
        <v>45768</v>
      </c>
      <c r="D2151" s="7" t="s">
        <v>307</v>
      </c>
      <c r="E2151" s="7" t="s">
        <v>157</v>
      </c>
      <c r="F2151" s="7" t="s">
        <v>264</v>
      </c>
      <c r="G2151" s="7" t="s">
        <v>502</v>
      </c>
      <c r="H2151" s="6" t="n">
        <v>0.96</v>
      </c>
      <c r="I2151" s="6" t="n">
        <v>0</v>
      </c>
      <c r="J2151" s="40" t="n">
        <f aca="false">H2151-I2151</f>
        <v>0.96</v>
      </c>
      <c r="K2151" s="41" t="n">
        <v>165</v>
      </c>
      <c r="L2151" s="42" t="n">
        <f aca="false">J2151*K2151</f>
        <v>158.4</v>
      </c>
      <c r="M2151" s="43" t="n">
        <f aca="false">H2151*55.55*(1+'Chart of Accounts'!$E$67)</f>
        <v>61.06056</v>
      </c>
    </row>
    <row r="2152" customFormat="false" ht="15" hidden="false" customHeight="false" outlineLevel="0" collapsed="false">
      <c r="B2152" s="7" t="s">
        <v>2649</v>
      </c>
      <c r="C2152" s="39" t="n">
        <v>45768</v>
      </c>
      <c r="D2152" s="7" t="s">
        <v>309</v>
      </c>
      <c r="E2152" s="7" t="s">
        <v>159</v>
      </c>
      <c r="F2152" s="7" t="s">
        <v>252</v>
      </c>
      <c r="G2152" s="7" t="s">
        <v>502</v>
      </c>
      <c r="H2152" s="6" t="n">
        <v>1.1</v>
      </c>
      <c r="I2152" s="6" t="n">
        <v>0</v>
      </c>
      <c r="J2152" s="40" t="n">
        <f aca="false">H2152-I2152</f>
        <v>1.1</v>
      </c>
      <c r="K2152" s="41" t="n">
        <v>135</v>
      </c>
      <c r="L2152" s="42" t="n">
        <f aca="false">J2152*K2152</f>
        <v>148.5</v>
      </c>
      <c r="M2152" s="43" t="n">
        <f aca="false">H2152*57.54*(1+'Chart of Accounts'!$E$67)</f>
        <v>72.47163</v>
      </c>
    </row>
    <row r="2153" customFormat="false" ht="15" hidden="false" customHeight="false" outlineLevel="0" collapsed="false">
      <c r="B2153" s="7" t="s">
        <v>2650</v>
      </c>
      <c r="C2153" s="39" t="n">
        <v>45768</v>
      </c>
      <c r="D2153" s="7" t="s">
        <v>311</v>
      </c>
      <c r="E2153" s="7" t="s">
        <v>154</v>
      </c>
      <c r="F2153" s="7" t="s">
        <v>196</v>
      </c>
      <c r="G2153" s="7" t="s">
        <v>505</v>
      </c>
      <c r="H2153" s="6" t="n">
        <v>3.04</v>
      </c>
      <c r="I2153" s="6" t="n">
        <v>0</v>
      </c>
      <c r="J2153" s="40" t="n">
        <f aca="false">H2153-I2153</f>
        <v>3.04</v>
      </c>
      <c r="K2153" s="41" t="n">
        <v>26.5</v>
      </c>
      <c r="L2153" s="42" t="n">
        <f aca="false">J2153*K2153</f>
        <v>80.56</v>
      </c>
      <c r="M2153" s="43" t="n">
        <f aca="false">H2153*15.05*(1+'Chart of Accounts'!$E$67)</f>
        <v>52.38604</v>
      </c>
    </row>
    <row r="2154" customFormat="false" ht="15" hidden="false" customHeight="false" outlineLevel="0" collapsed="false">
      <c r="B2154" s="7" t="s">
        <v>2651</v>
      </c>
      <c r="C2154" s="39" t="n">
        <v>45768</v>
      </c>
      <c r="D2154" s="7" t="s">
        <v>313</v>
      </c>
      <c r="E2154" s="7" t="s">
        <v>156</v>
      </c>
      <c r="F2154" s="7" t="s">
        <v>184</v>
      </c>
      <c r="G2154" s="7" t="s">
        <v>505</v>
      </c>
      <c r="H2154" s="6" t="n">
        <v>4.03</v>
      </c>
      <c r="I2154" s="6" t="n">
        <v>0</v>
      </c>
      <c r="J2154" s="40" t="n">
        <f aca="false">H2154-I2154</f>
        <v>4.03</v>
      </c>
      <c r="K2154" s="41" t="n">
        <v>34</v>
      </c>
      <c r="L2154" s="42" t="n">
        <f aca="false">J2154*K2154</f>
        <v>137.02</v>
      </c>
      <c r="M2154" s="43" t="n">
        <f aca="false">H2154*17.34*(1+'Chart of Accounts'!$E$67)</f>
        <v>80.012829</v>
      </c>
    </row>
    <row r="2155" customFormat="false" ht="15" hidden="false" customHeight="false" outlineLevel="0" collapsed="false">
      <c r="B2155" s="7" t="s">
        <v>2652</v>
      </c>
      <c r="C2155" s="39" t="n">
        <v>45768</v>
      </c>
      <c r="D2155" s="7" t="s">
        <v>317</v>
      </c>
      <c r="E2155" s="7" t="s">
        <v>156</v>
      </c>
      <c r="F2155" s="7" t="s">
        <v>207</v>
      </c>
      <c r="G2155" s="7" t="s">
        <v>505</v>
      </c>
      <c r="H2155" s="6" t="n">
        <v>2.87</v>
      </c>
      <c r="I2155" s="6" t="n">
        <v>0</v>
      </c>
      <c r="J2155" s="40" t="n">
        <f aca="false">H2155-I2155</f>
        <v>2.87</v>
      </c>
      <c r="K2155" s="41" t="n">
        <v>34</v>
      </c>
      <c r="L2155" s="42" t="n">
        <f aca="false">J2155*K2155</f>
        <v>97.58</v>
      </c>
      <c r="M2155" s="43" t="n">
        <f aca="false">H2155*16.65*(1+'Chart of Accounts'!$E$67)</f>
        <v>54.7143975</v>
      </c>
    </row>
    <row r="2156" customFormat="false" ht="15" hidden="false" customHeight="false" outlineLevel="0" collapsed="false">
      <c r="B2156" s="7" t="s">
        <v>2653</v>
      </c>
      <c r="C2156" s="39" t="n">
        <v>45768</v>
      </c>
      <c r="D2156" s="7" t="s">
        <v>321</v>
      </c>
      <c r="E2156" s="7" t="s">
        <v>154</v>
      </c>
      <c r="F2156" s="7" t="s">
        <v>218</v>
      </c>
      <c r="G2156" s="7" t="s">
        <v>505</v>
      </c>
      <c r="H2156" s="6" t="n">
        <v>4.14</v>
      </c>
      <c r="I2156" s="6" t="n">
        <v>0</v>
      </c>
      <c r="J2156" s="40" t="n">
        <f aca="false">H2156-I2156</f>
        <v>4.14</v>
      </c>
      <c r="K2156" s="41" t="n">
        <v>26.5</v>
      </c>
      <c r="L2156" s="42" t="n">
        <f aca="false">J2156*K2156</f>
        <v>109.71</v>
      </c>
      <c r="M2156" s="43" t="n">
        <f aca="false">H2156*16.19*(1+'Chart of Accounts'!$E$67)</f>
        <v>76.745457</v>
      </c>
    </row>
    <row r="2157" customFormat="false" ht="15" hidden="false" customHeight="false" outlineLevel="0" collapsed="false">
      <c r="B2157" s="7" t="s">
        <v>2654</v>
      </c>
      <c r="C2157" s="39" t="n">
        <v>45768</v>
      </c>
      <c r="D2157" s="7" t="s">
        <v>325</v>
      </c>
      <c r="E2157" s="7" t="s">
        <v>154</v>
      </c>
      <c r="F2157" s="7" t="s">
        <v>212</v>
      </c>
      <c r="G2157" s="7" t="s">
        <v>505</v>
      </c>
      <c r="H2157" s="6" t="n">
        <v>2.85</v>
      </c>
      <c r="I2157" s="6" t="n">
        <v>0</v>
      </c>
      <c r="J2157" s="40" t="n">
        <f aca="false">H2157-I2157</f>
        <v>2.85</v>
      </c>
      <c r="K2157" s="41" t="n">
        <v>26.5</v>
      </c>
      <c r="L2157" s="42" t="n">
        <f aca="false">J2157*K2157</f>
        <v>75.525</v>
      </c>
      <c r="M2157" s="43" t="n">
        <f aca="false">H2157*16.71*(1+'Chart of Accounts'!$E$67)</f>
        <v>54.5289075</v>
      </c>
    </row>
    <row r="2158" customFormat="false" ht="15" hidden="false" customHeight="false" outlineLevel="0" collapsed="false">
      <c r="B2158" s="7" t="s">
        <v>2655</v>
      </c>
      <c r="C2158" s="39" t="n">
        <v>45768</v>
      </c>
      <c r="D2158" s="7" t="s">
        <v>329</v>
      </c>
      <c r="E2158" s="7" t="s">
        <v>156</v>
      </c>
      <c r="F2158" s="7" t="s">
        <v>220</v>
      </c>
      <c r="G2158" s="7" t="s">
        <v>505</v>
      </c>
      <c r="H2158" s="6" t="n">
        <v>4.26</v>
      </c>
      <c r="I2158" s="6" t="n">
        <v>0</v>
      </c>
      <c r="J2158" s="40" t="n">
        <f aca="false">H2158-I2158</f>
        <v>4.26</v>
      </c>
      <c r="K2158" s="41" t="n">
        <v>34</v>
      </c>
      <c r="L2158" s="42" t="n">
        <f aca="false">J2158*K2158</f>
        <v>144.84</v>
      </c>
      <c r="M2158" s="43" t="n">
        <f aca="false">H2158*16.43*(1+'Chart of Accounts'!$E$67)</f>
        <v>80.140611</v>
      </c>
    </row>
    <row r="2159" customFormat="false" ht="15" hidden="false" customHeight="false" outlineLevel="0" collapsed="false">
      <c r="B2159" s="7" t="s">
        <v>2656</v>
      </c>
      <c r="C2159" s="39" t="n">
        <v>45768</v>
      </c>
      <c r="D2159" s="7" t="s">
        <v>331</v>
      </c>
      <c r="E2159" s="7" t="s">
        <v>156</v>
      </c>
      <c r="F2159" s="7" t="s">
        <v>224</v>
      </c>
      <c r="G2159" s="7" t="s">
        <v>505</v>
      </c>
      <c r="H2159" s="6" t="n">
        <v>4.17</v>
      </c>
      <c r="I2159" s="6" t="n">
        <v>0</v>
      </c>
      <c r="J2159" s="40" t="n">
        <f aca="false">H2159-I2159</f>
        <v>4.17</v>
      </c>
      <c r="K2159" s="41" t="n">
        <v>34</v>
      </c>
      <c r="L2159" s="42" t="n">
        <f aca="false">J2159*K2159</f>
        <v>141.78</v>
      </c>
      <c r="M2159" s="43" t="n">
        <f aca="false">H2159*14.93*(1+'Chart of Accounts'!$E$67)</f>
        <v>71.2855245</v>
      </c>
    </row>
    <row r="2160" customFormat="false" ht="15" hidden="false" customHeight="false" outlineLevel="0" collapsed="false">
      <c r="B2160" s="7" t="s">
        <v>2657</v>
      </c>
      <c r="C2160" s="39" t="n">
        <v>45768</v>
      </c>
      <c r="D2160" s="7" t="s">
        <v>335</v>
      </c>
      <c r="E2160" s="7" t="s">
        <v>154</v>
      </c>
      <c r="F2160" s="7" t="s">
        <v>177</v>
      </c>
      <c r="G2160" s="7" t="s">
        <v>505</v>
      </c>
      <c r="H2160" s="6" t="n">
        <v>3.65</v>
      </c>
      <c r="I2160" s="6" t="n">
        <v>0</v>
      </c>
      <c r="J2160" s="40" t="n">
        <f aca="false">H2160-I2160</f>
        <v>3.65</v>
      </c>
      <c r="K2160" s="41" t="n">
        <v>26.5</v>
      </c>
      <c r="L2160" s="42" t="n">
        <f aca="false">J2160*K2160</f>
        <v>96.725</v>
      </c>
      <c r="M2160" s="43" t="n">
        <f aca="false">H2160*14.56*(1+'Chart of Accounts'!$E$67)</f>
        <v>60.84988</v>
      </c>
    </row>
    <row r="2161" customFormat="false" ht="15" hidden="false" customHeight="false" outlineLevel="0" collapsed="false">
      <c r="B2161" s="7" t="s">
        <v>2658</v>
      </c>
      <c r="C2161" s="39" t="n">
        <v>45768</v>
      </c>
      <c r="D2161" s="7" t="s">
        <v>337</v>
      </c>
      <c r="E2161" s="7" t="s">
        <v>154</v>
      </c>
      <c r="F2161" s="7" t="s">
        <v>232</v>
      </c>
      <c r="G2161" s="7" t="s">
        <v>505</v>
      </c>
      <c r="H2161" s="6" t="n">
        <v>2.97</v>
      </c>
      <c r="I2161" s="6" t="n">
        <v>0</v>
      </c>
      <c r="J2161" s="40" t="n">
        <f aca="false">H2161-I2161</f>
        <v>2.97</v>
      </c>
      <c r="K2161" s="41" t="n">
        <v>26.5</v>
      </c>
      <c r="L2161" s="42" t="n">
        <f aca="false">J2161*K2161</f>
        <v>78.705</v>
      </c>
      <c r="M2161" s="43" t="n">
        <f aca="false">H2161*16.17*(1+'Chart of Accounts'!$E$67)</f>
        <v>54.9885105</v>
      </c>
    </row>
    <row r="2162" customFormat="false" ht="15" hidden="false" customHeight="false" outlineLevel="0" collapsed="false">
      <c r="B2162" s="7" t="s">
        <v>2659</v>
      </c>
      <c r="C2162" s="39" t="n">
        <v>45768</v>
      </c>
      <c r="D2162" s="7" t="s">
        <v>339</v>
      </c>
      <c r="E2162" s="7" t="s">
        <v>154</v>
      </c>
      <c r="F2162" s="7" t="s">
        <v>242</v>
      </c>
      <c r="G2162" s="7" t="s">
        <v>505</v>
      </c>
      <c r="H2162" s="6" t="n">
        <v>3.39</v>
      </c>
      <c r="I2162" s="6" t="n">
        <v>0</v>
      </c>
      <c r="J2162" s="40" t="n">
        <f aca="false">H2162-I2162</f>
        <v>3.39</v>
      </c>
      <c r="K2162" s="41" t="n">
        <v>26.5</v>
      </c>
      <c r="L2162" s="42" t="n">
        <f aca="false">J2162*K2162</f>
        <v>89.835</v>
      </c>
      <c r="M2162" s="43" t="n">
        <f aca="false">H2162*17.99*(1+'Chart of Accounts'!$E$67)</f>
        <v>69.8290845</v>
      </c>
    </row>
    <row r="2163" customFormat="false" ht="15" hidden="false" customHeight="false" outlineLevel="0" collapsed="false">
      <c r="B2163" s="7" t="s">
        <v>2660</v>
      </c>
      <c r="C2163" s="39" t="n">
        <v>45768</v>
      </c>
      <c r="D2163" s="7" t="s">
        <v>341</v>
      </c>
      <c r="E2163" s="7" t="s">
        <v>156</v>
      </c>
      <c r="F2163" s="7" t="s">
        <v>222</v>
      </c>
      <c r="G2163" s="7" t="s">
        <v>505</v>
      </c>
      <c r="H2163" s="6" t="n">
        <v>2.86</v>
      </c>
      <c r="I2163" s="6" t="n">
        <v>0</v>
      </c>
      <c r="J2163" s="40" t="n">
        <f aca="false">H2163-I2163</f>
        <v>2.86</v>
      </c>
      <c r="K2163" s="41" t="n">
        <v>34</v>
      </c>
      <c r="L2163" s="42" t="n">
        <f aca="false">J2163*K2163</f>
        <v>97.24</v>
      </c>
      <c r="M2163" s="43" t="n">
        <f aca="false">H2163*17.84*(1+'Chart of Accounts'!$E$67)</f>
        <v>58.420648</v>
      </c>
    </row>
    <row r="2164" customFormat="false" ht="15" hidden="false" customHeight="false" outlineLevel="0" collapsed="false">
      <c r="B2164" s="7" t="s">
        <v>2661</v>
      </c>
      <c r="C2164" s="39" t="n">
        <v>45768</v>
      </c>
      <c r="D2164" s="7" t="s">
        <v>343</v>
      </c>
      <c r="E2164" s="7" t="s">
        <v>154</v>
      </c>
      <c r="F2164" s="7" t="s">
        <v>262</v>
      </c>
      <c r="G2164" s="7" t="s">
        <v>505</v>
      </c>
      <c r="H2164" s="6" t="n">
        <v>3.95</v>
      </c>
      <c r="I2164" s="6" t="n">
        <v>0</v>
      </c>
      <c r="J2164" s="40" t="n">
        <f aca="false">H2164-I2164</f>
        <v>3.95</v>
      </c>
      <c r="K2164" s="41" t="n">
        <v>26.5</v>
      </c>
      <c r="L2164" s="42" t="n">
        <f aca="false">J2164*K2164</f>
        <v>104.675</v>
      </c>
      <c r="M2164" s="43" t="n">
        <f aca="false">H2164*16.02*(1+'Chart of Accounts'!$E$67)</f>
        <v>72.454455</v>
      </c>
    </row>
    <row r="2165" customFormat="false" ht="15" hidden="false" customHeight="false" outlineLevel="0" collapsed="false">
      <c r="B2165" s="7" t="s">
        <v>2662</v>
      </c>
      <c r="C2165" s="39" t="n">
        <v>45768</v>
      </c>
      <c r="D2165" s="7" t="s">
        <v>351</v>
      </c>
      <c r="E2165" s="7" t="s">
        <v>154</v>
      </c>
      <c r="F2165" s="7" t="s">
        <v>201</v>
      </c>
      <c r="G2165" s="7" t="s">
        <v>505</v>
      </c>
      <c r="H2165" s="6" t="n">
        <v>3.28</v>
      </c>
      <c r="I2165" s="6" t="n">
        <v>0.098</v>
      </c>
      <c r="J2165" s="40" t="n">
        <f aca="false">H2165-I2165</f>
        <v>3.182</v>
      </c>
      <c r="K2165" s="41" t="n">
        <v>26.5</v>
      </c>
      <c r="L2165" s="42" t="n">
        <f aca="false">J2165*K2165</f>
        <v>84.323</v>
      </c>
      <c r="M2165" s="43" t="n">
        <f aca="false">H2165*15.19*(1+'Chart of Accounts'!$E$67)</f>
        <v>57.047564</v>
      </c>
    </row>
    <row r="2166" customFormat="false" ht="15" hidden="false" customHeight="false" outlineLevel="0" collapsed="false">
      <c r="B2166" s="7" t="s">
        <v>2663</v>
      </c>
      <c r="C2166" s="39" t="n">
        <v>45768</v>
      </c>
      <c r="D2166" s="7" t="s">
        <v>353</v>
      </c>
      <c r="E2166" s="7" t="s">
        <v>154</v>
      </c>
      <c r="F2166" s="7" t="s">
        <v>254</v>
      </c>
      <c r="G2166" s="7" t="s">
        <v>505</v>
      </c>
      <c r="H2166" s="6" t="n">
        <v>3.08</v>
      </c>
      <c r="I2166" s="6" t="n">
        <v>0.092</v>
      </c>
      <c r="J2166" s="40" t="n">
        <f aca="false">H2166-I2166</f>
        <v>2.988</v>
      </c>
      <c r="K2166" s="41" t="n">
        <v>26.5</v>
      </c>
      <c r="L2166" s="42" t="n">
        <f aca="false">J2166*K2166</f>
        <v>79.182</v>
      </c>
      <c r="M2166" s="43" t="n">
        <f aca="false">H2166*17.1*(1+'Chart of Accounts'!$E$67)</f>
        <v>60.30486</v>
      </c>
    </row>
    <row r="2167" customFormat="false" ht="15" hidden="false" customHeight="false" outlineLevel="0" collapsed="false">
      <c r="B2167" s="7" t="s">
        <v>2664</v>
      </c>
      <c r="C2167" s="39" t="n">
        <v>45768</v>
      </c>
      <c r="D2167" s="7" t="s">
        <v>355</v>
      </c>
      <c r="E2167" s="7" t="s">
        <v>154</v>
      </c>
      <c r="F2167" s="7" t="s">
        <v>201</v>
      </c>
      <c r="G2167" s="7" t="s">
        <v>505</v>
      </c>
      <c r="H2167" s="6" t="n">
        <v>3.47</v>
      </c>
      <c r="I2167" s="6" t="n">
        <v>0.104</v>
      </c>
      <c r="J2167" s="40" t="n">
        <f aca="false">H2167-I2167</f>
        <v>3.366</v>
      </c>
      <c r="K2167" s="41" t="n">
        <v>26.5</v>
      </c>
      <c r="L2167" s="42" t="n">
        <f aca="false">J2167*K2167</f>
        <v>89.199</v>
      </c>
      <c r="M2167" s="43" t="n">
        <f aca="false">H2167*15.19*(1+'Chart of Accounts'!$E$67)</f>
        <v>60.3521485</v>
      </c>
    </row>
    <row r="2168" customFormat="false" ht="15" hidden="false" customHeight="false" outlineLevel="0" collapsed="false">
      <c r="B2168" s="7" t="s">
        <v>2665</v>
      </c>
      <c r="C2168" s="39" t="n">
        <v>45768</v>
      </c>
      <c r="D2168" s="7" t="s">
        <v>357</v>
      </c>
      <c r="E2168" s="7" t="s">
        <v>154</v>
      </c>
      <c r="F2168" s="7" t="s">
        <v>207</v>
      </c>
      <c r="G2168" s="7" t="s">
        <v>505</v>
      </c>
      <c r="H2168" s="6" t="n">
        <v>3.14</v>
      </c>
      <c r="I2168" s="6" t="n">
        <v>0</v>
      </c>
      <c r="J2168" s="40" t="n">
        <f aca="false">H2168-I2168</f>
        <v>3.14</v>
      </c>
      <c r="K2168" s="41" t="n">
        <v>26.5</v>
      </c>
      <c r="L2168" s="42" t="n">
        <f aca="false">J2168*K2168</f>
        <v>83.21</v>
      </c>
      <c r="M2168" s="43" t="n">
        <f aca="false">H2168*16.65*(1+'Chart of Accounts'!$E$67)</f>
        <v>59.861745</v>
      </c>
    </row>
    <row r="2169" customFormat="false" ht="15" hidden="false" customHeight="false" outlineLevel="0" collapsed="false">
      <c r="B2169" s="7" t="s">
        <v>2666</v>
      </c>
      <c r="C2169" s="39" t="n">
        <v>45768</v>
      </c>
      <c r="D2169" s="7" t="s">
        <v>359</v>
      </c>
      <c r="E2169" s="7" t="s">
        <v>156</v>
      </c>
      <c r="F2169" s="7" t="s">
        <v>212</v>
      </c>
      <c r="G2169" s="7" t="s">
        <v>505</v>
      </c>
      <c r="H2169" s="6" t="n">
        <v>4.36</v>
      </c>
      <c r="I2169" s="6" t="n">
        <v>0</v>
      </c>
      <c r="J2169" s="40" t="n">
        <f aca="false">H2169-I2169</f>
        <v>4.36</v>
      </c>
      <c r="K2169" s="41" t="n">
        <v>34</v>
      </c>
      <c r="L2169" s="42" t="n">
        <f aca="false">J2169*K2169</f>
        <v>148.24</v>
      </c>
      <c r="M2169" s="43" t="n">
        <f aca="false">H2169*16.71*(1+'Chart of Accounts'!$E$67)</f>
        <v>83.419662</v>
      </c>
    </row>
    <row r="2170" customFormat="false" ht="15" hidden="false" customHeight="false" outlineLevel="0" collapsed="false">
      <c r="B2170" s="7" t="s">
        <v>2667</v>
      </c>
      <c r="C2170" s="39" t="n">
        <v>45768</v>
      </c>
      <c r="D2170" s="7" t="s">
        <v>363</v>
      </c>
      <c r="E2170" s="7" t="s">
        <v>156</v>
      </c>
      <c r="F2170" s="7" t="s">
        <v>246</v>
      </c>
      <c r="G2170" s="7" t="s">
        <v>505</v>
      </c>
      <c r="H2170" s="6" t="n">
        <v>4.08</v>
      </c>
      <c r="I2170" s="6" t="n">
        <v>0</v>
      </c>
      <c r="J2170" s="40" t="n">
        <f aca="false">H2170-I2170</f>
        <v>4.08</v>
      </c>
      <c r="K2170" s="41" t="n">
        <v>34</v>
      </c>
      <c r="L2170" s="42" t="n">
        <f aca="false">J2170*K2170</f>
        <v>138.72</v>
      </c>
      <c r="M2170" s="43" t="n">
        <f aca="false">H2170*16.48*(1+'Chart of Accounts'!$E$67)</f>
        <v>76.987968</v>
      </c>
    </row>
    <row r="2171" customFormat="false" ht="15" hidden="false" customHeight="false" outlineLevel="0" collapsed="false">
      <c r="B2171" s="7" t="s">
        <v>2668</v>
      </c>
      <c r="C2171" s="39" t="n">
        <v>45768</v>
      </c>
      <c r="D2171" s="7" t="s">
        <v>365</v>
      </c>
      <c r="E2171" s="7" t="s">
        <v>154</v>
      </c>
      <c r="F2171" s="7" t="s">
        <v>194</v>
      </c>
      <c r="G2171" s="7" t="s">
        <v>505</v>
      </c>
      <c r="H2171" s="6" t="n">
        <v>4.06</v>
      </c>
      <c r="I2171" s="6" t="n">
        <v>0</v>
      </c>
      <c r="J2171" s="40" t="n">
        <f aca="false">H2171-I2171</f>
        <v>4.06</v>
      </c>
      <c r="K2171" s="41" t="n">
        <v>26.5</v>
      </c>
      <c r="L2171" s="42" t="n">
        <f aca="false">J2171*K2171</f>
        <v>107.59</v>
      </c>
      <c r="M2171" s="43" t="n">
        <f aca="false">H2171*16*(1+'Chart of Accounts'!$E$67)</f>
        <v>74.3792</v>
      </c>
    </row>
    <row r="2172" customFormat="false" ht="15" hidden="false" customHeight="false" outlineLevel="0" collapsed="false">
      <c r="B2172" s="7" t="s">
        <v>2669</v>
      </c>
      <c r="C2172" s="39" t="n">
        <v>45768</v>
      </c>
      <c r="D2172" s="7" t="s">
        <v>371</v>
      </c>
      <c r="E2172" s="7" t="s">
        <v>154</v>
      </c>
      <c r="F2172" s="7" t="s">
        <v>232</v>
      </c>
      <c r="G2172" s="7" t="s">
        <v>505</v>
      </c>
      <c r="H2172" s="6" t="n">
        <v>4.55</v>
      </c>
      <c r="I2172" s="6" t="n">
        <v>0</v>
      </c>
      <c r="J2172" s="40" t="n">
        <f aca="false">H2172-I2172</f>
        <v>4.55</v>
      </c>
      <c r="K2172" s="41" t="n">
        <v>26.5</v>
      </c>
      <c r="L2172" s="42" t="n">
        <f aca="false">J2172*K2172</f>
        <v>120.575</v>
      </c>
      <c r="M2172" s="43" t="n">
        <f aca="false">H2172*16.17*(1+'Chart of Accounts'!$E$67)</f>
        <v>84.2416575</v>
      </c>
    </row>
    <row r="2173" customFormat="false" ht="15" hidden="false" customHeight="false" outlineLevel="0" collapsed="false">
      <c r="B2173" s="7" t="s">
        <v>2670</v>
      </c>
      <c r="C2173" s="39" t="n">
        <v>45768</v>
      </c>
      <c r="D2173" s="7" t="s">
        <v>375</v>
      </c>
      <c r="E2173" s="7" t="s">
        <v>156</v>
      </c>
      <c r="F2173" s="7" t="s">
        <v>196</v>
      </c>
      <c r="G2173" s="7" t="s">
        <v>505</v>
      </c>
      <c r="H2173" s="6" t="n">
        <v>2.99</v>
      </c>
      <c r="I2173" s="6" t="n">
        <v>0</v>
      </c>
      <c r="J2173" s="40" t="n">
        <f aca="false">H2173-I2173</f>
        <v>2.99</v>
      </c>
      <c r="K2173" s="41" t="n">
        <v>34</v>
      </c>
      <c r="L2173" s="42" t="n">
        <f aca="false">J2173*K2173</f>
        <v>101.66</v>
      </c>
      <c r="M2173" s="43" t="n">
        <f aca="false">H2173*15.05*(1+'Chart of Accounts'!$E$67)</f>
        <v>51.5244275</v>
      </c>
    </row>
    <row r="2174" customFormat="false" ht="15" hidden="false" customHeight="false" outlineLevel="0" collapsed="false">
      <c r="B2174" s="7" t="s">
        <v>2671</v>
      </c>
      <c r="C2174" s="39" t="n">
        <v>45768</v>
      </c>
      <c r="D2174" s="7" t="s">
        <v>377</v>
      </c>
      <c r="E2174" s="7" t="s">
        <v>154</v>
      </c>
      <c r="F2174" s="7" t="s">
        <v>214</v>
      </c>
      <c r="G2174" s="7" t="s">
        <v>505</v>
      </c>
      <c r="H2174" s="6" t="n">
        <v>4.07</v>
      </c>
      <c r="I2174" s="6" t="n">
        <v>0</v>
      </c>
      <c r="J2174" s="40" t="n">
        <f aca="false">H2174-I2174</f>
        <v>4.07</v>
      </c>
      <c r="K2174" s="41" t="n">
        <v>26.5</v>
      </c>
      <c r="L2174" s="42" t="n">
        <f aca="false">J2174*K2174</f>
        <v>107.855</v>
      </c>
      <c r="M2174" s="43" t="n">
        <f aca="false">H2174*15.67*(1+'Chart of Accounts'!$E$67)</f>
        <v>73.0245505</v>
      </c>
    </row>
    <row r="2175" customFormat="false" ht="15" hidden="false" customHeight="false" outlineLevel="0" collapsed="false">
      <c r="B2175" s="7" t="s">
        <v>2672</v>
      </c>
      <c r="C2175" s="39" t="n">
        <v>45768</v>
      </c>
      <c r="D2175" s="7" t="s">
        <v>379</v>
      </c>
      <c r="E2175" s="7" t="s">
        <v>156</v>
      </c>
      <c r="F2175" s="7" t="s">
        <v>224</v>
      </c>
      <c r="G2175" s="7" t="s">
        <v>505</v>
      </c>
      <c r="H2175" s="6" t="n">
        <v>5.03</v>
      </c>
      <c r="I2175" s="6" t="n">
        <v>0</v>
      </c>
      <c r="J2175" s="40" t="n">
        <f aca="false">H2175-I2175</f>
        <v>5.03</v>
      </c>
      <c r="K2175" s="41" t="n">
        <v>34</v>
      </c>
      <c r="L2175" s="42" t="n">
        <f aca="false">J2175*K2175</f>
        <v>171.02</v>
      </c>
      <c r="M2175" s="43" t="n">
        <f aca="false">H2175*14.93*(1+'Chart of Accounts'!$E$67)</f>
        <v>85.9870955</v>
      </c>
    </row>
    <row r="2176" customFormat="false" ht="15" hidden="false" customHeight="false" outlineLevel="0" collapsed="false">
      <c r="B2176" s="7" t="s">
        <v>2673</v>
      </c>
      <c r="C2176" s="39" t="n">
        <v>45768</v>
      </c>
      <c r="D2176" s="7" t="s">
        <v>385</v>
      </c>
      <c r="E2176" s="7" t="s">
        <v>156</v>
      </c>
      <c r="F2176" s="7" t="s">
        <v>238</v>
      </c>
      <c r="G2176" s="7" t="s">
        <v>505</v>
      </c>
      <c r="H2176" s="6" t="n">
        <v>3.99</v>
      </c>
      <c r="I2176" s="6" t="n">
        <v>0</v>
      </c>
      <c r="J2176" s="40" t="n">
        <f aca="false">H2176-I2176</f>
        <v>3.99</v>
      </c>
      <c r="K2176" s="41" t="n">
        <v>34</v>
      </c>
      <c r="L2176" s="42" t="n">
        <f aca="false">J2176*K2176</f>
        <v>135.66</v>
      </c>
      <c r="M2176" s="43" t="n">
        <f aca="false">H2176*15.85*(1+'Chart of Accounts'!$E$67)</f>
        <v>72.4115175</v>
      </c>
    </row>
    <row r="2177" customFormat="false" ht="15" hidden="false" customHeight="false" outlineLevel="0" collapsed="false">
      <c r="B2177" s="7" t="s">
        <v>2674</v>
      </c>
      <c r="C2177" s="39" t="n">
        <v>45768</v>
      </c>
      <c r="D2177" s="7" t="s">
        <v>389</v>
      </c>
      <c r="E2177" s="7" t="s">
        <v>154</v>
      </c>
      <c r="F2177" s="7" t="s">
        <v>246</v>
      </c>
      <c r="G2177" s="7" t="s">
        <v>505</v>
      </c>
      <c r="H2177" s="6" t="n">
        <v>4.3</v>
      </c>
      <c r="I2177" s="6" t="n">
        <v>0</v>
      </c>
      <c r="J2177" s="40" t="n">
        <f aca="false">H2177-I2177</f>
        <v>4.3</v>
      </c>
      <c r="K2177" s="41" t="n">
        <v>26.5</v>
      </c>
      <c r="L2177" s="42" t="n">
        <f aca="false">J2177*K2177</f>
        <v>113.95</v>
      </c>
      <c r="M2177" s="43" t="n">
        <f aca="false">H2177*16.48*(1+'Chart of Accounts'!$E$67)</f>
        <v>81.13928</v>
      </c>
    </row>
    <row r="2178" customFormat="false" ht="15" hidden="false" customHeight="false" outlineLevel="0" collapsed="false">
      <c r="B2178" s="7" t="s">
        <v>2675</v>
      </c>
      <c r="C2178" s="39" t="n">
        <v>45768</v>
      </c>
      <c r="D2178" s="7" t="s">
        <v>391</v>
      </c>
      <c r="E2178" s="7" t="s">
        <v>156</v>
      </c>
      <c r="F2178" s="7" t="s">
        <v>222</v>
      </c>
      <c r="G2178" s="7" t="s">
        <v>505</v>
      </c>
      <c r="H2178" s="6" t="n">
        <v>4.05</v>
      </c>
      <c r="I2178" s="6" t="n">
        <v>0</v>
      </c>
      <c r="J2178" s="40" t="n">
        <f aca="false">H2178-I2178</f>
        <v>4.05</v>
      </c>
      <c r="K2178" s="41" t="n">
        <v>34</v>
      </c>
      <c r="L2178" s="42" t="n">
        <f aca="false">J2178*K2178</f>
        <v>137.7</v>
      </c>
      <c r="M2178" s="43" t="n">
        <f aca="false">H2178*17.84*(1+'Chart of Accounts'!$E$67)</f>
        <v>82.72854</v>
      </c>
    </row>
    <row r="2179" customFormat="false" ht="15" hidden="false" customHeight="false" outlineLevel="0" collapsed="false">
      <c r="B2179" s="7" t="s">
        <v>2676</v>
      </c>
      <c r="C2179" s="39" t="n">
        <v>45768</v>
      </c>
      <c r="D2179" s="7" t="s">
        <v>395</v>
      </c>
      <c r="E2179" s="7" t="s">
        <v>156</v>
      </c>
      <c r="F2179" s="7" t="s">
        <v>242</v>
      </c>
      <c r="G2179" s="7" t="s">
        <v>505</v>
      </c>
      <c r="H2179" s="6" t="n">
        <v>3.98</v>
      </c>
      <c r="I2179" s="6" t="n">
        <v>0</v>
      </c>
      <c r="J2179" s="40" t="n">
        <f aca="false">H2179-I2179</f>
        <v>3.98</v>
      </c>
      <c r="K2179" s="41" t="n">
        <v>34</v>
      </c>
      <c r="L2179" s="42" t="n">
        <f aca="false">J2179*K2179</f>
        <v>135.32</v>
      </c>
      <c r="M2179" s="43" t="n">
        <f aca="false">H2179*17.99*(1+'Chart of Accounts'!$E$67)</f>
        <v>81.982229</v>
      </c>
    </row>
    <row r="2180" customFormat="false" ht="15" hidden="false" customHeight="false" outlineLevel="0" collapsed="false">
      <c r="B2180" s="7" t="s">
        <v>2677</v>
      </c>
      <c r="C2180" s="39" t="n">
        <v>45768</v>
      </c>
      <c r="D2180" s="7" t="s">
        <v>399</v>
      </c>
      <c r="E2180" s="7" t="s">
        <v>154</v>
      </c>
      <c r="F2180" s="7" t="s">
        <v>262</v>
      </c>
      <c r="G2180" s="7" t="s">
        <v>505</v>
      </c>
      <c r="H2180" s="6" t="n">
        <v>3.51</v>
      </c>
      <c r="I2180" s="6" t="n">
        <v>0</v>
      </c>
      <c r="J2180" s="40" t="n">
        <f aca="false">H2180-I2180</f>
        <v>3.51</v>
      </c>
      <c r="K2180" s="41" t="n">
        <v>26.5</v>
      </c>
      <c r="L2180" s="42" t="n">
        <f aca="false">J2180*K2180</f>
        <v>93.015</v>
      </c>
      <c r="M2180" s="43" t="n">
        <f aca="false">H2180*16.02*(1+'Chart of Accounts'!$E$67)</f>
        <v>64.383579</v>
      </c>
    </row>
    <row r="2181" customFormat="false" ht="15" hidden="false" customHeight="false" outlineLevel="0" collapsed="false">
      <c r="B2181" s="7" t="s">
        <v>2678</v>
      </c>
      <c r="C2181" s="39" t="n">
        <v>45768</v>
      </c>
      <c r="D2181" s="7" t="s">
        <v>401</v>
      </c>
      <c r="E2181" s="7" t="s">
        <v>156</v>
      </c>
      <c r="F2181" s="7" t="s">
        <v>254</v>
      </c>
      <c r="G2181" s="7" t="s">
        <v>505</v>
      </c>
      <c r="H2181" s="6" t="n">
        <v>3.96</v>
      </c>
      <c r="I2181" s="6" t="n">
        <v>0</v>
      </c>
      <c r="J2181" s="40" t="n">
        <f aca="false">H2181-I2181</f>
        <v>3.96</v>
      </c>
      <c r="K2181" s="41" t="n">
        <v>34</v>
      </c>
      <c r="L2181" s="42" t="n">
        <f aca="false">J2181*K2181</f>
        <v>134.64</v>
      </c>
      <c r="M2181" s="43" t="n">
        <f aca="false">H2181*17.1*(1+'Chart of Accounts'!$E$67)</f>
        <v>77.53482</v>
      </c>
    </row>
    <row r="2182" customFormat="false" ht="15" hidden="false" customHeight="false" outlineLevel="0" collapsed="false">
      <c r="B2182" s="7" t="s">
        <v>2679</v>
      </c>
      <c r="C2182" s="39" t="n">
        <v>45768</v>
      </c>
      <c r="D2182" s="7" t="s">
        <v>409</v>
      </c>
      <c r="E2182" s="7" t="s">
        <v>154</v>
      </c>
      <c r="F2182" s="7" t="s">
        <v>214</v>
      </c>
      <c r="G2182" s="7" t="s">
        <v>505</v>
      </c>
      <c r="H2182" s="6" t="n">
        <v>3.22</v>
      </c>
      <c r="I2182" s="6" t="n">
        <v>0</v>
      </c>
      <c r="J2182" s="40" t="n">
        <f aca="false">H2182-I2182</f>
        <v>3.22</v>
      </c>
      <c r="K2182" s="41" t="n">
        <v>26.5</v>
      </c>
      <c r="L2182" s="42" t="n">
        <f aca="false">J2182*K2182</f>
        <v>85.33</v>
      </c>
      <c r="M2182" s="43" t="n">
        <f aca="false">H2182*15.67*(1+'Chart of Accounts'!$E$67)</f>
        <v>57.773723</v>
      </c>
    </row>
    <row r="2183" customFormat="false" ht="15" hidden="false" customHeight="false" outlineLevel="0" collapsed="false">
      <c r="B2183" s="7" t="s">
        <v>2680</v>
      </c>
      <c r="C2183" s="39" t="n">
        <v>45768</v>
      </c>
      <c r="D2183" s="7" t="s">
        <v>411</v>
      </c>
      <c r="E2183" s="7" t="s">
        <v>154</v>
      </c>
      <c r="F2183" s="7" t="s">
        <v>177</v>
      </c>
      <c r="G2183" s="7" t="s">
        <v>505</v>
      </c>
      <c r="H2183" s="6" t="n">
        <v>4.58</v>
      </c>
      <c r="I2183" s="6" t="n">
        <v>0</v>
      </c>
      <c r="J2183" s="40" t="n">
        <f aca="false">H2183-I2183</f>
        <v>4.58</v>
      </c>
      <c r="K2183" s="41" t="n">
        <v>26.5</v>
      </c>
      <c r="L2183" s="42" t="n">
        <f aca="false">J2183*K2183</f>
        <v>121.37</v>
      </c>
      <c r="M2183" s="43" t="n">
        <f aca="false">H2183*14.56*(1+'Chart of Accounts'!$E$67)</f>
        <v>76.354096</v>
      </c>
    </row>
    <row r="2184" customFormat="false" ht="15" hidden="false" customHeight="false" outlineLevel="0" collapsed="false">
      <c r="B2184" s="7" t="s">
        <v>2681</v>
      </c>
      <c r="C2184" s="39" t="n">
        <v>45769</v>
      </c>
      <c r="D2184" s="7" t="s">
        <v>288</v>
      </c>
      <c r="E2184" s="7" t="s">
        <v>156</v>
      </c>
      <c r="F2184" s="7" t="s">
        <v>191</v>
      </c>
      <c r="G2184" s="7" t="s">
        <v>505</v>
      </c>
      <c r="H2184" s="6" t="n">
        <v>4.03</v>
      </c>
      <c r="I2184" s="6" t="n">
        <v>0</v>
      </c>
      <c r="J2184" s="40" t="n">
        <f aca="false">H2184-I2184</f>
        <v>4.03</v>
      </c>
      <c r="K2184" s="41" t="n">
        <v>34</v>
      </c>
      <c r="L2184" s="42" t="n">
        <f aca="false">J2184*K2184</f>
        <v>137.02</v>
      </c>
      <c r="M2184" s="43" t="n">
        <f aca="false">H2184*16.05*(1+'Chart of Accounts'!$E$67)</f>
        <v>74.0603175</v>
      </c>
    </row>
    <row r="2185" customFormat="false" ht="15" hidden="false" customHeight="false" outlineLevel="0" collapsed="false">
      <c r="B2185" s="7" t="s">
        <v>2682</v>
      </c>
      <c r="C2185" s="39" t="n">
        <v>45769</v>
      </c>
      <c r="D2185" s="7" t="s">
        <v>301</v>
      </c>
      <c r="E2185" s="7" t="s">
        <v>157</v>
      </c>
      <c r="F2185" s="7" t="s">
        <v>209</v>
      </c>
      <c r="G2185" s="7" t="s">
        <v>502</v>
      </c>
      <c r="H2185" s="6" t="n">
        <v>1.05</v>
      </c>
      <c r="I2185" s="6" t="n">
        <v>0</v>
      </c>
      <c r="J2185" s="40" t="n">
        <f aca="false">H2185-I2185</f>
        <v>1.05</v>
      </c>
      <c r="K2185" s="41" t="n">
        <v>165</v>
      </c>
      <c r="L2185" s="42" t="n">
        <f aca="false">J2185*K2185</f>
        <v>173.25</v>
      </c>
      <c r="M2185" s="43" t="n">
        <f aca="false">H2185*73.58*(1+'Chart of Accounts'!$E$67)</f>
        <v>88.461555</v>
      </c>
    </row>
    <row r="2186" customFormat="false" ht="15" hidden="false" customHeight="false" outlineLevel="0" collapsed="false">
      <c r="B2186" s="7" t="s">
        <v>2683</v>
      </c>
      <c r="C2186" s="39" t="n">
        <v>45769</v>
      </c>
      <c r="D2186" s="7" t="s">
        <v>313</v>
      </c>
      <c r="E2186" s="7" t="s">
        <v>156</v>
      </c>
      <c r="F2186" s="7" t="s">
        <v>184</v>
      </c>
      <c r="G2186" s="7" t="s">
        <v>505</v>
      </c>
      <c r="H2186" s="6" t="n">
        <v>4.17</v>
      </c>
      <c r="I2186" s="6" t="n">
        <v>0</v>
      </c>
      <c r="J2186" s="40" t="n">
        <f aca="false">H2186-I2186</f>
        <v>4.17</v>
      </c>
      <c r="K2186" s="41" t="n">
        <v>34</v>
      </c>
      <c r="L2186" s="42" t="n">
        <f aca="false">J2186*K2186</f>
        <v>141.78</v>
      </c>
      <c r="M2186" s="43" t="n">
        <f aca="false">H2186*17.34*(1+'Chart of Accounts'!$E$67)</f>
        <v>82.792431</v>
      </c>
    </row>
    <row r="2187" customFormat="false" ht="15" hidden="false" customHeight="false" outlineLevel="0" collapsed="false">
      <c r="B2187" s="7" t="s">
        <v>2684</v>
      </c>
      <c r="C2187" s="39" t="n">
        <v>45769</v>
      </c>
      <c r="D2187" s="7" t="s">
        <v>319</v>
      </c>
      <c r="E2187" s="7" t="s">
        <v>157</v>
      </c>
      <c r="F2187" s="7" t="s">
        <v>234</v>
      </c>
      <c r="G2187" s="7" t="s">
        <v>502</v>
      </c>
      <c r="H2187" s="6" t="n">
        <v>1.04</v>
      </c>
      <c r="I2187" s="6" t="n">
        <v>0.052</v>
      </c>
      <c r="J2187" s="40" t="n">
        <f aca="false">H2187-I2187</f>
        <v>0.988</v>
      </c>
      <c r="K2187" s="41" t="n">
        <v>165</v>
      </c>
      <c r="L2187" s="42" t="n">
        <f aca="false">J2187*K2187</f>
        <v>163.02</v>
      </c>
      <c r="M2187" s="43" t="n">
        <f aca="false">H2187*89.53*(1+'Chart of Accounts'!$E$67)</f>
        <v>106.612324</v>
      </c>
    </row>
    <row r="2188" customFormat="false" ht="15" hidden="false" customHeight="false" outlineLevel="0" collapsed="false">
      <c r="B2188" s="7" t="s">
        <v>2685</v>
      </c>
      <c r="C2188" s="39" t="n">
        <v>45769</v>
      </c>
      <c r="D2188" s="7" t="s">
        <v>321</v>
      </c>
      <c r="E2188" s="7" t="s">
        <v>154</v>
      </c>
      <c r="F2188" s="7" t="s">
        <v>218</v>
      </c>
      <c r="G2188" s="7" t="s">
        <v>505</v>
      </c>
      <c r="H2188" s="6" t="n">
        <v>4.05</v>
      </c>
      <c r="I2188" s="6" t="n">
        <v>0</v>
      </c>
      <c r="J2188" s="40" t="n">
        <f aca="false">H2188-I2188</f>
        <v>4.05</v>
      </c>
      <c r="K2188" s="41" t="n">
        <v>26.5</v>
      </c>
      <c r="L2188" s="42" t="n">
        <f aca="false">J2188*K2188</f>
        <v>107.325</v>
      </c>
      <c r="M2188" s="43" t="n">
        <f aca="false">H2188*16.19*(1+'Chart of Accounts'!$E$67)</f>
        <v>75.0770775</v>
      </c>
    </row>
    <row r="2189" customFormat="false" ht="15" hidden="false" customHeight="false" outlineLevel="0" collapsed="false">
      <c r="B2189" s="7" t="s">
        <v>2686</v>
      </c>
      <c r="C2189" s="39" t="n">
        <v>45769</v>
      </c>
      <c r="D2189" s="7" t="s">
        <v>323</v>
      </c>
      <c r="E2189" s="7" t="s">
        <v>159</v>
      </c>
      <c r="F2189" s="7" t="s">
        <v>266</v>
      </c>
      <c r="G2189" s="7" t="s">
        <v>502</v>
      </c>
      <c r="H2189" s="6" t="n">
        <v>1.02</v>
      </c>
      <c r="I2189" s="6" t="n">
        <v>0</v>
      </c>
      <c r="J2189" s="40" t="n">
        <f aca="false">H2189-I2189</f>
        <v>1.02</v>
      </c>
      <c r="K2189" s="41" t="n">
        <v>135</v>
      </c>
      <c r="L2189" s="42" t="n">
        <f aca="false">J2189*K2189</f>
        <v>137.7</v>
      </c>
      <c r="M2189" s="43" t="n">
        <f aca="false">H2189*75.18*(1+'Chart of Accounts'!$E$67)</f>
        <v>87.802722</v>
      </c>
    </row>
    <row r="2190" customFormat="false" ht="15" hidden="false" customHeight="false" outlineLevel="0" collapsed="false">
      <c r="B2190" s="7" t="s">
        <v>2687</v>
      </c>
      <c r="C2190" s="39" t="n">
        <v>45769</v>
      </c>
      <c r="D2190" s="7" t="s">
        <v>327</v>
      </c>
      <c r="E2190" s="7" t="s">
        <v>157</v>
      </c>
      <c r="F2190" s="7" t="s">
        <v>228</v>
      </c>
      <c r="G2190" s="7" t="s">
        <v>502</v>
      </c>
      <c r="H2190" s="6" t="n">
        <v>0.94</v>
      </c>
      <c r="I2190" s="6" t="n">
        <v>0</v>
      </c>
      <c r="J2190" s="40" t="n">
        <f aca="false">H2190-I2190</f>
        <v>0.94</v>
      </c>
      <c r="K2190" s="41" t="n">
        <v>165</v>
      </c>
      <c r="L2190" s="42" t="n">
        <f aca="false">J2190*K2190</f>
        <v>155.1</v>
      </c>
      <c r="M2190" s="43" t="n">
        <f aca="false">H2190*51.07*(1+'Chart of Accounts'!$E$67)</f>
        <v>54.966641</v>
      </c>
    </row>
    <row r="2191" customFormat="false" ht="15" hidden="false" customHeight="false" outlineLevel="0" collapsed="false">
      <c r="B2191" s="7" t="s">
        <v>2688</v>
      </c>
      <c r="C2191" s="39" t="n">
        <v>45769</v>
      </c>
      <c r="D2191" s="7" t="s">
        <v>329</v>
      </c>
      <c r="E2191" s="7" t="s">
        <v>156</v>
      </c>
      <c r="F2191" s="7" t="s">
        <v>220</v>
      </c>
      <c r="G2191" s="7" t="s">
        <v>505</v>
      </c>
      <c r="H2191" s="6" t="n">
        <v>3.7</v>
      </c>
      <c r="I2191" s="6" t="n">
        <v>0</v>
      </c>
      <c r="J2191" s="40" t="n">
        <f aca="false">H2191-I2191</f>
        <v>3.7</v>
      </c>
      <c r="K2191" s="41" t="n">
        <v>34</v>
      </c>
      <c r="L2191" s="42" t="n">
        <f aca="false">J2191*K2191</f>
        <v>125.8</v>
      </c>
      <c r="M2191" s="43" t="n">
        <f aca="false">H2191*16.43*(1+'Chart of Accounts'!$E$67)</f>
        <v>69.605695</v>
      </c>
    </row>
    <row r="2192" customFormat="false" ht="15" hidden="false" customHeight="false" outlineLevel="0" collapsed="false">
      <c r="B2192" s="7" t="s">
        <v>2689</v>
      </c>
      <c r="C2192" s="39" t="n">
        <v>45769</v>
      </c>
      <c r="D2192" s="7" t="s">
        <v>359</v>
      </c>
      <c r="E2192" s="7" t="s">
        <v>156</v>
      </c>
      <c r="F2192" s="7" t="s">
        <v>212</v>
      </c>
      <c r="G2192" s="7" t="s">
        <v>505</v>
      </c>
      <c r="H2192" s="6" t="n">
        <v>3.62</v>
      </c>
      <c r="I2192" s="6" t="n">
        <v>0</v>
      </c>
      <c r="J2192" s="40" t="n">
        <f aca="false">H2192-I2192</f>
        <v>3.62</v>
      </c>
      <c r="K2192" s="41" t="n">
        <v>34</v>
      </c>
      <c r="L2192" s="42" t="n">
        <f aca="false">J2192*K2192</f>
        <v>123.08</v>
      </c>
      <c r="M2192" s="43" t="n">
        <f aca="false">H2192*16.71*(1+'Chart of Accounts'!$E$67)</f>
        <v>69.261279</v>
      </c>
    </row>
    <row r="2193" customFormat="false" ht="15" hidden="false" customHeight="false" outlineLevel="0" collapsed="false">
      <c r="B2193" s="7" t="s">
        <v>2690</v>
      </c>
      <c r="C2193" s="39" t="n">
        <v>45769</v>
      </c>
      <c r="D2193" s="7" t="s">
        <v>361</v>
      </c>
      <c r="E2193" s="7" t="s">
        <v>157</v>
      </c>
      <c r="F2193" s="7" t="s">
        <v>209</v>
      </c>
      <c r="G2193" s="7" t="s">
        <v>502</v>
      </c>
      <c r="H2193" s="6" t="n">
        <v>1.04</v>
      </c>
      <c r="I2193" s="6" t="n">
        <v>0</v>
      </c>
      <c r="J2193" s="40" t="n">
        <f aca="false">H2193-I2193</f>
        <v>1.04</v>
      </c>
      <c r="K2193" s="41" t="n">
        <v>165</v>
      </c>
      <c r="L2193" s="42" t="n">
        <f aca="false">J2193*K2193</f>
        <v>171.6</v>
      </c>
      <c r="M2193" s="43" t="n">
        <f aca="false">H2193*73.58*(1+'Chart of Accounts'!$E$67)</f>
        <v>87.619064</v>
      </c>
    </row>
    <row r="2194" customFormat="false" ht="15" hidden="false" customHeight="false" outlineLevel="0" collapsed="false">
      <c r="B2194" s="7" t="s">
        <v>2691</v>
      </c>
      <c r="C2194" s="39" t="n">
        <v>45769</v>
      </c>
      <c r="D2194" s="7" t="s">
        <v>365</v>
      </c>
      <c r="E2194" s="7" t="s">
        <v>154</v>
      </c>
      <c r="F2194" s="7" t="s">
        <v>194</v>
      </c>
      <c r="G2194" s="7" t="s">
        <v>505</v>
      </c>
      <c r="H2194" s="6" t="n">
        <v>4.25</v>
      </c>
      <c r="I2194" s="6" t="n">
        <v>0</v>
      </c>
      <c r="J2194" s="40" t="n">
        <f aca="false">H2194-I2194</f>
        <v>4.25</v>
      </c>
      <c r="K2194" s="41" t="n">
        <v>26.5</v>
      </c>
      <c r="L2194" s="42" t="n">
        <f aca="false">J2194*K2194</f>
        <v>112.625</v>
      </c>
      <c r="M2194" s="43" t="n">
        <f aca="false">H2194*16*(1+'Chart of Accounts'!$E$67)</f>
        <v>77.86</v>
      </c>
    </row>
    <row r="2195" customFormat="false" ht="15" hidden="false" customHeight="false" outlineLevel="0" collapsed="false">
      <c r="B2195" s="7" t="s">
        <v>2692</v>
      </c>
      <c r="C2195" s="39" t="n">
        <v>45769</v>
      </c>
      <c r="D2195" s="7" t="s">
        <v>381</v>
      </c>
      <c r="E2195" s="7" t="s">
        <v>157</v>
      </c>
      <c r="F2195" s="7" t="s">
        <v>234</v>
      </c>
      <c r="G2195" s="7" t="s">
        <v>502</v>
      </c>
      <c r="H2195" s="6" t="n">
        <v>0.91</v>
      </c>
      <c r="I2195" s="6" t="n">
        <v>0.046</v>
      </c>
      <c r="J2195" s="40" t="n">
        <f aca="false">H2195-I2195</f>
        <v>0.864</v>
      </c>
      <c r="K2195" s="41" t="n">
        <v>165</v>
      </c>
      <c r="L2195" s="42" t="n">
        <f aca="false">J2195*K2195</f>
        <v>142.56</v>
      </c>
      <c r="M2195" s="43" t="n">
        <f aca="false">H2195*89.53*(1+'Chart of Accounts'!$E$67)</f>
        <v>93.2857835</v>
      </c>
    </row>
    <row r="2196" customFormat="false" ht="15" hidden="false" customHeight="false" outlineLevel="0" collapsed="false">
      <c r="B2196" s="7" t="s">
        <v>2693</v>
      </c>
      <c r="C2196" s="39" t="n">
        <v>45769</v>
      </c>
      <c r="D2196" s="7" t="s">
        <v>389</v>
      </c>
      <c r="E2196" s="7" t="s">
        <v>154</v>
      </c>
      <c r="F2196" s="7" t="s">
        <v>246</v>
      </c>
      <c r="G2196" s="7" t="s">
        <v>505</v>
      </c>
      <c r="H2196" s="6" t="n">
        <v>3.95</v>
      </c>
      <c r="I2196" s="6" t="n">
        <v>0</v>
      </c>
      <c r="J2196" s="40" t="n">
        <f aca="false">H2196-I2196</f>
        <v>3.95</v>
      </c>
      <c r="K2196" s="41" t="n">
        <v>26.5</v>
      </c>
      <c r="L2196" s="42" t="n">
        <f aca="false">J2196*K2196</f>
        <v>104.675</v>
      </c>
      <c r="M2196" s="43" t="n">
        <f aca="false">H2196*16.48*(1+'Chart of Accounts'!$E$67)</f>
        <v>74.53492</v>
      </c>
    </row>
    <row r="2197" customFormat="false" ht="15" hidden="false" customHeight="false" outlineLevel="0" collapsed="false">
      <c r="B2197" s="7" t="s">
        <v>2694</v>
      </c>
      <c r="C2197" s="39" t="n">
        <v>45769</v>
      </c>
      <c r="D2197" s="7" t="s">
        <v>391</v>
      </c>
      <c r="E2197" s="7" t="s">
        <v>156</v>
      </c>
      <c r="F2197" s="7" t="s">
        <v>222</v>
      </c>
      <c r="G2197" s="7" t="s">
        <v>505</v>
      </c>
      <c r="H2197" s="6" t="n">
        <v>3.85</v>
      </c>
      <c r="I2197" s="6" t="n">
        <v>0</v>
      </c>
      <c r="J2197" s="40" t="n">
        <f aca="false">H2197-I2197</f>
        <v>3.85</v>
      </c>
      <c r="K2197" s="41" t="n">
        <v>34</v>
      </c>
      <c r="L2197" s="42" t="n">
        <f aca="false">J2197*K2197</f>
        <v>130.9</v>
      </c>
      <c r="M2197" s="43" t="n">
        <f aca="false">H2197*17.84*(1+'Chart of Accounts'!$E$67)</f>
        <v>78.64318</v>
      </c>
    </row>
    <row r="2198" customFormat="false" ht="15" hidden="false" customHeight="false" outlineLevel="0" collapsed="false">
      <c r="B2198" s="7" t="s">
        <v>2695</v>
      </c>
      <c r="C2198" s="39" t="n">
        <v>45769</v>
      </c>
      <c r="D2198" s="7" t="s">
        <v>395</v>
      </c>
      <c r="E2198" s="7" t="s">
        <v>156</v>
      </c>
      <c r="F2198" s="7" t="s">
        <v>242</v>
      </c>
      <c r="G2198" s="7" t="s">
        <v>505</v>
      </c>
      <c r="H2198" s="6" t="n">
        <v>3.68</v>
      </c>
      <c r="I2198" s="6" t="n">
        <v>0</v>
      </c>
      <c r="J2198" s="40" t="n">
        <f aca="false">H2198-I2198</f>
        <v>3.68</v>
      </c>
      <c r="K2198" s="41" t="n">
        <v>34</v>
      </c>
      <c r="L2198" s="42" t="n">
        <f aca="false">J2198*K2198</f>
        <v>125.12</v>
      </c>
      <c r="M2198" s="43" t="n">
        <f aca="false">H2198*17.99*(1+'Chart of Accounts'!$E$67)</f>
        <v>75.802664</v>
      </c>
    </row>
    <row r="2199" customFormat="false" ht="15" hidden="false" customHeight="false" outlineLevel="0" collapsed="false">
      <c r="B2199" s="7" t="s">
        <v>2696</v>
      </c>
      <c r="C2199" s="39" t="n">
        <v>45769</v>
      </c>
      <c r="D2199" s="7" t="s">
        <v>397</v>
      </c>
      <c r="E2199" s="7" t="s">
        <v>159</v>
      </c>
      <c r="F2199" s="7" t="s">
        <v>203</v>
      </c>
      <c r="G2199" s="7" t="s">
        <v>502</v>
      </c>
      <c r="H2199" s="6" t="n">
        <v>0.95</v>
      </c>
      <c r="I2199" s="6" t="n">
        <v>0</v>
      </c>
      <c r="J2199" s="40" t="n">
        <f aca="false">H2199-I2199</f>
        <v>0.95</v>
      </c>
      <c r="K2199" s="41" t="n">
        <v>135</v>
      </c>
      <c r="L2199" s="42" t="n">
        <f aca="false">J2199*K2199</f>
        <v>128.25</v>
      </c>
      <c r="M2199" s="43" t="n">
        <f aca="false">H2199*49.43*(1+'Chart of Accounts'!$E$67)</f>
        <v>53.7674825</v>
      </c>
    </row>
    <row r="2200" customFormat="false" ht="15" hidden="false" customHeight="false" outlineLevel="0" collapsed="false">
      <c r="B2200" s="7" t="s">
        <v>2697</v>
      </c>
      <c r="C2200" s="39" t="n">
        <v>45769</v>
      </c>
      <c r="D2200" s="7" t="s">
        <v>401</v>
      </c>
      <c r="E2200" s="7" t="s">
        <v>156</v>
      </c>
      <c r="F2200" s="7" t="s">
        <v>254</v>
      </c>
      <c r="G2200" s="7" t="s">
        <v>505</v>
      </c>
      <c r="H2200" s="6" t="n">
        <v>3.93</v>
      </c>
      <c r="I2200" s="6" t="n">
        <v>0</v>
      </c>
      <c r="J2200" s="40" t="n">
        <f aca="false">H2200-I2200</f>
        <v>3.93</v>
      </c>
      <c r="K2200" s="41" t="n">
        <v>34</v>
      </c>
      <c r="L2200" s="42" t="n">
        <f aca="false">J2200*K2200</f>
        <v>133.62</v>
      </c>
      <c r="M2200" s="43" t="n">
        <f aca="false">H2200*17.1*(1+'Chart of Accounts'!$E$67)</f>
        <v>76.947435</v>
      </c>
    </row>
    <row r="2201" customFormat="false" ht="15" hidden="false" customHeight="false" outlineLevel="0" collapsed="false">
      <c r="B2201" s="7" t="s">
        <v>2698</v>
      </c>
      <c r="C2201" s="39" t="n">
        <v>45769</v>
      </c>
      <c r="D2201" s="7" t="s">
        <v>407</v>
      </c>
      <c r="E2201" s="7" t="s">
        <v>159</v>
      </c>
      <c r="F2201" s="7" t="s">
        <v>260</v>
      </c>
      <c r="G2201" s="7" t="s">
        <v>502</v>
      </c>
      <c r="H2201" s="6" t="n">
        <v>0.97</v>
      </c>
      <c r="I2201" s="6" t="n">
        <v>0.068</v>
      </c>
      <c r="J2201" s="40" t="n">
        <f aca="false">H2201-I2201</f>
        <v>0.902</v>
      </c>
      <c r="K2201" s="41" t="n">
        <v>135</v>
      </c>
      <c r="L2201" s="42" t="n">
        <f aca="false">J2201*K2201</f>
        <v>121.77</v>
      </c>
      <c r="M2201" s="43" t="n">
        <f aca="false">H2201*79.8*(1+'Chart of Accounts'!$E$67)</f>
        <v>88.62987</v>
      </c>
    </row>
    <row r="2202" customFormat="false" ht="15" hidden="false" customHeight="false" outlineLevel="0" collapsed="false">
      <c r="B2202" s="7" t="s">
        <v>2699</v>
      </c>
      <c r="C2202" s="39" t="n">
        <v>45770</v>
      </c>
      <c r="D2202" s="7" t="s">
        <v>280</v>
      </c>
      <c r="E2202" s="7" t="s">
        <v>157</v>
      </c>
      <c r="F2202" s="7" t="s">
        <v>187</v>
      </c>
      <c r="G2202" s="7" t="s">
        <v>502</v>
      </c>
      <c r="H2202" s="6" t="n">
        <v>0.98</v>
      </c>
      <c r="I2202" s="6" t="n">
        <v>0</v>
      </c>
      <c r="J2202" s="40" t="n">
        <f aca="false">H2202-I2202</f>
        <v>0.98</v>
      </c>
      <c r="K2202" s="41" t="n">
        <v>165</v>
      </c>
      <c r="L2202" s="42" t="n">
        <f aca="false">J2202*K2202</f>
        <v>161.7</v>
      </c>
      <c r="M2202" s="43" t="n">
        <f aca="false">H2202*66.48*(1+'Chart of Accounts'!$E$67)</f>
        <v>74.597208</v>
      </c>
    </row>
    <row r="2203" customFormat="false" ht="15" hidden="false" customHeight="false" outlineLevel="0" collapsed="false">
      <c r="B2203" s="7" t="s">
        <v>2700</v>
      </c>
      <c r="C2203" s="39" t="n">
        <v>45770</v>
      </c>
      <c r="D2203" s="7" t="s">
        <v>286</v>
      </c>
      <c r="E2203" s="7" t="s">
        <v>157</v>
      </c>
      <c r="F2203" s="7" t="s">
        <v>228</v>
      </c>
      <c r="G2203" s="7" t="s">
        <v>502</v>
      </c>
      <c r="H2203" s="6" t="n">
        <v>0.96</v>
      </c>
      <c r="I2203" s="6" t="n">
        <v>0</v>
      </c>
      <c r="J2203" s="40" t="n">
        <f aca="false">H2203-I2203</f>
        <v>0.96</v>
      </c>
      <c r="K2203" s="41" t="n">
        <v>165</v>
      </c>
      <c r="L2203" s="42" t="n">
        <f aca="false">J2203*K2203</f>
        <v>158.4</v>
      </c>
      <c r="M2203" s="43" t="n">
        <f aca="false">H2203*51.07*(1+'Chart of Accounts'!$E$67)</f>
        <v>56.136144</v>
      </c>
    </row>
    <row r="2204" customFormat="false" ht="15" hidden="false" customHeight="false" outlineLevel="0" collapsed="false">
      <c r="B2204" s="7" t="s">
        <v>2701</v>
      </c>
      <c r="C2204" s="39" t="n">
        <v>45770</v>
      </c>
      <c r="D2204" s="7" t="s">
        <v>288</v>
      </c>
      <c r="E2204" s="7" t="s">
        <v>156</v>
      </c>
      <c r="F2204" s="7" t="s">
        <v>191</v>
      </c>
      <c r="G2204" s="7" t="s">
        <v>505</v>
      </c>
      <c r="H2204" s="6" t="n">
        <v>3.7</v>
      </c>
      <c r="I2204" s="6" t="n">
        <v>0</v>
      </c>
      <c r="J2204" s="40" t="n">
        <f aca="false">H2204-I2204</f>
        <v>3.7</v>
      </c>
      <c r="K2204" s="41" t="n">
        <v>34</v>
      </c>
      <c r="L2204" s="42" t="n">
        <f aca="false">J2204*K2204</f>
        <v>125.8</v>
      </c>
      <c r="M2204" s="43" t="n">
        <f aca="false">H2204*16.05*(1+'Chart of Accounts'!$E$67)</f>
        <v>67.995825</v>
      </c>
    </row>
    <row r="2205" customFormat="false" ht="15" hidden="false" customHeight="false" outlineLevel="0" collapsed="false">
      <c r="B2205" s="7" t="s">
        <v>2702</v>
      </c>
      <c r="C2205" s="39" t="n">
        <v>45770</v>
      </c>
      <c r="D2205" s="7" t="s">
        <v>291</v>
      </c>
      <c r="E2205" s="7" t="s">
        <v>154</v>
      </c>
      <c r="F2205" s="7" t="s">
        <v>194</v>
      </c>
      <c r="G2205" s="7" t="s">
        <v>505</v>
      </c>
      <c r="H2205" s="6" t="n">
        <v>4.75</v>
      </c>
      <c r="I2205" s="6" t="n">
        <v>0</v>
      </c>
      <c r="J2205" s="40" t="n">
        <f aca="false">H2205-I2205</f>
        <v>4.75</v>
      </c>
      <c r="K2205" s="41" t="n">
        <v>26.5</v>
      </c>
      <c r="L2205" s="42" t="n">
        <f aca="false">J2205*K2205</f>
        <v>125.875</v>
      </c>
      <c r="M2205" s="43" t="n">
        <f aca="false">H2205*16*(1+'Chart of Accounts'!$E$67)</f>
        <v>87.02</v>
      </c>
    </row>
    <row r="2206" customFormat="false" ht="15" hidden="false" customHeight="false" outlineLevel="0" collapsed="false">
      <c r="B2206" s="7" t="s">
        <v>2703</v>
      </c>
      <c r="C2206" s="39" t="n">
        <v>45770</v>
      </c>
      <c r="D2206" s="7" t="s">
        <v>305</v>
      </c>
      <c r="E2206" s="7" t="s">
        <v>154</v>
      </c>
      <c r="F2206" s="7" t="s">
        <v>205</v>
      </c>
      <c r="G2206" s="7" t="s">
        <v>505</v>
      </c>
      <c r="H2206" s="6" t="n">
        <v>3.91</v>
      </c>
      <c r="I2206" s="6" t="n">
        <v>0.117</v>
      </c>
      <c r="J2206" s="40" t="n">
        <f aca="false">H2206-I2206</f>
        <v>3.793</v>
      </c>
      <c r="K2206" s="41" t="n">
        <v>26.5</v>
      </c>
      <c r="L2206" s="42" t="n">
        <f aca="false">J2206*K2206</f>
        <v>100.5145</v>
      </c>
      <c r="M2206" s="43" t="n">
        <f aca="false">H2206*16.36*(1+'Chart of Accounts'!$E$67)</f>
        <v>73.242902</v>
      </c>
    </row>
    <row r="2207" customFormat="false" ht="15" hidden="false" customHeight="false" outlineLevel="0" collapsed="false">
      <c r="B2207" s="7" t="s">
        <v>2704</v>
      </c>
      <c r="C2207" s="39" t="n">
        <v>45770</v>
      </c>
      <c r="D2207" s="7" t="s">
        <v>307</v>
      </c>
      <c r="E2207" s="7" t="s">
        <v>157</v>
      </c>
      <c r="F2207" s="7" t="s">
        <v>264</v>
      </c>
      <c r="G2207" s="7" t="s">
        <v>502</v>
      </c>
      <c r="H2207" s="6" t="n">
        <v>0.99</v>
      </c>
      <c r="I2207" s="6" t="n">
        <v>0</v>
      </c>
      <c r="J2207" s="40" t="n">
        <f aca="false">H2207-I2207</f>
        <v>0.99</v>
      </c>
      <c r="K2207" s="41" t="n">
        <v>165</v>
      </c>
      <c r="L2207" s="42" t="n">
        <f aca="false">J2207*K2207</f>
        <v>163.35</v>
      </c>
      <c r="M2207" s="43" t="n">
        <f aca="false">H2207*55.55*(1+'Chart of Accounts'!$E$67)</f>
        <v>62.9687025</v>
      </c>
    </row>
    <row r="2208" customFormat="false" ht="15" hidden="false" customHeight="false" outlineLevel="0" collapsed="false">
      <c r="B2208" s="7" t="s">
        <v>2705</v>
      </c>
      <c r="C2208" s="39" t="n">
        <v>45770</v>
      </c>
      <c r="D2208" s="7" t="s">
        <v>309</v>
      </c>
      <c r="E2208" s="7" t="s">
        <v>159</v>
      </c>
      <c r="F2208" s="7" t="s">
        <v>252</v>
      </c>
      <c r="G2208" s="7" t="s">
        <v>502</v>
      </c>
      <c r="H2208" s="6" t="n">
        <v>0.98</v>
      </c>
      <c r="I2208" s="6" t="n">
        <v>0</v>
      </c>
      <c r="J2208" s="40" t="n">
        <f aca="false">H2208-I2208</f>
        <v>0.98</v>
      </c>
      <c r="K2208" s="41" t="n">
        <v>135</v>
      </c>
      <c r="L2208" s="42" t="n">
        <f aca="false">J2208*K2208</f>
        <v>132.3</v>
      </c>
      <c r="M2208" s="43" t="n">
        <f aca="false">H2208*57.54*(1+'Chart of Accounts'!$E$67)</f>
        <v>64.565634</v>
      </c>
    </row>
    <row r="2209" customFormat="false" ht="15" hidden="false" customHeight="false" outlineLevel="0" collapsed="false">
      <c r="B2209" s="7" t="s">
        <v>2706</v>
      </c>
      <c r="C2209" s="39" t="n">
        <v>45770</v>
      </c>
      <c r="D2209" s="7" t="s">
        <v>313</v>
      </c>
      <c r="E2209" s="7" t="s">
        <v>156</v>
      </c>
      <c r="F2209" s="7" t="s">
        <v>184</v>
      </c>
      <c r="G2209" s="7" t="s">
        <v>505</v>
      </c>
      <c r="H2209" s="6" t="n">
        <v>3.82</v>
      </c>
      <c r="I2209" s="6" t="n">
        <v>0</v>
      </c>
      <c r="J2209" s="40" t="n">
        <f aca="false">H2209-I2209</f>
        <v>3.82</v>
      </c>
      <c r="K2209" s="41" t="n">
        <v>34</v>
      </c>
      <c r="L2209" s="42" t="n">
        <f aca="false">J2209*K2209</f>
        <v>129.88</v>
      </c>
      <c r="M2209" s="43" t="n">
        <f aca="false">H2209*17.34*(1+'Chart of Accounts'!$E$67)</f>
        <v>75.843426</v>
      </c>
    </row>
    <row r="2210" customFormat="false" ht="15" hidden="false" customHeight="false" outlineLevel="0" collapsed="false">
      <c r="B2210" s="7" t="s">
        <v>2707</v>
      </c>
      <c r="C2210" s="39" t="n">
        <v>45770</v>
      </c>
      <c r="D2210" s="7" t="s">
        <v>321</v>
      </c>
      <c r="E2210" s="7" t="s">
        <v>154</v>
      </c>
      <c r="F2210" s="7" t="s">
        <v>218</v>
      </c>
      <c r="G2210" s="7" t="s">
        <v>505</v>
      </c>
      <c r="H2210" s="6" t="n">
        <v>3.8</v>
      </c>
      <c r="I2210" s="6" t="n">
        <v>0</v>
      </c>
      <c r="J2210" s="40" t="n">
        <f aca="false">H2210-I2210</f>
        <v>3.8</v>
      </c>
      <c r="K2210" s="41" t="n">
        <v>26.5</v>
      </c>
      <c r="L2210" s="42" t="n">
        <f aca="false">J2210*K2210</f>
        <v>100.7</v>
      </c>
      <c r="M2210" s="43" t="n">
        <f aca="false">H2210*16.19*(1+'Chart of Accounts'!$E$67)</f>
        <v>70.44269</v>
      </c>
    </row>
    <row r="2211" customFormat="false" ht="15" hidden="false" customHeight="false" outlineLevel="0" collapsed="false">
      <c r="B2211" s="7" t="s">
        <v>2708</v>
      </c>
      <c r="C2211" s="39" t="n">
        <v>45770</v>
      </c>
      <c r="D2211" s="7" t="s">
        <v>329</v>
      </c>
      <c r="E2211" s="7" t="s">
        <v>156</v>
      </c>
      <c r="F2211" s="7" t="s">
        <v>220</v>
      </c>
      <c r="G2211" s="7" t="s">
        <v>505</v>
      </c>
      <c r="H2211" s="6" t="n">
        <v>3.84</v>
      </c>
      <c r="I2211" s="6" t="n">
        <v>0</v>
      </c>
      <c r="J2211" s="40" t="n">
        <f aca="false">H2211-I2211</f>
        <v>3.84</v>
      </c>
      <c r="K2211" s="41" t="n">
        <v>34</v>
      </c>
      <c r="L2211" s="42" t="n">
        <f aca="false">J2211*K2211</f>
        <v>130.56</v>
      </c>
      <c r="M2211" s="43" t="n">
        <f aca="false">H2211*16.43*(1+'Chart of Accounts'!$E$67)</f>
        <v>72.239424</v>
      </c>
    </row>
    <row r="2212" customFormat="false" ht="15" hidden="false" customHeight="false" outlineLevel="0" collapsed="false">
      <c r="B2212" s="7" t="s">
        <v>2709</v>
      </c>
      <c r="C2212" s="39" t="n">
        <v>45770</v>
      </c>
      <c r="D2212" s="7" t="s">
        <v>335</v>
      </c>
      <c r="E2212" s="7" t="s">
        <v>154</v>
      </c>
      <c r="F2212" s="7" t="s">
        <v>177</v>
      </c>
      <c r="G2212" s="7" t="s">
        <v>505</v>
      </c>
      <c r="H2212" s="6" t="n">
        <v>4.11</v>
      </c>
      <c r="I2212" s="6" t="n">
        <v>0</v>
      </c>
      <c r="J2212" s="40" t="n">
        <f aca="false">H2212-I2212</f>
        <v>4.11</v>
      </c>
      <c r="K2212" s="41" t="n">
        <v>26.5</v>
      </c>
      <c r="L2212" s="42" t="n">
        <f aca="false">J2212*K2212</f>
        <v>108.915</v>
      </c>
      <c r="M2212" s="43" t="n">
        <f aca="false">H2212*14.56*(1+'Chart of Accounts'!$E$67)</f>
        <v>68.518632</v>
      </c>
    </row>
    <row r="2213" customFormat="false" ht="15" hidden="false" customHeight="false" outlineLevel="0" collapsed="false">
      <c r="B2213" s="7" t="s">
        <v>2710</v>
      </c>
      <c r="C2213" s="39" t="n">
        <v>45770</v>
      </c>
      <c r="D2213" s="7" t="s">
        <v>339</v>
      </c>
      <c r="E2213" s="7" t="s">
        <v>154</v>
      </c>
      <c r="F2213" s="7" t="s">
        <v>242</v>
      </c>
      <c r="G2213" s="7" t="s">
        <v>505</v>
      </c>
      <c r="H2213" s="6" t="n">
        <v>3.25</v>
      </c>
      <c r="I2213" s="6" t="n">
        <v>0</v>
      </c>
      <c r="J2213" s="40" t="n">
        <f aca="false">H2213-I2213</f>
        <v>3.25</v>
      </c>
      <c r="K2213" s="41" t="n">
        <v>26.5</v>
      </c>
      <c r="L2213" s="42" t="n">
        <f aca="false">J2213*K2213</f>
        <v>86.125</v>
      </c>
      <c r="M2213" s="43" t="n">
        <f aca="false">H2213*17.99*(1+'Chart of Accounts'!$E$67)</f>
        <v>66.9452875</v>
      </c>
    </row>
    <row r="2214" customFormat="false" ht="15" hidden="false" customHeight="false" outlineLevel="0" collapsed="false">
      <c r="B2214" s="7" t="s">
        <v>2711</v>
      </c>
      <c r="C2214" s="39" t="n">
        <v>45770</v>
      </c>
      <c r="D2214" s="7" t="s">
        <v>353</v>
      </c>
      <c r="E2214" s="7" t="s">
        <v>154</v>
      </c>
      <c r="F2214" s="7" t="s">
        <v>254</v>
      </c>
      <c r="G2214" s="7" t="s">
        <v>505</v>
      </c>
      <c r="H2214" s="6" t="n">
        <v>3.36</v>
      </c>
      <c r="I2214" s="6" t="n">
        <v>0</v>
      </c>
      <c r="J2214" s="40" t="n">
        <f aca="false">H2214-I2214</f>
        <v>3.36</v>
      </c>
      <c r="K2214" s="41" t="n">
        <v>26.5</v>
      </c>
      <c r="L2214" s="42" t="n">
        <f aca="false">J2214*K2214</f>
        <v>89.04</v>
      </c>
      <c r="M2214" s="43" t="n">
        <f aca="false">H2214*17.1*(1+'Chart of Accounts'!$E$67)</f>
        <v>65.78712</v>
      </c>
    </row>
    <row r="2215" customFormat="false" ht="15" hidden="false" customHeight="false" outlineLevel="0" collapsed="false">
      <c r="B2215" s="7" t="s">
        <v>2712</v>
      </c>
      <c r="C2215" s="39" t="n">
        <v>45770</v>
      </c>
      <c r="D2215" s="7" t="s">
        <v>357</v>
      </c>
      <c r="E2215" s="7" t="s">
        <v>154</v>
      </c>
      <c r="F2215" s="7" t="s">
        <v>207</v>
      </c>
      <c r="G2215" s="7" t="s">
        <v>505</v>
      </c>
      <c r="H2215" s="6" t="n">
        <v>3.64</v>
      </c>
      <c r="I2215" s="6" t="n">
        <v>0</v>
      </c>
      <c r="J2215" s="40" t="n">
        <f aca="false">H2215-I2215</f>
        <v>3.64</v>
      </c>
      <c r="K2215" s="41" t="n">
        <v>26.5</v>
      </c>
      <c r="L2215" s="42" t="n">
        <f aca="false">J2215*K2215</f>
        <v>96.46</v>
      </c>
      <c r="M2215" s="43" t="n">
        <f aca="false">H2215*16.65*(1+'Chart of Accounts'!$E$67)</f>
        <v>69.39387</v>
      </c>
    </row>
    <row r="2216" customFormat="false" ht="15" hidden="false" customHeight="false" outlineLevel="0" collapsed="false">
      <c r="B2216" s="7" t="s">
        <v>2713</v>
      </c>
      <c r="C2216" s="39" t="n">
        <v>45770</v>
      </c>
      <c r="D2216" s="7" t="s">
        <v>359</v>
      </c>
      <c r="E2216" s="7" t="s">
        <v>156</v>
      </c>
      <c r="F2216" s="7" t="s">
        <v>212</v>
      </c>
      <c r="G2216" s="7" t="s">
        <v>505</v>
      </c>
      <c r="H2216" s="6" t="n">
        <v>3.73</v>
      </c>
      <c r="I2216" s="6" t="n">
        <v>0</v>
      </c>
      <c r="J2216" s="40" t="n">
        <f aca="false">H2216-I2216</f>
        <v>3.73</v>
      </c>
      <c r="K2216" s="41" t="n">
        <v>34</v>
      </c>
      <c r="L2216" s="42" t="n">
        <f aca="false">J2216*K2216</f>
        <v>126.82</v>
      </c>
      <c r="M2216" s="43" t="n">
        <f aca="false">H2216*16.71*(1+'Chart of Accounts'!$E$67)</f>
        <v>71.3659035</v>
      </c>
    </row>
    <row r="2217" customFormat="false" ht="15" hidden="false" customHeight="false" outlineLevel="0" collapsed="false">
      <c r="B2217" s="7" t="s">
        <v>2714</v>
      </c>
      <c r="C2217" s="39" t="n">
        <v>45770</v>
      </c>
      <c r="D2217" s="7" t="s">
        <v>365</v>
      </c>
      <c r="E2217" s="7" t="s">
        <v>154</v>
      </c>
      <c r="F2217" s="7" t="s">
        <v>194</v>
      </c>
      <c r="G2217" s="7" t="s">
        <v>505</v>
      </c>
      <c r="H2217" s="6" t="n">
        <v>3.82</v>
      </c>
      <c r="I2217" s="6" t="n">
        <v>0</v>
      </c>
      <c r="J2217" s="40" t="n">
        <f aca="false">H2217-I2217</f>
        <v>3.82</v>
      </c>
      <c r="K2217" s="41" t="n">
        <v>26.5</v>
      </c>
      <c r="L2217" s="42" t="n">
        <f aca="false">J2217*K2217</f>
        <v>101.23</v>
      </c>
      <c r="M2217" s="43" t="n">
        <f aca="false">H2217*16*(1+'Chart of Accounts'!$E$67)</f>
        <v>69.9824</v>
      </c>
    </row>
    <row r="2218" customFormat="false" ht="15" hidden="false" customHeight="false" outlineLevel="0" collapsed="false">
      <c r="B2218" s="7" t="s">
        <v>2715</v>
      </c>
      <c r="C2218" s="39" t="n">
        <v>45770</v>
      </c>
      <c r="D2218" s="7" t="s">
        <v>371</v>
      </c>
      <c r="E2218" s="7" t="s">
        <v>154</v>
      </c>
      <c r="F2218" s="7" t="s">
        <v>232</v>
      </c>
      <c r="G2218" s="7" t="s">
        <v>505</v>
      </c>
      <c r="H2218" s="6" t="n">
        <v>5.13</v>
      </c>
      <c r="I2218" s="6" t="n">
        <v>0</v>
      </c>
      <c r="J2218" s="40" t="n">
        <f aca="false">H2218-I2218</f>
        <v>5.13</v>
      </c>
      <c r="K2218" s="41" t="n">
        <v>26.5</v>
      </c>
      <c r="L2218" s="42" t="n">
        <f aca="false">J2218*K2218</f>
        <v>135.945</v>
      </c>
      <c r="M2218" s="43" t="n">
        <f aca="false">H2218*16.17*(1+'Chart of Accounts'!$E$67)</f>
        <v>94.9801545</v>
      </c>
    </row>
    <row r="2219" customFormat="false" ht="15" hidden="false" customHeight="false" outlineLevel="0" collapsed="false">
      <c r="B2219" s="7" t="s">
        <v>2716</v>
      </c>
      <c r="C2219" s="39" t="n">
        <v>45770</v>
      </c>
      <c r="D2219" s="7" t="s">
        <v>379</v>
      </c>
      <c r="E2219" s="7" t="s">
        <v>156</v>
      </c>
      <c r="F2219" s="7" t="s">
        <v>224</v>
      </c>
      <c r="G2219" s="7" t="s">
        <v>505</v>
      </c>
      <c r="H2219" s="6" t="n">
        <v>4.98</v>
      </c>
      <c r="I2219" s="6" t="n">
        <v>0</v>
      </c>
      <c r="J2219" s="40" t="n">
        <f aca="false">H2219-I2219</f>
        <v>4.98</v>
      </c>
      <c r="K2219" s="41" t="n">
        <v>34</v>
      </c>
      <c r="L2219" s="42" t="n">
        <f aca="false">J2219*K2219</f>
        <v>169.32</v>
      </c>
      <c r="M2219" s="43" t="n">
        <f aca="false">H2219*14.93*(1+'Chart of Accounts'!$E$67)</f>
        <v>85.132353</v>
      </c>
    </row>
    <row r="2220" customFormat="false" ht="15" hidden="false" customHeight="false" outlineLevel="0" collapsed="false">
      <c r="B2220" s="7" t="s">
        <v>2717</v>
      </c>
      <c r="C2220" s="39" t="n">
        <v>45770</v>
      </c>
      <c r="D2220" s="7" t="s">
        <v>385</v>
      </c>
      <c r="E2220" s="7" t="s">
        <v>156</v>
      </c>
      <c r="F2220" s="7" t="s">
        <v>238</v>
      </c>
      <c r="G2220" s="7" t="s">
        <v>505</v>
      </c>
      <c r="H2220" s="6" t="n">
        <v>4.03</v>
      </c>
      <c r="I2220" s="6" t="n">
        <v>0</v>
      </c>
      <c r="J2220" s="40" t="n">
        <f aca="false">H2220-I2220</f>
        <v>4.03</v>
      </c>
      <c r="K2220" s="41" t="n">
        <v>34</v>
      </c>
      <c r="L2220" s="42" t="n">
        <f aca="false">J2220*K2220</f>
        <v>137.02</v>
      </c>
      <c r="M2220" s="43" t="n">
        <f aca="false">H2220*15.85*(1+'Chart of Accounts'!$E$67)</f>
        <v>73.1374475</v>
      </c>
    </row>
    <row r="2221" customFormat="false" ht="15" hidden="false" customHeight="false" outlineLevel="0" collapsed="false">
      <c r="B2221" s="7" t="s">
        <v>2718</v>
      </c>
      <c r="C2221" s="39" t="n">
        <v>45770</v>
      </c>
      <c r="D2221" s="7" t="s">
        <v>389</v>
      </c>
      <c r="E2221" s="7" t="s">
        <v>154</v>
      </c>
      <c r="F2221" s="7" t="s">
        <v>246</v>
      </c>
      <c r="G2221" s="7" t="s">
        <v>505</v>
      </c>
      <c r="H2221" s="6" t="n">
        <v>4.16</v>
      </c>
      <c r="I2221" s="6" t="n">
        <v>0</v>
      </c>
      <c r="J2221" s="40" t="n">
        <f aca="false">H2221-I2221</f>
        <v>4.16</v>
      </c>
      <c r="K2221" s="41" t="n">
        <v>26.5</v>
      </c>
      <c r="L2221" s="42" t="n">
        <f aca="false">J2221*K2221</f>
        <v>110.24</v>
      </c>
      <c r="M2221" s="43" t="n">
        <f aca="false">H2221*16.48*(1+'Chart of Accounts'!$E$67)</f>
        <v>78.497536</v>
      </c>
    </row>
    <row r="2222" customFormat="false" ht="15" hidden="false" customHeight="false" outlineLevel="0" collapsed="false">
      <c r="B2222" s="7" t="s">
        <v>2719</v>
      </c>
      <c r="C2222" s="39" t="n">
        <v>45770</v>
      </c>
      <c r="D2222" s="7" t="s">
        <v>391</v>
      </c>
      <c r="E2222" s="7" t="s">
        <v>156</v>
      </c>
      <c r="F2222" s="7" t="s">
        <v>222</v>
      </c>
      <c r="G2222" s="7" t="s">
        <v>505</v>
      </c>
      <c r="H2222" s="6" t="n">
        <v>4.4</v>
      </c>
      <c r="I2222" s="6" t="n">
        <v>0</v>
      </c>
      <c r="J2222" s="40" t="n">
        <f aca="false">H2222-I2222</f>
        <v>4.4</v>
      </c>
      <c r="K2222" s="41" t="n">
        <v>34</v>
      </c>
      <c r="L2222" s="42" t="n">
        <f aca="false">J2222*K2222</f>
        <v>149.6</v>
      </c>
      <c r="M2222" s="43" t="n">
        <f aca="false">H2222*17.84*(1+'Chart of Accounts'!$E$67)</f>
        <v>89.87792</v>
      </c>
    </row>
    <row r="2223" customFormat="false" ht="15" hidden="false" customHeight="false" outlineLevel="0" collapsed="false">
      <c r="B2223" s="7" t="s">
        <v>2720</v>
      </c>
      <c r="C2223" s="39" t="n">
        <v>45770</v>
      </c>
      <c r="D2223" s="7" t="s">
        <v>393</v>
      </c>
      <c r="E2223" s="7" t="s">
        <v>157</v>
      </c>
      <c r="F2223" s="7" t="s">
        <v>203</v>
      </c>
      <c r="G2223" s="7" t="s">
        <v>502</v>
      </c>
      <c r="H2223" s="6" t="n">
        <v>1</v>
      </c>
      <c r="I2223" s="6" t="n">
        <v>0</v>
      </c>
      <c r="J2223" s="40" t="n">
        <f aca="false">H2223-I2223</f>
        <v>1</v>
      </c>
      <c r="K2223" s="41" t="n">
        <v>165</v>
      </c>
      <c r="L2223" s="42" t="n">
        <f aca="false">J2223*K2223</f>
        <v>165</v>
      </c>
      <c r="M2223" s="43" t="n">
        <f aca="false">H2223*49.43*(1+'Chart of Accounts'!$E$67)</f>
        <v>56.59735</v>
      </c>
    </row>
    <row r="2224" customFormat="false" ht="15" hidden="false" customHeight="false" outlineLevel="0" collapsed="false">
      <c r="B2224" s="7" t="s">
        <v>2721</v>
      </c>
      <c r="C2224" s="39" t="n">
        <v>45770</v>
      </c>
      <c r="D2224" s="7" t="s">
        <v>395</v>
      </c>
      <c r="E2224" s="7" t="s">
        <v>156</v>
      </c>
      <c r="F2224" s="7" t="s">
        <v>242</v>
      </c>
      <c r="G2224" s="7" t="s">
        <v>505</v>
      </c>
      <c r="H2224" s="6" t="n">
        <v>4.36</v>
      </c>
      <c r="I2224" s="6" t="n">
        <v>0</v>
      </c>
      <c r="J2224" s="40" t="n">
        <f aca="false">H2224-I2224</f>
        <v>4.36</v>
      </c>
      <c r="K2224" s="41" t="n">
        <v>34</v>
      </c>
      <c r="L2224" s="42" t="n">
        <f aca="false">J2224*K2224</f>
        <v>148.24</v>
      </c>
      <c r="M2224" s="43" t="n">
        <f aca="false">H2224*17.99*(1+'Chart of Accounts'!$E$67)</f>
        <v>89.809678</v>
      </c>
    </row>
    <row r="2225" customFormat="false" ht="15" hidden="false" customHeight="false" outlineLevel="0" collapsed="false">
      <c r="B2225" s="7" t="s">
        <v>2722</v>
      </c>
      <c r="C2225" s="39" t="n">
        <v>45770</v>
      </c>
      <c r="D2225" s="7" t="s">
        <v>399</v>
      </c>
      <c r="E2225" s="7" t="s">
        <v>154</v>
      </c>
      <c r="F2225" s="7" t="s">
        <v>262</v>
      </c>
      <c r="G2225" s="7" t="s">
        <v>505</v>
      </c>
      <c r="H2225" s="6" t="n">
        <v>3.47</v>
      </c>
      <c r="I2225" s="6" t="n">
        <v>0</v>
      </c>
      <c r="J2225" s="40" t="n">
        <f aca="false">H2225-I2225</f>
        <v>3.47</v>
      </c>
      <c r="K2225" s="41" t="n">
        <v>26.5</v>
      </c>
      <c r="L2225" s="42" t="n">
        <f aca="false">J2225*K2225</f>
        <v>91.955</v>
      </c>
      <c r="M2225" s="43" t="n">
        <f aca="false">H2225*16.02*(1+'Chart of Accounts'!$E$67)</f>
        <v>63.649863</v>
      </c>
    </row>
    <row r="2226" customFormat="false" ht="15" hidden="false" customHeight="false" outlineLevel="0" collapsed="false">
      <c r="B2226" s="7" t="s">
        <v>2723</v>
      </c>
      <c r="C2226" s="39" t="n">
        <v>45770</v>
      </c>
      <c r="D2226" s="7" t="s">
        <v>401</v>
      </c>
      <c r="E2226" s="7" t="s">
        <v>156</v>
      </c>
      <c r="F2226" s="7" t="s">
        <v>254</v>
      </c>
      <c r="G2226" s="7" t="s">
        <v>505</v>
      </c>
      <c r="H2226" s="6" t="n">
        <v>3.86</v>
      </c>
      <c r="I2226" s="6" t="n">
        <v>0</v>
      </c>
      <c r="J2226" s="40" t="n">
        <f aca="false">H2226-I2226</f>
        <v>3.86</v>
      </c>
      <c r="K2226" s="41" t="n">
        <v>34</v>
      </c>
      <c r="L2226" s="42" t="n">
        <f aca="false">J2226*K2226</f>
        <v>131.24</v>
      </c>
      <c r="M2226" s="43" t="n">
        <f aca="false">H2226*17.1*(1+'Chart of Accounts'!$E$67)</f>
        <v>75.57687</v>
      </c>
    </row>
    <row r="2227" customFormat="false" ht="15" hidden="false" customHeight="false" outlineLevel="0" collapsed="false">
      <c r="B2227" s="7" t="s">
        <v>2724</v>
      </c>
      <c r="C2227" s="39" t="n">
        <v>45770</v>
      </c>
      <c r="D2227" s="7" t="s">
        <v>409</v>
      </c>
      <c r="E2227" s="7" t="s">
        <v>154</v>
      </c>
      <c r="F2227" s="7" t="s">
        <v>214</v>
      </c>
      <c r="G2227" s="7" t="s">
        <v>505</v>
      </c>
      <c r="H2227" s="6" t="n">
        <v>3.22</v>
      </c>
      <c r="I2227" s="6" t="n">
        <v>0.097</v>
      </c>
      <c r="J2227" s="40" t="n">
        <f aca="false">H2227-I2227</f>
        <v>3.123</v>
      </c>
      <c r="K2227" s="41" t="n">
        <v>26.5</v>
      </c>
      <c r="L2227" s="42" t="n">
        <f aca="false">J2227*K2227</f>
        <v>82.7595</v>
      </c>
      <c r="M2227" s="43" t="n">
        <f aca="false">H2227*15.67*(1+'Chart of Accounts'!$E$67)</f>
        <v>57.773723</v>
      </c>
    </row>
    <row r="2228" customFormat="false" ht="15" hidden="false" customHeight="false" outlineLevel="0" collapsed="false">
      <c r="B2228" s="7" t="s">
        <v>2725</v>
      </c>
      <c r="C2228" s="39" t="n">
        <v>45770</v>
      </c>
      <c r="D2228" s="7" t="s">
        <v>411</v>
      </c>
      <c r="E2228" s="7" t="s">
        <v>154</v>
      </c>
      <c r="F2228" s="7" t="s">
        <v>177</v>
      </c>
      <c r="G2228" s="7" t="s">
        <v>505</v>
      </c>
      <c r="H2228" s="6" t="n">
        <v>5.06</v>
      </c>
      <c r="I2228" s="6" t="n">
        <v>0.152</v>
      </c>
      <c r="J2228" s="40" t="n">
        <f aca="false">H2228-I2228</f>
        <v>4.908</v>
      </c>
      <c r="K2228" s="41" t="n">
        <v>26.5</v>
      </c>
      <c r="L2228" s="42" t="n">
        <f aca="false">J2228*K2228</f>
        <v>130.062</v>
      </c>
      <c r="M2228" s="43" t="n">
        <f aca="false">H2228*14.56*(1+'Chart of Accounts'!$E$67)</f>
        <v>84.356272</v>
      </c>
    </row>
    <row r="2229" customFormat="false" ht="15" hidden="false" customHeight="false" outlineLevel="0" collapsed="false">
      <c r="B2229" s="7" t="s">
        <v>2726</v>
      </c>
      <c r="C2229" s="39" t="n">
        <v>45771</v>
      </c>
      <c r="D2229" s="7" t="s">
        <v>288</v>
      </c>
      <c r="E2229" s="7" t="s">
        <v>156</v>
      </c>
      <c r="F2229" s="7" t="s">
        <v>191</v>
      </c>
      <c r="G2229" s="7" t="s">
        <v>505</v>
      </c>
      <c r="H2229" s="6" t="n">
        <v>3.61</v>
      </c>
      <c r="I2229" s="6" t="n">
        <v>0</v>
      </c>
      <c r="J2229" s="40" t="n">
        <f aca="false">H2229-I2229</f>
        <v>3.61</v>
      </c>
      <c r="K2229" s="41" t="n">
        <v>34</v>
      </c>
      <c r="L2229" s="42" t="n">
        <f aca="false">J2229*K2229</f>
        <v>122.74</v>
      </c>
      <c r="M2229" s="43" t="n">
        <f aca="false">H2229*16.05*(1+'Chart of Accounts'!$E$67)</f>
        <v>66.3418725</v>
      </c>
    </row>
    <row r="2230" customFormat="false" ht="15" hidden="false" customHeight="false" outlineLevel="0" collapsed="false">
      <c r="B2230" s="7" t="s">
        <v>2727</v>
      </c>
      <c r="C2230" s="39" t="n">
        <v>45771</v>
      </c>
      <c r="D2230" s="7" t="s">
        <v>297</v>
      </c>
      <c r="E2230" s="7" t="s">
        <v>156</v>
      </c>
      <c r="F2230" s="7" t="s">
        <v>201</v>
      </c>
      <c r="G2230" s="7" t="s">
        <v>505</v>
      </c>
      <c r="H2230" s="6" t="n">
        <v>3.12</v>
      </c>
      <c r="I2230" s="6" t="n">
        <v>0</v>
      </c>
      <c r="J2230" s="40" t="n">
        <f aca="false">H2230-I2230</f>
        <v>3.12</v>
      </c>
      <c r="K2230" s="41" t="n">
        <v>34</v>
      </c>
      <c r="L2230" s="42" t="n">
        <f aca="false">J2230*K2230</f>
        <v>106.08</v>
      </c>
      <c r="M2230" s="43" t="n">
        <f aca="false">H2230*15.19*(1+'Chart of Accounts'!$E$67)</f>
        <v>54.264756</v>
      </c>
    </row>
    <row r="2231" customFormat="false" ht="15" hidden="false" customHeight="false" outlineLevel="0" collapsed="false">
      <c r="B2231" s="7" t="s">
        <v>2728</v>
      </c>
      <c r="C2231" s="39" t="n">
        <v>45771</v>
      </c>
      <c r="D2231" s="7" t="s">
        <v>311</v>
      </c>
      <c r="E2231" s="7" t="s">
        <v>154</v>
      </c>
      <c r="F2231" s="7" t="s">
        <v>196</v>
      </c>
      <c r="G2231" s="7" t="s">
        <v>505</v>
      </c>
      <c r="H2231" s="6" t="n">
        <v>2.75</v>
      </c>
      <c r="I2231" s="6" t="n">
        <v>0</v>
      </c>
      <c r="J2231" s="40" t="n">
        <f aca="false">H2231-I2231</f>
        <v>2.75</v>
      </c>
      <c r="K2231" s="41" t="n">
        <v>26.5</v>
      </c>
      <c r="L2231" s="42" t="n">
        <f aca="false">J2231*K2231</f>
        <v>72.875</v>
      </c>
      <c r="M2231" s="43" t="n">
        <f aca="false">H2231*15.05*(1+'Chart of Accounts'!$E$67)</f>
        <v>47.3886875</v>
      </c>
    </row>
    <row r="2232" customFormat="false" ht="15" hidden="false" customHeight="false" outlineLevel="0" collapsed="false">
      <c r="B2232" s="7" t="s">
        <v>2729</v>
      </c>
      <c r="C2232" s="39" t="n">
        <v>45771</v>
      </c>
      <c r="D2232" s="7" t="s">
        <v>313</v>
      </c>
      <c r="E2232" s="7" t="s">
        <v>156</v>
      </c>
      <c r="F2232" s="7" t="s">
        <v>184</v>
      </c>
      <c r="G2232" s="7" t="s">
        <v>505</v>
      </c>
      <c r="H2232" s="6" t="n">
        <v>4.03</v>
      </c>
      <c r="I2232" s="6" t="n">
        <v>0</v>
      </c>
      <c r="J2232" s="40" t="n">
        <f aca="false">H2232-I2232</f>
        <v>4.03</v>
      </c>
      <c r="K2232" s="41" t="n">
        <v>34</v>
      </c>
      <c r="L2232" s="42" t="n">
        <f aca="false">J2232*K2232</f>
        <v>137.02</v>
      </c>
      <c r="M2232" s="43" t="n">
        <f aca="false">H2232*17.34*(1+'Chart of Accounts'!$E$67)</f>
        <v>80.012829</v>
      </c>
    </row>
    <row r="2233" customFormat="false" ht="15" hidden="false" customHeight="false" outlineLevel="0" collapsed="false">
      <c r="B2233" s="7" t="s">
        <v>2730</v>
      </c>
      <c r="C2233" s="39" t="n">
        <v>45771</v>
      </c>
      <c r="D2233" s="7" t="s">
        <v>317</v>
      </c>
      <c r="E2233" s="7" t="s">
        <v>156</v>
      </c>
      <c r="F2233" s="7" t="s">
        <v>207</v>
      </c>
      <c r="G2233" s="7" t="s">
        <v>505</v>
      </c>
      <c r="H2233" s="6" t="n">
        <v>2.97</v>
      </c>
      <c r="I2233" s="6" t="n">
        <v>0</v>
      </c>
      <c r="J2233" s="40" t="n">
        <f aca="false">H2233-I2233</f>
        <v>2.97</v>
      </c>
      <c r="K2233" s="41" t="n">
        <v>34</v>
      </c>
      <c r="L2233" s="42" t="n">
        <f aca="false">J2233*K2233</f>
        <v>100.98</v>
      </c>
      <c r="M2233" s="43" t="n">
        <f aca="false">H2233*16.65*(1+'Chart of Accounts'!$E$67)</f>
        <v>56.6208225</v>
      </c>
    </row>
    <row r="2234" customFormat="false" ht="15" hidden="false" customHeight="false" outlineLevel="0" collapsed="false">
      <c r="B2234" s="7" t="s">
        <v>2731</v>
      </c>
      <c r="C2234" s="39" t="n">
        <v>45771</v>
      </c>
      <c r="D2234" s="7" t="s">
        <v>321</v>
      </c>
      <c r="E2234" s="7" t="s">
        <v>154</v>
      </c>
      <c r="F2234" s="7" t="s">
        <v>218</v>
      </c>
      <c r="G2234" s="7" t="s">
        <v>505</v>
      </c>
      <c r="H2234" s="6" t="n">
        <v>3.9</v>
      </c>
      <c r="I2234" s="6" t="n">
        <v>0</v>
      </c>
      <c r="J2234" s="40" t="n">
        <f aca="false">H2234-I2234</f>
        <v>3.9</v>
      </c>
      <c r="K2234" s="41" t="n">
        <v>26.5</v>
      </c>
      <c r="L2234" s="42" t="n">
        <f aca="false">J2234*K2234</f>
        <v>103.35</v>
      </c>
      <c r="M2234" s="43" t="n">
        <f aca="false">H2234*16.19*(1+'Chart of Accounts'!$E$67)</f>
        <v>72.296445</v>
      </c>
    </row>
    <row r="2235" customFormat="false" ht="15" hidden="false" customHeight="false" outlineLevel="0" collapsed="false">
      <c r="B2235" s="7" t="s">
        <v>2732</v>
      </c>
      <c r="C2235" s="39" t="n">
        <v>45771</v>
      </c>
      <c r="D2235" s="7" t="s">
        <v>325</v>
      </c>
      <c r="E2235" s="7" t="s">
        <v>154</v>
      </c>
      <c r="F2235" s="7" t="s">
        <v>212</v>
      </c>
      <c r="G2235" s="7" t="s">
        <v>505</v>
      </c>
      <c r="H2235" s="6" t="n">
        <v>3.2</v>
      </c>
      <c r="I2235" s="6" t="n">
        <v>0</v>
      </c>
      <c r="J2235" s="40" t="n">
        <f aca="false">H2235-I2235</f>
        <v>3.2</v>
      </c>
      <c r="K2235" s="41" t="n">
        <v>26.5</v>
      </c>
      <c r="L2235" s="42" t="n">
        <f aca="false">J2235*K2235</f>
        <v>84.8</v>
      </c>
      <c r="M2235" s="43" t="n">
        <f aca="false">H2235*16.71*(1+'Chart of Accounts'!$E$67)</f>
        <v>61.22544</v>
      </c>
    </row>
    <row r="2236" customFormat="false" ht="15" hidden="false" customHeight="false" outlineLevel="0" collapsed="false">
      <c r="B2236" s="7" t="s">
        <v>2733</v>
      </c>
      <c r="C2236" s="39" t="n">
        <v>45771</v>
      </c>
      <c r="D2236" s="7" t="s">
        <v>329</v>
      </c>
      <c r="E2236" s="7" t="s">
        <v>156</v>
      </c>
      <c r="F2236" s="7" t="s">
        <v>220</v>
      </c>
      <c r="G2236" s="7" t="s">
        <v>505</v>
      </c>
      <c r="H2236" s="6" t="n">
        <v>3.7</v>
      </c>
      <c r="I2236" s="6" t="n">
        <v>0</v>
      </c>
      <c r="J2236" s="40" t="n">
        <f aca="false">H2236-I2236</f>
        <v>3.7</v>
      </c>
      <c r="K2236" s="41" t="n">
        <v>34</v>
      </c>
      <c r="L2236" s="42" t="n">
        <f aca="false">J2236*K2236</f>
        <v>125.8</v>
      </c>
      <c r="M2236" s="43" t="n">
        <f aca="false">H2236*16.43*(1+'Chart of Accounts'!$E$67)</f>
        <v>69.605695</v>
      </c>
    </row>
    <row r="2237" customFormat="false" ht="15" hidden="false" customHeight="false" outlineLevel="0" collapsed="false">
      <c r="B2237" s="7" t="s">
        <v>2734</v>
      </c>
      <c r="C2237" s="39" t="n">
        <v>45771</v>
      </c>
      <c r="D2237" s="7" t="s">
        <v>331</v>
      </c>
      <c r="E2237" s="7" t="s">
        <v>156</v>
      </c>
      <c r="F2237" s="7" t="s">
        <v>224</v>
      </c>
      <c r="G2237" s="7" t="s">
        <v>505</v>
      </c>
      <c r="H2237" s="6" t="n">
        <v>3.61</v>
      </c>
      <c r="I2237" s="6" t="n">
        <v>0</v>
      </c>
      <c r="J2237" s="40" t="n">
        <f aca="false">H2237-I2237</f>
        <v>3.61</v>
      </c>
      <c r="K2237" s="41" t="n">
        <v>34</v>
      </c>
      <c r="L2237" s="42" t="n">
        <f aca="false">J2237*K2237</f>
        <v>122.74</v>
      </c>
      <c r="M2237" s="43" t="n">
        <f aca="false">H2237*14.93*(1+'Chart of Accounts'!$E$67)</f>
        <v>61.7124085</v>
      </c>
    </row>
    <row r="2238" customFormat="false" ht="15" hidden="false" customHeight="false" outlineLevel="0" collapsed="false">
      <c r="B2238" s="7" t="s">
        <v>2735</v>
      </c>
      <c r="C2238" s="39" t="n">
        <v>45771</v>
      </c>
      <c r="D2238" s="7" t="s">
        <v>337</v>
      </c>
      <c r="E2238" s="7" t="s">
        <v>154</v>
      </c>
      <c r="F2238" s="7" t="s">
        <v>232</v>
      </c>
      <c r="G2238" s="7" t="s">
        <v>505</v>
      </c>
      <c r="H2238" s="6" t="n">
        <v>3.11</v>
      </c>
      <c r="I2238" s="6" t="n">
        <v>0</v>
      </c>
      <c r="J2238" s="40" t="n">
        <f aca="false">H2238-I2238</f>
        <v>3.11</v>
      </c>
      <c r="K2238" s="41" t="n">
        <v>26.5</v>
      </c>
      <c r="L2238" s="42" t="n">
        <f aca="false">J2238*K2238</f>
        <v>82.415</v>
      </c>
      <c r="M2238" s="43" t="n">
        <f aca="false">H2238*16.17*(1+'Chart of Accounts'!$E$67)</f>
        <v>57.5805615</v>
      </c>
    </row>
    <row r="2239" customFormat="false" ht="15" hidden="false" customHeight="false" outlineLevel="0" collapsed="false">
      <c r="B2239" s="7" t="s">
        <v>2736</v>
      </c>
      <c r="C2239" s="39" t="n">
        <v>45771</v>
      </c>
      <c r="D2239" s="7" t="s">
        <v>341</v>
      </c>
      <c r="E2239" s="7" t="s">
        <v>156</v>
      </c>
      <c r="F2239" s="7" t="s">
        <v>222</v>
      </c>
      <c r="G2239" s="7" t="s">
        <v>505</v>
      </c>
      <c r="H2239" s="6" t="n">
        <v>3.19</v>
      </c>
      <c r="I2239" s="6" t="n">
        <v>0</v>
      </c>
      <c r="J2239" s="40" t="n">
        <f aca="false">H2239-I2239</f>
        <v>3.19</v>
      </c>
      <c r="K2239" s="41" t="n">
        <v>34</v>
      </c>
      <c r="L2239" s="42" t="n">
        <f aca="false">J2239*K2239</f>
        <v>108.46</v>
      </c>
      <c r="M2239" s="43" t="n">
        <f aca="false">H2239*17.84*(1+'Chart of Accounts'!$E$67)</f>
        <v>65.161492</v>
      </c>
    </row>
    <row r="2240" customFormat="false" ht="15" hidden="false" customHeight="false" outlineLevel="0" collapsed="false">
      <c r="B2240" s="7" t="s">
        <v>2737</v>
      </c>
      <c r="C2240" s="39" t="n">
        <v>45771</v>
      </c>
      <c r="D2240" s="7" t="s">
        <v>343</v>
      </c>
      <c r="E2240" s="7" t="s">
        <v>154</v>
      </c>
      <c r="F2240" s="7" t="s">
        <v>262</v>
      </c>
      <c r="G2240" s="7" t="s">
        <v>505</v>
      </c>
      <c r="H2240" s="6" t="n">
        <v>3.78</v>
      </c>
      <c r="I2240" s="6" t="n">
        <v>0</v>
      </c>
      <c r="J2240" s="40" t="n">
        <f aca="false">H2240-I2240</f>
        <v>3.78</v>
      </c>
      <c r="K2240" s="41" t="n">
        <v>26.5</v>
      </c>
      <c r="L2240" s="42" t="n">
        <f aca="false">J2240*K2240</f>
        <v>100.17</v>
      </c>
      <c r="M2240" s="43" t="n">
        <f aca="false">H2240*16.02*(1+'Chart of Accounts'!$E$67)</f>
        <v>69.336162</v>
      </c>
    </row>
    <row r="2241" customFormat="false" ht="15" hidden="false" customHeight="false" outlineLevel="0" collapsed="false">
      <c r="B2241" s="7" t="s">
        <v>2738</v>
      </c>
      <c r="C2241" s="39" t="n">
        <v>45771</v>
      </c>
      <c r="D2241" s="7" t="s">
        <v>351</v>
      </c>
      <c r="E2241" s="7" t="s">
        <v>154</v>
      </c>
      <c r="F2241" s="7" t="s">
        <v>201</v>
      </c>
      <c r="G2241" s="7" t="s">
        <v>505</v>
      </c>
      <c r="H2241" s="6" t="n">
        <v>2.72</v>
      </c>
      <c r="I2241" s="6" t="n">
        <v>0</v>
      </c>
      <c r="J2241" s="40" t="n">
        <f aca="false">H2241-I2241</f>
        <v>2.72</v>
      </c>
      <c r="K2241" s="41" t="n">
        <v>26.5</v>
      </c>
      <c r="L2241" s="42" t="n">
        <f aca="false">J2241*K2241</f>
        <v>72.08</v>
      </c>
      <c r="M2241" s="43" t="n">
        <f aca="false">H2241*15.19*(1+'Chart of Accounts'!$E$67)</f>
        <v>47.307736</v>
      </c>
    </row>
    <row r="2242" customFormat="false" ht="15" hidden="false" customHeight="false" outlineLevel="0" collapsed="false">
      <c r="B2242" s="7" t="s">
        <v>2739</v>
      </c>
      <c r="C2242" s="39" t="n">
        <v>45771</v>
      </c>
      <c r="D2242" s="7" t="s">
        <v>363</v>
      </c>
      <c r="E2242" s="7" t="s">
        <v>156</v>
      </c>
      <c r="F2242" s="7" t="s">
        <v>246</v>
      </c>
      <c r="G2242" s="7" t="s">
        <v>505</v>
      </c>
      <c r="H2242" s="6" t="n">
        <v>3.92</v>
      </c>
      <c r="I2242" s="6" t="n">
        <v>0</v>
      </c>
      <c r="J2242" s="40" t="n">
        <f aca="false">H2242-I2242</f>
        <v>3.92</v>
      </c>
      <c r="K2242" s="41" t="n">
        <v>34</v>
      </c>
      <c r="L2242" s="42" t="n">
        <f aca="false">J2242*K2242</f>
        <v>133.28</v>
      </c>
      <c r="M2242" s="43" t="n">
        <f aca="false">H2242*16.48*(1+'Chart of Accounts'!$E$67)</f>
        <v>73.968832</v>
      </c>
    </row>
    <row r="2243" customFormat="false" ht="15" hidden="false" customHeight="false" outlineLevel="0" collapsed="false">
      <c r="B2243" s="7" t="s">
        <v>2740</v>
      </c>
      <c r="C2243" s="39" t="n">
        <v>45771</v>
      </c>
      <c r="D2243" s="7" t="s">
        <v>365</v>
      </c>
      <c r="E2243" s="7" t="s">
        <v>154</v>
      </c>
      <c r="F2243" s="7" t="s">
        <v>194</v>
      </c>
      <c r="G2243" s="7" t="s">
        <v>505</v>
      </c>
      <c r="H2243" s="6" t="n">
        <v>4</v>
      </c>
      <c r="I2243" s="6" t="n">
        <v>0</v>
      </c>
      <c r="J2243" s="40" t="n">
        <f aca="false">H2243-I2243</f>
        <v>4</v>
      </c>
      <c r="K2243" s="41" t="n">
        <v>26.5</v>
      </c>
      <c r="L2243" s="42" t="n">
        <f aca="false">J2243*K2243</f>
        <v>106</v>
      </c>
      <c r="M2243" s="43" t="n">
        <f aca="false">H2243*16*(1+'Chart of Accounts'!$E$67)</f>
        <v>73.28</v>
      </c>
    </row>
    <row r="2244" customFormat="false" ht="15" hidden="false" customHeight="false" outlineLevel="0" collapsed="false">
      <c r="B2244" s="7" t="s">
        <v>2741</v>
      </c>
      <c r="C2244" s="39" t="n">
        <v>45771</v>
      </c>
      <c r="D2244" s="7" t="s">
        <v>375</v>
      </c>
      <c r="E2244" s="7" t="s">
        <v>156</v>
      </c>
      <c r="F2244" s="7" t="s">
        <v>196</v>
      </c>
      <c r="G2244" s="7" t="s">
        <v>505</v>
      </c>
      <c r="H2244" s="6" t="n">
        <v>3.04</v>
      </c>
      <c r="I2244" s="6" t="n">
        <v>0</v>
      </c>
      <c r="J2244" s="40" t="n">
        <f aca="false">H2244-I2244</f>
        <v>3.04</v>
      </c>
      <c r="K2244" s="41" t="n">
        <v>34</v>
      </c>
      <c r="L2244" s="42" t="n">
        <f aca="false">J2244*K2244</f>
        <v>103.36</v>
      </c>
      <c r="M2244" s="43" t="n">
        <f aca="false">H2244*15.05*(1+'Chart of Accounts'!$E$67)</f>
        <v>52.38604</v>
      </c>
    </row>
    <row r="2245" customFormat="false" ht="15" hidden="false" customHeight="false" outlineLevel="0" collapsed="false">
      <c r="B2245" s="7" t="s">
        <v>2742</v>
      </c>
      <c r="C2245" s="39" t="n">
        <v>45771</v>
      </c>
      <c r="D2245" s="7" t="s">
        <v>377</v>
      </c>
      <c r="E2245" s="7" t="s">
        <v>154</v>
      </c>
      <c r="F2245" s="7" t="s">
        <v>214</v>
      </c>
      <c r="G2245" s="7" t="s">
        <v>505</v>
      </c>
      <c r="H2245" s="6" t="n">
        <v>3.65</v>
      </c>
      <c r="I2245" s="6" t="n">
        <v>0.11</v>
      </c>
      <c r="J2245" s="40" t="n">
        <f aca="false">H2245-I2245</f>
        <v>3.54</v>
      </c>
      <c r="K2245" s="41" t="n">
        <v>26.5</v>
      </c>
      <c r="L2245" s="42" t="n">
        <f aca="false">J2245*K2245</f>
        <v>93.81</v>
      </c>
      <c r="M2245" s="43" t="n">
        <f aca="false">H2245*15.67*(1+'Chart of Accounts'!$E$67)</f>
        <v>65.4888475</v>
      </c>
    </row>
    <row r="2246" customFormat="false" ht="15" hidden="false" customHeight="false" outlineLevel="0" collapsed="false">
      <c r="B2246" s="7" t="s">
        <v>2743</v>
      </c>
      <c r="C2246" s="39" t="n">
        <v>45771</v>
      </c>
      <c r="D2246" s="7" t="s">
        <v>389</v>
      </c>
      <c r="E2246" s="7" t="s">
        <v>154</v>
      </c>
      <c r="F2246" s="7" t="s">
        <v>246</v>
      </c>
      <c r="G2246" s="7" t="s">
        <v>505</v>
      </c>
      <c r="H2246" s="6" t="n">
        <v>3.81</v>
      </c>
      <c r="I2246" s="6" t="n">
        <v>0</v>
      </c>
      <c r="J2246" s="40" t="n">
        <f aca="false">H2246-I2246</f>
        <v>3.81</v>
      </c>
      <c r="K2246" s="41" t="n">
        <v>26.5</v>
      </c>
      <c r="L2246" s="42" t="n">
        <f aca="false">J2246*K2246</f>
        <v>100.965</v>
      </c>
      <c r="M2246" s="43" t="n">
        <f aca="false">H2246*16.48*(1+'Chart of Accounts'!$E$67)</f>
        <v>71.893176</v>
      </c>
    </row>
    <row r="2247" customFormat="false" ht="15" hidden="false" customHeight="false" outlineLevel="0" collapsed="false">
      <c r="B2247" s="7" t="s">
        <v>2744</v>
      </c>
      <c r="C2247" s="39" t="n">
        <v>45771</v>
      </c>
      <c r="D2247" s="7" t="s">
        <v>391</v>
      </c>
      <c r="E2247" s="7" t="s">
        <v>156</v>
      </c>
      <c r="F2247" s="7" t="s">
        <v>222</v>
      </c>
      <c r="G2247" s="7" t="s">
        <v>505</v>
      </c>
      <c r="H2247" s="6" t="n">
        <v>4.02</v>
      </c>
      <c r="I2247" s="6" t="n">
        <v>0</v>
      </c>
      <c r="J2247" s="40" t="n">
        <f aca="false">H2247-I2247</f>
        <v>4.02</v>
      </c>
      <c r="K2247" s="41" t="n">
        <v>34</v>
      </c>
      <c r="L2247" s="42" t="n">
        <f aca="false">J2247*K2247</f>
        <v>136.68</v>
      </c>
      <c r="M2247" s="43" t="n">
        <f aca="false">H2247*17.84*(1+'Chart of Accounts'!$E$67)</f>
        <v>82.115736</v>
      </c>
    </row>
    <row r="2248" customFormat="false" ht="15" hidden="false" customHeight="false" outlineLevel="0" collapsed="false">
      <c r="B2248" s="7" t="s">
        <v>2745</v>
      </c>
      <c r="C2248" s="39" t="n">
        <v>45771</v>
      </c>
      <c r="D2248" s="7" t="s">
        <v>395</v>
      </c>
      <c r="E2248" s="7" t="s">
        <v>156</v>
      </c>
      <c r="F2248" s="7" t="s">
        <v>242</v>
      </c>
      <c r="G2248" s="7" t="s">
        <v>505</v>
      </c>
      <c r="H2248" s="6" t="n">
        <v>4.14</v>
      </c>
      <c r="I2248" s="6" t="n">
        <v>0</v>
      </c>
      <c r="J2248" s="40" t="n">
        <f aca="false">H2248-I2248</f>
        <v>4.14</v>
      </c>
      <c r="K2248" s="41" t="n">
        <v>34</v>
      </c>
      <c r="L2248" s="42" t="n">
        <f aca="false">J2248*K2248</f>
        <v>140.76</v>
      </c>
      <c r="M2248" s="43" t="n">
        <f aca="false">H2248*17.99*(1+'Chart of Accounts'!$E$67)</f>
        <v>85.277997</v>
      </c>
    </row>
    <row r="2249" customFormat="false" ht="15" hidden="false" customHeight="false" outlineLevel="0" collapsed="false">
      <c r="B2249" s="7" t="s">
        <v>2746</v>
      </c>
      <c r="C2249" s="39" t="n">
        <v>45771</v>
      </c>
      <c r="D2249" s="7" t="s">
        <v>401</v>
      </c>
      <c r="E2249" s="7" t="s">
        <v>156</v>
      </c>
      <c r="F2249" s="7" t="s">
        <v>254</v>
      </c>
      <c r="G2249" s="7" t="s">
        <v>505</v>
      </c>
      <c r="H2249" s="6" t="n">
        <v>4.03</v>
      </c>
      <c r="I2249" s="6" t="n">
        <v>0</v>
      </c>
      <c r="J2249" s="40" t="n">
        <f aca="false">H2249-I2249</f>
        <v>4.03</v>
      </c>
      <c r="K2249" s="41" t="n">
        <v>34</v>
      </c>
      <c r="L2249" s="42" t="n">
        <f aca="false">J2249*K2249</f>
        <v>137.02</v>
      </c>
      <c r="M2249" s="43" t="n">
        <f aca="false">H2249*17.1*(1+'Chart of Accounts'!$E$67)</f>
        <v>78.905385</v>
      </c>
    </row>
    <row r="2250" customFormat="false" ht="15" hidden="false" customHeight="false" outlineLevel="0" collapsed="false">
      <c r="B2250" s="7" t="s">
        <v>2747</v>
      </c>
      <c r="C2250" s="39" t="n">
        <v>45772</v>
      </c>
      <c r="D2250" s="7" t="s">
        <v>280</v>
      </c>
      <c r="E2250" s="7" t="s">
        <v>157</v>
      </c>
      <c r="F2250" s="7" t="s">
        <v>187</v>
      </c>
      <c r="G2250" s="7" t="s">
        <v>502</v>
      </c>
      <c r="H2250" s="6" t="n">
        <v>0.99</v>
      </c>
      <c r="I2250" s="6" t="n">
        <v>0</v>
      </c>
      <c r="J2250" s="40" t="n">
        <f aca="false">H2250-I2250</f>
        <v>0.99</v>
      </c>
      <c r="K2250" s="41" t="n">
        <v>165</v>
      </c>
      <c r="L2250" s="42" t="n">
        <f aca="false">J2250*K2250</f>
        <v>163.35</v>
      </c>
      <c r="M2250" s="43" t="n">
        <f aca="false">H2250*66.48*(1+'Chart of Accounts'!$E$67)</f>
        <v>75.358404</v>
      </c>
    </row>
    <row r="2251" customFormat="false" ht="15" hidden="false" customHeight="false" outlineLevel="0" collapsed="false">
      <c r="B2251" s="7" t="s">
        <v>2748</v>
      </c>
      <c r="C2251" s="39" t="n">
        <v>45772</v>
      </c>
      <c r="D2251" s="7" t="s">
        <v>288</v>
      </c>
      <c r="E2251" s="7" t="s">
        <v>156</v>
      </c>
      <c r="F2251" s="7" t="s">
        <v>191</v>
      </c>
      <c r="G2251" s="7" t="s">
        <v>505</v>
      </c>
      <c r="H2251" s="6" t="n">
        <v>4.35</v>
      </c>
      <c r="I2251" s="6" t="n">
        <v>0</v>
      </c>
      <c r="J2251" s="40" t="n">
        <f aca="false">H2251-I2251</f>
        <v>4.35</v>
      </c>
      <c r="K2251" s="41" t="n">
        <v>34</v>
      </c>
      <c r="L2251" s="42" t="n">
        <f aca="false">J2251*K2251</f>
        <v>147.9</v>
      </c>
      <c r="M2251" s="43" t="n">
        <f aca="false">H2251*16.05*(1+'Chart of Accounts'!$E$67)</f>
        <v>79.9410375</v>
      </c>
    </row>
    <row r="2252" customFormat="false" ht="15" hidden="false" customHeight="false" outlineLevel="0" collapsed="false">
      <c r="B2252" s="7" t="s">
        <v>2749</v>
      </c>
      <c r="C2252" s="39" t="n">
        <v>45772</v>
      </c>
      <c r="D2252" s="7" t="s">
        <v>291</v>
      </c>
      <c r="E2252" s="7" t="s">
        <v>154</v>
      </c>
      <c r="F2252" s="7" t="s">
        <v>194</v>
      </c>
      <c r="G2252" s="7" t="s">
        <v>505</v>
      </c>
      <c r="H2252" s="6" t="n">
        <v>4.6</v>
      </c>
      <c r="I2252" s="6" t="n">
        <v>0</v>
      </c>
      <c r="J2252" s="40" t="n">
        <f aca="false">H2252-I2252</f>
        <v>4.6</v>
      </c>
      <c r="K2252" s="41" t="n">
        <v>26.5</v>
      </c>
      <c r="L2252" s="42" t="n">
        <f aca="false">J2252*K2252</f>
        <v>121.9</v>
      </c>
      <c r="M2252" s="43" t="n">
        <f aca="false">H2252*16*(1+'Chart of Accounts'!$E$67)</f>
        <v>84.272</v>
      </c>
    </row>
    <row r="2253" customFormat="false" ht="15" hidden="false" customHeight="false" outlineLevel="0" collapsed="false">
      <c r="B2253" s="7" t="s">
        <v>2750</v>
      </c>
      <c r="C2253" s="39" t="n">
        <v>45772</v>
      </c>
      <c r="D2253" s="7" t="s">
        <v>301</v>
      </c>
      <c r="E2253" s="7" t="s">
        <v>157</v>
      </c>
      <c r="F2253" s="7" t="s">
        <v>209</v>
      </c>
      <c r="G2253" s="7" t="s">
        <v>502</v>
      </c>
      <c r="H2253" s="6" t="n">
        <v>1.04</v>
      </c>
      <c r="I2253" s="6" t="n">
        <v>0</v>
      </c>
      <c r="J2253" s="40" t="n">
        <f aca="false">H2253-I2253</f>
        <v>1.04</v>
      </c>
      <c r="K2253" s="41" t="n">
        <v>165</v>
      </c>
      <c r="L2253" s="42" t="n">
        <f aca="false">J2253*K2253</f>
        <v>171.6</v>
      </c>
      <c r="M2253" s="43" t="n">
        <f aca="false">H2253*73.58*(1+'Chart of Accounts'!$E$67)</f>
        <v>87.619064</v>
      </c>
    </row>
    <row r="2254" customFormat="false" ht="15" hidden="false" customHeight="false" outlineLevel="0" collapsed="false">
      <c r="B2254" s="7" t="s">
        <v>2751</v>
      </c>
      <c r="C2254" s="39" t="n">
        <v>45772</v>
      </c>
      <c r="D2254" s="7" t="s">
        <v>305</v>
      </c>
      <c r="E2254" s="7" t="s">
        <v>154</v>
      </c>
      <c r="F2254" s="7" t="s">
        <v>205</v>
      </c>
      <c r="G2254" s="7" t="s">
        <v>505</v>
      </c>
      <c r="H2254" s="6" t="n">
        <v>4.21</v>
      </c>
      <c r="I2254" s="6" t="n">
        <v>0</v>
      </c>
      <c r="J2254" s="40" t="n">
        <f aca="false">H2254-I2254</f>
        <v>4.21</v>
      </c>
      <c r="K2254" s="41" t="n">
        <v>26.5</v>
      </c>
      <c r="L2254" s="42" t="n">
        <f aca="false">J2254*K2254</f>
        <v>111.565</v>
      </c>
      <c r="M2254" s="43" t="n">
        <f aca="false">H2254*16.36*(1+'Chart of Accounts'!$E$67)</f>
        <v>78.862562</v>
      </c>
    </row>
    <row r="2255" customFormat="false" ht="15" hidden="false" customHeight="false" outlineLevel="0" collapsed="false">
      <c r="B2255" s="7" t="s">
        <v>2752</v>
      </c>
      <c r="C2255" s="39" t="n">
        <v>45772</v>
      </c>
      <c r="D2255" s="7" t="s">
        <v>307</v>
      </c>
      <c r="E2255" s="7" t="s">
        <v>157</v>
      </c>
      <c r="F2255" s="7" t="s">
        <v>264</v>
      </c>
      <c r="G2255" s="7" t="s">
        <v>502</v>
      </c>
      <c r="H2255" s="6" t="n">
        <v>0.96</v>
      </c>
      <c r="I2255" s="6" t="n">
        <v>0</v>
      </c>
      <c r="J2255" s="40" t="n">
        <f aca="false">H2255-I2255</f>
        <v>0.96</v>
      </c>
      <c r="K2255" s="41" t="n">
        <v>165</v>
      </c>
      <c r="L2255" s="42" t="n">
        <f aca="false">J2255*K2255</f>
        <v>158.4</v>
      </c>
      <c r="M2255" s="43" t="n">
        <f aca="false">H2255*55.55*(1+'Chart of Accounts'!$E$67)</f>
        <v>61.06056</v>
      </c>
    </row>
    <row r="2256" customFormat="false" ht="15" hidden="false" customHeight="false" outlineLevel="0" collapsed="false">
      <c r="B2256" s="7" t="s">
        <v>2753</v>
      </c>
      <c r="C2256" s="39" t="n">
        <v>45772</v>
      </c>
      <c r="D2256" s="7" t="s">
        <v>309</v>
      </c>
      <c r="E2256" s="7" t="s">
        <v>159</v>
      </c>
      <c r="F2256" s="7" t="s">
        <v>252</v>
      </c>
      <c r="G2256" s="7" t="s">
        <v>502</v>
      </c>
      <c r="H2256" s="6" t="n">
        <v>0.9</v>
      </c>
      <c r="I2256" s="6" t="n">
        <v>0.063</v>
      </c>
      <c r="J2256" s="40" t="n">
        <f aca="false">H2256-I2256</f>
        <v>0.837</v>
      </c>
      <c r="K2256" s="41" t="n">
        <v>135</v>
      </c>
      <c r="L2256" s="42" t="n">
        <f aca="false">J2256*K2256</f>
        <v>112.995</v>
      </c>
      <c r="M2256" s="43" t="n">
        <f aca="false">H2256*57.54*(1+'Chart of Accounts'!$E$67)</f>
        <v>59.29497</v>
      </c>
    </row>
    <row r="2257" customFormat="false" ht="15" hidden="false" customHeight="false" outlineLevel="0" collapsed="false">
      <c r="B2257" s="7" t="s">
        <v>2754</v>
      </c>
      <c r="C2257" s="39" t="n">
        <v>45772</v>
      </c>
      <c r="D2257" s="7" t="s">
        <v>313</v>
      </c>
      <c r="E2257" s="7" t="s">
        <v>156</v>
      </c>
      <c r="F2257" s="7" t="s">
        <v>184</v>
      </c>
      <c r="G2257" s="7" t="s">
        <v>505</v>
      </c>
      <c r="H2257" s="6" t="n">
        <v>4.06</v>
      </c>
      <c r="I2257" s="6" t="n">
        <v>0</v>
      </c>
      <c r="J2257" s="40" t="n">
        <f aca="false">H2257-I2257</f>
        <v>4.06</v>
      </c>
      <c r="K2257" s="41" t="n">
        <v>34</v>
      </c>
      <c r="L2257" s="42" t="n">
        <f aca="false">J2257*K2257</f>
        <v>138.04</v>
      </c>
      <c r="M2257" s="43" t="n">
        <f aca="false">H2257*17.34*(1+'Chart of Accounts'!$E$67)</f>
        <v>80.608458</v>
      </c>
    </row>
    <row r="2258" customFormat="false" ht="15" hidden="false" customHeight="false" outlineLevel="0" collapsed="false">
      <c r="B2258" s="7" t="s">
        <v>2755</v>
      </c>
      <c r="C2258" s="39" t="n">
        <v>45772</v>
      </c>
      <c r="D2258" s="7" t="s">
        <v>319</v>
      </c>
      <c r="E2258" s="7" t="s">
        <v>157</v>
      </c>
      <c r="F2258" s="7" t="s">
        <v>234</v>
      </c>
      <c r="G2258" s="7" t="s">
        <v>502</v>
      </c>
      <c r="H2258" s="6" t="n">
        <v>1.1</v>
      </c>
      <c r="I2258" s="6" t="n">
        <v>0.055</v>
      </c>
      <c r="J2258" s="40" t="n">
        <f aca="false">H2258-I2258</f>
        <v>1.045</v>
      </c>
      <c r="K2258" s="41" t="n">
        <v>165</v>
      </c>
      <c r="L2258" s="42" t="n">
        <f aca="false">J2258*K2258</f>
        <v>172.425</v>
      </c>
      <c r="M2258" s="43" t="n">
        <f aca="false">H2258*89.53*(1+'Chart of Accounts'!$E$67)</f>
        <v>112.763035</v>
      </c>
    </row>
    <row r="2259" customFormat="false" ht="15" hidden="false" customHeight="false" outlineLevel="0" collapsed="false">
      <c r="B2259" s="7" t="s">
        <v>2756</v>
      </c>
      <c r="C2259" s="39" t="n">
        <v>45772</v>
      </c>
      <c r="D2259" s="7" t="s">
        <v>321</v>
      </c>
      <c r="E2259" s="7" t="s">
        <v>154</v>
      </c>
      <c r="F2259" s="7" t="s">
        <v>218</v>
      </c>
      <c r="G2259" s="7" t="s">
        <v>505</v>
      </c>
      <c r="H2259" s="6" t="n">
        <v>3.8</v>
      </c>
      <c r="I2259" s="6" t="n">
        <v>0</v>
      </c>
      <c r="J2259" s="40" t="n">
        <f aca="false">H2259-I2259</f>
        <v>3.8</v>
      </c>
      <c r="K2259" s="41" t="n">
        <v>26.5</v>
      </c>
      <c r="L2259" s="42" t="n">
        <f aca="false">J2259*K2259</f>
        <v>100.7</v>
      </c>
      <c r="M2259" s="43" t="n">
        <f aca="false">H2259*16.19*(1+'Chart of Accounts'!$E$67)</f>
        <v>70.44269</v>
      </c>
    </row>
    <row r="2260" customFormat="false" ht="15" hidden="false" customHeight="false" outlineLevel="0" collapsed="false">
      <c r="B2260" s="7" t="s">
        <v>2757</v>
      </c>
      <c r="C2260" s="39" t="n">
        <v>45772</v>
      </c>
      <c r="D2260" s="7" t="s">
        <v>323</v>
      </c>
      <c r="E2260" s="7" t="s">
        <v>159</v>
      </c>
      <c r="F2260" s="7" t="s">
        <v>266</v>
      </c>
      <c r="G2260" s="7" t="s">
        <v>502</v>
      </c>
      <c r="H2260" s="6" t="n">
        <v>1.03</v>
      </c>
      <c r="I2260" s="6" t="n">
        <v>0</v>
      </c>
      <c r="J2260" s="40" t="n">
        <f aca="false">H2260-I2260</f>
        <v>1.03</v>
      </c>
      <c r="K2260" s="41" t="n">
        <v>135</v>
      </c>
      <c r="L2260" s="42" t="n">
        <f aca="false">J2260*K2260</f>
        <v>139.05</v>
      </c>
      <c r="M2260" s="43" t="n">
        <f aca="false">H2260*75.18*(1+'Chart of Accounts'!$E$67)</f>
        <v>88.663533</v>
      </c>
    </row>
    <row r="2261" customFormat="false" ht="15" hidden="false" customHeight="false" outlineLevel="0" collapsed="false">
      <c r="B2261" s="7" t="s">
        <v>2758</v>
      </c>
      <c r="C2261" s="39" t="n">
        <v>45772</v>
      </c>
      <c r="D2261" s="7" t="s">
        <v>327</v>
      </c>
      <c r="E2261" s="7" t="s">
        <v>157</v>
      </c>
      <c r="F2261" s="7" t="s">
        <v>228</v>
      </c>
      <c r="G2261" s="7" t="s">
        <v>502</v>
      </c>
      <c r="H2261" s="6" t="n">
        <v>1.06</v>
      </c>
      <c r="I2261" s="6" t="n">
        <v>0</v>
      </c>
      <c r="J2261" s="40" t="n">
        <f aca="false">H2261-I2261</f>
        <v>1.06</v>
      </c>
      <c r="K2261" s="41" t="n">
        <v>165</v>
      </c>
      <c r="L2261" s="42" t="n">
        <f aca="false">J2261*K2261</f>
        <v>174.9</v>
      </c>
      <c r="M2261" s="43" t="n">
        <f aca="false">H2261*51.07*(1+'Chart of Accounts'!$E$67)</f>
        <v>61.983659</v>
      </c>
    </row>
    <row r="2262" customFormat="false" ht="15" hidden="false" customHeight="false" outlineLevel="0" collapsed="false">
      <c r="B2262" s="7" t="s">
        <v>2759</v>
      </c>
      <c r="C2262" s="39" t="n">
        <v>45772</v>
      </c>
      <c r="D2262" s="7" t="s">
        <v>329</v>
      </c>
      <c r="E2262" s="7" t="s">
        <v>156</v>
      </c>
      <c r="F2262" s="7" t="s">
        <v>220</v>
      </c>
      <c r="G2262" s="7" t="s">
        <v>505</v>
      </c>
      <c r="H2262" s="6" t="n">
        <v>3.87</v>
      </c>
      <c r="I2262" s="6" t="n">
        <v>0</v>
      </c>
      <c r="J2262" s="40" t="n">
        <f aca="false">H2262-I2262</f>
        <v>3.87</v>
      </c>
      <c r="K2262" s="41" t="n">
        <v>34</v>
      </c>
      <c r="L2262" s="42" t="n">
        <f aca="false">J2262*K2262</f>
        <v>131.58</v>
      </c>
      <c r="M2262" s="43" t="n">
        <f aca="false">H2262*16.43*(1+'Chart of Accounts'!$E$67)</f>
        <v>72.8037945</v>
      </c>
    </row>
    <row r="2263" customFormat="false" ht="15" hidden="false" customHeight="false" outlineLevel="0" collapsed="false">
      <c r="B2263" s="7" t="s">
        <v>2760</v>
      </c>
      <c r="C2263" s="39" t="n">
        <v>45772</v>
      </c>
      <c r="D2263" s="7" t="s">
        <v>335</v>
      </c>
      <c r="E2263" s="7" t="s">
        <v>154</v>
      </c>
      <c r="F2263" s="7" t="s">
        <v>177</v>
      </c>
      <c r="G2263" s="7" t="s">
        <v>505</v>
      </c>
      <c r="H2263" s="6" t="n">
        <v>3.79</v>
      </c>
      <c r="I2263" s="6" t="n">
        <v>0.114</v>
      </c>
      <c r="J2263" s="40" t="n">
        <f aca="false">H2263-I2263</f>
        <v>3.676</v>
      </c>
      <c r="K2263" s="41" t="n">
        <v>26.5</v>
      </c>
      <c r="L2263" s="42" t="n">
        <f aca="false">J2263*K2263</f>
        <v>97.414</v>
      </c>
      <c r="M2263" s="43" t="n">
        <f aca="false">H2263*14.56*(1+'Chart of Accounts'!$E$67)</f>
        <v>63.183848</v>
      </c>
    </row>
    <row r="2264" customFormat="false" ht="15" hidden="false" customHeight="false" outlineLevel="0" collapsed="false">
      <c r="B2264" s="7" t="s">
        <v>2761</v>
      </c>
      <c r="C2264" s="39" t="n">
        <v>45772</v>
      </c>
      <c r="D2264" s="7" t="s">
        <v>339</v>
      </c>
      <c r="E2264" s="7" t="s">
        <v>154</v>
      </c>
      <c r="F2264" s="7" t="s">
        <v>242</v>
      </c>
      <c r="G2264" s="7" t="s">
        <v>505</v>
      </c>
      <c r="H2264" s="6" t="n">
        <v>3.22</v>
      </c>
      <c r="I2264" s="6" t="n">
        <v>0</v>
      </c>
      <c r="J2264" s="40" t="n">
        <f aca="false">H2264-I2264</f>
        <v>3.22</v>
      </c>
      <c r="K2264" s="41" t="n">
        <v>26.5</v>
      </c>
      <c r="L2264" s="42" t="n">
        <f aca="false">J2264*K2264</f>
        <v>85.33</v>
      </c>
      <c r="M2264" s="43" t="n">
        <f aca="false">H2264*17.99*(1+'Chart of Accounts'!$E$67)</f>
        <v>66.327331</v>
      </c>
    </row>
    <row r="2265" customFormat="false" ht="15" hidden="false" customHeight="false" outlineLevel="0" collapsed="false">
      <c r="B2265" s="7" t="s">
        <v>2762</v>
      </c>
      <c r="C2265" s="39" t="n">
        <v>45772</v>
      </c>
      <c r="D2265" s="7" t="s">
        <v>353</v>
      </c>
      <c r="E2265" s="7" t="s">
        <v>154</v>
      </c>
      <c r="F2265" s="7" t="s">
        <v>254</v>
      </c>
      <c r="G2265" s="7" t="s">
        <v>505</v>
      </c>
      <c r="H2265" s="6" t="n">
        <v>3.52</v>
      </c>
      <c r="I2265" s="6" t="n">
        <v>0</v>
      </c>
      <c r="J2265" s="40" t="n">
        <f aca="false">H2265-I2265</f>
        <v>3.52</v>
      </c>
      <c r="K2265" s="41" t="n">
        <v>26.5</v>
      </c>
      <c r="L2265" s="42" t="n">
        <f aca="false">J2265*K2265</f>
        <v>93.28</v>
      </c>
      <c r="M2265" s="43" t="n">
        <f aca="false">H2265*17.1*(1+'Chart of Accounts'!$E$67)</f>
        <v>68.91984</v>
      </c>
    </row>
    <row r="2266" customFormat="false" ht="15" hidden="false" customHeight="false" outlineLevel="0" collapsed="false">
      <c r="B2266" s="7" t="s">
        <v>2763</v>
      </c>
      <c r="C2266" s="39" t="n">
        <v>45772</v>
      </c>
      <c r="D2266" s="7" t="s">
        <v>355</v>
      </c>
      <c r="E2266" s="7" t="s">
        <v>154</v>
      </c>
      <c r="F2266" s="7" t="s">
        <v>201</v>
      </c>
      <c r="G2266" s="7" t="s">
        <v>505</v>
      </c>
      <c r="H2266" s="6" t="n">
        <v>3.42</v>
      </c>
      <c r="I2266" s="6" t="n">
        <v>0.103</v>
      </c>
      <c r="J2266" s="40" t="n">
        <f aca="false">H2266-I2266</f>
        <v>3.317</v>
      </c>
      <c r="K2266" s="41" t="n">
        <v>26.5</v>
      </c>
      <c r="L2266" s="42" t="n">
        <f aca="false">J2266*K2266</f>
        <v>87.9005</v>
      </c>
      <c r="M2266" s="43" t="n">
        <f aca="false">H2266*15.19*(1+'Chart of Accounts'!$E$67)</f>
        <v>59.482521</v>
      </c>
    </row>
    <row r="2267" customFormat="false" ht="15" hidden="false" customHeight="false" outlineLevel="0" collapsed="false">
      <c r="B2267" s="7" t="s">
        <v>2764</v>
      </c>
      <c r="C2267" s="39" t="n">
        <v>45772</v>
      </c>
      <c r="D2267" s="7" t="s">
        <v>357</v>
      </c>
      <c r="E2267" s="7" t="s">
        <v>154</v>
      </c>
      <c r="F2267" s="7" t="s">
        <v>207</v>
      </c>
      <c r="G2267" s="7" t="s">
        <v>505</v>
      </c>
      <c r="H2267" s="6" t="n">
        <v>3.04</v>
      </c>
      <c r="I2267" s="6" t="n">
        <v>0</v>
      </c>
      <c r="J2267" s="40" t="n">
        <f aca="false">H2267-I2267</f>
        <v>3.04</v>
      </c>
      <c r="K2267" s="41" t="n">
        <v>26.5</v>
      </c>
      <c r="L2267" s="42" t="n">
        <f aca="false">J2267*K2267</f>
        <v>80.56</v>
      </c>
      <c r="M2267" s="43" t="n">
        <f aca="false">H2267*16.65*(1+'Chart of Accounts'!$E$67)</f>
        <v>57.95532</v>
      </c>
    </row>
    <row r="2268" customFormat="false" ht="15" hidden="false" customHeight="false" outlineLevel="0" collapsed="false">
      <c r="B2268" s="7" t="s">
        <v>2765</v>
      </c>
      <c r="C2268" s="39" t="n">
        <v>45772</v>
      </c>
      <c r="D2268" s="7" t="s">
        <v>359</v>
      </c>
      <c r="E2268" s="7" t="s">
        <v>156</v>
      </c>
      <c r="F2268" s="7" t="s">
        <v>212</v>
      </c>
      <c r="G2268" s="7" t="s">
        <v>505</v>
      </c>
      <c r="H2268" s="6" t="n">
        <v>4.28</v>
      </c>
      <c r="I2268" s="6" t="n">
        <v>0</v>
      </c>
      <c r="J2268" s="40" t="n">
        <f aca="false">H2268-I2268</f>
        <v>4.28</v>
      </c>
      <c r="K2268" s="41" t="n">
        <v>34</v>
      </c>
      <c r="L2268" s="42" t="n">
        <f aca="false">J2268*K2268</f>
        <v>145.52</v>
      </c>
      <c r="M2268" s="43" t="n">
        <f aca="false">H2268*16.71*(1+'Chart of Accounts'!$E$67)</f>
        <v>81.889026</v>
      </c>
    </row>
    <row r="2269" customFormat="false" ht="15" hidden="false" customHeight="false" outlineLevel="0" collapsed="false">
      <c r="B2269" s="7" t="s">
        <v>2766</v>
      </c>
      <c r="C2269" s="39" t="n">
        <v>45772</v>
      </c>
      <c r="D2269" s="7" t="s">
        <v>361</v>
      </c>
      <c r="E2269" s="7" t="s">
        <v>157</v>
      </c>
      <c r="F2269" s="7" t="s">
        <v>209</v>
      </c>
      <c r="G2269" s="7" t="s">
        <v>502</v>
      </c>
      <c r="H2269" s="6" t="n">
        <v>1.08</v>
      </c>
      <c r="I2269" s="6" t="n">
        <v>0</v>
      </c>
      <c r="J2269" s="40" t="n">
        <f aca="false">H2269-I2269</f>
        <v>1.08</v>
      </c>
      <c r="K2269" s="41" t="n">
        <v>165</v>
      </c>
      <c r="L2269" s="42" t="n">
        <f aca="false">J2269*K2269</f>
        <v>178.2</v>
      </c>
      <c r="M2269" s="43" t="n">
        <f aca="false">H2269*73.58*(1+'Chart of Accounts'!$E$67)</f>
        <v>90.989028</v>
      </c>
    </row>
    <row r="2270" customFormat="false" ht="15" hidden="false" customHeight="false" outlineLevel="0" collapsed="false">
      <c r="B2270" s="7" t="s">
        <v>2767</v>
      </c>
      <c r="C2270" s="39" t="n">
        <v>45772</v>
      </c>
      <c r="D2270" s="7" t="s">
        <v>365</v>
      </c>
      <c r="E2270" s="7" t="s">
        <v>154</v>
      </c>
      <c r="F2270" s="7" t="s">
        <v>194</v>
      </c>
      <c r="G2270" s="7" t="s">
        <v>505</v>
      </c>
      <c r="H2270" s="6" t="n">
        <v>4.1</v>
      </c>
      <c r="I2270" s="6" t="n">
        <v>0</v>
      </c>
      <c r="J2270" s="40" t="n">
        <f aca="false">H2270-I2270</f>
        <v>4.1</v>
      </c>
      <c r="K2270" s="41" t="n">
        <v>26.5</v>
      </c>
      <c r="L2270" s="42" t="n">
        <f aca="false">J2270*K2270</f>
        <v>108.65</v>
      </c>
      <c r="M2270" s="43" t="n">
        <f aca="false">H2270*16*(1+'Chart of Accounts'!$E$67)</f>
        <v>75.112</v>
      </c>
    </row>
    <row r="2271" customFormat="false" ht="15" hidden="false" customHeight="false" outlineLevel="0" collapsed="false">
      <c r="B2271" s="7" t="s">
        <v>2768</v>
      </c>
      <c r="C2271" s="39" t="n">
        <v>45772</v>
      </c>
      <c r="D2271" s="7" t="s">
        <v>371</v>
      </c>
      <c r="E2271" s="7" t="s">
        <v>154</v>
      </c>
      <c r="F2271" s="7" t="s">
        <v>232</v>
      </c>
      <c r="G2271" s="7" t="s">
        <v>505</v>
      </c>
      <c r="H2271" s="6" t="n">
        <v>4.72</v>
      </c>
      <c r="I2271" s="6" t="n">
        <v>0</v>
      </c>
      <c r="J2271" s="40" t="n">
        <f aca="false">H2271-I2271</f>
        <v>4.72</v>
      </c>
      <c r="K2271" s="41" t="n">
        <v>26.5</v>
      </c>
      <c r="L2271" s="42" t="n">
        <f aca="false">J2271*K2271</f>
        <v>125.08</v>
      </c>
      <c r="M2271" s="43" t="n">
        <f aca="false">H2271*16.17*(1+'Chart of Accounts'!$E$67)</f>
        <v>87.389148</v>
      </c>
    </row>
    <row r="2272" customFormat="false" ht="15" hidden="false" customHeight="false" outlineLevel="0" collapsed="false">
      <c r="B2272" s="7" t="s">
        <v>2769</v>
      </c>
      <c r="C2272" s="39" t="n">
        <v>45772</v>
      </c>
      <c r="D2272" s="7" t="s">
        <v>379</v>
      </c>
      <c r="E2272" s="7" t="s">
        <v>156</v>
      </c>
      <c r="F2272" s="7" t="s">
        <v>224</v>
      </c>
      <c r="G2272" s="7" t="s">
        <v>505</v>
      </c>
      <c r="H2272" s="6" t="n">
        <v>4.29</v>
      </c>
      <c r="I2272" s="6" t="n">
        <v>0</v>
      </c>
      <c r="J2272" s="40" t="n">
        <f aca="false">H2272-I2272</f>
        <v>4.29</v>
      </c>
      <c r="K2272" s="41" t="n">
        <v>34</v>
      </c>
      <c r="L2272" s="42" t="n">
        <f aca="false">J2272*K2272</f>
        <v>145.86</v>
      </c>
      <c r="M2272" s="43" t="n">
        <f aca="false">H2272*14.93*(1+'Chart of Accounts'!$E$67)</f>
        <v>73.3369065</v>
      </c>
    </row>
    <row r="2273" customFormat="false" ht="15" hidden="false" customHeight="false" outlineLevel="0" collapsed="false">
      <c r="B2273" s="7" t="s">
        <v>2770</v>
      </c>
      <c r="C2273" s="39" t="n">
        <v>45772</v>
      </c>
      <c r="D2273" s="7" t="s">
        <v>381</v>
      </c>
      <c r="E2273" s="7" t="s">
        <v>157</v>
      </c>
      <c r="F2273" s="7" t="s">
        <v>234</v>
      </c>
      <c r="G2273" s="7" t="s">
        <v>502</v>
      </c>
      <c r="H2273" s="6" t="n">
        <v>1.02</v>
      </c>
      <c r="I2273" s="6" t="n">
        <v>0.051</v>
      </c>
      <c r="J2273" s="40" t="n">
        <f aca="false">H2273-I2273</f>
        <v>0.969</v>
      </c>
      <c r="K2273" s="41" t="n">
        <v>165</v>
      </c>
      <c r="L2273" s="42" t="n">
        <f aca="false">J2273*K2273</f>
        <v>159.885</v>
      </c>
      <c r="M2273" s="43" t="n">
        <f aca="false">H2273*89.53*(1+'Chart of Accounts'!$E$67)</f>
        <v>104.562087</v>
      </c>
    </row>
    <row r="2274" customFormat="false" ht="15" hidden="false" customHeight="false" outlineLevel="0" collapsed="false">
      <c r="B2274" s="7" t="s">
        <v>2771</v>
      </c>
      <c r="C2274" s="39" t="n">
        <v>45772</v>
      </c>
      <c r="D2274" s="7" t="s">
        <v>385</v>
      </c>
      <c r="E2274" s="7" t="s">
        <v>156</v>
      </c>
      <c r="F2274" s="7" t="s">
        <v>238</v>
      </c>
      <c r="G2274" s="7" t="s">
        <v>505</v>
      </c>
      <c r="H2274" s="6" t="n">
        <v>3.91</v>
      </c>
      <c r="I2274" s="6" t="n">
        <v>0</v>
      </c>
      <c r="J2274" s="40" t="n">
        <f aca="false">H2274-I2274</f>
        <v>3.91</v>
      </c>
      <c r="K2274" s="41" t="n">
        <v>34</v>
      </c>
      <c r="L2274" s="42" t="n">
        <f aca="false">J2274*K2274</f>
        <v>132.94</v>
      </c>
      <c r="M2274" s="43" t="n">
        <f aca="false">H2274*15.85*(1+'Chart of Accounts'!$E$67)</f>
        <v>70.9596575</v>
      </c>
    </row>
    <row r="2275" customFormat="false" ht="15" hidden="false" customHeight="false" outlineLevel="0" collapsed="false">
      <c r="B2275" s="7" t="s">
        <v>2772</v>
      </c>
      <c r="C2275" s="39" t="n">
        <v>45772</v>
      </c>
      <c r="D2275" s="7" t="s">
        <v>389</v>
      </c>
      <c r="E2275" s="7" t="s">
        <v>154</v>
      </c>
      <c r="F2275" s="7" t="s">
        <v>246</v>
      </c>
      <c r="G2275" s="7" t="s">
        <v>505</v>
      </c>
      <c r="H2275" s="6" t="n">
        <v>4.1</v>
      </c>
      <c r="I2275" s="6" t="n">
        <v>0</v>
      </c>
      <c r="J2275" s="40" t="n">
        <f aca="false">H2275-I2275</f>
        <v>4.1</v>
      </c>
      <c r="K2275" s="41" t="n">
        <v>26.5</v>
      </c>
      <c r="L2275" s="42" t="n">
        <f aca="false">J2275*K2275</f>
        <v>108.65</v>
      </c>
      <c r="M2275" s="43" t="n">
        <f aca="false">H2275*16.48*(1+'Chart of Accounts'!$E$67)</f>
        <v>77.36536</v>
      </c>
    </row>
    <row r="2276" customFormat="false" ht="15" hidden="false" customHeight="false" outlineLevel="0" collapsed="false">
      <c r="B2276" s="7" t="s">
        <v>2773</v>
      </c>
      <c r="C2276" s="39" t="n">
        <v>45772</v>
      </c>
      <c r="D2276" s="7" t="s">
        <v>391</v>
      </c>
      <c r="E2276" s="7" t="s">
        <v>156</v>
      </c>
      <c r="F2276" s="7" t="s">
        <v>222</v>
      </c>
      <c r="G2276" s="7" t="s">
        <v>505</v>
      </c>
      <c r="H2276" s="6" t="n">
        <v>4.23</v>
      </c>
      <c r="I2276" s="6" t="n">
        <v>0</v>
      </c>
      <c r="J2276" s="40" t="n">
        <f aca="false">H2276-I2276</f>
        <v>4.23</v>
      </c>
      <c r="K2276" s="41" t="n">
        <v>34</v>
      </c>
      <c r="L2276" s="42" t="n">
        <f aca="false">J2276*K2276</f>
        <v>143.82</v>
      </c>
      <c r="M2276" s="43" t="n">
        <f aca="false">H2276*17.84*(1+'Chart of Accounts'!$E$67)</f>
        <v>86.405364</v>
      </c>
    </row>
    <row r="2277" customFormat="false" ht="15" hidden="false" customHeight="false" outlineLevel="0" collapsed="false">
      <c r="B2277" s="7" t="s">
        <v>2774</v>
      </c>
      <c r="C2277" s="39" t="n">
        <v>45772</v>
      </c>
      <c r="D2277" s="7" t="s">
        <v>395</v>
      </c>
      <c r="E2277" s="7" t="s">
        <v>156</v>
      </c>
      <c r="F2277" s="7" t="s">
        <v>242</v>
      </c>
      <c r="G2277" s="7" t="s">
        <v>505</v>
      </c>
      <c r="H2277" s="6" t="n">
        <v>3.75</v>
      </c>
      <c r="I2277" s="6" t="n">
        <v>0</v>
      </c>
      <c r="J2277" s="40" t="n">
        <f aca="false">H2277-I2277</f>
        <v>3.75</v>
      </c>
      <c r="K2277" s="41" t="n">
        <v>34</v>
      </c>
      <c r="L2277" s="42" t="n">
        <f aca="false">J2277*K2277</f>
        <v>127.5</v>
      </c>
      <c r="M2277" s="43" t="n">
        <f aca="false">H2277*17.99*(1+'Chart of Accounts'!$E$67)</f>
        <v>77.2445625</v>
      </c>
    </row>
    <row r="2278" customFormat="false" ht="15" hidden="false" customHeight="false" outlineLevel="0" collapsed="false">
      <c r="B2278" s="7" t="s">
        <v>2775</v>
      </c>
      <c r="C2278" s="39" t="n">
        <v>45772</v>
      </c>
      <c r="D2278" s="7" t="s">
        <v>397</v>
      </c>
      <c r="E2278" s="7" t="s">
        <v>159</v>
      </c>
      <c r="F2278" s="7" t="s">
        <v>203</v>
      </c>
      <c r="G2278" s="7" t="s">
        <v>502</v>
      </c>
      <c r="H2278" s="6" t="n">
        <v>0.91</v>
      </c>
      <c r="I2278" s="6" t="n">
        <v>0</v>
      </c>
      <c r="J2278" s="40" t="n">
        <f aca="false">H2278-I2278</f>
        <v>0.91</v>
      </c>
      <c r="K2278" s="41" t="n">
        <v>135</v>
      </c>
      <c r="L2278" s="42" t="n">
        <f aca="false">J2278*K2278</f>
        <v>122.85</v>
      </c>
      <c r="M2278" s="43" t="n">
        <f aca="false">H2278*49.43*(1+'Chart of Accounts'!$E$67)</f>
        <v>51.5035885</v>
      </c>
    </row>
    <row r="2279" customFormat="false" ht="15" hidden="false" customHeight="false" outlineLevel="0" collapsed="false">
      <c r="B2279" s="7" t="s">
        <v>2776</v>
      </c>
      <c r="C2279" s="39" t="n">
        <v>45772</v>
      </c>
      <c r="D2279" s="7" t="s">
        <v>399</v>
      </c>
      <c r="E2279" s="7" t="s">
        <v>154</v>
      </c>
      <c r="F2279" s="7" t="s">
        <v>262</v>
      </c>
      <c r="G2279" s="7" t="s">
        <v>505</v>
      </c>
      <c r="H2279" s="6" t="n">
        <v>3.38</v>
      </c>
      <c r="I2279" s="6" t="n">
        <v>0</v>
      </c>
      <c r="J2279" s="40" t="n">
        <f aca="false">H2279-I2279</f>
        <v>3.38</v>
      </c>
      <c r="K2279" s="41" t="n">
        <v>26.5</v>
      </c>
      <c r="L2279" s="42" t="n">
        <f aca="false">J2279*K2279</f>
        <v>89.57</v>
      </c>
      <c r="M2279" s="43" t="n">
        <f aca="false">H2279*16.02*(1+'Chart of Accounts'!$E$67)</f>
        <v>61.999002</v>
      </c>
    </row>
    <row r="2280" customFormat="false" ht="15" hidden="false" customHeight="false" outlineLevel="0" collapsed="false">
      <c r="B2280" s="7" t="s">
        <v>2777</v>
      </c>
      <c r="C2280" s="39" t="n">
        <v>45772</v>
      </c>
      <c r="D2280" s="7" t="s">
        <v>401</v>
      </c>
      <c r="E2280" s="7" t="s">
        <v>156</v>
      </c>
      <c r="F2280" s="7" t="s">
        <v>254</v>
      </c>
      <c r="G2280" s="7" t="s">
        <v>505</v>
      </c>
      <c r="H2280" s="6" t="n">
        <v>3.94</v>
      </c>
      <c r="I2280" s="6" t="n">
        <v>0</v>
      </c>
      <c r="J2280" s="40" t="n">
        <f aca="false">H2280-I2280</f>
        <v>3.94</v>
      </c>
      <c r="K2280" s="41" t="n">
        <v>34</v>
      </c>
      <c r="L2280" s="42" t="n">
        <f aca="false">J2280*K2280</f>
        <v>133.96</v>
      </c>
      <c r="M2280" s="43" t="n">
        <f aca="false">H2280*17.1*(1+'Chart of Accounts'!$E$67)</f>
        <v>77.14323</v>
      </c>
    </row>
    <row r="2281" customFormat="false" ht="15" hidden="false" customHeight="false" outlineLevel="0" collapsed="false">
      <c r="B2281" s="7" t="s">
        <v>2778</v>
      </c>
      <c r="C2281" s="39" t="n">
        <v>45772</v>
      </c>
      <c r="D2281" s="7" t="s">
        <v>407</v>
      </c>
      <c r="E2281" s="7" t="s">
        <v>159</v>
      </c>
      <c r="F2281" s="7" t="s">
        <v>260</v>
      </c>
      <c r="G2281" s="7" t="s">
        <v>502</v>
      </c>
      <c r="H2281" s="6" t="n">
        <v>0.95</v>
      </c>
      <c r="I2281" s="6" t="n">
        <v>0.067</v>
      </c>
      <c r="J2281" s="40" t="n">
        <f aca="false">H2281-I2281</f>
        <v>0.883</v>
      </c>
      <c r="K2281" s="41" t="n">
        <v>135</v>
      </c>
      <c r="L2281" s="42" t="n">
        <f aca="false">J2281*K2281</f>
        <v>119.205</v>
      </c>
      <c r="M2281" s="43" t="n">
        <f aca="false">H2281*79.8*(1+'Chart of Accounts'!$E$67)</f>
        <v>86.80245</v>
      </c>
    </row>
    <row r="2282" customFormat="false" ht="15" hidden="false" customHeight="false" outlineLevel="0" collapsed="false">
      <c r="B2282" s="7" t="s">
        <v>2779</v>
      </c>
      <c r="C2282" s="39" t="n">
        <v>45772</v>
      </c>
      <c r="D2282" s="7" t="s">
        <v>409</v>
      </c>
      <c r="E2282" s="7" t="s">
        <v>154</v>
      </c>
      <c r="F2282" s="7" t="s">
        <v>214</v>
      </c>
      <c r="G2282" s="7" t="s">
        <v>505</v>
      </c>
      <c r="H2282" s="6" t="n">
        <v>3.21</v>
      </c>
      <c r="I2282" s="6" t="n">
        <v>0</v>
      </c>
      <c r="J2282" s="40" t="n">
        <f aca="false">H2282-I2282</f>
        <v>3.21</v>
      </c>
      <c r="K2282" s="41" t="n">
        <v>26.5</v>
      </c>
      <c r="L2282" s="42" t="n">
        <f aca="false">J2282*K2282</f>
        <v>85.065</v>
      </c>
      <c r="M2282" s="43" t="n">
        <f aca="false">H2282*15.67*(1+'Chart of Accounts'!$E$67)</f>
        <v>57.5943015</v>
      </c>
    </row>
    <row r="2283" customFormat="false" ht="15" hidden="false" customHeight="false" outlineLevel="0" collapsed="false">
      <c r="B2283" s="7" t="s">
        <v>2780</v>
      </c>
      <c r="C2283" s="39" t="n">
        <v>45772</v>
      </c>
      <c r="D2283" s="7" t="s">
        <v>411</v>
      </c>
      <c r="E2283" s="7" t="s">
        <v>154</v>
      </c>
      <c r="F2283" s="7" t="s">
        <v>177</v>
      </c>
      <c r="G2283" s="7" t="s">
        <v>505</v>
      </c>
      <c r="H2283" s="6" t="n">
        <v>4.9</v>
      </c>
      <c r="I2283" s="6" t="n">
        <v>0</v>
      </c>
      <c r="J2283" s="40" t="n">
        <f aca="false">H2283-I2283</f>
        <v>4.9</v>
      </c>
      <c r="K2283" s="41" t="n">
        <v>26.5</v>
      </c>
      <c r="L2283" s="42" t="n">
        <f aca="false">J2283*K2283</f>
        <v>129.85</v>
      </c>
      <c r="M2283" s="43" t="n">
        <f aca="false">H2283*14.56*(1+'Chart of Accounts'!$E$67)</f>
        <v>81.68888</v>
      </c>
    </row>
    <row r="2284" customFormat="false" ht="15" hidden="false" customHeight="false" outlineLevel="0" collapsed="false">
      <c r="B2284" s="7" t="s">
        <v>2781</v>
      </c>
      <c r="C2284" s="39" t="n">
        <v>45773</v>
      </c>
      <c r="D2284" s="7" t="s">
        <v>288</v>
      </c>
      <c r="E2284" s="7" t="s">
        <v>156</v>
      </c>
      <c r="F2284" s="7" t="s">
        <v>191</v>
      </c>
      <c r="G2284" s="7" t="s">
        <v>505</v>
      </c>
      <c r="H2284" s="6" t="n">
        <v>4.22</v>
      </c>
      <c r="I2284" s="6" t="n">
        <v>0</v>
      </c>
      <c r="J2284" s="40" t="n">
        <f aca="false">H2284-I2284</f>
        <v>4.22</v>
      </c>
      <c r="K2284" s="41" t="n">
        <v>34</v>
      </c>
      <c r="L2284" s="42" t="n">
        <f aca="false">J2284*K2284</f>
        <v>143.48</v>
      </c>
      <c r="M2284" s="43" t="n">
        <f aca="false">H2284*16.05*(1+'Chart of Accounts'!$E$67)</f>
        <v>77.551995</v>
      </c>
    </row>
    <row r="2285" customFormat="false" ht="15" hidden="false" customHeight="false" outlineLevel="0" collapsed="false">
      <c r="B2285" s="7" t="s">
        <v>2782</v>
      </c>
      <c r="C2285" s="39" t="n">
        <v>45773</v>
      </c>
      <c r="D2285" s="7" t="s">
        <v>321</v>
      </c>
      <c r="E2285" s="7" t="s">
        <v>154</v>
      </c>
      <c r="F2285" s="7" t="s">
        <v>218</v>
      </c>
      <c r="G2285" s="7" t="s">
        <v>505</v>
      </c>
      <c r="H2285" s="6" t="n">
        <v>3.87</v>
      </c>
      <c r="I2285" s="6" t="n">
        <v>0.116</v>
      </c>
      <c r="J2285" s="40" t="n">
        <f aca="false">H2285-I2285</f>
        <v>3.754</v>
      </c>
      <c r="K2285" s="41" t="n">
        <v>26.5</v>
      </c>
      <c r="L2285" s="42" t="n">
        <f aca="false">J2285*K2285</f>
        <v>99.481</v>
      </c>
      <c r="M2285" s="43" t="n">
        <f aca="false">H2285*16.19*(1+'Chart of Accounts'!$E$67)</f>
        <v>71.7403185</v>
      </c>
    </row>
    <row r="2286" customFormat="false" ht="15" hidden="false" customHeight="false" outlineLevel="0" collapsed="false">
      <c r="B2286" s="7" t="s">
        <v>2783</v>
      </c>
      <c r="C2286" s="39" t="n">
        <v>45773</v>
      </c>
      <c r="D2286" s="7" t="s">
        <v>359</v>
      </c>
      <c r="E2286" s="7" t="s">
        <v>156</v>
      </c>
      <c r="F2286" s="7" t="s">
        <v>212</v>
      </c>
      <c r="G2286" s="7" t="s">
        <v>505</v>
      </c>
      <c r="H2286" s="6" t="n">
        <v>4.07</v>
      </c>
      <c r="I2286" s="6" t="n">
        <v>0</v>
      </c>
      <c r="J2286" s="40" t="n">
        <f aca="false">H2286-I2286</f>
        <v>4.07</v>
      </c>
      <c r="K2286" s="41" t="n">
        <v>34</v>
      </c>
      <c r="L2286" s="42" t="n">
        <f aca="false">J2286*K2286</f>
        <v>138.38</v>
      </c>
      <c r="M2286" s="43" t="n">
        <f aca="false">H2286*16.71*(1+'Chart of Accounts'!$E$67)</f>
        <v>77.8711065</v>
      </c>
    </row>
    <row r="2287" customFormat="false" ht="15" hidden="false" customHeight="false" outlineLevel="0" collapsed="false">
      <c r="B2287" s="7" t="s">
        <v>2784</v>
      </c>
      <c r="C2287" s="39" t="n">
        <v>45773</v>
      </c>
      <c r="D2287" s="7" t="s">
        <v>391</v>
      </c>
      <c r="E2287" s="7" t="s">
        <v>156</v>
      </c>
      <c r="F2287" s="7" t="s">
        <v>222</v>
      </c>
      <c r="G2287" s="7" t="s">
        <v>505</v>
      </c>
      <c r="H2287" s="6" t="n">
        <v>4.01</v>
      </c>
      <c r="I2287" s="6" t="n">
        <v>0</v>
      </c>
      <c r="J2287" s="40" t="n">
        <f aca="false">H2287-I2287</f>
        <v>4.01</v>
      </c>
      <c r="K2287" s="41" t="n">
        <v>34</v>
      </c>
      <c r="L2287" s="42" t="n">
        <f aca="false">J2287*K2287</f>
        <v>136.34</v>
      </c>
      <c r="M2287" s="43" t="n">
        <f aca="false">H2287*17.84*(1+'Chart of Accounts'!$E$67)</f>
        <v>81.911468</v>
      </c>
    </row>
    <row r="2288" customFormat="false" ht="15" hidden="false" customHeight="false" outlineLevel="0" collapsed="false">
      <c r="B2288" s="7" t="s">
        <v>2785</v>
      </c>
      <c r="C2288" s="39" t="n">
        <v>45773</v>
      </c>
      <c r="D2288" s="7" t="s">
        <v>395</v>
      </c>
      <c r="E2288" s="7" t="s">
        <v>156</v>
      </c>
      <c r="F2288" s="7" t="s">
        <v>242</v>
      </c>
      <c r="G2288" s="7" t="s">
        <v>505</v>
      </c>
      <c r="H2288" s="6" t="n">
        <v>3.94</v>
      </c>
      <c r="I2288" s="6" t="n">
        <v>0</v>
      </c>
      <c r="J2288" s="40" t="n">
        <f aca="false">H2288-I2288</f>
        <v>3.94</v>
      </c>
      <c r="K2288" s="41" t="n">
        <v>34</v>
      </c>
      <c r="L2288" s="42" t="n">
        <f aca="false">J2288*K2288</f>
        <v>133.96</v>
      </c>
      <c r="M2288" s="43" t="n">
        <f aca="false">H2288*17.99*(1+'Chart of Accounts'!$E$67)</f>
        <v>81.158287</v>
      </c>
    </row>
    <row r="2289" customFormat="false" ht="15" hidden="false" customHeight="false" outlineLevel="0" collapsed="false">
      <c r="B2289" s="7" t="s">
        <v>2786</v>
      </c>
      <c r="C2289" s="39" t="n">
        <v>45773</v>
      </c>
      <c r="D2289" s="7" t="s">
        <v>401</v>
      </c>
      <c r="E2289" s="7" t="s">
        <v>156</v>
      </c>
      <c r="F2289" s="7" t="s">
        <v>254</v>
      </c>
      <c r="G2289" s="7" t="s">
        <v>505</v>
      </c>
      <c r="H2289" s="6" t="n">
        <v>4.33</v>
      </c>
      <c r="I2289" s="6" t="n">
        <v>0</v>
      </c>
      <c r="J2289" s="40" t="n">
        <f aca="false">H2289-I2289</f>
        <v>4.33</v>
      </c>
      <c r="K2289" s="41" t="n">
        <v>34</v>
      </c>
      <c r="L2289" s="42" t="n">
        <f aca="false">J2289*K2289</f>
        <v>147.22</v>
      </c>
      <c r="M2289" s="43" t="n">
        <f aca="false">H2289*17.1*(1+'Chart of Accounts'!$E$67)</f>
        <v>84.779235</v>
      </c>
    </row>
    <row r="2290" customFormat="false" ht="15" hidden="false" customHeight="false" outlineLevel="0" collapsed="false">
      <c r="B2290" s="7" t="s">
        <v>2787</v>
      </c>
      <c r="C2290" s="39" t="n">
        <v>45774</v>
      </c>
      <c r="D2290" s="7" t="s">
        <v>288</v>
      </c>
      <c r="E2290" s="7" t="s">
        <v>156</v>
      </c>
      <c r="F2290" s="7" t="s">
        <v>191</v>
      </c>
      <c r="G2290" s="7" t="s">
        <v>505</v>
      </c>
      <c r="H2290" s="6" t="n">
        <v>4.13</v>
      </c>
      <c r="I2290" s="6" t="n">
        <v>0</v>
      </c>
      <c r="J2290" s="40" t="n">
        <f aca="false">H2290-I2290</f>
        <v>4.13</v>
      </c>
      <c r="K2290" s="41" t="n">
        <v>34</v>
      </c>
      <c r="L2290" s="42" t="n">
        <f aca="false">J2290*K2290</f>
        <v>140.42</v>
      </c>
      <c r="M2290" s="43" t="n">
        <f aca="false">H2290*16.05*(1+'Chart of Accounts'!$E$67)</f>
        <v>75.8980425</v>
      </c>
    </row>
    <row r="2291" customFormat="false" ht="15" hidden="false" customHeight="false" outlineLevel="0" collapsed="false">
      <c r="B2291" s="7" t="s">
        <v>2788</v>
      </c>
      <c r="C2291" s="39" t="n">
        <v>45774</v>
      </c>
      <c r="D2291" s="7" t="s">
        <v>321</v>
      </c>
      <c r="E2291" s="7" t="s">
        <v>154</v>
      </c>
      <c r="F2291" s="7" t="s">
        <v>218</v>
      </c>
      <c r="G2291" s="7" t="s">
        <v>505</v>
      </c>
      <c r="H2291" s="6" t="n">
        <v>4.08</v>
      </c>
      <c r="I2291" s="6" t="n">
        <v>0</v>
      </c>
      <c r="J2291" s="40" t="n">
        <f aca="false">H2291-I2291</f>
        <v>4.08</v>
      </c>
      <c r="K2291" s="41" t="n">
        <v>26.5</v>
      </c>
      <c r="L2291" s="42" t="n">
        <f aca="false">J2291*K2291</f>
        <v>108.12</v>
      </c>
      <c r="M2291" s="43" t="n">
        <f aca="false">H2291*16.19*(1+'Chart of Accounts'!$E$67)</f>
        <v>75.633204</v>
      </c>
    </row>
    <row r="2292" customFormat="false" ht="15" hidden="false" customHeight="false" outlineLevel="0" collapsed="false">
      <c r="B2292" s="7" t="s">
        <v>2789</v>
      </c>
      <c r="C2292" s="39" t="n">
        <v>45774</v>
      </c>
      <c r="D2292" s="7" t="s">
        <v>359</v>
      </c>
      <c r="E2292" s="7" t="s">
        <v>156</v>
      </c>
      <c r="F2292" s="7" t="s">
        <v>212</v>
      </c>
      <c r="G2292" s="7" t="s">
        <v>505</v>
      </c>
      <c r="H2292" s="6" t="n">
        <v>4.37</v>
      </c>
      <c r="I2292" s="6" t="n">
        <v>0</v>
      </c>
      <c r="J2292" s="40" t="n">
        <f aca="false">H2292-I2292</f>
        <v>4.37</v>
      </c>
      <c r="K2292" s="41" t="n">
        <v>34</v>
      </c>
      <c r="L2292" s="42" t="n">
        <f aca="false">J2292*K2292</f>
        <v>148.58</v>
      </c>
      <c r="M2292" s="43" t="n">
        <f aca="false">H2292*16.71*(1+'Chart of Accounts'!$E$67)</f>
        <v>83.6109915</v>
      </c>
    </row>
    <row r="2293" customFormat="false" ht="15" hidden="false" customHeight="false" outlineLevel="0" collapsed="false">
      <c r="B2293" s="7" t="s">
        <v>2790</v>
      </c>
      <c r="C2293" s="39" t="n">
        <v>45774</v>
      </c>
      <c r="D2293" s="7" t="s">
        <v>391</v>
      </c>
      <c r="E2293" s="7" t="s">
        <v>156</v>
      </c>
      <c r="F2293" s="7" t="s">
        <v>222</v>
      </c>
      <c r="G2293" s="7" t="s">
        <v>505</v>
      </c>
      <c r="H2293" s="6" t="n">
        <v>3.73</v>
      </c>
      <c r="I2293" s="6" t="n">
        <v>0</v>
      </c>
      <c r="J2293" s="40" t="n">
        <f aca="false">H2293-I2293</f>
        <v>3.73</v>
      </c>
      <c r="K2293" s="41" t="n">
        <v>34</v>
      </c>
      <c r="L2293" s="42" t="n">
        <f aca="false">J2293*K2293</f>
        <v>126.82</v>
      </c>
      <c r="M2293" s="43" t="n">
        <f aca="false">H2293*17.84*(1+'Chart of Accounts'!$E$67)</f>
        <v>76.191964</v>
      </c>
    </row>
    <row r="2294" customFormat="false" ht="15" hidden="false" customHeight="false" outlineLevel="0" collapsed="false">
      <c r="B2294" s="7" t="s">
        <v>2791</v>
      </c>
      <c r="C2294" s="39" t="n">
        <v>45774</v>
      </c>
      <c r="D2294" s="7" t="s">
        <v>395</v>
      </c>
      <c r="E2294" s="7" t="s">
        <v>156</v>
      </c>
      <c r="F2294" s="7" t="s">
        <v>242</v>
      </c>
      <c r="G2294" s="7" t="s">
        <v>505</v>
      </c>
      <c r="H2294" s="6" t="n">
        <v>3.63</v>
      </c>
      <c r="I2294" s="6" t="n">
        <v>0</v>
      </c>
      <c r="J2294" s="40" t="n">
        <f aca="false">H2294-I2294</f>
        <v>3.63</v>
      </c>
      <c r="K2294" s="41" t="n">
        <v>34</v>
      </c>
      <c r="L2294" s="42" t="n">
        <f aca="false">J2294*K2294</f>
        <v>123.42</v>
      </c>
      <c r="M2294" s="43" t="n">
        <f aca="false">H2294*17.99*(1+'Chart of Accounts'!$E$67)</f>
        <v>74.7727365</v>
      </c>
    </row>
    <row r="2295" customFormat="false" ht="15" hidden="false" customHeight="false" outlineLevel="0" collapsed="false">
      <c r="B2295" s="7" t="s">
        <v>2792</v>
      </c>
      <c r="C2295" s="39" t="n">
        <v>45774</v>
      </c>
      <c r="D2295" s="7" t="s">
        <v>401</v>
      </c>
      <c r="E2295" s="7" t="s">
        <v>156</v>
      </c>
      <c r="F2295" s="7" t="s">
        <v>254</v>
      </c>
      <c r="G2295" s="7" t="s">
        <v>505</v>
      </c>
      <c r="H2295" s="6" t="n">
        <v>3.78</v>
      </c>
      <c r="I2295" s="6" t="n">
        <v>0</v>
      </c>
      <c r="J2295" s="40" t="n">
        <f aca="false">H2295-I2295</f>
        <v>3.78</v>
      </c>
      <c r="K2295" s="41" t="n">
        <v>34</v>
      </c>
      <c r="L2295" s="42" t="n">
        <f aca="false">J2295*K2295</f>
        <v>128.52</v>
      </c>
      <c r="M2295" s="43" t="n">
        <f aca="false">H2295*17.1*(1+'Chart of Accounts'!$E$67)</f>
        <v>74.01051</v>
      </c>
    </row>
    <row r="2296" customFormat="false" ht="15" hidden="false" customHeight="false" outlineLevel="0" collapsed="false">
      <c r="B2296" s="7" t="s">
        <v>2793</v>
      </c>
      <c r="C2296" s="39" t="n">
        <v>45775</v>
      </c>
      <c r="D2296" s="7" t="s">
        <v>280</v>
      </c>
      <c r="E2296" s="7" t="s">
        <v>157</v>
      </c>
      <c r="F2296" s="7" t="s">
        <v>187</v>
      </c>
      <c r="G2296" s="7" t="s">
        <v>502</v>
      </c>
      <c r="H2296" s="6" t="n">
        <v>0.95</v>
      </c>
      <c r="I2296" s="6" t="n">
        <v>0</v>
      </c>
      <c r="J2296" s="40" t="n">
        <f aca="false">H2296-I2296</f>
        <v>0.95</v>
      </c>
      <c r="K2296" s="41" t="n">
        <v>165</v>
      </c>
      <c r="L2296" s="42" t="n">
        <f aca="false">J2296*K2296</f>
        <v>156.75</v>
      </c>
      <c r="M2296" s="43" t="n">
        <f aca="false">H2296*66.48*(1+'Chart of Accounts'!$E$67)</f>
        <v>72.31362</v>
      </c>
    </row>
    <row r="2297" customFormat="false" ht="15" hidden="false" customHeight="false" outlineLevel="0" collapsed="false">
      <c r="B2297" s="7" t="s">
        <v>2794</v>
      </c>
      <c r="C2297" s="39" t="n">
        <v>45775</v>
      </c>
      <c r="D2297" s="7" t="s">
        <v>288</v>
      </c>
      <c r="E2297" s="7" t="s">
        <v>156</v>
      </c>
      <c r="F2297" s="7" t="s">
        <v>191</v>
      </c>
      <c r="G2297" s="7" t="s">
        <v>505</v>
      </c>
      <c r="H2297" s="6" t="n">
        <v>3.87</v>
      </c>
      <c r="I2297" s="6" t="n">
        <v>0</v>
      </c>
      <c r="J2297" s="40" t="n">
        <f aca="false">H2297-I2297</f>
        <v>3.87</v>
      </c>
      <c r="K2297" s="41" t="n">
        <v>34</v>
      </c>
      <c r="L2297" s="42" t="n">
        <f aca="false">J2297*K2297</f>
        <v>131.58</v>
      </c>
      <c r="M2297" s="43" t="n">
        <f aca="false">H2297*16.05*(1+'Chart of Accounts'!$E$67)</f>
        <v>71.1199575</v>
      </c>
    </row>
    <row r="2298" customFormat="false" ht="15" hidden="false" customHeight="false" outlineLevel="0" collapsed="false">
      <c r="B2298" s="7" t="s">
        <v>2795</v>
      </c>
      <c r="C2298" s="39" t="n">
        <v>45775</v>
      </c>
      <c r="D2298" s="7" t="s">
        <v>291</v>
      </c>
      <c r="E2298" s="7" t="s">
        <v>154</v>
      </c>
      <c r="F2298" s="7" t="s">
        <v>194</v>
      </c>
      <c r="G2298" s="7" t="s">
        <v>505</v>
      </c>
      <c r="H2298" s="6" t="n">
        <v>4.37</v>
      </c>
      <c r="I2298" s="6" t="n">
        <v>0</v>
      </c>
      <c r="J2298" s="40" t="n">
        <f aca="false">H2298-I2298</f>
        <v>4.37</v>
      </c>
      <c r="K2298" s="41" t="n">
        <v>26.5</v>
      </c>
      <c r="L2298" s="42" t="n">
        <f aca="false">J2298*K2298</f>
        <v>115.805</v>
      </c>
      <c r="M2298" s="43" t="n">
        <f aca="false">H2298*16*(1+'Chart of Accounts'!$E$67)</f>
        <v>80.0584</v>
      </c>
    </row>
    <row r="2299" customFormat="false" ht="15" hidden="false" customHeight="false" outlineLevel="0" collapsed="false">
      <c r="B2299" s="7" t="s">
        <v>2796</v>
      </c>
      <c r="C2299" s="39" t="n">
        <v>45775</v>
      </c>
      <c r="D2299" s="7" t="s">
        <v>297</v>
      </c>
      <c r="E2299" s="7" t="s">
        <v>156</v>
      </c>
      <c r="F2299" s="7" t="s">
        <v>201</v>
      </c>
      <c r="G2299" s="7" t="s">
        <v>505</v>
      </c>
      <c r="H2299" s="6" t="n">
        <v>2.74</v>
      </c>
      <c r="I2299" s="6" t="n">
        <v>0</v>
      </c>
      <c r="J2299" s="40" t="n">
        <f aca="false">H2299-I2299</f>
        <v>2.74</v>
      </c>
      <c r="K2299" s="41" t="n">
        <v>34</v>
      </c>
      <c r="L2299" s="42" t="n">
        <f aca="false">J2299*K2299</f>
        <v>93.16</v>
      </c>
      <c r="M2299" s="43" t="n">
        <f aca="false">H2299*15.19*(1+'Chart of Accounts'!$E$67)</f>
        <v>47.655587</v>
      </c>
    </row>
    <row r="2300" customFormat="false" ht="15" hidden="false" customHeight="false" outlineLevel="0" collapsed="false">
      <c r="B2300" s="7" t="s">
        <v>2797</v>
      </c>
      <c r="C2300" s="39" t="n">
        <v>45775</v>
      </c>
      <c r="D2300" s="7" t="s">
        <v>305</v>
      </c>
      <c r="E2300" s="7" t="s">
        <v>154</v>
      </c>
      <c r="F2300" s="7" t="s">
        <v>205</v>
      </c>
      <c r="G2300" s="7" t="s">
        <v>505</v>
      </c>
      <c r="H2300" s="6" t="n">
        <v>3.83</v>
      </c>
      <c r="I2300" s="6" t="n">
        <v>0</v>
      </c>
      <c r="J2300" s="40" t="n">
        <f aca="false">H2300-I2300</f>
        <v>3.83</v>
      </c>
      <c r="K2300" s="41" t="n">
        <v>26.5</v>
      </c>
      <c r="L2300" s="42" t="n">
        <f aca="false">J2300*K2300</f>
        <v>101.495</v>
      </c>
      <c r="M2300" s="43" t="n">
        <f aca="false">H2300*16.36*(1+'Chart of Accounts'!$E$67)</f>
        <v>71.744326</v>
      </c>
    </row>
    <row r="2301" customFormat="false" ht="15" hidden="false" customHeight="false" outlineLevel="0" collapsed="false">
      <c r="B2301" s="7" t="s">
        <v>2798</v>
      </c>
      <c r="C2301" s="39" t="n">
        <v>45775</v>
      </c>
      <c r="D2301" s="7" t="s">
        <v>307</v>
      </c>
      <c r="E2301" s="7" t="s">
        <v>157</v>
      </c>
      <c r="F2301" s="7" t="s">
        <v>264</v>
      </c>
      <c r="G2301" s="7" t="s">
        <v>502</v>
      </c>
      <c r="H2301" s="6" t="n">
        <v>1.05</v>
      </c>
      <c r="I2301" s="6" t="n">
        <v>0.053</v>
      </c>
      <c r="J2301" s="40" t="n">
        <f aca="false">H2301-I2301</f>
        <v>0.997</v>
      </c>
      <c r="K2301" s="41" t="n">
        <v>165</v>
      </c>
      <c r="L2301" s="42" t="n">
        <f aca="false">J2301*K2301</f>
        <v>164.505</v>
      </c>
      <c r="M2301" s="43" t="n">
        <f aca="false">H2301*55.55*(1+'Chart of Accounts'!$E$67)</f>
        <v>66.7849875</v>
      </c>
    </row>
    <row r="2302" customFormat="false" ht="15" hidden="false" customHeight="false" outlineLevel="0" collapsed="false">
      <c r="B2302" s="7" t="s">
        <v>2799</v>
      </c>
      <c r="C2302" s="39" t="n">
        <v>45775</v>
      </c>
      <c r="D2302" s="7" t="s">
        <v>309</v>
      </c>
      <c r="E2302" s="7" t="s">
        <v>159</v>
      </c>
      <c r="F2302" s="7" t="s">
        <v>252</v>
      </c>
      <c r="G2302" s="7" t="s">
        <v>502</v>
      </c>
      <c r="H2302" s="6" t="n">
        <v>0.94</v>
      </c>
      <c r="I2302" s="6" t="n">
        <v>0</v>
      </c>
      <c r="J2302" s="40" t="n">
        <f aca="false">H2302-I2302</f>
        <v>0.94</v>
      </c>
      <c r="K2302" s="41" t="n">
        <v>135</v>
      </c>
      <c r="L2302" s="42" t="n">
        <f aca="false">J2302*K2302</f>
        <v>126.9</v>
      </c>
      <c r="M2302" s="43" t="n">
        <f aca="false">H2302*57.54*(1+'Chart of Accounts'!$E$67)</f>
        <v>61.930302</v>
      </c>
    </row>
    <row r="2303" customFormat="false" ht="15" hidden="false" customHeight="false" outlineLevel="0" collapsed="false">
      <c r="B2303" s="7" t="s">
        <v>2800</v>
      </c>
      <c r="C2303" s="39" t="n">
        <v>45775</v>
      </c>
      <c r="D2303" s="7" t="s">
        <v>311</v>
      </c>
      <c r="E2303" s="7" t="s">
        <v>154</v>
      </c>
      <c r="F2303" s="7" t="s">
        <v>196</v>
      </c>
      <c r="G2303" s="7" t="s">
        <v>505</v>
      </c>
      <c r="H2303" s="6" t="n">
        <v>3.13</v>
      </c>
      <c r="I2303" s="6" t="n">
        <v>0</v>
      </c>
      <c r="J2303" s="40" t="n">
        <f aca="false">H2303-I2303</f>
        <v>3.13</v>
      </c>
      <c r="K2303" s="41" t="n">
        <v>26.5</v>
      </c>
      <c r="L2303" s="42" t="n">
        <f aca="false">J2303*K2303</f>
        <v>82.945</v>
      </c>
      <c r="M2303" s="43" t="n">
        <f aca="false">H2303*15.05*(1+'Chart of Accounts'!$E$67)</f>
        <v>53.9369425</v>
      </c>
    </row>
    <row r="2304" customFormat="false" ht="15" hidden="false" customHeight="false" outlineLevel="0" collapsed="false">
      <c r="B2304" s="7" t="s">
        <v>2801</v>
      </c>
      <c r="C2304" s="39" t="n">
        <v>45775</v>
      </c>
      <c r="D2304" s="7" t="s">
        <v>321</v>
      </c>
      <c r="E2304" s="7" t="s">
        <v>154</v>
      </c>
      <c r="F2304" s="7" t="s">
        <v>218</v>
      </c>
      <c r="G2304" s="7" t="s">
        <v>505</v>
      </c>
      <c r="H2304" s="6" t="n">
        <v>3.71</v>
      </c>
      <c r="I2304" s="6" t="n">
        <v>0</v>
      </c>
      <c r="J2304" s="40" t="n">
        <f aca="false">H2304-I2304</f>
        <v>3.71</v>
      </c>
      <c r="K2304" s="41" t="n">
        <v>26.5</v>
      </c>
      <c r="L2304" s="42" t="n">
        <f aca="false">J2304*K2304</f>
        <v>98.315</v>
      </c>
      <c r="M2304" s="43" t="n">
        <f aca="false">H2304*16.19*(1+'Chart of Accounts'!$E$67)</f>
        <v>68.7743105</v>
      </c>
    </row>
    <row r="2305" customFormat="false" ht="15" hidden="false" customHeight="false" outlineLevel="0" collapsed="false">
      <c r="B2305" s="7" t="s">
        <v>2802</v>
      </c>
      <c r="C2305" s="39" t="n">
        <v>45775</v>
      </c>
      <c r="D2305" s="7" t="s">
        <v>325</v>
      </c>
      <c r="E2305" s="7" t="s">
        <v>154</v>
      </c>
      <c r="F2305" s="7" t="s">
        <v>212</v>
      </c>
      <c r="G2305" s="7" t="s">
        <v>505</v>
      </c>
      <c r="H2305" s="6" t="n">
        <v>2.9</v>
      </c>
      <c r="I2305" s="6" t="n">
        <v>0</v>
      </c>
      <c r="J2305" s="40" t="n">
        <f aca="false">H2305-I2305</f>
        <v>2.9</v>
      </c>
      <c r="K2305" s="41" t="n">
        <v>26.5</v>
      </c>
      <c r="L2305" s="42" t="n">
        <f aca="false">J2305*K2305</f>
        <v>76.85</v>
      </c>
      <c r="M2305" s="43" t="n">
        <f aca="false">H2305*16.71*(1+'Chart of Accounts'!$E$67)</f>
        <v>55.485555</v>
      </c>
    </row>
    <row r="2306" customFormat="false" ht="15" hidden="false" customHeight="false" outlineLevel="0" collapsed="false">
      <c r="B2306" s="7" t="s">
        <v>2803</v>
      </c>
      <c r="C2306" s="39" t="n">
        <v>45775</v>
      </c>
      <c r="D2306" s="7" t="s">
        <v>329</v>
      </c>
      <c r="E2306" s="7" t="s">
        <v>156</v>
      </c>
      <c r="F2306" s="7" t="s">
        <v>220</v>
      </c>
      <c r="G2306" s="7" t="s">
        <v>505</v>
      </c>
      <c r="H2306" s="6" t="n">
        <v>3.9</v>
      </c>
      <c r="I2306" s="6" t="n">
        <v>0</v>
      </c>
      <c r="J2306" s="40" t="n">
        <f aca="false">H2306-I2306</f>
        <v>3.9</v>
      </c>
      <c r="K2306" s="41" t="n">
        <v>34</v>
      </c>
      <c r="L2306" s="42" t="n">
        <f aca="false">J2306*K2306</f>
        <v>132.6</v>
      </c>
      <c r="M2306" s="43" t="n">
        <f aca="false">H2306*16.43*(1+'Chart of Accounts'!$E$67)</f>
        <v>73.368165</v>
      </c>
    </row>
    <row r="2307" customFormat="false" ht="15" hidden="false" customHeight="false" outlineLevel="0" collapsed="false">
      <c r="B2307" s="7" t="s">
        <v>2804</v>
      </c>
      <c r="C2307" s="39" t="n">
        <v>45775</v>
      </c>
      <c r="D2307" s="7" t="s">
        <v>331</v>
      </c>
      <c r="E2307" s="7" t="s">
        <v>156</v>
      </c>
      <c r="F2307" s="7" t="s">
        <v>224</v>
      </c>
      <c r="G2307" s="7" t="s">
        <v>505</v>
      </c>
      <c r="H2307" s="6" t="n">
        <v>4.02</v>
      </c>
      <c r="I2307" s="6" t="n">
        <v>0</v>
      </c>
      <c r="J2307" s="40" t="n">
        <f aca="false">H2307-I2307</f>
        <v>4.02</v>
      </c>
      <c r="K2307" s="41" t="n">
        <v>34</v>
      </c>
      <c r="L2307" s="42" t="n">
        <f aca="false">J2307*K2307</f>
        <v>136.68</v>
      </c>
      <c r="M2307" s="43" t="n">
        <f aca="false">H2307*14.93*(1+'Chart of Accounts'!$E$67)</f>
        <v>68.721297</v>
      </c>
    </row>
    <row r="2308" customFormat="false" ht="15" hidden="false" customHeight="false" outlineLevel="0" collapsed="false">
      <c r="B2308" s="7" t="s">
        <v>2805</v>
      </c>
      <c r="C2308" s="39" t="n">
        <v>45775</v>
      </c>
      <c r="D2308" s="7" t="s">
        <v>335</v>
      </c>
      <c r="E2308" s="7" t="s">
        <v>154</v>
      </c>
      <c r="F2308" s="7" t="s">
        <v>177</v>
      </c>
      <c r="G2308" s="7" t="s">
        <v>505</v>
      </c>
      <c r="H2308" s="6" t="n">
        <v>3.95</v>
      </c>
      <c r="I2308" s="6" t="n">
        <v>0.118</v>
      </c>
      <c r="J2308" s="40" t="n">
        <f aca="false">H2308-I2308</f>
        <v>3.832</v>
      </c>
      <c r="K2308" s="41" t="n">
        <v>26.5</v>
      </c>
      <c r="L2308" s="42" t="n">
        <f aca="false">J2308*K2308</f>
        <v>101.548</v>
      </c>
      <c r="M2308" s="43" t="n">
        <f aca="false">H2308*14.56*(1+'Chart of Accounts'!$E$67)</f>
        <v>65.85124</v>
      </c>
    </row>
    <row r="2309" customFormat="false" ht="15" hidden="false" customHeight="false" outlineLevel="0" collapsed="false">
      <c r="B2309" s="7" t="s">
        <v>2806</v>
      </c>
      <c r="C2309" s="39" t="n">
        <v>45775</v>
      </c>
      <c r="D2309" s="7" t="s">
        <v>337</v>
      </c>
      <c r="E2309" s="7" t="s">
        <v>154</v>
      </c>
      <c r="F2309" s="7" t="s">
        <v>232</v>
      </c>
      <c r="G2309" s="7" t="s">
        <v>505</v>
      </c>
      <c r="H2309" s="6" t="n">
        <v>3.23</v>
      </c>
      <c r="I2309" s="6" t="n">
        <v>0</v>
      </c>
      <c r="J2309" s="40" t="n">
        <f aca="false">H2309-I2309</f>
        <v>3.23</v>
      </c>
      <c r="K2309" s="41" t="n">
        <v>26.5</v>
      </c>
      <c r="L2309" s="42" t="n">
        <f aca="false">J2309*K2309</f>
        <v>85.595</v>
      </c>
      <c r="M2309" s="43" t="n">
        <f aca="false">H2309*16.17*(1+'Chart of Accounts'!$E$67)</f>
        <v>59.8023195</v>
      </c>
    </row>
    <row r="2310" customFormat="false" ht="15" hidden="false" customHeight="false" outlineLevel="0" collapsed="false">
      <c r="B2310" s="7" t="s">
        <v>2807</v>
      </c>
      <c r="C2310" s="39" t="n">
        <v>45775</v>
      </c>
      <c r="D2310" s="7" t="s">
        <v>339</v>
      </c>
      <c r="E2310" s="7" t="s">
        <v>154</v>
      </c>
      <c r="F2310" s="7" t="s">
        <v>242</v>
      </c>
      <c r="G2310" s="7" t="s">
        <v>505</v>
      </c>
      <c r="H2310" s="6" t="n">
        <v>3.36</v>
      </c>
      <c r="I2310" s="6" t="n">
        <v>0</v>
      </c>
      <c r="J2310" s="40" t="n">
        <f aca="false">H2310-I2310</f>
        <v>3.36</v>
      </c>
      <c r="K2310" s="41" t="n">
        <v>26.5</v>
      </c>
      <c r="L2310" s="42" t="n">
        <f aca="false">J2310*K2310</f>
        <v>89.04</v>
      </c>
      <c r="M2310" s="43" t="n">
        <f aca="false">H2310*17.99*(1+'Chart of Accounts'!$E$67)</f>
        <v>69.211128</v>
      </c>
    </row>
    <row r="2311" customFormat="false" ht="15" hidden="false" customHeight="false" outlineLevel="0" collapsed="false">
      <c r="B2311" s="7" t="s">
        <v>2808</v>
      </c>
      <c r="C2311" s="39" t="n">
        <v>45775</v>
      </c>
      <c r="D2311" s="7" t="s">
        <v>341</v>
      </c>
      <c r="E2311" s="7" t="s">
        <v>156</v>
      </c>
      <c r="F2311" s="7" t="s">
        <v>222</v>
      </c>
      <c r="G2311" s="7" t="s">
        <v>505</v>
      </c>
      <c r="H2311" s="6" t="n">
        <v>2.96</v>
      </c>
      <c r="I2311" s="6" t="n">
        <v>0</v>
      </c>
      <c r="J2311" s="40" t="n">
        <f aca="false">H2311-I2311</f>
        <v>2.96</v>
      </c>
      <c r="K2311" s="41" t="n">
        <v>34</v>
      </c>
      <c r="L2311" s="42" t="n">
        <f aca="false">J2311*K2311</f>
        <v>100.64</v>
      </c>
      <c r="M2311" s="43" t="n">
        <f aca="false">H2311*17.84*(1+'Chart of Accounts'!$E$67)</f>
        <v>60.463328</v>
      </c>
    </row>
    <row r="2312" customFormat="false" ht="15" hidden="false" customHeight="false" outlineLevel="0" collapsed="false">
      <c r="B2312" s="7" t="s">
        <v>2809</v>
      </c>
      <c r="C2312" s="39" t="n">
        <v>45775</v>
      </c>
      <c r="D2312" s="7" t="s">
        <v>343</v>
      </c>
      <c r="E2312" s="7" t="s">
        <v>154</v>
      </c>
      <c r="F2312" s="7" t="s">
        <v>262</v>
      </c>
      <c r="G2312" s="7" t="s">
        <v>505</v>
      </c>
      <c r="H2312" s="6" t="n">
        <v>4.21</v>
      </c>
      <c r="I2312" s="6" t="n">
        <v>0</v>
      </c>
      <c r="J2312" s="40" t="n">
        <f aca="false">H2312-I2312</f>
        <v>4.21</v>
      </c>
      <c r="K2312" s="41" t="n">
        <v>26.5</v>
      </c>
      <c r="L2312" s="42" t="n">
        <f aca="false">J2312*K2312</f>
        <v>111.565</v>
      </c>
      <c r="M2312" s="43" t="n">
        <f aca="false">H2312*16.02*(1+'Chart of Accounts'!$E$67)</f>
        <v>77.223609</v>
      </c>
    </row>
    <row r="2313" customFormat="false" ht="15" hidden="false" customHeight="false" outlineLevel="0" collapsed="false">
      <c r="B2313" s="7" t="s">
        <v>2810</v>
      </c>
      <c r="C2313" s="39" t="n">
        <v>45775</v>
      </c>
      <c r="D2313" s="7" t="s">
        <v>351</v>
      </c>
      <c r="E2313" s="7" t="s">
        <v>154</v>
      </c>
      <c r="F2313" s="7" t="s">
        <v>201</v>
      </c>
      <c r="G2313" s="7" t="s">
        <v>505</v>
      </c>
      <c r="H2313" s="6" t="n">
        <v>2.88</v>
      </c>
      <c r="I2313" s="6" t="n">
        <v>0</v>
      </c>
      <c r="J2313" s="40" t="n">
        <f aca="false">H2313-I2313</f>
        <v>2.88</v>
      </c>
      <c r="K2313" s="41" t="n">
        <v>26.5</v>
      </c>
      <c r="L2313" s="42" t="n">
        <f aca="false">J2313*K2313</f>
        <v>76.32</v>
      </c>
      <c r="M2313" s="43" t="n">
        <f aca="false">H2313*15.19*(1+'Chart of Accounts'!$E$67)</f>
        <v>50.090544</v>
      </c>
    </row>
    <row r="2314" customFormat="false" ht="15" hidden="false" customHeight="false" outlineLevel="0" collapsed="false">
      <c r="B2314" s="7" t="s">
        <v>2811</v>
      </c>
      <c r="C2314" s="39" t="n">
        <v>45775</v>
      </c>
      <c r="D2314" s="7" t="s">
        <v>353</v>
      </c>
      <c r="E2314" s="7" t="s">
        <v>154</v>
      </c>
      <c r="F2314" s="7" t="s">
        <v>254</v>
      </c>
      <c r="G2314" s="7" t="s">
        <v>505</v>
      </c>
      <c r="H2314" s="6" t="n">
        <v>3.42</v>
      </c>
      <c r="I2314" s="6" t="n">
        <v>0.103</v>
      </c>
      <c r="J2314" s="40" t="n">
        <f aca="false">H2314-I2314</f>
        <v>3.317</v>
      </c>
      <c r="K2314" s="41" t="n">
        <v>26.5</v>
      </c>
      <c r="L2314" s="42" t="n">
        <f aca="false">J2314*K2314</f>
        <v>87.9005</v>
      </c>
      <c r="M2314" s="43" t="n">
        <f aca="false">H2314*17.1*(1+'Chart of Accounts'!$E$67)</f>
        <v>66.96189</v>
      </c>
    </row>
    <row r="2315" customFormat="false" ht="15" hidden="false" customHeight="false" outlineLevel="0" collapsed="false">
      <c r="B2315" s="7" t="s">
        <v>2812</v>
      </c>
      <c r="C2315" s="39" t="n">
        <v>45775</v>
      </c>
      <c r="D2315" s="7" t="s">
        <v>355</v>
      </c>
      <c r="E2315" s="7" t="s">
        <v>154</v>
      </c>
      <c r="F2315" s="7" t="s">
        <v>201</v>
      </c>
      <c r="G2315" s="7" t="s">
        <v>505</v>
      </c>
      <c r="H2315" s="6" t="n">
        <v>3.34</v>
      </c>
      <c r="I2315" s="6" t="n">
        <v>0</v>
      </c>
      <c r="J2315" s="40" t="n">
        <f aca="false">H2315-I2315</f>
        <v>3.34</v>
      </c>
      <c r="K2315" s="41" t="n">
        <v>26.5</v>
      </c>
      <c r="L2315" s="42" t="n">
        <f aca="false">J2315*K2315</f>
        <v>88.51</v>
      </c>
      <c r="M2315" s="43" t="n">
        <f aca="false">H2315*15.19*(1+'Chart of Accounts'!$E$67)</f>
        <v>58.091117</v>
      </c>
    </row>
    <row r="2316" customFormat="false" ht="15" hidden="false" customHeight="false" outlineLevel="0" collapsed="false">
      <c r="B2316" s="7" t="s">
        <v>2813</v>
      </c>
      <c r="C2316" s="39" t="n">
        <v>45775</v>
      </c>
      <c r="D2316" s="7" t="s">
        <v>357</v>
      </c>
      <c r="E2316" s="7" t="s">
        <v>154</v>
      </c>
      <c r="F2316" s="7" t="s">
        <v>207</v>
      </c>
      <c r="G2316" s="7" t="s">
        <v>505</v>
      </c>
      <c r="H2316" s="6" t="n">
        <v>3.48</v>
      </c>
      <c r="I2316" s="6" t="n">
        <v>0</v>
      </c>
      <c r="J2316" s="40" t="n">
        <f aca="false">H2316-I2316</f>
        <v>3.48</v>
      </c>
      <c r="K2316" s="41" t="n">
        <v>26.5</v>
      </c>
      <c r="L2316" s="42" t="n">
        <f aca="false">J2316*K2316</f>
        <v>92.22</v>
      </c>
      <c r="M2316" s="43" t="n">
        <f aca="false">H2316*16.65*(1+'Chart of Accounts'!$E$67)</f>
        <v>66.34359</v>
      </c>
    </row>
    <row r="2317" customFormat="false" ht="15" hidden="false" customHeight="false" outlineLevel="0" collapsed="false">
      <c r="B2317" s="7" t="s">
        <v>2814</v>
      </c>
      <c r="C2317" s="39" t="n">
        <v>45775</v>
      </c>
      <c r="D2317" s="7" t="s">
        <v>359</v>
      </c>
      <c r="E2317" s="7" t="s">
        <v>156</v>
      </c>
      <c r="F2317" s="7" t="s">
        <v>212</v>
      </c>
      <c r="G2317" s="7" t="s">
        <v>505</v>
      </c>
      <c r="H2317" s="6" t="n">
        <v>4.09</v>
      </c>
      <c r="I2317" s="6" t="n">
        <v>0</v>
      </c>
      <c r="J2317" s="40" t="n">
        <f aca="false">H2317-I2317</f>
        <v>4.09</v>
      </c>
      <c r="K2317" s="41" t="n">
        <v>34</v>
      </c>
      <c r="L2317" s="42" t="n">
        <f aca="false">J2317*K2317</f>
        <v>139.06</v>
      </c>
      <c r="M2317" s="43" t="n">
        <f aca="false">H2317*16.71*(1+'Chart of Accounts'!$E$67)</f>
        <v>78.2537655</v>
      </c>
    </row>
    <row r="2318" customFormat="false" ht="15" hidden="false" customHeight="false" outlineLevel="0" collapsed="false">
      <c r="B2318" s="7" t="s">
        <v>2815</v>
      </c>
      <c r="C2318" s="39" t="n">
        <v>45775</v>
      </c>
      <c r="D2318" s="7" t="s">
        <v>363</v>
      </c>
      <c r="E2318" s="7" t="s">
        <v>156</v>
      </c>
      <c r="F2318" s="7" t="s">
        <v>246</v>
      </c>
      <c r="G2318" s="7" t="s">
        <v>505</v>
      </c>
      <c r="H2318" s="6" t="n">
        <v>4.31</v>
      </c>
      <c r="I2318" s="6" t="n">
        <v>0</v>
      </c>
      <c r="J2318" s="40" t="n">
        <f aca="false">H2318-I2318</f>
        <v>4.31</v>
      </c>
      <c r="K2318" s="41" t="n">
        <v>34</v>
      </c>
      <c r="L2318" s="42" t="n">
        <f aca="false">J2318*K2318</f>
        <v>146.54</v>
      </c>
      <c r="M2318" s="43" t="n">
        <f aca="false">H2318*16.48*(1+'Chart of Accounts'!$E$67)</f>
        <v>81.327976</v>
      </c>
    </row>
    <row r="2319" customFormat="false" ht="15" hidden="false" customHeight="false" outlineLevel="0" collapsed="false">
      <c r="B2319" s="7" t="s">
        <v>2816</v>
      </c>
      <c r="C2319" s="39" t="n">
        <v>45775</v>
      </c>
      <c r="D2319" s="7" t="s">
        <v>365</v>
      </c>
      <c r="E2319" s="7" t="s">
        <v>154</v>
      </c>
      <c r="F2319" s="7" t="s">
        <v>194</v>
      </c>
      <c r="G2319" s="7" t="s">
        <v>505</v>
      </c>
      <c r="H2319" s="6" t="n">
        <v>4.02</v>
      </c>
      <c r="I2319" s="6" t="n">
        <v>0</v>
      </c>
      <c r="J2319" s="40" t="n">
        <f aca="false">H2319-I2319</f>
        <v>4.02</v>
      </c>
      <c r="K2319" s="41" t="n">
        <v>26.5</v>
      </c>
      <c r="L2319" s="42" t="n">
        <f aca="false">J2319*K2319</f>
        <v>106.53</v>
      </c>
      <c r="M2319" s="43" t="n">
        <f aca="false">H2319*16*(1+'Chart of Accounts'!$E$67)</f>
        <v>73.6464</v>
      </c>
    </row>
    <row r="2320" customFormat="false" ht="15" hidden="false" customHeight="false" outlineLevel="0" collapsed="false">
      <c r="B2320" s="7" t="s">
        <v>2817</v>
      </c>
      <c r="C2320" s="39" t="n">
        <v>45775</v>
      </c>
      <c r="D2320" s="7" t="s">
        <v>371</v>
      </c>
      <c r="E2320" s="7" t="s">
        <v>154</v>
      </c>
      <c r="F2320" s="7" t="s">
        <v>232</v>
      </c>
      <c r="G2320" s="7" t="s">
        <v>505</v>
      </c>
      <c r="H2320" s="6" t="n">
        <v>4.69</v>
      </c>
      <c r="I2320" s="6" t="n">
        <v>0</v>
      </c>
      <c r="J2320" s="40" t="n">
        <f aca="false">H2320-I2320</f>
        <v>4.69</v>
      </c>
      <c r="K2320" s="41" t="n">
        <v>26.5</v>
      </c>
      <c r="L2320" s="42" t="n">
        <f aca="false">J2320*K2320</f>
        <v>124.285</v>
      </c>
      <c r="M2320" s="43" t="n">
        <f aca="false">H2320*16.17*(1+'Chart of Accounts'!$E$67)</f>
        <v>86.8337085</v>
      </c>
    </row>
    <row r="2321" customFormat="false" ht="15" hidden="false" customHeight="false" outlineLevel="0" collapsed="false">
      <c r="B2321" s="7" t="s">
        <v>2818</v>
      </c>
      <c r="C2321" s="39" t="n">
        <v>45775</v>
      </c>
      <c r="D2321" s="7" t="s">
        <v>375</v>
      </c>
      <c r="E2321" s="7" t="s">
        <v>156</v>
      </c>
      <c r="F2321" s="7" t="s">
        <v>196</v>
      </c>
      <c r="G2321" s="7" t="s">
        <v>505</v>
      </c>
      <c r="H2321" s="6" t="n">
        <v>2.98</v>
      </c>
      <c r="I2321" s="6" t="n">
        <v>0</v>
      </c>
      <c r="J2321" s="40" t="n">
        <f aca="false">H2321-I2321</f>
        <v>2.98</v>
      </c>
      <c r="K2321" s="41" t="n">
        <v>34</v>
      </c>
      <c r="L2321" s="42" t="n">
        <f aca="false">J2321*K2321</f>
        <v>101.32</v>
      </c>
      <c r="M2321" s="43" t="n">
        <f aca="false">H2321*15.05*(1+'Chart of Accounts'!$E$67)</f>
        <v>51.352105</v>
      </c>
    </row>
    <row r="2322" customFormat="false" ht="15" hidden="false" customHeight="false" outlineLevel="0" collapsed="false">
      <c r="B2322" s="7" t="s">
        <v>2819</v>
      </c>
      <c r="C2322" s="39" t="n">
        <v>45775</v>
      </c>
      <c r="D2322" s="7" t="s">
        <v>377</v>
      </c>
      <c r="E2322" s="7" t="s">
        <v>154</v>
      </c>
      <c r="F2322" s="7" t="s">
        <v>214</v>
      </c>
      <c r="G2322" s="7" t="s">
        <v>505</v>
      </c>
      <c r="H2322" s="6" t="n">
        <v>4.23</v>
      </c>
      <c r="I2322" s="6" t="n">
        <v>0</v>
      </c>
      <c r="J2322" s="40" t="n">
        <f aca="false">H2322-I2322</f>
        <v>4.23</v>
      </c>
      <c r="K2322" s="41" t="n">
        <v>26.5</v>
      </c>
      <c r="L2322" s="42" t="n">
        <f aca="false">J2322*K2322</f>
        <v>112.095</v>
      </c>
      <c r="M2322" s="43" t="n">
        <f aca="false">H2322*15.67*(1+'Chart of Accounts'!$E$67)</f>
        <v>75.8952945</v>
      </c>
    </row>
    <row r="2323" customFormat="false" ht="15" hidden="false" customHeight="false" outlineLevel="0" collapsed="false">
      <c r="B2323" s="7" t="s">
        <v>2820</v>
      </c>
      <c r="C2323" s="39" t="n">
        <v>45775</v>
      </c>
      <c r="D2323" s="7" t="s">
        <v>379</v>
      </c>
      <c r="E2323" s="7" t="s">
        <v>156</v>
      </c>
      <c r="F2323" s="7" t="s">
        <v>224</v>
      </c>
      <c r="G2323" s="7" t="s">
        <v>505</v>
      </c>
      <c r="H2323" s="6" t="n">
        <v>5.04</v>
      </c>
      <c r="I2323" s="6" t="n">
        <v>0</v>
      </c>
      <c r="J2323" s="40" t="n">
        <f aca="false">H2323-I2323</f>
        <v>5.04</v>
      </c>
      <c r="K2323" s="41" t="n">
        <v>34</v>
      </c>
      <c r="L2323" s="42" t="n">
        <f aca="false">J2323*K2323</f>
        <v>171.36</v>
      </c>
      <c r="M2323" s="43" t="n">
        <f aca="false">H2323*14.93*(1+'Chart of Accounts'!$E$67)</f>
        <v>86.158044</v>
      </c>
    </row>
    <row r="2324" customFormat="false" ht="15" hidden="false" customHeight="false" outlineLevel="0" collapsed="false">
      <c r="B2324" s="7" t="s">
        <v>2821</v>
      </c>
      <c r="C2324" s="39" t="n">
        <v>45775</v>
      </c>
      <c r="D2324" s="7" t="s">
        <v>385</v>
      </c>
      <c r="E2324" s="7" t="s">
        <v>156</v>
      </c>
      <c r="F2324" s="7" t="s">
        <v>238</v>
      </c>
      <c r="G2324" s="7" t="s">
        <v>505</v>
      </c>
      <c r="H2324" s="6" t="n">
        <v>3.77</v>
      </c>
      <c r="I2324" s="6" t="n">
        <v>0</v>
      </c>
      <c r="J2324" s="40" t="n">
        <f aca="false">H2324-I2324</f>
        <v>3.77</v>
      </c>
      <c r="K2324" s="41" t="n">
        <v>34</v>
      </c>
      <c r="L2324" s="42" t="n">
        <f aca="false">J2324*K2324</f>
        <v>128.18</v>
      </c>
      <c r="M2324" s="43" t="n">
        <f aca="false">H2324*15.85*(1+'Chart of Accounts'!$E$67)</f>
        <v>68.4189025</v>
      </c>
    </row>
    <row r="2325" customFormat="false" ht="15" hidden="false" customHeight="false" outlineLevel="0" collapsed="false">
      <c r="B2325" s="7" t="s">
        <v>2822</v>
      </c>
      <c r="C2325" s="39" t="n">
        <v>45775</v>
      </c>
      <c r="D2325" s="7" t="s">
        <v>389</v>
      </c>
      <c r="E2325" s="7" t="s">
        <v>154</v>
      </c>
      <c r="F2325" s="7" t="s">
        <v>246</v>
      </c>
      <c r="G2325" s="7" t="s">
        <v>505</v>
      </c>
      <c r="H2325" s="6" t="n">
        <v>3.73</v>
      </c>
      <c r="I2325" s="6" t="n">
        <v>0</v>
      </c>
      <c r="J2325" s="40" t="n">
        <f aca="false">H2325-I2325</f>
        <v>3.73</v>
      </c>
      <c r="K2325" s="41" t="n">
        <v>26.5</v>
      </c>
      <c r="L2325" s="42" t="n">
        <f aca="false">J2325*K2325</f>
        <v>98.845</v>
      </c>
      <c r="M2325" s="43" t="n">
        <f aca="false">H2325*16.48*(1+'Chart of Accounts'!$E$67)</f>
        <v>70.383608</v>
      </c>
    </row>
    <row r="2326" customFormat="false" ht="15" hidden="false" customHeight="false" outlineLevel="0" collapsed="false">
      <c r="B2326" s="7" t="s">
        <v>2823</v>
      </c>
      <c r="C2326" s="39" t="n">
        <v>45775</v>
      </c>
      <c r="D2326" s="7" t="s">
        <v>391</v>
      </c>
      <c r="E2326" s="7" t="s">
        <v>156</v>
      </c>
      <c r="F2326" s="7" t="s">
        <v>222</v>
      </c>
      <c r="G2326" s="7" t="s">
        <v>505</v>
      </c>
      <c r="H2326" s="6" t="n">
        <v>3.67</v>
      </c>
      <c r="I2326" s="6" t="n">
        <v>0</v>
      </c>
      <c r="J2326" s="40" t="n">
        <f aca="false">H2326-I2326</f>
        <v>3.67</v>
      </c>
      <c r="K2326" s="41" t="n">
        <v>34</v>
      </c>
      <c r="L2326" s="42" t="n">
        <f aca="false">J2326*K2326</f>
        <v>124.78</v>
      </c>
      <c r="M2326" s="43" t="n">
        <f aca="false">H2326*17.84*(1+'Chart of Accounts'!$E$67)</f>
        <v>74.966356</v>
      </c>
    </row>
    <row r="2327" customFormat="false" ht="15" hidden="false" customHeight="false" outlineLevel="0" collapsed="false">
      <c r="B2327" s="7" t="s">
        <v>2824</v>
      </c>
      <c r="C2327" s="39" t="n">
        <v>45775</v>
      </c>
      <c r="D2327" s="7" t="s">
        <v>395</v>
      </c>
      <c r="E2327" s="7" t="s">
        <v>156</v>
      </c>
      <c r="F2327" s="7" t="s">
        <v>242</v>
      </c>
      <c r="G2327" s="7" t="s">
        <v>505</v>
      </c>
      <c r="H2327" s="6" t="n">
        <v>4.02</v>
      </c>
      <c r="I2327" s="6" t="n">
        <v>0</v>
      </c>
      <c r="J2327" s="40" t="n">
        <f aca="false">H2327-I2327</f>
        <v>4.02</v>
      </c>
      <c r="K2327" s="41" t="n">
        <v>34</v>
      </c>
      <c r="L2327" s="42" t="n">
        <f aca="false">J2327*K2327</f>
        <v>136.68</v>
      </c>
      <c r="M2327" s="43" t="n">
        <f aca="false">H2327*17.99*(1+'Chart of Accounts'!$E$67)</f>
        <v>82.806171</v>
      </c>
    </row>
    <row r="2328" customFormat="false" ht="15" hidden="false" customHeight="false" outlineLevel="0" collapsed="false">
      <c r="B2328" s="7" t="s">
        <v>2825</v>
      </c>
      <c r="C2328" s="39" t="n">
        <v>45775</v>
      </c>
      <c r="D2328" s="7" t="s">
        <v>399</v>
      </c>
      <c r="E2328" s="7" t="s">
        <v>154</v>
      </c>
      <c r="F2328" s="7" t="s">
        <v>262</v>
      </c>
      <c r="G2328" s="7" t="s">
        <v>505</v>
      </c>
      <c r="H2328" s="6" t="n">
        <v>3.34</v>
      </c>
      <c r="I2328" s="6" t="n">
        <v>0</v>
      </c>
      <c r="J2328" s="40" t="n">
        <f aca="false">H2328-I2328</f>
        <v>3.34</v>
      </c>
      <c r="K2328" s="41" t="n">
        <v>26.5</v>
      </c>
      <c r="L2328" s="42" t="n">
        <f aca="false">J2328*K2328</f>
        <v>88.51</v>
      </c>
      <c r="M2328" s="43" t="n">
        <f aca="false">H2328*16.02*(1+'Chart of Accounts'!$E$67)</f>
        <v>61.265286</v>
      </c>
    </row>
    <row r="2329" customFormat="false" ht="15" hidden="false" customHeight="false" outlineLevel="0" collapsed="false">
      <c r="B2329" s="7" t="s">
        <v>2826</v>
      </c>
      <c r="C2329" s="39" t="n">
        <v>45775</v>
      </c>
      <c r="D2329" s="7" t="s">
        <v>401</v>
      </c>
      <c r="E2329" s="7" t="s">
        <v>156</v>
      </c>
      <c r="F2329" s="7" t="s">
        <v>254</v>
      </c>
      <c r="G2329" s="7" t="s">
        <v>505</v>
      </c>
      <c r="H2329" s="6" t="n">
        <v>3.95</v>
      </c>
      <c r="I2329" s="6" t="n">
        <v>0</v>
      </c>
      <c r="J2329" s="40" t="n">
        <f aca="false">H2329-I2329</f>
        <v>3.95</v>
      </c>
      <c r="K2329" s="41" t="n">
        <v>34</v>
      </c>
      <c r="L2329" s="42" t="n">
        <f aca="false">J2329*K2329</f>
        <v>134.3</v>
      </c>
      <c r="M2329" s="43" t="n">
        <f aca="false">H2329*17.1*(1+'Chart of Accounts'!$E$67)</f>
        <v>77.339025</v>
      </c>
    </row>
    <row r="2330" customFormat="false" ht="15" hidden="false" customHeight="false" outlineLevel="0" collapsed="false">
      <c r="B2330" s="7" t="s">
        <v>2827</v>
      </c>
      <c r="C2330" s="39" t="n">
        <v>45775</v>
      </c>
      <c r="D2330" s="7" t="s">
        <v>411</v>
      </c>
      <c r="E2330" s="7" t="s">
        <v>154</v>
      </c>
      <c r="F2330" s="7" t="s">
        <v>177</v>
      </c>
      <c r="G2330" s="7" t="s">
        <v>505</v>
      </c>
      <c r="H2330" s="6" t="n">
        <v>4.42</v>
      </c>
      <c r="I2330" s="6" t="n">
        <v>0</v>
      </c>
      <c r="J2330" s="40" t="n">
        <f aca="false">H2330-I2330</f>
        <v>4.42</v>
      </c>
      <c r="K2330" s="41" t="n">
        <v>26.5</v>
      </c>
      <c r="L2330" s="42" t="n">
        <f aca="false">J2330*K2330</f>
        <v>117.13</v>
      </c>
      <c r="M2330" s="43" t="n">
        <f aca="false">H2330*14.56*(1+'Chart of Accounts'!$E$67)</f>
        <v>73.686704</v>
      </c>
    </row>
    <row r="2331" customFormat="false" ht="15" hidden="false" customHeight="false" outlineLevel="0" collapsed="false">
      <c r="B2331" s="7" t="s">
        <v>2828</v>
      </c>
      <c r="C2331" s="39" t="n">
        <v>45776</v>
      </c>
      <c r="D2331" s="7" t="s">
        <v>288</v>
      </c>
      <c r="E2331" s="7" t="s">
        <v>156</v>
      </c>
      <c r="F2331" s="7" t="s">
        <v>191</v>
      </c>
      <c r="G2331" s="7" t="s">
        <v>505</v>
      </c>
      <c r="H2331" s="6" t="n">
        <v>3.67</v>
      </c>
      <c r="I2331" s="6" t="n">
        <v>0</v>
      </c>
      <c r="J2331" s="40" t="n">
        <f aca="false">H2331-I2331</f>
        <v>3.67</v>
      </c>
      <c r="K2331" s="41" t="n">
        <v>34</v>
      </c>
      <c r="L2331" s="42" t="n">
        <f aca="false">J2331*K2331</f>
        <v>124.78</v>
      </c>
      <c r="M2331" s="43" t="n">
        <f aca="false">H2331*16.05*(1+'Chart of Accounts'!$E$67)</f>
        <v>67.4445075</v>
      </c>
    </row>
    <row r="2332" customFormat="false" ht="15" hidden="false" customHeight="false" outlineLevel="0" collapsed="false">
      <c r="B2332" s="7" t="s">
        <v>2829</v>
      </c>
      <c r="C2332" s="39" t="n">
        <v>45776</v>
      </c>
      <c r="D2332" s="7" t="s">
        <v>301</v>
      </c>
      <c r="E2332" s="7" t="s">
        <v>157</v>
      </c>
      <c r="F2332" s="7" t="s">
        <v>209</v>
      </c>
      <c r="G2332" s="7" t="s">
        <v>502</v>
      </c>
      <c r="H2332" s="6" t="n">
        <v>1.03</v>
      </c>
      <c r="I2332" s="6" t="n">
        <v>0</v>
      </c>
      <c r="J2332" s="40" t="n">
        <f aca="false">H2332-I2332</f>
        <v>1.03</v>
      </c>
      <c r="K2332" s="41" t="n">
        <v>165</v>
      </c>
      <c r="L2332" s="42" t="n">
        <f aca="false">J2332*K2332</f>
        <v>169.95</v>
      </c>
      <c r="M2332" s="43" t="n">
        <f aca="false">H2332*73.58*(1+'Chart of Accounts'!$E$67)</f>
        <v>86.776573</v>
      </c>
    </row>
    <row r="2333" customFormat="false" ht="15" hidden="false" customHeight="false" outlineLevel="0" collapsed="false">
      <c r="B2333" s="7" t="s">
        <v>2830</v>
      </c>
      <c r="C2333" s="39" t="n">
        <v>45776</v>
      </c>
      <c r="D2333" s="7" t="s">
        <v>313</v>
      </c>
      <c r="E2333" s="7" t="s">
        <v>156</v>
      </c>
      <c r="F2333" s="7" t="s">
        <v>184</v>
      </c>
      <c r="G2333" s="7" t="s">
        <v>505</v>
      </c>
      <c r="H2333" s="6" t="n">
        <v>3.68</v>
      </c>
      <c r="I2333" s="6" t="n">
        <v>0</v>
      </c>
      <c r="J2333" s="40" t="n">
        <f aca="false">H2333-I2333</f>
        <v>3.68</v>
      </c>
      <c r="K2333" s="41" t="n">
        <v>34</v>
      </c>
      <c r="L2333" s="42" t="n">
        <f aca="false">J2333*K2333</f>
        <v>125.12</v>
      </c>
      <c r="M2333" s="43" t="n">
        <f aca="false">H2333*17.34*(1+'Chart of Accounts'!$E$67)</f>
        <v>73.063824</v>
      </c>
    </row>
    <row r="2334" customFormat="false" ht="15" hidden="false" customHeight="false" outlineLevel="0" collapsed="false">
      <c r="B2334" s="7" t="s">
        <v>2831</v>
      </c>
      <c r="C2334" s="39" t="n">
        <v>45776</v>
      </c>
      <c r="D2334" s="7" t="s">
        <v>319</v>
      </c>
      <c r="E2334" s="7" t="s">
        <v>157</v>
      </c>
      <c r="F2334" s="7" t="s">
        <v>234</v>
      </c>
      <c r="G2334" s="7" t="s">
        <v>502</v>
      </c>
      <c r="H2334" s="6" t="n">
        <v>0.94</v>
      </c>
      <c r="I2334" s="6" t="n">
        <v>0</v>
      </c>
      <c r="J2334" s="40" t="n">
        <f aca="false">H2334-I2334</f>
        <v>0.94</v>
      </c>
      <c r="K2334" s="41" t="n">
        <v>165</v>
      </c>
      <c r="L2334" s="42" t="n">
        <f aca="false">J2334*K2334</f>
        <v>155.1</v>
      </c>
      <c r="M2334" s="43" t="n">
        <f aca="false">H2334*89.53*(1+'Chart of Accounts'!$E$67)</f>
        <v>96.361139</v>
      </c>
    </row>
    <row r="2335" customFormat="false" ht="15" hidden="false" customHeight="false" outlineLevel="0" collapsed="false">
      <c r="B2335" s="7" t="s">
        <v>2832</v>
      </c>
      <c r="C2335" s="39" t="n">
        <v>45776</v>
      </c>
      <c r="D2335" s="7" t="s">
        <v>321</v>
      </c>
      <c r="E2335" s="7" t="s">
        <v>154</v>
      </c>
      <c r="F2335" s="7" t="s">
        <v>218</v>
      </c>
      <c r="G2335" s="7" t="s">
        <v>505</v>
      </c>
      <c r="H2335" s="6" t="n">
        <v>3.84</v>
      </c>
      <c r="I2335" s="6" t="n">
        <v>0</v>
      </c>
      <c r="J2335" s="40" t="n">
        <f aca="false">H2335-I2335</f>
        <v>3.84</v>
      </c>
      <c r="K2335" s="41" t="n">
        <v>26.5</v>
      </c>
      <c r="L2335" s="42" t="n">
        <f aca="false">J2335*K2335</f>
        <v>101.76</v>
      </c>
      <c r="M2335" s="43" t="n">
        <f aca="false">H2335*16.19*(1+'Chart of Accounts'!$E$67)</f>
        <v>71.184192</v>
      </c>
    </row>
    <row r="2336" customFormat="false" ht="15" hidden="false" customHeight="false" outlineLevel="0" collapsed="false">
      <c r="B2336" s="7" t="s">
        <v>2833</v>
      </c>
      <c r="C2336" s="39" t="n">
        <v>45776</v>
      </c>
      <c r="D2336" s="7" t="s">
        <v>323</v>
      </c>
      <c r="E2336" s="7" t="s">
        <v>159</v>
      </c>
      <c r="F2336" s="7" t="s">
        <v>266</v>
      </c>
      <c r="G2336" s="7" t="s">
        <v>502</v>
      </c>
      <c r="H2336" s="6" t="n">
        <v>0.95</v>
      </c>
      <c r="I2336" s="6" t="n">
        <v>0</v>
      </c>
      <c r="J2336" s="40" t="n">
        <f aca="false">H2336-I2336</f>
        <v>0.95</v>
      </c>
      <c r="K2336" s="41" t="n">
        <v>135</v>
      </c>
      <c r="L2336" s="42" t="n">
        <f aca="false">J2336*K2336</f>
        <v>128.25</v>
      </c>
      <c r="M2336" s="43" t="n">
        <f aca="false">H2336*75.18*(1+'Chart of Accounts'!$E$67)</f>
        <v>81.777045</v>
      </c>
    </row>
    <row r="2337" customFormat="false" ht="15" hidden="false" customHeight="false" outlineLevel="0" collapsed="false">
      <c r="B2337" s="7" t="s">
        <v>2834</v>
      </c>
      <c r="C2337" s="39" t="n">
        <v>45776</v>
      </c>
      <c r="D2337" s="7" t="s">
        <v>327</v>
      </c>
      <c r="E2337" s="7" t="s">
        <v>157</v>
      </c>
      <c r="F2337" s="7" t="s">
        <v>228</v>
      </c>
      <c r="G2337" s="7" t="s">
        <v>502</v>
      </c>
      <c r="H2337" s="6" t="n">
        <v>1.1</v>
      </c>
      <c r="I2337" s="6" t="n">
        <v>0</v>
      </c>
      <c r="J2337" s="40" t="n">
        <f aca="false">H2337-I2337</f>
        <v>1.1</v>
      </c>
      <c r="K2337" s="41" t="n">
        <v>165</v>
      </c>
      <c r="L2337" s="42" t="n">
        <f aca="false">J2337*K2337</f>
        <v>181.5</v>
      </c>
      <c r="M2337" s="43" t="n">
        <f aca="false">H2337*51.07*(1+'Chart of Accounts'!$E$67)</f>
        <v>64.322665</v>
      </c>
    </row>
    <row r="2338" customFormat="false" ht="15" hidden="false" customHeight="false" outlineLevel="0" collapsed="false">
      <c r="B2338" s="7" t="s">
        <v>2835</v>
      </c>
      <c r="C2338" s="39" t="n">
        <v>45776</v>
      </c>
      <c r="D2338" s="7" t="s">
        <v>359</v>
      </c>
      <c r="E2338" s="7" t="s">
        <v>156</v>
      </c>
      <c r="F2338" s="7" t="s">
        <v>212</v>
      </c>
      <c r="G2338" s="7" t="s">
        <v>505</v>
      </c>
      <c r="H2338" s="6" t="n">
        <v>3.83</v>
      </c>
      <c r="I2338" s="6" t="n">
        <v>0</v>
      </c>
      <c r="J2338" s="40" t="n">
        <f aca="false">H2338-I2338</f>
        <v>3.83</v>
      </c>
      <c r="K2338" s="41" t="n">
        <v>34</v>
      </c>
      <c r="L2338" s="42" t="n">
        <f aca="false">J2338*K2338</f>
        <v>130.22</v>
      </c>
      <c r="M2338" s="43" t="n">
        <f aca="false">H2338*16.71*(1+'Chart of Accounts'!$E$67)</f>
        <v>73.2791985</v>
      </c>
    </row>
    <row r="2339" customFormat="false" ht="15" hidden="false" customHeight="false" outlineLevel="0" collapsed="false">
      <c r="B2339" s="7" t="s">
        <v>2836</v>
      </c>
      <c r="C2339" s="39" t="n">
        <v>45776</v>
      </c>
      <c r="D2339" s="7" t="s">
        <v>361</v>
      </c>
      <c r="E2339" s="7" t="s">
        <v>157</v>
      </c>
      <c r="F2339" s="7" t="s">
        <v>209</v>
      </c>
      <c r="G2339" s="7" t="s">
        <v>502</v>
      </c>
      <c r="H2339" s="6" t="n">
        <v>1.09</v>
      </c>
      <c r="I2339" s="6" t="n">
        <v>0</v>
      </c>
      <c r="J2339" s="40" t="n">
        <f aca="false">H2339-I2339</f>
        <v>1.09</v>
      </c>
      <c r="K2339" s="41" t="n">
        <v>165</v>
      </c>
      <c r="L2339" s="42" t="n">
        <f aca="false">J2339*K2339</f>
        <v>179.85</v>
      </c>
      <c r="M2339" s="43" t="n">
        <f aca="false">H2339*73.58*(1+'Chart of Accounts'!$E$67)</f>
        <v>91.831519</v>
      </c>
    </row>
    <row r="2340" customFormat="false" ht="15" hidden="false" customHeight="false" outlineLevel="0" collapsed="false">
      <c r="B2340" s="7" t="s">
        <v>2837</v>
      </c>
      <c r="C2340" s="39" t="n">
        <v>45776</v>
      </c>
      <c r="D2340" s="7" t="s">
        <v>365</v>
      </c>
      <c r="E2340" s="7" t="s">
        <v>154</v>
      </c>
      <c r="F2340" s="7" t="s">
        <v>194</v>
      </c>
      <c r="G2340" s="7" t="s">
        <v>505</v>
      </c>
      <c r="H2340" s="6" t="n">
        <v>3.61</v>
      </c>
      <c r="I2340" s="6" t="n">
        <v>0</v>
      </c>
      <c r="J2340" s="40" t="n">
        <f aca="false">H2340-I2340</f>
        <v>3.61</v>
      </c>
      <c r="K2340" s="41" t="n">
        <v>26.5</v>
      </c>
      <c r="L2340" s="42" t="n">
        <f aca="false">J2340*K2340</f>
        <v>95.665</v>
      </c>
      <c r="M2340" s="43" t="n">
        <f aca="false">H2340*16*(1+'Chart of Accounts'!$E$67)</f>
        <v>66.1352</v>
      </c>
    </row>
    <row r="2341" customFormat="false" ht="15" hidden="false" customHeight="false" outlineLevel="0" collapsed="false">
      <c r="B2341" s="7" t="s">
        <v>2838</v>
      </c>
      <c r="C2341" s="39" t="n">
        <v>45776</v>
      </c>
      <c r="D2341" s="7" t="s">
        <v>381</v>
      </c>
      <c r="E2341" s="7" t="s">
        <v>157</v>
      </c>
      <c r="F2341" s="7" t="s">
        <v>234</v>
      </c>
      <c r="G2341" s="7" t="s">
        <v>502</v>
      </c>
      <c r="H2341" s="6" t="n">
        <v>1.09</v>
      </c>
      <c r="I2341" s="6" t="n">
        <v>0</v>
      </c>
      <c r="J2341" s="40" t="n">
        <f aca="false">H2341-I2341</f>
        <v>1.09</v>
      </c>
      <c r="K2341" s="41" t="n">
        <v>165</v>
      </c>
      <c r="L2341" s="42" t="n">
        <f aca="false">J2341*K2341</f>
        <v>179.85</v>
      </c>
      <c r="M2341" s="43" t="n">
        <f aca="false">H2341*89.53*(1+'Chart of Accounts'!$E$67)</f>
        <v>111.7379165</v>
      </c>
    </row>
    <row r="2342" customFormat="false" ht="15" hidden="false" customHeight="false" outlineLevel="0" collapsed="false">
      <c r="B2342" s="7" t="s">
        <v>2839</v>
      </c>
      <c r="C2342" s="39" t="n">
        <v>45776</v>
      </c>
      <c r="D2342" s="7" t="s">
        <v>389</v>
      </c>
      <c r="E2342" s="7" t="s">
        <v>154</v>
      </c>
      <c r="F2342" s="7" t="s">
        <v>246</v>
      </c>
      <c r="G2342" s="7" t="s">
        <v>505</v>
      </c>
      <c r="H2342" s="6" t="n">
        <v>4.18</v>
      </c>
      <c r="I2342" s="6" t="n">
        <v>0</v>
      </c>
      <c r="J2342" s="40" t="n">
        <f aca="false">H2342-I2342</f>
        <v>4.18</v>
      </c>
      <c r="K2342" s="41" t="n">
        <v>26.5</v>
      </c>
      <c r="L2342" s="42" t="n">
        <f aca="false">J2342*K2342</f>
        <v>110.77</v>
      </c>
      <c r="M2342" s="43" t="n">
        <f aca="false">H2342*16.48*(1+'Chart of Accounts'!$E$67)</f>
        <v>78.874928</v>
      </c>
    </row>
    <row r="2343" customFormat="false" ht="15" hidden="false" customHeight="false" outlineLevel="0" collapsed="false">
      <c r="B2343" s="7" t="s">
        <v>2840</v>
      </c>
      <c r="C2343" s="39" t="n">
        <v>45776</v>
      </c>
      <c r="D2343" s="7" t="s">
        <v>391</v>
      </c>
      <c r="E2343" s="7" t="s">
        <v>156</v>
      </c>
      <c r="F2343" s="7" t="s">
        <v>222</v>
      </c>
      <c r="G2343" s="7" t="s">
        <v>505</v>
      </c>
      <c r="H2343" s="6" t="n">
        <v>4.07</v>
      </c>
      <c r="I2343" s="6" t="n">
        <v>0</v>
      </c>
      <c r="J2343" s="40" t="n">
        <f aca="false">H2343-I2343</f>
        <v>4.07</v>
      </c>
      <c r="K2343" s="41" t="n">
        <v>34</v>
      </c>
      <c r="L2343" s="42" t="n">
        <f aca="false">J2343*K2343</f>
        <v>138.38</v>
      </c>
      <c r="M2343" s="43" t="n">
        <f aca="false">H2343*17.84*(1+'Chart of Accounts'!$E$67)</f>
        <v>83.137076</v>
      </c>
    </row>
    <row r="2344" customFormat="false" ht="15" hidden="false" customHeight="false" outlineLevel="0" collapsed="false">
      <c r="B2344" s="7" t="s">
        <v>2841</v>
      </c>
      <c r="C2344" s="39" t="n">
        <v>45776</v>
      </c>
      <c r="D2344" s="7" t="s">
        <v>395</v>
      </c>
      <c r="E2344" s="7" t="s">
        <v>156</v>
      </c>
      <c r="F2344" s="7" t="s">
        <v>242</v>
      </c>
      <c r="G2344" s="7" t="s">
        <v>505</v>
      </c>
      <c r="H2344" s="6" t="n">
        <v>4.25</v>
      </c>
      <c r="I2344" s="6" t="n">
        <v>0</v>
      </c>
      <c r="J2344" s="40" t="n">
        <f aca="false">H2344-I2344</f>
        <v>4.25</v>
      </c>
      <c r="K2344" s="41" t="n">
        <v>34</v>
      </c>
      <c r="L2344" s="42" t="n">
        <f aca="false">J2344*K2344</f>
        <v>144.5</v>
      </c>
      <c r="M2344" s="43" t="n">
        <f aca="false">H2344*17.99*(1+'Chart of Accounts'!$E$67)</f>
        <v>87.5438375</v>
      </c>
    </row>
    <row r="2345" customFormat="false" ht="15" hidden="false" customHeight="false" outlineLevel="0" collapsed="false">
      <c r="B2345" s="7" t="s">
        <v>2842</v>
      </c>
      <c r="C2345" s="39" t="n">
        <v>45776</v>
      </c>
      <c r="D2345" s="7" t="s">
        <v>397</v>
      </c>
      <c r="E2345" s="7" t="s">
        <v>159</v>
      </c>
      <c r="F2345" s="7" t="s">
        <v>203</v>
      </c>
      <c r="G2345" s="7" t="s">
        <v>502</v>
      </c>
      <c r="H2345" s="6" t="n">
        <v>1.07</v>
      </c>
      <c r="I2345" s="6" t="n">
        <v>0</v>
      </c>
      <c r="J2345" s="40" t="n">
        <f aca="false">H2345-I2345</f>
        <v>1.07</v>
      </c>
      <c r="K2345" s="41" t="n">
        <v>135</v>
      </c>
      <c r="L2345" s="42" t="n">
        <f aca="false">J2345*K2345</f>
        <v>144.45</v>
      </c>
      <c r="M2345" s="43" t="n">
        <f aca="false">H2345*49.43*(1+'Chart of Accounts'!$E$67)</f>
        <v>60.5591645</v>
      </c>
    </row>
    <row r="2346" customFormat="false" ht="15" hidden="false" customHeight="false" outlineLevel="0" collapsed="false">
      <c r="B2346" s="7" t="s">
        <v>2843</v>
      </c>
      <c r="C2346" s="39" t="n">
        <v>45776</v>
      </c>
      <c r="D2346" s="7" t="s">
        <v>401</v>
      </c>
      <c r="E2346" s="7" t="s">
        <v>156</v>
      </c>
      <c r="F2346" s="7" t="s">
        <v>254</v>
      </c>
      <c r="G2346" s="7" t="s">
        <v>505</v>
      </c>
      <c r="H2346" s="6" t="n">
        <v>3.93</v>
      </c>
      <c r="I2346" s="6" t="n">
        <v>0</v>
      </c>
      <c r="J2346" s="40" t="n">
        <f aca="false">H2346-I2346</f>
        <v>3.93</v>
      </c>
      <c r="K2346" s="41" t="n">
        <v>34</v>
      </c>
      <c r="L2346" s="42" t="n">
        <f aca="false">J2346*K2346</f>
        <v>133.62</v>
      </c>
      <c r="M2346" s="43" t="n">
        <f aca="false">H2346*17.1*(1+'Chart of Accounts'!$E$67)</f>
        <v>76.947435</v>
      </c>
    </row>
    <row r="2347" customFormat="false" ht="15" hidden="false" customHeight="false" outlineLevel="0" collapsed="false">
      <c r="B2347" s="7" t="s">
        <v>2844</v>
      </c>
      <c r="C2347" s="39" t="n">
        <v>45776</v>
      </c>
      <c r="D2347" s="7" t="s">
        <v>407</v>
      </c>
      <c r="E2347" s="7" t="s">
        <v>159</v>
      </c>
      <c r="F2347" s="7" t="s">
        <v>260</v>
      </c>
      <c r="G2347" s="7" t="s">
        <v>502</v>
      </c>
      <c r="H2347" s="6" t="n">
        <v>0.91</v>
      </c>
      <c r="I2347" s="6" t="n">
        <v>0</v>
      </c>
      <c r="J2347" s="40" t="n">
        <f aca="false">H2347-I2347</f>
        <v>0.91</v>
      </c>
      <c r="K2347" s="41" t="n">
        <v>135</v>
      </c>
      <c r="L2347" s="42" t="n">
        <f aca="false">J2347*K2347</f>
        <v>122.85</v>
      </c>
      <c r="M2347" s="43" t="n">
        <f aca="false">H2347*79.8*(1+'Chart of Accounts'!$E$67)</f>
        <v>83.14761</v>
      </c>
    </row>
    <row r="2348" customFormat="false" ht="15" hidden="false" customHeight="false" outlineLevel="0" collapsed="false">
      <c r="B2348" s="7" t="s">
        <v>2845</v>
      </c>
      <c r="C2348" s="39" t="n">
        <v>45777</v>
      </c>
      <c r="D2348" s="7" t="s">
        <v>280</v>
      </c>
      <c r="E2348" s="7" t="s">
        <v>157</v>
      </c>
      <c r="F2348" s="7" t="s">
        <v>187</v>
      </c>
      <c r="G2348" s="7" t="s">
        <v>502</v>
      </c>
      <c r="H2348" s="6" t="n">
        <v>0.96</v>
      </c>
      <c r="I2348" s="6" t="n">
        <v>0</v>
      </c>
      <c r="J2348" s="40" t="n">
        <f aca="false">H2348-I2348</f>
        <v>0.96</v>
      </c>
      <c r="K2348" s="41" t="n">
        <v>165</v>
      </c>
      <c r="L2348" s="42" t="n">
        <f aca="false">J2348*K2348</f>
        <v>158.4</v>
      </c>
      <c r="M2348" s="43" t="n">
        <f aca="false">H2348*66.48*(1+'Chart of Accounts'!$E$67)</f>
        <v>73.074816</v>
      </c>
    </row>
    <row r="2349" customFormat="false" ht="15" hidden="false" customHeight="false" outlineLevel="0" collapsed="false">
      <c r="B2349" s="7" t="s">
        <v>2846</v>
      </c>
      <c r="C2349" s="39" t="n">
        <v>45777</v>
      </c>
      <c r="D2349" s="7" t="s">
        <v>286</v>
      </c>
      <c r="E2349" s="7" t="s">
        <v>157</v>
      </c>
      <c r="F2349" s="7" t="s">
        <v>228</v>
      </c>
      <c r="G2349" s="7" t="s">
        <v>502</v>
      </c>
      <c r="H2349" s="6" t="n">
        <v>1.03</v>
      </c>
      <c r="I2349" s="6" t="n">
        <v>0</v>
      </c>
      <c r="J2349" s="40" t="n">
        <f aca="false">H2349-I2349</f>
        <v>1.03</v>
      </c>
      <c r="K2349" s="41" t="n">
        <v>165</v>
      </c>
      <c r="L2349" s="42" t="n">
        <f aca="false">J2349*K2349</f>
        <v>169.95</v>
      </c>
      <c r="M2349" s="43" t="n">
        <f aca="false">H2349*51.07*(1+'Chart of Accounts'!$E$67)</f>
        <v>60.2294045</v>
      </c>
    </row>
    <row r="2350" customFormat="false" ht="15" hidden="false" customHeight="false" outlineLevel="0" collapsed="false">
      <c r="B2350" s="7" t="s">
        <v>2847</v>
      </c>
      <c r="C2350" s="39" t="n">
        <v>45777</v>
      </c>
      <c r="D2350" s="7" t="s">
        <v>288</v>
      </c>
      <c r="E2350" s="7" t="s">
        <v>156</v>
      </c>
      <c r="F2350" s="7" t="s">
        <v>191</v>
      </c>
      <c r="G2350" s="7" t="s">
        <v>505</v>
      </c>
      <c r="H2350" s="6" t="n">
        <v>3.94</v>
      </c>
      <c r="I2350" s="6" t="n">
        <v>0</v>
      </c>
      <c r="J2350" s="40" t="n">
        <f aca="false">H2350-I2350</f>
        <v>3.94</v>
      </c>
      <c r="K2350" s="41" t="n">
        <v>34</v>
      </c>
      <c r="L2350" s="42" t="n">
        <f aca="false">J2350*K2350</f>
        <v>133.96</v>
      </c>
      <c r="M2350" s="43" t="n">
        <f aca="false">H2350*16.05*(1+'Chart of Accounts'!$E$67)</f>
        <v>72.406365</v>
      </c>
    </row>
    <row r="2351" customFormat="false" ht="15" hidden="false" customHeight="false" outlineLevel="0" collapsed="false">
      <c r="B2351" s="7" t="s">
        <v>2848</v>
      </c>
      <c r="C2351" s="39" t="n">
        <v>45777</v>
      </c>
      <c r="D2351" s="7" t="s">
        <v>291</v>
      </c>
      <c r="E2351" s="7" t="s">
        <v>154</v>
      </c>
      <c r="F2351" s="7" t="s">
        <v>194</v>
      </c>
      <c r="G2351" s="7" t="s">
        <v>505</v>
      </c>
      <c r="H2351" s="6" t="n">
        <v>4.84</v>
      </c>
      <c r="I2351" s="6" t="n">
        <v>0</v>
      </c>
      <c r="J2351" s="40" t="n">
        <f aca="false">H2351-I2351</f>
        <v>4.84</v>
      </c>
      <c r="K2351" s="41" t="n">
        <v>26.5</v>
      </c>
      <c r="L2351" s="42" t="n">
        <f aca="false">J2351*K2351</f>
        <v>128.26</v>
      </c>
      <c r="M2351" s="43" t="n">
        <f aca="false">H2351*16*(1+'Chart of Accounts'!$E$67)</f>
        <v>88.6688</v>
      </c>
    </row>
    <row r="2352" customFormat="false" ht="15" hidden="false" customHeight="false" outlineLevel="0" collapsed="false">
      <c r="B2352" s="7" t="s">
        <v>2849</v>
      </c>
      <c r="C2352" s="39" t="n">
        <v>45777</v>
      </c>
      <c r="D2352" s="7" t="s">
        <v>305</v>
      </c>
      <c r="E2352" s="7" t="s">
        <v>154</v>
      </c>
      <c r="F2352" s="7" t="s">
        <v>205</v>
      </c>
      <c r="G2352" s="7" t="s">
        <v>505</v>
      </c>
      <c r="H2352" s="6" t="n">
        <v>4.05</v>
      </c>
      <c r="I2352" s="6" t="n">
        <v>0.121</v>
      </c>
      <c r="J2352" s="40" t="n">
        <f aca="false">H2352-I2352</f>
        <v>3.929</v>
      </c>
      <c r="K2352" s="41" t="n">
        <v>26.5</v>
      </c>
      <c r="L2352" s="42" t="n">
        <f aca="false">J2352*K2352</f>
        <v>104.1185</v>
      </c>
      <c r="M2352" s="43" t="n">
        <f aca="false">H2352*16.36*(1+'Chart of Accounts'!$E$67)</f>
        <v>75.86541</v>
      </c>
    </row>
    <row r="2353" customFormat="false" ht="15" hidden="false" customHeight="false" outlineLevel="0" collapsed="false">
      <c r="B2353" s="7" t="s">
        <v>2850</v>
      </c>
      <c r="C2353" s="39" t="n">
        <v>45777</v>
      </c>
      <c r="D2353" s="7" t="s">
        <v>307</v>
      </c>
      <c r="E2353" s="7" t="s">
        <v>157</v>
      </c>
      <c r="F2353" s="7" t="s">
        <v>264</v>
      </c>
      <c r="G2353" s="7" t="s">
        <v>502</v>
      </c>
      <c r="H2353" s="6" t="n">
        <v>1.1</v>
      </c>
      <c r="I2353" s="6" t="n">
        <v>0</v>
      </c>
      <c r="J2353" s="40" t="n">
        <f aca="false">H2353-I2353</f>
        <v>1.1</v>
      </c>
      <c r="K2353" s="41" t="n">
        <v>165</v>
      </c>
      <c r="L2353" s="42" t="n">
        <f aca="false">J2353*K2353</f>
        <v>181.5</v>
      </c>
      <c r="M2353" s="43" t="n">
        <f aca="false">H2353*55.55*(1+'Chart of Accounts'!$E$67)</f>
        <v>69.965225</v>
      </c>
    </row>
    <row r="2354" customFormat="false" ht="15" hidden="false" customHeight="false" outlineLevel="0" collapsed="false">
      <c r="B2354" s="7" t="s">
        <v>2851</v>
      </c>
      <c r="C2354" s="39" t="n">
        <v>45777</v>
      </c>
      <c r="D2354" s="7" t="s">
        <v>309</v>
      </c>
      <c r="E2354" s="7" t="s">
        <v>159</v>
      </c>
      <c r="F2354" s="7" t="s">
        <v>252</v>
      </c>
      <c r="G2354" s="7" t="s">
        <v>502</v>
      </c>
      <c r="H2354" s="6" t="n">
        <v>1.06</v>
      </c>
      <c r="I2354" s="6" t="n">
        <v>0</v>
      </c>
      <c r="J2354" s="40" t="n">
        <f aca="false">H2354-I2354</f>
        <v>1.06</v>
      </c>
      <c r="K2354" s="41" t="n">
        <v>135</v>
      </c>
      <c r="L2354" s="42" t="n">
        <f aca="false">J2354*K2354</f>
        <v>143.1</v>
      </c>
      <c r="M2354" s="43" t="n">
        <f aca="false">H2354*57.54*(1+'Chart of Accounts'!$E$67)</f>
        <v>69.836298</v>
      </c>
    </row>
    <row r="2355" customFormat="false" ht="15" hidden="false" customHeight="false" outlineLevel="0" collapsed="false">
      <c r="B2355" s="7" t="s">
        <v>2852</v>
      </c>
      <c r="C2355" s="39" t="n">
        <v>45777</v>
      </c>
      <c r="D2355" s="7" t="s">
        <v>313</v>
      </c>
      <c r="E2355" s="7" t="s">
        <v>156</v>
      </c>
      <c r="F2355" s="7" t="s">
        <v>184</v>
      </c>
      <c r="G2355" s="7" t="s">
        <v>505</v>
      </c>
      <c r="H2355" s="6" t="n">
        <v>3.91</v>
      </c>
      <c r="I2355" s="6" t="n">
        <v>0</v>
      </c>
      <c r="J2355" s="40" t="n">
        <f aca="false">H2355-I2355</f>
        <v>3.91</v>
      </c>
      <c r="K2355" s="41" t="n">
        <v>34</v>
      </c>
      <c r="L2355" s="42" t="n">
        <f aca="false">J2355*K2355</f>
        <v>132.94</v>
      </c>
      <c r="M2355" s="43" t="n">
        <f aca="false">H2355*17.34*(1+'Chart of Accounts'!$E$67)</f>
        <v>77.630313</v>
      </c>
    </row>
    <row r="2356" customFormat="false" ht="15" hidden="false" customHeight="false" outlineLevel="0" collapsed="false">
      <c r="B2356" s="7" t="s">
        <v>2853</v>
      </c>
      <c r="C2356" s="39" t="n">
        <v>45777</v>
      </c>
      <c r="D2356" s="7" t="s">
        <v>321</v>
      </c>
      <c r="E2356" s="7" t="s">
        <v>154</v>
      </c>
      <c r="F2356" s="7" t="s">
        <v>218</v>
      </c>
      <c r="G2356" s="7" t="s">
        <v>505</v>
      </c>
      <c r="H2356" s="6" t="n">
        <v>3.65</v>
      </c>
      <c r="I2356" s="6" t="n">
        <v>0</v>
      </c>
      <c r="J2356" s="40" t="n">
        <f aca="false">H2356-I2356</f>
        <v>3.65</v>
      </c>
      <c r="K2356" s="41" t="n">
        <v>26.5</v>
      </c>
      <c r="L2356" s="42" t="n">
        <f aca="false">J2356*K2356</f>
        <v>96.725</v>
      </c>
      <c r="M2356" s="43" t="n">
        <f aca="false">H2356*16.19*(1+'Chart of Accounts'!$E$67)</f>
        <v>67.6620575</v>
      </c>
    </row>
    <row r="2357" customFormat="false" ht="15" hidden="false" customHeight="false" outlineLevel="0" collapsed="false">
      <c r="B2357" s="7" t="s">
        <v>2854</v>
      </c>
      <c r="C2357" s="39" t="n">
        <v>45777</v>
      </c>
      <c r="D2357" s="7" t="s">
        <v>329</v>
      </c>
      <c r="E2357" s="7" t="s">
        <v>156</v>
      </c>
      <c r="F2357" s="7" t="s">
        <v>220</v>
      </c>
      <c r="G2357" s="7" t="s">
        <v>505</v>
      </c>
      <c r="H2357" s="6" t="n">
        <v>3.86</v>
      </c>
      <c r="I2357" s="6" t="n">
        <v>0</v>
      </c>
      <c r="J2357" s="40" t="n">
        <f aca="false">H2357-I2357</f>
        <v>3.86</v>
      </c>
      <c r="K2357" s="41" t="n">
        <v>34</v>
      </c>
      <c r="L2357" s="42" t="n">
        <f aca="false">J2357*K2357</f>
        <v>131.24</v>
      </c>
      <c r="M2357" s="43" t="n">
        <f aca="false">H2357*16.43*(1+'Chart of Accounts'!$E$67)</f>
        <v>72.615671</v>
      </c>
    </row>
    <row r="2358" customFormat="false" ht="15" hidden="false" customHeight="false" outlineLevel="0" collapsed="false">
      <c r="B2358" s="7" t="s">
        <v>2855</v>
      </c>
      <c r="C2358" s="39" t="n">
        <v>45777</v>
      </c>
      <c r="D2358" s="7" t="s">
        <v>335</v>
      </c>
      <c r="E2358" s="7" t="s">
        <v>154</v>
      </c>
      <c r="F2358" s="7" t="s">
        <v>177</v>
      </c>
      <c r="G2358" s="7" t="s">
        <v>505</v>
      </c>
      <c r="H2358" s="6" t="n">
        <v>3.84</v>
      </c>
      <c r="I2358" s="6" t="n">
        <v>0</v>
      </c>
      <c r="J2358" s="40" t="n">
        <f aca="false">H2358-I2358</f>
        <v>3.84</v>
      </c>
      <c r="K2358" s="41" t="n">
        <v>26.5</v>
      </c>
      <c r="L2358" s="42" t="n">
        <f aca="false">J2358*K2358</f>
        <v>101.76</v>
      </c>
      <c r="M2358" s="43" t="n">
        <f aca="false">H2358*14.56*(1+'Chart of Accounts'!$E$67)</f>
        <v>64.017408</v>
      </c>
    </row>
    <row r="2359" customFormat="false" ht="15" hidden="false" customHeight="false" outlineLevel="0" collapsed="false">
      <c r="B2359" s="7" t="s">
        <v>2856</v>
      </c>
      <c r="C2359" s="39" t="n">
        <v>45777</v>
      </c>
      <c r="D2359" s="7" t="s">
        <v>339</v>
      </c>
      <c r="E2359" s="7" t="s">
        <v>154</v>
      </c>
      <c r="F2359" s="7" t="s">
        <v>242</v>
      </c>
      <c r="G2359" s="7" t="s">
        <v>505</v>
      </c>
      <c r="H2359" s="6" t="n">
        <v>3.12</v>
      </c>
      <c r="I2359" s="6" t="n">
        <v>0</v>
      </c>
      <c r="J2359" s="40" t="n">
        <f aca="false">H2359-I2359</f>
        <v>3.12</v>
      </c>
      <c r="K2359" s="41" t="n">
        <v>26.5</v>
      </c>
      <c r="L2359" s="42" t="n">
        <f aca="false">J2359*K2359</f>
        <v>82.68</v>
      </c>
      <c r="M2359" s="43" t="n">
        <f aca="false">H2359*17.99*(1+'Chart of Accounts'!$E$67)</f>
        <v>64.267476</v>
      </c>
    </row>
    <row r="2360" customFormat="false" ht="15" hidden="false" customHeight="false" outlineLevel="0" collapsed="false">
      <c r="B2360" s="7" t="s">
        <v>2857</v>
      </c>
      <c r="C2360" s="39" t="n">
        <v>45777</v>
      </c>
      <c r="D2360" s="7" t="s">
        <v>353</v>
      </c>
      <c r="E2360" s="7" t="s">
        <v>154</v>
      </c>
      <c r="F2360" s="7" t="s">
        <v>254</v>
      </c>
      <c r="G2360" s="7" t="s">
        <v>505</v>
      </c>
      <c r="H2360" s="6" t="n">
        <v>3.02</v>
      </c>
      <c r="I2360" s="6" t="n">
        <v>0</v>
      </c>
      <c r="J2360" s="40" t="n">
        <f aca="false">H2360-I2360</f>
        <v>3.02</v>
      </c>
      <c r="K2360" s="41" t="n">
        <v>26.5</v>
      </c>
      <c r="L2360" s="42" t="n">
        <f aca="false">J2360*K2360</f>
        <v>80.03</v>
      </c>
      <c r="M2360" s="43" t="n">
        <f aca="false">H2360*17.1*(1+'Chart of Accounts'!$E$67)</f>
        <v>59.13009</v>
      </c>
    </row>
    <row r="2361" customFormat="false" ht="15" hidden="false" customHeight="false" outlineLevel="0" collapsed="false">
      <c r="B2361" s="7" t="s">
        <v>2858</v>
      </c>
      <c r="C2361" s="39" t="n">
        <v>45777</v>
      </c>
      <c r="D2361" s="7" t="s">
        <v>355</v>
      </c>
      <c r="E2361" s="7" t="s">
        <v>154</v>
      </c>
      <c r="F2361" s="7" t="s">
        <v>201</v>
      </c>
      <c r="G2361" s="7" t="s">
        <v>505</v>
      </c>
      <c r="H2361" s="6" t="n">
        <v>3.26</v>
      </c>
      <c r="I2361" s="6" t="n">
        <v>0</v>
      </c>
      <c r="J2361" s="40" t="n">
        <f aca="false">H2361-I2361</f>
        <v>3.26</v>
      </c>
      <c r="K2361" s="41" t="n">
        <v>26.5</v>
      </c>
      <c r="L2361" s="42" t="n">
        <f aca="false">J2361*K2361</f>
        <v>86.39</v>
      </c>
      <c r="M2361" s="43" t="n">
        <f aca="false">H2361*15.19*(1+'Chart of Accounts'!$E$67)</f>
        <v>56.699713</v>
      </c>
    </row>
    <row r="2362" customFormat="false" ht="15" hidden="false" customHeight="false" outlineLevel="0" collapsed="false">
      <c r="B2362" s="7" t="s">
        <v>2859</v>
      </c>
      <c r="C2362" s="39" t="n">
        <v>45777</v>
      </c>
      <c r="D2362" s="7" t="s">
        <v>357</v>
      </c>
      <c r="E2362" s="7" t="s">
        <v>154</v>
      </c>
      <c r="F2362" s="7" t="s">
        <v>207</v>
      </c>
      <c r="G2362" s="7" t="s">
        <v>505</v>
      </c>
      <c r="H2362" s="6" t="n">
        <v>3.35</v>
      </c>
      <c r="I2362" s="6" t="n">
        <v>0</v>
      </c>
      <c r="J2362" s="40" t="n">
        <f aca="false">H2362-I2362</f>
        <v>3.35</v>
      </c>
      <c r="K2362" s="41" t="n">
        <v>26.5</v>
      </c>
      <c r="L2362" s="42" t="n">
        <f aca="false">J2362*K2362</f>
        <v>88.775</v>
      </c>
      <c r="M2362" s="43" t="n">
        <f aca="false">H2362*16.65*(1+'Chart of Accounts'!$E$67)</f>
        <v>63.8652375</v>
      </c>
    </row>
    <row r="2363" customFormat="false" ht="15" hidden="false" customHeight="false" outlineLevel="0" collapsed="false">
      <c r="B2363" s="7" t="s">
        <v>2860</v>
      </c>
      <c r="C2363" s="39" t="n">
        <v>45777</v>
      </c>
      <c r="D2363" s="7" t="s">
        <v>359</v>
      </c>
      <c r="E2363" s="7" t="s">
        <v>156</v>
      </c>
      <c r="F2363" s="7" t="s">
        <v>212</v>
      </c>
      <c r="G2363" s="7" t="s">
        <v>505</v>
      </c>
      <c r="H2363" s="6" t="n">
        <v>3.61</v>
      </c>
      <c r="I2363" s="6" t="n">
        <v>0</v>
      </c>
      <c r="J2363" s="40" t="n">
        <f aca="false">H2363-I2363</f>
        <v>3.61</v>
      </c>
      <c r="K2363" s="41" t="n">
        <v>34</v>
      </c>
      <c r="L2363" s="42" t="n">
        <f aca="false">J2363*K2363</f>
        <v>122.74</v>
      </c>
      <c r="M2363" s="43" t="n">
        <f aca="false">H2363*16.71*(1+'Chart of Accounts'!$E$67)</f>
        <v>69.0699495</v>
      </c>
    </row>
    <row r="2364" customFormat="false" ht="15" hidden="false" customHeight="false" outlineLevel="0" collapsed="false">
      <c r="B2364" s="7" t="s">
        <v>2861</v>
      </c>
      <c r="C2364" s="39" t="n">
        <v>45777</v>
      </c>
      <c r="D2364" s="7" t="s">
        <v>365</v>
      </c>
      <c r="E2364" s="7" t="s">
        <v>154</v>
      </c>
      <c r="F2364" s="7" t="s">
        <v>194</v>
      </c>
      <c r="G2364" s="7" t="s">
        <v>505</v>
      </c>
      <c r="H2364" s="6" t="n">
        <v>3.91</v>
      </c>
      <c r="I2364" s="6" t="n">
        <v>0.117</v>
      </c>
      <c r="J2364" s="40" t="n">
        <f aca="false">H2364-I2364</f>
        <v>3.793</v>
      </c>
      <c r="K2364" s="41" t="n">
        <v>26.5</v>
      </c>
      <c r="L2364" s="42" t="n">
        <f aca="false">J2364*K2364</f>
        <v>100.5145</v>
      </c>
      <c r="M2364" s="43" t="n">
        <f aca="false">H2364*16*(1+'Chart of Accounts'!$E$67)</f>
        <v>71.6312</v>
      </c>
    </row>
    <row r="2365" customFormat="false" ht="15" hidden="false" customHeight="false" outlineLevel="0" collapsed="false">
      <c r="B2365" s="7" t="s">
        <v>2862</v>
      </c>
      <c r="C2365" s="39" t="n">
        <v>45777</v>
      </c>
      <c r="D2365" s="7" t="s">
        <v>371</v>
      </c>
      <c r="E2365" s="7" t="s">
        <v>154</v>
      </c>
      <c r="F2365" s="7" t="s">
        <v>232</v>
      </c>
      <c r="G2365" s="7" t="s">
        <v>505</v>
      </c>
      <c r="H2365" s="6" t="n">
        <v>4.59</v>
      </c>
      <c r="I2365" s="6" t="n">
        <v>0</v>
      </c>
      <c r="J2365" s="40" t="n">
        <f aca="false">H2365-I2365</f>
        <v>4.59</v>
      </c>
      <c r="K2365" s="41" t="n">
        <v>26.5</v>
      </c>
      <c r="L2365" s="42" t="n">
        <f aca="false">J2365*K2365</f>
        <v>121.635</v>
      </c>
      <c r="M2365" s="43" t="n">
        <f aca="false">H2365*16.17*(1+'Chart of Accounts'!$E$67)</f>
        <v>84.9822435</v>
      </c>
    </row>
    <row r="2366" customFormat="false" ht="15" hidden="false" customHeight="false" outlineLevel="0" collapsed="false">
      <c r="B2366" s="7" t="s">
        <v>2863</v>
      </c>
      <c r="C2366" s="39" t="n">
        <v>45777</v>
      </c>
      <c r="D2366" s="7" t="s">
        <v>379</v>
      </c>
      <c r="E2366" s="7" t="s">
        <v>156</v>
      </c>
      <c r="F2366" s="7" t="s">
        <v>224</v>
      </c>
      <c r="G2366" s="7" t="s">
        <v>505</v>
      </c>
      <c r="H2366" s="6" t="n">
        <v>5.04</v>
      </c>
      <c r="I2366" s="6" t="n">
        <v>0</v>
      </c>
      <c r="J2366" s="40" t="n">
        <f aca="false">H2366-I2366</f>
        <v>5.04</v>
      </c>
      <c r="K2366" s="41" t="n">
        <v>34</v>
      </c>
      <c r="L2366" s="42" t="n">
        <f aca="false">J2366*K2366</f>
        <v>171.36</v>
      </c>
      <c r="M2366" s="43" t="n">
        <f aca="false">H2366*14.93*(1+'Chart of Accounts'!$E$67)</f>
        <v>86.158044</v>
      </c>
    </row>
    <row r="2367" customFormat="false" ht="15" hidden="false" customHeight="false" outlineLevel="0" collapsed="false">
      <c r="B2367" s="7" t="s">
        <v>2864</v>
      </c>
      <c r="C2367" s="39" t="n">
        <v>45777</v>
      </c>
      <c r="D2367" s="7" t="s">
        <v>385</v>
      </c>
      <c r="E2367" s="7" t="s">
        <v>156</v>
      </c>
      <c r="F2367" s="7" t="s">
        <v>238</v>
      </c>
      <c r="G2367" s="7" t="s">
        <v>505</v>
      </c>
      <c r="H2367" s="6" t="n">
        <v>3.85</v>
      </c>
      <c r="I2367" s="6" t="n">
        <v>0</v>
      </c>
      <c r="J2367" s="40" t="n">
        <f aca="false">H2367-I2367</f>
        <v>3.85</v>
      </c>
      <c r="K2367" s="41" t="n">
        <v>34</v>
      </c>
      <c r="L2367" s="42" t="n">
        <f aca="false">J2367*K2367</f>
        <v>130.9</v>
      </c>
      <c r="M2367" s="43" t="n">
        <f aca="false">H2367*15.85*(1+'Chart of Accounts'!$E$67)</f>
        <v>69.8707625</v>
      </c>
    </row>
    <row r="2368" customFormat="false" ht="15" hidden="false" customHeight="false" outlineLevel="0" collapsed="false">
      <c r="B2368" s="7" t="s">
        <v>2865</v>
      </c>
      <c r="C2368" s="39" t="n">
        <v>45777</v>
      </c>
      <c r="D2368" s="7" t="s">
        <v>389</v>
      </c>
      <c r="E2368" s="7" t="s">
        <v>154</v>
      </c>
      <c r="F2368" s="7" t="s">
        <v>246</v>
      </c>
      <c r="G2368" s="7" t="s">
        <v>505</v>
      </c>
      <c r="H2368" s="6" t="n">
        <v>3.73</v>
      </c>
      <c r="I2368" s="6" t="n">
        <v>0</v>
      </c>
      <c r="J2368" s="40" t="n">
        <f aca="false">H2368-I2368</f>
        <v>3.73</v>
      </c>
      <c r="K2368" s="41" t="n">
        <v>26.5</v>
      </c>
      <c r="L2368" s="42" t="n">
        <f aca="false">J2368*K2368</f>
        <v>98.845</v>
      </c>
      <c r="M2368" s="43" t="n">
        <f aca="false">H2368*16.48*(1+'Chart of Accounts'!$E$67)</f>
        <v>70.383608</v>
      </c>
    </row>
    <row r="2369" customFormat="false" ht="15" hidden="false" customHeight="false" outlineLevel="0" collapsed="false">
      <c r="B2369" s="7" t="s">
        <v>2866</v>
      </c>
      <c r="C2369" s="39" t="n">
        <v>45777</v>
      </c>
      <c r="D2369" s="7" t="s">
        <v>391</v>
      </c>
      <c r="E2369" s="7" t="s">
        <v>156</v>
      </c>
      <c r="F2369" s="7" t="s">
        <v>222</v>
      </c>
      <c r="G2369" s="7" t="s">
        <v>505</v>
      </c>
      <c r="H2369" s="6" t="n">
        <v>3.76</v>
      </c>
      <c r="I2369" s="6" t="n">
        <v>0</v>
      </c>
      <c r="J2369" s="40" t="n">
        <f aca="false">H2369-I2369</f>
        <v>3.76</v>
      </c>
      <c r="K2369" s="41" t="n">
        <v>34</v>
      </c>
      <c r="L2369" s="42" t="n">
        <f aca="false">J2369*K2369</f>
        <v>127.84</v>
      </c>
      <c r="M2369" s="43" t="n">
        <f aca="false">H2369*17.84*(1+'Chart of Accounts'!$E$67)</f>
        <v>76.804768</v>
      </c>
    </row>
    <row r="2370" customFormat="false" ht="15" hidden="false" customHeight="false" outlineLevel="0" collapsed="false">
      <c r="B2370" s="7" t="s">
        <v>2867</v>
      </c>
      <c r="C2370" s="39" t="n">
        <v>45777</v>
      </c>
      <c r="D2370" s="7" t="s">
        <v>393</v>
      </c>
      <c r="E2370" s="7" t="s">
        <v>157</v>
      </c>
      <c r="F2370" s="7" t="s">
        <v>203</v>
      </c>
      <c r="G2370" s="7" t="s">
        <v>502</v>
      </c>
      <c r="H2370" s="6" t="n">
        <v>0.94</v>
      </c>
      <c r="I2370" s="6" t="n">
        <v>0</v>
      </c>
      <c r="J2370" s="40" t="n">
        <f aca="false">H2370-I2370</f>
        <v>0.94</v>
      </c>
      <c r="K2370" s="41" t="n">
        <v>165</v>
      </c>
      <c r="L2370" s="42" t="n">
        <f aca="false">J2370*K2370</f>
        <v>155.1</v>
      </c>
      <c r="M2370" s="43" t="n">
        <f aca="false">H2370*49.43*(1+'Chart of Accounts'!$E$67)</f>
        <v>53.201509</v>
      </c>
    </row>
    <row r="2371" customFormat="false" ht="15" hidden="false" customHeight="false" outlineLevel="0" collapsed="false">
      <c r="B2371" s="7" t="s">
        <v>2868</v>
      </c>
      <c r="C2371" s="39" t="n">
        <v>45777</v>
      </c>
      <c r="D2371" s="7" t="s">
        <v>395</v>
      </c>
      <c r="E2371" s="7" t="s">
        <v>156</v>
      </c>
      <c r="F2371" s="7" t="s">
        <v>242</v>
      </c>
      <c r="G2371" s="7" t="s">
        <v>505</v>
      </c>
      <c r="H2371" s="6" t="n">
        <v>4.26</v>
      </c>
      <c r="I2371" s="6" t="n">
        <v>0</v>
      </c>
      <c r="J2371" s="40" t="n">
        <f aca="false">H2371-I2371</f>
        <v>4.26</v>
      </c>
      <c r="K2371" s="41" t="n">
        <v>34</v>
      </c>
      <c r="L2371" s="42" t="n">
        <f aca="false">J2371*K2371</f>
        <v>144.84</v>
      </c>
      <c r="M2371" s="43" t="n">
        <f aca="false">H2371*17.99*(1+'Chart of Accounts'!$E$67)</f>
        <v>87.749823</v>
      </c>
    </row>
    <row r="2372" customFormat="false" ht="15" hidden="false" customHeight="false" outlineLevel="0" collapsed="false">
      <c r="B2372" s="7" t="s">
        <v>2869</v>
      </c>
      <c r="C2372" s="39" t="n">
        <v>45777</v>
      </c>
      <c r="D2372" s="7" t="s">
        <v>399</v>
      </c>
      <c r="E2372" s="7" t="s">
        <v>154</v>
      </c>
      <c r="F2372" s="7" t="s">
        <v>262</v>
      </c>
      <c r="G2372" s="7" t="s">
        <v>505</v>
      </c>
      <c r="H2372" s="6" t="n">
        <v>3.22</v>
      </c>
      <c r="I2372" s="6" t="n">
        <v>0</v>
      </c>
      <c r="J2372" s="40" t="n">
        <f aca="false">H2372-I2372</f>
        <v>3.22</v>
      </c>
      <c r="K2372" s="41" t="n">
        <v>26.5</v>
      </c>
      <c r="L2372" s="42" t="n">
        <f aca="false">J2372*K2372</f>
        <v>85.33</v>
      </c>
      <c r="M2372" s="43" t="n">
        <f aca="false">H2372*16.02*(1+'Chart of Accounts'!$E$67)</f>
        <v>59.064138</v>
      </c>
    </row>
    <row r="2373" customFormat="false" ht="15" hidden="false" customHeight="false" outlineLevel="0" collapsed="false">
      <c r="B2373" s="7" t="s">
        <v>2870</v>
      </c>
      <c r="C2373" s="39" t="n">
        <v>45777</v>
      </c>
      <c r="D2373" s="7" t="s">
        <v>401</v>
      </c>
      <c r="E2373" s="7" t="s">
        <v>156</v>
      </c>
      <c r="F2373" s="7" t="s">
        <v>254</v>
      </c>
      <c r="G2373" s="7" t="s">
        <v>505</v>
      </c>
      <c r="H2373" s="6" t="n">
        <v>3.97</v>
      </c>
      <c r="I2373" s="6" t="n">
        <v>0</v>
      </c>
      <c r="J2373" s="40" t="n">
        <f aca="false">H2373-I2373</f>
        <v>3.97</v>
      </c>
      <c r="K2373" s="41" t="n">
        <v>34</v>
      </c>
      <c r="L2373" s="42" t="n">
        <f aca="false">J2373*K2373</f>
        <v>134.98</v>
      </c>
      <c r="M2373" s="43" t="n">
        <f aca="false">H2373*17.1*(1+'Chart of Accounts'!$E$67)</f>
        <v>77.730615</v>
      </c>
    </row>
    <row r="2374" customFormat="false" ht="15" hidden="false" customHeight="false" outlineLevel="0" collapsed="false">
      <c r="B2374" s="7" t="s">
        <v>2871</v>
      </c>
      <c r="C2374" s="39" t="n">
        <v>45777</v>
      </c>
      <c r="D2374" s="7" t="s">
        <v>409</v>
      </c>
      <c r="E2374" s="7" t="s">
        <v>154</v>
      </c>
      <c r="F2374" s="7" t="s">
        <v>214</v>
      </c>
      <c r="G2374" s="7" t="s">
        <v>505</v>
      </c>
      <c r="H2374" s="6" t="n">
        <v>3.43</v>
      </c>
      <c r="I2374" s="6" t="n">
        <v>0</v>
      </c>
      <c r="J2374" s="40" t="n">
        <f aca="false">H2374-I2374</f>
        <v>3.43</v>
      </c>
      <c r="K2374" s="41" t="n">
        <v>26.5</v>
      </c>
      <c r="L2374" s="42" t="n">
        <f aca="false">J2374*K2374</f>
        <v>90.895</v>
      </c>
      <c r="M2374" s="43" t="n">
        <f aca="false">H2374*15.67*(1+'Chart of Accounts'!$E$67)</f>
        <v>61.5415745</v>
      </c>
    </row>
    <row r="2375" customFormat="false" ht="15" hidden="false" customHeight="false" outlineLevel="0" collapsed="false">
      <c r="B2375" s="7" t="s">
        <v>2872</v>
      </c>
      <c r="C2375" s="39" t="n">
        <v>45777</v>
      </c>
      <c r="D2375" s="7" t="s">
        <v>411</v>
      </c>
      <c r="E2375" s="7" t="s">
        <v>154</v>
      </c>
      <c r="F2375" s="7" t="s">
        <v>177</v>
      </c>
      <c r="G2375" s="7" t="s">
        <v>505</v>
      </c>
      <c r="H2375" s="6" t="n">
        <v>4.99</v>
      </c>
      <c r="I2375" s="6" t="n">
        <v>0</v>
      </c>
      <c r="J2375" s="40" t="n">
        <f aca="false">H2375-I2375</f>
        <v>4.99</v>
      </c>
      <c r="K2375" s="41" t="n">
        <v>26.5</v>
      </c>
      <c r="L2375" s="42" t="n">
        <f aca="false">J2375*K2375</f>
        <v>132.235</v>
      </c>
      <c r="M2375" s="43" t="n">
        <f aca="false">H2375*14.56*(1+'Chart of Accounts'!$E$67)</f>
        <v>83.189288</v>
      </c>
    </row>
    <row r="2376" customFormat="false" ht="15" hidden="false" customHeight="false" outlineLevel="0" collapsed="false">
      <c r="B2376" s="7" t="s">
        <v>2873</v>
      </c>
      <c r="C2376" s="39" t="n">
        <v>45778</v>
      </c>
      <c r="D2376" s="7" t="s">
        <v>288</v>
      </c>
      <c r="E2376" s="7" t="s">
        <v>156</v>
      </c>
      <c r="F2376" s="7" t="s">
        <v>191</v>
      </c>
      <c r="G2376" s="7" t="s">
        <v>505</v>
      </c>
      <c r="H2376" s="6" t="n">
        <v>4.26</v>
      </c>
      <c r="I2376" s="6" t="n">
        <v>0</v>
      </c>
      <c r="J2376" s="40" t="n">
        <f aca="false">H2376-I2376</f>
        <v>4.26</v>
      </c>
      <c r="K2376" s="41" t="n">
        <v>34</v>
      </c>
      <c r="L2376" s="42" t="n">
        <f aca="false">J2376*K2376</f>
        <v>144.84</v>
      </c>
      <c r="M2376" s="43" t="n">
        <f aca="false">H2376*16.05*(1+'Chart of Accounts'!$E$67)</f>
        <v>78.287085</v>
      </c>
    </row>
    <row r="2377" customFormat="false" ht="15" hidden="false" customHeight="false" outlineLevel="0" collapsed="false">
      <c r="B2377" s="7" t="s">
        <v>2874</v>
      </c>
      <c r="C2377" s="39" t="n">
        <v>45778</v>
      </c>
      <c r="D2377" s="7" t="s">
        <v>297</v>
      </c>
      <c r="E2377" s="7" t="s">
        <v>156</v>
      </c>
      <c r="F2377" s="7" t="s">
        <v>201</v>
      </c>
      <c r="G2377" s="7" t="s">
        <v>505</v>
      </c>
      <c r="H2377" s="6" t="n">
        <v>2.81</v>
      </c>
      <c r="I2377" s="6" t="n">
        <v>0</v>
      </c>
      <c r="J2377" s="40" t="n">
        <f aca="false">H2377-I2377</f>
        <v>2.81</v>
      </c>
      <c r="K2377" s="41" t="n">
        <v>34</v>
      </c>
      <c r="L2377" s="42" t="n">
        <f aca="false">J2377*K2377</f>
        <v>95.54</v>
      </c>
      <c r="M2377" s="43" t="n">
        <f aca="false">H2377*15.19*(1+'Chart of Accounts'!$E$67)</f>
        <v>48.8730655</v>
      </c>
    </row>
    <row r="2378" customFormat="false" ht="15" hidden="false" customHeight="false" outlineLevel="0" collapsed="false">
      <c r="B2378" s="7" t="s">
        <v>2875</v>
      </c>
      <c r="C2378" s="39" t="n">
        <v>45778</v>
      </c>
      <c r="D2378" s="7" t="s">
        <v>311</v>
      </c>
      <c r="E2378" s="7" t="s">
        <v>154</v>
      </c>
      <c r="F2378" s="7" t="s">
        <v>196</v>
      </c>
      <c r="G2378" s="7" t="s">
        <v>505</v>
      </c>
      <c r="H2378" s="6" t="n">
        <v>2.93</v>
      </c>
      <c r="I2378" s="6" t="n">
        <v>0</v>
      </c>
      <c r="J2378" s="40" t="n">
        <f aca="false">H2378-I2378</f>
        <v>2.93</v>
      </c>
      <c r="K2378" s="41" t="n">
        <v>26.5</v>
      </c>
      <c r="L2378" s="42" t="n">
        <f aca="false">J2378*K2378</f>
        <v>77.645</v>
      </c>
      <c r="M2378" s="43" t="n">
        <f aca="false">H2378*15.05*(1+'Chart of Accounts'!$E$67)</f>
        <v>50.4904925</v>
      </c>
    </row>
    <row r="2379" customFormat="false" ht="15" hidden="false" customHeight="false" outlineLevel="0" collapsed="false">
      <c r="B2379" s="7" t="s">
        <v>2876</v>
      </c>
      <c r="C2379" s="39" t="n">
        <v>45778</v>
      </c>
      <c r="D2379" s="7" t="s">
        <v>313</v>
      </c>
      <c r="E2379" s="7" t="s">
        <v>156</v>
      </c>
      <c r="F2379" s="7" t="s">
        <v>184</v>
      </c>
      <c r="G2379" s="7" t="s">
        <v>505</v>
      </c>
      <c r="H2379" s="6" t="n">
        <v>3.68</v>
      </c>
      <c r="I2379" s="6" t="n">
        <v>0</v>
      </c>
      <c r="J2379" s="40" t="n">
        <f aca="false">H2379-I2379</f>
        <v>3.68</v>
      </c>
      <c r="K2379" s="41" t="n">
        <v>34</v>
      </c>
      <c r="L2379" s="42" t="n">
        <f aca="false">J2379*K2379</f>
        <v>125.12</v>
      </c>
      <c r="M2379" s="43" t="n">
        <f aca="false">H2379*17.34*(1+'Chart of Accounts'!$E$67)</f>
        <v>73.063824</v>
      </c>
    </row>
    <row r="2380" customFormat="false" ht="15" hidden="false" customHeight="false" outlineLevel="0" collapsed="false">
      <c r="B2380" s="7" t="s">
        <v>2877</v>
      </c>
      <c r="C2380" s="39" t="n">
        <v>45778</v>
      </c>
      <c r="D2380" s="7" t="s">
        <v>317</v>
      </c>
      <c r="E2380" s="7" t="s">
        <v>156</v>
      </c>
      <c r="F2380" s="7" t="s">
        <v>207</v>
      </c>
      <c r="G2380" s="7" t="s">
        <v>505</v>
      </c>
      <c r="H2380" s="6" t="n">
        <v>3.23</v>
      </c>
      <c r="I2380" s="6" t="n">
        <v>0</v>
      </c>
      <c r="J2380" s="40" t="n">
        <f aca="false">H2380-I2380</f>
        <v>3.23</v>
      </c>
      <c r="K2380" s="41" t="n">
        <v>34</v>
      </c>
      <c r="L2380" s="42" t="n">
        <f aca="false">J2380*K2380</f>
        <v>109.82</v>
      </c>
      <c r="M2380" s="43" t="n">
        <f aca="false">H2380*16.65*(1+'Chart of Accounts'!$E$67)</f>
        <v>61.5775275</v>
      </c>
    </row>
    <row r="2381" customFormat="false" ht="15" hidden="false" customHeight="false" outlineLevel="0" collapsed="false">
      <c r="B2381" s="7" t="s">
        <v>2878</v>
      </c>
      <c r="C2381" s="39" t="n">
        <v>45778</v>
      </c>
      <c r="D2381" s="7" t="s">
        <v>321</v>
      </c>
      <c r="E2381" s="7" t="s">
        <v>154</v>
      </c>
      <c r="F2381" s="7" t="s">
        <v>218</v>
      </c>
      <c r="G2381" s="7" t="s">
        <v>505</v>
      </c>
      <c r="H2381" s="6" t="n">
        <v>4.03</v>
      </c>
      <c r="I2381" s="6" t="n">
        <v>0.121</v>
      </c>
      <c r="J2381" s="40" t="n">
        <f aca="false">H2381-I2381</f>
        <v>3.909</v>
      </c>
      <c r="K2381" s="41" t="n">
        <v>26.5</v>
      </c>
      <c r="L2381" s="42" t="n">
        <f aca="false">J2381*K2381</f>
        <v>103.5885</v>
      </c>
      <c r="M2381" s="43" t="n">
        <f aca="false">H2381*16.19*(1+'Chart of Accounts'!$E$67)</f>
        <v>74.7063265</v>
      </c>
    </row>
    <row r="2382" customFormat="false" ht="15" hidden="false" customHeight="false" outlineLevel="0" collapsed="false">
      <c r="B2382" s="7" t="s">
        <v>2879</v>
      </c>
      <c r="C2382" s="39" t="n">
        <v>45778</v>
      </c>
      <c r="D2382" s="7" t="s">
        <v>325</v>
      </c>
      <c r="E2382" s="7" t="s">
        <v>154</v>
      </c>
      <c r="F2382" s="7" t="s">
        <v>212</v>
      </c>
      <c r="G2382" s="7" t="s">
        <v>505</v>
      </c>
      <c r="H2382" s="6" t="n">
        <v>3.14</v>
      </c>
      <c r="I2382" s="6" t="n">
        <v>0</v>
      </c>
      <c r="J2382" s="40" t="n">
        <f aca="false">H2382-I2382</f>
        <v>3.14</v>
      </c>
      <c r="K2382" s="41" t="n">
        <v>26.5</v>
      </c>
      <c r="L2382" s="42" t="n">
        <f aca="false">J2382*K2382</f>
        <v>83.21</v>
      </c>
      <c r="M2382" s="43" t="n">
        <f aca="false">H2382*16.71*(1+'Chart of Accounts'!$E$67)</f>
        <v>60.077463</v>
      </c>
    </row>
    <row r="2383" customFormat="false" ht="15" hidden="false" customHeight="false" outlineLevel="0" collapsed="false">
      <c r="B2383" s="7" t="s">
        <v>2880</v>
      </c>
      <c r="C2383" s="39" t="n">
        <v>45778</v>
      </c>
      <c r="D2383" s="7" t="s">
        <v>329</v>
      </c>
      <c r="E2383" s="7" t="s">
        <v>156</v>
      </c>
      <c r="F2383" s="7" t="s">
        <v>220</v>
      </c>
      <c r="G2383" s="7" t="s">
        <v>505</v>
      </c>
      <c r="H2383" s="6" t="n">
        <v>3.93</v>
      </c>
      <c r="I2383" s="6" t="n">
        <v>0</v>
      </c>
      <c r="J2383" s="40" t="n">
        <f aca="false">H2383-I2383</f>
        <v>3.93</v>
      </c>
      <c r="K2383" s="41" t="n">
        <v>34</v>
      </c>
      <c r="L2383" s="42" t="n">
        <f aca="false">J2383*K2383</f>
        <v>133.62</v>
      </c>
      <c r="M2383" s="43" t="n">
        <f aca="false">H2383*16.43*(1+'Chart of Accounts'!$E$67)</f>
        <v>73.9325355</v>
      </c>
    </row>
    <row r="2384" customFormat="false" ht="15" hidden="false" customHeight="false" outlineLevel="0" collapsed="false">
      <c r="B2384" s="7" t="s">
        <v>2881</v>
      </c>
      <c r="C2384" s="39" t="n">
        <v>45778</v>
      </c>
      <c r="D2384" s="7" t="s">
        <v>331</v>
      </c>
      <c r="E2384" s="7" t="s">
        <v>156</v>
      </c>
      <c r="F2384" s="7" t="s">
        <v>224</v>
      </c>
      <c r="G2384" s="7" t="s">
        <v>505</v>
      </c>
      <c r="H2384" s="6" t="n">
        <v>3.89</v>
      </c>
      <c r="I2384" s="6" t="n">
        <v>0</v>
      </c>
      <c r="J2384" s="40" t="n">
        <f aca="false">H2384-I2384</f>
        <v>3.89</v>
      </c>
      <c r="K2384" s="41" t="n">
        <v>34</v>
      </c>
      <c r="L2384" s="42" t="n">
        <f aca="false">J2384*K2384</f>
        <v>132.26</v>
      </c>
      <c r="M2384" s="43" t="n">
        <f aca="false">H2384*14.93*(1+'Chart of Accounts'!$E$67)</f>
        <v>66.4989665</v>
      </c>
    </row>
    <row r="2385" customFormat="false" ht="15" hidden="false" customHeight="false" outlineLevel="0" collapsed="false">
      <c r="B2385" s="7" t="s">
        <v>2882</v>
      </c>
      <c r="C2385" s="39" t="n">
        <v>45778</v>
      </c>
      <c r="D2385" s="7" t="s">
        <v>337</v>
      </c>
      <c r="E2385" s="7" t="s">
        <v>154</v>
      </c>
      <c r="F2385" s="7" t="s">
        <v>232</v>
      </c>
      <c r="G2385" s="7" t="s">
        <v>505</v>
      </c>
      <c r="H2385" s="6" t="n">
        <v>3.17</v>
      </c>
      <c r="I2385" s="6" t="n">
        <v>0</v>
      </c>
      <c r="J2385" s="40" t="n">
        <f aca="false">H2385-I2385</f>
        <v>3.17</v>
      </c>
      <c r="K2385" s="41" t="n">
        <v>26.5</v>
      </c>
      <c r="L2385" s="42" t="n">
        <f aca="false">J2385*K2385</f>
        <v>84.005</v>
      </c>
      <c r="M2385" s="43" t="n">
        <f aca="false">H2385*16.17*(1+'Chart of Accounts'!$E$67)</f>
        <v>58.6914405</v>
      </c>
    </row>
    <row r="2386" customFormat="false" ht="15" hidden="false" customHeight="false" outlineLevel="0" collapsed="false">
      <c r="B2386" s="7" t="s">
        <v>2883</v>
      </c>
      <c r="C2386" s="39" t="n">
        <v>45778</v>
      </c>
      <c r="D2386" s="7" t="s">
        <v>341</v>
      </c>
      <c r="E2386" s="7" t="s">
        <v>156</v>
      </c>
      <c r="F2386" s="7" t="s">
        <v>222</v>
      </c>
      <c r="G2386" s="7" t="s">
        <v>505</v>
      </c>
      <c r="H2386" s="6" t="n">
        <v>2.82</v>
      </c>
      <c r="I2386" s="6" t="n">
        <v>0</v>
      </c>
      <c r="J2386" s="40" t="n">
        <f aca="false">H2386-I2386</f>
        <v>2.82</v>
      </c>
      <c r="K2386" s="41" t="n">
        <v>34</v>
      </c>
      <c r="L2386" s="42" t="n">
        <f aca="false">J2386*K2386</f>
        <v>95.88</v>
      </c>
      <c r="M2386" s="43" t="n">
        <f aca="false">H2386*17.84*(1+'Chart of Accounts'!$E$67)</f>
        <v>57.603576</v>
      </c>
    </row>
    <row r="2387" customFormat="false" ht="15" hidden="false" customHeight="false" outlineLevel="0" collapsed="false">
      <c r="B2387" s="7" t="s">
        <v>2884</v>
      </c>
      <c r="C2387" s="39" t="n">
        <v>45778</v>
      </c>
      <c r="D2387" s="7" t="s">
        <v>343</v>
      </c>
      <c r="E2387" s="7" t="s">
        <v>154</v>
      </c>
      <c r="F2387" s="7" t="s">
        <v>262</v>
      </c>
      <c r="G2387" s="7" t="s">
        <v>505</v>
      </c>
      <c r="H2387" s="6" t="n">
        <v>4.11</v>
      </c>
      <c r="I2387" s="6" t="n">
        <v>0</v>
      </c>
      <c r="J2387" s="40" t="n">
        <f aca="false">H2387-I2387</f>
        <v>4.11</v>
      </c>
      <c r="K2387" s="41" t="n">
        <v>26.5</v>
      </c>
      <c r="L2387" s="42" t="n">
        <f aca="false">J2387*K2387</f>
        <v>108.915</v>
      </c>
      <c r="M2387" s="43" t="n">
        <f aca="false">H2387*16.02*(1+'Chart of Accounts'!$E$67)</f>
        <v>75.389319</v>
      </c>
    </row>
    <row r="2388" customFormat="false" ht="15" hidden="false" customHeight="false" outlineLevel="0" collapsed="false">
      <c r="B2388" s="7" t="s">
        <v>2885</v>
      </c>
      <c r="C2388" s="39" t="n">
        <v>45778</v>
      </c>
      <c r="D2388" s="7" t="s">
        <v>351</v>
      </c>
      <c r="E2388" s="7" t="s">
        <v>154</v>
      </c>
      <c r="F2388" s="7" t="s">
        <v>201</v>
      </c>
      <c r="G2388" s="7" t="s">
        <v>505</v>
      </c>
      <c r="H2388" s="6" t="n">
        <v>2.91</v>
      </c>
      <c r="I2388" s="6" t="n">
        <v>0</v>
      </c>
      <c r="J2388" s="40" t="n">
        <f aca="false">H2388-I2388</f>
        <v>2.91</v>
      </c>
      <c r="K2388" s="41" t="n">
        <v>26.5</v>
      </c>
      <c r="L2388" s="42" t="n">
        <f aca="false">J2388*K2388</f>
        <v>77.115</v>
      </c>
      <c r="M2388" s="43" t="n">
        <f aca="false">H2388*15.19*(1+'Chart of Accounts'!$E$67)</f>
        <v>50.6123205</v>
      </c>
    </row>
    <row r="2389" customFormat="false" ht="15" hidden="false" customHeight="false" outlineLevel="0" collapsed="false">
      <c r="B2389" s="7" t="s">
        <v>2886</v>
      </c>
      <c r="C2389" s="39" t="n">
        <v>45778</v>
      </c>
      <c r="D2389" s="7" t="s">
        <v>359</v>
      </c>
      <c r="E2389" s="7" t="s">
        <v>156</v>
      </c>
      <c r="F2389" s="7" t="s">
        <v>212</v>
      </c>
      <c r="G2389" s="7" t="s">
        <v>505</v>
      </c>
      <c r="H2389" s="6" t="n">
        <v>3.63</v>
      </c>
      <c r="I2389" s="6" t="n">
        <v>0</v>
      </c>
      <c r="J2389" s="40" t="n">
        <f aca="false">H2389-I2389</f>
        <v>3.63</v>
      </c>
      <c r="K2389" s="41" t="n">
        <v>34</v>
      </c>
      <c r="L2389" s="42" t="n">
        <f aca="false">J2389*K2389</f>
        <v>123.42</v>
      </c>
      <c r="M2389" s="43" t="n">
        <f aca="false">H2389*16.71*(1+'Chart of Accounts'!$E$67)</f>
        <v>69.4526085</v>
      </c>
    </row>
    <row r="2390" customFormat="false" ht="15" hidden="false" customHeight="false" outlineLevel="0" collapsed="false">
      <c r="B2390" s="7" t="s">
        <v>2887</v>
      </c>
      <c r="C2390" s="39" t="n">
        <v>45778</v>
      </c>
      <c r="D2390" s="7" t="s">
        <v>363</v>
      </c>
      <c r="E2390" s="7" t="s">
        <v>156</v>
      </c>
      <c r="F2390" s="7" t="s">
        <v>246</v>
      </c>
      <c r="G2390" s="7" t="s">
        <v>505</v>
      </c>
      <c r="H2390" s="6" t="n">
        <v>3.71</v>
      </c>
      <c r="I2390" s="6" t="n">
        <v>0</v>
      </c>
      <c r="J2390" s="40" t="n">
        <f aca="false">H2390-I2390</f>
        <v>3.71</v>
      </c>
      <c r="K2390" s="41" t="n">
        <v>34</v>
      </c>
      <c r="L2390" s="42" t="n">
        <f aca="false">J2390*K2390</f>
        <v>126.14</v>
      </c>
      <c r="M2390" s="43" t="n">
        <f aca="false">H2390*16.48*(1+'Chart of Accounts'!$E$67)</f>
        <v>70.006216</v>
      </c>
    </row>
    <row r="2391" customFormat="false" ht="15" hidden="false" customHeight="false" outlineLevel="0" collapsed="false">
      <c r="B2391" s="7" t="s">
        <v>2888</v>
      </c>
      <c r="C2391" s="39" t="n">
        <v>45778</v>
      </c>
      <c r="D2391" s="7" t="s">
        <v>365</v>
      </c>
      <c r="E2391" s="7" t="s">
        <v>154</v>
      </c>
      <c r="F2391" s="7" t="s">
        <v>194</v>
      </c>
      <c r="G2391" s="7" t="s">
        <v>505</v>
      </c>
      <c r="H2391" s="6" t="n">
        <v>3.97</v>
      </c>
      <c r="I2391" s="6" t="n">
        <v>0</v>
      </c>
      <c r="J2391" s="40" t="n">
        <f aca="false">H2391-I2391</f>
        <v>3.97</v>
      </c>
      <c r="K2391" s="41" t="n">
        <v>26.5</v>
      </c>
      <c r="L2391" s="42" t="n">
        <f aca="false">J2391*K2391</f>
        <v>105.205</v>
      </c>
      <c r="M2391" s="43" t="n">
        <f aca="false">H2391*16*(1+'Chart of Accounts'!$E$67)</f>
        <v>72.7304</v>
      </c>
    </row>
    <row r="2392" customFormat="false" ht="15" hidden="false" customHeight="false" outlineLevel="0" collapsed="false">
      <c r="B2392" s="7" t="s">
        <v>2889</v>
      </c>
      <c r="C2392" s="39" t="n">
        <v>45778</v>
      </c>
      <c r="D2392" s="7" t="s">
        <v>375</v>
      </c>
      <c r="E2392" s="7" t="s">
        <v>156</v>
      </c>
      <c r="F2392" s="7" t="s">
        <v>196</v>
      </c>
      <c r="G2392" s="7" t="s">
        <v>505</v>
      </c>
      <c r="H2392" s="6" t="n">
        <v>3.13</v>
      </c>
      <c r="I2392" s="6" t="n">
        <v>0</v>
      </c>
      <c r="J2392" s="40" t="n">
        <f aca="false">H2392-I2392</f>
        <v>3.13</v>
      </c>
      <c r="K2392" s="41" t="n">
        <v>34</v>
      </c>
      <c r="L2392" s="42" t="n">
        <f aca="false">J2392*K2392</f>
        <v>106.42</v>
      </c>
      <c r="M2392" s="43" t="n">
        <f aca="false">H2392*15.05*(1+'Chart of Accounts'!$E$67)</f>
        <v>53.9369425</v>
      </c>
    </row>
    <row r="2393" customFormat="false" ht="15" hidden="false" customHeight="false" outlineLevel="0" collapsed="false">
      <c r="B2393" s="7" t="s">
        <v>2890</v>
      </c>
      <c r="C2393" s="39" t="n">
        <v>45778</v>
      </c>
      <c r="D2393" s="7" t="s">
        <v>377</v>
      </c>
      <c r="E2393" s="7" t="s">
        <v>154</v>
      </c>
      <c r="F2393" s="7" t="s">
        <v>214</v>
      </c>
      <c r="G2393" s="7" t="s">
        <v>505</v>
      </c>
      <c r="H2393" s="6" t="n">
        <v>3.82</v>
      </c>
      <c r="I2393" s="6" t="n">
        <v>0</v>
      </c>
      <c r="J2393" s="40" t="n">
        <f aca="false">H2393-I2393</f>
        <v>3.82</v>
      </c>
      <c r="K2393" s="41" t="n">
        <v>26.5</v>
      </c>
      <c r="L2393" s="42" t="n">
        <f aca="false">J2393*K2393</f>
        <v>101.23</v>
      </c>
      <c r="M2393" s="43" t="n">
        <f aca="false">H2393*15.67*(1+'Chart of Accounts'!$E$67)</f>
        <v>68.539013</v>
      </c>
    </row>
    <row r="2394" customFormat="false" ht="15" hidden="false" customHeight="false" outlineLevel="0" collapsed="false">
      <c r="B2394" s="7" t="s">
        <v>2891</v>
      </c>
      <c r="C2394" s="39" t="n">
        <v>45778</v>
      </c>
      <c r="D2394" s="7" t="s">
        <v>389</v>
      </c>
      <c r="E2394" s="7" t="s">
        <v>154</v>
      </c>
      <c r="F2394" s="7" t="s">
        <v>246</v>
      </c>
      <c r="G2394" s="7" t="s">
        <v>505</v>
      </c>
      <c r="H2394" s="6" t="n">
        <v>4.09</v>
      </c>
      <c r="I2394" s="6" t="n">
        <v>0.123</v>
      </c>
      <c r="J2394" s="40" t="n">
        <f aca="false">H2394-I2394</f>
        <v>3.967</v>
      </c>
      <c r="K2394" s="41" t="n">
        <v>26.5</v>
      </c>
      <c r="L2394" s="42" t="n">
        <f aca="false">J2394*K2394</f>
        <v>105.1255</v>
      </c>
      <c r="M2394" s="43" t="n">
        <f aca="false">H2394*16.48*(1+'Chart of Accounts'!$E$67)</f>
        <v>77.176664</v>
      </c>
    </row>
    <row r="2395" customFormat="false" ht="15" hidden="false" customHeight="false" outlineLevel="0" collapsed="false">
      <c r="B2395" s="7" t="s">
        <v>2892</v>
      </c>
      <c r="C2395" s="39" t="n">
        <v>45778</v>
      </c>
      <c r="D2395" s="7" t="s">
        <v>391</v>
      </c>
      <c r="E2395" s="7" t="s">
        <v>156</v>
      </c>
      <c r="F2395" s="7" t="s">
        <v>222</v>
      </c>
      <c r="G2395" s="7" t="s">
        <v>505</v>
      </c>
      <c r="H2395" s="6" t="n">
        <v>4.19</v>
      </c>
      <c r="I2395" s="6" t="n">
        <v>0</v>
      </c>
      <c r="J2395" s="40" t="n">
        <f aca="false">H2395-I2395</f>
        <v>4.19</v>
      </c>
      <c r="K2395" s="41" t="n">
        <v>34</v>
      </c>
      <c r="L2395" s="42" t="n">
        <f aca="false">J2395*K2395</f>
        <v>142.46</v>
      </c>
      <c r="M2395" s="43" t="n">
        <f aca="false">H2395*17.84*(1+'Chart of Accounts'!$E$67)</f>
        <v>85.588292</v>
      </c>
    </row>
    <row r="2396" customFormat="false" ht="15" hidden="false" customHeight="false" outlineLevel="0" collapsed="false">
      <c r="B2396" s="7" t="s">
        <v>2893</v>
      </c>
      <c r="C2396" s="39" t="n">
        <v>45778</v>
      </c>
      <c r="D2396" s="7" t="s">
        <v>395</v>
      </c>
      <c r="E2396" s="7" t="s">
        <v>156</v>
      </c>
      <c r="F2396" s="7" t="s">
        <v>242</v>
      </c>
      <c r="G2396" s="7" t="s">
        <v>505</v>
      </c>
      <c r="H2396" s="6" t="n">
        <v>3.61</v>
      </c>
      <c r="I2396" s="6" t="n">
        <v>0</v>
      </c>
      <c r="J2396" s="40" t="n">
        <f aca="false">H2396-I2396</f>
        <v>3.61</v>
      </c>
      <c r="K2396" s="41" t="n">
        <v>34</v>
      </c>
      <c r="L2396" s="42" t="n">
        <f aca="false">J2396*K2396</f>
        <v>122.74</v>
      </c>
      <c r="M2396" s="43" t="n">
        <f aca="false">H2396*17.99*(1+'Chart of Accounts'!$E$67)</f>
        <v>74.3607655</v>
      </c>
    </row>
    <row r="2397" customFormat="false" ht="15" hidden="false" customHeight="false" outlineLevel="0" collapsed="false">
      <c r="B2397" s="7" t="s">
        <v>2894</v>
      </c>
      <c r="C2397" s="39" t="n">
        <v>45778</v>
      </c>
      <c r="D2397" s="7" t="s">
        <v>401</v>
      </c>
      <c r="E2397" s="7" t="s">
        <v>156</v>
      </c>
      <c r="F2397" s="7" t="s">
        <v>254</v>
      </c>
      <c r="G2397" s="7" t="s">
        <v>505</v>
      </c>
      <c r="H2397" s="6" t="n">
        <v>3.74</v>
      </c>
      <c r="I2397" s="6" t="n">
        <v>0</v>
      </c>
      <c r="J2397" s="40" t="n">
        <f aca="false">H2397-I2397</f>
        <v>3.74</v>
      </c>
      <c r="K2397" s="41" t="n">
        <v>34</v>
      </c>
      <c r="L2397" s="42" t="n">
        <f aca="false">J2397*K2397</f>
        <v>127.16</v>
      </c>
      <c r="M2397" s="43" t="n">
        <f aca="false">H2397*17.1*(1+'Chart of Accounts'!$E$67)</f>
        <v>73.22733</v>
      </c>
    </row>
    <row r="2398" customFormat="false" ht="15" hidden="false" customHeight="false" outlineLevel="0" collapsed="false">
      <c r="B2398" s="7" t="s">
        <v>2895</v>
      </c>
      <c r="C2398" s="39" t="n">
        <v>45779</v>
      </c>
      <c r="D2398" s="7" t="s">
        <v>280</v>
      </c>
      <c r="E2398" s="7" t="s">
        <v>157</v>
      </c>
      <c r="F2398" s="7" t="s">
        <v>187</v>
      </c>
      <c r="G2398" s="7" t="s">
        <v>502</v>
      </c>
      <c r="H2398" s="6" t="n">
        <v>1.01</v>
      </c>
      <c r="I2398" s="6" t="n">
        <v>0.051</v>
      </c>
      <c r="J2398" s="40" t="n">
        <f aca="false">H2398-I2398</f>
        <v>0.959</v>
      </c>
      <c r="K2398" s="41" t="n">
        <v>165</v>
      </c>
      <c r="L2398" s="42" t="n">
        <f aca="false">J2398*K2398</f>
        <v>158.235</v>
      </c>
      <c r="M2398" s="43" t="n">
        <f aca="false">H2398*66.48*(1+'Chart of Accounts'!$E$67)</f>
        <v>76.880796</v>
      </c>
    </row>
    <row r="2399" customFormat="false" ht="15" hidden="false" customHeight="false" outlineLevel="0" collapsed="false">
      <c r="B2399" s="7" t="s">
        <v>2896</v>
      </c>
      <c r="C2399" s="39" t="n">
        <v>45779</v>
      </c>
      <c r="D2399" s="7" t="s">
        <v>288</v>
      </c>
      <c r="E2399" s="7" t="s">
        <v>156</v>
      </c>
      <c r="F2399" s="7" t="s">
        <v>191</v>
      </c>
      <c r="G2399" s="7" t="s">
        <v>505</v>
      </c>
      <c r="H2399" s="6" t="n">
        <v>4.11</v>
      </c>
      <c r="I2399" s="6" t="n">
        <v>0</v>
      </c>
      <c r="J2399" s="40" t="n">
        <f aca="false">H2399-I2399</f>
        <v>4.11</v>
      </c>
      <c r="K2399" s="41" t="n">
        <v>34</v>
      </c>
      <c r="L2399" s="42" t="n">
        <f aca="false">J2399*K2399</f>
        <v>139.74</v>
      </c>
      <c r="M2399" s="43" t="n">
        <f aca="false">H2399*16.05*(1+'Chart of Accounts'!$E$67)</f>
        <v>75.5304975</v>
      </c>
    </row>
    <row r="2400" customFormat="false" ht="15" hidden="false" customHeight="false" outlineLevel="0" collapsed="false">
      <c r="B2400" s="7" t="s">
        <v>2897</v>
      </c>
      <c r="C2400" s="39" t="n">
        <v>45779</v>
      </c>
      <c r="D2400" s="7" t="s">
        <v>291</v>
      </c>
      <c r="E2400" s="7" t="s">
        <v>154</v>
      </c>
      <c r="F2400" s="7" t="s">
        <v>194</v>
      </c>
      <c r="G2400" s="7" t="s">
        <v>505</v>
      </c>
      <c r="H2400" s="6" t="n">
        <v>4.82</v>
      </c>
      <c r="I2400" s="6" t="n">
        <v>0</v>
      </c>
      <c r="J2400" s="40" t="n">
        <f aca="false">H2400-I2400</f>
        <v>4.82</v>
      </c>
      <c r="K2400" s="41" t="n">
        <v>26.5</v>
      </c>
      <c r="L2400" s="42" t="n">
        <f aca="false">J2400*K2400</f>
        <v>127.73</v>
      </c>
      <c r="M2400" s="43" t="n">
        <f aca="false">H2400*16*(1+'Chart of Accounts'!$E$67)</f>
        <v>88.3024</v>
      </c>
    </row>
    <row r="2401" customFormat="false" ht="15" hidden="false" customHeight="false" outlineLevel="0" collapsed="false">
      <c r="B2401" s="7" t="s">
        <v>2898</v>
      </c>
      <c r="C2401" s="39" t="n">
        <v>45779</v>
      </c>
      <c r="D2401" s="7" t="s">
        <v>301</v>
      </c>
      <c r="E2401" s="7" t="s">
        <v>157</v>
      </c>
      <c r="F2401" s="7" t="s">
        <v>209</v>
      </c>
      <c r="G2401" s="7" t="s">
        <v>502</v>
      </c>
      <c r="H2401" s="6" t="n">
        <v>0.99</v>
      </c>
      <c r="I2401" s="6" t="n">
        <v>0.05</v>
      </c>
      <c r="J2401" s="40" t="n">
        <f aca="false">H2401-I2401</f>
        <v>0.94</v>
      </c>
      <c r="K2401" s="41" t="n">
        <v>165</v>
      </c>
      <c r="L2401" s="42" t="n">
        <f aca="false">J2401*K2401</f>
        <v>155.1</v>
      </c>
      <c r="M2401" s="43" t="n">
        <f aca="false">H2401*73.58*(1+'Chart of Accounts'!$E$67)</f>
        <v>83.406609</v>
      </c>
    </row>
    <row r="2402" customFormat="false" ht="15" hidden="false" customHeight="false" outlineLevel="0" collapsed="false">
      <c r="B2402" s="7" t="s">
        <v>2899</v>
      </c>
      <c r="C2402" s="39" t="n">
        <v>45779</v>
      </c>
      <c r="D2402" s="7" t="s">
        <v>305</v>
      </c>
      <c r="E2402" s="7" t="s">
        <v>154</v>
      </c>
      <c r="F2402" s="7" t="s">
        <v>205</v>
      </c>
      <c r="G2402" s="7" t="s">
        <v>505</v>
      </c>
      <c r="H2402" s="6" t="n">
        <v>3.9</v>
      </c>
      <c r="I2402" s="6" t="n">
        <v>0</v>
      </c>
      <c r="J2402" s="40" t="n">
        <f aca="false">H2402-I2402</f>
        <v>3.9</v>
      </c>
      <c r="K2402" s="41" t="n">
        <v>26.5</v>
      </c>
      <c r="L2402" s="42" t="n">
        <f aca="false">J2402*K2402</f>
        <v>103.35</v>
      </c>
      <c r="M2402" s="43" t="n">
        <f aca="false">H2402*16.36*(1+'Chart of Accounts'!$E$67)</f>
        <v>73.05558</v>
      </c>
    </row>
    <row r="2403" customFormat="false" ht="15" hidden="false" customHeight="false" outlineLevel="0" collapsed="false">
      <c r="B2403" s="7" t="s">
        <v>2900</v>
      </c>
      <c r="C2403" s="39" t="n">
        <v>45779</v>
      </c>
      <c r="D2403" s="7" t="s">
        <v>307</v>
      </c>
      <c r="E2403" s="7" t="s">
        <v>157</v>
      </c>
      <c r="F2403" s="7" t="s">
        <v>264</v>
      </c>
      <c r="G2403" s="7" t="s">
        <v>502</v>
      </c>
      <c r="H2403" s="6" t="n">
        <v>1.08</v>
      </c>
      <c r="I2403" s="6" t="n">
        <v>0.054</v>
      </c>
      <c r="J2403" s="40" t="n">
        <f aca="false">H2403-I2403</f>
        <v>1.026</v>
      </c>
      <c r="K2403" s="41" t="n">
        <v>165</v>
      </c>
      <c r="L2403" s="42" t="n">
        <f aca="false">J2403*K2403</f>
        <v>169.29</v>
      </c>
      <c r="M2403" s="43" t="n">
        <f aca="false">H2403*55.55*(1+'Chart of Accounts'!$E$67)</f>
        <v>68.69313</v>
      </c>
    </row>
    <row r="2404" customFormat="false" ht="15" hidden="false" customHeight="false" outlineLevel="0" collapsed="false">
      <c r="B2404" s="7" t="s">
        <v>2901</v>
      </c>
      <c r="C2404" s="39" t="n">
        <v>45779</v>
      </c>
      <c r="D2404" s="7" t="s">
        <v>313</v>
      </c>
      <c r="E2404" s="7" t="s">
        <v>156</v>
      </c>
      <c r="F2404" s="7" t="s">
        <v>184</v>
      </c>
      <c r="G2404" s="7" t="s">
        <v>505</v>
      </c>
      <c r="H2404" s="6" t="n">
        <v>4.14</v>
      </c>
      <c r="I2404" s="6" t="n">
        <v>0</v>
      </c>
      <c r="J2404" s="40" t="n">
        <f aca="false">H2404-I2404</f>
        <v>4.14</v>
      </c>
      <c r="K2404" s="41" t="n">
        <v>34</v>
      </c>
      <c r="L2404" s="42" t="n">
        <f aca="false">J2404*K2404</f>
        <v>140.76</v>
      </c>
      <c r="M2404" s="43" t="n">
        <f aca="false">H2404*17.34*(1+'Chart of Accounts'!$E$67)</f>
        <v>82.196802</v>
      </c>
    </row>
    <row r="2405" customFormat="false" ht="15" hidden="false" customHeight="false" outlineLevel="0" collapsed="false">
      <c r="B2405" s="7" t="s">
        <v>2902</v>
      </c>
      <c r="C2405" s="39" t="n">
        <v>45779</v>
      </c>
      <c r="D2405" s="7" t="s">
        <v>319</v>
      </c>
      <c r="E2405" s="7" t="s">
        <v>157</v>
      </c>
      <c r="F2405" s="7" t="s">
        <v>234</v>
      </c>
      <c r="G2405" s="7" t="s">
        <v>502</v>
      </c>
      <c r="H2405" s="6" t="n">
        <v>0.92</v>
      </c>
      <c r="I2405" s="6" t="n">
        <v>0</v>
      </c>
      <c r="J2405" s="40" t="n">
        <f aca="false">H2405-I2405</f>
        <v>0.92</v>
      </c>
      <c r="K2405" s="41" t="n">
        <v>165</v>
      </c>
      <c r="L2405" s="42" t="n">
        <f aca="false">J2405*K2405</f>
        <v>151.8</v>
      </c>
      <c r="M2405" s="43" t="n">
        <f aca="false">H2405*89.53*(1+'Chart of Accounts'!$E$67)</f>
        <v>94.310902</v>
      </c>
    </row>
    <row r="2406" customFormat="false" ht="15" hidden="false" customHeight="false" outlineLevel="0" collapsed="false">
      <c r="B2406" s="7" t="s">
        <v>2903</v>
      </c>
      <c r="C2406" s="39" t="n">
        <v>45779</v>
      </c>
      <c r="D2406" s="7" t="s">
        <v>321</v>
      </c>
      <c r="E2406" s="7" t="s">
        <v>154</v>
      </c>
      <c r="F2406" s="7" t="s">
        <v>218</v>
      </c>
      <c r="G2406" s="7" t="s">
        <v>505</v>
      </c>
      <c r="H2406" s="6" t="n">
        <v>4.18</v>
      </c>
      <c r="I2406" s="6" t="n">
        <v>0</v>
      </c>
      <c r="J2406" s="40" t="n">
        <f aca="false">H2406-I2406</f>
        <v>4.18</v>
      </c>
      <c r="K2406" s="41" t="n">
        <v>26.5</v>
      </c>
      <c r="L2406" s="42" t="n">
        <f aca="false">J2406*K2406</f>
        <v>110.77</v>
      </c>
      <c r="M2406" s="43" t="n">
        <f aca="false">H2406*16.19*(1+'Chart of Accounts'!$E$67)</f>
        <v>77.486959</v>
      </c>
    </row>
    <row r="2407" customFormat="false" ht="15" hidden="false" customHeight="false" outlineLevel="0" collapsed="false">
      <c r="B2407" s="7" t="s">
        <v>2904</v>
      </c>
      <c r="C2407" s="39" t="n">
        <v>45779</v>
      </c>
      <c r="D2407" s="7" t="s">
        <v>323</v>
      </c>
      <c r="E2407" s="7" t="s">
        <v>159</v>
      </c>
      <c r="F2407" s="7" t="s">
        <v>266</v>
      </c>
      <c r="G2407" s="7" t="s">
        <v>502</v>
      </c>
      <c r="H2407" s="6" t="n">
        <v>1.06</v>
      </c>
      <c r="I2407" s="6" t="n">
        <v>0</v>
      </c>
      <c r="J2407" s="40" t="n">
        <f aca="false">H2407-I2407</f>
        <v>1.06</v>
      </c>
      <c r="K2407" s="41" t="n">
        <v>135</v>
      </c>
      <c r="L2407" s="42" t="n">
        <f aca="false">J2407*K2407</f>
        <v>143.1</v>
      </c>
      <c r="M2407" s="43" t="n">
        <f aca="false">H2407*75.18*(1+'Chart of Accounts'!$E$67)</f>
        <v>91.245966</v>
      </c>
    </row>
    <row r="2408" customFormat="false" ht="15" hidden="false" customHeight="false" outlineLevel="0" collapsed="false">
      <c r="B2408" s="7" t="s">
        <v>2905</v>
      </c>
      <c r="C2408" s="39" t="n">
        <v>45779</v>
      </c>
      <c r="D2408" s="7" t="s">
        <v>327</v>
      </c>
      <c r="E2408" s="7" t="s">
        <v>157</v>
      </c>
      <c r="F2408" s="7" t="s">
        <v>228</v>
      </c>
      <c r="G2408" s="7" t="s">
        <v>502</v>
      </c>
      <c r="H2408" s="6" t="n">
        <v>1.02</v>
      </c>
      <c r="I2408" s="6" t="n">
        <v>0</v>
      </c>
      <c r="J2408" s="40" t="n">
        <f aca="false">H2408-I2408</f>
        <v>1.02</v>
      </c>
      <c r="K2408" s="41" t="n">
        <v>165</v>
      </c>
      <c r="L2408" s="42" t="n">
        <f aca="false">J2408*K2408</f>
        <v>168.3</v>
      </c>
      <c r="M2408" s="43" t="n">
        <f aca="false">H2408*51.07*(1+'Chart of Accounts'!$E$67)</f>
        <v>59.644653</v>
      </c>
    </row>
    <row r="2409" customFormat="false" ht="15" hidden="false" customHeight="false" outlineLevel="0" collapsed="false">
      <c r="B2409" s="7" t="s">
        <v>2906</v>
      </c>
      <c r="C2409" s="39" t="n">
        <v>45779</v>
      </c>
      <c r="D2409" s="7" t="s">
        <v>329</v>
      </c>
      <c r="E2409" s="7" t="s">
        <v>156</v>
      </c>
      <c r="F2409" s="7" t="s">
        <v>220</v>
      </c>
      <c r="G2409" s="7" t="s">
        <v>505</v>
      </c>
      <c r="H2409" s="6" t="n">
        <v>3.94</v>
      </c>
      <c r="I2409" s="6" t="n">
        <v>0</v>
      </c>
      <c r="J2409" s="40" t="n">
        <f aca="false">H2409-I2409</f>
        <v>3.94</v>
      </c>
      <c r="K2409" s="41" t="n">
        <v>34</v>
      </c>
      <c r="L2409" s="42" t="n">
        <f aca="false">J2409*K2409</f>
        <v>133.96</v>
      </c>
      <c r="M2409" s="43" t="n">
        <f aca="false">H2409*16.43*(1+'Chart of Accounts'!$E$67)</f>
        <v>74.120659</v>
      </c>
    </row>
    <row r="2410" customFormat="false" ht="15" hidden="false" customHeight="false" outlineLevel="0" collapsed="false">
      <c r="B2410" s="7" t="s">
        <v>2907</v>
      </c>
      <c r="C2410" s="39" t="n">
        <v>45779</v>
      </c>
      <c r="D2410" s="7" t="s">
        <v>339</v>
      </c>
      <c r="E2410" s="7" t="s">
        <v>154</v>
      </c>
      <c r="F2410" s="7" t="s">
        <v>242</v>
      </c>
      <c r="G2410" s="7" t="s">
        <v>505</v>
      </c>
      <c r="H2410" s="6" t="n">
        <v>3.21</v>
      </c>
      <c r="I2410" s="6" t="n">
        <v>0</v>
      </c>
      <c r="J2410" s="40" t="n">
        <f aca="false">H2410-I2410</f>
        <v>3.21</v>
      </c>
      <c r="K2410" s="41" t="n">
        <v>26.5</v>
      </c>
      <c r="L2410" s="42" t="n">
        <f aca="false">J2410*K2410</f>
        <v>85.065</v>
      </c>
      <c r="M2410" s="43" t="n">
        <f aca="false">H2410*17.99*(1+'Chart of Accounts'!$E$67)</f>
        <v>66.1213455</v>
      </c>
    </row>
    <row r="2411" customFormat="false" ht="15" hidden="false" customHeight="false" outlineLevel="0" collapsed="false">
      <c r="B2411" s="7" t="s">
        <v>2908</v>
      </c>
      <c r="C2411" s="39" t="n">
        <v>45779</v>
      </c>
      <c r="D2411" s="7" t="s">
        <v>353</v>
      </c>
      <c r="E2411" s="7" t="s">
        <v>154</v>
      </c>
      <c r="F2411" s="7" t="s">
        <v>254</v>
      </c>
      <c r="G2411" s="7" t="s">
        <v>505</v>
      </c>
      <c r="H2411" s="6" t="n">
        <v>3.04</v>
      </c>
      <c r="I2411" s="6" t="n">
        <v>0</v>
      </c>
      <c r="J2411" s="40" t="n">
        <f aca="false">H2411-I2411</f>
        <v>3.04</v>
      </c>
      <c r="K2411" s="41" t="n">
        <v>26.5</v>
      </c>
      <c r="L2411" s="42" t="n">
        <f aca="false">J2411*K2411</f>
        <v>80.56</v>
      </c>
      <c r="M2411" s="43" t="n">
        <f aca="false">H2411*17.1*(1+'Chart of Accounts'!$E$67)</f>
        <v>59.52168</v>
      </c>
    </row>
    <row r="2412" customFormat="false" ht="15" hidden="false" customHeight="false" outlineLevel="0" collapsed="false">
      <c r="B2412" s="7" t="s">
        <v>2909</v>
      </c>
      <c r="C2412" s="39" t="n">
        <v>45779</v>
      </c>
      <c r="D2412" s="7" t="s">
        <v>355</v>
      </c>
      <c r="E2412" s="7" t="s">
        <v>154</v>
      </c>
      <c r="F2412" s="7" t="s">
        <v>201</v>
      </c>
      <c r="G2412" s="7" t="s">
        <v>505</v>
      </c>
      <c r="H2412" s="6" t="n">
        <v>3.25</v>
      </c>
      <c r="I2412" s="6" t="n">
        <v>0</v>
      </c>
      <c r="J2412" s="40" t="n">
        <f aca="false">H2412-I2412</f>
        <v>3.25</v>
      </c>
      <c r="K2412" s="41" t="n">
        <v>26.5</v>
      </c>
      <c r="L2412" s="42" t="n">
        <f aca="false">J2412*K2412</f>
        <v>86.125</v>
      </c>
      <c r="M2412" s="43" t="n">
        <f aca="false">H2412*15.19*(1+'Chart of Accounts'!$E$67)</f>
        <v>56.5257875</v>
      </c>
    </row>
    <row r="2413" customFormat="false" ht="15" hidden="false" customHeight="false" outlineLevel="0" collapsed="false">
      <c r="B2413" s="7" t="s">
        <v>2910</v>
      </c>
      <c r="C2413" s="39" t="n">
        <v>45779</v>
      </c>
      <c r="D2413" s="7" t="s">
        <v>357</v>
      </c>
      <c r="E2413" s="7" t="s">
        <v>154</v>
      </c>
      <c r="F2413" s="7" t="s">
        <v>207</v>
      </c>
      <c r="G2413" s="7" t="s">
        <v>505</v>
      </c>
      <c r="H2413" s="6" t="n">
        <v>3.2</v>
      </c>
      <c r="I2413" s="6" t="n">
        <v>0</v>
      </c>
      <c r="J2413" s="40" t="n">
        <f aca="false">H2413-I2413</f>
        <v>3.2</v>
      </c>
      <c r="K2413" s="41" t="n">
        <v>26.5</v>
      </c>
      <c r="L2413" s="42" t="n">
        <f aca="false">J2413*K2413</f>
        <v>84.8</v>
      </c>
      <c r="M2413" s="43" t="n">
        <f aca="false">H2413*16.65*(1+'Chart of Accounts'!$E$67)</f>
        <v>61.0056</v>
      </c>
    </row>
    <row r="2414" customFormat="false" ht="15" hidden="false" customHeight="false" outlineLevel="0" collapsed="false">
      <c r="B2414" s="7" t="s">
        <v>2911</v>
      </c>
      <c r="C2414" s="39" t="n">
        <v>45779</v>
      </c>
      <c r="D2414" s="7" t="s">
        <v>359</v>
      </c>
      <c r="E2414" s="7" t="s">
        <v>156</v>
      </c>
      <c r="F2414" s="7" t="s">
        <v>212</v>
      </c>
      <c r="G2414" s="7" t="s">
        <v>505</v>
      </c>
      <c r="H2414" s="6" t="n">
        <v>3.68</v>
      </c>
      <c r="I2414" s="6" t="n">
        <v>0</v>
      </c>
      <c r="J2414" s="40" t="n">
        <f aca="false">H2414-I2414</f>
        <v>3.68</v>
      </c>
      <c r="K2414" s="41" t="n">
        <v>34</v>
      </c>
      <c r="L2414" s="42" t="n">
        <f aca="false">J2414*K2414</f>
        <v>125.12</v>
      </c>
      <c r="M2414" s="43" t="n">
        <f aca="false">H2414*16.71*(1+'Chart of Accounts'!$E$67)</f>
        <v>70.409256</v>
      </c>
    </row>
    <row r="2415" customFormat="false" ht="15" hidden="false" customHeight="false" outlineLevel="0" collapsed="false">
      <c r="B2415" s="7" t="s">
        <v>2912</v>
      </c>
      <c r="C2415" s="39" t="n">
        <v>45779</v>
      </c>
      <c r="D2415" s="7" t="s">
        <v>361</v>
      </c>
      <c r="E2415" s="7" t="s">
        <v>157</v>
      </c>
      <c r="F2415" s="7" t="s">
        <v>209</v>
      </c>
      <c r="G2415" s="7" t="s">
        <v>502</v>
      </c>
      <c r="H2415" s="6" t="n">
        <v>1.07</v>
      </c>
      <c r="I2415" s="6" t="n">
        <v>0</v>
      </c>
      <c r="J2415" s="40" t="n">
        <f aca="false">H2415-I2415</f>
        <v>1.07</v>
      </c>
      <c r="K2415" s="41" t="n">
        <v>165</v>
      </c>
      <c r="L2415" s="42" t="n">
        <f aca="false">J2415*K2415</f>
        <v>176.55</v>
      </c>
      <c r="M2415" s="43" t="n">
        <f aca="false">H2415*73.58*(1+'Chart of Accounts'!$E$67)</f>
        <v>90.146537</v>
      </c>
    </row>
    <row r="2416" customFormat="false" ht="15" hidden="false" customHeight="false" outlineLevel="0" collapsed="false">
      <c r="B2416" s="7" t="s">
        <v>2913</v>
      </c>
      <c r="C2416" s="39" t="n">
        <v>45779</v>
      </c>
      <c r="D2416" s="7" t="s">
        <v>365</v>
      </c>
      <c r="E2416" s="7" t="s">
        <v>154</v>
      </c>
      <c r="F2416" s="7" t="s">
        <v>194</v>
      </c>
      <c r="G2416" s="7" t="s">
        <v>505</v>
      </c>
      <c r="H2416" s="6" t="n">
        <v>4.08</v>
      </c>
      <c r="I2416" s="6" t="n">
        <v>0</v>
      </c>
      <c r="J2416" s="40" t="n">
        <f aca="false">H2416-I2416</f>
        <v>4.08</v>
      </c>
      <c r="K2416" s="41" t="n">
        <v>26.5</v>
      </c>
      <c r="L2416" s="42" t="n">
        <f aca="false">J2416*K2416</f>
        <v>108.12</v>
      </c>
      <c r="M2416" s="43" t="n">
        <f aca="false">H2416*16*(1+'Chart of Accounts'!$E$67)</f>
        <v>74.7456</v>
      </c>
    </row>
    <row r="2417" customFormat="false" ht="15" hidden="false" customHeight="false" outlineLevel="0" collapsed="false">
      <c r="B2417" s="7" t="s">
        <v>2914</v>
      </c>
      <c r="C2417" s="39" t="n">
        <v>45779</v>
      </c>
      <c r="D2417" s="7" t="s">
        <v>371</v>
      </c>
      <c r="E2417" s="7" t="s">
        <v>154</v>
      </c>
      <c r="F2417" s="7" t="s">
        <v>232</v>
      </c>
      <c r="G2417" s="7" t="s">
        <v>505</v>
      </c>
      <c r="H2417" s="6" t="n">
        <v>4.83</v>
      </c>
      <c r="I2417" s="6" t="n">
        <v>0</v>
      </c>
      <c r="J2417" s="40" t="n">
        <f aca="false">H2417-I2417</f>
        <v>4.83</v>
      </c>
      <c r="K2417" s="41" t="n">
        <v>26.5</v>
      </c>
      <c r="L2417" s="42" t="n">
        <f aca="false">J2417*K2417</f>
        <v>127.995</v>
      </c>
      <c r="M2417" s="43" t="n">
        <f aca="false">H2417*16.17*(1+'Chart of Accounts'!$E$67)</f>
        <v>89.4257595</v>
      </c>
    </row>
    <row r="2418" customFormat="false" ht="15" hidden="false" customHeight="false" outlineLevel="0" collapsed="false">
      <c r="B2418" s="7" t="s">
        <v>2915</v>
      </c>
      <c r="C2418" s="39" t="n">
        <v>45779</v>
      </c>
      <c r="D2418" s="7" t="s">
        <v>379</v>
      </c>
      <c r="E2418" s="7" t="s">
        <v>156</v>
      </c>
      <c r="F2418" s="7" t="s">
        <v>224</v>
      </c>
      <c r="G2418" s="7" t="s">
        <v>505</v>
      </c>
      <c r="H2418" s="6" t="n">
        <v>4.51</v>
      </c>
      <c r="I2418" s="6" t="n">
        <v>0</v>
      </c>
      <c r="J2418" s="40" t="n">
        <f aca="false">H2418-I2418</f>
        <v>4.51</v>
      </c>
      <c r="K2418" s="41" t="n">
        <v>34</v>
      </c>
      <c r="L2418" s="42" t="n">
        <f aca="false">J2418*K2418</f>
        <v>153.34</v>
      </c>
      <c r="M2418" s="43" t="n">
        <f aca="false">H2418*14.93*(1+'Chart of Accounts'!$E$67)</f>
        <v>77.0977735</v>
      </c>
    </row>
    <row r="2419" customFormat="false" ht="15" hidden="false" customHeight="false" outlineLevel="0" collapsed="false">
      <c r="B2419" s="7" t="s">
        <v>2916</v>
      </c>
      <c r="C2419" s="39" t="n">
        <v>45779</v>
      </c>
      <c r="D2419" s="7" t="s">
        <v>381</v>
      </c>
      <c r="E2419" s="7" t="s">
        <v>157</v>
      </c>
      <c r="F2419" s="7" t="s">
        <v>234</v>
      </c>
      <c r="G2419" s="7" t="s">
        <v>502</v>
      </c>
      <c r="H2419" s="6" t="n">
        <v>0.96</v>
      </c>
      <c r="I2419" s="6" t="n">
        <v>0</v>
      </c>
      <c r="J2419" s="40" t="n">
        <f aca="false">H2419-I2419</f>
        <v>0.96</v>
      </c>
      <c r="K2419" s="41" t="n">
        <v>165</v>
      </c>
      <c r="L2419" s="42" t="n">
        <f aca="false">J2419*K2419</f>
        <v>158.4</v>
      </c>
      <c r="M2419" s="43" t="n">
        <f aca="false">H2419*89.53*(1+'Chart of Accounts'!$E$67)</f>
        <v>98.411376</v>
      </c>
    </row>
    <row r="2420" customFormat="false" ht="15" hidden="false" customHeight="false" outlineLevel="0" collapsed="false">
      <c r="B2420" s="7" t="s">
        <v>2917</v>
      </c>
      <c r="C2420" s="39" t="n">
        <v>45779</v>
      </c>
      <c r="D2420" s="7" t="s">
        <v>385</v>
      </c>
      <c r="E2420" s="7" t="s">
        <v>156</v>
      </c>
      <c r="F2420" s="7" t="s">
        <v>238</v>
      </c>
      <c r="G2420" s="7" t="s">
        <v>505</v>
      </c>
      <c r="H2420" s="6" t="n">
        <v>3.87</v>
      </c>
      <c r="I2420" s="6" t="n">
        <v>0</v>
      </c>
      <c r="J2420" s="40" t="n">
        <f aca="false">H2420-I2420</f>
        <v>3.87</v>
      </c>
      <c r="K2420" s="41" t="n">
        <v>34</v>
      </c>
      <c r="L2420" s="42" t="n">
        <f aca="false">J2420*K2420</f>
        <v>131.58</v>
      </c>
      <c r="M2420" s="43" t="n">
        <f aca="false">H2420*15.85*(1+'Chart of Accounts'!$E$67)</f>
        <v>70.2337275</v>
      </c>
    </row>
    <row r="2421" customFormat="false" ht="15" hidden="false" customHeight="false" outlineLevel="0" collapsed="false">
      <c r="B2421" s="7" t="s">
        <v>2918</v>
      </c>
      <c r="C2421" s="39" t="n">
        <v>45779</v>
      </c>
      <c r="D2421" s="7" t="s">
        <v>389</v>
      </c>
      <c r="E2421" s="7" t="s">
        <v>154</v>
      </c>
      <c r="F2421" s="7" t="s">
        <v>246</v>
      </c>
      <c r="G2421" s="7" t="s">
        <v>505</v>
      </c>
      <c r="H2421" s="6" t="n">
        <v>3.91</v>
      </c>
      <c r="I2421" s="6" t="n">
        <v>0</v>
      </c>
      <c r="J2421" s="40" t="n">
        <f aca="false">H2421-I2421</f>
        <v>3.91</v>
      </c>
      <c r="K2421" s="41" t="n">
        <v>26.5</v>
      </c>
      <c r="L2421" s="42" t="n">
        <f aca="false">J2421*K2421</f>
        <v>103.615</v>
      </c>
      <c r="M2421" s="43" t="n">
        <f aca="false">H2421*16.48*(1+'Chart of Accounts'!$E$67)</f>
        <v>73.780136</v>
      </c>
    </row>
    <row r="2422" customFormat="false" ht="15" hidden="false" customHeight="false" outlineLevel="0" collapsed="false">
      <c r="B2422" s="7" t="s">
        <v>2919</v>
      </c>
      <c r="C2422" s="39" t="n">
        <v>45779</v>
      </c>
      <c r="D2422" s="7" t="s">
        <v>391</v>
      </c>
      <c r="E2422" s="7" t="s">
        <v>156</v>
      </c>
      <c r="F2422" s="7" t="s">
        <v>222</v>
      </c>
      <c r="G2422" s="7" t="s">
        <v>505</v>
      </c>
      <c r="H2422" s="6" t="n">
        <v>4.07</v>
      </c>
      <c r="I2422" s="6" t="n">
        <v>0</v>
      </c>
      <c r="J2422" s="40" t="n">
        <f aca="false">H2422-I2422</f>
        <v>4.07</v>
      </c>
      <c r="K2422" s="41" t="n">
        <v>34</v>
      </c>
      <c r="L2422" s="42" t="n">
        <f aca="false">J2422*K2422</f>
        <v>138.38</v>
      </c>
      <c r="M2422" s="43" t="n">
        <f aca="false">H2422*17.84*(1+'Chart of Accounts'!$E$67)</f>
        <v>83.137076</v>
      </c>
    </row>
    <row r="2423" customFormat="false" ht="15" hidden="false" customHeight="false" outlineLevel="0" collapsed="false">
      <c r="B2423" s="7" t="s">
        <v>2920</v>
      </c>
      <c r="C2423" s="39" t="n">
        <v>45779</v>
      </c>
      <c r="D2423" s="7" t="s">
        <v>395</v>
      </c>
      <c r="E2423" s="7" t="s">
        <v>156</v>
      </c>
      <c r="F2423" s="7" t="s">
        <v>242</v>
      </c>
      <c r="G2423" s="7" t="s">
        <v>505</v>
      </c>
      <c r="H2423" s="6" t="n">
        <v>4.09</v>
      </c>
      <c r="I2423" s="6" t="n">
        <v>0</v>
      </c>
      <c r="J2423" s="40" t="n">
        <f aca="false">H2423-I2423</f>
        <v>4.09</v>
      </c>
      <c r="K2423" s="41" t="n">
        <v>34</v>
      </c>
      <c r="L2423" s="42" t="n">
        <f aca="false">J2423*K2423</f>
        <v>139.06</v>
      </c>
      <c r="M2423" s="43" t="n">
        <f aca="false">H2423*17.99*(1+'Chart of Accounts'!$E$67)</f>
        <v>84.2480695</v>
      </c>
    </row>
    <row r="2424" customFormat="false" ht="15" hidden="false" customHeight="false" outlineLevel="0" collapsed="false">
      <c r="B2424" s="7" t="s">
        <v>2921</v>
      </c>
      <c r="C2424" s="39" t="n">
        <v>45779</v>
      </c>
      <c r="D2424" s="7" t="s">
        <v>397</v>
      </c>
      <c r="E2424" s="7" t="s">
        <v>159</v>
      </c>
      <c r="F2424" s="7" t="s">
        <v>203</v>
      </c>
      <c r="G2424" s="7" t="s">
        <v>502</v>
      </c>
      <c r="H2424" s="6" t="n">
        <v>1.05</v>
      </c>
      <c r="I2424" s="6" t="n">
        <v>0</v>
      </c>
      <c r="J2424" s="40" t="n">
        <f aca="false">H2424-I2424</f>
        <v>1.05</v>
      </c>
      <c r="K2424" s="41" t="n">
        <v>135</v>
      </c>
      <c r="L2424" s="42" t="n">
        <f aca="false">J2424*K2424</f>
        <v>141.75</v>
      </c>
      <c r="M2424" s="43" t="n">
        <f aca="false">H2424*49.43*(1+'Chart of Accounts'!$E$67)</f>
        <v>59.4272175</v>
      </c>
    </row>
    <row r="2425" customFormat="false" ht="15" hidden="false" customHeight="false" outlineLevel="0" collapsed="false">
      <c r="B2425" s="7" t="s">
        <v>2922</v>
      </c>
      <c r="C2425" s="39" t="n">
        <v>45779</v>
      </c>
      <c r="D2425" s="7" t="s">
        <v>399</v>
      </c>
      <c r="E2425" s="7" t="s">
        <v>154</v>
      </c>
      <c r="F2425" s="7" t="s">
        <v>262</v>
      </c>
      <c r="G2425" s="7" t="s">
        <v>505</v>
      </c>
      <c r="H2425" s="6" t="n">
        <v>3.04</v>
      </c>
      <c r="I2425" s="6" t="n">
        <v>0</v>
      </c>
      <c r="J2425" s="40" t="n">
        <f aca="false">H2425-I2425</f>
        <v>3.04</v>
      </c>
      <c r="K2425" s="41" t="n">
        <v>26.5</v>
      </c>
      <c r="L2425" s="42" t="n">
        <f aca="false">J2425*K2425</f>
        <v>80.56</v>
      </c>
      <c r="M2425" s="43" t="n">
        <f aca="false">H2425*16.02*(1+'Chart of Accounts'!$E$67)</f>
        <v>55.762416</v>
      </c>
    </row>
    <row r="2426" customFormat="false" ht="15" hidden="false" customHeight="false" outlineLevel="0" collapsed="false">
      <c r="B2426" s="7" t="s">
        <v>2923</v>
      </c>
      <c r="C2426" s="39" t="n">
        <v>45779</v>
      </c>
      <c r="D2426" s="7" t="s">
        <v>401</v>
      </c>
      <c r="E2426" s="7" t="s">
        <v>156</v>
      </c>
      <c r="F2426" s="7" t="s">
        <v>254</v>
      </c>
      <c r="G2426" s="7" t="s">
        <v>505</v>
      </c>
      <c r="H2426" s="6" t="n">
        <v>3.72</v>
      </c>
      <c r="I2426" s="6" t="n">
        <v>0</v>
      </c>
      <c r="J2426" s="40" t="n">
        <f aca="false">H2426-I2426</f>
        <v>3.72</v>
      </c>
      <c r="K2426" s="41" t="n">
        <v>34</v>
      </c>
      <c r="L2426" s="42" t="n">
        <f aca="false">J2426*K2426</f>
        <v>126.48</v>
      </c>
      <c r="M2426" s="43" t="n">
        <f aca="false">H2426*17.1*(1+'Chart of Accounts'!$E$67)</f>
        <v>72.83574</v>
      </c>
    </row>
    <row r="2427" customFormat="false" ht="15" hidden="false" customHeight="false" outlineLevel="0" collapsed="false">
      <c r="B2427" s="7" t="s">
        <v>2924</v>
      </c>
      <c r="C2427" s="39" t="n">
        <v>45779</v>
      </c>
      <c r="D2427" s="7" t="s">
        <v>407</v>
      </c>
      <c r="E2427" s="7" t="s">
        <v>159</v>
      </c>
      <c r="F2427" s="7" t="s">
        <v>260</v>
      </c>
      <c r="G2427" s="7" t="s">
        <v>502</v>
      </c>
      <c r="H2427" s="6" t="n">
        <v>1.08</v>
      </c>
      <c r="I2427" s="6" t="n">
        <v>0</v>
      </c>
      <c r="J2427" s="40" t="n">
        <f aca="false">H2427-I2427</f>
        <v>1.08</v>
      </c>
      <c r="K2427" s="41" t="n">
        <v>135</v>
      </c>
      <c r="L2427" s="42" t="n">
        <f aca="false">J2427*K2427</f>
        <v>145.8</v>
      </c>
      <c r="M2427" s="43" t="n">
        <f aca="false">H2427*79.8*(1+'Chart of Accounts'!$E$67)</f>
        <v>98.68068</v>
      </c>
    </row>
    <row r="2428" customFormat="false" ht="15" hidden="false" customHeight="false" outlineLevel="0" collapsed="false">
      <c r="B2428" s="7" t="s">
        <v>2925</v>
      </c>
      <c r="C2428" s="39" t="n">
        <v>45779</v>
      </c>
      <c r="D2428" s="7" t="s">
        <v>409</v>
      </c>
      <c r="E2428" s="7" t="s">
        <v>154</v>
      </c>
      <c r="F2428" s="7" t="s">
        <v>214</v>
      </c>
      <c r="G2428" s="7" t="s">
        <v>505</v>
      </c>
      <c r="H2428" s="6" t="n">
        <v>3.49</v>
      </c>
      <c r="I2428" s="6" t="n">
        <v>0</v>
      </c>
      <c r="J2428" s="40" t="n">
        <f aca="false">H2428-I2428</f>
        <v>3.49</v>
      </c>
      <c r="K2428" s="41" t="n">
        <v>26.5</v>
      </c>
      <c r="L2428" s="42" t="n">
        <f aca="false">J2428*K2428</f>
        <v>92.485</v>
      </c>
      <c r="M2428" s="43" t="n">
        <f aca="false">H2428*15.67*(1+'Chart of Accounts'!$E$67)</f>
        <v>62.6181035</v>
      </c>
    </row>
    <row r="2429" customFormat="false" ht="15" hidden="false" customHeight="false" outlineLevel="0" collapsed="false">
      <c r="B2429" s="7" t="s">
        <v>2926</v>
      </c>
      <c r="C2429" s="39" t="n">
        <v>45779</v>
      </c>
      <c r="D2429" s="7" t="s">
        <v>411</v>
      </c>
      <c r="E2429" s="7" t="s">
        <v>154</v>
      </c>
      <c r="F2429" s="7" t="s">
        <v>177</v>
      </c>
      <c r="G2429" s="7" t="s">
        <v>505</v>
      </c>
      <c r="H2429" s="6" t="n">
        <v>4.8</v>
      </c>
      <c r="I2429" s="6" t="n">
        <v>0</v>
      </c>
      <c r="J2429" s="40" t="n">
        <f aca="false">H2429-I2429</f>
        <v>4.8</v>
      </c>
      <c r="K2429" s="41" t="n">
        <v>26.5</v>
      </c>
      <c r="L2429" s="42" t="n">
        <f aca="false">J2429*K2429</f>
        <v>127.2</v>
      </c>
      <c r="M2429" s="43" t="n">
        <f aca="false">H2429*14.56*(1+'Chart of Accounts'!$E$67)</f>
        <v>80.02176</v>
      </c>
    </row>
    <row r="2430" customFormat="false" ht="15" hidden="false" customHeight="false" outlineLevel="0" collapsed="false">
      <c r="B2430" s="7" t="s">
        <v>2927</v>
      </c>
      <c r="C2430" s="39" t="n">
        <v>45780</v>
      </c>
      <c r="D2430" s="7" t="s">
        <v>288</v>
      </c>
      <c r="E2430" s="7" t="s">
        <v>156</v>
      </c>
      <c r="F2430" s="7" t="s">
        <v>191</v>
      </c>
      <c r="G2430" s="7" t="s">
        <v>505</v>
      </c>
      <c r="H2430" s="6" t="n">
        <v>4.38</v>
      </c>
      <c r="I2430" s="6" t="n">
        <v>0</v>
      </c>
      <c r="J2430" s="40" t="n">
        <f aca="false">H2430-I2430</f>
        <v>4.38</v>
      </c>
      <c r="K2430" s="41" t="n">
        <v>34</v>
      </c>
      <c r="L2430" s="42" t="n">
        <f aca="false">J2430*K2430</f>
        <v>148.92</v>
      </c>
      <c r="M2430" s="43" t="n">
        <f aca="false">H2430*16.05*(1+'Chart of Accounts'!$E$67)</f>
        <v>80.492355</v>
      </c>
    </row>
    <row r="2431" customFormat="false" ht="15" hidden="false" customHeight="false" outlineLevel="0" collapsed="false">
      <c r="B2431" s="7" t="s">
        <v>2928</v>
      </c>
      <c r="C2431" s="39" t="n">
        <v>45780</v>
      </c>
      <c r="D2431" s="7" t="s">
        <v>321</v>
      </c>
      <c r="E2431" s="7" t="s">
        <v>154</v>
      </c>
      <c r="F2431" s="7" t="s">
        <v>218</v>
      </c>
      <c r="G2431" s="7" t="s">
        <v>505</v>
      </c>
      <c r="H2431" s="6" t="n">
        <v>3.62</v>
      </c>
      <c r="I2431" s="6" t="n">
        <v>0</v>
      </c>
      <c r="J2431" s="40" t="n">
        <f aca="false">H2431-I2431</f>
        <v>3.62</v>
      </c>
      <c r="K2431" s="41" t="n">
        <v>26.5</v>
      </c>
      <c r="L2431" s="42" t="n">
        <f aca="false">J2431*K2431</f>
        <v>95.93</v>
      </c>
      <c r="M2431" s="43" t="n">
        <f aca="false">H2431*16.19*(1+'Chart of Accounts'!$E$67)</f>
        <v>67.105931</v>
      </c>
    </row>
    <row r="2432" customFormat="false" ht="15" hidden="false" customHeight="false" outlineLevel="0" collapsed="false">
      <c r="B2432" s="7" t="s">
        <v>2929</v>
      </c>
      <c r="C2432" s="39" t="n">
        <v>45780</v>
      </c>
      <c r="D2432" s="7" t="s">
        <v>359</v>
      </c>
      <c r="E2432" s="7" t="s">
        <v>156</v>
      </c>
      <c r="F2432" s="7" t="s">
        <v>212</v>
      </c>
      <c r="G2432" s="7" t="s">
        <v>505</v>
      </c>
      <c r="H2432" s="6" t="n">
        <v>3.79</v>
      </c>
      <c r="I2432" s="6" t="n">
        <v>0</v>
      </c>
      <c r="J2432" s="40" t="n">
        <f aca="false">H2432-I2432</f>
        <v>3.79</v>
      </c>
      <c r="K2432" s="41" t="n">
        <v>34</v>
      </c>
      <c r="L2432" s="42" t="n">
        <f aca="false">J2432*K2432</f>
        <v>128.86</v>
      </c>
      <c r="M2432" s="43" t="n">
        <f aca="false">H2432*16.71*(1+'Chart of Accounts'!$E$67)</f>
        <v>72.5138805</v>
      </c>
    </row>
    <row r="2433" customFormat="false" ht="15" hidden="false" customHeight="false" outlineLevel="0" collapsed="false">
      <c r="B2433" s="7" t="s">
        <v>2930</v>
      </c>
      <c r="C2433" s="39" t="n">
        <v>45780</v>
      </c>
      <c r="D2433" s="7" t="s">
        <v>391</v>
      </c>
      <c r="E2433" s="7" t="s">
        <v>156</v>
      </c>
      <c r="F2433" s="7" t="s">
        <v>222</v>
      </c>
      <c r="G2433" s="7" t="s">
        <v>505</v>
      </c>
      <c r="H2433" s="6" t="n">
        <v>4.13</v>
      </c>
      <c r="I2433" s="6" t="n">
        <v>0</v>
      </c>
      <c r="J2433" s="40" t="n">
        <f aca="false">H2433-I2433</f>
        <v>4.13</v>
      </c>
      <c r="K2433" s="41" t="n">
        <v>34</v>
      </c>
      <c r="L2433" s="42" t="n">
        <f aca="false">J2433*K2433</f>
        <v>140.42</v>
      </c>
      <c r="M2433" s="43" t="n">
        <f aca="false">H2433*17.84*(1+'Chart of Accounts'!$E$67)</f>
        <v>84.362684</v>
      </c>
    </row>
    <row r="2434" customFormat="false" ht="15" hidden="false" customHeight="false" outlineLevel="0" collapsed="false">
      <c r="B2434" s="7" t="s">
        <v>2931</v>
      </c>
      <c r="C2434" s="39" t="n">
        <v>45780</v>
      </c>
      <c r="D2434" s="7" t="s">
        <v>395</v>
      </c>
      <c r="E2434" s="7" t="s">
        <v>156</v>
      </c>
      <c r="F2434" s="7" t="s">
        <v>242</v>
      </c>
      <c r="G2434" s="7" t="s">
        <v>505</v>
      </c>
      <c r="H2434" s="6" t="n">
        <v>4.18</v>
      </c>
      <c r="I2434" s="6" t="n">
        <v>0</v>
      </c>
      <c r="J2434" s="40" t="n">
        <f aca="false">H2434-I2434</f>
        <v>4.18</v>
      </c>
      <c r="K2434" s="41" t="n">
        <v>34</v>
      </c>
      <c r="L2434" s="42" t="n">
        <f aca="false">J2434*K2434</f>
        <v>142.12</v>
      </c>
      <c r="M2434" s="43" t="n">
        <f aca="false">H2434*17.99*(1+'Chart of Accounts'!$E$67)</f>
        <v>86.101939</v>
      </c>
    </row>
    <row r="2435" customFormat="false" ht="15" hidden="false" customHeight="false" outlineLevel="0" collapsed="false">
      <c r="B2435" s="7" t="s">
        <v>2932</v>
      </c>
      <c r="C2435" s="39" t="n">
        <v>45780</v>
      </c>
      <c r="D2435" s="7" t="s">
        <v>401</v>
      </c>
      <c r="E2435" s="7" t="s">
        <v>156</v>
      </c>
      <c r="F2435" s="7" t="s">
        <v>254</v>
      </c>
      <c r="G2435" s="7" t="s">
        <v>505</v>
      </c>
      <c r="H2435" s="6" t="n">
        <v>3.86</v>
      </c>
      <c r="I2435" s="6" t="n">
        <v>0</v>
      </c>
      <c r="J2435" s="40" t="n">
        <f aca="false">H2435-I2435</f>
        <v>3.86</v>
      </c>
      <c r="K2435" s="41" t="n">
        <v>34</v>
      </c>
      <c r="L2435" s="42" t="n">
        <f aca="false">J2435*K2435</f>
        <v>131.24</v>
      </c>
      <c r="M2435" s="43" t="n">
        <f aca="false">H2435*17.1*(1+'Chart of Accounts'!$E$67)</f>
        <v>75.57687</v>
      </c>
    </row>
    <row r="2436" customFormat="false" ht="15" hidden="false" customHeight="false" outlineLevel="0" collapsed="false">
      <c r="B2436" s="7" t="s">
        <v>2933</v>
      </c>
      <c r="C2436" s="39" t="n">
        <v>45781</v>
      </c>
      <c r="D2436" s="7" t="s">
        <v>288</v>
      </c>
      <c r="E2436" s="7" t="s">
        <v>156</v>
      </c>
      <c r="F2436" s="7" t="s">
        <v>191</v>
      </c>
      <c r="G2436" s="7" t="s">
        <v>505</v>
      </c>
      <c r="H2436" s="6" t="n">
        <v>4.3</v>
      </c>
      <c r="I2436" s="6" t="n">
        <v>0</v>
      </c>
      <c r="J2436" s="40" t="n">
        <f aca="false">H2436-I2436</f>
        <v>4.3</v>
      </c>
      <c r="K2436" s="41" t="n">
        <v>34</v>
      </c>
      <c r="L2436" s="42" t="n">
        <f aca="false">J2436*K2436</f>
        <v>146.2</v>
      </c>
      <c r="M2436" s="43" t="n">
        <f aca="false">H2436*16.05*(1+'Chart of Accounts'!$E$67)</f>
        <v>79.022175</v>
      </c>
    </row>
    <row r="2437" customFormat="false" ht="15" hidden="false" customHeight="false" outlineLevel="0" collapsed="false">
      <c r="B2437" s="7" t="s">
        <v>2934</v>
      </c>
      <c r="C2437" s="39" t="n">
        <v>45781</v>
      </c>
      <c r="D2437" s="7" t="s">
        <v>321</v>
      </c>
      <c r="E2437" s="7" t="s">
        <v>154</v>
      </c>
      <c r="F2437" s="7" t="s">
        <v>218</v>
      </c>
      <c r="G2437" s="7" t="s">
        <v>505</v>
      </c>
      <c r="H2437" s="6" t="n">
        <v>4.11</v>
      </c>
      <c r="I2437" s="6" t="n">
        <v>0</v>
      </c>
      <c r="J2437" s="40" t="n">
        <f aca="false">H2437-I2437</f>
        <v>4.11</v>
      </c>
      <c r="K2437" s="41" t="n">
        <v>26.5</v>
      </c>
      <c r="L2437" s="42" t="n">
        <f aca="false">J2437*K2437</f>
        <v>108.915</v>
      </c>
      <c r="M2437" s="43" t="n">
        <f aca="false">H2437*16.19*(1+'Chart of Accounts'!$E$67)</f>
        <v>76.1893305</v>
      </c>
    </row>
    <row r="2438" customFormat="false" ht="15" hidden="false" customHeight="false" outlineLevel="0" collapsed="false">
      <c r="B2438" s="7" t="s">
        <v>2935</v>
      </c>
      <c r="C2438" s="39" t="n">
        <v>45781</v>
      </c>
      <c r="D2438" s="7" t="s">
        <v>359</v>
      </c>
      <c r="E2438" s="7" t="s">
        <v>156</v>
      </c>
      <c r="F2438" s="7" t="s">
        <v>212</v>
      </c>
      <c r="G2438" s="7" t="s">
        <v>505</v>
      </c>
      <c r="H2438" s="6" t="n">
        <v>3.67</v>
      </c>
      <c r="I2438" s="6" t="n">
        <v>0</v>
      </c>
      <c r="J2438" s="40" t="n">
        <f aca="false">H2438-I2438</f>
        <v>3.67</v>
      </c>
      <c r="K2438" s="41" t="n">
        <v>34</v>
      </c>
      <c r="L2438" s="42" t="n">
        <f aca="false">J2438*K2438</f>
        <v>124.78</v>
      </c>
      <c r="M2438" s="43" t="n">
        <f aca="false">H2438*16.71*(1+'Chart of Accounts'!$E$67)</f>
        <v>70.2179265</v>
      </c>
    </row>
    <row r="2439" customFormat="false" ht="15" hidden="false" customHeight="false" outlineLevel="0" collapsed="false">
      <c r="B2439" s="7" t="s">
        <v>2936</v>
      </c>
      <c r="C2439" s="39" t="n">
        <v>45781</v>
      </c>
      <c r="D2439" s="7" t="s">
        <v>391</v>
      </c>
      <c r="E2439" s="7" t="s">
        <v>156</v>
      </c>
      <c r="F2439" s="7" t="s">
        <v>222</v>
      </c>
      <c r="G2439" s="7" t="s">
        <v>505</v>
      </c>
      <c r="H2439" s="6" t="n">
        <v>4.35</v>
      </c>
      <c r="I2439" s="6" t="n">
        <v>0</v>
      </c>
      <c r="J2439" s="40" t="n">
        <f aca="false">H2439-I2439</f>
        <v>4.35</v>
      </c>
      <c r="K2439" s="41" t="n">
        <v>34</v>
      </c>
      <c r="L2439" s="42" t="n">
        <f aca="false">J2439*K2439</f>
        <v>147.9</v>
      </c>
      <c r="M2439" s="43" t="n">
        <f aca="false">H2439*17.84*(1+'Chart of Accounts'!$E$67)</f>
        <v>88.85658</v>
      </c>
    </row>
    <row r="2440" customFormat="false" ht="15" hidden="false" customHeight="false" outlineLevel="0" collapsed="false">
      <c r="B2440" s="7" t="s">
        <v>2937</v>
      </c>
      <c r="C2440" s="39" t="n">
        <v>45781</v>
      </c>
      <c r="D2440" s="7" t="s">
        <v>395</v>
      </c>
      <c r="E2440" s="7" t="s">
        <v>156</v>
      </c>
      <c r="F2440" s="7" t="s">
        <v>242</v>
      </c>
      <c r="G2440" s="7" t="s">
        <v>505</v>
      </c>
      <c r="H2440" s="6" t="n">
        <v>4.18</v>
      </c>
      <c r="I2440" s="6" t="n">
        <v>0</v>
      </c>
      <c r="J2440" s="40" t="n">
        <f aca="false">H2440-I2440</f>
        <v>4.18</v>
      </c>
      <c r="K2440" s="41" t="n">
        <v>34</v>
      </c>
      <c r="L2440" s="42" t="n">
        <f aca="false">J2440*K2440</f>
        <v>142.12</v>
      </c>
      <c r="M2440" s="43" t="n">
        <f aca="false">H2440*17.99*(1+'Chart of Accounts'!$E$67)</f>
        <v>86.101939</v>
      </c>
    </row>
    <row r="2441" customFormat="false" ht="15" hidden="false" customHeight="false" outlineLevel="0" collapsed="false">
      <c r="B2441" s="7" t="s">
        <v>2938</v>
      </c>
      <c r="C2441" s="39" t="n">
        <v>45781</v>
      </c>
      <c r="D2441" s="7" t="s">
        <v>401</v>
      </c>
      <c r="E2441" s="7" t="s">
        <v>156</v>
      </c>
      <c r="F2441" s="7" t="s">
        <v>254</v>
      </c>
      <c r="G2441" s="7" t="s">
        <v>505</v>
      </c>
      <c r="H2441" s="6" t="n">
        <v>3.8</v>
      </c>
      <c r="I2441" s="6" t="n">
        <v>0</v>
      </c>
      <c r="J2441" s="40" t="n">
        <f aca="false">H2441-I2441</f>
        <v>3.8</v>
      </c>
      <c r="K2441" s="41" t="n">
        <v>34</v>
      </c>
      <c r="L2441" s="42" t="n">
        <f aca="false">J2441*K2441</f>
        <v>129.2</v>
      </c>
      <c r="M2441" s="43" t="n">
        <f aca="false">H2441*17.1*(1+'Chart of Accounts'!$E$67)</f>
        <v>74.4021</v>
      </c>
    </row>
    <row r="2442" customFormat="false" ht="15" hidden="false" customHeight="false" outlineLevel="0" collapsed="false">
      <c r="B2442" s="7" t="s">
        <v>2939</v>
      </c>
      <c r="C2442" s="39" t="n">
        <v>45782</v>
      </c>
      <c r="D2442" s="7" t="s">
        <v>280</v>
      </c>
      <c r="E2442" s="7" t="s">
        <v>157</v>
      </c>
      <c r="F2442" s="7" t="s">
        <v>187</v>
      </c>
      <c r="G2442" s="7" t="s">
        <v>502</v>
      </c>
      <c r="H2442" s="6" t="n">
        <v>0.96</v>
      </c>
      <c r="I2442" s="6" t="n">
        <v>0</v>
      </c>
      <c r="J2442" s="40" t="n">
        <f aca="false">H2442-I2442</f>
        <v>0.96</v>
      </c>
      <c r="K2442" s="41" t="n">
        <v>165</v>
      </c>
      <c r="L2442" s="42" t="n">
        <f aca="false">J2442*K2442</f>
        <v>158.4</v>
      </c>
      <c r="M2442" s="43" t="n">
        <f aca="false">H2442*66.48*(1+'Chart of Accounts'!$E$67)</f>
        <v>73.074816</v>
      </c>
    </row>
    <row r="2443" customFormat="false" ht="15" hidden="false" customHeight="false" outlineLevel="0" collapsed="false">
      <c r="B2443" s="7" t="s">
        <v>2940</v>
      </c>
      <c r="C2443" s="39" t="n">
        <v>45782</v>
      </c>
      <c r="D2443" s="7" t="s">
        <v>288</v>
      </c>
      <c r="E2443" s="7" t="s">
        <v>156</v>
      </c>
      <c r="F2443" s="7" t="s">
        <v>191</v>
      </c>
      <c r="G2443" s="7" t="s">
        <v>505</v>
      </c>
      <c r="H2443" s="6" t="n">
        <v>3.82</v>
      </c>
      <c r="I2443" s="6" t="n">
        <v>0</v>
      </c>
      <c r="J2443" s="40" t="n">
        <f aca="false">H2443-I2443</f>
        <v>3.82</v>
      </c>
      <c r="K2443" s="41" t="n">
        <v>34</v>
      </c>
      <c r="L2443" s="42" t="n">
        <f aca="false">J2443*K2443</f>
        <v>129.88</v>
      </c>
      <c r="M2443" s="43" t="n">
        <f aca="false">H2443*16.05*(1+'Chart of Accounts'!$E$67)</f>
        <v>70.201095</v>
      </c>
    </row>
    <row r="2444" customFormat="false" ht="15" hidden="false" customHeight="false" outlineLevel="0" collapsed="false">
      <c r="B2444" s="7" t="s">
        <v>2941</v>
      </c>
      <c r="C2444" s="39" t="n">
        <v>45782</v>
      </c>
      <c r="D2444" s="7" t="s">
        <v>291</v>
      </c>
      <c r="E2444" s="7" t="s">
        <v>154</v>
      </c>
      <c r="F2444" s="7" t="s">
        <v>194</v>
      </c>
      <c r="G2444" s="7" t="s">
        <v>505</v>
      </c>
      <c r="H2444" s="6" t="n">
        <v>5.11</v>
      </c>
      <c r="I2444" s="6" t="n">
        <v>0</v>
      </c>
      <c r="J2444" s="40" t="n">
        <f aca="false">H2444-I2444</f>
        <v>5.11</v>
      </c>
      <c r="K2444" s="41" t="n">
        <v>26.5</v>
      </c>
      <c r="L2444" s="42" t="n">
        <f aca="false">J2444*K2444</f>
        <v>135.415</v>
      </c>
      <c r="M2444" s="43" t="n">
        <f aca="false">H2444*16*(1+'Chart of Accounts'!$E$67)</f>
        <v>93.6152</v>
      </c>
    </row>
    <row r="2445" customFormat="false" ht="15" hidden="false" customHeight="false" outlineLevel="0" collapsed="false">
      <c r="B2445" s="7" t="s">
        <v>2942</v>
      </c>
      <c r="C2445" s="39" t="n">
        <v>45782</v>
      </c>
      <c r="D2445" s="7" t="s">
        <v>297</v>
      </c>
      <c r="E2445" s="7" t="s">
        <v>156</v>
      </c>
      <c r="F2445" s="7" t="s">
        <v>201</v>
      </c>
      <c r="G2445" s="7" t="s">
        <v>505</v>
      </c>
      <c r="H2445" s="6" t="n">
        <v>2.96</v>
      </c>
      <c r="I2445" s="6" t="n">
        <v>0</v>
      </c>
      <c r="J2445" s="40" t="n">
        <f aca="false">H2445-I2445</f>
        <v>2.96</v>
      </c>
      <c r="K2445" s="41" t="n">
        <v>34</v>
      </c>
      <c r="L2445" s="42" t="n">
        <f aca="false">J2445*K2445</f>
        <v>100.64</v>
      </c>
      <c r="M2445" s="43" t="n">
        <f aca="false">H2445*15.19*(1+'Chart of Accounts'!$E$67)</f>
        <v>51.481948</v>
      </c>
    </row>
    <row r="2446" customFormat="false" ht="15" hidden="false" customHeight="false" outlineLevel="0" collapsed="false">
      <c r="B2446" s="7" t="s">
        <v>2943</v>
      </c>
      <c r="C2446" s="39" t="n">
        <v>45782</v>
      </c>
      <c r="D2446" s="7" t="s">
        <v>305</v>
      </c>
      <c r="E2446" s="7" t="s">
        <v>154</v>
      </c>
      <c r="F2446" s="7" t="s">
        <v>205</v>
      </c>
      <c r="G2446" s="7" t="s">
        <v>505</v>
      </c>
      <c r="H2446" s="6" t="n">
        <v>4.21</v>
      </c>
      <c r="I2446" s="6" t="n">
        <v>0</v>
      </c>
      <c r="J2446" s="40" t="n">
        <f aca="false">H2446-I2446</f>
        <v>4.21</v>
      </c>
      <c r="K2446" s="41" t="n">
        <v>26.5</v>
      </c>
      <c r="L2446" s="42" t="n">
        <f aca="false">J2446*K2446</f>
        <v>111.565</v>
      </c>
      <c r="M2446" s="43" t="n">
        <f aca="false">H2446*16.36*(1+'Chart of Accounts'!$E$67)</f>
        <v>78.862562</v>
      </c>
    </row>
    <row r="2447" customFormat="false" ht="15" hidden="false" customHeight="false" outlineLevel="0" collapsed="false">
      <c r="B2447" s="7" t="s">
        <v>2944</v>
      </c>
      <c r="C2447" s="39" t="n">
        <v>45782</v>
      </c>
      <c r="D2447" s="7" t="s">
        <v>307</v>
      </c>
      <c r="E2447" s="7" t="s">
        <v>157</v>
      </c>
      <c r="F2447" s="7" t="s">
        <v>264</v>
      </c>
      <c r="G2447" s="7" t="s">
        <v>502</v>
      </c>
      <c r="H2447" s="6" t="n">
        <v>0.9</v>
      </c>
      <c r="I2447" s="6" t="n">
        <v>0</v>
      </c>
      <c r="J2447" s="40" t="n">
        <f aca="false">H2447-I2447</f>
        <v>0.9</v>
      </c>
      <c r="K2447" s="41" t="n">
        <v>165</v>
      </c>
      <c r="L2447" s="42" t="n">
        <f aca="false">J2447*K2447</f>
        <v>148.5</v>
      </c>
      <c r="M2447" s="43" t="n">
        <f aca="false">H2447*55.55*(1+'Chart of Accounts'!$E$67)</f>
        <v>57.244275</v>
      </c>
    </row>
    <row r="2448" customFormat="false" ht="15" hidden="false" customHeight="false" outlineLevel="0" collapsed="false">
      <c r="B2448" s="7" t="s">
        <v>2945</v>
      </c>
      <c r="C2448" s="39" t="n">
        <v>45782</v>
      </c>
      <c r="D2448" s="7" t="s">
        <v>309</v>
      </c>
      <c r="E2448" s="7" t="s">
        <v>159</v>
      </c>
      <c r="F2448" s="7" t="s">
        <v>252</v>
      </c>
      <c r="G2448" s="7" t="s">
        <v>502</v>
      </c>
      <c r="H2448" s="6" t="n">
        <v>1.05</v>
      </c>
      <c r="I2448" s="6" t="n">
        <v>0</v>
      </c>
      <c r="J2448" s="40" t="n">
        <f aca="false">H2448-I2448</f>
        <v>1.05</v>
      </c>
      <c r="K2448" s="41" t="n">
        <v>135</v>
      </c>
      <c r="L2448" s="42" t="n">
        <f aca="false">J2448*K2448</f>
        <v>141.75</v>
      </c>
      <c r="M2448" s="43" t="n">
        <f aca="false">H2448*57.54*(1+'Chart of Accounts'!$E$67)</f>
        <v>69.177465</v>
      </c>
    </row>
    <row r="2449" customFormat="false" ht="15" hidden="false" customHeight="false" outlineLevel="0" collapsed="false">
      <c r="B2449" s="7" t="s">
        <v>2946</v>
      </c>
      <c r="C2449" s="39" t="n">
        <v>45782</v>
      </c>
      <c r="D2449" s="7" t="s">
        <v>311</v>
      </c>
      <c r="E2449" s="7" t="s">
        <v>154</v>
      </c>
      <c r="F2449" s="7" t="s">
        <v>196</v>
      </c>
      <c r="G2449" s="7" t="s">
        <v>505</v>
      </c>
      <c r="H2449" s="6" t="n">
        <v>2.79</v>
      </c>
      <c r="I2449" s="6" t="n">
        <v>0</v>
      </c>
      <c r="J2449" s="40" t="n">
        <f aca="false">H2449-I2449</f>
        <v>2.79</v>
      </c>
      <c r="K2449" s="41" t="n">
        <v>26.5</v>
      </c>
      <c r="L2449" s="42" t="n">
        <f aca="false">J2449*K2449</f>
        <v>73.935</v>
      </c>
      <c r="M2449" s="43" t="n">
        <f aca="false">H2449*15.05*(1+'Chart of Accounts'!$E$67)</f>
        <v>48.0779775</v>
      </c>
    </row>
    <row r="2450" customFormat="false" ht="15" hidden="false" customHeight="false" outlineLevel="0" collapsed="false">
      <c r="B2450" s="7" t="s">
        <v>2947</v>
      </c>
      <c r="C2450" s="39" t="n">
        <v>45782</v>
      </c>
      <c r="D2450" s="7" t="s">
        <v>313</v>
      </c>
      <c r="E2450" s="7" t="s">
        <v>156</v>
      </c>
      <c r="F2450" s="7" t="s">
        <v>184</v>
      </c>
      <c r="G2450" s="7" t="s">
        <v>505</v>
      </c>
      <c r="H2450" s="6" t="n">
        <v>3.97</v>
      </c>
      <c r="I2450" s="6" t="n">
        <v>0</v>
      </c>
      <c r="J2450" s="40" t="n">
        <f aca="false">H2450-I2450</f>
        <v>3.97</v>
      </c>
      <c r="K2450" s="41" t="n">
        <v>34</v>
      </c>
      <c r="L2450" s="42" t="n">
        <f aca="false">J2450*K2450</f>
        <v>134.98</v>
      </c>
      <c r="M2450" s="43" t="n">
        <f aca="false">H2450*17.34*(1+'Chart of Accounts'!$E$67)</f>
        <v>78.821571</v>
      </c>
    </row>
    <row r="2451" customFormat="false" ht="15" hidden="false" customHeight="false" outlineLevel="0" collapsed="false">
      <c r="B2451" s="7" t="s">
        <v>2948</v>
      </c>
      <c r="C2451" s="39" t="n">
        <v>45782</v>
      </c>
      <c r="D2451" s="7" t="s">
        <v>317</v>
      </c>
      <c r="E2451" s="7" t="s">
        <v>156</v>
      </c>
      <c r="F2451" s="7" t="s">
        <v>207</v>
      </c>
      <c r="G2451" s="7" t="s">
        <v>505</v>
      </c>
      <c r="H2451" s="6" t="n">
        <v>3.06</v>
      </c>
      <c r="I2451" s="6" t="n">
        <v>0</v>
      </c>
      <c r="J2451" s="40" t="n">
        <f aca="false">H2451-I2451</f>
        <v>3.06</v>
      </c>
      <c r="K2451" s="41" t="n">
        <v>34</v>
      </c>
      <c r="L2451" s="42" t="n">
        <f aca="false">J2451*K2451</f>
        <v>104.04</v>
      </c>
      <c r="M2451" s="43" t="n">
        <f aca="false">H2451*16.65*(1+'Chart of Accounts'!$E$67)</f>
        <v>58.336605</v>
      </c>
    </row>
    <row r="2452" customFormat="false" ht="15" hidden="false" customHeight="false" outlineLevel="0" collapsed="false">
      <c r="B2452" s="7" t="s">
        <v>2949</v>
      </c>
      <c r="C2452" s="39" t="n">
        <v>45782</v>
      </c>
      <c r="D2452" s="7" t="s">
        <v>321</v>
      </c>
      <c r="E2452" s="7" t="s">
        <v>154</v>
      </c>
      <c r="F2452" s="7" t="s">
        <v>218</v>
      </c>
      <c r="G2452" s="7" t="s">
        <v>505</v>
      </c>
      <c r="H2452" s="6" t="n">
        <v>3.98</v>
      </c>
      <c r="I2452" s="6" t="n">
        <v>0</v>
      </c>
      <c r="J2452" s="40" t="n">
        <f aca="false">H2452-I2452</f>
        <v>3.98</v>
      </c>
      <c r="K2452" s="41" t="n">
        <v>26.5</v>
      </c>
      <c r="L2452" s="42" t="n">
        <f aca="false">J2452*K2452</f>
        <v>105.47</v>
      </c>
      <c r="M2452" s="43" t="n">
        <f aca="false">H2452*16.19*(1+'Chart of Accounts'!$E$67)</f>
        <v>73.779449</v>
      </c>
    </row>
    <row r="2453" customFormat="false" ht="15" hidden="false" customHeight="false" outlineLevel="0" collapsed="false">
      <c r="B2453" s="7" t="s">
        <v>2950</v>
      </c>
      <c r="C2453" s="39" t="n">
        <v>45782</v>
      </c>
      <c r="D2453" s="7" t="s">
        <v>325</v>
      </c>
      <c r="E2453" s="7" t="s">
        <v>154</v>
      </c>
      <c r="F2453" s="7" t="s">
        <v>212</v>
      </c>
      <c r="G2453" s="7" t="s">
        <v>505</v>
      </c>
      <c r="H2453" s="6" t="n">
        <v>2.71</v>
      </c>
      <c r="I2453" s="6" t="n">
        <v>0</v>
      </c>
      <c r="J2453" s="40" t="n">
        <f aca="false">H2453-I2453</f>
        <v>2.71</v>
      </c>
      <c r="K2453" s="41" t="n">
        <v>26.5</v>
      </c>
      <c r="L2453" s="42" t="n">
        <f aca="false">J2453*K2453</f>
        <v>71.815</v>
      </c>
      <c r="M2453" s="43" t="n">
        <f aca="false">H2453*16.71*(1+'Chart of Accounts'!$E$67)</f>
        <v>51.8502945</v>
      </c>
    </row>
    <row r="2454" customFormat="false" ht="15" hidden="false" customHeight="false" outlineLevel="0" collapsed="false">
      <c r="B2454" s="7" t="s">
        <v>2951</v>
      </c>
      <c r="C2454" s="39" t="n">
        <v>45782</v>
      </c>
      <c r="D2454" s="7" t="s">
        <v>329</v>
      </c>
      <c r="E2454" s="7" t="s">
        <v>156</v>
      </c>
      <c r="F2454" s="7" t="s">
        <v>220</v>
      </c>
      <c r="G2454" s="7" t="s">
        <v>505</v>
      </c>
      <c r="H2454" s="6" t="n">
        <v>3.99</v>
      </c>
      <c r="I2454" s="6" t="n">
        <v>0</v>
      </c>
      <c r="J2454" s="40" t="n">
        <f aca="false">H2454-I2454</f>
        <v>3.99</v>
      </c>
      <c r="K2454" s="41" t="n">
        <v>34</v>
      </c>
      <c r="L2454" s="42" t="n">
        <f aca="false">J2454*K2454</f>
        <v>135.66</v>
      </c>
      <c r="M2454" s="43" t="n">
        <f aca="false">H2454*16.43*(1+'Chart of Accounts'!$E$67)</f>
        <v>75.0612765</v>
      </c>
    </row>
    <row r="2455" customFormat="false" ht="15" hidden="false" customHeight="false" outlineLevel="0" collapsed="false">
      <c r="B2455" s="7" t="s">
        <v>2952</v>
      </c>
      <c r="C2455" s="39" t="n">
        <v>45782</v>
      </c>
      <c r="D2455" s="7" t="s">
        <v>331</v>
      </c>
      <c r="E2455" s="7" t="s">
        <v>156</v>
      </c>
      <c r="F2455" s="7" t="s">
        <v>224</v>
      </c>
      <c r="G2455" s="7" t="s">
        <v>505</v>
      </c>
      <c r="H2455" s="6" t="n">
        <v>4.38</v>
      </c>
      <c r="I2455" s="6" t="n">
        <v>0</v>
      </c>
      <c r="J2455" s="40" t="n">
        <f aca="false">H2455-I2455</f>
        <v>4.38</v>
      </c>
      <c r="K2455" s="41" t="n">
        <v>34</v>
      </c>
      <c r="L2455" s="42" t="n">
        <f aca="false">J2455*K2455</f>
        <v>148.92</v>
      </c>
      <c r="M2455" s="43" t="n">
        <f aca="false">H2455*14.93*(1+'Chart of Accounts'!$E$67)</f>
        <v>74.875443</v>
      </c>
    </row>
    <row r="2456" customFormat="false" ht="15" hidden="false" customHeight="false" outlineLevel="0" collapsed="false">
      <c r="B2456" s="7" t="s">
        <v>2953</v>
      </c>
      <c r="C2456" s="39" t="n">
        <v>45782</v>
      </c>
      <c r="D2456" s="7" t="s">
        <v>335</v>
      </c>
      <c r="E2456" s="7" t="s">
        <v>154</v>
      </c>
      <c r="F2456" s="7" t="s">
        <v>177</v>
      </c>
      <c r="G2456" s="7" t="s">
        <v>505</v>
      </c>
      <c r="H2456" s="6" t="n">
        <v>4.11</v>
      </c>
      <c r="I2456" s="6" t="n">
        <v>0</v>
      </c>
      <c r="J2456" s="40" t="n">
        <f aca="false">H2456-I2456</f>
        <v>4.11</v>
      </c>
      <c r="K2456" s="41" t="n">
        <v>26.5</v>
      </c>
      <c r="L2456" s="42" t="n">
        <f aca="false">J2456*K2456</f>
        <v>108.915</v>
      </c>
      <c r="M2456" s="43" t="n">
        <f aca="false">H2456*14.56*(1+'Chart of Accounts'!$E$67)</f>
        <v>68.518632</v>
      </c>
    </row>
    <row r="2457" customFormat="false" ht="15" hidden="false" customHeight="false" outlineLevel="0" collapsed="false">
      <c r="B2457" s="7" t="s">
        <v>2954</v>
      </c>
      <c r="C2457" s="39" t="n">
        <v>45782</v>
      </c>
      <c r="D2457" s="7" t="s">
        <v>337</v>
      </c>
      <c r="E2457" s="7" t="s">
        <v>154</v>
      </c>
      <c r="F2457" s="7" t="s">
        <v>232</v>
      </c>
      <c r="G2457" s="7" t="s">
        <v>505</v>
      </c>
      <c r="H2457" s="6" t="n">
        <v>2.72</v>
      </c>
      <c r="I2457" s="6" t="n">
        <v>0</v>
      </c>
      <c r="J2457" s="40" t="n">
        <f aca="false">H2457-I2457</f>
        <v>2.72</v>
      </c>
      <c r="K2457" s="41" t="n">
        <v>26.5</v>
      </c>
      <c r="L2457" s="42" t="n">
        <f aca="false">J2457*K2457</f>
        <v>72.08</v>
      </c>
      <c r="M2457" s="43" t="n">
        <f aca="false">H2457*16.17*(1+'Chart of Accounts'!$E$67)</f>
        <v>50.359848</v>
      </c>
    </row>
    <row r="2458" customFormat="false" ht="15" hidden="false" customHeight="false" outlineLevel="0" collapsed="false">
      <c r="B2458" s="7" t="s">
        <v>2955</v>
      </c>
      <c r="C2458" s="39" t="n">
        <v>45782</v>
      </c>
      <c r="D2458" s="7" t="s">
        <v>339</v>
      </c>
      <c r="E2458" s="7" t="s">
        <v>154</v>
      </c>
      <c r="F2458" s="7" t="s">
        <v>242</v>
      </c>
      <c r="G2458" s="7" t="s">
        <v>505</v>
      </c>
      <c r="H2458" s="6" t="n">
        <v>3.38</v>
      </c>
      <c r="I2458" s="6" t="n">
        <v>0</v>
      </c>
      <c r="J2458" s="40" t="n">
        <f aca="false">H2458-I2458</f>
        <v>3.38</v>
      </c>
      <c r="K2458" s="41" t="n">
        <v>26.5</v>
      </c>
      <c r="L2458" s="42" t="n">
        <f aca="false">J2458*K2458</f>
        <v>89.57</v>
      </c>
      <c r="M2458" s="43" t="n">
        <f aca="false">H2458*17.99*(1+'Chart of Accounts'!$E$67)</f>
        <v>69.623099</v>
      </c>
    </row>
    <row r="2459" customFormat="false" ht="15" hidden="false" customHeight="false" outlineLevel="0" collapsed="false">
      <c r="B2459" s="7" t="s">
        <v>2956</v>
      </c>
      <c r="C2459" s="39" t="n">
        <v>45782</v>
      </c>
      <c r="D2459" s="7" t="s">
        <v>341</v>
      </c>
      <c r="E2459" s="7" t="s">
        <v>156</v>
      </c>
      <c r="F2459" s="7" t="s">
        <v>222</v>
      </c>
      <c r="G2459" s="7" t="s">
        <v>505</v>
      </c>
      <c r="H2459" s="6" t="n">
        <v>2.85</v>
      </c>
      <c r="I2459" s="6" t="n">
        <v>0</v>
      </c>
      <c r="J2459" s="40" t="n">
        <f aca="false">H2459-I2459</f>
        <v>2.85</v>
      </c>
      <c r="K2459" s="41" t="n">
        <v>34</v>
      </c>
      <c r="L2459" s="42" t="n">
        <f aca="false">J2459*K2459</f>
        <v>96.9</v>
      </c>
      <c r="M2459" s="43" t="n">
        <f aca="false">H2459*17.84*(1+'Chart of Accounts'!$E$67)</f>
        <v>58.21638</v>
      </c>
    </row>
    <row r="2460" customFormat="false" ht="15" hidden="false" customHeight="false" outlineLevel="0" collapsed="false">
      <c r="B2460" s="7" t="s">
        <v>2957</v>
      </c>
      <c r="C2460" s="39" t="n">
        <v>45782</v>
      </c>
      <c r="D2460" s="7" t="s">
        <v>343</v>
      </c>
      <c r="E2460" s="7" t="s">
        <v>154</v>
      </c>
      <c r="F2460" s="7" t="s">
        <v>262</v>
      </c>
      <c r="G2460" s="7" t="s">
        <v>505</v>
      </c>
      <c r="H2460" s="6" t="n">
        <v>4.01</v>
      </c>
      <c r="I2460" s="6" t="n">
        <v>0</v>
      </c>
      <c r="J2460" s="40" t="n">
        <f aca="false">H2460-I2460</f>
        <v>4.01</v>
      </c>
      <c r="K2460" s="41" t="n">
        <v>26.5</v>
      </c>
      <c r="L2460" s="42" t="n">
        <f aca="false">J2460*K2460</f>
        <v>106.265</v>
      </c>
      <c r="M2460" s="43" t="n">
        <f aca="false">H2460*16.02*(1+'Chart of Accounts'!$E$67)</f>
        <v>73.555029</v>
      </c>
    </row>
    <row r="2461" customFormat="false" ht="15" hidden="false" customHeight="false" outlineLevel="0" collapsed="false">
      <c r="B2461" s="7" t="s">
        <v>2958</v>
      </c>
      <c r="C2461" s="39" t="n">
        <v>45782</v>
      </c>
      <c r="D2461" s="7" t="s">
        <v>351</v>
      </c>
      <c r="E2461" s="7" t="s">
        <v>154</v>
      </c>
      <c r="F2461" s="7" t="s">
        <v>201</v>
      </c>
      <c r="G2461" s="7" t="s">
        <v>505</v>
      </c>
      <c r="H2461" s="6" t="n">
        <v>3.12</v>
      </c>
      <c r="I2461" s="6" t="n">
        <v>0</v>
      </c>
      <c r="J2461" s="40" t="n">
        <f aca="false">H2461-I2461</f>
        <v>3.12</v>
      </c>
      <c r="K2461" s="41" t="n">
        <v>26.5</v>
      </c>
      <c r="L2461" s="42" t="n">
        <f aca="false">J2461*K2461</f>
        <v>82.68</v>
      </c>
      <c r="M2461" s="43" t="n">
        <f aca="false">H2461*15.19*(1+'Chart of Accounts'!$E$67)</f>
        <v>54.264756</v>
      </c>
    </row>
    <row r="2462" customFormat="false" ht="15" hidden="false" customHeight="false" outlineLevel="0" collapsed="false">
      <c r="B2462" s="7" t="s">
        <v>2959</v>
      </c>
      <c r="C2462" s="39" t="n">
        <v>45782</v>
      </c>
      <c r="D2462" s="7" t="s">
        <v>353</v>
      </c>
      <c r="E2462" s="7" t="s">
        <v>154</v>
      </c>
      <c r="F2462" s="7" t="s">
        <v>254</v>
      </c>
      <c r="G2462" s="7" t="s">
        <v>505</v>
      </c>
      <c r="H2462" s="6" t="n">
        <v>3.49</v>
      </c>
      <c r="I2462" s="6" t="n">
        <v>0.105</v>
      </c>
      <c r="J2462" s="40" t="n">
        <f aca="false">H2462-I2462</f>
        <v>3.385</v>
      </c>
      <c r="K2462" s="41" t="n">
        <v>26.5</v>
      </c>
      <c r="L2462" s="42" t="n">
        <f aca="false">J2462*K2462</f>
        <v>89.7025</v>
      </c>
      <c r="M2462" s="43" t="n">
        <f aca="false">H2462*17.1*(1+'Chart of Accounts'!$E$67)</f>
        <v>68.332455</v>
      </c>
    </row>
    <row r="2463" customFormat="false" ht="15" hidden="false" customHeight="false" outlineLevel="0" collapsed="false">
      <c r="B2463" s="7" t="s">
        <v>2960</v>
      </c>
      <c r="C2463" s="39" t="n">
        <v>45782</v>
      </c>
      <c r="D2463" s="7" t="s">
        <v>355</v>
      </c>
      <c r="E2463" s="7" t="s">
        <v>154</v>
      </c>
      <c r="F2463" s="7" t="s">
        <v>201</v>
      </c>
      <c r="G2463" s="7" t="s">
        <v>505</v>
      </c>
      <c r="H2463" s="6" t="n">
        <v>3.54</v>
      </c>
      <c r="I2463" s="6" t="n">
        <v>0</v>
      </c>
      <c r="J2463" s="40" t="n">
        <f aca="false">H2463-I2463</f>
        <v>3.54</v>
      </c>
      <c r="K2463" s="41" t="n">
        <v>26.5</v>
      </c>
      <c r="L2463" s="42" t="n">
        <f aca="false">J2463*K2463</f>
        <v>93.81</v>
      </c>
      <c r="M2463" s="43" t="n">
        <f aca="false">H2463*15.19*(1+'Chart of Accounts'!$E$67)</f>
        <v>61.569627</v>
      </c>
    </row>
    <row r="2464" customFormat="false" ht="15" hidden="false" customHeight="false" outlineLevel="0" collapsed="false">
      <c r="B2464" s="7" t="s">
        <v>2961</v>
      </c>
      <c r="C2464" s="39" t="n">
        <v>45782</v>
      </c>
      <c r="D2464" s="7" t="s">
        <v>357</v>
      </c>
      <c r="E2464" s="7" t="s">
        <v>154</v>
      </c>
      <c r="F2464" s="7" t="s">
        <v>207</v>
      </c>
      <c r="G2464" s="7" t="s">
        <v>505</v>
      </c>
      <c r="H2464" s="6" t="n">
        <v>3.46</v>
      </c>
      <c r="I2464" s="6" t="n">
        <v>0</v>
      </c>
      <c r="J2464" s="40" t="n">
        <f aca="false">H2464-I2464</f>
        <v>3.46</v>
      </c>
      <c r="K2464" s="41" t="n">
        <v>26.5</v>
      </c>
      <c r="L2464" s="42" t="n">
        <f aca="false">J2464*K2464</f>
        <v>91.69</v>
      </c>
      <c r="M2464" s="43" t="n">
        <f aca="false">H2464*16.65*(1+'Chart of Accounts'!$E$67)</f>
        <v>65.962305</v>
      </c>
    </row>
    <row r="2465" customFormat="false" ht="15" hidden="false" customHeight="false" outlineLevel="0" collapsed="false">
      <c r="B2465" s="7" t="s">
        <v>2962</v>
      </c>
      <c r="C2465" s="39" t="n">
        <v>45782</v>
      </c>
      <c r="D2465" s="7" t="s">
        <v>359</v>
      </c>
      <c r="E2465" s="7" t="s">
        <v>156</v>
      </c>
      <c r="F2465" s="7" t="s">
        <v>212</v>
      </c>
      <c r="G2465" s="7" t="s">
        <v>505</v>
      </c>
      <c r="H2465" s="6" t="n">
        <v>3.96</v>
      </c>
      <c r="I2465" s="6" t="n">
        <v>0</v>
      </c>
      <c r="J2465" s="40" t="n">
        <f aca="false">H2465-I2465</f>
        <v>3.96</v>
      </c>
      <c r="K2465" s="41" t="n">
        <v>34</v>
      </c>
      <c r="L2465" s="42" t="n">
        <f aca="false">J2465*K2465</f>
        <v>134.64</v>
      </c>
      <c r="M2465" s="43" t="n">
        <f aca="false">H2465*16.71*(1+'Chart of Accounts'!$E$67)</f>
        <v>75.766482</v>
      </c>
    </row>
    <row r="2466" customFormat="false" ht="15" hidden="false" customHeight="false" outlineLevel="0" collapsed="false">
      <c r="B2466" s="7" t="s">
        <v>2963</v>
      </c>
      <c r="C2466" s="39" t="n">
        <v>45782</v>
      </c>
      <c r="D2466" s="7" t="s">
        <v>363</v>
      </c>
      <c r="E2466" s="7" t="s">
        <v>156</v>
      </c>
      <c r="F2466" s="7" t="s">
        <v>246</v>
      </c>
      <c r="G2466" s="7" t="s">
        <v>505</v>
      </c>
      <c r="H2466" s="6" t="n">
        <v>4.08</v>
      </c>
      <c r="I2466" s="6" t="n">
        <v>0</v>
      </c>
      <c r="J2466" s="40" t="n">
        <f aca="false">H2466-I2466</f>
        <v>4.08</v>
      </c>
      <c r="K2466" s="41" t="n">
        <v>34</v>
      </c>
      <c r="L2466" s="42" t="n">
        <f aca="false">J2466*K2466</f>
        <v>138.72</v>
      </c>
      <c r="M2466" s="43" t="n">
        <f aca="false">H2466*16.48*(1+'Chart of Accounts'!$E$67)</f>
        <v>76.987968</v>
      </c>
    </row>
    <row r="2467" customFormat="false" ht="15" hidden="false" customHeight="false" outlineLevel="0" collapsed="false">
      <c r="B2467" s="7" t="s">
        <v>2964</v>
      </c>
      <c r="C2467" s="39" t="n">
        <v>45782</v>
      </c>
      <c r="D2467" s="7" t="s">
        <v>365</v>
      </c>
      <c r="E2467" s="7" t="s">
        <v>154</v>
      </c>
      <c r="F2467" s="7" t="s">
        <v>194</v>
      </c>
      <c r="G2467" s="7" t="s">
        <v>505</v>
      </c>
      <c r="H2467" s="6" t="n">
        <v>3.61</v>
      </c>
      <c r="I2467" s="6" t="n">
        <v>0</v>
      </c>
      <c r="J2467" s="40" t="n">
        <f aca="false">H2467-I2467</f>
        <v>3.61</v>
      </c>
      <c r="K2467" s="41" t="n">
        <v>26.5</v>
      </c>
      <c r="L2467" s="42" t="n">
        <f aca="false">J2467*K2467</f>
        <v>95.665</v>
      </c>
      <c r="M2467" s="43" t="n">
        <f aca="false">H2467*16*(1+'Chart of Accounts'!$E$67)</f>
        <v>66.1352</v>
      </c>
    </row>
    <row r="2468" customFormat="false" ht="15" hidden="false" customHeight="false" outlineLevel="0" collapsed="false">
      <c r="B2468" s="7" t="s">
        <v>2965</v>
      </c>
      <c r="C2468" s="39" t="n">
        <v>45782</v>
      </c>
      <c r="D2468" s="7" t="s">
        <v>371</v>
      </c>
      <c r="E2468" s="7" t="s">
        <v>154</v>
      </c>
      <c r="F2468" s="7" t="s">
        <v>232</v>
      </c>
      <c r="G2468" s="7" t="s">
        <v>505</v>
      </c>
      <c r="H2468" s="6" t="n">
        <v>5.06</v>
      </c>
      <c r="I2468" s="6" t="n">
        <v>0</v>
      </c>
      <c r="J2468" s="40" t="n">
        <f aca="false">H2468-I2468</f>
        <v>5.06</v>
      </c>
      <c r="K2468" s="41" t="n">
        <v>26.5</v>
      </c>
      <c r="L2468" s="42" t="n">
        <f aca="false">J2468*K2468</f>
        <v>134.09</v>
      </c>
      <c r="M2468" s="43" t="n">
        <f aca="false">H2468*16.17*(1+'Chart of Accounts'!$E$67)</f>
        <v>93.684129</v>
      </c>
    </row>
    <row r="2469" customFormat="false" ht="15" hidden="false" customHeight="false" outlineLevel="0" collapsed="false">
      <c r="B2469" s="7" t="s">
        <v>2966</v>
      </c>
      <c r="C2469" s="39" t="n">
        <v>45782</v>
      </c>
      <c r="D2469" s="7" t="s">
        <v>375</v>
      </c>
      <c r="E2469" s="7" t="s">
        <v>156</v>
      </c>
      <c r="F2469" s="7" t="s">
        <v>196</v>
      </c>
      <c r="G2469" s="7" t="s">
        <v>505</v>
      </c>
      <c r="H2469" s="6" t="n">
        <v>3.24</v>
      </c>
      <c r="I2469" s="6" t="n">
        <v>0</v>
      </c>
      <c r="J2469" s="40" t="n">
        <f aca="false">H2469-I2469</f>
        <v>3.24</v>
      </c>
      <c r="K2469" s="41" t="n">
        <v>34</v>
      </c>
      <c r="L2469" s="42" t="n">
        <f aca="false">J2469*K2469</f>
        <v>110.16</v>
      </c>
      <c r="M2469" s="43" t="n">
        <f aca="false">H2469*15.05*(1+'Chart of Accounts'!$E$67)</f>
        <v>55.83249</v>
      </c>
    </row>
    <row r="2470" customFormat="false" ht="15" hidden="false" customHeight="false" outlineLevel="0" collapsed="false">
      <c r="B2470" s="7" t="s">
        <v>2967</v>
      </c>
      <c r="C2470" s="39" t="n">
        <v>45782</v>
      </c>
      <c r="D2470" s="7" t="s">
        <v>377</v>
      </c>
      <c r="E2470" s="7" t="s">
        <v>154</v>
      </c>
      <c r="F2470" s="7" t="s">
        <v>214</v>
      </c>
      <c r="G2470" s="7" t="s">
        <v>505</v>
      </c>
      <c r="H2470" s="6" t="n">
        <v>3.94</v>
      </c>
      <c r="I2470" s="6" t="n">
        <v>0</v>
      </c>
      <c r="J2470" s="40" t="n">
        <f aca="false">H2470-I2470</f>
        <v>3.94</v>
      </c>
      <c r="K2470" s="41" t="n">
        <v>26.5</v>
      </c>
      <c r="L2470" s="42" t="n">
        <f aca="false">J2470*K2470</f>
        <v>104.41</v>
      </c>
      <c r="M2470" s="43" t="n">
        <f aca="false">H2470*15.67*(1+'Chart of Accounts'!$E$67)</f>
        <v>70.692071</v>
      </c>
    </row>
    <row r="2471" customFormat="false" ht="15" hidden="false" customHeight="false" outlineLevel="0" collapsed="false">
      <c r="B2471" s="7" t="s">
        <v>2968</v>
      </c>
      <c r="C2471" s="39" t="n">
        <v>45782</v>
      </c>
      <c r="D2471" s="7" t="s">
        <v>379</v>
      </c>
      <c r="E2471" s="7" t="s">
        <v>156</v>
      </c>
      <c r="F2471" s="7" t="s">
        <v>224</v>
      </c>
      <c r="G2471" s="7" t="s">
        <v>505</v>
      </c>
      <c r="H2471" s="6" t="n">
        <v>4.48</v>
      </c>
      <c r="I2471" s="6" t="n">
        <v>0</v>
      </c>
      <c r="J2471" s="40" t="n">
        <f aca="false">H2471-I2471</f>
        <v>4.48</v>
      </c>
      <c r="K2471" s="41" t="n">
        <v>34</v>
      </c>
      <c r="L2471" s="42" t="n">
        <f aca="false">J2471*K2471</f>
        <v>152.32</v>
      </c>
      <c r="M2471" s="43" t="n">
        <f aca="false">H2471*14.93*(1+'Chart of Accounts'!$E$67)</f>
        <v>76.584928</v>
      </c>
    </row>
    <row r="2472" customFormat="false" ht="15" hidden="false" customHeight="false" outlineLevel="0" collapsed="false">
      <c r="B2472" s="7" t="s">
        <v>2969</v>
      </c>
      <c r="C2472" s="39" t="n">
        <v>45782</v>
      </c>
      <c r="D2472" s="7" t="s">
        <v>385</v>
      </c>
      <c r="E2472" s="7" t="s">
        <v>156</v>
      </c>
      <c r="F2472" s="7" t="s">
        <v>238</v>
      </c>
      <c r="G2472" s="7" t="s">
        <v>505</v>
      </c>
      <c r="H2472" s="6" t="n">
        <v>3.91</v>
      </c>
      <c r="I2472" s="6" t="n">
        <v>0</v>
      </c>
      <c r="J2472" s="40" t="n">
        <f aca="false">H2472-I2472</f>
        <v>3.91</v>
      </c>
      <c r="K2472" s="41" t="n">
        <v>34</v>
      </c>
      <c r="L2472" s="42" t="n">
        <f aca="false">J2472*K2472</f>
        <v>132.94</v>
      </c>
      <c r="M2472" s="43" t="n">
        <f aca="false">H2472*15.85*(1+'Chart of Accounts'!$E$67)</f>
        <v>70.9596575</v>
      </c>
    </row>
    <row r="2473" customFormat="false" ht="15" hidden="false" customHeight="false" outlineLevel="0" collapsed="false">
      <c r="B2473" s="7" t="s">
        <v>2970</v>
      </c>
      <c r="C2473" s="39" t="n">
        <v>45782</v>
      </c>
      <c r="D2473" s="7" t="s">
        <v>389</v>
      </c>
      <c r="E2473" s="7" t="s">
        <v>154</v>
      </c>
      <c r="F2473" s="7" t="s">
        <v>246</v>
      </c>
      <c r="G2473" s="7" t="s">
        <v>505</v>
      </c>
      <c r="H2473" s="6" t="n">
        <v>4.3</v>
      </c>
      <c r="I2473" s="6" t="n">
        <v>0.129</v>
      </c>
      <c r="J2473" s="40" t="n">
        <f aca="false">H2473-I2473</f>
        <v>4.171</v>
      </c>
      <c r="K2473" s="41" t="n">
        <v>26.5</v>
      </c>
      <c r="L2473" s="42" t="n">
        <f aca="false">J2473*K2473</f>
        <v>110.5315</v>
      </c>
      <c r="M2473" s="43" t="n">
        <f aca="false">H2473*16.48*(1+'Chart of Accounts'!$E$67)</f>
        <v>81.13928</v>
      </c>
    </row>
    <row r="2474" customFormat="false" ht="15" hidden="false" customHeight="false" outlineLevel="0" collapsed="false">
      <c r="B2474" s="7" t="s">
        <v>2971</v>
      </c>
      <c r="C2474" s="39" t="n">
        <v>45782</v>
      </c>
      <c r="D2474" s="7" t="s">
        <v>391</v>
      </c>
      <c r="E2474" s="7" t="s">
        <v>156</v>
      </c>
      <c r="F2474" s="7" t="s">
        <v>222</v>
      </c>
      <c r="G2474" s="7" t="s">
        <v>505</v>
      </c>
      <c r="H2474" s="6" t="n">
        <v>4.11</v>
      </c>
      <c r="I2474" s="6" t="n">
        <v>0</v>
      </c>
      <c r="J2474" s="40" t="n">
        <f aca="false">H2474-I2474</f>
        <v>4.11</v>
      </c>
      <c r="K2474" s="41" t="n">
        <v>34</v>
      </c>
      <c r="L2474" s="42" t="n">
        <f aca="false">J2474*K2474</f>
        <v>139.74</v>
      </c>
      <c r="M2474" s="43" t="n">
        <f aca="false">H2474*17.84*(1+'Chart of Accounts'!$E$67)</f>
        <v>83.954148</v>
      </c>
    </row>
    <row r="2475" customFormat="false" ht="15" hidden="false" customHeight="false" outlineLevel="0" collapsed="false">
      <c r="B2475" s="7" t="s">
        <v>2972</v>
      </c>
      <c r="C2475" s="39" t="n">
        <v>45782</v>
      </c>
      <c r="D2475" s="7" t="s">
        <v>395</v>
      </c>
      <c r="E2475" s="7" t="s">
        <v>156</v>
      </c>
      <c r="F2475" s="7" t="s">
        <v>242</v>
      </c>
      <c r="G2475" s="7" t="s">
        <v>505</v>
      </c>
      <c r="H2475" s="6" t="n">
        <v>3.71</v>
      </c>
      <c r="I2475" s="6" t="n">
        <v>0</v>
      </c>
      <c r="J2475" s="40" t="n">
        <f aca="false">H2475-I2475</f>
        <v>3.71</v>
      </c>
      <c r="K2475" s="41" t="n">
        <v>34</v>
      </c>
      <c r="L2475" s="42" t="n">
        <f aca="false">J2475*K2475</f>
        <v>126.14</v>
      </c>
      <c r="M2475" s="43" t="n">
        <f aca="false">H2475*17.99*(1+'Chart of Accounts'!$E$67)</f>
        <v>76.4206205</v>
      </c>
    </row>
    <row r="2476" customFormat="false" ht="15" hidden="false" customHeight="false" outlineLevel="0" collapsed="false">
      <c r="B2476" s="7" t="s">
        <v>2973</v>
      </c>
      <c r="C2476" s="39" t="n">
        <v>45782</v>
      </c>
      <c r="D2476" s="7" t="s">
        <v>399</v>
      </c>
      <c r="E2476" s="7" t="s">
        <v>154</v>
      </c>
      <c r="F2476" s="7" t="s">
        <v>262</v>
      </c>
      <c r="G2476" s="7" t="s">
        <v>505</v>
      </c>
      <c r="H2476" s="6" t="n">
        <v>3.27</v>
      </c>
      <c r="I2476" s="6" t="n">
        <v>0</v>
      </c>
      <c r="J2476" s="40" t="n">
        <f aca="false">H2476-I2476</f>
        <v>3.27</v>
      </c>
      <c r="K2476" s="41" t="n">
        <v>26.5</v>
      </c>
      <c r="L2476" s="42" t="n">
        <f aca="false">J2476*K2476</f>
        <v>86.655</v>
      </c>
      <c r="M2476" s="43" t="n">
        <f aca="false">H2476*16.02*(1+'Chart of Accounts'!$E$67)</f>
        <v>59.981283</v>
      </c>
    </row>
    <row r="2477" customFormat="false" ht="15" hidden="false" customHeight="false" outlineLevel="0" collapsed="false">
      <c r="B2477" s="7" t="s">
        <v>2974</v>
      </c>
      <c r="C2477" s="39" t="n">
        <v>45782</v>
      </c>
      <c r="D2477" s="7" t="s">
        <v>409</v>
      </c>
      <c r="E2477" s="7" t="s">
        <v>154</v>
      </c>
      <c r="F2477" s="7" t="s">
        <v>214</v>
      </c>
      <c r="G2477" s="7" t="s">
        <v>505</v>
      </c>
      <c r="H2477" s="6" t="n">
        <v>3.52</v>
      </c>
      <c r="I2477" s="6" t="n">
        <v>0</v>
      </c>
      <c r="J2477" s="40" t="n">
        <f aca="false">H2477-I2477</f>
        <v>3.52</v>
      </c>
      <c r="K2477" s="41" t="n">
        <v>26.5</v>
      </c>
      <c r="L2477" s="42" t="n">
        <f aca="false">J2477*K2477</f>
        <v>93.28</v>
      </c>
      <c r="M2477" s="43" t="n">
        <f aca="false">H2477*15.67*(1+'Chart of Accounts'!$E$67)</f>
        <v>63.156368</v>
      </c>
    </row>
    <row r="2478" customFormat="false" ht="15" hidden="false" customHeight="false" outlineLevel="0" collapsed="false">
      <c r="B2478" s="7" t="s">
        <v>2975</v>
      </c>
      <c r="C2478" s="39" t="n">
        <v>45782</v>
      </c>
      <c r="D2478" s="7" t="s">
        <v>411</v>
      </c>
      <c r="E2478" s="7" t="s">
        <v>154</v>
      </c>
      <c r="F2478" s="7" t="s">
        <v>177</v>
      </c>
      <c r="G2478" s="7" t="s">
        <v>505</v>
      </c>
      <c r="H2478" s="6" t="n">
        <v>4.47</v>
      </c>
      <c r="I2478" s="6" t="n">
        <v>0</v>
      </c>
      <c r="J2478" s="40" t="n">
        <f aca="false">H2478-I2478</f>
        <v>4.47</v>
      </c>
      <c r="K2478" s="41" t="n">
        <v>26.5</v>
      </c>
      <c r="L2478" s="42" t="n">
        <f aca="false">J2478*K2478</f>
        <v>118.455</v>
      </c>
      <c r="M2478" s="43" t="n">
        <f aca="false">H2478*14.56*(1+'Chart of Accounts'!$E$67)</f>
        <v>74.520264</v>
      </c>
    </row>
    <row r="2479" customFormat="false" ht="15" hidden="false" customHeight="false" outlineLevel="0" collapsed="false">
      <c r="B2479" s="7" t="s">
        <v>2976</v>
      </c>
      <c r="C2479" s="39" t="n">
        <v>45783</v>
      </c>
      <c r="D2479" s="7" t="s">
        <v>288</v>
      </c>
      <c r="E2479" s="7" t="s">
        <v>156</v>
      </c>
      <c r="F2479" s="7" t="s">
        <v>191</v>
      </c>
      <c r="G2479" s="7" t="s">
        <v>505</v>
      </c>
      <c r="H2479" s="6" t="n">
        <v>3.75</v>
      </c>
      <c r="I2479" s="6" t="n">
        <v>0</v>
      </c>
      <c r="J2479" s="40" t="n">
        <f aca="false">H2479-I2479</f>
        <v>3.75</v>
      </c>
      <c r="K2479" s="41" t="n">
        <v>34</v>
      </c>
      <c r="L2479" s="42" t="n">
        <f aca="false">J2479*K2479</f>
        <v>127.5</v>
      </c>
      <c r="M2479" s="43" t="n">
        <f aca="false">H2479*16.05*(1+'Chart of Accounts'!$E$67)</f>
        <v>68.9146875</v>
      </c>
    </row>
    <row r="2480" customFormat="false" ht="15" hidden="false" customHeight="false" outlineLevel="0" collapsed="false">
      <c r="B2480" s="7" t="s">
        <v>2977</v>
      </c>
      <c r="C2480" s="39" t="n">
        <v>45783</v>
      </c>
      <c r="D2480" s="7" t="s">
        <v>301</v>
      </c>
      <c r="E2480" s="7" t="s">
        <v>157</v>
      </c>
      <c r="F2480" s="7" t="s">
        <v>209</v>
      </c>
      <c r="G2480" s="7" t="s">
        <v>502</v>
      </c>
      <c r="H2480" s="6" t="n">
        <v>1</v>
      </c>
      <c r="I2480" s="6" t="n">
        <v>0</v>
      </c>
      <c r="J2480" s="40" t="n">
        <f aca="false">H2480-I2480</f>
        <v>1</v>
      </c>
      <c r="K2480" s="41" t="n">
        <v>165</v>
      </c>
      <c r="L2480" s="42" t="n">
        <f aca="false">J2480*K2480</f>
        <v>165</v>
      </c>
      <c r="M2480" s="43" t="n">
        <f aca="false">H2480*73.58*(1+'Chart of Accounts'!$E$67)</f>
        <v>84.2491</v>
      </c>
    </row>
    <row r="2481" customFormat="false" ht="15" hidden="false" customHeight="false" outlineLevel="0" collapsed="false">
      <c r="B2481" s="7" t="s">
        <v>2978</v>
      </c>
      <c r="C2481" s="39" t="n">
        <v>45783</v>
      </c>
      <c r="D2481" s="7" t="s">
        <v>313</v>
      </c>
      <c r="E2481" s="7" t="s">
        <v>156</v>
      </c>
      <c r="F2481" s="7" t="s">
        <v>184</v>
      </c>
      <c r="G2481" s="7" t="s">
        <v>505</v>
      </c>
      <c r="H2481" s="6" t="n">
        <v>3.77</v>
      </c>
      <c r="I2481" s="6" t="n">
        <v>0</v>
      </c>
      <c r="J2481" s="40" t="n">
        <f aca="false">H2481-I2481</f>
        <v>3.77</v>
      </c>
      <c r="K2481" s="41" t="n">
        <v>34</v>
      </c>
      <c r="L2481" s="42" t="n">
        <f aca="false">J2481*K2481</f>
        <v>128.18</v>
      </c>
      <c r="M2481" s="43" t="n">
        <f aca="false">H2481*17.34*(1+'Chart of Accounts'!$E$67)</f>
        <v>74.850711</v>
      </c>
    </row>
    <row r="2482" customFormat="false" ht="15" hidden="false" customHeight="false" outlineLevel="0" collapsed="false">
      <c r="B2482" s="7" t="s">
        <v>2979</v>
      </c>
      <c r="C2482" s="39" t="n">
        <v>45783</v>
      </c>
      <c r="D2482" s="7" t="s">
        <v>319</v>
      </c>
      <c r="E2482" s="7" t="s">
        <v>157</v>
      </c>
      <c r="F2482" s="7" t="s">
        <v>234</v>
      </c>
      <c r="G2482" s="7" t="s">
        <v>502</v>
      </c>
      <c r="H2482" s="6" t="n">
        <v>1.06</v>
      </c>
      <c r="I2482" s="6" t="n">
        <v>0</v>
      </c>
      <c r="J2482" s="40" t="n">
        <f aca="false">H2482-I2482</f>
        <v>1.06</v>
      </c>
      <c r="K2482" s="41" t="n">
        <v>165</v>
      </c>
      <c r="L2482" s="42" t="n">
        <f aca="false">J2482*K2482</f>
        <v>174.9</v>
      </c>
      <c r="M2482" s="43" t="n">
        <f aca="false">H2482*89.53*(1+'Chart of Accounts'!$E$67)</f>
        <v>108.662561</v>
      </c>
    </row>
    <row r="2483" customFormat="false" ht="15" hidden="false" customHeight="false" outlineLevel="0" collapsed="false">
      <c r="B2483" s="7" t="s">
        <v>2980</v>
      </c>
      <c r="C2483" s="39" t="n">
        <v>45783</v>
      </c>
      <c r="D2483" s="7" t="s">
        <v>321</v>
      </c>
      <c r="E2483" s="7" t="s">
        <v>154</v>
      </c>
      <c r="F2483" s="7" t="s">
        <v>218</v>
      </c>
      <c r="G2483" s="7" t="s">
        <v>505</v>
      </c>
      <c r="H2483" s="6" t="n">
        <v>4.3</v>
      </c>
      <c r="I2483" s="6" t="n">
        <v>0</v>
      </c>
      <c r="J2483" s="40" t="n">
        <f aca="false">H2483-I2483</f>
        <v>4.3</v>
      </c>
      <c r="K2483" s="41" t="n">
        <v>26.5</v>
      </c>
      <c r="L2483" s="42" t="n">
        <f aca="false">J2483*K2483</f>
        <v>113.95</v>
      </c>
      <c r="M2483" s="43" t="n">
        <f aca="false">H2483*16.19*(1+'Chart of Accounts'!$E$67)</f>
        <v>79.711465</v>
      </c>
    </row>
    <row r="2484" customFormat="false" ht="15" hidden="false" customHeight="false" outlineLevel="0" collapsed="false">
      <c r="B2484" s="7" t="s">
        <v>2981</v>
      </c>
      <c r="C2484" s="39" t="n">
        <v>45783</v>
      </c>
      <c r="D2484" s="7" t="s">
        <v>323</v>
      </c>
      <c r="E2484" s="7" t="s">
        <v>159</v>
      </c>
      <c r="F2484" s="7" t="s">
        <v>266</v>
      </c>
      <c r="G2484" s="7" t="s">
        <v>502</v>
      </c>
      <c r="H2484" s="6" t="n">
        <v>0.92</v>
      </c>
      <c r="I2484" s="6" t="n">
        <v>0.064</v>
      </c>
      <c r="J2484" s="40" t="n">
        <f aca="false">H2484-I2484</f>
        <v>0.856</v>
      </c>
      <c r="K2484" s="41" t="n">
        <v>135</v>
      </c>
      <c r="L2484" s="42" t="n">
        <f aca="false">J2484*K2484</f>
        <v>115.56</v>
      </c>
      <c r="M2484" s="43" t="n">
        <f aca="false">H2484*75.18*(1+'Chart of Accounts'!$E$67)</f>
        <v>79.194612</v>
      </c>
    </row>
    <row r="2485" customFormat="false" ht="15" hidden="false" customHeight="false" outlineLevel="0" collapsed="false">
      <c r="B2485" s="7" t="s">
        <v>2982</v>
      </c>
      <c r="C2485" s="39" t="n">
        <v>45783</v>
      </c>
      <c r="D2485" s="7" t="s">
        <v>327</v>
      </c>
      <c r="E2485" s="7" t="s">
        <v>157</v>
      </c>
      <c r="F2485" s="7" t="s">
        <v>228</v>
      </c>
      <c r="G2485" s="7" t="s">
        <v>502</v>
      </c>
      <c r="H2485" s="6" t="n">
        <v>0.92</v>
      </c>
      <c r="I2485" s="6" t="n">
        <v>0.046</v>
      </c>
      <c r="J2485" s="40" t="n">
        <f aca="false">H2485-I2485</f>
        <v>0.874</v>
      </c>
      <c r="K2485" s="41" t="n">
        <v>165</v>
      </c>
      <c r="L2485" s="42" t="n">
        <f aca="false">J2485*K2485</f>
        <v>144.21</v>
      </c>
      <c r="M2485" s="43" t="n">
        <f aca="false">H2485*51.07*(1+'Chart of Accounts'!$E$67)</f>
        <v>53.797138</v>
      </c>
    </row>
    <row r="2486" customFormat="false" ht="15" hidden="false" customHeight="false" outlineLevel="0" collapsed="false">
      <c r="B2486" s="7" t="s">
        <v>2983</v>
      </c>
      <c r="C2486" s="39" t="n">
        <v>45783</v>
      </c>
      <c r="D2486" s="7" t="s">
        <v>329</v>
      </c>
      <c r="E2486" s="7" t="s">
        <v>156</v>
      </c>
      <c r="F2486" s="7" t="s">
        <v>220</v>
      </c>
      <c r="G2486" s="7" t="s">
        <v>505</v>
      </c>
      <c r="H2486" s="6" t="n">
        <v>3.62</v>
      </c>
      <c r="I2486" s="6" t="n">
        <v>0</v>
      </c>
      <c r="J2486" s="40" t="n">
        <f aca="false">H2486-I2486</f>
        <v>3.62</v>
      </c>
      <c r="K2486" s="41" t="n">
        <v>34</v>
      </c>
      <c r="L2486" s="42" t="n">
        <f aca="false">J2486*K2486</f>
        <v>123.08</v>
      </c>
      <c r="M2486" s="43" t="n">
        <f aca="false">H2486*16.43*(1+'Chart of Accounts'!$E$67)</f>
        <v>68.100707</v>
      </c>
    </row>
    <row r="2487" customFormat="false" ht="15" hidden="false" customHeight="false" outlineLevel="0" collapsed="false">
      <c r="B2487" s="7" t="s">
        <v>2984</v>
      </c>
      <c r="C2487" s="39" t="n">
        <v>45783</v>
      </c>
      <c r="D2487" s="7" t="s">
        <v>365</v>
      </c>
      <c r="E2487" s="7" t="s">
        <v>154</v>
      </c>
      <c r="F2487" s="7" t="s">
        <v>194</v>
      </c>
      <c r="G2487" s="7" t="s">
        <v>505</v>
      </c>
      <c r="H2487" s="6" t="n">
        <v>4.23</v>
      </c>
      <c r="I2487" s="6" t="n">
        <v>0</v>
      </c>
      <c r="J2487" s="40" t="n">
        <f aca="false">H2487-I2487</f>
        <v>4.23</v>
      </c>
      <c r="K2487" s="41" t="n">
        <v>26.5</v>
      </c>
      <c r="L2487" s="42" t="n">
        <f aca="false">J2487*K2487</f>
        <v>112.095</v>
      </c>
      <c r="M2487" s="43" t="n">
        <f aca="false">H2487*16*(1+'Chart of Accounts'!$E$67)</f>
        <v>77.4936</v>
      </c>
    </row>
    <row r="2488" customFormat="false" ht="15" hidden="false" customHeight="false" outlineLevel="0" collapsed="false">
      <c r="B2488" s="7" t="s">
        <v>2985</v>
      </c>
      <c r="C2488" s="39" t="n">
        <v>45783</v>
      </c>
      <c r="D2488" s="7" t="s">
        <v>381</v>
      </c>
      <c r="E2488" s="7" t="s">
        <v>157</v>
      </c>
      <c r="F2488" s="7" t="s">
        <v>234</v>
      </c>
      <c r="G2488" s="7" t="s">
        <v>502</v>
      </c>
      <c r="H2488" s="6" t="n">
        <v>1.06</v>
      </c>
      <c r="I2488" s="6" t="n">
        <v>0</v>
      </c>
      <c r="J2488" s="40" t="n">
        <f aca="false">H2488-I2488</f>
        <v>1.06</v>
      </c>
      <c r="K2488" s="41" t="n">
        <v>165</v>
      </c>
      <c r="L2488" s="42" t="n">
        <f aca="false">J2488*K2488</f>
        <v>174.9</v>
      </c>
      <c r="M2488" s="43" t="n">
        <f aca="false">H2488*89.53*(1+'Chart of Accounts'!$E$67)</f>
        <v>108.662561</v>
      </c>
    </row>
    <row r="2489" customFormat="false" ht="15" hidden="false" customHeight="false" outlineLevel="0" collapsed="false">
      <c r="B2489" s="7" t="s">
        <v>2986</v>
      </c>
      <c r="C2489" s="39" t="n">
        <v>45783</v>
      </c>
      <c r="D2489" s="7" t="s">
        <v>389</v>
      </c>
      <c r="E2489" s="7" t="s">
        <v>154</v>
      </c>
      <c r="F2489" s="7" t="s">
        <v>246</v>
      </c>
      <c r="G2489" s="7" t="s">
        <v>505</v>
      </c>
      <c r="H2489" s="6" t="n">
        <v>4.37</v>
      </c>
      <c r="I2489" s="6" t="n">
        <v>0</v>
      </c>
      <c r="J2489" s="40" t="n">
        <f aca="false">H2489-I2489</f>
        <v>4.37</v>
      </c>
      <c r="K2489" s="41" t="n">
        <v>26.5</v>
      </c>
      <c r="L2489" s="42" t="n">
        <f aca="false">J2489*K2489</f>
        <v>115.805</v>
      </c>
      <c r="M2489" s="43" t="n">
        <f aca="false">H2489*16.48*(1+'Chart of Accounts'!$E$67)</f>
        <v>82.460152</v>
      </c>
    </row>
    <row r="2490" customFormat="false" ht="15" hidden="false" customHeight="false" outlineLevel="0" collapsed="false">
      <c r="B2490" s="7" t="s">
        <v>2987</v>
      </c>
      <c r="C2490" s="39" t="n">
        <v>45783</v>
      </c>
      <c r="D2490" s="7" t="s">
        <v>391</v>
      </c>
      <c r="E2490" s="7" t="s">
        <v>156</v>
      </c>
      <c r="F2490" s="7" t="s">
        <v>222</v>
      </c>
      <c r="G2490" s="7" t="s">
        <v>505</v>
      </c>
      <c r="H2490" s="6" t="n">
        <v>4.21</v>
      </c>
      <c r="I2490" s="6" t="n">
        <v>0</v>
      </c>
      <c r="J2490" s="40" t="n">
        <f aca="false">H2490-I2490</f>
        <v>4.21</v>
      </c>
      <c r="K2490" s="41" t="n">
        <v>34</v>
      </c>
      <c r="L2490" s="42" t="n">
        <f aca="false">J2490*K2490</f>
        <v>143.14</v>
      </c>
      <c r="M2490" s="43" t="n">
        <f aca="false">H2490*17.84*(1+'Chart of Accounts'!$E$67)</f>
        <v>85.996828</v>
      </c>
    </row>
    <row r="2491" customFormat="false" ht="15" hidden="false" customHeight="false" outlineLevel="0" collapsed="false">
      <c r="B2491" s="7" t="s">
        <v>2988</v>
      </c>
      <c r="C2491" s="39" t="n">
        <v>45783</v>
      </c>
      <c r="D2491" s="7" t="s">
        <v>395</v>
      </c>
      <c r="E2491" s="7" t="s">
        <v>156</v>
      </c>
      <c r="F2491" s="7" t="s">
        <v>242</v>
      </c>
      <c r="G2491" s="7" t="s">
        <v>505</v>
      </c>
      <c r="H2491" s="6" t="n">
        <v>4.15</v>
      </c>
      <c r="I2491" s="6" t="n">
        <v>0</v>
      </c>
      <c r="J2491" s="40" t="n">
        <f aca="false">H2491-I2491</f>
        <v>4.15</v>
      </c>
      <c r="K2491" s="41" t="n">
        <v>34</v>
      </c>
      <c r="L2491" s="42" t="n">
        <f aca="false">J2491*K2491</f>
        <v>141.1</v>
      </c>
      <c r="M2491" s="43" t="n">
        <f aca="false">H2491*17.99*(1+'Chart of Accounts'!$E$67)</f>
        <v>85.4839825</v>
      </c>
    </row>
    <row r="2492" customFormat="false" ht="15" hidden="false" customHeight="false" outlineLevel="0" collapsed="false">
      <c r="B2492" s="7" t="s">
        <v>2989</v>
      </c>
      <c r="C2492" s="39" t="n">
        <v>45783</v>
      </c>
      <c r="D2492" s="7" t="s">
        <v>397</v>
      </c>
      <c r="E2492" s="7" t="s">
        <v>159</v>
      </c>
      <c r="F2492" s="7" t="s">
        <v>203</v>
      </c>
      <c r="G2492" s="7" t="s">
        <v>502</v>
      </c>
      <c r="H2492" s="6" t="n">
        <v>0.95</v>
      </c>
      <c r="I2492" s="6" t="n">
        <v>0</v>
      </c>
      <c r="J2492" s="40" t="n">
        <f aca="false">H2492-I2492</f>
        <v>0.95</v>
      </c>
      <c r="K2492" s="41" t="n">
        <v>135</v>
      </c>
      <c r="L2492" s="42" t="n">
        <f aca="false">J2492*K2492</f>
        <v>128.25</v>
      </c>
      <c r="M2492" s="43" t="n">
        <f aca="false">H2492*49.43*(1+'Chart of Accounts'!$E$67)</f>
        <v>53.7674825</v>
      </c>
    </row>
    <row r="2493" customFormat="false" ht="15" hidden="false" customHeight="false" outlineLevel="0" collapsed="false">
      <c r="B2493" s="7" t="s">
        <v>2990</v>
      </c>
      <c r="C2493" s="39" t="n">
        <v>45783</v>
      </c>
      <c r="D2493" s="7" t="s">
        <v>401</v>
      </c>
      <c r="E2493" s="7" t="s">
        <v>156</v>
      </c>
      <c r="F2493" s="7" t="s">
        <v>254</v>
      </c>
      <c r="G2493" s="7" t="s">
        <v>505</v>
      </c>
      <c r="H2493" s="6" t="n">
        <v>4.09</v>
      </c>
      <c r="I2493" s="6" t="n">
        <v>0</v>
      </c>
      <c r="J2493" s="40" t="n">
        <f aca="false">H2493-I2493</f>
        <v>4.09</v>
      </c>
      <c r="K2493" s="41" t="n">
        <v>34</v>
      </c>
      <c r="L2493" s="42" t="n">
        <f aca="false">J2493*K2493</f>
        <v>139.06</v>
      </c>
      <c r="M2493" s="43" t="n">
        <f aca="false">H2493*17.1*(1+'Chart of Accounts'!$E$67)</f>
        <v>80.080155</v>
      </c>
    </row>
    <row r="2494" customFormat="false" ht="15" hidden="false" customHeight="false" outlineLevel="0" collapsed="false">
      <c r="B2494" s="7" t="s">
        <v>2991</v>
      </c>
      <c r="C2494" s="39" t="n">
        <v>45784</v>
      </c>
      <c r="D2494" s="7" t="s">
        <v>280</v>
      </c>
      <c r="E2494" s="7" t="s">
        <v>157</v>
      </c>
      <c r="F2494" s="7" t="s">
        <v>187</v>
      </c>
      <c r="G2494" s="7" t="s">
        <v>502</v>
      </c>
      <c r="H2494" s="6" t="n">
        <v>0.98</v>
      </c>
      <c r="I2494" s="6" t="n">
        <v>0</v>
      </c>
      <c r="J2494" s="40" t="n">
        <f aca="false">H2494-I2494</f>
        <v>0.98</v>
      </c>
      <c r="K2494" s="41" t="n">
        <v>165</v>
      </c>
      <c r="L2494" s="42" t="n">
        <f aca="false">J2494*K2494</f>
        <v>161.7</v>
      </c>
      <c r="M2494" s="43" t="n">
        <f aca="false">H2494*66.48*(1+'Chart of Accounts'!$E$67)</f>
        <v>74.597208</v>
      </c>
    </row>
    <row r="2495" customFormat="false" ht="15" hidden="false" customHeight="false" outlineLevel="0" collapsed="false">
      <c r="B2495" s="7" t="s">
        <v>2992</v>
      </c>
      <c r="C2495" s="39" t="n">
        <v>45784</v>
      </c>
      <c r="D2495" s="7" t="s">
        <v>286</v>
      </c>
      <c r="E2495" s="7" t="s">
        <v>157</v>
      </c>
      <c r="F2495" s="7" t="s">
        <v>228</v>
      </c>
      <c r="G2495" s="7" t="s">
        <v>502</v>
      </c>
      <c r="H2495" s="6" t="n">
        <v>0.91</v>
      </c>
      <c r="I2495" s="6" t="n">
        <v>0</v>
      </c>
      <c r="J2495" s="40" t="n">
        <f aca="false">H2495-I2495</f>
        <v>0.91</v>
      </c>
      <c r="K2495" s="41" t="n">
        <v>165</v>
      </c>
      <c r="L2495" s="42" t="n">
        <f aca="false">J2495*K2495</f>
        <v>150.15</v>
      </c>
      <c r="M2495" s="43" t="n">
        <f aca="false">H2495*51.07*(1+'Chart of Accounts'!$E$67)</f>
        <v>53.2123865</v>
      </c>
    </row>
    <row r="2496" customFormat="false" ht="15" hidden="false" customHeight="false" outlineLevel="0" collapsed="false">
      <c r="B2496" s="7" t="s">
        <v>2993</v>
      </c>
      <c r="C2496" s="39" t="n">
        <v>45784</v>
      </c>
      <c r="D2496" s="7" t="s">
        <v>288</v>
      </c>
      <c r="E2496" s="7" t="s">
        <v>156</v>
      </c>
      <c r="F2496" s="7" t="s">
        <v>191</v>
      </c>
      <c r="G2496" s="7" t="s">
        <v>505</v>
      </c>
      <c r="H2496" s="6" t="n">
        <v>4.36</v>
      </c>
      <c r="I2496" s="6" t="n">
        <v>0</v>
      </c>
      <c r="J2496" s="40" t="n">
        <f aca="false">H2496-I2496</f>
        <v>4.36</v>
      </c>
      <c r="K2496" s="41" t="n">
        <v>34</v>
      </c>
      <c r="L2496" s="42" t="n">
        <f aca="false">J2496*K2496</f>
        <v>148.24</v>
      </c>
      <c r="M2496" s="43" t="n">
        <f aca="false">H2496*16.05*(1+'Chart of Accounts'!$E$67)</f>
        <v>80.12481</v>
      </c>
    </row>
    <row r="2497" customFormat="false" ht="15" hidden="false" customHeight="false" outlineLevel="0" collapsed="false">
      <c r="B2497" s="7" t="s">
        <v>2994</v>
      </c>
      <c r="C2497" s="39" t="n">
        <v>45784</v>
      </c>
      <c r="D2497" s="7" t="s">
        <v>291</v>
      </c>
      <c r="E2497" s="7" t="s">
        <v>154</v>
      </c>
      <c r="F2497" s="7" t="s">
        <v>194</v>
      </c>
      <c r="G2497" s="7" t="s">
        <v>505</v>
      </c>
      <c r="H2497" s="6" t="n">
        <v>4.62</v>
      </c>
      <c r="I2497" s="6" t="n">
        <v>0</v>
      </c>
      <c r="J2497" s="40" t="n">
        <f aca="false">H2497-I2497</f>
        <v>4.62</v>
      </c>
      <c r="K2497" s="41" t="n">
        <v>26.5</v>
      </c>
      <c r="L2497" s="42" t="n">
        <f aca="false">J2497*K2497</f>
        <v>122.43</v>
      </c>
      <c r="M2497" s="43" t="n">
        <f aca="false">H2497*16*(1+'Chart of Accounts'!$E$67)</f>
        <v>84.6384</v>
      </c>
    </row>
    <row r="2498" customFormat="false" ht="15" hidden="false" customHeight="false" outlineLevel="0" collapsed="false">
      <c r="B2498" s="7" t="s">
        <v>2995</v>
      </c>
      <c r="C2498" s="39" t="n">
        <v>45784</v>
      </c>
      <c r="D2498" s="7" t="s">
        <v>305</v>
      </c>
      <c r="E2498" s="7" t="s">
        <v>154</v>
      </c>
      <c r="F2498" s="7" t="s">
        <v>205</v>
      </c>
      <c r="G2498" s="7" t="s">
        <v>505</v>
      </c>
      <c r="H2498" s="6" t="n">
        <v>4.01</v>
      </c>
      <c r="I2498" s="6" t="n">
        <v>0.12</v>
      </c>
      <c r="J2498" s="40" t="n">
        <f aca="false">H2498-I2498</f>
        <v>3.89</v>
      </c>
      <c r="K2498" s="41" t="n">
        <v>26.5</v>
      </c>
      <c r="L2498" s="42" t="n">
        <f aca="false">J2498*K2498</f>
        <v>103.085</v>
      </c>
      <c r="M2498" s="43" t="n">
        <f aca="false">H2498*16.36*(1+'Chart of Accounts'!$E$67)</f>
        <v>75.116122</v>
      </c>
    </row>
    <row r="2499" customFormat="false" ht="15" hidden="false" customHeight="false" outlineLevel="0" collapsed="false">
      <c r="B2499" s="7" t="s">
        <v>2996</v>
      </c>
      <c r="C2499" s="39" t="n">
        <v>45784</v>
      </c>
      <c r="D2499" s="7" t="s">
        <v>307</v>
      </c>
      <c r="E2499" s="7" t="s">
        <v>157</v>
      </c>
      <c r="F2499" s="7" t="s">
        <v>264</v>
      </c>
      <c r="G2499" s="7" t="s">
        <v>502</v>
      </c>
      <c r="H2499" s="6" t="n">
        <v>1.03</v>
      </c>
      <c r="I2499" s="6" t="n">
        <v>0</v>
      </c>
      <c r="J2499" s="40" t="n">
        <f aca="false">H2499-I2499</f>
        <v>1.03</v>
      </c>
      <c r="K2499" s="41" t="n">
        <v>165</v>
      </c>
      <c r="L2499" s="42" t="n">
        <f aca="false">J2499*K2499</f>
        <v>169.95</v>
      </c>
      <c r="M2499" s="43" t="n">
        <f aca="false">H2499*55.55*(1+'Chart of Accounts'!$E$67)</f>
        <v>65.5128925</v>
      </c>
    </row>
    <row r="2500" customFormat="false" ht="15" hidden="false" customHeight="false" outlineLevel="0" collapsed="false">
      <c r="B2500" s="7" t="s">
        <v>2997</v>
      </c>
      <c r="C2500" s="39" t="n">
        <v>45784</v>
      </c>
      <c r="D2500" s="7" t="s">
        <v>309</v>
      </c>
      <c r="E2500" s="7" t="s">
        <v>159</v>
      </c>
      <c r="F2500" s="7" t="s">
        <v>252</v>
      </c>
      <c r="G2500" s="7" t="s">
        <v>502</v>
      </c>
      <c r="H2500" s="6" t="n">
        <v>1.03</v>
      </c>
      <c r="I2500" s="6" t="n">
        <v>0</v>
      </c>
      <c r="J2500" s="40" t="n">
        <f aca="false">H2500-I2500</f>
        <v>1.03</v>
      </c>
      <c r="K2500" s="41" t="n">
        <v>135</v>
      </c>
      <c r="L2500" s="42" t="n">
        <f aca="false">J2500*K2500</f>
        <v>139.05</v>
      </c>
      <c r="M2500" s="43" t="n">
        <f aca="false">H2500*57.54*(1+'Chart of Accounts'!$E$67)</f>
        <v>67.859799</v>
      </c>
    </row>
    <row r="2501" customFormat="false" ht="15" hidden="false" customHeight="false" outlineLevel="0" collapsed="false">
      <c r="B2501" s="7" t="s">
        <v>2998</v>
      </c>
      <c r="C2501" s="39" t="n">
        <v>45784</v>
      </c>
      <c r="D2501" s="7" t="s">
        <v>313</v>
      </c>
      <c r="E2501" s="7" t="s">
        <v>156</v>
      </c>
      <c r="F2501" s="7" t="s">
        <v>184</v>
      </c>
      <c r="G2501" s="7" t="s">
        <v>505</v>
      </c>
      <c r="H2501" s="6" t="n">
        <v>4.19</v>
      </c>
      <c r="I2501" s="6" t="n">
        <v>0</v>
      </c>
      <c r="J2501" s="40" t="n">
        <f aca="false">H2501-I2501</f>
        <v>4.19</v>
      </c>
      <c r="K2501" s="41" t="n">
        <v>34</v>
      </c>
      <c r="L2501" s="42" t="n">
        <f aca="false">J2501*K2501</f>
        <v>142.46</v>
      </c>
      <c r="M2501" s="43" t="n">
        <f aca="false">H2501*17.34*(1+'Chart of Accounts'!$E$67)</f>
        <v>83.189517</v>
      </c>
    </row>
    <row r="2502" customFormat="false" ht="15" hidden="false" customHeight="false" outlineLevel="0" collapsed="false">
      <c r="B2502" s="7" t="s">
        <v>2999</v>
      </c>
      <c r="C2502" s="39" t="n">
        <v>45784</v>
      </c>
      <c r="D2502" s="7" t="s">
        <v>321</v>
      </c>
      <c r="E2502" s="7" t="s">
        <v>154</v>
      </c>
      <c r="F2502" s="7" t="s">
        <v>218</v>
      </c>
      <c r="G2502" s="7" t="s">
        <v>505</v>
      </c>
      <c r="H2502" s="6" t="n">
        <v>3.99</v>
      </c>
      <c r="I2502" s="6" t="n">
        <v>0</v>
      </c>
      <c r="J2502" s="40" t="n">
        <f aca="false">H2502-I2502</f>
        <v>3.99</v>
      </c>
      <c r="K2502" s="41" t="n">
        <v>26.5</v>
      </c>
      <c r="L2502" s="42" t="n">
        <f aca="false">J2502*K2502</f>
        <v>105.735</v>
      </c>
      <c r="M2502" s="43" t="n">
        <f aca="false">H2502*16.19*(1+'Chart of Accounts'!$E$67)</f>
        <v>73.9648245</v>
      </c>
    </row>
    <row r="2503" customFormat="false" ht="15" hidden="false" customHeight="false" outlineLevel="0" collapsed="false">
      <c r="B2503" s="7" t="s">
        <v>3000</v>
      </c>
      <c r="C2503" s="39" t="n">
        <v>45784</v>
      </c>
      <c r="D2503" s="7" t="s">
        <v>329</v>
      </c>
      <c r="E2503" s="7" t="s">
        <v>156</v>
      </c>
      <c r="F2503" s="7" t="s">
        <v>220</v>
      </c>
      <c r="G2503" s="7" t="s">
        <v>505</v>
      </c>
      <c r="H2503" s="6" t="n">
        <v>3.88</v>
      </c>
      <c r="I2503" s="6" t="n">
        <v>0</v>
      </c>
      <c r="J2503" s="40" t="n">
        <f aca="false">H2503-I2503</f>
        <v>3.88</v>
      </c>
      <c r="K2503" s="41" t="n">
        <v>34</v>
      </c>
      <c r="L2503" s="42" t="n">
        <f aca="false">J2503*K2503</f>
        <v>131.92</v>
      </c>
      <c r="M2503" s="43" t="n">
        <f aca="false">H2503*16.43*(1+'Chart of Accounts'!$E$67)</f>
        <v>72.991918</v>
      </c>
    </row>
    <row r="2504" customFormat="false" ht="15" hidden="false" customHeight="false" outlineLevel="0" collapsed="false">
      <c r="B2504" s="7" t="s">
        <v>3001</v>
      </c>
      <c r="C2504" s="39" t="n">
        <v>45784</v>
      </c>
      <c r="D2504" s="7" t="s">
        <v>335</v>
      </c>
      <c r="E2504" s="7" t="s">
        <v>154</v>
      </c>
      <c r="F2504" s="7" t="s">
        <v>177</v>
      </c>
      <c r="G2504" s="7" t="s">
        <v>505</v>
      </c>
      <c r="H2504" s="6" t="n">
        <v>3.98</v>
      </c>
      <c r="I2504" s="6" t="n">
        <v>0</v>
      </c>
      <c r="J2504" s="40" t="n">
        <f aca="false">H2504-I2504</f>
        <v>3.98</v>
      </c>
      <c r="K2504" s="41" t="n">
        <v>26.5</v>
      </c>
      <c r="L2504" s="42" t="n">
        <f aca="false">J2504*K2504</f>
        <v>105.47</v>
      </c>
      <c r="M2504" s="43" t="n">
        <f aca="false">H2504*14.56*(1+'Chart of Accounts'!$E$67)</f>
        <v>66.351376</v>
      </c>
    </row>
    <row r="2505" customFormat="false" ht="15" hidden="false" customHeight="false" outlineLevel="0" collapsed="false">
      <c r="B2505" s="7" t="s">
        <v>3002</v>
      </c>
      <c r="C2505" s="39" t="n">
        <v>45784</v>
      </c>
      <c r="D2505" s="7" t="s">
        <v>339</v>
      </c>
      <c r="E2505" s="7" t="s">
        <v>154</v>
      </c>
      <c r="F2505" s="7" t="s">
        <v>242</v>
      </c>
      <c r="G2505" s="7" t="s">
        <v>505</v>
      </c>
      <c r="H2505" s="6" t="n">
        <v>3.07</v>
      </c>
      <c r="I2505" s="6" t="n">
        <v>0</v>
      </c>
      <c r="J2505" s="40" t="n">
        <f aca="false">H2505-I2505</f>
        <v>3.07</v>
      </c>
      <c r="K2505" s="41" t="n">
        <v>26.5</v>
      </c>
      <c r="L2505" s="42" t="n">
        <f aca="false">J2505*K2505</f>
        <v>81.355</v>
      </c>
      <c r="M2505" s="43" t="n">
        <f aca="false">H2505*17.99*(1+'Chart of Accounts'!$E$67)</f>
        <v>63.2375485</v>
      </c>
    </row>
    <row r="2506" customFormat="false" ht="15" hidden="false" customHeight="false" outlineLevel="0" collapsed="false">
      <c r="B2506" s="7" t="s">
        <v>3003</v>
      </c>
      <c r="C2506" s="39" t="n">
        <v>45784</v>
      </c>
      <c r="D2506" s="7" t="s">
        <v>353</v>
      </c>
      <c r="E2506" s="7" t="s">
        <v>154</v>
      </c>
      <c r="F2506" s="7" t="s">
        <v>254</v>
      </c>
      <c r="G2506" s="7" t="s">
        <v>505</v>
      </c>
      <c r="H2506" s="6" t="n">
        <v>3.47</v>
      </c>
      <c r="I2506" s="6" t="n">
        <v>0</v>
      </c>
      <c r="J2506" s="40" t="n">
        <f aca="false">H2506-I2506</f>
        <v>3.47</v>
      </c>
      <c r="K2506" s="41" t="n">
        <v>26.5</v>
      </c>
      <c r="L2506" s="42" t="n">
        <f aca="false">J2506*K2506</f>
        <v>91.955</v>
      </c>
      <c r="M2506" s="43" t="n">
        <f aca="false">H2506*17.1*(1+'Chart of Accounts'!$E$67)</f>
        <v>67.940865</v>
      </c>
    </row>
    <row r="2507" customFormat="false" ht="15" hidden="false" customHeight="false" outlineLevel="0" collapsed="false">
      <c r="B2507" s="7" t="s">
        <v>3004</v>
      </c>
      <c r="C2507" s="39" t="n">
        <v>45784</v>
      </c>
      <c r="D2507" s="7" t="s">
        <v>355</v>
      </c>
      <c r="E2507" s="7" t="s">
        <v>154</v>
      </c>
      <c r="F2507" s="7" t="s">
        <v>201</v>
      </c>
      <c r="G2507" s="7" t="s">
        <v>505</v>
      </c>
      <c r="H2507" s="6" t="n">
        <v>3.52</v>
      </c>
      <c r="I2507" s="6" t="n">
        <v>0.106</v>
      </c>
      <c r="J2507" s="40" t="n">
        <f aca="false">H2507-I2507</f>
        <v>3.414</v>
      </c>
      <c r="K2507" s="41" t="n">
        <v>26.5</v>
      </c>
      <c r="L2507" s="42" t="n">
        <f aca="false">J2507*K2507</f>
        <v>90.471</v>
      </c>
      <c r="M2507" s="43" t="n">
        <f aca="false">H2507*15.19*(1+'Chart of Accounts'!$E$67)</f>
        <v>61.221776</v>
      </c>
    </row>
    <row r="2508" customFormat="false" ht="15" hidden="false" customHeight="false" outlineLevel="0" collapsed="false">
      <c r="B2508" s="7" t="s">
        <v>3005</v>
      </c>
      <c r="C2508" s="39" t="n">
        <v>45784</v>
      </c>
      <c r="D2508" s="7" t="s">
        <v>357</v>
      </c>
      <c r="E2508" s="7" t="s">
        <v>154</v>
      </c>
      <c r="F2508" s="7" t="s">
        <v>207</v>
      </c>
      <c r="G2508" s="7" t="s">
        <v>505</v>
      </c>
      <c r="H2508" s="6" t="n">
        <v>3.33</v>
      </c>
      <c r="I2508" s="6" t="n">
        <v>0</v>
      </c>
      <c r="J2508" s="40" t="n">
        <f aca="false">H2508-I2508</f>
        <v>3.33</v>
      </c>
      <c r="K2508" s="41" t="n">
        <v>26.5</v>
      </c>
      <c r="L2508" s="42" t="n">
        <f aca="false">J2508*K2508</f>
        <v>88.245</v>
      </c>
      <c r="M2508" s="43" t="n">
        <f aca="false">H2508*16.65*(1+'Chart of Accounts'!$E$67)</f>
        <v>63.4839525</v>
      </c>
    </row>
    <row r="2509" customFormat="false" ht="15" hidden="false" customHeight="false" outlineLevel="0" collapsed="false">
      <c r="B2509" s="7" t="s">
        <v>3006</v>
      </c>
      <c r="C2509" s="39" t="n">
        <v>45784</v>
      </c>
      <c r="D2509" s="7" t="s">
        <v>359</v>
      </c>
      <c r="E2509" s="7" t="s">
        <v>156</v>
      </c>
      <c r="F2509" s="7" t="s">
        <v>212</v>
      </c>
      <c r="G2509" s="7" t="s">
        <v>505</v>
      </c>
      <c r="H2509" s="6" t="n">
        <v>4.4</v>
      </c>
      <c r="I2509" s="6" t="n">
        <v>0</v>
      </c>
      <c r="J2509" s="40" t="n">
        <f aca="false">H2509-I2509</f>
        <v>4.4</v>
      </c>
      <c r="K2509" s="41" t="n">
        <v>34</v>
      </c>
      <c r="L2509" s="42" t="n">
        <f aca="false">J2509*K2509</f>
        <v>149.6</v>
      </c>
      <c r="M2509" s="43" t="n">
        <f aca="false">H2509*16.71*(1+'Chart of Accounts'!$E$67)</f>
        <v>84.18498</v>
      </c>
    </row>
    <row r="2510" customFormat="false" ht="15" hidden="false" customHeight="false" outlineLevel="0" collapsed="false">
      <c r="B2510" s="7" t="s">
        <v>3007</v>
      </c>
      <c r="C2510" s="39" t="n">
        <v>45784</v>
      </c>
      <c r="D2510" s="7" t="s">
        <v>365</v>
      </c>
      <c r="E2510" s="7" t="s">
        <v>154</v>
      </c>
      <c r="F2510" s="7" t="s">
        <v>194</v>
      </c>
      <c r="G2510" s="7" t="s">
        <v>505</v>
      </c>
      <c r="H2510" s="6" t="n">
        <v>4.32</v>
      </c>
      <c r="I2510" s="6" t="n">
        <v>0</v>
      </c>
      <c r="J2510" s="40" t="n">
        <f aca="false">H2510-I2510</f>
        <v>4.32</v>
      </c>
      <c r="K2510" s="41" t="n">
        <v>26.5</v>
      </c>
      <c r="L2510" s="42" t="n">
        <f aca="false">J2510*K2510</f>
        <v>114.48</v>
      </c>
      <c r="M2510" s="43" t="n">
        <f aca="false">H2510*16*(1+'Chart of Accounts'!$E$67)</f>
        <v>79.1424</v>
      </c>
    </row>
    <row r="2511" customFormat="false" ht="15" hidden="false" customHeight="false" outlineLevel="0" collapsed="false">
      <c r="B2511" s="7" t="s">
        <v>3008</v>
      </c>
      <c r="C2511" s="39" t="n">
        <v>45784</v>
      </c>
      <c r="D2511" s="7" t="s">
        <v>371</v>
      </c>
      <c r="E2511" s="7" t="s">
        <v>154</v>
      </c>
      <c r="F2511" s="7" t="s">
        <v>232</v>
      </c>
      <c r="G2511" s="7" t="s">
        <v>505</v>
      </c>
      <c r="H2511" s="6" t="n">
        <v>4.7</v>
      </c>
      <c r="I2511" s="6" t="n">
        <v>0</v>
      </c>
      <c r="J2511" s="40" t="n">
        <f aca="false">H2511-I2511</f>
        <v>4.7</v>
      </c>
      <c r="K2511" s="41" t="n">
        <v>26.5</v>
      </c>
      <c r="L2511" s="42" t="n">
        <f aca="false">J2511*K2511</f>
        <v>124.55</v>
      </c>
      <c r="M2511" s="43" t="n">
        <f aca="false">H2511*16.17*(1+'Chart of Accounts'!$E$67)</f>
        <v>87.018855</v>
      </c>
    </row>
    <row r="2512" customFormat="false" ht="15" hidden="false" customHeight="false" outlineLevel="0" collapsed="false">
      <c r="B2512" s="7" t="s">
        <v>3009</v>
      </c>
      <c r="C2512" s="39" t="n">
        <v>45784</v>
      </c>
      <c r="D2512" s="7" t="s">
        <v>379</v>
      </c>
      <c r="E2512" s="7" t="s">
        <v>156</v>
      </c>
      <c r="F2512" s="7" t="s">
        <v>224</v>
      </c>
      <c r="G2512" s="7" t="s">
        <v>505</v>
      </c>
      <c r="H2512" s="6" t="n">
        <v>5.08</v>
      </c>
      <c r="I2512" s="6" t="n">
        <v>0</v>
      </c>
      <c r="J2512" s="40" t="n">
        <f aca="false">H2512-I2512</f>
        <v>5.08</v>
      </c>
      <c r="K2512" s="41" t="n">
        <v>34</v>
      </c>
      <c r="L2512" s="42" t="n">
        <f aca="false">J2512*K2512</f>
        <v>172.72</v>
      </c>
      <c r="M2512" s="43" t="n">
        <f aca="false">H2512*14.93*(1+'Chart of Accounts'!$E$67)</f>
        <v>86.841838</v>
      </c>
    </row>
    <row r="2513" customFormat="false" ht="15" hidden="false" customHeight="false" outlineLevel="0" collapsed="false">
      <c r="B2513" s="7" t="s">
        <v>3010</v>
      </c>
      <c r="C2513" s="39" t="n">
        <v>45784</v>
      </c>
      <c r="D2513" s="7" t="s">
        <v>385</v>
      </c>
      <c r="E2513" s="7" t="s">
        <v>156</v>
      </c>
      <c r="F2513" s="7" t="s">
        <v>238</v>
      </c>
      <c r="G2513" s="7" t="s">
        <v>505</v>
      </c>
      <c r="H2513" s="6" t="n">
        <v>4.39</v>
      </c>
      <c r="I2513" s="6" t="n">
        <v>0</v>
      </c>
      <c r="J2513" s="40" t="n">
        <f aca="false">H2513-I2513</f>
        <v>4.39</v>
      </c>
      <c r="K2513" s="41" t="n">
        <v>34</v>
      </c>
      <c r="L2513" s="42" t="n">
        <f aca="false">J2513*K2513</f>
        <v>149.26</v>
      </c>
      <c r="M2513" s="43" t="n">
        <f aca="false">H2513*15.85*(1+'Chart of Accounts'!$E$67)</f>
        <v>79.6708175</v>
      </c>
    </row>
    <row r="2514" customFormat="false" ht="15" hidden="false" customHeight="false" outlineLevel="0" collapsed="false">
      <c r="B2514" s="7" t="s">
        <v>3011</v>
      </c>
      <c r="C2514" s="39" t="n">
        <v>45784</v>
      </c>
      <c r="D2514" s="7" t="s">
        <v>389</v>
      </c>
      <c r="E2514" s="7" t="s">
        <v>154</v>
      </c>
      <c r="F2514" s="7" t="s">
        <v>246</v>
      </c>
      <c r="G2514" s="7" t="s">
        <v>505</v>
      </c>
      <c r="H2514" s="6" t="n">
        <v>3.86</v>
      </c>
      <c r="I2514" s="6" t="n">
        <v>0</v>
      </c>
      <c r="J2514" s="40" t="n">
        <f aca="false">H2514-I2514</f>
        <v>3.86</v>
      </c>
      <c r="K2514" s="41" t="n">
        <v>26.5</v>
      </c>
      <c r="L2514" s="42" t="n">
        <f aca="false">J2514*K2514</f>
        <v>102.29</v>
      </c>
      <c r="M2514" s="43" t="n">
        <f aca="false">H2514*16.48*(1+'Chart of Accounts'!$E$67)</f>
        <v>72.836656</v>
      </c>
    </row>
    <row r="2515" customFormat="false" ht="15" hidden="false" customHeight="false" outlineLevel="0" collapsed="false">
      <c r="B2515" s="7" t="s">
        <v>3012</v>
      </c>
      <c r="C2515" s="39" t="n">
        <v>45784</v>
      </c>
      <c r="D2515" s="7" t="s">
        <v>391</v>
      </c>
      <c r="E2515" s="7" t="s">
        <v>156</v>
      </c>
      <c r="F2515" s="7" t="s">
        <v>222</v>
      </c>
      <c r="G2515" s="7" t="s">
        <v>505</v>
      </c>
      <c r="H2515" s="6" t="n">
        <v>4.18</v>
      </c>
      <c r="I2515" s="6" t="n">
        <v>0</v>
      </c>
      <c r="J2515" s="40" t="n">
        <f aca="false">H2515-I2515</f>
        <v>4.18</v>
      </c>
      <c r="K2515" s="41" t="n">
        <v>34</v>
      </c>
      <c r="L2515" s="42" t="n">
        <f aca="false">J2515*K2515</f>
        <v>142.12</v>
      </c>
      <c r="M2515" s="43" t="n">
        <f aca="false">H2515*17.84*(1+'Chart of Accounts'!$E$67)</f>
        <v>85.384024</v>
      </c>
    </row>
    <row r="2516" customFormat="false" ht="15" hidden="false" customHeight="false" outlineLevel="0" collapsed="false">
      <c r="B2516" s="7" t="s">
        <v>3013</v>
      </c>
      <c r="C2516" s="39" t="n">
        <v>45784</v>
      </c>
      <c r="D2516" s="7" t="s">
        <v>393</v>
      </c>
      <c r="E2516" s="7" t="s">
        <v>157</v>
      </c>
      <c r="F2516" s="7" t="s">
        <v>203</v>
      </c>
      <c r="G2516" s="7" t="s">
        <v>502</v>
      </c>
      <c r="H2516" s="6" t="n">
        <v>1.03</v>
      </c>
      <c r="I2516" s="6" t="n">
        <v>0</v>
      </c>
      <c r="J2516" s="40" t="n">
        <f aca="false">H2516-I2516</f>
        <v>1.03</v>
      </c>
      <c r="K2516" s="41" t="n">
        <v>165</v>
      </c>
      <c r="L2516" s="42" t="n">
        <f aca="false">J2516*K2516</f>
        <v>169.95</v>
      </c>
      <c r="M2516" s="43" t="n">
        <f aca="false">H2516*49.43*(1+'Chart of Accounts'!$E$67)</f>
        <v>58.2952705</v>
      </c>
    </row>
    <row r="2517" customFormat="false" ht="15" hidden="false" customHeight="false" outlineLevel="0" collapsed="false">
      <c r="B2517" s="7" t="s">
        <v>3014</v>
      </c>
      <c r="C2517" s="39" t="n">
        <v>45784</v>
      </c>
      <c r="D2517" s="7" t="s">
        <v>395</v>
      </c>
      <c r="E2517" s="7" t="s">
        <v>156</v>
      </c>
      <c r="F2517" s="7" t="s">
        <v>242</v>
      </c>
      <c r="G2517" s="7" t="s">
        <v>505</v>
      </c>
      <c r="H2517" s="6" t="n">
        <v>4.11</v>
      </c>
      <c r="I2517" s="6" t="n">
        <v>0</v>
      </c>
      <c r="J2517" s="40" t="n">
        <f aca="false">H2517-I2517</f>
        <v>4.11</v>
      </c>
      <c r="K2517" s="41" t="n">
        <v>34</v>
      </c>
      <c r="L2517" s="42" t="n">
        <f aca="false">J2517*K2517</f>
        <v>139.74</v>
      </c>
      <c r="M2517" s="43" t="n">
        <f aca="false">H2517*17.99*(1+'Chart of Accounts'!$E$67)</f>
        <v>84.6600405</v>
      </c>
    </row>
    <row r="2518" customFormat="false" ht="15" hidden="false" customHeight="false" outlineLevel="0" collapsed="false">
      <c r="B2518" s="7" t="s">
        <v>3015</v>
      </c>
      <c r="C2518" s="39" t="n">
        <v>45784</v>
      </c>
      <c r="D2518" s="7" t="s">
        <v>399</v>
      </c>
      <c r="E2518" s="7" t="s">
        <v>154</v>
      </c>
      <c r="F2518" s="7" t="s">
        <v>262</v>
      </c>
      <c r="G2518" s="7" t="s">
        <v>505</v>
      </c>
      <c r="H2518" s="6" t="n">
        <v>3.22</v>
      </c>
      <c r="I2518" s="6" t="n">
        <v>0</v>
      </c>
      <c r="J2518" s="40" t="n">
        <f aca="false">H2518-I2518</f>
        <v>3.22</v>
      </c>
      <c r="K2518" s="41" t="n">
        <v>26.5</v>
      </c>
      <c r="L2518" s="42" t="n">
        <f aca="false">J2518*K2518</f>
        <v>85.33</v>
      </c>
      <c r="M2518" s="43" t="n">
        <f aca="false">H2518*16.02*(1+'Chart of Accounts'!$E$67)</f>
        <v>59.064138</v>
      </c>
    </row>
    <row r="2519" customFormat="false" ht="15" hidden="false" customHeight="false" outlineLevel="0" collapsed="false">
      <c r="B2519" s="7" t="s">
        <v>3016</v>
      </c>
      <c r="C2519" s="39" t="n">
        <v>45784</v>
      </c>
      <c r="D2519" s="7" t="s">
        <v>401</v>
      </c>
      <c r="E2519" s="7" t="s">
        <v>156</v>
      </c>
      <c r="F2519" s="7" t="s">
        <v>254</v>
      </c>
      <c r="G2519" s="7" t="s">
        <v>505</v>
      </c>
      <c r="H2519" s="6" t="n">
        <v>4.34</v>
      </c>
      <c r="I2519" s="6" t="n">
        <v>0</v>
      </c>
      <c r="J2519" s="40" t="n">
        <f aca="false">H2519-I2519</f>
        <v>4.34</v>
      </c>
      <c r="K2519" s="41" t="n">
        <v>34</v>
      </c>
      <c r="L2519" s="42" t="n">
        <f aca="false">J2519*K2519</f>
        <v>147.56</v>
      </c>
      <c r="M2519" s="43" t="n">
        <f aca="false">H2519*17.1*(1+'Chart of Accounts'!$E$67)</f>
        <v>84.97503</v>
      </c>
    </row>
    <row r="2520" customFormat="false" ht="15" hidden="false" customHeight="false" outlineLevel="0" collapsed="false">
      <c r="B2520" s="7" t="s">
        <v>3017</v>
      </c>
      <c r="C2520" s="39" t="n">
        <v>45784</v>
      </c>
      <c r="D2520" s="7" t="s">
        <v>409</v>
      </c>
      <c r="E2520" s="7" t="s">
        <v>154</v>
      </c>
      <c r="F2520" s="7" t="s">
        <v>214</v>
      </c>
      <c r="G2520" s="7" t="s">
        <v>505</v>
      </c>
      <c r="H2520" s="6" t="n">
        <v>3.61</v>
      </c>
      <c r="I2520" s="6" t="n">
        <v>0</v>
      </c>
      <c r="J2520" s="40" t="n">
        <f aca="false">H2520-I2520</f>
        <v>3.61</v>
      </c>
      <c r="K2520" s="41" t="n">
        <v>26.5</v>
      </c>
      <c r="L2520" s="42" t="n">
        <f aca="false">J2520*K2520</f>
        <v>95.665</v>
      </c>
      <c r="M2520" s="43" t="n">
        <f aca="false">H2520*15.67*(1+'Chart of Accounts'!$E$67)</f>
        <v>64.7711615</v>
      </c>
    </row>
    <row r="2521" customFormat="false" ht="15" hidden="false" customHeight="false" outlineLevel="0" collapsed="false">
      <c r="B2521" s="7" t="s">
        <v>3018</v>
      </c>
      <c r="C2521" s="39" t="n">
        <v>45784</v>
      </c>
      <c r="D2521" s="7" t="s">
        <v>411</v>
      </c>
      <c r="E2521" s="7" t="s">
        <v>154</v>
      </c>
      <c r="F2521" s="7" t="s">
        <v>177</v>
      </c>
      <c r="G2521" s="7" t="s">
        <v>505</v>
      </c>
      <c r="H2521" s="6" t="n">
        <v>4.81</v>
      </c>
      <c r="I2521" s="6" t="n">
        <v>0</v>
      </c>
      <c r="J2521" s="40" t="n">
        <f aca="false">H2521-I2521</f>
        <v>4.81</v>
      </c>
      <c r="K2521" s="41" t="n">
        <v>26.5</v>
      </c>
      <c r="L2521" s="42" t="n">
        <f aca="false">J2521*K2521</f>
        <v>127.465</v>
      </c>
      <c r="M2521" s="43" t="n">
        <f aca="false">H2521*14.56*(1+'Chart of Accounts'!$E$67)</f>
        <v>80.188472</v>
      </c>
    </row>
    <row r="2522" customFormat="false" ht="15" hidden="false" customHeight="false" outlineLevel="0" collapsed="false">
      <c r="B2522" s="7" t="s">
        <v>3019</v>
      </c>
      <c r="C2522" s="39" t="n">
        <v>45785</v>
      </c>
      <c r="D2522" s="7" t="s">
        <v>288</v>
      </c>
      <c r="E2522" s="7" t="s">
        <v>156</v>
      </c>
      <c r="F2522" s="7" t="s">
        <v>191</v>
      </c>
      <c r="G2522" s="7" t="s">
        <v>505</v>
      </c>
      <c r="H2522" s="6" t="n">
        <v>3.95</v>
      </c>
      <c r="I2522" s="6" t="n">
        <v>0</v>
      </c>
      <c r="J2522" s="40" t="n">
        <f aca="false">H2522-I2522</f>
        <v>3.95</v>
      </c>
      <c r="K2522" s="41" t="n">
        <v>34</v>
      </c>
      <c r="L2522" s="42" t="n">
        <f aca="false">J2522*K2522</f>
        <v>134.3</v>
      </c>
      <c r="M2522" s="43" t="n">
        <f aca="false">H2522*16.05*(1+'Chart of Accounts'!$E$67)</f>
        <v>72.5901375</v>
      </c>
    </row>
    <row r="2523" customFormat="false" ht="15" hidden="false" customHeight="false" outlineLevel="0" collapsed="false">
      <c r="B2523" s="7" t="s">
        <v>3020</v>
      </c>
      <c r="C2523" s="39" t="n">
        <v>45785</v>
      </c>
      <c r="D2523" s="7" t="s">
        <v>297</v>
      </c>
      <c r="E2523" s="7" t="s">
        <v>156</v>
      </c>
      <c r="F2523" s="7" t="s">
        <v>201</v>
      </c>
      <c r="G2523" s="7" t="s">
        <v>505</v>
      </c>
      <c r="H2523" s="6" t="n">
        <v>2.87</v>
      </c>
      <c r="I2523" s="6" t="n">
        <v>0</v>
      </c>
      <c r="J2523" s="40" t="n">
        <f aca="false">H2523-I2523</f>
        <v>2.87</v>
      </c>
      <c r="K2523" s="41" t="n">
        <v>34</v>
      </c>
      <c r="L2523" s="42" t="n">
        <f aca="false">J2523*K2523</f>
        <v>97.58</v>
      </c>
      <c r="M2523" s="43" t="n">
        <f aca="false">H2523*15.19*(1+'Chart of Accounts'!$E$67)</f>
        <v>49.9166185</v>
      </c>
    </row>
    <row r="2524" customFormat="false" ht="15" hidden="false" customHeight="false" outlineLevel="0" collapsed="false">
      <c r="B2524" s="7" t="s">
        <v>3021</v>
      </c>
      <c r="C2524" s="39" t="n">
        <v>45785</v>
      </c>
      <c r="D2524" s="7" t="s">
        <v>311</v>
      </c>
      <c r="E2524" s="7" t="s">
        <v>154</v>
      </c>
      <c r="F2524" s="7" t="s">
        <v>196</v>
      </c>
      <c r="G2524" s="7" t="s">
        <v>505</v>
      </c>
      <c r="H2524" s="6" t="n">
        <v>3.06</v>
      </c>
      <c r="I2524" s="6" t="n">
        <v>0</v>
      </c>
      <c r="J2524" s="40" t="n">
        <f aca="false">H2524-I2524</f>
        <v>3.06</v>
      </c>
      <c r="K2524" s="41" t="n">
        <v>26.5</v>
      </c>
      <c r="L2524" s="42" t="n">
        <f aca="false">J2524*K2524</f>
        <v>81.09</v>
      </c>
      <c r="M2524" s="43" t="n">
        <f aca="false">H2524*15.05*(1+'Chart of Accounts'!$E$67)</f>
        <v>52.730685</v>
      </c>
    </row>
    <row r="2525" customFormat="false" ht="15" hidden="false" customHeight="false" outlineLevel="0" collapsed="false">
      <c r="B2525" s="7" t="s">
        <v>3022</v>
      </c>
      <c r="C2525" s="39" t="n">
        <v>45785</v>
      </c>
      <c r="D2525" s="7" t="s">
        <v>313</v>
      </c>
      <c r="E2525" s="7" t="s">
        <v>156</v>
      </c>
      <c r="F2525" s="7" t="s">
        <v>184</v>
      </c>
      <c r="G2525" s="7" t="s">
        <v>505</v>
      </c>
      <c r="H2525" s="6" t="n">
        <v>4.06</v>
      </c>
      <c r="I2525" s="6" t="n">
        <v>0</v>
      </c>
      <c r="J2525" s="40" t="n">
        <f aca="false">H2525-I2525</f>
        <v>4.06</v>
      </c>
      <c r="K2525" s="41" t="n">
        <v>34</v>
      </c>
      <c r="L2525" s="42" t="n">
        <f aca="false">J2525*K2525</f>
        <v>138.04</v>
      </c>
      <c r="M2525" s="43" t="n">
        <f aca="false">H2525*17.34*(1+'Chart of Accounts'!$E$67)</f>
        <v>80.608458</v>
      </c>
    </row>
    <row r="2526" customFormat="false" ht="15" hidden="false" customHeight="false" outlineLevel="0" collapsed="false">
      <c r="B2526" s="7" t="s">
        <v>3023</v>
      </c>
      <c r="C2526" s="39" t="n">
        <v>45785</v>
      </c>
      <c r="D2526" s="7" t="s">
        <v>317</v>
      </c>
      <c r="E2526" s="7" t="s">
        <v>156</v>
      </c>
      <c r="F2526" s="7" t="s">
        <v>207</v>
      </c>
      <c r="G2526" s="7" t="s">
        <v>505</v>
      </c>
      <c r="H2526" s="6" t="n">
        <v>2.93</v>
      </c>
      <c r="I2526" s="6" t="n">
        <v>0</v>
      </c>
      <c r="J2526" s="40" t="n">
        <f aca="false">H2526-I2526</f>
        <v>2.93</v>
      </c>
      <c r="K2526" s="41" t="n">
        <v>34</v>
      </c>
      <c r="L2526" s="42" t="n">
        <f aca="false">J2526*K2526</f>
        <v>99.62</v>
      </c>
      <c r="M2526" s="43" t="n">
        <f aca="false">H2526*16.65*(1+'Chart of Accounts'!$E$67)</f>
        <v>55.8582525</v>
      </c>
    </row>
    <row r="2527" customFormat="false" ht="15" hidden="false" customHeight="false" outlineLevel="0" collapsed="false">
      <c r="B2527" s="7" t="s">
        <v>3024</v>
      </c>
      <c r="C2527" s="39" t="n">
        <v>45785</v>
      </c>
      <c r="D2527" s="7" t="s">
        <v>321</v>
      </c>
      <c r="E2527" s="7" t="s">
        <v>154</v>
      </c>
      <c r="F2527" s="7" t="s">
        <v>218</v>
      </c>
      <c r="G2527" s="7" t="s">
        <v>505</v>
      </c>
      <c r="H2527" s="6" t="n">
        <v>4.07</v>
      </c>
      <c r="I2527" s="6" t="n">
        <v>0</v>
      </c>
      <c r="J2527" s="40" t="n">
        <f aca="false">H2527-I2527</f>
        <v>4.07</v>
      </c>
      <c r="K2527" s="41" t="n">
        <v>26.5</v>
      </c>
      <c r="L2527" s="42" t="n">
        <f aca="false">J2527*K2527</f>
        <v>107.855</v>
      </c>
      <c r="M2527" s="43" t="n">
        <f aca="false">H2527*16.19*(1+'Chart of Accounts'!$E$67)</f>
        <v>75.4478285</v>
      </c>
    </row>
    <row r="2528" customFormat="false" ht="15" hidden="false" customHeight="false" outlineLevel="0" collapsed="false">
      <c r="B2528" s="7" t="s">
        <v>3025</v>
      </c>
      <c r="C2528" s="39" t="n">
        <v>45785</v>
      </c>
      <c r="D2528" s="7" t="s">
        <v>325</v>
      </c>
      <c r="E2528" s="7" t="s">
        <v>154</v>
      </c>
      <c r="F2528" s="7" t="s">
        <v>212</v>
      </c>
      <c r="G2528" s="7" t="s">
        <v>505</v>
      </c>
      <c r="H2528" s="6" t="n">
        <v>2.95</v>
      </c>
      <c r="I2528" s="6" t="n">
        <v>0</v>
      </c>
      <c r="J2528" s="40" t="n">
        <f aca="false">H2528-I2528</f>
        <v>2.95</v>
      </c>
      <c r="K2528" s="41" t="n">
        <v>26.5</v>
      </c>
      <c r="L2528" s="42" t="n">
        <f aca="false">J2528*K2528</f>
        <v>78.175</v>
      </c>
      <c r="M2528" s="43" t="n">
        <f aca="false">H2528*16.71*(1+'Chart of Accounts'!$E$67)</f>
        <v>56.4422025</v>
      </c>
    </row>
    <row r="2529" customFormat="false" ht="15" hidden="false" customHeight="false" outlineLevel="0" collapsed="false">
      <c r="B2529" s="7" t="s">
        <v>3026</v>
      </c>
      <c r="C2529" s="39" t="n">
        <v>45785</v>
      </c>
      <c r="D2529" s="7" t="s">
        <v>329</v>
      </c>
      <c r="E2529" s="7" t="s">
        <v>156</v>
      </c>
      <c r="F2529" s="7" t="s">
        <v>220</v>
      </c>
      <c r="G2529" s="7" t="s">
        <v>505</v>
      </c>
      <c r="H2529" s="6" t="n">
        <v>4.35</v>
      </c>
      <c r="I2529" s="6" t="n">
        <v>0</v>
      </c>
      <c r="J2529" s="40" t="n">
        <f aca="false">H2529-I2529</f>
        <v>4.35</v>
      </c>
      <c r="K2529" s="41" t="n">
        <v>34</v>
      </c>
      <c r="L2529" s="42" t="n">
        <f aca="false">J2529*K2529</f>
        <v>147.9</v>
      </c>
      <c r="M2529" s="43" t="n">
        <f aca="false">H2529*16.43*(1+'Chart of Accounts'!$E$67)</f>
        <v>81.8337225</v>
      </c>
    </row>
    <row r="2530" customFormat="false" ht="15" hidden="false" customHeight="false" outlineLevel="0" collapsed="false">
      <c r="B2530" s="7" t="s">
        <v>3027</v>
      </c>
      <c r="C2530" s="39" t="n">
        <v>45785</v>
      </c>
      <c r="D2530" s="7" t="s">
        <v>331</v>
      </c>
      <c r="E2530" s="7" t="s">
        <v>156</v>
      </c>
      <c r="F2530" s="7" t="s">
        <v>224</v>
      </c>
      <c r="G2530" s="7" t="s">
        <v>505</v>
      </c>
      <c r="H2530" s="6" t="n">
        <v>4.07</v>
      </c>
      <c r="I2530" s="6" t="n">
        <v>0</v>
      </c>
      <c r="J2530" s="40" t="n">
        <f aca="false">H2530-I2530</f>
        <v>4.07</v>
      </c>
      <c r="K2530" s="41" t="n">
        <v>34</v>
      </c>
      <c r="L2530" s="42" t="n">
        <f aca="false">J2530*K2530</f>
        <v>138.38</v>
      </c>
      <c r="M2530" s="43" t="n">
        <f aca="false">H2530*14.93*(1+'Chart of Accounts'!$E$67)</f>
        <v>69.5760395</v>
      </c>
    </row>
    <row r="2531" customFormat="false" ht="15" hidden="false" customHeight="false" outlineLevel="0" collapsed="false">
      <c r="B2531" s="7" t="s">
        <v>3028</v>
      </c>
      <c r="C2531" s="39" t="n">
        <v>45785</v>
      </c>
      <c r="D2531" s="7" t="s">
        <v>337</v>
      </c>
      <c r="E2531" s="7" t="s">
        <v>154</v>
      </c>
      <c r="F2531" s="7" t="s">
        <v>232</v>
      </c>
      <c r="G2531" s="7" t="s">
        <v>505</v>
      </c>
      <c r="H2531" s="6" t="n">
        <v>3.21</v>
      </c>
      <c r="I2531" s="6" t="n">
        <v>0</v>
      </c>
      <c r="J2531" s="40" t="n">
        <f aca="false">H2531-I2531</f>
        <v>3.21</v>
      </c>
      <c r="K2531" s="41" t="n">
        <v>26.5</v>
      </c>
      <c r="L2531" s="42" t="n">
        <f aca="false">J2531*K2531</f>
        <v>85.065</v>
      </c>
      <c r="M2531" s="43" t="n">
        <f aca="false">H2531*16.17*(1+'Chart of Accounts'!$E$67)</f>
        <v>59.4320265</v>
      </c>
    </row>
    <row r="2532" customFormat="false" ht="15" hidden="false" customHeight="false" outlineLevel="0" collapsed="false">
      <c r="B2532" s="7" t="s">
        <v>3029</v>
      </c>
      <c r="C2532" s="39" t="n">
        <v>45785</v>
      </c>
      <c r="D2532" s="7" t="s">
        <v>341</v>
      </c>
      <c r="E2532" s="7" t="s">
        <v>156</v>
      </c>
      <c r="F2532" s="7" t="s">
        <v>222</v>
      </c>
      <c r="G2532" s="7" t="s">
        <v>505</v>
      </c>
      <c r="H2532" s="6" t="n">
        <v>2.88</v>
      </c>
      <c r="I2532" s="6" t="n">
        <v>0</v>
      </c>
      <c r="J2532" s="40" t="n">
        <f aca="false">H2532-I2532</f>
        <v>2.88</v>
      </c>
      <c r="K2532" s="41" t="n">
        <v>34</v>
      </c>
      <c r="L2532" s="42" t="n">
        <f aca="false">J2532*K2532</f>
        <v>97.92</v>
      </c>
      <c r="M2532" s="43" t="n">
        <f aca="false">H2532*17.84*(1+'Chart of Accounts'!$E$67)</f>
        <v>58.829184</v>
      </c>
    </row>
    <row r="2533" customFormat="false" ht="15" hidden="false" customHeight="false" outlineLevel="0" collapsed="false">
      <c r="B2533" s="7" t="s">
        <v>3030</v>
      </c>
      <c r="C2533" s="39" t="n">
        <v>45785</v>
      </c>
      <c r="D2533" s="7" t="s">
        <v>343</v>
      </c>
      <c r="E2533" s="7" t="s">
        <v>154</v>
      </c>
      <c r="F2533" s="7" t="s">
        <v>262</v>
      </c>
      <c r="G2533" s="7" t="s">
        <v>505</v>
      </c>
      <c r="H2533" s="6" t="n">
        <v>3.72</v>
      </c>
      <c r="I2533" s="6" t="n">
        <v>0</v>
      </c>
      <c r="J2533" s="40" t="n">
        <f aca="false">H2533-I2533</f>
        <v>3.72</v>
      </c>
      <c r="K2533" s="41" t="n">
        <v>26.5</v>
      </c>
      <c r="L2533" s="42" t="n">
        <f aca="false">J2533*K2533</f>
        <v>98.58</v>
      </c>
      <c r="M2533" s="43" t="n">
        <f aca="false">H2533*16.02*(1+'Chart of Accounts'!$E$67)</f>
        <v>68.235588</v>
      </c>
    </row>
    <row r="2534" customFormat="false" ht="15" hidden="false" customHeight="false" outlineLevel="0" collapsed="false">
      <c r="B2534" s="7" t="s">
        <v>3031</v>
      </c>
      <c r="C2534" s="39" t="n">
        <v>45785</v>
      </c>
      <c r="D2534" s="7" t="s">
        <v>351</v>
      </c>
      <c r="E2534" s="7" t="s">
        <v>154</v>
      </c>
      <c r="F2534" s="7" t="s">
        <v>201</v>
      </c>
      <c r="G2534" s="7" t="s">
        <v>505</v>
      </c>
      <c r="H2534" s="6" t="n">
        <v>3.21</v>
      </c>
      <c r="I2534" s="6" t="n">
        <v>0.096</v>
      </c>
      <c r="J2534" s="40" t="n">
        <f aca="false">H2534-I2534</f>
        <v>3.114</v>
      </c>
      <c r="K2534" s="41" t="n">
        <v>26.5</v>
      </c>
      <c r="L2534" s="42" t="n">
        <f aca="false">J2534*K2534</f>
        <v>82.521</v>
      </c>
      <c r="M2534" s="43" t="n">
        <f aca="false">H2534*15.19*(1+'Chart of Accounts'!$E$67)</f>
        <v>55.8300855</v>
      </c>
    </row>
    <row r="2535" customFormat="false" ht="15" hidden="false" customHeight="false" outlineLevel="0" collapsed="false">
      <c r="B2535" s="7" t="s">
        <v>3032</v>
      </c>
      <c r="C2535" s="39" t="n">
        <v>45785</v>
      </c>
      <c r="D2535" s="7" t="s">
        <v>359</v>
      </c>
      <c r="E2535" s="7" t="s">
        <v>156</v>
      </c>
      <c r="F2535" s="7" t="s">
        <v>212</v>
      </c>
      <c r="G2535" s="7" t="s">
        <v>505</v>
      </c>
      <c r="H2535" s="6" t="n">
        <v>3.86</v>
      </c>
      <c r="I2535" s="6" t="n">
        <v>0</v>
      </c>
      <c r="J2535" s="40" t="n">
        <f aca="false">H2535-I2535</f>
        <v>3.86</v>
      </c>
      <c r="K2535" s="41" t="n">
        <v>34</v>
      </c>
      <c r="L2535" s="42" t="n">
        <f aca="false">J2535*K2535</f>
        <v>131.24</v>
      </c>
      <c r="M2535" s="43" t="n">
        <f aca="false">H2535*16.71*(1+'Chart of Accounts'!$E$67)</f>
        <v>73.853187</v>
      </c>
    </row>
    <row r="2536" customFormat="false" ht="15" hidden="false" customHeight="false" outlineLevel="0" collapsed="false">
      <c r="B2536" s="7" t="s">
        <v>3033</v>
      </c>
      <c r="C2536" s="39" t="n">
        <v>45785</v>
      </c>
      <c r="D2536" s="7" t="s">
        <v>363</v>
      </c>
      <c r="E2536" s="7" t="s">
        <v>156</v>
      </c>
      <c r="F2536" s="7" t="s">
        <v>246</v>
      </c>
      <c r="G2536" s="7" t="s">
        <v>505</v>
      </c>
      <c r="H2536" s="6" t="n">
        <v>3.82</v>
      </c>
      <c r="I2536" s="6" t="n">
        <v>0</v>
      </c>
      <c r="J2536" s="40" t="n">
        <f aca="false">H2536-I2536</f>
        <v>3.82</v>
      </c>
      <c r="K2536" s="41" t="n">
        <v>34</v>
      </c>
      <c r="L2536" s="42" t="n">
        <f aca="false">J2536*K2536</f>
        <v>129.88</v>
      </c>
      <c r="M2536" s="43" t="n">
        <f aca="false">H2536*16.48*(1+'Chart of Accounts'!$E$67)</f>
        <v>72.081872</v>
      </c>
    </row>
    <row r="2537" customFormat="false" ht="15" hidden="false" customHeight="false" outlineLevel="0" collapsed="false">
      <c r="B2537" s="7" t="s">
        <v>3034</v>
      </c>
      <c r="C2537" s="39" t="n">
        <v>45785</v>
      </c>
      <c r="D2537" s="7" t="s">
        <v>365</v>
      </c>
      <c r="E2537" s="7" t="s">
        <v>154</v>
      </c>
      <c r="F2537" s="7" t="s">
        <v>194</v>
      </c>
      <c r="G2537" s="7" t="s">
        <v>505</v>
      </c>
      <c r="H2537" s="6" t="n">
        <v>4.1</v>
      </c>
      <c r="I2537" s="6" t="n">
        <v>0</v>
      </c>
      <c r="J2537" s="40" t="n">
        <f aca="false">H2537-I2537</f>
        <v>4.1</v>
      </c>
      <c r="K2537" s="41" t="n">
        <v>26.5</v>
      </c>
      <c r="L2537" s="42" t="n">
        <f aca="false">J2537*K2537</f>
        <v>108.65</v>
      </c>
      <c r="M2537" s="43" t="n">
        <f aca="false">H2537*16*(1+'Chart of Accounts'!$E$67)</f>
        <v>75.112</v>
      </c>
    </row>
    <row r="2538" customFormat="false" ht="15" hidden="false" customHeight="false" outlineLevel="0" collapsed="false">
      <c r="B2538" s="7" t="s">
        <v>3035</v>
      </c>
      <c r="C2538" s="39" t="n">
        <v>45785</v>
      </c>
      <c r="D2538" s="7" t="s">
        <v>375</v>
      </c>
      <c r="E2538" s="7" t="s">
        <v>156</v>
      </c>
      <c r="F2538" s="7" t="s">
        <v>196</v>
      </c>
      <c r="G2538" s="7" t="s">
        <v>505</v>
      </c>
      <c r="H2538" s="6" t="n">
        <v>3.28</v>
      </c>
      <c r="I2538" s="6" t="n">
        <v>0</v>
      </c>
      <c r="J2538" s="40" t="n">
        <f aca="false">H2538-I2538</f>
        <v>3.28</v>
      </c>
      <c r="K2538" s="41" t="n">
        <v>34</v>
      </c>
      <c r="L2538" s="42" t="n">
        <f aca="false">J2538*K2538</f>
        <v>111.52</v>
      </c>
      <c r="M2538" s="43" t="n">
        <f aca="false">H2538*15.05*(1+'Chart of Accounts'!$E$67)</f>
        <v>56.52178</v>
      </c>
    </row>
    <row r="2539" customFormat="false" ht="15" hidden="false" customHeight="false" outlineLevel="0" collapsed="false">
      <c r="B2539" s="7" t="s">
        <v>3036</v>
      </c>
      <c r="C2539" s="39" t="n">
        <v>45785</v>
      </c>
      <c r="D2539" s="7" t="s">
        <v>377</v>
      </c>
      <c r="E2539" s="7" t="s">
        <v>154</v>
      </c>
      <c r="F2539" s="7" t="s">
        <v>214</v>
      </c>
      <c r="G2539" s="7" t="s">
        <v>505</v>
      </c>
      <c r="H2539" s="6" t="n">
        <v>3.72</v>
      </c>
      <c r="I2539" s="6" t="n">
        <v>0</v>
      </c>
      <c r="J2539" s="40" t="n">
        <f aca="false">H2539-I2539</f>
        <v>3.72</v>
      </c>
      <c r="K2539" s="41" t="n">
        <v>26.5</v>
      </c>
      <c r="L2539" s="42" t="n">
        <f aca="false">J2539*K2539</f>
        <v>98.58</v>
      </c>
      <c r="M2539" s="43" t="n">
        <f aca="false">H2539*15.67*(1+'Chart of Accounts'!$E$67)</f>
        <v>66.744798</v>
      </c>
    </row>
    <row r="2540" customFormat="false" ht="15" hidden="false" customHeight="false" outlineLevel="0" collapsed="false">
      <c r="B2540" s="7" t="s">
        <v>3037</v>
      </c>
      <c r="C2540" s="39" t="n">
        <v>45785</v>
      </c>
      <c r="D2540" s="7" t="s">
        <v>389</v>
      </c>
      <c r="E2540" s="7" t="s">
        <v>154</v>
      </c>
      <c r="F2540" s="7" t="s">
        <v>246</v>
      </c>
      <c r="G2540" s="7" t="s">
        <v>505</v>
      </c>
      <c r="H2540" s="6" t="n">
        <v>4.35</v>
      </c>
      <c r="I2540" s="6" t="n">
        <v>0</v>
      </c>
      <c r="J2540" s="40" t="n">
        <f aca="false">H2540-I2540</f>
        <v>4.35</v>
      </c>
      <c r="K2540" s="41" t="n">
        <v>26.5</v>
      </c>
      <c r="L2540" s="42" t="n">
        <f aca="false">J2540*K2540</f>
        <v>115.275</v>
      </c>
      <c r="M2540" s="43" t="n">
        <f aca="false">H2540*16.48*(1+'Chart of Accounts'!$E$67)</f>
        <v>82.08276</v>
      </c>
    </row>
    <row r="2541" customFormat="false" ht="15" hidden="false" customHeight="false" outlineLevel="0" collapsed="false">
      <c r="B2541" s="7" t="s">
        <v>3038</v>
      </c>
      <c r="C2541" s="39" t="n">
        <v>45785</v>
      </c>
      <c r="D2541" s="7" t="s">
        <v>391</v>
      </c>
      <c r="E2541" s="7" t="s">
        <v>156</v>
      </c>
      <c r="F2541" s="7" t="s">
        <v>222</v>
      </c>
      <c r="G2541" s="7" t="s">
        <v>505</v>
      </c>
      <c r="H2541" s="6" t="n">
        <v>4.34</v>
      </c>
      <c r="I2541" s="6" t="n">
        <v>0</v>
      </c>
      <c r="J2541" s="40" t="n">
        <f aca="false">H2541-I2541</f>
        <v>4.34</v>
      </c>
      <c r="K2541" s="41" t="n">
        <v>34</v>
      </c>
      <c r="L2541" s="42" t="n">
        <f aca="false">J2541*K2541</f>
        <v>147.56</v>
      </c>
      <c r="M2541" s="43" t="n">
        <f aca="false">H2541*17.84*(1+'Chart of Accounts'!$E$67)</f>
        <v>88.652312</v>
      </c>
    </row>
    <row r="2542" customFormat="false" ht="15" hidden="false" customHeight="false" outlineLevel="0" collapsed="false">
      <c r="B2542" s="7" t="s">
        <v>3039</v>
      </c>
      <c r="C2542" s="39" t="n">
        <v>45785</v>
      </c>
      <c r="D2542" s="7" t="s">
        <v>395</v>
      </c>
      <c r="E2542" s="7" t="s">
        <v>156</v>
      </c>
      <c r="F2542" s="7" t="s">
        <v>242</v>
      </c>
      <c r="G2542" s="7" t="s">
        <v>505</v>
      </c>
      <c r="H2542" s="6" t="n">
        <v>4.18</v>
      </c>
      <c r="I2542" s="6" t="n">
        <v>0</v>
      </c>
      <c r="J2542" s="40" t="n">
        <f aca="false">H2542-I2542</f>
        <v>4.18</v>
      </c>
      <c r="K2542" s="41" t="n">
        <v>34</v>
      </c>
      <c r="L2542" s="42" t="n">
        <f aca="false">J2542*K2542</f>
        <v>142.12</v>
      </c>
      <c r="M2542" s="43" t="n">
        <f aca="false">H2542*17.99*(1+'Chart of Accounts'!$E$67)</f>
        <v>86.101939</v>
      </c>
    </row>
    <row r="2543" customFormat="false" ht="15" hidden="false" customHeight="false" outlineLevel="0" collapsed="false">
      <c r="B2543" s="7" t="s">
        <v>3040</v>
      </c>
      <c r="C2543" s="39" t="n">
        <v>45785</v>
      </c>
      <c r="D2543" s="7" t="s">
        <v>401</v>
      </c>
      <c r="E2543" s="7" t="s">
        <v>156</v>
      </c>
      <c r="F2543" s="7" t="s">
        <v>254</v>
      </c>
      <c r="G2543" s="7" t="s">
        <v>505</v>
      </c>
      <c r="H2543" s="6" t="n">
        <v>4.33</v>
      </c>
      <c r="I2543" s="6" t="n">
        <v>0</v>
      </c>
      <c r="J2543" s="40" t="n">
        <f aca="false">H2543-I2543</f>
        <v>4.33</v>
      </c>
      <c r="K2543" s="41" t="n">
        <v>34</v>
      </c>
      <c r="L2543" s="42" t="n">
        <f aca="false">J2543*K2543</f>
        <v>147.22</v>
      </c>
      <c r="M2543" s="43" t="n">
        <f aca="false">H2543*17.1*(1+'Chart of Accounts'!$E$67)</f>
        <v>84.779235</v>
      </c>
    </row>
    <row r="2544" customFormat="false" ht="15" hidden="false" customHeight="false" outlineLevel="0" collapsed="false">
      <c r="B2544" s="7" t="s">
        <v>3041</v>
      </c>
      <c r="C2544" s="39" t="n">
        <v>45786</v>
      </c>
      <c r="D2544" s="7" t="s">
        <v>280</v>
      </c>
      <c r="E2544" s="7" t="s">
        <v>157</v>
      </c>
      <c r="F2544" s="7" t="s">
        <v>187</v>
      </c>
      <c r="G2544" s="7" t="s">
        <v>502</v>
      </c>
      <c r="H2544" s="6" t="n">
        <v>0.98</v>
      </c>
      <c r="I2544" s="6" t="n">
        <v>0</v>
      </c>
      <c r="J2544" s="40" t="n">
        <f aca="false">H2544-I2544</f>
        <v>0.98</v>
      </c>
      <c r="K2544" s="41" t="n">
        <v>165</v>
      </c>
      <c r="L2544" s="42" t="n">
        <f aca="false">J2544*K2544</f>
        <v>161.7</v>
      </c>
      <c r="M2544" s="43" t="n">
        <f aca="false">H2544*66.48*(1+'Chart of Accounts'!$E$67)</f>
        <v>74.597208</v>
      </c>
    </row>
    <row r="2545" customFormat="false" ht="15" hidden="false" customHeight="false" outlineLevel="0" collapsed="false">
      <c r="B2545" s="7" t="s">
        <v>3042</v>
      </c>
      <c r="C2545" s="39" t="n">
        <v>45786</v>
      </c>
      <c r="D2545" s="7" t="s">
        <v>288</v>
      </c>
      <c r="E2545" s="7" t="s">
        <v>156</v>
      </c>
      <c r="F2545" s="7" t="s">
        <v>191</v>
      </c>
      <c r="G2545" s="7" t="s">
        <v>505</v>
      </c>
      <c r="H2545" s="6" t="n">
        <v>3.88</v>
      </c>
      <c r="I2545" s="6" t="n">
        <v>0</v>
      </c>
      <c r="J2545" s="40" t="n">
        <f aca="false">H2545-I2545</f>
        <v>3.88</v>
      </c>
      <c r="K2545" s="41" t="n">
        <v>34</v>
      </c>
      <c r="L2545" s="42" t="n">
        <f aca="false">J2545*K2545</f>
        <v>131.92</v>
      </c>
      <c r="M2545" s="43" t="n">
        <f aca="false">H2545*16.05*(1+'Chart of Accounts'!$E$67)</f>
        <v>71.30373</v>
      </c>
    </row>
    <row r="2546" customFormat="false" ht="15" hidden="false" customHeight="false" outlineLevel="0" collapsed="false">
      <c r="B2546" s="7" t="s">
        <v>3043</v>
      </c>
      <c r="C2546" s="39" t="n">
        <v>45786</v>
      </c>
      <c r="D2546" s="7" t="s">
        <v>291</v>
      </c>
      <c r="E2546" s="7" t="s">
        <v>154</v>
      </c>
      <c r="F2546" s="7" t="s">
        <v>194</v>
      </c>
      <c r="G2546" s="7" t="s">
        <v>505</v>
      </c>
      <c r="H2546" s="6" t="n">
        <v>4.88</v>
      </c>
      <c r="I2546" s="6" t="n">
        <v>0</v>
      </c>
      <c r="J2546" s="40" t="n">
        <f aca="false">H2546-I2546</f>
        <v>4.88</v>
      </c>
      <c r="K2546" s="41" t="n">
        <v>26.5</v>
      </c>
      <c r="L2546" s="42" t="n">
        <f aca="false">J2546*K2546</f>
        <v>129.32</v>
      </c>
      <c r="M2546" s="43" t="n">
        <f aca="false">H2546*16*(1+'Chart of Accounts'!$E$67)</f>
        <v>89.4016</v>
      </c>
    </row>
    <row r="2547" customFormat="false" ht="15" hidden="false" customHeight="false" outlineLevel="0" collapsed="false">
      <c r="B2547" s="7" t="s">
        <v>3044</v>
      </c>
      <c r="C2547" s="39" t="n">
        <v>45786</v>
      </c>
      <c r="D2547" s="7" t="s">
        <v>301</v>
      </c>
      <c r="E2547" s="7" t="s">
        <v>157</v>
      </c>
      <c r="F2547" s="7" t="s">
        <v>209</v>
      </c>
      <c r="G2547" s="7" t="s">
        <v>502</v>
      </c>
      <c r="H2547" s="6" t="n">
        <v>1.04</v>
      </c>
      <c r="I2547" s="6" t="n">
        <v>0.052</v>
      </c>
      <c r="J2547" s="40" t="n">
        <f aca="false">H2547-I2547</f>
        <v>0.988</v>
      </c>
      <c r="K2547" s="41" t="n">
        <v>165</v>
      </c>
      <c r="L2547" s="42" t="n">
        <f aca="false">J2547*K2547</f>
        <v>163.02</v>
      </c>
      <c r="M2547" s="43" t="n">
        <f aca="false">H2547*73.58*(1+'Chart of Accounts'!$E$67)</f>
        <v>87.619064</v>
      </c>
    </row>
    <row r="2548" customFormat="false" ht="15" hidden="false" customHeight="false" outlineLevel="0" collapsed="false">
      <c r="B2548" s="7" t="s">
        <v>3045</v>
      </c>
      <c r="C2548" s="39" t="n">
        <v>45786</v>
      </c>
      <c r="D2548" s="7" t="s">
        <v>305</v>
      </c>
      <c r="E2548" s="7" t="s">
        <v>154</v>
      </c>
      <c r="F2548" s="7" t="s">
        <v>205</v>
      </c>
      <c r="G2548" s="7" t="s">
        <v>505</v>
      </c>
      <c r="H2548" s="6" t="n">
        <v>3.86</v>
      </c>
      <c r="I2548" s="6" t="n">
        <v>0</v>
      </c>
      <c r="J2548" s="40" t="n">
        <f aca="false">H2548-I2548</f>
        <v>3.86</v>
      </c>
      <c r="K2548" s="41" t="n">
        <v>26.5</v>
      </c>
      <c r="L2548" s="42" t="n">
        <f aca="false">J2548*K2548</f>
        <v>102.29</v>
      </c>
      <c r="M2548" s="43" t="n">
        <f aca="false">H2548*16.36*(1+'Chart of Accounts'!$E$67)</f>
        <v>72.306292</v>
      </c>
    </row>
    <row r="2549" customFormat="false" ht="15" hidden="false" customHeight="false" outlineLevel="0" collapsed="false">
      <c r="B2549" s="7" t="s">
        <v>3046</v>
      </c>
      <c r="C2549" s="39" t="n">
        <v>45786</v>
      </c>
      <c r="D2549" s="7" t="s">
        <v>307</v>
      </c>
      <c r="E2549" s="7" t="s">
        <v>157</v>
      </c>
      <c r="F2549" s="7" t="s">
        <v>264</v>
      </c>
      <c r="G2549" s="7" t="s">
        <v>502</v>
      </c>
      <c r="H2549" s="6" t="n">
        <v>0.91</v>
      </c>
      <c r="I2549" s="6" t="n">
        <v>0</v>
      </c>
      <c r="J2549" s="40" t="n">
        <f aca="false">H2549-I2549</f>
        <v>0.91</v>
      </c>
      <c r="K2549" s="41" t="n">
        <v>165</v>
      </c>
      <c r="L2549" s="42" t="n">
        <f aca="false">J2549*K2549</f>
        <v>150.15</v>
      </c>
      <c r="M2549" s="43" t="n">
        <f aca="false">H2549*55.55*(1+'Chart of Accounts'!$E$67)</f>
        <v>57.8803225</v>
      </c>
    </row>
    <row r="2550" customFormat="false" ht="15" hidden="false" customHeight="false" outlineLevel="0" collapsed="false">
      <c r="B2550" s="7" t="s">
        <v>3047</v>
      </c>
      <c r="C2550" s="39" t="n">
        <v>45786</v>
      </c>
      <c r="D2550" s="7" t="s">
        <v>309</v>
      </c>
      <c r="E2550" s="7" t="s">
        <v>159</v>
      </c>
      <c r="F2550" s="7" t="s">
        <v>252</v>
      </c>
      <c r="G2550" s="7" t="s">
        <v>502</v>
      </c>
      <c r="H2550" s="6" t="n">
        <v>1.03</v>
      </c>
      <c r="I2550" s="6" t="n">
        <v>0</v>
      </c>
      <c r="J2550" s="40" t="n">
        <f aca="false">H2550-I2550</f>
        <v>1.03</v>
      </c>
      <c r="K2550" s="41" t="n">
        <v>135</v>
      </c>
      <c r="L2550" s="42" t="n">
        <f aca="false">J2550*K2550</f>
        <v>139.05</v>
      </c>
      <c r="M2550" s="43" t="n">
        <f aca="false">H2550*57.54*(1+'Chart of Accounts'!$E$67)</f>
        <v>67.859799</v>
      </c>
    </row>
    <row r="2551" customFormat="false" ht="15" hidden="false" customHeight="false" outlineLevel="0" collapsed="false">
      <c r="B2551" s="7" t="s">
        <v>3048</v>
      </c>
      <c r="C2551" s="39" t="n">
        <v>45786</v>
      </c>
      <c r="D2551" s="7" t="s">
        <v>313</v>
      </c>
      <c r="E2551" s="7" t="s">
        <v>156</v>
      </c>
      <c r="F2551" s="7" t="s">
        <v>184</v>
      </c>
      <c r="G2551" s="7" t="s">
        <v>505</v>
      </c>
      <c r="H2551" s="6" t="n">
        <v>3.99</v>
      </c>
      <c r="I2551" s="6" t="n">
        <v>0</v>
      </c>
      <c r="J2551" s="40" t="n">
        <f aca="false">H2551-I2551</f>
        <v>3.99</v>
      </c>
      <c r="K2551" s="41" t="n">
        <v>34</v>
      </c>
      <c r="L2551" s="42" t="n">
        <f aca="false">J2551*K2551</f>
        <v>135.66</v>
      </c>
      <c r="M2551" s="43" t="n">
        <f aca="false">H2551*17.34*(1+'Chart of Accounts'!$E$67)</f>
        <v>79.218657</v>
      </c>
    </row>
    <row r="2552" customFormat="false" ht="15" hidden="false" customHeight="false" outlineLevel="0" collapsed="false">
      <c r="B2552" s="7" t="s">
        <v>3049</v>
      </c>
      <c r="C2552" s="39" t="n">
        <v>45786</v>
      </c>
      <c r="D2552" s="7" t="s">
        <v>319</v>
      </c>
      <c r="E2552" s="7" t="s">
        <v>157</v>
      </c>
      <c r="F2552" s="7" t="s">
        <v>234</v>
      </c>
      <c r="G2552" s="7" t="s">
        <v>502</v>
      </c>
      <c r="H2552" s="6" t="n">
        <v>1.06</v>
      </c>
      <c r="I2552" s="6" t="n">
        <v>0</v>
      </c>
      <c r="J2552" s="40" t="n">
        <f aca="false">H2552-I2552</f>
        <v>1.06</v>
      </c>
      <c r="K2552" s="41" t="n">
        <v>165</v>
      </c>
      <c r="L2552" s="42" t="n">
        <f aca="false">J2552*K2552</f>
        <v>174.9</v>
      </c>
      <c r="M2552" s="43" t="n">
        <f aca="false">H2552*89.53*(1+'Chart of Accounts'!$E$67)</f>
        <v>108.662561</v>
      </c>
    </row>
    <row r="2553" customFormat="false" ht="15" hidden="false" customHeight="false" outlineLevel="0" collapsed="false">
      <c r="B2553" s="7" t="s">
        <v>3050</v>
      </c>
      <c r="C2553" s="39" t="n">
        <v>45786</v>
      </c>
      <c r="D2553" s="7" t="s">
        <v>321</v>
      </c>
      <c r="E2553" s="7" t="s">
        <v>154</v>
      </c>
      <c r="F2553" s="7" t="s">
        <v>218</v>
      </c>
      <c r="G2553" s="7" t="s">
        <v>505</v>
      </c>
      <c r="H2553" s="6" t="n">
        <v>3.89</v>
      </c>
      <c r="I2553" s="6" t="n">
        <v>0.117</v>
      </c>
      <c r="J2553" s="40" t="n">
        <f aca="false">H2553-I2553</f>
        <v>3.773</v>
      </c>
      <c r="K2553" s="41" t="n">
        <v>26.5</v>
      </c>
      <c r="L2553" s="42" t="n">
        <f aca="false">J2553*K2553</f>
        <v>99.9845</v>
      </c>
      <c r="M2553" s="43" t="n">
        <f aca="false">H2553*16.19*(1+'Chart of Accounts'!$E$67)</f>
        <v>72.1110695</v>
      </c>
    </row>
    <row r="2554" customFormat="false" ht="15" hidden="false" customHeight="false" outlineLevel="0" collapsed="false">
      <c r="B2554" s="7" t="s">
        <v>3051</v>
      </c>
      <c r="C2554" s="39" t="n">
        <v>45786</v>
      </c>
      <c r="D2554" s="7" t="s">
        <v>323</v>
      </c>
      <c r="E2554" s="7" t="s">
        <v>159</v>
      </c>
      <c r="F2554" s="7" t="s">
        <v>266</v>
      </c>
      <c r="G2554" s="7" t="s">
        <v>502</v>
      </c>
      <c r="H2554" s="6" t="n">
        <v>1.06</v>
      </c>
      <c r="I2554" s="6" t="n">
        <v>0</v>
      </c>
      <c r="J2554" s="40" t="n">
        <f aca="false">H2554-I2554</f>
        <v>1.06</v>
      </c>
      <c r="K2554" s="41" t="n">
        <v>135</v>
      </c>
      <c r="L2554" s="42" t="n">
        <f aca="false">J2554*K2554</f>
        <v>143.1</v>
      </c>
      <c r="M2554" s="43" t="n">
        <f aca="false">H2554*75.18*(1+'Chart of Accounts'!$E$67)</f>
        <v>91.245966</v>
      </c>
    </row>
    <row r="2555" customFormat="false" ht="15" hidden="false" customHeight="false" outlineLevel="0" collapsed="false">
      <c r="B2555" s="7" t="s">
        <v>3052</v>
      </c>
      <c r="C2555" s="39" t="n">
        <v>45786</v>
      </c>
      <c r="D2555" s="7" t="s">
        <v>327</v>
      </c>
      <c r="E2555" s="7" t="s">
        <v>157</v>
      </c>
      <c r="F2555" s="7" t="s">
        <v>228</v>
      </c>
      <c r="G2555" s="7" t="s">
        <v>502</v>
      </c>
      <c r="H2555" s="6" t="n">
        <v>1.1</v>
      </c>
      <c r="I2555" s="6" t="n">
        <v>0</v>
      </c>
      <c r="J2555" s="40" t="n">
        <f aca="false">H2555-I2555</f>
        <v>1.1</v>
      </c>
      <c r="K2555" s="41" t="n">
        <v>165</v>
      </c>
      <c r="L2555" s="42" t="n">
        <f aca="false">J2555*K2555</f>
        <v>181.5</v>
      </c>
      <c r="M2555" s="43" t="n">
        <f aca="false">H2555*51.07*(1+'Chart of Accounts'!$E$67)</f>
        <v>64.322665</v>
      </c>
    </row>
    <row r="2556" customFormat="false" ht="15" hidden="false" customHeight="false" outlineLevel="0" collapsed="false">
      <c r="B2556" s="7" t="s">
        <v>3053</v>
      </c>
      <c r="C2556" s="39" t="n">
        <v>45786</v>
      </c>
      <c r="D2556" s="7" t="s">
        <v>329</v>
      </c>
      <c r="E2556" s="7" t="s">
        <v>156</v>
      </c>
      <c r="F2556" s="7" t="s">
        <v>220</v>
      </c>
      <c r="G2556" s="7" t="s">
        <v>505</v>
      </c>
      <c r="H2556" s="6" t="n">
        <v>3.65</v>
      </c>
      <c r="I2556" s="6" t="n">
        <v>0</v>
      </c>
      <c r="J2556" s="40" t="n">
        <f aca="false">H2556-I2556</f>
        <v>3.65</v>
      </c>
      <c r="K2556" s="41" t="n">
        <v>34</v>
      </c>
      <c r="L2556" s="42" t="n">
        <f aca="false">J2556*K2556</f>
        <v>124.1</v>
      </c>
      <c r="M2556" s="43" t="n">
        <f aca="false">H2556*16.43*(1+'Chart of Accounts'!$E$67)</f>
        <v>68.6650775</v>
      </c>
    </row>
    <row r="2557" customFormat="false" ht="15" hidden="false" customHeight="false" outlineLevel="0" collapsed="false">
      <c r="B2557" s="7" t="s">
        <v>3054</v>
      </c>
      <c r="C2557" s="39" t="n">
        <v>45786</v>
      </c>
      <c r="D2557" s="7" t="s">
        <v>335</v>
      </c>
      <c r="E2557" s="7" t="s">
        <v>154</v>
      </c>
      <c r="F2557" s="7" t="s">
        <v>177</v>
      </c>
      <c r="G2557" s="7" t="s">
        <v>505</v>
      </c>
      <c r="H2557" s="6" t="n">
        <v>4.36</v>
      </c>
      <c r="I2557" s="6" t="n">
        <v>0</v>
      </c>
      <c r="J2557" s="40" t="n">
        <f aca="false">H2557-I2557</f>
        <v>4.36</v>
      </c>
      <c r="K2557" s="41" t="n">
        <v>26.5</v>
      </c>
      <c r="L2557" s="42" t="n">
        <f aca="false">J2557*K2557</f>
        <v>115.54</v>
      </c>
      <c r="M2557" s="43" t="n">
        <f aca="false">H2557*14.56*(1+'Chart of Accounts'!$E$67)</f>
        <v>72.686432</v>
      </c>
    </row>
    <row r="2558" customFormat="false" ht="15" hidden="false" customHeight="false" outlineLevel="0" collapsed="false">
      <c r="B2558" s="7" t="s">
        <v>3055</v>
      </c>
      <c r="C2558" s="39" t="n">
        <v>45786</v>
      </c>
      <c r="D2558" s="7" t="s">
        <v>339</v>
      </c>
      <c r="E2558" s="7" t="s">
        <v>154</v>
      </c>
      <c r="F2558" s="7" t="s">
        <v>242</v>
      </c>
      <c r="G2558" s="7" t="s">
        <v>505</v>
      </c>
      <c r="H2558" s="6" t="n">
        <v>3.23</v>
      </c>
      <c r="I2558" s="6" t="n">
        <v>0.097</v>
      </c>
      <c r="J2558" s="40" t="n">
        <f aca="false">H2558-I2558</f>
        <v>3.133</v>
      </c>
      <c r="K2558" s="41" t="n">
        <v>26.5</v>
      </c>
      <c r="L2558" s="42" t="n">
        <f aca="false">J2558*K2558</f>
        <v>83.0245</v>
      </c>
      <c r="M2558" s="43" t="n">
        <f aca="false">H2558*17.99*(1+'Chart of Accounts'!$E$67)</f>
        <v>66.5333165</v>
      </c>
    </row>
    <row r="2559" customFormat="false" ht="15" hidden="false" customHeight="false" outlineLevel="0" collapsed="false">
      <c r="B2559" s="7" t="s">
        <v>3056</v>
      </c>
      <c r="C2559" s="39" t="n">
        <v>45786</v>
      </c>
      <c r="D2559" s="7" t="s">
        <v>353</v>
      </c>
      <c r="E2559" s="7" t="s">
        <v>154</v>
      </c>
      <c r="F2559" s="7" t="s">
        <v>254</v>
      </c>
      <c r="G2559" s="7" t="s">
        <v>505</v>
      </c>
      <c r="H2559" s="6" t="n">
        <v>3.48</v>
      </c>
      <c r="I2559" s="6" t="n">
        <v>0.104</v>
      </c>
      <c r="J2559" s="40" t="n">
        <f aca="false">H2559-I2559</f>
        <v>3.376</v>
      </c>
      <c r="K2559" s="41" t="n">
        <v>26.5</v>
      </c>
      <c r="L2559" s="42" t="n">
        <f aca="false">J2559*K2559</f>
        <v>89.464</v>
      </c>
      <c r="M2559" s="43" t="n">
        <f aca="false">H2559*17.1*(1+'Chart of Accounts'!$E$67)</f>
        <v>68.13666</v>
      </c>
    </row>
    <row r="2560" customFormat="false" ht="15" hidden="false" customHeight="false" outlineLevel="0" collapsed="false">
      <c r="B2560" s="7" t="s">
        <v>3057</v>
      </c>
      <c r="C2560" s="39" t="n">
        <v>45786</v>
      </c>
      <c r="D2560" s="7" t="s">
        <v>355</v>
      </c>
      <c r="E2560" s="7" t="s">
        <v>154</v>
      </c>
      <c r="F2560" s="7" t="s">
        <v>201</v>
      </c>
      <c r="G2560" s="7" t="s">
        <v>505</v>
      </c>
      <c r="H2560" s="6" t="n">
        <v>3.26</v>
      </c>
      <c r="I2560" s="6" t="n">
        <v>0</v>
      </c>
      <c r="J2560" s="40" t="n">
        <f aca="false">H2560-I2560</f>
        <v>3.26</v>
      </c>
      <c r="K2560" s="41" t="n">
        <v>26.5</v>
      </c>
      <c r="L2560" s="42" t="n">
        <f aca="false">J2560*K2560</f>
        <v>86.39</v>
      </c>
      <c r="M2560" s="43" t="n">
        <f aca="false">H2560*15.19*(1+'Chart of Accounts'!$E$67)</f>
        <v>56.699713</v>
      </c>
    </row>
    <row r="2561" customFormat="false" ht="15" hidden="false" customHeight="false" outlineLevel="0" collapsed="false">
      <c r="B2561" s="7" t="s">
        <v>3058</v>
      </c>
      <c r="C2561" s="39" t="n">
        <v>45786</v>
      </c>
      <c r="D2561" s="7" t="s">
        <v>357</v>
      </c>
      <c r="E2561" s="7" t="s">
        <v>154</v>
      </c>
      <c r="F2561" s="7" t="s">
        <v>207</v>
      </c>
      <c r="G2561" s="7" t="s">
        <v>505</v>
      </c>
      <c r="H2561" s="6" t="n">
        <v>3.11</v>
      </c>
      <c r="I2561" s="6" t="n">
        <v>0</v>
      </c>
      <c r="J2561" s="40" t="n">
        <f aca="false">H2561-I2561</f>
        <v>3.11</v>
      </c>
      <c r="K2561" s="41" t="n">
        <v>26.5</v>
      </c>
      <c r="L2561" s="42" t="n">
        <f aca="false">J2561*K2561</f>
        <v>82.415</v>
      </c>
      <c r="M2561" s="43" t="n">
        <f aca="false">H2561*16.65*(1+'Chart of Accounts'!$E$67)</f>
        <v>59.2898175</v>
      </c>
    </row>
    <row r="2562" customFormat="false" ht="15" hidden="false" customHeight="false" outlineLevel="0" collapsed="false">
      <c r="B2562" s="7" t="s">
        <v>3059</v>
      </c>
      <c r="C2562" s="39" t="n">
        <v>45786</v>
      </c>
      <c r="D2562" s="7" t="s">
        <v>359</v>
      </c>
      <c r="E2562" s="7" t="s">
        <v>156</v>
      </c>
      <c r="F2562" s="7" t="s">
        <v>212</v>
      </c>
      <c r="G2562" s="7" t="s">
        <v>505</v>
      </c>
      <c r="H2562" s="6" t="n">
        <v>4.39</v>
      </c>
      <c r="I2562" s="6" t="n">
        <v>0</v>
      </c>
      <c r="J2562" s="40" t="n">
        <f aca="false">H2562-I2562</f>
        <v>4.39</v>
      </c>
      <c r="K2562" s="41" t="n">
        <v>34</v>
      </c>
      <c r="L2562" s="42" t="n">
        <f aca="false">J2562*K2562</f>
        <v>149.26</v>
      </c>
      <c r="M2562" s="43" t="n">
        <f aca="false">H2562*16.71*(1+'Chart of Accounts'!$E$67)</f>
        <v>83.9936505</v>
      </c>
    </row>
    <row r="2563" customFormat="false" ht="15" hidden="false" customHeight="false" outlineLevel="0" collapsed="false">
      <c r="B2563" s="7" t="s">
        <v>3060</v>
      </c>
      <c r="C2563" s="39" t="n">
        <v>45786</v>
      </c>
      <c r="D2563" s="7" t="s">
        <v>361</v>
      </c>
      <c r="E2563" s="7" t="s">
        <v>157</v>
      </c>
      <c r="F2563" s="7" t="s">
        <v>209</v>
      </c>
      <c r="G2563" s="7" t="s">
        <v>502</v>
      </c>
      <c r="H2563" s="6" t="n">
        <v>0.99</v>
      </c>
      <c r="I2563" s="6" t="n">
        <v>0</v>
      </c>
      <c r="J2563" s="40" t="n">
        <f aca="false">H2563-I2563</f>
        <v>0.99</v>
      </c>
      <c r="K2563" s="41" t="n">
        <v>165</v>
      </c>
      <c r="L2563" s="42" t="n">
        <f aca="false">J2563*K2563</f>
        <v>163.35</v>
      </c>
      <c r="M2563" s="43" t="n">
        <f aca="false">H2563*73.58*(1+'Chart of Accounts'!$E$67)</f>
        <v>83.406609</v>
      </c>
    </row>
    <row r="2564" customFormat="false" ht="15" hidden="false" customHeight="false" outlineLevel="0" collapsed="false">
      <c r="B2564" s="7" t="s">
        <v>3061</v>
      </c>
      <c r="C2564" s="39" t="n">
        <v>45786</v>
      </c>
      <c r="D2564" s="7" t="s">
        <v>365</v>
      </c>
      <c r="E2564" s="7" t="s">
        <v>154</v>
      </c>
      <c r="F2564" s="7" t="s">
        <v>194</v>
      </c>
      <c r="G2564" s="7" t="s">
        <v>505</v>
      </c>
      <c r="H2564" s="6" t="n">
        <v>4.11</v>
      </c>
      <c r="I2564" s="6" t="n">
        <v>0.123</v>
      </c>
      <c r="J2564" s="40" t="n">
        <f aca="false">H2564-I2564</f>
        <v>3.987</v>
      </c>
      <c r="K2564" s="41" t="n">
        <v>26.5</v>
      </c>
      <c r="L2564" s="42" t="n">
        <f aca="false">J2564*K2564</f>
        <v>105.6555</v>
      </c>
      <c r="M2564" s="43" t="n">
        <f aca="false">H2564*16*(1+'Chart of Accounts'!$E$67)</f>
        <v>75.2952</v>
      </c>
    </row>
    <row r="2565" customFormat="false" ht="15" hidden="false" customHeight="false" outlineLevel="0" collapsed="false">
      <c r="B2565" s="7" t="s">
        <v>3062</v>
      </c>
      <c r="C2565" s="39" t="n">
        <v>45786</v>
      </c>
      <c r="D2565" s="7" t="s">
        <v>371</v>
      </c>
      <c r="E2565" s="7" t="s">
        <v>154</v>
      </c>
      <c r="F2565" s="7" t="s">
        <v>232</v>
      </c>
      <c r="G2565" s="7" t="s">
        <v>505</v>
      </c>
      <c r="H2565" s="6" t="n">
        <v>4.31</v>
      </c>
      <c r="I2565" s="6" t="n">
        <v>0</v>
      </c>
      <c r="J2565" s="40" t="n">
        <f aca="false">H2565-I2565</f>
        <v>4.31</v>
      </c>
      <c r="K2565" s="41" t="n">
        <v>26.5</v>
      </c>
      <c r="L2565" s="42" t="n">
        <f aca="false">J2565*K2565</f>
        <v>114.215</v>
      </c>
      <c r="M2565" s="43" t="n">
        <f aca="false">H2565*16.17*(1+'Chart of Accounts'!$E$67)</f>
        <v>79.7981415</v>
      </c>
    </row>
    <row r="2566" customFormat="false" ht="15" hidden="false" customHeight="false" outlineLevel="0" collapsed="false">
      <c r="B2566" s="7" t="s">
        <v>3063</v>
      </c>
      <c r="C2566" s="39" t="n">
        <v>45786</v>
      </c>
      <c r="D2566" s="7" t="s">
        <v>379</v>
      </c>
      <c r="E2566" s="7" t="s">
        <v>156</v>
      </c>
      <c r="F2566" s="7" t="s">
        <v>224</v>
      </c>
      <c r="G2566" s="7" t="s">
        <v>505</v>
      </c>
      <c r="H2566" s="6" t="n">
        <v>5.05</v>
      </c>
      <c r="I2566" s="6" t="n">
        <v>0</v>
      </c>
      <c r="J2566" s="40" t="n">
        <f aca="false">H2566-I2566</f>
        <v>5.05</v>
      </c>
      <c r="K2566" s="41" t="n">
        <v>34</v>
      </c>
      <c r="L2566" s="42" t="n">
        <f aca="false">J2566*K2566</f>
        <v>171.7</v>
      </c>
      <c r="M2566" s="43" t="n">
        <f aca="false">H2566*14.93*(1+'Chart of Accounts'!$E$67)</f>
        <v>86.3289925</v>
      </c>
    </row>
    <row r="2567" customFormat="false" ht="15" hidden="false" customHeight="false" outlineLevel="0" collapsed="false">
      <c r="B2567" s="7" t="s">
        <v>3064</v>
      </c>
      <c r="C2567" s="39" t="n">
        <v>45786</v>
      </c>
      <c r="D2567" s="7" t="s">
        <v>381</v>
      </c>
      <c r="E2567" s="7" t="s">
        <v>157</v>
      </c>
      <c r="F2567" s="7" t="s">
        <v>234</v>
      </c>
      <c r="G2567" s="7" t="s">
        <v>502</v>
      </c>
      <c r="H2567" s="6" t="n">
        <v>1.1</v>
      </c>
      <c r="I2567" s="6" t="n">
        <v>0</v>
      </c>
      <c r="J2567" s="40" t="n">
        <f aca="false">H2567-I2567</f>
        <v>1.1</v>
      </c>
      <c r="K2567" s="41" t="n">
        <v>165</v>
      </c>
      <c r="L2567" s="42" t="n">
        <f aca="false">J2567*K2567</f>
        <v>181.5</v>
      </c>
      <c r="M2567" s="43" t="n">
        <f aca="false">H2567*89.53*(1+'Chart of Accounts'!$E$67)</f>
        <v>112.763035</v>
      </c>
    </row>
    <row r="2568" customFormat="false" ht="15" hidden="false" customHeight="false" outlineLevel="0" collapsed="false">
      <c r="B2568" s="7" t="s">
        <v>3065</v>
      </c>
      <c r="C2568" s="39" t="n">
        <v>45786</v>
      </c>
      <c r="D2568" s="7" t="s">
        <v>385</v>
      </c>
      <c r="E2568" s="7" t="s">
        <v>156</v>
      </c>
      <c r="F2568" s="7" t="s">
        <v>238</v>
      </c>
      <c r="G2568" s="7" t="s">
        <v>505</v>
      </c>
      <c r="H2568" s="6" t="n">
        <v>3.68</v>
      </c>
      <c r="I2568" s="6" t="n">
        <v>0</v>
      </c>
      <c r="J2568" s="40" t="n">
        <f aca="false">H2568-I2568</f>
        <v>3.68</v>
      </c>
      <c r="K2568" s="41" t="n">
        <v>34</v>
      </c>
      <c r="L2568" s="42" t="n">
        <f aca="false">J2568*K2568</f>
        <v>125.12</v>
      </c>
      <c r="M2568" s="43" t="n">
        <f aca="false">H2568*15.85*(1+'Chart of Accounts'!$E$67)</f>
        <v>66.78556</v>
      </c>
    </row>
    <row r="2569" customFormat="false" ht="15" hidden="false" customHeight="false" outlineLevel="0" collapsed="false">
      <c r="B2569" s="7" t="s">
        <v>3066</v>
      </c>
      <c r="C2569" s="39" t="n">
        <v>45786</v>
      </c>
      <c r="D2569" s="7" t="s">
        <v>389</v>
      </c>
      <c r="E2569" s="7" t="s">
        <v>154</v>
      </c>
      <c r="F2569" s="7" t="s">
        <v>246</v>
      </c>
      <c r="G2569" s="7" t="s">
        <v>505</v>
      </c>
      <c r="H2569" s="6" t="n">
        <v>4.4</v>
      </c>
      <c r="I2569" s="6" t="n">
        <v>0</v>
      </c>
      <c r="J2569" s="40" t="n">
        <f aca="false">H2569-I2569</f>
        <v>4.4</v>
      </c>
      <c r="K2569" s="41" t="n">
        <v>26.5</v>
      </c>
      <c r="L2569" s="42" t="n">
        <f aca="false">J2569*K2569</f>
        <v>116.6</v>
      </c>
      <c r="M2569" s="43" t="n">
        <f aca="false">H2569*16.48*(1+'Chart of Accounts'!$E$67)</f>
        <v>83.02624</v>
      </c>
    </row>
    <row r="2570" customFormat="false" ht="15" hidden="false" customHeight="false" outlineLevel="0" collapsed="false">
      <c r="B2570" s="7" t="s">
        <v>3067</v>
      </c>
      <c r="C2570" s="39" t="n">
        <v>45786</v>
      </c>
      <c r="D2570" s="7" t="s">
        <v>391</v>
      </c>
      <c r="E2570" s="7" t="s">
        <v>156</v>
      </c>
      <c r="F2570" s="7" t="s">
        <v>222</v>
      </c>
      <c r="G2570" s="7" t="s">
        <v>505</v>
      </c>
      <c r="H2570" s="6" t="n">
        <v>3.7</v>
      </c>
      <c r="I2570" s="6" t="n">
        <v>0</v>
      </c>
      <c r="J2570" s="40" t="n">
        <f aca="false">H2570-I2570</f>
        <v>3.7</v>
      </c>
      <c r="K2570" s="41" t="n">
        <v>34</v>
      </c>
      <c r="L2570" s="42" t="n">
        <f aca="false">J2570*K2570</f>
        <v>125.8</v>
      </c>
      <c r="M2570" s="43" t="n">
        <f aca="false">H2570*17.84*(1+'Chart of Accounts'!$E$67)</f>
        <v>75.57916</v>
      </c>
    </row>
    <row r="2571" customFormat="false" ht="15" hidden="false" customHeight="false" outlineLevel="0" collapsed="false">
      <c r="B2571" s="7" t="s">
        <v>3068</v>
      </c>
      <c r="C2571" s="39" t="n">
        <v>45786</v>
      </c>
      <c r="D2571" s="7" t="s">
        <v>395</v>
      </c>
      <c r="E2571" s="7" t="s">
        <v>156</v>
      </c>
      <c r="F2571" s="7" t="s">
        <v>242</v>
      </c>
      <c r="G2571" s="7" t="s">
        <v>505</v>
      </c>
      <c r="H2571" s="6" t="n">
        <v>4.29</v>
      </c>
      <c r="I2571" s="6" t="n">
        <v>0</v>
      </c>
      <c r="J2571" s="40" t="n">
        <f aca="false">H2571-I2571</f>
        <v>4.29</v>
      </c>
      <c r="K2571" s="41" t="n">
        <v>34</v>
      </c>
      <c r="L2571" s="42" t="n">
        <f aca="false">J2571*K2571</f>
        <v>145.86</v>
      </c>
      <c r="M2571" s="43" t="n">
        <f aca="false">H2571*17.99*(1+'Chart of Accounts'!$E$67)</f>
        <v>88.3677795</v>
      </c>
    </row>
    <row r="2572" customFormat="false" ht="15" hidden="false" customHeight="false" outlineLevel="0" collapsed="false">
      <c r="B2572" s="7" t="s">
        <v>3069</v>
      </c>
      <c r="C2572" s="39" t="n">
        <v>45786</v>
      </c>
      <c r="D2572" s="7" t="s">
        <v>397</v>
      </c>
      <c r="E2572" s="7" t="s">
        <v>159</v>
      </c>
      <c r="F2572" s="7" t="s">
        <v>203</v>
      </c>
      <c r="G2572" s="7" t="s">
        <v>502</v>
      </c>
      <c r="H2572" s="6" t="n">
        <v>1.04</v>
      </c>
      <c r="I2572" s="6" t="n">
        <v>0</v>
      </c>
      <c r="J2572" s="40" t="n">
        <f aca="false">H2572-I2572</f>
        <v>1.04</v>
      </c>
      <c r="K2572" s="41" t="n">
        <v>135</v>
      </c>
      <c r="L2572" s="42" t="n">
        <f aca="false">J2572*K2572</f>
        <v>140.4</v>
      </c>
      <c r="M2572" s="43" t="n">
        <f aca="false">H2572*49.43*(1+'Chart of Accounts'!$E$67)</f>
        <v>58.861244</v>
      </c>
    </row>
    <row r="2573" customFormat="false" ht="15" hidden="false" customHeight="false" outlineLevel="0" collapsed="false">
      <c r="B2573" s="7" t="s">
        <v>3070</v>
      </c>
      <c r="C2573" s="39" t="n">
        <v>45786</v>
      </c>
      <c r="D2573" s="7" t="s">
        <v>399</v>
      </c>
      <c r="E2573" s="7" t="s">
        <v>154</v>
      </c>
      <c r="F2573" s="7" t="s">
        <v>262</v>
      </c>
      <c r="G2573" s="7" t="s">
        <v>505</v>
      </c>
      <c r="H2573" s="6" t="n">
        <v>3.52</v>
      </c>
      <c r="I2573" s="6" t="n">
        <v>0.106</v>
      </c>
      <c r="J2573" s="40" t="n">
        <f aca="false">H2573-I2573</f>
        <v>3.414</v>
      </c>
      <c r="K2573" s="41" t="n">
        <v>26.5</v>
      </c>
      <c r="L2573" s="42" t="n">
        <f aca="false">J2573*K2573</f>
        <v>90.471</v>
      </c>
      <c r="M2573" s="43" t="n">
        <f aca="false">H2573*16.02*(1+'Chart of Accounts'!$E$67)</f>
        <v>64.567008</v>
      </c>
    </row>
    <row r="2574" customFormat="false" ht="15" hidden="false" customHeight="false" outlineLevel="0" collapsed="false">
      <c r="B2574" s="7" t="s">
        <v>3071</v>
      </c>
      <c r="C2574" s="39" t="n">
        <v>45786</v>
      </c>
      <c r="D2574" s="7" t="s">
        <v>401</v>
      </c>
      <c r="E2574" s="7" t="s">
        <v>156</v>
      </c>
      <c r="F2574" s="7" t="s">
        <v>254</v>
      </c>
      <c r="G2574" s="7" t="s">
        <v>505</v>
      </c>
      <c r="H2574" s="6" t="n">
        <v>4.27</v>
      </c>
      <c r="I2574" s="6" t="n">
        <v>0</v>
      </c>
      <c r="J2574" s="40" t="n">
        <f aca="false">H2574-I2574</f>
        <v>4.27</v>
      </c>
      <c r="K2574" s="41" t="n">
        <v>34</v>
      </c>
      <c r="L2574" s="42" t="n">
        <f aca="false">J2574*K2574</f>
        <v>145.18</v>
      </c>
      <c r="M2574" s="43" t="n">
        <f aca="false">H2574*17.1*(1+'Chart of Accounts'!$E$67)</f>
        <v>83.604465</v>
      </c>
    </row>
    <row r="2575" customFormat="false" ht="15" hidden="false" customHeight="false" outlineLevel="0" collapsed="false">
      <c r="B2575" s="7" t="s">
        <v>3072</v>
      </c>
      <c r="C2575" s="39" t="n">
        <v>45786</v>
      </c>
      <c r="D2575" s="7" t="s">
        <v>407</v>
      </c>
      <c r="E2575" s="7" t="s">
        <v>159</v>
      </c>
      <c r="F2575" s="7" t="s">
        <v>260</v>
      </c>
      <c r="G2575" s="7" t="s">
        <v>502</v>
      </c>
      <c r="H2575" s="6" t="n">
        <v>1.03</v>
      </c>
      <c r="I2575" s="6" t="n">
        <v>0</v>
      </c>
      <c r="J2575" s="40" t="n">
        <f aca="false">H2575-I2575</f>
        <v>1.03</v>
      </c>
      <c r="K2575" s="41" t="n">
        <v>135</v>
      </c>
      <c r="L2575" s="42" t="n">
        <f aca="false">J2575*K2575</f>
        <v>139.05</v>
      </c>
      <c r="M2575" s="43" t="n">
        <f aca="false">H2575*79.8*(1+'Chart of Accounts'!$E$67)</f>
        <v>94.11213</v>
      </c>
    </row>
    <row r="2576" customFormat="false" ht="15" hidden="false" customHeight="false" outlineLevel="0" collapsed="false">
      <c r="B2576" s="7" t="s">
        <v>3073</v>
      </c>
      <c r="C2576" s="39" t="n">
        <v>45786</v>
      </c>
      <c r="D2576" s="7" t="s">
        <v>409</v>
      </c>
      <c r="E2576" s="7" t="s">
        <v>154</v>
      </c>
      <c r="F2576" s="7" t="s">
        <v>214</v>
      </c>
      <c r="G2576" s="7" t="s">
        <v>505</v>
      </c>
      <c r="H2576" s="6" t="n">
        <v>3.44</v>
      </c>
      <c r="I2576" s="6" t="n">
        <v>0</v>
      </c>
      <c r="J2576" s="40" t="n">
        <f aca="false">H2576-I2576</f>
        <v>3.44</v>
      </c>
      <c r="K2576" s="41" t="n">
        <v>26.5</v>
      </c>
      <c r="L2576" s="42" t="n">
        <f aca="false">J2576*K2576</f>
        <v>91.16</v>
      </c>
      <c r="M2576" s="43" t="n">
        <f aca="false">H2576*15.67*(1+'Chart of Accounts'!$E$67)</f>
        <v>61.720996</v>
      </c>
    </row>
    <row r="2577" customFormat="false" ht="15" hidden="false" customHeight="false" outlineLevel="0" collapsed="false">
      <c r="B2577" s="7" t="s">
        <v>3074</v>
      </c>
      <c r="C2577" s="39" t="n">
        <v>45787</v>
      </c>
      <c r="D2577" s="7" t="s">
        <v>288</v>
      </c>
      <c r="E2577" s="7" t="s">
        <v>156</v>
      </c>
      <c r="F2577" s="7" t="s">
        <v>191</v>
      </c>
      <c r="G2577" s="7" t="s">
        <v>505</v>
      </c>
      <c r="H2577" s="6" t="n">
        <v>4.24</v>
      </c>
      <c r="I2577" s="6" t="n">
        <v>0</v>
      </c>
      <c r="J2577" s="40" t="n">
        <f aca="false">H2577-I2577</f>
        <v>4.24</v>
      </c>
      <c r="K2577" s="41" t="n">
        <v>34</v>
      </c>
      <c r="L2577" s="42" t="n">
        <f aca="false">J2577*K2577</f>
        <v>144.16</v>
      </c>
      <c r="M2577" s="43" t="n">
        <f aca="false">H2577*16.05*(1+'Chart of Accounts'!$E$67)</f>
        <v>77.91954</v>
      </c>
    </row>
    <row r="2578" customFormat="false" ht="15" hidden="false" customHeight="false" outlineLevel="0" collapsed="false">
      <c r="B2578" s="7" t="s">
        <v>3075</v>
      </c>
      <c r="C2578" s="39" t="n">
        <v>45787</v>
      </c>
      <c r="D2578" s="7" t="s">
        <v>321</v>
      </c>
      <c r="E2578" s="7" t="s">
        <v>154</v>
      </c>
      <c r="F2578" s="7" t="s">
        <v>218</v>
      </c>
      <c r="G2578" s="7" t="s">
        <v>505</v>
      </c>
      <c r="H2578" s="6" t="n">
        <v>3.76</v>
      </c>
      <c r="I2578" s="6" t="n">
        <v>0</v>
      </c>
      <c r="J2578" s="40" t="n">
        <f aca="false">H2578-I2578</f>
        <v>3.76</v>
      </c>
      <c r="K2578" s="41" t="n">
        <v>26.5</v>
      </c>
      <c r="L2578" s="42" t="n">
        <f aca="false">J2578*K2578</f>
        <v>99.64</v>
      </c>
      <c r="M2578" s="43" t="n">
        <f aca="false">H2578*16.19*(1+'Chart of Accounts'!$E$67)</f>
        <v>69.701188</v>
      </c>
    </row>
    <row r="2579" customFormat="false" ht="15" hidden="false" customHeight="false" outlineLevel="0" collapsed="false">
      <c r="B2579" s="7" t="s">
        <v>3076</v>
      </c>
      <c r="C2579" s="39" t="n">
        <v>45787</v>
      </c>
      <c r="D2579" s="7" t="s">
        <v>359</v>
      </c>
      <c r="E2579" s="7" t="s">
        <v>156</v>
      </c>
      <c r="F2579" s="7" t="s">
        <v>212</v>
      </c>
      <c r="G2579" s="7" t="s">
        <v>505</v>
      </c>
      <c r="H2579" s="6" t="n">
        <v>4.28</v>
      </c>
      <c r="I2579" s="6" t="n">
        <v>0</v>
      </c>
      <c r="J2579" s="40" t="n">
        <f aca="false">H2579-I2579</f>
        <v>4.28</v>
      </c>
      <c r="K2579" s="41" t="n">
        <v>34</v>
      </c>
      <c r="L2579" s="42" t="n">
        <f aca="false">J2579*K2579</f>
        <v>145.52</v>
      </c>
      <c r="M2579" s="43" t="n">
        <f aca="false">H2579*16.71*(1+'Chart of Accounts'!$E$67)</f>
        <v>81.889026</v>
      </c>
    </row>
    <row r="2580" customFormat="false" ht="15" hidden="false" customHeight="false" outlineLevel="0" collapsed="false">
      <c r="B2580" s="7" t="s">
        <v>3077</v>
      </c>
      <c r="C2580" s="39" t="n">
        <v>45787</v>
      </c>
      <c r="D2580" s="7" t="s">
        <v>391</v>
      </c>
      <c r="E2580" s="7" t="s">
        <v>156</v>
      </c>
      <c r="F2580" s="7" t="s">
        <v>222</v>
      </c>
      <c r="G2580" s="7" t="s">
        <v>505</v>
      </c>
      <c r="H2580" s="6" t="n">
        <v>4</v>
      </c>
      <c r="I2580" s="6" t="n">
        <v>0</v>
      </c>
      <c r="J2580" s="40" t="n">
        <f aca="false">H2580-I2580</f>
        <v>4</v>
      </c>
      <c r="K2580" s="41" t="n">
        <v>34</v>
      </c>
      <c r="L2580" s="42" t="n">
        <f aca="false">J2580*K2580</f>
        <v>136</v>
      </c>
      <c r="M2580" s="43" t="n">
        <f aca="false">H2580*17.84*(1+'Chart of Accounts'!$E$67)</f>
        <v>81.7072</v>
      </c>
    </row>
    <row r="2581" customFormat="false" ht="15" hidden="false" customHeight="false" outlineLevel="0" collapsed="false">
      <c r="B2581" s="7" t="s">
        <v>3078</v>
      </c>
      <c r="C2581" s="39" t="n">
        <v>45787</v>
      </c>
      <c r="D2581" s="7" t="s">
        <v>395</v>
      </c>
      <c r="E2581" s="7" t="s">
        <v>156</v>
      </c>
      <c r="F2581" s="7" t="s">
        <v>242</v>
      </c>
      <c r="G2581" s="7" t="s">
        <v>505</v>
      </c>
      <c r="H2581" s="6" t="n">
        <v>3.94</v>
      </c>
      <c r="I2581" s="6" t="n">
        <v>0</v>
      </c>
      <c r="J2581" s="40" t="n">
        <f aca="false">H2581-I2581</f>
        <v>3.94</v>
      </c>
      <c r="K2581" s="41" t="n">
        <v>34</v>
      </c>
      <c r="L2581" s="42" t="n">
        <f aca="false">J2581*K2581</f>
        <v>133.96</v>
      </c>
      <c r="M2581" s="43" t="n">
        <f aca="false">H2581*17.99*(1+'Chart of Accounts'!$E$67)</f>
        <v>81.158287</v>
      </c>
    </row>
    <row r="2582" customFormat="false" ht="15" hidden="false" customHeight="false" outlineLevel="0" collapsed="false">
      <c r="B2582" s="7" t="s">
        <v>3079</v>
      </c>
      <c r="C2582" s="39" t="n">
        <v>45787</v>
      </c>
      <c r="D2582" s="7" t="s">
        <v>401</v>
      </c>
      <c r="E2582" s="7" t="s">
        <v>156</v>
      </c>
      <c r="F2582" s="7" t="s">
        <v>254</v>
      </c>
      <c r="G2582" s="7" t="s">
        <v>505</v>
      </c>
      <c r="H2582" s="6" t="n">
        <v>3.84</v>
      </c>
      <c r="I2582" s="6" t="n">
        <v>0</v>
      </c>
      <c r="J2582" s="40" t="n">
        <f aca="false">H2582-I2582</f>
        <v>3.84</v>
      </c>
      <c r="K2582" s="41" t="n">
        <v>34</v>
      </c>
      <c r="L2582" s="42" t="n">
        <f aca="false">J2582*K2582</f>
        <v>130.56</v>
      </c>
      <c r="M2582" s="43" t="n">
        <f aca="false">H2582*17.1*(1+'Chart of Accounts'!$E$67)</f>
        <v>75.18528</v>
      </c>
    </row>
    <row r="2583" customFormat="false" ht="15" hidden="false" customHeight="false" outlineLevel="0" collapsed="false">
      <c r="B2583" s="7" t="s">
        <v>3080</v>
      </c>
      <c r="C2583" s="39" t="n">
        <v>45788</v>
      </c>
      <c r="D2583" s="7" t="s">
        <v>288</v>
      </c>
      <c r="E2583" s="7" t="s">
        <v>156</v>
      </c>
      <c r="F2583" s="7" t="s">
        <v>191</v>
      </c>
      <c r="G2583" s="7" t="s">
        <v>505</v>
      </c>
      <c r="H2583" s="6" t="n">
        <v>4.23</v>
      </c>
      <c r="I2583" s="6" t="n">
        <v>0</v>
      </c>
      <c r="J2583" s="40" t="n">
        <f aca="false">H2583-I2583</f>
        <v>4.23</v>
      </c>
      <c r="K2583" s="41" t="n">
        <v>34</v>
      </c>
      <c r="L2583" s="42" t="n">
        <f aca="false">J2583*K2583</f>
        <v>143.82</v>
      </c>
      <c r="M2583" s="43" t="n">
        <f aca="false">H2583*16.05*(1+'Chart of Accounts'!$E$67)</f>
        <v>77.7357675</v>
      </c>
    </row>
    <row r="2584" customFormat="false" ht="15" hidden="false" customHeight="false" outlineLevel="0" collapsed="false">
      <c r="B2584" s="7" t="s">
        <v>3081</v>
      </c>
      <c r="C2584" s="39" t="n">
        <v>45788</v>
      </c>
      <c r="D2584" s="7" t="s">
        <v>321</v>
      </c>
      <c r="E2584" s="7" t="s">
        <v>154</v>
      </c>
      <c r="F2584" s="7" t="s">
        <v>218</v>
      </c>
      <c r="G2584" s="7" t="s">
        <v>505</v>
      </c>
      <c r="H2584" s="6" t="n">
        <v>4.06</v>
      </c>
      <c r="I2584" s="6" t="n">
        <v>0</v>
      </c>
      <c r="J2584" s="40" t="n">
        <f aca="false">H2584-I2584</f>
        <v>4.06</v>
      </c>
      <c r="K2584" s="41" t="n">
        <v>26.5</v>
      </c>
      <c r="L2584" s="42" t="n">
        <f aca="false">J2584*K2584</f>
        <v>107.59</v>
      </c>
      <c r="M2584" s="43" t="n">
        <f aca="false">H2584*16.19*(1+'Chart of Accounts'!$E$67)</f>
        <v>75.262453</v>
      </c>
    </row>
    <row r="2585" customFormat="false" ht="15" hidden="false" customHeight="false" outlineLevel="0" collapsed="false">
      <c r="B2585" s="7" t="s">
        <v>3082</v>
      </c>
      <c r="C2585" s="39" t="n">
        <v>45788</v>
      </c>
      <c r="D2585" s="7" t="s">
        <v>359</v>
      </c>
      <c r="E2585" s="7" t="s">
        <v>156</v>
      </c>
      <c r="F2585" s="7" t="s">
        <v>212</v>
      </c>
      <c r="G2585" s="7" t="s">
        <v>505</v>
      </c>
      <c r="H2585" s="6" t="n">
        <v>4.39</v>
      </c>
      <c r="I2585" s="6" t="n">
        <v>0</v>
      </c>
      <c r="J2585" s="40" t="n">
        <f aca="false">H2585-I2585</f>
        <v>4.39</v>
      </c>
      <c r="K2585" s="41" t="n">
        <v>34</v>
      </c>
      <c r="L2585" s="42" t="n">
        <f aca="false">J2585*K2585</f>
        <v>149.26</v>
      </c>
      <c r="M2585" s="43" t="n">
        <f aca="false">H2585*16.71*(1+'Chart of Accounts'!$E$67)</f>
        <v>83.9936505</v>
      </c>
    </row>
    <row r="2586" customFormat="false" ht="15" hidden="false" customHeight="false" outlineLevel="0" collapsed="false">
      <c r="B2586" s="7" t="s">
        <v>3083</v>
      </c>
      <c r="C2586" s="39" t="n">
        <v>45788</v>
      </c>
      <c r="D2586" s="7" t="s">
        <v>391</v>
      </c>
      <c r="E2586" s="7" t="s">
        <v>156</v>
      </c>
      <c r="F2586" s="7" t="s">
        <v>222</v>
      </c>
      <c r="G2586" s="7" t="s">
        <v>505</v>
      </c>
      <c r="H2586" s="6" t="n">
        <v>3.77</v>
      </c>
      <c r="I2586" s="6" t="n">
        <v>0</v>
      </c>
      <c r="J2586" s="40" t="n">
        <f aca="false">H2586-I2586</f>
        <v>3.77</v>
      </c>
      <c r="K2586" s="41" t="n">
        <v>34</v>
      </c>
      <c r="L2586" s="42" t="n">
        <f aca="false">J2586*K2586</f>
        <v>128.18</v>
      </c>
      <c r="M2586" s="43" t="n">
        <f aca="false">H2586*17.84*(1+'Chart of Accounts'!$E$67)</f>
        <v>77.009036</v>
      </c>
    </row>
    <row r="2587" customFormat="false" ht="15" hidden="false" customHeight="false" outlineLevel="0" collapsed="false">
      <c r="B2587" s="7" t="s">
        <v>3084</v>
      </c>
      <c r="C2587" s="39" t="n">
        <v>45788</v>
      </c>
      <c r="D2587" s="7" t="s">
        <v>395</v>
      </c>
      <c r="E2587" s="7" t="s">
        <v>156</v>
      </c>
      <c r="F2587" s="7" t="s">
        <v>242</v>
      </c>
      <c r="G2587" s="7" t="s">
        <v>505</v>
      </c>
      <c r="H2587" s="6" t="n">
        <v>3.79</v>
      </c>
      <c r="I2587" s="6" t="n">
        <v>0</v>
      </c>
      <c r="J2587" s="40" t="n">
        <f aca="false">H2587-I2587</f>
        <v>3.79</v>
      </c>
      <c r="K2587" s="41" t="n">
        <v>34</v>
      </c>
      <c r="L2587" s="42" t="n">
        <f aca="false">J2587*K2587</f>
        <v>128.86</v>
      </c>
      <c r="M2587" s="43" t="n">
        <f aca="false">H2587*17.99*(1+'Chart of Accounts'!$E$67)</f>
        <v>78.0685045</v>
      </c>
    </row>
    <row r="2588" customFormat="false" ht="15" hidden="false" customHeight="false" outlineLevel="0" collapsed="false">
      <c r="B2588" s="7" t="s">
        <v>3085</v>
      </c>
      <c r="C2588" s="39" t="n">
        <v>45788</v>
      </c>
      <c r="D2588" s="7" t="s">
        <v>401</v>
      </c>
      <c r="E2588" s="7" t="s">
        <v>156</v>
      </c>
      <c r="F2588" s="7" t="s">
        <v>254</v>
      </c>
      <c r="G2588" s="7" t="s">
        <v>505</v>
      </c>
      <c r="H2588" s="6" t="n">
        <v>4.27</v>
      </c>
      <c r="I2588" s="6" t="n">
        <v>0</v>
      </c>
      <c r="J2588" s="40" t="n">
        <f aca="false">H2588-I2588</f>
        <v>4.27</v>
      </c>
      <c r="K2588" s="41" t="n">
        <v>34</v>
      </c>
      <c r="L2588" s="42" t="n">
        <f aca="false">J2588*K2588</f>
        <v>145.18</v>
      </c>
      <c r="M2588" s="43" t="n">
        <f aca="false">H2588*17.1*(1+'Chart of Accounts'!$E$67)</f>
        <v>83.604465</v>
      </c>
    </row>
    <row r="2589" customFormat="false" ht="15" hidden="false" customHeight="false" outlineLevel="0" collapsed="false">
      <c r="B2589" s="7" t="s">
        <v>3086</v>
      </c>
      <c r="C2589" s="39" t="n">
        <v>45789</v>
      </c>
      <c r="D2589" s="7" t="s">
        <v>280</v>
      </c>
      <c r="E2589" s="7" t="s">
        <v>157</v>
      </c>
      <c r="F2589" s="7" t="s">
        <v>187</v>
      </c>
      <c r="G2589" s="7" t="s">
        <v>502</v>
      </c>
      <c r="H2589" s="6" t="n">
        <v>0.94</v>
      </c>
      <c r="I2589" s="6" t="n">
        <v>0.047</v>
      </c>
      <c r="J2589" s="40" t="n">
        <f aca="false">H2589-I2589</f>
        <v>0.893</v>
      </c>
      <c r="K2589" s="41" t="n">
        <v>165</v>
      </c>
      <c r="L2589" s="42" t="n">
        <f aca="false">J2589*K2589</f>
        <v>147.345</v>
      </c>
      <c r="M2589" s="43" t="n">
        <f aca="false">H2589*66.48*(1+'Chart of Accounts'!$E$67)</f>
        <v>71.552424</v>
      </c>
    </row>
    <row r="2590" customFormat="false" ht="15" hidden="false" customHeight="false" outlineLevel="0" collapsed="false">
      <c r="B2590" s="7" t="s">
        <v>3087</v>
      </c>
      <c r="C2590" s="39" t="n">
        <v>45789</v>
      </c>
      <c r="D2590" s="7" t="s">
        <v>288</v>
      </c>
      <c r="E2590" s="7" t="s">
        <v>156</v>
      </c>
      <c r="F2590" s="7" t="s">
        <v>191</v>
      </c>
      <c r="G2590" s="7" t="s">
        <v>505</v>
      </c>
      <c r="H2590" s="6" t="n">
        <v>4.1</v>
      </c>
      <c r="I2590" s="6" t="n">
        <v>0</v>
      </c>
      <c r="J2590" s="40" t="n">
        <f aca="false">H2590-I2590</f>
        <v>4.1</v>
      </c>
      <c r="K2590" s="41" t="n">
        <v>34</v>
      </c>
      <c r="L2590" s="42" t="n">
        <f aca="false">J2590*K2590</f>
        <v>139.4</v>
      </c>
      <c r="M2590" s="43" t="n">
        <f aca="false">H2590*16.05*(1+'Chart of Accounts'!$E$67)</f>
        <v>75.346725</v>
      </c>
    </row>
    <row r="2591" customFormat="false" ht="15" hidden="false" customHeight="false" outlineLevel="0" collapsed="false">
      <c r="B2591" s="7" t="s">
        <v>3088</v>
      </c>
      <c r="C2591" s="39" t="n">
        <v>45789</v>
      </c>
      <c r="D2591" s="7" t="s">
        <v>291</v>
      </c>
      <c r="E2591" s="7" t="s">
        <v>154</v>
      </c>
      <c r="F2591" s="7" t="s">
        <v>194</v>
      </c>
      <c r="G2591" s="7" t="s">
        <v>505</v>
      </c>
      <c r="H2591" s="6" t="n">
        <v>4.56</v>
      </c>
      <c r="I2591" s="6" t="n">
        <v>0</v>
      </c>
      <c r="J2591" s="40" t="n">
        <f aca="false">H2591-I2591</f>
        <v>4.56</v>
      </c>
      <c r="K2591" s="41" t="n">
        <v>26.5</v>
      </c>
      <c r="L2591" s="42" t="n">
        <f aca="false">J2591*K2591</f>
        <v>120.84</v>
      </c>
      <c r="M2591" s="43" t="n">
        <f aca="false">H2591*16*(1+'Chart of Accounts'!$E$67)</f>
        <v>83.5392</v>
      </c>
    </row>
    <row r="2592" customFormat="false" ht="15" hidden="false" customHeight="false" outlineLevel="0" collapsed="false">
      <c r="B2592" s="7" t="s">
        <v>3089</v>
      </c>
      <c r="C2592" s="39" t="n">
        <v>45789</v>
      </c>
      <c r="D2592" s="7" t="s">
        <v>297</v>
      </c>
      <c r="E2592" s="7" t="s">
        <v>156</v>
      </c>
      <c r="F2592" s="7" t="s">
        <v>201</v>
      </c>
      <c r="G2592" s="7" t="s">
        <v>505</v>
      </c>
      <c r="H2592" s="6" t="n">
        <v>2.75</v>
      </c>
      <c r="I2592" s="6" t="n">
        <v>0</v>
      </c>
      <c r="J2592" s="40" t="n">
        <f aca="false">H2592-I2592</f>
        <v>2.75</v>
      </c>
      <c r="K2592" s="41" t="n">
        <v>34</v>
      </c>
      <c r="L2592" s="42" t="n">
        <f aca="false">J2592*K2592</f>
        <v>93.5</v>
      </c>
      <c r="M2592" s="43" t="n">
        <f aca="false">H2592*15.19*(1+'Chart of Accounts'!$E$67)</f>
        <v>47.8295125</v>
      </c>
    </row>
    <row r="2593" customFormat="false" ht="15" hidden="false" customHeight="false" outlineLevel="0" collapsed="false">
      <c r="B2593" s="7" t="s">
        <v>3090</v>
      </c>
      <c r="C2593" s="39" t="n">
        <v>45789</v>
      </c>
      <c r="D2593" s="7" t="s">
        <v>305</v>
      </c>
      <c r="E2593" s="7" t="s">
        <v>154</v>
      </c>
      <c r="F2593" s="7" t="s">
        <v>205</v>
      </c>
      <c r="G2593" s="7" t="s">
        <v>505</v>
      </c>
      <c r="H2593" s="6" t="n">
        <v>4.16</v>
      </c>
      <c r="I2593" s="6" t="n">
        <v>0.125</v>
      </c>
      <c r="J2593" s="40" t="n">
        <f aca="false">H2593-I2593</f>
        <v>4.035</v>
      </c>
      <c r="K2593" s="41" t="n">
        <v>26.5</v>
      </c>
      <c r="L2593" s="42" t="n">
        <f aca="false">J2593*K2593</f>
        <v>106.9275</v>
      </c>
      <c r="M2593" s="43" t="n">
        <f aca="false">H2593*16.36*(1+'Chart of Accounts'!$E$67)</f>
        <v>77.925952</v>
      </c>
    </row>
    <row r="2594" customFormat="false" ht="15" hidden="false" customHeight="false" outlineLevel="0" collapsed="false">
      <c r="B2594" s="7" t="s">
        <v>3091</v>
      </c>
      <c r="C2594" s="39" t="n">
        <v>45789</v>
      </c>
      <c r="D2594" s="7" t="s">
        <v>307</v>
      </c>
      <c r="E2594" s="7" t="s">
        <v>157</v>
      </c>
      <c r="F2594" s="7" t="s">
        <v>264</v>
      </c>
      <c r="G2594" s="7" t="s">
        <v>502</v>
      </c>
      <c r="H2594" s="6" t="n">
        <v>1.05</v>
      </c>
      <c r="I2594" s="6" t="n">
        <v>0</v>
      </c>
      <c r="J2594" s="40" t="n">
        <f aca="false">H2594-I2594</f>
        <v>1.05</v>
      </c>
      <c r="K2594" s="41" t="n">
        <v>165</v>
      </c>
      <c r="L2594" s="42" t="n">
        <f aca="false">J2594*K2594</f>
        <v>173.25</v>
      </c>
      <c r="M2594" s="43" t="n">
        <f aca="false">H2594*55.55*(1+'Chart of Accounts'!$E$67)</f>
        <v>66.7849875</v>
      </c>
    </row>
    <row r="2595" customFormat="false" ht="15" hidden="false" customHeight="false" outlineLevel="0" collapsed="false">
      <c r="B2595" s="7" t="s">
        <v>3092</v>
      </c>
      <c r="C2595" s="39" t="n">
        <v>45789</v>
      </c>
      <c r="D2595" s="7" t="s">
        <v>309</v>
      </c>
      <c r="E2595" s="7" t="s">
        <v>159</v>
      </c>
      <c r="F2595" s="7" t="s">
        <v>252</v>
      </c>
      <c r="G2595" s="7" t="s">
        <v>502</v>
      </c>
      <c r="H2595" s="6" t="n">
        <v>0.94</v>
      </c>
      <c r="I2595" s="6" t="n">
        <v>0</v>
      </c>
      <c r="J2595" s="40" t="n">
        <f aca="false">H2595-I2595</f>
        <v>0.94</v>
      </c>
      <c r="K2595" s="41" t="n">
        <v>135</v>
      </c>
      <c r="L2595" s="42" t="n">
        <f aca="false">J2595*K2595</f>
        <v>126.9</v>
      </c>
      <c r="M2595" s="43" t="n">
        <f aca="false">H2595*57.54*(1+'Chart of Accounts'!$E$67)</f>
        <v>61.930302</v>
      </c>
    </row>
    <row r="2596" customFormat="false" ht="15" hidden="false" customHeight="false" outlineLevel="0" collapsed="false">
      <c r="B2596" s="7" t="s">
        <v>3093</v>
      </c>
      <c r="C2596" s="39" t="n">
        <v>45789</v>
      </c>
      <c r="D2596" s="7" t="s">
        <v>311</v>
      </c>
      <c r="E2596" s="7" t="s">
        <v>154</v>
      </c>
      <c r="F2596" s="7" t="s">
        <v>196</v>
      </c>
      <c r="G2596" s="7" t="s">
        <v>505</v>
      </c>
      <c r="H2596" s="6" t="n">
        <v>3.19</v>
      </c>
      <c r="I2596" s="6" t="n">
        <v>0</v>
      </c>
      <c r="J2596" s="40" t="n">
        <f aca="false">H2596-I2596</f>
        <v>3.19</v>
      </c>
      <c r="K2596" s="41" t="n">
        <v>26.5</v>
      </c>
      <c r="L2596" s="42" t="n">
        <f aca="false">J2596*K2596</f>
        <v>84.535</v>
      </c>
      <c r="M2596" s="43" t="n">
        <f aca="false">H2596*15.05*(1+'Chart of Accounts'!$E$67)</f>
        <v>54.9708775</v>
      </c>
    </row>
    <row r="2597" customFormat="false" ht="15" hidden="false" customHeight="false" outlineLevel="0" collapsed="false">
      <c r="B2597" s="7" t="s">
        <v>3094</v>
      </c>
      <c r="C2597" s="39" t="n">
        <v>45789</v>
      </c>
      <c r="D2597" s="7" t="s">
        <v>313</v>
      </c>
      <c r="E2597" s="7" t="s">
        <v>156</v>
      </c>
      <c r="F2597" s="7" t="s">
        <v>184</v>
      </c>
      <c r="G2597" s="7" t="s">
        <v>505</v>
      </c>
      <c r="H2597" s="6" t="n">
        <v>3.72</v>
      </c>
      <c r="I2597" s="6" t="n">
        <v>0</v>
      </c>
      <c r="J2597" s="40" t="n">
        <f aca="false">H2597-I2597</f>
        <v>3.72</v>
      </c>
      <c r="K2597" s="41" t="n">
        <v>34</v>
      </c>
      <c r="L2597" s="42" t="n">
        <f aca="false">J2597*K2597</f>
        <v>126.48</v>
      </c>
      <c r="M2597" s="43" t="n">
        <f aca="false">H2597*17.34*(1+'Chart of Accounts'!$E$67)</f>
        <v>73.857996</v>
      </c>
    </row>
    <row r="2598" customFormat="false" ht="15" hidden="false" customHeight="false" outlineLevel="0" collapsed="false">
      <c r="B2598" s="7" t="s">
        <v>3095</v>
      </c>
      <c r="C2598" s="39" t="n">
        <v>45789</v>
      </c>
      <c r="D2598" s="7" t="s">
        <v>317</v>
      </c>
      <c r="E2598" s="7" t="s">
        <v>156</v>
      </c>
      <c r="F2598" s="7" t="s">
        <v>207</v>
      </c>
      <c r="G2598" s="7" t="s">
        <v>505</v>
      </c>
      <c r="H2598" s="6" t="n">
        <v>2.72</v>
      </c>
      <c r="I2598" s="6" t="n">
        <v>0</v>
      </c>
      <c r="J2598" s="40" t="n">
        <f aca="false">H2598-I2598</f>
        <v>2.72</v>
      </c>
      <c r="K2598" s="41" t="n">
        <v>34</v>
      </c>
      <c r="L2598" s="42" t="n">
        <f aca="false">J2598*K2598</f>
        <v>92.48</v>
      </c>
      <c r="M2598" s="43" t="n">
        <f aca="false">H2598*16.65*(1+'Chart of Accounts'!$E$67)</f>
        <v>51.85476</v>
      </c>
    </row>
    <row r="2599" customFormat="false" ht="15" hidden="false" customHeight="false" outlineLevel="0" collapsed="false">
      <c r="B2599" s="7" t="s">
        <v>3096</v>
      </c>
      <c r="C2599" s="39" t="n">
        <v>45789</v>
      </c>
      <c r="D2599" s="7" t="s">
        <v>321</v>
      </c>
      <c r="E2599" s="7" t="s">
        <v>154</v>
      </c>
      <c r="F2599" s="7" t="s">
        <v>218</v>
      </c>
      <c r="G2599" s="7" t="s">
        <v>505</v>
      </c>
      <c r="H2599" s="6" t="n">
        <v>3.7</v>
      </c>
      <c r="I2599" s="6" t="n">
        <v>0</v>
      </c>
      <c r="J2599" s="40" t="n">
        <f aca="false">H2599-I2599</f>
        <v>3.7</v>
      </c>
      <c r="K2599" s="41" t="n">
        <v>26.5</v>
      </c>
      <c r="L2599" s="42" t="n">
        <f aca="false">J2599*K2599</f>
        <v>98.05</v>
      </c>
      <c r="M2599" s="43" t="n">
        <f aca="false">H2599*16.19*(1+'Chart of Accounts'!$E$67)</f>
        <v>68.588935</v>
      </c>
    </row>
    <row r="2600" customFormat="false" ht="15" hidden="false" customHeight="false" outlineLevel="0" collapsed="false">
      <c r="B2600" s="7" t="s">
        <v>3097</v>
      </c>
      <c r="C2600" s="39" t="n">
        <v>45789</v>
      </c>
      <c r="D2600" s="7" t="s">
        <v>325</v>
      </c>
      <c r="E2600" s="7" t="s">
        <v>154</v>
      </c>
      <c r="F2600" s="7" t="s">
        <v>212</v>
      </c>
      <c r="G2600" s="7" t="s">
        <v>505</v>
      </c>
      <c r="H2600" s="6" t="n">
        <v>2.74</v>
      </c>
      <c r="I2600" s="6" t="n">
        <v>0</v>
      </c>
      <c r="J2600" s="40" t="n">
        <f aca="false">H2600-I2600</f>
        <v>2.74</v>
      </c>
      <c r="K2600" s="41" t="n">
        <v>26.5</v>
      </c>
      <c r="L2600" s="42" t="n">
        <f aca="false">J2600*K2600</f>
        <v>72.61</v>
      </c>
      <c r="M2600" s="43" t="n">
        <f aca="false">H2600*16.71*(1+'Chart of Accounts'!$E$67)</f>
        <v>52.424283</v>
      </c>
    </row>
    <row r="2601" customFormat="false" ht="15" hidden="false" customHeight="false" outlineLevel="0" collapsed="false">
      <c r="B2601" s="7" t="s">
        <v>3098</v>
      </c>
      <c r="C2601" s="39" t="n">
        <v>45789</v>
      </c>
      <c r="D2601" s="7" t="s">
        <v>329</v>
      </c>
      <c r="E2601" s="7" t="s">
        <v>156</v>
      </c>
      <c r="F2601" s="7" t="s">
        <v>220</v>
      </c>
      <c r="G2601" s="7" t="s">
        <v>505</v>
      </c>
      <c r="H2601" s="6" t="n">
        <v>3.87</v>
      </c>
      <c r="I2601" s="6" t="n">
        <v>0</v>
      </c>
      <c r="J2601" s="40" t="n">
        <f aca="false">H2601-I2601</f>
        <v>3.87</v>
      </c>
      <c r="K2601" s="41" t="n">
        <v>34</v>
      </c>
      <c r="L2601" s="42" t="n">
        <f aca="false">J2601*K2601</f>
        <v>131.58</v>
      </c>
      <c r="M2601" s="43" t="n">
        <f aca="false">H2601*16.43*(1+'Chart of Accounts'!$E$67)</f>
        <v>72.8037945</v>
      </c>
    </row>
    <row r="2602" customFormat="false" ht="15" hidden="false" customHeight="false" outlineLevel="0" collapsed="false">
      <c r="B2602" s="7" t="s">
        <v>3099</v>
      </c>
      <c r="C2602" s="39" t="n">
        <v>45789</v>
      </c>
      <c r="D2602" s="7" t="s">
        <v>335</v>
      </c>
      <c r="E2602" s="7" t="s">
        <v>154</v>
      </c>
      <c r="F2602" s="7" t="s">
        <v>177</v>
      </c>
      <c r="G2602" s="7" t="s">
        <v>505</v>
      </c>
      <c r="H2602" s="6" t="n">
        <v>4.38</v>
      </c>
      <c r="I2602" s="6" t="n">
        <v>0</v>
      </c>
      <c r="J2602" s="40" t="n">
        <f aca="false">H2602-I2602</f>
        <v>4.38</v>
      </c>
      <c r="K2602" s="41" t="n">
        <v>26.5</v>
      </c>
      <c r="L2602" s="42" t="n">
        <f aca="false">J2602*K2602</f>
        <v>116.07</v>
      </c>
      <c r="M2602" s="43" t="n">
        <f aca="false">H2602*14.56*(1+'Chart of Accounts'!$E$67)</f>
        <v>73.019856</v>
      </c>
    </row>
    <row r="2603" customFormat="false" ht="15" hidden="false" customHeight="false" outlineLevel="0" collapsed="false">
      <c r="B2603" s="7" t="s">
        <v>3100</v>
      </c>
      <c r="C2603" s="39" t="n">
        <v>45789</v>
      </c>
      <c r="D2603" s="7" t="s">
        <v>337</v>
      </c>
      <c r="E2603" s="7" t="s">
        <v>154</v>
      </c>
      <c r="F2603" s="7" t="s">
        <v>232</v>
      </c>
      <c r="G2603" s="7" t="s">
        <v>505</v>
      </c>
      <c r="H2603" s="6" t="n">
        <v>3.17</v>
      </c>
      <c r="I2603" s="6" t="n">
        <v>0</v>
      </c>
      <c r="J2603" s="40" t="n">
        <f aca="false">H2603-I2603</f>
        <v>3.17</v>
      </c>
      <c r="K2603" s="41" t="n">
        <v>26.5</v>
      </c>
      <c r="L2603" s="42" t="n">
        <f aca="false">J2603*K2603</f>
        <v>84.005</v>
      </c>
      <c r="M2603" s="43" t="n">
        <f aca="false">H2603*16.17*(1+'Chart of Accounts'!$E$67)</f>
        <v>58.6914405</v>
      </c>
    </row>
    <row r="2604" customFormat="false" ht="15" hidden="false" customHeight="false" outlineLevel="0" collapsed="false">
      <c r="B2604" s="7" t="s">
        <v>3101</v>
      </c>
      <c r="C2604" s="39" t="n">
        <v>45789</v>
      </c>
      <c r="D2604" s="7" t="s">
        <v>339</v>
      </c>
      <c r="E2604" s="7" t="s">
        <v>154</v>
      </c>
      <c r="F2604" s="7" t="s">
        <v>242</v>
      </c>
      <c r="G2604" s="7" t="s">
        <v>505</v>
      </c>
      <c r="H2604" s="6" t="n">
        <v>3.58</v>
      </c>
      <c r="I2604" s="6" t="n">
        <v>0</v>
      </c>
      <c r="J2604" s="40" t="n">
        <f aca="false">H2604-I2604</f>
        <v>3.58</v>
      </c>
      <c r="K2604" s="41" t="n">
        <v>26.5</v>
      </c>
      <c r="L2604" s="42" t="n">
        <f aca="false">J2604*K2604</f>
        <v>94.87</v>
      </c>
      <c r="M2604" s="43" t="n">
        <f aca="false">H2604*17.99*(1+'Chart of Accounts'!$E$67)</f>
        <v>73.742809</v>
      </c>
    </row>
    <row r="2605" customFormat="false" ht="15" hidden="false" customHeight="false" outlineLevel="0" collapsed="false">
      <c r="B2605" s="7" t="s">
        <v>3102</v>
      </c>
      <c r="C2605" s="39" t="n">
        <v>45789</v>
      </c>
      <c r="D2605" s="7" t="s">
        <v>341</v>
      </c>
      <c r="E2605" s="7" t="s">
        <v>156</v>
      </c>
      <c r="F2605" s="7" t="s">
        <v>222</v>
      </c>
      <c r="G2605" s="7" t="s">
        <v>505</v>
      </c>
      <c r="H2605" s="6" t="n">
        <v>2.76</v>
      </c>
      <c r="I2605" s="6" t="n">
        <v>0</v>
      </c>
      <c r="J2605" s="40" t="n">
        <f aca="false">H2605-I2605</f>
        <v>2.76</v>
      </c>
      <c r="K2605" s="41" t="n">
        <v>34</v>
      </c>
      <c r="L2605" s="42" t="n">
        <f aca="false">J2605*K2605</f>
        <v>93.84</v>
      </c>
      <c r="M2605" s="43" t="n">
        <f aca="false">H2605*17.84*(1+'Chart of Accounts'!$E$67)</f>
        <v>56.377968</v>
      </c>
    </row>
    <row r="2606" customFormat="false" ht="15" hidden="false" customHeight="false" outlineLevel="0" collapsed="false">
      <c r="B2606" s="7" t="s">
        <v>3103</v>
      </c>
      <c r="C2606" s="39" t="n">
        <v>45789</v>
      </c>
      <c r="D2606" s="7" t="s">
        <v>343</v>
      </c>
      <c r="E2606" s="7" t="s">
        <v>154</v>
      </c>
      <c r="F2606" s="7" t="s">
        <v>262</v>
      </c>
      <c r="G2606" s="7" t="s">
        <v>505</v>
      </c>
      <c r="H2606" s="6" t="n">
        <v>3.83</v>
      </c>
      <c r="I2606" s="6" t="n">
        <v>0.115</v>
      </c>
      <c r="J2606" s="40" t="n">
        <f aca="false">H2606-I2606</f>
        <v>3.715</v>
      </c>
      <c r="K2606" s="41" t="n">
        <v>26.5</v>
      </c>
      <c r="L2606" s="42" t="n">
        <f aca="false">J2606*K2606</f>
        <v>98.4475</v>
      </c>
      <c r="M2606" s="43" t="n">
        <f aca="false">H2606*16.02*(1+'Chart of Accounts'!$E$67)</f>
        <v>70.253307</v>
      </c>
    </row>
    <row r="2607" customFormat="false" ht="15" hidden="false" customHeight="false" outlineLevel="0" collapsed="false">
      <c r="B2607" s="7" t="s">
        <v>3104</v>
      </c>
      <c r="C2607" s="39" t="n">
        <v>45789</v>
      </c>
      <c r="D2607" s="7" t="s">
        <v>351</v>
      </c>
      <c r="E2607" s="7" t="s">
        <v>154</v>
      </c>
      <c r="F2607" s="7" t="s">
        <v>201</v>
      </c>
      <c r="G2607" s="7" t="s">
        <v>505</v>
      </c>
      <c r="H2607" s="6" t="n">
        <v>2.73</v>
      </c>
      <c r="I2607" s="6" t="n">
        <v>0</v>
      </c>
      <c r="J2607" s="40" t="n">
        <f aca="false">H2607-I2607</f>
        <v>2.73</v>
      </c>
      <c r="K2607" s="41" t="n">
        <v>26.5</v>
      </c>
      <c r="L2607" s="42" t="n">
        <f aca="false">J2607*K2607</f>
        <v>72.345</v>
      </c>
      <c r="M2607" s="43" t="n">
        <f aca="false">H2607*15.19*(1+'Chart of Accounts'!$E$67)</f>
        <v>47.4816615</v>
      </c>
    </row>
    <row r="2608" customFormat="false" ht="15" hidden="false" customHeight="false" outlineLevel="0" collapsed="false">
      <c r="B2608" s="7" t="s">
        <v>3105</v>
      </c>
      <c r="C2608" s="39" t="n">
        <v>45789</v>
      </c>
      <c r="D2608" s="7" t="s">
        <v>353</v>
      </c>
      <c r="E2608" s="7" t="s">
        <v>154</v>
      </c>
      <c r="F2608" s="7" t="s">
        <v>254</v>
      </c>
      <c r="G2608" s="7" t="s">
        <v>505</v>
      </c>
      <c r="H2608" s="6" t="n">
        <v>3.12</v>
      </c>
      <c r="I2608" s="6" t="n">
        <v>0</v>
      </c>
      <c r="J2608" s="40" t="n">
        <f aca="false">H2608-I2608</f>
        <v>3.12</v>
      </c>
      <c r="K2608" s="41" t="n">
        <v>26.5</v>
      </c>
      <c r="L2608" s="42" t="n">
        <f aca="false">J2608*K2608</f>
        <v>82.68</v>
      </c>
      <c r="M2608" s="43" t="n">
        <f aca="false">H2608*17.1*(1+'Chart of Accounts'!$E$67)</f>
        <v>61.08804</v>
      </c>
    </row>
    <row r="2609" customFormat="false" ht="15" hidden="false" customHeight="false" outlineLevel="0" collapsed="false">
      <c r="B2609" s="7" t="s">
        <v>3106</v>
      </c>
      <c r="C2609" s="39" t="n">
        <v>45789</v>
      </c>
      <c r="D2609" s="7" t="s">
        <v>355</v>
      </c>
      <c r="E2609" s="7" t="s">
        <v>154</v>
      </c>
      <c r="F2609" s="7" t="s">
        <v>201</v>
      </c>
      <c r="G2609" s="7" t="s">
        <v>505</v>
      </c>
      <c r="H2609" s="6" t="n">
        <v>3.53</v>
      </c>
      <c r="I2609" s="6" t="n">
        <v>0</v>
      </c>
      <c r="J2609" s="40" t="n">
        <f aca="false">H2609-I2609</f>
        <v>3.53</v>
      </c>
      <c r="K2609" s="41" t="n">
        <v>26.5</v>
      </c>
      <c r="L2609" s="42" t="n">
        <f aca="false">J2609*K2609</f>
        <v>93.545</v>
      </c>
      <c r="M2609" s="43" t="n">
        <f aca="false">H2609*15.19*(1+'Chart of Accounts'!$E$67)</f>
        <v>61.3957015</v>
      </c>
    </row>
    <row r="2610" customFormat="false" ht="15" hidden="false" customHeight="false" outlineLevel="0" collapsed="false">
      <c r="B2610" s="7" t="s">
        <v>3107</v>
      </c>
      <c r="C2610" s="39" t="n">
        <v>45789</v>
      </c>
      <c r="D2610" s="7" t="s">
        <v>357</v>
      </c>
      <c r="E2610" s="7" t="s">
        <v>154</v>
      </c>
      <c r="F2610" s="7" t="s">
        <v>207</v>
      </c>
      <c r="G2610" s="7" t="s">
        <v>505</v>
      </c>
      <c r="H2610" s="6" t="n">
        <v>3.27</v>
      </c>
      <c r="I2610" s="6" t="n">
        <v>0</v>
      </c>
      <c r="J2610" s="40" t="n">
        <f aca="false">H2610-I2610</f>
        <v>3.27</v>
      </c>
      <c r="K2610" s="41" t="n">
        <v>26.5</v>
      </c>
      <c r="L2610" s="42" t="n">
        <f aca="false">J2610*K2610</f>
        <v>86.655</v>
      </c>
      <c r="M2610" s="43" t="n">
        <f aca="false">H2610*16.65*(1+'Chart of Accounts'!$E$67)</f>
        <v>62.3400975</v>
      </c>
    </row>
    <row r="2611" customFormat="false" ht="15" hidden="false" customHeight="false" outlineLevel="0" collapsed="false">
      <c r="B2611" s="7" t="s">
        <v>3108</v>
      </c>
      <c r="C2611" s="39" t="n">
        <v>45789</v>
      </c>
      <c r="D2611" s="7" t="s">
        <v>359</v>
      </c>
      <c r="E2611" s="7" t="s">
        <v>156</v>
      </c>
      <c r="F2611" s="7" t="s">
        <v>212</v>
      </c>
      <c r="G2611" s="7" t="s">
        <v>505</v>
      </c>
      <c r="H2611" s="6" t="n">
        <v>4.15</v>
      </c>
      <c r="I2611" s="6" t="n">
        <v>0</v>
      </c>
      <c r="J2611" s="40" t="n">
        <f aca="false">H2611-I2611</f>
        <v>4.15</v>
      </c>
      <c r="K2611" s="41" t="n">
        <v>34</v>
      </c>
      <c r="L2611" s="42" t="n">
        <f aca="false">J2611*K2611</f>
        <v>141.1</v>
      </c>
      <c r="M2611" s="43" t="n">
        <f aca="false">H2611*16.71*(1+'Chart of Accounts'!$E$67)</f>
        <v>79.4017425</v>
      </c>
    </row>
    <row r="2612" customFormat="false" ht="15" hidden="false" customHeight="false" outlineLevel="0" collapsed="false">
      <c r="B2612" s="7" t="s">
        <v>3109</v>
      </c>
      <c r="C2612" s="39" t="n">
        <v>45789</v>
      </c>
      <c r="D2612" s="7" t="s">
        <v>363</v>
      </c>
      <c r="E2612" s="7" t="s">
        <v>156</v>
      </c>
      <c r="F2612" s="7" t="s">
        <v>246</v>
      </c>
      <c r="G2612" s="7" t="s">
        <v>505</v>
      </c>
      <c r="H2612" s="6" t="n">
        <v>3.71</v>
      </c>
      <c r="I2612" s="6" t="n">
        <v>0</v>
      </c>
      <c r="J2612" s="40" t="n">
        <f aca="false">H2612-I2612</f>
        <v>3.71</v>
      </c>
      <c r="K2612" s="41" t="n">
        <v>34</v>
      </c>
      <c r="L2612" s="42" t="n">
        <f aca="false">J2612*K2612</f>
        <v>126.14</v>
      </c>
      <c r="M2612" s="43" t="n">
        <f aca="false">H2612*16.48*(1+'Chart of Accounts'!$E$67)</f>
        <v>70.006216</v>
      </c>
    </row>
    <row r="2613" customFormat="false" ht="15" hidden="false" customHeight="false" outlineLevel="0" collapsed="false">
      <c r="B2613" s="7" t="s">
        <v>3110</v>
      </c>
      <c r="C2613" s="39" t="n">
        <v>45789</v>
      </c>
      <c r="D2613" s="7" t="s">
        <v>365</v>
      </c>
      <c r="E2613" s="7" t="s">
        <v>154</v>
      </c>
      <c r="F2613" s="7" t="s">
        <v>194</v>
      </c>
      <c r="G2613" s="7" t="s">
        <v>505</v>
      </c>
      <c r="H2613" s="6" t="n">
        <v>4.33</v>
      </c>
      <c r="I2613" s="6" t="n">
        <v>0</v>
      </c>
      <c r="J2613" s="40" t="n">
        <f aca="false">H2613-I2613</f>
        <v>4.33</v>
      </c>
      <c r="K2613" s="41" t="n">
        <v>26.5</v>
      </c>
      <c r="L2613" s="42" t="n">
        <f aca="false">J2613*K2613</f>
        <v>114.745</v>
      </c>
      <c r="M2613" s="43" t="n">
        <f aca="false">H2613*16*(1+'Chart of Accounts'!$E$67)</f>
        <v>79.3256</v>
      </c>
    </row>
    <row r="2614" customFormat="false" ht="15" hidden="false" customHeight="false" outlineLevel="0" collapsed="false">
      <c r="B2614" s="7" t="s">
        <v>3111</v>
      </c>
      <c r="C2614" s="39" t="n">
        <v>45789</v>
      </c>
      <c r="D2614" s="7" t="s">
        <v>371</v>
      </c>
      <c r="E2614" s="7" t="s">
        <v>154</v>
      </c>
      <c r="F2614" s="7" t="s">
        <v>232</v>
      </c>
      <c r="G2614" s="7" t="s">
        <v>505</v>
      </c>
      <c r="H2614" s="6" t="n">
        <v>4.93</v>
      </c>
      <c r="I2614" s="6" t="n">
        <v>0</v>
      </c>
      <c r="J2614" s="40" t="n">
        <f aca="false">H2614-I2614</f>
        <v>4.93</v>
      </c>
      <c r="K2614" s="41" t="n">
        <v>26.5</v>
      </c>
      <c r="L2614" s="42" t="n">
        <f aca="false">J2614*K2614</f>
        <v>130.645</v>
      </c>
      <c r="M2614" s="43" t="n">
        <f aca="false">H2614*16.17*(1+'Chart of Accounts'!$E$67)</f>
        <v>91.2772245</v>
      </c>
    </row>
    <row r="2615" customFormat="false" ht="15" hidden="false" customHeight="false" outlineLevel="0" collapsed="false">
      <c r="B2615" s="7" t="s">
        <v>3112</v>
      </c>
      <c r="C2615" s="39" t="n">
        <v>45789</v>
      </c>
      <c r="D2615" s="7" t="s">
        <v>375</v>
      </c>
      <c r="E2615" s="7" t="s">
        <v>156</v>
      </c>
      <c r="F2615" s="7" t="s">
        <v>196</v>
      </c>
      <c r="G2615" s="7" t="s">
        <v>505</v>
      </c>
      <c r="H2615" s="6" t="n">
        <v>2.97</v>
      </c>
      <c r="I2615" s="6" t="n">
        <v>0</v>
      </c>
      <c r="J2615" s="40" t="n">
        <f aca="false">H2615-I2615</f>
        <v>2.97</v>
      </c>
      <c r="K2615" s="41" t="n">
        <v>34</v>
      </c>
      <c r="L2615" s="42" t="n">
        <f aca="false">J2615*K2615</f>
        <v>100.98</v>
      </c>
      <c r="M2615" s="43" t="n">
        <f aca="false">H2615*15.05*(1+'Chart of Accounts'!$E$67)</f>
        <v>51.1797825</v>
      </c>
    </row>
    <row r="2616" customFormat="false" ht="15" hidden="false" customHeight="false" outlineLevel="0" collapsed="false">
      <c r="B2616" s="7" t="s">
        <v>3113</v>
      </c>
      <c r="C2616" s="39" t="n">
        <v>45789</v>
      </c>
      <c r="D2616" s="7" t="s">
        <v>377</v>
      </c>
      <c r="E2616" s="7" t="s">
        <v>154</v>
      </c>
      <c r="F2616" s="7" t="s">
        <v>214</v>
      </c>
      <c r="G2616" s="7" t="s">
        <v>505</v>
      </c>
      <c r="H2616" s="6" t="n">
        <v>3.97</v>
      </c>
      <c r="I2616" s="6" t="n">
        <v>0</v>
      </c>
      <c r="J2616" s="40" t="n">
        <f aca="false">H2616-I2616</f>
        <v>3.97</v>
      </c>
      <c r="K2616" s="41" t="n">
        <v>26.5</v>
      </c>
      <c r="L2616" s="42" t="n">
        <f aca="false">J2616*K2616</f>
        <v>105.205</v>
      </c>
      <c r="M2616" s="43" t="n">
        <f aca="false">H2616*15.67*(1+'Chart of Accounts'!$E$67)</f>
        <v>71.2303355</v>
      </c>
    </row>
    <row r="2617" customFormat="false" ht="15" hidden="false" customHeight="false" outlineLevel="0" collapsed="false">
      <c r="B2617" s="7" t="s">
        <v>3114</v>
      </c>
      <c r="C2617" s="39" t="n">
        <v>45789</v>
      </c>
      <c r="D2617" s="7" t="s">
        <v>379</v>
      </c>
      <c r="E2617" s="7" t="s">
        <v>156</v>
      </c>
      <c r="F2617" s="7" t="s">
        <v>224</v>
      </c>
      <c r="G2617" s="7" t="s">
        <v>505</v>
      </c>
      <c r="H2617" s="6" t="n">
        <v>4.69</v>
      </c>
      <c r="I2617" s="6" t="n">
        <v>0</v>
      </c>
      <c r="J2617" s="40" t="n">
        <f aca="false">H2617-I2617</f>
        <v>4.69</v>
      </c>
      <c r="K2617" s="41" t="n">
        <v>34</v>
      </c>
      <c r="L2617" s="42" t="n">
        <f aca="false">J2617*K2617</f>
        <v>159.46</v>
      </c>
      <c r="M2617" s="43" t="n">
        <f aca="false">H2617*14.93*(1+'Chart of Accounts'!$E$67)</f>
        <v>80.1748465</v>
      </c>
    </row>
    <row r="2618" customFormat="false" ht="15" hidden="false" customHeight="false" outlineLevel="0" collapsed="false">
      <c r="B2618" s="7" t="s">
        <v>3115</v>
      </c>
      <c r="C2618" s="39" t="n">
        <v>45789</v>
      </c>
      <c r="D2618" s="7" t="s">
        <v>385</v>
      </c>
      <c r="E2618" s="7" t="s">
        <v>156</v>
      </c>
      <c r="F2618" s="7" t="s">
        <v>238</v>
      </c>
      <c r="G2618" s="7" t="s">
        <v>505</v>
      </c>
      <c r="H2618" s="6" t="n">
        <v>3.78</v>
      </c>
      <c r="I2618" s="6" t="n">
        <v>0</v>
      </c>
      <c r="J2618" s="40" t="n">
        <f aca="false">H2618-I2618</f>
        <v>3.78</v>
      </c>
      <c r="K2618" s="41" t="n">
        <v>34</v>
      </c>
      <c r="L2618" s="42" t="n">
        <f aca="false">J2618*K2618</f>
        <v>128.52</v>
      </c>
      <c r="M2618" s="43" t="n">
        <f aca="false">H2618*15.85*(1+'Chart of Accounts'!$E$67)</f>
        <v>68.600385</v>
      </c>
    </row>
    <row r="2619" customFormat="false" ht="15" hidden="false" customHeight="false" outlineLevel="0" collapsed="false">
      <c r="B2619" s="7" t="s">
        <v>3116</v>
      </c>
      <c r="C2619" s="39" t="n">
        <v>45789</v>
      </c>
      <c r="D2619" s="7" t="s">
        <v>389</v>
      </c>
      <c r="E2619" s="7" t="s">
        <v>154</v>
      </c>
      <c r="F2619" s="7" t="s">
        <v>246</v>
      </c>
      <c r="G2619" s="7" t="s">
        <v>505</v>
      </c>
      <c r="H2619" s="6" t="n">
        <v>3.84</v>
      </c>
      <c r="I2619" s="6" t="n">
        <v>0</v>
      </c>
      <c r="J2619" s="40" t="n">
        <f aca="false">H2619-I2619</f>
        <v>3.84</v>
      </c>
      <c r="K2619" s="41" t="n">
        <v>26.5</v>
      </c>
      <c r="L2619" s="42" t="n">
        <f aca="false">J2619*K2619</f>
        <v>101.76</v>
      </c>
      <c r="M2619" s="43" t="n">
        <f aca="false">H2619*16.48*(1+'Chart of Accounts'!$E$67)</f>
        <v>72.459264</v>
      </c>
    </row>
    <row r="2620" customFormat="false" ht="15" hidden="false" customHeight="false" outlineLevel="0" collapsed="false">
      <c r="B2620" s="7" t="s">
        <v>3117</v>
      </c>
      <c r="C2620" s="39" t="n">
        <v>45789</v>
      </c>
      <c r="D2620" s="7" t="s">
        <v>391</v>
      </c>
      <c r="E2620" s="7" t="s">
        <v>156</v>
      </c>
      <c r="F2620" s="7" t="s">
        <v>222</v>
      </c>
      <c r="G2620" s="7" t="s">
        <v>505</v>
      </c>
      <c r="H2620" s="6" t="n">
        <v>4.11</v>
      </c>
      <c r="I2620" s="6" t="n">
        <v>0</v>
      </c>
      <c r="J2620" s="40" t="n">
        <f aca="false">H2620-I2620</f>
        <v>4.11</v>
      </c>
      <c r="K2620" s="41" t="n">
        <v>34</v>
      </c>
      <c r="L2620" s="42" t="n">
        <f aca="false">J2620*K2620</f>
        <v>139.74</v>
      </c>
      <c r="M2620" s="43" t="n">
        <f aca="false">H2620*17.84*(1+'Chart of Accounts'!$E$67)</f>
        <v>83.954148</v>
      </c>
    </row>
    <row r="2621" customFormat="false" ht="15" hidden="false" customHeight="false" outlineLevel="0" collapsed="false">
      <c r="B2621" s="7" t="s">
        <v>3118</v>
      </c>
      <c r="C2621" s="39" t="n">
        <v>45789</v>
      </c>
      <c r="D2621" s="7" t="s">
        <v>395</v>
      </c>
      <c r="E2621" s="7" t="s">
        <v>156</v>
      </c>
      <c r="F2621" s="7" t="s">
        <v>242</v>
      </c>
      <c r="G2621" s="7" t="s">
        <v>505</v>
      </c>
      <c r="H2621" s="6" t="n">
        <v>3.67</v>
      </c>
      <c r="I2621" s="6" t="n">
        <v>0</v>
      </c>
      <c r="J2621" s="40" t="n">
        <f aca="false">H2621-I2621</f>
        <v>3.67</v>
      </c>
      <c r="K2621" s="41" t="n">
        <v>34</v>
      </c>
      <c r="L2621" s="42" t="n">
        <f aca="false">J2621*K2621</f>
        <v>124.78</v>
      </c>
      <c r="M2621" s="43" t="n">
        <f aca="false">H2621*17.99*(1+'Chart of Accounts'!$E$67)</f>
        <v>75.5966785</v>
      </c>
    </row>
    <row r="2622" customFormat="false" ht="15" hidden="false" customHeight="false" outlineLevel="0" collapsed="false">
      <c r="B2622" s="7" t="s">
        <v>3119</v>
      </c>
      <c r="C2622" s="39" t="n">
        <v>45789</v>
      </c>
      <c r="D2622" s="7" t="s">
        <v>399</v>
      </c>
      <c r="E2622" s="7" t="s">
        <v>154</v>
      </c>
      <c r="F2622" s="7" t="s">
        <v>262</v>
      </c>
      <c r="G2622" s="7" t="s">
        <v>505</v>
      </c>
      <c r="H2622" s="6" t="n">
        <v>3.19</v>
      </c>
      <c r="I2622" s="6" t="n">
        <v>0</v>
      </c>
      <c r="J2622" s="40" t="n">
        <f aca="false">H2622-I2622</f>
        <v>3.19</v>
      </c>
      <c r="K2622" s="41" t="n">
        <v>26.5</v>
      </c>
      <c r="L2622" s="42" t="n">
        <f aca="false">J2622*K2622</f>
        <v>84.535</v>
      </c>
      <c r="M2622" s="43" t="n">
        <f aca="false">H2622*16.02*(1+'Chart of Accounts'!$E$67)</f>
        <v>58.513851</v>
      </c>
    </row>
    <row r="2623" customFormat="false" ht="15" hidden="false" customHeight="false" outlineLevel="0" collapsed="false">
      <c r="B2623" s="7" t="s">
        <v>3120</v>
      </c>
      <c r="C2623" s="39" t="n">
        <v>45789</v>
      </c>
      <c r="D2623" s="7" t="s">
        <v>401</v>
      </c>
      <c r="E2623" s="7" t="s">
        <v>156</v>
      </c>
      <c r="F2623" s="7" t="s">
        <v>254</v>
      </c>
      <c r="G2623" s="7" t="s">
        <v>505</v>
      </c>
      <c r="H2623" s="6" t="n">
        <v>3.61</v>
      </c>
      <c r="I2623" s="6" t="n">
        <v>0</v>
      </c>
      <c r="J2623" s="40" t="n">
        <f aca="false">H2623-I2623</f>
        <v>3.61</v>
      </c>
      <c r="K2623" s="41" t="n">
        <v>34</v>
      </c>
      <c r="L2623" s="42" t="n">
        <f aca="false">J2623*K2623</f>
        <v>122.74</v>
      </c>
      <c r="M2623" s="43" t="n">
        <f aca="false">H2623*17.1*(1+'Chart of Accounts'!$E$67)</f>
        <v>70.681995</v>
      </c>
    </row>
    <row r="2624" customFormat="false" ht="15" hidden="false" customHeight="false" outlineLevel="0" collapsed="false">
      <c r="B2624" s="7" t="s">
        <v>3121</v>
      </c>
      <c r="C2624" s="39" t="n">
        <v>45789</v>
      </c>
      <c r="D2624" s="7" t="s">
        <v>409</v>
      </c>
      <c r="E2624" s="7" t="s">
        <v>154</v>
      </c>
      <c r="F2624" s="7" t="s">
        <v>214</v>
      </c>
      <c r="G2624" s="7" t="s">
        <v>505</v>
      </c>
      <c r="H2624" s="6" t="n">
        <v>3.62</v>
      </c>
      <c r="I2624" s="6" t="n">
        <v>0</v>
      </c>
      <c r="J2624" s="40" t="n">
        <f aca="false">H2624-I2624</f>
        <v>3.62</v>
      </c>
      <c r="K2624" s="41" t="n">
        <v>26.5</v>
      </c>
      <c r="L2624" s="42" t="n">
        <f aca="false">J2624*K2624</f>
        <v>95.93</v>
      </c>
      <c r="M2624" s="43" t="n">
        <f aca="false">H2624*15.67*(1+'Chart of Accounts'!$E$67)</f>
        <v>64.950583</v>
      </c>
    </row>
    <row r="2625" customFormat="false" ht="15" hidden="false" customHeight="false" outlineLevel="0" collapsed="false">
      <c r="B2625" s="7" t="s">
        <v>3122</v>
      </c>
      <c r="C2625" s="39" t="n">
        <v>45789</v>
      </c>
      <c r="D2625" s="7" t="s">
        <v>411</v>
      </c>
      <c r="E2625" s="7" t="s">
        <v>154</v>
      </c>
      <c r="F2625" s="7" t="s">
        <v>177</v>
      </c>
      <c r="G2625" s="7" t="s">
        <v>505</v>
      </c>
      <c r="H2625" s="6" t="n">
        <v>4.84</v>
      </c>
      <c r="I2625" s="6" t="n">
        <v>0</v>
      </c>
      <c r="J2625" s="40" t="n">
        <f aca="false">H2625-I2625</f>
        <v>4.84</v>
      </c>
      <c r="K2625" s="41" t="n">
        <v>26.5</v>
      </c>
      <c r="L2625" s="42" t="n">
        <f aca="false">J2625*K2625</f>
        <v>128.26</v>
      </c>
      <c r="M2625" s="43" t="n">
        <f aca="false">H2625*14.56*(1+'Chart of Accounts'!$E$67)</f>
        <v>80.688608</v>
      </c>
    </row>
    <row r="2626" customFormat="false" ht="15" hidden="false" customHeight="false" outlineLevel="0" collapsed="false">
      <c r="B2626" s="7" t="s">
        <v>3123</v>
      </c>
      <c r="C2626" s="39" t="n">
        <v>45790</v>
      </c>
      <c r="D2626" s="7" t="s">
        <v>301</v>
      </c>
      <c r="E2626" s="7" t="s">
        <v>157</v>
      </c>
      <c r="F2626" s="7" t="s">
        <v>209</v>
      </c>
      <c r="G2626" s="7" t="s">
        <v>502</v>
      </c>
      <c r="H2626" s="6" t="n">
        <v>1.08</v>
      </c>
      <c r="I2626" s="6" t="n">
        <v>0</v>
      </c>
      <c r="J2626" s="40" t="n">
        <f aca="false">H2626-I2626</f>
        <v>1.08</v>
      </c>
      <c r="K2626" s="41" t="n">
        <v>165</v>
      </c>
      <c r="L2626" s="42" t="n">
        <f aca="false">J2626*K2626</f>
        <v>178.2</v>
      </c>
      <c r="M2626" s="43" t="n">
        <f aca="false">H2626*73.58*(1+'Chart of Accounts'!$E$67)</f>
        <v>90.989028</v>
      </c>
    </row>
    <row r="2627" customFormat="false" ht="15" hidden="false" customHeight="false" outlineLevel="0" collapsed="false">
      <c r="B2627" s="7" t="s">
        <v>3124</v>
      </c>
      <c r="C2627" s="39" t="n">
        <v>45790</v>
      </c>
      <c r="D2627" s="7" t="s">
        <v>313</v>
      </c>
      <c r="E2627" s="7" t="s">
        <v>156</v>
      </c>
      <c r="F2627" s="7" t="s">
        <v>184</v>
      </c>
      <c r="G2627" s="7" t="s">
        <v>505</v>
      </c>
      <c r="H2627" s="6" t="n">
        <v>4.16</v>
      </c>
      <c r="I2627" s="6" t="n">
        <v>0</v>
      </c>
      <c r="J2627" s="40" t="n">
        <f aca="false">H2627-I2627</f>
        <v>4.16</v>
      </c>
      <c r="K2627" s="41" t="n">
        <v>34</v>
      </c>
      <c r="L2627" s="42" t="n">
        <f aca="false">J2627*K2627</f>
        <v>141.44</v>
      </c>
      <c r="M2627" s="43" t="n">
        <f aca="false">H2627*17.34*(1+'Chart of Accounts'!$E$67)</f>
        <v>82.593888</v>
      </c>
    </row>
    <row r="2628" customFormat="false" ht="15" hidden="false" customHeight="false" outlineLevel="0" collapsed="false">
      <c r="B2628" s="7" t="s">
        <v>3125</v>
      </c>
      <c r="C2628" s="39" t="n">
        <v>45790</v>
      </c>
      <c r="D2628" s="7" t="s">
        <v>319</v>
      </c>
      <c r="E2628" s="7" t="s">
        <v>157</v>
      </c>
      <c r="F2628" s="7" t="s">
        <v>234</v>
      </c>
      <c r="G2628" s="7" t="s">
        <v>502</v>
      </c>
      <c r="H2628" s="6" t="n">
        <v>1.05</v>
      </c>
      <c r="I2628" s="6" t="n">
        <v>0</v>
      </c>
      <c r="J2628" s="40" t="n">
        <f aca="false">H2628-I2628</f>
        <v>1.05</v>
      </c>
      <c r="K2628" s="41" t="n">
        <v>165</v>
      </c>
      <c r="L2628" s="42" t="n">
        <f aca="false">J2628*K2628</f>
        <v>173.25</v>
      </c>
      <c r="M2628" s="43" t="n">
        <f aca="false">H2628*89.53*(1+'Chart of Accounts'!$E$67)</f>
        <v>107.6374425</v>
      </c>
    </row>
    <row r="2629" customFormat="false" ht="15" hidden="false" customHeight="false" outlineLevel="0" collapsed="false">
      <c r="B2629" s="7" t="s">
        <v>3126</v>
      </c>
      <c r="C2629" s="39" t="n">
        <v>45790</v>
      </c>
      <c r="D2629" s="7" t="s">
        <v>321</v>
      </c>
      <c r="E2629" s="7" t="s">
        <v>154</v>
      </c>
      <c r="F2629" s="7" t="s">
        <v>218</v>
      </c>
      <c r="G2629" s="7" t="s">
        <v>505</v>
      </c>
      <c r="H2629" s="6" t="n">
        <v>4.3</v>
      </c>
      <c r="I2629" s="6" t="n">
        <v>0</v>
      </c>
      <c r="J2629" s="40" t="n">
        <f aca="false">H2629-I2629</f>
        <v>4.3</v>
      </c>
      <c r="K2629" s="41" t="n">
        <v>26.5</v>
      </c>
      <c r="L2629" s="42" t="n">
        <f aca="false">J2629*K2629</f>
        <v>113.95</v>
      </c>
      <c r="M2629" s="43" t="n">
        <f aca="false">H2629*16.19*(1+'Chart of Accounts'!$E$67)</f>
        <v>79.711465</v>
      </c>
    </row>
    <row r="2630" customFormat="false" ht="15" hidden="false" customHeight="false" outlineLevel="0" collapsed="false">
      <c r="B2630" s="7" t="s">
        <v>3127</v>
      </c>
      <c r="C2630" s="39" t="n">
        <v>45790</v>
      </c>
      <c r="D2630" s="7" t="s">
        <v>323</v>
      </c>
      <c r="E2630" s="7" t="s">
        <v>159</v>
      </c>
      <c r="F2630" s="7" t="s">
        <v>266</v>
      </c>
      <c r="G2630" s="7" t="s">
        <v>502</v>
      </c>
      <c r="H2630" s="6" t="n">
        <v>1.02</v>
      </c>
      <c r="I2630" s="6" t="n">
        <v>0</v>
      </c>
      <c r="J2630" s="40" t="n">
        <f aca="false">H2630-I2630</f>
        <v>1.02</v>
      </c>
      <c r="K2630" s="41" t="n">
        <v>135</v>
      </c>
      <c r="L2630" s="42" t="n">
        <f aca="false">J2630*K2630</f>
        <v>137.7</v>
      </c>
      <c r="M2630" s="43" t="n">
        <f aca="false">H2630*75.18*(1+'Chart of Accounts'!$E$67)</f>
        <v>87.802722</v>
      </c>
    </row>
    <row r="2631" customFormat="false" ht="15" hidden="false" customHeight="false" outlineLevel="0" collapsed="false">
      <c r="B2631" s="7" t="s">
        <v>3128</v>
      </c>
      <c r="C2631" s="39" t="n">
        <v>45790</v>
      </c>
      <c r="D2631" s="7" t="s">
        <v>327</v>
      </c>
      <c r="E2631" s="7" t="s">
        <v>157</v>
      </c>
      <c r="F2631" s="7" t="s">
        <v>228</v>
      </c>
      <c r="G2631" s="7" t="s">
        <v>502</v>
      </c>
      <c r="H2631" s="6" t="n">
        <v>1.08</v>
      </c>
      <c r="I2631" s="6" t="n">
        <v>0</v>
      </c>
      <c r="J2631" s="40" t="n">
        <f aca="false">H2631-I2631</f>
        <v>1.08</v>
      </c>
      <c r="K2631" s="41" t="n">
        <v>165</v>
      </c>
      <c r="L2631" s="42" t="n">
        <f aca="false">J2631*K2631</f>
        <v>178.2</v>
      </c>
      <c r="M2631" s="43" t="n">
        <f aca="false">H2631*51.07*(1+'Chart of Accounts'!$E$67)</f>
        <v>63.153162</v>
      </c>
    </row>
    <row r="2632" customFormat="false" ht="15" hidden="false" customHeight="false" outlineLevel="0" collapsed="false">
      <c r="B2632" s="7" t="s">
        <v>3129</v>
      </c>
      <c r="C2632" s="39" t="n">
        <v>45790</v>
      </c>
      <c r="D2632" s="7" t="s">
        <v>329</v>
      </c>
      <c r="E2632" s="7" t="s">
        <v>156</v>
      </c>
      <c r="F2632" s="7" t="s">
        <v>220</v>
      </c>
      <c r="G2632" s="7" t="s">
        <v>505</v>
      </c>
      <c r="H2632" s="6" t="n">
        <v>3.66</v>
      </c>
      <c r="I2632" s="6" t="n">
        <v>0</v>
      </c>
      <c r="J2632" s="40" t="n">
        <f aca="false">H2632-I2632</f>
        <v>3.66</v>
      </c>
      <c r="K2632" s="41" t="n">
        <v>34</v>
      </c>
      <c r="L2632" s="42" t="n">
        <f aca="false">J2632*K2632</f>
        <v>124.44</v>
      </c>
      <c r="M2632" s="43" t="n">
        <f aca="false">H2632*16.43*(1+'Chart of Accounts'!$E$67)</f>
        <v>68.853201</v>
      </c>
    </row>
    <row r="2633" customFormat="false" ht="15" hidden="false" customHeight="false" outlineLevel="0" collapsed="false">
      <c r="B2633" s="7" t="s">
        <v>3130</v>
      </c>
      <c r="C2633" s="39" t="n">
        <v>45790</v>
      </c>
      <c r="D2633" s="7" t="s">
        <v>359</v>
      </c>
      <c r="E2633" s="7" t="s">
        <v>156</v>
      </c>
      <c r="F2633" s="7" t="s">
        <v>212</v>
      </c>
      <c r="G2633" s="7" t="s">
        <v>505</v>
      </c>
      <c r="H2633" s="6" t="n">
        <v>4.36</v>
      </c>
      <c r="I2633" s="6" t="n">
        <v>0</v>
      </c>
      <c r="J2633" s="40" t="n">
        <f aca="false">H2633-I2633</f>
        <v>4.36</v>
      </c>
      <c r="K2633" s="41" t="n">
        <v>34</v>
      </c>
      <c r="L2633" s="42" t="n">
        <f aca="false">J2633*K2633</f>
        <v>148.24</v>
      </c>
      <c r="M2633" s="43" t="n">
        <f aca="false">H2633*16.71*(1+'Chart of Accounts'!$E$67)</f>
        <v>83.419662</v>
      </c>
    </row>
    <row r="2634" customFormat="false" ht="15" hidden="false" customHeight="false" outlineLevel="0" collapsed="false">
      <c r="B2634" s="7" t="s">
        <v>3131</v>
      </c>
      <c r="C2634" s="39" t="n">
        <v>45790</v>
      </c>
      <c r="D2634" s="7" t="s">
        <v>361</v>
      </c>
      <c r="E2634" s="7" t="s">
        <v>157</v>
      </c>
      <c r="F2634" s="7" t="s">
        <v>209</v>
      </c>
      <c r="G2634" s="7" t="s">
        <v>502</v>
      </c>
      <c r="H2634" s="6" t="n">
        <v>0.97</v>
      </c>
      <c r="I2634" s="6" t="n">
        <v>0</v>
      </c>
      <c r="J2634" s="40" t="n">
        <f aca="false">H2634-I2634</f>
        <v>0.97</v>
      </c>
      <c r="K2634" s="41" t="n">
        <v>165</v>
      </c>
      <c r="L2634" s="42" t="n">
        <f aca="false">J2634*K2634</f>
        <v>160.05</v>
      </c>
      <c r="M2634" s="43" t="n">
        <f aca="false">H2634*73.58*(1+'Chart of Accounts'!$E$67)</f>
        <v>81.721627</v>
      </c>
    </row>
    <row r="2635" customFormat="false" ht="15" hidden="false" customHeight="false" outlineLevel="0" collapsed="false">
      <c r="B2635" s="7" t="s">
        <v>3132</v>
      </c>
      <c r="C2635" s="39" t="n">
        <v>45790</v>
      </c>
      <c r="D2635" s="7" t="s">
        <v>365</v>
      </c>
      <c r="E2635" s="7" t="s">
        <v>154</v>
      </c>
      <c r="F2635" s="7" t="s">
        <v>194</v>
      </c>
      <c r="G2635" s="7" t="s">
        <v>505</v>
      </c>
      <c r="H2635" s="6" t="n">
        <v>3.8</v>
      </c>
      <c r="I2635" s="6" t="n">
        <v>0</v>
      </c>
      <c r="J2635" s="40" t="n">
        <f aca="false">H2635-I2635</f>
        <v>3.8</v>
      </c>
      <c r="K2635" s="41" t="n">
        <v>26.5</v>
      </c>
      <c r="L2635" s="42" t="n">
        <f aca="false">J2635*K2635</f>
        <v>100.7</v>
      </c>
      <c r="M2635" s="43" t="n">
        <f aca="false">H2635*16*(1+'Chart of Accounts'!$E$67)</f>
        <v>69.616</v>
      </c>
    </row>
    <row r="2636" customFormat="false" ht="15" hidden="false" customHeight="false" outlineLevel="0" collapsed="false">
      <c r="B2636" s="7" t="s">
        <v>3133</v>
      </c>
      <c r="C2636" s="39" t="n">
        <v>45790</v>
      </c>
      <c r="D2636" s="7" t="s">
        <v>381</v>
      </c>
      <c r="E2636" s="7" t="s">
        <v>157</v>
      </c>
      <c r="F2636" s="7" t="s">
        <v>234</v>
      </c>
      <c r="G2636" s="7" t="s">
        <v>502</v>
      </c>
      <c r="H2636" s="6" t="n">
        <v>0.92</v>
      </c>
      <c r="I2636" s="6" t="n">
        <v>0</v>
      </c>
      <c r="J2636" s="40" t="n">
        <f aca="false">H2636-I2636</f>
        <v>0.92</v>
      </c>
      <c r="K2636" s="41" t="n">
        <v>165</v>
      </c>
      <c r="L2636" s="42" t="n">
        <f aca="false">J2636*K2636</f>
        <v>151.8</v>
      </c>
      <c r="M2636" s="43" t="n">
        <f aca="false">H2636*89.53*(1+'Chart of Accounts'!$E$67)</f>
        <v>94.310902</v>
      </c>
    </row>
    <row r="2637" customFormat="false" ht="15" hidden="false" customHeight="false" outlineLevel="0" collapsed="false">
      <c r="B2637" s="7" t="s">
        <v>3134</v>
      </c>
      <c r="C2637" s="39" t="n">
        <v>45790</v>
      </c>
      <c r="D2637" s="7" t="s">
        <v>389</v>
      </c>
      <c r="E2637" s="7" t="s">
        <v>154</v>
      </c>
      <c r="F2637" s="7" t="s">
        <v>246</v>
      </c>
      <c r="G2637" s="7" t="s">
        <v>505</v>
      </c>
      <c r="H2637" s="6" t="n">
        <v>3.77</v>
      </c>
      <c r="I2637" s="6" t="n">
        <v>0</v>
      </c>
      <c r="J2637" s="40" t="n">
        <f aca="false">H2637-I2637</f>
        <v>3.77</v>
      </c>
      <c r="K2637" s="41" t="n">
        <v>26.5</v>
      </c>
      <c r="L2637" s="42" t="n">
        <f aca="false">J2637*K2637</f>
        <v>99.905</v>
      </c>
      <c r="M2637" s="43" t="n">
        <f aca="false">H2637*16.48*(1+'Chart of Accounts'!$E$67)</f>
        <v>71.138392</v>
      </c>
    </row>
    <row r="2638" customFormat="false" ht="15" hidden="false" customHeight="false" outlineLevel="0" collapsed="false">
      <c r="B2638" s="7" t="s">
        <v>3135</v>
      </c>
      <c r="C2638" s="39" t="n">
        <v>45790</v>
      </c>
      <c r="D2638" s="7" t="s">
        <v>391</v>
      </c>
      <c r="E2638" s="7" t="s">
        <v>156</v>
      </c>
      <c r="F2638" s="7" t="s">
        <v>222</v>
      </c>
      <c r="G2638" s="7" t="s">
        <v>505</v>
      </c>
      <c r="H2638" s="6" t="n">
        <v>3.77</v>
      </c>
      <c r="I2638" s="6" t="n">
        <v>0</v>
      </c>
      <c r="J2638" s="40" t="n">
        <f aca="false">H2638-I2638</f>
        <v>3.77</v>
      </c>
      <c r="K2638" s="41" t="n">
        <v>34</v>
      </c>
      <c r="L2638" s="42" t="n">
        <f aca="false">J2638*K2638</f>
        <v>128.18</v>
      </c>
      <c r="M2638" s="43" t="n">
        <f aca="false">H2638*17.84*(1+'Chart of Accounts'!$E$67)</f>
        <v>77.009036</v>
      </c>
    </row>
    <row r="2639" customFormat="false" ht="15" hidden="false" customHeight="false" outlineLevel="0" collapsed="false">
      <c r="B2639" s="7" t="s">
        <v>3136</v>
      </c>
      <c r="C2639" s="39" t="n">
        <v>45790</v>
      </c>
      <c r="D2639" s="7" t="s">
        <v>395</v>
      </c>
      <c r="E2639" s="7" t="s">
        <v>156</v>
      </c>
      <c r="F2639" s="7" t="s">
        <v>242</v>
      </c>
      <c r="G2639" s="7" t="s">
        <v>505</v>
      </c>
      <c r="H2639" s="6" t="n">
        <v>4.11</v>
      </c>
      <c r="I2639" s="6" t="n">
        <v>0</v>
      </c>
      <c r="J2639" s="40" t="n">
        <f aca="false">H2639-I2639</f>
        <v>4.11</v>
      </c>
      <c r="K2639" s="41" t="n">
        <v>34</v>
      </c>
      <c r="L2639" s="42" t="n">
        <f aca="false">J2639*K2639</f>
        <v>139.74</v>
      </c>
      <c r="M2639" s="43" t="n">
        <f aca="false">H2639*17.99*(1+'Chart of Accounts'!$E$67)</f>
        <v>84.6600405</v>
      </c>
    </row>
    <row r="2640" customFormat="false" ht="15" hidden="false" customHeight="false" outlineLevel="0" collapsed="false">
      <c r="B2640" s="7" t="s">
        <v>3137</v>
      </c>
      <c r="C2640" s="39" t="n">
        <v>45790</v>
      </c>
      <c r="D2640" s="7" t="s">
        <v>397</v>
      </c>
      <c r="E2640" s="7" t="s">
        <v>159</v>
      </c>
      <c r="F2640" s="7" t="s">
        <v>203</v>
      </c>
      <c r="G2640" s="7" t="s">
        <v>502</v>
      </c>
      <c r="H2640" s="6" t="n">
        <v>0.99</v>
      </c>
      <c r="I2640" s="6" t="n">
        <v>0</v>
      </c>
      <c r="J2640" s="40" t="n">
        <f aca="false">H2640-I2640</f>
        <v>0.99</v>
      </c>
      <c r="K2640" s="41" t="n">
        <v>135</v>
      </c>
      <c r="L2640" s="42" t="n">
        <f aca="false">J2640*K2640</f>
        <v>133.65</v>
      </c>
      <c r="M2640" s="43" t="n">
        <f aca="false">H2640*49.43*(1+'Chart of Accounts'!$E$67)</f>
        <v>56.0313765</v>
      </c>
    </row>
    <row r="2641" customFormat="false" ht="15" hidden="false" customHeight="false" outlineLevel="0" collapsed="false">
      <c r="B2641" s="7" t="s">
        <v>3138</v>
      </c>
      <c r="C2641" s="39" t="n">
        <v>45790</v>
      </c>
      <c r="D2641" s="7" t="s">
        <v>401</v>
      </c>
      <c r="E2641" s="7" t="s">
        <v>156</v>
      </c>
      <c r="F2641" s="7" t="s">
        <v>254</v>
      </c>
      <c r="G2641" s="7" t="s">
        <v>505</v>
      </c>
      <c r="H2641" s="6" t="n">
        <v>3.88</v>
      </c>
      <c r="I2641" s="6" t="n">
        <v>0</v>
      </c>
      <c r="J2641" s="40" t="n">
        <f aca="false">H2641-I2641</f>
        <v>3.88</v>
      </c>
      <c r="K2641" s="41" t="n">
        <v>34</v>
      </c>
      <c r="L2641" s="42" t="n">
        <f aca="false">J2641*K2641</f>
        <v>131.92</v>
      </c>
      <c r="M2641" s="43" t="n">
        <f aca="false">H2641*17.1*(1+'Chart of Accounts'!$E$67)</f>
        <v>75.96846</v>
      </c>
    </row>
    <row r="2642" customFormat="false" ht="15" hidden="false" customHeight="false" outlineLevel="0" collapsed="false">
      <c r="B2642" s="7" t="s">
        <v>3139</v>
      </c>
      <c r="C2642" s="39" t="n">
        <v>45791</v>
      </c>
      <c r="D2642" s="7" t="s">
        <v>280</v>
      </c>
      <c r="E2642" s="7" t="s">
        <v>157</v>
      </c>
      <c r="F2642" s="7" t="s">
        <v>187</v>
      </c>
      <c r="G2642" s="7" t="s">
        <v>502</v>
      </c>
      <c r="H2642" s="6" t="n">
        <v>0.94</v>
      </c>
      <c r="I2642" s="6" t="n">
        <v>0.047</v>
      </c>
      <c r="J2642" s="40" t="n">
        <f aca="false">H2642-I2642</f>
        <v>0.893</v>
      </c>
      <c r="K2642" s="41" t="n">
        <v>165</v>
      </c>
      <c r="L2642" s="42" t="n">
        <f aca="false">J2642*K2642</f>
        <v>147.345</v>
      </c>
      <c r="M2642" s="43" t="n">
        <f aca="false">H2642*66.48*(1+'Chart of Accounts'!$E$67)</f>
        <v>71.552424</v>
      </c>
    </row>
    <row r="2643" customFormat="false" ht="15" hidden="false" customHeight="false" outlineLevel="0" collapsed="false">
      <c r="B2643" s="7" t="s">
        <v>3140</v>
      </c>
      <c r="C2643" s="39" t="n">
        <v>45791</v>
      </c>
      <c r="D2643" s="7" t="s">
        <v>286</v>
      </c>
      <c r="E2643" s="7" t="s">
        <v>157</v>
      </c>
      <c r="F2643" s="7" t="s">
        <v>228</v>
      </c>
      <c r="G2643" s="7" t="s">
        <v>502</v>
      </c>
      <c r="H2643" s="6" t="n">
        <v>1</v>
      </c>
      <c r="I2643" s="6" t="n">
        <v>0</v>
      </c>
      <c r="J2643" s="40" t="n">
        <f aca="false">H2643-I2643</f>
        <v>1</v>
      </c>
      <c r="K2643" s="41" t="n">
        <v>165</v>
      </c>
      <c r="L2643" s="42" t="n">
        <f aca="false">J2643*K2643</f>
        <v>165</v>
      </c>
      <c r="M2643" s="43" t="n">
        <f aca="false">H2643*51.07*(1+'Chart of Accounts'!$E$67)</f>
        <v>58.47515</v>
      </c>
    </row>
    <row r="2644" customFormat="false" ht="15" hidden="false" customHeight="false" outlineLevel="0" collapsed="false">
      <c r="B2644" s="7" t="s">
        <v>3141</v>
      </c>
      <c r="C2644" s="39" t="n">
        <v>45791</v>
      </c>
      <c r="D2644" s="7" t="s">
        <v>288</v>
      </c>
      <c r="E2644" s="7" t="s">
        <v>156</v>
      </c>
      <c r="F2644" s="7" t="s">
        <v>191</v>
      </c>
      <c r="G2644" s="7" t="s">
        <v>505</v>
      </c>
      <c r="H2644" s="6" t="n">
        <v>3.72</v>
      </c>
      <c r="I2644" s="6" t="n">
        <v>0</v>
      </c>
      <c r="J2644" s="40" t="n">
        <f aca="false">H2644-I2644</f>
        <v>3.72</v>
      </c>
      <c r="K2644" s="41" t="n">
        <v>34</v>
      </c>
      <c r="L2644" s="42" t="n">
        <f aca="false">J2644*K2644</f>
        <v>126.48</v>
      </c>
      <c r="M2644" s="43" t="n">
        <f aca="false">H2644*16.05*(1+'Chart of Accounts'!$E$67)</f>
        <v>68.36337</v>
      </c>
    </row>
    <row r="2645" customFormat="false" ht="15" hidden="false" customHeight="false" outlineLevel="0" collapsed="false">
      <c r="B2645" s="7" t="s">
        <v>3142</v>
      </c>
      <c r="C2645" s="39" t="n">
        <v>45791</v>
      </c>
      <c r="D2645" s="7" t="s">
        <v>291</v>
      </c>
      <c r="E2645" s="7" t="s">
        <v>154</v>
      </c>
      <c r="F2645" s="7" t="s">
        <v>194</v>
      </c>
      <c r="G2645" s="7" t="s">
        <v>505</v>
      </c>
      <c r="H2645" s="6" t="n">
        <v>4.35</v>
      </c>
      <c r="I2645" s="6" t="n">
        <v>0</v>
      </c>
      <c r="J2645" s="40" t="n">
        <f aca="false">H2645-I2645</f>
        <v>4.35</v>
      </c>
      <c r="K2645" s="41" t="n">
        <v>26.5</v>
      </c>
      <c r="L2645" s="42" t="n">
        <f aca="false">J2645*K2645</f>
        <v>115.275</v>
      </c>
      <c r="M2645" s="43" t="n">
        <f aca="false">H2645*16*(1+'Chart of Accounts'!$E$67)</f>
        <v>79.692</v>
      </c>
    </row>
    <row r="2646" customFormat="false" ht="15" hidden="false" customHeight="false" outlineLevel="0" collapsed="false">
      <c r="B2646" s="7" t="s">
        <v>3143</v>
      </c>
      <c r="C2646" s="39" t="n">
        <v>45791</v>
      </c>
      <c r="D2646" s="7" t="s">
        <v>305</v>
      </c>
      <c r="E2646" s="7" t="s">
        <v>154</v>
      </c>
      <c r="F2646" s="7" t="s">
        <v>205</v>
      </c>
      <c r="G2646" s="7" t="s">
        <v>505</v>
      </c>
      <c r="H2646" s="6" t="n">
        <v>3.92</v>
      </c>
      <c r="I2646" s="6" t="n">
        <v>0</v>
      </c>
      <c r="J2646" s="40" t="n">
        <f aca="false">H2646-I2646</f>
        <v>3.92</v>
      </c>
      <c r="K2646" s="41" t="n">
        <v>26.5</v>
      </c>
      <c r="L2646" s="42" t="n">
        <f aca="false">J2646*K2646</f>
        <v>103.88</v>
      </c>
      <c r="M2646" s="43" t="n">
        <f aca="false">H2646*16.36*(1+'Chart of Accounts'!$E$67)</f>
        <v>73.430224</v>
      </c>
    </row>
    <row r="2647" customFormat="false" ht="15" hidden="false" customHeight="false" outlineLevel="0" collapsed="false">
      <c r="B2647" s="7" t="s">
        <v>3144</v>
      </c>
      <c r="C2647" s="39" t="n">
        <v>45791</v>
      </c>
      <c r="D2647" s="7" t="s">
        <v>307</v>
      </c>
      <c r="E2647" s="7" t="s">
        <v>157</v>
      </c>
      <c r="F2647" s="7" t="s">
        <v>264</v>
      </c>
      <c r="G2647" s="7" t="s">
        <v>502</v>
      </c>
      <c r="H2647" s="6" t="n">
        <v>0.94</v>
      </c>
      <c r="I2647" s="6" t="n">
        <v>0.047</v>
      </c>
      <c r="J2647" s="40" t="n">
        <f aca="false">H2647-I2647</f>
        <v>0.893</v>
      </c>
      <c r="K2647" s="41" t="n">
        <v>165</v>
      </c>
      <c r="L2647" s="42" t="n">
        <f aca="false">J2647*K2647</f>
        <v>147.345</v>
      </c>
      <c r="M2647" s="43" t="n">
        <f aca="false">H2647*55.55*(1+'Chart of Accounts'!$E$67)</f>
        <v>59.788465</v>
      </c>
    </row>
    <row r="2648" customFormat="false" ht="15" hidden="false" customHeight="false" outlineLevel="0" collapsed="false">
      <c r="B2648" s="7" t="s">
        <v>3145</v>
      </c>
      <c r="C2648" s="39" t="n">
        <v>45791</v>
      </c>
      <c r="D2648" s="7" t="s">
        <v>309</v>
      </c>
      <c r="E2648" s="7" t="s">
        <v>159</v>
      </c>
      <c r="F2648" s="7" t="s">
        <v>252</v>
      </c>
      <c r="G2648" s="7" t="s">
        <v>502</v>
      </c>
      <c r="H2648" s="6" t="n">
        <v>0.99</v>
      </c>
      <c r="I2648" s="6" t="n">
        <v>0</v>
      </c>
      <c r="J2648" s="40" t="n">
        <f aca="false">H2648-I2648</f>
        <v>0.99</v>
      </c>
      <c r="K2648" s="41" t="n">
        <v>135</v>
      </c>
      <c r="L2648" s="42" t="n">
        <f aca="false">J2648*K2648</f>
        <v>133.65</v>
      </c>
      <c r="M2648" s="43" t="n">
        <f aca="false">H2648*57.54*(1+'Chart of Accounts'!$E$67)</f>
        <v>65.224467</v>
      </c>
    </row>
    <row r="2649" customFormat="false" ht="15" hidden="false" customHeight="false" outlineLevel="0" collapsed="false">
      <c r="B2649" s="7" t="s">
        <v>3146</v>
      </c>
      <c r="C2649" s="39" t="n">
        <v>45791</v>
      </c>
      <c r="D2649" s="7" t="s">
        <v>313</v>
      </c>
      <c r="E2649" s="7" t="s">
        <v>156</v>
      </c>
      <c r="F2649" s="7" t="s">
        <v>184</v>
      </c>
      <c r="G2649" s="7" t="s">
        <v>505</v>
      </c>
      <c r="H2649" s="6" t="n">
        <v>3.88</v>
      </c>
      <c r="I2649" s="6" t="n">
        <v>0</v>
      </c>
      <c r="J2649" s="40" t="n">
        <f aca="false">H2649-I2649</f>
        <v>3.88</v>
      </c>
      <c r="K2649" s="41" t="n">
        <v>34</v>
      </c>
      <c r="L2649" s="42" t="n">
        <f aca="false">J2649*K2649</f>
        <v>131.92</v>
      </c>
      <c r="M2649" s="43" t="n">
        <f aca="false">H2649*17.34*(1+'Chart of Accounts'!$E$67)</f>
        <v>77.034684</v>
      </c>
    </row>
    <row r="2650" customFormat="false" ht="15" hidden="false" customHeight="false" outlineLevel="0" collapsed="false">
      <c r="B2650" s="7" t="s">
        <v>3147</v>
      </c>
      <c r="C2650" s="39" t="n">
        <v>45791</v>
      </c>
      <c r="D2650" s="7" t="s">
        <v>321</v>
      </c>
      <c r="E2650" s="7" t="s">
        <v>154</v>
      </c>
      <c r="F2650" s="7" t="s">
        <v>218</v>
      </c>
      <c r="G2650" s="7" t="s">
        <v>505</v>
      </c>
      <c r="H2650" s="6" t="n">
        <v>4.3</v>
      </c>
      <c r="I2650" s="6" t="n">
        <v>0</v>
      </c>
      <c r="J2650" s="40" t="n">
        <f aca="false">H2650-I2650</f>
        <v>4.3</v>
      </c>
      <c r="K2650" s="41" t="n">
        <v>26.5</v>
      </c>
      <c r="L2650" s="42" t="n">
        <f aca="false">J2650*K2650</f>
        <v>113.95</v>
      </c>
      <c r="M2650" s="43" t="n">
        <f aca="false">H2650*16.19*(1+'Chart of Accounts'!$E$67)</f>
        <v>79.711465</v>
      </c>
    </row>
    <row r="2651" customFormat="false" ht="15" hidden="false" customHeight="false" outlineLevel="0" collapsed="false">
      <c r="B2651" s="7" t="s">
        <v>3148</v>
      </c>
      <c r="C2651" s="39" t="n">
        <v>45791</v>
      </c>
      <c r="D2651" s="7" t="s">
        <v>329</v>
      </c>
      <c r="E2651" s="7" t="s">
        <v>156</v>
      </c>
      <c r="F2651" s="7" t="s">
        <v>220</v>
      </c>
      <c r="G2651" s="7" t="s">
        <v>505</v>
      </c>
      <c r="H2651" s="6" t="n">
        <v>3.63</v>
      </c>
      <c r="I2651" s="6" t="n">
        <v>0</v>
      </c>
      <c r="J2651" s="40" t="n">
        <f aca="false">H2651-I2651</f>
        <v>3.63</v>
      </c>
      <c r="K2651" s="41" t="n">
        <v>34</v>
      </c>
      <c r="L2651" s="42" t="n">
        <f aca="false">J2651*K2651</f>
        <v>123.42</v>
      </c>
      <c r="M2651" s="43" t="n">
        <f aca="false">H2651*16.43*(1+'Chart of Accounts'!$E$67)</f>
        <v>68.2888305</v>
      </c>
    </row>
    <row r="2652" customFormat="false" ht="15" hidden="false" customHeight="false" outlineLevel="0" collapsed="false">
      <c r="B2652" s="7" t="s">
        <v>3149</v>
      </c>
      <c r="C2652" s="39" t="n">
        <v>45791</v>
      </c>
      <c r="D2652" s="7" t="s">
        <v>335</v>
      </c>
      <c r="E2652" s="7" t="s">
        <v>154</v>
      </c>
      <c r="F2652" s="7" t="s">
        <v>177</v>
      </c>
      <c r="G2652" s="7" t="s">
        <v>505</v>
      </c>
      <c r="H2652" s="6" t="n">
        <v>4.32</v>
      </c>
      <c r="I2652" s="6" t="n">
        <v>0</v>
      </c>
      <c r="J2652" s="40" t="n">
        <f aca="false">H2652-I2652</f>
        <v>4.32</v>
      </c>
      <c r="K2652" s="41" t="n">
        <v>26.5</v>
      </c>
      <c r="L2652" s="42" t="n">
        <f aca="false">J2652*K2652</f>
        <v>114.48</v>
      </c>
      <c r="M2652" s="43" t="n">
        <f aca="false">H2652*14.56*(1+'Chart of Accounts'!$E$67)</f>
        <v>72.019584</v>
      </c>
    </row>
    <row r="2653" customFormat="false" ht="15" hidden="false" customHeight="false" outlineLevel="0" collapsed="false">
      <c r="B2653" s="7" t="s">
        <v>3150</v>
      </c>
      <c r="C2653" s="39" t="n">
        <v>45791</v>
      </c>
      <c r="D2653" s="7" t="s">
        <v>339</v>
      </c>
      <c r="E2653" s="7" t="s">
        <v>154</v>
      </c>
      <c r="F2653" s="7" t="s">
        <v>242</v>
      </c>
      <c r="G2653" s="7" t="s">
        <v>505</v>
      </c>
      <c r="H2653" s="6" t="n">
        <v>3.32</v>
      </c>
      <c r="I2653" s="6" t="n">
        <v>0</v>
      </c>
      <c r="J2653" s="40" t="n">
        <f aca="false">H2653-I2653</f>
        <v>3.32</v>
      </c>
      <c r="K2653" s="41" t="n">
        <v>26.5</v>
      </c>
      <c r="L2653" s="42" t="n">
        <f aca="false">J2653*K2653</f>
        <v>87.98</v>
      </c>
      <c r="M2653" s="43" t="n">
        <f aca="false">H2653*17.99*(1+'Chart of Accounts'!$E$67)</f>
        <v>68.387186</v>
      </c>
    </row>
    <row r="2654" customFormat="false" ht="15" hidden="false" customHeight="false" outlineLevel="0" collapsed="false">
      <c r="B2654" s="7" t="s">
        <v>3151</v>
      </c>
      <c r="C2654" s="39" t="n">
        <v>45791</v>
      </c>
      <c r="D2654" s="7" t="s">
        <v>353</v>
      </c>
      <c r="E2654" s="7" t="s">
        <v>154</v>
      </c>
      <c r="F2654" s="7" t="s">
        <v>254</v>
      </c>
      <c r="G2654" s="7" t="s">
        <v>505</v>
      </c>
      <c r="H2654" s="6" t="n">
        <v>3.28</v>
      </c>
      <c r="I2654" s="6" t="n">
        <v>0</v>
      </c>
      <c r="J2654" s="40" t="n">
        <f aca="false">H2654-I2654</f>
        <v>3.28</v>
      </c>
      <c r="K2654" s="41" t="n">
        <v>26.5</v>
      </c>
      <c r="L2654" s="42" t="n">
        <f aca="false">J2654*K2654</f>
        <v>86.92</v>
      </c>
      <c r="M2654" s="43" t="n">
        <f aca="false">H2654*17.1*(1+'Chart of Accounts'!$E$67)</f>
        <v>64.22076</v>
      </c>
    </row>
    <row r="2655" customFormat="false" ht="15" hidden="false" customHeight="false" outlineLevel="0" collapsed="false">
      <c r="B2655" s="7" t="s">
        <v>3152</v>
      </c>
      <c r="C2655" s="39" t="n">
        <v>45791</v>
      </c>
      <c r="D2655" s="7" t="s">
        <v>355</v>
      </c>
      <c r="E2655" s="7" t="s">
        <v>154</v>
      </c>
      <c r="F2655" s="7" t="s">
        <v>201</v>
      </c>
      <c r="G2655" s="7" t="s">
        <v>505</v>
      </c>
      <c r="H2655" s="6" t="n">
        <v>3.48</v>
      </c>
      <c r="I2655" s="6" t="n">
        <v>0</v>
      </c>
      <c r="J2655" s="40" t="n">
        <f aca="false">H2655-I2655</f>
        <v>3.48</v>
      </c>
      <c r="K2655" s="41" t="n">
        <v>26.5</v>
      </c>
      <c r="L2655" s="42" t="n">
        <f aca="false">J2655*K2655</f>
        <v>92.22</v>
      </c>
      <c r="M2655" s="43" t="n">
        <f aca="false">H2655*15.19*(1+'Chart of Accounts'!$E$67)</f>
        <v>60.526074</v>
      </c>
    </row>
    <row r="2656" customFormat="false" ht="15" hidden="false" customHeight="false" outlineLevel="0" collapsed="false">
      <c r="B2656" s="7" t="s">
        <v>3153</v>
      </c>
      <c r="C2656" s="39" t="n">
        <v>45791</v>
      </c>
      <c r="D2656" s="7" t="s">
        <v>357</v>
      </c>
      <c r="E2656" s="7" t="s">
        <v>154</v>
      </c>
      <c r="F2656" s="7" t="s">
        <v>207</v>
      </c>
      <c r="G2656" s="7" t="s">
        <v>505</v>
      </c>
      <c r="H2656" s="6" t="n">
        <v>3.59</v>
      </c>
      <c r="I2656" s="6" t="n">
        <v>0</v>
      </c>
      <c r="J2656" s="40" t="n">
        <f aca="false">H2656-I2656</f>
        <v>3.59</v>
      </c>
      <c r="K2656" s="41" t="n">
        <v>26.5</v>
      </c>
      <c r="L2656" s="42" t="n">
        <f aca="false">J2656*K2656</f>
        <v>95.135</v>
      </c>
      <c r="M2656" s="43" t="n">
        <f aca="false">H2656*16.65*(1+'Chart of Accounts'!$E$67)</f>
        <v>68.4406575</v>
      </c>
    </row>
    <row r="2657" customFormat="false" ht="15" hidden="false" customHeight="false" outlineLevel="0" collapsed="false">
      <c r="B2657" s="7" t="s">
        <v>3154</v>
      </c>
      <c r="C2657" s="39" t="n">
        <v>45791</v>
      </c>
      <c r="D2657" s="7" t="s">
        <v>359</v>
      </c>
      <c r="E2657" s="7" t="s">
        <v>156</v>
      </c>
      <c r="F2657" s="7" t="s">
        <v>212</v>
      </c>
      <c r="G2657" s="7" t="s">
        <v>505</v>
      </c>
      <c r="H2657" s="6" t="n">
        <v>4.27</v>
      </c>
      <c r="I2657" s="6" t="n">
        <v>0</v>
      </c>
      <c r="J2657" s="40" t="n">
        <f aca="false">H2657-I2657</f>
        <v>4.27</v>
      </c>
      <c r="K2657" s="41" t="n">
        <v>34</v>
      </c>
      <c r="L2657" s="42" t="n">
        <f aca="false">J2657*K2657</f>
        <v>145.18</v>
      </c>
      <c r="M2657" s="43" t="n">
        <f aca="false">H2657*16.71*(1+'Chart of Accounts'!$E$67)</f>
        <v>81.6976965</v>
      </c>
    </row>
    <row r="2658" customFormat="false" ht="15" hidden="false" customHeight="false" outlineLevel="0" collapsed="false">
      <c r="B2658" s="7" t="s">
        <v>3155</v>
      </c>
      <c r="C2658" s="39" t="n">
        <v>45791</v>
      </c>
      <c r="D2658" s="7" t="s">
        <v>379</v>
      </c>
      <c r="E2658" s="7" t="s">
        <v>156</v>
      </c>
      <c r="F2658" s="7" t="s">
        <v>224</v>
      </c>
      <c r="G2658" s="7" t="s">
        <v>505</v>
      </c>
      <c r="H2658" s="6" t="n">
        <v>4.42</v>
      </c>
      <c r="I2658" s="6" t="n">
        <v>0</v>
      </c>
      <c r="J2658" s="40" t="n">
        <f aca="false">H2658-I2658</f>
        <v>4.42</v>
      </c>
      <c r="K2658" s="41" t="n">
        <v>34</v>
      </c>
      <c r="L2658" s="42" t="n">
        <f aca="false">J2658*K2658</f>
        <v>150.28</v>
      </c>
      <c r="M2658" s="43" t="n">
        <f aca="false">H2658*14.93*(1+'Chart of Accounts'!$E$67)</f>
        <v>75.559237</v>
      </c>
    </row>
    <row r="2659" customFormat="false" ht="15" hidden="false" customHeight="false" outlineLevel="0" collapsed="false">
      <c r="B2659" s="7" t="s">
        <v>3156</v>
      </c>
      <c r="C2659" s="39" t="n">
        <v>45791</v>
      </c>
      <c r="D2659" s="7" t="s">
        <v>385</v>
      </c>
      <c r="E2659" s="7" t="s">
        <v>156</v>
      </c>
      <c r="F2659" s="7" t="s">
        <v>238</v>
      </c>
      <c r="G2659" s="7" t="s">
        <v>505</v>
      </c>
      <c r="H2659" s="6" t="n">
        <v>4.38</v>
      </c>
      <c r="I2659" s="6" t="n">
        <v>0</v>
      </c>
      <c r="J2659" s="40" t="n">
        <f aca="false">H2659-I2659</f>
        <v>4.38</v>
      </c>
      <c r="K2659" s="41" t="n">
        <v>34</v>
      </c>
      <c r="L2659" s="42" t="n">
        <f aca="false">J2659*K2659</f>
        <v>148.92</v>
      </c>
      <c r="M2659" s="43" t="n">
        <f aca="false">H2659*15.85*(1+'Chart of Accounts'!$E$67)</f>
        <v>79.489335</v>
      </c>
    </row>
    <row r="2660" customFormat="false" ht="15" hidden="false" customHeight="false" outlineLevel="0" collapsed="false">
      <c r="B2660" s="7" t="s">
        <v>3157</v>
      </c>
      <c r="C2660" s="39" t="n">
        <v>45791</v>
      </c>
      <c r="D2660" s="7" t="s">
        <v>389</v>
      </c>
      <c r="E2660" s="7" t="s">
        <v>154</v>
      </c>
      <c r="F2660" s="7" t="s">
        <v>246</v>
      </c>
      <c r="G2660" s="7" t="s">
        <v>505</v>
      </c>
      <c r="H2660" s="6" t="n">
        <v>3.83</v>
      </c>
      <c r="I2660" s="6" t="n">
        <v>0</v>
      </c>
      <c r="J2660" s="40" t="n">
        <f aca="false">H2660-I2660</f>
        <v>3.83</v>
      </c>
      <c r="K2660" s="41" t="n">
        <v>26.5</v>
      </c>
      <c r="L2660" s="42" t="n">
        <f aca="false">J2660*K2660</f>
        <v>101.495</v>
      </c>
      <c r="M2660" s="43" t="n">
        <f aca="false">H2660*16.48*(1+'Chart of Accounts'!$E$67)</f>
        <v>72.270568</v>
      </c>
    </row>
    <row r="2661" customFormat="false" ht="15" hidden="false" customHeight="false" outlineLevel="0" collapsed="false">
      <c r="B2661" s="7" t="s">
        <v>3158</v>
      </c>
      <c r="C2661" s="39" t="n">
        <v>45791</v>
      </c>
      <c r="D2661" s="7" t="s">
        <v>391</v>
      </c>
      <c r="E2661" s="7" t="s">
        <v>156</v>
      </c>
      <c r="F2661" s="7" t="s">
        <v>222</v>
      </c>
      <c r="G2661" s="7" t="s">
        <v>505</v>
      </c>
      <c r="H2661" s="6" t="n">
        <v>3.8</v>
      </c>
      <c r="I2661" s="6" t="n">
        <v>0</v>
      </c>
      <c r="J2661" s="40" t="n">
        <f aca="false">H2661-I2661</f>
        <v>3.8</v>
      </c>
      <c r="K2661" s="41" t="n">
        <v>34</v>
      </c>
      <c r="L2661" s="42" t="n">
        <f aca="false">J2661*K2661</f>
        <v>129.2</v>
      </c>
      <c r="M2661" s="43" t="n">
        <f aca="false">H2661*17.84*(1+'Chart of Accounts'!$E$67)</f>
        <v>77.62184</v>
      </c>
    </row>
    <row r="2662" customFormat="false" ht="15" hidden="false" customHeight="false" outlineLevel="0" collapsed="false">
      <c r="B2662" s="7" t="s">
        <v>3159</v>
      </c>
      <c r="C2662" s="39" t="n">
        <v>45791</v>
      </c>
      <c r="D2662" s="7" t="s">
        <v>393</v>
      </c>
      <c r="E2662" s="7" t="s">
        <v>157</v>
      </c>
      <c r="F2662" s="7" t="s">
        <v>203</v>
      </c>
      <c r="G2662" s="7" t="s">
        <v>502</v>
      </c>
      <c r="H2662" s="6" t="n">
        <v>0.95</v>
      </c>
      <c r="I2662" s="6" t="n">
        <v>0</v>
      </c>
      <c r="J2662" s="40" t="n">
        <f aca="false">H2662-I2662</f>
        <v>0.95</v>
      </c>
      <c r="K2662" s="41" t="n">
        <v>165</v>
      </c>
      <c r="L2662" s="42" t="n">
        <f aca="false">J2662*K2662</f>
        <v>156.75</v>
      </c>
      <c r="M2662" s="43" t="n">
        <f aca="false">H2662*49.43*(1+'Chart of Accounts'!$E$67)</f>
        <v>53.7674825</v>
      </c>
    </row>
    <row r="2663" customFormat="false" ht="15" hidden="false" customHeight="false" outlineLevel="0" collapsed="false">
      <c r="B2663" s="7" t="s">
        <v>3160</v>
      </c>
      <c r="C2663" s="39" t="n">
        <v>45791</v>
      </c>
      <c r="D2663" s="7" t="s">
        <v>395</v>
      </c>
      <c r="E2663" s="7" t="s">
        <v>156</v>
      </c>
      <c r="F2663" s="7" t="s">
        <v>242</v>
      </c>
      <c r="G2663" s="7" t="s">
        <v>505</v>
      </c>
      <c r="H2663" s="6" t="n">
        <v>4.4</v>
      </c>
      <c r="I2663" s="6" t="n">
        <v>0</v>
      </c>
      <c r="J2663" s="40" t="n">
        <f aca="false">H2663-I2663</f>
        <v>4.4</v>
      </c>
      <c r="K2663" s="41" t="n">
        <v>34</v>
      </c>
      <c r="L2663" s="42" t="n">
        <f aca="false">J2663*K2663</f>
        <v>149.6</v>
      </c>
      <c r="M2663" s="43" t="n">
        <f aca="false">H2663*17.99*(1+'Chart of Accounts'!$E$67)</f>
        <v>90.63362</v>
      </c>
    </row>
    <row r="2664" customFormat="false" ht="15" hidden="false" customHeight="false" outlineLevel="0" collapsed="false">
      <c r="B2664" s="7" t="s">
        <v>3161</v>
      </c>
      <c r="C2664" s="39" t="n">
        <v>45791</v>
      </c>
      <c r="D2664" s="7" t="s">
        <v>399</v>
      </c>
      <c r="E2664" s="7" t="s">
        <v>154</v>
      </c>
      <c r="F2664" s="7" t="s">
        <v>262</v>
      </c>
      <c r="G2664" s="7" t="s">
        <v>505</v>
      </c>
      <c r="H2664" s="6" t="n">
        <v>3.13</v>
      </c>
      <c r="I2664" s="6" t="n">
        <v>0</v>
      </c>
      <c r="J2664" s="40" t="n">
        <f aca="false">H2664-I2664</f>
        <v>3.13</v>
      </c>
      <c r="K2664" s="41" t="n">
        <v>26.5</v>
      </c>
      <c r="L2664" s="42" t="n">
        <f aca="false">J2664*K2664</f>
        <v>82.945</v>
      </c>
      <c r="M2664" s="43" t="n">
        <f aca="false">H2664*16.02*(1+'Chart of Accounts'!$E$67)</f>
        <v>57.413277</v>
      </c>
    </row>
    <row r="2665" customFormat="false" ht="15" hidden="false" customHeight="false" outlineLevel="0" collapsed="false">
      <c r="B2665" s="7" t="s">
        <v>3162</v>
      </c>
      <c r="C2665" s="39" t="n">
        <v>45791</v>
      </c>
      <c r="D2665" s="7" t="s">
        <v>401</v>
      </c>
      <c r="E2665" s="7" t="s">
        <v>156</v>
      </c>
      <c r="F2665" s="7" t="s">
        <v>254</v>
      </c>
      <c r="G2665" s="7" t="s">
        <v>505</v>
      </c>
      <c r="H2665" s="6" t="n">
        <v>4.16</v>
      </c>
      <c r="I2665" s="6" t="n">
        <v>0</v>
      </c>
      <c r="J2665" s="40" t="n">
        <f aca="false">H2665-I2665</f>
        <v>4.16</v>
      </c>
      <c r="K2665" s="41" t="n">
        <v>34</v>
      </c>
      <c r="L2665" s="42" t="n">
        <f aca="false">J2665*K2665</f>
        <v>141.44</v>
      </c>
      <c r="M2665" s="43" t="n">
        <f aca="false">H2665*17.1*(1+'Chart of Accounts'!$E$67)</f>
        <v>81.45072</v>
      </c>
    </row>
    <row r="2666" customFormat="false" ht="15" hidden="false" customHeight="false" outlineLevel="0" collapsed="false">
      <c r="B2666" s="7" t="s">
        <v>3163</v>
      </c>
      <c r="C2666" s="39" t="n">
        <v>45791</v>
      </c>
      <c r="D2666" s="7" t="s">
        <v>409</v>
      </c>
      <c r="E2666" s="7" t="s">
        <v>154</v>
      </c>
      <c r="F2666" s="7" t="s">
        <v>214</v>
      </c>
      <c r="G2666" s="7" t="s">
        <v>505</v>
      </c>
      <c r="H2666" s="6" t="n">
        <v>3.66</v>
      </c>
      <c r="I2666" s="6" t="n">
        <v>0</v>
      </c>
      <c r="J2666" s="40" t="n">
        <f aca="false">H2666-I2666</f>
        <v>3.66</v>
      </c>
      <c r="K2666" s="41" t="n">
        <v>26.5</v>
      </c>
      <c r="L2666" s="42" t="n">
        <f aca="false">J2666*K2666</f>
        <v>96.99</v>
      </c>
      <c r="M2666" s="43" t="n">
        <f aca="false">H2666*15.67*(1+'Chart of Accounts'!$E$67)</f>
        <v>65.668269</v>
      </c>
    </row>
    <row r="2667" customFormat="false" ht="15" hidden="false" customHeight="false" outlineLevel="0" collapsed="false">
      <c r="B2667" s="7" t="s">
        <v>3164</v>
      </c>
      <c r="C2667" s="39" t="n">
        <v>45791</v>
      </c>
      <c r="D2667" s="7" t="s">
        <v>411</v>
      </c>
      <c r="E2667" s="7" t="s">
        <v>154</v>
      </c>
      <c r="F2667" s="7" t="s">
        <v>177</v>
      </c>
      <c r="G2667" s="7" t="s">
        <v>505</v>
      </c>
      <c r="H2667" s="6" t="n">
        <v>4.41</v>
      </c>
      <c r="I2667" s="6" t="n">
        <v>0.132</v>
      </c>
      <c r="J2667" s="40" t="n">
        <f aca="false">H2667-I2667</f>
        <v>4.278</v>
      </c>
      <c r="K2667" s="41" t="n">
        <v>26.5</v>
      </c>
      <c r="L2667" s="42" t="n">
        <f aca="false">J2667*K2667</f>
        <v>113.367</v>
      </c>
      <c r="M2667" s="43" t="n">
        <f aca="false">H2667*14.56*(1+'Chart of Accounts'!$E$67)</f>
        <v>73.519992</v>
      </c>
    </row>
    <row r="2668" customFormat="false" ht="15" hidden="false" customHeight="false" outlineLevel="0" collapsed="false">
      <c r="B2668" s="7" t="s">
        <v>3165</v>
      </c>
      <c r="C2668" s="39" t="n">
        <v>45792</v>
      </c>
      <c r="D2668" s="7" t="s">
        <v>288</v>
      </c>
      <c r="E2668" s="7" t="s">
        <v>156</v>
      </c>
      <c r="F2668" s="7" t="s">
        <v>191</v>
      </c>
      <c r="G2668" s="7" t="s">
        <v>505</v>
      </c>
      <c r="H2668" s="6" t="n">
        <v>4.39</v>
      </c>
      <c r="I2668" s="6" t="n">
        <v>0</v>
      </c>
      <c r="J2668" s="40" t="n">
        <f aca="false">H2668-I2668</f>
        <v>4.39</v>
      </c>
      <c r="K2668" s="41" t="n">
        <v>34</v>
      </c>
      <c r="L2668" s="42" t="n">
        <f aca="false">J2668*K2668</f>
        <v>149.26</v>
      </c>
      <c r="M2668" s="43" t="n">
        <f aca="false">H2668*16.05*(1+'Chart of Accounts'!$E$67)</f>
        <v>80.6761275</v>
      </c>
    </row>
    <row r="2669" customFormat="false" ht="15" hidden="false" customHeight="false" outlineLevel="0" collapsed="false">
      <c r="B2669" s="7" t="s">
        <v>3166</v>
      </c>
      <c r="C2669" s="39" t="n">
        <v>45792</v>
      </c>
      <c r="D2669" s="7" t="s">
        <v>297</v>
      </c>
      <c r="E2669" s="7" t="s">
        <v>156</v>
      </c>
      <c r="F2669" s="7" t="s">
        <v>201</v>
      </c>
      <c r="G2669" s="7" t="s">
        <v>505</v>
      </c>
      <c r="H2669" s="6" t="n">
        <v>3.07</v>
      </c>
      <c r="I2669" s="6" t="n">
        <v>0</v>
      </c>
      <c r="J2669" s="40" t="n">
        <f aca="false">H2669-I2669</f>
        <v>3.07</v>
      </c>
      <c r="K2669" s="41" t="n">
        <v>34</v>
      </c>
      <c r="L2669" s="42" t="n">
        <f aca="false">J2669*K2669</f>
        <v>104.38</v>
      </c>
      <c r="M2669" s="43" t="n">
        <f aca="false">H2669*15.19*(1+'Chart of Accounts'!$E$67)</f>
        <v>53.3951285</v>
      </c>
    </row>
    <row r="2670" customFormat="false" ht="15" hidden="false" customHeight="false" outlineLevel="0" collapsed="false">
      <c r="B2670" s="7" t="s">
        <v>3167</v>
      </c>
      <c r="C2670" s="39" t="n">
        <v>45792</v>
      </c>
      <c r="D2670" s="7" t="s">
        <v>311</v>
      </c>
      <c r="E2670" s="7" t="s">
        <v>154</v>
      </c>
      <c r="F2670" s="7" t="s">
        <v>196</v>
      </c>
      <c r="G2670" s="7" t="s">
        <v>505</v>
      </c>
      <c r="H2670" s="6" t="n">
        <v>2.94</v>
      </c>
      <c r="I2670" s="6" t="n">
        <v>0</v>
      </c>
      <c r="J2670" s="40" t="n">
        <f aca="false">H2670-I2670</f>
        <v>2.94</v>
      </c>
      <c r="K2670" s="41" t="n">
        <v>26.5</v>
      </c>
      <c r="L2670" s="42" t="n">
        <f aca="false">J2670*K2670</f>
        <v>77.91</v>
      </c>
      <c r="M2670" s="43" t="n">
        <f aca="false">H2670*15.05*(1+'Chart of Accounts'!$E$67)</f>
        <v>50.662815</v>
      </c>
    </row>
    <row r="2671" customFormat="false" ht="15" hidden="false" customHeight="false" outlineLevel="0" collapsed="false">
      <c r="B2671" s="7" t="s">
        <v>3168</v>
      </c>
      <c r="C2671" s="39" t="n">
        <v>45792</v>
      </c>
      <c r="D2671" s="7" t="s">
        <v>313</v>
      </c>
      <c r="E2671" s="7" t="s">
        <v>156</v>
      </c>
      <c r="F2671" s="7" t="s">
        <v>184</v>
      </c>
      <c r="G2671" s="7" t="s">
        <v>505</v>
      </c>
      <c r="H2671" s="6" t="n">
        <v>3.79</v>
      </c>
      <c r="I2671" s="6" t="n">
        <v>0</v>
      </c>
      <c r="J2671" s="40" t="n">
        <f aca="false">H2671-I2671</f>
        <v>3.79</v>
      </c>
      <c r="K2671" s="41" t="n">
        <v>34</v>
      </c>
      <c r="L2671" s="42" t="n">
        <f aca="false">J2671*K2671</f>
        <v>128.86</v>
      </c>
      <c r="M2671" s="43" t="n">
        <f aca="false">H2671*17.34*(1+'Chart of Accounts'!$E$67)</f>
        <v>75.247797</v>
      </c>
    </row>
    <row r="2672" customFormat="false" ht="15" hidden="false" customHeight="false" outlineLevel="0" collapsed="false">
      <c r="B2672" s="7" t="s">
        <v>3169</v>
      </c>
      <c r="C2672" s="39" t="n">
        <v>45792</v>
      </c>
      <c r="D2672" s="7" t="s">
        <v>317</v>
      </c>
      <c r="E2672" s="7" t="s">
        <v>156</v>
      </c>
      <c r="F2672" s="7" t="s">
        <v>207</v>
      </c>
      <c r="G2672" s="7" t="s">
        <v>505</v>
      </c>
      <c r="H2672" s="6" t="n">
        <v>3.01</v>
      </c>
      <c r="I2672" s="6" t="n">
        <v>0</v>
      </c>
      <c r="J2672" s="40" t="n">
        <f aca="false">H2672-I2672</f>
        <v>3.01</v>
      </c>
      <c r="K2672" s="41" t="n">
        <v>34</v>
      </c>
      <c r="L2672" s="42" t="n">
        <f aca="false">J2672*K2672</f>
        <v>102.34</v>
      </c>
      <c r="M2672" s="43" t="n">
        <f aca="false">H2672*16.65*(1+'Chart of Accounts'!$E$67)</f>
        <v>57.3833925</v>
      </c>
    </row>
    <row r="2673" customFormat="false" ht="15" hidden="false" customHeight="false" outlineLevel="0" collapsed="false">
      <c r="B2673" s="7" t="s">
        <v>3170</v>
      </c>
      <c r="C2673" s="39" t="n">
        <v>45792</v>
      </c>
      <c r="D2673" s="7" t="s">
        <v>321</v>
      </c>
      <c r="E2673" s="7" t="s">
        <v>154</v>
      </c>
      <c r="F2673" s="7" t="s">
        <v>218</v>
      </c>
      <c r="G2673" s="7" t="s">
        <v>505</v>
      </c>
      <c r="H2673" s="6" t="n">
        <v>3.82</v>
      </c>
      <c r="I2673" s="6" t="n">
        <v>0</v>
      </c>
      <c r="J2673" s="40" t="n">
        <f aca="false">H2673-I2673</f>
        <v>3.82</v>
      </c>
      <c r="K2673" s="41" t="n">
        <v>26.5</v>
      </c>
      <c r="L2673" s="42" t="n">
        <f aca="false">J2673*K2673</f>
        <v>101.23</v>
      </c>
      <c r="M2673" s="43" t="n">
        <f aca="false">H2673*16.19*(1+'Chart of Accounts'!$E$67)</f>
        <v>70.813441</v>
      </c>
    </row>
    <row r="2674" customFormat="false" ht="15" hidden="false" customHeight="false" outlineLevel="0" collapsed="false">
      <c r="B2674" s="7" t="s">
        <v>3171</v>
      </c>
      <c r="C2674" s="39" t="n">
        <v>45792</v>
      </c>
      <c r="D2674" s="7" t="s">
        <v>325</v>
      </c>
      <c r="E2674" s="7" t="s">
        <v>154</v>
      </c>
      <c r="F2674" s="7" t="s">
        <v>212</v>
      </c>
      <c r="G2674" s="7" t="s">
        <v>505</v>
      </c>
      <c r="H2674" s="6" t="n">
        <v>2.95</v>
      </c>
      <c r="I2674" s="6" t="n">
        <v>0.088</v>
      </c>
      <c r="J2674" s="40" t="n">
        <f aca="false">H2674-I2674</f>
        <v>2.862</v>
      </c>
      <c r="K2674" s="41" t="n">
        <v>26.5</v>
      </c>
      <c r="L2674" s="42" t="n">
        <f aca="false">J2674*K2674</f>
        <v>75.843</v>
      </c>
      <c r="M2674" s="43" t="n">
        <f aca="false">H2674*16.71*(1+'Chart of Accounts'!$E$67)</f>
        <v>56.4422025</v>
      </c>
    </row>
    <row r="2675" customFormat="false" ht="15" hidden="false" customHeight="false" outlineLevel="0" collapsed="false">
      <c r="B2675" s="7" t="s">
        <v>3172</v>
      </c>
      <c r="C2675" s="39" t="n">
        <v>45792</v>
      </c>
      <c r="D2675" s="7" t="s">
        <v>329</v>
      </c>
      <c r="E2675" s="7" t="s">
        <v>156</v>
      </c>
      <c r="F2675" s="7" t="s">
        <v>220</v>
      </c>
      <c r="G2675" s="7" t="s">
        <v>505</v>
      </c>
      <c r="H2675" s="6" t="n">
        <v>3.63</v>
      </c>
      <c r="I2675" s="6" t="n">
        <v>0</v>
      </c>
      <c r="J2675" s="40" t="n">
        <f aca="false">H2675-I2675</f>
        <v>3.63</v>
      </c>
      <c r="K2675" s="41" t="n">
        <v>34</v>
      </c>
      <c r="L2675" s="42" t="n">
        <f aca="false">J2675*K2675</f>
        <v>123.42</v>
      </c>
      <c r="M2675" s="43" t="n">
        <f aca="false">H2675*16.43*(1+'Chart of Accounts'!$E$67)</f>
        <v>68.2888305</v>
      </c>
    </row>
    <row r="2676" customFormat="false" ht="15" hidden="false" customHeight="false" outlineLevel="0" collapsed="false">
      <c r="B2676" s="7" t="s">
        <v>3173</v>
      </c>
      <c r="C2676" s="39" t="n">
        <v>45792</v>
      </c>
      <c r="D2676" s="7" t="s">
        <v>331</v>
      </c>
      <c r="E2676" s="7" t="s">
        <v>156</v>
      </c>
      <c r="F2676" s="7" t="s">
        <v>224</v>
      </c>
      <c r="G2676" s="7" t="s">
        <v>505</v>
      </c>
      <c r="H2676" s="6" t="n">
        <v>3.77</v>
      </c>
      <c r="I2676" s="6" t="n">
        <v>0</v>
      </c>
      <c r="J2676" s="40" t="n">
        <f aca="false">H2676-I2676</f>
        <v>3.77</v>
      </c>
      <c r="K2676" s="41" t="n">
        <v>34</v>
      </c>
      <c r="L2676" s="42" t="n">
        <f aca="false">J2676*K2676</f>
        <v>128.18</v>
      </c>
      <c r="M2676" s="43" t="n">
        <f aca="false">H2676*14.93*(1+'Chart of Accounts'!$E$67)</f>
        <v>64.4475845</v>
      </c>
    </row>
    <row r="2677" customFormat="false" ht="15" hidden="false" customHeight="false" outlineLevel="0" collapsed="false">
      <c r="B2677" s="7" t="s">
        <v>3174</v>
      </c>
      <c r="C2677" s="39" t="n">
        <v>45792</v>
      </c>
      <c r="D2677" s="7" t="s">
        <v>337</v>
      </c>
      <c r="E2677" s="7" t="s">
        <v>154</v>
      </c>
      <c r="F2677" s="7" t="s">
        <v>232</v>
      </c>
      <c r="G2677" s="7" t="s">
        <v>505</v>
      </c>
      <c r="H2677" s="6" t="n">
        <v>2.76</v>
      </c>
      <c r="I2677" s="6" t="n">
        <v>0</v>
      </c>
      <c r="J2677" s="40" t="n">
        <f aca="false">H2677-I2677</f>
        <v>2.76</v>
      </c>
      <c r="K2677" s="41" t="n">
        <v>26.5</v>
      </c>
      <c r="L2677" s="42" t="n">
        <f aca="false">J2677*K2677</f>
        <v>73.14</v>
      </c>
      <c r="M2677" s="43" t="n">
        <f aca="false">H2677*16.17*(1+'Chart of Accounts'!$E$67)</f>
        <v>51.100434</v>
      </c>
    </row>
    <row r="2678" customFormat="false" ht="15" hidden="false" customHeight="false" outlineLevel="0" collapsed="false">
      <c r="B2678" s="7" t="s">
        <v>3175</v>
      </c>
      <c r="C2678" s="39" t="n">
        <v>45792</v>
      </c>
      <c r="D2678" s="7" t="s">
        <v>341</v>
      </c>
      <c r="E2678" s="7" t="s">
        <v>156</v>
      </c>
      <c r="F2678" s="7" t="s">
        <v>222</v>
      </c>
      <c r="G2678" s="7" t="s">
        <v>505</v>
      </c>
      <c r="H2678" s="6" t="n">
        <v>2.92</v>
      </c>
      <c r="I2678" s="6" t="n">
        <v>0</v>
      </c>
      <c r="J2678" s="40" t="n">
        <f aca="false">H2678-I2678</f>
        <v>2.92</v>
      </c>
      <c r="K2678" s="41" t="n">
        <v>34</v>
      </c>
      <c r="L2678" s="42" t="n">
        <f aca="false">J2678*K2678</f>
        <v>99.28</v>
      </c>
      <c r="M2678" s="43" t="n">
        <f aca="false">H2678*17.84*(1+'Chart of Accounts'!$E$67)</f>
        <v>59.646256</v>
      </c>
    </row>
    <row r="2679" customFormat="false" ht="15" hidden="false" customHeight="false" outlineLevel="0" collapsed="false">
      <c r="B2679" s="7" t="s">
        <v>3176</v>
      </c>
      <c r="C2679" s="39" t="n">
        <v>45792</v>
      </c>
      <c r="D2679" s="7" t="s">
        <v>343</v>
      </c>
      <c r="E2679" s="7" t="s">
        <v>154</v>
      </c>
      <c r="F2679" s="7" t="s">
        <v>262</v>
      </c>
      <c r="G2679" s="7" t="s">
        <v>505</v>
      </c>
      <c r="H2679" s="6" t="n">
        <v>3.61</v>
      </c>
      <c r="I2679" s="6" t="n">
        <v>0</v>
      </c>
      <c r="J2679" s="40" t="n">
        <f aca="false">H2679-I2679</f>
        <v>3.61</v>
      </c>
      <c r="K2679" s="41" t="n">
        <v>26.5</v>
      </c>
      <c r="L2679" s="42" t="n">
        <f aca="false">J2679*K2679</f>
        <v>95.665</v>
      </c>
      <c r="M2679" s="43" t="n">
        <f aca="false">H2679*16.02*(1+'Chart of Accounts'!$E$67)</f>
        <v>66.217869</v>
      </c>
    </row>
    <row r="2680" customFormat="false" ht="15" hidden="false" customHeight="false" outlineLevel="0" collapsed="false">
      <c r="B2680" s="7" t="s">
        <v>3177</v>
      </c>
      <c r="C2680" s="39" t="n">
        <v>45792</v>
      </c>
      <c r="D2680" s="7" t="s">
        <v>351</v>
      </c>
      <c r="E2680" s="7" t="s">
        <v>154</v>
      </c>
      <c r="F2680" s="7" t="s">
        <v>201</v>
      </c>
      <c r="G2680" s="7" t="s">
        <v>505</v>
      </c>
      <c r="H2680" s="6" t="n">
        <v>2.9</v>
      </c>
      <c r="I2680" s="6" t="n">
        <v>0</v>
      </c>
      <c r="J2680" s="40" t="n">
        <f aca="false">H2680-I2680</f>
        <v>2.9</v>
      </c>
      <c r="K2680" s="41" t="n">
        <v>26.5</v>
      </c>
      <c r="L2680" s="42" t="n">
        <f aca="false">J2680*K2680</f>
        <v>76.85</v>
      </c>
      <c r="M2680" s="43" t="n">
        <f aca="false">H2680*15.19*(1+'Chart of Accounts'!$E$67)</f>
        <v>50.438395</v>
      </c>
    </row>
    <row r="2681" customFormat="false" ht="15" hidden="false" customHeight="false" outlineLevel="0" collapsed="false">
      <c r="B2681" s="7" t="s">
        <v>3178</v>
      </c>
      <c r="C2681" s="39" t="n">
        <v>45792</v>
      </c>
      <c r="D2681" s="7" t="s">
        <v>359</v>
      </c>
      <c r="E2681" s="7" t="s">
        <v>156</v>
      </c>
      <c r="F2681" s="7" t="s">
        <v>212</v>
      </c>
      <c r="G2681" s="7" t="s">
        <v>505</v>
      </c>
      <c r="H2681" s="6" t="n">
        <v>4.22</v>
      </c>
      <c r="I2681" s="6" t="n">
        <v>0</v>
      </c>
      <c r="J2681" s="40" t="n">
        <f aca="false">H2681-I2681</f>
        <v>4.22</v>
      </c>
      <c r="K2681" s="41" t="n">
        <v>34</v>
      </c>
      <c r="L2681" s="42" t="n">
        <f aca="false">J2681*K2681</f>
        <v>143.48</v>
      </c>
      <c r="M2681" s="43" t="n">
        <f aca="false">H2681*16.71*(1+'Chart of Accounts'!$E$67)</f>
        <v>80.741049</v>
      </c>
    </row>
    <row r="2682" customFormat="false" ht="15" hidden="false" customHeight="false" outlineLevel="0" collapsed="false">
      <c r="B2682" s="7" t="s">
        <v>3179</v>
      </c>
      <c r="C2682" s="39" t="n">
        <v>45792</v>
      </c>
      <c r="D2682" s="7" t="s">
        <v>363</v>
      </c>
      <c r="E2682" s="7" t="s">
        <v>156</v>
      </c>
      <c r="F2682" s="7" t="s">
        <v>246</v>
      </c>
      <c r="G2682" s="7" t="s">
        <v>505</v>
      </c>
      <c r="H2682" s="6" t="n">
        <v>4.12</v>
      </c>
      <c r="I2682" s="6" t="n">
        <v>0</v>
      </c>
      <c r="J2682" s="40" t="n">
        <f aca="false">H2682-I2682</f>
        <v>4.12</v>
      </c>
      <c r="K2682" s="41" t="n">
        <v>34</v>
      </c>
      <c r="L2682" s="42" t="n">
        <f aca="false">J2682*K2682</f>
        <v>140.08</v>
      </c>
      <c r="M2682" s="43" t="n">
        <f aca="false">H2682*16.48*(1+'Chart of Accounts'!$E$67)</f>
        <v>77.742752</v>
      </c>
    </row>
    <row r="2683" customFormat="false" ht="15" hidden="false" customHeight="false" outlineLevel="0" collapsed="false">
      <c r="B2683" s="7" t="s">
        <v>3180</v>
      </c>
      <c r="C2683" s="39" t="n">
        <v>45792</v>
      </c>
      <c r="D2683" s="7" t="s">
        <v>365</v>
      </c>
      <c r="E2683" s="7" t="s">
        <v>154</v>
      </c>
      <c r="F2683" s="7" t="s">
        <v>194</v>
      </c>
      <c r="G2683" s="7" t="s">
        <v>505</v>
      </c>
      <c r="H2683" s="6" t="n">
        <v>4.31</v>
      </c>
      <c r="I2683" s="6" t="n">
        <v>0</v>
      </c>
      <c r="J2683" s="40" t="n">
        <f aca="false">H2683-I2683</f>
        <v>4.31</v>
      </c>
      <c r="K2683" s="41" t="n">
        <v>26.5</v>
      </c>
      <c r="L2683" s="42" t="n">
        <f aca="false">J2683*K2683</f>
        <v>114.215</v>
      </c>
      <c r="M2683" s="43" t="n">
        <f aca="false">H2683*16*(1+'Chart of Accounts'!$E$67)</f>
        <v>78.9592</v>
      </c>
    </row>
    <row r="2684" customFormat="false" ht="15" hidden="false" customHeight="false" outlineLevel="0" collapsed="false">
      <c r="B2684" s="7" t="s">
        <v>3181</v>
      </c>
      <c r="C2684" s="39" t="n">
        <v>45792</v>
      </c>
      <c r="D2684" s="7" t="s">
        <v>375</v>
      </c>
      <c r="E2684" s="7" t="s">
        <v>156</v>
      </c>
      <c r="F2684" s="7" t="s">
        <v>196</v>
      </c>
      <c r="G2684" s="7" t="s">
        <v>505</v>
      </c>
      <c r="H2684" s="6" t="n">
        <v>2.77</v>
      </c>
      <c r="I2684" s="6" t="n">
        <v>0</v>
      </c>
      <c r="J2684" s="40" t="n">
        <f aca="false">H2684-I2684</f>
        <v>2.77</v>
      </c>
      <c r="K2684" s="41" t="n">
        <v>34</v>
      </c>
      <c r="L2684" s="42" t="n">
        <f aca="false">J2684*K2684</f>
        <v>94.18</v>
      </c>
      <c r="M2684" s="43" t="n">
        <f aca="false">H2684*15.05*(1+'Chart of Accounts'!$E$67)</f>
        <v>47.7333325</v>
      </c>
    </row>
    <row r="2685" customFormat="false" ht="15" hidden="false" customHeight="false" outlineLevel="0" collapsed="false">
      <c r="B2685" s="7" t="s">
        <v>3182</v>
      </c>
      <c r="C2685" s="39" t="n">
        <v>45792</v>
      </c>
      <c r="D2685" s="7" t="s">
        <v>377</v>
      </c>
      <c r="E2685" s="7" t="s">
        <v>154</v>
      </c>
      <c r="F2685" s="7" t="s">
        <v>214</v>
      </c>
      <c r="G2685" s="7" t="s">
        <v>505</v>
      </c>
      <c r="H2685" s="6" t="n">
        <v>4.12</v>
      </c>
      <c r="I2685" s="6" t="n">
        <v>0</v>
      </c>
      <c r="J2685" s="40" t="n">
        <f aca="false">H2685-I2685</f>
        <v>4.12</v>
      </c>
      <c r="K2685" s="41" t="n">
        <v>26.5</v>
      </c>
      <c r="L2685" s="42" t="n">
        <f aca="false">J2685*K2685</f>
        <v>109.18</v>
      </c>
      <c r="M2685" s="43" t="n">
        <f aca="false">H2685*15.67*(1+'Chart of Accounts'!$E$67)</f>
        <v>73.921658</v>
      </c>
    </row>
    <row r="2686" customFormat="false" ht="15" hidden="false" customHeight="false" outlineLevel="0" collapsed="false">
      <c r="B2686" s="7" t="s">
        <v>3183</v>
      </c>
      <c r="C2686" s="39" t="n">
        <v>45792</v>
      </c>
      <c r="D2686" s="7" t="s">
        <v>389</v>
      </c>
      <c r="E2686" s="7" t="s">
        <v>154</v>
      </c>
      <c r="F2686" s="7" t="s">
        <v>246</v>
      </c>
      <c r="G2686" s="7" t="s">
        <v>505</v>
      </c>
      <c r="H2686" s="6" t="n">
        <v>4.34</v>
      </c>
      <c r="I2686" s="6" t="n">
        <v>0</v>
      </c>
      <c r="J2686" s="40" t="n">
        <f aca="false">H2686-I2686</f>
        <v>4.34</v>
      </c>
      <c r="K2686" s="41" t="n">
        <v>26.5</v>
      </c>
      <c r="L2686" s="42" t="n">
        <f aca="false">J2686*K2686</f>
        <v>115.01</v>
      </c>
      <c r="M2686" s="43" t="n">
        <f aca="false">H2686*16.48*(1+'Chart of Accounts'!$E$67)</f>
        <v>81.894064</v>
      </c>
    </row>
    <row r="2687" customFormat="false" ht="15" hidden="false" customHeight="false" outlineLevel="0" collapsed="false">
      <c r="B2687" s="7" t="s">
        <v>3184</v>
      </c>
      <c r="C2687" s="39" t="n">
        <v>45792</v>
      </c>
      <c r="D2687" s="7" t="s">
        <v>391</v>
      </c>
      <c r="E2687" s="7" t="s">
        <v>156</v>
      </c>
      <c r="F2687" s="7" t="s">
        <v>222</v>
      </c>
      <c r="G2687" s="7" t="s">
        <v>505</v>
      </c>
      <c r="H2687" s="6" t="n">
        <v>3.87</v>
      </c>
      <c r="I2687" s="6" t="n">
        <v>0</v>
      </c>
      <c r="J2687" s="40" t="n">
        <f aca="false">H2687-I2687</f>
        <v>3.87</v>
      </c>
      <c r="K2687" s="41" t="n">
        <v>34</v>
      </c>
      <c r="L2687" s="42" t="n">
        <f aca="false">J2687*K2687</f>
        <v>131.58</v>
      </c>
      <c r="M2687" s="43" t="n">
        <f aca="false">H2687*17.84*(1+'Chart of Accounts'!$E$67)</f>
        <v>79.051716</v>
      </c>
    </row>
    <row r="2688" customFormat="false" ht="15" hidden="false" customHeight="false" outlineLevel="0" collapsed="false">
      <c r="B2688" s="7" t="s">
        <v>3185</v>
      </c>
      <c r="C2688" s="39" t="n">
        <v>45792</v>
      </c>
      <c r="D2688" s="7" t="s">
        <v>395</v>
      </c>
      <c r="E2688" s="7" t="s">
        <v>156</v>
      </c>
      <c r="F2688" s="7" t="s">
        <v>242</v>
      </c>
      <c r="G2688" s="7" t="s">
        <v>505</v>
      </c>
      <c r="H2688" s="6" t="n">
        <v>3.76</v>
      </c>
      <c r="I2688" s="6" t="n">
        <v>0</v>
      </c>
      <c r="J2688" s="40" t="n">
        <f aca="false">H2688-I2688</f>
        <v>3.76</v>
      </c>
      <c r="K2688" s="41" t="n">
        <v>34</v>
      </c>
      <c r="L2688" s="42" t="n">
        <f aca="false">J2688*K2688</f>
        <v>127.84</v>
      </c>
      <c r="M2688" s="43" t="n">
        <f aca="false">H2688*17.99*(1+'Chart of Accounts'!$E$67)</f>
        <v>77.450548</v>
      </c>
    </row>
    <row r="2689" customFormat="false" ht="15" hidden="false" customHeight="false" outlineLevel="0" collapsed="false">
      <c r="B2689" s="7" t="s">
        <v>3186</v>
      </c>
      <c r="C2689" s="39" t="n">
        <v>45792</v>
      </c>
      <c r="D2689" s="7" t="s">
        <v>401</v>
      </c>
      <c r="E2689" s="7" t="s">
        <v>156</v>
      </c>
      <c r="F2689" s="7" t="s">
        <v>254</v>
      </c>
      <c r="G2689" s="7" t="s">
        <v>505</v>
      </c>
      <c r="H2689" s="6" t="n">
        <v>3.75</v>
      </c>
      <c r="I2689" s="6" t="n">
        <v>0</v>
      </c>
      <c r="J2689" s="40" t="n">
        <f aca="false">H2689-I2689</f>
        <v>3.75</v>
      </c>
      <c r="K2689" s="41" t="n">
        <v>34</v>
      </c>
      <c r="L2689" s="42" t="n">
        <f aca="false">J2689*K2689</f>
        <v>127.5</v>
      </c>
      <c r="M2689" s="43" t="n">
        <f aca="false">H2689*17.1*(1+'Chart of Accounts'!$E$67)</f>
        <v>73.423125</v>
      </c>
    </row>
    <row r="2690" customFormat="false" ht="15" hidden="false" customHeight="false" outlineLevel="0" collapsed="false">
      <c r="B2690" s="7" t="s">
        <v>3187</v>
      </c>
      <c r="C2690" s="39" t="n">
        <v>45793</v>
      </c>
      <c r="D2690" s="7" t="s">
        <v>280</v>
      </c>
      <c r="E2690" s="7" t="s">
        <v>157</v>
      </c>
      <c r="F2690" s="7" t="s">
        <v>187</v>
      </c>
      <c r="G2690" s="7" t="s">
        <v>502</v>
      </c>
      <c r="H2690" s="6" t="n">
        <v>1.08</v>
      </c>
      <c r="I2690" s="6" t="n">
        <v>0</v>
      </c>
      <c r="J2690" s="40" t="n">
        <f aca="false">H2690-I2690</f>
        <v>1.08</v>
      </c>
      <c r="K2690" s="41" t="n">
        <v>165</v>
      </c>
      <c r="L2690" s="42" t="n">
        <f aca="false">J2690*K2690</f>
        <v>178.2</v>
      </c>
      <c r="M2690" s="43" t="n">
        <f aca="false">H2690*66.48*(1+'Chart of Accounts'!$E$67)</f>
        <v>82.209168</v>
      </c>
    </row>
    <row r="2691" customFormat="false" ht="15" hidden="false" customHeight="false" outlineLevel="0" collapsed="false">
      <c r="B2691" s="7" t="s">
        <v>3188</v>
      </c>
      <c r="C2691" s="39" t="n">
        <v>45793</v>
      </c>
      <c r="D2691" s="7" t="s">
        <v>288</v>
      </c>
      <c r="E2691" s="7" t="s">
        <v>156</v>
      </c>
      <c r="F2691" s="7" t="s">
        <v>191</v>
      </c>
      <c r="G2691" s="7" t="s">
        <v>505</v>
      </c>
      <c r="H2691" s="6" t="n">
        <v>4.38</v>
      </c>
      <c r="I2691" s="6" t="n">
        <v>0</v>
      </c>
      <c r="J2691" s="40" t="n">
        <f aca="false">H2691-I2691</f>
        <v>4.38</v>
      </c>
      <c r="K2691" s="41" t="n">
        <v>34</v>
      </c>
      <c r="L2691" s="42" t="n">
        <f aca="false">J2691*K2691</f>
        <v>148.92</v>
      </c>
      <c r="M2691" s="43" t="n">
        <f aca="false">H2691*16.05*(1+'Chart of Accounts'!$E$67)</f>
        <v>80.492355</v>
      </c>
    </row>
    <row r="2692" customFormat="false" ht="15" hidden="false" customHeight="false" outlineLevel="0" collapsed="false">
      <c r="B2692" s="7" t="s">
        <v>3189</v>
      </c>
      <c r="C2692" s="39" t="n">
        <v>45793</v>
      </c>
      <c r="D2692" s="7" t="s">
        <v>291</v>
      </c>
      <c r="E2692" s="7" t="s">
        <v>154</v>
      </c>
      <c r="F2692" s="7" t="s">
        <v>194</v>
      </c>
      <c r="G2692" s="7" t="s">
        <v>505</v>
      </c>
      <c r="H2692" s="6" t="n">
        <v>4.87</v>
      </c>
      <c r="I2692" s="6" t="n">
        <v>0.146</v>
      </c>
      <c r="J2692" s="40" t="n">
        <f aca="false">H2692-I2692</f>
        <v>4.724</v>
      </c>
      <c r="K2692" s="41" t="n">
        <v>26.5</v>
      </c>
      <c r="L2692" s="42" t="n">
        <f aca="false">J2692*K2692</f>
        <v>125.186</v>
      </c>
      <c r="M2692" s="43" t="n">
        <f aca="false">H2692*16*(1+'Chart of Accounts'!$E$67)</f>
        <v>89.2184</v>
      </c>
    </row>
    <row r="2693" customFormat="false" ht="15" hidden="false" customHeight="false" outlineLevel="0" collapsed="false">
      <c r="B2693" s="7" t="s">
        <v>3190</v>
      </c>
      <c r="C2693" s="39" t="n">
        <v>45793</v>
      </c>
      <c r="D2693" s="7" t="s">
        <v>301</v>
      </c>
      <c r="E2693" s="7" t="s">
        <v>157</v>
      </c>
      <c r="F2693" s="7" t="s">
        <v>209</v>
      </c>
      <c r="G2693" s="7" t="s">
        <v>502</v>
      </c>
      <c r="H2693" s="6" t="n">
        <v>0.98</v>
      </c>
      <c r="I2693" s="6" t="n">
        <v>0</v>
      </c>
      <c r="J2693" s="40" t="n">
        <f aca="false">H2693-I2693</f>
        <v>0.98</v>
      </c>
      <c r="K2693" s="41" t="n">
        <v>165</v>
      </c>
      <c r="L2693" s="42" t="n">
        <f aca="false">J2693*K2693</f>
        <v>161.7</v>
      </c>
      <c r="M2693" s="43" t="n">
        <f aca="false">H2693*73.58*(1+'Chart of Accounts'!$E$67)</f>
        <v>82.564118</v>
      </c>
    </row>
    <row r="2694" customFormat="false" ht="15" hidden="false" customHeight="false" outlineLevel="0" collapsed="false">
      <c r="B2694" s="7" t="s">
        <v>3191</v>
      </c>
      <c r="C2694" s="39" t="n">
        <v>45793</v>
      </c>
      <c r="D2694" s="7" t="s">
        <v>305</v>
      </c>
      <c r="E2694" s="7" t="s">
        <v>154</v>
      </c>
      <c r="F2694" s="7" t="s">
        <v>205</v>
      </c>
      <c r="G2694" s="7" t="s">
        <v>505</v>
      </c>
      <c r="H2694" s="6" t="n">
        <v>3.62</v>
      </c>
      <c r="I2694" s="6" t="n">
        <v>0</v>
      </c>
      <c r="J2694" s="40" t="n">
        <f aca="false">H2694-I2694</f>
        <v>3.62</v>
      </c>
      <c r="K2694" s="41" t="n">
        <v>26.5</v>
      </c>
      <c r="L2694" s="42" t="n">
        <f aca="false">J2694*K2694</f>
        <v>95.93</v>
      </c>
      <c r="M2694" s="43" t="n">
        <f aca="false">H2694*16.36*(1+'Chart of Accounts'!$E$67)</f>
        <v>67.810564</v>
      </c>
    </row>
    <row r="2695" customFormat="false" ht="15" hidden="false" customHeight="false" outlineLevel="0" collapsed="false">
      <c r="B2695" s="7" t="s">
        <v>3192</v>
      </c>
      <c r="C2695" s="39" t="n">
        <v>45793</v>
      </c>
      <c r="D2695" s="7" t="s">
        <v>307</v>
      </c>
      <c r="E2695" s="7" t="s">
        <v>157</v>
      </c>
      <c r="F2695" s="7" t="s">
        <v>264</v>
      </c>
      <c r="G2695" s="7" t="s">
        <v>502</v>
      </c>
      <c r="H2695" s="6" t="n">
        <v>0.93</v>
      </c>
      <c r="I2695" s="6" t="n">
        <v>0</v>
      </c>
      <c r="J2695" s="40" t="n">
        <f aca="false">H2695-I2695</f>
        <v>0.93</v>
      </c>
      <c r="K2695" s="41" t="n">
        <v>165</v>
      </c>
      <c r="L2695" s="42" t="n">
        <f aca="false">J2695*K2695</f>
        <v>153.45</v>
      </c>
      <c r="M2695" s="43" t="n">
        <f aca="false">H2695*55.55*(1+'Chart of Accounts'!$E$67)</f>
        <v>59.1524175</v>
      </c>
    </row>
    <row r="2696" customFormat="false" ht="15" hidden="false" customHeight="false" outlineLevel="0" collapsed="false">
      <c r="B2696" s="7" t="s">
        <v>3193</v>
      </c>
      <c r="C2696" s="39" t="n">
        <v>45793</v>
      </c>
      <c r="D2696" s="7" t="s">
        <v>309</v>
      </c>
      <c r="E2696" s="7" t="s">
        <v>159</v>
      </c>
      <c r="F2696" s="7" t="s">
        <v>252</v>
      </c>
      <c r="G2696" s="7" t="s">
        <v>502</v>
      </c>
      <c r="H2696" s="6" t="n">
        <v>1.06</v>
      </c>
      <c r="I2696" s="6" t="n">
        <v>0</v>
      </c>
      <c r="J2696" s="40" t="n">
        <f aca="false">H2696-I2696</f>
        <v>1.06</v>
      </c>
      <c r="K2696" s="41" t="n">
        <v>135</v>
      </c>
      <c r="L2696" s="42" t="n">
        <f aca="false">J2696*K2696</f>
        <v>143.1</v>
      </c>
      <c r="M2696" s="43" t="n">
        <f aca="false">H2696*57.54*(1+'Chart of Accounts'!$E$67)</f>
        <v>69.836298</v>
      </c>
    </row>
    <row r="2697" customFormat="false" ht="15" hidden="false" customHeight="false" outlineLevel="0" collapsed="false">
      <c r="B2697" s="7" t="s">
        <v>3194</v>
      </c>
      <c r="C2697" s="39" t="n">
        <v>45793</v>
      </c>
      <c r="D2697" s="7" t="s">
        <v>313</v>
      </c>
      <c r="E2697" s="7" t="s">
        <v>156</v>
      </c>
      <c r="F2697" s="7" t="s">
        <v>184</v>
      </c>
      <c r="G2697" s="7" t="s">
        <v>505</v>
      </c>
      <c r="H2697" s="6" t="n">
        <v>3.92</v>
      </c>
      <c r="I2697" s="6" t="n">
        <v>0</v>
      </c>
      <c r="J2697" s="40" t="n">
        <f aca="false">H2697-I2697</f>
        <v>3.92</v>
      </c>
      <c r="K2697" s="41" t="n">
        <v>34</v>
      </c>
      <c r="L2697" s="42" t="n">
        <f aca="false">J2697*K2697</f>
        <v>133.28</v>
      </c>
      <c r="M2697" s="43" t="n">
        <f aca="false">H2697*17.34*(1+'Chart of Accounts'!$E$67)</f>
        <v>77.828856</v>
      </c>
    </row>
    <row r="2698" customFormat="false" ht="15" hidden="false" customHeight="false" outlineLevel="0" collapsed="false">
      <c r="B2698" s="7" t="s">
        <v>3195</v>
      </c>
      <c r="C2698" s="39" t="n">
        <v>45793</v>
      </c>
      <c r="D2698" s="7" t="s">
        <v>319</v>
      </c>
      <c r="E2698" s="7" t="s">
        <v>157</v>
      </c>
      <c r="F2698" s="7" t="s">
        <v>234</v>
      </c>
      <c r="G2698" s="7" t="s">
        <v>502</v>
      </c>
      <c r="H2698" s="6" t="n">
        <v>1.09</v>
      </c>
      <c r="I2698" s="6" t="n">
        <v>0</v>
      </c>
      <c r="J2698" s="40" t="n">
        <f aca="false">H2698-I2698</f>
        <v>1.09</v>
      </c>
      <c r="K2698" s="41" t="n">
        <v>165</v>
      </c>
      <c r="L2698" s="42" t="n">
        <f aca="false">J2698*K2698</f>
        <v>179.85</v>
      </c>
      <c r="M2698" s="43" t="n">
        <f aca="false">H2698*89.53*(1+'Chart of Accounts'!$E$67)</f>
        <v>111.7379165</v>
      </c>
    </row>
    <row r="2699" customFormat="false" ht="15" hidden="false" customHeight="false" outlineLevel="0" collapsed="false">
      <c r="B2699" s="7" t="s">
        <v>3196</v>
      </c>
      <c r="C2699" s="39" t="n">
        <v>45793</v>
      </c>
      <c r="D2699" s="7" t="s">
        <v>321</v>
      </c>
      <c r="E2699" s="7" t="s">
        <v>154</v>
      </c>
      <c r="F2699" s="7" t="s">
        <v>218</v>
      </c>
      <c r="G2699" s="7" t="s">
        <v>505</v>
      </c>
      <c r="H2699" s="6" t="n">
        <v>3.91</v>
      </c>
      <c r="I2699" s="6" t="n">
        <v>0</v>
      </c>
      <c r="J2699" s="40" t="n">
        <f aca="false">H2699-I2699</f>
        <v>3.91</v>
      </c>
      <c r="K2699" s="41" t="n">
        <v>26.5</v>
      </c>
      <c r="L2699" s="42" t="n">
        <f aca="false">J2699*K2699</f>
        <v>103.615</v>
      </c>
      <c r="M2699" s="43" t="n">
        <f aca="false">H2699*16.19*(1+'Chart of Accounts'!$E$67)</f>
        <v>72.4818205</v>
      </c>
    </row>
    <row r="2700" customFormat="false" ht="15" hidden="false" customHeight="false" outlineLevel="0" collapsed="false">
      <c r="B2700" s="7" t="s">
        <v>3197</v>
      </c>
      <c r="C2700" s="39" t="n">
        <v>45793</v>
      </c>
      <c r="D2700" s="7" t="s">
        <v>323</v>
      </c>
      <c r="E2700" s="7" t="s">
        <v>159</v>
      </c>
      <c r="F2700" s="7" t="s">
        <v>266</v>
      </c>
      <c r="G2700" s="7" t="s">
        <v>502</v>
      </c>
      <c r="H2700" s="6" t="n">
        <v>0.95</v>
      </c>
      <c r="I2700" s="6" t="n">
        <v>0</v>
      </c>
      <c r="J2700" s="40" t="n">
        <f aca="false">H2700-I2700</f>
        <v>0.95</v>
      </c>
      <c r="K2700" s="41" t="n">
        <v>135</v>
      </c>
      <c r="L2700" s="42" t="n">
        <f aca="false">J2700*K2700</f>
        <v>128.25</v>
      </c>
      <c r="M2700" s="43" t="n">
        <f aca="false">H2700*75.18*(1+'Chart of Accounts'!$E$67)</f>
        <v>81.777045</v>
      </c>
    </row>
    <row r="2701" customFormat="false" ht="15" hidden="false" customHeight="false" outlineLevel="0" collapsed="false">
      <c r="B2701" s="7" t="s">
        <v>3198</v>
      </c>
      <c r="C2701" s="39" t="n">
        <v>45793</v>
      </c>
      <c r="D2701" s="7" t="s">
        <v>327</v>
      </c>
      <c r="E2701" s="7" t="s">
        <v>157</v>
      </c>
      <c r="F2701" s="7" t="s">
        <v>228</v>
      </c>
      <c r="G2701" s="7" t="s">
        <v>502</v>
      </c>
      <c r="H2701" s="6" t="n">
        <v>0.94</v>
      </c>
      <c r="I2701" s="6" t="n">
        <v>0</v>
      </c>
      <c r="J2701" s="40" t="n">
        <f aca="false">H2701-I2701</f>
        <v>0.94</v>
      </c>
      <c r="K2701" s="41" t="n">
        <v>165</v>
      </c>
      <c r="L2701" s="42" t="n">
        <f aca="false">J2701*K2701</f>
        <v>155.1</v>
      </c>
      <c r="M2701" s="43" t="n">
        <f aca="false">H2701*51.07*(1+'Chart of Accounts'!$E$67)</f>
        <v>54.966641</v>
      </c>
    </row>
    <row r="2702" customFormat="false" ht="15" hidden="false" customHeight="false" outlineLevel="0" collapsed="false">
      <c r="B2702" s="7" t="s">
        <v>3199</v>
      </c>
      <c r="C2702" s="39" t="n">
        <v>45793</v>
      </c>
      <c r="D2702" s="7" t="s">
        <v>329</v>
      </c>
      <c r="E2702" s="7" t="s">
        <v>156</v>
      </c>
      <c r="F2702" s="7" t="s">
        <v>220</v>
      </c>
      <c r="G2702" s="7" t="s">
        <v>505</v>
      </c>
      <c r="H2702" s="6" t="n">
        <v>4.23</v>
      </c>
      <c r="I2702" s="6" t="n">
        <v>0</v>
      </c>
      <c r="J2702" s="40" t="n">
        <f aca="false">H2702-I2702</f>
        <v>4.23</v>
      </c>
      <c r="K2702" s="41" t="n">
        <v>34</v>
      </c>
      <c r="L2702" s="42" t="n">
        <f aca="false">J2702*K2702</f>
        <v>143.82</v>
      </c>
      <c r="M2702" s="43" t="n">
        <f aca="false">H2702*16.43*(1+'Chart of Accounts'!$E$67)</f>
        <v>79.5762405</v>
      </c>
    </row>
    <row r="2703" customFormat="false" ht="15" hidden="false" customHeight="false" outlineLevel="0" collapsed="false">
      <c r="B2703" s="7" t="s">
        <v>3200</v>
      </c>
      <c r="C2703" s="39" t="n">
        <v>45793</v>
      </c>
      <c r="D2703" s="7" t="s">
        <v>335</v>
      </c>
      <c r="E2703" s="7" t="s">
        <v>154</v>
      </c>
      <c r="F2703" s="7" t="s">
        <v>177</v>
      </c>
      <c r="G2703" s="7" t="s">
        <v>505</v>
      </c>
      <c r="H2703" s="6" t="n">
        <v>4.02</v>
      </c>
      <c r="I2703" s="6" t="n">
        <v>0</v>
      </c>
      <c r="J2703" s="40" t="n">
        <f aca="false">H2703-I2703</f>
        <v>4.02</v>
      </c>
      <c r="K2703" s="41" t="n">
        <v>26.5</v>
      </c>
      <c r="L2703" s="42" t="n">
        <f aca="false">J2703*K2703</f>
        <v>106.53</v>
      </c>
      <c r="M2703" s="43" t="n">
        <f aca="false">H2703*14.56*(1+'Chart of Accounts'!$E$67)</f>
        <v>67.018224</v>
      </c>
    </row>
    <row r="2704" customFormat="false" ht="15" hidden="false" customHeight="false" outlineLevel="0" collapsed="false">
      <c r="B2704" s="7" t="s">
        <v>3201</v>
      </c>
      <c r="C2704" s="39" t="n">
        <v>45793</v>
      </c>
      <c r="D2704" s="7" t="s">
        <v>339</v>
      </c>
      <c r="E2704" s="7" t="s">
        <v>154</v>
      </c>
      <c r="F2704" s="7" t="s">
        <v>242</v>
      </c>
      <c r="G2704" s="7" t="s">
        <v>505</v>
      </c>
      <c r="H2704" s="6" t="n">
        <v>3.47</v>
      </c>
      <c r="I2704" s="6" t="n">
        <v>0</v>
      </c>
      <c r="J2704" s="40" t="n">
        <f aca="false">H2704-I2704</f>
        <v>3.47</v>
      </c>
      <c r="K2704" s="41" t="n">
        <v>26.5</v>
      </c>
      <c r="L2704" s="42" t="n">
        <f aca="false">J2704*K2704</f>
        <v>91.955</v>
      </c>
      <c r="M2704" s="43" t="n">
        <f aca="false">H2704*17.99*(1+'Chart of Accounts'!$E$67)</f>
        <v>71.4769685</v>
      </c>
    </row>
    <row r="2705" customFormat="false" ht="15" hidden="false" customHeight="false" outlineLevel="0" collapsed="false">
      <c r="B2705" s="7" t="s">
        <v>3202</v>
      </c>
      <c r="C2705" s="39" t="n">
        <v>45793</v>
      </c>
      <c r="D2705" s="7" t="s">
        <v>353</v>
      </c>
      <c r="E2705" s="7" t="s">
        <v>154</v>
      </c>
      <c r="F2705" s="7" t="s">
        <v>254</v>
      </c>
      <c r="G2705" s="7" t="s">
        <v>505</v>
      </c>
      <c r="H2705" s="6" t="n">
        <v>3.03</v>
      </c>
      <c r="I2705" s="6" t="n">
        <v>0.091</v>
      </c>
      <c r="J2705" s="40" t="n">
        <f aca="false">H2705-I2705</f>
        <v>2.939</v>
      </c>
      <c r="K2705" s="41" t="n">
        <v>26.5</v>
      </c>
      <c r="L2705" s="42" t="n">
        <f aca="false">J2705*K2705</f>
        <v>77.8835</v>
      </c>
      <c r="M2705" s="43" t="n">
        <f aca="false">H2705*17.1*(1+'Chart of Accounts'!$E$67)</f>
        <v>59.325885</v>
      </c>
    </row>
    <row r="2706" customFormat="false" ht="15" hidden="false" customHeight="false" outlineLevel="0" collapsed="false">
      <c r="B2706" s="7" t="s">
        <v>3203</v>
      </c>
      <c r="C2706" s="39" t="n">
        <v>45793</v>
      </c>
      <c r="D2706" s="7" t="s">
        <v>355</v>
      </c>
      <c r="E2706" s="7" t="s">
        <v>154</v>
      </c>
      <c r="F2706" s="7" t="s">
        <v>201</v>
      </c>
      <c r="G2706" s="7" t="s">
        <v>505</v>
      </c>
      <c r="H2706" s="6" t="n">
        <v>3.1</v>
      </c>
      <c r="I2706" s="6" t="n">
        <v>0</v>
      </c>
      <c r="J2706" s="40" t="n">
        <f aca="false">H2706-I2706</f>
        <v>3.1</v>
      </c>
      <c r="K2706" s="41" t="n">
        <v>26.5</v>
      </c>
      <c r="L2706" s="42" t="n">
        <f aca="false">J2706*K2706</f>
        <v>82.15</v>
      </c>
      <c r="M2706" s="43" t="n">
        <f aca="false">H2706*15.19*(1+'Chart of Accounts'!$E$67)</f>
        <v>53.916905</v>
      </c>
    </row>
    <row r="2707" customFormat="false" ht="15" hidden="false" customHeight="false" outlineLevel="0" collapsed="false">
      <c r="B2707" s="7" t="s">
        <v>3204</v>
      </c>
      <c r="C2707" s="39" t="n">
        <v>45793</v>
      </c>
      <c r="D2707" s="7" t="s">
        <v>357</v>
      </c>
      <c r="E2707" s="7" t="s">
        <v>154</v>
      </c>
      <c r="F2707" s="7" t="s">
        <v>207</v>
      </c>
      <c r="G2707" s="7" t="s">
        <v>505</v>
      </c>
      <c r="H2707" s="6" t="n">
        <v>3.18</v>
      </c>
      <c r="I2707" s="6" t="n">
        <v>0</v>
      </c>
      <c r="J2707" s="40" t="n">
        <f aca="false">H2707-I2707</f>
        <v>3.18</v>
      </c>
      <c r="K2707" s="41" t="n">
        <v>26.5</v>
      </c>
      <c r="L2707" s="42" t="n">
        <f aca="false">J2707*K2707</f>
        <v>84.27</v>
      </c>
      <c r="M2707" s="43" t="n">
        <f aca="false">H2707*16.65*(1+'Chart of Accounts'!$E$67)</f>
        <v>60.624315</v>
      </c>
    </row>
    <row r="2708" customFormat="false" ht="15" hidden="false" customHeight="false" outlineLevel="0" collapsed="false">
      <c r="B2708" s="7" t="s">
        <v>3205</v>
      </c>
      <c r="C2708" s="39" t="n">
        <v>45793</v>
      </c>
      <c r="D2708" s="7" t="s">
        <v>359</v>
      </c>
      <c r="E2708" s="7" t="s">
        <v>156</v>
      </c>
      <c r="F2708" s="7" t="s">
        <v>212</v>
      </c>
      <c r="G2708" s="7" t="s">
        <v>505</v>
      </c>
      <c r="H2708" s="6" t="n">
        <v>3.8</v>
      </c>
      <c r="I2708" s="6" t="n">
        <v>0</v>
      </c>
      <c r="J2708" s="40" t="n">
        <f aca="false">H2708-I2708</f>
        <v>3.8</v>
      </c>
      <c r="K2708" s="41" t="n">
        <v>34</v>
      </c>
      <c r="L2708" s="42" t="n">
        <f aca="false">J2708*K2708</f>
        <v>129.2</v>
      </c>
      <c r="M2708" s="43" t="n">
        <f aca="false">H2708*16.71*(1+'Chart of Accounts'!$E$67)</f>
        <v>72.70521</v>
      </c>
    </row>
    <row r="2709" customFormat="false" ht="15" hidden="false" customHeight="false" outlineLevel="0" collapsed="false">
      <c r="B2709" s="7" t="s">
        <v>3206</v>
      </c>
      <c r="C2709" s="39" t="n">
        <v>45793</v>
      </c>
      <c r="D2709" s="7" t="s">
        <v>361</v>
      </c>
      <c r="E2709" s="7" t="s">
        <v>157</v>
      </c>
      <c r="F2709" s="7" t="s">
        <v>209</v>
      </c>
      <c r="G2709" s="7" t="s">
        <v>502</v>
      </c>
      <c r="H2709" s="6" t="n">
        <v>0.9</v>
      </c>
      <c r="I2709" s="6" t="n">
        <v>0</v>
      </c>
      <c r="J2709" s="40" t="n">
        <f aca="false">H2709-I2709</f>
        <v>0.9</v>
      </c>
      <c r="K2709" s="41" t="n">
        <v>165</v>
      </c>
      <c r="L2709" s="42" t="n">
        <f aca="false">J2709*K2709</f>
        <v>148.5</v>
      </c>
      <c r="M2709" s="43" t="n">
        <f aca="false">H2709*73.58*(1+'Chart of Accounts'!$E$67)</f>
        <v>75.82419</v>
      </c>
    </row>
    <row r="2710" customFormat="false" ht="15" hidden="false" customHeight="false" outlineLevel="0" collapsed="false">
      <c r="B2710" s="7" t="s">
        <v>3207</v>
      </c>
      <c r="C2710" s="39" t="n">
        <v>45793</v>
      </c>
      <c r="D2710" s="7" t="s">
        <v>365</v>
      </c>
      <c r="E2710" s="7" t="s">
        <v>154</v>
      </c>
      <c r="F2710" s="7" t="s">
        <v>194</v>
      </c>
      <c r="G2710" s="7" t="s">
        <v>505</v>
      </c>
      <c r="H2710" s="6" t="n">
        <v>3.9</v>
      </c>
      <c r="I2710" s="6" t="n">
        <v>0</v>
      </c>
      <c r="J2710" s="40" t="n">
        <f aca="false">H2710-I2710</f>
        <v>3.9</v>
      </c>
      <c r="K2710" s="41" t="n">
        <v>26.5</v>
      </c>
      <c r="L2710" s="42" t="n">
        <f aca="false">J2710*K2710</f>
        <v>103.35</v>
      </c>
      <c r="M2710" s="43" t="n">
        <f aca="false">H2710*16*(1+'Chart of Accounts'!$E$67)</f>
        <v>71.448</v>
      </c>
    </row>
    <row r="2711" customFormat="false" ht="15" hidden="false" customHeight="false" outlineLevel="0" collapsed="false">
      <c r="B2711" s="7" t="s">
        <v>3208</v>
      </c>
      <c r="C2711" s="39" t="n">
        <v>45793</v>
      </c>
      <c r="D2711" s="7" t="s">
        <v>371</v>
      </c>
      <c r="E2711" s="7" t="s">
        <v>154</v>
      </c>
      <c r="F2711" s="7" t="s">
        <v>232</v>
      </c>
      <c r="G2711" s="7" t="s">
        <v>505</v>
      </c>
      <c r="H2711" s="6" t="n">
        <v>4.71</v>
      </c>
      <c r="I2711" s="6" t="n">
        <v>0</v>
      </c>
      <c r="J2711" s="40" t="n">
        <f aca="false">H2711-I2711</f>
        <v>4.71</v>
      </c>
      <c r="K2711" s="41" t="n">
        <v>26.5</v>
      </c>
      <c r="L2711" s="42" t="n">
        <f aca="false">J2711*K2711</f>
        <v>124.815</v>
      </c>
      <c r="M2711" s="43" t="n">
        <f aca="false">H2711*16.17*(1+'Chart of Accounts'!$E$67)</f>
        <v>87.2040015</v>
      </c>
    </row>
    <row r="2712" customFormat="false" ht="15" hidden="false" customHeight="false" outlineLevel="0" collapsed="false">
      <c r="B2712" s="7" t="s">
        <v>3209</v>
      </c>
      <c r="C2712" s="39" t="n">
        <v>45793</v>
      </c>
      <c r="D2712" s="7" t="s">
        <v>379</v>
      </c>
      <c r="E2712" s="7" t="s">
        <v>156</v>
      </c>
      <c r="F2712" s="7" t="s">
        <v>224</v>
      </c>
      <c r="G2712" s="7" t="s">
        <v>505</v>
      </c>
      <c r="H2712" s="6" t="n">
        <v>4.77</v>
      </c>
      <c r="I2712" s="6" t="n">
        <v>0</v>
      </c>
      <c r="J2712" s="40" t="n">
        <f aca="false">H2712-I2712</f>
        <v>4.77</v>
      </c>
      <c r="K2712" s="41" t="n">
        <v>34</v>
      </c>
      <c r="L2712" s="42" t="n">
        <f aca="false">J2712*K2712</f>
        <v>162.18</v>
      </c>
      <c r="M2712" s="43" t="n">
        <f aca="false">H2712*14.93*(1+'Chart of Accounts'!$E$67)</f>
        <v>81.5424345</v>
      </c>
    </row>
    <row r="2713" customFormat="false" ht="15" hidden="false" customHeight="false" outlineLevel="0" collapsed="false">
      <c r="B2713" s="7" t="s">
        <v>3210</v>
      </c>
      <c r="C2713" s="39" t="n">
        <v>45793</v>
      </c>
      <c r="D2713" s="7" t="s">
        <v>381</v>
      </c>
      <c r="E2713" s="7" t="s">
        <v>157</v>
      </c>
      <c r="F2713" s="7" t="s">
        <v>234</v>
      </c>
      <c r="G2713" s="7" t="s">
        <v>502</v>
      </c>
      <c r="H2713" s="6" t="n">
        <v>1.06</v>
      </c>
      <c r="I2713" s="6" t="n">
        <v>0</v>
      </c>
      <c r="J2713" s="40" t="n">
        <f aca="false">H2713-I2713</f>
        <v>1.06</v>
      </c>
      <c r="K2713" s="41" t="n">
        <v>165</v>
      </c>
      <c r="L2713" s="42" t="n">
        <f aca="false">J2713*K2713</f>
        <v>174.9</v>
      </c>
      <c r="M2713" s="43" t="n">
        <f aca="false">H2713*89.53*(1+'Chart of Accounts'!$E$67)</f>
        <v>108.662561</v>
      </c>
    </row>
    <row r="2714" customFormat="false" ht="15" hidden="false" customHeight="false" outlineLevel="0" collapsed="false">
      <c r="B2714" s="7" t="s">
        <v>3211</v>
      </c>
      <c r="C2714" s="39" t="n">
        <v>45793</v>
      </c>
      <c r="D2714" s="7" t="s">
        <v>385</v>
      </c>
      <c r="E2714" s="7" t="s">
        <v>156</v>
      </c>
      <c r="F2714" s="7" t="s">
        <v>238</v>
      </c>
      <c r="G2714" s="7" t="s">
        <v>505</v>
      </c>
      <c r="H2714" s="6" t="n">
        <v>4.37</v>
      </c>
      <c r="I2714" s="6" t="n">
        <v>0</v>
      </c>
      <c r="J2714" s="40" t="n">
        <f aca="false">H2714-I2714</f>
        <v>4.37</v>
      </c>
      <c r="K2714" s="41" t="n">
        <v>34</v>
      </c>
      <c r="L2714" s="42" t="n">
        <f aca="false">J2714*K2714</f>
        <v>148.58</v>
      </c>
      <c r="M2714" s="43" t="n">
        <f aca="false">H2714*15.85*(1+'Chart of Accounts'!$E$67)</f>
        <v>79.3078525</v>
      </c>
    </row>
    <row r="2715" customFormat="false" ht="15" hidden="false" customHeight="false" outlineLevel="0" collapsed="false">
      <c r="B2715" s="7" t="s">
        <v>3212</v>
      </c>
      <c r="C2715" s="39" t="n">
        <v>45793</v>
      </c>
      <c r="D2715" s="7" t="s">
        <v>389</v>
      </c>
      <c r="E2715" s="7" t="s">
        <v>154</v>
      </c>
      <c r="F2715" s="7" t="s">
        <v>246</v>
      </c>
      <c r="G2715" s="7" t="s">
        <v>505</v>
      </c>
      <c r="H2715" s="6" t="n">
        <v>4.03</v>
      </c>
      <c r="I2715" s="6" t="n">
        <v>0</v>
      </c>
      <c r="J2715" s="40" t="n">
        <f aca="false">H2715-I2715</f>
        <v>4.03</v>
      </c>
      <c r="K2715" s="41" t="n">
        <v>26.5</v>
      </c>
      <c r="L2715" s="42" t="n">
        <f aca="false">J2715*K2715</f>
        <v>106.795</v>
      </c>
      <c r="M2715" s="43" t="n">
        <f aca="false">H2715*16.48*(1+'Chart of Accounts'!$E$67)</f>
        <v>76.044488</v>
      </c>
    </row>
    <row r="2716" customFormat="false" ht="15" hidden="false" customHeight="false" outlineLevel="0" collapsed="false">
      <c r="B2716" s="7" t="s">
        <v>3213</v>
      </c>
      <c r="C2716" s="39" t="n">
        <v>45793</v>
      </c>
      <c r="D2716" s="7" t="s">
        <v>391</v>
      </c>
      <c r="E2716" s="7" t="s">
        <v>156</v>
      </c>
      <c r="F2716" s="7" t="s">
        <v>222</v>
      </c>
      <c r="G2716" s="7" t="s">
        <v>505</v>
      </c>
      <c r="H2716" s="6" t="n">
        <v>4.22</v>
      </c>
      <c r="I2716" s="6" t="n">
        <v>0</v>
      </c>
      <c r="J2716" s="40" t="n">
        <f aca="false">H2716-I2716</f>
        <v>4.22</v>
      </c>
      <c r="K2716" s="41" t="n">
        <v>34</v>
      </c>
      <c r="L2716" s="42" t="n">
        <f aca="false">J2716*K2716</f>
        <v>143.48</v>
      </c>
      <c r="M2716" s="43" t="n">
        <f aca="false">H2716*17.84*(1+'Chart of Accounts'!$E$67)</f>
        <v>86.201096</v>
      </c>
    </row>
    <row r="2717" customFormat="false" ht="15" hidden="false" customHeight="false" outlineLevel="0" collapsed="false">
      <c r="B2717" s="7" t="s">
        <v>3214</v>
      </c>
      <c r="C2717" s="39" t="n">
        <v>45793</v>
      </c>
      <c r="D2717" s="7" t="s">
        <v>395</v>
      </c>
      <c r="E2717" s="7" t="s">
        <v>156</v>
      </c>
      <c r="F2717" s="7" t="s">
        <v>242</v>
      </c>
      <c r="G2717" s="7" t="s">
        <v>505</v>
      </c>
      <c r="H2717" s="6" t="n">
        <v>3.91</v>
      </c>
      <c r="I2717" s="6" t="n">
        <v>0</v>
      </c>
      <c r="J2717" s="40" t="n">
        <f aca="false">H2717-I2717</f>
        <v>3.91</v>
      </c>
      <c r="K2717" s="41" t="n">
        <v>34</v>
      </c>
      <c r="L2717" s="42" t="n">
        <f aca="false">J2717*K2717</f>
        <v>132.94</v>
      </c>
      <c r="M2717" s="43" t="n">
        <f aca="false">H2717*17.99*(1+'Chart of Accounts'!$E$67)</f>
        <v>80.5403305</v>
      </c>
    </row>
    <row r="2718" customFormat="false" ht="15" hidden="false" customHeight="false" outlineLevel="0" collapsed="false">
      <c r="B2718" s="7" t="s">
        <v>3215</v>
      </c>
      <c r="C2718" s="39" t="n">
        <v>45793</v>
      </c>
      <c r="D2718" s="7" t="s">
        <v>397</v>
      </c>
      <c r="E2718" s="7" t="s">
        <v>159</v>
      </c>
      <c r="F2718" s="7" t="s">
        <v>203</v>
      </c>
      <c r="G2718" s="7" t="s">
        <v>502</v>
      </c>
      <c r="H2718" s="6" t="n">
        <v>1.03</v>
      </c>
      <c r="I2718" s="6" t="n">
        <v>0</v>
      </c>
      <c r="J2718" s="40" t="n">
        <f aca="false">H2718-I2718</f>
        <v>1.03</v>
      </c>
      <c r="K2718" s="41" t="n">
        <v>135</v>
      </c>
      <c r="L2718" s="42" t="n">
        <f aca="false">J2718*K2718</f>
        <v>139.05</v>
      </c>
      <c r="M2718" s="43" t="n">
        <f aca="false">H2718*49.43*(1+'Chart of Accounts'!$E$67)</f>
        <v>58.2952705</v>
      </c>
    </row>
    <row r="2719" customFormat="false" ht="15" hidden="false" customHeight="false" outlineLevel="0" collapsed="false">
      <c r="B2719" s="7" t="s">
        <v>3216</v>
      </c>
      <c r="C2719" s="39" t="n">
        <v>45793</v>
      </c>
      <c r="D2719" s="7" t="s">
        <v>399</v>
      </c>
      <c r="E2719" s="7" t="s">
        <v>154</v>
      </c>
      <c r="F2719" s="7" t="s">
        <v>262</v>
      </c>
      <c r="G2719" s="7" t="s">
        <v>505</v>
      </c>
      <c r="H2719" s="6" t="n">
        <v>3.15</v>
      </c>
      <c r="I2719" s="6" t="n">
        <v>0</v>
      </c>
      <c r="J2719" s="40" t="n">
        <f aca="false">H2719-I2719</f>
        <v>3.15</v>
      </c>
      <c r="K2719" s="41" t="n">
        <v>26.5</v>
      </c>
      <c r="L2719" s="42" t="n">
        <f aca="false">J2719*K2719</f>
        <v>83.475</v>
      </c>
      <c r="M2719" s="43" t="n">
        <f aca="false">H2719*16.02*(1+'Chart of Accounts'!$E$67)</f>
        <v>57.780135</v>
      </c>
    </row>
    <row r="2720" customFormat="false" ht="15" hidden="false" customHeight="false" outlineLevel="0" collapsed="false">
      <c r="B2720" s="7" t="s">
        <v>3217</v>
      </c>
      <c r="C2720" s="39" t="n">
        <v>45793</v>
      </c>
      <c r="D2720" s="7" t="s">
        <v>401</v>
      </c>
      <c r="E2720" s="7" t="s">
        <v>156</v>
      </c>
      <c r="F2720" s="7" t="s">
        <v>254</v>
      </c>
      <c r="G2720" s="7" t="s">
        <v>505</v>
      </c>
      <c r="H2720" s="6" t="n">
        <v>4.25</v>
      </c>
      <c r="I2720" s="6" t="n">
        <v>0</v>
      </c>
      <c r="J2720" s="40" t="n">
        <f aca="false">H2720-I2720</f>
        <v>4.25</v>
      </c>
      <c r="K2720" s="41" t="n">
        <v>34</v>
      </c>
      <c r="L2720" s="42" t="n">
        <f aca="false">J2720*K2720</f>
        <v>144.5</v>
      </c>
      <c r="M2720" s="43" t="n">
        <f aca="false">H2720*17.1*(1+'Chart of Accounts'!$E$67)</f>
        <v>83.212875</v>
      </c>
    </row>
    <row r="2721" customFormat="false" ht="15" hidden="false" customHeight="false" outlineLevel="0" collapsed="false">
      <c r="B2721" s="7" t="s">
        <v>3218</v>
      </c>
      <c r="C2721" s="39" t="n">
        <v>45793</v>
      </c>
      <c r="D2721" s="7" t="s">
        <v>407</v>
      </c>
      <c r="E2721" s="7" t="s">
        <v>159</v>
      </c>
      <c r="F2721" s="7" t="s">
        <v>260</v>
      </c>
      <c r="G2721" s="7" t="s">
        <v>502</v>
      </c>
      <c r="H2721" s="6" t="n">
        <v>0.95</v>
      </c>
      <c r="I2721" s="6" t="n">
        <v>0</v>
      </c>
      <c r="J2721" s="40" t="n">
        <f aca="false">H2721-I2721</f>
        <v>0.95</v>
      </c>
      <c r="K2721" s="41" t="n">
        <v>135</v>
      </c>
      <c r="L2721" s="42" t="n">
        <f aca="false">J2721*K2721</f>
        <v>128.25</v>
      </c>
      <c r="M2721" s="43" t="n">
        <f aca="false">H2721*79.8*(1+'Chart of Accounts'!$E$67)</f>
        <v>86.80245</v>
      </c>
    </row>
    <row r="2722" customFormat="false" ht="15" hidden="false" customHeight="false" outlineLevel="0" collapsed="false">
      <c r="B2722" s="7" t="s">
        <v>3219</v>
      </c>
      <c r="C2722" s="39" t="n">
        <v>45793</v>
      </c>
      <c r="D2722" s="7" t="s">
        <v>409</v>
      </c>
      <c r="E2722" s="7" t="s">
        <v>154</v>
      </c>
      <c r="F2722" s="7" t="s">
        <v>214</v>
      </c>
      <c r="G2722" s="7" t="s">
        <v>505</v>
      </c>
      <c r="H2722" s="6" t="n">
        <v>3.6</v>
      </c>
      <c r="I2722" s="6" t="n">
        <v>0</v>
      </c>
      <c r="J2722" s="40" t="n">
        <f aca="false">H2722-I2722</f>
        <v>3.6</v>
      </c>
      <c r="K2722" s="41" t="n">
        <v>26.5</v>
      </c>
      <c r="L2722" s="42" t="n">
        <f aca="false">J2722*K2722</f>
        <v>95.4</v>
      </c>
      <c r="M2722" s="43" t="n">
        <f aca="false">H2722*15.67*(1+'Chart of Accounts'!$E$67)</f>
        <v>64.59174</v>
      </c>
    </row>
    <row r="2723" customFormat="false" ht="15" hidden="false" customHeight="false" outlineLevel="0" collapsed="false">
      <c r="B2723" s="7" t="s">
        <v>3220</v>
      </c>
      <c r="C2723" s="39" t="n">
        <v>45793</v>
      </c>
      <c r="D2723" s="7" t="s">
        <v>411</v>
      </c>
      <c r="E2723" s="7" t="s">
        <v>154</v>
      </c>
      <c r="F2723" s="7" t="s">
        <v>177</v>
      </c>
      <c r="G2723" s="7" t="s">
        <v>505</v>
      </c>
      <c r="H2723" s="6" t="n">
        <v>4.37</v>
      </c>
      <c r="I2723" s="6" t="n">
        <v>0</v>
      </c>
      <c r="J2723" s="40" t="n">
        <f aca="false">H2723-I2723</f>
        <v>4.37</v>
      </c>
      <c r="K2723" s="41" t="n">
        <v>26.5</v>
      </c>
      <c r="L2723" s="42" t="n">
        <f aca="false">J2723*K2723</f>
        <v>115.805</v>
      </c>
      <c r="M2723" s="43" t="n">
        <f aca="false">H2723*14.56*(1+'Chart of Accounts'!$E$67)</f>
        <v>72.853144</v>
      </c>
    </row>
    <row r="2724" customFormat="false" ht="15" hidden="false" customHeight="false" outlineLevel="0" collapsed="false">
      <c r="B2724" s="7" t="s">
        <v>3221</v>
      </c>
      <c r="C2724" s="39" t="n">
        <v>45794</v>
      </c>
      <c r="D2724" s="7" t="s">
        <v>288</v>
      </c>
      <c r="E2724" s="7" t="s">
        <v>156</v>
      </c>
      <c r="F2724" s="7" t="s">
        <v>191</v>
      </c>
      <c r="G2724" s="7" t="s">
        <v>505</v>
      </c>
      <c r="H2724" s="6" t="n">
        <v>3.99</v>
      </c>
      <c r="I2724" s="6" t="n">
        <v>0</v>
      </c>
      <c r="J2724" s="40" t="n">
        <f aca="false">H2724-I2724</f>
        <v>3.99</v>
      </c>
      <c r="K2724" s="41" t="n">
        <v>34</v>
      </c>
      <c r="L2724" s="42" t="n">
        <f aca="false">J2724*K2724</f>
        <v>135.66</v>
      </c>
      <c r="M2724" s="43" t="n">
        <f aca="false">H2724*16.05*(1+'Chart of Accounts'!$E$67)</f>
        <v>73.3252275</v>
      </c>
    </row>
    <row r="2725" customFormat="false" ht="15" hidden="false" customHeight="false" outlineLevel="0" collapsed="false">
      <c r="B2725" s="7" t="s">
        <v>3222</v>
      </c>
      <c r="C2725" s="39" t="n">
        <v>45794</v>
      </c>
      <c r="D2725" s="7" t="s">
        <v>321</v>
      </c>
      <c r="E2725" s="7" t="s">
        <v>154</v>
      </c>
      <c r="F2725" s="7" t="s">
        <v>218</v>
      </c>
      <c r="G2725" s="7" t="s">
        <v>505</v>
      </c>
      <c r="H2725" s="6" t="n">
        <v>3.62</v>
      </c>
      <c r="I2725" s="6" t="n">
        <v>0</v>
      </c>
      <c r="J2725" s="40" t="n">
        <f aca="false">H2725-I2725</f>
        <v>3.62</v>
      </c>
      <c r="K2725" s="41" t="n">
        <v>26.5</v>
      </c>
      <c r="L2725" s="42" t="n">
        <f aca="false">J2725*K2725</f>
        <v>95.93</v>
      </c>
      <c r="M2725" s="43" t="n">
        <f aca="false">H2725*16.19*(1+'Chart of Accounts'!$E$67)</f>
        <v>67.105931</v>
      </c>
    </row>
    <row r="2726" customFormat="false" ht="15" hidden="false" customHeight="false" outlineLevel="0" collapsed="false">
      <c r="B2726" s="7" t="s">
        <v>3223</v>
      </c>
      <c r="C2726" s="39" t="n">
        <v>45794</v>
      </c>
      <c r="D2726" s="7" t="s">
        <v>359</v>
      </c>
      <c r="E2726" s="7" t="s">
        <v>156</v>
      </c>
      <c r="F2726" s="7" t="s">
        <v>212</v>
      </c>
      <c r="G2726" s="7" t="s">
        <v>505</v>
      </c>
      <c r="H2726" s="6" t="n">
        <v>3.92</v>
      </c>
      <c r="I2726" s="6" t="n">
        <v>0</v>
      </c>
      <c r="J2726" s="40" t="n">
        <f aca="false">H2726-I2726</f>
        <v>3.92</v>
      </c>
      <c r="K2726" s="41" t="n">
        <v>34</v>
      </c>
      <c r="L2726" s="42" t="n">
        <f aca="false">J2726*K2726</f>
        <v>133.28</v>
      </c>
      <c r="M2726" s="43" t="n">
        <f aca="false">H2726*16.71*(1+'Chart of Accounts'!$E$67)</f>
        <v>75.001164</v>
      </c>
    </row>
    <row r="2727" customFormat="false" ht="15" hidden="false" customHeight="false" outlineLevel="0" collapsed="false">
      <c r="B2727" s="7" t="s">
        <v>3224</v>
      </c>
      <c r="C2727" s="39" t="n">
        <v>45794</v>
      </c>
      <c r="D2727" s="7" t="s">
        <v>391</v>
      </c>
      <c r="E2727" s="7" t="s">
        <v>156</v>
      </c>
      <c r="F2727" s="7" t="s">
        <v>222</v>
      </c>
      <c r="G2727" s="7" t="s">
        <v>505</v>
      </c>
      <c r="H2727" s="6" t="n">
        <v>3.66</v>
      </c>
      <c r="I2727" s="6" t="n">
        <v>0</v>
      </c>
      <c r="J2727" s="40" t="n">
        <f aca="false">H2727-I2727</f>
        <v>3.66</v>
      </c>
      <c r="K2727" s="41" t="n">
        <v>34</v>
      </c>
      <c r="L2727" s="42" t="n">
        <f aca="false">J2727*K2727</f>
        <v>124.44</v>
      </c>
      <c r="M2727" s="43" t="n">
        <f aca="false">H2727*17.84*(1+'Chart of Accounts'!$E$67)</f>
        <v>74.762088</v>
      </c>
    </row>
    <row r="2728" customFormat="false" ht="15" hidden="false" customHeight="false" outlineLevel="0" collapsed="false">
      <c r="B2728" s="7" t="s">
        <v>3225</v>
      </c>
      <c r="C2728" s="39" t="n">
        <v>45794</v>
      </c>
      <c r="D2728" s="7" t="s">
        <v>395</v>
      </c>
      <c r="E2728" s="7" t="s">
        <v>156</v>
      </c>
      <c r="F2728" s="7" t="s">
        <v>242</v>
      </c>
      <c r="G2728" s="7" t="s">
        <v>505</v>
      </c>
      <c r="H2728" s="6" t="n">
        <v>4.38</v>
      </c>
      <c r="I2728" s="6" t="n">
        <v>0</v>
      </c>
      <c r="J2728" s="40" t="n">
        <f aca="false">H2728-I2728</f>
        <v>4.38</v>
      </c>
      <c r="K2728" s="41" t="n">
        <v>34</v>
      </c>
      <c r="L2728" s="42" t="n">
        <f aca="false">J2728*K2728</f>
        <v>148.92</v>
      </c>
      <c r="M2728" s="43" t="n">
        <f aca="false">H2728*17.99*(1+'Chart of Accounts'!$E$67)</f>
        <v>90.221649</v>
      </c>
    </row>
    <row r="2729" customFormat="false" ht="15" hidden="false" customHeight="false" outlineLevel="0" collapsed="false">
      <c r="B2729" s="7" t="s">
        <v>3226</v>
      </c>
      <c r="C2729" s="39" t="n">
        <v>45794</v>
      </c>
      <c r="D2729" s="7" t="s">
        <v>401</v>
      </c>
      <c r="E2729" s="7" t="s">
        <v>156</v>
      </c>
      <c r="F2729" s="7" t="s">
        <v>254</v>
      </c>
      <c r="G2729" s="7" t="s">
        <v>505</v>
      </c>
      <c r="H2729" s="6" t="n">
        <v>4.18</v>
      </c>
      <c r="I2729" s="6" t="n">
        <v>0</v>
      </c>
      <c r="J2729" s="40" t="n">
        <f aca="false">H2729-I2729</f>
        <v>4.18</v>
      </c>
      <c r="K2729" s="41" t="n">
        <v>34</v>
      </c>
      <c r="L2729" s="42" t="n">
        <f aca="false">J2729*K2729</f>
        <v>142.12</v>
      </c>
      <c r="M2729" s="43" t="n">
        <f aca="false">H2729*17.1*(1+'Chart of Accounts'!$E$67)</f>
        <v>81.84231</v>
      </c>
    </row>
    <row r="2730" customFormat="false" ht="15" hidden="false" customHeight="false" outlineLevel="0" collapsed="false">
      <c r="B2730" s="7" t="s">
        <v>3227</v>
      </c>
      <c r="C2730" s="39" t="n">
        <v>45795</v>
      </c>
      <c r="D2730" s="7" t="s">
        <v>321</v>
      </c>
      <c r="E2730" s="7" t="s">
        <v>154</v>
      </c>
      <c r="F2730" s="7" t="s">
        <v>218</v>
      </c>
      <c r="G2730" s="7" t="s">
        <v>505</v>
      </c>
      <c r="H2730" s="6" t="n">
        <v>4.21</v>
      </c>
      <c r="I2730" s="6" t="n">
        <v>0.126</v>
      </c>
      <c r="J2730" s="40" t="n">
        <f aca="false">H2730-I2730</f>
        <v>4.084</v>
      </c>
      <c r="K2730" s="41" t="n">
        <v>26.5</v>
      </c>
      <c r="L2730" s="42" t="n">
        <f aca="false">J2730*K2730</f>
        <v>108.226</v>
      </c>
      <c r="M2730" s="43" t="n">
        <f aca="false">H2730*16.19*(1+'Chart of Accounts'!$E$67)</f>
        <v>78.0430855</v>
      </c>
    </row>
    <row r="2731" customFormat="false" ht="15" hidden="false" customHeight="false" outlineLevel="0" collapsed="false">
      <c r="B2731" s="7" t="s">
        <v>3228</v>
      </c>
      <c r="C2731" s="39" t="n">
        <v>45795</v>
      </c>
      <c r="D2731" s="7" t="s">
        <v>359</v>
      </c>
      <c r="E2731" s="7" t="s">
        <v>156</v>
      </c>
      <c r="F2731" s="7" t="s">
        <v>212</v>
      </c>
      <c r="G2731" s="7" t="s">
        <v>505</v>
      </c>
      <c r="H2731" s="6" t="n">
        <v>3.8</v>
      </c>
      <c r="I2731" s="6" t="n">
        <v>0</v>
      </c>
      <c r="J2731" s="40" t="n">
        <f aca="false">H2731-I2731</f>
        <v>3.8</v>
      </c>
      <c r="K2731" s="41" t="n">
        <v>34</v>
      </c>
      <c r="L2731" s="42" t="n">
        <f aca="false">J2731*K2731</f>
        <v>129.2</v>
      </c>
      <c r="M2731" s="43" t="n">
        <f aca="false">H2731*16.71*(1+'Chart of Accounts'!$E$67)</f>
        <v>72.70521</v>
      </c>
    </row>
    <row r="2732" customFormat="false" ht="15" hidden="false" customHeight="false" outlineLevel="0" collapsed="false">
      <c r="B2732" s="7" t="s">
        <v>3229</v>
      </c>
      <c r="C2732" s="39" t="n">
        <v>45795</v>
      </c>
      <c r="D2732" s="7" t="s">
        <v>395</v>
      </c>
      <c r="E2732" s="7" t="s">
        <v>156</v>
      </c>
      <c r="F2732" s="7" t="s">
        <v>242</v>
      </c>
      <c r="G2732" s="7" t="s">
        <v>505</v>
      </c>
      <c r="H2732" s="6" t="n">
        <v>4.37</v>
      </c>
      <c r="I2732" s="6" t="n">
        <v>0</v>
      </c>
      <c r="J2732" s="40" t="n">
        <f aca="false">H2732-I2732</f>
        <v>4.37</v>
      </c>
      <c r="K2732" s="41" t="n">
        <v>34</v>
      </c>
      <c r="L2732" s="42" t="n">
        <f aca="false">J2732*K2732</f>
        <v>148.58</v>
      </c>
      <c r="M2732" s="43" t="n">
        <f aca="false">H2732*17.99*(1+'Chart of Accounts'!$E$67)</f>
        <v>90.0156635</v>
      </c>
    </row>
    <row r="2733" customFormat="false" ht="15" hidden="false" customHeight="false" outlineLevel="0" collapsed="false">
      <c r="B2733" s="7" t="s">
        <v>3230</v>
      </c>
      <c r="C2733" s="39" t="n">
        <v>45795</v>
      </c>
      <c r="D2733" s="7" t="s">
        <v>401</v>
      </c>
      <c r="E2733" s="7" t="s">
        <v>156</v>
      </c>
      <c r="F2733" s="7" t="s">
        <v>254</v>
      </c>
      <c r="G2733" s="7" t="s">
        <v>505</v>
      </c>
      <c r="H2733" s="6" t="n">
        <v>3.87</v>
      </c>
      <c r="I2733" s="6" t="n">
        <v>0</v>
      </c>
      <c r="J2733" s="40" t="n">
        <f aca="false">H2733-I2733</f>
        <v>3.87</v>
      </c>
      <c r="K2733" s="41" t="n">
        <v>34</v>
      </c>
      <c r="L2733" s="42" t="n">
        <f aca="false">J2733*K2733</f>
        <v>131.58</v>
      </c>
      <c r="M2733" s="43" t="n">
        <f aca="false">H2733*17.1*(1+'Chart of Accounts'!$E$67)</f>
        <v>75.772665</v>
      </c>
    </row>
    <row r="2734" customFormat="false" ht="15" hidden="false" customHeight="false" outlineLevel="0" collapsed="false">
      <c r="B2734" s="7" t="s">
        <v>3231</v>
      </c>
      <c r="C2734" s="39" t="n">
        <v>45796</v>
      </c>
      <c r="D2734" s="7" t="s">
        <v>280</v>
      </c>
      <c r="E2734" s="7" t="s">
        <v>157</v>
      </c>
      <c r="F2734" s="7" t="s">
        <v>187</v>
      </c>
      <c r="G2734" s="7" t="s">
        <v>502</v>
      </c>
      <c r="H2734" s="6" t="n">
        <v>1</v>
      </c>
      <c r="I2734" s="6" t="n">
        <v>0</v>
      </c>
      <c r="J2734" s="40" t="n">
        <f aca="false">H2734-I2734</f>
        <v>1</v>
      </c>
      <c r="K2734" s="41" t="n">
        <v>165</v>
      </c>
      <c r="L2734" s="42" t="n">
        <f aca="false">J2734*K2734</f>
        <v>165</v>
      </c>
      <c r="M2734" s="43" t="n">
        <f aca="false">H2734*66.48*(1+'Chart of Accounts'!$E$67)</f>
        <v>76.1196</v>
      </c>
    </row>
    <row r="2735" customFormat="false" ht="15" hidden="false" customHeight="false" outlineLevel="0" collapsed="false">
      <c r="B2735" s="7" t="s">
        <v>3232</v>
      </c>
      <c r="C2735" s="39" t="n">
        <v>45796</v>
      </c>
      <c r="D2735" s="7" t="s">
        <v>288</v>
      </c>
      <c r="E2735" s="7" t="s">
        <v>156</v>
      </c>
      <c r="F2735" s="7" t="s">
        <v>191</v>
      </c>
      <c r="G2735" s="7" t="s">
        <v>505</v>
      </c>
      <c r="H2735" s="6" t="n">
        <v>3.73</v>
      </c>
      <c r="I2735" s="6" t="n">
        <v>0</v>
      </c>
      <c r="J2735" s="40" t="n">
        <f aca="false">H2735-I2735</f>
        <v>3.73</v>
      </c>
      <c r="K2735" s="41" t="n">
        <v>34</v>
      </c>
      <c r="L2735" s="42" t="n">
        <f aca="false">J2735*K2735</f>
        <v>126.82</v>
      </c>
      <c r="M2735" s="43" t="n">
        <f aca="false">H2735*16.05*(1+'Chart of Accounts'!$E$67)</f>
        <v>68.5471425</v>
      </c>
    </row>
    <row r="2736" customFormat="false" ht="15" hidden="false" customHeight="false" outlineLevel="0" collapsed="false">
      <c r="B2736" s="7" t="s">
        <v>3233</v>
      </c>
      <c r="C2736" s="39" t="n">
        <v>45796</v>
      </c>
      <c r="D2736" s="7" t="s">
        <v>291</v>
      </c>
      <c r="E2736" s="7" t="s">
        <v>154</v>
      </c>
      <c r="F2736" s="7" t="s">
        <v>194</v>
      </c>
      <c r="G2736" s="7" t="s">
        <v>505</v>
      </c>
      <c r="H2736" s="6" t="n">
        <v>4.25</v>
      </c>
      <c r="I2736" s="6" t="n">
        <v>0</v>
      </c>
      <c r="J2736" s="40" t="n">
        <f aca="false">H2736-I2736</f>
        <v>4.25</v>
      </c>
      <c r="K2736" s="41" t="n">
        <v>26.5</v>
      </c>
      <c r="L2736" s="42" t="n">
        <f aca="false">J2736*K2736</f>
        <v>112.625</v>
      </c>
      <c r="M2736" s="43" t="n">
        <f aca="false">H2736*16*(1+'Chart of Accounts'!$E$67)</f>
        <v>77.86</v>
      </c>
    </row>
    <row r="2737" customFormat="false" ht="15" hidden="false" customHeight="false" outlineLevel="0" collapsed="false">
      <c r="B2737" s="7" t="s">
        <v>3234</v>
      </c>
      <c r="C2737" s="39" t="n">
        <v>45796</v>
      </c>
      <c r="D2737" s="7" t="s">
        <v>297</v>
      </c>
      <c r="E2737" s="7" t="s">
        <v>156</v>
      </c>
      <c r="F2737" s="7" t="s">
        <v>201</v>
      </c>
      <c r="G2737" s="7" t="s">
        <v>505</v>
      </c>
      <c r="H2737" s="6" t="n">
        <v>2.77</v>
      </c>
      <c r="I2737" s="6" t="n">
        <v>0</v>
      </c>
      <c r="J2737" s="40" t="n">
        <f aca="false">H2737-I2737</f>
        <v>2.77</v>
      </c>
      <c r="K2737" s="41" t="n">
        <v>34</v>
      </c>
      <c r="L2737" s="42" t="n">
        <f aca="false">J2737*K2737</f>
        <v>94.18</v>
      </c>
      <c r="M2737" s="43" t="n">
        <f aca="false">H2737*15.19*(1+'Chart of Accounts'!$E$67)</f>
        <v>48.1773635</v>
      </c>
    </row>
    <row r="2738" customFormat="false" ht="15" hidden="false" customHeight="false" outlineLevel="0" collapsed="false">
      <c r="B2738" s="7" t="s">
        <v>3235</v>
      </c>
      <c r="C2738" s="39" t="n">
        <v>45796</v>
      </c>
      <c r="D2738" s="7" t="s">
        <v>305</v>
      </c>
      <c r="E2738" s="7" t="s">
        <v>154</v>
      </c>
      <c r="F2738" s="7" t="s">
        <v>205</v>
      </c>
      <c r="G2738" s="7" t="s">
        <v>505</v>
      </c>
      <c r="H2738" s="6" t="n">
        <v>3.84</v>
      </c>
      <c r="I2738" s="6" t="n">
        <v>0</v>
      </c>
      <c r="J2738" s="40" t="n">
        <f aca="false">H2738-I2738</f>
        <v>3.84</v>
      </c>
      <c r="K2738" s="41" t="n">
        <v>26.5</v>
      </c>
      <c r="L2738" s="42" t="n">
        <f aca="false">J2738*K2738</f>
        <v>101.76</v>
      </c>
      <c r="M2738" s="43" t="n">
        <f aca="false">H2738*16.36*(1+'Chart of Accounts'!$E$67)</f>
        <v>71.931648</v>
      </c>
    </row>
    <row r="2739" customFormat="false" ht="15" hidden="false" customHeight="false" outlineLevel="0" collapsed="false">
      <c r="B2739" s="7" t="s">
        <v>3236</v>
      </c>
      <c r="C2739" s="39" t="n">
        <v>45796</v>
      </c>
      <c r="D2739" s="7" t="s">
        <v>307</v>
      </c>
      <c r="E2739" s="7" t="s">
        <v>157</v>
      </c>
      <c r="F2739" s="7" t="s">
        <v>264</v>
      </c>
      <c r="G2739" s="7" t="s">
        <v>502</v>
      </c>
      <c r="H2739" s="6" t="n">
        <v>0.93</v>
      </c>
      <c r="I2739" s="6" t="n">
        <v>0.047</v>
      </c>
      <c r="J2739" s="40" t="n">
        <f aca="false">H2739-I2739</f>
        <v>0.883</v>
      </c>
      <c r="K2739" s="41" t="n">
        <v>165</v>
      </c>
      <c r="L2739" s="42" t="n">
        <f aca="false">J2739*K2739</f>
        <v>145.695</v>
      </c>
      <c r="M2739" s="43" t="n">
        <f aca="false">H2739*55.55*(1+'Chart of Accounts'!$E$67)</f>
        <v>59.1524175</v>
      </c>
    </row>
    <row r="2740" customFormat="false" ht="15" hidden="false" customHeight="false" outlineLevel="0" collapsed="false">
      <c r="B2740" s="7" t="s">
        <v>3237</v>
      </c>
      <c r="C2740" s="39" t="n">
        <v>45796</v>
      </c>
      <c r="D2740" s="7" t="s">
        <v>309</v>
      </c>
      <c r="E2740" s="7" t="s">
        <v>159</v>
      </c>
      <c r="F2740" s="7" t="s">
        <v>252</v>
      </c>
      <c r="G2740" s="7" t="s">
        <v>502</v>
      </c>
      <c r="H2740" s="6" t="n">
        <v>0.99</v>
      </c>
      <c r="I2740" s="6" t="n">
        <v>0</v>
      </c>
      <c r="J2740" s="40" t="n">
        <f aca="false">H2740-I2740</f>
        <v>0.99</v>
      </c>
      <c r="K2740" s="41" t="n">
        <v>135</v>
      </c>
      <c r="L2740" s="42" t="n">
        <f aca="false">J2740*K2740</f>
        <v>133.65</v>
      </c>
      <c r="M2740" s="43" t="n">
        <f aca="false">H2740*57.54*(1+'Chart of Accounts'!$E$67)</f>
        <v>65.224467</v>
      </c>
    </row>
    <row r="2741" customFormat="false" ht="15" hidden="false" customHeight="false" outlineLevel="0" collapsed="false">
      <c r="B2741" s="7" t="s">
        <v>3238</v>
      </c>
      <c r="C2741" s="39" t="n">
        <v>45796</v>
      </c>
      <c r="D2741" s="7" t="s">
        <v>311</v>
      </c>
      <c r="E2741" s="7" t="s">
        <v>154</v>
      </c>
      <c r="F2741" s="7" t="s">
        <v>196</v>
      </c>
      <c r="G2741" s="7" t="s">
        <v>505</v>
      </c>
      <c r="H2741" s="6" t="n">
        <v>2.84</v>
      </c>
      <c r="I2741" s="6" t="n">
        <v>0</v>
      </c>
      <c r="J2741" s="40" t="n">
        <f aca="false">H2741-I2741</f>
        <v>2.84</v>
      </c>
      <c r="K2741" s="41" t="n">
        <v>26.5</v>
      </c>
      <c r="L2741" s="42" t="n">
        <f aca="false">J2741*K2741</f>
        <v>75.26</v>
      </c>
      <c r="M2741" s="43" t="n">
        <f aca="false">H2741*15.05*(1+'Chart of Accounts'!$E$67)</f>
        <v>48.93959</v>
      </c>
    </row>
    <row r="2742" customFormat="false" ht="15" hidden="false" customHeight="false" outlineLevel="0" collapsed="false">
      <c r="B2742" s="7" t="s">
        <v>3239</v>
      </c>
      <c r="C2742" s="39" t="n">
        <v>45796</v>
      </c>
      <c r="D2742" s="7" t="s">
        <v>313</v>
      </c>
      <c r="E2742" s="7" t="s">
        <v>156</v>
      </c>
      <c r="F2742" s="7" t="s">
        <v>184</v>
      </c>
      <c r="G2742" s="7" t="s">
        <v>505</v>
      </c>
      <c r="H2742" s="6" t="n">
        <v>4.31</v>
      </c>
      <c r="I2742" s="6" t="n">
        <v>0</v>
      </c>
      <c r="J2742" s="40" t="n">
        <f aca="false">H2742-I2742</f>
        <v>4.31</v>
      </c>
      <c r="K2742" s="41" t="n">
        <v>34</v>
      </c>
      <c r="L2742" s="42" t="n">
        <f aca="false">J2742*K2742</f>
        <v>146.54</v>
      </c>
      <c r="M2742" s="43" t="n">
        <f aca="false">H2742*17.34*(1+'Chart of Accounts'!$E$67)</f>
        <v>85.572033</v>
      </c>
    </row>
    <row r="2743" customFormat="false" ht="15" hidden="false" customHeight="false" outlineLevel="0" collapsed="false">
      <c r="B2743" s="7" t="s">
        <v>3240</v>
      </c>
      <c r="C2743" s="39" t="n">
        <v>45796</v>
      </c>
      <c r="D2743" s="7" t="s">
        <v>317</v>
      </c>
      <c r="E2743" s="7" t="s">
        <v>156</v>
      </c>
      <c r="F2743" s="7" t="s">
        <v>207</v>
      </c>
      <c r="G2743" s="7" t="s">
        <v>505</v>
      </c>
      <c r="H2743" s="6" t="n">
        <v>2.8</v>
      </c>
      <c r="I2743" s="6" t="n">
        <v>0</v>
      </c>
      <c r="J2743" s="40" t="n">
        <f aca="false">H2743-I2743</f>
        <v>2.8</v>
      </c>
      <c r="K2743" s="41" t="n">
        <v>34</v>
      </c>
      <c r="L2743" s="42" t="n">
        <f aca="false">J2743*K2743</f>
        <v>95.2</v>
      </c>
      <c r="M2743" s="43" t="n">
        <f aca="false">H2743*16.65*(1+'Chart of Accounts'!$E$67)</f>
        <v>53.3799</v>
      </c>
    </row>
    <row r="2744" customFormat="false" ht="15" hidden="false" customHeight="false" outlineLevel="0" collapsed="false">
      <c r="B2744" s="7" t="s">
        <v>3241</v>
      </c>
      <c r="C2744" s="39" t="n">
        <v>45796</v>
      </c>
      <c r="D2744" s="7" t="s">
        <v>321</v>
      </c>
      <c r="E2744" s="7" t="s">
        <v>154</v>
      </c>
      <c r="F2744" s="7" t="s">
        <v>218</v>
      </c>
      <c r="G2744" s="7" t="s">
        <v>505</v>
      </c>
      <c r="H2744" s="6" t="n">
        <v>4.36</v>
      </c>
      <c r="I2744" s="6" t="n">
        <v>0</v>
      </c>
      <c r="J2744" s="40" t="n">
        <f aca="false">H2744-I2744</f>
        <v>4.36</v>
      </c>
      <c r="K2744" s="41" t="n">
        <v>26.5</v>
      </c>
      <c r="L2744" s="42" t="n">
        <f aca="false">J2744*K2744</f>
        <v>115.54</v>
      </c>
      <c r="M2744" s="43" t="n">
        <f aca="false">H2744*16.19*(1+'Chart of Accounts'!$E$67)</f>
        <v>80.823718</v>
      </c>
    </row>
    <row r="2745" customFormat="false" ht="15" hidden="false" customHeight="false" outlineLevel="0" collapsed="false">
      <c r="B2745" s="7" t="s">
        <v>3242</v>
      </c>
      <c r="C2745" s="39" t="n">
        <v>45796</v>
      </c>
      <c r="D2745" s="7" t="s">
        <v>325</v>
      </c>
      <c r="E2745" s="7" t="s">
        <v>154</v>
      </c>
      <c r="F2745" s="7" t="s">
        <v>212</v>
      </c>
      <c r="G2745" s="7" t="s">
        <v>505</v>
      </c>
      <c r="H2745" s="6" t="n">
        <v>2.77</v>
      </c>
      <c r="I2745" s="6" t="n">
        <v>0</v>
      </c>
      <c r="J2745" s="40" t="n">
        <f aca="false">H2745-I2745</f>
        <v>2.77</v>
      </c>
      <c r="K2745" s="41" t="n">
        <v>26.5</v>
      </c>
      <c r="L2745" s="42" t="n">
        <f aca="false">J2745*K2745</f>
        <v>73.405</v>
      </c>
      <c r="M2745" s="43" t="n">
        <f aca="false">H2745*16.71*(1+'Chart of Accounts'!$E$67)</f>
        <v>52.9982715</v>
      </c>
    </row>
    <row r="2746" customFormat="false" ht="15" hidden="false" customHeight="false" outlineLevel="0" collapsed="false">
      <c r="B2746" s="7" t="s">
        <v>3243</v>
      </c>
      <c r="C2746" s="39" t="n">
        <v>45796</v>
      </c>
      <c r="D2746" s="7" t="s">
        <v>329</v>
      </c>
      <c r="E2746" s="7" t="s">
        <v>156</v>
      </c>
      <c r="F2746" s="7" t="s">
        <v>220</v>
      </c>
      <c r="G2746" s="7" t="s">
        <v>505</v>
      </c>
      <c r="H2746" s="6" t="n">
        <v>4.32</v>
      </c>
      <c r="I2746" s="6" t="n">
        <v>0</v>
      </c>
      <c r="J2746" s="40" t="n">
        <f aca="false">H2746-I2746</f>
        <v>4.32</v>
      </c>
      <c r="K2746" s="41" t="n">
        <v>34</v>
      </c>
      <c r="L2746" s="42" t="n">
        <f aca="false">J2746*K2746</f>
        <v>146.88</v>
      </c>
      <c r="M2746" s="43" t="n">
        <f aca="false">H2746*16.43*(1+'Chart of Accounts'!$E$67)</f>
        <v>81.269352</v>
      </c>
    </row>
    <row r="2747" customFormat="false" ht="15" hidden="false" customHeight="false" outlineLevel="0" collapsed="false">
      <c r="B2747" s="7" t="s">
        <v>3244</v>
      </c>
      <c r="C2747" s="39" t="n">
        <v>45796</v>
      </c>
      <c r="D2747" s="7" t="s">
        <v>331</v>
      </c>
      <c r="E2747" s="7" t="s">
        <v>156</v>
      </c>
      <c r="F2747" s="7" t="s">
        <v>224</v>
      </c>
      <c r="G2747" s="7" t="s">
        <v>505</v>
      </c>
      <c r="H2747" s="6" t="n">
        <v>4.02</v>
      </c>
      <c r="I2747" s="6" t="n">
        <v>0</v>
      </c>
      <c r="J2747" s="40" t="n">
        <f aca="false">H2747-I2747</f>
        <v>4.02</v>
      </c>
      <c r="K2747" s="41" t="n">
        <v>34</v>
      </c>
      <c r="L2747" s="42" t="n">
        <f aca="false">J2747*K2747</f>
        <v>136.68</v>
      </c>
      <c r="M2747" s="43" t="n">
        <f aca="false">H2747*14.93*(1+'Chart of Accounts'!$E$67)</f>
        <v>68.721297</v>
      </c>
    </row>
    <row r="2748" customFormat="false" ht="15" hidden="false" customHeight="false" outlineLevel="0" collapsed="false">
      <c r="B2748" s="7" t="s">
        <v>3245</v>
      </c>
      <c r="C2748" s="39" t="n">
        <v>45796</v>
      </c>
      <c r="D2748" s="7" t="s">
        <v>335</v>
      </c>
      <c r="E2748" s="7" t="s">
        <v>154</v>
      </c>
      <c r="F2748" s="7" t="s">
        <v>177</v>
      </c>
      <c r="G2748" s="7" t="s">
        <v>505</v>
      </c>
      <c r="H2748" s="6" t="n">
        <v>3.72</v>
      </c>
      <c r="I2748" s="6" t="n">
        <v>0</v>
      </c>
      <c r="J2748" s="40" t="n">
        <f aca="false">H2748-I2748</f>
        <v>3.72</v>
      </c>
      <c r="K2748" s="41" t="n">
        <v>26.5</v>
      </c>
      <c r="L2748" s="42" t="n">
        <f aca="false">J2748*K2748</f>
        <v>98.58</v>
      </c>
      <c r="M2748" s="43" t="n">
        <f aca="false">H2748*14.56*(1+'Chart of Accounts'!$E$67)</f>
        <v>62.016864</v>
      </c>
    </row>
    <row r="2749" customFormat="false" ht="15" hidden="false" customHeight="false" outlineLevel="0" collapsed="false">
      <c r="B2749" s="7" t="s">
        <v>3246</v>
      </c>
      <c r="C2749" s="39" t="n">
        <v>45796</v>
      </c>
      <c r="D2749" s="7" t="s">
        <v>337</v>
      </c>
      <c r="E2749" s="7" t="s">
        <v>154</v>
      </c>
      <c r="F2749" s="7" t="s">
        <v>232</v>
      </c>
      <c r="G2749" s="7" t="s">
        <v>505</v>
      </c>
      <c r="H2749" s="6" t="n">
        <v>3.19</v>
      </c>
      <c r="I2749" s="6" t="n">
        <v>0.096</v>
      </c>
      <c r="J2749" s="40" t="n">
        <f aca="false">H2749-I2749</f>
        <v>3.094</v>
      </c>
      <c r="K2749" s="41" t="n">
        <v>26.5</v>
      </c>
      <c r="L2749" s="42" t="n">
        <f aca="false">J2749*K2749</f>
        <v>81.991</v>
      </c>
      <c r="M2749" s="43" t="n">
        <f aca="false">H2749*16.17*(1+'Chart of Accounts'!$E$67)</f>
        <v>59.0617335</v>
      </c>
    </row>
    <row r="2750" customFormat="false" ht="15" hidden="false" customHeight="false" outlineLevel="0" collapsed="false">
      <c r="B2750" s="7" t="s">
        <v>3247</v>
      </c>
      <c r="C2750" s="39" t="n">
        <v>45796</v>
      </c>
      <c r="D2750" s="7" t="s">
        <v>339</v>
      </c>
      <c r="E2750" s="7" t="s">
        <v>154</v>
      </c>
      <c r="F2750" s="7" t="s">
        <v>242</v>
      </c>
      <c r="G2750" s="7" t="s">
        <v>505</v>
      </c>
      <c r="H2750" s="6" t="n">
        <v>3.61</v>
      </c>
      <c r="I2750" s="6" t="n">
        <v>0</v>
      </c>
      <c r="J2750" s="40" t="n">
        <f aca="false">H2750-I2750</f>
        <v>3.61</v>
      </c>
      <c r="K2750" s="41" t="n">
        <v>26.5</v>
      </c>
      <c r="L2750" s="42" t="n">
        <f aca="false">J2750*K2750</f>
        <v>95.665</v>
      </c>
      <c r="M2750" s="43" t="n">
        <f aca="false">H2750*17.99*(1+'Chart of Accounts'!$E$67)</f>
        <v>74.3607655</v>
      </c>
    </row>
    <row r="2751" customFormat="false" ht="15" hidden="false" customHeight="false" outlineLevel="0" collapsed="false">
      <c r="B2751" s="7" t="s">
        <v>3248</v>
      </c>
      <c r="C2751" s="39" t="n">
        <v>45796</v>
      </c>
      <c r="D2751" s="7" t="s">
        <v>341</v>
      </c>
      <c r="E2751" s="7" t="s">
        <v>156</v>
      </c>
      <c r="F2751" s="7" t="s">
        <v>222</v>
      </c>
      <c r="G2751" s="7" t="s">
        <v>505</v>
      </c>
      <c r="H2751" s="6" t="n">
        <v>3.19</v>
      </c>
      <c r="I2751" s="6" t="n">
        <v>0</v>
      </c>
      <c r="J2751" s="40" t="n">
        <f aca="false">H2751-I2751</f>
        <v>3.19</v>
      </c>
      <c r="K2751" s="41" t="n">
        <v>34</v>
      </c>
      <c r="L2751" s="42" t="n">
        <f aca="false">J2751*K2751</f>
        <v>108.46</v>
      </c>
      <c r="M2751" s="43" t="n">
        <f aca="false">H2751*17.84*(1+'Chart of Accounts'!$E$67)</f>
        <v>65.161492</v>
      </c>
    </row>
    <row r="2752" customFormat="false" ht="15" hidden="false" customHeight="false" outlineLevel="0" collapsed="false">
      <c r="B2752" s="7" t="s">
        <v>3249</v>
      </c>
      <c r="C2752" s="39" t="n">
        <v>45796</v>
      </c>
      <c r="D2752" s="7" t="s">
        <v>343</v>
      </c>
      <c r="E2752" s="7" t="s">
        <v>154</v>
      </c>
      <c r="F2752" s="7" t="s">
        <v>262</v>
      </c>
      <c r="G2752" s="7" t="s">
        <v>505</v>
      </c>
      <c r="H2752" s="6" t="n">
        <v>3.6</v>
      </c>
      <c r="I2752" s="6" t="n">
        <v>0.108</v>
      </c>
      <c r="J2752" s="40" t="n">
        <f aca="false">H2752-I2752</f>
        <v>3.492</v>
      </c>
      <c r="K2752" s="41" t="n">
        <v>26.5</v>
      </c>
      <c r="L2752" s="42" t="n">
        <f aca="false">J2752*K2752</f>
        <v>92.538</v>
      </c>
      <c r="M2752" s="43" t="n">
        <f aca="false">H2752*16.02*(1+'Chart of Accounts'!$E$67)</f>
        <v>66.03444</v>
      </c>
    </row>
    <row r="2753" customFormat="false" ht="15" hidden="false" customHeight="false" outlineLevel="0" collapsed="false">
      <c r="B2753" s="7" t="s">
        <v>3250</v>
      </c>
      <c r="C2753" s="39" t="n">
        <v>45796</v>
      </c>
      <c r="D2753" s="7" t="s">
        <v>351</v>
      </c>
      <c r="E2753" s="7" t="s">
        <v>154</v>
      </c>
      <c r="F2753" s="7" t="s">
        <v>201</v>
      </c>
      <c r="G2753" s="7" t="s">
        <v>505</v>
      </c>
      <c r="H2753" s="6" t="n">
        <v>3.09</v>
      </c>
      <c r="I2753" s="6" t="n">
        <v>0</v>
      </c>
      <c r="J2753" s="40" t="n">
        <f aca="false">H2753-I2753</f>
        <v>3.09</v>
      </c>
      <c r="K2753" s="41" t="n">
        <v>26.5</v>
      </c>
      <c r="L2753" s="42" t="n">
        <f aca="false">J2753*K2753</f>
        <v>81.885</v>
      </c>
      <c r="M2753" s="43" t="n">
        <f aca="false">H2753*15.19*(1+'Chart of Accounts'!$E$67)</f>
        <v>53.7429795</v>
      </c>
    </row>
    <row r="2754" customFormat="false" ht="15" hidden="false" customHeight="false" outlineLevel="0" collapsed="false">
      <c r="B2754" s="7" t="s">
        <v>3251</v>
      </c>
      <c r="C2754" s="39" t="n">
        <v>45796</v>
      </c>
      <c r="D2754" s="7" t="s">
        <v>353</v>
      </c>
      <c r="E2754" s="7" t="s">
        <v>154</v>
      </c>
      <c r="F2754" s="7" t="s">
        <v>254</v>
      </c>
      <c r="G2754" s="7" t="s">
        <v>505</v>
      </c>
      <c r="H2754" s="6" t="n">
        <v>3.48</v>
      </c>
      <c r="I2754" s="6" t="n">
        <v>0</v>
      </c>
      <c r="J2754" s="40" t="n">
        <f aca="false">H2754-I2754</f>
        <v>3.48</v>
      </c>
      <c r="K2754" s="41" t="n">
        <v>26.5</v>
      </c>
      <c r="L2754" s="42" t="n">
        <f aca="false">J2754*K2754</f>
        <v>92.22</v>
      </c>
      <c r="M2754" s="43" t="n">
        <f aca="false">H2754*17.1*(1+'Chart of Accounts'!$E$67)</f>
        <v>68.13666</v>
      </c>
    </row>
    <row r="2755" customFormat="false" ht="15" hidden="false" customHeight="false" outlineLevel="0" collapsed="false">
      <c r="B2755" s="7" t="s">
        <v>3252</v>
      </c>
      <c r="C2755" s="39" t="n">
        <v>45796</v>
      </c>
      <c r="D2755" s="7" t="s">
        <v>355</v>
      </c>
      <c r="E2755" s="7" t="s">
        <v>154</v>
      </c>
      <c r="F2755" s="7" t="s">
        <v>201</v>
      </c>
      <c r="G2755" s="7" t="s">
        <v>505</v>
      </c>
      <c r="H2755" s="6" t="n">
        <v>3.04</v>
      </c>
      <c r="I2755" s="6" t="n">
        <v>0</v>
      </c>
      <c r="J2755" s="40" t="n">
        <f aca="false">H2755-I2755</f>
        <v>3.04</v>
      </c>
      <c r="K2755" s="41" t="n">
        <v>26.5</v>
      </c>
      <c r="L2755" s="42" t="n">
        <f aca="false">J2755*K2755</f>
        <v>80.56</v>
      </c>
      <c r="M2755" s="43" t="n">
        <f aca="false">H2755*15.19*(1+'Chart of Accounts'!$E$67)</f>
        <v>52.873352</v>
      </c>
    </row>
    <row r="2756" customFormat="false" ht="15" hidden="false" customHeight="false" outlineLevel="0" collapsed="false">
      <c r="B2756" s="7" t="s">
        <v>3253</v>
      </c>
      <c r="C2756" s="39" t="n">
        <v>45796</v>
      </c>
      <c r="D2756" s="7" t="s">
        <v>357</v>
      </c>
      <c r="E2756" s="7" t="s">
        <v>154</v>
      </c>
      <c r="F2756" s="7" t="s">
        <v>207</v>
      </c>
      <c r="G2756" s="7" t="s">
        <v>505</v>
      </c>
      <c r="H2756" s="6" t="n">
        <v>3.19</v>
      </c>
      <c r="I2756" s="6" t="n">
        <v>0</v>
      </c>
      <c r="J2756" s="40" t="n">
        <f aca="false">H2756-I2756</f>
        <v>3.19</v>
      </c>
      <c r="K2756" s="41" t="n">
        <v>26.5</v>
      </c>
      <c r="L2756" s="42" t="n">
        <f aca="false">J2756*K2756</f>
        <v>84.535</v>
      </c>
      <c r="M2756" s="43" t="n">
        <f aca="false">H2756*16.65*(1+'Chart of Accounts'!$E$67)</f>
        <v>60.8149575</v>
      </c>
    </row>
    <row r="2757" customFormat="false" ht="15" hidden="false" customHeight="false" outlineLevel="0" collapsed="false">
      <c r="B2757" s="7" t="s">
        <v>3254</v>
      </c>
      <c r="C2757" s="39" t="n">
        <v>45796</v>
      </c>
      <c r="D2757" s="7" t="s">
        <v>359</v>
      </c>
      <c r="E2757" s="7" t="s">
        <v>156</v>
      </c>
      <c r="F2757" s="7" t="s">
        <v>212</v>
      </c>
      <c r="G2757" s="7" t="s">
        <v>505</v>
      </c>
      <c r="H2757" s="6" t="n">
        <v>3.75</v>
      </c>
      <c r="I2757" s="6" t="n">
        <v>0</v>
      </c>
      <c r="J2757" s="40" t="n">
        <f aca="false">H2757-I2757</f>
        <v>3.75</v>
      </c>
      <c r="K2757" s="41" t="n">
        <v>34</v>
      </c>
      <c r="L2757" s="42" t="n">
        <f aca="false">J2757*K2757</f>
        <v>127.5</v>
      </c>
      <c r="M2757" s="43" t="n">
        <f aca="false">H2757*16.71*(1+'Chart of Accounts'!$E$67)</f>
        <v>71.7485625</v>
      </c>
    </row>
    <row r="2758" customFormat="false" ht="15" hidden="false" customHeight="false" outlineLevel="0" collapsed="false">
      <c r="B2758" s="7" t="s">
        <v>3255</v>
      </c>
      <c r="C2758" s="39" t="n">
        <v>45796</v>
      </c>
      <c r="D2758" s="7" t="s">
        <v>363</v>
      </c>
      <c r="E2758" s="7" t="s">
        <v>156</v>
      </c>
      <c r="F2758" s="7" t="s">
        <v>246</v>
      </c>
      <c r="G2758" s="7" t="s">
        <v>505</v>
      </c>
      <c r="H2758" s="6" t="n">
        <v>3.94</v>
      </c>
      <c r="I2758" s="6" t="n">
        <v>0</v>
      </c>
      <c r="J2758" s="40" t="n">
        <f aca="false">H2758-I2758</f>
        <v>3.94</v>
      </c>
      <c r="K2758" s="41" t="n">
        <v>34</v>
      </c>
      <c r="L2758" s="42" t="n">
        <f aca="false">J2758*K2758</f>
        <v>133.96</v>
      </c>
      <c r="M2758" s="43" t="n">
        <f aca="false">H2758*16.48*(1+'Chart of Accounts'!$E$67)</f>
        <v>74.346224</v>
      </c>
    </row>
    <row r="2759" customFormat="false" ht="15" hidden="false" customHeight="false" outlineLevel="0" collapsed="false">
      <c r="B2759" s="7" t="s">
        <v>3256</v>
      </c>
      <c r="C2759" s="39" t="n">
        <v>45796</v>
      </c>
      <c r="D2759" s="7" t="s">
        <v>365</v>
      </c>
      <c r="E2759" s="7" t="s">
        <v>154</v>
      </c>
      <c r="F2759" s="7" t="s">
        <v>194</v>
      </c>
      <c r="G2759" s="7" t="s">
        <v>505</v>
      </c>
      <c r="H2759" s="6" t="n">
        <v>4.23</v>
      </c>
      <c r="I2759" s="6" t="n">
        <v>0</v>
      </c>
      <c r="J2759" s="40" t="n">
        <f aca="false">H2759-I2759</f>
        <v>4.23</v>
      </c>
      <c r="K2759" s="41" t="n">
        <v>26.5</v>
      </c>
      <c r="L2759" s="42" t="n">
        <f aca="false">J2759*K2759</f>
        <v>112.095</v>
      </c>
      <c r="M2759" s="43" t="n">
        <f aca="false">H2759*16*(1+'Chart of Accounts'!$E$67)</f>
        <v>77.4936</v>
      </c>
    </row>
    <row r="2760" customFormat="false" ht="15" hidden="false" customHeight="false" outlineLevel="0" collapsed="false">
      <c r="B2760" s="7" t="s">
        <v>3257</v>
      </c>
      <c r="C2760" s="39" t="n">
        <v>45796</v>
      </c>
      <c r="D2760" s="7" t="s">
        <v>371</v>
      </c>
      <c r="E2760" s="7" t="s">
        <v>154</v>
      </c>
      <c r="F2760" s="7" t="s">
        <v>232</v>
      </c>
      <c r="G2760" s="7" t="s">
        <v>505</v>
      </c>
      <c r="H2760" s="6" t="n">
        <v>4.81</v>
      </c>
      <c r="I2760" s="6" t="n">
        <v>0</v>
      </c>
      <c r="J2760" s="40" t="n">
        <f aca="false">H2760-I2760</f>
        <v>4.81</v>
      </c>
      <c r="K2760" s="41" t="n">
        <v>26.5</v>
      </c>
      <c r="L2760" s="42" t="n">
        <f aca="false">J2760*K2760</f>
        <v>127.465</v>
      </c>
      <c r="M2760" s="43" t="n">
        <f aca="false">H2760*16.17*(1+'Chart of Accounts'!$E$67)</f>
        <v>89.0554665</v>
      </c>
    </row>
    <row r="2761" customFormat="false" ht="15" hidden="false" customHeight="false" outlineLevel="0" collapsed="false">
      <c r="B2761" s="7" t="s">
        <v>3258</v>
      </c>
      <c r="C2761" s="39" t="n">
        <v>45796</v>
      </c>
      <c r="D2761" s="7" t="s">
        <v>375</v>
      </c>
      <c r="E2761" s="7" t="s">
        <v>156</v>
      </c>
      <c r="F2761" s="7" t="s">
        <v>196</v>
      </c>
      <c r="G2761" s="7" t="s">
        <v>505</v>
      </c>
      <c r="H2761" s="6" t="n">
        <v>3</v>
      </c>
      <c r="I2761" s="6" t="n">
        <v>0</v>
      </c>
      <c r="J2761" s="40" t="n">
        <f aca="false">H2761-I2761</f>
        <v>3</v>
      </c>
      <c r="K2761" s="41" t="n">
        <v>34</v>
      </c>
      <c r="L2761" s="42" t="n">
        <f aca="false">J2761*K2761</f>
        <v>102</v>
      </c>
      <c r="M2761" s="43" t="n">
        <f aca="false">H2761*15.05*(1+'Chart of Accounts'!$E$67)</f>
        <v>51.69675</v>
      </c>
    </row>
    <row r="2762" customFormat="false" ht="15" hidden="false" customHeight="false" outlineLevel="0" collapsed="false">
      <c r="B2762" s="7" t="s">
        <v>3259</v>
      </c>
      <c r="C2762" s="39" t="n">
        <v>45796</v>
      </c>
      <c r="D2762" s="7" t="s">
        <v>377</v>
      </c>
      <c r="E2762" s="7" t="s">
        <v>154</v>
      </c>
      <c r="F2762" s="7" t="s">
        <v>214</v>
      </c>
      <c r="G2762" s="7" t="s">
        <v>505</v>
      </c>
      <c r="H2762" s="6" t="n">
        <v>4.26</v>
      </c>
      <c r="I2762" s="6" t="n">
        <v>0</v>
      </c>
      <c r="J2762" s="40" t="n">
        <f aca="false">H2762-I2762</f>
        <v>4.26</v>
      </c>
      <c r="K2762" s="41" t="n">
        <v>26.5</v>
      </c>
      <c r="L2762" s="42" t="n">
        <f aca="false">J2762*K2762</f>
        <v>112.89</v>
      </c>
      <c r="M2762" s="43" t="n">
        <f aca="false">H2762*15.67*(1+'Chart of Accounts'!$E$67)</f>
        <v>76.433559</v>
      </c>
    </row>
    <row r="2763" customFormat="false" ht="15" hidden="false" customHeight="false" outlineLevel="0" collapsed="false">
      <c r="B2763" s="7" t="s">
        <v>3260</v>
      </c>
      <c r="C2763" s="39" t="n">
        <v>45796</v>
      </c>
      <c r="D2763" s="7" t="s">
        <v>379</v>
      </c>
      <c r="E2763" s="7" t="s">
        <v>156</v>
      </c>
      <c r="F2763" s="7" t="s">
        <v>224</v>
      </c>
      <c r="G2763" s="7" t="s">
        <v>505</v>
      </c>
      <c r="H2763" s="6" t="n">
        <v>4.59</v>
      </c>
      <c r="I2763" s="6" t="n">
        <v>0</v>
      </c>
      <c r="J2763" s="40" t="n">
        <f aca="false">H2763-I2763</f>
        <v>4.59</v>
      </c>
      <c r="K2763" s="41" t="n">
        <v>34</v>
      </c>
      <c r="L2763" s="42" t="n">
        <f aca="false">J2763*K2763</f>
        <v>156.06</v>
      </c>
      <c r="M2763" s="43" t="n">
        <f aca="false">H2763*14.93*(1+'Chart of Accounts'!$E$67)</f>
        <v>78.4653615</v>
      </c>
    </row>
    <row r="2764" customFormat="false" ht="15" hidden="false" customHeight="false" outlineLevel="0" collapsed="false">
      <c r="B2764" s="7" t="s">
        <v>3261</v>
      </c>
      <c r="C2764" s="39" t="n">
        <v>45796</v>
      </c>
      <c r="D2764" s="7" t="s">
        <v>385</v>
      </c>
      <c r="E2764" s="7" t="s">
        <v>156</v>
      </c>
      <c r="F2764" s="7" t="s">
        <v>238</v>
      </c>
      <c r="G2764" s="7" t="s">
        <v>505</v>
      </c>
      <c r="H2764" s="6" t="n">
        <v>4.2</v>
      </c>
      <c r="I2764" s="6" t="n">
        <v>0</v>
      </c>
      <c r="J2764" s="40" t="n">
        <f aca="false">H2764-I2764</f>
        <v>4.2</v>
      </c>
      <c r="K2764" s="41" t="n">
        <v>34</v>
      </c>
      <c r="L2764" s="42" t="n">
        <f aca="false">J2764*K2764</f>
        <v>142.8</v>
      </c>
      <c r="M2764" s="43" t="n">
        <f aca="false">H2764*15.85*(1+'Chart of Accounts'!$E$67)</f>
        <v>76.22265</v>
      </c>
    </row>
    <row r="2765" customFormat="false" ht="15" hidden="false" customHeight="false" outlineLevel="0" collapsed="false">
      <c r="B2765" s="7" t="s">
        <v>3262</v>
      </c>
      <c r="C2765" s="39" t="n">
        <v>45796</v>
      </c>
      <c r="D2765" s="7" t="s">
        <v>389</v>
      </c>
      <c r="E2765" s="7" t="s">
        <v>154</v>
      </c>
      <c r="F2765" s="7" t="s">
        <v>246</v>
      </c>
      <c r="G2765" s="7" t="s">
        <v>505</v>
      </c>
      <c r="H2765" s="6" t="n">
        <v>3.6</v>
      </c>
      <c r="I2765" s="6" t="n">
        <v>0.108</v>
      </c>
      <c r="J2765" s="40" t="n">
        <f aca="false">H2765-I2765</f>
        <v>3.492</v>
      </c>
      <c r="K2765" s="41" t="n">
        <v>26.5</v>
      </c>
      <c r="L2765" s="42" t="n">
        <f aca="false">J2765*K2765</f>
        <v>92.538</v>
      </c>
      <c r="M2765" s="43" t="n">
        <f aca="false">H2765*16.48*(1+'Chart of Accounts'!$E$67)</f>
        <v>67.93056</v>
      </c>
    </row>
    <row r="2766" customFormat="false" ht="15" hidden="false" customHeight="false" outlineLevel="0" collapsed="false">
      <c r="B2766" s="7" t="s">
        <v>3263</v>
      </c>
      <c r="C2766" s="39" t="n">
        <v>45796</v>
      </c>
      <c r="D2766" s="7" t="s">
        <v>391</v>
      </c>
      <c r="E2766" s="7" t="s">
        <v>156</v>
      </c>
      <c r="F2766" s="7" t="s">
        <v>222</v>
      </c>
      <c r="G2766" s="7" t="s">
        <v>505</v>
      </c>
      <c r="H2766" s="6" t="n">
        <v>4.05</v>
      </c>
      <c r="I2766" s="6" t="n">
        <v>0</v>
      </c>
      <c r="J2766" s="40" t="n">
        <f aca="false">H2766-I2766</f>
        <v>4.05</v>
      </c>
      <c r="K2766" s="41" t="n">
        <v>34</v>
      </c>
      <c r="L2766" s="42" t="n">
        <f aca="false">J2766*K2766</f>
        <v>137.7</v>
      </c>
      <c r="M2766" s="43" t="n">
        <f aca="false">H2766*17.84*(1+'Chart of Accounts'!$E$67)</f>
        <v>82.72854</v>
      </c>
    </row>
    <row r="2767" customFormat="false" ht="15" hidden="false" customHeight="false" outlineLevel="0" collapsed="false">
      <c r="B2767" s="7" t="s">
        <v>3264</v>
      </c>
      <c r="C2767" s="39" t="n">
        <v>45796</v>
      </c>
      <c r="D2767" s="7" t="s">
        <v>395</v>
      </c>
      <c r="E2767" s="7" t="s">
        <v>156</v>
      </c>
      <c r="F2767" s="7" t="s">
        <v>242</v>
      </c>
      <c r="G2767" s="7" t="s">
        <v>505</v>
      </c>
      <c r="H2767" s="6" t="n">
        <v>3.65</v>
      </c>
      <c r="I2767" s="6" t="n">
        <v>0</v>
      </c>
      <c r="J2767" s="40" t="n">
        <f aca="false">H2767-I2767</f>
        <v>3.65</v>
      </c>
      <c r="K2767" s="41" t="n">
        <v>34</v>
      </c>
      <c r="L2767" s="42" t="n">
        <f aca="false">J2767*K2767</f>
        <v>124.1</v>
      </c>
      <c r="M2767" s="43" t="n">
        <f aca="false">H2767*17.99*(1+'Chart of Accounts'!$E$67)</f>
        <v>75.1847075</v>
      </c>
    </row>
    <row r="2768" customFormat="false" ht="15" hidden="false" customHeight="false" outlineLevel="0" collapsed="false">
      <c r="B2768" s="7" t="s">
        <v>3265</v>
      </c>
      <c r="C2768" s="39" t="n">
        <v>45796</v>
      </c>
      <c r="D2768" s="7" t="s">
        <v>399</v>
      </c>
      <c r="E2768" s="7" t="s">
        <v>154</v>
      </c>
      <c r="F2768" s="7" t="s">
        <v>262</v>
      </c>
      <c r="G2768" s="7" t="s">
        <v>505</v>
      </c>
      <c r="H2768" s="6" t="n">
        <v>3.58</v>
      </c>
      <c r="I2768" s="6" t="n">
        <v>0</v>
      </c>
      <c r="J2768" s="40" t="n">
        <f aca="false">H2768-I2768</f>
        <v>3.58</v>
      </c>
      <c r="K2768" s="41" t="n">
        <v>26.5</v>
      </c>
      <c r="L2768" s="42" t="n">
        <f aca="false">J2768*K2768</f>
        <v>94.87</v>
      </c>
      <c r="M2768" s="43" t="n">
        <f aca="false">H2768*16.02*(1+'Chart of Accounts'!$E$67)</f>
        <v>65.667582</v>
      </c>
    </row>
    <row r="2769" customFormat="false" ht="15" hidden="false" customHeight="false" outlineLevel="0" collapsed="false">
      <c r="B2769" s="7" t="s">
        <v>3266</v>
      </c>
      <c r="C2769" s="39" t="n">
        <v>45796</v>
      </c>
      <c r="D2769" s="7" t="s">
        <v>401</v>
      </c>
      <c r="E2769" s="7" t="s">
        <v>156</v>
      </c>
      <c r="F2769" s="7" t="s">
        <v>254</v>
      </c>
      <c r="G2769" s="7" t="s">
        <v>505</v>
      </c>
      <c r="H2769" s="6" t="n">
        <v>3.72</v>
      </c>
      <c r="I2769" s="6" t="n">
        <v>0</v>
      </c>
      <c r="J2769" s="40" t="n">
        <f aca="false">H2769-I2769</f>
        <v>3.72</v>
      </c>
      <c r="K2769" s="41" t="n">
        <v>34</v>
      </c>
      <c r="L2769" s="42" t="n">
        <f aca="false">J2769*K2769</f>
        <v>126.48</v>
      </c>
      <c r="M2769" s="43" t="n">
        <f aca="false">H2769*17.1*(1+'Chart of Accounts'!$E$67)</f>
        <v>72.83574</v>
      </c>
    </row>
    <row r="2770" customFormat="false" ht="15" hidden="false" customHeight="false" outlineLevel="0" collapsed="false">
      <c r="B2770" s="7" t="s">
        <v>3267</v>
      </c>
      <c r="C2770" s="39" t="n">
        <v>45796</v>
      </c>
      <c r="D2770" s="7" t="s">
        <v>409</v>
      </c>
      <c r="E2770" s="7" t="s">
        <v>154</v>
      </c>
      <c r="F2770" s="7" t="s">
        <v>214</v>
      </c>
      <c r="G2770" s="7" t="s">
        <v>505</v>
      </c>
      <c r="H2770" s="6" t="n">
        <v>3.61</v>
      </c>
      <c r="I2770" s="6" t="n">
        <v>0</v>
      </c>
      <c r="J2770" s="40" t="n">
        <f aca="false">H2770-I2770</f>
        <v>3.61</v>
      </c>
      <c r="K2770" s="41" t="n">
        <v>26.5</v>
      </c>
      <c r="L2770" s="42" t="n">
        <f aca="false">J2770*K2770</f>
        <v>95.665</v>
      </c>
      <c r="M2770" s="43" t="n">
        <f aca="false">H2770*15.67*(1+'Chart of Accounts'!$E$67)</f>
        <v>64.7711615</v>
      </c>
    </row>
    <row r="2771" customFormat="false" ht="15" hidden="false" customHeight="false" outlineLevel="0" collapsed="false">
      <c r="B2771" s="7" t="s">
        <v>3268</v>
      </c>
      <c r="C2771" s="39" t="n">
        <v>45796</v>
      </c>
      <c r="D2771" s="7" t="s">
        <v>411</v>
      </c>
      <c r="E2771" s="7" t="s">
        <v>154</v>
      </c>
      <c r="F2771" s="7" t="s">
        <v>177</v>
      </c>
      <c r="G2771" s="7" t="s">
        <v>505</v>
      </c>
      <c r="H2771" s="6" t="n">
        <v>4.25</v>
      </c>
      <c r="I2771" s="6" t="n">
        <v>0</v>
      </c>
      <c r="J2771" s="40" t="n">
        <f aca="false">H2771-I2771</f>
        <v>4.25</v>
      </c>
      <c r="K2771" s="41" t="n">
        <v>26.5</v>
      </c>
      <c r="L2771" s="42" t="n">
        <f aca="false">J2771*K2771</f>
        <v>112.625</v>
      </c>
      <c r="M2771" s="43" t="n">
        <f aca="false">H2771*14.56*(1+'Chart of Accounts'!$E$67)</f>
        <v>70.8526</v>
      </c>
    </row>
    <row r="2772" customFormat="false" ht="15" hidden="false" customHeight="false" outlineLevel="0" collapsed="false">
      <c r="B2772" s="7" t="s">
        <v>3269</v>
      </c>
      <c r="C2772" s="39" t="n">
        <v>45797</v>
      </c>
      <c r="D2772" s="7" t="s">
        <v>288</v>
      </c>
      <c r="E2772" s="7" t="s">
        <v>156</v>
      </c>
      <c r="F2772" s="7" t="s">
        <v>191</v>
      </c>
      <c r="G2772" s="7" t="s">
        <v>505</v>
      </c>
      <c r="H2772" s="6" t="n">
        <v>4.16</v>
      </c>
      <c r="I2772" s="6" t="n">
        <v>0</v>
      </c>
      <c r="J2772" s="40" t="n">
        <f aca="false">H2772-I2772</f>
        <v>4.16</v>
      </c>
      <c r="K2772" s="41" t="n">
        <v>34</v>
      </c>
      <c r="L2772" s="42" t="n">
        <f aca="false">J2772*K2772</f>
        <v>141.44</v>
      </c>
      <c r="M2772" s="43" t="n">
        <f aca="false">H2772*16.05*(1+'Chart of Accounts'!$E$67)</f>
        <v>76.44936</v>
      </c>
    </row>
    <row r="2773" customFormat="false" ht="15" hidden="false" customHeight="false" outlineLevel="0" collapsed="false">
      <c r="B2773" s="7" t="s">
        <v>3270</v>
      </c>
      <c r="C2773" s="39" t="n">
        <v>45797</v>
      </c>
      <c r="D2773" s="7" t="s">
        <v>301</v>
      </c>
      <c r="E2773" s="7" t="s">
        <v>157</v>
      </c>
      <c r="F2773" s="7" t="s">
        <v>209</v>
      </c>
      <c r="G2773" s="7" t="s">
        <v>502</v>
      </c>
      <c r="H2773" s="6" t="n">
        <v>1.09</v>
      </c>
      <c r="I2773" s="6" t="n">
        <v>0</v>
      </c>
      <c r="J2773" s="40" t="n">
        <f aca="false">H2773-I2773</f>
        <v>1.09</v>
      </c>
      <c r="K2773" s="41" t="n">
        <v>165</v>
      </c>
      <c r="L2773" s="42" t="n">
        <f aca="false">J2773*K2773</f>
        <v>179.85</v>
      </c>
      <c r="M2773" s="43" t="n">
        <f aca="false">H2773*73.58*(1+'Chart of Accounts'!$E$67)</f>
        <v>91.831519</v>
      </c>
    </row>
    <row r="2774" customFormat="false" ht="15" hidden="false" customHeight="false" outlineLevel="0" collapsed="false">
      <c r="B2774" s="7" t="s">
        <v>3271</v>
      </c>
      <c r="C2774" s="39" t="n">
        <v>45797</v>
      </c>
      <c r="D2774" s="7" t="s">
        <v>313</v>
      </c>
      <c r="E2774" s="7" t="s">
        <v>156</v>
      </c>
      <c r="F2774" s="7" t="s">
        <v>184</v>
      </c>
      <c r="G2774" s="7" t="s">
        <v>505</v>
      </c>
      <c r="H2774" s="6" t="n">
        <v>4.13</v>
      </c>
      <c r="I2774" s="6" t="n">
        <v>0</v>
      </c>
      <c r="J2774" s="40" t="n">
        <f aca="false">H2774-I2774</f>
        <v>4.13</v>
      </c>
      <c r="K2774" s="41" t="n">
        <v>34</v>
      </c>
      <c r="L2774" s="42" t="n">
        <f aca="false">J2774*K2774</f>
        <v>140.42</v>
      </c>
      <c r="M2774" s="43" t="n">
        <f aca="false">H2774*17.34*(1+'Chart of Accounts'!$E$67)</f>
        <v>81.998259</v>
      </c>
    </row>
    <row r="2775" customFormat="false" ht="15" hidden="false" customHeight="false" outlineLevel="0" collapsed="false">
      <c r="B2775" s="7" t="s">
        <v>3272</v>
      </c>
      <c r="C2775" s="39" t="n">
        <v>45797</v>
      </c>
      <c r="D2775" s="7" t="s">
        <v>319</v>
      </c>
      <c r="E2775" s="7" t="s">
        <v>157</v>
      </c>
      <c r="F2775" s="7" t="s">
        <v>234</v>
      </c>
      <c r="G2775" s="7" t="s">
        <v>502</v>
      </c>
      <c r="H2775" s="6" t="n">
        <v>1.07</v>
      </c>
      <c r="I2775" s="6" t="n">
        <v>0</v>
      </c>
      <c r="J2775" s="40" t="n">
        <f aca="false">H2775-I2775</f>
        <v>1.07</v>
      </c>
      <c r="K2775" s="41" t="n">
        <v>165</v>
      </c>
      <c r="L2775" s="42" t="n">
        <f aca="false">J2775*K2775</f>
        <v>176.55</v>
      </c>
      <c r="M2775" s="43" t="n">
        <f aca="false">H2775*89.53*(1+'Chart of Accounts'!$E$67)</f>
        <v>109.6876795</v>
      </c>
    </row>
    <row r="2776" customFormat="false" ht="15" hidden="false" customHeight="false" outlineLevel="0" collapsed="false">
      <c r="B2776" s="7" t="s">
        <v>3273</v>
      </c>
      <c r="C2776" s="39" t="n">
        <v>45797</v>
      </c>
      <c r="D2776" s="7" t="s">
        <v>321</v>
      </c>
      <c r="E2776" s="7" t="s">
        <v>154</v>
      </c>
      <c r="F2776" s="7" t="s">
        <v>218</v>
      </c>
      <c r="G2776" s="7" t="s">
        <v>505</v>
      </c>
      <c r="H2776" s="6" t="n">
        <v>3.66</v>
      </c>
      <c r="I2776" s="6" t="n">
        <v>0</v>
      </c>
      <c r="J2776" s="40" t="n">
        <f aca="false">H2776-I2776</f>
        <v>3.66</v>
      </c>
      <c r="K2776" s="41" t="n">
        <v>26.5</v>
      </c>
      <c r="L2776" s="42" t="n">
        <f aca="false">J2776*K2776</f>
        <v>96.99</v>
      </c>
      <c r="M2776" s="43" t="n">
        <f aca="false">H2776*16.19*(1+'Chart of Accounts'!$E$67)</f>
        <v>67.847433</v>
      </c>
    </row>
    <row r="2777" customFormat="false" ht="15" hidden="false" customHeight="false" outlineLevel="0" collapsed="false">
      <c r="B2777" s="7" t="s">
        <v>3274</v>
      </c>
      <c r="C2777" s="39" t="n">
        <v>45797</v>
      </c>
      <c r="D2777" s="7" t="s">
        <v>323</v>
      </c>
      <c r="E2777" s="7" t="s">
        <v>159</v>
      </c>
      <c r="F2777" s="7" t="s">
        <v>266</v>
      </c>
      <c r="G2777" s="7" t="s">
        <v>502</v>
      </c>
      <c r="H2777" s="6" t="n">
        <v>1.06</v>
      </c>
      <c r="I2777" s="6" t="n">
        <v>0</v>
      </c>
      <c r="J2777" s="40" t="n">
        <f aca="false">H2777-I2777</f>
        <v>1.06</v>
      </c>
      <c r="K2777" s="41" t="n">
        <v>135</v>
      </c>
      <c r="L2777" s="42" t="n">
        <f aca="false">J2777*K2777</f>
        <v>143.1</v>
      </c>
      <c r="M2777" s="43" t="n">
        <f aca="false">H2777*75.18*(1+'Chart of Accounts'!$E$67)</f>
        <v>91.245966</v>
      </c>
    </row>
    <row r="2778" customFormat="false" ht="15" hidden="false" customHeight="false" outlineLevel="0" collapsed="false">
      <c r="B2778" s="7" t="s">
        <v>3275</v>
      </c>
      <c r="C2778" s="39" t="n">
        <v>45797</v>
      </c>
      <c r="D2778" s="7" t="s">
        <v>327</v>
      </c>
      <c r="E2778" s="7" t="s">
        <v>157</v>
      </c>
      <c r="F2778" s="7" t="s">
        <v>228</v>
      </c>
      <c r="G2778" s="7" t="s">
        <v>502</v>
      </c>
      <c r="H2778" s="6" t="n">
        <v>1.05</v>
      </c>
      <c r="I2778" s="6" t="n">
        <v>0</v>
      </c>
      <c r="J2778" s="40" t="n">
        <f aca="false">H2778-I2778</f>
        <v>1.05</v>
      </c>
      <c r="K2778" s="41" t="n">
        <v>165</v>
      </c>
      <c r="L2778" s="42" t="n">
        <f aca="false">J2778*K2778</f>
        <v>173.25</v>
      </c>
      <c r="M2778" s="43" t="n">
        <f aca="false">H2778*51.07*(1+'Chart of Accounts'!$E$67)</f>
        <v>61.3989075</v>
      </c>
    </row>
    <row r="2779" customFormat="false" ht="15" hidden="false" customHeight="false" outlineLevel="0" collapsed="false">
      <c r="B2779" s="7" t="s">
        <v>3276</v>
      </c>
      <c r="C2779" s="39" t="n">
        <v>45797</v>
      </c>
      <c r="D2779" s="7" t="s">
        <v>329</v>
      </c>
      <c r="E2779" s="7" t="s">
        <v>156</v>
      </c>
      <c r="F2779" s="7" t="s">
        <v>220</v>
      </c>
      <c r="G2779" s="7" t="s">
        <v>505</v>
      </c>
      <c r="H2779" s="6" t="n">
        <v>3.84</v>
      </c>
      <c r="I2779" s="6" t="n">
        <v>0</v>
      </c>
      <c r="J2779" s="40" t="n">
        <f aca="false">H2779-I2779</f>
        <v>3.84</v>
      </c>
      <c r="K2779" s="41" t="n">
        <v>34</v>
      </c>
      <c r="L2779" s="42" t="n">
        <f aca="false">J2779*K2779</f>
        <v>130.56</v>
      </c>
      <c r="M2779" s="43" t="n">
        <f aca="false">H2779*16.43*(1+'Chart of Accounts'!$E$67)</f>
        <v>72.239424</v>
      </c>
    </row>
    <row r="2780" customFormat="false" ht="15" hidden="false" customHeight="false" outlineLevel="0" collapsed="false">
      <c r="B2780" s="7" t="s">
        <v>3277</v>
      </c>
      <c r="C2780" s="39" t="n">
        <v>45797</v>
      </c>
      <c r="D2780" s="7" t="s">
        <v>359</v>
      </c>
      <c r="E2780" s="7" t="s">
        <v>156</v>
      </c>
      <c r="F2780" s="7" t="s">
        <v>212</v>
      </c>
      <c r="G2780" s="7" t="s">
        <v>505</v>
      </c>
      <c r="H2780" s="6" t="n">
        <v>4.23</v>
      </c>
      <c r="I2780" s="6" t="n">
        <v>0</v>
      </c>
      <c r="J2780" s="40" t="n">
        <f aca="false">H2780-I2780</f>
        <v>4.23</v>
      </c>
      <c r="K2780" s="41" t="n">
        <v>34</v>
      </c>
      <c r="L2780" s="42" t="n">
        <f aca="false">J2780*K2780</f>
        <v>143.82</v>
      </c>
      <c r="M2780" s="43" t="n">
        <f aca="false">H2780*16.71*(1+'Chart of Accounts'!$E$67)</f>
        <v>80.9323785</v>
      </c>
    </row>
    <row r="2781" customFormat="false" ht="15" hidden="false" customHeight="false" outlineLevel="0" collapsed="false">
      <c r="B2781" s="7" t="s">
        <v>3278</v>
      </c>
      <c r="C2781" s="39" t="n">
        <v>45797</v>
      </c>
      <c r="D2781" s="7" t="s">
        <v>361</v>
      </c>
      <c r="E2781" s="7" t="s">
        <v>157</v>
      </c>
      <c r="F2781" s="7" t="s">
        <v>209</v>
      </c>
      <c r="G2781" s="7" t="s">
        <v>502</v>
      </c>
      <c r="H2781" s="6" t="n">
        <v>0.93</v>
      </c>
      <c r="I2781" s="6" t="n">
        <v>0.047</v>
      </c>
      <c r="J2781" s="40" t="n">
        <f aca="false">H2781-I2781</f>
        <v>0.883</v>
      </c>
      <c r="K2781" s="41" t="n">
        <v>165</v>
      </c>
      <c r="L2781" s="42" t="n">
        <f aca="false">J2781*K2781</f>
        <v>145.695</v>
      </c>
      <c r="M2781" s="43" t="n">
        <f aca="false">H2781*73.58*(1+'Chart of Accounts'!$E$67)</f>
        <v>78.351663</v>
      </c>
    </row>
    <row r="2782" customFormat="false" ht="15" hidden="false" customHeight="false" outlineLevel="0" collapsed="false">
      <c r="B2782" s="7" t="s">
        <v>3279</v>
      </c>
      <c r="C2782" s="39" t="n">
        <v>45797</v>
      </c>
      <c r="D2782" s="7" t="s">
        <v>365</v>
      </c>
      <c r="E2782" s="7" t="s">
        <v>154</v>
      </c>
      <c r="F2782" s="7" t="s">
        <v>194</v>
      </c>
      <c r="G2782" s="7" t="s">
        <v>505</v>
      </c>
      <c r="H2782" s="6" t="n">
        <v>4.2</v>
      </c>
      <c r="I2782" s="6" t="n">
        <v>0.126</v>
      </c>
      <c r="J2782" s="40" t="n">
        <f aca="false">H2782-I2782</f>
        <v>4.074</v>
      </c>
      <c r="K2782" s="41" t="n">
        <v>26.5</v>
      </c>
      <c r="L2782" s="42" t="n">
        <f aca="false">J2782*K2782</f>
        <v>107.961</v>
      </c>
      <c r="M2782" s="43" t="n">
        <f aca="false">H2782*16*(1+'Chart of Accounts'!$E$67)</f>
        <v>76.944</v>
      </c>
    </row>
    <row r="2783" customFormat="false" ht="15" hidden="false" customHeight="false" outlineLevel="0" collapsed="false">
      <c r="B2783" s="7" t="s">
        <v>3280</v>
      </c>
      <c r="C2783" s="39" t="n">
        <v>45797</v>
      </c>
      <c r="D2783" s="7" t="s">
        <v>381</v>
      </c>
      <c r="E2783" s="7" t="s">
        <v>157</v>
      </c>
      <c r="F2783" s="7" t="s">
        <v>234</v>
      </c>
      <c r="G2783" s="7" t="s">
        <v>502</v>
      </c>
      <c r="H2783" s="6" t="n">
        <v>1.07</v>
      </c>
      <c r="I2783" s="6" t="n">
        <v>0</v>
      </c>
      <c r="J2783" s="40" t="n">
        <f aca="false">H2783-I2783</f>
        <v>1.07</v>
      </c>
      <c r="K2783" s="41" t="n">
        <v>165</v>
      </c>
      <c r="L2783" s="42" t="n">
        <f aca="false">J2783*K2783</f>
        <v>176.55</v>
      </c>
      <c r="M2783" s="43" t="n">
        <f aca="false">H2783*89.53*(1+'Chart of Accounts'!$E$67)</f>
        <v>109.6876795</v>
      </c>
    </row>
    <row r="2784" customFormat="false" ht="15" hidden="false" customHeight="false" outlineLevel="0" collapsed="false">
      <c r="B2784" s="7" t="s">
        <v>3281</v>
      </c>
      <c r="C2784" s="39" t="n">
        <v>45797</v>
      </c>
      <c r="D2784" s="7" t="s">
        <v>389</v>
      </c>
      <c r="E2784" s="7" t="s">
        <v>154</v>
      </c>
      <c r="F2784" s="7" t="s">
        <v>246</v>
      </c>
      <c r="G2784" s="7" t="s">
        <v>505</v>
      </c>
      <c r="H2784" s="6" t="n">
        <v>4.04</v>
      </c>
      <c r="I2784" s="6" t="n">
        <v>0</v>
      </c>
      <c r="J2784" s="40" t="n">
        <f aca="false">H2784-I2784</f>
        <v>4.04</v>
      </c>
      <c r="K2784" s="41" t="n">
        <v>26.5</v>
      </c>
      <c r="L2784" s="42" t="n">
        <f aca="false">J2784*K2784</f>
        <v>107.06</v>
      </c>
      <c r="M2784" s="43" t="n">
        <f aca="false">H2784*16.48*(1+'Chart of Accounts'!$E$67)</f>
        <v>76.233184</v>
      </c>
    </row>
    <row r="2785" customFormat="false" ht="15" hidden="false" customHeight="false" outlineLevel="0" collapsed="false">
      <c r="B2785" s="7" t="s">
        <v>3282</v>
      </c>
      <c r="C2785" s="39" t="n">
        <v>45797</v>
      </c>
      <c r="D2785" s="7" t="s">
        <v>391</v>
      </c>
      <c r="E2785" s="7" t="s">
        <v>156</v>
      </c>
      <c r="F2785" s="7" t="s">
        <v>222</v>
      </c>
      <c r="G2785" s="7" t="s">
        <v>505</v>
      </c>
      <c r="H2785" s="6" t="n">
        <v>4</v>
      </c>
      <c r="I2785" s="6" t="n">
        <v>0</v>
      </c>
      <c r="J2785" s="40" t="n">
        <f aca="false">H2785-I2785</f>
        <v>4</v>
      </c>
      <c r="K2785" s="41" t="n">
        <v>34</v>
      </c>
      <c r="L2785" s="42" t="n">
        <f aca="false">J2785*K2785</f>
        <v>136</v>
      </c>
      <c r="M2785" s="43" t="n">
        <f aca="false">H2785*17.84*(1+'Chart of Accounts'!$E$67)</f>
        <v>81.7072</v>
      </c>
    </row>
    <row r="2786" customFormat="false" ht="15" hidden="false" customHeight="false" outlineLevel="0" collapsed="false">
      <c r="B2786" s="7" t="s">
        <v>3283</v>
      </c>
      <c r="C2786" s="39" t="n">
        <v>45797</v>
      </c>
      <c r="D2786" s="7" t="s">
        <v>395</v>
      </c>
      <c r="E2786" s="7" t="s">
        <v>156</v>
      </c>
      <c r="F2786" s="7" t="s">
        <v>242</v>
      </c>
      <c r="G2786" s="7" t="s">
        <v>505</v>
      </c>
      <c r="H2786" s="6" t="n">
        <v>3.73</v>
      </c>
      <c r="I2786" s="6" t="n">
        <v>0</v>
      </c>
      <c r="J2786" s="40" t="n">
        <f aca="false">H2786-I2786</f>
        <v>3.73</v>
      </c>
      <c r="K2786" s="41" t="n">
        <v>34</v>
      </c>
      <c r="L2786" s="42" t="n">
        <f aca="false">J2786*K2786</f>
        <v>126.82</v>
      </c>
      <c r="M2786" s="43" t="n">
        <f aca="false">H2786*17.99*(1+'Chart of Accounts'!$E$67)</f>
        <v>76.8325915</v>
      </c>
    </row>
    <row r="2787" customFormat="false" ht="15" hidden="false" customHeight="false" outlineLevel="0" collapsed="false">
      <c r="B2787" s="7" t="s">
        <v>3284</v>
      </c>
      <c r="C2787" s="39" t="n">
        <v>45797</v>
      </c>
      <c r="D2787" s="7" t="s">
        <v>397</v>
      </c>
      <c r="E2787" s="7" t="s">
        <v>159</v>
      </c>
      <c r="F2787" s="7" t="s">
        <v>203</v>
      </c>
      <c r="G2787" s="7" t="s">
        <v>502</v>
      </c>
      <c r="H2787" s="6" t="n">
        <v>1.1</v>
      </c>
      <c r="I2787" s="6" t="n">
        <v>0</v>
      </c>
      <c r="J2787" s="40" t="n">
        <f aca="false">H2787-I2787</f>
        <v>1.1</v>
      </c>
      <c r="K2787" s="41" t="n">
        <v>135</v>
      </c>
      <c r="L2787" s="42" t="n">
        <f aca="false">J2787*K2787</f>
        <v>148.5</v>
      </c>
      <c r="M2787" s="43" t="n">
        <f aca="false">H2787*49.43*(1+'Chart of Accounts'!$E$67)</f>
        <v>62.257085</v>
      </c>
    </row>
    <row r="2788" customFormat="false" ht="15" hidden="false" customHeight="false" outlineLevel="0" collapsed="false">
      <c r="B2788" s="7" t="s">
        <v>3285</v>
      </c>
      <c r="C2788" s="39" t="n">
        <v>45797</v>
      </c>
      <c r="D2788" s="7" t="s">
        <v>401</v>
      </c>
      <c r="E2788" s="7" t="s">
        <v>156</v>
      </c>
      <c r="F2788" s="7" t="s">
        <v>254</v>
      </c>
      <c r="G2788" s="7" t="s">
        <v>505</v>
      </c>
      <c r="H2788" s="6" t="n">
        <v>4.1</v>
      </c>
      <c r="I2788" s="6" t="n">
        <v>0</v>
      </c>
      <c r="J2788" s="40" t="n">
        <f aca="false">H2788-I2788</f>
        <v>4.1</v>
      </c>
      <c r="K2788" s="41" t="n">
        <v>34</v>
      </c>
      <c r="L2788" s="42" t="n">
        <f aca="false">J2788*K2788</f>
        <v>139.4</v>
      </c>
      <c r="M2788" s="43" t="n">
        <f aca="false">H2788*17.1*(1+'Chart of Accounts'!$E$67)</f>
        <v>80.27595</v>
      </c>
    </row>
    <row r="2789" customFormat="false" ht="15" hidden="false" customHeight="false" outlineLevel="0" collapsed="false">
      <c r="B2789" s="7" t="s">
        <v>3286</v>
      </c>
      <c r="C2789" s="39" t="n">
        <v>45797</v>
      </c>
      <c r="D2789" s="7" t="s">
        <v>407</v>
      </c>
      <c r="E2789" s="7" t="s">
        <v>159</v>
      </c>
      <c r="F2789" s="7" t="s">
        <v>260</v>
      </c>
      <c r="G2789" s="7" t="s">
        <v>502</v>
      </c>
      <c r="H2789" s="6" t="n">
        <v>1.05</v>
      </c>
      <c r="I2789" s="6" t="n">
        <v>0</v>
      </c>
      <c r="J2789" s="40" t="n">
        <f aca="false">H2789-I2789</f>
        <v>1.05</v>
      </c>
      <c r="K2789" s="41" t="n">
        <v>135</v>
      </c>
      <c r="L2789" s="42" t="n">
        <f aca="false">J2789*K2789</f>
        <v>141.75</v>
      </c>
      <c r="M2789" s="43" t="n">
        <f aca="false">H2789*79.8*(1+'Chart of Accounts'!$E$67)</f>
        <v>95.93955</v>
      </c>
    </row>
    <row r="2790" customFormat="false" ht="15" hidden="false" customHeight="false" outlineLevel="0" collapsed="false">
      <c r="B2790" s="7" t="s">
        <v>3287</v>
      </c>
      <c r="C2790" s="39" t="n">
        <v>45798</v>
      </c>
      <c r="D2790" s="7" t="s">
        <v>280</v>
      </c>
      <c r="E2790" s="7" t="s">
        <v>157</v>
      </c>
      <c r="F2790" s="7" t="s">
        <v>187</v>
      </c>
      <c r="G2790" s="7" t="s">
        <v>502</v>
      </c>
      <c r="H2790" s="6" t="n">
        <v>1.06</v>
      </c>
      <c r="I2790" s="6" t="n">
        <v>0</v>
      </c>
      <c r="J2790" s="40" t="n">
        <f aca="false">H2790-I2790</f>
        <v>1.06</v>
      </c>
      <c r="K2790" s="41" t="n">
        <v>165</v>
      </c>
      <c r="L2790" s="42" t="n">
        <f aca="false">J2790*K2790</f>
        <v>174.9</v>
      </c>
      <c r="M2790" s="43" t="n">
        <f aca="false">H2790*66.48*(1+'Chart of Accounts'!$E$67)</f>
        <v>80.686776</v>
      </c>
    </row>
    <row r="2791" customFormat="false" ht="15" hidden="false" customHeight="false" outlineLevel="0" collapsed="false">
      <c r="B2791" s="7" t="s">
        <v>3288</v>
      </c>
      <c r="C2791" s="39" t="n">
        <v>45798</v>
      </c>
      <c r="D2791" s="7" t="s">
        <v>286</v>
      </c>
      <c r="E2791" s="7" t="s">
        <v>157</v>
      </c>
      <c r="F2791" s="7" t="s">
        <v>228</v>
      </c>
      <c r="G2791" s="7" t="s">
        <v>502</v>
      </c>
      <c r="H2791" s="6" t="n">
        <v>1.03</v>
      </c>
      <c r="I2791" s="6" t="n">
        <v>0</v>
      </c>
      <c r="J2791" s="40" t="n">
        <f aca="false">H2791-I2791</f>
        <v>1.03</v>
      </c>
      <c r="K2791" s="41" t="n">
        <v>165</v>
      </c>
      <c r="L2791" s="42" t="n">
        <f aca="false">J2791*K2791</f>
        <v>169.95</v>
      </c>
      <c r="M2791" s="43" t="n">
        <f aca="false">H2791*51.07*(1+'Chart of Accounts'!$E$67)</f>
        <v>60.2294045</v>
      </c>
    </row>
    <row r="2792" customFormat="false" ht="15" hidden="false" customHeight="false" outlineLevel="0" collapsed="false">
      <c r="B2792" s="7" t="s">
        <v>3289</v>
      </c>
      <c r="C2792" s="39" t="n">
        <v>45798</v>
      </c>
      <c r="D2792" s="7" t="s">
        <v>288</v>
      </c>
      <c r="E2792" s="7" t="s">
        <v>156</v>
      </c>
      <c r="F2792" s="7" t="s">
        <v>191</v>
      </c>
      <c r="G2792" s="7" t="s">
        <v>505</v>
      </c>
      <c r="H2792" s="6" t="n">
        <v>4.24</v>
      </c>
      <c r="I2792" s="6" t="n">
        <v>0</v>
      </c>
      <c r="J2792" s="40" t="n">
        <f aca="false">H2792-I2792</f>
        <v>4.24</v>
      </c>
      <c r="K2792" s="41" t="n">
        <v>34</v>
      </c>
      <c r="L2792" s="42" t="n">
        <f aca="false">J2792*K2792</f>
        <v>144.16</v>
      </c>
      <c r="M2792" s="43" t="n">
        <f aca="false">H2792*16.05*(1+'Chart of Accounts'!$E$67)</f>
        <v>77.91954</v>
      </c>
    </row>
    <row r="2793" customFormat="false" ht="15" hidden="false" customHeight="false" outlineLevel="0" collapsed="false">
      <c r="B2793" s="7" t="s">
        <v>3290</v>
      </c>
      <c r="C2793" s="39" t="n">
        <v>45798</v>
      </c>
      <c r="D2793" s="7" t="s">
        <v>291</v>
      </c>
      <c r="E2793" s="7" t="s">
        <v>154</v>
      </c>
      <c r="F2793" s="7" t="s">
        <v>194</v>
      </c>
      <c r="G2793" s="7" t="s">
        <v>505</v>
      </c>
      <c r="H2793" s="6" t="n">
        <v>4.3</v>
      </c>
      <c r="I2793" s="6" t="n">
        <v>0</v>
      </c>
      <c r="J2793" s="40" t="n">
        <f aca="false">H2793-I2793</f>
        <v>4.3</v>
      </c>
      <c r="K2793" s="41" t="n">
        <v>26.5</v>
      </c>
      <c r="L2793" s="42" t="n">
        <f aca="false">J2793*K2793</f>
        <v>113.95</v>
      </c>
      <c r="M2793" s="43" t="n">
        <f aca="false">H2793*16*(1+'Chart of Accounts'!$E$67)</f>
        <v>78.776</v>
      </c>
    </row>
    <row r="2794" customFormat="false" ht="15" hidden="false" customHeight="false" outlineLevel="0" collapsed="false">
      <c r="B2794" s="7" t="s">
        <v>3291</v>
      </c>
      <c r="C2794" s="39" t="n">
        <v>45798</v>
      </c>
      <c r="D2794" s="7" t="s">
        <v>305</v>
      </c>
      <c r="E2794" s="7" t="s">
        <v>154</v>
      </c>
      <c r="F2794" s="7" t="s">
        <v>205</v>
      </c>
      <c r="G2794" s="7" t="s">
        <v>505</v>
      </c>
      <c r="H2794" s="6" t="n">
        <v>4.28</v>
      </c>
      <c r="I2794" s="6" t="n">
        <v>0</v>
      </c>
      <c r="J2794" s="40" t="n">
        <f aca="false">H2794-I2794</f>
        <v>4.28</v>
      </c>
      <c r="K2794" s="41" t="n">
        <v>26.5</v>
      </c>
      <c r="L2794" s="42" t="n">
        <f aca="false">J2794*K2794</f>
        <v>113.42</v>
      </c>
      <c r="M2794" s="43" t="n">
        <f aca="false">H2794*16.36*(1+'Chart of Accounts'!$E$67)</f>
        <v>80.173816</v>
      </c>
    </row>
    <row r="2795" customFormat="false" ht="15" hidden="false" customHeight="false" outlineLevel="0" collapsed="false">
      <c r="B2795" s="7" t="s">
        <v>3292</v>
      </c>
      <c r="C2795" s="39" t="n">
        <v>45798</v>
      </c>
      <c r="D2795" s="7" t="s">
        <v>307</v>
      </c>
      <c r="E2795" s="7" t="s">
        <v>157</v>
      </c>
      <c r="F2795" s="7" t="s">
        <v>264</v>
      </c>
      <c r="G2795" s="7" t="s">
        <v>502</v>
      </c>
      <c r="H2795" s="6" t="n">
        <v>1.01</v>
      </c>
      <c r="I2795" s="6" t="n">
        <v>0</v>
      </c>
      <c r="J2795" s="40" t="n">
        <f aca="false">H2795-I2795</f>
        <v>1.01</v>
      </c>
      <c r="K2795" s="41" t="n">
        <v>165</v>
      </c>
      <c r="L2795" s="42" t="n">
        <f aca="false">J2795*K2795</f>
        <v>166.65</v>
      </c>
      <c r="M2795" s="43" t="n">
        <f aca="false">H2795*55.55*(1+'Chart of Accounts'!$E$67)</f>
        <v>64.2407975</v>
      </c>
    </row>
    <row r="2796" customFormat="false" ht="15" hidden="false" customHeight="false" outlineLevel="0" collapsed="false">
      <c r="B2796" s="7" t="s">
        <v>3293</v>
      </c>
      <c r="C2796" s="39" t="n">
        <v>45798</v>
      </c>
      <c r="D2796" s="7" t="s">
        <v>309</v>
      </c>
      <c r="E2796" s="7" t="s">
        <v>159</v>
      </c>
      <c r="F2796" s="7" t="s">
        <v>252</v>
      </c>
      <c r="G2796" s="7" t="s">
        <v>502</v>
      </c>
      <c r="H2796" s="6" t="n">
        <v>1.05</v>
      </c>
      <c r="I2796" s="6" t="n">
        <v>0</v>
      </c>
      <c r="J2796" s="40" t="n">
        <f aca="false">H2796-I2796</f>
        <v>1.05</v>
      </c>
      <c r="K2796" s="41" t="n">
        <v>135</v>
      </c>
      <c r="L2796" s="42" t="n">
        <f aca="false">J2796*K2796</f>
        <v>141.75</v>
      </c>
      <c r="M2796" s="43" t="n">
        <f aca="false">H2796*57.54*(1+'Chart of Accounts'!$E$67)</f>
        <v>69.177465</v>
      </c>
    </row>
    <row r="2797" customFormat="false" ht="15" hidden="false" customHeight="false" outlineLevel="0" collapsed="false">
      <c r="B2797" s="7" t="s">
        <v>3294</v>
      </c>
      <c r="C2797" s="39" t="n">
        <v>45798</v>
      </c>
      <c r="D2797" s="7" t="s">
        <v>313</v>
      </c>
      <c r="E2797" s="7" t="s">
        <v>156</v>
      </c>
      <c r="F2797" s="7" t="s">
        <v>184</v>
      </c>
      <c r="G2797" s="7" t="s">
        <v>505</v>
      </c>
      <c r="H2797" s="6" t="n">
        <v>4.11</v>
      </c>
      <c r="I2797" s="6" t="n">
        <v>0</v>
      </c>
      <c r="J2797" s="40" t="n">
        <f aca="false">H2797-I2797</f>
        <v>4.11</v>
      </c>
      <c r="K2797" s="41" t="n">
        <v>34</v>
      </c>
      <c r="L2797" s="42" t="n">
        <f aca="false">J2797*K2797</f>
        <v>139.74</v>
      </c>
      <c r="M2797" s="43" t="n">
        <f aca="false">H2797*17.34*(1+'Chart of Accounts'!$E$67)</f>
        <v>81.601173</v>
      </c>
    </row>
    <row r="2798" customFormat="false" ht="15" hidden="false" customHeight="false" outlineLevel="0" collapsed="false">
      <c r="B2798" s="7" t="s">
        <v>3295</v>
      </c>
      <c r="C2798" s="39" t="n">
        <v>45798</v>
      </c>
      <c r="D2798" s="7" t="s">
        <v>321</v>
      </c>
      <c r="E2798" s="7" t="s">
        <v>154</v>
      </c>
      <c r="F2798" s="7" t="s">
        <v>218</v>
      </c>
      <c r="G2798" s="7" t="s">
        <v>505</v>
      </c>
      <c r="H2798" s="6" t="n">
        <v>4.38</v>
      </c>
      <c r="I2798" s="6" t="n">
        <v>0</v>
      </c>
      <c r="J2798" s="40" t="n">
        <f aca="false">H2798-I2798</f>
        <v>4.38</v>
      </c>
      <c r="K2798" s="41" t="n">
        <v>26.5</v>
      </c>
      <c r="L2798" s="42" t="n">
        <f aca="false">J2798*K2798</f>
        <v>116.07</v>
      </c>
      <c r="M2798" s="43" t="n">
        <f aca="false">H2798*16.19*(1+'Chart of Accounts'!$E$67)</f>
        <v>81.194469</v>
      </c>
    </row>
    <row r="2799" customFormat="false" ht="15" hidden="false" customHeight="false" outlineLevel="0" collapsed="false">
      <c r="B2799" s="7" t="s">
        <v>3296</v>
      </c>
      <c r="C2799" s="39" t="n">
        <v>45798</v>
      </c>
      <c r="D2799" s="7" t="s">
        <v>329</v>
      </c>
      <c r="E2799" s="7" t="s">
        <v>156</v>
      </c>
      <c r="F2799" s="7" t="s">
        <v>220</v>
      </c>
      <c r="G2799" s="7" t="s">
        <v>505</v>
      </c>
      <c r="H2799" s="6" t="n">
        <v>4.23</v>
      </c>
      <c r="I2799" s="6" t="n">
        <v>0</v>
      </c>
      <c r="J2799" s="40" t="n">
        <f aca="false">H2799-I2799</f>
        <v>4.23</v>
      </c>
      <c r="K2799" s="41" t="n">
        <v>34</v>
      </c>
      <c r="L2799" s="42" t="n">
        <f aca="false">J2799*K2799</f>
        <v>143.82</v>
      </c>
      <c r="M2799" s="43" t="n">
        <f aca="false">H2799*16.43*(1+'Chart of Accounts'!$E$67)</f>
        <v>79.5762405</v>
      </c>
    </row>
    <row r="2800" customFormat="false" ht="15" hidden="false" customHeight="false" outlineLevel="0" collapsed="false">
      <c r="B2800" s="7" t="s">
        <v>3297</v>
      </c>
      <c r="C2800" s="39" t="n">
        <v>45798</v>
      </c>
      <c r="D2800" s="7" t="s">
        <v>339</v>
      </c>
      <c r="E2800" s="7" t="s">
        <v>154</v>
      </c>
      <c r="F2800" s="7" t="s">
        <v>242</v>
      </c>
      <c r="G2800" s="7" t="s">
        <v>505</v>
      </c>
      <c r="H2800" s="6" t="n">
        <v>3.5</v>
      </c>
      <c r="I2800" s="6" t="n">
        <v>0</v>
      </c>
      <c r="J2800" s="40" t="n">
        <f aca="false">H2800-I2800</f>
        <v>3.5</v>
      </c>
      <c r="K2800" s="41" t="n">
        <v>26.5</v>
      </c>
      <c r="L2800" s="42" t="n">
        <f aca="false">J2800*K2800</f>
        <v>92.75</v>
      </c>
      <c r="M2800" s="43" t="n">
        <f aca="false">H2800*17.99*(1+'Chart of Accounts'!$E$67)</f>
        <v>72.094925</v>
      </c>
    </row>
    <row r="2801" customFormat="false" ht="15" hidden="false" customHeight="false" outlineLevel="0" collapsed="false">
      <c r="B2801" s="7" t="s">
        <v>3298</v>
      </c>
      <c r="C2801" s="39" t="n">
        <v>45798</v>
      </c>
      <c r="D2801" s="7" t="s">
        <v>353</v>
      </c>
      <c r="E2801" s="7" t="s">
        <v>154</v>
      </c>
      <c r="F2801" s="7" t="s">
        <v>254</v>
      </c>
      <c r="G2801" s="7" t="s">
        <v>505</v>
      </c>
      <c r="H2801" s="6" t="n">
        <v>3.21</v>
      </c>
      <c r="I2801" s="6" t="n">
        <v>0</v>
      </c>
      <c r="J2801" s="40" t="n">
        <f aca="false">H2801-I2801</f>
        <v>3.21</v>
      </c>
      <c r="K2801" s="41" t="n">
        <v>26.5</v>
      </c>
      <c r="L2801" s="42" t="n">
        <f aca="false">J2801*K2801</f>
        <v>85.065</v>
      </c>
      <c r="M2801" s="43" t="n">
        <f aca="false">H2801*17.1*(1+'Chart of Accounts'!$E$67)</f>
        <v>62.850195</v>
      </c>
    </row>
    <row r="2802" customFormat="false" ht="15" hidden="false" customHeight="false" outlineLevel="0" collapsed="false">
      <c r="B2802" s="7" t="s">
        <v>3299</v>
      </c>
      <c r="C2802" s="39" t="n">
        <v>45798</v>
      </c>
      <c r="D2802" s="7" t="s">
        <v>355</v>
      </c>
      <c r="E2802" s="7" t="s">
        <v>154</v>
      </c>
      <c r="F2802" s="7" t="s">
        <v>201</v>
      </c>
      <c r="G2802" s="7" t="s">
        <v>505</v>
      </c>
      <c r="H2802" s="6" t="n">
        <v>3.09</v>
      </c>
      <c r="I2802" s="6" t="n">
        <v>0</v>
      </c>
      <c r="J2802" s="40" t="n">
        <f aca="false">H2802-I2802</f>
        <v>3.09</v>
      </c>
      <c r="K2802" s="41" t="n">
        <v>26.5</v>
      </c>
      <c r="L2802" s="42" t="n">
        <f aca="false">J2802*K2802</f>
        <v>81.885</v>
      </c>
      <c r="M2802" s="43" t="n">
        <f aca="false">H2802*15.19*(1+'Chart of Accounts'!$E$67)</f>
        <v>53.7429795</v>
      </c>
    </row>
    <row r="2803" customFormat="false" ht="15" hidden="false" customHeight="false" outlineLevel="0" collapsed="false">
      <c r="B2803" s="7" t="s">
        <v>3300</v>
      </c>
      <c r="C2803" s="39" t="n">
        <v>45798</v>
      </c>
      <c r="D2803" s="7" t="s">
        <v>357</v>
      </c>
      <c r="E2803" s="7" t="s">
        <v>154</v>
      </c>
      <c r="F2803" s="7" t="s">
        <v>207</v>
      </c>
      <c r="G2803" s="7" t="s">
        <v>505</v>
      </c>
      <c r="H2803" s="6" t="n">
        <v>3.6</v>
      </c>
      <c r="I2803" s="6" t="n">
        <v>0</v>
      </c>
      <c r="J2803" s="40" t="n">
        <f aca="false">H2803-I2803</f>
        <v>3.6</v>
      </c>
      <c r="K2803" s="41" t="n">
        <v>26.5</v>
      </c>
      <c r="L2803" s="42" t="n">
        <f aca="false">J2803*K2803</f>
        <v>95.4</v>
      </c>
      <c r="M2803" s="43" t="n">
        <f aca="false">H2803*16.65*(1+'Chart of Accounts'!$E$67)</f>
        <v>68.6313</v>
      </c>
    </row>
    <row r="2804" customFormat="false" ht="15" hidden="false" customHeight="false" outlineLevel="0" collapsed="false">
      <c r="B2804" s="7" t="s">
        <v>3301</v>
      </c>
      <c r="C2804" s="39" t="n">
        <v>45798</v>
      </c>
      <c r="D2804" s="7" t="s">
        <v>365</v>
      </c>
      <c r="E2804" s="7" t="s">
        <v>154</v>
      </c>
      <c r="F2804" s="7" t="s">
        <v>194</v>
      </c>
      <c r="G2804" s="7" t="s">
        <v>505</v>
      </c>
      <c r="H2804" s="6" t="n">
        <v>3.98</v>
      </c>
      <c r="I2804" s="6" t="n">
        <v>0.119</v>
      </c>
      <c r="J2804" s="40" t="n">
        <f aca="false">H2804-I2804</f>
        <v>3.861</v>
      </c>
      <c r="K2804" s="41" t="n">
        <v>26.5</v>
      </c>
      <c r="L2804" s="42" t="n">
        <f aca="false">J2804*K2804</f>
        <v>102.3165</v>
      </c>
      <c r="M2804" s="43" t="n">
        <f aca="false">H2804*16*(1+'Chart of Accounts'!$E$67)</f>
        <v>72.9136</v>
      </c>
    </row>
    <row r="2805" customFormat="false" ht="15" hidden="false" customHeight="false" outlineLevel="0" collapsed="false">
      <c r="B2805" s="7" t="s">
        <v>3302</v>
      </c>
      <c r="C2805" s="39" t="n">
        <v>45798</v>
      </c>
      <c r="D2805" s="7" t="s">
        <v>371</v>
      </c>
      <c r="E2805" s="7" t="s">
        <v>154</v>
      </c>
      <c r="F2805" s="7" t="s">
        <v>232</v>
      </c>
      <c r="G2805" s="7" t="s">
        <v>505</v>
      </c>
      <c r="H2805" s="6" t="n">
        <v>4.35</v>
      </c>
      <c r="I2805" s="6" t="n">
        <v>0.13</v>
      </c>
      <c r="J2805" s="40" t="n">
        <f aca="false">H2805-I2805</f>
        <v>4.22</v>
      </c>
      <c r="K2805" s="41" t="n">
        <v>26.5</v>
      </c>
      <c r="L2805" s="42" t="n">
        <f aca="false">J2805*K2805</f>
        <v>111.83</v>
      </c>
      <c r="M2805" s="43" t="n">
        <f aca="false">H2805*16.17*(1+'Chart of Accounts'!$E$67)</f>
        <v>80.5387275</v>
      </c>
    </row>
    <row r="2806" customFormat="false" ht="15" hidden="false" customHeight="false" outlineLevel="0" collapsed="false">
      <c r="B2806" s="7" t="s">
        <v>3303</v>
      </c>
      <c r="C2806" s="39" t="n">
        <v>45798</v>
      </c>
      <c r="D2806" s="7" t="s">
        <v>379</v>
      </c>
      <c r="E2806" s="7" t="s">
        <v>156</v>
      </c>
      <c r="F2806" s="7" t="s">
        <v>224</v>
      </c>
      <c r="G2806" s="7" t="s">
        <v>505</v>
      </c>
      <c r="H2806" s="6" t="n">
        <v>4.78</v>
      </c>
      <c r="I2806" s="6" t="n">
        <v>0</v>
      </c>
      <c r="J2806" s="40" t="n">
        <f aca="false">H2806-I2806</f>
        <v>4.78</v>
      </c>
      <c r="K2806" s="41" t="n">
        <v>34</v>
      </c>
      <c r="L2806" s="42" t="n">
        <f aca="false">J2806*K2806</f>
        <v>162.52</v>
      </c>
      <c r="M2806" s="43" t="n">
        <f aca="false">H2806*14.93*(1+'Chart of Accounts'!$E$67)</f>
        <v>81.713383</v>
      </c>
    </row>
    <row r="2807" customFormat="false" ht="15" hidden="false" customHeight="false" outlineLevel="0" collapsed="false">
      <c r="B2807" s="7" t="s">
        <v>3304</v>
      </c>
      <c r="C2807" s="39" t="n">
        <v>45798</v>
      </c>
      <c r="D2807" s="7" t="s">
        <v>385</v>
      </c>
      <c r="E2807" s="7" t="s">
        <v>156</v>
      </c>
      <c r="F2807" s="7" t="s">
        <v>238</v>
      </c>
      <c r="G2807" s="7" t="s">
        <v>505</v>
      </c>
      <c r="H2807" s="6" t="n">
        <v>3.77</v>
      </c>
      <c r="I2807" s="6" t="n">
        <v>0</v>
      </c>
      <c r="J2807" s="40" t="n">
        <f aca="false">H2807-I2807</f>
        <v>3.77</v>
      </c>
      <c r="K2807" s="41" t="n">
        <v>34</v>
      </c>
      <c r="L2807" s="42" t="n">
        <f aca="false">J2807*K2807</f>
        <v>128.18</v>
      </c>
      <c r="M2807" s="43" t="n">
        <f aca="false">H2807*15.85*(1+'Chart of Accounts'!$E$67)</f>
        <v>68.4189025</v>
      </c>
    </row>
    <row r="2808" customFormat="false" ht="15" hidden="false" customHeight="false" outlineLevel="0" collapsed="false">
      <c r="B2808" s="7" t="s">
        <v>3305</v>
      </c>
      <c r="C2808" s="39" t="n">
        <v>45798</v>
      </c>
      <c r="D2808" s="7" t="s">
        <v>389</v>
      </c>
      <c r="E2808" s="7" t="s">
        <v>154</v>
      </c>
      <c r="F2808" s="7" t="s">
        <v>246</v>
      </c>
      <c r="G2808" s="7" t="s">
        <v>505</v>
      </c>
      <c r="H2808" s="6" t="n">
        <v>4.17</v>
      </c>
      <c r="I2808" s="6" t="n">
        <v>0</v>
      </c>
      <c r="J2808" s="40" t="n">
        <f aca="false">H2808-I2808</f>
        <v>4.17</v>
      </c>
      <c r="K2808" s="41" t="n">
        <v>26.5</v>
      </c>
      <c r="L2808" s="42" t="n">
        <f aca="false">J2808*K2808</f>
        <v>110.505</v>
      </c>
      <c r="M2808" s="43" t="n">
        <f aca="false">H2808*16.48*(1+'Chart of Accounts'!$E$67)</f>
        <v>78.686232</v>
      </c>
    </row>
    <row r="2809" customFormat="false" ht="15" hidden="false" customHeight="false" outlineLevel="0" collapsed="false">
      <c r="B2809" s="7" t="s">
        <v>3306</v>
      </c>
      <c r="C2809" s="39" t="n">
        <v>45798</v>
      </c>
      <c r="D2809" s="7" t="s">
        <v>391</v>
      </c>
      <c r="E2809" s="7" t="s">
        <v>156</v>
      </c>
      <c r="F2809" s="7" t="s">
        <v>222</v>
      </c>
      <c r="G2809" s="7" t="s">
        <v>505</v>
      </c>
      <c r="H2809" s="6" t="n">
        <v>4.39</v>
      </c>
      <c r="I2809" s="6" t="n">
        <v>0</v>
      </c>
      <c r="J2809" s="40" t="n">
        <f aca="false">H2809-I2809</f>
        <v>4.39</v>
      </c>
      <c r="K2809" s="41" t="n">
        <v>34</v>
      </c>
      <c r="L2809" s="42" t="n">
        <f aca="false">J2809*K2809</f>
        <v>149.26</v>
      </c>
      <c r="M2809" s="43" t="n">
        <f aca="false">H2809*17.84*(1+'Chart of Accounts'!$E$67)</f>
        <v>89.673652</v>
      </c>
    </row>
    <row r="2810" customFormat="false" ht="15" hidden="false" customHeight="false" outlineLevel="0" collapsed="false">
      <c r="B2810" s="7" t="s">
        <v>3307</v>
      </c>
      <c r="C2810" s="39" t="n">
        <v>45798</v>
      </c>
      <c r="D2810" s="7" t="s">
        <v>393</v>
      </c>
      <c r="E2810" s="7" t="s">
        <v>157</v>
      </c>
      <c r="F2810" s="7" t="s">
        <v>203</v>
      </c>
      <c r="G2810" s="7" t="s">
        <v>502</v>
      </c>
      <c r="H2810" s="6" t="n">
        <v>1.05</v>
      </c>
      <c r="I2810" s="6" t="n">
        <v>0.053</v>
      </c>
      <c r="J2810" s="40" t="n">
        <f aca="false">H2810-I2810</f>
        <v>0.997</v>
      </c>
      <c r="K2810" s="41" t="n">
        <v>165</v>
      </c>
      <c r="L2810" s="42" t="n">
        <f aca="false">J2810*K2810</f>
        <v>164.505</v>
      </c>
      <c r="M2810" s="43" t="n">
        <f aca="false">H2810*49.43*(1+'Chart of Accounts'!$E$67)</f>
        <v>59.4272175</v>
      </c>
    </row>
    <row r="2811" customFormat="false" ht="15" hidden="false" customHeight="false" outlineLevel="0" collapsed="false">
      <c r="B2811" s="7" t="s">
        <v>3308</v>
      </c>
      <c r="C2811" s="39" t="n">
        <v>45798</v>
      </c>
      <c r="D2811" s="7" t="s">
        <v>395</v>
      </c>
      <c r="E2811" s="7" t="s">
        <v>156</v>
      </c>
      <c r="F2811" s="7" t="s">
        <v>242</v>
      </c>
      <c r="G2811" s="7" t="s">
        <v>505</v>
      </c>
      <c r="H2811" s="6" t="n">
        <v>3.83</v>
      </c>
      <c r="I2811" s="6" t="n">
        <v>0</v>
      </c>
      <c r="J2811" s="40" t="n">
        <f aca="false">H2811-I2811</f>
        <v>3.83</v>
      </c>
      <c r="K2811" s="41" t="n">
        <v>34</v>
      </c>
      <c r="L2811" s="42" t="n">
        <f aca="false">J2811*K2811</f>
        <v>130.22</v>
      </c>
      <c r="M2811" s="43" t="n">
        <f aca="false">H2811*17.99*(1+'Chart of Accounts'!$E$67)</f>
        <v>78.8924465</v>
      </c>
    </row>
    <row r="2812" customFormat="false" ht="15" hidden="false" customHeight="false" outlineLevel="0" collapsed="false">
      <c r="B2812" s="7" t="s">
        <v>3309</v>
      </c>
      <c r="C2812" s="39" t="n">
        <v>45798</v>
      </c>
      <c r="D2812" s="7" t="s">
        <v>399</v>
      </c>
      <c r="E2812" s="7" t="s">
        <v>154</v>
      </c>
      <c r="F2812" s="7" t="s">
        <v>262</v>
      </c>
      <c r="G2812" s="7" t="s">
        <v>505</v>
      </c>
      <c r="H2812" s="6" t="n">
        <v>3.03</v>
      </c>
      <c r="I2812" s="6" t="n">
        <v>0</v>
      </c>
      <c r="J2812" s="40" t="n">
        <f aca="false">H2812-I2812</f>
        <v>3.03</v>
      </c>
      <c r="K2812" s="41" t="n">
        <v>26.5</v>
      </c>
      <c r="L2812" s="42" t="n">
        <f aca="false">J2812*K2812</f>
        <v>80.295</v>
      </c>
      <c r="M2812" s="43" t="n">
        <f aca="false">H2812*16.02*(1+'Chart of Accounts'!$E$67)</f>
        <v>55.578987</v>
      </c>
    </row>
    <row r="2813" customFormat="false" ht="15" hidden="false" customHeight="false" outlineLevel="0" collapsed="false">
      <c r="B2813" s="7" t="s">
        <v>3310</v>
      </c>
      <c r="C2813" s="39" t="n">
        <v>45798</v>
      </c>
      <c r="D2813" s="7" t="s">
        <v>401</v>
      </c>
      <c r="E2813" s="7" t="s">
        <v>156</v>
      </c>
      <c r="F2813" s="7" t="s">
        <v>254</v>
      </c>
      <c r="G2813" s="7" t="s">
        <v>505</v>
      </c>
      <c r="H2813" s="6" t="n">
        <v>3.79</v>
      </c>
      <c r="I2813" s="6" t="n">
        <v>0</v>
      </c>
      <c r="J2813" s="40" t="n">
        <f aca="false">H2813-I2813</f>
        <v>3.79</v>
      </c>
      <c r="K2813" s="41" t="n">
        <v>34</v>
      </c>
      <c r="L2813" s="42" t="n">
        <f aca="false">J2813*K2813</f>
        <v>128.86</v>
      </c>
      <c r="M2813" s="43" t="n">
        <f aca="false">H2813*17.1*(1+'Chart of Accounts'!$E$67)</f>
        <v>74.206305</v>
      </c>
    </row>
    <row r="2814" customFormat="false" ht="15" hidden="false" customHeight="false" outlineLevel="0" collapsed="false">
      <c r="B2814" s="7" t="s">
        <v>3311</v>
      </c>
      <c r="C2814" s="39" t="n">
        <v>45798</v>
      </c>
      <c r="D2814" s="7" t="s">
        <v>409</v>
      </c>
      <c r="E2814" s="7" t="s">
        <v>154</v>
      </c>
      <c r="F2814" s="7" t="s">
        <v>214</v>
      </c>
      <c r="G2814" s="7" t="s">
        <v>505</v>
      </c>
      <c r="H2814" s="6" t="n">
        <v>3.64</v>
      </c>
      <c r="I2814" s="6" t="n">
        <v>0</v>
      </c>
      <c r="J2814" s="40" t="n">
        <f aca="false">H2814-I2814</f>
        <v>3.64</v>
      </c>
      <c r="K2814" s="41" t="n">
        <v>26.5</v>
      </c>
      <c r="L2814" s="42" t="n">
        <f aca="false">J2814*K2814</f>
        <v>96.46</v>
      </c>
      <c r="M2814" s="43" t="n">
        <f aca="false">H2814*15.67*(1+'Chart of Accounts'!$E$67)</f>
        <v>65.309426</v>
      </c>
    </row>
    <row r="2815" customFormat="false" ht="15" hidden="false" customHeight="false" outlineLevel="0" collapsed="false">
      <c r="B2815" s="7" t="s">
        <v>3312</v>
      </c>
      <c r="C2815" s="39" t="n">
        <v>45799</v>
      </c>
      <c r="D2815" s="7" t="s">
        <v>288</v>
      </c>
      <c r="E2815" s="7" t="s">
        <v>156</v>
      </c>
      <c r="F2815" s="7" t="s">
        <v>191</v>
      </c>
      <c r="G2815" s="7" t="s">
        <v>505</v>
      </c>
      <c r="H2815" s="6" t="n">
        <v>4.04</v>
      </c>
      <c r="I2815" s="6" t="n">
        <v>0</v>
      </c>
      <c r="J2815" s="40" t="n">
        <f aca="false">H2815-I2815</f>
        <v>4.04</v>
      </c>
      <c r="K2815" s="41" t="n">
        <v>34</v>
      </c>
      <c r="L2815" s="42" t="n">
        <f aca="false">J2815*K2815</f>
        <v>137.36</v>
      </c>
      <c r="M2815" s="43" t="n">
        <f aca="false">H2815*16.05*(1+'Chart of Accounts'!$E$67)</f>
        <v>74.24409</v>
      </c>
    </row>
    <row r="2816" customFormat="false" ht="15" hidden="false" customHeight="false" outlineLevel="0" collapsed="false">
      <c r="B2816" s="7" t="s">
        <v>3313</v>
      </c>
      <c r="C2816" s="39" t="n">
        <v>45799</v>
      </c>
      <c r="D2816" s="7" t="s">
        <v>297</v>
      </c>
      <c r="E2816" s="7" t="s">
        <v>156</v>
      </c>
      <c r="F2816" s="7" t="s">
        <v>201</v>
      </c>
      <c r="G2816" s="7" t="s">
        <v>505</v>
      </c>
      <c r="H2816" s="6" t="n">
        <v>2.75</v>
      </c>
      <c r="I2816" s="6" t="n">
        <v>0</v>
      </c>
      <c r="J2816" s="40" t="n">
        <f aca="false">H2816-I2816</f>
        <v>2.75</v>
      </c>
      <c r="K2816" s="41" t="n">
        <v>34</v>
      </c>
      <c r="L2816" s="42" t="n">
        <f aca="false">J2816*K2816</f>
        <v>93.5</v>
      </c>
      <c r="M2816" s="43" t="n">
        <f aca="false">H2816*15.19*(1+'Chart of Accounts'!$E$67)</f>
        <v>47.8295125</v>
      </c>
    </row>
    <row r="2817" customFormat="false" ht="15" hidden="false" customHeight="false" outlineLevel="0" collapsed="false">
      <c r="B2817" s="7" t="s">
        <v>3314</v>
      </c>
      <c r="C2817" s="39" t="n">
        <v>45799</v>
      </c>
      <c r="D2817" s="7" t="s">
        <v>311</v>
      </c>
      <c r="E2817" s="7" t="s">
        <v>154</v>
      </c>
      <c r="F2817" s="7" t="s">
        <v>196</v>
      </c>
      <c r="G2817" s="7" t="s">
        <v>505</v>
      </c>
      <c r="H2817" s="6" t="n">
        <v>3.26</v>
      </c>
      <c r="I2817" s="6" t="n">
        <v>0</v>
      </c>
      <c r="J2817" s="40" t="n">
        <f aca="false">H2817-I2817</f>
        <v>3.26</v>
      </c>
      <c r="K2817" s="41" t="n">
        <v>26.5</v>
      </c>
      <c r="L2817" s="42" t="n">
        <f aca="false">J2817*K2817</f>
        <v>86.39</v>
      </c>
      <c r="M2817" s="43" t="n">
        <f aca="false">H2817*15.05*(1+'Chart of Accounts'!$E$67)</f>
        <v>56.177135</v>
      </c>
    </row>
    <row r="2818" customFormat="false" ht="15" hidden="false" customHeight="false" outlineLevel="0" collapsed="false">
      <c r="B2818" s="7" t="s">
        <v>3315</v>
      </c>
      <c r="C2818" s="39" t="n">
        <v>45799</v>
      </c>
      <c r="D2818" s="7" t="s">
        <v>313</v>
      </c>
      <c r="E2818" s="7" t="s">
        <v>156</v>
      </c>
      <c r="F2818" s="7" t="s">
        <v>184</v>
      </c>
      <c r="G2818" s="7" t="s">
        <v>505</v>
      </c>
      <c r="H2818" s="6" t="n">
        <v>3.89</v>
      </c>
      <c r="I2818" s="6" t="n">
        <v>0</v>
      </c>
      <c r="J2818" s="40" t="n">
        <f aca="false">H2818-I2818</f>
        <v>3.89</v>
      </c>
      <c r="K2818" s="41" t="n">
        <v>34</v>
      </c>
      <c r="L2818" s="42" t="n">
        <f aca="false">J2818*K2818</f>
        <v>132.26</v>
      </c>
      <c r="M2818" s="43" t="n">
        <f aca="false">H2818*17.34*(1+'Chart of Accounts'!$E$67)</f>
        <v>77.233227</v>
      </c>
    </row>
    <row r="2819" customFormat="false" ht="15" hidden="false" customHeight="false" outlineLevel="0" collapsed="false">
      <c r="B2819" s="7" t="s">
        <v>3316</v>
      </c>
      <c r="C2819" s="39" t="n">
        <v>45799</v>
      </c>
      <c r="D2819" s="7" t="s">
        <v>317</v>
      </c>
      <c r="E2819" s="7" t="s">
        <v>156</v>
      </c>
      <c r="F2819" s="7" t="s">
        <v>207</v>
      </c>
      <c r="G2819" s="7" t="s">
        <v>505</v>
      </c>
      <c r="H2819" s="6" t="n">
        <v>3.16</v>
      </c>
      <c r="I2819" s="6" t="n">
        <v>0</v>
      </c>
      <c r="J2819" s="40" t="n">
        <f aca="false">H2819-I2819</f>
        <v>3.16</v>
      </c>
      <c r="K2819" s="41" t="n">
        <v>34</v>
      </c>
      <c r="L2819" s="42" t="n">
        <f aca="false">J2819*K2819</f>
        <v>107.44</v>
      </c>
      <c r="M2819" s="43" t="n">
        <f aca="false">H2819*16.65*(1+'Chart of Accounts'!$E$67)</f>
        <v>60.24303</v>
      </c>
    </row>
    <row r="2820" customFormat="false" ht="15" hidden="false" customHeight="false" outlineLevel="0" collapsed="false">
      <c r="B2820" s="7" t="s">
        <v>3317</v>
      </c>
      <c r="C2820" s="39" t="n">
        <v>45799</v>
      </c>
      <c r="D2820" s="7" t="s">
        <v>321</v>
      </c>
      <c r="E2820" s="7" t="s">
        <v>154</v>
      </c>
      <c r="F2820" s="7" t="s">
        <v>218</v>
      </c>
      <c r="G2820" s="7" t="s">
        <v>505</v>
      </c>
      <c r="H2820" s="6" t="n">
        <v>3.8</v>
      </c>
      <c r="I2820" s="6" t="n">
        <v>0</v>
      </c>
      <c r="J2820" s="40" t="n">
        <f aca="false">H2820-I2820</f>
        <v>3.8</v>
      </c>
      <c r="K2820" s="41" t="n">
        <v>26.5</v>
      </c>
      <c r="L2820" s="42" t="n">
        <f aca="false">J2820*K2820</f>
        <v>100.7</v>
      </c>
      <c r="M2820" s="43" t="n">
        <f aca="false">H2820*16.19*(1+'Chart of Accounts'!$E$67)</f>
        <v>70.44269</v>
      </c>
    </row>
    <row r="2821" customFormat="false" ht="15" hidden="false" customHeight="false" outlineLevel="0" collapsed="false">
      <c r="B2821" s="7" t="s">
        <v>3318</v>
      </c>
      <c r="C2821" s="39" t="n">
        <v>45799</v>
      </c>
      <c r="D2821" s="7" t="s">
        <v>325</v>
      </c>
      <c r="E2821" s="7" t="s">
        <v>154</v>
      </c>
      <c r="F2821" s="7" t="s">
        <v>212</v>
      </c>
      <c r="G2821" s="7" t="s">
        <v>505</v>
      </c>
      <c r="H2821" s="6" t="n">
        <v>2.78</v>
      </c>
      <c r="I2821" s="6" t="n">
        <v>0</v>
      </c>
      <c r="J2821" s="40" t="n">
        <f aca="false">H2821-I2821</f>
        <v>2.78</v>
      </c>
      <c r="K2821" s="41" t="n">
        <v>26.5</v>
      </c>
      <c r="L2821" s="42" t="n">
        <f aca="false">J2821*K2821</f>
        <v>73.67</v>
      </c>
      <c r="M2821" s="43" t="n">
        <f aca="false">H2821*16.71*(1+'Chart of Accounts'!$E$67)</f>
        <v>53.189601</v>
      </c>
    </row>
    <row r="2822" customFormat="false" ht="15" hidden="false" customHeight="false" outlineLevel="0" collapsed="false">
      <c r="B2822" s="7" t="s">
        <v>3319</v>
      </c>
      <c r="C2822" s="39" t="n">
        <v>45799</v>
      </c>
      <c r="D2822" s="7" t="s">
        <v>329</v>
      </c>
      <c r="E2822" s="7" t="s">
        <v>156</v>
      </c>
      <c r="F2822" s="7" t="s">
        <v>220</v>
      </c>
      <c r="G2822" s="7" t="s">
        <v>505</v>
      </c>
      <c r="H2822" s="6" t="n">
        <v>3.63</v>
      </c>
      <c r="I2822" s="6" t="n">
        <v>0</v>
      </c>
      <c r="J2822" s="40" t="n">
        <f aca="false">H2822-I2822</f>
        <v>3.63</v>
      </c>
      <c r="K2822" s="41" t="n">
        <v>34</v>
      </c>
      <c r="L2822" s="42" t="n">
        <f aca="false">J2822*K2822</f>
        <v>123.42</v>
      </c>
      <c r="M2822" s="43" t="n">
        <f aca="false">H2822*16.43*(1+'Chart of Accounts'!$E$67)</f>
        <v>68.2888305</v>
      </c>
    </row>
    <row r="2823" customFormat="false" ht="15" hidden="false" customHeight="false" outlineLevel="0" collapsed="false">
      <c r="B2823" s="7" t="s">
        <v>3320</v>
      </c>
      <c r="C2823" s="39" t="n">
        <v>45799</v>
      </c>
      <c r="D2823" s="7" t="s">
        <v>331</v>
      </c>
      <c r="E2823" s="7" t="s">
        <v>156</v>
      </c>
      <c r="F2823" s="7" t="s">
        <v>224</v>
      </c>
      <c r="G2823" s="7" t="s">
        <v>505</v>
      </c>
      <c r="H2823" s="6" t="n">
        <v>4.29</v>
      </c>
      <c r="I2823" s="6" t="n">
        <v>0</v>
      </c>
      <c r="J2823" s="40" t="n">
        <f aca="false">H2823-I2823</f>
        <v>4.29</v>
      </c>
      <c r="K2823" s="41" t="n">
        <v>34</v>
      </c>
      <c r="L2823" s="42" t="n">
        <f aca="false">J2823*K2823</f>
        <v>145.86</v>
      </c>
      <c r="M2823" s="43" t="n">
        <f aca="false">H2823*14.93*(1+'Chart of Accounts'!$E$67)</f>
        <v>73.3369065</v>
      </c>
    </row>
    <row r="2824" customFormat="false" ht="15" hidden="false" customHeight="false" outlineLevel="0" collapsed="false">
      <c r="B2824" s="7" t="s">
        <v>3321</v>
      </c>
      <c r="C2824" s="39" t="n">
        <v>45799</v>
      </c>
      <c r="D2824" s="7" t="s">
        <v>337</v>
      </c>
      <c r="E2824" s="7" t="s">
        <v>154</v>
      </c>
      <c r="F2824" s="7" t="s">
        <v>232</v>
      </c>
      <c r="G2824" s="7" t="s">
        <v>505</v>
      </c>
      <c r="H2824" s="6" t="n">
        <v>2.92</v>
      </c>
      <c r="I2824" s="6" t="n">
        <v>0</v>
      </c>
      <c r="J2824" s="40" t="n">
        <f aca="false">H2824-I2824</f>
        <v>2.92</v>
      </c>
      <c r="K2824" s="41" t="n">
        <v>26.5</v>
      </c>
      <c r="L2824" s="42" t="n">
        <f aca="false">J2824*K2824</f>
        <v>77.38</v>
      </c>
      <c r="M2824" s="43" t="n">
        <f aca="false">H2824*16.17*(1+'Chart of Accounts'!$E$67)</f>
        <v>54.062778</v>
      </c>
    </row>
    <row r="2825" customFormat="false" ht="15" hidden="false" customHeight="false" outlineLevel="0" collapsed="false">
      <c r="B2825" s="7" t="s">
        <v>3322</v>
      </c>
      <c r="C2825" s="39" t="n">
        <v>45799</v>
      </c>
      <c r="D2825" s="7" t="s">
        <v>341</v>
      </c>
      <c r="E2825" s="7" t="s">
        <v>156</v>
      </c>
      <c r="F2825" s="7" t="s">
        <v>222</v>
      </c>
      <c r="G2825" s="7" t="s">
        <v>505</v>
      </c>
      <c r="H2825" s="6" t="n">
        <v>2.92</v>
      </c>
      <c r="I2825" s="6" t="n">
        <v>0</v>
      </c>
      <c r="J2825" s="40" t="n">
        <f aca="false">H2825-I2825</f>
        <v>2.92</v>
      </c>
      <c r="K2825" s="41" t="n">
        <v>34</v>
      </c>
      <c r="L2825" s="42" t="n">
        <f aca="false">J2825*K2825</f>
        <v>99.28</v>
      </c>
      <c r="M2825" s="43" t="n">
        <f aca="false">H2825*17.84*(1+'Chart of Accounts'!$E$67)</f>
        <v>59.646256</v>
      </c>
    </row>
    <row r="2826" customFormat="false" ht="15" hidden="false" customHeight="false" outlineLevel="0" collapsed="false">
      <c r="B2826" s="7" t="s">
        <v>3323</v>
      </c>
      <c r="C2826" s="39" t="n">
        <v>45799</v>
      </c>
      <c r="D2826" s="7" t="s">
        <v>343</v>
      </c>
      <c r="E2826" s="7" t="s">
        <v>154</v>
      </c>
      <c r="F2826" s="7" t="s">
        <v>262</v>
      </c>
      <c r="G2826" s="7" t="s">
        <v>505</v>
      </c>
      <c r="H2826" s="6" t="n">
        <v>3.81</v>
      </c>
      <c r="I2826" s="6" t="n">
        <v>0</v>
      </c>
      <c r="J2826" s="40" t="n">
        <f aca="false">H2826-I2826</f>
        <v>3.81</v>
      </c>
      <c r="K2826" s="41" t="n">
        <v>26.5</v>
      </c>
      <c r="L2826" s="42" t="n">
        <f aca="false">J2826*K2826</f>
        <v>100.965</v>
      </c>
      <c r="M2826" s="43" t="n">
        <f aca="false">H2826*16.02*(1+'Chart of Accounts'!$E$67)</f>
        <v>69.886449</v>
      </c>
    </row>
    <row r="2827" customFormat="false" ht="15" hidden="false" customHeight="false" outlineLevel="0" collapsed="false">
      <c r="B2827" s="7" t="s">
        <v>3324</v>
      </c>
      <c r="C2827" s="39" t="n">
        <v>45799</v>
      </c>
      <c r="D2827" s="7" t="s">
        <v>351</v>
      </c>
      <c r="E2827" s="7" t="s">
        <v>154</v>
      </c>
      <c r="F2827" s="7" t="s">
        <v>201</v>
      </c>
      <c r="G2827" s="7" t="s">
        <v>505</v>
      </c>
      <c r="H2827" s="6" t="n">
        <v>3.07</v>
      </c>
      <c r="I2827" s="6" t="n">
        <v>0</v>
      </c>
      <c r="J2827" s="40" t="n">
        <f aca="false">H2827-I2827</f>
        <v>3.07</v>
      </c>
      <c r="K2827" s="41" t="n">
        <v>26.5</v>
      </c>
      <c r="L2827" s="42" t="n">
        <f aca="false">J2827*K2827</f>
        <v>81.355</v>
      </c>
      <c r="M2827" s="43" t="n">
        <f aca="false">H2827*15.19*(1+'Chart of Accounts'!$E$67)</f>
        <v>53.3951285</v>
      </c>
    </row>
    <row r="2828" customFormat="false" ht="15" hidden="false" customHeight="false" outlineLevel="0" collapsed="false">
      <c r="B2828" s="7" t="s">
        <v>3325</v>
      </c>
      <c r="C2828" s="39" t="n">
        <v>45799</v>
      </c>
      <c r="D2828" s="7" t="s">
        <v>359</v>
      </c>
      <c r="E2828" s="7" t="s">
        <v>156</v>
      </c>
      <c r="F2828" s="7" t="s">
        <v>212</v>
      </c>
      <c r="G2828" s="7" t="s">
        <v>505</v>
      </c>
      <c r="H2828" s="6" t="n">
        <v>3.8</v>
      </c>
      <c r="I2828" s="6" t="n">
        <v>0</v>
      </c>
      <c r="J2828" s="40" t="n">
        <f aca="false">H2828-I2828</f>
        <v>3.8</v>
      </c>
      <c r="K2828" s="41" t="n">
        <v>34</v>
      </c>
      <c r="L2828" s="42" t="n">
        <f aca="false">J2828*K2828</f>
        <v>129.2</v>
      </c>
      <c r="M2828" s="43" t="n">
        <f aca="false">H2828*16.71*(1+'Chart of Accounts'!$E$67)</f>
        <v>72.70521</v>
      </c>
    </row>
    <row r="2829" customFormat="false" ht="15" hidden="false" customHeight="false" outlineLevel="0" collapsed="false">
      <c r="B2829" s="7" t="s">
        <v>3326</v>
      </c>
      <c r="C2829" s="39" t="n">
        <v>45799</v>
      </c>
      <c r="D2829" s="7" t="s">
        <v>363</v>
      </c>
      <c r="E2829" s="7" t="s">
        <v>156</v>
      </c>
      <c r="F2829" s="7" t="s">
        <v>246</v>
      </c>
      <c r="G2829" s="7" t="s">
        <v>505</v>
      </c>
      <c r="H2829" s="6" t="n">
        <v>4.28</v>
      </c>
      <c r="I2829" s="6" t="n">
        <v>0</v>
      </c>
      <c r="J2829" s="40" t="n">
        <f aca="false">H2829-I2829</f>
        <v>4.28</v>
      </c>
      <c r="K2829" s="41" t="n">
        <v>34</v>
      </c>
      <c r="L2829" s="42" t="n">
        <f aca="false">J2829*K2829</f>
        <v>145.52</v>
      </c>
      <c r="M2829" s="43" t="n">
        <f aca="false">H2829*16.48*(1+'Chart of Accounts'!$E$67)</f>
        <v>80.761888</v>
      </c>
    </row>
    <row r="2830" customFormat="false" ht="15" hidden="false" customHeight="false" outlineLevel="0" collapsed="false">
      <c r="B2830" s="7" t="s">
        <v>3327</v>
      </c>
      <c r="C2830" s="39" t="n">
        <v>45799</v>
      </c>
      <c r="D2830" s="7" t="s">
        <v>365</v>
      </c>
      <c r="E2830" s="7" t="s">
        <v>154</v>
      </c>
      <c r="F2830" s="7" t="s">
        <v>194</v>
      </c>
      <c r="G2830" s="7" t="s">
        <v>505</v>
      </c>
      <c r="H2830" s="6" t="n">
        <v>3.92</v>
      </c>
      <c r="I2830" s="6" t="n">
        <v>0</v>
      </c>
      <c r="J2830" s="40" t="n">
        <f aca="false">H2830-I2830</f>
        <v>3.92</v>
      </c>
      <c r="K2830" s="41" t="n">
        <v>26.5</v>
      </c>
      <c r="L2830" s="42" t="n">
        <f aca="false">J2830*K2830</f>
        <v>103.88</v>
      </c>
      <c r="M2830" s="43" t="n">
        <f aca="false">H2830*16*(1+'Chart of Accounts'!$E$67)</f>
        <v>71.8144</v>
      </c>
    </row>
    <row r="2831" customFormat="false" ht="15" hidden="false" customHeight="false" outlineLevel="0" collapsed="false">
      <c r="B2831" s="7" t="s">
        <v>3328</v>
      </c>
      <c r="C2831" s="39" t="n">
        <v>45799</v>
      </c>
      <c r="D2831" s="7" t="s">
        <v>375</v>
      </c>
      <c r="E2831" s="7" t="s">
        <v>156</v>
      </c>
      <c r="F2831" s="7" t="s">
        <v>196</v>
      </c>
      <c r="G2831" s="7" t="s">
        <v>505</v>
      </c>
      <c r="H2831" s="6" t="n">
        <v>2.98</v>
      </c>
      <c r="I2831" s="6" t="n">
        <v>0</v>
      </c>
      <c r="J2831" s="40" t="n">
        <f aca="false">H2831-I2831</f>
        <v>2.98</v>
      </c>
      <c r="K2831" s="41" t="n">
        <v>34</v>
      </c>
      <c r="L2831" s="42" t="n">
        <f aca="false">J2831*K2831</f>
        <v>101.32</v>
      </c>
      <c r="M2831" s="43" t="n">
        <f aca="false">H2831*15.05*(1+'Chart of Accounts'!$E$67)</f>
        <v>51.352105</v>
      </c>
    </row>
    <row r="2832" customFormat="false" ht="15" hidden="false" customHeight="false" outlineLevel="0" collapsed="false">
      <c r="B2832" s="7" t="s">
        <v>3329</v>
      </c>
      <c r="C2832" s="39" t="n">
        <v>45799</v>
      </c>
      <c r="D2832" s="7" t="s">
        <v>377</v>
      </c>
      <c r="E2832" s="7" t="s">
        <v>154</v>
      </c>
      <c r="F2832" s="7" t="s">
        <v>214</v>
      </c>
      <c r="G2832" s="7" t="s">
        <v>505</v>
      </c>
      <c r="H2832" s="6" t="n">
        <v>4.11</v>
      </c>
      <c r="I2832" s="6" t="n">
        <v>0</v>
      </c>
      <c r="J2832" s="40" t="n">
        <f aca="false">H2832-I2832</f>
        <v>4.11</v>
      </c>
      <c r="K2832" s="41" t="n">
        <v>26.5</v>
      </c>
      <c r="L2832" s="42" t="n">
        <f aca="false">J2832*K2832</f>
        <v>108.915</v>
      </c>
      <c r="M2832" s="43" t="n">
        <f aca="false">H2832*15.67*(1+'Chart of Accounts'!$E$67)</f>
        <v>73.7422365</v>
      </c>
    </row>
    <row r="2833" customFormat="false" ht="15" hidden="false" customHeight="false" outlineLevel="0" collapsed="false">
      <c r="B2833" s="7" t="s">
        <v>3330</v>
      </c>
      <c r="C2833" s="39" t="n">
        <v>45799</v>
      </c>
      <c r="D2833" s="7" t="s">
        <v>389</v>
      </c>
      <c r="E2833" s="7" t="s">
        <v>154</v>
      </c>
      <c r="F2833" s="7" t="s">
        <v>246</v>
      </c>
      <c r="G2833" s="7" t="s">
        <v>505</v>
      </c>
      <c r="H2833" s="6" t="n">
        <v>3.67</v>
      </c>
      <c r="I2833" s="6" t="n">
        <v>0</v>
      </c>
      <c r="J2833" s="40" t="n">
        <f aca="false">H2833-I2833</f>
        <v>3.67</v>
      </c>
      <c r="K2833" s="41" t="n">
        <v>26.5</v>
      </c>
      <c r="L2833" s="42" t="n">
        <f aca="false">J2833*K2833</f>
        <v>97.255</v>
      </c>
      <c r="M2833" s="43" t="n">
        <f aca="false">H2833*16.48*(1+'Chart of Accounts'!$E$67)</f>
        <v>69.251432</v>
      </c>
    </row>
    <row r="2834" customFormat="false" ht="15" hidden="false" customHeight="false" outlineLevel="0" collapsed="false">
      <c r="B2834" s="7" t="s">
        <v>3331</v>
      </c>
      <c r="C2834" s="39" t="n">
        <v>45799</v>
      </c>
      <c r="D2834" s="7" t="s">
        <v>391</v>
      </c>
      <c r="E2834" s="7" t="s">
        <v>156</v>
      </c>
      <c r="F2834" s="7" t="s">
        <v>222</v>
      </c>
      <c r="G2834" s="7" t="s">
        <v>505</v>
      </c>
      <c r="H2834" s="6" t="n">
        <v>4.34</v>
      </c>
      <c r="I2834" s="6" t="n">
        <v>0</v>
      </c>
      <c r="J2834" s="40" t="n">
        <f aca="false">H2834-I2834</f>
        <v>4.34</v>
      </c>
      <c r="K2834" s="41" t="n">
        <v>34</v>
      </c>
      <c r="L2834" s="42" t="n">
        <f aca="false">J2834*K2834</f>
        <v>147.56</v>
      </c>
      <c r="M2834" s="43" t="n">
        <f aca="false">H2834*17.84*(1+'Chart of Accounts'!$E$67)</f>
        <v>88.652312</v>
      </c>
    </row>
    <row r="2835" customFormat="false" ht="15" hidden="false" customHeight="false" outlineLevel="0" collapsed="false">
      <c r="B2835" s="7" t="s">
        <v>3332</v>
      </c>
      <c r="C2835" s="39" t="n">
        <v>45799</v>
      </c>
      <c r="D2835" s="7" t="s">
        <v>395</v>
      </c>
      <c r="E2835" s="7" t="s">
        <v>156</v>
      </c>
      <c r="F2835" s="7" t="s">
        <v>242</v>
      </c>
      <c r="G2835" s="7" t="s">
        <v>505</v>
      </c>
      <c r="H2835" s="6" t="n">
        <v>3.86</v>
      </c>
      <c r="I2835" s="6" t="n">
        <v>0</v>
      </c>
      <c r="J2835" s="40" t="n">
        <f aca="false">H2835-I2835</f>
        <v>3.86</v>
      </c>
      <c r="K2835" s="41" t="n">
        <v>34</v>
      </c>
      <c r="L2835" s="42" t="n">
        <f aca="false">J2835*K2835</f>
        <v>131.24</v>
      </c>
      <c r="M2835" s="43" t="n">
        <f aca="false">H2835*17.99*(1+'Chart of Accounts'!$E$67)</f>
        <v>79.510403</v>
      </c>
    </row>
    <row r="2836" customFormat="false" ht="15" hidden="false" customHeight="false" outlineLevel="0" collapsed="false">
      <c r="B2836" s="7" t="s">
        <v>3333</v>
      </c>
      <c r="C2836" s="39" t="n">
        <v>45799</v>
      </c>
      <c r="D2836" s="7" t="s">
        <v>401</v>
      </c>
      <c r="E2836" s="7" t="s">
        <v>156</v>
      </c>
      <c r="F2836" s="7" t="s">
        <v>254</v>
      </c>
      <c r="G2836" s="7" t="s">
        <v>505</v>
      </c>
      <c r="H2836" s="6" t="n">
        <v>3.99</v>
      </c>
      <c r="I2836" s="6" t="n">
        <v>0</v>
      </c>
      <c r="J2836" s="40" t="n">
        <f aca="false">H2836-I2836</f>
        <v>3.99</v>
      </c>
      <c r="K2836" s="41" t="n">
        <v>34</v>
      </c>
      <c r="L2836" s="42" t="n">
        <f aca="false">J2836*K2836</f>
        <v>135.66</v>
      </c>
      <c r="M2836" s="43" t="n">
        <f aca="false">H2836*17.1*(1+'Chart of Accounts'!$E$67)</f>
        <v>78.122205</v>
      </c>
    </row>
    <row r="2837" customFormat="false" ht="15" hidden="false" customHeight="false" outlineLevel="0" collapsed="false">
      <c r="B2837" s="7" t="s">
        <v>3334</v>
      </c>
      <c r="C2837" s="39" t="n">
        <v>45800</v>
      </c>
      <c r="D2837" s="7" t="s">
        <v>280</v>
      </c>
      <c r="E2837" s="7" t="s">
        <v>157</v>
      </c>
      <c r="F2837" s="7" t="s">
        <v>187</v>
      </c>
      <c r="G2837" s="7" t="s">
        <v>502</v>
      </c>
      <c r="H2837" s="6" t="n">
        <v>0.96</v>
      </c>
      <c r="I2837" s="6" t="n">
        <v>0</v>
      </c>
      <c r="J2837" s="40" t="n">
        <f aca="false">H2837-I2837</f>
        <v>0.96</v>
      </c>
      <c r="K2837" s="41" t="n">
        <v>165</v>
      </c>
      <c r="L2837" s="42" t="n">
        <f aca="false">J2837*K2837</f>
        <v>158.4</v>
      </c>
      <c r="M2837" s="43" t="n">
        <f aca="false">H2837*66.48*(1+'Chart of Accounts'!$E$67)</f>
        <v>73.074816</v>
      </c>
    </row>
    <row r="2838" customFormat="false" ht="15" hidden="false" customHeight="false" outlineLevel="0" collapsed="false">
      <c r="B2838" s="7" t="s">
        <v>3335</v>
      </c>
      <c r="C2838" s="39" t="n">
        <v>45800</v>
      </c>
      <c r="D2838" s="7" t="s">
        <v>288</v>
      </c>
      <c r="E2838" s="7" t="s">
        <v>156</v>
      </c>
      <c r="F2838" s="7" t="s">
        <v>191</v>
      </c>
      <c r="G2838" s="7" t="s">
        <v>505</v>
      </c>
      <c r="H2838" s="6" t="n">
        <v>3.98</v>
      </c>
      <c r="I2838" s="6" t="n">
        <v>0</v>
      </c>
      <c r="J2838" s="40" t="n">
        <f aca="false">H2838-I2838</f>
        <v>3.98</v>
      </c>
      <c r="K2838" s="41" t="n">
        <v>34</v>
      </c>
      <c r="L2838" s="42" t="n">
        <f aca="false">J2838*K2838</f>
        <v>135.32</v>
      </c>
      <c r="M2838" s="43" t="n">
        <f aca="false">H2838*16.05*(1+'Chart of Accounts'!$E$67)</f>
        <v>73.141455</v>
      </c>
    </row>
    <row r="2839" customFormat="false" ht="15" hidden="false" customHeight="false" outlineLevel="0" collapsed="false">
      <c r="B2839" s="7" t="s">
        <v>3336</v>
      </c>
      <c r="C2839" s="39" t="n">
        <v>45800</v>
      </c>
      <c r="D2839" s="7" t="s">
        <v>291</v>
      </c>
      <c r="E2839" s="7" t="s">
        <v>154</v>
      </c>
      <c r="F2839" s="7" t="s">
        <v>194</v>
      </c>
      <c r="G2839" s="7" t="s">
        <v>505</v>
      </c>
      <c r="H2839" s="6" t="n">
        <v>4.23</v>
      </c>
      <c r="I2839" s="6" t="n">
        <v>0</v>
      </c>
      <c r="J2839" s="40" t="n">
        <f aca="false">H2839-I2839</f>
        <v>4.23</v>
      </c>
      <c r="K2839" s="41" t="n">
        <v>26.5</v>
      </c>
      <c r="L2839" s="42" t="n">
        <f aca="false">J2839*K2839</f>
        <v>112.095</v>
      </c>
      <c r="M2839" s="43" t="n">
        <f aca="false">H2839*16*(1+'Chart of Accounts'!$E$67)</f>
        <v>77.4936</v>
      </c>
    </row>
    <row r="2840" customFormat="false" ht="15" hidden="false" customHeight="false" outlineLevel="0" collapsed="false">
      <c r="B2840" s="7" t="s">
        <v>3337</v>
      </c>
      <c r="C2840" s="39" t="n">
        <v>45800</v>
      </c>
      <c r="D2840" s="7" t="s">
        <v>301</v>
      </c>
      <c r="E2840" s="7" t="s">
        <v>157</v>
      </c>
      <c r="F2840" s="7" t="s">
        <v>209</v>
      </c>
      <c r="G2840" s="7" t="s">
        <v>502</v>
      </c>
      <c r="H2840" s="6" t="n">
        <v>1.09</v>
      </c>
      <c r="I2840" s="6" t="n">
        <v>0</v>
      </c>
      <c r="J2840" s="40" t="n">
        <f aca="false">H2840-I2840</f>
        <v>1.09</v>
      </c>
      <c r="K2840" s="41" t="n">
        <v>165</v>
      </c>
      <c r="L2840" s="42" t="n">
        <f aca="false">J2840*K2840</f>
        <v>179.85</v>
      </c>
      <c r="M2840" s="43" t="n">
        <f aca="false">H2840*73.58*(1+'Chart of Accounts'!$E$67)</f>
        <v>91.831519</v>
      </c>
    </row>
    <row r="2841" customFormat="false" ht="15" hidden="false" customHeight="false" outlineLevel="0" collapsed="false">
      <c r="B2841" s="7" t="s">
        <v>3338</v>
      </c>
      <c r="C2841" s="39" t="n">
        <v>45800</v>
      </c>
      <c r="D2841" s="7" t="s">
        <v>305</v>
      </c>
      <c r="E2841" s="7" t="s">
        <v>154</v>
      </c>
      <c r="F2841" s="7" t="s">
        <v>205</v>
      </c>
      <c r="G2841" s="7" t="s">
        <v>505</v>
      </c>
      <c r="H2841" s="6" t="n">
        <v>3.98</v>
      </c>
      <c r="I2841" s="6" t="n">
        <v>0</v>
      </c>
      <c r="J2841" s="40" t="n">
        <f aca="false">H2841-I2841</f>
        <v>3.98</v>
      </c>
      <c r="K2841" s="41" t="n">
        <v>26.5</v>
      </c>
      <c r="L2841" s="42" t="n">
        <f aca="false">J2841*K2841</f>
        <v>105.47</v>
      </c>
      <c r="M2841" s="43" t="n">
        <f aca="false">H2841*16.36*(1+'Chart of Accounts'!$E$67)</f>
        <v>74.554156</v>
      </c>
    </row>
    <row r="2842" customFormat="false" ht="15" hidden="false" customHeight="false" outlineLevel="0" collapsed="false">
      <c r="B2842" s="7" t="s">
        <v>3339</v>
      </c>
      <c r="C2842" s="39" t="n">
        <v>45800</v>
      </c>
      <c r="D2842" s="7" t="s">
        <v>307</v>
      </c>
      <c r="E2842" s="7" t="s">
        <v>157</v>
      </c>
      <c r="F2842" s="7" t="s">
        <v>264</v>
      </c>
      <c r="G2842" s="7" t="s">
        <v>502</v>
      </c>
      <c r="H2842" s="6" t="n">
        <v>1.09</v>
      </c>
      <c r="I2842" s="6" t="n">
        <v>0</v>
      </c>
      <c r="J2842" s="40" t="n">
        <f aca="false">H2842-I2842</f>
        <v>1.09</v>
      </c>
      <c r="K2842" s="41" t="n">
        <v>165</v>
      </c>
      <c r="L2842" s="42" t="n">
        <f aca="false">J2842*K2842</f>
        <v>179.85</v>
      </c>
      <c r="M2842" s="43" t="n">
        <f aca="false">H2842*55.55*(1+'Chart of Accounts'!$E$67)</f>
        <v>69.3291775</v>
      </c>
    </row>
    <row r="2843" customFormat="false" ht="15" hidden="false" customHeight="false" outlineLevel="0" collapsed="false">
      <c r="B2843" s="7" t="s">
        <v>3340</v>
      </c>
      <c r="C2843" s="39" t="n">
        <v>45800</v>
      </c>
      <c r="D2843" s="7" t="s">
        <v>309</v>
      </c>
      <c r="E2843" s="7" t="s">
        <v>159</v>
      </c>
      <c r="F2843" s="7" t="s">
        <v>252</v>
      </c>
      <c r="G2843" s="7" t="s">
        <v>502</v>
      </c>
      <c r="H2843" s="6" t="n">
        <v>1.03</v>
      </c>
      <c r="I2843" s="6" t="n">
        <v>0.072</v>
      </c>
      <c r="J2843" s="40" t="n">
        <f aca="false">H2843-I2843</f>
        <v>0.958</v>
      </c>
      <c r="K2843" s="41" t="n">
        <v>135</v>
      </c>
      <c r="L2843" s="42" t="n">
        <f aca="false">J2843*K2843</f>
        <v>129.33</v>
      </c>
      <c r="M2843" s="43" t="n">
        <f aca="false">H2843*57.54*(1+'Chart of Accounts'!$E$67)</f>
        <v>67.859799</v>
      </c>
    </row>
    <row r="2844" customFormat="false" ht="15" hidden="false" customHeight="false" outlineLevel="0" collapsed="false">
      <c r="B2844" s="7" t="s">
        <v>3341</v>
      </c>
      <c r="C2844" s="39" t="n">
        <v>45800</v>
      </c>
      <c r="D2844" s="7" t="s">
        <v>313</v>
      </c>
      <c r="E2844" s="7" t="s">
        <v>156</v>
      </c>
      <c r="F2844" s="7" t="s">
        <v>184</v>
      </c>
      <c r="G2844" s="7" t="s">
        <v>505</v>
      </c>
      <c r="H2844" s="6" t="n">
        <v>3.92</v>
      </c>
      <c r="I2844" s="6" t="n">
        <v>0</v>
      </c>
      <c r="J2844" s="40" t="n">
        <f aca="false">H2844-I2844</f>
        <v>3.92</v>
      </c>
      <c r="K2844" s="41" t="n">
        <v>34</v>
      </c>
      <c r="L2844" s="42" t="n">
        <f aca="false">J2844*K2844</f>
        <v>133.28</v>
      </c>
      <c r="M2844" s="43" t="n">
        <f aca="false">H2844*17.34*(1+'Chart of Accounts'!$E$67)</f>
        <v>77.828856</v>
      </c>
    </row>
    <row r="2845" customFormat="false" ht="15" hidden="false" customHeight="false" outlineLevel="0" collapsed="false">
      <c r="B2845" s="7" t="s">
        <v>3342</v>
      </c>
      <c r="C2845" s="39" t="n">
        <v>45800</v>
      </c>
      <c r="D2845" s="7" t="s">
        <v>319</v>
      </c>
      <c r="E2845" s="7" t="s">
        <v>157</v>
      </c>
      <c r="F2845" s="7" t="s">
        <v>234</v>
      </c>
      <c r="G2845" s="7" t="s">
        <v>502</v>
      </c>
      <c r="H2845" s="6" t="n">
        <v>1.07</v>
      </c>
      <c r="I2845" s="6" t="n">
        <v>0</v>
      </c>
      <c r="J2845" s="40" t="n">
        <f aca="false">H2845-I2845</f>
        <v>1.07</v>
      </c>
      <c r="K2845" s="41" t="n">
        <v>165</v>
      </c>
      <c r="L2845" s="42" t="n">
        <f aca="false">J2845*K2845</f>
        <v>176.55</v>
      </c>
      <c r="M2845" s="43" t="n">
        <f aca="false">H2845*89.53*(1+'Chart of Accounts'!$E$67)</f>
        <v>109.6876795</v>
      </c>
    </row>
    <row r="2846" customFormat="false" ht="15" hidden="false" customHeight="false" outlineLevel="0" collapsed="false">
      <c r="B2846" s="7" t="s">
        <v>3343</v>
      </c>
      <c r="C2846" s="39" t="n">
        <v>45800</v>
      </c>
      <c r="D2846" s="7" t="s">
        <v>321</v>
      </c>
      <c r="E2846" s="7" t="s">
        <v>154</v>
      </c>
      <c r="F2846" s="7" t="s">
        <v>218</v>
      </c>
      <c r="G2846" s="7" t="s">
        <v>505</v>
      </c>
      <c r="H2846" s="6" t="n">
        <v>3.81</v>
      </c>
      <c r="I2846" s="6" t="n">
        <v>0.114</v>
      </c>
      <c r="J2846" s="40" t="n">
        <f aca="false">H2846-I2846</f>
        <v>3.696</v>
      </c>
      <c r="K2846" s="41" t="n">
        <v>26.5</v>
      </c>
      <c r="L2846" s="42" t="n">
        <f aca="false">J2846*K2846</f>
        <v>97.944</v>
      </c>
      <c r="M2846" s="43" t="n">
        <f aca="false">H2846*16.19*(1+'Chart of Accounts'!$E$67)</f>
        <v>70.6280655</v>
      </c>
    </row>
    <row r="2847" customFormat="false" ht="15" hidden="false" customHeight="false" outlineLevel="0" collapsed="false">
      <c r="B2847" s="7" t="s">
        <v>3344</v>
      </c>
      <c r="C2847" s="39" t="n">
        <v>45800</v>
      </c>
      <c r="D2847" s="7" t="s">
        <v>323</v>
      </c>
      <c r="E2847" s="7" t="s">
        <v>159</v>
      </c>
      <c r="F2847" s="7" t="s">
        <v>266</v>
      </c>
      <c r="G2847" s="7" t="s">
        <v>502</v>
      </c>
      <c r="H2847" s="6" t="n">
        <v>1.08</v>
      </c>
      <c r="I2847" s="6" t="n">
        <v>0</v>
      </c>
      <c r="J2847" s="40" t="n">
        <f aca="false">H2847-I2847</f>
        <v>1.08</v>
      </c>
      <c r="K2847" s="41" t="n">
        <v>135</v>
      </c>
      <c r="L2847" s="42" t="n">
        <f aca="false">J2847*K2847</f>
        <v>145.8</v>
      </c>
      <c r="M2847" s="43" t="n">
        <f aca="false">H2847*75.18*(1+'Chart of Accounts'!$E$67)</f>
        <v>92.967588</v>
      </c>
    </row>
    <row r="2848" customFormat="false" ht="15" hidden="false" customHeight="false" outlineLevel="0" collapsed="false">
      <c r="B2848" s="7" t="s">
        <v>3345</v>
      </c>
      <c r="C2848" s="39" t="n">
        <v>45800</v>
      </c>
      <c r="D2848" s="7" t="s">
        <v>327</v>
      </c>
      <c r="E2848" s="7" t="s">
        <v>157</v>
      </c>
      <c r="F2848" s="7" t="s">
        <v>228</v>
      </c>
      <c r="G2848" s="7" t="s">
        <v>502</v>
      </c>
      <c r="H2848" s="6" t="n">
        <v>0.93</v>
      </c>
      <c r="I2848" s="6" t="n">
        <v>0</v>
      </c>
      <c r="J2848" s="40" t="n">
        <f aca="false">H2848-I2848</f>
        <v>0.93</v>
      </c>
      <c r="K2848" s="41" t="n">
        <v>165</v>
      </c>
      <c r="L2848" s="42" t="n">
        <f aca="false">J2848*K2848</f>
        <v>153.45</v>
      </c>
      <c r="M2848" s="43" t="n">
        <f aca="false">H2848*51.07*(1+'Chart of Accounts'!$E$67)</f>
        <v>54.3818895</v>
      </c>
    </row>
    <row r="2849" customFormat="false" ht="15" hidden="false" customHeight="false" outlineLevel="0" collapsed="false">
      <c r="B2849" s="7" t="s">
        <v>3346</v>
      </c>
      <c r="C2849" s="39" t="n">
        <v>45800</v>
      </c>
      <c r="D2849" s="7" t="s">
        <v>329</v>
      </c>
      <c r="E2849" s="7" t="s">
        <v>156</v>
      </c>
      <c r="F2849" s="7" t="s">
        <v>220</v>
      </c>
      <c r="G2849" s="7" t="s">
        <v>505</v>
      </c>
      <c r="H2849" s="6" t="n">
        <v>3.98</v>
      </c>
      <c r="I2849" s="6" t="n">
        <v>0</v>
      </c>
      <c r="J2849" s="40" t="n">
        <f aca="false">H2849-I2849</f>
        <v>3.98</v>
      </c>
      <c r="K2849" s="41" t="n">
        <v>34</v>
      </c>
      <c r="L2849" s="42" t="n">
        <f aca="false">J2849*K2849</f>
        <v>135.32</v>
      </c>
      <c r="M2849" s="43" t="n">
        <f aca="false">H2849*16.43*(1+'Chart of Accounts'!$E$67)</f>
        <v>74.873153</v>
      </c>
    </row>
    <row r="2850" customFormat="false" ht="15" hidden="false" customHeight="false" outlineLevel="0" collapsed="false">
      <c r="B2850" s="7" t="s">
        <v>3347</v>
      </c>
      <c r="C2850" s="39" t="n">
        <v>45800</v>
      </c>
      <c r="D2850" s="7" t="s">
        <v>335</v>
      </c>
      <c r="E2850" s="7" t="s">
        <v>154</v>
      </c>
      <c r="F2850" s="7" t="s">
        <v>177</v>
      </c>
      <c r="G2850" s="7" t="s">
        <v>505</v>
      </c>
      <c r="H2850" s="6" t="n">
        <v>4.16</v>
      </c>
      <c r="I2850" s="6" t="n">
        <v>0</v>
      </c>
      <c r="J2850" s="40" t="n">
        <f aca="false">H2850-I2850</f>
        <v>4.16</v>
      </c>
      <c r="K2850" s="41" t="n">
        <v>26.5</v>
      </c>
      <c r="L2850" s="42" t="n">
        <f aca="false">J2850*K2850</f>
        <v>110.24</v>
      </c>
      <c r="M2850" s="43" t="n">
        <f aca="false">H2850*14.56*(1+'Chart of Accounts'!$E$67)</f>
        <v>69.352192</v>
      </c>
    </row>
    <row r="2851" customFormat="false" ht="15" hidden="false" customHeight="false" outlineLevel="0" collapsed="false">
      <c r="B2851" s="7" t="s">
        <v>3348</v>
      </c>
      <c r="C2851" s="39" t="n">
        <v>45800</v>
      </c>
      <c r="D2851" s="7" t="s">
        <v>353</v>
      </c>
      <c r="E2851" s="7" t="s">
        <v>154</v>
      </c>
      <c r="F2851" s="7" t="s">
        <v>254</v>
      </c>
      <c r="G2851" s="7" t="s">
        <v>505</v>
      </c>
      <c r="H2851" s="6" t="n">
        <v>3.13</v>
      </c>
      <c r="I2851" s="6" t="n">
        <v>0</v>
      </c>
      <c r="J2851" s="40" t="n">
        <f aca="false">H2851-I2851</f>
        <v>3.13</v>
      </c>
      <c r="K2851" s="41" t="n">
        <v>26.5</v>
      </c>
      <c r="L2851" s="42" t="n">
        <f aca="false">J2851*K2851</f>
        <v>82.945</v>
      </c>
      <c r="M2851" s="43" t="n">
        <f aca="false">H2851*17.1*(1+'Chart of Accounts'!$E$67)</f>
        <v>61.283835</v>
      </c>
    </row>
    <row r="2852" customFormat="false" ht="15" hidden="false" customHeight="false" outlineLevel="0" collapsed="false">
      <c r="B2852" s="7" t="s">
        <v>3349</v>
      </c>
      <c r="C2852" s="39" t="n">
        <v>45800</v>
      </c>
      <c r="D2852" s="7" t="s">
        <v>355</v>
      </c>
      <c r="E2852" s="7" t="s">
        <v>154</v>
      </c>
      <c r="F2852" s="7" t="s">
        <v>201</v>
      </c>
      <c r="G2852" s="7" t="s">
        <v>505</v>
      </c>
      <c r="H2852" s="6" t="n">
        <v>3.1</v>
      </c>
      <c r="I2852" s="6" t="n">
        <v>0</v>
      </c>
      <c r="J2852" s="40" t="n">
        <f aca="false">H2852-I2852</f>
        <v>3.1</v>
      </c>
      <c r="K2852" s="41" t="n">
        <v>26.5</v>
      </c>
      <c r="L2852" s="42" t="n">
        <f aca="false">J2852*K2852</f>
        <v>82.15</v>
      </c>
      <c r="M2852" s="43" t="n">
        <f aca="false">H2852*15.19*(1+'Chart of Accounts'!$E$67)</f>
        <v>53.916905</v>
      </c>
    </row>
    <row r="2853" customFormat="false" ht="15" hidden="false" customHeight="false" outlineLevel="0" collapsed="false">
      <c r="B2853" s="7" t="s">
        <v>3350</v>
      </c>
      <c r="C2853" s="39" t="n">
        <v>45800</v>
      </c>
      <c r="D2853" s="7" t="s">
        <v>357</v>
      </c>
      <c r="E2853" s="7" t="s">
        <v>154</v>
      </c>
      <c r="F2853" s="7" t="s">
        <v>207</v>
      </c>
      <c r="G2853" s="7" t="s">
        <v>505</v>
      </c>
      <c r="H2853" s="6" t="n">
        <v>3.49</v>
      </c>
      <c r="I2853" s="6" t="n">
        <v>0</v>
      </c>
      <c r="J2853" s="40" t="n">
        <f aca="false">H2853-I2853</f>
        <v>3.49</v>
      </c>
      <c r="K2853" s="41" t="n">
        <v>26.5</v>
      </c>
      <c r="L2853" s="42" t="n">
        <f aca="false">J2853*K2853</f>
        <v>92.485</v>
      </c>
      <c r="M2853" s="43" t="n">
        <f aca="false">H2853*16.65*(1+'Chart of Accounts'!$E$67)</f>
        <v>66.5342325</v>
      </c>
    </row>
    <row r="2854" customFormat="false" ht="15" hidden="false" customHeight="false" outlineLevel="0" collapsed="false">
      <c r="B2854" s="7" t="s">
        <v>3351</v>
      </c>
      <c r="C2854" s="39" t="n">
        <v>45800</v>
      </c>
      <c r="D2854" s="7" t="s">
        <v>359</v>
      </c>
      <c r="E2854" s="7" t="s">
        <v>156</v>
      </c>
      <c r="F2854" s="7" t="s">
        <v>212</v>
      </c>
      <c r="G2854" s="7" t="s">
        <v>505</v>
      </c>
      <c r="H2854" s="6" t="n">
        <v>3.61</v>
      </c>
      <c r="I2854" s="6" t="n">
        <v>0</v>
      </c>
      <c r="J2854" s="40" t="n">
        <f aca="false">H2854-I2854</f>
        <v>3.61</v>
      </c>
      <c r="K2854" s="41" t="n">
        <v>34</v>
      </c>
      <c r="L2854" s="42" t="n">
        <f aca="false">J2854*K2854</f>
        <v>122.74</v>
      </c>
      <c r="M2854" s="43" t="n">
        <f aca="false">H2854*16.71*(1+'Chart of Accounts'!$E$67)</f>
        <v>69.0699495</v>
      </c>
    </row>
    <row r="2855" customFormat="false" ht="15" hidden="false" customHeight="false" outlineLevel="0" collapsed="false">
      <c r="B2855" s="7" t="s">
        <v>3352</v>
      </c>
      <c r="C2855" s="39" t="n">
        <v>45800</v>
      </c>
      <c r="D2855" s="7" t="s">
        <v>361</v>
      </c>
      <c r="E2855" s="7" t="s">
        <v>157</v>
      </c>
      <c r="F2855" s="7" t="s">
        <v>209</v>
      </c>
      <c r="G2855" s="7" t="s">
        <v>502</v>
      </c>
      <c r="H2855" s="6" t="n">
        <v>1</v>
      </c>
      <c r="I2855" s="6" t="n">
        <v>0</v>
      </c>
      <c r="J2855" s="40" t="n">
        <f aca="false">H2855-I2855</f>
        <v>1</v>
      </c>
      <c r="K2855" s="41" t="n">
        <v>165</v>
      </c>
      <c r="L2855" s="42" t="n">
        <f aca="false">J2855*K2855</f>
        <v>165</v>
      </c>
      <c r="M2855" s="43" t="n">
        <f aca="false">H2855*73.58*(1+'Chart of Accounts'!$E$67)</f>
        <v>84.2491</v>
      </c>
    </row>
    <row r="2856" customFormat="false" ht="15" hidden="false" customHeight="false" outlineLevel="0" collapsed="false">
      <c r="B2856" s="7" t="s">
        <v>3353</v>
      </c>
      <c r="C2856" s="39" t="n">
        <v>45800</v>
      </c>
      <c r="D2856" s="7" t="s">
        <v>365</v>
      </c>
      <c r="E2856" s="7" t="s">
        <v>154</v>
      </c>
      <c r="F2856" s="7" t="s">
        <v>194</v>
      </c>
      <c r="G2856" s="7" t="s">
        <v>505</v>
      </c>
      <c r="H2856" s="6" t="n">
        <v>4.14</v>
      </c>
      <c r="I2856" s="6" t="n">
        <v>0</v>
      </c>
      <c r="J2856" s="40" t="n">
        <f aca="false">H2856-I2856</f>
        <v>4.14</v>
      </c>
      <c r="K2856" s="41" t="n">
        <v>26.5</v>
      </c>
      <c r="L2856" s="42" t="n">
        <f aca="false">J2856*K2856</f>
        <v>109.71</v>
      </c>
      <c r="M2856" s="43" t="n">
        <f aca="false">H2856*16*(1+'Chart of Accounts'!$E$67)</f>
        <v>75.8448</v>
      </c>
    </row>
    <row r="2857" customFormat="false" ht="15" hidden="false" customHeight="false" outlineLevel="0" collapsed="false">
      <c r="B2857" s="7" t="s">
        <v>3354</v>
      </c>
      <c r="C2857" s="39" t="n">
        <v>45800</v>
      </c>
      <c r="D2857" s="7" t="s">
        <v>371</v>
      </c>
      <c r="E2857" s="7" t="s">
        <v>154</v>
      </c>
      <c r="F2857" s="7" t="s">
        <v>232</v>
      </c>
      <c r="G2857" s="7" t="s">
        <v>505</v>
      </c>
      <c r="H2857" s="6" t="n">
        <v>5.12</v>
      </c>
      <c r="I2857" s="6" t="n">
        <v>0</v>
      </c>
      <c r="J2857" s="40" t="n">
        <f aca="false">H2857-I2857</f>
        <v>5.12</v>
      </c>
      <c r="K2857" s="41" t="n">
        <v>26.5</v>
      </c>
      <c r="L2857" s="42" t="n">
        <f aca="false">J2857*K2857</f>
        <v>135.68</v>
      </c>
      <c r="M2857" s="43" t="n">
        <f aca="false">H2857*16.17*(1+'Chart of Accounts'!$E$67)</f>
        <v>94.795008</v>
      </c>
    </row>
    <row r="2858" customFormat="false" ht="15" hidden="false" customHeight="false" outlineLevel="0" collapsed="false">
      <c r="B2858" s="7" t="s">
        <v>3355</v>
      </c>
      <c r="C2858" s="39" t="n">
        <v>45800</v>
      </c>
      <c r="D2858" s="7" t="s">
        <v>379</v>
      </c>
      <c r="E2858" s="7" t="s">
        <v>156</v>
      </c>
      <c r="F2858" s="7" t="s">
        <v>224</v>
      </c>
      <c r="G2858" s="7" t="s">
        <v>505</v>
      </c>
      <c r="H2858" s="6" t="n">
        <v>4.79</v>
      </c>
      <c r="I2858" s="6" t="n">
        <v>0</v>
      </c>
      <c r="J2858" s="40" t="n">
        <f aca="false">H2858-I2858</f>
        <v>4.79</v>
      </c>
      <c r="K2858" s="41" t="n">
        <v>34</v>
      </c>
      <c r="L2858" s="42" t="n">
        <f aca="false">J2858*K2858</f>
        <v>162.86</v>
      </c>
      <c r="M2858" s="43" t="n">
        <f aca="false">H2858*14.93*(1+'Chart of Accounts'!$E$67)</f>
        <v>81.8843315</v>
      </c>
    </row>
    <row r="2859" customFormat="false" ht="15" hidden="false" customHeight="false" outlineLevel="0" collapsed="false">
      <c r="B2859" s="7" t="s">
        <v>3356</v>
      </c>
      <c r="C2859" s="39" t="n">
        <v>45800</v>
      </c>
      <c r="D2859" s="7" t="s">
        <v>381</v>
      </c>
      <c r="E2859" s="7" t="s">
        <v>157</v>
      </c>
      <c r="F2859" s="7" t="s">
        <v>234</v>
      </c>
      <c r="G2859" s="7" t="s">
        <v>502</v>
      </c>
      <c r="H2859" s="6" t="n">
        <v>0.91</v>
      </c>
      <c r="I2859" s="6" t="n">
        <v>0</v>
      </c>
      <c r="J2859" s="40" t="n">
        <f aca="false">H2859-I2859</f>
        <v>0.91</v>
      </c>
      <c r="K2859" s="41" t="n">
        <v>165</v>
      </c>
      <c r="L2859" s="42" t="n">
        <f aca="false">J2859*K2859</f>
        <v>150.15</v>
      </c>
      <c r="M2859" s="43" t="n">
        <f aca="false">H2859*89.53*(1+'Chart of Accounts'!$E$67)</f>
        <v>93.2857835</v>
      </c>
    </row>
    <row r="2860" customFormat="false" ht="15" hidden="false" customHeight="false" outlineLevel="0" collapsed="false">
      <c r="B2860" s="7" t="s">
        <v>3357</v>
      </c>
      <c r="C2860" s="39" t="n">
        <v>45800</v>
      </c>
      <c r="D2860" s="7" t="s">
        <v>385</v>
      </c>
      <c r="E2860" s="7" t="s">
        <v>156</v>
      </c>
      <c r="F2860" s="7" t="s">
        <v>238</v>
      </c>
      <c r="G2860" s="7" t="s">
        <v>505</v>
      </c>
      <c r="H2860" s="6" t="n">
        <v>4.16</v>
      </c>
      <c r="I2860" s="6" t="n">
        <v>0</v>
      </c>
      <c r="J2860" s="40" t="n">
        <f aca="false">H2860-I2860</f>
        <v>4.16</v>
      </c>
      <c r="K2860" s="41" t="n">
        <v>34</v>
      </c>
      <c r="L2860" s="42" t="n">
        <f aca="false">J2860*K2860</f>
        <v>141.44</v>
      </c>
      <c r="M2860" s="43" t="n">
        <f aca="false">H2860*15.85*(1+'Chart of Accounts'!$E$67)</f>
        <v>75.49672</v>
      </c>
    </row>
    <row r="2861" customFormat="false" ht="15" hidden="false" customHeight="false" outlineLevel="0" collapsed="false">
      <c r="B2861" s="7" t="s">
        <v>3358</v>
      </c>
      <c r="C2861" s="39" t="n">
        <v>45800</v>
      </c>
      <c r="D2861" s="7" t="s">
        <v>389</v>
      </c>
      <c r="E2861" s="7" t="s">
        <v>154</v>
      </c>
      <c r="F2861" s="7" t="s">
        <v>246</v>
      </c>
      <c r="G2861" s="7" t="s">
        <v>505</v>
      </c>
      <c r="H2861" s="6" t="n">
        <v>3.77</v>
      </c>
      <c r="I2861" s="6" t="n">
        <v>0</v>
      </c>
      <c r="J2861" s="40" t="n">
        <f aca="false">H2861-I2861</f>
        <v>3.77</v>
      </c>
      <c r="K2861" s="41" t="n">
        <v>26.5</v>
      </c>
      <c r="L2861" s="42" t="n">
        <f aca="false">J2861*K2861</f>
        <v>99.905</v>
      </c>
      <c r="M2861" s="43" t="n">
        <f aca="false">H2861*16.48*(1+'Chart of Accounts'!$E$67)</f>
        <v>71.138392</v>
      </c>
    </row>
    <row r="2862" customFormat="false" ht="15" hidden="false" customHeight="false" outlineLevel="0" collapsed="false">
      <c r="B2862" s="7" t="s">
        <v>3359</v>
      </c>
      <c r="C2862" s="39" t="n">
        <v>45800</v>
      </c>
      <c r="D2862" s="7" t="s">
        <v>391</v>
      </c>
      <c r="E2862" s="7" t="s">
        <v>156</v>
      </c>
      <c r="F2862" s="7" t="s">
        <v>222</v>
      </c>
      <c r="G2862" s="7" t="s">
        <v>505</v>
      </c>
      <c r="H2862" s="6" t="n">
        <v>4.14</v>
      </c>
      <c r="I2862" s="6" t="n">
        <v>0</v>
      </c>
      <c r="J2862" s="40" t="n">
        <f aca="false">H2862-I2862</f>
        <v>4.14</v>
      </c>
      <c r="K2862" s="41" t="n">
        <v>34</v>
      </c>
      <c r="L2862" s="42" t="n">
        <f aca="false">J2862*K2862</f>
        <v>140.76</v>
      </c>
      <c r="M2862" s="43" t="n">
        <f aca="false">H2862*17.84*(1+'Chart of Accounts'!$E$67)</f>
        <v>84.566952</v>
      </c>
    </row>
    <row r="2863" customFormat="false" ht="15" hidden="false" customHeight="false" outlineLevel="0" collapsed="false">
      <c r="B2863" s="7" t="s">
        <v>3360</v>
      </c>
      <c r="C2863" s="39" t="n">
        <v>45800</v>
      </c>
      <c r="D2863" s="7" t="s">
        <v>395</v>
      </c>
      <c r="E2863" s="7" t="s">
        <v>156</v>
      </c>
      <c r="F2863" s="7" t="s">
        <v>242</v>
      </c>
      <c r="G2863" s="7" t="s">
        <v>505</v>
      </c>
      <c r="H2863" s="6" t="n">
        <v>3.89</v>
      </c>
      <c r="I2863" s="6" t="n">
        <v>0</v>
      </c>
      <c r="J2863" s="40" t="n">
        <f aca="false">H2863-I2863</f>
        <v>3.89</v>
      </c>
      <c r="K2863" s="41" t="n">
        <v>34</v>
      </c>
      <c r="L2863" s="42" t="n">
        <f aca="false">J2863*K2863</f>
        <v>132.26</v>
      </c>
      <c r="M2863" s="43" t="n">
        <f aca="false">H2863*17.99*(1+'Chart of Accounts'!$E$67)</f>
        <v>80.1283595</v>
      </c>
    </row>
    <row r="2864" customFormat="false" ht="15" hidden="false" customHeight="false" outlineLevel="0" collapsed="false">
      <c r="B2864" s="7" t="s">
        <v>3361</v>
      </c>
      <c r="C2864" s="39" t="n">
        <v>45800</v>
      </c>
      <c r="D2864" s="7" t="s">
        <v>397</v>
      </c>
      <c r="E2864" s="7" t="s">
        <v>159</v>
      </c>
      <c r="F2864" s="7" t="s">
        <v>203</v>
      </c>
      <c r="G2864" s="7" t="s">
        <v>502</v>
      </c>
      <c r="H2864" s="6" t="n">
        <v>1.06</v>
      </c>
      <c r="I2864" s="6" t="n">
        <v>0</v>
      </c>
      <c r="J2864" s="40" t="n">
        <f aca="false">H2864-I2864</f>
        <v>1.06</v>
      </c>
      <c r="K2864" s="41" t="n">
        <v>135</v>
      </c>
      <c r="L2864" s="42" t="n">
        <f aca="false">J2864*K2864</f>
        <v>143.1</v>
      </c>
      <c r="M2864" s="43" t="n">
        <f aca="false">H2864*49.43*(1+'Chart of Accounts'!$E$67)</f>
        <v>59.993191</v>
      </c>
    </row>
    <row r="2865" customFormat="false" ht="15" hidden="false" customHeight="false" outlineLevel="0" collapsed="false">
      <c r="B2865" s="7" t="s">
        <v>3362</v>
      </c>
      <c r="C2865" s="39" t="n">
        <v>45800</v>
      </c>
      <c r="D2865" s="7" t="s">
        <v>399</v>
      </c>
      <c r="E2865" s="7" t="s">
        <v>154</v>
      </c>
      <c r="F2865" s="7" t="s">
        <v>262</v>
      </c>
      <c r="G2865" s="7" t="s">
        <v>505</v>
      </c>
      <c r="H2865" s="6" t="n">
        <v>3.67</v>
      </c>
      <c r="I2865" s="6" t="n">
        <v>0</v>
      </c>
      <c r="J2865" s="40" t="n">
        <f aca="false">H2865-I2865</f>
        <v>3.67</v>
      </c>
      <c r="K2865" s="41" t="n">
        <v>26.5</v>
      </c>
      <c r="L2865" s="42" t="n">
        <f aca="false">J2865*K2865</f>
        <v>97.255</v>
      </c>
      <c r="M2865" s="43" t="n">
        <f aca="false">H2865*16.02*(1+'Chart of Accounts'!$E$67)</f>
        <v>67.318443</v>
      </c>
    </row>
    <row r="2866" customFormat="false" ht="15" hidden="false" customHeight="false" outlineLevel="0" collapsed="false">
      <c r="B2866" s="7" t="s">
        <v>3363</v>
      </c>
      <c r="C2866" s="39" t="n">
        <v>45800</v>
      </c>
      <c r="D2866" s="7" t="s">
        <v>401</v>
      </c>
      <c r="E2866" s="7" t="s">
        <v>156</v>
      </c>
      <c r="F2866" s="7" t="s">
        <v>254</v>
      </c>
      <c r="G2866" s="7" t="s">
        <v>505</v>
      </c>
      <c r="H2866" s="6" t="n">
        <v>4.26</v>
      </c>
      <c r="I2866" s="6" t="n">
        <v>0</v>
      </c>
      <c r="J2866" s="40" t="n">
        <f aca="false">H2866-I2866</f>
        <v>4.26</v>
      </c>
      <c r="K2866" s="41" t="n">
        <v>34</v>
      </c>
      <c r="L2866" s="42" t="n">
        <f aca="false">J2866*K2866</f>
        <v>144.84</v>
      </c>
      <c r="M2866" s="43" t="n">
        <f aca="false">H2866*17.1*(1+'Chart of Accounts'!$E$67)</f>
        <v>83.40867</v>
      </c>
    </row>
    <row r="2867" customFormat="false" ht="15" hidden="false" customHeight="false" outlineLevel="0" collapsed="false">
      <c r="B2867" s="7" t="s">
        <v>3364</v>
      </c>
      <c r="C2867" s="39" t="n">
        <v>45800</v>
      </c>
      <c r="D2867" s="7" t="s">
        <v>407</v>
      </c>
      <c r="E2867" s="7" t="s">
        <v>159</v>
      </c>
      <c r="F2867" s="7" t="s">
        <v>260</v>
      </c>
      <c r="G2867" s="7" t="s">
        <v>502</v>
      </c>
      <c r="H2867" s="6" t="n">
        <v>0.97</v>
      </c>
      <c r="I2867" s="6" t="n">
        <v>0</v>
      </c>
      <c r="J2867" s="40" t="n">
        <f aca="false">H2867-I2867</f>
        <v>0.97</v>
      </c>
      <c r="K2867" s="41" t="n">
        <v>135</v>
      </c>
      <c r="L2867" s="42" t="n">
        <f aca="false">J2867*K2867</f>
        <v>130.95</v>
      </c>
      <c r="M2867" s="43" t="n">
        <f aca="false">H2867*79.8*(1+'Chart of Accounts'!$E$67)</f>
        <v>88.62987</v>
      </c>
    </row>
    <row r="2868" customFormat="false" ht="15" hidden="false" customHeight="false" outlineLevel="0" collapsed="false">
      <c r="B2868" s="7" t="s">
        <v>3365</v>
      </c>
      <c r="C2868" s="39" t="n">
        <v>45800</v>
      </c>
      <c r="D2868" s="7" t="s">
        <v>409</v>
      </c>
      <c r="E2868" s="7" t="s">
        <v>154</v>
      </c>
      <c r="F2868" s="7" t="s">
        <v>214</v>
      </c>
      <c r="G2868" s="7" t="s">
        <v>505</v>
      </c>
      <c r="H2868" s="6" t="n">
        <v>3.25</v>
      </c>
      <c r="I2868" s="6" t="n">
        <v>0</v>
      </c>
      <c r="J2868" s="40" t="n">
        <f aca="false">H2868-I2868</f>
        <v>3.25</v>
      </c>
      <c r="K2868" s="41" t="n">
        <v>26.5</v>
      </c>
      <c r="L2868" s="42" t="n">
        <f aca="false">J2868*K2868</f>
        <v>86.125</v>
      </c>
      <c r="M2868" s="43" t="n">
        <f aca="false">H2868*15.67*(1+'Chart of Accounts'!$E$67)</f>
        <v>58.3119875</v>
      </c>
    </row>
    <row r="2869" customFormat="false" ht="15" hidden="false" customHeight="false" outlineLevel="0" collapsed="false">
      <c r="B2869" s="7" t="s">
        <v>3366</v>
      </c>
      <c r="C2869" s="39" t="n">
        <v>45800</v>
      </c>
      <c r="D2869" s="7" t="s">
        <v>411</v>
      </c>
      <c r="E2869" s="7" t="s">
        <v>154</v>
      </c>
      <c r="F2869" s="7" t="s">
        <v>177</v>
      </c>
      <c r="G2869" s="7" t="s">
        <v>505</v>
      </c>
      <c r="H2869" s="6" t="n">
        <v>4.61</v>
      </c>
      <c r="I2869" s="6" t="n">
        <v>0</v>
      </c>
      <c r="J2869" s="40" t="n">
        <f aca="false">H2869-I2869</f>
        <v>4.61</v>
      </c>
      <c r="K2869" s="41" t="n">
        <v>26.5</v>
      </c>
      <c r="L2869" s="42" t="n">
        <f aca="false">J2869*K2869</f>
        <v>122.165</v>
      </c>
      <c r="M2869" s="43" t="n">
        <f aca="false">H2869*14.56*(1+'Chart of Accounts'!$E$67)</f>
        <v>76.854232</v>
      </c>
    </row>
    <row r="2870" customFormat="false" ht="15" hidden="false" customHeight="false" outlineLevel="0" collapsed="false">
      <c r="B2870" s="7" t="s">
        <v>3367</v>
      </c>
      <c r="C2870" s="39" t="n">
        <v>45801</v>
      </c>
      <c r="D2870" s="7" t="s">
        <v>288</v>
      </c>
      <c r="E2870" s="7" t="s">
        <v>156</v>
      </c>
      <c r="F2870" s="7" t="s">
        <v>191</v>
      </c>
      <c r="G2870" s="7" t="s">
        <v>505</v>
      </c>
      <c r="H2870" s="6" t="n">
        <v>4.14</v>
      </c>
      <c r="I2870" s="6" t="n">
        <v>0</v>
      </c>
      <c r="J2870" s="40" t="n">
        <f aca="false">H2870-I2870</f>
        <v>4.14</v>
      </c>
      <c r="K2870" s="41" t="n">
        <v>34</v>
      </c>
      <c r="L2870" s="42" t="n">
        <f aca="false">J2870*K2870</f>
        <v>140.76</v>
      </c>
      <c r="M2870" s="43" t="n">
        <f aca="false">H2870*16.05*(1+'Chart of Accounts'!$E$67)</f>
        <v>76.081815</v>
      </c>
    </row>
    <row r="2871" customFormat="false" ht="15" hidden="false" customHeight="false" outlineLevel="0" collapsed="false">
      <c r="B2871" s="7" t="s">
        <v>3368</v>
      </c>
      <c r="C2871" s="39" t="n">
        <v>45801</v>
      </c>
      <c r="D2871" s="7" t="s">
        <v>321</v>
      </c>
      <c r="E2871" s="7" t="s">
        <v>154</v>
      </c>
      <c r="F2871" s="7" t="s">
        <v>218</v>
      </c>
      <c r="G2871" s="7" t="s">
        <v>505</v>
      </c>
      <c r="H2871" s="6" t="n">
        <v>4.35</v>
      </c>
      <c r="I2871" s="6" t="n">
        <v>0.13</v>
      </c>
      <c r="J2871" s="40" t="n">
        <f aca="false">H2871-I2871</f>
        <v>4.22</v>
      </c>
      <c r="K2871" s="41" t="n">
        <v>26.5</v>
      </c>
      <c r="L2871" s="42" t="n">
        <f aca="false">J2871*K2871</f>
        <v>111.83</v>
      </c>
      <c r="M2871" s="43" t="n">
        <f aca="false">H2871*16.19*(1+'Chart of Accounts'!$E$67)</f>
        <v>80.6383425</v>
      </c>
    </row>
    <row r="2872" customFormat="false" ht="15" hidden="false" customHeight="false" outlineLevel="0" collapsed="false">
      <c r="B2872" s="7" t="s">
        <v>3369</v>
      </c>
      <c r="C2872" s="39" t="n">
        <v>45801</v>
      </c>
      <c r="D2872" s="7" t="s">
        <v>359</v>
      </c>
      <c r="E2872" s="7" t="s">
        <v>156</v>
      </c>
      <c r="F2872" s="7" t="s">
        <v>212</v>
      </c>
      <c r="G2872" s="7" t="s">
        <v>505</v>
      </c>
      <c r="H2872" s="6" t="n">
        <v>3.67</v>
      </c>
      <c r="I2872" s="6" t="n">
        <v>0</v>
      </c>
      <c r="J2872" s="40" t="n">
        <f aca="false">H2872-I2872</f>
        <v>3.67</v>
      </c>
      <c r="K2872" s="41" t="n">
        <v>34</v>
      </c>
      <c r="L2872" s="42" t="n">
        <f aca="false">J2872*K2872</f>
        <v>124.78</v>
      </c>
      <c r="M2872" s="43" t="n">
        <f aca="false">H2872*16.71*(1+'Chart of Accounts'!$E$67)</f>
        <v>70.2179265</v>
      </c>
    </row>
    <row r="2873" customFormat="false" ht="15" hidden="false" customHeight="false" outlineLevel="0" collapsed="false">
      <c r="B2873" s="7" t="s">
        <v>3370</v>
      </c>
      <c r="C2873" s="39" t="n">
        <v>45801</v>
      </c>
      <c r="D2873" s="7" t="s">
        <v>391</v>
      </c>
      <c r="E2873" s="7" t="s">
        <v>156</v>
      </c>
      <c r="F2873" s="7" t="s">
        <v>222</v>
      </c>
      <c r="G2873" s="7" t="s">
        <v>505</v>
      </c>
      <c r="H2873" s="6" t="n">
        <v>3.61</v>
      </c>
      <c r="I2873" s="6" t="n">
        <v>0</v>
      </c>
      <c r="J2873" s="40" t="n">
        <f aca="false">H2873-I2873</f>
        <v>3.61</v>
      </c>
      <c r="K2873" s="41" t="n">
        <v>34</v>
      </c>
      <c r="L2873" s="42" t="n">
        <f aca="false">J2873*K2873</f>
        <v>122.74</v>
      </c>
      <c r="M2873" s="43" t="n">
        <f aca="false">H2873*17.84*(1+'Chart of Accounts'!$E$67)</f>
        <v>73.740748</v>
      </c>
    </row>
    <row r="2874" customFormat="false" ht="15" hidden="false" customHeight="false" outlineLevel="0" collapsed="false">
      <c r="B2874" s="7" t="s">
        <v>3371</v>
      </c>
      <c r="C2874" s="39" t="n">
        <v>45801</v>
      </c>
      <c r="D2874" s="7" t="s">
        <v>395</v>
      </c>
      <c r="E2874" s="7" t="s">
        <v>156</v>
      </c>
      <c r="F2874" s="7" t="s">
        <v>242</v>
      </c>
      <c r="G2874" s="7" t="s">
        <v>505</v>
      </c>
      <c r="H2874" s="6" t="n">
        <v>4.2</v>
      </c>
      <c r="I2874" s="6" t="n">
        <v>0</v>
      </c>
      <c r="J2874" s="40" t="n">
        <f aca="false">H2874-I2874</f>
        <v>4.2</v>
      </c>
      <c r="K2874" s="41" t="n">
        <v>34</v>
      </c>
      <c r="L2874" s="42" t="n">
        <f aca="false">J2874*K2874</f>
        <v>142.8</v>
      </c>
      <c r="M2874" s="43" t="n">
        <f aca="false">H2874*17.99*(1+'Chart of Accounts'!$E$67)</f>
        <v>86.51391</v>
      </c>
    </row>
    <row r="2875" customFormat="false" ht="15" hidden="false" customHeight="false" outlineLevel="0" collapsed="false">
      <c r="B2875" s="7" t="s">
        <v>3372</v>
      </c>
      <c r="C2875" s="39" t="n">
        <v>45801</v>
      </c>
      <c r="D2875" s="7" t="s">
        <v>401</v>
      </c>
      <c r="E2875" s="7" t="s">
        <v>156</v>
      </c>
      <c r="F2875" s="7" t="s">
        <v>254</v>
      </c>
      <c r="G2875" s="7" t="s">
        <v>505</v>
      </c>
      <c r="H2875" s="6" t="n">
        <v>4.11</v>
      </c>
      <c r="I2875" s="6" t="n">
        <v>0</v>
      </c>
      <c r="J2875" s="40" t="n">
        <f aca="false">H2875-I2875</f>
        <v>4.11</v>
      </c>
      <c r="K2875" s="41" t="n">
        <v>34</v>
      </c>
      <c r="L2875" s="42" t="n">
        <f aca="false">J2875*K2875</f>
        <v>139.74</v>
      </c>
      <c r="M2875" s="43" t="n">
        <f aca="false">H2875*17.1*(1+'Chart of Accounts'!$E$67)</f>
        <v>80.471745</v>
      </c>
    </row>
    <row r="2876" customFormat="false" ht="15" hidden="false" customHeight="false" outlineLevel="0" collapsed="false">
      <c r="B2876" s="7" t="s">
        <v>3373</v>
      </c>
      <c r="C2876" s="39" t="n">
        <v>45802</v>
      </c>
      <c r="D2876" s="7" t="s">
        <v>288</v>
      </c>
      <c r="E2876" s="7" t="s">
        <v>156</v>
      </c>
      <c r="F2876" s="7" t="s">
        <v>191</v>
      </c>
      <c r="G2876" s="7" t="s">
        <v>505</v>
      </c>
      <c r="H2876" s="6" t="n">
        <v>4.13</v>
      </c>
      <c r="I2876" s="6" t="n">
        <v>0</v>
      </c>
      <c r="J2876" s="40" t="n">
        <f aca="false">H2876-I2876</f>
        <v>4.13</v>
      </c>
      <c r="K2876" s="41" t="n">
        <v>34</v>
      </c>
      <c r="L2876" s="42" t="n">
        <f aca="false">J2876*K2876</f>
        <v>140.42</v>
      </c>
      <c r="M2876" s="43" t="n">
        <f aca="false">H2876*16.05*(1+'Chart of Accounts'!$E$67)</f>
        <v>75.8980425</v>
      </c>
    </row>
    <row r="2877" customFormat="false" ht="15" hidden="false" customHeight="false" outlineLevel="0" collapsed="false">
      <c r="B2877" s="7" t="s">
        <v>3374</v>
      </c>
      <c r="C2877" s="39" t="n">
        <v>45802</v>
      </c>
      <c r="D2877" s="7" t="s">
        <v>321</v>
      </c>
      <c r="E2877" s="7" t="s">
        <v>154</v>
      </c>
      <c r="F2877" s="7" t="s">
        <v>218</v>
      </c>
      <c r="G2877" s="7" t="s">
        <v>505</v>
      </c>
      <c r="H2877" s="6" t="n">
        <v>4.22</v>
      </c>
      <c r="I2877" s="6" t="n">
        <v>0.127</v>
      </c>
      <c r="J2877" s="40" t="n">
        <f aca="false">H2877-I2877</f>
        <v>4.093</v>
      </c>
      <c r="K2877" s="41" t="n">
        <v>26.5</v>
      </c>
      <c r="L2877" s="42" t="n">
        <f aca="false">J2877*K2877</f>
        <v>108.4645</v>
      </c>
      <c r="M2877" s="43" t="n">
        <f aca="false">H2877*16.19*(1+'Chart of Accounts'!$E$67)</f>
        <v>78.228461</v>
      </c>
    </row>
    <row r="2878" customFormat="false" ht="15" hidden="false" customHeight="false" outlineLevel="0" collapsed="false">
      <c r="B2878" s="7" t="s">
        <v>3375</v>
      </c>
      <c r="C2878" s="39" t="n">
        <v>45802</v>
      </c>
      <c r="D2878" s="7" t="s">
        <v>359</v>
      </c>
      <c r="E2878" s="7" t="s">
        <v>156</v>
      </c>
      <c r="F2878" s="7" t="s">
        <v>212</v>
      </c>
      <c r="G2878" s="7" t="s">
        <v>505</v>
      </c>
      <c r="H2878" s="6" t="n">
        <v>4.29</v>
      </c>
      <c r="I2878" s="6" t="n">
        <v>0</v>
      </c>
      <c r="J2878" s="40" t="n">
        <f aca="false">H2878-I2878</f>
        <v>4.29</v>
      </c>
      <c r="K2878" s="41" t="n">
        <v>34</v>
      </c>
      <c r="L2878" s="42" t="n">
        <f aca="false">J2878*K2878</f>
        <v>145.86</v>
      </c>
      <c r="M2878" s="43" t="n">
        <f aca="false">H2878*16.71*(1+'Chart of Accounts'!$E$67)</f>
        <v>82.0803555</v>
      </c>
    </row>
    <row r="2879" customFormat="false" ht="15" hidden="false" customHeight="false" outlineLevel="0" collapsed="false">
      <c r="B2879" s="7" t="s">
        <v>3376</v>
      </c>
      <c r="C2879" s="39" t="n">
        <v>45802</v>
      </c>
      <c r="D2879" s="7" t="s">
        <v>391</v>
      </c>
      <c r="E2879" s="7" t="s">
        <v>156</v>
      </c>
      <c r="F2879" s="7" t="s">
        <v>222</v>
      </c>
      <c r="G2879" s="7" t="s">
        <v>505</v>
      </c>
      <c r="H2879" s="6" t="n">
        <v>4.24</v>
      </c>
      <c r="I2879" s="6" t="n">
        <v>0</v>
      </c>
      <c r="J2879" s="40" t="n">
        <f aca="false">H2879-I2879</f>
        <v>4.24</v>
      </c>
      <c r="K2879" s="41" t="n">
        <v>34</v>
      </c>
      <c r="L2879" s="42" t="n">
        <f aca="false">J2879*K2879</f>
        <v>144.16</v>
      </c>
      <c r="M2879" s="43" t="n">
        <f aca="false">H2879*17.84*(1+'Chart of Accounts'!$E$67)</f>
        <v>86.609632</v>
      </c>
    </row>
    <row r="2880" customFormat="false" ht="15" hidden="false" customHeight="false" outlineLevel="0" collapsed="false">
      <c r="B2880" s="7" t="s">
        <v>3377</v>
      </c>
      <c r="C2880" s="39" t="n">
        <v>45802</v>
      </c>
      <c r="D2880" s="7" t="s">
        <v>395</v>
      </c>
      <c r="E2880" s="7" t="s">
        <v>156</v>
      </c>
      <c r="F2880" s="7" t="s">
        <v>242</v>
      </c>
      <c r="G2880" s="7" t="s">
        <v>505</v>
      </c>
      <c r="H2880" s="6" t="n">
        <v>4.12</v>
      </c>
      <c r="I2880" s="6" t="n">
        <v>0</v>
      </c>
      <c r="J2880" s="40" t="n">
        <f aca="false">H2880-I2880</f>
        <v>4.12</v>
      </c>
      <c r="K2880" s="41" t="n">
        <v>34</v>
      </c>
      <c r="L2880" s="42" t="n">
        <f aca="false">J2880*K2880</f>
        <v>140.08</v>
      </c>
      <c r="M2880" s="43" t="n">
        <f aca="false">H2880*17.99*(1+'Chart of Accounts'!$E$67)</f>
        <v>84.866026</v>
      </c>
    </row>
    <row r="2881" customFormat="false" ht="15" hidden="false" customHeight="false" outlineLevel="0" collapsed="false">
      <c r="B2881" s="7" t="s">
        <v>3378</v>
      </c>
      <c r="C2881" s="39" t="n">
        <v>45802</v>
      </c>
      <c r="D2881" s="7" t="s">
        <v>401</v>
      </c>
      <c r="E2881" s="7" t="s">
        <v>156</v>
      </c>
      <c r="F2881" s="7" t="s">
        <v>254</v>
      </c>
      <c r="G2881" s="7" t="s">
        <v>505</v>
      </c>
      <c r="H2881" s="6" t="n">
        <v>4.35</v>
      </c>
      <c r="I2881" s="6" t="n">
        <v>0</v>
      </c>
      <c r="J2881" s="40" t="n">
        <f aca="false">H2881-I2881</f>
        <v>4.35</v>
      </c>
      <c r="K2881" s="41" t="n">
        <v>34</v>
      </c>
      <c r="L2881" s="42" t="n">
        <f aca="false">J2881*K2881</f>
        <v>147.9</v>
      </c>
      <c r="M2881" s="43" t="n">
        <f aca="false">H2881*17.1*(1+'Chart of Accounts'!$E$67)</f>
        <v>85.170825</v>
      </c>
    </row>
    <row r="2882" customFormat="false" ht="15" hidden="false" customHeight="false" outlineLevel="0" collapsed="false">
      <c r="B2882" s="7" t="s">
        <v>3379</v>
      </c>
      <c r="C2882" s="39" t="n">
        <v>45803</v>
      </c>
      <c r="D2882" s="7" t="s">
        <v>280</v>
      </c>
      <c r="E2882" s="7" t="s">
        <v>157</v>
      </c>
      <c r="F2882" s="7" t="s">
        <v>187</v>
      </c>
      <c r="G2882" s="7" t="s">
        <v>502</v>
      </c>
      <c r="H2882" s="6" t="n">
        <v>0.95</v>
      </c>
      <c r="I2882" s="6" t="n">
        <v>0</v>
      </c>
      <c r="J2882" s="40" t="n">
        <f aca="false">H2882-I2882</f>
        <v>0.95</v>
      </c>
      <c r="K2882" s="41" t="n">
        <v>165</v>
      </c>
      <c r="L2882" s="42" t="n">
        <f aca="false">J2882*K2882</f>
        <v>156.75</v>
      </c>
      <c r="M2882" s="43" t="n">
        <f aca="false">H2882*66.48*(1+'Chart of Accounts'!$E$67)</f>
        <v>72.31362</v>
      </c>
    </row>
    <row r="2883" customFormat="false" ht="15" hidden="false" customHeight="false" outlineLevel="0" collapsed="false">
      <c r="B2883" s="7" t="s">
        <v>3380</v>
      </c>
      <c r="C2883" s="39" t="n">
        <v>45803</v>
      </c>
      <c r="D2883" s="7" t="s">
        <v>288</v>
      </c>
      <c r="E2883" s="7" t="s">
        <v>156</v>
      </c>
      <c r="F2883" s="7" t="s">
        <v>191</v>
      </c>
      <c r="G2883" s="7" t="s">
        <v>505</v>
      </c>
      <c r="H2883" s="6" t="n">
        <v>4.32</v>
      </c>
      <c r="I2883" s="6" t="n">
        <v>0</v>
      </c>
      <c r="J2883" s="40" t="n">
        <f aca="false">H2883-I2883</f>
        <v>4.32</v>
      </c>
      <c r="K2883" s="41" t="n">
        <v>34</v>
      </c>
      <c r="L2883" s="42" t="n">
        <f aca="false">J2883*K2883</f>
        <v>146.88</v>
      </c>
      <c r="M2883" s="43" t="n">
        <f aca="false">H2883*16.05*(1+'Chart of Accounts'!$E$67)</f>
        <v>79.38972</v>
      </c>
    </row>
    <row r="2884" customFormat="false" ht="15" hidden="false" customHeight="false" outlineLevel="0" collapsed="false">
      <c r="B2884" s="7" t="s">
        <v>3381</v>
      </c>
      <c r="C2884" s="39" t="n">
        <v>45803</v>
      </c>
      <c r="D2884" s="7" t="s">
        <v>291</v>
      </c>
      <c r="E2884" s="7" t="s">
        <v>154</v>
      </c>
      <c r="F2884" s="7" t="s">
        <v>194</v>
      </c>
      <c r="G2884" s="7" t="s">
        <v>505</v>
      </c>
      <c r="H2884" s="6" t="n">
        <v>4.2</v>
      </c>
      <c r="I2884" s="6" t="n">
        <v>0.126</v>
      </c>
      <c r="J2884" s="40" t="n">
        <f aca="false">H2884-I2884</f>
        <v>4.074</v>
      </c>
      <c r="K2884" s="41" t="n">
        <v>26.5</v>
      </c>
      <c r="L2884" s="42" t="n">
        <f aca="false">J2884*K2884</f>
        <v>107.961</v>
      </c>
      <c r="M2884" s="43" t="n">
        <f aca="false">H2884*16*(1+'Chart of Accounts'!$E$67)</f>
        <v>76.944</v>
      </c>
    </row>
    <row r="2885" customFormat="false" ht="15" hidden="false" customHeight="false" outlineLevel="0" collapsed="false">
      <c r="B2885" s="7" t="s">
        <v>3382</v>
      </c>
      <c r="C2885" s="39" t="n">
        <v>45803</v>
      </c>
      <c r="D2885" s="7" t="s">
        <v>297</v>
      </c>
      <c r="E2885" s="7" t="s">
        <v>156</v>
      </c>
      <c r="F2885" s="7" t="s">
        <v>201</v>
      </c>
      <c r="G2885" s="7" t="s">
        <v>505</v>
      </c>
      <c r="H2885" s="6" t="n">
        <v>2.72</v>
      </c>
      <c r="I2885" s="6" t="n">
        <v>0</v>
      </c>
      <c r="J2885" s="40" t="n">
        <f aca="false">H2885-I2885</f>
        <v>2.72</v>
      </c>
      <c r="K2885" s="41" t="n">
        <v>34</v>
      </c>
      <c r="L2885" s="42" t="n">
        <f aca="false">J2885*K2885</f>
        <v>92.48</v>
      </c>
      <c r="M2885" s="43" t="n">
        <f aca="false">H2885*15.19*(1+'Chart of Accounts'!$E$67)</f>
        <v>47.307736</v>
      </c>
    </row>
    <row r="2886" customFormat="false" ht="15" hidden="false" customHeight="false" outlineLevel="0" collapsed="false">
      <c r="B2886" s="7" t="s">
        <v>3383</v>
      </c>
      <c r="C2886" s="39" t="n">
        <v>45803</v>
      </c>
      <c r="D2886" s="7" t="s">
        <v>305</v>
      </c>
      <c r="E2886" s="7" t="s">
        <v>154</v>
      </c>
      <c r="F2886" s="7" t="s">
        <v>205</v>
      </c>
      <c r="G2886" s="7" t="s">
        <v>505</v>
      </c>
      <c r="H2886" s="6" t="n">
        <v>4.02</v>
      </c>
      <c r="I2886" s="6" t="n">
        <v>0</v>
      </c>
      <c r="J2886" s="40" t="n">
        <f aca="false">H2886-I2886</f>
        <v>4.02</v>
      </c>
      <c r="K2886" s="41" t="n">
        <v>26.5</v>
      </c>
      <c r="L2886" s="42" t="n">
        <f aca="false">J2886*K2886</f>
        <v>106.53</v>
      </c>
      <c r="M2886" s="43" t="n">
        <f aca="false">H2886*16.36*(1+'Chart of Accounts'!$E$67)</f>
        <v>75.303444</v>
      </c>
    </row>
    <row r="2887" customFormat="false" ht="15" hidden="false" customHeight="false" outlineLevel="0" collapsed="false">
      <c r="B2887" s="7" t="s">
        <v>3384</v>
      </c>
      <c r="C2887" s="39" t="n">
        <v>45803</v>
      </c>
      <c r="D2887" s="7" t="s">
        <v>307</v>
      </c>
      <c r="E2887" s="7" t="s">
        <v>157</v>
      </c>
      <c r="F2887" s="7" t="s">
        <v>264</v>
      </c>
      <c r="G2887" s="7" t="s">
        <v>502</v>
      </c>
      <c r="H2887" s="6" t="n">
        <v>0.93</v>
      </c>
      <c r="I2887" s="6" t="n">
        <v>0</v>
      </c>
      <c r="J2887" s="40" t="n">
        <f aca="false">H2887-I2887</f>
        <v>0.93</v>
      </c>
      <c r="K2887" s="41" t="n">
        <v>165</v>
      </c>
      <c r="L2887" s="42" t="n">
        <f aca="false">J2887*K2887</f>
        <v>153.45</v>
      </c>
      <c r="M2887" s="43" t="n">
        <f aca="false">H2887*55.55*(1+'Chart of Accounts'!$E$67)</f>
        <v>59.1524175</v>
      </c>
    </row>
    <row r="2888" customFormat="false" ht="15" hidden="false" customHeight="false" outlineLevel="0" collapsed="false">
      <c r="B2888" s="7" t="s">
        <v>3385</v>
      </c>
      <c r="C2888" s="39" t="n">
        <v>45803</v>
      </c>
      <c r="D2888" s="7" t="s">
        <v>309</v>
      </c>
      <c r="E2888" s="7" t="s">
        <v>159</v>
      </c>
      <c r="F2888" s="7" t="s">
        <v>252</v>
      </c>
      <c r="G2888" s="7" t="s">
        <v>502</v>
      </c>
      <c r="H2888" s="6" t="n">
        <v>1.01</v>
      </c>
      <c r="I2888" s="6" t="n">
        <v>0</v>
      </c>
      <c r="J2888" s="40" t="n">
        <f aca="false">H2888-I2888</f>
        <v>1.01</v>
      </c>
      <c r="K2888" s="41" t="n">
        <v>135</v>
      </c>
      <c r="L2888" s="42" t="n">
        <f aca="false">J2888*K2888</f>
        <v>136.35</v>
      </c>
      <c r="M2888" s="43" t="n">
        <f aca="false">H2888*57.54*(1+'Chart of Accounts'!$E$67)</f>
        <v>66.542133</v>
      </c>
    </row>
    <row r="2889" customFormat="false" ht="15" hidden="false" customHeight="false" outlineLevel="0" collapsed="false">
      <c r="B2889" s="7" t="s">
        <v>3386</v>
      </c>
      <c r="C2889" s="39" t="n">
        <v>45803</v>
      </c>
      <c r="D2889" s="7" t="s">
        <v>311</v>
      </c>
      <c r="E2889" s="7" t="s">
        <v>154</v>
      </c>
      <c r="F2889" s="7" t="s">
        <v>196</v>
      </c>
      <c r="G2889" s="7" t="s">
        <v>505</v>
      </c>
      <c r="H2889" s="6" t="n">
        <v>2.94</v>
      </c>
      <c r="I2889" s="6" t="n">
        <v>0</v>
      </c>
      <c r="J2889" s="40" t="n">
        <f aca="false">H2889-I2889</f>
        <v>2.94</v>
      </c>
      <c r="K2889" s="41" t="n">
        <v>26.5</v>
      </c>
      <c r="L2889" s="42" t="n">
        <f aca="false">J2889*K2889</f>
        <v>77.91</v>
      </c>
      <c r="M2889" s="43" t="n">
        <f aca="false">H2889*15.05*(1+'Chart of Accounts'!$E$67)</f>
        <v>50.662815</v>
      </c>
    </row>
    <row r="2890" customFormat="false" ht="15" hidden="false" customHeight="false" outlineLevel="0" collapsed="false">
      <c r="B2890" s="7" t="s">
        <v>3387</v>
      </c>
      <c r="C2890" s="39" t="n">
        <v>45803</v>
      </c>
      <c r="D2890" s="7" t="s">
        <v>313</v>
      </c>
      <c r="E2890" s="7" t="s">
        <v>156</v>
      </c>
      <c r="F2890" s="7" t="s">
        <v>184</v>
      </c>
      <c r="G2890" s="7" t="s">
        <v>505</v>
      </c>
      <c r="H2890" s="6" t="n">
        <v>3.94</v>
      </c>
      <c r="I2890" s="6" t="n">
        <v>0</v>
      </c>
      <c r="J2890" s="40" t="n">
        <f aca="false">H2890-I2890</f>
        <v>3.94</v>
      </c>
      <c r="K2890" s="41" t="n">
        <v>34</v>
      </c>
      <c r="L2890" s="42" t="n">
        <f aca="false">J2890*K2890</f>
        <v>133.96</v>
      </c>
      <c r="M2890" s="43" t="n">
        <f aca="false">H2890*17.34*(1+'Chart of Accounts'!$E$67)</f>
        <v>78.225942</v>
      </c>
    </row>
    <row r="2891" customFormat="false" ht="15" hidden="false" customHeight="false" outlineLevel="0" collapsed="false">
      <c r="B2891" s="7" t="s">
        <v>3388</v>
      </c>
      <c r="C2891" s="39" t="n">
        <v>45803</v>
      </c>
      <c r="D2891" s="7" t="s">
        <v>317</v>
      </c>
      <c r="E2891" s="7" t="s">
        <v>156</v>
      </c>
      <c r="F2891" s="7" t="s">
        <v>207</v>
      </c>
      <c r="G2891" s="7" t="s">
        <v>505</v>
      </c>
      <c r="H2891" s="6" t="n">
        <v>3.14</v>
      </c>
      <c r="I2891" s="6" t="n">
        <v>0</v>
      </c>
      <c r="J2891" s="40" t="n">
        <f aca="false">H2891-I2891</f>
        <v>3.14</v>
      </c>
      <c r="K2891" s="41" t="n">
        <v>34</v>
      </c>
      <c r="L2891" s="42" t="n">
        <f aca="false">J2891*K2891</f>
        <v>106.76</v>
      </c>
      <c r="M2891" s="43" t="n">
        <f aca="false">H2891*16.65*(1+'Chart of Accounts'!$E$67)</f>
        <v>59.861745</v>
      </c>
    </row>
    <row r="2892" customFormat="false" ht="15" hidden="false" customHeight="false" outlineLevel="0" collapsed="false">
      <c r="B2892" s="7" t="s">
        <v>3389</v>
      </c>
      <c r="C2892" s="39" t="n">
        <v>45803</v>
      </c>
      <c r="D2892" s="7" t="s">
        <v>321</v>
      </c>
      <c r="E2892" s="7" t="s">
        <v>154</v>
      </c>
      <c r="F2892" s="7" t="s">
        <v>218</v>
      </c>
      <c r="G2892" s="7" t="s">
        <v>505</v>
      </c>
      <c r="H2892" s="6" t="n">
        <v>3.73</v>
      </c>
      <c r="I2892" s="6" t="n">
        <v>0</v>
      </c>
      <c r="J2892" s="40" t="n">
        <f aca="false">H2892-I2892</f>
        <v>3.73</v>
      </c>
      <c r="K2892" s="41" t="n">
        <v>26.5</v>
      </c>
      <c r="L2892" s="42" t="n">
        <f aca="false">J2892*K2892</f>
        <v>98.845</v>
      </c>
      <c r="M2892" s="43" t="n">
        <f aca="false">H2892*16.19*(1+'Chart of Accounts'!$E$67)</f>
        <v>69.1450615</v>
      </c>
    </row>
    <row r="2893" customFormat="false" ht="15" hidden="false" customHeight="false" outlineLevel="0" collapsed="false">
      <c r="B2893" s="7" t="s">
        <v>3390</v>
      </c>
      <c r="C2893" s="39" t="n">
        <v>45803</v>
      </c>
      <c r="D2893" s="7" t="s">
        <v>325</v>
      </c>
      <c r="E2893" s="7" t="s">
        <v>154</v>
      </c>
      <c r="F2893" s="7" t="s">
        <v>212</v>
      </c>
      <c r="G2893" s="7" t="s">
        <v>505</v>
      </c>
      <c r="H2893" s="6" t="n">
        <v>2.78</v>
      </c>
      <c r="I2893" s="6" t="n">
        <v>0</v>
      </c>
      <c r="J2893" s="40" t="n">
        <f aca="false">H2893-I2893</f>
        <v>2.78</v>
      </c>
      <c r="K2893" s="41" t="n">
        <v>26.5</v>
      </c>
      <c r="L2893" s="42" t="n">
        <f aca="false">J2893*K2893</f>
        <v>73.67</v>
      </c>
      <c r="M2893" s="43" t="n">
        <f aca="false">H2893*16.71*(1+'Chart of Accounts'!$E$67)</f>
        <v>53.189601</v>
      </c>
    </row>
    <row r="2894" customFormat="false" ht="15" hidden="false" customHeight="false" outlineLevel="0" collapsed="false">
      <c r="B2894" s="7" t="s">
        <v>3391</v>
      </c>
      <c r="C2894" s="39" t="n">
        <v>45803</v>
      </c>
      <c r="D2894" s="7" t="s">
        <v>329</v>
      </c>
      <c r="E2894" s="7" t="s">
        <v>156</v>
      </c>
      <c r="F2894" s="7" t="s">
        <v>220</v>
      </c>
      <c r="G2894" s="7" t="s">
        <v>505</v>
      </c>
      <c r="H2894" s="6" t="n">
        <v>3.91</v>
      </c>
      <c r="I2894" s="6" t="n">
        <v>0</v>
      </c>
      <c r="J2894" s="40" t="n">
        <f aca="false">H2894-I2894</f>
        <v>3.91</v>
      </c>
      <c r="K2894" s="41" t="n">
        <v>34</v>
      </c>
      <c r="L2894" s="42" t="n">
        <f aca="false">J2894*K2894</f>
        <v>132.94</v>
      </c>
      <c r="M2894" s="43" t="n">
        <f aca="false">H2894*16.43*(1+'Chart of Accounts'!$E$67)</f>
        <v>73.5562885</v>
      </c>
    </row>
    <row r="2895" customFormat="false" ht="15" hidden="false" customHeight="false" outlineLevel="0" collapsed="false">
      <c r="B2895" s="7" t="s">
        <v>3392</v>
      </c>
      <c r="C2895" s="39" t="n">
        <v>45803</v>
      </c>
      <c r="D2895" s="7" t="s">
        <v>331</v>
      </c>
      <c r="E2895" s="7" t="s">
        <v>156</v>
      </c>
      <c r="F2895" s="7" t="s">
        <v>224</v>
      </c>
      <c r="G2895" s="7" t="s">
        <v>505</v>
      </c>
      <c r="H2895" s="6" t="n">
        <v>4.27</v>
      </c>
      <c r="I2895" s="6" t="n">
        <v>0</v>
      </c>
      <c r="J2895" s="40" t="n">
        <f aca="false">H2895-I2895</f>
        <v>4.27</v>
      </c>
      <c r="K2895" s="41" t="n">
        <v>34</v>
      </c>
      <c r="L2895" s="42" t="n">
        <f aca="false">J2895*K2895</f>
        <v>145.18</v>
      </c>
      <c r="M2895" s="43" t="n">
        <f aca="false">H2895*14.93*(1+'Chart of Accounts'!$E$67)</f>
        <v>72.9950095</v>
      </c>
    </row>
    <row r="2896" customFormat="false" ht="15" hidden="false" customHeight="false" outlineLevel="0" collapsed="false">
      <c r="B2896" s="7" t="s">
        <v>3393</v>
      </c>
      <c r="C2896" s="39" t="n">
        <v>45803</v>
      </c>
      <c r="D2896" s="7" t="s">
        <v>335</v>
      </c>
      <c r="E2896" s="7" t="s">
        <v>154</v>
      </c>
      <c r="F2896" s="7" t="s">
        <v>177</v>
      </c>
      <c r="G2896" s="7" t="s">
        <v>505</v>
      </c>
      <c r="H2896" s="6" t="n">
        <v>3.67</v>
      </c>
      <c r="I2896" s="6" t="n">
        <v>0.11</v>
      </c>
      <c r="J2896" s="40" t="n">
        <f aca="false">H2896-I2896</f>
        <v>3.56</v>
      </c>
      <c r="K2896" s="41" t="n">
        <v>26.5</v>
      </c>
      <c r="L2896" s="42" t="n">
        <f aca="false">J2896*K2896</f>
        <v>94.34</v>
      </c>
      <c r="M2896" s="43" t="n">
        <f aca="false">H2896*14.56*(1+'Chart of Accounts'!$E$67)</f>
        <v>61.183304</v>
      </c>
    </row>
    <row r="2897" customFormat="false" ht="15" hidden="false" customHeight="false" outlineLevel="0" collapsed="false">
      <c r="B2897" s="7" t="s">
        <v>3394</v>
      </c>
      <c r="C2897" s="39" t="n">
        <v>45803</v>
      </c>
      <c r="D2897" s="7" t="s">
        <v>337</v>
      </c>
      <c r="E2897" s="7" t="s">
        <v>154</v>
      </c>
      <c r="F2897" s="7" t="s">
        <v>232</v>
      </c>
      <c r="G2897" s="7" t="s">
        <v>505</v>
      </c>
      <c r="H2897" s="6" t="n">
        <v>3.16</v>
      </c>
      <c r="I2897" s="6" t="n">
        <v>0</v>
      </c>
      <c r="J2897" s="40" t="n">
        <f aca="false">H2897-I2897</f>
        <v>3.16</v>
      </c>
      <c r="K2897" s="41" t="n">
        <v>26.5</v>
      </c>
      <c r="L2897" s="42" t="n">
        <f aca="false">J2897*K2897</f>
        <v>83.74</v>
      </c>
      <c r="M2897" s="43" t="n">
        <f aca="false">H2897*16.17*(1+'Chart of Accounts'!$E$67)</f>
        <v>58.506294</v>
      </c>
    </row>
    <row r="2898" customFormat="false" ht="15" hidden="false" customHeight="false" outlineLevel="0" collapsed="false">
      <c r="B2898" s="7" t="s">
        <v>3395</v>
      </c>
      <c r="C2898" s="39" t="n">
        <v>45803</v>
      </c>
      <c r="D2898" s="7" t="s">
        <v>339</v>
      </c>
      <c r="E2898" s="7" t="s">
        <v>154</v>
      </c>
      <c r="F2898" s="7" t="s">
        <v>242</v>
      </c>
      <c r="G2898" s="7" t="s">
        <v>505</v>
      </c>
      <c r="H2898" s="6" t="n">
        <v>3.36</v>
      </c>
      <c r="I2898" s="6" t="n">
        <v>0</v>
      </c>
      <c r="J2898" s="40" t="n">
        <f aca="false">H2898-I2898</f>
        <v>3.36</v>
      </c>
      <c r="K2898" s="41" t="n">
        <v>26.5</v>
      </c>
      <c r="L2898" s="42" t="n">
        <f aca="false">J2898*K2898</f>
        <v>89.04</v>
      </c>
      <c r="M2898" s="43" t="n">
        <f aca="false">H2898*17.99*(1+'Chart of Accounts'!$E$67)</f>
        <v>69.211128</v>
      </c>
    </row>
    <row r="2899" customFormat="false" ht="15" hidden="false" customHeight="false" outlineLevel="0" collapsed="false">
      <c r="B2899" s="7" t="s">
        <v>3396</v>
      </c>
      <c r="C2899" s="39" t="n">
        <v>45803</v>
      </c>
      <c r="D2899" s="7" t="s">
        <v>341</v>
      </c>
      <c r="E2899" s="7" t="s">
        <v>156</v>
      </c>
      <c r="F2899" s="7" t="s">
        <v>222</v>
      </c>
      <c r="G2899" s="7" t="s">
        <v>505</v>
      </c>
      <c r="H2899" s="6" t="n">
        <v>2.72</v>
      </c>
      <c r="I2899" s="6" t="n">
        <v>0</v>
      </c>
      <c r="J2899" s="40" t="n">
        <f aca="false">H2899-I2899</f>
        <v>2.72</v>
      </c>
      <c r="K2899" s="41" t="n">
        <v>34</v>
      </c>
      <c r="L2899" s="42" t="n">
        <f aca="false">J2899*K2899</f>
        <v>92.48</v>
      </c>
      <c r="M2899" s="43" t="n">
        <f aca="false">H2899*17.84*(1+'Chart of Accounts'!$E$67)</f>
        <v>55.560896</v>
      </c>
    </row>
    <row r="2900" customFormat="false" ht="15" hidden="false" customHeight="false" outlineLevel="0" collapsed="false">
      <c r="B2900" s="7" t="s">
        <v>3397</v>
      </c>
      <c r="C2900" s="39" t="n">
        <v>45803</v>
      </c>
      <c r="D2900" s="7" t="s">
        <v>343</v>
      </c>
      <c r="E2900" s="7" t="s">
        <v>154</v>
      </c>
      <c r="F2900" s="7" t="s">
        <v>201</v>
      </c>
      <c r="G2900" s="7" t="s">
        <v>505</v>
      </c>
      <c r="H2900" s="6" t="n">
        <v>4.11</v>
      </c>
      <c r="I2900" s="6" t="n">
        <v>0</v>
      </c>
      <c r="J2900" s="40" t="n">
        <f aca="false">H2900-I2900</f>
        <v>4.11</v>
      </c>
      <c r="K2900" s="41" t="n">
        <v>26.5</v>
      </c>
      <c r="L2900" s="42" t="n">
        <f aca="false">J2900*K2900</f>
        <v>108.915</v>
      </c>
      <c r="M2900" s="43" t="n">
        <f aca="false">H2900*15.19*(1+'Chart of Accounts'!$E$67)</f>
        <v>71.4833805</v>
      </c>
    </row>
    <row r="2901" customFormat="false" ht="15" hidden="false" customHeight="false" outlineLevel="0" collapsed="false">
      <c r="B2901" s="7" t="s">
        <v>3398</v>
      </c>
      <c r="C2901" s="39" t="n">
        <v>45803</v>
      </c>
      <c r="D2901" s="7" t="s">
        <v>351</v>
      </c>
      <c r="E2901" s="7" t="s">
        <v>154</v>
      </c>
      <c r="F2901" s="7" t="s">
        <v>201</v>
      </c>
      <c r="G2901" s="7" t="s">
        <v>505</v>
      </c>
      <c r="H2901" s="6" t="n">
        <v>3.24</v>
      </c>
      <c r="I2901" s="6" t="n">
        <v>0</v>
      </c>
      <c r="J2901" s="40" t="n">
        <f aca="false">H2901-I2901</f>
        <v>3.24</v>
      </c>
      <c r="K2901" s="41" t="n">
        <v>26.5</v>
      </c>
      <c r="L2901" s="42" t="n">
        <f aca="false">J2901*K2901</f>
        <v>85.86</v>
      </c>
      <c r="M2901" s="43" t="n">
        <f aca="false">H2901*15.19*(1+'Chart of Accounts'!$E$67)</f>
        <v>56.351862</v>
      </c>
    </row>
    <row r="2902" customFormat="false" ht="15" hidden="false" customHeight="false" outlineLevel="0" collapsed="false">
      <c r="B2902" s="7" t="s">
        <v>3399</v>
      </c>
      <c r="C2902" s="39" t="n">
        <v>45803</v>
      </c>
      <c r="D2902" s="7" t="s">
        <v>353</v>
      </c>
      <c r="E2902" s="7" t="s">
        <v>154</v>
      </c>
      <c r="F2902" s="7" t="s">
        <v>254</v>
      </c>
      <c r="G2902" s="7" t="s">
        <v>505</v>
      </c>
      <c r="H2902" s="6" t="n">
        <v>3.16</v>
      </c>
      <c r="I2902" s="6" t="n">
        <v>0</v>
      </c>
      <c r="J2902" s="40" t="n">
        <f aca="false">H2902-I2902</f>
        <v>3.16</v>
      </c>
      <c r="K2902" s="41" t="n">
        <v>26.5</v>
      </c>
      <c r="L2902" s="42" t="n">
        <f aca="false">J2902*K2902</f>
        <v>83.74</v>
      </c>
      <c r="M2902" s="43" t="n">
        <f aca="false">H2902*17.1*(1+'Chart of Accounts'!$E$67)</f>
        <v>61.87122</v>
      </c>
    </row>
    <row r="2903" customFormat="false" ht="15" hidden="false" customHeight="false" outlineLevel="0" collapsed="false">
      <c r="B2903" s="7" t="s">
        <v>3400</v>
      </c>
      <c r="C2903" s="39" t="n">
        <v>45803</v>
      </c>
      <c r="D2903" s="7" t="s">
        <v>355</v>
      </c>
      <c r="E2903" s="7" t="s">
        <v>154</v>
      </c>
      <c r="F2903" s="7" t="s">
        <v>201</v>
      </c>
      <c r="G2903" s="7" t="s">
        <v>505</v>
      </c>
      <c r="H2903" s="6" t="n">
        <v>3.51</v>
      </c>
      <c r="I2903" s="6" t="n">
        <v>0</v>
      </c>
      <c r="J2903" s="40" t="n">
        <f aca="false">H2903-I2903</f>
        <v>3.51</v>
      </c>
      <c r="K2903" s="41" t="n">
        <v>26.5</v>
      </c>
      <c r="L2903" s="42" t="n">
        <f aca="false">J2903*K2903</f>
        <v>93.015</v>
      </c>
      <c r="M2903" s="43" t="n">
        <f aca="false">H2903*15.19*(1+'Chart of Accounts'!$E$67)</f>
        <v>61.0478505</v>
      </c>
    </row>
    <row r="2904" customFormat="false" ht="15" hidden="false" customHeight="false" outlineLevel="0" collapsed="false">
      <c r="B2904" s="7" t="s">
        <v>3401</v>
      </c>
      <c r="C2904" s="39" t="n">
        <v>45803</v>
      </c>
      <c r="D2904" s="7" t="s">
        <v>357</v>
      </c>
      <c r="E2904" s="7" t="s">
        <v>154</v>
      </c>
      <c r="F2904" s="7" t="s">
        <v>207</v>
      </c>
      <c r="G2904" s="7" t="s">
        <v>505</v>
      </c>
      <c r="H2904" s="6" t="n">
        <v>3.62</v>
      </c>
      <c r="I2904" s="6" t="n">
        <v>0</v>
      </c>
      <c r="J2904" s="40" t="n">
        <f aca="false">H2904-I2904</f>
        <v>3.62</v>
      </c>
      <c r="K2904" s="41" t="n">
        <v>26.5</v>
      </c>
      <c r="L2904" s="42" t="n">
        <f aca="false">J2904*K2904</f>
        <v>95.93</v>
      </c>
      <c r="M2904" s="43" t="n">
        <f aca="false">H2904*16.65*(1+'Chart of Accounts'!$E$67)</f>
        <v>69.012585</v>
      </c>
    </row>
    <row r="2905" customFormat="false" ht="15" hidden="false" customHeight="false" outlineLevel="0" collapsed="false">
      <c r="B2905" s="7" t="s">
        <v>3402</v>
      </c>
      <c r="C2905" s="39" t="n">
        <v>45803</v>
      </c>
      <c r="D2905" s="7" t="s">
        <v>359</v>
      </c>
      <c r="E2905" s="7" t="s">
        <v>156</v>
      </c>
      <c r="F2905" s="7" t="s">
        <v>212</v>
      </c>
      <c r="G2905" s="7" t="s">
        <v>505</v>
      </c>
      <c r="H2905" s="6" t="n">
        <v>4.06</v>
      </c>
      <c r="I2905" s="6" t="n">
        <v>0</v>
      </c>
      <c r="J2905" s="40" t="n">
        <f aca="false">H2905-I2905</f>
        <v>4.06</v>
      </c>
      <c r="K2905" s="41" t="n">
        <v>34</v>
      </c>
      <c r="L2905" s="42" t="n">
        <f aca="false">J2905*K2905</f>
        <v>138.04</v>
      </c>
      <c r="M2905" s="43" t="n">
        <f aca="false">H2905*16.71*(1+'Chart of Accounts'!$E$67)</f>
        <v>77.679777</v>
      </c>
    </row>
    <row r="2906" customFormat="false" ht="15" hidden="false" customHeight="false" outlineLevel="0" collapsed="false">
      <c r="B2906" s="7" t="s">
        <v>3403</v>
      </c>
      <c r="C2906" s="39" t="n">
        <v>45803</v>
      </c>
      <c r="D2906" s="7" t="s">
        <v>363</v>
      </c>
      <c r="E2906" s="7" t="s">
        <v>156</v>
      </c>
      <c r="F2906" s="7" t="s">
        <v>246</v>
      </c>
      <c r="G2906" s="7" t="s">
        <v>505</v>
      </c>
      <c r="H2906" s="6" t="n">
        <v>4.08</v>
      </c>
      <c r="I2906" s="6" t="n">
        <v>0</v>
      </c>
      <c r="J2906" s="40" t="n">
        <f aca="false">H2906-I2906</f>
        <v>4.08</v>
      </c>
      <c r="K2906" s="41" t="n">
        <v>34</v>
      </c>
      <c r="L2906" s="42" t="n">
        <f aca="false">J2906*K2906</f>
        <v>138.72</v>
      </c>
      <c r="M2906" s="43" t="n">
        <f aca="false">H2906*16.48*(1+'Chart of Accounts'!$E$67)</f>
        <v>76.987968</v>
      </c>
    </row>
    <row r="2907" customFormat="false" ht="15" hidden="false" customHeight="false" outlineLevel="0" collapsed="false">
      <c r="B2907" s="7" t="s">
        <v>3404</v>
      </c>
      <c r="C2907" s="39" t="n">
        <v>45803</v>
      </c>
      <c r="D2907" s="7" t="s">
        <v>365</v>
      </c>
      <c r="E2907" s="7" t="s">
        <v>154</v>
      </c>
      <c r="F2907" s="7" t="s">
        <v>194</v>
      </c>
      <c r="G2907" s="7" t="s">
        <v>505</v>
      </c>
      <c r="H2907" s="6" t="n">
        <v>4.32</v>
      </c>
      <c r="I2907" s="6" t="n">
        <v>0</v>
      </c>
      <c r="J2907" s="40" t="n">
        <f aca="false">H2907-I2907</f>
        <v>4.32</v>
      </c>
      <c r="K2907" s="41" t="n">
        <v>26.5</v>
      </c>
      <c r="L2907" s="42" t="n">
        <f aca="false">J2907*K2907</f>
        <v>114.48</v>
      </c>
      <c r="M2907" s="43" t="n">
        <f aca="false">H2907*16*(1+'Chart of Accounts'!$E$67)</f>
        <v>79.1424</v>
      </c>
    </row>
    <row r="2908" customFormat="false" ht="15" hidden="false" customHeight="false" outlineLevel="0" collapsed="false">
      <c r="B2908" s="7" t="s">
        <v>3405</v>
      </c>
      <c r="C2908" s="39" t="n">
        <v>45803</v>
      </c>
      <c r="D2908" s="7" t="s">
        <v>371</v>
      </c>
      <c r="E2908" s="7" t="s">
        <v>154</v>
      </c>
      <c r="F2908" s="7" t="s">
        <v>232</v>
      </c>
      <c r="G2908" s="7" t="s">
        <v>505</v>
      </c>
      <c r="H2908" s="6" t="n">
        <v>4.54</v>
      </c>
      <c r="I2908" s="6" t="n">
        <v>0</v>
      </c>
      <c r="J2908" s="40" t="n">
        <f aca="false">H2908-I2908</f>
        <v>4.54</v>
      </c>
      <c r="K2908" s="41" t="n">
        <v>26.5</v>
      </c>
      <c r="L2908" s="42" t="n">
        <f aca="false">J2908*K2908</f>
        <v>120.31</v>
      </c>
      <c r="M2908" s="43" t="n">
        <f aca="false">H2908*16.17*(1+'Chart of Accounts'!$E$67)</f>
        <v>84.056511</v>
      </c>
    </row>
    <row r="2909" customFormat="false" ht="15" hidden="false" customHeight="false" outlineLevel="0" collapsed="false">
      <c r="B2909" s="7" t="s">
        <v>3406</v>
      </c>
      <c r="C2909" s="39" t="n">
        <v>45803</v>
      </c>
      <c r="D2909" s="7" t="s">
        <v>377</v>
      </c>
      <c r="E2909" s="7" t="s">
        <v>154</v>
      </c>
      <c r="F2909" s="7" t="s">
        <v>214</v>
      </c>
      <c r="G2909" s="7" t="s">
        <v>505</v>
      </c>
      <c r="H2909" s="6" t="n">
        <v>3.99</v>
      </c>
      <c r="I2909" s="6" t="n">
        <v>0</v>
      </c>
      <c r="J2909" s="40" t="n">
        <f aca="false">H2909-I2909</f>
        <v>3.99</v>
      </c>
      <c r="K2909" s="41" t="n">
        <v>26.5</v>
      </c>
      <c r="L2909" s="42" t="n">
        <f aca="false">J2909*K2909</f>
        <v>105.735</v>
      </c>
      <c r="M2909" s="43" t="n">
        <f aca="false">H2909*15.67*(1+'Chart of Accounts'!$E$67)</f>
        <v>71.5891785</v>
      </c>
    </row>
    <row r="2910" customFormat="false" ht="15" hidden="false" customHeight="false" outlineLevel="0" collapsed="false">
      <c r="B2910" s="7" t="s">
        <v>3407</v>
      </c>
      <c r="C2910" s="39" t="n">
        <v>45803</v>
      </c>
      <c r="D2910" s="7" t="s">
        <v>379</v>
      </c>
      <c r="E2910" s="7" t="s">
        <v>156</v>
      </c>
      <c r="F2910" s="7" t="s">
        <v>224</v>
      </c>
      <c r="G2910" s="7" t="s">
        <v>505</v>
      </c>
      <c r="H2910" s="6" t="n">
        <v>4.59</v>
      </c>
      <c r="I2910" s="6" t="n">
        <v>0</v>
      </c>
      <c r="J2910" s="40" t="n">
        <f aca="false">H2910-I2910</f>
        <v>4.59</v>
      </c>
      <c r="K2910" s="41" t="n">
        <v>34</v>
      </c>
      <c r="L2910" s="42" t="n">
        <f aca="false">J2910*K2910</f>
        <v>156.06</v>
      </c>
      <c r="M2910" s="43" t="n">
        <f aca="false">H2910*14.93*(1+'Chart of Accounts'!$E$67)</f>
        <v>78.4653615</v>
      </c>
    </row>
    <row r="2911" customFormat="false" ht="15" hidden="false" customHeight="false" outlineLevel="0" collapsed="false">
      <c r="B2911" s="7" t="s">
        <v>3408</v>
      </c>
      <c r="C2911" s="39" t="n">
        <v>45803</v>
      </c>
      <c r="D2911" s="7" t="s">
        <v>385</v>
      </c>
      <c r="E2911" s="7" t="s">
        <v>156</v>
      </c>
      <c r="F2911" s="7" t="s">
        <v>238</v>
      </c>
      <c r="G2911" s="7" t="s">
        <v>505</v>
      </c>
      <c r="H2911" s="6" t="n">
        <v>3.96</v>
      </c>
      <c r="I2911" s="6" t="n">
        <v>0</v>
      </c>
      <c r="J2911" s="40" t="n">
        <f aca="false">H2911-I2911</f>
        <v>3.96</v>
      </c>
      <c r="K2911" s="41" t="n">
        <v>34</v>
      </c>
      <c r="L2911" s="42" t="n">
        <f aca="false">J2911*K2911</f>
        <v>134.64</v>
      </c>
      <c r="M2911" s="43" t="n">
        <f aca="false">H2911*15.85*(1+'Chart of Accounts'!$E$67)</f>
        <v>71.86707</v>
      </c>
    </row>
    <row r="2912" customFormat="false" ht="15" hidden="false" customHeight="false" outlineLevel="0" collapsed="false">
      <c r="B2912" s="7" t="s">
        <v>3409</v>
      </c>
      <c r="C2912" s="39" t="n">
        <v>45803</v>
      </c>
      <c r="D2912" s="7" t="s">
        <v>389</v>
      </c>
      <c r="E2912" s="7" t="s">
        <v>154</v>
      </c>
      <c r="F2912" s="7" t="s">
        <v>246</v>
      </c>
      <c r="G2912" s="7" t="s">
        <v>505</v>
      </c>
      <c r="H2912" s="6" t="n">
        <v>4.32</v>
      </c>
      <c r="I2912" s="6" t="n">
        <v>0</v>
      </c>
      <c r="J2912" s="40" t="n">
        <f aca="false">H2912-I2912</f>
        <v>4.32</v>
      </c>
      <c r="K2912" s="41" t="n">
        <v>26.5</v>
      </c>
      <c r="L2912" s="42" t="n">
        <f aca="false">J2912*K2912</f>
        <v>114.48</v>
      </c>
      <c r="M2912" s="43" t="n">
        <f aca="false">H2912*16.48*(1+'Chart of Accounts'!$E$67)</f>
        <v>81.516672</v>
      </c>
    </row>
    <row r="2913" customFormat="false" ht="15" hidden="false" customHeight="false" outlineLevel="0" collapsed="false">
      <c r="B2913" s="7" t="s">
        <v>3410</v>
      </c>
      <c r="C2913" s="39" t="n">
        <v>45803</v>
      </c>
      <c r="D2913" s="7" t="s">
        <v>391</v>
      </c>
      <c r="E2913" s="7" t="s">
        <v>156</v>
      </c>
      <c r="F2913" s="7" t="s">
        <v>222</v>
      </c>
      <c r="G2913" s="7" t="s">
        <v>505</v>
      </c>
      <c r="H2913" s="6" t="n">
        <v>4.28</v>
      </c>
      <c r="I2913" s="6" t="n">
        <v>0</v>
      </c>
      <c r="J2913" s="40" t="n">
        <f aca="false">H2913-I2913</f>
        <v>4.28</v>
      </c>
      <c r="K2913" s="41" t="n">
        <v>34</v>
      </c>
      <c r="L2913" s="42" t="n">
        <f aca="false">J2913*K2913</f>
        <v>145.52</v>
      </c>
      <c r="M2913" s="43" t="n">
        <f aca="false">H2913*17.84*(1+'Chart of Accounts'!$E$67)</f>
        <v>87.426704</v>
      </c>
    </row>
    <row r="2914" customFormat="false" ht="15" hidden="false" customHeight="false" outlineLevel="0" collapsed="false">
      <c r="B2914" s="7" t="s">
        <v>3411</v>
      </c>
      <c r="C2914" s="39" t="n">
        <v>45803</v>
      </c>
      <c r="D2914" s="7" t="s">
        <v>395</v>
      </c>
      <c r="E2914" s="7" t="s">
        <v>156</v>
      </c>
      <c r="F2914" s="7" t="s">
        <v>242</v>
      </c>
      <c r="G2914" s="7" t="s">
        <v>505</v>
      </c>
      <c r="H2914" s="6" t="n">
        <v>3.88</v>
      </c>
      <c r="I2914" s="6" t="n">
        <v>0</v>
      </c>
      <c r="J2914" s="40" t="n">
        <f aca="false">H2914-I2914</f>
        <v>3.88</v>
      </c>
      <c r="K2914" s="41" t="n">
        <v>34</v>
      </c>
      <c r="L2914" s="42" t="n">
        <f aca="false">J2914*K2914</f>
        <v>131.92</v>
      </c>
      <c r="M2914" s="43" t="n">
        <f aca="false">H2914*17.99*(1+'Chart of Accounts'!$E$67)</f>
        <v>79.922374</v>
      </c>
    </row>
    <row r="2915" customFormat="false" ht="15" hidden="false" customHeight="false" outlineLevel="0" collapsed="false">
      <c r="B2915" s="7" t="s">
        <v>3412</v>
      </c>
      <c r="C2915" s="39" t="n">
        <v>45803</v>
      </c>
      <c r="D2915" s="7" t="s">
        <v>399</v>
      </c>
      <c r="E2915" s="7" t="s">
        <v>154</v>
      </c>
      <c r="F2915" s="7" t="s">
        <v>212</v>
      </c>
      <c r="G2915" s="7" t="s">
        <v>505</v>
      </c>
      <c r="H2915" s="6" t="n">
        <v>3</v>
      </c>
      <c r="I2915" s="6" t="n">
        <v>0</v>
      </c>
      <c r="J2915" s="40" t="n">
        <f aca="false">H2915-I2915</f>
        <v>3</v>
      </c>
      <c r="K2915" s="41" t="n">
        <v>26.5</v>
      </c>
      <c r="L2915" s="42" t="n">
        <f aca="false">J2915*K2915</f>
        <v>79.5</v>
      </c>
      <c r="M2915" s="43" t="n">
        <f aca="false">H2915*16.71*(1+'Chart of Accounts'!$E$67)</f>
        <v>57.39885</v>
      </c>
    </row>
    <row r="2916" customFormat="false" ht="15" hidden="false" customHeight="false" outlineLevel="0" collapsed="false">
      <c r="B2916" s="7" t="s">
        <v>3413</v>
      </c>
      <c r="C2916" s="39" t="n">
        <v>45803</v>
      </c>
      <c r="D2916" s="7" t="s">
        <v>401</v>
      </c>
      <c r="E2916" s="7" t="s">
        <v>156</v>
      </c>
      <c r="F2916" s="7" t="s">
        <v>254</v>
      </c>
      <c r="G2916" s="7" t="s">
        <v>505</v>
      </c>
      <c r="H2916" s="6" t="n">
        <v>3.75</v>
      </c>
      <c r="I2916" s="6" t="n">
        <v>0</v>
      </c>
      <c r="J2916" s="40" t="n">
        <f aca="false">H2916-I2916</f>
        <v>3.75</v>
      </c>
      <c r="K2916" s="41" t="n">
        <v>34</v>
      </c>
      <c r="L2916" s="42" t="n">
        <f aca="false">J2916*K2916</f>
        <v>127.5</v>
      </c>
      <c r="M2916" s="43" t="n">
        <f aca="false">H2916*17.1*(1+'Chart of Accounts'!$E$67)</f>
        <v>73.423125</v>
      </c>
    </row>
    <row r="2917" customFormat="false" ht="15" hidden="false" customHeight="false" outlineLevel="0" collapsed="false">
      <c r="B2917" s="7" t="s">
        <v>3414</v>
      </c>
      <c r="C2917" s="39" t="n">
        <v>45803</v>
      </c>
      <c r="D2917" s="7" t="s">
        <v>409</v>
      </c>
      <c r="E2917" s="7" t="s">
        <v>154</v>
      </c>
      <c r="F2917" s="7" t="s">
        <v>214</v>
      </c>
      <c r="G2917" s="7" t="s">
        <v>505</v>
      </c>
      <c r="H2917" s="6" t="n">
        <v>3.34</v>
      </c>
      <c r="I2917" s="6" t="n">
        <v>0</v>
      </c>
      <c r="J2917" s="40" t="n">
        <f aca="false">H2917-I2917</f>
        <v>3.34</v>
      </c>
      <c r="K2917" s="41" t="n">
        <v>26.5</v>
      </c>
      <c r="L2917" s="42" t="n">
        <f aca="false">J2917*K2917</f>
        <v>88.51</v>
      </c>
      <c r="M2917" s="43" t="n">
        <f aca="false">H2917*15.67*(1+'Chart of Accounts'!$E$67)</f>
        <v>59.926781</v>
      </c>
    </row>
    <row r="2918" customFormat="false" ht="15" hidden="false" customHeight="false" outlineLevel="0" collapsed="false">
      <c r="B2918" s="7" t="s">
        <v>3415</v>
      </c>
      <c r="C2918" s="39" t="n">
        <v>45803</v>
      </c>
      <c r="D2918" s="7" t="s">
        <v>411</v>
      </c>
      <c r="E2918" s="7" t="s">
        <v>154</v>
      </c>
      <c r="F2918" s="7" t="s">
        <v>177</v>
      </c>
      <c r="G2918" s="7" t="s">
        <v>505</v>
      </c>
      <c r="H2918" s="6" t="n">
        <v>4.31</v>
      </c>
      <c r="I2918" s="6" t="n">
        <v>0</v>
      </c>
      <c r="J2918" s="40" t="n">
        <f aca="false">H2918-I2918</f>
        <v>4.31</v>
      </c>
      <c r="K2918" s="41" t="n">
        <v>26.5</v>
      </c>
      <c r="L2918" s="42" t="n">
        <f aca="false">J2918*K2918</f>
        <v>114.215</v>
      </c>
      <c r="M2918" s="43" t="n">
        <f aca="false">H2918*14.56*(1+'Chart of Accounts'!$E$67)</f>
        <v>71.852872</v>
      </c>
    </row>
    <row r="2919" customFormat="false" ht="15" hidden="false" customHeight="false" outlineLevel="0" collapsed="false">
      <c r="B2919" s="7" t="s">
        <v>3416</v>
      </c>
      <c r="C2919" s="39" t="n">
        <v>45804</v>
      </c>
      <c r="D2919" s="7" t="s">
        <v>288</v>
      </c>
      <c r="E2919" s="7" t="s">
        <v>156</v>
      </c>
      <c r="F2919" s="7" t="s">
        <v>191</v>
      </c>
      <c r="G2919" s="7" t="s">
        <v>505</v>
      </c>
      <c r="H2919" s="6" t="n">
        <v>3.78</v>
      </c>
      <c r="I2919" s="6" t="n">
        <v>0</v>
      </c>
      <c r="J2919" s="40" t="n">
        <f aca="false">H2919-I2919</f>
        <v>3.78</v>
      </c>
      <c r="K2919" s="41" t="n">
        <v>34</v>
      </c>
      <c r="L2919" s="42" t="n">
        <f aca="false">J2919*K2919</f>
        <v>128.52</v>
      </c>
      <c r="M2919" s="43" t="n">
        <f aca="false">H2919*16.05*(1+'Chart of Accounts'!$E$67)</f>
        <v>69.466005</v>
      </c>
    </row>
    <row r="2920" customFormat="false" ht="15" hidden="false" customHeight="false" outlineLevel="0" collapsed="false">
      <c r="B2920" s="7" t="s">
        <v>3417</v>
      </c>
      <c r="C2920" s="39" t="n">
        <v>45804</v>
      </c>
      <c r="D2920" s="7" t="s">
        <v>301</v>
      </c>
      <c r="E2920" s="7" t="s">
        <v>157</v>
      </c>
      <c r="F2920" s="7" t="s">
        <v>209</v>
      </c>
      <c r="G2920" s="7" t="s">
        <v>502</v>
      </c>
      <c r="H2920" s="6" t="n">
        <v>0.95</v>
      </c>
      <c r="I2920" s="6" t="n">
        <v>0</v>
      </c>
      <c r="J2920" s="40" t="n">
        <f aca="false">H2920-I2920</f>
        <v>0.95</v>
      </c>
      <c r="K2920" s="41" t="n">
        <v>165</v>
      </c>
      <c r="L2920" s="42" t="n">
        <f aca="false">J2920*K2920</f>
        <v>156.75</v>
      </c>
      <c r="M2920" s="43" t="n">
        <f aca="false">H2920*73.58*(1+'Chart of Accounts'!$E$67)</f>
        <v>80.036645</v>
      </c>
    </row>
    <row r="2921" customFormat="false" ht="15" hidden="false" customHeight="false" outlineLevel="0" collapsed="false">
      <c r="B2921" s="7" t="s">
        <v>3418</v>
      </c>
      <c r="C2921" s="39" t="n">
        <v>45804</v>
      </c>
      <c r="D2921" s="7" t="s">
        <v>313</v>
      </c>
      <c r="E2921" s="7" t="s">
        <v>156</v>
      </c>
      <c r="F2921" s="7" t="s">
        <v>184</v>
      </c>
      <c r="G2921" s="7" t="s">
        <v>505</v>
      </c>
      <c r="H2921" s="6" t="n">
        <v>3.88</v>
      </c>
      <c r="I2921" s="6" t="n">
        <v>0</v>
      </c>
      <c r="J2921" s="40" t="n">
        <f aca="false">H2921-I2921</f>
        <v>3.88</v>
      </c>
      <c r="K2921" s="41" t="n">
        <v>34</v>
      </c>
      <c r="L2921" s="42" t="n">
        <f aca="false">J2921*K2921</f>
        <v>131.92</v>
      </c>
      <c r="M2921" s="43" t="n">
        <f aca="false">H2921*17.34*(1+'Chart of Accounts'!$E$67)</f>
        <v>77.034684</v>
      </c>
    </row>
    <row r="2922" customFormat="false" ht="15" hidden="false" customHeight="false" outlineLevel="0" collapsed="false">
      <c r="B2922" s="7" t="s">
        <v>3419</v>
      </c>
      <c r="C2922" s="39" t="n">
        <v>45804</v>
      </c>
      <c r="D2922" s="7" t="s">
        <v>319</v>
      </c>
      <c r="E2922" s="7" t="s">
        <v>157</v>
      </c>
      <c r="F2922" s="7" t="s">
        <v>234</v>
      </c>
      <c r="G2922" s="7" t="s">
        <v>502</v>
      </c>
      <c r="H2922" s="6" t="n">
        <v>1.05</v>
      </c>
      <c r="I2922" s="6" t="n">
        <v>0</v>
      </c>
      <c r="J2922" s="40" t="n">
        <f aca="false">H2922-I2922</f>
        <v>1.05</v>
      </c>
      <c r="K2922" s="41" t="n">
        <v>165</v>
      </c>
      <c r="L2922" s="42" t="n">
        <f aca="false">J2922*K2922</f>
        <v>173.25</v>
      </c>
      <c r="M2922" s="43" t="n">
        <f aca="false">H2922*89.53*(1+'Chart of Accounts'!$E$67)</f>
        <v>107.6374425</v>
      </c>
    </row>
    <row r="2923" customFormat="false" ht="15" hidden="false" customHeight="false" outlineLevel="0" collapsed="false">
      <c r="B2923" s="7" t="s">
        <v>3420</v>
      </c>
      <c r="C2923" s="39" t="n">
        <v>45804</v>
      </c>
      <c r="D2923" s="7" t="s">
        <v>321</v>
      </c>
      <c r="E2923" s="7" t="s">
        <v>154</v>
      </c>
      <c r="F2923" s="7" t="s">
        <v>218</v>
      </c>
      <c r="G2923" s="7" t="s">
        <v>505</v>
      </c>
      <c r="H2923" s="6" t="n">
        <v>3.92</v>
      </c>
      <c r="I2923" s="6" t="n">
        <v>0</v>
      </c>
      <c r="J2923" s="40" t="n">
        <f aca="false">H2923-I2923</f>
        <v>3.92</v>
      </c>
      <c r="K2923" s="41" t="n">
        <v>26.5</v>
      </c>
      <c r="L2923" s="42" t="n">
        <f aca="false">J2923*K2923</f>
        <v>103.88</v>
      </c>
      <c r="M2923" s="43" t="n">
        <f aca="false">H2923*16.19*(1+'Chart of Accounts'!$E$67)</f>
        <v>72.667196</v>
      </c>
    </row>
    <row r="2924" customFormat="false" ht="15" hidden="false" customHeight="false" outlineLevel="0" collapsed="false">
      <c r="B2924" s="7" t="s">
        <v>3421</v>
      </c>
      <c r="C2924" s="39" t="n">
        <v>45804</v>
      </c>
      <c r="D2924" s="7" t="s">
        <v>323</v>
      </c>
      <c r="E2924" s="7" t="s">
        <v>159</v>
      </c>
      <c r="F2924" s="7" t="s">
        <v>266</v>
      </c>
      <c r="G2924" s="7" t="s">
        <v>502</v>
      </c>
      <c r="H2924" s="6" t="n">
        <v>1.04</v>
      </c>
      <c r="I2924" s="6" t="n">
        <v>0</v>
      </c>
      <c r="J2924" s="40" t="n">
        <f aca="false">H2924-I2924</f>
        <v>1.04</v>
      </c>
      <c r="K2924" s="41" t="n">
        <v>135</v>
      </c>
      <c r="L2924" s="42" t="n">
        <f aca="false">J2924*K2924</f>
        <v>140.4</v>
      </c>
      <c r="M2924" s="43" t="n">
        <f aca="false">H2924*75.18*(1+'Chart of Accounts'!$E$67)</f>
        <v>89.524344</v>
      </c>
    </row>
    <row r="2925" customFormat="false" ht="15" hidden="false" customHeight="false" outlineLevel="0" collapsed="false">
      <c r="B2925" s="7" t="s">
        <v>3422</v>
      </c>
      <c r="C2925" s="39" t="n">
        <v>45804</v>
      </c>
      <c r="D2925" s="7" t="s">
        <v>327</v>
      </c>
      <c r="E2925" s="7" t="s">
        <v>157</v>
      </c>
      <c r="F2925" s="7" t="s">
        <v>228</v>
      </c>
      <c r="G2925" s="7" t="s">
        <v>502</v>
      </c>
      <c r="H2925" s="6" t="n">
        <v>0.98</v>
      </c>
      <c r="I2925" s="6" t="n">
        <v>0</v>
      </c>
      <c r="J2925" s="40" t="n">
        <f aca="false">H2925-I2925</f>
        <v>0.98</v>
      </c>
      <c r="K2925" s="41" t="n">
        <v>165</v>
      </c>
      <c r="L2925" s="42" t="n">
        <f aca="false">J2925*K2925</f>
        <v>161.7</v>
      </c>
      <c r="M2925" s="43" t="n">
        <f aca="false">H2925*51.07*(1+'Chart of Accounts'!$E$67)</f>
        <v>57.305647</v>
      </c>
    </row>
    <row r="2926" customFormat="false" ht="15" hidden="false" customHeight="false" outlineLevel="0" collapsed="false">
      <c r="B2926" s="7" t="s">
        <v>3423</v>
      </c>
      <c r="C2926" s="39" t="n">
        <v>45804</v>
      </c>
      <c r="D2926" s="7" t="s">
        <v>329</v>
      </c>
      <c r="E2926" s="7" t="s">
        <v>156</v>
      </c>
      <c r="F2926" s="7" t="s">
        <v>220</v>
      </c>
      <c r="G2926" s="7" t="s">
        <v>505</v>
      </c>
      <c r="H2926" s="6" t="n">
        <v>3.85</v>
      </c>
      <c r="I2926" s="6" t="n">
        <v>0</v>
      </c>
      <c r="J2926" s="40" t="n">
        <f aca="false">H2926-I2926</f>
        <v>3.85</v>
      </c>
      <c r="K2926" s="41" t="n">
        <v>34</v>
      </c>
      <c r="L2926" s="42" t="n">
        <f aca="false">J2926*K2926</f>
        <v>130.9</v>
      </c>
      <c r="M2926" s="43" t="n">
        <f aca="false">H2926*16.43*(1+'Chart of Accounts'!$E$67)</f>
        <v>72.4275475</v>
      </c>
    </row>
    <row r="2927" customFormat="false" ht="15" hidden="false" customHeight="false" outlineLevel="0" collapsed="false">
      <c r="B2927" s="7" t="s">
        <v>3424</v>
      </c>
      <c r="C2927" s="39" t="n">
        <v>45804</v>
      </c>
      <c r="D2927" s="7" t="s">
        <v>359</v>
      </c>
      <c r="E2927" s="7" t="s">
        <v>156</v>
      </c>
      <c r="F2927" s="7" t="s">
        <v>212</v>
      </c>
      <c r="G2927" s="7" t="s">
        <v>505</v>
      </c>
      <c r="H2927" s="6" t="n">
        <v>3.99</v>
      </c>
      <c r="I2927" s="6" t="n">
        <v>0</v>
      </c>
      <c r="J2927" s="40" t="n">
        <f aca="false">H2927-I2927</f>
        <v>3.99</v>
      </c>
      <c r="K2927" s="41" t="n">
        <v>34</v>
      </c>
      <c r="L2927" s="42" t="n">
        <f aca="false">J2927*K2927</f>
        <v>135.66</v>
      </c>
      <c r="M2927" s="43" t="n">
        <f aca="false">H2927*16.71*(1+'Chart of Accounts'!$E$67)</f>
        <v>76.3404705</v>
      </c>
    </row>
    <row r="2928" customFormat="false" ht="15" hidden="false" customHeight="false" outlineLevel="0" collapsed="false">
      <c r="B2928" s="7" t="s">
        <v>3425</v>
      </c>
      <c r="C2928" s="39" t="n">
        <v>45804</v>
      </c>
      <c r="D2928" s="7" t="s">
        <v>361</v>
      </c>
      <c r="E2928" s="7" t="s">
        <v>157</v>
      </c>
      <c r="F2928" s="7" t="s">
        <v>209</v>
      </c>
      <c r="G2928" s="7" t="s">
        <v>502</v>
      </c>
      <c r="H2928" s="6" t="n">
        <v>1.05</v>
      </c>
      <c r="I2928" s="6" t="n">
        <v>0</v>
      </c>
      <c r="J2928" s="40" t="n">
        <f aca="false">H2928-I2928</f>
        <v>1.05</v>
      </c>
      <c r="K2928" s="41" t="n">
        <v>165</v>
      </c>
      <c r="L2928" s="42" t="n">
        <f aca="false">J2928*K2928</f>
        <v>173.25</v>
      </c>
      <c r="M2928" s="43" t="n">
        <f aca="false">H2928*73.58*(1+'Chart of Accounts'!$E$67)</f>
        <v>88.461555</v>
      </c>
    </row>
    <row r="2929" customFormat="false" ht="15" hidden="false" customHeight="false" outlineLevel="0" collapsed="false">
      <c r="B2929" s="7" t="s">
        <v>3426</v>
      </c>
      <c r="C2929" s="39" t="n">
        <v>45804</v>
      </c>
      <c r="D2929" s="7" t="s">
        <v>365</v>
      </c>
      <c r="E2929" s="7" t="s">
        <v>154</v>
      </c>
      <c r="F2929" s="7" t="s">
        <v>194</v>
      </c>
      <c r="G2929" s="7" t="s">
        <v>505</v>
      </c>
      <c r="H2929" s="6" t="n">
        <v>4.09</v>
      </c>
      <c r="I2929" s="6" t="n">
        <v>0</v>
      </c>
      <c r="J2929" s="40" t="n">
        <f aca="false">H2929-I2929</f>
        <v>4.09</v>
      </c>
      <c r="K2929" s="41" t="n">
        <v>26.5</v>
      </c>
      <c r="L2929" s="42" t="n">
        <f aca="false">J2929*K2929</f>
        <v>108.385</v>
      </c>
      <c r="M2929" s="43" t="n">
        <f aca="false">H2929*16*(1+'Chart of Accounts'!$E$67)</f>
        <v>74.9288</v>
      </c>
    </row>
    <row r="2930" customFormat="false" ht="15" hidden="false" customHeight="false" outlineLevel="0" collapsed="false">
      <c r="B2930" s="7" t="s">
        <v>3427</v>
      </c>
      <c r="C2930" s="39" t="n">
        <v>45804</v>
      </c>
      <c r="D2930" s="7" t="s">
        <v>381</v>
      </c>
      <c r="E2930" s="7" t="s">
        <v>157</v>
      </c>
      <c r="F2930" s="7" t="s">
        <v>234</v>
      </c>
      <c r="G2930" s="7" t="s">
        <v>502</v>
      </c>
      <c r="H2930" s="6" t="n">
        <v>0.97</v>
      </c>
      <c r="I2930" s="6" t="n">
        <v>0.049</v>
      </c>
      <c r="J2930" s="40" t="n">
        <f aca="false">H2930-I2930</f>
        <v>0.921</v>
      </c>
      <c r="K2930" s="41" t="n">
        <v>165</v>
      </c>
      <c r="L2930" s="42" t="n">
        <f aca="false">J2930*K2930</f>
        <v>151.965</v>
      </c>
      <c r="M2930" s="43" t="n">
        <f aca="false">H2930*89.53*(1+'Chart of Accounts'!$E$67)</f>
        <v>99.4364945</v>
      </c>
    </row>
    <row r="2931" customFormat="false" ht="15" hidden="false" customHeight="false" outlineLevel="0" collapsed="false">
      <c r="B2931" s="7" t="s">
        <v>3428</v>
      </c>
      <c r="C2931" s="39" t="n">
        <v>45804</v>
      </c>
      <c r="D2931" s="7" t="s">
        <v>389</v>
      </c>
      <c r="E2931" s="7" t="s">
        <v>154</v>
      </c>
      <c r="F2931" s="7" t="s">
        <v>246</v>
      </c>
      <c r="G2931" s="7" t="s">
        <v>505</v>
      </c>
      <c r="H2931" s="6" t="n">
        <v>3.73</v>
      </c>
      <c r="I2931" s="6" t="n">
        <v>0</v>
      </c>
      <c r="J2931" s="40" t="n">
        <f aca="false">H2931-I2931</f>
        <v>3.73</v>
      </c>
      <c r="K2931" s="41" t="n">
        <v>26.5</v>
      </c>
      <c r="L2931" s="42" t="n">
        <f aca="false">J2931*K2931</f>
        <v>98.845</v>
      </c>
      <c r="M2931" s="43" t="n">
        <f aca="false">H2931*16.48*(1+'Chart of Accounts'!$E$67)</f>
        <v>70.383608</v>
      </c>
    </row>
    <row r="2932" customFormat="false" ht="15" hidden="false" customHeight="false" outlineLevel="0" collapsed="false">
      <c r="B2932" s="7" t="s">
        <v>3429</v>
      </c>
      <c r="C2932" s="39" t="n">
        <v>45804</v>
      </c>
      <c r="D2932" s="7" t="s">
        <v>391</v>
      </c>
      <c r="E2932" s="7" t="s">
        <v>156</v>
      </c>
      <c r="F2932" s="7" t="s">
        <v>222</v>
      </c>
      <c r="G2932" s="7" t="s">
        <v>505</v>
      </c>
      <c r="H2932" s="6" t="n">
        <v>4.07</v>
      </c>
      <c r="I2932" s="6" t="n">
        <v>0</v>
      </c>
      <c r="J2932" s="40" t="n">
        <f aca="false">H2932-I2932</f>
        <v>4.07</v>
      </c>
      <c r="K2932" s="41" t="n">
        <v>34</v>
      </c>
      <c r="L2932" s="42" t="n">
        <f aca="false">J2932*K2932</f>
        <v>138.38</v>
      </c>
      <c r="M2932" s="43" t="n">
        <f aca="false">H2932*17.84*(1+'Chart of Accounts'!$E$67)</f>
        <v>83.137076</v>
      </c>
    </row>
    <row r="2933" customFormat="false" ht="15" hidden="false" customHeight="false" outlineLevel="0" collapsed="false">
      <c r="B2933" s="7" t="s">
        <v>3430</v>
      </c>
      <c r="C2933" s="39" t="n">
        <v>45804</v>
      </c>
      <c r="D2933" s="7" t="s">
        <v>395</v>
      </c>
      <c r="E2933" s="7" t="s">
        <v>156</v>
      </c>
      <c r="F2933" s="7" t="s">
        <v>242</v>
      </c>
      <c r="G2933" s="7" t="s">
        <v>505</v>
      </c>
      <c r="H2933" s="6" t="n">
        <v>4.12</v>
      </c>
      <c r="I2933" s="6" t="n">
        <v>0</v>
      </c>
      <c r="J2933" s="40" t="n">
        <f aca="false">H2933-I2933</f>
        <v>4.12</v>
      </c>
      <c r="K2933" s="41" t="n">
        <v>34</v>
      </c>
      <c r="L2933" s="42" t="n">
        <f aca="false">J2933*K2933</f>
        <v>140.08</v>
      </c>
      <c r="M2933" s="43" t="n">
        <f aca="false">H2933*17.99*(1+'Chart of Accounts'!$E$67)</f>
        <v>84.866026</v>
      </c>
    </row>
    <row r="2934" customFormat="false" ht="15" hidden="false" customHeight="false" outlineLevel="0" collapsed="false">
      <c r="B2934" s="7" t="s">
        <v>3431</v>
      </c>
      <c r="C2934" s="39" t="n">
        <v>45804</v>
      </c>
      <c r="D2934" s="7" t="s">
        <v>397</v>
      </c>
      <c r="E2934" s="7" t="s">
        <v>159</v>
      </c>
      <c r="F2934" s="7" t="s">
        <v>203</v>
      </c>
      <c r="G2934" s="7" t="s">
        <v>502</v>
      </c>
      <c r="H2934" s="6" t="n">
        <v>0.91</v>
      </c>
      <c r="I2934" s="6" t="n">
        <v>0</v>
      </c>
      <c r="J2934" s="40" t="n">
        <f aca="false">H2934-I2934</f>
        <v>0.91</v>
      </c>
      <c r="K2934" s="41" t="n">
        <v>135</v>
      </c>
      <c r="L2934" s="42" t="n">
        <f aca="false">J2934*K2934</f>
        <v>122.85</v>
      </c>
      <c r="M2934" s="43" t="n">
        <f aca="false">H2934*49.43*(1+'Chart of Accounts'!$E$67)</f>
        <v>51.5035885</v>
      </c>
    </row>
    <row r="2935" customFormat="false" ht="15" hidden="false" customHeight="false" outlineLevel="0" collapsed="false">
      <c r="B2935" s="7" t="s">
        <v>3432</v>
      </c>
      <c r="C2935" s="39" t="n">
        <v>45804</v>
      </c>
      <c r="D2935" s="7" t="s">
        <v>401</v>
      </c>
      <c r="E2935" s="7" t="s">
        <v>156</v>
      </c>
      <c r="F2935" s="7" t="s">
        <v>254</v>
      </c>
      <c r="G2935" s="7" t="s">
        <v>505</v>
      </c>
      <c r="H2935" s="6" t="n">
        <v>4.23</v>
      </c>
      <c r="I2935" s="6" t="n">
        <v>0</v>
      </c>
      <c r="J2935" s="40" t="n">
        <f aca="false">H2935-I2935</f>
        <v>4.23</v>
      </c>
      <c r="K2935" s="41" t="n">
        <v>34</v>
      </c>
      <c r="L2935" s="42" t="n">
        <f aca="false">J2935*K2935</f>
        <v>143.82</v>
      </c>
      <c r="M2935" s="43" t="n">
        <f aca="false">H2935*17.1*(1+'Chart of Accounts'!$E$67)</f>
        <v>82.821285</v>
      </c>
    </row>
    <row r="2936" customFormat="false" ht="15" hidden="false" customHeight="false" outlineLevel="0" collapsed="false">
      <c r="B2936" s="7" t="s">
        <v>3433</v>
      </c>
      <c r="C2936" s="39" t="n">
        <v>45804</v>
      </c>
      <c r="D2936" s="7" t="s">
        <v>407</v>
      </c>
      <c r="E2936" s="7" t="s">
        <v>159</v>
      </c>
      <c r="F2936" s="7" t="s">
        <v>260</v>
      </c>
      <c r="G2936" s="7" t="s">
        <v>502</v>
      </c>
      <c r="H2936" s="6" t="n">
        <v>1.03</v>
      </c>
      <c r="I2936" s="6" t="n">
        <v>0</v>
      </c>
      <c r="J2936" s="40" t="n">
        <f aca="false">H2936-I2936</f>
        <v>1.03</v>
      </c>
      <c r="K2936" s="41" t="n">
        <v>135</v>
      </c>
      <c r="L2936" s="42" t="n">
        <f aca="false">J2936*K2936</f>
        <v>139.05</v>
      </c>
      <c r="M2936" s="43" t="n">
        <f aca="false">H2936*79.8*(1+'Chart of Accounts'!$E$67)</f>
        <v>94.11213</v>
      </c>
    </row>
    <row r="2937" customFormat="false" ht="15" hidden="false" customHeight="false" outlineLevel="0" collapsed="false">
      <c r="B2937" s="7" t="s">
        <v>3434</v>
      </c>
      <c r="C2937" s="39" t="n">
        <v>45805</v>
      </c>
      <c r="D2937" s="7" t="s">
        <v>280</v>
      </c>
      <c r="E2937" s="7" t="s">
        <v>157</v>
      </c>
      <c r="F2937" s="7" t="s">
        <v>187</v>
      </c>
      <c r="G2937" s="7" t="s">
        <v>502</v>
      </c>
      <c r="H2937" s="6" t="n">
        <v>0.92</v>
      </c>
      <c r="I2937" s="6" t="n">
        <v>0.046</v>
      </c>
      <c r="J2937" s="40" t="n">
        <f aca="false">H2937-I2937</f>
        <v>0.874</v>
      </c>
      <c r="K2937" s="41" t="n">
        <v>165</v>
      </c>
      <c r="L2937" s="42" t="n">
        <f aca="false">J2937*K2937</f>
        <v>144.21</v>
      </c>
      <c r="M2937" s="43" t="n">
        <f aca="false">H2937*66.48*(1+'Chart of Accounts'!$E$67)</f>
        <v>70.030032</v>
      </c>
    </row>
    <row r="2938" customFormat="false" ht="15" hidden="false" customHeight="false" outlineLevel="0" collapsed="false">
      <c r="B2938" s="7" t="s">
        <v>3435</v>
      </c>
      <c r="C2938" s="39" t="n">
        <v>45805</v>
      </c>
      <c r="D2938" s="7" t="s">
        <v>286</v>
      </c>
      <c r="E2938" s="7" t="s">
        <v>157</v>
      </c>
      <c r="F2938" s="7" t="s">
        <v>228</v>
      </c>
      <c r="G2938" s="7" t="s">
        <v>502</v>
      </c>
      <c r="H2938" s="6" t="n">
        <v>0.97</v>
      </c>
      <c r="I2938" s="6" t="n">
        <v>0</v>
      </c>
      <c r="J2938" s="40" t="n">
        <f aca="false">H2938-I2938</f>
        <v>0.97</v>
      </c>
      <c r="K2938" s="41" t="n">
        <v>165</v>
      </c>
      <c r="L2938" s="42" t="n">
        <f aca="false">J2938*K2938</f>
        <v>160.05</v>
      </c>
      <c r="M2938" s="43" t="n">
        <f aca="false">H2938*51.07*(1+'Chart of Accounts'!$E$67)</f>
        <v>56.7208955</v>
      </c>
    </row>
    <row r="2939" customFormat="false" ht="15" hidden="false" customHeight="false" outlineLevel="0" collapsed="false">
      <c r="B2939" s="7" t="s">
        <v>3436</v>
      </c>
      <c r="C2939" s="39" t="n">
        <v>45805</v>
      </c>
      <c r="D2939" s="7" t="s">
        <v>288</v>
      </c>
      <c r="E2939" s="7" t="s">
        <v>156</v>
      </c>
      <c r="F2939" s="7" t="s">
        <v>191</v>
      </c>
      <c r="G2939" s="7" t="s">
        <v>505</v>
      </c>
      <c r="H2939" s="6" t="n">
        <v>4.32</v>
      </c>
      <c r="I2939" s="6" t="n">
        <v>0</v>
      </c>
      <c r="J2939" s="40" t="n">
        <f aca="false">H2939-I2939</f>
        <v>4.32</v>
      </c>
      <c r="K2939" s="41" t="n">
        <v>34</v>
      </c>
      <c r="L2939" s="42" t="n">
        <f aca="false">J2939*K2939</f>
        <v>146.88</v>
      </c>
      <c r="M2939" s="43" t="n">
        <f aca="false">H2939*16.05*(1+'Chart of Accounts'!$E$67)</f>
        <v>79.38972</v>
      </c>
    </row>
    <row r="2940" customFormat="false" ht="15" hidden="false" customHeight="false" outlineLevel="0" collapsed="false">
      <c r="B2940" s="7" t="s">
        <v>3437</v>
      </c>
      <c r="C2940" s="39" t="n">
        <v>45805</v>
      </c>
      <c r="D2940" s="7" t="s">
        <v>291</v>
      </c>
      <c r="E2940" s="7" t="s">
        <v>154</v>
      </c>
      <c r="F2940" s="7" t="s">
        <v>194</v>
      </c>
      <c r="G2940" s="7" t="s">
        <v>505</v>
      </c>
      <c r="H2940" s="6" t="n">
        <v>4.76</v>
      </c>
      <c r="I2940" s="6" t="n">
        <v>0.143</v>
      </c>
      <c r="J2940" s="40" t="n">
        <f aca="false">H2940-I2940</f>
        <v>4.617</v>
      </c>
      <c r="K2940" s="41" t="n">
        <v>26.5</v>
      </c>
      <c r="L2940" s="42" t="n">
        <f aca="false">J2940*K2940</f>
        <v>122.3505</v>
      </c>
      <c r="M2940" s="43" t="n">
        <f aca="false">H2940*16*(1+'Chart of Accounts'!$E$67)</f>
        <v>87.2032</v>
      </c>
    </row>
    <row r="2941" customFormat="false" ht="15" hidden="false" customHeight="false" outlineLevel="0" collapsed="false">
      <c r="B2941" s="7" t="s">
        <v>3438</v>
      </c>
      <c r="C2941" s="39" t="n">
        <v>45805</v>
      </c>
      <c r="D2941" s="7" t="s">
        <v>305</v>
      </c>
      <c r="E2941" s="7" t="s">
        <v>154</v>
      </c>
      <c r="F2941" s="7" t="s">
        <v>205</v>
      </c>
      <c r="G2941" s="7" t="s">
        <v>505</v>
      </c>
      <c r="H2941" s="6" t="n">
        <v>3.82</v>
      </c>
      <c r="I2941" s="6" t="n">
        <v>0</v>
      </c>
      <c r="J2941" s="40" t="n">
        <f aca="false">H2941-I2941</f>
        <v>3.82</v>
      </c>
      <c r="K2941" s="41" t="n">
        <v>26.5</v>
      </c>
      <c r="L2941" s="42" t="n">
        <f aca="false">J2941*K2941</f>
        <v>101.23</v>
      </c>
      <c r="M2941" s="43" t="n">
        <f aca="false">H2941*16.36*(1+'Chart of Accounts'!$E$67)</f>
        <v>71.557004</v>
      </c>
    </row>
    <row r="2942" customFormat="false" ht="15" hidden="false" customHeight="false" outlineLevel="0" collapsed="false">
      <c r="B2942" s="7" t="s">
        <v>3439</v>
      </c>
      <c r="C2942" s="39" t="n">
        <v>45805</v>
      </c>
      <c r="D2942" s="7" t="s">
        <v>307</v>
      </c>
      <c r="E2942" s="7" t="s">
        <v>157</v>
      </c>
      <c r="F2942" s="7" t="s">
        <v>264</v>
      </c>
      <c r="G2942" s="7" t="s">
        <v>502</v>
      </c>
      <c r="H2942" s="6" t="n">
        <v>1.07</v>
      </c>
      <c r="I2942" s="6" t="n">
        <v>0</v>
      </c>
      <c r="J2942" s="40" t="n">
        <f aca="false">H2942-I2942</f>
        <v>1.07</v>
      </c>
      <c r="K2942" s="41" t="n">
        <v>165</v>
      </c>
      <c r="L2942" s="42" t="n">
        <f aca="false">J2942*K2942</f>
        <v>176.55</v>
      </c>
      <c r="M2942" s="43" t="n">
        <f aca="false">H2942*55.55*(1+'Chart of Accounts'!$E$67)</f>
        <v>68.0570825</v>
      </c>
    </row>
    <row r="2943" customFormat="false" ht="15" hidden="false" customHeight="false" outlineLevel="0" collapsed="false">
      <c r="B2943" s="7" t="s">
        <v>3440</v>
      </c>
      <c r="C2943" s="39" t="n">
        <v>45805</v>
      </c>
      <c r="D2943" s="7" t="s">
        <v>309</v>
      </c>
      <c r="E2943" s="7" t="s">
        <v>159</v>
      </c>
      <c r="F2943" s="7" t="s">
        <v>252</v>
      </c>
      <c r="G2943" s="7" t="s">
        <v>502</v>
      </c>
      <c r="H2943" s="6" t="n">
        <v>0.98</v>
      </c>
      <c r="I2943" s="6" t="n">
        <v>0</v>
      </c>
      <c r="J2943" s="40" t="n">
        <f aca="false">H2943-I2943</f>
        <v>0.98</v>
      </c>
      <c r="K2943" s="41" t="n">
        <v>135</v>
      </c>
      <c r="L2943" s="42" t="n">
        <f aca="false">J2943*K2943</f>
        <v>132.3</v>
      </c>
      <c r="M2943" s="43" t="n">
        <f aca="false">H2943*57.54*(1+'Chart of Accounts'!$E$67)</f>
        <v>64.565634</v>
      </c>
    </row>
    <row r="2944" customFormat="false" ht="15" hidden="false" customHeight="false" outlineLevel="0" collapsed="false">
      <c r="B2944" s="7" t="s">
        <v>3441</v>
      </c>
      <c r="C2944" s="39" t="n">
        <v>45805</v>
      </c>
      <c r="D2944" s="7" t="s">
        <v>313</v>
      </c>
      <c r="E2944" s="7" t="s">
        <v>156</v>
      </c>
      <c r="F2944" s="7" t="s">
        <v>184</v>
      </c>
      <c r="G2944" s="7" t="s">
        <v>505</v>
      </c>
      <c r="H2944" s="6" t="n">
        <v>3.86</v>
      </c>
      <c r="I2944" s="6" t="n">
        <v>0</v>
      </c>
      <c r="J2944" s="40" t="n">
        <f aca="false">H2944-I2944</f>
        <v>3.86</v>
      </c>
      <c r="K2944" s="41" t="n">
        <v>34</v>
      </c>
      <c r="L2944" s="42" t="n">
        <f aca="false">J2944*K2944</f>
        <v>131.24</v>
      </c>
      <c r="M2944" s="43" t="n">
        <f aca="false">H2944*17.34*(1+'Chart of Accounts'!$E$67)</f>
        <v>76.637598</v>
      </c>
    </row>
    <row r="2945" customFormat="false" ht="15" hidden="false" customHeight="false" outlineLevel="0" collapsed="false">
      <c r="B2945" s="7" t="s">
        <v>3442</v>
      </c>
      <c r="C2945" s="39" t="n">
        <v>45805</v>
      </c>
      <c r="D2945" s="7" t="s">
        <v>321</v>
      </c>
      <c r="E2945" s="7" t="s">
        <v>154</v>
      </c>
      <c r="F2945" s="7" t="s">
        <v>218</v>
      </c>
      <c r="G2945" s="7" t="s">
        <v>505</v>
      </c>
      <c r="H2945" s="6" t="n">
        <v>4</v>
      </c>
      <c r="I2945" s="6" t="n">
        <v>0</v>
      </c>
      <c r="J2945" s="40" t="n">
        <f aca="false">H2945-I2945</f>
        <v>4</v>
      </c>
      <c r="K2945" s="41" t="n">
        <v>26.5</v>
      </c>
      <c r="L2945" s="42" t="n">
        <f aca="false">J2945*K2945</f>
        <v>106</v>
      </c>
      <c r="M2945" s="43" t="n">
        <f aca="false">H2945*16.19*(1+'Chart of Accounts'!$E$67)</f>
        <v>74.1502</v>
      </c>
    </row>
    <row r="2946" customFormat="false" ht="15" hidden="false" customHeight="false" outlineLevel="0" collapsed="false">
      <c r="B2946" s="7" t="s">
        <v>3443</v>
      </c>
      <c r="C2946" s="39" t="n">
        <v>45805</v>
      </c>
      <c r="D2946" s="7" t="s">
        <v>329</v>
      </c>
      <c r="E2946" s="7" t="s">
        <v>156</v>
      </c>
      <c r="F2946" s="7" t="s">
        <v>220</v>
      </c>
      <c r="G2946" s="7" t="s">
        <v>505</v>
      </c>
      <c r="H2946" s="6" t="n">
        <v>3.7</v>
      </c>
      <c r="I2946" s="6" t="n">
        <v>0</v>
      </c>
      <c r="J2946" s="40" t="n">
        <f aca="false">H2946-I2946</f>
        <v>3.7</v>
      </c>
      <c r="K2946" s="41" t="n">
        <v>34</v>
      </c>
      <c r="L2946" s="42" t="n">
        <f aca="false">J2946*K2946</f>
        <v>125.8</v>
      </c>
      <c r="M2946" s="43" t="n">
        <f aca="false">H2946*16.43*(1+'Chart of Accounts'!$E$67)</f>
        <v>69.605695</v>
      </c>
    </row>
    <row r="2947" customFormat="false" ht="15" hidden="false" customHeight="false" outlineLevel="0" collapsed="false">
      <c r="B2947" s="7" t="s">
        <v>3444</v>
      </c>
      <c r="C2947" s="39" t="n">
        <v>45805</v>
      </c>
      <c r="D2947" s="7" t="s">
        <v>335</v>
      </c>
      <c r="E2947" s="7" t="s">
        <v>154</v>
      </c>
      <c r="F2947" s="7" t="s">
        <v>177</v>
      </c>
      <c r="G2947" s="7" t="s">
        <v>505</v>
      </c>
      <c r="H2947" s="6" t="n">
        <v>3.91</v>
      </c>
      <c r="I2947" s="6" t="n">
        <v>0</v>
      </c>
      <c r="J2947" s="40" t="n">
        <f aca="false">H2947-I2947</f>
        <v>3.91</v>
      </c>
      <c r="K2947" s="41" t="n">
        <v>26.5</v>
      </c>
      <c r="L2947" s="42" t="n">
        <f aca="false">J2947*K2947</f>
        <v>103.615</v>
      </c>
      <c r="M2947" s="43" t="n">
        <f aca="false">H2947*14.56*(1+'Chart of Accounts'!$E$67)</f>
        <v>65.184392</v>
      </c>
    </row>
    <row r="2948" customFormat="false" ht="15" hidden="false" customHeight="false" outlineLevel="0" collapsed="false">
      <c r="B2948" s="7" t="s">
        <v>3445</v>
      </c>
      <c r="C2948" s="39" t="n">
        <v>45805</v>
      </c>
      <c r="D2948" s="7" t="s">
        <v>339</v>
      </c>
      <c r="E2948" s="7" t="s">
        <v>154</v>
      </c>
      <c r="F2948" s="7" t="s">
        <v>242</v>
      </c>
      <c r="G2948" s="7" t="s">
        <v>505</v>
      </c>
      <c r="H2948" s="6" t="n">
        <v>3.43</v>
      </c>
      <c r="I2948" s="6" t="n">
        <v>0</v>
      </c>
      <c r="J2948" s="40" t="n">
        <f aca="false">H2948-I2948</f>
        <v>3.43</v>
      </c>
      <c r="K2948" s="41" t="n">
        <v>26.5</v>
      </c>
      <c r="L2948" s="42" t="n">
        <f aca="false">J2948*K2948</f>
        <v>90.895</v>
      </c>
      <c r="M2948" s="43" t="n">
        <f aca="false">H2948*17.99*(1+'Chart of Accounts'!$E$67)</f>
        <v>70.6530265</v>
      </c>
    </row>
    <row r="2949" customFormat="false" ht="15" hidden="false" customHeight="false" outlineLevel="0" collapsed="false">
      <c r="B2949" s="7" t="s">
        <v>3446</v>
      </c>
      <c r="C2949" s="39" t="n">
        <v>45805</v>
      </c>
      <c r="D2949" s="7" t="s">
        <v>353</v>
      </c>
      <c r="E2949" s="7" t="s">
        <v>154</v>
      </c>
      <c r="F2949" s="7" t="s">
        <v>254</v>
      </c>
      <c r="G2949" s="7" t="s">
        <v>505</v>
      </c>
      <c r="H2949" s="6" t="n">
        <v>3.61</v>
      </c>
      <c r="I2949" s="6" t="n">
        <v>0</v>
      </c>
      <c r="J2949" s="40" t="n">
        <f aca="false">H2949-I2949</f>
        <v>3.61</v>
      </c>
      <c r="K2949" s="41" t="n">
        <v>26.5</v>
      </c>
      <c r="L2949" s="42" t="n">
        <f aca="false">J2949*K2949</f>
        <v>95.665</v>
      </c>
      <c r="M2949" s="43" t="n">
        <f aca="false">H2949*17.1*(1+'Chart of Accounts'!$E$67)</f>
        <v>70.681995</v>
      </c>
    </row>
    <row r="2950" customFormat="false" ht="15" hidden="false" customHeight="false" outlineLevel="0" collapsed="false">
      <c r="B2950" s="7" t="s">
        <v>3447</v>
      </c>
      <c r="C2950" s="39" t="n">
        <v>45805</v>
      </c>
      <c r="D2950" s="7" t="s">
        <v>355</v>
      </c>
      <c r="E2950" s="7" t="s">
        <v>154</v>
      </c>
      <c r="F2950" s="7" t="s">
        <v>201</v>
      </c>
      <c r="G2950" s="7" t="s">
        <v>505</v>
      </c>
      <c r="H2950" s="6" t="n">
        <v>3.27</v>
      </c>
      <c r="I2950" s="6" t="n">
        <v>0</v>
      </c>
      <c r="J2950" s="40" t="n">
        <f aca="false">H2950-I2950</f>
        <v>3.27</v>
      </c>
      <c r="K2950" s="41" t="n">
        <v>26.5</v>
      </c>
      <c r="L2950" s="42" t="n">
        <f aca="false">J2950*K2950</f>
        <v>86.655</v>
      </c>
      <c r="M2950" s="43" t="n">
        <f aca="false">H2950*15.19*(1+'Chart of Accounts'!$E$67)</f>
        <v>56.8736385</v>
      </c>
    </row>
    <row r="2951" customFormat="false" ht="15" hidden="false" customHeight="false" outlineLevel="0" collapsed="false">
      <c r="B2951" s="7" t="s">
        <v>3448</v>
      </c>
      <c r="C2951" s="39" t="n">
        <v>45805</v>
      </c>
      <c r="D2951" s="7" t="s">
        <v>357</v>
      </c>
      <c r="E2951" s="7" t="s">
        <v>154</v>
      </c>
      <c r="F2951" s="7" t="s">
        <v>207</v>
      </c>
      <c r="G2951" s="7" t="s">
        <v>505</v>
      </c>
      <c r="H2951" s="6" t="n">
        <v>3.03</v>
      </c>
      <c r="I2951" s="6" t="n">
        <v>0.091</v>
      </c>
      <c r="J2951" s="40" t="n">
        <f aca="false">H2951-I2951</f>
        <v>2.939</v>
      </c>
      <c r="K2951" s="41" t="n">
        <v>26.5</v>
      </c>
      <c r="L2951" s="42" t="n">
        <f aca="false">J2951*K2951</f>
        <v>77.8835</v>
      </c>
      <c r="M2951" s="43" t="n">
        <f aca="false">H2951*16.65*(1+'Chart of Accounts'!$E$67)</f>
        <v>57.7646775</v>
      </c>
    </row>
    <row r="2952" customFormat="false" ht="15" hidden="false" customHeight="false" outlineLevel="0" collapsed="false">
      <c r="B2952" s="7" t="s">
        <v>3449</v>
      </c>
      <c r="C2952" s="39" t="n">
        <v>45805</v>
      </c>
      <c r="D2952" s="7" t="s">
        <v>359</v>
      </c>
      <c r="E2952" s="7" t="s">
        <v>156</v>
      </c>
      <c r="F2952" s="7" t="s">
        <v>212</v>
      </c>
      <c r="G2952" s="7" t="s">
        <v>505</v>
      </c>
      <c r="H2952" s="6" t="n">
        <v>3.68</v>
      </c>
      <c r="I2952" s="6" t="n">
        <v>0</v>
      </c>
      <c r="J2952" s="40" t="n">
        <f aca="false">H2952-I2952</f>
        <v>3.68</v>
      </c>
      <c r="K2952" s="41" t="n">
        <v>34</v>
      </c>
      <c r="L2952" s="42" t="n">
        <f aca="false">J2952*K2952</f>
        <v>125.12</v>
      </c>
      <c r="M2952" s="43" t="n">
        <f aca="false">H2952*16.71*(1+'Chart of Accounts'!$E$67)</f>
        <v>70.409256</v>
      </c>
    </row>
    <row r="2953" customFormat="false" ht="15" hidden="false" customHeight="false" outlineLevel="0" collapsed="false">
      <c r="B2953" s="7" t="s">
        <v>3450</v>
      </c>
      <c r="C2953" s="39" t="n">
        <v>45805</v>
      </c>
      <c r="D2953" s="7" t="s">
        <v>365</v>
      </c>
      <c r="E2953" s="7" t="s">
        <v>154</v>
      </c>
      <c r="F2953" s="7" t="s">
        <v>194</v>
      </c>
      <c r="G2953" s="7" t="s">
        <v>505</v>
      </c>
      <c r="H2953" s="6" t="n">
        <v>3.82</v>
      </c>
      <c r="I2953" s="6" t="n">
        <v>0</v>
      </c>
      <c r="J2953" s="40" t="n">
        <f aca="false">H2953-I2953</f>
        <v>3.82</v>
      </c>
      <c r="K2953" s="41" t="n">
        <v>26.5</v>
      </c>
      <c r="L2953" s="42" t="n">
        <f aca="false">J2953*K2953</f>
        <v>101.23</v>
      </c>
      <c r="M2953" s="43" t="n">
        <f aca="false">H2953*16*(1+'Chart of Accounts'!$E$67)</f>
        <v>69.9824</v>
      </c>
    </row>
    <row r="2954" customFormat="false" ht="15" hidden="false" customHeight="false" outlineLevel="0" collapsed="false">
      <c r="B2954" s="7" t="s">
        <v>3451</v>
      </c>
      <c r="C2954" s="39" t="n">
        <v>45805</v>
      </c>
      <c r="D2954" s="7" t="s">
        <v>371</v>
      </c>
      <c r="E2954" s="7" t="s">
        <v>154</v>
      </c>
      <c r="F2954" s="7" t="s">
        <v>232</v>
      </c>
      <c r="G2954" s="7" t="s">
        <v>505</v>
      </c>
      <c r="H2954" s="6" t="n">
        <v>4.72</v>
      </c>
      <c r="I2954" s="6" t="n">
        <v>0</v>
      </c>
      <c r="J2954" s="40" t="n">
        <f aca="false">H2954-I2954</f>
        <v>4.72</v>
      </c>
      <c r="K2954" s="41" t="n">
        <v>26.5</v>
      </c>
      <c r="L2954" s="42" t="n">
        <f aca="false">J2954*K2954</f>
        <v>125.08</v>
      </c>
      <c r="M2954" s="43" t="n">
        <f aca="false">H2954*16.17*(1+'Chart of Accounts'!$E$67)</f>
        <v>87.389148</v>
      </c>
    </row>
    <row r="2955" customFormat="false" ht="15" hidden="false" customHeight="false" outlineLevel="0" collapsed="false">
      <c r="B2955" s="7" t="s">
        <v>3452</v>
      </c>
      <c r="C2955" s="39" t="n">
        <v>45805</v>
      </c>
      <c r="D2955" s="7" t="s">
        <v>379</v>
      </c>
      <c r="E2955" s="7" t="s">
        <v>156</v>
      </c>
      <c r="F2955" s="7" t="s">
        <v>224</v>
      </c>
      <c r="G2955" s="7" t="s">
        <v>505</v>
      </c>
      <c r="H2955" s="6" t="n">
        <v>4.57</v>
      </c>
      <c r="I2955" s="6" t="n">
        <v>0</v>
      </c>
      <c r="J2955" s="40" t="n">
        <f aca="false">H2955-I2955</f>
        <v>4.57</v>
      </c>
      <c r="K2955" s="41" t="n">
        <v>34</v>
      </c>
      <c r="L2955" s="42" t="n">
        <f aca="false">J2955*K2955</f>
        <v>155.38</v>
      </c>
      <c r="M2955" s="43" t="n">
        <f aca="false">H2955*14.93*(1+'Chart of Accounts'!$E$67)</f>
        <v>78.1234645</v>
      </c>
    </row>
    <row r="2956" customFormat="false" ht="15" hidden="false" customHeight="false" outlineLevel="0" collapsed="false">
      <c r="B2956" s="7" t="s">
        <v>3453</v>
      </c>
      <c r="C2956" s="39" t="n">
        <v>45805</v>
      </c>
      <c r="D2956" s="7" t="s">
        <v>385</v>
      </c>
      <c r="E2956" s="7" t="s">
        <v>156</v>
      </c>
      <c r="F2956" s="7" t="s">
        <v>238</v>
      </c>
      <c r="G2956" s="7" t="s">
        <v>505</v>
      </c>
      <c r="H2956" s="6" t="n">
        <v>4.28</v>
      </c>
      <c r="I2956" s="6" t="n">
        <v>0</v>
      </c>
      <c r="J2956" s="40" t="n">
        <f aca="false">H2956-I2956</f>
        <v>4.28</v>
      </c>
      <c r="K2956" s="41" t="n">
        <v>34</v>
      </c>
      <c r="L2956" s="42" t="n">
        <f aca="false">J2956*K2956</f>
        <v>145.52</v>
      </c>
      <c r="M2956" s="43" t="n">
        <f aca="false">H2956*15.85*(1+'Chart of Accounts'!$E$67)</f>
        <v>77.67451</v>
      </c>
    </row>
    <row r="2957" customFormat="false" ht="15" hidden="false" customHeight="false" outlineLevel="0" collapsed="false">
      <c r="B2957" s="7" t="s">
        <v>3454</v>
      </c>
      <c r="C2957" s="39" t="n">
        <v>45805</v>
      </c>
      <c r="D2957" s="7" t="s">
        <v>389</v>
      </c>
      <c r="E2957" s="7" t="s">
        <v>154</v>
      </c>
      <c r="F2957" s="7" t="s">
        <v>246</v>
      </c>
      <c r="G2957" s="7" t="s">
        <v>505</v>
      </c>
      <c r="H2957" s="6" t="n">
        <v>3.9</v>
      </c>
      <c r="I2957" s="6" t="n">
        <v>0.117</v>
      </c>
      <c r="J2957" s="40" t="n">
        <f aca="false">H2957-I2957</f>
        <v>3.783</v>
      </c>
      <c r="K2957" s="41" t="n">
        <v>26.5</v>
      </c>
      <c r="L2957" s="42" t="n">
        <f aca="false">J2957*K2957</f>
        <v>100.2495</v>
      </c>
      <c r="M2957" s="43" t="n">
        <f aca="false">H2957*16.48*(1+'Chart of Accounts'!$E$67)</f>
        <v>73.59144</v>
      </c>
    </row>
    <row r="2958" customFormat="false" ht="15" hidden="false" customHeight="false" outlineLevel="0" collapsed="false">
      <c r="B2958" s="7" t="s">
        <v>3455</v>
      </c>
      <c r="C2958" s="39" t="n">
        <v>45805</v>
      </c>
      <c r="D2958" s="7" t="s">
        <v>393</v>
      </c>
      <c r="E2958" s="7" t="s">
        <v>157</v>
      </c>
      <c r="F2958" s="7" t="s">
        <v>203</v>
      </c>
      <c r="G2958" s="7" t="s">
        <v>502</v>
      </c>
      <c r="H2958" s="6" t="n">
        <v>1.1</v>
      </c>
      <c r="I2958" s="6" t="n">
        <v>0</v>
      </c>
      <c r="J2958" s="40" t="n">
        <f aca="false">H2958-I2958</f>
        <v>1.1</v>
      </c>
      <c r="K2958" s="41" t="n">
        <v>165</v>
      </c>
      <c r="L2958" s="42" t="n">
        <f aca="false">J2958*K2958</f>
        <v>181.5</v>
      </c>
      <c r="M2958" s="43" t="n">
        <f aca="false">H2958*49.43*(1+'Chart of Accounts'!$E$67)</f>
        <v>62.257085</v>
      </c>
    </row>
    <row r="2959" customFormat="false" ht="15" hidden="false" customHeight="false" outlineLevel="0" collapsed="false">
      <c r="B2959" s="7" t="s">
        <v>3456</v>
      </c>
      <c r="C2959" s="39" t="n">
        <v>45805</v>
      </c>
      <c r="D2959" s="7" t="s">
        <v>395</v>
      </c>
      <c r="E2959" s="7" t="s">
        <v>156</v>
      </c>
      <c r="F2959" s="7" t="s">
        <v>242</v>
      </c>
      <c r="G2959" s="7" t="s">
        <v>505</v>
      </c>
      <c r="H2959" s="6" t="n">
        <v>3.78</v>
      </c>
      <c r="I2959" s="6" t="n">
        <v>0</v>
      </c>
      <c r="J2959" s="40" t="n">
        <f aca="false">H2959-I2959</f>
        <v>3.78</v>
      </c>
      <c r="K2959" s="41" t="n">
        <v>34</v>
      </c>
      <c r="L2959" s="42" t="n">
        <f aca="false">J2959*K2959</f>
        <v>128.52</v>
      </c>
      <c r="M2959" s="43" t="n">
        <f aca="false">H2959*17.99*(1+'Chart of Accounts'!$E$67)</f>
        <v>77.862519</v>
      </c>
    </row>
    <row r="2960" customFormat="false" ht="15" hidden="false" customHeight="false" outlineLevel="0" collapsed="false">
      <c r="B2960" s="7" t="s">
        <v>3457</v>
      </c>
      <c r="C2960" s="39" t="n">
        <v>45805</v>
      </c>
      <c r="D2960" s="7" t="s">
        <v>399</v>
      </c>
      <c r="E2960" s="7" t="s">
        <v>154</v>
      </c>
      <c r="F2960" s="7" t="s">
        <v>246</v>
      </c>
      <c r="G2960" s="7" t="s">
        <v>505</v>
      </c>
      <c r="H2960" s="6" t="n">
        <v>3.54</v>
      </c>
      <c r="I2960" s="6" t="n">
        <v>0</v>
      </c>
      <c r="J2960" s="40" t="n">
        <f aca="false">H2960-I2960</f>
        <v>3.54</v>
      </c>
      <c r="K2960" s="41" t="n">
        <v>26.5</v>
      </c>
      <c r="L2960" s="42" t="n">
        <f aca="false">J2960*K2960</f>
        <v>93.81</v>
      </c>
      <c r="M2960" s="43" t="n">
        <f aca="false">H2960*16.48*(1+'Chart of Accounts'!$E$67)</f>
        <v>66.798384</v>
      </c>
    </row>
    <row r="2961" customFormat="false" ht="15" hidden="false" customHeight="false" outlineLevel="0" collapsed="false">
      <c r="B2961" s="7" t="s">
        <v>3458</v>
      </c>
      <c r="C2961" s="39" t="n">
        <v>45805</v>
      </c>
      <c r="D2961" s="7" t="s">
        <v>401</v>
      </c>
      <c r="E2961" s="7" t="s">
        <v>156</v>
      </c>
      <c r="F2961" s="7" t="s">
        <v>254</v>
      </c>
      <c r="G2961" s="7" t="s">
        <v>505</v>
      </c>
      <c r="H2961" s="6" t="n">
        <v>4.35</v>
      </c>
      <c r="I2961" s="6" t="n">
        <v>0</v>
      </c>
      <c r="J2961" s="40" t="n">
        <f aca="false">H2961-I2961</f>
        <v>4.35</v>
      </c>
      <c r="K2961" s="41" t="n">
        <v>34</v>
      </c>
      <c r="L2961" s="42" t="n">
        <f aca="false">J2961*K2961</f>
        <v>147.9</v>
      </c>
      <c r="M2961" s="43" t="n">
        <f aca="false">H2961*17.1*(1+'Chart of Accounts'!$E$67)</f>
        <v>85.170825</v>
      </c>
    </row>
    <row r="2962" customFormat="false" ht="15" hidden="false" customHeight="false" outlineLevel="0" collapsed="false">
      <c r="B2962" s="7" t="s">
        <v>3459</v>
      </c>
      <c r="C2962" s="39" t="n">
        <v>45805</v>
      </c>
      <c r="D2962" s="7" t="s">
        <v>409</v>
      </c>
      <c r="E2962" s="7" t="s">
        <v>154</v>
      </c>
      <c r="F2962" s="7" t="s">
        <v>214</v>
      </c>
      <c r="G2962" s="7" t="s">
        <v>505</v>
      </c>
      <c r="H2962" s="6" t="n">
        <v>3.52</v>
      </c>
      <c r="I2962" s="6" t="n">
        <v>0</v>
      </c>
      <c r="J2962" s="40" t="n">
        <f aca="false">H2962-I2962</f>
        <v>3.52</v>
      </c>
      <c r="K2962" s="41" t="n">
        <v>26.5</v>
      </c>
      <c r="L2962" s="42" t="n">
        <f aca="false">J2962*K2962</f>
        <v>93.28</v>
      </c>
      <c r="M2962" s="43" t="n">
        <f aca="false">H2962*15.67*(1+'Chart of Accounts'!$E$67)</f>
        <v>63.156368</v>
      </c>
    </row>
    <row r="2963" customFormat="false" ht="15" hidden="false" customHeight="false" outlineLevel="0" collapsed="false">
      <c r="B2963" s="7" t="s">
        <v>3460</v>
      </c>
      <c r="C2963" s="39" t="n">
        <v>45805</v>
      </c>
      <c r="D2963" s="7" t="s">
        <v>411</v>
      </c>
      <c r="E2963" s="7" t="s">
        <v>154</v>
      </c>
      <c r="F2963" s="7" t="s">
        <v>177</v>
      </c>
      <c r="G2963" s="7" t="s">
        <v>505</v>
      </c>
      <c r="H2963" s="6" t="n">
        <v>4.27</v>
      </c>
      <c r="I2963" s="6" t="n">
        <v>0</v>
      </c>
      <c r="J2963" s="40" t="n">
        <f aca="false">H2963-I2963</f>
        <v>4.27</v>
      </c>
      <c r="K2963" s="41" t="n">
        <v>26.5</v>
      </c>
      <c r="L2963" s="42" t="n">
        <f aca="false">J2963*K2963</f>
        <v>113.155</v>
      </c>
      <c r="M2963" s="43" t="n">
        <f aca="false">H2963*14.56*(1+'Chart of Accounts'!$E$67)</f>
        <v>71.186024</v>
      </c>
    </row>
    <row r="2964" customFormat="false" ht="15" hidden="false" customHeight="false" outlineLevel="0" collapsed="false">
      <c r="B2964" s="7" t="s">
        <v>3461</v>
      </c>
      <c r="C2964" s="39" t="n">
        <v>45806</v>
      </c>
      <c r="D2964" s="7" t="s">
        <v>288</v>
      </c>
      <c r="E2964" s="7" t="s">
        <v>156</v>
      </c>
      <c r="F2964" s="7" t="s">
        <v>191</v>
      </c>
      <c r="G2964" s="7" t="s">
        <v>505</v>
      </c>
      <c r="H2964" s="6" t="n">
        <v>4.25</v>
      </c>
      <c r="I2964" s="6" t="n">
        <v>0</v>
      </c>
      <c r="J2964" s="40" t="n">
        <f aca="false">H2964-I2964</f>
        <v>4.25</v>
      </c>
      <c r="K2964" s="41" t="n">
        <v>34</v>
      </c>
      <c r="L2964" s="42" t="n">
        <f aca="false">J2964*K2964</f>
        <v>144.5</v>
      </c>
      <c r="M2964" s="43" t="n">
        <f aca="false">H2964*16.05*(1+'Chart of Accounts'!$E$67)</f>
        <v>78.1033125</v>
      </c>
    </row>
    <row r="2965" customFormat="false" ht="15" hidden="false" customHeight="false" outlineLevel="0" collapsed="false">
      <c r="B2965" s="7" t="s">
        <v>3462</v>
      </c>
      <c r="C2965" s="39" t="n">
        <v>45806</v>
      </c>
      <c r="D2965" s="7" t="s">
        <v>297</v>
      </c>
      <c r="E2965" s="7" t="s">
        <v>156</v>
      </c>
      <c r="F2965" s="7" t="s">
        <v>201</v>
      </c>
      <c r="G2965" s="7" t="s">
        <v>505</v>
      </c>
      <c r="H2965" s="6" t="n">
        <v>2.78</v>
      </c>
      <c r="I2965" s="6" t="n">
        <v>0</v>
      </c>
      <c r="J2965" s="40" t="n">
        <f aca="false">H2965-I2965</f>
        <v>2.78</v>
      </c>
      <c r="K2965" s="41" t="n">
        <v>34</v>
      </c>
      <c r="L2965" s="42" t="n">
        <f aca="false">J2965*K2965</f>
        <v>94.52</v>
      </c>
      <c r="M2965" s="43" t="n">
        <f aca="false">H2965*15.19*(1+'Chart of Accounts'!$E$67)</f>
        <v>48.351289</v>
      </c>
    </row>
    <row r="2966" customFormat="false" ht="15" hidden="false" customHeight="false" outlineLevel="0" collapsed="false">
      <c r="B2966" s="7" t="s">
        <v>3463</v>
      </c>
      <c r="C2966" s="39" t="n">
        <v>45806</v>
      </c>
      <c r="D2966" s="7" t="s">
        <v>311</v>
      </c>
      <c r="E2966" s="7" t="s">
        <v>154</v>
      </c>
      <c r="F2966" s="7" t="s">
        <v>196</v>
      </c>
      <c r="G2966" s="7" t="s">
        <v>505</v>
      </c>
      <c r="H2966" s="6" t="n">
        <v>3.22</v>
      </c>
      <c r="I2966" s="6" t="n">
        <v>0</v>
      </c>
      <c r="J2966" s="40" t="n">
        <f aca="false">H2966-I2966</f>
        <v>3.22</v>
      </c>
      <c r="K2966" s="41" t="n">
        <v>26.5</v>
      </c>
      <c r="L2966" s="42" t="n">
        <f aca="false">J2966*K2966</f>
        <v>85.33</v>
      </c>
      <c r="M2966" s="43" t="n">
        <f aca="false">H2966*15.05*(1+'Chart of Accounts'!$E$67)</f>
        <v>55.487845</v>
      </c>
    </row>
    <row r="2967" customFormat="false" ht="15" hidden="false" customHeight="false" outlineLevel="0" collapsed="false">
      <c r="B2967" s="7" t="s">
        <v>3464</v>
      </c>
      <c r="C2967" s="39" t="n">
        <v>45806</v>
      </c>
      <c r="D2967" s="7" t="s">
        <v>313</v>
      </c>
      <c r="E2967" s="7" t="s">
        <v>156</v>
      </c>
      <c r="F2967" s="7" t="s">
        <v>184</v>
      </c>
      <c r="G2967" s="7" t="s">
        <v>505</v>
      </c>
      <c r="H2967" s="6" t="n">
        <v>4.37</v>
      </c>
      <c r="I2967" s="6" t="n">
        <v>0</v>
      </c>
      <c r="J2967" s="40" t="n">
        <f aca="false">H2967-I2967</f>
        <v>4.37</v>
      </c>
      <c r="K2967" s="41" t="n">
        <v>34</v>
      </c>
      <c r="L2967" s="42" t="n">
        <f aca="false">J2967*K2967</f>
        <v>148.58</v>
      </c>
      <c r="M2967" s="43" t="n">
        <f aca="false">H2967*17.34*(1+'Chart of Accounts'!$E$67)</f>
        <v>86.763291</v>
      </c>
    </row>
    <row r="2968" customFormat="false" ht="15" hidden="false" customHeight="false" outlineLevel="0" collapsed="false">
      <c r="B2968" s="7" t="s">
        <v>3465</v>
      </c>
      <c r="C2968" s="39" t="n">
        <v>45806</v>
      </c>
      <c r="D2968" s="7" t="s">
        <v>317</v>
      </c>
      <c r="E2968" s="7" t="s">
        <v>156</v>
      </c>
      <c r="F2968" s="7" t="s">
        <v>207</v>
      </c>
      <c r="G2968" s="7" t="s">
        <v>505</v>
      </c>
      <c r="H2968" s="6" t="n">
        <v>2.77</v>
      </c>
      <c r="I2968" s="6" t="n">
        <v>0</v>
      </c>
      <c r="J2968" s="40" t="n">
        <f aca="false">H2968-I2968</f>
        <v>2.77</v>
      </c>
      <c r="K2968" s="41" t="n">
        <v>34</v>
      </c>
      <c r="L2968" s="42" t="n">
        <f aca="false">J2968*K2968</f>
        <v>94.18</v>
      </c>
      <c r="M2968" s="43" t="n">
        <f aca="false">H2968*16.65*(1+'Chart of Accounts'!$E$67)</f>
        <v>52.8079725</v>
      </c>
    </row>
    <row r="2969" customFormat="false" ht="15" hidden="false" customHeight="false" outlineLevel="0" collapsed="false">
      <c r="B2969" s="7" t="s">
        <v>3466</v>
      </c>
      <c r="C2969" s="39" t="n">
        <v>45806</v>
      </c>
      <c r="D2969" s="7" t="s">
        <v>321</v>
      </c>
      <c r="E2969" s="7" t="s">
        <v>154</v>
      </c>
      <c r="F2969" s="7" t="s">
        <v>218</v>
      </c>
      <c r="G2969" s="7" t="s">
        <v>505</v>
      </c>
      <c r="H2969" s="6" t="n">
        <v>4.13</v>
      </c>
      <c r="I2969" s="6" t="n">
        <v>0</v>
      </c>
      <c r="J2969" s="40" t="n">
        <f aca="false">H2969-I2969</f>
        <v>4.13</v>
      </c>
      <c r="K2969" s="41" t="n">
        <v>26.5</v>
      </c>
      <c r="L2969" s="42" t="n">
        <f aca="false">J2969*K2969</f>
        <v>109.445</v>
      </c>
      <c r="M2969" s="43" t="n">
        <f aca="false">H2969*16.19*(1+'Chart of Accounts'!$E$67)</f>
        <v>76.5600815</v>
      </c>
    </row>
    <row r="2970" customFormat="false" ht="15" hidden="false" customHeight="false" outlineLevel="0" collapsed="false">
      <c r="B2970" s="7" t="s">
        <v>3467</v>
      </c>
      <c r="C2970" s="39" t="n">
        <v>45806</v>
      </c>
      <c r="D2970" s="7" t="s">
        <v>325</v>
      </c>
      <c r="E2970" s="7" t="s">
        <v>154</v>
      </c>
      <c r="F2970" s="7" t="s">
        <v>212</v>
      </c>
      <c r="G2970" s="7" t="s">
        <v>505</v>
      </c>
      <c r="H2970" s="6" t="n">
        <v>3.14</v>
      </c>
      <c r="I2970" s="6" t="n">
        <v>0</v>
      </c>
      <c r="J2970" s="40" t="n">
        <f aca="false">H2970-I2970</f>
        <v>3.14</v>
      </c>
      <c r="K2970" s="41" t="n">
        <v>26.5</v>
      </c>
      <c r="L2970" s="42" t="n">
        <f aca="false">J2970*K2970</f>
        <v>83.21</v>
      </c>
      <c r="M2970" s="43" t="n">
        <f aca="false">H2970*16.71*(1+'Chart of Accounts'!$E$67)</f>
        <v>60.077463</v>
      </c>
    </row>
    <row r="2971" customFormat="false" ht="15" hidden="false" customHeight="false" outlineLevel="0" collapsed="false">
      <c r="B2971" s="7" t="s">
        <v>3468</v>
      </c>
      <c r="C2971" s="39" t="n">
        <v>45806</v>
      </c>
      <c r="D2971" s="7" t="s">
        <v>329</v>
      </c>
      <c r="E2971" s="7" t="s">
        <v>156</v>
      </c>
      <c r="F2971" s="7" t="s">
        <v>220</v>
      </c>
      <c r="G2971" s="7" t="s">
        <v>505</v>
      </c>
      <c r="H2971" s="6" t="n">
        <v>3.84</v>
      </c>
      <c r="I2971" s="6" t="n">
        <v>0</v>
      </c>
      <c r="J2971" s="40" t="n">
        <f aca="false">H2971-I2971</f>
        <v>3.84</v>
      </c>
      <c r="K2971" s="41" t="n">
        <v>34</v>
      </c>
      <c r="L2971" s="42" t="n">
        <f aca="false">J2971*K2971</f>
        <v>130.56</v>
      </c>
      <c r="M2971" s="43" t="n">
        <f aca="false">H2971*16.43*(1+'Chart of Accounts'!$E$67)</f>
        <v>72.239424</v>
      </c>
    </row>
    <row r="2972" customFormat="false" ht="15" hidden="false" customHeight="false" outlineLevel="0" collapsed="false">
      <c r="B2972" s="7" t="s">
        <v>3469</v>
      </c>
      <c r="C2972" s="39" t="n">
        <v>45806</v>
      </c>
      <c r="D2972" s="7" t="s">
        <v>331</v>
      </c>
      <c r="E2972" s="7" t="s">
        <v>156</v>
      </c>
      <c r="F2972" s="7" t="s">
        <v>224</v>
      </c>
      <c r="G2972" s="7" t="s">
        <v>505</v>
      </c>
      <c r="H2972" s="6" t="n">
        <v>4.3</v>
      </c>
      <c r="I2972" s="6" t="n">
        <v>0</v>
      </c>
      <c r="J2972" s="40" t="n">
        <f aca="false">H2972-I2972</f>
        <v>4.3</v>
      </c>
      <c r="K2972" s="41" t="n">
        <v>34</v>
      </c>
      <c r="L2972" s="42" t="n">
        <f aca="false">J2972*K2972</f>
        <v>146.2</v>
      </c>
      <c r="M2972" s="43" t="n">
        <f aca="false">H2972*14.93*(1+'Chart of Accounts'!$E$67)</f>
        <v>73.507855</v>
      </c>
    </row>
    <row r="2973" customFormat="false" ht="15" hidden="false" customHeight="false" outlineLevel="0" collapsed="false">
      <c r="B2973" s="7" t="s">
        <v>3470</v>
      </c>
      <c r="C2973" s="39" t="n">
        <v>45806</v>
      </c>
      <c r="D2973" s="7" t="s">
        <v>337</v>
      </c>
      <c r="E2973" s="7" t="s">
        <v>154</v>
      </c>
      <c r="F2973" s="7" t="s">
        <v>232</v>
      </c>
      <c r="G2973" s="7" t="s">
        <v>505</v>
      </c>
      <c r="H2973" s="6" t="n">
        <v>2.82</v>
      </c>
      <c r="I2973" s="6" t="n">
        <v>0</v>
      </c>
      <c r="J2973" s="40" t="n">
        <f aca="false">H2973-I2973</f>
        <v>2.82</v>
      </c>
      <c r="K2973" s="41" t="n">
        <v>26.5</v>
      </c>
      <c r="L2973" s="42" t="n">
        <f aca="false">J2973*K2973</f>
        <v>74.73</v>
      </c>
      <c r="M2973" s="43" t="n">
        <f aca="false">H2973*16.17*(1+'Chart of Accounts'!$E$67)</f>
        <v>52.211313</v>
      </c>
    </row>
    <row r="2974" customFormat="false" ht="15" hidden="false" customHeight="false" outlineLevel="0" collapsed="false">
      <c r="B2974" s="7" t="s">
        <v>3471</v>
      </c>
      <c r="C2974" s="39" t="n">
        <v>45806</v>
      </c>
      <c r="D2974" s="7" t="s">
        <v>343</v>
      </c>
      <c r="E2974" s="7" t="s">
        <v>154</v>
      </c>
      <c r="F2974" s="7" t="s">
        <v>238</v>
      </c>
      <c r="G2974" s="7" t="s">
        <v>505</v>
      </c>
      <c r="H2974" s="6" t="n">
        <v>3.97</v>
      </c>
      <c r="I2974" s="6" t="n">
        <v>0.119</v>
      </c>
      <c r="J2974" s="40" t="n">
        <f aca="false">H2974-I2974</f>
        <v>3.851</v>
      </c>
      <c r="K2974" s="41" t="n">
        <v>26.5</v>
      </c>
      <c r="L2974" s="42" t="n">
        <f aca="false">J2974*K2974</f>
        <v>102.0515</v>
      </c>
      <c r="M2974" s="43" t="n">
        <f aca="false">H2974*15.85*(1+'Chart of Accounts'!$E$67)</f>
        <v>72.0485525</v>
      </c>
    </row>
    <row r="2975" customFormat="false" ht="15" hidden="false" customHeight="false" outlineLevel="0" collapsed="false">
      <c r="B2975" s="7" t="s">
        <v>3472</v>
      </c>
      <c r="C2975" s="39" t="n">
        <v>45806</v>
      </c>
      <c r="D2975" s="7" t="s">
        <v>351</v>
      </c>
      <c r="E2975" s="7" t="s">
        <v>154</v>
      </c>
      <c r="F2975" s="7" t="s">
        <v>201</v>
      </c>
      <c r="G2975" s="7" t="s">
        <v>505</v>
      </c>
      <c r="H2975" s="6" t="n">
        <v>2.83</v>
      </c>
      <c r="I2975" s="6" t="n">
        <v>0</v>
      </c>
      <c r="J2975" s="40" t="n">
        <f aca="false">H2975-I2975</f>
        <v>2.83</v>
      </c>
      <c r="K2975" s="41" t="n">
        <v>26.5</v>
      </c>
      <c r="L2975" s="42" t="n">
        <f aca="false">J2975*K2975</f>
        <v>74.995</v>
      </c>
      <c r="M2975" s="43" t="n">
        <f aca="false">H2975*15.19*(1+'Chart of Accounts'!$E$67)</f>
        <v>49.2209165</v>
      </c>
    </row>
    <row r="2976" customFormat="false" ht="15" hidden="false" customHeight="false" outlineLevel="0" collapsed="false">
      <c r="B2976" s="7" t="s">
        <v>3473</v>
      </c>
      <c r="C2976" s="39" t="n">
        <v>45806</v>
      </c>
      <c r="D2976" s="7" t="s">
        <v>359</v>
      </c>
      <c r="E2976" s="7" t="s">
        <v>156</v>
      </c>
      <c r="F2976" s="7" t="s">
        <v>212</v>
      </c>
      <c r="G2976" s="7" t="s">
        <v>505</v>
      </c>
      <c r="H2976" s="6" t="n">
        <v>4.29</v>
      </c>
      <c r="I2976" s="6" t="n">
        <v>0</v>
      </c>
      <c r="J2976" s="40" t="n">
        <f aca="false">H2976-I2976</f>
        <v>4.29</v>
      </c>
      <c r="K2976" s="41" t="n">
        <v>34</v>
      </c>
      <c r="L2976" s="42" t="n">
        <f aca="false">J2976*K2976</f>
        <v>145.86</v>
      </c>
      <c r="M2976" s="43" t="n">
        <f aca="false">H2976*16.71*(1+'Chart of Accounts'!$E$67)</f>
        <v>82.0803555</v>
      </c>
    </row>
    <row r="2977" customFormat="false" ht="15" hidden="false" customHeight="false" outlineLevel="0" collapsed="false">
      <c r="B2977" s="7" t="s">
        <v>3474</v>
      </c>
      <c r="C2977" s="39" t="n">
        <v>45806</v>
      </c>
      <c r="D2977" s="7" t="s">
        <v>363</v>
      </c>
      <c r="E2977" s="7" t="s">
        <v>156</v>
      </c>
      <c r="F2977" s="7" t="s">
        <v>246</v>
      </c>
      <c r="G2977" s="7" t="s">
        <v>505</v>
      </c>
      <c r="H2977" s="6" t="n">
        <v>3.96</v>
      </c>
      <c r="I2977" s="6" t="n">
        <v>0</v>
      </c>
      <c r="J2977" s="40" t="n">
        <f aca="false">H2977-I2977</f>
        <v>3.96</v>
      </c>
      <c r="K2977" s="41" t="n">
        <v>34</v>
      </c>
      <c r="L2977" s="42" t="n">
        <f aca="false">J2977*K2977</f>
        <v>134.64</v>
      </c>
      <c r="M2977" s="43" t="n">
        <f aca="false">H2977*16.48*(1+'Chart of Accounts'!$E$67)</f>
        <v>74.723616</v>
      </c>
    </row>
    <row r="2978" customFormat="false" ht="15" hidden="false" customHeight="false" outlineLevel="0" collapsed="false">
      <c r="B2978" s="7" t="s">
        <v>3475</v>
      </c>
      <c r="C2978" s="39" t="n">
        <v>45806</v>
      </c>
      <c r="D2978" s="7" t="s">
        <v>365</v>
      </c>
      <c r="E2978" s="7" t="s">
        <v>154</v>
      </c>
      <c r="F2978" s="7" t="s">
        <v>194</v>
      </c>
      <c r="G2978" s="7" t="s">
        <v>505</v>
      </c>
      <c r="H2978" s="6" t="n">
        <v>4.33</v>
      </c>
      <c r="I2978" s="6" t="n">
        <v>0</v>
      </c>
      <c r="J2978" s="40" t="n">
        <f aca="false">H2978-I2978</f>
        <v>4.33</v>
      </c>
      <c r="K2978" s="41" t="n">
        <v>26.5</v>
      </c>
      <c r="L2978" s="42" t="n">
        <f aca="false">J2978*K2978</f>
        <v>114.745</v>
      </c>
      <c r="M2978" s="43" t="n">
        <f aca="false">H2978*16*(1+'Chart of Accounts'!$E$67)</f>
        <v>79.3256</v>
      </c>
    </row>
    <row r="2979" customFormat="false" ht="15" hidden="false" customHeight="false" outlineLevel="0" collapsed="false">
      <c r="B2979" s="7" t="s">
        <v>3476</v>
      </c>
      <c r="C2979" s="39" t="n">
        <v>45806</v>
      </c>
      <c r="D2979" s="7" t="s">
        <v>375</v>
      </c>
      <c r="E2979" s="7" t="s">
        <v>156</v>
      </c>
      <c r="F2979" s="7" t="s">
        <v>196</v>
      </c>
      <c r="G2979" s="7" t="s">
        <v>505</v>
      </c>
      <c r="H2979" s="6" t="n">
        <v>3.29</v>
      </c>
      <c r="I2979" s="6" t="n">
        <v>0</v>
      </c>
      <c r="J2979" s="40" t="n">
        <f aca="false">H2979-I2979</f>
        <v>3.29</v>
      </c>
      <c r="K2979" s="41" t="n">
        <v>34</v>
      </c>
      <c r="L2979" s="42" t="n">
        <f aca="false">J2979*K2979</f>
        <v>111.86</v>
      </c>
      <c r="M2979" s="43" t="n">
        <f aca="false">H2979*15.05*(1+'Chart of Accounts'!$E$67)</f>
        <v>56.6941025</v>
      </c>
    </row>
    <row r="2980" customFormat="false" ht="15" hidden="false" customHeight="false" outlineLevel="0" collapsed="false">
      <c r="B2980" s="7" t="s">
        <v>3477</v>
      </c>
      <c r="C2980" s="39" t="n">
        <v>45806</v>
      </c>
      <c r="D2980" s="7" t="s">
        <v>377</v>
      </c>
      <c r="E2980" s="7" t="s">
        <v>154</v>
      </c>
      <c r="F2980" s="7" t="s">
        <v>214</v>
      </c>
      <c r="G2980" s="7" t="s">
        <v>505</v>
      </c>
      <c r="H2980" s="6" t="n">
        <v>4.22</v>
      </c>
      <c r="I2980" s="6" t="n">
        <v>0</v>
      </c>
      <c r="J2980" s="40" t="n">
        <f aca="false">H2980-I2980</f>
        <v>4.22</v>
      </c>
      <c r="K2980" s="41" t="n">
        <v>26.5</v>
      </c>
      <c r="L2980" s="42" t="n">
        <f aca="false">J2980*K2980</f>
        <v>111.83</v>
      </c>
      <c r="M2980" s="43" t="n">
        <f aca="false">H2980*15.67*(1+'Chart of Accounts'!$E$67)</f>
        <v>75.715873</v>
      </c>
    </row>
    <row r="2981" customFormat="false" ht="15" hidden="false" customHeight="false" outlineLevel="0" collapsed="false">
      <c r="B2981" s="7" t="s">
        <v>3478</v>
      </c>
      <c r="C2981" s="39" t="n">
        <v>45806</v>
      </c>
      <c r="D2981" s="7" t="s">
        <v>389</v>
      </c>
      <c r="E2981" s="7" t="s">
        <v>154</v>
      </c>
      <c r="F2981" s="7" t="s">
        <v>246</v>
      </c>
      <c r="G2981" s="7" t="s">
        <v>505</v>
      </c>
      <c r="H2981" s="6" t="n">
        <v>3.73</v>
      </c>
      <c r="I2981" s="6" t="n">
        <v>0</v>
      </c>
      <c r="J2981" s="40" t="n">
        <f aca="false">H2981-I2981</f>
        <v>3.73</v>
      </c>
      <c r="K2981" s="41" t="n">
        <v>26.5</v>
      </c>
      <c r="L2981" s="42" t="n">
        <f aca="false">J2981*K2981</f>
        <v>98.845</v>
      </c>
      <c r="M2981" s="43" t="n">
        <f aca="false">H2981*16.48*(1+'Chart of Accounts'!$E$67)</f>
        <v>70.383608</v>
      </c>
    </row>
    <row r="2982" customFormat="false" ht="15" hidden="false" customHeight="false" outlineLevel="0" collapsed="false">
      <c r="B2982" s="7" t="s">
        <v>3479</v>
      </c>
      <c r="C2982" s="39" t="n">
        <v>45806</v>
      </c>
      <c r="D2982" s="7" t="s">
        <v>391</v>
      </c>
      <c r="E2982" s="7" t="s">
        <v>156</v>
      </c>
      <c r="F2982" s="7" t="s">
        <v>222</v>
      </c>
      <c r="G2982" s="7" t="s">
        <v>505</v>
      </c>
      <c r="H2982" s="6" t="n">
        <v>4.12</v>
      </c>
      <c r="I2982" s="6" t="n">
        <v>0</v>
      </c>
      <c r="J2982" s="40" t="n">
        <f aca="false">H2982-I2982</f>
        <v>4.12</v>
      </c>
      <c r="K2982" s="41" t="n">
        <v>34</v>
      </c>
      <c r="L2982" s="42" t="n">
        <f aca="false">J2982*K2982</f>
        <v>140.08</v>
      </c>
      <c r="M2982" s="43" t="n">
        <f aca="false">H2982*17.84*(1+'Chart of Accounts'!$E$67)</f>
        <v>84.158416</v>
      </c>
    </row>
    <row r="2983" customFormat="false" ht="15" hidden="false" customHeight="false" outlineLevel="0" collapsed="false">
      <c r="B2983" s="7" t="s">
        <v>3480</v>
      </c>
      <c r="C2983" s="39" t="n">
        <v>45806</v>
      </c>
      <c r="D2983" s="7" t="s">
        <v>395</v>
      </c>
      <c r="E2983" s="7" t="s">
        <v>156</v>
      </c>
      <c r="F2983" s="7" t="s">
        <v>242</v>
      </c>
      <c r="G2983" s="7" t="s">
        <v>505</v>
      </c>
      <c r="H2983" s="6" t="n">
        <v>4.2</v>
      </c>
      <c r="I2983" s="6" t="n">
        <v>0</v>
      </c>
      <c r="J2983" s="40" t="n">
        <f aca="false">H2983-I2983</f>
        <v>4.2</v>
      </c>
      <c r="K2983" s="41" t="n">
        <v>34</v>
      </c>
      <c r="L2983" s="42" t="n">
        <f aca="false">J2983*K2983</f>
        <v>142.8</v>
      </c>
      <c r="M2983" s="43" t="n">
        <f aca="false">H2983*17.99*(1+'Chart of Accounts'!$E$67)</f>
        <v>86.51391</v>
      </c>
    </row>
    <row r="2984" customFormat="false" ht="15" hidden="false" customHeight="false" outlineLevel="0" collapsed="false">
      <c r="B2984" s="7" t="s">
        <v>3481</v>
      </c>
      <c r="C2984" s="39" t="n">
        <v>45806</v>
      </c>
      <c r="D2984" s="7" t="s">
        <v>401</v>
      </c>
      <c r="E2984" s="7" t="s">
        <v>156</v>
      </c>
      <c r="F2984" s="7" t="s">
        <v>254</v>
      </c>
      <c r="G2984" s="7" t="s">
        <v>505</v>
      </c>
      <c r="H2984" s="6" t="n">
        <v>3.75</v>
      </c>
      <c r="I2984" s="6" t="n">
        <v>0</v>
      </c>
      <c r="J2984" s="40" t="n">
        <f aca="false">H2984-I2984</f>
        <v>3.75</v>
      </c>
      <c r="K2984" s="41" t="n">
        <v>34</v>
      </c>
      <c r="L2984" s="42" t="n">
        <f aca="false">J2984*K2984</f>
        <v>127.5</v>
      </c>
      <c r="M2984" s="43" t="n">
        <f aca="false">H2984*17.1*(1+'Chart of Accounts'!$E$67)</f>
        <v>73.423125</v>
      </c>
    </row>
    <row r="2985" customFormat="false" ht="15" hidden="false" customHeight="false" outlineLevel="0" collapsed="false">
      <c r="B2985" s="7" t="s">
        <v>3482</v>
      </c>
      <c r="C2985" s="39" t="n">
        <v>45807</v>
      </c>
      <c r="D2985" s="7" t="s">
        <v>280</v>
      </c>
      <c r="E2985" s="7" t="s">
        <v>157</v>
      </c>
      <c r="F2985" s="7" t="s">
        <v>187</v>
      </c>
      <c r="G2985" s="7" t="s">
        <v>502</v>
      </c>
      <c r="H2985" s="6" t="n">
        <v>0.99</v>
      </c>
      <c r="I2985" s="6" t="n">
        <v>0</v>
      </c>
      <c r="J2985" s="40" t="n">
        <f aca="false">H2985-I2985</f>
        <v>0.99</v>
      </c>
      <c r="K2985" s="41" t="n">
        <v>165</v>
      </c>
      <c r="L2985" s="42" t="n">
        <f aca="false">J2985*K2985</f>
        <v>163.35</v>
      </c>
      <c r="M2985" s="43" t="n">
        <f aca="false">H2985*66.48*(1+'Chart of Accounts'!$E$67)</f>
        <v>75.358404</v>
      </c>
    </row>
    <row r="2986" customFormat="false" ht="15" hidden="false" customHeight="false" outlineLevel="0" collapsed="false">
      <c r="B2986" s="7" t="s">
        <v>3483</v>
      </c>
      <c r="C2986" s="39" t="n">
        <v>45807</v>
      </c>
      <c r="D2986" s="7" t="s">
        <v>288</v>
      </c>
      <c r="E2986" s="7" t="s">
        <v>156</v>
      </c>
      <c r="F2986" s="7" t="s">
        <v>191</v>
      </c>
      <c r="G2986" s="7" t="s">
        <v>505</v>
      </c>
      <c r="H2986" s="6" t="n">
        <v>3.67</v>
      </c>
      <c r="I2986" s="6" t="n">
        <v>0</v>
      </c>
      <c r="J2986" s="40" t="n">
        <f aca="false">H2986-I2986</f>
        <v>3.67</v>
      </c>
      <c r="K2986" s="41" t="n">
        <v>34</v>
      </c>
      <c r="L2986" s="42" t="n">
        <f aca="false">J2986*K2986</f>
        <v>124.78</v>
      </c>
      <c r="M2986" s="43" t="n">
        <f aca="false">H2986*16.05*(1+'Chart of Accounts'!$E$67)</f>
        <v>67.4445075</v>
      </c>
    </row>
    <row r="2987" customFormat="false" ht="15" hidden="false" customHeight="false" outlineLevel="0" collapsed="false">
      <c r="B2987" s="7" t="s">
        <v>3484</v>
      </c>
      <c r="C2987" s="39" t="n">
        <v>45807</v>
      </c>
      <c r="D2987" s="7" t="s">
        <v>291</v>
      </c>
      <c r="E2987" s="7" t="s">
        <v>154</v>
      </c>
      <c r="F2987" s="7" t="s">
        <v>194</v>
      </c>
      <c r="G2987" s="7" t="s">
        <v>505</v>
      </c>
      <c r="H2987" s="6" t="n">
        <v>4.67</v>
      </c>
      <c r="I2987" s="6" t="n">
        <v>0.14</v>
      </c>
      <c r="J2987" s="40" t="n">
        <f aca="false">H2987-I2987</f>
        <v>4.53</v>
      </c>
      <c r="K2987" s="41" t="n">
        <v>26.5</v>
      </c>
      <c r="L2987" s="42" t="n">
        <f aca="false">J2987*K2987</f>
        <v>120.045</v>
      </c>
      <c r="M2987" s="43" t="n">
        <f aca="false">H2987*16*(1+'Chart of Accounts'!$E$67)</f>
        <v>85.5544</v>
      </c>
    </row>
    <row r="2988" customFormat="false" ht="15" hidden="false" customHeight="false" outlineLevel="0" collapsed="false">
      <c r="B2988" s="7" t="s">
        <v>3485</v>
      </c>
      <c r="C2988" s="39" t="n">
        <v>45807</v>
      </c>
      <c r="D2988" s="7" t="s">
        <v>301</v>
      </c>
      <c r="E2988" s="7" t="s">
        <v>157</v>
      </c>
      <c r="F2988" s="7" t="s">
        <v>209</v>
      </c>
      <c r="G2988" s="7" t="s">
        <v>502</v>
      </c>
      <c r="H2988" s="6" t="n">
        <v>0.95</v>
      </c>
      <c r="I2988" s="6" t="n">
        <v>0</v>
      </c>
      <c r="J2988" s="40" t="n">
        <f aca="false">H2988-I2988</f>
        <v>0.95</v>
      </c>
      <c r="K2988" s="41" t="n">
        <v>165</v>
      </c>
      <c r="L2988" s="42" t="n">
        <f aca="false">J2988*K2988</f>
        <v>156.75</v>
      </c>
      <c r="M2988" s="43" t="n">
        <f aca="false">H2988*73.58*(1+'Chart of Accounts'!$E$67)</f>
        <v>80.036645</v>
      </c>
    </row>
    <row r="2989" customFormat="false" ht="15" hidden="false" customHeight="false" outlineLevel="0" collapsed="false">
      <c r="B2989" s="7" t="s">
        <v>3486</v>
      </c>
      <c r="C2989" s="39" t="n">
        <v>45807</v>
      </c>
      <c r="D2989" s="7" t="s">
        <v>305</v>
      </c>
      <c r="E2989" s="7" t="s">
        <v>154</v>
      </c>
      <c r="F2989" s="7" t="s">
        <v>205</v>
      </c>
      <c r="G2989" s="7" t="s">
        <v>505</v>
      </c>
      <c r="H2989" s="6" t="n">
        <v>4.19</v>
      </c>
      <c r="I2989" s="6" t="n">
        <v>0</v>
      </c>
      <c r="J2989" s="40" t="n">
        <f aca="false">H2989-I2989</f>
        <v>4.19</v>
      </c>
      <c r="K2989" s="41" t="n">
        <v>26.5</v>
      </c>
      <c r="L2989" s="42" t="n">
        <f aca="false">J2989*K2989</f>
        <v>111.035</v>
      </c>
      <c r="M2989" s="43" t="n">
        <f aca="false">H2989*16.36*(1+'Chart of Accounts'!$E$67)</f>
        <v>78.487918</v>
      </c>
    </row>
    <row r="2990" customFormat="false" ht="15" hidden="false" customHeight="false" outlineLevel="0" collapsed="false">
      <c r="B2990" s="7" t="s">
        <v>3487</v>
      </c>
      <c r="C2990" s="39" t="n">
        <v>45807</v>
      </c>
      <c r="D2990" s="7" t="s">
        <v>307</v>
      </c>
      <c r="E2990" s="7" t="s">
        <v>157</v>
      </c>
      <c r="F2990" s="7" t="s">
        <v>264</v>
      </c>
      <c r="G2990" s="7" t="s">
        <v>502</v>
      </c>
      <c r="H2990" s="6" t="n">
        <v>0.98</v>
      </c>
      <c r="I2990" s="6" t="n">
        <v>0</v>
      </c>
      <c r="J2990" s="40" t="n">
        <f aca="false">H2990-I2990</f>
        <v>0.98</v>
      </c>
      <c r="K2990" s="41" t="n">
        <v>165</v>
      </c>
      <c r="L2990" s="42" t="n">
        <f aca="false">J2990*K2990</f>
        <v>161.7</v>
      </c>
      <c r="M2990" s="43" t="n">
        <f aca="false">H2990*55.55*(1+'Chart of Accounts'!$E$67)</f>
        <v>62.332655</v>
      </c>
    </row>
    <row r="2991" customFormat="false" ht="15" hidden="false" customHeight="false" outlineLevel="0" collapsed="false">
      <c r="B2991" s="7" t="s">
        <v>3488</v>
      </c>
      <c r="C2991" s="39" t="n">
        <v>45807</v>
      </c>
      <c r="D2991" s="7" t="s">
        <v>309</v>
      </c>
      <c r="E2991" s="7" t="s">
        <v>159</v>
      </c>
      <c r="F2991" s="7" t="s">
        <v>252</v>
      </c>
      <c r="G2991" s="7" t="s">
        <v>502</v>
      </c>
      <c r="H2991" s="6" t="n">
        <v>1</v>
      </c>
      <c r="I2991" s="6" t="n">
        <v>0</v>
      </c>
      <c r="J2991" s="40" t="n">
        <f aca="false">H2991-I2991</f>
        <v>1</v>
      </c>
      <c r="K2991" s="41" t="n">
        <v>135</v>
      </c>
      <c r="L2991" s="42" t="n">
        <f aca="false">J2991*K2991</f>
        <v>135</v>
      </c>
      <c r="M2991" s="43" t="n">
        <f aca="false">H2991*57.54*(1+'Chart of Accounts'!$E$67)</f>
        <v>65.8833</v>
      </c>
    </row>
    <row r="2992" customFormat="false" ht="15" hidden="false" customHeight="false" outlineLevel="0" collapsed="false">
      <c r="B2992" s="7" t="s">
        <v>3489</v>
      </c>
      <c r="C2992" s="39" t="n">
        <v>45807</v>
      </c>
      <c r="D2992" s="7" t="s">
        <v>313</v>
      </c>
      <c r="E2992" s="7" t="s">
        <v>156</v>
      </c>
      <c r="F2992" s="7" t="s">
        <v>184</v>
      </c>
      <c r="G2992" s="7" t="s">
        <v>505</v>
      </c>
      <c r="H2992" s="6" t="n">
        <v>4.12</v>
      </c>
      <c r="I2992" s="6" t="n">
        <v>0</v>
      </c>
      <c r="J2992" s="40" t="n">
        <f aca="false">H2992-I2992</f>
        <v>4.12</v>
      </c>
      <c r="K2992" s="41" t="n">
        <v>34</v>
      </c>
      <c r="L2992" s="42" t="n">
        <f aca="false">J2992*K2992</f>
        <v>140.08</v>
      </c>
      <c r="M2992" s="43" t="n">
        <f aca="false">H2992*17.34*(1+'Chart of Accounts'!$E$67)</f>
        <v>81.799716</v>
      </c>
    </row>
    <row r="2993" customFormat="false" ht="15" hidden="false" customHeight="false" outlineLevel="0" collapsed="false">
      <c r="B2993" s="7" t="s">
        <v>3490</v>
      </c>
      <c r="C2993" s="39" t="n">
        <v>45807</v>
      </c>
      <c r="D2993" s="7" t="s">
        <v>319</v>
      </c>
      <c r="E2993" s="7" t="s">
        <v>157</v>
      </c>
      <c r="F2993" s="7" t="s">
        <v>234</v>
      </c>
      <c r="G2993" s="7" t="s">
        <v>502</v>
      </c>
      <c r="H2993" s="6" t="n">
        <v>0.91</v>
      </c>
      <c r="I2993" s="6" t="n">
        <v>0</v>
      </c>
      <c r="J2993" s="40" t="n">
        <f aca="false">H2993-I2993</f>
        <v>0.91</v>
      </c>
      <c r="K2993" s="41" t="n">
        <v>165</v>
      </c>
      <c r="L2993" s="42" t="n">
        <f aca="false">J2993*K2993</f>
        <v>150.15</v>
      </c>
      <c r="M2993" s="43" t="n">
        <f aca="false">H2993*89.53*(1+'Chart of Accounts'!$E$67)</f>
        <v>93.2857835</v>
      </c>
    </row>
    <row r="2994" customFormat="false" ht="15" hidden="false" customHeight="false" outlineLevel="0" collapsed="false">
      <c r="B2994" s="7" t="s">
        <v>3491</v>
      </c>
      <c r="C2994" s="39" t="n">
        <v>45807</v>
      </c>
      <c r="D2994" s="7" t="s">
        <v>321</v>
      </c>
      <c r="E2994" s="7" t="s">
        <v>154</v>
      </c>
      <c r="F2994" s="7" t="s">
        <v>218</v>
      </c>
      <c r="G2994" s="7" t="s">
        <v>505</v>
      </c>
      <c r="H2994" s="6" t="n">
        <v>3.65</v>
      </c>
      <c r="I2994" s="6" t="n">
        <v>0</v>
      </c>
      <c r="J2994" s="40" t="n">
        <f aca="false">H2994-I2994</f>
        <v>3.65</v>
      </c>
      <c r="K2994" s="41" t="n">
        <v>26.5</v>
      </c>
      <c r="L2994" s="42" t="n">
        <f aca="false">J2994*K2994</f>
        <v>96.725</v>
      </c>
      <c r="M2994" s="43" t="n">
        <f aca="false">H2994*16.19*(1+'Chart of Accounts'!$E$67)</f>
        <v>67.6620575</v>
      </c>
    </row>
    <row r="2995" customFormat="false" ht="15" hidden="false" customHeight="false" outlineLevel="0" collapsed="false">
      <c r="B2995" s="7" t="s">
        <v>3492</v>
      </c>
      <c r="C2995" s="39" t="n">
        <v>45807</v>
      </c>
      <c r="D2995" s="7" t="s">
        <v>323</v>
      </c>
      <c r="E2995" s="7" t="s">
        <v>159</v>
      </c>
      <c r="F2995" s="7" t="s">
        <v>266</v>
      </c>
      <c r="G2995" s="7" t="s">
        <v>502</v>
      </c>
      <c r="H2995" s="6" t="n">
        <v>1.02</v>
      </c>
      <c r="I2995" s="6" t="n">
        <v>0</v>
      </c>
      <c r="J2995" s="40" t="n">
        <f aca="false">H2995-I2995</f>
        <v>1.02</v>
      </c>
      <c r="K2995" s="41" t="n">
        <v>135</v>
      </c>
      <c r="L2995" s="42" t="n">
        <f aca="false">J2995*K2995</f>
        <v>137.7</v>
      </c>
      <c r="M2995" s="43" t="n">
        <f aca="false">H2995*75.18*(1+'Chart of Accounts'!$E$67)</f>
        <v>87.802722</v>
      </c>
    </row>
    <row r="2996" customFormat="false" ht="15" hidden="false" customHeight="false" outlineLevel="0" collapsed="false">
      <c r="B2996" s="7" t="s">
        <v>3493</v>
      </c>
      <c r="C2996" s="39" t="n">
        <v>45807</v>
      </c>
      <c r="D2996" s="7" t="s">
        <v>327</v>
      </c>
      <c r="E2996" s="7" t="s">
        <v>157</v>
      </c>
      <c r="F2996" s="7" t="s">
        <v>228</v>
      </c>
      <c r="G2996" s="7" t="s">
        <v>502</v>
      </c>
      <c r="H2996" s="6" t="n">
        <v>0.92</v>
      </c>
      <c r="I2996" s="6" t="n">
        <v>0</v>
      </c>
      <c r="J2996" s="40" t="n">
        <f aca="false">H2996-I2996</f>
        <v>0.92</v>
      </c>
      <c r="K2996" s="41" t="n">
        <v>165</v>
      </c>
      <c r="L2996" s="42" t="n">
        <f aca="false">J2996*K2996</f>
        <v>151.8</v>
      </c>
      <c r="M2996" s="43" t="n">
        <f aca="false">H2996*51.07*(1+'Chart of Accounts'!$E$67)</f>
        <v>53.797138</v>
      </c>
    </row>
    <row r="2997" customFormat="false" ht="15" hidden="false" customHeight="false" outlineLevel="0" collapsed="false">
      <c r="B2997" s="7" t="s">
        <v>3494</v>
      </c>
      <c r="C2997" s="39" t="n">
        <v>45807</v>
      </c>
      <c r="D2997" s="7" t="s">
        <v>329</v>
      </c>
      <c r="E2997" s="7" t="s">
        <v>156</v>
      </c>
      <c r="F2997" s="7" t="s">
        <v>220</v>
      </c>
      <c r="G2997" s="7" t="s">
        <v>505</v>
      </c>
      <c r="H2997" s="6" t="n">
        <v>3.81</v>
      </c>
      <c r="I2997" s="6" t="n">
        <v>0</v>
      </c>
      <c r="J2997" s="40" t="n">
        <f aca="false">H2997-I2997</f>
        <v>3.81</v>
      </c>
      <c r="K2997" s="41" t="n">
        <v>34</v>
      </c>
      <c r="L2997" s="42" t="n">
        <f aca="false">J2997*K2997</f>
        <v>129.54</v>
      </c>
      <c r="M2997" s="43" t="n">
        <f aca="false">H2997*16.43*(1+'Chart of Accounts'!$E$67)</f>
        <v>71.6750535</v>
      </c>
    </row>
    <row r="2998" customFormat="false" ht="15" hidden="false" customHeight="false" outlineLevel="0" collapsed="false">
      <c r="B2998" s="7" t="s">
        <v>3495</v>
      </c>
      <c r="C2998" s="39" t="n">
        <v>45807</v>
      </c>
      <c r="D2998" s="7" t="s">
        <v>335</v>
      </c>
      <c r="E2998" s="7" t="s">
        <v>154</v>
      </c>
      <c r="F2998" s="7" t="s">
        <v>177</v>
      </c>
      <c r="G2998" s="7" t="s">
        <v>505</v>
      </c>
      <c r="H2998" s="6" t="n">
        <v>3.88</v>
      </c>
      <c r="I2998" s="6" t="n">
        <v>0</v>
      </c>
      <c r="J2998" s="40" t="n">
        <f aca="false">H2998-I2998</f>
        <v>3.88</v>
      </c>
      <c r="K2998" s="41" t="n">
        <v>26.5</v>
      </c>
      <c r="L2998" s="42" t="n">
        <f aca="false">J2998*K2998</f>
        <v>102.82</v>
      </c>
      <c r="M2998" s="43" t="n">
        <f aca="false">H2998*14.56*(1+'Chart of Accounts'!$E$67)</f>
        <v>64.684256</v>
      </c>
    </row>
    <row r="2999" customFormat="false" ht="15" hidden="false" customHeight="false" outlineLevel="0" collapsed="false">
      <c r="B2999" s="7" t="s">
        <v>3496</v>
      </c>
      <c r="C2999" s="39" t="n">
        <v>45807</v>
      </c>
      <c r="D2999" s="7" t="s">
        <v>339</v>
      </c>
      <c r="E2999" s="7" t="s">
        <v>154</v>
      </c>
      <c r="F2999" s="7" t="s">
        <v>242</v>
      </c>
      <c r="G2999" s="7" t="s">
        <v>505</v>
      </c>
      <c r="H2999" s="6" t="n">
        <v>3.49</v>
      </c>
      <c r="I2999" s="6" t="n">
        <v>0</v>
      </c>
      <c r="J2999" s="40" t="n">
        <f aca="false">H2999-I2999</f>
        <v>3.49</v>
      </c>
      <c r="K2999" s="41" t="n">
        <v>26.5</v>
      </c>
      <c r="L2999" s="42" t="n">
        <f aca="false">J2999*K2999</f>
        <v>92.485</v>
      </c>
      <c r="M2999" s="43" t="n">
        <f aca="false">H2999*17.99*(1+'Chart of Accounts'!$E$67)</f>
        <v>71.8889395</v>
      </c>
    </row>
    <row r="3000" customFormat="false" ht="15" hidden="false" customHeight="false" outlineLevel="0" collapsed="false">
      <c r="B3000" s="7" t="s">
        <v>3497</v>
      </c>
      <c r="C3000" s="39" t="n">
        <v>45807</v>
      </c>
      <c r="D3000" s="7" t="s">
        <v>353</v>
      </c>
      <c r="E3000" s="7" t="s">
        <v>154</v>
      </c>
      <c r="F3000" s="7" t="s">
        <v>254</v>
      </c>
      <c r="G3000" s="7" t="s">
        <v>505</v>
      </c>
      <c r="H3000" s="6" t="n">
        <v>3.47</v>
      </c>
      <c r="I3000" s="6" t="n">
        <v>0</v>
      </c>
      <c r="J3000" s="40" t="n">
        <f aca="false">H3000-I3000</f>
        <v>3.47</v>
      </c>
      <c r="K3000" s="41" t="n">
        <v>26.5</v>
      </c>
      <c r="L3000" s="42" t="n">
        <f aca="false">J3000*K3000</f>
        <v>91.955</v>
      </c>
      <c r="M3000" s="43" t="n">
        <f aca="false">H3000*17.1*(1+'Chart of Accounts'!$E$67)</f>
        <v>67.940865</v>
      </c>
    </row>
    <row r="3001" customFormat="false" ht="15" hidden="false" customHeight="false" outlineLevel="0" collapsed="false">
      <c r="B3001" s="7" t="s">
        <v>3498</v>
      </c>
      <c r="C3001" s="39" t="n">
        <v>45807</v>
      </c>
      <c r="D3001" s="7" t="s">
        <v>355</v>
      </c>
      <c r="E3001" s="7" t="s">
        <v>154</v>
      </c>
      <c r="F3001" s="7" t="s">
        <v>201</v>
      </c>
      <c r="G3001" s="7" t="s">
        <v>505</v>
      </c>
      <c r="H3001" s="6" t="n">
        <v>3.6</v>
      </c>
      <c r="I3001" s="6" t="n">
        <v>0</v>
      </c>
      <c r="J3001" s="40" t="n">
        <f aca="false">H3001-I3001</f>
        <v>3.6</v>
      </c>
      <c r="K3001" s="41" t="n">
        <v>26.5</v>
      </c>
      <c r="L3001" s="42" t="n">
        <f aca="false">J3001*K3001</f>
        <v>95.4</v>
      </c>
      <c r="M3001" s="43" t="n">
        <f aca="false">H3001*15.19*(1+'Chart of Accounts'!$E$67)</f>
        <v>62.61318</v>
      </c>
    </row>
    <row r="3002" customFormat="false" ht="15" hidden="false" customHeight="false" outlineLevel="0" collapsed="false">
      <c r="B3002" s="7" t="s">
        <v>3499</v>
      </c>
      <c r="C3002" s="39" t="n">
        <v>45807</v>
      </c>
      <c r="D3002" s="7" t="s">
        <v>357</v>
      </c>
      <c r="E3002" s="7" t="s">
        <v>154</v>
      </c>
      <c r="F3002" s="7" t="s">
        <v>207</v>
      </c>
      <c r="G3002" s="7" t="s">
        <v>505</v>
      </c>
      <c r="H3002" s="6" t="n">
        <v>3.05</v>
      </c>
      <c r="I3002" s="6" t="n">
        <v>0</v>
      </c>
      <c r="J3002" s="40" t="n">
        <f aca="false">H3002-I3002</f>
        <v>3.05</v>
      </c>
      <c r="K3002" s="41" t="n">
        <v>26.5</v>
      </c>
      <c r="L3002" s="42" t="n">
        <f aca="false">J3002*K3002</f>
        <v>80.825</v>
      </c>
      <c r="M3002" s="43" t="n">
        <f aca="false">H3002*16.65*(1+'Chart of Accounts'!$E$67)</f>
        <v>58.1459625</v>
      </c>
    </row>
    <row r="3003" customFormat="false" ht="15" hidden="false" customHeight="false" outlineLevel="0" collapsed="false">
      <c r="B3003" s="7" t="s">
        <v>3500</v>
      </c>
      <c r="C3003" s="39" t="n">
        <v>45807</v>
      </c>
      <c r="D3003" s="7" t="s">
        <v>365</v>
      </c>
      <c r="E3003" s="7" t="s">
        <v>154</v>
      </c>
      <c r="F3003" s="7" t="s">
        <v>194</v>
      </c>
      <c r="G3003" s="7" t="s">
        <v>505</v>
      </c>
      <c r="H3003" s="6" t="n">
        <v>4.31</v>
      </c>
      <c r="I3003" s="6" t="n">
        <v>0</v>
      </c>
      <c r="J3003" s="40" t="n">
        <f aca="false">H3003-I3003</f>
        <v>4.31</v>
      </c>
      <c r="K3003" s="41" t="n">
        <v>26.5</v>
      </c>
      <c r="L3003" s="42" t="n">
        <f aca="false">J3003*K3003</f>
        <v>114.215</v>
      </c>
      <c r="M3003" s="43" t="n">
        <f aca="false">H3003*16*(1+'Chart of Accounts'!$E$67)</f>
        <v>78.9592</v>
      </c>
    </row>
    <row r="3004" customFormat="false" ht="15" hidden="false" customHeight="false" outlineLevel="0" collapsed="false">
      <c r="B3004" s="7" t="s">
        <v>3501</v>
      </c>
      <c r="C3004" s="39" t="n">
        <v>45807</v>
      </c>
      <c r="D3004" s="7" t="s">
        <v>371</v>
      </c>
      <c r="E3004" s="7" t="s">
        <v>154</v>
      </c>
      <c r="F3004" s="7" t="s">
        <v>232</v>
      </c>
      <c r="G3004" s="7" t="s">
        <v>505</v>
      </c>
      <c r="H3004" s="6" t="n">
        <v>4.21</v>
      </c>
      <c r="I3004" s="6" t="n">
        <v>0</v>
      </c>
      <c r="J3004" s="40" t="n">
        <f aca="false">H3004-I3004</f>
        <v>4.21</v>
      </c>
      <c r="K3004" s="41" t="n">
        <v>26.5</v>
      </c>
      <c r="L3004" s="42" t="n">
        <f aca="false">J3004*K3004</f>
        <v>111.565</v>
      </c>
      <c r="M3004" s="43" t="n">
        <f aca="false">H3004*16.17*(1+'Chart of Accounts'!$E$67)</f>
        <v>77.9466765</v>
      </c>
    </row>
    <row r="3005" customFormat="false" ht="15" hidden="false" customHeight="false" outlineLevel="0" collapsed="false">
      <c r="B3005" s="7" t="s">
        <v>3502</v>
      </c>
      <c r="C3005" s="39" t="n">
        <v>45807</v>
      </c>
      <c r="D3005" s="7" t="s">
        <v>379</v>
      </c>
      <c r="E3005" s="7" t="s">
        <v>156</v>
      </c>
      <c r="F3005" s="7" t="s">
        <v>224</v>
      </c>
      <c r="G3005" s="7" t="s">
        <v>505</v>
      </c>
      <c r="H3005" s="6" t="n">
        <v>4.2</v>
      </c>
      <c r="I3005" s="6" t="n">
        <v>0</v>
      </c>
      <c r="J3005" s="40" t="n">
        <f aca="false">H3005-I3005</f>
        <v>4.2</v>
      </c>
      <c r="K3005" s="41" t="n">
        <v>34</v>
      </c>
      <c r="L3005" s="42" t="n">
        <f aca="false">J3005*K3005</f>
        <v>142.8</v>
      </c>
      <c r="M3005" s="43" t="n">
        <f aca="false">H3005*14.93*(1+'Chart of Accounts'!$E$67)</f>
        <v>71.79837</v>
      </c>
    </row>
    <row r="3006" customFormat="false" ht="15" hidden="false" customHeight="false" outlineLevel="0" collapsed="false">
      <c r="B3006" s="7" t="s">
        <v>3503</v>
      </c>
      <c r="C3006" s="39" t="n">
        <v>45807</v>
      </c>
      <c r="D3006" s="7" t="s">
        <v>385</v>
      </c>
      <c r="E3006" s="7" t="s">
        <v>156</v>
      </c>
      <c r="F3006" s="7" t="s">
        <v>238</v>
      </c>
      <c r="G3006" s="7" t="s">
        <v>505</v>
      </c>
      <c r="H3006" s="6" t="n">
        <v>4.39</v>
      </c>
      <c r="I3006" s="6" t="n">
        <v>0</v>
      </c>
      <c r="J3006" s="40" t="n">
        <f aca="false">H3006-I3006</f>
        <v>4.39</v>
      </c>
      <c r="K3006" s="41" t="n">
        <v>34</v>
      </c>
      <c r="L3006" s="42" t="n">
        <f aca="false">J3006*K3006</f>
        <v>149.26</v>
      </c>
      <c r="M3006" s="43" t="n">
        <f aca="false">H3006*15.85*(1+'Chart of Accounts'!$E$67)</f>
        <v>79.6708175</v>
      </c>
    </row>
    <row r="3007" customFormat="false" ht="15" hidden="false" customHeight="false" outlineLevel="0" collapsed="false">
      <c r="B3007" s="7" t="s">
        <v>3504</v>
      </c>
      <c r="C3007" s="39" t="n">
        <v>45807</v>
      </c>
      <c r="D3007" s="7" t="s">
        <v>389</v>
      </c>
      <c r="E3007" s="7" t="s">
        <v>154</v>
      </c>
      <c r="F3007" s="7" t="s">
        <v>246</v>
      </c>
      <c r="G3007" s="7" t="s">
        <v>505</v>
      </c>
      <c r="H3007" s="6" t="n">
        <v>3.73</v>
      </c>
      <c r="I3007" s="6" t="n">
        <v>0.112</v>
      </c>
      <c r="J3007" s="40" t="n">
        <f aca="false">H3007-I3007</f>
        <v>3.618</v>
      </c>
      <c r="K3007" s="41" t="n">
        <v>26.5</v>
      </c>
      <c r="L3007" s="42" t="n">
        <f aca="false">J3007*K3007</f>
        <v>95.877</v>
      </c>
      <c r="M3007" s="43" t="n">
        <f aca="false">H3007*16.48*(1+'Chart of Accounts'!$E$67)</f>
        <v>70.383608</v>
      </c>
    </row>
    <row r="3008" customFormat="false" ht="15" hidden="false" customHeight="false" outlineLevel="0" collapsed="false">
      <c r="B3008" s="7" t="s">
        <v>3505</v>
      </c>
      <c r="C3008" s="39" t="n">
        <v>45807</v>
      </c>
      <c r="D3008" s="7" t="s">
        <v>391</v>
      </c>
      <c r="E3008" s="7" t="s">
        <v>156</v>
      </c>
      <c r="F3008" s="7" t="s">
        <v>222</v>
      </c>
      <c r="G3008" s="7" t="s">
        <v>505</v>
      </c>
      <c r="H3008" s="6" t="n">
        <v>3.84</v>
      </c>
      <c r="I3008" s="6" t="n">
        <v>0</v>
      </c>
      <c r="J3008" s="40" t="n">
        <f aca="false">H3008-I3008</f>
        <v>3.84</v>
      </c>
      <c r="K3008" s="41" t="n">
        <v>34</v>
      </c>
      <c r="L3008" s="42" t="n">
        <f aca="false">J3008*K3008</f>
        <v>130.56</v>
      </c>
      <c r="M3008" s="43" t="n">
        <f aca="false">H3008*17.84*(1+'Chart of Accounts'!$E$67)</f>
        <v>78.438912</v>
      </c>
    </row>
    <row r="3009" customFormat="false" ht="15" hidden="false" customHeight="false" outlineLevel="0" collapsed="false">
      <c r="B3009" s="7" t="s">
        <v>3506</v>
      </c>
      <c r="C3009" s="39" t="n">
        <v>45807</v>
      </c>
      <c r="D3009" s="7" t="s">
        <v>395</v>
      </c>
      <c r="E3009" s="7" t="s">
        <v>156</v>
      </c>
      <c r="F3009" s="7" t="s">
        <v>242</v>
      </c>
      <c r="G3009" s="7" t="s">
        <v>505</v>
      </c>
      <c r="H3009" s="6" t="n">
        <v>4.19</v>
      </c>
      <c r="I3009" s="6" t="n">
        <v>0</v>
      </c>
      <c r="J3009" s="40" t="n">
        <f aca="false">H3009-I3009</f>
        <v>4.19</v>
      </c>
      <c r="K3009" s="41" t="n">
        <v>34</v>
      </c>
      <c r="L3009" s="42" t="n">
        <f aca="false">J3009*K3009</f>
        <v>142.46</v>
      </c>
      <c r="M3009" s="43" t="n">
        <f aca="false">H3009*17.99*(1+'Chart of Accounts'!$E$67)</f>
        <v>86.3079245</v>
      </c>
    </row>
    <row r="3010" customFormat="false" ht="15" hidden="false" customHeight="false" outlineLevel="0" collapsed="false">
      <c r="B3010" s="7" t="s">
        <v>3507</v>
      </c>
      <c r="C3010" s="39" t="n">
        <v>45807</v>
      </c>
      <c r="D3010" s="7" t="s">
        <v>397</v>
      </c>
      <c r="E3010" s="7" t="s">
        <v>159</v>
      </c>
      <c r="F3010" s="7" t="s">
        <v>203</v>
      </c>
      <c r="G3010" s="7" t="s">
        <v>502</v>
      </c>
      <c r="H3010" s="6" t="n">
        <v>1</v>
      </c>
      <c r="I3010" s="6" t="n">
        <v>0.07</v>
      </c>
      <c r="J3010" s="40" t="n">
        <f aca="false">H3010-I3010</f>
        <v>0.93</v>
      </c>
      <c r="K3010" s="41" t="n">
        <v>135</v>
      </c>
      <c r="L3010" s="42" t="n">
        <f aca="false">J3010*K3010</f>
        <v>125.55</v>
      </c>
      <c r="M3010" s="43" t="n">
        <f aca="false">H3010*49.43*(1+'Chart of Accounts'!$E$67)</f>
        <v>56.59735</v>
      </c>
    </row>
    <row r="3011" customFormat="false" ht="15" hidden="false" customHeight="false" outlineLevel="0" collapsed="false">
      <c r="B3011" s="7" t="s">
        <v>3508</v>
      </c>
      <c r="C3011" s="39" t="n">
        <v>45807</v>
      </c>
      <c r="D3011" s="7" t="s">
        <v>399</v>
      </c>
      <c r="E3011" s="7" t="s">
        <v>154</v>
      </c>
      <c r="F3011" s="7" t="s">
        <v>242</v>
      </c>
      <c r="G3011" s="7" t="s">
        <v>505</v>
      </c>
      <c r="H3011" s="6" t="n">
        <v>3.24</v>
      </c>
      <c r="I3011" s="6" t="n">
        <v>0</v>
      </c>
      <c r="J3011" s="40" t="n">
        <f aca="false">H3011-I3011</f>
        <v>3.24</v>
      </c>
      <c r="K3011" s="41" t="n">
        <v>26.5</v>
      </c>
      <c r="L3011" s="42" t="n">
        <f aca="false">J3011*K3011</f>
        <v>85.86</v>
      </c>
      <c r="M3011" s="43" t="n">
        <f aca="false">H3011*17.99*(1+'Chart of Accounts'!$E$67)</f>
        <v>66.739302</v>
      </c>
    </row>
    <row r="3012" customFormat="false" ht="15" hidden="false" customHeight="false" outlineLevel="0" collapsed="false">
      <c r="B3012" s="7" t="s">
        <v>3509</v>
      </c>
      <c r="C3012" s="39" t="n">
        <v>45807</v>
      </c>
      <c r="D3012" s="7" t="s">
        <v>401</v>
      </c>
      <c r="E3012" s="7" t="s">
        <v>156</v>
      </c>
      <c r="F3012" s="7" t="s">
        <v>254</v>
      </c>
      <c r="G3012" s="7" t="s">
        <v>505</v>
      </c>
      <c r="H3012" s="6" t="n">
        <v>4.29</v>
      </c>
      <c r="I3012" s="6" t="n">
        <v>0</v>
      </c>
      <c r="J3012" s="40" t="n">
        <f aca="false">H3012-I3012</f>
        <v>4.29</v>
      </c>
      <c r="K3012" s="41" t="n">
        <v>34</v>
      </c>
      <c r="L3012" s="42" t="n">
        <f aca="false">J3012*K3012</f>
        <v>145.86</v>
      </c>
      <c r="M3012" s="43" t="n">
        <f aca="false">H3012*17.1*(1+'Chart of Accounts'!$E$67)</f>
        <v>83.996055</v>
      </c>
    </row>
    <row r="3013" customFormat="false" ht="15" hidden="false" customHeight="false" outlineLevel="0" collapsed="false">
      <c r="B3013" s="7" t="s">
        <v>3510</v>
      </c>
      <c r="C3013" s="39" t="n">
        <v>45807</v>
      </c>
      <c r="D3013" s="7" t="s">
        <v>407</v>
      </c>
      <c r="E3013" s="7" t="s">
        <v>159</v>
      </c>
      <c r="F3013" s="7" t="s">
        <v>260</v>
      </c>
      <c r="G3013" s="7" t="s">
        <v>502</v>
      </c>
      <c r="H3013" s="6" t="n">
        <v>0.92</v>
      </c>
      <c r="I3013" s="6" t="n">
        <v>0</v>
      </c>
      <c r="J3013" s="40" t="n">
        <f aca="false">H3013-I3013</f>
        <v>0.92</v>
      </c>
      <c r="K3013" s="41" t="n">
        <v>135</v>
      </c>
      <c r="L3013" s="42" t="n">
        <f aca="false">J3013*K3013</f>
        <v>124.2</v>
      </c>
      <c r="M3013" s="43" t="n">
        <f aca="false">H3013*79.8*(1+'Chart of Accounts'!$E$67)</f>
        <v>84.06132</v>
      </c>
    </row>
    <row r="3014" customFormat="false" ht="15" hidden="false" customHeight="false" outlineLevel="0" collapsed="false">
      <c r="B3014" s="7" t="s">
        <v>3511</v>
      </c>
      <c r="C3014" s="39" t="n">
        <v>45807</v>
      </c>
      <c r="D3014" s="7" t="s">
        <v>409</v>
      </c>
      <c r="E3014" s="7" t="s">
        <v>154</v>
      </c>
      <c r="F3014" s="7" t="s">
        <v>214</v>
      </c>
      <c r="G3014" s="7" t="s">
        <v>505</v>
      </c>
      <c r="H3014" s="6" t="n">
        <v>3.01</v>
      </c>
      <c r="I3014" s="6" t="n">
        <v>0</v>
      </c>
      <c r="J3014" s="40" t="n">
        <f aca="false">H3014-I3014</f>
        <v>3.01</v>
      </c>
      <c r="K3014" s="41" t="n">
        <v>26.5</v>
      </c>
      <c r="L3014" s="42" t="n">
        <f aca="false">J3014*K3014</f>
        <v>79.765</v>
      </c>
      <c r="M3014" s="43" t="n">
        <f aca="false">H3014*15.67*(1+'Chart of Accounts'!$E$67)</f>
        <v>54.0058715</v>
      </c>
    </row>
    <row r="3015" customFormat="false" ht="15" hidden="false" customHeight="false" outlineLevel="0" collapsed="false">
      <c r="B3015" s="7" t="s">
        <v>3512</v>
      </c>
      <c r="C3015" s="39" t="n">
        <v>45807</v>
      </c>
      <c r="D3015" s="7" t="s">
        <v>411</v>
      </c>
      <c r="E3015" s="7" t="s">
        <v>154</v>
      </c>
      <c r="F3015" s="7" t="s">
        <v>177</v>
      </c>
      <c r="G3015" s="7" t="s">
        <v>505</v>
      </c>
      <c r="H3015" s="6" t="n">
        <v>4.82</v>
      </c>
      <c r="I3015" s="6" t="n">
        <v>0</v>
      </c>
      <c r="J3015" s="40" t="n">
        <f aca="false">H3015-I3015</f>
        <v>4.82</v>
      </c>
      <c r="K3015" s="41" t="n">
        <v>26.5</v>
      </c>
      <c r="L3015" s="42" t="n">
        <f aca="false">J3015*K3015</f>
        <v>127.73</v>
      </c>
      <c r="M3015" s="43" t="n">
        <f aca="false">H3015*14.56*(1+'Chart of Accounts'!$E$67)</f>
        <v>80.355184</v>
      </c>
    </row>
    <row r="3016" customFormat="false" ht="15" hidden="false" customHeight="false" outlineLevel="0" collapsed="false">
      <c r="B3016" s="7" t="s">
        <v>3513</v>
      </c>
      <c r="C3016" s="39" t="n">
        <v>45808</v>
      </c>
      <c r="D3016" s="7" t="s">
        <v>288</v>
      </c>
      <c r="E3016" s="7" t="s">
        <v>156</v>
      </c>
      <c r="F3016" s="7" t="s">
        <v>191</v>
      </c>
      <c r="G3016" s="7" t="s">
        <v>505</v>
      </c>
      <c r="H3016" s="6" t="n">
        <v>3.8</v>
      </c>
      <c r="I3016" s="6" t="n">
        <v>0</v>
      </c>
      <c r="J3016" s="40" t="n">
        <f aca="false">H3016-I3016</f>
        <v>3.8</v>
      </c>
      <c r="K3016" s="41" t="n">
        <v>34</v>
      </c>
      <c r="L3016" s="42" t="n">
        <f aca="false">J3016*K3016</f>
        <v>129.2</v>
      </c>
      <c r="M3016" s="43" t="n">
        <f aca="false">H3016*16.05*(1+'Chart of Accounts'!$E$67)</f>
        <v>69.83355</v>
      </c>
    </row>
    <row r="3017" customFormat="false" ht="15" hidden="false" customHeight="false" outlineLevel="0" collapsed="false">
      <c r="B3017" s="7" t="s">
        <v>3514</v>
      </c>
      <c r="C3017" s="39" t="n">
        <v>45808</v>
      </c>
      <c r="D3017" s="7" t="s">
        <v>321</v>
      </c>
      <c r="E3017" s="7" t="s">
        <v>154</v>
      </c>
      <c r="F3017" s="7" t="s">
        <v>218</v>
      </c>
      <c r="G3017" s="7" t="s">
        <v>505</v>
      </c>
      <c r="H3017" s="6" t="n">
        <v>3.89</v>
      </c>
      <c r="I3017" s="6" t="n">
        <v>0</v>
      </c>
      <c r="J3017" s="40" t="n">
        <f aca="false">H3017-I3017</f>
        <v>3.89</v>
      </c>
      <c r="K3017" s="41" t="n">
        <v>26.5</v>
      </c>
      <c r="L3017" s="42" t="n">
        <f aca="false">J3017*K3017</f>
        <v>103.085</v>
      </c>
      <c r="M3017" s="43" t="n">
        <f aca="false">H3017*16.19*(1+'Chart of Accounts'!$E$67)</f>
        <v>72.1110695</v>
      </c>
    </row>
    <row r="3018" customFormat="false" ht="15" hidden="false" customHeight="false" outlineLevel="0" collapsed="false">
      <c r="B3018" s="7" t="s">
        <v>3515</v>
      </c>
      <c r="C3018" s="39" t="n">
        <v>45808</v>
      </c>
      <c r="D3018" s="7" t="s">
        <v>359</v>
      </c>
      <c r="E3018" s="7" t="s">
        <v>156</v>
      </c>
      <c r="F3018" s="7" t="s">
        <v>212</v>
      </c>
      <c r="G3018" s="7" t="s">
        <v>505</v>
      </c>
      <c r="H3018" s="6" t="n">
        <v>4.36</v>
      </c>
      <c r="I3018" s="6" t="n">
        <v>0</v>
      </c>
      <c r="J3018" s="40" t="n">
        <f aca="false">H3018-I3018</f>
        <v>4.36</v>
      </c>
      <c r="K3018" s="41" t="n">
        <v>34</v>
      </c>
      <c r="L3018" s="42" t="n">
        <f aca="false">J3018*K3018</f>
        <v>148.24</v>
      </c>
      <c r="M3018" s="43" t="n">
        <f aca="false">H3018*16.71*(1+'Chart of Accounts'!$E$67)</f>
        <v>83.419662</v>
      </c>
    </row>
    <row r="3019" customFormat="false" ht="15" hidden="false" customHeight="false" outlineLevel="0" collapsed="false">
      <c r="B3019" s="7" t="s">
        <v>3516</v>
      </c>
      <c r="C3019" s="39" t="n">
        <v>45808</v>
      </c>
      <c r="D3019" s="7" t="s">
        <v>391</v>
      </c>
      <c r="E3019" s="7" t="s">
        <v>156</v>
      </c>
      <c r="F3019" s="7" t="s">
        <v>222</v>
      </c>
      <c r="G3019" s="7" t="s">
        <v>505</v>
      </c>
      <c r="H3019" s="6" t="n">
        <v>4.3</v>
      </c>
      <c r="I3019" s="6" t="n">
        <v>0</v>
      </c>
      <c r="J3019" s="40" t="n">
        <f aca="false">H3019-I3019</f>
        <v>4.3</v>
      </c>
      <c r="K3019" s="41" t="n">
        <v>34</v>
      </c>
      <c r="L3019" s="42" t="n">
        <f aca="false">J3019*K3019</f>
        <v>146.2</v>
      </c>
      <c r="M3019" s="43" t="n">
        <f aca="false">H3019*17.84*(1+'Chart of Accounts'!$E$67)</f>
        <v>87.83524</v>
      </c>
    </row>
    <row r="3020" customFormat="false" ht="15" hidden="false" customHeight="false" outlineLevel="0" collapsed="false">
      <c r="B3020" s="7" t="s">
        <v>3517</v>
      </c>
      <c r="C3020" s="39" t="n">
        <v>45808</v>
      </c>
      <c r="D3020" s="7" t="s">
        <v>395</v>
      </c>
      <c r="E3020" s="7" t="s">
        <v>156</v>
      </c>
      <c r="F3020" s="7" t="s">
        <v>242</v>
      </c>
      <c r="G3020" s="7" t="s">
        <v>505</v>
      </c>
      <c r="H3020" s="6" t="n">
        <v>3.96</v>
      </c>
      <c r="I3020" s="6" t="n">
        <v>0</v>
      </c>
      <c r="J3020" s="40" t="n">
        <f aca="false">H3020-I3020</f>
        <v>3.96</v>
      </c>
      <c r="K3020" s="41" t="n">
        <v>34</v>
      </c>
      <c r="L3020" s="42" t="n">
        <f aca="false">J3020*K3020</f>
        <v>134.64</v>
      </c>
      <c r="M3020" s="43" t="n">
        <f aca="false">H3020*17.99*(1+'Chart of Accounts'!$E$67)</f>
        <v>81.570258</v>
      </c>
    </row>
    <row r="3021" customFormat="false" ht="15" hidden="false" customHeight="false" outlineLevel="0" collapsed="false">
      <c r="B3021" s="7" t="s">
        <v>3518</v>
      </c>
      <c r="C3021" s="39" t="n">
        <v>45808</v>
      </c>
      <c r="D3021" s="7" t="s">
        <v>401</v>
      </c>
      <c r="E3021" s="7" t="s">
        <v>156</v>
      </c>
      <c r="F3021" s="7" t="s">
        <v>254</v>
      </c>
      <c r="G3021" s="7" t="s">
        <v>505</v>
      </c>
      <c r="H3021" s="6" t="n">
        <v>3.81</v>
      </c>
      <c r="I3021" s="6" t="n">
        <v>0</v>
      </c>
      <c r="J3021" s="40" t="n">
        <f aca="false">H3021-I3021</f>
        <v>3.81</v>
      </c>
      <c r="K3021" s="41" t="n">
        <v>34</v>
      </c>
      <c r="L3021" s="42" t="n">
        <f aca="false">J3021*K3021</f>
        <v>129.54</v>
      </c>
      <c r="M3021" s="43" t="n">
        <f aca="false">H3021*17.1*(1+'Chart of Accounts'!$E$67)</f>
        <v>74.597895</v>
      </c>
    </row>
    <row r="3022" customFormat="false" ht="15" hidden="false" customHeight="false" outlineLevel="0" collapsed="false">
      <c r="B3022" s="7" t="s">
        <v>3519</v>
      </c>
      <c r="C3022" s="39" t="n">
        <v>45809</v>
      </c>
      <c r="D3022" s="7" t="s">
        <v>288</v>
      </c>
      <c r="E3022" s="7" t="s">
        <v>156</v>
      </c>
      <c r="F3022" s="7" t="s">
        <v>191</v>
      </c>
      <c r="G3022" s="7" t="s">
        <v>505</v>
      </c>
      <c r="H3022" s="6" t="n">
        <v>3.91</v>
      </c>
      <c r="I3022" s="6" t="n">
        <v>0</v>
      </c>
      <c r="J3022" s="40" t="n">
        <f aca="false">H3022-I3022</f>
        <v>3.91</v>
      </c>
      <c r="K3022" s="41" t="n">
        <v>34</v>
      </c>
      <c r="L3022" s="42" t="n">
        <f aca="false">J3022*K3022</f>
        <v>132.94</v>
      </c>
      <c r="M3022" s="43" t="n">
        <f aca="false">H3022*16.05*(1+'Chart of Accounts'!$E$67)</f>
        <v>71.8550475</v>
      </c>
    </row>
    <row r="3023" customFormat="false" ht="15" hidden="false" customHeight="false" outlineLevel="0" collapsed="false">
      <c r="B3023" s="7" t="s">
        <v>3520</v>
      </c>
      <c r="C3023" s="39" t="n">
        <v>45809</v>
      </c>
      <c r="D3023" s="7" t="s">
        <v>321</v>
      </c>
      <c r="E3023" s="7" t="s">
        <v>154</v>
      </c>
      <c r="F3023" s="7" t="s">
        <v>218</v>
      </c>
      <c r="G3023" s="7" t="s">
        <v>505</v>
      </c>
      <c r="H3023" s="6" t="n">
        <v>3.85</v>
      </c>
      <c r="I3023" s="6" t="n">
        <v>0</v>
      </c>
      <c r="J3023" s="40" t="n">
        <f aca="false">H3023-I3023</f>
        <v>3.85</v>
      </c>
      <c r="K3023" s="41" t="n">
        <v>26.5</v>
      </c>
      <c r="L3023" s="42" t="n">
        <f aca="false">J3023*K3023</f>
        <v>102.025</v>
      </c>
      <c r="M3023" s="43" t="n">
        <f aca="false">H3023*16.19*(1+'Chart of Accounts'!$E$67)</f>
        <v>71.3695675</v>
      </c>
    </row>
    <row r="3024" customFormat="false" ht="15" hidden="false" customHeight="false" outlineLevel="0" collapsed="false">
      <c r="B3024" s="7" t="s">
        <v>3521</v>
      </c>
      <c r="C3024" s="39" t="n">
        <v>45809</v>
      </c>
      <c r="D3024" s="7" t="s">
        <v>359</v>
      </c>
      <c r="E3024" s="7" t="s">
        <v>156</v>
      </c>
      <c r="F3024" s="7" t="s">
        <v>212</v>
      </c>
      <c r="G3024" s="7" t="s">
        <v>505</v>
      </c>
      <c r="H3024" s="6" t="n">
        <v>3.87</v>
      </c>
      <c r="I3024" s="6" t="n">
        <v>0</v>
      </c>
      <c r="J3024" s="40" t="n">
        <f aca="false">H3024-I3024</f>
        <v>3.87</v>
      </c>
      <c r="K3024" s="41" t="n">
        <v>34</v>
      </c>
      <c r="L3024" s="42" t="n">
        <f aca="false">J3024*K3024</f>
        <v>131.58</v>
      </c>
      <c r="M3024" s="43" t="n">
        <f aca="false">H3024*16.71*(1+'Chart of Accounts'!$E$67)</f>
        <v>74.0445165</v>
      </c>
    </row>
    <row r="3025" customFormat="false" ht="15" hidden="false" customHeight="false" outlineLevel="0" collapsed="false">
      <c r="B3025" s="7" t="s">
        <v>3522</v>
      </c>
      <c r="C3025" s="39" t="n">
        <v>45809</v>
      </c>
      <c r="D3025" s="7" t="s">
        <v>391</v>
      </c>
      <c r="E3025" s="7" t="s">
        <v>156</v>
      </c>
      <c r="F3025" s="7" t="s">
        <v>222</v>
      </c>
      <c r="G3025" s="7" t="s">
        <v>505</v>
      </c>
      <c r="H3025" s="6" t="n">
        <v>3.96</v>
      </c>
      <c r="I3025" s="6" t="n">
        <v>0</v>
      </c>
      <c r="J3025" s="40" t="n">
        <f aca="false">H3025-I3025</f>
        <v>3.96</v>
      </c>
      <c r="K3025" s="41" t="n">
        <v>34</v>
      </c>
      <c r="L3025" s="42" t="n">
        <f aca="false">J3025*K3025</f>
        <v>134.64</v>
      </c>
      <c r="M3025" s="43" t="n">
        <f aca="false">H3025*17.84*(1+'Chart of Accounts'!$E$67)</f>
        <v>80.890128</v>
      </c>
    </row>
    <row r="3026" customFormat="false" ht="15" hidden="false" customHeight="false" outlineLevel="0" collapsed="false">
      <c r="B3026" s="7" t="s">
        <v>3523</v>
      </c>
      <c r="C3026" s="39" t="n">
        <v>45809</v>
      </c>
      <c r="D3026" s="7" t="s">
        <v>395</v>
      </c>
      <c r="E3026" s="7" t="s">
        <v>156</v>
      </c>
      <c r="F3026" s="7" t="s">
        <v>242</v>
      </c>
      <c r="G3026" s="7" t="s">
        <v>505</v>
      </c>
      <c r="H3026" s="6" t="n">
        <v>3.83</v>
      </c>
      <c r="I3026" s="6" t="n">
        <v>0</v>
      </c>
      <c r="J3026" s="40" t="n">
        <f aca="false">H3026-I3026</f>
        <v>3.83</v>
      </c>
      <c r="K3026" s="41" t="n">
        <v>34</v>
      </c>
      <c r="L3026" s="42" t="n">
        <f aca="false">J3026*K3026</f>
        <v>130.22</v>
      </c>
      <c r="M3026" s="43" t="n">
        <f aca="false">H3026*17.99*(1+'Chart of Accounts'!$E$67)</f>
        <v>78.8924465</v>
      </c>
    </row>
    <row r="3027" customFormat="false" ht="15" hidden="false" customHeight="false" outlineLevel="0" collapsed="false">
      <c r="B3027" s="7" t="s">
        <v>3524</v>
      </c>
      <c r="C3027" s="39" t="n">
        <v>45809</v>
      </c>
      <c r="D3027" s="7" t="s">
        <v>401</v>
      </c>
      <c r="E3027" s="7" t="s">
        <v>156</v>
      </c>
      <c r="F3027" s="7" t="s">
        <v>254</v>
      </c>
      <c r="G3027" s="7" t="s">
        <v>505</v>
      </c>
      <c r="H3027" s="6" t="n">
        <v>4.15</v>
      </c>
      <c r="I3027" s="6" t="n">
        <v>0</v>
      </c>
      <c r="J3027" s="40" t="n">
        <f aca="false">H3027-I3027</f>
        <v>4.15</v>
      </c>
      <c r="K3027" s="41" t="n">
        <v>34</v>
      </c>
      <c r="L3027" s="42" t="n">
        <f aca="false">J3027*K3027</f>
        <v>141.1</v>
      </c>
      <c r="M3027" s="43" t="n">
        <f aca="false">H3027*17.1*(1+'Chart of Accounts'!$E$67)</f>
        <v>81.254925</v>
      </c>
    </row>
    <row r="3028" customFormat="false" ht="15" hidden="false" customHeight="false" outlineLevel="0" collapsed="false">
      <c r="B3028" s="7" t="s">
        <v>3525</v>
      </c>
      <c r="C3028" s="39" t="n">
        <v>45810</v>
      </c>
      <c r="D3028" s="7" t="s">
        <v>280</v>
      </c>
      <c r="E3028" s="7" t="s">
        <v>157</v>
      </c>
      <c r="F3028" s="7" t="s">
        <v>187</v>
      </c>
      <c r="G3028" s="7" t="s">
        <v>502</v>
      </c>
      <c r="H3028" s="6" t="n">
        <v>1.09</v>
      </c>
      <c r="I3028" s="6" t="n">
        <v>0</v>
      </c>
      <c r="J3028" s="40" t="n">
        <f aca="false">H3028-I3028</f>
        <v>1.09</v>
      </c>
      <c r="K3028" s="41" t="n">
        <v>165</v>
      </c>
      <c r="L3028" s="42" t="n">
        <f aca="false">J3028*K3028</f>
        <v>179.85</v>
      </c>
      <c r="M3028" s="43" t="n">
        <f aca="false">H3028*66.48*(1+'Chart of Accounts'!$E$67)</f>
        <v>82.970364</v>
      </c>
    </row>
    <row r="3029" customFormat="false" ht="15" hidden="false" customHeight="false" outlineLevel="0" collapsed="false">
      <c r="B3029" s="7" t="s">
        <v>3526</v>
      </c>
      <c r="C3029" s="39" t="n">
        <v>45810</v>
      </c>
      <c r="D3029" s="7" t="s">
        <v>288</v>
      </c>
      <c r="E3029" s="7" t="s">
        <v>156</v>
      </c>
      <c r="F3029" s="7" t="s">
        <v>191</v>
      </c>
      <c r="G3029" s="7" t="s">
        <v>505</v>
      </c>
      <c r="H3029" s="6" t="n">
        <v>3.84</v>
      </c>
      <c r="I3029" s="6" t="n">
        <v>0</v>
      </c>
      <c r="J3029" s="40" t="n">
        <f aca="false">H3029-I3029</f>
        <v>3.84</v>
      </c>
      <c r="K3029" s="41" t="n">
        <v>34</v>
      </c>
      <c r="L3029" s="42" t="n">
        <f aca="false">J3029*K3029</f>
        <v>130.56</v>
      </c>
      <c r="M3029" s="43" t="n">
        <f aca="false">H3029*16.05*(1+'Chart of Accounts'!$E$67)</f>
        <v>70.56864</v>
      </c>
    </row>
    <row r="3030" customFormat="false" ht="15" hidden="false" customHeight="false" outlineLevel="0" collapsed="false">
      <c r="B3030" s="7" t="s">
        <v>3527</v>
      </c>
      <c r="C3030" s="39" t="n">
        <v>45810</v>
      </c>
      <c r="D3030" s="7" t="s">
        <v>291</v>
      </c>
      <c r="E3030" s="7" t="s">
        <v>154</v>
      </c>
      <c r="F3030" s="7" t="s">
        <v>194</v>
      </c>
      <c r="G3030" s="7" t="s">
        <v>505</v>
      </c>
      <c r="H3030" s="6" t="n">
        <v>4.21</v>
      </c>
      <c r="I3030" s="6" t="n">
        <v>0</v>
      </c>
      <c r="J3030" s="40" t="n">
        <f aca="false">H3030-I3030</f>
        <v>4.21</v>
      </c>
      <c r="K3030" s="41" t="n">
        <v>26.5</v>
      </c>
      <c r="L3030" s="42" t="n">
        <f aca="false">J3030*K3030</f>
        <v>111.565</v>
      </c>
      <c r="M3030" s="43" t="n">
        <f aca="false">H3030*16*(1+'Chart of Accounts'!$E$67)</f>
        <v>77.1272</v>
      </c>
    </row>
    <row r="3031" customFormat="false" ht="15" hidden="false" customHeight="false" outlineLevel="0" collapsed="false">
      <c r="B3031" s="7" t="s">
        <v>3528</v>
      </c>
      <c r="C3031" s="39" t="n">
        <v>45810</v>
      </c>
      <c r="D3031" s="7" t="s">
        <v>297</v>
      </c>
      <c r="E3031" s="7" t="s">
        <v>156</v>
      </c>
      <c r="F3031" s="7" t="s">
        <v>201</v>
      </c>
      <c r="G3031" s="7" t="s">
        <v>505</v>
      </c>
      <c r="H3031" s="6" t="n">
        <v>3.06</v>
      </c>
      <c r="I3031" s="6" t="n">
        <v>0</v>
      </c>
      <c r="J3031" s="40" t="n">
        <f aca="false">H3031-I3031</f>
        <v>3.06</v>
      </c>
      <c r="K3031" s="41" t="n">
        <v>34</v>
      </c>
      <c r="L3031" s="42" t="n">
        <f aca="false">J3031*K3031</f>
        <v>104.04</v>
      </c>
      <c r="M3031" s="43" t="n">
        <f aca="false">H3031*15.19*(1+'Chart of Accounts'!$E$67)</f>
        <v>53.221203</v>
      </c>
    </row>
    <row r="3032" customFormat="false" ht="15" hidden="false" customHeight="false" outlineLevel="0" collapsed="false">
      <c r="B3032" s="7" t="s">
        <v>3529</v>
      </c>
      <c r="C3032" s="39" t="n">
        <v>45810</v>
      </c>
      <c r="D3032" s="7" t="s">
        <v>305</v>
      </c>
      <c r="E3032" s="7" t="s">
        <v>154</v>
      </c>
      <c r="F3032" s="7" t="s">
        <v>205</v>
      </c>
      <c r="G3032" s="7" t="s">
        <v>505</v>
      </c>
      <c r="H3032" s="6" t="n">
        <v>3.94</v>
      </c>
      <c r="I3032" s="6" t="n">
        <v>0.118</v>
      </c>
      <c r="J3032" s="40" t="n">
        <f aca="false">H3032-I3032</f>
        <v>3.822</v>
      </c>
      <c r="K3032" s="41" t="n">
        <v>26.5</v>
      </c>
      <c r="L3032" s="42" t="n">
        <f aca="false">J3032*K3032</f>
        <v>101.283</v>
      </c>
      <c r="M3032" s="43" t="n">
        <f aca="false">H3032*16.36*(1+'Chart of Accounts'!$E$67)</f>
        <v>73.804868</v>
      </c>
    </row>
    <row r="3033" customFormat="false" ht="15" hidden="false" customHeight="false" outlineLevel="0" collapsed="false">
      <c r="B3033" s="7" t="s">
        <v>3530</v>
      </c>
      <c r="C3033" s="39" t="n">
        <v>45810</v>
      </c>
      <c r="D3033" s="7" t="s">
        <v>307</v>
      </c>
      <c r="E3033" s="7" t="s">
        <v>157</v>
      </c>
      <c r="F3033" s="7" t="s">
        <v>264</v>
      </c>
      <c r="G3033" s="7" t="s">
        <v>502</v>
      </c>
      <c r="H3033" s="6" t="n">
        <v>0.95</v>
      </c>
      <c r="I3033" s="6" t="n">
        <v>0</v>
      </c>
      <c r="J3033" s="40" t="n">
        <f aca="false">H3033-I3033</f>
        <v>0.95</v>
      </c>
      <c r="K3033" s="41" t="n">
        <v>165</v>
      </c>
      <c r="L3033" s="42" t="n">
        <f aca="false">J3033*K3033</f>
        <v>156.75</v>
      </c>
      <c r="M3033" s="43" t="n">
        <f aca="false">H3033*55.55*(1+'Chart of Accounts'!$E$67)</f>
        <v>60.4245125</v>
      </c>
    </row>
    <row r="3034" customFormat="false" ht="15" hidden="false" customHeight="false" outlineLevel="0" collapsed="false">
      <c r="B3034" s="7" t="s">
        <v>3531</v>
      </c>
      <c r="C3034" s="39" t="n">
        <v>45810</v>
      </c>
      <c r="D3034" s="7" t="s">
        <v>309</v>
      </c>
      <c r="E3034" s="7" t="s">
        <v>159</v>
      </c>
      <c r="F3034" s="7" t="s">
        <v>252</v>
      </c>
      <c r="G3034" s="7" t="s">
        <v>502</v>
      </c>
      <c r="H3034" s="6" t="n">
        <v>1.07</v>
      </c>
      <c r="I3034" s="6" t="n">
        <v>0</v>
      </c>
      <c r="J3034" s="40" t="n">
        <f aca="false">H3034-I3034</f>
        <v>1.07</v>
      </c>
      <c r="K3034" s="41" t="n">
        <v>135</v>
      </c>
      <c r="L3034" s="42" t="n">
        <f aca="false">J3034*K3034</f>
        <v>144.45</v>
      </c>
      <c r="M3034" s="43" t="n">
        <f aca="false">H3034*57.54*(1+'Chart of Accounts'!$E$67)</f>
        <v>70.495131</v>
      </c>
    </row>
    <row r="3035" customFormat="false" ht="15" hidden="false" customHeight="false" outlineLevel="0" collapsed="false">
      <c r="B3035" s="7" t="s">
        <v>3532</v>
      </c>
      <c r="C3035" s="39" t="n">
        <v>45810</v>
      </c>
      <c r="D3035" s="7" t="s">
        <v>311</v>
      </c>
      <c r="E3035" s="7" t="s">
        <v>154</v>
      </c>
      <c r="F3035" s="7" t="s">
        <v>196</v>
      </c>
      <c r="G3035" s="7" t="s">
        <v>505</v>
      </c>
      <c r="H3035" s="6" t="n">
        <v>2.79</v>
      </c>
      <c r="I3035" s="6" t="n">
        <v>0</v>
      </c>
      <c r="J3035" s="40" t="n">
        <f aca="false">H3035-I3035</f>
        <v>2.79</v>
      </c>
      <c r="K3035" s="41" t="n">
        <v>26.5</v>
      </c>
      <c r="L3035" s="42" t="n">
        <f aca="false">J3035*K3035</f>
        <v>73.935</v>
      </c>
      <c r="M3035" s="43" t="n">
        <f aca="false">H3035*15.05*(1+'Chart of Accounts'!$E$67)</f>
        <v>48.0779775</v>
      </c>
    </row>
    <row r="3036" customFormat="false" ht="15" hidden="false" customHeight="false" outlineLevel="0" collapsed="false">
      <c r="B3036" s="7" t="s">
        <v>3533</v>
      </c>
      <c r="C3036" s="39" t="n">
        <v>45810</v>
      </c>
      <c r="D3036" s="7" t="s">
        <v>313</v>
      </c>
      <c r="E3036" s="7" t="s">
        <v>156</v>
      </c>
      <c r="F3036" s="7" t="s">
        <v>184</v>
      </c>
      <c r="G3036" s="7" t="s">
        <v>505</v>
      </c>
      <c r="H3036" s="6" t="n">
        <v>4.4</v>
      </c>
      <c r="I3036" s="6" t="n">
        <v>0</v>
      </c>
      <c r="J3036" s="40" t="n">
        <f aca="false">H3036-I3036</f>
        <v>4.4</v>
      </c>
      <c r="K3036" s="41" t="n">
        <v>34</v>
      </c>
      <c r="L3036" s="42" t="n">
        <f aca="false">J3036*K3036</f>
        <v>149.6</v>
      </c>
      <c r="M3036" s="43" t="n">
        <f aca="false">H3036*17.34*(1+'Chart of Accounts'!$E$67)</f>
        <v>87.35892</v>
      </c>
    </row>
    <row r="3037" customFormat="false" ht="15" hidden="false" customHeight="false" outlineLevel="0" collapsed="false">
      <c r="B3037" s="7" t="s">
        <v>3534</v>
      </c>
      <c r="C3037" s="39" t="n">
        <v>45810</v>
      </c>
      <c r="D3037" s="7" t="s">
        <v>317</v>
      </c>
      <c r="E3037" s="7" t="s">
        <v>156</v>
      </c>
      <c r="F3037" s="7" t="s">
        <v>207</v>
      </c>
      <c r="G3037" s="7" t="s">
        <v>505</v>
      </c>
      <c r="H3037" s="6" t="n">
        <v>2.75</v>
      </c>
      <c r="I3037" s="6" t="n">
        <v>0</v>
      </c>
      <c r="J3037" s="40" t="n">
        <f aca="false">H3037-I3037</f>
        <v>2.75</v>
      </c>
      <c r="K3037" s="41" t="n">
        <v>34</v>
      </c>
      <c r="L3037" s="42" t="n">
        <f aca="false">J3037*K3037</f>
        <v>93.5</v>
      </c>
      <c r="M3037" s="43" t="n">
        <f aca="false">H3037*16.65*(1+'Chart of Accounts'!$E$67)</f>
        <v>52.4266875</v>
      </c>
    </row>
    <row r="3038" customFormat="false" ht="15" hidden="false" customHeight="false" outlineLevel="0" collapsed="false">
      <c r="B3038" s="7" t="s">
        <v>3535</v>
      </c>
      <c r="C3038" s="39" t="n">
        <v>45810</v>
      </c>
      <c r="D3038" s="7" t="s">
        <v>321</v>
      </c>
      <c r="E3038" s="7" t="s">
        <v>154</v>
      </c>
      <c r="F3038" s="7" t="s">
        <v>218</v>
      </c>
      <c r="G3038" s="7" t="s">
        <v>505</v>
      </c>
      <c r="H3038" s="6" t="n">
        <v>3.88</v>
      </c>
      <c r="I3038" s="6" t="n">
        <v>0</v>
      </c>
      <c r="J3038" s="40" t="n">
        <f aca="false">H3038-I3038</f>
        <v>3.88</v>
      </c>
      <c r="K3038" s="41" t="n">
        <v>26.5</v>
      </c>
      <c r="L3038" s="42" t="n">
        <f aca="false">J3038*K3038</f>
        <v>102.82</v>
      </c>
      <c r="M3038" s="43" t="n">
        <f aca="false">H3038*16.19*(1+'Chart of Accounts'!$E$67)</f>
        <v>71.925694</v>
      </c>
    </row>
    <row r="3039" customFormat="false" ht="15" hidden="false" customHeight="false" outlineLevel="0" collapsed="false">
      <c r="B3039" s="7" t="s">
        <v>3536</v>
      </c>
      <c r="C3039" s="39" t="n">
        <v>45810</v>
      </c>
      <c r="D3039" s="7" t="s">
        <v>325</v>
      </c>
      <c r="E3039" s="7" t="s">
        <v>154</v>
      </c>
      <c r="F3039" s="7" t="s">
        <v>212</v>
      </c>
      <c r="G3039" s="7" t="s">
        <v>505</v>
      </c>
      <c r="H3039" s="6" t="n">
        <v>2.95</v>
      </c>
      <c r="I3039" s="6" t="n">
        <v>0.088</v>
      </c>
      <c r="J3039" s="40" t="n">
        <f aca="false">H3039-I3039</f>
        <v>2.862</v>
      </c>
      <c r="K3039" s="41" t="n">
        <v>26.5</v>
      </c>
      <c r="L3039" s="42" t="n">
        <f aca="false">J3039*K3039</f>
        <v>75.843</v>
      </c>
      <c r="M3039" s="43" t="n">
        <f aca="false">H3039*16.71*(1+'Chart of Accounts'!$E$67)</f>
        <v>56.4422025</v>
      </c>
    </row>
    <row r="3040" customFormat="false" ht="15" hidden="false" customHeight="false" outlineLevel="0" collapsed="false">
      <c r="B3040" s="7" t="s">
        <v>3537</v>
      </c>
      <c r="C3040" s="39" t="n">
        <v>45810</v>
      </c>
      <c r="D3040" s="7" t="s">
        <v>329</v>
      </c>
      <c r="E3040" s="7" t="s">
        <v>156</v>
      </c>
      <c r="F3040" s="7" t="s">
        <v>220</v>
      </c>
      <c r="G3040" s="7" t="s">
        <v>505</v>
      </c>
      <c r="H3040" s="6" t="n">
        <v>3.81</v>
      </c>
      <c r="I3040" s="6" t="n">
        <v>0</v>
      </c>
      <c r="J3040" s="40" t="n">
        <f aca="false">H3040-I3040</f>
        <v>3.81</v>
      </c>
      <c r="K3040" s="41" t="n">
        <v>34</v>
      </c>
      <c r="L3040" s="42" t="n">
        <f aca="false">J3040*K3040</f>
        <v>129.54</v>
      </c>
      <c r="M3040" s="43" t="n">
        <f aca="false">H3040*16.43*(1+'Chart of Accounts'!$E$67)</f>
        <v>71.6750535</v>
      </c>
    </row>
    <row r="3041" customFormat="false" ht="15" hidden="false" customHeight="false" outlineLevel="0" collapsed="false">
      <c r="B3041" s="7" t="s">
        <v>3538</v>
      </c>
      <c r="C3041" s="39" t="n">
        <v>45810</v>
      </c>
      <c r="D3041" s="7" t="s">
        <v>331</v>
      </c>
      <c r="E3041" s="7" t="s">
        <v>156</v>
      </c>
      <c r="F3041" s="7" t="s">
        <v>224</v>
      </c>
      <c r="G3041" s="7" t="s">
        <v>505</v>
      </c>
      <c r="H3041" s="6" t="n">
        <v>4.05</v>
      </c>
      <c r="I3041" s="6" t="n">
        <v>0</v>
      </c>
      <c r="J3041" s="40" t="n">
        <f aca="false">H3041-I3041</f>
        <v>4.05</v>
      </c>
      <c r="K3041" s="41" t="n">
        <v>34</v>
      </c>
      <c r="L3041" s="42" t="n">
        <f aca="false">J3041*K3041</f>
        <v>137.7</v>
      </c>
      <c r="M3041" s="43" t="n">
        <f aca="false">H3041*14.93*(1+'Chart of Accounts'!$E$67)</f>
        <v>69.2341425</v>
      </c>
    </row>
    <row r="3042" customFormat="false" ht="15" hidden="false" customHeight="false" outlineLevel="0" collapsed="false">
      <c r="B3042" s="7" t="s">
        <v>3539</v>
      </c>
      <c r="C3042" s="39" t="n">
        <v>45810</v>
      </c>
      <c r="D3042" s="7" t="s">
        <v>335</v>
      </c>
      <c r="E3042" s="7" t="s">
        <v>154</v>
      </c>
      <c r="F3042" s="7" t="s">
        <v>177</v>
      </c>
      <c r="G3042" s="7" t="s">
        <v>505</v>
      </c>
      <c r="H3042" s="6" t="n">
        <v>4.06</v>
      </c>
      <c r="I3042" s="6" t="n">
        <v>0</v>
      </c>
      <c r="J3042" s="40" t="n">
        <f aca="false">H3042-I3042</f>
        <v>4.06</v>
      </c>
      <c r="K3042" s="41" t="n">
        <v>26.5</v>
      </c>
      <c r="L3042" s="42" t="n">
        <f aca="false">J3042*K3042</f>
        <v>107.59</v>
      </c>
      <c r="M3042" s="43" t="n">
        <f aca="false">H3042*14.56*(1+'Chart of Accounts'!$E$67)</f>
        <v>67.685072</v>
      </c>
    </row>
    <row r="3043" customFormat="false" ht="15" hidden="false" customHeight="false" outlineLevel="0" collapsed="false">
      <c r="B3043" s="7" t="s">
        <v>3540</v>
      </c>
      <c r="C3043" s="39" t="n">
        <v>45810</v>
      </c>
      <c r="D3043" s="7" t="s">
        <v>337</v>
      </c>
      <c r="E3043" s="7" t="s">
        <v>154</v>
      </c>
      <c r="F3043" s="7" t="s">
        <v>232</v>
      </c>
      <c r="G3043" s="7" t="s">
        <v>505</v>
      </c>
      <c r="H3043" s="6" t="n">
        <v>2.78</v>
      </c>
      <c r="I3043" s="6" t="n">
        <v>0</v>
      </c>
      <c r="J3043" s="40" t="n">
        <f aca="false">H3043-I3043</f>
        <v>2.78</v>
      </c>
      <c r="K3043" s="41" t="n">
        <v>26.5</v>
      </c>
      <c r="L3043" s="42" t="n">
        <f aca="false">J3043*K3043</f>
        <v>73.67</v>
      </c>
      <c r="M3043" s="43" t="n">
        <f aca="false">H3043*16.17*(1+'Chart of Accounts'!$E$67)</f>
        <v>51.470727</v>
      </c>
    </row>
    <row r="3044" customFormat="false" ht="15" hidden="false" customHeight="false" outlineLevel="0" collapsed="false">
      <c r="B3044" s="7" t="s">
        <v>3541</v>
      </c>
      <c r="C3044" s="39" t="n">
        <v>45810</v>
      </c>
      <c r="D3044" s="7" t="s">
        <v>339</v>
      </c>
      <c r="E3044" s="7" t="s">
        <v>154</v>
      </c>
      <c r="F3044" s="7" t="s">
        <v>242</v>
      </c>
      <c r="G3044" s="7" t="s">
        <v>505</v>
      </c>
      <c r="H3044" s="6" t="n">
        <v>3.06</v>
      </c>
      <c r="I3044" s="6" t="n">
        <v>0</v>
      </c>
      <c r="J3044" s="40" t="n">
        <f aca="false">H3044-I3044</f>
        <v>3.06</v>
      </c>
      <c r="K3044" s="41" t="n">
        <v>26.5</v>
      </c>
      <c r="L3044" s="42" t="n">
        <f aca="false">J3044*K3044</f>
        <v>81.09</v>
      </c>
      <c r="M3044" s="43" t="n">
        <f aca="false">H3044*17.99*(1+'Chart of Accounts'!$E$67)</f>
        <v>63.031563</v>
      </c>
    </row>
    <row r="3045" customFormat="false" ht="15" hidden="false" customHeight="false" outlineLevel="0" collapsed="false">
      <c r="B3045" s="7" t="s">
        <v>3542</v>
      </c>
      <c r="C3045" s="39" t="n">
        <v>45810</v>
      </c>
      <c r="D3045" s="7" t="s">
        <v>341</v>
      </c>
      <c r="E3045" s="7" t="s">
        <v>156</v>
      </c>
      <c r="F3045" s="7" t="s">
        <v>222</v>
      </c>
      <c r="G3045" s="7" t="s">
        <v>505</v>
      </c>
      <c r="H3045" s="6" t="n">
        <v>3.03</v>
      </c>
      <c r="I3045" s="6" t="n">
        <v>0</v>
      </c>
      <c r="J3045" s="40" t="n">
        <f aca="false">H3045-I3045</f>
        <v>3.03</v>
      </c>
      <c r="K3045" s="41" t="n">
        <v>34</v>
      </c>
      <c r="L3045" s="42" t="n">
        <f aca="false">J3045*K3045</f>
        <v>103.02</v>
      </c>
      <c r="M3045" s="43" t="n">
        <f aca="false">H3045*17.84*(1+'Chart of Accounts'!$E$67)</f>
        <v>61.893204</v>
      </c>
    </row>
    <row r="3046" customFormat="false" ht="15" hidden="false" customHeight="false" outlineLevel="0" collapsed="false">
      <c r="B3046" s="7" t="s">
        <v>3543</v>
      </c>
      <c r="C3046" s="39" t="n">
        <v>45810</v>
      </c>
      <c r="D3046" s="7" t="s">
        <v>343</v>
      </c>
      <c r="E3046" s="7" t="s">
        <v>154</v>
      </c>
      <c r="F3046" s="7" t="s">
        <v>232</v>
      </c>
      <c r="G3046" s="7" t="s">
        <v>505</v>
      </c>
      <c r="H3046" s="6" t="n">
        <v>3.95</v>
      </c>
      <c r="I3046" s="6" t="n">
        <v>0</v>
      </c>
      <c r="J3046" s="40" t="n">
        <f aca="false">H3046-I3046</f>
        <v>3.95</v>
      </c>
      <c r="K3046" s="41" t="n">
        <v>26.5</v>
      </c>
      <c r="L3046" s="42" t="n">
        <f aca="false">J3046*K3046</f>
        <v>104.675</v>
      </c>
      <c r="M3046" s="43" t="n">
        <f aca="false">H3046*16.17*(1+'Chart of Accounts'!$E$67)</f>
        <v>73.1328675</v>
      </c>
    </row>
    <row r="3047" customFormat="false" ht="15" hidden="false" customHeight="false" outlineLevel="0" collapsed="false">
      <c r="B3047" s="7" t="s">
        <v>3544</v>
      </c>
      <c r="C3047" s="39" t="n">
        <v>45810</v>
      </c>
      <c r="D3047" s="7" t="s">
        <v>351</v>
      </c>
      <c r="E3047" s="7" t="s">
        <v>154</v>
      </c>
      <c r="F3047" s="7" t="s">
        <v>201</v>
      </c>
      <c r="G3047" s="7" t="s">
        <v>505</v>
      </c>
      <c r="H3047" s="6" t="n">
        <v>3</v>
      </c>
      <c r="I3047" s="6" t="n">
        <v>0</v>
      </c>
      <c r="J3047" s="40" t="n">
        <f aca="false">H3047-I3047</f>
        <v>3</v>
      </c>
      <c r="K3047" s="41" t="n">
        <v>26.5</v>
      </c>
      <c r="L3047" s="42" t="n">
        <f aca="false">J3047*K3047</f>
        <v>79.5</v>
      </c>
      <c r="M3047" s="43" t="n">
        <f aca="false">H3047*15.19*(1+'Chart of Accounts'!$E$67)</f>
        <v>52.17765</v>
      </c>
    </row>
    <row r="3048" customFormat="false" ht="15" hidden="false" customHeight="false" outlineLevel="0" collapsed="false">
      <c r="B3048" s="7" t="s">
        <v>3545</v>
      </c>
      <c r="C3048" s="39" t="n">
        <v>45810</v>
      </c>
      <c r="D3048" s="7" t="s">
        <v>353</v>
      </c>
      <c r="E3048" s="7" t="s">
        <v>154</v>
      </c>
      <c r="F3048" s="7" t="s">
        <v>254</v>
      </c>
      <c r="G3048" s="7" t="s">
        <v>505</v>
      </c>
      <c r="H3048" s="6" t="n">
        <v>3.24</v>
      </c>
      <c r="I3048" s="6" t="n">
        <v>0</v>
      </c>
      <c r="J3048" s="40" t="n">
        <f aca="false">H3048-I3048</f>
        <v>3.24</v>
      </c>
      <c r="K3048" s="41" t="n">
        <v>26.5</v>
      </c>
      <c r="L3048" s="42" t="n">
        <f aca="false">J3048*K3048</f>
        <v>85.86</v>
      </c>
      <c r="M3048" s="43" t="n">
        <f aca="false">H3048*17.1*(1+'Chart of Accounts'!$E$67)</f>
        <v>63.43758</v>
      </c>
    </row>
    <row r="3049" customFormat="false" ht="15" hidden="false" customHeight="false" outlineLevel="0" collapsed="false">
      <c r="B3049" s="7" t="s">
        <v>3546</v>
      </c>
      <c r="C3049" s="39" t="n">
        <v>45810</v>
      </c>
      <c r="D3049" s="7" t="s">
        <v>355</v>
      </c>
      <c r="E3049" s="7" t="s">
        <v>154</v>
      </c>
      <c r="F3049" s="7" t="s">
        <v>201</v>
      </c>
      <c r="G3049" s="7" t="s">
        <v>505</v>
      </c>
      <c r="H3049" s="6" t="n">
        <v>3.31</v>
      </c>
      <c r="I3049" s="6" t="n">
        <v>0.099</v>
      </c>
      <c r="J3049" s="40" t="n">
        <f aca="false">H3049-I3049</f>
        <v>3.211</v>
      </c>
      <c r="K3049" s="41" t="n">
        <v>26.5</v>
      </c>
      <c r="L3049" s="42" t="n">
        <f aca="false">J3049*K3049</f>
        <v>85.0915</v>
      </c>
      <c r="M3049" s="43" t="n">
        <f aca="false">H3049*15.19*(1+'Chart of Accounts'!$E$67)</f>
        <v>57.5693405</v>
      </c>
    </row>
    <row r="3050" customFormat="false" ht="15" hidden="false" customHeight="false" outlineLevel="0" collapsed="false">
      <c r="B3050" s="7" t="s">
        <v>3547</v>
      </c>
      <c r="C3050" s="39" t="n">
        <v>45810</v>
      </c>
      <c r="D3050" s="7" t="s">
        <v>357</v>
      </c>
      <c r="E3050" s="7" t="s">
        <v>154</v>
      </c>
      <c r="F3050" s="7" t="s">
        <v>207</v>
      </c>
      <c r="G3050" s="7" t="s">
        <v>505</v>
      </c>
      <c r="H3050" s="6" t="n">
        <v>3.51</v>
      </c>
      <c r="I3050" s="6" t="n">
        <v>0.105</v>
      </c>
      <c r="J3050" s="40" t="n">
        <f aca="false">H3050-I3050</f>
        <v>3.405</v>
      </c>
      <c r="K3050" s="41" t="n">
        <v>26.5</v>
      </c>
      <c r="L3050" s="42" t="n">
        <f aca="false">J3050*K3050</f>
        <v>90.2325</v>
      </c>
      <c r="M3050" s="43" t="n">
        <f aca="false">H3050*16.65*(1+'Chart of Accounts'!$E$67)</f>
        <v>66.9155175</v>
      </c>
    </row>
    <row r="3051" customFormat="false" ht="15" hidden="false" customHeight="false" outlineLevel="0" collapsed="false">
      <c r="B3051" s="7" t="s">
        <v>3548</v>
      </c>
      <c r="C3051" s="39" t="n">
        <v>45810</v>
      </c>
      <c r="D3051" s="7" t="s">
        <v>359</v>
      </c>
      <c r="E3051" s="7" t="s">
        <v>156</v>
      </c>
      <c r="F3051" s="7" t="s">
        <v>212</v>
      </c>
      <c r="G3051" s="7" t="s">
        <v>505</v>
      </c>
      <c r="H3051" s="6" t="n">
        <v>4.33</v>
      </c>
      <c r="I3051" s="6" t="n">
        <v>0</v>
      </c>
      <c r="J3051" s="40" t="n">
        <f aca="false">H3051-I3051</f>
        <v>4.33</v>
      </c>
      <c r="K3051" s="41" t="n">
        <v>34</v>
      </c>
      <c r="L3051" s="42" t="n">
        <f aca="false">J3051*K3051</f>
        <v>147.22</v>
      </c>
      <c r="M3051" s="43" t="n">
        <f aca="false">H3051*16.71*(1+'Chart of Accounts'!$E$67)</f>
        <v>82.8456735</v>
      </c>
    </row>
    <row r="3052" customFormat="false" ht="15" hidden="false" customHeight="false" outlineLevel="0" collapsed="false">
      <c r="B3052" s="7" t="s">
        <v>3549</v>
      </c>
      <c r="C3052" s="39" t="n">
        <v>45810</v>
      </c>
      <c r="D3052" s="7" t="s">
        <v>363</v>
      </c>
      <c r="E3052" s="7" t="s">
        <v>156</v>
      </c>
      <c r="F3052" s="7" t="s">
        <v>246</v>
      </c>
      <c r="G3052" s="7" t="s">
        <v>505</v>
      </c>
      <c r="H3052" s="6" t="n">
        <v>3.9</v>
      </c>
      <c r="I3052" s="6" t="n">
        <v>0</v>
      </c>
      <c r="J3052" s="40" t="n">
        <f aca="false">H3052-I3052</f>
        <v>3.9</v>
      </c>
      <c r="K3052" s="41" t="n">
        <v>34</v>
      </c>
      <c r="L3052" s="42" t="n">
        <f aca="false">J3052*K3052</f>
        <v>132.6</v>
      </c>
      <c r="M3052" s="43" t="n">
        <f aca="false">H3052*16.48*(1+'Chart of Accounts'!$E$67)</f>
        <v>73.59144</v>
      </c>
    </row>
    <row r="3053" customFormat="false" ht="15" hidden="false" customHeight="false" outlineLevel="0" collapsed="false">
      <c r="B3053" s="7" t="s">
        <v>3550</v>
      </c>
      <c r="C3053" s="39" t="n">
        <v>45810</v>
      </c>
      <c r="D3053" s="7" t="s">
        <v>365</v>
      </c>
      <c r="E3053" s="7" t="s">
        <v>154</v>
      </c>
      <c r="F3053" s="7" t="s">
        <v>194</v>
      </c>
      <c r="G3053" s="7" t="s">
        <v>505</v>
      </c>
      <c r="H3053" s="6" t="n">
        <v>4.3</v>
      </c>
      <c r="I3053" s="6" t="n">
        <v>0</v>
      </c>
      <c r="J3053" s="40" t="n">
        <f aca="false">H3053-I3053</f>
        <v>4.3</v>
      </c>
      <c r="K3053" s="41" t="n">
        <v>26.5</v>
      </c>
      <c r="L3053" s="42" t="n">
        <f aca="false">J3053*K3053</f>
        <v>113.95</v>
      </c>
      <c r="M3053" s="43" t="n">
        <f aca="false">H3053*16*(1+'Chart of Accounts'!$E$67)</f>
        <v>78.776</v>
      </c>
    </row>
    <row r="3054" customFormat="false" ht="15" hidden="false" customHeight="false" outlineLevel="0" collapsed="false">
      <c r="B3054" s="7" t="s">
        <v>3551</v>
      </c>
      <c r="C3054" s="39" t="n">
        <v>45810</v>
      </c>
      <c r="D3054" s="7" t="s">
        <v>371</v>
      </c>
      <c r="E3054" s="7" t="s">
        <v>154</v>
      </c>
      <c r="F3054" s="7" t="s">
        <v>232</v>
      </c>
      <c r="G3054" s="7" t="s">
        <v>505</v>
      </c>
      <c r="H3054" s="6" t="n">
        <v>4.32</v>
      </c>
      <c r="I3054" s="6" t="n">
        <v>0</v>
      </c>
      <c r="J3054" s="40" t="n">
        <f aca="false">H3054-I3054</f>
        <v>4.32</v>
      </c>
      <c r="K3054" s="41" t="n">
        <v>26.5</v>
      </c>
      <c r="L3054" s="42" t="n">
        <f aca="false">J3054*K3054</f>
        <v>114.48</v>
      </c>
      <c r="M3054" s="43" t="n">
        <f aca="false">H3054*16.17*(1+'Chart of Accounts'!$E$67)</f>
        <v>79.983288</v>
      </c>
    </row>
    <row r="3055" customFormat="false" ht="15" hidden="false" customHeight="false" outlineLevel="0" collapsed="false">
      <c r="B3055" s="7" t="s">
        <v>3552</v>
      </c>
      <c r="C3055" s="39" t="n">
        <v>45810</v>
      </c>
      <c r="D3055" s="7" t="s">
        <v>375</v>
      </c>
      <c r="E3055" s="7" t="s">
        <v>156</v>
      </c>
      <c r="F3055" s="7" t="s">
        <v>196</v>
      </c>
      <c r="G3055" s="7" t="s">
        <v>505</v>
      </c>
      <c r="H3055" s="6" t="n">
        <v>3.16</v>
      </c>
      <c r="I3055" s="6" t="n">
        <v>0</v>
      </c>
      <c r="J3055" s="40" t="n">
        <f aca="false">H3055-I3055</f>
        <v>3.16</v>
      </c>
      <c r="K3055" s="41" t="n">
        <v>34</v>
      </c>
      <c r="L3055" s="42" t="n">
        <f aca="false">J3055*K3055</f>
        <v>107.44</v>
      </c>
      <c r="M3055" s="43" t="n">
        <f aca="false">H3055*15.05*(1+'Chart of Accounts'!$E$67)</f>
        <v>54.45391</v>
      </c>
    </row>
    <row r="3056" customFormat="false" ht="15" hidden="false" customHeight="false" outlineLevel="0" collapsed="false">
      <c r="B3056" s="7" t="s">
        <v>3553</v>
      </c>
      <c r="C3056" s="39" t="n">
        <v>45810</v>
      </c>
      <c r="D3056" s="7" t="s">
        <v>377</v>
      </c>
      <c r="E3056" s="7" t="s">
        <v>154</v>
      </c>
      <c r="F3056" s="7" t="s">
        <v>214</v>
      </c>
      <c r="G3056" s="7" t="s">
        <v>505</v>
      </c>
      <c r="H3056" s="6" t="n">
        <v>3.67</v>
      </c>
      <c r="I3056" s="6" t="n">
        <v>0</v>
      </c>
      <c r="J3056" s="40" t="n">
        <f aca="false">H3056-I3056</f>
        <v>3.67</v>
      </c>
      <c r="K3056" s="41" t="n">
        <v>26.5</v>
      </c>
      <c r="L3056" s="42" t="n">
        <f aca="false">J3056*K3056</f>
        <v>97.255</v>
      </c>
      <c r="M3056" s="43" t="n">
        <f aca="false">H3056*15.67*(1+'Chart of Accounts'!$E$67)</f>
        <v>65.8476905</v>
      </c>
    </row>
    <row r="3057" customFormat="false" ht="15" hidden="false" customHeight="false" outlineLevel="0" collapsed="false">
      <c r="B3057" s="7" t="s">
        <v>3554</v>
      </c>
      <c r="C3057" s="39" t="n">
        <v>45810</v>
      </c>
      <c r="D3057" s="7" t="s">
        <v>379</v>
      </c>
      <c r="E3057" s="7" t="s">
        <v>156</v>
      </c>
      <c r="F3057" s="7" t="s">
        <v>224</v>
      </c>
      <c r="G3057" s="7" t="s">
        <v>505</v>
      </c>
      <c r="H3057" s="6" t="n">
        <v>4.3</v>
      </c>
      <c r="I3057" s="6" t="n">
        <v>0</v>
      </c>
      <c r="J3057" s="40" t="n">
        <f aca="false">H3057-I3057</f>
        <v>4.3</v>
      </c>
      <c r="K3057" s="41" t="n">
        <v>34</v>
      </c>
      <c r="L3057" s="42" t="n">
        <f aca="false">J3057*K3057</f>
        <v>146.2</v>
      </c>
      <c r="M3057" s="43" t="n">
        <f aca="false">H3057*14.93*(1+'Chart of Accounts'!$E$67)</f>
        <v>73.507855</v>
      </c>
    </row>
    <row r="3058" customFormat="false" ht="15" hidden="false" customHeight="false" outlineLevel="0" collapsed="false">
      <c r="B3058" s="7" t="s">
        <v>3555</v>
      </c>
      <c r="C3058" s="39" t="n">
        <v>45810</v>
      </c>
      <c r="D3058" s="7" t="s">
        <v>385</v>
      </c>
      <c r="E3058" s="7" t="s">
        <v>156</v>
      </c>
      <c r="F3058" s="7" t="s">
        <v>238</v>
      </c>
      <c r="G3058" s="7" t="s">
        <v>505</v>
      </c>
      <c r="H3058" s="6" t="n">
        <v>4.05</v>
      </c>
      <c r="I3058" s="6" t="n">
        <v>0</v>
      </c>
      <c r="J3058" s="40" t="n">
        <f aca="false">H3058-I3058</f>
        <v>4.05</v>
      </c>
      <c r="K3058" s="41" t="n">
        <v>34</v>
      </c>
      <c r="L3058" s="42" t="n">
        <f aca="false">J3058*K3058</f>
        <v>137.7</v>
      </c>
      <c r="M3058" s="43" t="n">
        <f aca="false">H3058*15.85*(1+'Chart of Accounts'!$E$67)</f>
        <v>73.5004125</v>
      </c>
    </row>
    <row r="3059" customFormat="false" ht="15" hidden="false" customHeight="false" outlineLevel="0" collapsed="false">
      <c r="B3059" s="7" t="s">
        <v>3556</v>
      </c>
      <c r="C3059" s="39" t="n">
        <v>45810</v>
      </c>
      <c r="D3059" s="7" t="s">
        <v>389</v>
      </c>
      <c r="E3059" s="7" t="s">
        <v>154</v>
      </c>
      <c r="F3059" s="7" t="s">
        <v>246</v>
      </c>
      <c r="G3059" s="7" t="s">
        <v>505</v>
      </c>
      <c r="H3059" s="6" t="n">
        <v>3.7</v>
      </c>
      <c r="I3059" s="6" t="n">
        <v>0</v>
      </c>
      <c r="J3059" s="40" t="n">
        <f aca="false">H3059-I3059</f>
        <v>3.7</v>
      </c>
      <c r="K3059" s="41" t="n">
        <v>26.5</v>
      </c>
      <c r="L3059" s="42" t="n">
        <f aca="false">J3059*K3059</f>
        <v>98.05</v>
      </c>
      <c r="M3059" s="43" t="n">
        <f aca="false">H3059*16.48*(1+'Chart of Accounts'!$E$67)</f>
        <v>69.81752</v>
      </c>
    </row>
    <row r="3060" customFormat="false" ht="15" hidden="false" customHeight="false" outlineLevel="0" collapsed="false">
      <c r="B3060" s="7" t="s">
        <v>3557</v>
      </c>
      <c r="C3060" s="39" t="n">
        <v>45810</v>
      </c>
      <c r="D3060" s="7" t="s">
        <v>391</v>
      </c>
      <c r="E3060" s="7" t="s">
        <v>156</v>
      </c>
      <c r="F3060" s="7" t="s">
        <v>222</v>
      </c>
      <c r="G3060" s="7" t="s">
        <v>505</v>
      </c>
      <c r="H3060" s="6" t="n">
        <v>4.17</v>
      </c>
      <c r="I3060" s="6" t="n">
        <v>0</v>
      </c>
      <c r="J3060" s="40" t="n">
        <f aca="false">H3060-I3060</f>
        <v>4.17</v>
      </c>
      <c r="K3060" s="41" t="n">
        <v>34</v>
      </c>
      <c r="L3060" s="42" t="n">
        <f aca="false">J3060*K3060</f>
        <v>141.78</v>
      </c>
      <c r="M3060" s="43" t="n">
        <f aca="false">H3060*17.84*(1+'Chart of Accounts'!$E$67)</f>
        <v>85.179756</v>
      </c>
    </row>
    <row r="3061" customFormat="false" ht="15" hidden="false" customHeight="false" outlineLevel="0" collapsed="false">
      <c r="B3061" s="7" t="s">
        <v>3558</v>
      </c>
      <c r="C3061" s="39" t="n">
        <v>45810</v>
      </c>
      <c r="D3061" s="7" t="s">
        <v>395</v>
      </c>
      <c r="E3061" s="7" t="s">
        <v>156</v>
      </c>
      <c r="F3061" s="7" t="s">
        <v>242</v>
      </c>
      <c r="G3061" s="7" t="s">
        <v>505</v>
      </c>
      <c r="H3061" s="6" t="n">
        <v>4.05</v>
      </c>
      <c r="I3061" s="6" t="n">
        <v>0</v>
      </c>
      <c r="J3061" s="40" t="n">
        <f aca="false">H3061-I3061</f>
        <v>4.05</v>
      </c>
      <c r="K3061" s="41" t="n">
        <v>34</v>
      </c>
      <c r="L3061" s="42" t="n">
        <f aca="false">J3061*K3061</f>
        <v>137.7</v>
      </c>
      <c r="M3061" s="43" t="n">
        <f aca="false">H3061*17.99*(1+'Chart of Accounts'!$E$67)</f>
        <v>83.4241275</v>
      </c>
    </row>
    <row r="3062" customFormat="false" ht="15" hidden="false" customHeight="false" outlineLevel="0" collapsed="false">
      <c r="B3062" s="7" t="s">
        <v>3559</v>
      </c>
      <c r="C3062" s="39" t="n">
        <v>45810</v>
      </c>
      <c r="D3062" s="7" t="s">
        <v>399</v>
      </c>
      <c r="E3062" s="7" t="s">
        <v>154</v>
      </c>
      <c r="F3062" s="7" t="s">
        <v>196</v>
      </c>
      <c r="G3062" s="7" t="s">
        <v>505</v>
      </c>
      <c r="H3062" s="6" t="n">
        <v>3.6</v>
      </c>
      <c r="I3062" s="6" t="n">
        <v>0</v>
      </c>
      <c r="J3062" s="40" t="n">
        <f aca="false">H3062-I3062</f>
        <v>3.6</v>
      </c>
      <c r="K3062" s="41" t="n">
        <v>26.5</v>
      </c>
      <c r="L3062" s="42" t="n">
        <f aca="false">J3062*K3062</f>
        <v>95.4</v>
      </c>
      <c r="M3062" s="43" t="n">
        <f aca="false">H3062*15.05*(1+'Chart of Accounts'!$E$67)</f>
        <v>62.0361</v>
      </c>
    </row>
    <row r="3063" customFormat="false" ht="15" hidden="false" customHeight="false" outlineLevel="0" collapsed="false">
      <c r="B3063" s="7" t="s">
        <v>3560</v>
      </c>
      <c r="C3063" s="39" t="n">
        <v>45810</v>
      </c>
      <c r="D3063" s="7" t="s">
        <v>401</v>
      </c>
      <c r="E3063" s="7" t="s">
        <v>156</v>
      </c>
      <c r="F3063" s="7" t="s">
        <v>254</v>
      </c>
      <c r="G3063" s="7" t="s">
        <v>505</v>
      </c>
      <c r="H3063" s="6" t="n">
        <v>3.85</v>
      </c>
      <c r="I3063" s="6" t="n">
        <v>0</v>
      </c>
      <c r="J3063" s="40" t="n">
        <f aca="false">H3063-I3063</f>
        <v>3.85</v>
      </c>
      <c r="K3063" s="41" t="n">
        <v>34</v>
      </c>
      <c r="L3063" s="42" t="n">
        <f aca="false">J3063*K3063</f>
        <v>130.9</v>
      </c>
      <c r="M3063" s="43" t="n">
        <f aca="false">H3063*17.1*(1+'Chart of Accounts'!$E$67)</f>
        <v>75.381075</v>
      </c>
    </row>
    <row r="3064" customFormat="false" ht="15" hidden="false" customHeight="false" outlineLevel="0" collapsed="false">
      <c r="B3064" s="7" t="s">
        <v>3561</v>
      </c>
      <c r="C3064" s="39" t="n">
        <v>45810</v>
      </c>
      <c r="D3064" s="7" t="s">
        <v>409</v>
      </c>
      <c r="E3064" s="7" t="s">
        <v>154</v>
      </c>
      <c r="F3064" s="7" t="s">
        <v>214</v>
      </c>
      <c r="G3064" s="7" t="s">
        <v>505</v>
      </c>
      <c r="H3064" s="6" t="n">
        <v>3.32</v>
      </c>
      <c r="I3064" s="6" t="n">
        <v>0.1</v>
      </c>
      <c r="J3064" s="40" t="n">
        <f aca="false">H3064-I3064</f>
        <v>3.22</v>
      </c>
      <c r="K3064" s="41" t="n">
        <v>26.5</v>
      </c>
      <c r="L3064" s="42" t="n">
        <f aca="false">J3064*K3064</f>
        <v>85.33</v>
      </c>
      <c r="M3064" s="43" t="n">
        <f aca="false">H3064*15.67*(1+'Chart of Accounts'!$E$67)</f>
        <v>59.567938</v>
      </c>
    </row>
    <row r="3065" customFormat="false" ht="15" hidden="false" customHeight="false" outlineLevel="0" collapsed="false">
      <c r="B3065" s="7" t="s">
        <v>3562</v>
      </c>
      <c r="C3065" s="39" t="n">
        <v>45810</v>
      </c>
      <c r="D3065" s="7" t="s">
        <v>411</v>
      </c>
      <c r="E3065" s="7" t="s">
        <v>154</v>
      </c>
      <c r="F3065" s="7" t="s">
        <v>177</v>
      </c>
      <c r="G3065" s="7" t="s">
        <v>505</v>
      </c>
      <c r="H3065" s="6" t="n">
        <v>4.2</v>
      </c>
      <c r="I3065" s="6" t="n">
        <v>0.126</v>
      </c>
      <c r="J3065" s="40" t="n">
        <f aca="false">H3065-I3065</f>
        <v>4.074</v>
      </c>
      <c r="K3065" s="41" t="n">
        <v>26.5</v>
      </c>
      <c r="L3065" s="42" t="n">
        <f aca="false">J3065*K3065</f>
        <v>107.961</v>
      </c>
      <c r="M3065" s="43" t="n">
        <f aca="false">H3065*14.56*(1+'Chart of Accounts'!$E$67)</f>
        <v>70.01904</v>
      </c>
    </row>
    <row r="3066" customFormat="false" ht="15" hidden="false" customHeight="false" outlineLevel="0" collapsed="false">
      <c r="B3066" s="7" t="s">
        <v>3563</v>
      </c>
      <c r="C3066" s="39" t="n">
        <v>45811</v>
      </c>
      <c r="D3066" s="7" t="s">
        <v>288</v>
      </c>
      <c r="E3066" s="7" t="s">
        <v>156</v>
      </c>
      <c r="F3066" s="7" t="s">
        <v>242</v>
      </c>
      <c r="G3066" s="7" t="s">
        <v>505</v>
      </c>
      <c r="H3066" s="6" t="n">
        <v>3.68</v>
      </c>
      <c r="I3066" s="6" t="n">
        <v>0</v>
      </c>
      <c r="J3066" s="40" t="n">
        <f aca="false">H3066-I3066</f>
        <v>3.68</v>
      </c>
      <c r="K3066" s="41" t="n">
        <v>34</v>
      </c>
      <c r="L3066" s="42" t="n">
        <f aca="false">J3066*K3066</f>
        <v>125.12</v>
      </c>
      <c r="M3066" s="43" t="n">
        <f aca="false">H3066*17.99*(1+'Chart of Accounts'!$E$67)</f>
        <v>75.802664</v>
      </c>
    </row>
    <row r="3067" customFormat="false" ht="15" hidden="false" customHeight="false" outlineLevel="0" collapsed="false">
      <c r="B3067" s="7" t="s">
        <v>3564</v>
      </c>
      <c r="C3067" s="39" t="n">
        <v>45811</v>
      </c>
      <c r="D3067" s="7" t="s">
        <v>301</v>
      </c>
      <c r="E3067" s="7" t="s">
        <v>157</v>
      </c>
      <c r="F3067" s="7" t="s">
        <v>209</v>
      </c>
      <c r="G3067" s="7" t="s">
        <v>502</v>
      </c>
      <c r="H3067" s="6" t="n">
        <v>1</v>
      </c>
      <c r="I3067" s="6" t="n">
        <v>0</v>
      </c>
      <c r="J3067" s="40" t="n">
        <f aca="false">H3067-I3067</f>
        <v>1</v>
      </c>
      <c r="K3067" s="41" t="n">
        <v>165</v>
      </c>
      <c r="L3067" s="42" t="n">
        <f aca="false">J3067*K3067</f>
        <v>165</v>
      </c>
      <c r="M3067" s="43" t="n">
        <f aca="false">H3067*73.58*(1+'Chart of Accounts'!$E$67)</f>
        <v>84.2491</v>
      </c>
    </row>
    <row r="3068" customFormat="false" ht="15" hidden="false" customHeight="false" outlineLevel="0" collapsed="false">
      <c r="B3068" s="7" t="s">
        <v>3565</v>
      </c>
      <c r="C3068" s="39" t="n">
        <v>45811</v>
      </c>
      <c r="D3068" s="7" t="s">
        <v>313</v>
      </c>
      <c r="E3068" s="7" t="s">
        <v>156</v>
      </c>
      <c r="F3068" s="7" t="s">
        <v>184</v>
      </c>
      <c r="G3068" s="7" t="s">
        <v>505</v>
      </c>
      <c r="H3068" s="6" t="n">
        <v>3.84</v>
      </c>
      <c r="I3068" s="6" t="n">
        <v>0</v>
      </c>
      <c r="J3068" s="40" t="n">
        <f aca="false">H3068-I3068</f>
        <v>3.84</v>
      </c>
      <c r="K3068" s="41" t="n">
        <v>34</v>
      </c>
      <c r="L3068" s="42" t="n">
        <f aca="false">J3068*K3068</f>
        <v>130.56</v>
      </c>
      <c r="M3068" s="43" t="n">
        <f aca="false">H3068*17.34*(1+'Chart of Accounts'!$E$67)</f>
        <v>76.240512</v>
      </c>
    </row>
    <row r="3069" customFormat="false" ht="15" hidden="false" customHeight="false" outlineLevel="0" collapsed="false">
      <c r="B3069" s="7" t="s">
        <v>3566</v>
      </c>
      <c r="C3069" s="39" t="n">
        <v>45811</v>
      </c>
      <c r="D3069" s="7" t="s">
        <v>319</v>
      </c>
      <c r="E3069" s="7" t="s">
        <v>157</v>
      </c>
      <c r="F3069" s="7" t="s">
        <v>234</v>
      </c>
      <c r="G3069" s="7" t="s">
        <v>502</v>
      </c>
      <c r="H3069" s="6" t="n">
        <v>0.95</v>
      </c>
      <c r="I3069" s="6" t="n">
        <v>0</v>
      </c>
      <c r="J3069" s="40" t="n">
        <f aca="false">H3069-I3069</f>
        <v>0.95</v>
      </c>
      <c r="K3069" s="41" t="n">
        <v>165</v>
      </c>
      <c r="L3069" s="42" t="n">
        <f aca="false">J3069*K3069</f>
        <v>156.75</v>
      </c>
      <c r="M3069" s="43" t="n">
        <f aca="false">H3069*89.53*(1+'Chart of Accounts'!$E$67)</f>
        <v>97.3862575</v>
      </c>
    </row>
    <row r="3070" customFormat="false" ht="15" hidden="false" customHeight="false" outlineLevel="0" collapsed="false">
      <c r="B3070" s="7" t="s">
        <v>3567</v>
      </c>
      <c r="C3070" s="39" t="n">
        <v>45811</v>
      </c>
      <c r="D3070" s="7" t="s">
        <v>321</v>
      </c>
      <c r="E3070" s="7" t="s">
        <v>154</v>
      </c>
      <c r="F3070" s="7" t="s">
        <v>218</v>
      </c>
      <c r="G3070" s="7" t="s">
        <v>505</v>
      </c>
      <c r="H3070" s="6" t="n">
        <v>4.09</v>
      </c>
      <c r="I3070" s="6" t="n">
        <v>0</v>
      </c>
      <c r="J3070" s="40" t="n">
        <f aca="false">H3070-I3070</f>
        <v>4.09</v>
      </c>
      <c r="K3070" s="41" t="n">
        <v>26.5</v>
      </c>
      <c r="L3070" s="42" t="n">
        <f aca="false">J3070*K3070</f>
        <v>108.385</v>
      </c>
      <c r="M3070" s="43" t="n">
        <f aca="false">H3070*16.19*(1+'Chart of Accounts'!$E$67)</f>
        <v>75.8185795</v>
      </c>
    </row>
    <row r="3071" customFormat="false" ht="15" hidden="false" customHeight="false" outlineLevel="0" collapsed="false">
      <c r="B3071" s="7" t="s">
        <v>3568</v>
      </c>
      <c r="C3071" s="39" t="n">
        <v>45811</v>
      </c>
      <c r="D3071" s="7" t="s">
        <v>323</v>
      </c>
      <c r="E3071" s="7" t="s">
        <v>159</v>
      </c>
      <c r="F3071" s="7" t="s">
        <v>266</v>
      </c>
      <c r="G3071" s="7" t="s">
        <v>502</v>
      </c>
      <c r="H3071" s="6" t="n">
        <v>0.92</v>
      </c>
      <c r="I3071" s="6" t="n">
        <v>0.064</v>
      </c>
      <c r="J3071" s="40" t="n">
        <f aca="false">H3071-I3071</f>
        <v>0.856</v>
      </c>
      <c r="K3071" s="41" t="n">
        <v>135</v>
      </c>
      <c r="L3071" s="42" t="n">
        <f aca="false">J3071*K3071</f>
        <v>115.56</v>
      </c>
      <c r="M3071" s="43" t="n">
        <f aca="false">H3071*75.18*(1+'Chart of Accounts'!$E$67)</f>
        <v>79.194612</v>
      </c>
    </row>
    <row r="3072" customFormat="false" ht="15" hidden="false" customHeight="false" outlineLevel="0" collapsed="false">
      <c r="B3072" s="7" t="s">
        <v>3569</v>
      </c>
      <c r="C3072" s="39" t="n">
        <v>45811</v>
      </c>
      <c r="D3072" s="7" t="s">
        <v>327</v>
      </c>
      <c r="E3072" s="7" t="s">
        <v>157</v>
      </c>
      <c r="F3072" s="7" t="s">
        <v>228</v>
      </c>
      <c r="G3072" s="7" t="s">
        <v>502</v>
      </c>
      <c r="H3072" s="6" t="n">
        <v>0.93</v>
      </c>
      <c r="I3072" s="6" t="n">
        <v>0</v>
      </c>
      <c r="J3072" s="40" t="n">
        <f aca="false">H3072-I3072</f>
        <v>0.93</v>
      </c>
      <c r="K3072" s="41" t="n">
        <v>165</v>
      </c>
      <c r="L3072" s="42" t="n">
        <f aca="false">J3072*K3072</f>
        <v>153.45</v>
      </c>
      <c r="M3072" s="43" t="n">
        <f aca="false">H3072*51.07*(1+'Chart of Accounts'!$E$67)</f>
        <v>54.3818895</v>
      </c>
    </row>
    <row r="3073" customFormat="false" ht="15" hidden="false" customHeight="false" outlineLevel="0" collapsed="false">
      <c r="B3073" s="7" t="s">
        <v>3570</v>
      </c>
      <c r="C3073" s="39" t="n">
        <v>45811</v>
      </c>
      <c r="D3073" s="7" t="s">
        <v>329</v>
      </c>
      <c r="E3073" s="7" t="s">
        <v>156</v>
      </c>
      <c r="F3073" s="7" t="s">
        <v>220</v>
      </c>
      <c r="G3073" s="7" t="s">
        <v>505</v>
      </c>
      <c r="H3073" s="6" t="n">
        <v>4.01</v>
      </c>
      <c r="I3073" s="6" t="n">
        <v>0</v>
      </c>
      <c r="J3073" s="40" t="n">
        <f aca="false">H3073-I3073</f>
        <v>4.01</v>
      </c>
      <c r="K3073" s="41" t="n">
        <v>34</v>
      </c>
      <c r="L3073" s="42" t="n">
        <f aca="false">J3073*K3073</f>
        <v>136.34</v>
      </c>
      <c r="M3073" s="43" t="n">
        <f aca="false">H3073*16.43*(1+'Chart of Accounts'!$E$67)</f>
        <v>75.4375235</v>
      </c>
    </row>
    <row r="3074" customFormat="false" ht="15" hidden="false" customHeight="false" outlineLevel="0" collapsed="false">
      <c r="B3074" s="7" t="s">
        <v>3571</v>
      </c>
      <c r="C3074" s="39" t="n">
        <v>45811</v>
      </c>
      <c r="D3074" s="7" t="s">
        <v>359</v>
      </c>
      <c r="E3074" s="7" t="s">
        <v>156</v>
      </c>
      <c r="F3074" s="7" t="s">
        <v>212</v>
      </c>
      <c r="G3074" s="7" t="s">
        <v>505</v>
      </c>
      <c r="H3074" s="6" t="n">
        <v>3.98</v>
      </c>
      <c r="I3074" s="6" t="n">
        <v>0</v>
      </c>
      <c r="J3074" s="40" t="n">
        <f aca="false">H3074-I3074</f>
        <v>3.98</v>
      </c>
      <c r="K3074" s="41" t="n">
        <v>34</v>
      </c>
      <c r="L3074" s="42" t="n">
        <f aca="false">J3074*K3074</f>
        <v>135.32</v>
      </c>
      <c r="M3074" s="43" t="n">
        <f aca="false">H3074*16.71*(1+'Chart of Accounts'!$E$67)</f>
        <v>76.149141</v>
      </c>
    </row>
    <row r="3075" customFormat="false" ht="15" hidden="false" customHeight="false" outlineLevel="0" collapsed="false">
      <c r="B3075" s="7" t="s">
        <v>3572</v>
      </c>
      <c r="C3075" s="39" t="n">
        <v>45811</v>
      </c>
      <c r="D3075" s="7" t="s">
        <v>361</v>
      </c>
      <c r="E3075" s="7" t="s">
        <v>157</v>
      </c>
      <c r="F3075" s="7" t="s">
        <v>209</v>
      </c>
      <c r="G3075" s="7" t="s">
        <v>502</v>
      </c>
      <c r="H3075" s="6" t="n">
        <v>1.02</v>
      </c>
      <c r="I3075" s="6" t="n">
        <v>0</v>
      </c>
      <c r="J3075" s="40" t="n">
        <f aca="false">H3075-I3075</f>
        <v>1.02</v>
      </c>
      <c r="K3075" s="41" t="n">
        <v>165</v>
      </c>
      <c r="L3075" s="42" t="n">
        <f aca="false">J3075*K3075</f>
        <v>168.3</v>
      </c>
      <c r="M3075" s="43" t="n">
        <f aca="false">H3075*73.58*(1+'Chart of Accounts'!$E$67)</f>
        <v>85.934082</v>
      </c>
    </row>
    <row r="3076" customFormat="false" ht="15" hidden="false" customHeight="false" outlineLevel="0" collapsed="false">
      <c r="B3076" s="7" t="s">
        <v>3573</v>
      </c>
      <c r="C3076" s="39" t="n">
        <v>45811</v>
      </c>
      <c r="D3076" s="7" t="s">
        <v>365</v>
      </c>
      <c r="E3076" s="7" t="s">
        <v>154</v>
      </c>
      <c r="F3076" s="7" t="s">
        <v>194</v>
      </c>
      <c r="G3076" s="7" t="s">
        <v>505</v>
      </c>
      <c r="H3076" s="6" t="n">
        <v>3.91</v>
      </c>
      <c r="I3076" s="6" t="n">
        <v>0</v>
      </c>
      <c r="J3076" s="40" t="n">
        <f aca="false">H3076-I3076</f>
        <v>3.91</v>
      </c>
      <c r="K3076" s="41" t="n">
        <v>26.5</v>
      </c>
      <c r="L3076" s="42" t="n">
        <f aca="false">J3076*K3076</f>
        <v>103.615</v>
      </c>
      <c r="M3076" s="43" t="n">
        <f aca="false">H3076*16*(1+'Chart of Accounts'!$E$67)</f>
        <v>71.6312</v>
      </c>
    </row>
    <row r="3077" customFormat="false" ht="15" hidden="false" customHeight="false" outlineLevel="0" collapsed="false">
      <c r="B3077" s="7" t="s">
        <v>3574</v>
      </c>
      <c r="C3077" s="39" t="n">
        <v>45811</v>
      </c>
      <c r="D3077" s="7" t="s">
        <v>381</v>
      </c>
      <c r="E3077" s="7" t="s">
        <v>157</v>
      </c>
      <c r="F3077" s="7" t="s">
        <v>234</v>
      </c>
      <c r="G3077" s="7" t="s">
        <v>502</v>
      </c>
      <c r="H3077" s="6" t="n">
        <v>1.06</v>
      </c>
      <c r="I3077" s="6" t="n">
        <v>0</v>
      </c>
      <c r="J3077" s="40" t="n">
        <f aca="false">H3077-I3077</f>
        <v>1.06</v>
      </c>
      <c r="K3077" s="41" t="n">
        <v>165</v>
      </c>
      <c r="L3077" s="42" t="n">
        <f aca="false">J3077*K3077</f>
        <v>174.9</v>
      </c>
      <c r="M3077" s="43" t="n">
        <f aca="false">H3077*89.53*(1+'Chart of Accounts'!$E$67)</f>
        <v>108.662561</v>
      </c>
    </row>
    <row r="3078" customFormat="false" ht="15" hidden="false" customHeight="false" outlineLevel="0" collapsed="false">
      <c r="B3078" s="7" t="s">
        <v>3575</v>
      </c>
      <c r="C3078" s="39" t="n">
        <v>45811</v>
      </c>
      <c r="D3078" s="7" t="s">
        <v>389</v>
      </c>
      <c r="E3078" s="7" t="s">
        <v>154</v>
      </c>
      <c r="F3078" s="7" t="s">
        <v>246</v>
      </c>
      <c r="G3078" s="7" t="s">
        <v>505</v>
      </c>
      <c r="H3078" s="6" t="n">
        <v>3.7</v>
      </c>
      <c r="I3078" s="6" t="n">
        <v>0</v>
      </c>
      <c r="J3078" s="40" t="n">
        <f aca="false">H3078-I3078</f>
        <v>3.7</v>
      </c>
      <c r="K3078" s="41" t="n">
        <v>26.5</v>
      </c>
      <c r="L3078" s="42" t="n">
        <f aca="false">J3078*K3078</f>
        <v>98.05</v>
      </c>
      <c r="M3078" s="43" t="n">
        <f aca="false">H3078*16.48*(1+'Chart of Accounts'!$E$67)</f>
        <v>69.81752</v>
      </c>
    </row>
    <row r="3079" customFormat="false" ht="15" hidden="false" customHeight="false" outlineLevel="0" collapsed="false">
      <c r="B3079" s="7" t="s">
        <v>3576</v>
      </c>
      <c r="C3079" s="39" t="n">
        <v>45811</v>
      </c>
      <c r="D3079" s="7" t="s">
        <v>391</v>
      </c>
      <c r="E3079" s="7" t="s">
        <v>156</v>
      </c>
      <c r="F3079" s="7" t="s">
        <v>222</v>
      </c>
      <c r="G3079" s="7" t="s">
        <v>505</v>
      </c>
      <c r="H3079" s="6" t="n">
        <v>3.63</v>
      </c>
      <c r="I3079" s="6" t="n">
        <v>0</v>
      </c>
      <c r="J3079" s="40" t="n">
        <f aca="false">H3079-I3079</f>
        <v>3.63</v>
      </c>
      <c r="K3079" s="41" t="n">
        <v>34</v>
      </c>
      <c r="L3079" s="42" t="n">
        <f aca="false">J3079*K3079</f>
        <v>123.42</v>
      </c>
      <c r="M3079" s="43" t="n">
        <f aca="false">H3079*17.84*(1+'Chart of Accounts'!$E$67)</f>
        <v>74.149284</v>
      </c>
    </row>
    <row r="3080" customFormat="false" ht="15" hidden="false" customHeight="false" outlineLevel="0" collapsed="false">
      <c r="B3080" s="7" t="s">
        <v>3577</v>
      </c>
      <c r="C3080" s="39" t="n">
        <v>45811</v>
      </c>
      <c r="D3080" s="7" t="s">
        <v>395</v>
      </c>
      <c r="E3080" s="7" t="s">
        <v>156</v>
      </c>
      <c r="F3080" s="7" t="s">
        <v>242</v>
      </c>
      <c r="G3080" s="7" t="s">
        <v>505</v>
      </c>
      <c r="H3080" s="6" t="n">
        <v>3.96</v>
      </c>
      <c r="I3080" s="6" t="n">
        <v>0</v>
      </c>
      <c r="J3080" s="40" t="n">
        <f aca="false">H3080-I3080</f>
        <v>3.96</v>
      </c>
      <c r="K3080" s="41" t="n">
        <v>34</v>
      </c>
      <c r="L3080" s="42" t="n">
        <f aca="false">J3080*K3080</f>
        <v>134.64</v>
      </c>
      <c r="M3080" s="43" t="n">
        <f aca="false">H3080*17.99*(1+'Chart of Accounts'!$E$67)</f>
        <v>81.570258</v>
      </c>
    </row>
    <row r="3081" customFormat="false" ht="15" hidden="false" customHeight="false" outlineLevel="0" collapsed="false">
      <c r="B3081" s="7" t="s">
        <v>3578</v>
      </c>
      <c r="C3081" s="39" t="n">
        <v>45811</v>
      </c>
      <c r="D3081" s="7" t="s">
        <v>397</v>
      </c>
      <c r="E3081" s="7" t="s">
        <v>159</v>
      </c>
      <c r="F3081" s="7" t="s">
        <v>203</v>
      </c>
      <c r="G3081" s="7" t="s">
        <v>502</v>
      </c>
      <c r="H3081" s="6" t="n">
        <v>0.93</v>
      </c>
      <c r="I3081" s="6" t="n">
        <v>0</v>
      </c>
      <c r="J3081" s="40" t="n">
        <f aca="false">H3081-I3081</f>
        <v>0.93</v>
      </c>
      <c r="K3081" s="41" t="n">
        <v>135</v>
      </c>
      <c r="L3081" s="42" t="n">
        <f aca="false">J3081*K3081</f>
        <v>125.55</v>
      </c>
      <c r="M3081" s="43" t="n">
        <f aca="false">H3081*49.43*(1+'Chart of Accounts'!$E$67)</f>
        <v>52.6355355</v>
      </c>
    </row>
    <row r="3082" customFormat="false" ht="15" hidden="false" customHeight="false" outlineLevel="0" collapsed="false">
      <c r="B3082" s="7" t="s">
        <v>3579</v>
      </c>
      <c r="C3082" s="39" t="n">
        <v>45811</v>
      </c>
      <c r="D3082" s="7" t="s">
        <v>401</v>
      </c>
      <c r="E3082" s="7" t="s">
        <v>156</v>
      </c>
      <c r="F3082" s="7" t="s">
        <v>254</v>
      </c>
      <c r="G3082" s="7" t="s">
        <v>505</v>
      </c>
      <c r="H3082" s="6" t="n">
        <v>3.61</v>
      </c>
      <c r="I3082" s="6" t="n">
        <v>0</v>
      </c>
      <c r="J3082" s="40" t="n">
        <f aca="false">H3082-I3082</f>
        <v>3.61</v>
      </c>
      <c r="K3082" s="41" t="n">
        <v>34</v>
      </c>
      <c r="L3082" s="42" t="n">
        <f aca="false">J3082*K3082</f>
        <v>122.74</v>
      </c>
      <c r="M3082" s="43" t="n">
        <f aca="false">H3082*17.1*(1+'Chart of Accounts'!$E$67)</f>
        <v>70.681995</v>
      </c>
    </row>
    <row r="3083" customFormat="false" ht="15" hidden="false" customHeight="false" outlineLevel="0" collapsed="false">
      <c r="B3083" s="7" t="s">
        <v>3580</v>
      </c>
      <c r="C3083" s="39" t="n">
        <v>45811</v>
      </c>
      <c r="D3083" s="7" t="s">
        <v>407</v>
      </c>
      <c r="E3083" s="7" t="s">
        <v>159</v>
      </c>
      <c r="F3083" s="7" t="s">
        <v>260</v>
      </c>
      <c r="G3083" s="7" t="s">
        <v>502</v>
      </c>
      <c r="H3083" s="6" t="n">
        <v>1.07</v>
      </c>
      <c r="I3083" s="6" t="n">
        <v>0</v>
      </c>
      <c r="J3083" s="40" t="n">
        <f aca="false">H3083-I3083</f>
        <v>1.07</v>
      </c>
      <c r="K3083" s="41" t="n">
        <v>135</v>
      </c>
      <c r="L3083" s="42" t="n">
        <f aca="false">J3083*K3083</f>
        <v>144.45</v>
      </c>
      <c r="M3083" s="43" t="n">
        <f aca="false">H3083*79.8*(1+'Chart of Accounts'!$E$67)</f>
        <v>97.76697</v>
      </c>
    </row>
    <row r="3084" customFormat="false" ht="15" hidden="false" customHeight="false" outlineLevel="0" collapsed="false">
      <c r="B3084" s="7" t="s">
        <v>3581</v>
      </c>
      <c r="C3084" s="39" t="n">
        <v>45812</v>
      </c>
      <c r="D3084" s="7" t="s">
        <v>280</v>
      </c>
      <c r="E3084" s="7" t="s">
        <v>157</v>
      </c>
      <c r="F3084" s="7" t="s">
        <v>187</v>
      </c>
      <c r="G3084" s="7" t="s">
        <v>502</v>
      </c>
      <c r="H3084" s="6" t="n">
        <v>1.01</v>
      </c>
      <c r="I3084" s="6" t="n">
        <v>0</v>
      </c>
      <c r="J3084" s="40" t="n">
        <f aca="false">H3084-I3084</f>
        <v>1.01</v>
      </c>
      <c r="K3084" s="41" t="n">
        <v>165</v>
      </c>
      <c r="L3084" s="42" t="n">
        <f aca="false">J3084*K3084</f>
        <v>166.65</v>
      </c>
      <c r="M3084" s="43" t="n">
        <f aca="false">H3084*66.48*(1+'Chart of Accounts'!$E$67)</f>
        <v>76.880796</v>
      </c>
    </row>
    <row r="3085" customFormat="false" ht="15" hidden="false" customHeight="false" outlineLevel="0" collapsed="false">
      <c r="B3085" s="7" t="s">
        <v>3582</v>
      </c>
      <c r="C3085" s="39" t="n">
        <v>45812</v>
      </c>
      <c r="D3085" s="7" t="s">
        <v>286</v>
      </c>
      <c r="E3085" s="7" t="s">
        <v>157</v>
      </c>
      <c r="F3085" s="7" t="s">
        <v>228</v>
      </c>
      <c r="G3085" s="7" t="s">
        <v>502</v>
      </c>
      <c r="H3085" s="6" t="n">
        <v>0.93</v>
      </c>
      <c r="I3085" s="6" t="n">
        <v>0</v>
      </c>
      <c r="J3085" s="40" t="n">
        <f aca="false">H3085-I3085</f>
        <v>0.93</v>
      </c>
      <c r="K3085" s="41" t="n">
        <v>165</v>
      </c>
      <c r="L3085" s="42" t="n">
        <f aca="false">J3085*K3085</f>
        <v>153.45</v>
      </c>
      <c r="M3085" s="43" t="n">
        <f aca="false">H3085*51.07*(1+'Chart of Accounts'!$E$67)</f>
        <v>54.3818895</v>
      </c>
    </row>
    <row r="3086" customFormat="false" ht="15" hidden="false" customHeight="false" outlineLevel="0" collapsed="false">
      <c r="B3086" s="7" t="s">
        <v>3583</v>
      </c>
      <c r="C3086" s="39" t="n">
        <v>45812</v>
      </c>
      <c r="D3086" s="7" t="s">
        <v>288</v>
      </c>
      <c r="E3086" s="7" t="s">
        <v>156</v>
      </c>
      <c r="F3086" s="7" t="s">
        <v>201</v>
      </c>
      <c r="G3086" s="7" t="s">
        <v>505</v>
      </c>
      <c r="H3086" s="6" t="n">
        <v>3.97</v>
      </c>
      <c r="I3086" s="6" t="n">
        <v>0</v>
      </c>
      <c r="J3086" s="40" t="n">
        <f aca="false">H3086-I3086</f>
        <v>3.97</v>
      </c>
      <c r="K3086" s="41" t="n">
        <v>34</v>
      </c>
      <c r="L3086" s="42" t="n">
        <f aca="false">J3086*K3086</f>
        <v>134.98</v>
      </c>
      <c r="M3086" s="43" t="n">
        <f aca="false">H3086*15.19*(1+'Chart of Accounts'!$E$67)</f>
        <v>69.0484235</v>
      </c>
    </row>
    <row r="3087" customFormat="false" ht="15" hidden="false" customHeight="false" outlineLevel="0" collapsed="false">
      <c r="B3087" s="7" t="s">
        <v>3584</v>
      </c>
      <c r="C3087" s="39" t="n">
        <v>45812</v>
      </c>
      <c r="D3087" s="7" t="s">
        <v>291</v>
      </c>
      <c r="E3087" s="7" t="s">
        <v>154</v>
      </c>
      <c r="F3087" s="7" t="s">
        <v>194</v>
      </c>
      <c r="G3087" s="7" t="s">
        <v>505</v>
      </c>
      <c r="H3087" s="6" t="n">
        <v>4.91</v>
      </c>
      <c r="I3087" s="6" t="n">
        <v>0</v>
      </c>
      <c r="J3087" s="40" t="n">
        <f aca="false">H3087-I3087</f>
        <v>4.91</v>
      </c>
      <c r="K3087" s="41" t="n">
        <v>26.5</v>
      </c>
      <c r="L3087" s="42" t="n">
        <f aca="false">J3087*K3087</f>
        <v>130.115</v>
      </c>
      <c r="M3087" s="43" t="n">
        <f aca="false">H3087*16*(1+'Chart of Accounts'!$E$67)</f>
        <v>89.9512</v>
      </c>
    </row>
    <row r="3088" customFormat="false" ht="15" hidden="false" customHeight="false" outlineLevel="0" collapsed="false">
      <c r="B3088" s="7" t="s">
        <v>3585</v>
      </c>
      <c r="C3088" s="39" t="n">
        <v>45812</v>
      </c>
      <c r="D3088" s="7" t="s">
        <v>305</v>
      </c>
      <c r="E3088" s="7" t="s">
        <v>154</v>
      </c>
      <c r="F3088" s="7" t="s">
        <v>205</v>
      </c>
      <c r="G3088" s="7" t="s">
        <v>505</v>
      </c>
      <c r="H3088" s="6" t="n">
        <v>4.33</v>
      </c>
      <c r="I3088" s="6" t="n">
        <v>0</v>
      </c>
      <c r="J3088" s="40" t="n">
        <f aca="false">H3088-I3088</f>
        <v>4.33</v>
      </c>
      <c r="K3088" s="41" t="n">
        <v>26.5</v>
      </c>
      <c r="L3088" s="42" t="n">
        <f aca="false">J3088*K3088</f>
        <v>114.745</v>
      </c>
      <c r="M3088" s="43" t="n">
        <f aca="false">H3088*16.36*(1+'Chart of Accounts'!$E$67)</f>
        <v>81.110426</v>
      </c>
    </row>
    <row r="3089" customFormat="false" ht="15" hidden="false" customHeight="false" outlineLevel="0" collapsed="false">
      <c r="B3089" s="7" t="s">
        <v>3586</v>
      </c>
      <c r="C3089" s="39" t="n">
        <v>45812</v>
      </c>
      <c r="D3089" s="7" t="s">
        <v>307</v>
      </c>
      <c r="E3089" s="7" t="s">
        <v>157</v>
      </c>
      <c r="F3089" s="7" t="s">
        <v>264</v>
      </c>
      <c r="G3089" s="7" t="s">
        <v>502</v>
      </c>
      <c r="H3089" s="6" t="n">
        <v>0.99</v>
      </c>
      <c r="I3089" s="6" t="n">
        <v>0</v>
      </c>
      <c r="J3089" s="40" t="n">
        <f aca="false">H3089-I3089</f>
        <v>0.99</v>
      </c>
      <c r="K3089" s="41" t="n">
        <v>165</v>
      </c>
      <c r="L3089" s="42" t="n">
        <f aca="false">J3089*K3089</f>
        <v>163.35</v>
      </c>
      <c r="M3089" s="43" t="n">
        <f aca="false">H3089*55.55*(1+'Chart of Accounts'!$E$67)</f>
        <v>62.9687025</v>
      </c>
    </row>
    <row r="3090" customFormat="false" ht="15" hidden="false" customHeight="false" outlineLevel="0" collapsed="false">
      <c r="B3090" s="7" t="s">
        <v>3587</v>
      </c>
      <c r="C3090" s="39" t="n">
        <v>45812</v>
      </c>
      <c r="D3090" s="7" t="s">
        <v>309</v>
      </c>
      <c r="E3090" s="7" t="s">
        <v>159</v>
      </c>
      <c r="F3090" s="7" t="s">
        <v>252</v>
      </c>
      <c r="G3090" s="7" t="s">
        <v>502</v>
      </c>
      <c r="H3090" s="6" t="n">
        <v>1.09</v>
      </c>
      <c r="I3090" s="6" t="n">
        <v>0</v>
      </c>
      <c r="J3090" s="40" t="n">
        <f aca="false">H3090-I3090</f>
        <v>1.09</v>
      </c>
      <c r="K3090" s="41" t="n">
        <v>135</v>
      </c>
      <c r="L3090" s="42" t="n">
        <f aca="false">J3090*K3090</f>
        <v>147.15</v>
      </c>
      <c r="M3090" s="43" t="n">
        <f aca="false">H3090*57.54*(1+'Chart of Accounts'!$E$67)</f>
        <v>71.812797</v>
      </c>
    </row>
    <row r="3091" customFormat="false" ht="15" hidden="false" customHeight="false" outlineLevel="0" collapsed="false">
      <c r="B3091" s="7" t="s">
        <v>3588</v>
      </c>
      <c r="C3091" s="39" t="n">
        <v>45812</v>
      </c>
      <c r="D3091" s="7" t="s">
        <v>313</v>
      </c>
      <c r="E3091" s="7" t="s">
        <v>156</v>
      </c>
      <c r="F3091" s="7" t="s">
        <v>184</v>
      </c>
      <c r="G3091" s="7" t="s">
        <v>505</v>
      </c>
      <c r="H3091" s="6" t="n">
        <v>3.7</v>
      </c>
      <c r="I3091" s="6" t="n">
        <v>0</v>
      </c>
      <c r="J3091" s="40" t="n">
        <f aca="false">H3091-I3091</f>
        <v>3.7</v>
      </c>
      <c r="K3091" s="41" t="n">
        <v>34</v>
      </c>
      <c r="L3091" s="42" t="n">
        <f aca="false">J3091*K3091</f>
        <v>125.8</v>
      </c>
      <c r="M3091" s="43" t="n">
        <f aca="false">H3091*17.34*(1+'Chart of Accounts'!$E$67)</f>
        <v>73.46091</v>
      </c>
    </row>
    <row r="3092" customFormat="false" ht="15" hidden="false" customHeight="false" outlineLevel="0" collapsed="false">
      <c r="B3092" s="7" t="s">
        <v>3589</v>
      </c>
      <c r="C3092" s="39" t="n">
        <v>45812</v>
      </c>
      <c r="D3092" s="7" t="s">
        <v>321</v>
      </c>
      <c r="E3092" s="7" t="s">
        <v>154</v>
      </c>
      <c r="F3092" s="7" t="s">
        <v>218</v>
      </c>
      <c r="G3092" s="7" t="s">
        <v>505</v>
      </c>
      <c r="H3092" s="6" t="n">
        <v>3.88</v>
      </c>
      <c r="I3092" s="6" t="n">
        <v>0</v>
      </c>
      <c r="J3092" s="40" t="n">
        <f aca="false">H3092-I3092</f>
        <v>3.88</v>
      </c>
      <c r="K3092" s="41" t="n">
        <v>26.5</v>
      </c>
      <c r="L3092" s="42" t="n">
        <f aca="false">J3092*K3092</f>
        <v>102.82</v>
      </c>
      <c r="M3092" s="43" t="n">
        <f aca="false">H3092*16.19*(1+'Chart of Accounts'!$E$67)</f>
        <v>71.925694</v>
      </c>
    </row>
    <row r="3093" customFormat="false" ht="15" hidden="false" customHeight="false" outlineLevel="0" collapsed="false">
      <c r="B3093" s="7" t="s">
        <v>3590</v>
      </c>
      <c r="C3093" s="39" t="n">
        <v>45812</v>
      </c>
      <c r="D3093" s="7" t="s">
        <v>329</v>
      </c>
      <c r="E3093" s="7" t="s">
        <v>156</v>
      </c>
      <c r="F3093" s="7" t="s">
        <v>220</v>
      </c>
      <c r="G3093" s="7" t="s">
        <v>505</v>
      </c>
      <c r="H3093" s="6" t="n">
        <v>3.64</v>
      </c>
      <c r="I3093" s="6" t="n">
        <v>0</v>
      </c>
      <c r="J3093" s="40" t="n">
        <f aca="false">H3093-I3093</f>
        <v>3.64</v>
      </c>
      <c r="K3093" s="41" t="n">
        <v>34</v>
      </c>
      <c r="L3093" s="42" t="n">
        <f aca="false">J3093*K3093</f>
        <v>123.76</v>
      </c>
      <c r="M3093" s="43" t="n">
        <f aca="false">H3093*16.43*(1+'Chart of Accounts'!$E$67)</f>
        <v>68.476954</v>
      </c>
    </row>
    <row r="3094" customFormat="false" ht="15" hidden="false" customHeight="false" outlineLevel="0" collapsed="false">
      <c r="B3094" s="7" t="s">
        <v>3591</v>
      </c>
      <c r="C3094" s="39" t="n">
        <v>45812</v>
      </c>
      <c r="D3094" s="7" t="s">
        <v>335</v>
      </c>
      <c r="E3094" s="7" t="s">
        <v>154</v>
      </c>
      <c r="F3094" s="7" t="s">
        <v>177</v>
      </c>
      <c r="G3094" s="7" t="s">
        <v>505</v>
      </c>
      <c r="H3094" s="6" t="n">
        <v>3.68</v>
      </c>
      <c r="I3094" s="6" t="n">
        <v>0</v>
      </c>
      <c r="J3094" s="40" t="n">
        <f aca="false">H3094-I3094</f>
        <v>3.68</v>
      </c>
      <c r="K3094" s="41" t="n">
        <v>26.5</v>
      </c>
      <c r="L3094" s="42" t="n">
        <f aca="false">J3094*K3094</f>
        <v>97.52</v>
      </c>
      <c r="M3094" s="43" t="n">
        <f aca="false">H3094*14.56*(1+'Chart of Accounts'!$E$67)</f>
        <v>61.350016</v>
      </c>
    </row>
    <row r="3095" customFormat="false" ht="15" hidden="false" customHeight="false" outlineLevel="0" collapsed="false">
      <c r="B3095" s="7" t="s">
        <v>3592</v>
      </c>
      <c r="C3095" s="39" t="n">
        <v>45812</v>
      </c>
      <c r="D3095" s="7" t="s">
        <v>339</v>
      </c>
      <c r="E3095" s="7" t="s">
        <v>154</v>
      </c>
      <c r="F3095" s="7" t="s">
        <v>242</v>
      </c>
      <c r="G3095" s="7" t="s">
        <v>505</v>
      </c>
      <c r="H3095" s="6" t="n">
        <v>3.32</v>
      </c>
      <c r="I3095" s="6" t="n">
        <v>0</v>
      </c>
      <c r="J3095" s="40" t="n">
        <f aca="false">H3095-I3095</f>
        <v>3.32</v>
      </c>
      <c r="K3095" s="41" t="n">
        <v>26.5</v>
      </c>
      <c r="L3095" s="42" t="n">
        <f aca="false">J3095*K3095</f>
        <v>87.98</v>
      </c>
      <c r="M3095" s="43" t="n">
        <f aca="false">H3095*17.99*(1+'Chart of Accounts'!$E$67)</f>
        <v>68.387186</v>
      </c>
    </row>
    <row r="3096" customFormat="false" ht="15" hidden="false" customHeight="false" outlineLevel="0" collapsed="false">
      <c r="B3096" s="7" t="s">
        <v>3593</v>
      </c>
      <c r="C3096" s="39" t="n">
        <v>45812</v>
      </c>
      <c r="D3096" s="7" t="s">
        <v>353</v>
      </c>
      <c r="E3096" s="7" t="s">
        <v>154</v>
      </c>
      <c r="F3096" s="7" t="s">
        <v>254</v>
      </c>
      <c r="G3096" s="7" t="s">
        <v>505</v>
      </c>
      <c r="H3096" s="6" t="n">
        <v>3.54</v>
      </c>
      <c r="I3096" s="6" t="n">
        <v>0</v>
      </c>
      <c r="J3096" s="40" t="n">
        <f aca="false">H3096-I3096</f>
        <v>3.54</v>
      </c>
      <c r="K3096" s="41" t="n">
        <v>26.5</v>
      </c>
      <c r="L3096" s="42" t="n">
        <f aca="false">J3096*K3096</f>
        <v>93.81</v>
      </c>
      <c r="M3096" s="43" t="n">
        <f aca="false">H3096*17.1*(1+'Chart of Accounts'!$E$67)</f>
        <v>69.31143</v>
      </c>
    </row>
    <row r="3097" customFormat="false" ht="15" hidden="false" customHeight="false" outlineLevel="0" collapsed="false">
      <c r="B3097" s="7" t="s">
        <v>3594</v>
      </c>
      <c r="C3097" s="39" t="n">
        <v>45812</v>
      </c>
      <c r="D3097" s="7" t="s">
        <v>355</v>
      </c>
      <c r="E3097" s="7" t="s">
        <v>154</v>
      </c>
      <c r="F3097" s="7" t="s">
        <v>201</v>
      </c>
      <c r="G3097" s="7" t="s">
        <v>505</v>
      </c>
      <c r="H3097" s="6" t="n">
        <v>3.6</v>
      </c>
      <c r="I3097" s="6" t="n">
        <v>0</v>
      </c>
      <c r="J3097" s="40" t="n">
        <f aca="false">H3097-I3097</f>
        <v>3.6</v>
      </c>
      <c r="K3097" s="41" t="n">
        <v>26.5</v>
      </c>
      <c r="L3097" s="42" t="n">
        <f aca="false">J3097*K3097</f>
        <v>95.4</v>
      </c>
      <c r="M3097" s="43" t="n">
        <f aca="false">H3097*15.19*(1+'Chart of Accounts'!$E$67)</f>
        <v>62.61318</v>
      </c>
    </row>
    <row r="3098" customFormat="false" ht="15" hidden="false" customHeight="false" outlineLevel="0" collapsed="false">
      <c r="B3098" s="7" t="s">
        <v>3595</v>
      </c>
      <c r="C3098" s="39" t="n">
        <v>45812</v>
      </c>
      <c r="D3098" s="7" t="s">
        <v>357</v>
      </c>
      <c r="E3098" s="7" t="s">
        <v>154</v>
      </c>
      <c r="F3098" s="7" t="s">
        <v>207</v>
      </c>
      <c r="G3098" s="7" t="s">
        <v>505</v>
      </c>
      <c r="H3098" s="6" t="n">
        <v>3.5</v>
      </c>
      <c r="I3098" s="6" t="n">
        <v>0.105</v>
      </c>
      <c r="J3098" s="40" t="n">
        <f aca="false">H3098-I3098</f>
        <v>3.395</v>
      </c>
      <c r="K3098" s="41" t="n">
        <v>26.5</v>
      </c>
      <c r="L3098" s="42" t="n">
        <f aca="false">J3098*K3098</f>
        <v>89.9675</v>
      </c>
      <c r="M3098" s="43" t="n">
        <f aca="false">H3098*16.65*(1+'Chart of Accounts'!$E$67)</f>
        <v>66.724875</v>
      </c>
    </row>
    <row r="3099" customFormat="false" ht="15" hidden="false" customHeight="false" outlineLevel="0" collapsed="false">
      <c r="B3099" s="7" t="s">
        <v>3596</v>
      </c>
      <c r="C3099" s="39" t="n">
        <v>45812</v>
      </c>
      <c r="D3099" s="7" t="s">
        <v>359</v>
      </c>
      <c r="E3099" s="7" t="s">
        <v>156</v>
      </c>
      <c r="F3099" s="7" t="s">
        <v>212</v>
      </c>
      <c r="G3099" s="7" t="s">
        <v>505</v>
      </c>
      <c r="H3099" s="6" t="n">
        <v>4.09</v>
      </c>
      <c r="I3099" s="6" t="n">
        <v>0</v>
      </c>
      <c r="J3099" s="40" t="n">
        <f aca="false">H3099-I3099</f>
        <v>4.09</v>
      </c>
      <c r="K3099" s="41" t="n">
        <v>34</v>
      </c>
      <c r="L3099" s="42" t="n">
        <f aca="false">J3099*K3099</f>
        <v>139.06</v>
      </c>
      <c r="M3099" s="43" t="n">
        <f aca="false">H3099*16.71*(1+'Chart of Accounts'!$E$67)</f>
        <v>78.2537655</v>
      </c>
    </row>
    <row r="3100" customFormat="false" ht="15" hidden="false" customHeight="false" outlineLevel="0" collapsed="false">
      <c r="B3100" s="7" t="s">
        <v>3597</v>
      </c>
      <c r="C3100" s="39" t="n">
        <v>45812</v>
      </c>
      <c r="D3100" s="7" t="s">
        <v>365</v>
      </c>
      <c r="E3100" s="7" t="s">
        <v>154</v>
      </c>
      <c r="F3100" s="7" t="s">
        <v>194</v>
      </c>
      <c r="G3100" s="7" t="s">
        <v>505</v>
      </c>
      <c r="H3100" s="6" t="n">
        <v>3.66</v>
      </c>
      <c r="I3100" s="6" t="n">
        <v>0</v>
      </c>
      <c r="J3100" s="40" t="n">
        <f aca="false">H3100-I3100</f>
        <v>3.66</v>
      </c>
      <c r="K3100" s="41" t="n">
        <v>26.5</v>
      </c>
      <c r="L3100" s="42" t="n">
        <f aca="false">J3100*K3100</f>
        <v>96.99</v>
      </c>
      <c r="M3100" s="43" t="n">
        <f aca="false">H3100*16*(1+'Chart of Accounts'!$E$67)</f>
        <v>67.0512</v>
      </c>
    </row>
    <row r="3101" customFormat="false" ht="15" hidden="false" customHeight="false" outlineLevel="0" collapsed="false">
      <c r="B3101" s="7" t="s">
        <v>3598</v>
      </c>
      <c r="C3101" s="39" t="n">
        <v>45812</v>
      </c>
      <c r="D3101" s="7" t="s">
        <v>371</v>
      </c>
      <c r="E3101" s="7" t="s">
        <v>154</v>
      </c>
      <c r="F3101" s="7" t="s">
        <v>232</v>
      </c>
      <c r="G3101" s="7" t="s">
        <v>505</v>
      </c>
      <c r="H3101" s="6" t="n">
        <v>4.98</v>
      </c>
      <c r="I3101" s="6" t="n">
        <v>0</v>
      </c>
      <c r="J3101" s="40" t="n">
        <f aca="false">H3101-I3101</f>
        <v>4.98</v>
      </c>
      <c r="K3101" s="41" t="n">
        <v>26.5</v>
      </c>
      <c r="L3101" s="42" t="n">
        <f aca="false">J3101*K3101</f>
        <v>131.97</v>
      </c>
      <c r="M3101" s="43" t="n">
        <f aca="false">H3101*16.17*(1+'Chart of Accounts'!$E$67)</f>
        <v>92.202957</v>
      </c>
    </row>
    <row r="3102" customFormat="false" ht="15" hidden="false" customHeight="false" outlineLevel="0" collapsed="false">
      <c r="B3102" s="7" t="s">
        <v>3599</v>
      </c>
      <c r="C3102" s="39" t="n">
        <v>45812</v>
      </c>
      <c r="D3102" s="7" t="s">
        <v>379</v>
      </c>
      <c r="E3102" s="7" t="s">
        <v>156</v>
      </c>
      <c r="F3102" s="7" t="s">
        <v>224</v>
      </c>
      <c r="G3102" s="7" t="s">
        <v>505</v>
      </c>
      <c r="H3102" s="6" t="n">
        <v>4.85</v>
      </c>
      <c r="I3102" s="6" t="n">
        <v>0</v>
      </c>
      <c r="J3102" s="40" t="n">
        <f aca="false">H3102-I3102</f>
        <v>4.85</v>
      </c>
      <c r="K3102" s="41" t="n">
        <v>34</v>
      </c>
      <c r="L3102" s="42" t="n">
        <f aca="false">J3102*K3102</f>
        <v>164.9</v>
      </c>
      <c r="M3102" s="43" t="n">
        <f aca="false">H3102*14.93*(1+'Chart of Accounts'!$E$67)</f>
        <v>82.9100225</v>
      </c>
    </row>
    <row r="3103" customFormat="false" ht="15" hidden="false" customHeight="false" outlineLevel="0" collapsed="false">
      <c r="B3103" s="7" t="s">
        <v>3600</v>
      </c>
      <c r="C3103" s="39" t="n">
        <v>45812</v>
      </c>
      <c r="D3103" s="7" t="s">
        <v>385</v>
      </c>
      <c r="E3103" s="7" t="s">
        <v>156</v>
      </c>
      <c r="F3103" s="7" t="s">
        <v>238</v>
      </c>
      <c r="G3103" s="7" t="s">
        <v>505</v>
      </c>
      <c r="H3103" s="6" t="n">
        <v>4.06</v>
      </c>
      <c r="I3103" s="6" t="n">
        <v>0</v>
      </c>
      <c r="J3103" s="40" t="n">
        <f aca="false">H3103-I3103</f>
        <v>4.06</v>
      </c>
      <c r="K3103" s="41" t="n">
        <v>34</v>
      </c>
      <c r="L3103" s="42" t="n">
        <f aca="false">J3103*K3103</f>
        <v>138.04</v>
      </c>
      <c r="M3103" s="43" t="n">
        <f aca="false">H3103*15.85*(1+'Chart of Accounts'!$E$67)</f>
        <v>73.681895</v>
      </c>
    </row>
    <row r="3104" customFormat="false" ht="15" hidden="false" customHeight="false" outlineLevel="0" collapsed="false">
      <c r="B3104" s="7" t="s">
        <v>3601</v>
      </c>
      <c r="C3104" s="39" t="n">
        <v>45812</v>
      </c>
      <c r="D3104" s="7" t="s">
        <v>389</v>
      </c>
      <c r="E3104" s="7" t="s">
        <v>154</v>
      </c>
      <c r="F3104" s="7" t="s">
        <v>246</v>
      </c>
      <c r="G3104" s="7" t="s">
        <v>505</v>
      </c>
      <c r="H3104" s="6" t="n">
        <v>3.95</v>
      </c>
      <c r="I3104" s="6" t="n">
        <v>0</v>
      </c>
      <c r="J3104" s="40" t="n">
        <f aca="false">H3104-I3104</f>
        <v>3.95</v>
      </c>
      <c r="K3104" s="41" t="n">
        <v>26.5</v>
      </c>
      <c r="L3104" s="42" t="n">
        <f aca="false">J3104*K3104</f>
        <v>104.675</v>
      </c>
      <c r="M3104" s="43" t="n">
        <f aca="false">H3104*16.48*(1+'Chart of Accounts'!$E$67)</f>
        <v>74.53492</v>
      </c>
    </row>
    <row r="3105" customFormat="false" ht="15" hidden="false" customHeight="false" outlineLevel="0" collapsed="false">
      <c r="B3105" s="7" t="s">
        <v>3602</v>
      </c>
      <c r="C3105" s="39" t="n">
        <v>45812</v>
      </c>
      <c r="D3105" s="7" t="s">
        <v>391</v>
      </c>
      <c r="E3105" s="7" t="s">
        <v>156</v>
      </c>
      <c r="F3105" s="7" t="s">
        <v>222</v>
      </c>
      <c r="G3105" s="7" t="s">
        <v>505</v>
      </c>
      <c r="H3105" s="6" t="n">
        <v>3.73</v>
      </c>
      <c r="I3105" s="6" t="n">
        <v>0</v>
      </c>
      <c r="J3105" s="40" t="n">
        <f aca="false">H3105-I3105</f>
        <v>3.73</v>
      </c>
      <c r="K3105" s="41" t="n">
        <v>34</v>
      </c>
      <c r="L3105" s="42" t="n">
        <f aca="false">J3105*K3105</f>
        <v>126.82</v>
      </c>
      <c r="M3105" s="43" t="n">
        <f aca="false">H3105*17.84*(1+'Chart of Accounts'!$E$67)</f>
        <v>76.191964</v>
      </c>
    </row>
    <row r="3106" customFormat="false" ht="15" hidden="false" customHeight="false" outlineLevel="0" collapsed="false">
      <c r="B3106" s="7" t="s">
        <v>3603</v>
      </c>
      <c r="C3106" s="39" t="n">
        <v>45812</v>
      </c>
      <c r="D3106" s="7" t="s">
        <v>393</v>
      </c>
      <c r="E3106" s="7" t="s">
        <v>157</v>
      </c>
      <c r="F3106" s="7" t="s">
        <v>203</v>
      </c>
      <c r="G3106" s="7" t="s">
        <v>502</v>
      </c>
      <c r="H3106" s="6" t="n">
        <v>0.94</v>
      </c>
      <c r="I3106" s="6" t="n">
        <v>0</v>
      </c>
      <c r="J3106" s="40" t="n">
        <f aca="false">H3106-I3106</f>
        <v>0.94</v>
      </c>
      <c r="K3106" s="41" t="n">
        <v>165</v>
      </c>
      <c r="L3106" s="42" t="n">
        <f aca="false">J3106*K3106</f>
        <v>155.1</v>
      </c>
      <c r="M3106" s="43" t="n">
        <f aca="false">H3106*49.43*(1+'Chart of Accounts'!$E$67)</f>
        <v>53.201509</v>
      </c>
    </row>
    <row r="3107" customFormat="false" ht="15" hidden="false" customHeight="false" outlineLevel="0" collapsed="false">
      <c r="B3107" s="7" t="s">
        <v>3604</v>
      </c>
      <c r="C3107" s="39" t="n">
        <v>45812</v>
      </c>
      <c r="D3107" s="7" t="s">
        <v>395</v>
      </c>
      <c r="E3107" s="7" t="s">
        <v>156</v>
      </c>
      <c r="F3107" s="7" t="s">
        <v>242</v>
      </c>
      <c r="G3107" s="7" t="s">
        <v>505</v>
      </c>
      <c r="H3107" s="6" t="n">
        <v>4.13</v>
      </c>
      <c r="I3107" s="6" t="n">
        <v>0</v>
      </c>
      <c r="J3107" s="40" t="n">
        <f aca="false">H3107-I3107</f>
        <v>4.13</v>
      </c>
      <c r="K3107" s="41" t="n">
        <v>34</v>
      </c>
      <c r="L3107" s="42" t="n">
        <f aca="false">J3107*K3107</f>
        <v>140.42</v>
      </c>
      <c r="M3107" s="43" t="n">
        <f aca="false">H3107*17.99*(1+'Chart of Accounts'!$E$67)</f>
        <v>85.0720115</v>
      </c>
    </row>
    <row r="3108" customFormat="false" ht="15" hidden="false" customHeight="false" outlineLevel="0" collapsed="false">
      <c r="B3108" s="7" t="s">
        <v>3605</v>
      </c>
      <c r="C3108" s="39" t="n">
        <v>45812</v>
      </c>
      <c r="D3108" s="7" t="s">
        <v>399</v>
      </c>
      <c r="E3108" s="7" t="s">
        <v>154</v>
      </c>
      <c r="F3108" s="7" t="s">
        <v>232</v>
      </c>
      <c r="G3108" s="7" t="s">
        <v>505</v>
      </c>
      <c r="H3108" s="6" t="n">
        <v>3.6</v>
      </c>
      <c r="I3108" s="6" t="n">
        <v>0</v>
      </c>
      <c r="J3108" s="40" t="n">
        <f aca="false">H3108-I3108</f>
        <v>3.6</v>
      </c>
      <c r="K3108" s="41" t="n">
        <v>26.5</v>
      </c>
      <c r="L3108" s="42" t="n">
        <f aca="false">J3108*K3108</f>
        <v>95.4</v>
      </c>
      <c r="M3108" s="43" t="n">
        <f aca="false">H3108*16.17*(1+'Chart of Accounts'!$E$67)</f>
        <v>66.65274</v>
      </c>
    </row>
    <row r="3109" customFormat="false" ht="15" hidden="false" customHeight="false" outlineLevel="0" collapsed="false">
      <c r="B3109" s="7" t="s">
        <v>3606</v>
      </c>
      <c r="C3109" s="39" t="n">
        <v>45812</v>
      </c>
      <c r="D3109" s="7" t="s">
        <v>401</v>
      </c>
      <c r="E3109" s="7" t="s">
        <v>156</v>
      </c>
      <c r="F3109" s="7" t="s">
        <v>254</v>
      </c>
      <c r="G3109" s="7" t="s">
        <v>505</v>
      </c>
      <c r="H3109" s="6" t="n">
        <v>4.29</v>
      </c>
      <c r="I3109" s="6" t="n">
        <v>0</v>
      </c>
      <c r="J3109" s="40" t="n">
        <f aca="false">H3109-I3109</f>
        <v>4.29</v>
      </c>
      <c r="K3109" s="41" t="n">
        <v>34</v>
      </c>
      <c r="L3109" s="42" t="n">
        <f aca="false">J3109*K3109</f>
        <v>145.86</v>
      </c>
      <c r="M3109" s="43" t="n">
        <f aca="false">H3109*17.1*(1+'Chart of Accounts'!$E$67)</f>
        <v>83.996055</v>
      </c>
    </row>
    <row r="3110" customFormat="false" ht="15" hidden="false" customHeight="false" outlineLevel="0" collapsed="false">
      <c r="B3110" s="7" t="s">
        <v>3607</v>
      </c>
      <c r="C3110" s="39" t="n">
        <v>45812</v>
      </c>
      <c r="D3110" s="7" t="s">
        <v>409</v>
      </c>
      <c r="E3110" s="7" t="s">
        <v>154</v>
      </c>
      <c r="F3110" s="7" t="s">
        <v>214</v>
      </c>
      <c r="G3110" s="7" t="s">
        <v>505</v>
      </c>
      <c r="H3110" s="6" t="n">
        <v>3.64</v>
      </c>
      <c r="I3110" s="6" t="n">
        <v>0</v>
      </c>
      <c r="J3110" s="40" t="n">
        <f aca="false">H3110-I3110</f>
        <v>3.64</v>
      </c>
      <c r="K3110" s="41" t="n">
        <v>26.5</v>
      </c>
      <c r="L3110" s="42" t="n">
        <f aca="false">J3110*K3110</f>
        <v>96.46</v>
      </c>
      <c r="M3110" s="43" t="n">
        <f aca="false">H3110*15.67*(1+'Chart of Accounts'!$E$67)</f>
        <v>65.309426</v>
      </c>
    </row>
    <row r="3111" customFormat="false" ht="15" hidden="false" customHeight="false" outlineLevel="0" collapsed="false">
      <c r="B3111" s="7" t="s">
        <v>3608</v>
      </c>
      <c r="C3111" s="39" t="n">
        <v>45812</v>
      </c>
      <c r="D3111" s="7" t="s">
        <v>411</v>
      </c>
      <c r="E3111" s="7" t="s">
        <v>154</v>
      </c>
      <c r="F3111" s="7" t="s">
        <v>177</v>
      </c>
      <c r="G3111" s="7" t="s">
        <v>505</v>
      </c>
      <c r="H3111" s="6" t="n">
        <v>4.38</v>
      </c>
      <c r="I3111" s="6" t="n">
        <v>0</v>
      </c>
      <c r="J3111" s="40" t="n">
        <f aca="false">H3111-I3111</f>
        <v>4.38</v>
      </c>
      <c r="K3111" s="41" t="n">
        <v>26.5</v>
      </c>
      <c r="L3111" s="42" t="n">
        <f aca="false">J3111*K3111</f>
        <v>116.07</v>
      </c>
      <c r="M3111" s="43" t="n">
        <f aca="false">H3111*14.56*(1+'Chart of Accounts'!$E$67)</f>
        <v>73.019856</v>
      </c>
    </row>
    <row r="3112" customFormat="false" ht="15" hidden="false" customHeight="false" outlineLevel="0" collapsed="false">
      <c r="B3112" s="7" t="s">
        <v>3609</v>
      </c>
      <c r="C3112" s="39" t="n">
        <v>45813</v>
      </c>
      <c r="D3112" s="7" t="s">
        <v>288</v>
      </c>
      <c r="E3112" s="7" t="s">
        <v>156</v>
      </c>
      <c r="F3112" s="7" t="s">
        <v>254</v>
      </c>
      <c r="G3112" s="7" t="s">
        <v>505</v>
      </c>
      <c r="H3112" s="6" t="n">
        <v>4</v>
      </c>
      <c r="I3112" s="6" t="n">
        <v>0</v>
      </c>
      <c r="J3112" s="40" t="n">
        <f aca="false">H3112-I3112</f>
        <v>4</v>
      </c>
      <c r="K3112" s="41" t="n">
        <v>34</v>
      </c>
      <c r="L3112" s="42" t="n">
        <f aca="false">J3112*K3112</f>
        <v>136</v>
      </c>
      <c r="M3112" s="43" t="n">
        <f aca="false">H3112*17.1*(1+'Chart of Accounts'!$E$67)</f>
        <v>78.318</v>
      </c>
    </row>
    <row r="3113" customFormat="false" ht="15" hidden="false" customHeight="false" outlineLevel="0" collapsed="false">
      <c r="B3113" s="7" t="s">
        <v>3610</v>
      </c>
      <c r="C3113" s="39" t="n">
        <v>45813</v>
      </c>
      <c r="D3113" s="7" t="s">
        <v>297</v>
      </c>
      <c r="E3113" s="7" t="s">
        <v>156</v>
      </c>
      <c r="F3113" s="7" t="s">
        <v>201</v>
      </c>
      <c r="G3113" s="7" t="s">
        <v>505</v>
      </c>
      <c r="H3113" s="6" t="n">
        <v>3.18</v>
      </c>
      <c r="I3113" s="6" t="n">
        <v>0</v>
      </c>
      <c r="J3113" s="40" t="n">
        <f aca="false">H3113-I3113</f>
        <v>3.18</v>
      </c>
      <c r="K3113" s="41" t="n">
        <v>34</v>
      </c>
      <c r="L3113" s="42" t="n">
        <f aca="false">J3113*K3113</f>
        <v>108.12</v>
      </c>
      <c r="M3113" s="43" t="n">
        <f aca="false">H3113*15.19*(1+'Chart of Accounts'!$E$67)</f>
        <v>55.308309</v>
      </c>
    </row>
    <row r="3114" customFormat="false" ht="15" hidden="false" customHeight="false" outlineLevel="0" collapsed="false">
      <c r="B3114" s="7" t="s">
        <v>3611</v>
      </c>
      <c r="C3114" s="39" t="n">
        <v>45813</v>
      </c>
      <c r="D3114" s="7" t="s">
        <v>311</v>
      </c>
      <c r="E3114" s="7" t="s">
        <v>154</v>
      </c>
      <c r="F3114" s="7" t="s">
        <v>196</v>
      </c>
      <c r="G3114" s="7" t="s">
        <v>505</v>
      </c>
      <c r="H3114" s="6" t="n">
        <v>3.22</v>
      </c>
      <c r="I3114" s="6" t="n">
        <v>0.097</v>
      </c>
      <c r="J3114" s="40" t="n">
        <f aca="false">H3114-I3114</f>
        <v>3.123</v>
      </c>
      <c r="K3114" s="41" t="n">
        <v>26.5</v>
      </c>
      <c r="L3114" s="42" t="n">
        <f aca="false">J3114*K3114</f>
        <v>82.7595</v>
      </c>
      <c r="M3114" s="43" t="n">
        <f aca="false">H3114*15.05*(1+'Chart of Accounts'!$E$67)</f>
        <v>55.487845</v>
      </c>
    </row>
    <row r="3115" customFormat="false" ht="15" hidden="false" customHeight="false" outlineLevel="0" collapsed="false">
      <c r="B3115" s="7" t="s">
        <v>3612</v>
      </c>
      <c r="C3115" s="39" t="n">
        <v>45813</v>
      </c>
      <c r="D3115" s="7" t="s">
        <v>313</v>
      </c>
      <c r="E3115" s="7" t="s">
        <v>156</v>
      </c>
      <c r="F3115" s="7" t="s">
        <v>184</v>
      </c>
      <c r="G3115" s="7" t="s">
        <v>505</v>
      </c>
      <c r="H3115" s="6" t="n">
        <v>4.01</v>
      </c>
      <c r="I3115" s="6" t="n">
        <v>0</v>
      </c>
      <c r="J3115" s="40" t="n">
        <f aca="false">H3115-I3115</f>
        <v>4.01</v>
      </c>
      <c r="K3115" s="41" t="n">
        <v>34</v>
      </c>
      <c r="L3115" s="42" t="n">
        <f aca="false">J3115*K3115</f>
        <v>136.34</v>
      </c>
      <c r="M3115" s="43" t="n">
        <f aca="false">H3115*17.34*(1+'Chart of Accounts'!$E$67)</f>
        <v>79.615743</v>
      </c>
    </row>
    <row r="3116" customFormat="false" ht="15" hidden="false" customHeight="false" outlineLevel="0" collapsed="false">
      <c r="B3116" s="7" t="s">
        <v>3613</v>
      </c>
      <c r="C3116" s="39" t="n">
        <v>45813</v>
      </c>
      <c r="D3116" s="7" t="s">
        <v>317</v>
      </c>
      <c r="E3116" s="7" t="s">
        <v>156</v>
      </c>
      <c r="F3116" s="7" t="s">
        <v>207</v>
      </c>
      <c r="G3116" s="7" t="s">
        <v>505</v>
      </c>
      <c r="H3116" s="6" t="n">
        <v>2.73</v>
      </c>
      <c r="I3116" s="6" t="n">
        <v>0</v>
      </c>
      <c r="J3116" s="40" t="n">
        <f aca="false">H3116-I3116</f>
        <v>2.73</v>
      </c>
      <c r="K3116" s="41" t="n">
        <v>34</v>
      </c>
      <c r="L3116" s="42" t="n">
        <f aca="false">J3116*K3116</f>
        <v>92.82</v>
      </c>
      <c r="M3116" s="43" t="n">
        <f aca="false">H3116*16.65*(1+'Chart of Accounts'!$E$67)</f>
        <v>52.0454025</v>
      </c>
    </row>
    <row r="3117" customFormat="false" ht="15" hidden="false" customHeight="false" outlineLevel="0" collapsed="false">
      <c r="B3117" s="7" t="s">
        <v>3614</v>
      </c>
      <c r="C3117" s="39" t="n">
        <v>45813</v>
      </c>
      <c r="D3117" s="7" t="s">
        <v>321</v>
      </c>
      <c r="E3117" s="7" t="s">
        <v>154</v>
      </c>
      <c r="F3117" s="7" t="s">
        <v>218</v>
      </c>
      <c r="G3117" s="7" t="s">
        <v>505</v>
      </c>
      <c r="H3117" s="6" t="n">
        <v>4.26</v>
      </c>
      <c r="I3117" s="6" t="n">
        <v>0</v>
      </c>
      <c r="J3117" s="40" t="n">
        <f aca="false">H3117-I3117</f>
        <v>4.26</v>
      </c>
      <c r="K3117" s="41" t="n">
        <v>26.5</v>
      </c>
      <c r="L3117" s="42" t="n">
        <f aca="false">J3117*K3117</f>
        <v>112.89</v>
      </c>
      <c r="M3117" s="43" t="n">
        <f aca="false">H3117*16.19*(1+'Chart of Accounts'!$E$67)</f>
        <v>78.969963</v>
      </c>
    </row>
    <row r="3118" customFormat="false" ht="15" hidden="false" customHeight="false" outlineLevel="0" collapsed="false">
      <c r="B3118" s="7" t="s">
        <v>3615</v>
      </c>
      <c r="C3118" s="39" t="n">
        <v>45813</v>
      </c>
      <c r="D3118" s="7" t="s">
        <v>325</v>
      </c>
      <c r="E3118" s="7" t="s">
        <v>154</v>
      </c>
      <c r="F3118" s="7" t="s">
        <v>212</v>
      </c>
      <c r="G3118" s="7" t="s">
        <v>505</v>
      </c>
      <c r="H3118" s="6" t="n">
        <v>2.93</v>
      </c>
      <c r="I3118" s="6" t="n">
        <v>0</v>
      </c>
      <c r="J3118" s="40" t="n">
        <f aca="false">H3118-I3118</f>
        <v>2.93</v>
      </c>
      <c r="K3118" s="41" t="n">
        <v>26.5</v>
      </c>
      <c r="L3118" s="42" t="n">
        <f aca="false">J3118*K3118</f>
        <v>77.645</v>
      </c>
      <c r="M3118" s="43" t="n">
        <f aca="false">H3118*16.71*(1+'Chart of Accounts'!$E$67)</f>
        <v>56.0595435</v>
      </c>
    </row>
    <row r="3119" customFormat="false" ht="15" hidden="false" customHeight="false" outlineLevel="0" collapsed="false">
      <c r="B3119" s="7" t="s">
        <v>3616</v>
      </c>
      <c r="C3119" s="39" t="n">
        <v>45813</v>
      </c>
      <c r="D3119" s="7" t="s">
        <v>329</v>
      </c>
      <c r="E3119" s="7" t="s">
        <v>156</v>
      </c>
      <c r="F3119" s="7" t="s">
        <v>220</v>
      </c>
      <c r="G3119" s="7" t="s">
        <v>505</v>
      </c>
      <c r="H3119" s="6" t="n">
        <v>3.73</v>
      </c>
      <c r="I3119" s="6" t="n">
        <v>0</v>
      </c>
      <c r="J3119" s="40" t="n">
        <f aca="false">H3119-I3119</f>
        <v>3.73</v>
      </c>
      <c r="K3119" s="41" t="n">
        <v>34</v>
      </c>
      <c r="L3119" s="42" t="n">
        <f aca="false">J3119*K3119</f>
        <v>126.82</v>
      </c>
      <c r="M3119" s="43" t="n">
        <f aca="false">H3119*16.43*(1+'Chart of Accounts'!$E$67)</f>
        <v>70.1700655</v>
      </c>
    </row>
    <row r="3120" customFormat="false" ht="15" hidden="false" customHeight="false" outlineLevel="0" collapsed="false">
      <c r="B3120" s="7" t="s">
        <v>3617</v>
      </c>
      <c r="C3120" s="39" t="n">
        <v>45813</v>
      </c>
      <c r="D3120" s="7" t="s">
        <v>331</v>
      </c>
      <c r="E3120" s="7" t="s">
        <v>156</v>
      </c>
      <c r="F3120" s="7" t="s">
        <v>224</v>
      </c>
      <c r="G3120" s="7" t="s">
        <v>505</v>
      </c>
      <c r="H3120" s="6" t="n">
        <v>3.79</v>
      </c>
      <c r="I3120" s="6" t="n">
        <v>0</v>
      </c>
      <c r="J3120" s="40" t="n">
        <f aca="false">H3120-I3120</f>
        <v>3.79</v>
      </c>
      <c r="K3120" s="41" t="n">
        <v>34</v>
      </c>
      <c r="L3120" s="42" t="n">
        <f aca="false">J3120*K3120</f>
        <v>128.86</v>
      </c>
      <c r="M3120" s="43" t="n">
        <f aca="false">H3120*14.93*(1+'Chart of Accounts'!$E$67)</f>
        <v>64.7894815</v>
      </c>
    </row>
    <row r="3121" customFormat="false" ht="15" hidden="false" customHeight="false" outlineLevel="0" collapsed="false">
      <c r="B3121" s="7" t="s">
        <v>3618</v>
      </c>
      <c r="C3121" s="39" t="n">
        <v>45813</v>
      </c>
      <c r="D3121" s="7" t="s">
        <v>337</v>
      </c>
      <c r="E3121" s="7" t="s">
        <v>154</v>
      </c>
      <c r="F3121" s="7" t="s">
        <v>232</v>
      </c>
      <c r="G3121" s="7" t="s">
        <v>505</v>
      </c>
      <c r="H3121" s="6" t="n">
        <v>2.89</v>
      </c>
      <c r="I3121" s="6" t="n">
        <v>0</v>
      </c>
      <c r="J3121" s="40" t="n">
        <f aca="false">H3121-I3121</f>
        <v>2.89</v>
      </c>
      <c r="K3121" s="41" t="n">
        <v>26.5</v>
      </c>
      <c r="L3121" s="42" t="n">
        <f aca="false">J3121*K3121</f>
        <v>76.585</v>
      </c>
      <c r="M3121" s="43" t="n">
        <f aca="false">H3121*16.17*(1+'Chart of Accounts'!$E$67)</f>
        <v>53.5073385</v>
      </c>
    </row>
    <row r="3122" customFormat="false" ht="15" hidden="false" customHeight="false" outlineLevel="0" collapsed="false">
      <c r="B3122" s="7" t="s">
        <v>3619</v>
      </c>
      <c r="C3122" s="39" t="n">
        <v>45813</v>
      </c>
      <c r="D3122" s="7" t="s">
        <v>341</v>
      </c>
      <c r="E3122" s="7" t="s">
        <v>156</v>
      </c>
      <c r="F3122" s="7" t="s">
        <v>222</v>
      </c>
      <c r="G3122" s="7" t="s">
        <v>505</v>
      </c>
      <c r="H3122" s="6" t="n">
        <v>3.24</v>
      </c>
      <c r="I3122" s="6" t="n">
        <v>0</v>
      </c>
      <c r="J3122" s="40" t="n">
        <f aca="false">H3122-I3122</f>
        <v>3.24</v>
      </c>
      <c r="K3122" s="41" t="n">
        <v>34</v>
      </c>
      <c r="L3122" s="42" t="n">
        <f aca="false">J3122*K3122</f>
        <v>110.16</v>
      </c>
      <c r="M3122" s="43" t="n">
        <f aca="false">H3122*17.84*(1+'Chart of Accounts'!$E$67)</f>
        <v>66.182832</v>
      </c>
    </row>
    <row r="3123" customFormat="false" ht="15" hidden="false" customHeight="false" outlineLevel="0" collapsed="false">
      <c r="B3123" s="7" t="s">
        <v>3620</v>
      </c>
      <c r="C3123" s="39" t="n">
        <v>45813</v>
      </c>
      <c r="D3123" s="7" t="s">
        <v>343</v>
      </c>
      <c r="E3123" s="7" t="s">
        <v>154</v>
      </c>
      <c r="F3123" s="7" t="s">
        <v>184</v>
      </c>
      <c r="G3123" s="7" t="s">
        <v>505</v>
      </c>
      <c r="H3123" s="6" t="n">
        <v>4.39</v>
      </c>
      <c r="I3123" s="6" t="n">
        <v>0</v>
      </c>
      <c r="J3123" s="40" t="n">
        <f aca="false">H3123-I3123</f>
        <v>4.39</v>
      </c>
      <c r="K3123" s="41" t="n">
        <v>26.5</v>
      </c>
      <c r="L3123" s="42" t="n">
        <f aca="false">J3123*K3123</f>
        <v>116.335</v>
      </c>
      <c r="M3123" s="43" t="n">
        <f aca="false">H3123*17.34*(1+'Chart of Accounts'!$E$67)</f>
        <v>87.160377</v>
      </c>
    </row>
    <row r="3124" customFormat="false" ht="15" hidden="false" customHeight="false" outlineLevel="0" collapsed="false">
      <c r="B3124" s="7" t="s">
        <v>3621</v>
      </c>
      <c r="C3124" s="39" t="n">
        <v>45813</v>
      </c>
      <c r="D3124" s="7" t="s">
        <v>351</v>
      </c>
      <c r="E3124" s="7" t="s">
        <v>154</v>
      </c>
      <c r="F3124" s="7" t="s">
        <v>201</v>
      </c>
      <c r="G3124" s="7" t="s">
        <v>505</v>
      </c>
      <c r="H3124" s="6" t="n">
        <v>2.86</v>
      </c>
      <c r="I3124" s="6" t="n">
        <v>0</v>
      </c>
      <c r="J3124" s="40" t="n">
        <f aca="false">H3124-I3124</f>
        <v>2.86</v>
      </c>
      <c r="K3124" s="41" t="n">
        <v>26.5</v>
      </c>
      <c r="L3124" s="42" t="n">
        <f aca="false">J3124*K3124</f>
        <v>75.79</v>
      </c>
      <c r="M3124" s="43" t="n">
        <f aca="false">H3124*15.19*(1+'Chart of Accounts'!$E$67)</f>
        <v>49.742693</v>
      </c>
    </row>
    <row r="3125" customFormat="false" ht="15" hidden="false" customHeight="false" outlineLevel="0" collapsed="false">
      <c r="B3125" s="7" t="s">
        <v>3622</v>
      </c>
      <c r="C3125" s="39" t="n">
        <v>45813</v>
      </c>
      <c r="D3125" s="7" t="s">
        <v>359</v>
      </c>
      <c r="E3125" s="7" t="s">
        <v>156</v>
      </c>
      <c r="F3125" s="7" t="s">
        <v>212</v>
      </c>
      <c r="G3125" s="7" t="s">
        <v>505</v>
      </c>
      <c r="H3125" s="6" t="n">
        <v>3.71</v>
      </c>
      <c r="I3125" s="6" t="n">
        <v>0</v>
      </c>
      <c r="J3125" s="40" t="n">
        <f aca="false">H3125-I3125</f>
        <v>3.71</v>
      </c>
      <c r="K3125" s="41" t="n">
        <v>34</v>
      </c>
      <c r="L3125" s="42" t="n">
        <f aca="false">J3125*K3125</f>
        <v>126.14</v>
      </c>
      <c r="M3125" s="43" t="n">
        <f aca="false">H3125*16.71*(1+'Chart of Accounts'!$E$67)</f>
        <v>70.9832445</v>
      </c>
    </row>
    <row r="3126" customFormat="false" ht="15" hidden="false" customHeight="false" outlineLevel="0" collapsed="false">
      <c r="B3126" s="7" t="s">
        <v>3623</v>
      </c>
      <c r="C3126" s="39" t="n">
        <v>45813</v>
      </c>
      <c r="D3126" s="7" t="s">
        <v>363</v>
      </c>
      <c r="E3126" s="7" t="s">
        <v>156</v>
      </c>
      <c r="F3126" s="7" t="s">
        <v>246</v>
      </c>
      <c r="G3126" s="7" t="s">
        <v>505</v>
      </c>
      <c r="H3126" s="6" t="n">
        <v>4.34</v>
      </c>
      <c r="I3126" s="6" t="n">
        <v>0</v>
      </c>
      <c r="J3126" s="40" t="n">
        <f aca="false">H3126-I3126</f>
        <v>4.34</v>
      </c>
      <c r="K3126" s="41" t="n">
        <v>34</v>
      </c>
      <c r="L3126" s="42" t="n">
        <f aca="false">J3126*K3126</f>
        <v>147.56</v>
      </c>
      <c r="M3126" s="43" t="n">
        <f aca="false">H3126*16.48*(1+'Chart of Accounts'!$E$67)</f>
        <v>81.894064</v>
      </c>
    </row>
    <row r="3127" customFormat="false" ht="15" hidden="false" customHeight="false" outlineLevel="0" collapsed="false">
      <c r="B3127" s="7" t="s">
        <v>3624</v>
      </c>
      <c r="C3127" s="39" t="n">
        <v>45813</v>
      </c>
      <c r="D3127" s="7" t="s">
        <v>365</v>
      </c>
      <c r="E3127" s="7" t="s">
        <v>154</v>
      </c>
      <c r="F3127" s="7" t="s">
        <v>194</v>
      </c>
      <c r="G3127" s="7" t="s">
        <v>505</v>
      </c>
      <c r="H3127" s="6" t="n">
        <v>3.79</v>
      </c>
      <c r="I3127" s="6" t="n">
        <v>0</v>
      </c>
      <c r="J3127" s="40" t="n">
        <f aca="false">H3127-I3127</f>
        <v>3.79</v>
      </c>
      <c r="K3127" s="41" t="n">
        <v>26.5</v>
      </c>
      <c r="L3127" s="42" t="n">
        <f aca="false">J3127*K3127</f>
        <v>100.435</v>
      </c>
      <c r="M3127" s="43" t="n">
        <f aca="false">H3127*16*(1+'Chart of Accounts'!$E$67)</f>
        <v>69.4328</v>
      </c>
    </row>
    <row r="3128" customFormat="false" ht="15" hidden="false" customHeight="false" outlineLevel="0" collapsed="false">
      <c r="B3128" s="7" t="s">
        <v>3625</v>
      </c>
      <c r="C3128" s="39" t="n">
        <v>45813</v>
      </c>
      <c r="D3128" s="7" t="s">
        <v>375</v>
      </c>
      <c r="E3128" s="7" t="s">
        <v>156</v>
      </c>
      <c r="F3128" s="7" t="s">
        <v>196</v>
      </c>
      <c r="G3128" s="7" t="s">
        <v>505</v>
      </c>
      <c r="H3128" s="6" t="n">
        <v>3.24</v>
      </c>
      <c r="I3128" s="6" t="n">
        <v>0</v>
      </c>
      <c r="J3128" s="40" t="n">
        <f aca="false">H3128-I3128</f>
        <v>3.24</v>
      </c>
      <c r="K3128" s="41" t="n">
        <v>34</v>
      </c>
      <c r="L3128" s="42" t="n">
        <f aca="false">J3128*K3128</f>
        <v>110.16</v>
      </c>
      <c r="M3128" s="43" t="n">
        <f aca="false">H3128*15.05*(1+'Chart of Accounts'!$E$67)</f>
        <v>55.83249</v>
      </c>
    </row>
    <row r="3129" customFormat="false" ht="15" hidden="false" customHeight="false" outlineLevel="0" collapsed="false">
      <c r="B3129" s="7" t="s">
        <v>3626</v>
      </c>
      <c r="C3129" s="39" t="n">
        <v>45813</v>
      </c>
      <c r="D3129" s="7" t="s">
        <v>377</v>
      </c>
      <c r="E3129" s="7" t="s">
        <v>154</v>
      </c>
      <c r="F3129" s="7" t="s">
        <v>214</v>
      </c>
      <c r="G3129" s="7" t="s">
        <v>505</v>
      </c>
      <c r="H3129" s="6" t="n">
        <v>3.63</v>
      </c>
      <c r="I3129" s="6" t="n">
        <v>0</v>
      </c>
      <c r="J3129" s="40" t="n">
        <f aca="false">H3129-I3129</f>
        <v>3.63</v>
      </c>
      <c r="K3129" s="41" t="n">
        <v>26.5</v>
      </c>
      <c r="L3129" s="42" t="n">
        <f aca="false">J3129*K3129</f>
        <v>96.195</v>
      </c>
      <c r="M3129" s="43" t="n">
        <f aca="false">H3129*15.67*(1+'Chart of Accounts'!$E$67)</f>
        <v>65.1300045</v>
      </c>
    </row>
    <row r="3130" customFormat="false" ht="15" hidden="false" customHeight="false" outlineLevel="0" collapsed="false">
      <c r="B3130" s="7" t="s">
        <v>3627</v>
      </c>
      <c r="C3130" s="39" t="n">
        <v>45813</v>
      </c>
      <c r="D3130" s="7" t="s">
        <v>389</v>
      </c>
      <c r="E3130" s="7" t="s">
        <v>154</v>
      </c>
      <c r="F3130" s="7" t="s">
        <v>246</v>
      </c>
      <c r="G3130" s="7" t="s">
        <v>505</v>
      </c>
      <c r="H3130" s="6" t="n">
        <v>4.08</v>
      </c>
      <c r="I3130" s="6" t="n">
        <v>0.122</v>
      </c>
      <c r="J3130" s="40" t="n">
        <f aca="false">H3130-I3130</f>
        <v>3.958</v>
      </c>
      <c r="K3130" s="41" t="n">
        <v>26.5</v>
      </c>
      <c r="L3130" s="42" t="n">
        <f aca="false">J3130*K3130</f>
        <v>104.887</v>
      </c>
      <c r="M3130" s="43" t="n">
        <f aca="false">H3130*16.48*(1+'Chart of Accounts'!$E$67)</f>
        <v>76.987968</v>
      </c>
    </row>
    <row r="3131" customFormat="false" ht="15" hidden="false" customHeight="false" outlineLevel="0" collapsed="false">
      <c r="B3131" s="7" t="s">
        <v>3628</v>
      </c>
      <c r="C3131" s="39" t="n">
        <v>45813</v>
      </c>
      <c r="D3131" s="7" t="s">
        <v>391</v>
      </c>
      <c r="E3131" s="7" t="s">
        <v>156</v>
      </c>
      <c r="F3131" s="7" t="s">
        <v>222</v>
      </c>
      <c r="G3131" s="7" t="s">
        <v>505</v>
      </c>
      <c r="H3131" s="6" t="n">
        <v>4.04</v>
      </c>
      <c r="I3131" s="6" t="n">
        <v>0</v>
      </c>
      <c r="J3131" s="40" t="n">
        <f aca="false">H3131-I3131</f>
        <v>4.04</v>
      </c>
      <c r="K3131" s="41" t="n">
        <v>34</v>
      </c>
      <c r="L3131" s="42" t="n">
        <f aca="false">J3131*K3131</f>
        <v>137.36</v>
      </c>
      <c r="M3131" s="43" t="n">
        <f aca="false">H3131*17.84*(1+'Chart of Accounts'!$E$67)</f>
        <v>82.524272</v>
      </c>
    </row>
    <row r="3132" customFormat="false" ht="15" hidden="false" customHeight="false" outlineLevel="0" collapsed="false">
      <c r="B3132" s="7" t="s">
        <v>3629</v>
      </c>
      <c r="C3132" s="39" t="n">
        <v>45813</v>
      </c>
      <c r="D3132" s="7" t="s">
        <v>395</v>
      </c>
      <c r="E3132" s="7" t="s">
        <v>156</v>
      </c>
      <c r="F3132" s="7" t="s">
        <v>242</v>
      </c>
      <c r="G3132" s="7" t="s">
        <v>505</v>
      </c>
      <c r="H3132" s="6" t="n">
        <v>3.63</v>
      </c>
      <c r="I3132" s="6" t="n">
        <v>0</v>
      </c>
      <c r="J3132" s="40" t="n">
        <f aca="false">H3132-I3132</f>
        <v>3.63</v>
      </c>
      <c r="K3132" s="41" t="n">
        <v>34</v>
      </c>
      <c r="L3132" s="42" t="n">
        <f aca="false">J3132*K3132</f>
        <v>123.42</v>
      </c>
      <c r="M3132" s="43" t="n">
        <f aca="false">H3132*17.99*(1+'Chart of Accounts'!$E$67)</f>
        <v>74.7727365</v>
      </c>
    </row>
    <row r="3133" customFormat="false" ht="15" hidden="false" customHeight="false" outlineLevel="0" collapsed="false">
      <c r="B3133" s="7" t="s">
        <v>3630</v>
      </c>
      <c r="C3133" s="39" t="n">
        <v>45813</v>
      </c>
      <c r="D3133" s="7" t="s">
        <v>401</v>
      </c>
      <c r="E3133" s="7" t="s">
        <v>156</v>
      </c>
      <c r="F3133" s="7" t="s">
        <v>254</v>
      </c>
      <c r="G3133" s="7" t="s">
        <v>505</v>
      </c>
      <c r="H3133" s="6" t="n">
        <v>4.12</v>
      </c>
      <c r="I3133" s="6" t="n">
        <v>0</v>
      </c>
      <c r="J3133" s="40" t="n">
        <f aca="false">H3133-I3133</f>
        <v>4.12</v>
      </c>
      <c r="K3133" s="41" t="n">
        <v>34</v>
      </c>
      <c r="L3133" s="42" t="n">
        <f aca="false">J3133*K3133</f>
        <v>140.08</v>
      </c>
      <c r="M3133" s="43" t="n">
        <f aca="false">H3133*17.1*(1+'Chart of Accounts'!$E$67)</f>
        <v>80.66754</v>
      </c>
    </row>
    <row r="3134" customFormat="false" ht="15" hidden="false" customHeight="false" outlineLevel="0" collapsed="false">
      <c r="B3134" s="7" t="s">
        <v>3631</v>
      </c>
      <c r="C3134" s="39" t="n">
        <v>45814</v>
      </c>
      <c r="D3134" s="7" t="s">
        <v>280</v>
      </c>
      <c r="E3134" s="7" t="s">
        <v>157</v>
      </c>
      <c r="F3134" s="7" t="s">
        <v>187</v>
      </c>
      <c r="G3134" s="7" t="s">
        <v>502</v>
      </c>
      <c r="H3134" s="6" t="n">
        <v>1.07</v>
      </c>
      <c r="I3134" s="6" t="n">
        <v>0.054</v>
      </c>
      <c r="J3134" s="40" t="n">
        <f aca="false">H3134-I3134</f>
        <v>1.016</v>
      </c>
      <c r="K3134" s="41" t="n">
        <v>165</v>
      </c>
      <c r="L3134" s="42" t="n">
        <f aca="false">J3134*K3134</f>
        <v>167.64</v>
      </c>
      <c r="M3134" s="43" t="n">
        <f aca="false">H3134*66.48*(1+'Chart of Accounts'!$E$67)</f>
        <v>81.447972</v>
      </c>
    </row>
    <row r="3135" customFormat="false" ht="15" hidden="false" customHeight="false" outlineLevel="0" collapsed="false">
      <c r="B3135" s="7" t="s">
        <v>3632</v>
      </c>
      <c r="C3135" s="39" t="n">
        <v>45814</v>
      </c>
      <c r="D3135" s="7" t="s">
        <v>288</v>
      </c>
      <c r="E3135" s="7" t="s">
        <v>156</v>
      </c>
      <c r="F3135" s="7" t="s">
        <v>207</v>
      </c>
      <c r="G3135" s="7" t="s">
        <v>505</v>
      </c>
      <c r="H3135" s="6" t="n">
        <v>3.64</v>
      </c>
      <c r="I3135" s="6" t="n">
        <v>0</v>
      </c>
      <c r="J3135" s="40" t="n">
        <f aca="false">H3135-I3135</f>
        <v>3.64</v>
      </c>
      <c r="K3135" s="41" t="n">
        <v>34</v>
      </c>
      <c r="L3135" s="42" t="n">
        <f aca="false">J3135*K3135</f>
        <v>123.76</v>
      </c>
      <c r="M3135" s="43" t="n">
        <f aca="false">H3135*16.65*(1+'Chart of Accounts'!$E$67)</f>
        <v>69.39387</v>
      </c>
    </row>
    <row r="3136" customFormat="false" ht="15" hidden="false" customHeight="false" outlineLevel="0" collapsed="false">
      <c r="B3136" s="7" t="s">
        <v>3633</v>
      </c>
      <c r="C3136" s="39" t="n">
        <v>45814</v>
      </c>
      <c r="D3136" s="7" t="s">
        <v>291</v>
      </c>
      <c r="E3136" s="7" t="s">
        <v>154</v>
      </c>
      <c r="F3136" s="7" t="s">
        <v>194</v>
      </c>
      <c r="G3136" s="7" t="s">
        <v>505</v>
      </c>
      <c r="H3136" s="6" t="n">
        <v>5</v>
      </c>
      <c r="I3136" s="6" t="n">
        <v>0</v>
      </c>
      <c r="J3136" s="40" t="n">
        <f aca="false">H3136-I3136</f>
        <v>5</v>
      </c>
      <c r="K3136" s="41" t="n">
        <v>26.5</v>
      </c>
      <c r="L3136" s="42" t="n">
        <f aca="false">J3136*K3136</f>
        <v>132.5</v>
      </c>
      <c r="M3136" s="43" t="n">
        <f aca="false">H3136*16*(1+'Chart of Accounts'!$E$67)</f>
        <v>91.6</v>
      </c>
    </row>
    <row r="3137" customFormat="false" ht="15" hidden="false" customHeight="false" outlineLevel="0" collapsed="false">
      <c r="B3137" s="7" t="s">
        <v>3634</v>
      </c>
      <c r="C3137" s="39" t="n">
        <v>45814</v>
      </c>
      <c r="D3137" s="7" t="s">
        <v>301</v>
      </c>
      <c r="E3137" s="7" t="s">
        <v>157</v>
      </c>
      <c r="F3137" s="7" t="s">
        <v>209</v>
      </c>
      <c r="G3137" s="7" t="s">
        <v>502</v>
      </c>
      <c r="H3137" s="6" t="n">
        <v>1.01</v>
      </c>
      <c r="I3137" s="6" t="n">
        <v>0</v>
      </c>
      <c r="J3137" s="40" t="n">
        <f aca="false">H3137-I3137</f>
        <v>1.01</v>
      </c>
      <c r="K3137" s="41" t="n">
        <v>165</v>
      </c>
      <c r="L3137" s="42" t="n">
        <f aca="false">J3137*K3137</f>
        <v>166.65</v>
      </c>
      <c r="M3137" s="43" t="n">
        <f aca="false">H3137*73.58*(1+'Chart of Accounts'!$E$67)</f>
        <v>85.091591</v>
      </c>
    </row>
    <row r="3138" customFormat="false" ht="15" hidden="false" customHeight="false" outlineLevel="0" collapsed="false">
      <c r="B3138" s="7" t="s">
        <v>3635</v>
      </c>
      <c r="C3138" s="39" t="n">
        <v>45814</v>
      </c>
      <c r="D3138" s="7" t="s">
        <v>305</v>
      </c>
      <c r="E3138" s="7" t="s">
        <v>154</v>
      </c>
      <c r="F3138" s="7" t="s">
        <v>205</v>
      </c>
      <c r="G3138" s="7" t="s">
        <v>505</v>
      </c>
      <c r="H3138" s="6" t="n">
        <v>4.16</v>
      </c>
      <c r="I3138" s="6" t="n">
        <v>0</v>
      </c>
      <c r="J3138" s="40" t="n">
        <f aca="false">H3138-I3138</f>
        <v>4.16</v>
      </c>
      <c r="K3138" s="41" t="n">
        <v>26.5</v>
      </c>
      <c r="L3138" s="42" t="n">
        <f aca="false">J3138*K3138</f>
        <v>110.24</v>
      </c>
      <c r="M3138" s="43" t="n">
        <f aca="false">H3138*16.36*(1+'Chart of Accounts'!$E$67)</f>
        <v>77.925952</v>
      </c>
    </row>
    <row r="3139" customFormat="false" ht="15" hidden="false" customHeight="false" outlineLevel="0" collapsed="false">
      <c r="B3139" s="7" t="s">
        <v>3636</v>
      </c>
      <c r="C3139" s="39" t="n">
        <v>45814</v>
      </c>
      <c r="D3139" s="7" t="s">
        <v>307</v>
      </c>
      <c r="E3139" s="7" t="s">
        <v>157</v>
      </c>
      <c r="F3139" s="7" t="s">
        <v>264</v>
      </c>
      <c r="G3139" s="7" t="s">
        <v>502</v>
      </c>
      <c r="H3139" s="6" t="n">
        <v>0.93</v>
      </c>
      <c r="I3139" s="6" t="n">
        <v>0</v>
      </c>
      <c r="J3139" s="40" t="n">
        <f aca="false">H3139-I3139</f>
        <v>0.93</v>
      </c>
      <c r="K3139" s="41" t="n">
        <v>165</v>
      </c>
      <c r="L3139" s="42" t="n">
        <f aca="false">J3139*K3139</f>
        <v>153.45</v>
      </c>
      <c r="M3139" s="43" t="n">
        <f aca="false">H3139*55.55*(1+'Chart of Accounts'!$E$67)</f>
        <v>59.1524175</v>
      </c>
    </row>
    <row r="3140" customFormat="false" ht="15" hidden="false" customHeight="false" outlineLevel="0" collapsed="false">
      <c r="B3140" s="7" t="s">
        <v>3637</v>
      </c>
      <c r="C3140" s="39" t="n">
        <v>45814</v>
      </c>
      <c r="D3140" s="7" t="s">
        <v>309</v>
      </c>
      <c r="E3140" s="7" t="s">
        <v>159</v>
      </c>
      <c r="F3140" s="7" t="s">
        <v>252</v>
      </c>
      <c r="G3140" s="7" t="s">
        <v>502</v>
      </c>
      <c r="H3140" s="6" t="n">
        <v>1.1</v>
      </c>
      <c r="I3140" s="6" t="n">
        <v>0</v>
      </c>
      <c r="J3140" s="40" t="n">
        <f aca="false">H3140-I3140</f>
        <v>1.1</v>
      </c>
      <c r="K3140" s="41" t="n">
        <v>135</v>
      </c>
      <c r="L3140" s="42" t="n">
        <f aca="false">J3140*K3140</f>
        <v>148.5</v>
      </c>
      <c r="M3140" s="43" t="n">
        <f aca="false">H3140*57.54*(1+'Chart of Accounts'!$E$67)</f>
        <v>72.47163</v>
      </c>
    </row>
    <row r="3141" customFormat="false" ht="15" hidden="false" customHeight="false" outlineLevel="0" collapsed="false">
      <c r="B3141" s="7" t="s">
        <v>3638</v>
      </c>
      <c r="C3141" s="39" t="n">
        <v>45814</v>
      </c>
      <c r="D3141" s="7" t="s">
        <v>313</v>
      </c>
      <c r="E3141" s="7" t="s">
        <v>156</v>
      </c>
      <c r="F3141" s="7" t="s">
        <v>184</v>
      </c>
      <c r="G3141" s="7" t="s">
        <v>505</v>
      </c>
      <c r="H3141" s="6" t="n">
        <v>3.95</v>
      </c>
      <c r="I3141" s="6" t="n">
        <v>0</v>
      </c>
      <c r="J3141" s="40" t="n">
        <f aca="false">H3141-I3141</f>
        <v>3.95</v>
      </c>
      <c r="K3141" s="41" t="n">
        <v>34</v>
      </c>
      <c r="L3141" s="42" t="n">
        <f aca="false">J3141*K3141</f>
        <v>134.3</v>
      </c>
      <c r="M3141" s="43" t="n">
        <f aca="false">H3141*17.34*(1+'Chart of Accounts'!$E$67)</f>
        <v>78.424485</v>
      </c>
    </row>
    <row r="3142" customFormat="false" ht="15" hidden="false" customHeight="false" outlineLevel="0" collapsed="false">
      <c r="B3142" s="7" t="s">
        <v>3639</v>
      </c>
      <c r="C3142" s="39" t="n">
        <v>45814</v>
      </c>
      <c r="D3142" s="7" t="s">
        <v>319</v>
      </c>
      <c r="E3142" s="7" t="s">
        <v>157</v>
      </c>
      <c r="F3142" s="7" t="s">
        <v>234</v>
      </c>
      <c r="G3142" s="7" t="s">
        <v>502</v>
      </c>
      <c r="H3142" s="6" t="n">
        <v>1.02</v>
      </c>
      <c r="I3142" s="6" t="n">
        <v>0</v>
      </c>
      <c r="J3142" s="40" t="n">
        <f aca="false">H3142-I3142</f>
        <v>1.02</v>
      </c>
      <c r="K3142" s="41" t="n">
        <v>165</v>
      </c>
      <c r="L3142" s="42" t="n">
        <f aca="false">J3142*K3142</f>
        <v>168.3</v>
      </c>
      <c r="M3142" s="43" t="n">
        <f aca="false">H3142*89.53*(1+'Chart of Accounts'!$E$67)</f>
        <v>104.562087</v>
      </c>
    </row>
    <row r="3143" customFormat="false" ht="15" hidden="false" customHeight="false" outlineLevel="0" collapsed="false">
      <c r="B3143" s="7" t="s">
        <v>3640</v>
      </c>
      <c r="C3143" s="39" t="n">
        <v>45814</v>
      </c>
      <c r="D3143" s="7" t="s">
        <v>321</v>
      </c>
      <c r="E3143" s="7" t="s">
        <v>154</v>
      </c>
      <c r="F3143" s="7" t="s">
        <v>218</v>
      </c>
      <c r="G3143" s="7" t="s">
        <v>505</v>
      </c>
      <c r="H3143" s="6" t="n">
        <v>4.31</v>
      </c>
      <c r="I3143" s="6" t="n">
        <v>0</v>
      </c>
      <c r="J3143" s="40" t="n">
        <f aca="false">H3143-I3143</f>
        <v>4.31</v>
      </c>
      <c r="K3143" s="41" t="n">
        <v>26.5</v>
      </c>
      <c r="L3143" s="42" t="n">
        <f aca="false">J3143*K3143</f>
        <v>114.215</v>
      </c>
      <c r="M3143" s="43" t="n">
        <f aca="false">H3143*16.19*(1+'Chart of Accounts'!$E$67)</f>
        <v>79.8968405</v>
      </c>
    </row>
    <row r="3144" customFormat="false" ht="15" hidden="false" customHeight="false" outlineLevel="0" collapsed="false">
      <c r="B3144" s="7" t="s">
        <v>3641</v>
      </c>
      <c r="C3144" s="39" t="n">
        <v>45814</v>
      </c>
      <c r="D3144" s="7" t="s">
        <v>327</v>
      </c>
      <c r="E3144" s="7" t="s">
        <v>157</v>
      </c>
      <c r="F3144" s="7" t="s">
        <v>228</v>
      </c>
      <c r="G3144" s="7" t="s">
        <v>502</v>
      </c>
      <c r="H3144" s="6" t="n">
        <v>0.95</v>
      </c>
      <c r="I3144" s="6" t="n">
        <v>0.048</v>
      </c>
      <c r="J3144" s="40" t="n">
        <f aca="false">H3144-I3144</f>
        <v>0.902</v>
      </c>
      <c r="K3144" s="41" t="n">
        <v>165</v>
      </c>
      <c r="L3144" s="42" t="n">
        <f aca="false">J3144*K3144</f>
        <v>148.83</v>
      </c>
      <c r="M3144" s="43" t="n">
        <f aca="false">H3144*51.07*(1+'Chart of Accounts'!$E$67)</f>
        <v>55.5513925</v>
      </c>
    </row>
    <row r="3145" customFormat="false" ht="15" hidden="false" customHeight="false" outlineLevel="0" collapsed="false">
      <c r="B3145" s="7" t="s">
        <v>3642</v>
      </c>
      <c r="C3145" s="39" t="n">
        <v>45814</v>
      </c>
      <c r="D3145" s="7" t="s">
        <v>329</v>
      </c>
      <c r="E3145" s="7" t="s">
        <v>156</v>
      </c>
      <c r="F3145" s="7" t="s">
        <v>220</v>
      </c>
      <c r="G3145" s="7" t="s">
        <v>505</v>
      </c>
      <c r="H3145" s="6" t="n">
        <v>3.95</v>
      </c>
      <c r="I3145" s="6" t="n">
        <v>0</v>
      </c>
      <c r="J3145" s="40" t="n">
        <f aca="false">H3145-I3145</f>
        <v>3.95</v>
      </c>
      <c r="K3145" s="41" t="n">
        <v>34</v>
      </c>
      <c r="L3145" s="42" t="n">
        <f aca="false">J3145*K3145</f>
        <v>134.3</v>
      </c>
      <c r="M3145" s="43" t="n">
        <f aca="false">H3145*16.43*(1+'Chart of Accounts'!$E$67)</f>
        <v>74.3087825</v>
      </c>
    </row>
    <row r="3146" customFormat="false" ht="15" hidden="false" customHeight="false" outlineLevel="0" collapsed="false">
      <c r="B3146" s="7" t="s">
        <v>3643</v>
      </c>
      <c r="C3146" s="39" t="n">
        <v>45814</v>
      </c>
      <c r="D3146" s="7" t="s">
        <v>335</v>
      </c>
      <c r="E3146" s="7" t="s">
        <v>154</v>
      </c>
      <c r="F3146" s="7" t="s">
        <v>177</v>
      </c>
      <c r="G3146" s="7" t="s">
        <v>505</v>
      </c>
      <c r="H3146" s="6" t="n">
        <v>4.08</v>
      </c>
      <c r="I3146" s="6" t="n">
        <v>0</v>
      </c>
      <c r="J3146" s="40" t="n">
        <f aca="false">H3146-I3146</f>
        <v>4.08</v>
      </c>
      <c r="K3146" s="41" t="n">
        <v>26.5</v>
      </c>
      <c r="L3146" s="42" t="n">
        <f aca="false">J3146*K3146</f>
        <v>108.12</v>
      </c>
      <c r="M3146" s="43" t="n">
        <f aca="false">H3146*14.56*(1+'Chart of Accounts'!$E$67)</f>
        <v>68.018496</v>
      </c>
    </row>
    <row r="3147" customFormat="false" ht="15" hidden="false" customHeight="false" outlineLevel="0" collapsed="false">
      <c r="B3147" s="7" t="s">
        <v>3644</v>
      </c>
      <c r="C3147" s="39" t="n">
        <v>45814</v>
      </c>
      <c r="D3147" s="7" t="s">
        <v>339</v>
      </c>
      <c r="E3147" s="7" t="s">
        <v>154</v>
      </c>
      <c r="F3147" s="7" t="s">
        <v>242</v>
      </c>
      <c r="G3147" s="7" t="s">
        <v>505</v>
      </c>
      <c r="H3147" s="6" t="n">
        <v>3.09</v>
      </c>
      <c r="I3147" s="6" t="n">
        <v>0</v>
      </c>
      <c r="J3147" s="40" t="n">
        <f aca="false">H3147-I3147</f>
        <v>3.09</v>
      </c>
      <c r="K3147" s="41" t="n">
        <v>26.5</v>
      </c>
      <c r="L3147" s="42" t="n">
        <f aca="false">J3147*K3147</f>
        <v>81.885</v>
      </c>
      <c r="M3147" s="43" t="n">
        <f aca="false">H3147*17.99*(1+'Chart of Accounts'!$E$67)</f>
        <v>63.6495195</v>
      </c>
    </row>
    <row r="3148" customFormat="false" ht="15" hidden="false" customHeight="false" outlineLevel="0" collapsed="false">
      <c r="B3148" s="7" t="s">
        <v>3645</v>
      </c>
      <c r="C3148" s="39" t="n">
        <v>45814</v>
      </c>
      <c r="D3148" s="7" t="s">
        <v>353</v>
      </c>
      <c r="E3148" s="7" t="s">
        <v>154</v>
      </c>
      <c r="F3148" s="7" t="s">
        <v>254</v>
      </c>
      <c r="G3148" s="7" t="s">
        <v>505</v>
      </c>
      <c r="H3148" s="6" t="n">
        <v>3.44</v>
      </c>
      <c r="I3148" s="6" t="n">
        <v>0</v>
      </c>
      <c r="J3148" s="40" t="n">
        <f aca="false">H3148-I3148</f>
        <v>3.44</v>
      </c>
      <c r="K3148" s="41" t="n">
        <v>26.5</v>
      </c>
      <c r="L3148" s="42" t="n">
        <f aca="false">J3148*K3148</f>
        <v>91.16</v>
      </c>
      <c r="M3148" s="43" t="n">
        <f aca="false">H3148*17.1*(1+'Chart of Accounts'!$E$67)</f>
        <v>67.35348</v>
      </c>
    </row>
    <row r="3149" customFormat="false" ht="15" hidden="false" customHeight="false" outlineLevel="0" collapsed="false">
      <c r="B3149" s="7" t="s">
        <v>3646</v>
      </c>
      <c r="C3149" s="39" t="n">
        <v>45814</v>
      </c>
      <c r="D3149" s="7" t="s">
        <v>355</v>
      </c>
      <c r="E3149" s="7" t="s">
        <v>154</v>
      </c>
      <c r="F3149" s="7" t="s">
        <v>201</v>
      </c>
      <c r="G3149" s="7" t="s">
        <v>505</v>
      </c>
      <c r="H3149" s="6" t="n">
        <v>3.14</v>
      </c>
      <c r="I3149" s="6" t="n">
        <v>0</v>
      </c>
      <c r="J3149" s="40" t="n">
        <f aca="false">H3149-I3149</f>
        <v>3.14</v>
      </c>
      <c r="K3149" s="41" t="n">
        <v>26.5</v>
      </c>
      <c r="L3149" s="42" t="n">
        <f aca="false">J3149*K3149</f>
        <v>83.21</v>
      </c>
      <c r="M3149" s="43" t="n">
        <f aca="false">H3149*15.19*(1+'Chart of Accounts'!$E$67)</f>
        <v>54.612607</v>
      </c>
    </row>
    <row r="3150" customFormat="false" ht="15" hidden="false" customHeight="false" outlineLevel="0" collapsed="false">
      <c r="B3150" s="7" t="s">
        <v>3647</v>
      </c>
      <c r="C3150" s="39" t="n">
        <v>45814</v>
      </c>
      <c r="D3150" s="7" t="s">
        <v>357</v>
      </c>
      <c r="E3150" s="7" t="s">
        <v>154</v>
      </c>
      <c r="F3150" s="7" t="s">
        <v>207</v>
      </c>
      <c r="G3150" s="7" t="s">
        <v>505</v>
      </c>
      <c r="H3150" s="6" t="n">
        <v>3.6</v>
      </c>
      <c r="I3150" s="6" t="n">
        <v>0</v>
      </c>
      <c r="J3150" s="40" t="n">
        <f aca="false">H3150-I3150</f>
        <v>3.6</v>
      </c>
      <c r="K3150" s="41" t="n">
        <v>26.5</v>
      </c>
      <c r="L3150" s="42" t="n">
        <f aca="false">J3150*K3150</f>
        <v>95.4</v>
      </c>
      <c r="M3150" s="43" t="n">
        <f aca="false">H3150*16.65*(1+'Chart of Accounts'!$E$67)</f>
        <v>68.6313</v>
      </c>
    </row>
    <row r="3151" customFormat="false" ht="15" hidden="false" customHeight="false" outlineLevel="0" collapsed="false">
      <c r="B3151" s="7" t="s">
        <v>3648</v>
      </c>
      <c r="C3151" s="39" t="n">
        <v>45814</v>
      </c>
      <c r="D3151" s="7" t="s">
        <v>359</v>
      </c>
      <c r="E3151" s="7" t="s">
        <v>156</v>
      </c>
      <c r="F3151" s="7" t="s">
        <v>212</v>
      </c>
      <c r="G3151" s="7" t="s">
        <v>505</v>
      </c>
      <c r="H3151" s="6" t="n">
        <v>3.84</v>
      </c>
      <c r="I3151" s="6" t="n">
        <v>0</v>
      </c>
      <c r="J3151" s="40" t="n">
        <f aca="false">H3151-I3151</f>
        <v>3.84</v>
      </c>
      <c r="K3151" s="41" t="n">
        <v>34</v>
      </c>
      <c r="L3151" s="42" t="n">
        <f aca="false">J3151*K3151</f>
        <v>130.56</v>
      </c>
      <c r="M3151" s="43" t="n">
        <f aca="false">H3151*16.71*(1+'Chart of Accounts'!$E$67)</f>
        <v>73.470528</v>
      </c>
    </row>
    <row r="3152" customFormat="false" ht="15" hidden="false" customHeight="false" outlineLevel="0" collapsed="false">
      <c r="B3152" s="7" t="s">
        <v>3649</v>
      </c>
      <c r="C3152" s="39" t="n">
        <v>45814</v>
      </c>
      <c r="D3152" s="7" t="s">
        <v>361</v>
      </c>
      <c r="E3152" s="7" t="s">
        <v>157</v>
      </c>
      <c r="F3152" s="7" t="s">
        <v>209</v>
      </c>
      <c r="G3152" s="7" t="s">
        <v>502</v>
      </c>
      <c r="H3152" s="6" t="n">
        <v>1.07</v>
      </c>
      <c r="I3152" s="6" t="n">
        <v>0</v>
      </c>
      <c r="J3152" s="40" t="n">
        <f aca="false">H3152-I3152</f>
        <v>1.07</v>
      </c>
      <c r="K3152" s="41" t="n">
        <v>165</v>
      </c>
      <c r="L3152" s="42" t="n">
        <f aca="false">J3152*K3152</f>
        <v>176.55</v>
      </c>
      <c r="M3152" s="43" t="n">
        <f aca="false">H3152*73.58*(1+'Chart of Accounts'!$E$67)</f>
        <v>90.146537</v>
      </c>
    </row>
    <row r="3153" customFormat="false" ht="15" hidden="false" customHeight="false" outlineLevel="0" collapsed="false">
      <c r="B3153" s="7" t="s">
        <v>3650</v>
      </c>
      <c r="C3153" s="39" t="n">
        <v>45814</v>
      </c>
      <c r="D3153" s="7" t="s">
        <v>365</v>
      </c>
      <c r="E3153" s="7" t="s">
        <v>154</v>
      </c>
      <c r="F3153" s="7" t="s">
        <v>194</v>
      </c>
      <c r="G3153" s="7" t="s">
        <v>505</v>
      </c>
      <c r="H3153" s="6" t="n">
        <v>3.86</v>
      </c>
      <c r="I3153" s="6" t="n">
        <v>0.116</v>
      </c>
      <c r="J3153" s="40" t="n">
        <f aca="false">H3153-I3153</f>
        <v>3.744</v>
      </c>
      <c r="K3153" s="41" t="n">
        <v>26.5</v>
      </c>
      <c r="L3153" s="42" t="n">
        <f aca="false">J3153*K3153</f>
        <v>99.216</v>
      </c>
      <c r="M3153" s="43" t="n">
        <f aca="false">H3153*16*(1+'Chart of Accounts'!$E$67)</f>
        <v>70.7152</v>
      </c>
    </row>
    <row r="3154" customFormat="false" ht="15" hidden="false" customHeight="false" outlineLevel="0" collapsed="false">
      <c r="B3154" s="7" t="s">
        <v>3651</v>
      </c>
      <c r="C3154" s="39" t="n">
        <v>45814</v>
      </c>
      <c r="D3154" s="7" t="s">
        <v>371</v>
      </c>
      <c r="E3154" s="7" t="s">
        <v>154</v>
      </c>
      <c r="F3154" s="7" t="s">
        <v>232</v>
      </c>
      <c r="G3154" s="7" t="s">
        <v>505</v>
      </c>
      <c r="H3154" s="6" t="n">
        <v>4.52</v>
      </c>
      <c r="I3154" s="6" t="n">
        <v>0</v>
      </c>
      <c r="J3154" s="40" t="n">
        <f aca="false">H3154-I3154</f>
        <v>4.52</v>
      </c>
      <c r="K3154" s="41" t="n">
        <v>26.5</v>
      </c>
      <c r="L3154" s="42" t="n">
        <f aca="false">J3154*K3154</f>
        <v>119.78</v>
      </c>
      <c r="M3154" s="43" t="n">
        <f aca="false">H3154*16.17*(1+'Chart of Accounts'!$E$67)</f>
        <v>83.686218</v>
      </c>
    </row>
    <row r="3155" customFormat="false" ht="15" hidden="false" customHeight="false" outlineLevel="0" collapsed="false">
      <c r="B3155" s="7" t="s">
        <v>3652</v>
      </c>
      <c r="C3155" s="39" t="n">
        <v>45814</v>
      </c>
      <c r="D3155" s="7" t="s">
        <v>379</v>
      </c>
      <c r="E3155" s="7" t="s">
        <v>156</v>
      </c>
      <c r="F3155" s="7" t="s">
        <v>224</v>
      </c>
      <c r="G3155" s="7" t="s">
        <v>505</v>
      </c>
      <c r="H3155" s="6" t="n">
        <v>4.65</v>
      </c>
      <c r="I3155" s="6" t="n">
        <v>0</v>
      </c>
      <c r="J3155" s="40" t="n">
        <f aca="false">H3155-I3155</f>
        <v>4.65</v>
      </c>
      <c r="K3155" s="41" t="n">
        <v>34</v>
      </c>
      <c r="L3155" s="42" t="n">
        <f aca="false">J3155*K3155</f>
        <v>158.1</v>
      </c>
      <c r="M3155" s="43" t="n">
        <f aca="false">H3155*14.93*(1+'Chart of Accounts'!$E$67)</f>
        <v>79.4910525</v>
      </c>
    </row>
    <row r="3156" customFormat="false" ht="15" hidden="false" customHeight="false" outlineLevel="0" collapsed="false">
      <c r="B3156" s="7" t="s">
        <v>3653</v>
      </c>
      <c r="C3156" s="39" t="n">
        <v>45814</v>
      </c>
      <c r="D3156" s="7" t="s">
        <v>381</v>
      </c>
      <c r="E3156" s="7" t="s">
        <v>157</v>
      </c>
      <c r="F3156" s="7" t="s">
        <v>234</v>
      </c>
      <c r="G3156" s="7" t="s">
        <v>502</v>
      </c>
      <c r="H3156" s="6" t="n">
        <v>1.07</v>
      </c>
      <c r="I3156" s="6" t="n">
        <v>0</v>
      </c>
      <c r="J3156" s="40" t="n">
        <f aca="false">H3156-I3156</f>
        <v>1.07</v>
      </c>
      <c r="K3156" s="41" t="n">
        <v>165</v>
      </c>
      <c r="L3156" s="42" t="n">
        <f aca="false">J3156*K3156</f>
        <v>176.55</v>
      </c>
      <c r="M3156" s="43" t="n">
        <f aca="false">H3156*89.53*(1+'Chart of Accounts'!$E$67)</f>
        <v>109.6876795</v>
      </c>
    </row>
    <row r="3157" customFormat="false" ht="15" hidden="false" customHeight="false" outlineLevel="0" collapsed="false">
      <c r="B3157" s="7" t="s">
        <v>3654</v>
      </c>
      <c r="C3157" s="39" t="n">
        <v>45814</v>
      </c>
      <c r="D3157" s="7" t="s">
        <v>385</v>
      </c>
      <c r="E3157" s="7" t="s">
        <v>156</v>
      </c>
      <c r="F3157" s="7" t="s">
        <v>238</v>
      </c>
      <c r="G3157" s="7" t="s">
        <v>505</v>
      </c>
      <c r="H3157" s="6" t="n">
        <v>4.04</v>
      </c>
      <c r="I3157" s="6" t="n">
        <v>0</v>
      </c>
      <c r="J3157" s="40" t="n">
        <f aca="false">H3157-I3157</f>
        <v>4.04</v>
      </c>
      <c r="K3157" s="41" t="n">
        <v>34</v>
      </c>
      <c r="L3157" s="42" t="n">
        <f aca="false">J3157*K3157</f>
        <v>137.36</v>
      </c>
      <c r="M3157" s="43" t="n">
        <f aca="false">H3157*15.85*(1+'Chart of Accounts'!$E$67)</f>
        <v>73.31893</v>
      </c>
    </row>
    <row r="3158" customFormat="false" ht="15" hidden="false" customHeight="false" outlineLevel="0" collapsed="false">
      <c r="B3158" s="7" t="s">
        <v>3655</v>
      </c>
      <c r="C3158" s="39" t="n">
        <v>45814</v>
      </c>
      <c r="D3158" s="7" t="s">
        <v>389</v>
      </c>
      <c r="E3158" s="7" t="s">
        <v>154</v>
      </c>
      <c r="F3158" s="7" t="s">
        <v>246</v>
      </c>
      <c r="G3158" s="7" t="s">
        <v>505</v>
      </c>
      <c r="H3158" s="6" t="n">
        <v>4.23</v>
      </c>
      <c r="I3158" s="6" t="n">
        <v>0</v>
      </c>
      <c r="J3158" s="40" t="n">
        <f aca="false">H3158-I3158</f>
        <v>4.23</v>
      </c>
      <c r="K3158" s="41" t="n">
        <v>26.5</v>
      </c>
      <c r="L3158" s="42" t="n">
        <f aca="false">J3158*K3158</f>
        <v>112.095</v>
      </c>
      <c r="M3158" s="43" t="n">
        <f aca="false">H3158*16.48*(1+'Chart of Accounts'!$E$67)</f>
        <v>79.818408</v>
      </c>
    </row>
    <row r="3159" customFormat="false" ht="15" hidden="false" customHeight="false" outlineLevel="0" collapsed="false">
      <c r="B3159" s="7" t="s">
        <v>3656</v>
      </c>
      <c r="C3159" s="39" t="n">
        <v>45814</v>
      </c>
      <c r="D3159" s="7" t="s">
        <v>391</v>
      </c>
      <c r="E3159" s="7" t="s">
        <v>156</v>
      </c>
      <c r="F3159" s="7" t="s">
        <v>222</v>
      </c>
      <c r="G3159" s="7" t="s">
        <v>505</v>
      </c>
      <c r="H3159" s="6" t="n">
        <v>3.95</v>
      </c>
      <c r="I3159" s="6" t="n">
        <v>0</v>
      </c>
      <c r="J3159" s="40" t="n">
        <f aca="false">H3159-I3159</f>
        <v>3.95</v>
      </c>
      <c r="K3159" s="41" t="n">
        <v>34</v>
      </c>
      <c r="L3159" s="42" t="n">
        <f aca="false">J3159*K3159</f>
        <v>134.3</v>
      </c>
      <c r="M3159" s="43" t="n">
        <f aca="false">H3159*17.84*(1+'Chart of Accounts'!$E$67)</f>
        <v>80.68586</v>
      </c>
    </row>
    <row r="3160" customFormat="false" ht="15" hidden="false" customHeight="false" outlineLevel="0" collapsed="false">
      <c r="B3160" s="7" t="s">
        <v>3657</v>
      </c>
      <c r="C3160" s="39" t="n">
        <v>45814</v>
      </c>
      <c r="D3160" s="7" t="s">
        <v>395</v>
      </c>
      <c r="E3160" s="7" t="s">
        <v>156</v>
      </c>
      <c r="F3160" s="7" t="s">
        <v>242</v>
      </c>
      <c r="G3160" s="7" t="s">
        <v>505</v>
      </c>
      <c r="H3160" s="6" t="n">
        <v>3.62</v>
      </c>
      <c r="I3160" s="6" t="n">
        <v>0</v>
      </c>
      <c r="J3160" s="40" t="n">
        <f aca="false">H3160-I3160</f>
        <v>3.62</v>
      </c>
      <c r="K3160" s="41" t="n">
        <v>34</v>
      </c>
      <c r="L3160" s="42" t="n">
        <f aca="false">J3160*K3160</f>
        <v>123.08</v>
      </c>
      <c r="M3160" s="43" t="n">
        <f aca="false">H3160*17.99*(1+'Chart of Accounts'!$E$67)</f>
        <v>74.566751</v>
      </c>
    </row>
    <row r="3161" customFormat="false" ht="15" hidden="false" customHeight="false" outlineLevel="0" collapsed="false">
      <c r="B3161" s="7" t="s">
        <v>3658</v>
      </c>
      <c r="C3161" s="39" t="n">
        <v>45814</v>
      </c>
      <c r="D3161" s="7" t="s">
        <v>397</v>
      </c>
      <c r="E3161" s="7" t="s">
        <v>159</v>
      </c>
      <c r="F3161" s="7" t="s">
        <v>203</v>
      </c>
      <c r="G3161" s="7" t="s">
        <v>502</v>
      </c>
      <c r="H3161" s="6" t="n">
        <v>1.02</v>
      </c>
      <c r="I3161" s="6" t="n">
        <v>0</v>
      </c>
      <c r="J3161" s="40" t="n">
        <f aca="false">H3161-I3161</f>
        <v>1.02</v>
      </c>
      <c r="K3161" s="41" t="n">
        <v>135</v>
      </c>
      <c r="L3161" s="42" t="n">
        <f aca="false">J3161*K3161</f>
        <v>137.7</v>
      </c>
      <c r="M3161" s="43" t="n">
        <f aca="false">H3161*49.43*(1+'Chart of Accounts'!$E$67)</f>
        <v>57.729297</v>
      </c>
    </row>
    <row r="3162" customFormat="false" ht="15" hidden="false" customHeight="false" outlineLevel="0" collapsed="false">
      <c r="B3162" s="7" t="s">
        <v>3659</v>
      </c>
      <c r="C3162" s="39" t="n">
        <v>45814</v>
      </c>
      <c r="D3162" s="7" t="s">
        <v>399</v>
      </c>
      <c r="E3162" s="7" t="s">
        <v>154</v>
      </c>
      <c r="F3162" s="7" t="s">
        <v>224</v>
      </c>
      <c r="G3162" s="7" t="s">
        <v>505</v>
      </c>
      <c r="H3162" s="6" t="n">
        <v>3.04</v>
      </c>
      <c r="I3162" s="6" t="n">
        <v>0</v>
      </c>
      <c r="J3162" s="40" t="n">
        <f aca="false">H3162-I3162</f>
        <v>3.04</v>
      </c>
      <c r="K3162" s="41" t="n">
        <v>26.5</v>
      </c>
      <c r="L3162" s="42" t="n">
        <f aca="false">J3162*K3162</f>
        <v>80.56</v>
      </c>
      <c r="M3162" s="43" t="n">
        <f aca="false">H3162*14.93*(1+'Chart of Accounts'!$E$67)</f>
        <v>51.968344</v>
      </c>
    </row>
    <row r="3163" customFormat="false" ht="15" hidden="false" customHeight="false" outlineLevel="0" collapsed="false">
      <c r="B3163" s="7" t="s">
        <v>3660</v>
      </c>
      <c r="C3163" s="39" t="n">
        <v>45814</v>
      </c>
      <c r="D3163" s="7" t="s">
        <v>401</v>
      </c>
      <c r="E3163" s="7" t="s">
        <v>156</v>
      </c>
      <c r="F3163" s="7" t="s">
        <v>254</v>
      </c>
      <c r="G3163" s="7" t="s">
        <v>505</v>
      </c>
      <c r="H3163" s="6" t="n">
        <v>4.29</v>
      </c>
      <c r="I3163" s="6" t="n">
        <v>0</v>
      </c>
      <c r="J3163" s="40" t="n">
        <f aca="false">H3163-I3163</f>
        <v>4.29</v>
      </c>
      <c r="K3163" s="41" t="n">
        <v>34</v>
      </c>
      <c r="L3163" s="42" t="n">
        <f aca="false">J3163*K3163</f>
        <v>145.86</v>
      </c>
      <c r="M3163" s="43" t="n">
        <f aca="false">H3163*17.1*(1+'Chart of Accounts'!$E$67)</f>
        <v>83.996055</v>
      </c>
    </row>
    <row r="3164" customFormat="false" ht="15" hidden="false" customHeight="false" outlineLevel="0" collapsed="false">
      <c r="B3164" s="7" t="s">
        <v>3661</v>
      </c>
      <c r="C3164" s="39" t="n">
        <v>45814</v>
      </c>
      <c r="D3164" s="7" t="s">
        <v>407</v>
      </c>
      <c r="E3164" s="7" t="s">
        <v>159</v>
      </c>
      <c r="F3164" s="7" t="s">
        <v>260</v>
      </c>
      <c r="G3164" s="7" t="s">
        <v>502</v>
      </c>
      <c r="H3164" s="6" t="n">
        <v>0.94</v>
      </c>
      <c r="I3164" s="6" t="n">
        <v>0</v>
      </c>
      <c r="J3164" s="40" t="n">
        <f aca="false">H3164-I3164</f>
        <v>0.94</v>
      </c>
      <c r="K3164" s="41" t="n">
        <v>135</v>
      </c>
      <c r="L3164" s="42" t="n">
        <f aca="false">J3164*K3164</f>
        <v>126.9</v>
      </c>
      <c r="M3164" s="43" t="n">
        <f aca="false">H3164*79.8*(1+'Chart of Accounts'!$E$67)</f>
        <v>85.88874</v>
      </c>
    </row>
    <row r="3165" customFormat="false" ht="15" hidden="false" customHeight="false" outlineLevel="0" collapsed="false">
      <c r="B3165" s="7" t="s">
        <v>3662</v>
      </c>
      <c r="C3165" s="39" t="n">
        <v>45814</v>
      </c>
      <c r="D3165" s="7" t="s">
        <v>409</v>
      </c>
      <c r="E3165" s="7" t="s">
        <v>154</v>
      </c>
      <c r="F3165" s="7" t="s">
        <v>214</v>
      </c>
      <c r="G3165" s="7" t="s">
        <v>505</v>
      </c>
      <c r="H3165" s="6" t="n">
        <v>3.03</v>
      </c>
      <c r="I3165" s="6" t="n">
        <v>0</v>
      </c>
      <c r="J3165" s="40" t="n">
        <f aca="false">H3165-I3165</f>
        <v>3.03</v>
      </c>
      <c r="K3165" s="41" t="n">
        <v>26.5</v>
      </c>
      <c r="L3165" s="42" t="n">
        <f aca="false">J3165*K3165</f>
        <v>80.295</v>
      </c>
      <c r="M3165" s="43" t="n">
        <f aca="false">H3165*15.67*(1+'Chart of Accounts'!$E$67)</f>
        <v>54.3647145</v>
      </c>
    </row>
    <row r="3166" customFormat="false" ht="15" hidden="false" customHeight="false" outlineLevel="0" collapsed="false">
      <c r="B3166" s="7" t="s">
        <v>3663</v>
      </c>
      <c r="C3166" s="39" t="n">
        <v>45814</v>
      </c>
      <c r="D3166" s="7" t="s">
        <v>411</v>
      </c>
      <c r="E3166" s="7" t="s">
        <v>154</v>
      </c>
      <c r="F3166" s="7" t="s">
        <v>177</v>
      </c>
      <c r="G3166" s="7" t="s">
        <v>505</v>
      </c>
      <c r="H3166" s="6" t="n">
        <v>4.52</v>
      </c>
      <c r="I3166" s="6" t="n">
        <v>0</v>
      </c>
      <c r="J3166" s="40" t="n">
        <f aca="false">H3166-I3166</f>
        <v>4.52</v>
      </c>
      <c r="K3166" s="41" t="n">
        <v>26.5</v>
      </c>
      <c r="L3166" s="42" t="n">
        <f aca="false">J3166*K3166</f>
        <v>119.78</v>
      </c>
      <c r="M3166" s="43" t="n">
        <f aca="false">H3166*14.56*(1+'Chart of Accounts'!$E$67)</f>
        <v>75.353824</v>
      </c>
    </row>
    <row r="3167" customFormat="false" ht="15" hidden="false" customHeight="false" outlineLevel="0" collapsed="false">
      <c r="B3167" s="7" t="s">
        <v>3664</v>
      </c>
      <c r="C3167" s="39" t="n">
        <v>45815</v>
      </c>
      <c r="D3167" s="7" t="s">
        <v>288</v>
      </c>
      <c r="E3167" s="7" t="s">
        <v>156</v>
      </c>
      <c r="F3167" s="7" t="s">
        <v>214</v>
      </c>
      <c r="G3167" s="7" t="s">
        <v>505</v>
      </c>
      <c r="H3167" s="6" t="n">
        <v>4.31</v>
      </c>
      <c r="I3167" s="6" t="n">
        <v>0</v>
      </c>
      <c r="J3167" s="40" t="n">
        <f aca="false">H3167-I3167</f>
        <v>4.31</v>
      </c>
      <c r="K3167" s="41" t="n">
        <v>34</v>
      </c>
      <c r="L3167" s="42" t="n">
        <f aca="false">J3167*K3167</f>
        <v>146.54</v>
      </c>
      <c r="M3167" s="43" t="n">
        <f aca="false">H3167*15.67*(1+'Chart of Accounts'!$E$67)</f>
        <v>77.3306665</v>
      </c>
    </row>
    <row r="3168" customFormat="false" ht="15" hidden="false" customHeight="false" outlineLevel="0" collapsed="false">
      <c r="B3168" s="7" t="s">
        <v>3665</v>
      </c>
      <c r="C3168" s="39" t="n">
        <v>45815</v>
      </c>
      <c r="D3168" s="7" t="s">
        <v>321</v>
      </c>
      <c r="E3168" s="7" t="s">
        <v>154</v>
      </c>
      <c r="F3168" s="7" t="s">
        <v>218</v>
      </c>
      <c r="G3168" s="7" t="s">
        <v>505</v>
      </c>
      <c r="H3168" s="6" t="n">
        <v>4.07</v>
      </c>
      <c r="I3168" s="6" t="n">
        <v>0</v>
      </c>
      <c r="J3168" s="40" t="n">
        <f aca="false">H3168-I3168</f>
        <v>4.07</v>
      </c>
      <c r="K3168" s="41" t="n">
        <v>26.5</v>
      </c>
      <c r="L3168" s="42" t="n">
        <f aca="false">J3168*K3168</f>
        <v>107.855</v>
      </c>
      <c r="M3168" s="43" t="n">
        <f aca="false">H3168*16.19*(1+'Chart of Accounts'!$E$67)</f>
        <v>75.4478285</v>
      </c>
    </row>
    <row r="3169" customFormat="false" ht="15" hidden="false" customHeight="false" outlineLevel="0" collapsed="false">
      <c r="B3169" s="7" t="s">
        <v>3666</v>
      </c>
      <c r="C3169" s="39" t="n">
        <v>45815</v>
      </c>
      <c r="D3169" s="7" t="s">
        <v>359</v>
      </c>
      <c r="E3169" s="7" t="s">
        <v>156</v>
      </c>
      <c r="F3169" s="7" t="s">
        <v>212</v>
      </c>
      <c r="G3169" s="7" t="s">
        <v>505</v>
      </c>
      <c r="H3169" s="6" t="n">
        <v>4.26</v>
      </c>
      <c r="I3169" s="6" t="n">
        <v>0</v>
      </c>
      <c r="J3169" s="40" t="n">
        <f aca="false">H3169-I3169</f>
        <v>4.26</v>
      </c>
      <c r="K3169" s="41" t="n">
        <v>34</v>
      </c>
      <c r="L3169" s="42" t="n">
        <f aca="false">J3169*K3169</f>
        <v>144.84</v>
      </c>
      <c r="M3169" s="43" t="n">
        <f aca="false">H3169*16.71*(1+'Chart of Accounts'!$E$67)</f>
        <v>81.506367</v>
      </c>
    </row>
    <row r="3170" customFormat="false" ht="15" hidden="false" customHeight="false" outlineLevel="0" collapsed="false">
      <c r="B3170" s="7" t="s">
        <v>3667</v>
      </c>
      <c r="C3170" s="39" t="n">
        <v>45815</v>
      </c>
      <c r="D3170" s="7" t="s">
        <v>391</v>
      </c>
      <c r="E3170" s="7" t="s">
        <v>156</v>
      </c>
      <c r="F3170" s="7" t="s">
        <v>222</v>
      </c>
      <c r="G3170" s="7" t="s">
        <v>505</v>
      </c>
      <c r="H3170" s="6" t="n">
        <v>4.18</v>
      </c>
      <c r="I3170" s="6" t="n">
        <v>0</v>
      </c>
      <c r="J3170" s="40" t="n">
        <f aca="false">H3170-I3170</f>
        <v>4.18</v>
      </c>
      <c r="K3170" s="41" t="n">
        <v>34</v>
      </c>
      <c r="L3170" s="42" t="n">
        <f aca="false">J3170*K3170</f>
        <v>142.12</v>
      </c>
      <c r="M3170" s="43" t="n">
        <f aca="false">H3170*17.84*(1+'Chart of Accounts'!$E$67)</f>
        <v>85.384024</v>
      </c>
    </row>
    <row r="3171" customFormat="false" ht="15" hidden="false" customHeight="false" outlineLevel="0" collapsed="false">
      <c r="B3171" s="7" t="s">
        <v>3668</v>
      </c>
      <c r="C3171" s="39" t="n">
        <v>45815</v>
      </c>
      <c r="D3171" s="7" t="s">
        <v>395</v>
      </c>
      <c r="E3171" s="7" t="s">
        <v>156</v>
      </c>
      <c r="F3171" s="7" t="s">
        <v>242</v>
      </c>
      <c r="G3171" s="7" t="s">
        <v>505</v>
      </c>
      <c r="H3171" s="6" t="n">
        <v>3.69</v>
      </c>
      <c r="I3171" s="6" t="n">
        <v>0</v>
      </c>
      <c r="J3171" s="40" t="n">
        <f aca="false">H3171-I3171</f>
        <v>3.69</v>
      </c>
      <c r="K3171" s="41" t="n">
        <v>34</v>
      </c>
      <c r="L3171" s="42" t="n">
        <f aca="false">J3171*K3171</f>
        <v>125.46</v>
      </c>
      <c r="M3171" s="43" t="n">
        <f aca="false">H3171*17.99*(1+'Chart of Accounts'!$E$67)</f>
        <v>76.0086495</v>
      </c>
    </row>
    <row r="3172" customFormat="false" ht="15" hidden="false" customHeight="false" outlineLevel="0" collapsed="false">
      <c r="B3172" s="7" t="s">
        <v>3669</v>
      </c>
      <c r="C3172" s="39" t="n">
        <v>45815</v>
      </c>
      <c r="D3172" s="7" t="s">
        <v>401</v>
      </c>
      <c r="E3172" s="7" t="s">
        <v>156</v>
      </c>
      <c r="F3172" s="7" t="s">
        <v>254</v>
      </c>
      <c r="G3172" s="7" t="s">
        <v>505</v>
      </c>
      <c r="H3172" s="6" t="n">
        <v>4.14</v>
      </c>
      <c r="I3172" s="6" t="n">
        <v>0</v>
      </c>
      <c r="J3172" s="40" t="n">
        <f aca="false">H3172-I3172</f>
        <v>4.14</v>
      </c>
      <c r="K3172" s="41" t="n">
        <v>34</v>
      </c>
      <c r="L3172" s="42" t="n">
        <f aca="false">J3172*K3172</f>
        <v>140.76</v>
      </c>
      <c r="M3172" s="43" t="n">
        <f aca="false">H3172*17.1*(1+'Chart of Accounts'!$E$67)</f>
        <v>81.05913</v>
      </c>
    </row>
    <row r="3173" customFormat="false" ht="15" hidden="false" customHeight="false" outlineLevel="0" collapsed="false">
      <c r="B3173" s="7" t="s">
        <v>3670</v>
      </c>
      <c r="C3173" s="39" t="n">
        <v>45816</v>
      </c>
      <c r="D3173" s="7" t="s">
        <v>288</v>
      </c>
      <c r="E3173" s="7" t="s">
        <v>156</v>
      </c>
      <c r="F3173" s="7" t="s">
        <v>246</v>
      </c>
      <c r="G3173" s="7" t="s">
        <v>505</v>
      </c>
      <c r="H3173" s="6" t="n">
        <v>3.97</v>
      </c>
      <c r="I3173" s="6" t="n">
        <v>0</v>
      </c>
      <c r="J3173" s="40" t="n">
        <f aca="false">H3173-I3173</f>
        <v>3.97</v>
      </c>
      <c r="K3173" s="41" t="n">
        <v>34</v>
      </c>
      <c r="L3173" s="42" t="n">
        <f aca="false">J3173*K3173</f>
        <v>134.98</v>
      </c>
      <c r="M3173" s="43" t="n">
        <f aca="false">H3173*16.48*(1+'Chart of Accounts'!$E$67)</f>
        <v>74.912312</v>
      </c>
    </row>
    <row r="3174" customFormat="false" ht="15" hidden="false" customHeight="false" outlineLevel="0" collapsed="false">
      <c r="B3174" s="7" t="s">
        <v>3671</v>
      </c>
      <c r="C3174" s="39" t="n">
        <v>45816</v>
      </c>
      <c r="D3174" s="7" t="s">
        <v>321</v>
      </c>
      <c r="E3174" s="7" t="s">
        <v>154</v>
      </c>
      <c r="F3174" s="7" t="s">
        <v>218</v>
      </c>
      <c r="G3174" s="7" t="s">
        <v>505</v>
      </c>
      <c r="H3174" s="6" t="n">
        <v>4.37</v>
      </c>
      <c r="I3174" s="6" t="n">
        <v>0</v>
      </c>
      <c r="J3174" s="40" t="n">
        <f aca="false">H3174-I3174</f>
        <v>4.37</v>
      </c>
      <c r="K3174" s="41" t="n">
        <v>26.5</v>
      </c>
      <c r="L3174" s="42" t="n">
        <f aca="false">J3174*K3174</f>
        <v>115.805</v>
      </c>
      <c r="M3174" s="43" t="n">
        <f aca="false">H3174*16.19*(1+'Chart of Accounts'!$E$67)</f>
        <v>81.0090935</v>
      </c>
    </row>
    <row r="3175" customFormat="false" ht="15" hidden="false" customHeight="false" outlineLevel="0" collapsed="false">
      <c r="B3175" s="7" t="s">
        <v>3672</v>
      </c>
      <c r="C3175" s="39" t="n">
        <v>45816</v>
      </c>
      <c r="D3175" s="7" t="s">
        <v>359</v>
      </c>
      <c r="E3175" s="7" t="s">
        <v>156</v>
      </c>
      <c r="F3175" s="7" t="s">
        <v>212</v>
      </c>
      <c r="G3175" s="7" t="s">
        <v>505</v>
      </c>
      <c r="H3175" s="6" t="n">
        <v>3.79</v>
      </c>
      <c r="I3175" s="6" t="n">
        <v>0</v>
      </c>
      <c r="J3175" s="40" t="n">
        <f aca="false">H3175-I3175</f>
        <v>3.79</v>
      </c>
      <c r="K3175" s="41" t="n">
        <v>34</v>
      </c>
      <c r="L3175" s="42" t="n">
        <f aca="false">J3175*K3175</f>
        <v>128.86</v>
      </c>
      <c r="M3175" s="43" t="n">
        <f aca="false">H3175*16.71*(1+'Chart of Accounts'!$E$67)</f>
        <v>72.5138805</v>
      </c>
    </row>
    <row r="3176" customFormat="false" ht="15" hidden="false" customHeight="false" outlineLevel="0" collapsed="false">
      <c r="B3176" s="7" t="s">
        <v>3673</v>
      </c>
      <c r="C3176" s="39" t="n">
        <v>45816</v>
      </c>
      <c r="D3176" s="7" t="s">
        <v>391</v>
      </c>
      <c r="E3176" s="7" t="s">
        <v>156</v>
      </c>
      <c r="F3176" s="7" t="s">
        <v>222</v>
      </c>
      <c r="G3176" s="7" t="s">
        <v>505</v>
      </c>
      <c r="H3176" s="6" t="n">
        <v>4.15</v>
      </c>
      <c r="I3176" s="6" t="n">
        <v>0</v>
      </c>
      <c r="J3176" s="40" t="n">
        <f aca="false">H3176-I3176</f>
        <v>4.15</v>
      </c>
      <c r="K3176" s="41" t="n">
        <v>34</v>
      </c>
      <c r="L3176" s="42" t="n">
        <f aca="false">J3176*K3176</f>
        <v>141.1</v>
      </c>
      <c r="M3176" s="43" t="n">
        <f aca="false">H3176*17.84*(1+'Chart of Accounts'!$E$67)</f>
        <v>84.77122</v>
      </c>
    </row>
    <row r="3177" customFormat="false" ht="15" hidden="false" customHeight="false" outlineLevel="0" collapsed="false">
      <c r="B3177" s="7" t="s">
        <v>3674</v>
      </c>
      <c r="C3177" s="39" t="n">
        <v>45816</v>
      </c>
      <c r="D3177" s="7" t="s">
        <v>395</v>
      </c>
      <c r="E3177" s="7" t="s">
        <v>156</v>
      </c>
      <c r="F3177" s="7" t="s">
        <v>242</v>
      </c>
      <c r="G3177" s="7" t="s">
        <v>505</v>
      </c>
      <c r="H3177" s="6" t="n">
        <v>4.22</v>
      </c>
      <c r="I3177" s="6" t="n">
        <v>0</v>
      </c>
      <c r="J3177" s="40" t="n">
        <f aca="false">H3177-I3177</f>
        <v>4.22</v>
      </c>
      <c r="K3177" s="41" t="n">
        <v>34</v>
      </c>
      <c r="L3177" s="42" t="n">
        <f aca="false">J3177*K3177</f>
        <v>143.48</v>
      </c>
      <c r="M3177" s="43" t="n">
        <f aca="false">H3177*17.99*(1+'Chart of Accounts'!$E$67)</f>
        <v>86.925881</v>
      </c>
    </row>
    <row r="3178" customFormat="false" ht="15" hidden="false" customHeight="false" outlineLevel="0" collapsed="false">
      <c r="B3178" s="7" t="s">
        <v>3675</v>
      </c>
      <c r="C3178" s="39" t="n">
        <v>45816</v>
      </c>
      <c r="D3178" s="7" t="s">
        <v>401</v>
      </c>
      <c r="E3178" s="7" t="s">
        <v>156</v>
      </c>
      <c r="F3178" s="7" t="s">
        <v>254</v>
      </c>
      <c r="G3178" s="7" t="s">
        <v>505</v>
      </c>
      <c r="H3178" s="6" t="n">
        <v>3.63</v>
      </c>
      <c r="I3178" s="6" t="n">
        <v>0</v>
      </c>
      <c r="J3178" s="40" t="n">
        <f aca="false">H3178-I3178</f>
        <v>3.63</v>
      </c>
      <c r="K3178" s="41" t="n">
        <v>34</v>
      </c>
      <c r="L3178" s="42" t="n">
        <f aca="false">J3178*K3178</f>
        <v>123.42</v>
      </c>
      <c r="M3178" s="43" t="n">
        <f aca="false">H3178*17.1*(1+'Chart of Accounts'!$E$67)</f>
        <v>71.073585</v>
      </c>
    </row>
    <row r="3179" customFormat="false" ht="15" hidden="false" customHeight="false" outlineLevel="0" collapsed="false">
      <c r="B3179" s="7" t="s">
        <v>3676</v>
      </c>
      <c r="C3179" s="39" t="n">
        <v>45817</v>
      </c>
      <c r="D3179" s="7" t="s">
        <v>280</v>
      </c>
      <c r="E3179" s="7" t="s">
        <v>157</v>
      </c>
      <c r="F3179" s="7" t="s">
        <v>187</v>
      </c>
      <c r="G3179" s="7" t="s">
        <v>502</v>
      </c>
      <c r="H3179" s="6" t="n">
        <v>0.95</v>
      </c>
      <c r="I3179" s="6" t="n">
        <v>0</v>
      </c>
      <c r="J3179" s="40" t="n">
        <f aca="false">H3179-I3179</f>
        <v>0.95</v>
      </c>
      <c r="K3179" s="41" t="n">
        <v>165</v>
      </c>
      <c r="L3179" s="42" t="n">
        <f aca="false">J3179*K3179</f>
        <v>156.75</v>
      </c>
      <c r="M3179" s="43" t="n">
        <f aca="false">H3179*66.48*(1+'Chart of Accounts'!$E$67)</f>
        <v>72.31362</v>
      </c>
    </row>
    <row r="3180" customFormat="false" ht="15" hidden="false" customHeight="false" outlineLevel="0" collapsed="false">
      <c r="B3180" s="7" t="s">
        <v>3677</v>
      </c>
      <c r="C3180" s="39" t="n">
        <v>45817</v>
      </c>
      <c r="D3180" s="7" t="s">
        <v>288</v>
      </c>
      <c r="E3180" s="7" t="s">
        <v>156</v>
      </c>
      <c r="F3180" s="7" t="s">
        <v>220</v>
      </c>
      <c r="G3180" s="7" t="s">
        <v>505</v>
      </c>
      <c r="H3180" s="6" t="n">
        <v>3.61</v>
      </c>
      <c r="I3180" s="6" t="n">
        <v>0</v>
      </c>
      <c r="J3180" s="40" t="n">
        <f aca="false">H3180-I3180</f>
        <v>3.61</v>
      </c>
      <c r="K3180" s="41" t="n">
        <v>34</v>
      </c>
      <c r="L3180" s="42" t="n">
        <f aca="false">J3180*K3180</f>
        <v>122.74</v>
      </c>
      <c r="M3180" s="43" t="n">
        <f aca="false">H3180*16.43*(1+'Chart of Accounts'!$E$67)</f>
        <v>67.9125835</v>
      </c>
    </row>
    <row r="3181" customFormat="false" ht="15" hidden="false" customHeight="false" outlineLevel="0" collapsed="false">
      <c r="B3181" s="7" t="s">
        <v>3678</v>
      </c>
      <c r="C3181" s="39" t="n">
        <v>45817</v>
      </c>
      <c r="D3181" s="7" t="s">
        <v>291</v>
      </c>
      <c r="E3181" s="7" t="s">
        <v>154</v>
      </c>
      <c r="F3181" s="7" t="s">
        <v>194</v>
      </c>
      <c r="G3181" s="7" t="s">
        <v>505</v>
      </c>
      <c r="H3181" s="6" t="n">
        <v>4.99</v>
      </c>
      <c r="I3181" s="6" t="n">
        <v>0.15</v>
      </c>
      <c r="J3181" s="40" t="n">
        <f aca="false">H3181-I3181</f>
        <v>4.84</v>
      </c>
      <c r="K3181" s="41" t="n">
        <v>26.5</v>
      </c>
      <c r="L3181" s="42" t="n">
        <f aca="false">J3181*K3181</f>
        <v>128.26</v>
      </c>
      <c r="M3181" s="43" t="n">
        <f aca="false">H3181*16*(1+'Chart of Accounts'!$E$67)</f>
        <v>91.4168</v>
      </c>
    </row>
    <row r="3182" customFormat="false" ht="15" hidden="false" customHeight="false" outlineLevel="0" collapsed="false">
      <c r="B3182" s="7" t="s">
        <v>3679</v>
      </c>
      <c r="C3182" s="39" t="n">
        <v>45817</v>
      </c>
      <c r="D3182" s="7" t="s">
        <v>297</v>
      </c>
      <c r="E3182" s="7" t="s">
        <v>156</v>
      </c>
      <c r="F3182" s="7" t="s">
        <v>201</v>
      </c>
      <c r="G3182" s="7" t="s">
        <v>505</v>
      </c>
      <c r="H3182" s="6" t="n">
        <v>2.71</v>
      </c>
      <c r="I3182" s="6" t="n">
        <v>0</v>
      </c>
      <c r="J3182" s="40" t="n">
        <f aca="false">H3182-I3182</f>
        <v>2.71</v>
      </c>
      <c r="K3182" s="41" t="n">
        <v>34</v>
      </c>
      <c r="L3182" s="42" t="n">
        <f aca="false">J3182*K3182</f>
        <v>92.14</v>
      </c>
      <c r="M3182" s="43" t="n">
        <f aca="false">H3182*15.19*(1+'Chart of Accounts'!$E$67)</f>
        <v>47.1338105</v>
      </c>
    </row>
    <row r="3183" customFormat="false" ht="15" hidden="false" customHeight="false" outlineLevel="0" collapsed="false">
      <c r="B3183" s="7" t="s">
        <v>3680</v>
      </c>
      <c r="C3183" s="39" t="n">
        <v>45817</v>
      </c>
      <c r="D3183" s="7" t="s">
        <v>305</v>
      </c>
      <c r="E3183" s="7" t="s">
        <v>154</v>
      </c>
      <c r="F3183" s="7" t="s">
        <v>205</v>
      </c>
      <c r="G3183" s="7" t="s">
        <v>505</v>
      </c>
      <c r="H3183" s="6" t="n">
        <v>4.11</v>
      </c>
      <c r="I3183" s="6" t="n">
        <v>0</v>
      </c>
      <c r="J3183" s="40" t="n">
        <f aca="false">H3183-I3183</f>
        <v>4.11</v>
      </c>
      <c r="K3183" s="41" t="n">
        <v>26.5</v>
      </c>
      <c r="L3183" s="42" t="n">
        <f aca="false">J3183*K3183</f>
        <v>108.915</v>
      </c>
      <c r="M3183" s="43" t="n">
        <f aca="false">H3183*16.36*(1+'Chart of Accounts'!$E$67)</f>
        <v>76.989342</v>
      </c>
    </row>
    <row r="3184" customFormat="false" ht="15" hidden="false" customHeight="false" outlineLevel="0" collapsed="false">
      <c r="B3184" s="7" t="s">
        <v>3681</v>
      </c>
      <c r="C3184" s="39" t="n">
        <v>45817</v>
      </c>
      <c r="D3184" s="7" t="s">
        <v>307</v>
      </c>
      <c r="E3184" s="7" t="s">
        <v>157</v>
      </c>
      <c r="F3184" s="7" t="s">
        <v>264</v>
      </c>
      <c r="G3184" s="7" t="s">
        <v>502</v>
      </c>
      <c r="H3184" s="6" t="n">
        <v>1.02</v>
      </c>
      <c r="I3184" s="6" t="n">
        <v>0</v>
      </c>
      <c r="J3184" s="40" t="n">
        <f aca="false">H3184-I3184</f>
        <v>1.02</v>
      </c>
      <c r="K3184" s="41" t="n">
        <v>165</v>
      </c>
      <c r="L3184" s="42" t="n">
        <f aca="false">J3184*K3184</f>
        <v>168.3</v>
      </c>
      <c r="M3184" s="43" t="n">
        <f aca="false">H3184*55.55*(1+'Chart of Accounts'!$E$67)</f>
        <v>64.876845</v>
      </c>
    </row>
    <row r="3185" customFormat="false" ht="15" hidden="false" customHeight="false" outlineLevel="0" collapsed="false">
      <c r="B3185" s="7" t="s">
        <v>3682</v>
      </c>
      <c r="C3185" s="39" t="n">
        <v>45817</v>
      </c>
      <c r="D3185" s="7" t="s">
        <v>309</v>
      </c>
      <c r="E3185" s="7" t="s">
        <v>159</v>
      </c>
      <c r="F3185" s="7" t="s">
        <v>252</v>
      </c>
      <c r="G3185" s="7" t="s">
        <v>502</v>
      </c>
      <c r="H3185" s="6" t="n">
        <v>1.01</v>
      </c>
      <c r="I3185" s="6" t="n">
        <v>0</v>
      </c>
      <c r="J3185" s="40" t="n">
        <f aca="false">H3185-I3185</f>
        <v>1.01</v>
      </c>
      <c r="K3185" s="41" t="n">
        <v>135</v>
      </c>
      <c r="L3185" s="42" t="n">
        <f aca="false">J3185*K3185</f>
        <v>136.35</v>
      </c>
      <c r="M3185" s="43" t="n">
        <f aca="false">H3185*57.54*(1+'Chart of Accounts'!$E$67)</f>
        <v>66.542133</v>
      </c>
    </row>
    <row r="3186" customFormat="false" ht="15" hidden="false" customHeight="false" outlineLevel="0" collapsed="false">
      <c r="B3186" s="7" t="s">
        <v>3683</v>
      </c>
      <c r="C3186" s="39" t="n">
        <v>45817</v>
      </c>
      <c r="D3186" s="7" t="s">
        <v>311</v>
      </c>
      <c r="E3186" s="7" t="s">
        <v>154</v>
      </c>
      <c r="F3186" s="7" t="s">
        <v>196</v>
      </c>
      <c r="G3186" s="7" t="s">
        <v>505</v>
      </c>
      <c r="H3186" s="6" t="n">
        <v>2.85</v>
      </c>
      <c r="I3186" s="6" t="n">
        <v>0</v>
      </c>
      <c r="J3186" s="40" t="n">
        <f aca="false">H3186-I3186</f>
        <v>2.85</v>
      </c>
      <c r="K3186" s="41" t="n">
        <v>26.5</v>
      </c>
      <c r="L3186" s="42" t="n">
        <f aca="false">J3186*K3186</f>
        <v>75.525</v>
      </c>
      <c r="M3186" s="43" t="n">
        <f aca="false">H3186*15.05*(1+'Chart of Accounts'!$E$67)</f>
        <v>49.1119125</v>
      </c>
    </row>
    <row r="3187" customFormat="false" ht="15" hidden="false" customHeight="false" outlineLevel="0" collapsed="false">
      <c r="B3187" s="7" t="s">
        <v>3684</v>
      </c>
      <c r="C3187" s="39" t="n">
        <v>45817</v>
      </c>
      <c r="D3187" s="7" t="s">
        <v>313</v>
      </c>
      <c r="E3187" s="7" t="s">
        <v>156</v>
      </c>
      <c r="F3187" s="7" t="s">
        <v>184</v>
      </c>
      <c r="G3187" s="7" t="s">
        <v>505</v>
      </c>
      <c r="H3187" s="6" t="n">
        <v>4</v>
      </c>
      <c r="I3187" s="6" t="n">
        <v>0</v>
      </c>
      <c r="J3187" s="40" t="n">
        <f aca="false">H3187-I3187</f>
        <v>4</v>
      </c>
      <c r="K3187" s="41" t="n">
        <v>34</v>
      </c>
      <c r="L3187" s="42" t="n">
        <f aca="false">J3187*K3187</f>
        <v>136</v>
      </c>
      <c r="M3187" s="43" t="n">
        <f aca="false">H3187*17.34*(1+'Chart of Accounts'!$E$67)</f>
        <v>79.4172</v>
      </c>
    </row>
    <row r="3188" customFormat="false" ht="15" hidden="false" customHeight="false" outlineLevel="0" collapsed="false">
      <c r="B3188" s="7" t="s">
        <v>3685</v>
      </c>
      <c r="C3188" s="39" t="n">
        <v>45817</v>
      </c>
      <c r="D3188" s="7" t="s">
        <v>317</v>
      </c>
      <c r="E3188" s="7" t="s">
        <v>156</v>
      </c>
      <c r="F3188" s="7" t="s">
        <v>207</v>
      </c>
      <c r="G3188" s="7" t="s">
        <v>505</v>
      </c>
      <c r="H3188" s="6" t="n">
        <v>3.22</v>
      </c>
      <c r="I3188" s="6" t="n">
        <v>0</v>
      </c>
      <c r="J3188" s="40" t="n">
        <f aca="false">H3188-I3188</f>
        <v>3.22</v>
      </c>
      <c r="K3188" s="41" t="n">
        <v>34</v>
      </c>
      <c r="L3188" s="42" t="n">
        <f aca="false">J3188*K3188</f>
        <v>109.48</v>
      </c>
      <c r="M3188" s="43" t="n">
        <f aca="false">H3188*16.65*(1+'Chart of Accounts'!$E$67)</f>
        <v>61.386885</v>
      </c>
    </row>
    <row r="3189" customFormat="false" ht="15" hidden="false" customHeight="false" outlineLevel="0" collapsed="false">
      <c r="B3189" s="7" t="s">
        <v>3686</v>
      </c>
      <c r="C3189" s="39" t="n">
        <v>45817</v>
      </c>
      <c r="D3189" s="7" t="s">
        <v>321</v>
      </c>
      <c r="E3189" s="7" t="s">
        <v>154</v>
      </c>
      <c r="F3189" s="7" t="s">
        <v>218</v>
      </c>
      <c r="G3189" s="7" t="s">
        <v>505</v>
      </c>
      <c r="H3189" s="6" t="n">
        <v>4.12</v>
      </c>
      <c r="I3189" s="6" t="n">
        <v>0</v>
      </c>
      <c r="J3189" s="40" t="n">
        <f aca="false">H3189-I3189</f>
        <v>4.12</v>
      </c>
      <c r="K3189" s="41" t="n">
        <v>26.5</v>
      </c>
      <c r="L3189" s="42" t="n">
        <f aca="false">J3189*K3189</f>
        <v>109.18</v>
      </c>
      <c r="M3189" s="43" t="n">
        <f aca="false">H3189*16.19*(1+'Chart of Accounts'!$E$67)</f>
        <v>76.374706</v>
      </c>
    </row>
    <row r="3190" customFormat="false" ht="15" hidden="false" customHeight="false" outlineLevel="0" collapsed="false">
      <c r="B3190" s="7" t="s">
        <v>3687</v>
      </c>
      <c r="C3190" s="39" t="n">
        <v>45817</v>
      </c>
      <c r="D3190" s="7" t="s">
        <v>325</v>
      </c>
      <c r="E3190" s="7" t="s">
        <v>154</v>
      </c>
      <c r="F3190" s="7" t="s">
        <v>212</v>
      </c>
      <c r="G3190" s="7" t="s">
        <v>505</v>
      </c>
      <c r="H3190" s="6" t="n">
        <v>2.96</v>
      </c>
      <c r="I3190" s="6" t="n">
        <v>0</v>
      </c>
      <c r="J3190" s="40" t="n">
        <f aca="false">H3190-I3190</f>
        <v>2.96</v>
      </c>
      <c r="K3190" s="41" t="n">
        <v>26.5</v>
      </c>
      <c r="L3190" s="42" t="n">
        <f aca="false">J3190*K3190</f>
        <v>78.44</v>
      </c>
      <c r="M3190" s="43" t="n">
        <f aca="false">H3190*16.71*(1+'Chart of Accounts'!$E$67)</f>
        <v>56.633532</v>
      </c>
    </row>
    <row r="3191" customFormat="false" ht="15" hidden="false" customHeight="false" outlineLevel="0" collapsed="false">
      <c r="B3191" s="7" t="s">
        <v>3688</v>
      </c>
      <c r="C3191" s="39" t="n">
        <v>45817</v>
      </c>
      <c r="D3191" s="7" t="s">
        <v>329</v>
      </c>
      <c r="E3191" s="7" t="s">
        <v>156</v>
      </c>
      <c r="F3191" s="7" t="s">
        <v>220</v>
      </c>
      <c r="G3191" s="7" t="s">
        <v>505</v>
      </c>
      <c r="H3191" s="6" t="n">
        <v>3.78</v>
      </c>
      <c r="I3191" s="6" t="n">
        <v>0</v>
      </c>
      <c r="J3191" s="40" t="n">
        <f aca="false">H3191-I3191</f>
        <v>3.78</v>
      </c>
      <c r="K3191" s="41" t="n">
        <v>34</v>
      </c>
      <c r="L3191" s="42" t="n">
        <f aca="false">J3191*K3191</f>
        <v>128.52</v>
      </c>
      <c r="M3191" s="43" t="n">
        <f aca="false">H3191*16.43*(1+'Chart of Accounts'!$E$67)</f>
        <v>71.110683</v>
      </c>
    </row>
    <row r="3192" customFormat="false" ht="15" hidden="false" customHeight="false" outlineLevel="0" collapsed="false">
      <c r="B3192" s="7" t="s">
        <v>3689</v>
      </c>
      <c r="C3192" s="39" t="n">
        <v>45817</v>
      </c>
      <c r="D3192" s="7" t="s">
        <v>335</v>
      </c>
      <c r="E3192" s="7" t="s">
        <v>154</v>
      </c>
      <c r="F3192" s="7" t="s">
        <v>177</v>
      </c>
      <c r="G3192" s="7" t="s">
        <v>505</v>
      </c>
      <c r="H3192" s="6" t="n">
        <v>4.03</v>
      </c>
      <c r="I3192" s="6" t="n">
        <v>0</v>
      </c>
      <c r="J3192" s="40" t="n">
        <f aca="false">H3192-I3192</f>
        <v>4.03</v>
      </c>
      <c r="K3192" s="41" t="n">
        <v>26.5</v>
      </c>
      <c r="L3192" s="42" t="n">
        <f aca="false">J3192*K3192</f>
        <v>106.795</v>
      </c>
      <c r="M3192" s="43" t="n">
        <f aca="false">H3192*14.56*(1+'Chart of Accounts'!$E$67)</f>
        <v>67.184936</v>
      </c>
    </row>
    <row r="3193" customFormat="false" ht="15" hidden="false" customHeight="false" outlineLevel="0" collapsed="false">
      <c r="B3193" s="7" t="s">
        <v>3690</v>
      </c>
      <c r="C3193" s="39" t="n">
        <v>45817</v>
      </c>
      <c r="D3193" s="7" t="s">
        <v>337</v>
      </c>
      <c r="E3193" s="7" t="s">
        <v>154</v>
      </c>
      <c r="F3193" s="7" t="s">
        <v>232</v>
      </c>
      <c r="G3193" s="7" t="s">
        <v>505</v>
      </c>
      <c r="H3193" s="6" t="n">
        <v>2.77</v>
      </c>
      <c r="I3193" s="6" t="n">
        <v>0.083</v>
      </c>
      <c r="J3193" s="40" t="n">
        <f aca="false">H3193-I3193</f>
        <v>2.687</v>
      </c>
      <c r="K3193" s="41" t="n">
        <v>26.5</v>
      </c>
      <c r="L3193" s="42" t="n">
        <f aca="false">J3193*K3193</f>
        <v>71.2055</v>
      </c>
      <c r="M3193" s="43" t="n">
        <f aca="false">H3193*16.17*(1+'Chart of Accounts'!$E$67)</f>
        <v>51.2855805</v>
      </c>
    </row>
    <row r="3194" customFormat="false" ht="15" hidden="false" customHeight="false" outlineLevel="0" collapsed="false">
      <c r="B3194" s="7" t="s">
        <v>3691</v>
      </c>
      <c r="C3194" s="39" t="n">
        <v>45817</v>
      </c>
      <c r="D3194" s="7" t="s">
        <v>339</v>
      </c>
      <c r="E3194" s="7" t="s">
        <v>154</v>
      </c>
      <c r="F3194" s="7" t="s">
        <v>242</v>
      </c>
      <c r="G3194" s="7" t="s">
        <v>505</v>
      </c>
      <c r="H3194" s="6" t="n">
        <v>3.05</v>
      </c>
      <c r="I3194" s="6" t="n">
        <v>0</v>
      </c>
      <c r="J3194" s="40" t="n">
        <f aca="false">H3194-I3194</f>
        <v>3.05</v>
      </c>
      <c r="K3194" s="41" t="n">
        <v>26.5</v>
      </c>
      <c r="L3194" s="42" t="n">
        <f aca="false">J3194*K3194</f>
        <v>80.825</v>
      </c>
      <c r="M3194" s="43" t="n">
        <f aca="false">H3194*17.99*(1+'Chart of Accounts'!$E$67)</f>
        <v>62.8255775</v>
      </c>
    </row>
    <row r="3195" customFormat="false" ht="15" hidden="false" customHeight="false" outlineLevel="0" collapsed="false">
      <c r="B3195" s="7" t="s">
        <v>3692</v>
      </c>
      <c r="C3195" s="39" t="n">
        <v>45817</v>
      </c>
      <c r="D3195" s="7" t="s">
        <v>341</v>
      </c>
      <c r="E3195" s="7" t="s">
        <v>156</v>
      </c>
      <c r="F3195" s="7" t="s">
        <v>222</v>
      </c>
      <c r="G3195" s="7" t="s">
        <v>505</v>
      </c>
      <c r="H3195" s="6" t="n">
        <v>3.2</v>
      </c>
      <c r="I3195" s="6" t="n">
        <v>0</v>
      </c>
      <c r="J3195" s="40" t="n">
        <f aca="false">H3195-I3195</f>
        <v>3.2</v>
      </c>
      <c r="K3195" s="41" t="n">
        <v>34</v>
      </c>
      <c r="L3195" s="42" t="n">
        <f aca="false">J3195*K3195</f>
        <v>108.8</v>
      </c>
      <c r="M3195" s="43" t="n">
        <f aca="false">H3195*17.84*(1+'Chart of Accounts'!$E$67)</f>
        <v>65.36576</v>
      </c>
    </row>
    <row r="3196" customFormat="false" ht="15" hidden="false" customHeight="false" outlineLevel="0" collapsed="false">
      <c r="B3196" s="7" t="s">
        <v>3693</v>
      </c>
      <c r="C3196" s="39" t="n">
        <v>45817</v>
      </c>
      <c r="D3196" s="7" t="s">
        <v>343</v>
      </c>
      <c r="E3196" s="7" t="s">
        <v>154</v>
      </c>
      <c r="F3196" s="7" t="s">
        <v>177</v>
      </c>
      <c r="G3196" s="7" t="s">
        <v>505</v>
      </c>
      <c r="H3196" s="6" t="n">
        <v>3.94</v>
      </c>
      <c r="I3196" s="6" t="n">
        <v>0</v>
      </c>
      <c r="J3196" s="40" t="n">
        <f aca="false">H3196-I3196</f>
        <v>3.94</v>
      </c>
      <c r="K3196" s="41" t="n">
        <v>26.5</v>
      </c>
      <c r="L3196" s="42" t="n">
        <f aca="false">J3196*K3196</f>
        <v>104.41</v>
      </c>
      <c r="M3196" s="43" t="n">
        <f aca="false">H3196*14.56*(1+'Chart of Accounts'!$E$67)</f>
        <v>65.684528</v>
      </c>
    </row>
    <row r="3197" customFormat="false" ht="15" hidden="false" customHeight="false" outlineLevel="0" collapsed="false">
      <c r="B3197" s="7" t="s">
        <v>3694</v>
      </c>
      <c r="C3197" s="39" t="n">
        <v>45817</v>
      </c>
      <c r="D3197" s="7" t="s">
        <v>351</v>
      </c>
      <c r="E3197" s="7" t="s">
        <v>154</v>
      </c>
      <c r="F3197" s="7" t="s">
        <v>201</v>
      </c>
      <c r="G3197" s="7" t="s">
        <v>505</v>
      </c>
      <c r="H3197" s="6" t="n">
        <v>3.17</v>
      </c>
      <c r="I3197" s="6" t="n">
        <v>0</v>
      </c>
      <c r="J3197" s="40" t="n">
        <f aca="false">H3197-I3197</f>
        <v>3.17</v>
      </c>
      <c r="K3197" s="41" t="n">
        <v>26.5</v>
      </c>
      <c r="L3197" s="42" t="n">
        <f aca="false">J3197*K3197</f>
        <v>84.005</v>
      </c>
      <c r="M3197" s="43" t="n">
        <f aca="false">H3197*15.19*(1+'Chart of Accounts'!$E$67)</f>
        <v>55.1343835</v>
      </c>
    </row>
    <row r="3198" customFormat="false" ht="15" hidden="false" customHeight="false" outlineLevel="0" collapsed="false">
      <c r="B3198" s="7" t="s">
        <v>3695</v>
      </c>
      <c r="C3198" s="39" t="n">
        <v>45817</v>
      </c>
      <c r="D3198" s="7" t="s">
        <v>353</v>
      </c>
      <c r="E3198" s="7" t="s">
        <v>154</v>
      </c>
      <c r="F3198" s="7" t="s">
        <v>254</v>
      </c>
      <c r="G3198" s="7" t="s">
        <v>505</v>
      </c>
      <c r="H3198" s="6" t="n">
        <v>3.43</v>
      </c>
      <c r="I3198" s="6" t="n">
        <v>0</v>
      </c>
      <c r="J3198" s="40" t="n">
        <f aca="false">H3198-I3198</f>
        <v>3.43</v>
      </c>
      <c r="K3198" s="41" t="n">
        <v>26.5</v>
      </c>
      <c r="L3198" s="42" t="n">
        <f aca="false">J3198*K3198</f>
        <v>90.895</v>
      </c>
      <c r="M3198" s="43" t="n">
        <f aca="false">H3198*17.1*(1+'Chart of Accounts'!$E$67)</f>
        <v>67.157685</v>
      </c>
    </row>
    <row r="3199" customFormat="false" ht="15" hidden="false" customHeight="false" outlineLevel="0" collapsed="false">
      <c r="B3199" s="7" t="s">
        <v>3696</v>
      </c>
      <c r="C3199" s="39" t="n">
        <v>45817</v>
      </c>
      <c r="D3199" s="7" t="s">
        <v>355</v>
      </c>
      <c r="E3199" s="7" t="s">
        <v>154</v>
      </c>
      <c r="F3199" s="7" t="s">
        <v>201</v>
      </c>
      <c r="G3199" s="7" t="s">
        <v>505</v>
      </c>
      <c r="H3199" s="6" t="n">
        <v>3.41</v>
      </c>
      <c r="I3199" s="6" t="n">
        <v>0.102</v>
      </c>
      <c r="J3199" s="40" t="n">
        <f aca="false">H3199-I3199</f>
        <v>3.308</v>
      </c>
      <c r="K3199" s="41" t="n">
        <v>26.5</v>
      </c>
      <c r="L3199" s="42" t="n">
        <f aca="false">J3199*K3199</f>
        <v>87.662</v>
      </c>
      <c r="M3199" s="43" t="n">
        <f aca="false">H3199*15.19*(1+'Chart of Accounts'!$E$67)</f>
        <v>59.3085955</v>
      </c>
    </row>
    <row r="3200" customFormat="false" ht="15" hidden="false" customHeight="false" outlineLevel="0" collapsed="false">
      <c r="B3200" s="7" t="s">
        <v>3697</v>
      </c>
      <c r="C3200" s="39" t="n">
        <v>45817</v>
      </c>
      <c r="D3200" s="7" t="s">
        <v>357</v>
      </c>
      <c r="E3200" s="7" t="s">
        <v>154</v>
      </c>
      <c r="F3200" s="7" t="s">
        <v>207</v>
      </c>
      <c r="G3200" s="7" t="s">
        <v>505</v>
      </c>
      <c r="H3200" s="6" t="n">
        <v>3.62</v>
      </c>
      <c r="I3200" s="6" t="n">
        <v>0.109</v>
      </c>
      <c r="J3200" s="40" t="n">
        <f aca="false">H3200-I3200</f>
        <v>3.511</v>
      </c>
      <c r="K3200" s="41" t="n">
        <v>26.5</v>
      </c>
      <c r="L3200" s="42" t="n">
        <f aca="false">J3200*K3200</f>
        <v>93.0415</v>
      </c>
      <c r="M3200" s="43" t="n">
        <f aca="false">H3200*16.65*(1+'Chart of Accounts'!$E$67)</f>
        <v>69.012585</v>
      </c>
    </row>
    <row r="3201" customFormat="false" ht="15" hidden="false" customHeight="false" outlineLevel="0" collapsed="false">
      <c r="B3201" s="7" t="s">
        <v>3698</v>
      </c>
      <c r="C3201" s="39" t="n">
        <v>45817</v>
      </c>
      <c r="D3201" s="7" t="s">
        <v>359</v>
      </c>
      <c r="E3201" s="7" t="s">
        <v>156</v>
      </c>
      <c r="F3201" s="7" t="s">
        <v>212</v>
      </c>
      <c r="G3201" s="7" t="s">
        <v>505</v>
      </c>
      <c r="H3201" s="6" t="n">
        <v>4.09</v>
      </c>
      <c r="I3201" s="6" t="n">
        <v>0</v>
      </c>
      <c r="J3201" s="40" t="n">
        <f aca="false">H3201-I3201</f>
        <v>4.09</v>
      </c>
      <c r="K3201" s="41" t="n">
        <v>34</v>
      </c>
      <c r="L3201" s="42" t="n">
        <f aca="false">J3201*K3201</f>
        <v>139.06</v>
      </c>
      <c r="M3201" s="43" t="n">
        <f aca="false">H3201*16.71*(1+'Chart of Accounts'!$E$67)</f>
        <v>78.2537655</v>
      </c>
    </row>
    <row r="3202" customFormat="false" ht="15" hidden="false" customHeight="false" outlineLevel="0" collapsed="false">
      <c r="B3202" s="7" t="s">
        <v>3699</v>
      </c>
      <c r="C3202" s="39" t="n">
        <v>45817</v>
      </c>
      <c r="D3202" s="7" t="s">
        <v>363</v>
      </c>
      <c r="E3202" s="7" t="s">
        <v>156</v>
      </c>
      <c r="F3202" s="7" t="s">
        <v>246</v>
      </c>
      <c r="G3202" s="7" t="s">
        <v>505</v>
      </c>
      <c r="H3202" s="6" t="n">
        <v>4.22</v>
      </c>
      <c r="I3202" s="6" t="n">
        <v>0</v>
      </c>
      <c r="J3202" s="40" t="n">
        <f aca="false">H3202-I3202</f>
        <v>4.22</v>
      </c>
      <c r="K3202" s="41" t="n">
        <v>34</v>
      </c>
      <c r="L3202" s="42" t="n">
        <f aca="false">J3202*K3202</f>
        <v>143.48</v>
      </c>
      <c r="M3202" s="43" t="n">
        <f aca="false">H3202*16.48*(1+'Chart of Accounts'!$E$67)</f>
        <v>79.629712</v>
      </c>
    </row>
    <row r="3203" customFormat="false" ht="15" hidden="false" customHeight="false" outlineLevel="0" collapsed="false">
      <c r="B3203" s="7" t="s">
        <v>3700</v>
      </c>
      <c r="C3203" s="39" t="n">
        <v>45817</v>
      </c>
      <c r="D3203" s="7" t="s">
        <v>365</v>
      </c>
      <c r="E3203" s="7" t="s">
        <v>154</v>
      </c>
      <c r="F3203" s="7" t="s">
        <v>194</v>
      </c>
      <c r="G3203" s="7" t="s">
        <v>505</v>
      </c>
      <c r="H3203" s="6" t="n">
        <v>3.88</v>
      </c>
      <c r="I3203" s="6" t="n">
        <v>0</v>
      </c>
      <c r="J3203" s="40" t="n">
        <f aca="false">H3203-I3203</f>
        <v>3.88</v>
      </c>
      <c r="K3203" s="41" t="n">
        <v>26.5</v>
      </c>
      <c r="L3203" s="42" t="n">
        <f aca="false">J3203*K3203</f>
        <v>102.82</v>
      </c>
      <c r="M3203" s="43" t="n">
        <f aca="false">H3203*16*(1+'Chart of Accounts'!$E$67)</f>
        <v>71.0816</v>
      </c>
    </row>
    <row r="3204" customFormat="false" ht="15" hidden="false" customHeight="false" outlineLevel="0" collapsed="false">
      <c r="B3204" s="7" t="s">
        <v>3701</v>
      </c>
      <c r="C3204" s="39" t="n">
        <v>45817</v>
      </c>
      <c r="D3204" s="7" t="s">
        <v>371</v>
      </c>
      <c r="E3204" s="7" t="s">
        <v>154</v>
      </c>
      <c r="F3204" s="7" t="s">
        <v>232</v>
      </c>
      <c r="G3204" s="7" t="s">
        <v>505</v>
      </c>
      <c r="H3204" s="6" t="n">
        <v>4.23</v>
      </c>
      <c r="I3204" s="6" t="n">
        <v>0</v>
      </c>
      <c r="J3204" s="40" t="n">
        <f aca="false">H3204-I3204</f>
        <v>4.23</v>
      </c>
      <c r="K3204" s="41" t="n">
        <v>26.5</v>
      </c>
      <c r="L3204" s="42" t="n">
        <f aca="false">J3204*K3204</f>
        <v>112.095</v>
      </c>
      <c r="M3204" s="43" t="n">
        <f aca="false">H3204*16.17*(1+'Chart of Accounts'!$E$67)</f>
        <v>78.3169695</v>
      </c>
    </row>
    <row r="3205" customFormat="false" ht="15" hidden="false" customHeight="false" outlineLevel="0" collapsed="false">
      <c r="B3205" s="7" t="s">
        <v>3702</v>
      </c>
      <c r="C3205" s="39" t="n">
        <v>45817</v>
      </c>
      <c r="D3205" s="7" t="s">
        <v>375</v>
      </c>
      <c r="E3205" s="7" t="s">
        <v>156</v>
      </c>
      <c r="F3205" s="7" t="s">
        <v>196</v>
      </c>
      <c r="G3205" s="7" t="s">
        <v>505</v>
      </c>
      <c r="H3205" s="6" t="n">
        <v>3.3</v>
      </c>
      <c r="I3205" s="6" t="n">
        <v>0</v>
      </c>
      <c r="J3205" s="40" t="n">
        <f aca="false">H3205-I3205</f>
        <v>3.3</v>
      </c>
      <c r="K3205" s="41" t="n">
        <v>34</v>
      </c>
      <c r="L3205" s="42" t="n">
        <f aca="false">J3205*K3205</f>
        <v>112.2</v>
      </c>
      <c r="M3205" s="43" t="n">
        <f aca="false">H3205*15.05*(1+'Chart of Accounts'!$E$67)</f>
        <v>56.866425</v>
      </c>
    </row>
    <row r="3206" customFormat="false" ht="15" hidden="false" customHeight="false" outlineLevel="0" collapsed="false">
      <c r="B3206" s="7" t="s">
        <v>3703</v>
      </c>
      <c r="C3206" s="39" t="n">
        <v>45817</v>
      </c>
      <c r="D3206" s="7" t="s">
        <v>377</v>
      </c>
      <c r="E3206" s="7" t="s">
        <v>154</v>
      </c>
      <c r="F3206" s="7" t="s">
        <v>214</v>
      </c>
      <c r="G3206" s="7" t="s">
        <v>505</v>
      </c>
      <c r="H3206" s="6" t="n">
        <v>4.35</v>
      </c>
      <c r="I3206" s="6" t="n">
        <v>0</v>
      </c>
      <c r="J3206" s="40" t="n">
        <f aca="false">H3206-I3206</f>
        <v>4.35</v>
      </c>
      <c r="K3206" s="41" t="n">
        <v>26.5</v>
      </c>
      <c r="L3206" s="42" t="n">
        <f aca="false">J3206*K3206</f>
        <v>115.275</v>
      </c>
      <c r="M3206" s="43" t="n">
        <f aca="false">H3206*15.67*(1+'Chart of Accounts'!$E$67)</f>
        <v>78.0483525</v>
      </c>
    </row>
    <row r="3207" customFormat="false" ht="15" hidden="false" customHeight="false" outlineLevel="0" collapsed="false">
      <c r="B3207" s="7" t="s">
        <v>3704</v>
      </c>
      <c r="C3207" s="39" t="n">
        <v>45817</v>
      </c>
      <c r="D3207" s="7" t="s">
        <v>379</v>
      </c>
      <c r="E3207" s="7" t="s">
        <v>156</v>
      </c>
      <c r="F3207" s="7" t="s">
        <v>224</v>
      </c>
      <c r="G3207" s="7" t="s">
        <v>505</v>
      </c>
      <c r="H3207" s="6" t="n">
        <v>4.74</v>
      </c>
      <c r="I3207" s="6" t="n">
        <v>0</v>
      </c>
      <c r="J3207" s="40" t="n">
        <f aca="false">H3207-I3207</f>
        <v>4.74</v>
      </c>
      <c r="K3207" s="41" t="n">
        <v>34</v>
      </c>
      <c r="L3207" s="42" t="n">
        <f aca="false">J3207*K3207</f>
        <v>161.16</v>
      </c>
      <c r="M3207" s="43" t="n">
        <f aca="false">H3207*14.93*(1+'Chart of Accounts'!$E$67)</f>
        <v>81.029589</v>
      </c>
    </row>
    <row r="3208" customFormat="false" ht="15" hidden="false" customHeight="false" outlineLevel="0" collapsed="false">
      <c r="B3208" s="7" t="s">
        <v>3705</v>
      </c>
      <c r="C3208" s="39" t="n">
        <v>45817</v>
      </c>
      <c r="D3208" s="7" t="s">
        <v>385</v>
      </c>
      <c r="E3208" s="7" t="s">
        <v>156</v>
      </c>
      <c r="F3208" s="7" t="s">
        <v>238</v>
      </c>
      <c r="G3208" s="7" t="s">
        <v>505</v>
      </c>
      <c r="H3208" s="6" t="n">
        <v>4.19</v>
      </c>
      <c r="I3208" s="6" t="n">
        <v>0</v>
      </c>
      <c r="J3208" s="40" t="n">
        <f aca="false">H3208-I3208</f>
        <v>4.19</v>
      </c>
      <c r="K3208" s="41" t="n">
        <v>34</v>
      </c>
      <c r="L3208" s="42" t="n">
        <f aca="false">J3208*K3208</f>
        <v>142.46</v>
      </c>
      <c r="M3208" s="43" t="n">
        <f aca="false">H3208*15.85*(1+'Chart of Accounts'!$E$67)</f>
        <v>76.0411675</v>
      </c>
    </row>
    <row r="3209" customFormat="false" ht="15" hidden="false" customHeight="false" outlineLevel="0" collapsed="false">
      <c r="B3209" s="7" t="s">
        <v>3706</v>
      </c>
      <c r="C3209" s="39" t="n">
        <v>45817</v>
      </c>
      <c r="D3209" s="7" t="s">
        <v>389</v>
      </c>
      <c r="E3209" s="7" t="s">
        <v>154</v>
      </c>
      <c r="F3209" s="7" t="s">
        <v>246</v>
      </c>
      <c r="G3209" s="7" t="s">
        <v>505</v>
      </c>
      <c r="H3209" s="6" t="n">
        <v>3.64</v>
      </c>
      <c r="I3209" s="6" t="n">
        <v>0</v>
      </c>
      <c r="J3209" s="40" t="n">
        <f aca="false">H3209-I3209</f>
        <v>3.64</v>
      </c>
      <c r="K3209" s="41" t="n">
        <v>26.5</v>
      </c>
      <c r="L3209" s="42" t="n">
        <f aca="false">J3209*K3209</f>
        <v>96.46</v>
      </c>
      <c r="M3209" s="43" t="n">
        <f aca="false">H3209*16.48*(1+'Chart of Accounts'!$E$67)</f>
        <v>68.685344</v>
      </c>
    </row>
    <row r="3210" customFormat="false" ht="15" hidden="false" customHeight="false" outlineLevel="0" collapsed="false">
      <c r="B3210" s="7" t="s">
        <v>3707</v>
      </c>
      <c r="C3210" s="39" t="n">
        <v>45817</v>
      </c>
      <c r="D3210" s="7" t="s">
        <v>391</v>
      </c>
      <c r="E3210" s="7" t="s">
        <v>156</v>
      </c>
      <c r="F3210" s="7" t="s">
        <v>222</v>
      </c>
      <c r="G3210" s="7" t="s">
        <v>505</v>
      </c>
      <c r="H3210" s="6" t="n">
        <v>3.95</v>
      </c>
      <c r="I3210" s="6" t="n">
        <v>0</v>
      </c>
      <c r="J3210" s="40" t="n">
        <f aca="false">H3210-I3210</f>
        <v>3.95</v>
      </c>
      <c r="K3210" s="41" t="n">
        <v>34</v>
      </c>
      <c r="L3210" s="42" t="n">
        <f aca="false">J3210*K3210</f>
        <v>134.3</v>
      </c>
      <c r="M3210" s="43" t="n">
        <f aca="false">H3210*17.84*(1+'Chart of Accounts'!$E$67)</f>
        <v>80.68586</v>
      </c>
    </row>
    <row r="3211" customFormat="false" ht="15" hidden="false" customHeight="false" outlineLevel="0" collapsed="false">
      <c r="B3211" s="7" t="s">
        <v>3708</v>
      </c>
      <c r="C3211" s="39" t="n">
        <v>45817</v>
      </c>
      <c r="D3211" s="7" t="s">
        <v>395</v>
      </c>
      <c r="E3211" s="7" t="s">
        <v>156</v>
      </c>
      <c r="F3211" s="7" t="s">
        <v>242</v>
      </c>
      <c r="G3211" s="7" t="s">
        <v>505</v>
      </c>
      <c r="H3211" s="6" t="n">
        <v>3.83</v>
      </c>
      <c r="I3211" s="6" t="n">
        <v>0</v>
      </c>
      <c r="J3211" s="40" t="n">
        <f aca="false">H3211-I3211</f>
        <v>3.83</v>
      </c>
      <c r="K3211" s="41" t="n">
        <v>34</v>
      </c>
      <c r="L3211" s="42" t="n">
        <f aca="false">J3211*K3211</f>
        <v>130.22</v>
      </c>
      <c r="M3211" s="43" t="n">
        <f aca="false">H3211*17.99*(1+'Chart of Accounts'!$E$67)</f>
        <v>78.8924465</v>
      </c>
    </row>
    <row r="3212" customFormat="false" ht="15" hidden="false" customHeight="false" outlineLevel="0" collapsed="false">
      <c r="B3212" s="7" t="s">
        <v>3709</v>
      </c>
      <c r="C3212" s="39" t="n">
        <v>45817</v>
      </c>
      <c r="D3212" s="7" t="s">
        <v>399</v>
      </c>
      <c r="E3212" s="7" t="s">
        <v>154</v>
      </c>
      <c r="F3212" s="7" t="s">
        <v>238</v>
      </c>
      <c r="G3212" s="7" t="s">
        <v>505</v>
      </c>
      <c r="H3212" s="6" t="n">
        <v>3.51</v>
      </c>
      <c r="I3212" s="6" t="n">
        <v>0</v>
      </c>
      <c r="J3212" s="40" t="n">
        <f aca="false">H3212-I3212</f>
        <v>3.51</v>
      </c>
      <c r="K3212" s="41" t="n">
        <v>26.5</v>
      </c>
      <c r="L3212" s="42" t="n">
        <f aca="false">J3212*K3212</f>
        <v>93.015</v>
      </c>
      <c r="M3212" s="43" t="n">
        <f aca="false">H3212*15.85*(1+'Chart of Accounts'!$E$67)</f>
        <v>63.7003575</v>
      </c>
    </row>
    <row r="3213" customFormat="false" ht="15" hidden="false" customHeight="false" outlineLevel="0" collapsed="false">
      <c r="B3213" s="7" t="s">
        <v>3710</v>
      </c>
      <c r="C3213" s="39" t="n">
        <v>45817</v>
      </c>
      <c r="D3213" s="7" t="s">
        <v>401</v>
      </c>
      <c r="E3213" s="7" t="s">
        <v>156</v>
      </c>
      <c r="F3213" s="7" t="s">
        <v>254</v>
      </c>
      <c r="G3213" s="7" t="s">
        <v>505</v>
      </c>
      <c r="H3213" s="6" t="n">
        <v>4.38</v>
      </c>
      <c r="I3213" s="6" t="n">
        <v>0</v>
      </c>
      <c r="J3213" s="40" t="n">
        <f aca="false">H3213-I3213</f>
        <v>4.38</v>
      </c>
      <c r="K3213" s="41" t="n">
        <v>34</v>
      </c>
      <c r="L3213" s="42" t="n">
        <f aca="false">J3213*K3213</f>
        <v>148.92</v>
      </c>
      <c r="M3213" s="43" t="n">
        <f aca="false">H3213*17.1*(1+'Chart of Accounts'!$E$67)</f>
        <v>85.75821</v>
      </c>
    </row>
    <row r="3214" customFormat="false" ht="15" hidden="false" customHeight="false" outlineLevel="0" collapsed="false">
      <c r="B3214" s="7" t="s">
        <v>3711</v>
      </c>
      <c r="C3214" s="39" t="n">
        <v>45817</v>
      </c>
      <c r="D3214" s="7" t="s">
        <v>409</v>
      </c>
      <c r="E3214" s="7" t="s">
        <v>154</v>
      </c>
      <c r="F3214" s="7" t="s">
        <v>214</v>
      </c>
      <c r="G3214" s="7" t="s">
        <v>505</v>
      </c>
      <c r="H3214" s="6" t="n">
        <v>3.64</v>
      </c>
      <c r="I3214" s="6" t="n">
        <v>0.109</v>
      </c>
      <c r="J3214" s="40" t="n">
        <f aca="false">H3214-I3214</f>
        <v>3.531</v>
      </c>
      <c r="K3214" s="41" t="n">
        <v>26.5</v>
      </c>
      <c r="L3214" s="42" t="n">
        <f aca="false">J3214*K3214</f>
        <v>93.5715</v>
      </c>
      <c r="M3214" s="43" t="n">
        <f aca="false">H3214*15.67*(1+'Chart of Accounts'!$E$67)</f>
        <v>65.309426</v>
      </c>
    </row>
    <row r="3215" customFormat="false" ht="15" hidden="false" customHeight="false" outlineLevel="0" collapsed="false">
      <c r="B3215" s="7" t="s">
        <v>3712</v>
      </c>
      <c r="C3215" s="39" t="n">
        <v>45817</v>
      </c>
      <c r="D3215" s="7" t="s">
        <v>411</v>
      </c>
      <c r="E3215" s="7" t="s">
        <v>154</v>
      </c>
      <c r="F3215" s="7" t="s">
        <v>177</v>
      </c>
      <c r="G3215" s="7" t="s">
        <v>505</v>
      </c>
      <c r="H3215" s="6" t="n">
        <v>4.72</v>
      </c>
      <c r="I3215" s="6" t="n">
        <v>0</v>
      </c>
      <c r="J3215" s="40" t="n">
        <f aca="false">H3215-I3215</f>
        <v>4.72</v>
      </c>
      <c r="K3215" s="41" t="n">
        <v>26.5</v>
      </c>
      <c r="L3215" s="42" t="n">
        <f aca="false">J3215*K3215</f>
        <v>125.08</v>
      </c>
      <c r="M3215" s="43" t="n">
        <f aca="false">H3215*14.56*(1+'Chart of Accounts'!$E$67)</f>
        <v>78.688064</v>
      </c>
    </row>
    <row r="3216" customFormat="false" ht="15" hidden="false" customHeight="false" outlineLevel="0" collapsed="false">
      <c r="B3216" s="7" t="s">
        <v>3713</v>
      </c>
      <c r="C3216" s="39" t="n">
        <v>45818</v>
      </c>
      <c r="D3216" s="7" t="s">
        <v>288</v>
      </c>
      <c r="E3216" s="7" t="s">
        <v>156</v>
      </c>
      <c r="F3216" s="7" t="s">
        <v>232</v>
      </c>
      <c r="G3216" s="7" t="s">
        <v>505</v>
      </c>
      <c r="H3216" s="6" t="n">
        <v>3.99</v>
      </c>
      <c r="I3216" s="6" t="n">
        <v>0</v>
      </c>
      <c r="J3216" s="40" t="n">
        <f aca="false">H3216-I3216</f>
        <v>3.99</v>
      </c>
      <c r="K3216" s="41" t="n">
        <v>34</v>
      </c>
      <c r="L3216" s="42" t="n">
        <f aca="false">J3216*K3216</f>
        <v>135.66</v>
      </c>
      <c r="M3216" s="43" t="n">
        <f aca="false">H3216*16.17*(1+'Chart of Accounts'!$E$67)</f>
        <v>73.8734535</v>
      </c>
    </row>
    <row r="3217" customFormat="false" ht="15" hidden="false" customHeight="false" outlineLevel="0" collapsed="false">
      <c r="B3217" s="7" t="s">
        <v>3714</v>
      </c>
      <c r="C3217" s="39" t="n">
        <v>45818</v>
      </c>
      <c r="D3217" s="7" t="s">
        <v>301</v>
      </c>
      <c r="E3217" s="7" t="s">
        <v>157</v>
      </c>
      <c r="F3217" s="7" t="s">
        <v>209</v>
      </c>
      <c r="G3217" s="7" t="s">
        <v>502</v>
      </c>
      <c r="H3217" s="6" t="n">
        <v>1.07</v>
      </c>
      <c r="I3217" s="6" t="n">
        <v>0</v>
      </c>
      <c r="J3217" s="40" t="n">
        <f aca="false">H3217-I3217</f>
        <v>1.07</v>
      </c>
      <c r="K3217" s="41" t="n">
        <v>165</v>
      </c>
      <c r="L3217" s="42" t="n">
        <f aca="false">J3217*K3217</f>
        <v>176.55</v>
      </c>
      <c r="M3217" s="43" t="n">
        <f aca="false">H3217*73.58*(1+'Chart of Accounts'!$E$67)</f>
        <v>90.146537</v>
      </c>
    </row>
    <row r="3218" customFormat="false" ht="15" hidden="false" customHeight="false" outlineLevel="0" collapsed="false">
      <c r="B3218" s="7" t="s">
        <v>3715</v>
      </c>
      <c r="C3218" s="39" t="n">
        <v>45818</v>
      </c>
      <c r="D3218" s="7" t="s">
        <v>313</v>
      </c>
      <c r="E3218" s="7" t="s">
        <v>156</v>
      </c>
      <c r="F3218" s="7" t="s">
        <v>184</v>
      </c>
      <c r="G3218" s="7" t="s">
        <v>505</v>
      </c>
      <c r="H3218" s="6" t="n">
        <v>3.8</v>
      </c>
      <c r="I3218" s="6" t="n">
        <v>0</v>
      </c>
      <c r="J3218" s="40" t="n">
        <f aca="false">H3218-I3218</f>
        <v>3.8</v>
      </c>
      <c r="K3218" s="41" t="n">
        <v>34</v>
      </c>
      <c r="L3218" s="42" t="n">
        <f aca="false">J3218*K3218</f>
        <v>129.2</v>
      </c>
      <c r="M3218" s="43" t="n">
        <f aca="false">H3218*17.34*(1+'Chart of Accounts'!$E$67)</f>
        <v>75.44634</v>
      </c>
    </row>
    <row r="3219" customFormat="false" ht="15" hidden="false" customHeight="false" outlineLevel="0" collapsed="false">
      <c r="B3219" s="7" t="s">
        <v>3716</v>
      </c>
      <c r="C3219" s="39" t="n">
        <v>45818</v>
      </c>
      <c r="D3219" s="7" t="s">
        <v>319</v>
      </c>
      <c r="E3219" s="7" t="s">
        <v>157</v>
      </c>
      <c r="F3219" s="7" t="s">
        <v>234</v>
      </c>
      <c r="G3219" s="7" t="s">
        <v>502</v>
      </c>
      <c r="H3219" s="6" t="n">
        <v>1.03</v>
      </c>
      <c r="I3219" s="6" t="n">
        <v>0</v>
      </c>
      <c r="J3219" s="40" t="n">
        <f aca="false">H3219-I3219</f>
        <v>1.03</v>
      </c>
      <c r="K3219" s="41" t="n">
        <v>165</v>
      </c>
      <c r="L3219" s="42" t="n">
        <f aca="false">J3219*K3219</f>
        <v>169.95</v>
      </c>
      <c r="M3219" s="43" t="n">
        <f aca="false">H3219*89.53*(1+'Chart of Accounts'!$E$67)</f>
        <v>105.5872055</v>
      </c>
    </row>
    <row r="3220" customFormat="false" ht="15" hidden="false" customHeight="false" outlineLevel="0" collapsed="false">
      <c r="B3220" s="7" t="s">
        <v>3717</v>
      </c>
      <c r="C3220" s="39" t="n">
        <v>45818</v>
      </c>
      <c r="D3220" s="7" t="s">
        <v>321</v>
      </c>
      <c r="E3220" s="7" t="s">
        <v>154</v>
      </c>
      <c r="F3220" s="7" t="s">
        <v>218</v>
      </c>
      <c r="G3220" s="7" t="s">
        <v>505</v>
      </c>
      <c r="H3220" s="6" t="n">
        <v>3.87</v>
      </c>
      <c r="I3220" s="6" t="n">
        <v>0</v>
      </c>
      <c r="J3220" s="40" t="n">
        <f aca="false">H3220-I3220</f>
        <v>3.87</v>
      </c>
      <c r="K3220" s="41" t="n">
        <v>26.5</v>
      </c>
      <c r="L3220" s="42" t="n">
        <f aca="false">J3220*K3220</f>
        <v>102.555</v>
      </c>
      <c r="M3220" s="43" t="n">
        <f aca="false">H3220*16.19*(1+'Chart of Accounts'!$E$67)</f>
        <v>71.7403185</v>
      </c>
    </row>
    <row r="3221" customFormat="false" ht="15" hidden="false" customHeight="false" outlineLevel="0" collapsed="false">
      <c r="B3221" s="7" t="s">
        <v>3718</v>
      </c>
      <c r="C3221" s="39" t="n">
        <v>45818</v>
      </c>
      <c r="D3221" s="7" t="s">
        <v>323</v>
      </c>
      <c r="E3221" s="7" t="s">
        <v>159</v>
      </c>
      <c r="F3221" s="7" t="s">
        <v>266</v>
      </c>
      <c r="G3221" s="7" t="s">
        <v>502</v>
      </c>
      <c r="H3221" s="6" t="n">
        <v>1</v>
      </c>
      <c r="I3221" s="6" t="n">
        <v>0</v>
      </c>
      <c r="J3221" s="40" t="n">
        <f aca="false">H3221-I3221</f>
        <v>1</v>
      </c>
      <c r="K3221" s="41" t="n">
        <v>135</v>
      </c>
      <c r="L3221" s="42" t="n">
        <f aca="false">J3221*K3221</f>
        <v>135</v>
      </c>
      <c r="M3221" s="43" t="n">
        <f aca="false">H3221*75.18*(1+'Chart of Accounts'!$E$67)</f>
        <v>86.0811</v>
      </c>
    </row>
    <row r="3222" customFormat="false" ht="15" hidden="false" customHeight="false" outlineLevel="0" collapsed="false">
      <c r="B3222" s="7" t="s">
        <v>3719</v>
      </c>
      <c r="C3222" s="39" t="n">
        <v>45818</v>
      </c>
      <c r="D3222" s="7" t="s">
        <v>327</v>
      </c>
      <c r="E3222" s="7" t="s">
        <v>157</v>
      </c>
      <c r="F3222" s="7" t="s">
        <v>228</v>
      </c>
      <c r="G3222" s="7" t="s">
        <v>502</v>
      </c>
      <c r="H3222" s="6" t="n">
        <v>1.08</v>
      </c>
      <c r="I3222" s="6" t="n">
        <v>0</v>
      </c>
      <c r="J3222" s="40" t="n">
        <f aca="false">H3222-I3222</f>
        <v>1.08</v>
      </c>
      <c r="K3222" s="41" t="n">
        <v>165</v>
      </c>
      <c r="L3222" s="42" t="n">
        <f aca="false">J3222*K3222</f>
        <v>178.2</v>
      </c>
      <c r="M3222" s="43" t="n">
        <f aca="false">H3222*51.07*(1+'Chart of Accounts'!$E$67)</f>
        <v>63.153162</v>
      </c>
    </row>
    <row r="3223" customFormat="false" ht="15" hidden="false" customHeight="false" outlineLevel="0" collapsed="false">
      <c r="B3223" s="7" t="s">
        <v>3720</v>
      </c>
      <c r="C3223" s="39" t="n">
        <v>45818</v>
      </c>
      <c r="D3223" s="7" t="s">
        <v>329</v>
      </c>
      <c r="E3223" s="7" t="s">
        <v>156</v>
      </c>
      <c r="F3223" s="7" t="s">
        <v>220</v>
      </c>
      <c r="G3223" s="7" t="s">
        <v>505</v>
      </c>
      <c r="H3223" s="6" t="n">
        <v>3.96</v>
      </c>
      <c r="I3223" s="6" t="n">
        <v>0</v>
      </c>
      <c r="J3223" s="40" t="n">
        <f aca="false">H3223-I3223</f>
        <v>3.96</v>
      </c>
      <c r="K3223" s="41" t="n">
        <v>34</v>
      </c>
      <c r="L3223" s="42" t="n">
        <f aca="false">J3223*K3223</f>
        <v>134.64</v>
      </c>
      <c r="M3223" s="43" t="n">
        <f aca="false">H3223*16.43*(1+'Chart of Accounts'!$E$67)</f>
        <v>74.496906</v>
      </c>
    </row>
    <row r="3224" customFormat="false" ht="15" hidden="false" customHeight="false" outlineLevel="0" collapsed="false">
      <c r="B3224" s="7" t="s">
        <v>3721</v>
      </c>
      <c r="C3224" s="39" t="n">
        <v>45818</v>
      </c>
      <c r="D3224" s="7" t="s">
        <v>359</v>
      </c>
      <c r="E3224" s="7" t="s">
        <v>156</v>
      </c>
      <c r="F3224" s="7" t="s">
        <v>212</v>
      </c>
      <c r="G3224" s="7" t="s">
        <v>505</v>
      </c>
      <c r="H3224" s="6" t="n">
        <v>4.21</v>
      </c>
      <c r="I3224" s="6" t="n">
        <v>0</v>
      </c>
      <c r="J3224" s="40" t="n">
        <f aca="false">H3224-I3224</f>
        <v>4.21</v>
      </c>
      <c r="K3224" s="41" t="n">
        <v>34</v>
      </c>
      <c r="L3224" s="42" t="n">
        <f aca="false">J3224*K3224</f>
        <v>143.14</v>
      </c>
      <c r="M3224" s="43" t="n">
        <f aca="false">H3224*16.71*(1+'Chart of Accounts'!$E$67)</f>
        <v>80.5497195</v>
      </c>
    </row>
    <row r="3225" customFormat="false" ht="15" hidden="false" customHeight="false" outlineLevel="0" collapsed="false">
      <c r="B3225" s="7" t="s">
        <v>3722</v>
      </c>
      <c r="C3225" s="39" t="n">
        <v>45818</v>
      </c>
      <c r="D3225" s="7" t="s">
        <v>361</v>
      </c>
      <c r="E3225" s="7" t="s">
        <v>157</v>
      </c>
      <c r="F3225" s="7" t="s">
        <v>209</v>
      </c>
      <c r="G3225" s="7" t="s">
        <v>502</v>
      </c>
      <c r="H3225" s="6" t="n">
        <v>0.92</v>
      </c>
      <c r="I3225" s="6" t="n">
        <v>0</v>
      </c>
      <c r="J3225" s="40" t="n">
        <f aca="false">H3225-I3225</f>
        <v>0.92</v>
      </c>
      <c r="K3225" s="41" t="n">
        <v>165</v>
      </c>
      <c r="L3225" s="42" t="n">
        <f aca="false">J3225*K3225</f>
        <v>151.8</v>
      </c>
      <c r="M3225" s="43" t="n">
        <f aca="false">H3225*73.58*(1+'Chart of Accounts'!$E$67)</f>
        <v>77.509172</v>
      </c>
    </row>
    <row r="3226" customFormat="false" ht="15" hidden="false" customHeight="false" outlineLevel="0" collapsed="false">
      <c r="B3226" s="7" t="s">
        <v>3723</v>
      </c>
      <c r="C3226" s="39" t="n">
        <v>45818</v>
      </c>
      <c r="D3226" s="7" t="s">
        <v>365</v>
      </c>
      <c r="E3226" s="7" t="s">
        <v>154</v>
      </c>
      <c r="F3226" s="7" t="s">
        <v>194</v>
      </c>
      <c r="G3226" s="7" t="s">
        <v>505</v>
      </c>
      <c r="H3226" s="6" t="n">
        <v>3.62</v>
      </c>
      <c r="I3226" s="6" t="n">
        <v>0.109</v>
      </c>
      <c r="J3226" s="40" t="n">
        <f aca="false">H3226-I3226</f>
        <v>3.511</v>
      </c>
      <c r="K3226" s="41" t="n">
        <v>26.5</v>
      </c>
      <c r="L3226" s="42" t="n">
        <f aca="false">J3226*K3226</f>
        <v>93.0415</v>
      </c>
      <c r="M3226" s="43" t="n">
        <f aca="false">H3226*16*(1+'Chart of Accounts'!$E$67)</f>
        <v>66.3184</v>
      </c>
    </row>
    <row r="3227" customFormat="false" ht="15" hidden="false" customHeight="false" outlineLevel="0" collapsed="false">
      <c r="B3227" s="7" t="s">
        <v>3724</v>
      </c>
      <c r="C3227" s="39" t="n">
        <v>45818</v>
      </c>
      <c r="D3227" s="7" t="s">
        <v>381</v>
      </c>
      <c r="E3227" s="7" t="s">
        <v>157</v>
      </c>
      <c r="F3227" s="7" t="s">
        <v>234</v>
      </c>
      <c r="G3227" s="7" t="s">
        <v>502</v>
      </c>
      <c r="H3227" s="6" t="n">
        <v>1</v>
      </c>
      <c r="I3227" s="6" t="n">
        <v>0</v>
      </c>
      <c r="J3227" s="40" t="n">
        <f aca="false">H3227-I3227</f>
        <v>1</v>
      </c>
      <c r="K3227" s="41" t="n">
        <v>165</v>
      </c>
      <c r="L3227" s="42" t="n">
        <f aca="false">J3227*K3227</f>
        <v>165</v>
      </c>
      <c r="M3227" s="43" t="n">
        <f aca="false">H3227*89.53*(1+'Chart of Accounts'!$E$67)</f>
        <v>102.51185</v>
      </c>
    </row>
    <row r="3228" customFormat="false" ht="15" hidden="false" customHeight="false" outlineLevel="0" collapsed="false">
      <c r="B3228" s="7" t="s">
        <v>3725</v>
      </c>
      <c r="C3228" s="39" t="n">
        <v>45818</v>
      </c>
      <c r="D3228" s="7" t="s">
        <v>389</v>
      </c>
      <c r="E3228" s="7" t="s">
        <v>154</v>
      </c>
      <c r="F3228" s="7" t="s">
        <v>246</v>
      </c>
      <c r="G3228" s="7" t="s">
        <v>505</v>
      </c>
      <c r="H3228" s="6" t="n">
        <v>3.94</v>
      </c>
      <c r="I3228" s="6" t="n">
        <v>0</v>
      </c>
      <c r="J3228" s="40" t="n">
        <f aca="false">H3228-I3228</f>
        <v>3.94</v>
      </c>
      <c r="K3228" s="41" t="n">
        <v>26.5</v>
      </c>
      <c r="L3228" s="42" t="n">
        <f aca="false">J3228*K3228</f>
        <v>104.41</v>
      </c>
      <c r="M3228" s="43" t="n">
        <f aca="false">H3228*16.48*(1+'Chart of Accounts'!$E$67)</f>
        <v>74.346224</v>
      </c>
    </row>
    <row r="3229" customFormat="false" ht="15" hidden="false" customHeight="false" outlineLevel="0" collapsed="false">
      <c r="B3229" s="7" t="s">
        <v>3726</v>
      </c>
      <c r="C3229" s="39" t="n">
        <v>45818</v>
      </c>
      <c r="D3229" s="7" t="s">
        <v>391</v>
      </c>
      <c r="E3229" s="7" t="s">
        <v>156</v>
      </c>
      <c r="F3229" s="7" t="s">
        <v>222</v>
      </c>
      <c r="G3229" s="7" t="s">
        <v>505</v>
      </c>
      <c r="H3229" s="6" t="n">
        <v>3.79</v>
      </c>
      <c r="I3229" s="6" t="n">
        <v>0</v>
      </c>
      <c r="J3229" s="40" t="n">
        <f aca="false">H3229-I3229</f>
        <v>3.79</v>
      </c>
      <c r="K3229" s="41" t="n">
        <v>34</v>
      </c>
      <c r="L3229" s="42" t="n">
        <f aca="false">J3229*K3229</f>
        <v>128.86</v>
      </c>
      <c r="M3229" s="43" t="n">
        <f aca="false">H3229*17.84*(1+'Chart of Accounts'!$E$67)</f>
        <v>77.417572</v>
      </c>
    </row>
    <row r="3230" customFormat="false" ht="15" hidden="false" customHeight="false" outlineLevel="0" collapsed="false">
      <c r="B3230" s="7" t="s">
        <v>3727</v>
      </c>
      <c r="C3230" s="39" t="n">
        <v>45818</v>
      </c>
      <c r="D3230" s="7" t="s">
        <v>395</v>
      </c>
      <c r="E3230" s="7" t="s">
        <v>156</v>
      </c>
      <c r="F3230" s="7" t="s">
        <v>242</v>
      </c>
      <c r="G3230" s="7" t="s">
        <v>505</v>
      </c>
      <c r="H3230" s="6" t="n">
        <v>4.26</v>
      </c>
      <c r="I3230" s="6" t="n">
        <v>0</v>
      </c>
      <c r="J3230" s="40" t="n">
        <f aca="false">H3230-I3230</f>
        <v>4.26</v>
      </c>
      <c r="K3230" s="41" t="n">
        <v>34</v>
      </c>
      <c r="L3230" s="42" t="n">
        <f aca="false">J3230*K3230</f>
        <v>144.84</v>
      </c>
      <c r="M3230" s="43" t="n">
        <f aca="false">H3230*17.99*(1+'Chart of Accounts'!$E$67)</f>
        <v>87.749823</v>
      </c>
    </row>
    <row r="3231" customFormat="false" ht="15" hidden="false" customHeight="false" outlineLevel="0" collapsed="false">
      <c r="B3231" s="7" t="s">
        <v>3728</v>
      </c>
      <c r="C3231" s="39" t="n">
        <v>45818</v>
      </c>
      <c r="D3231" s="7" t="s">
        <v>397</v>
      </c>
      <c r="E3231" s="7" t="s">
        <v>159</v>
      </c>
      <c r="F3231" s="7" t="s">
        <v>203</v>
      </c>
      <c r="G3231" s="7" t="s">
        <v>502</v>
      </c>
      <c r="H3231" s="6" t="n">
        <v>0.92</v>
      </c>
      <c r="I3231" s="6" t="n">
        <v>0.064</v>
      </c>
      <c r="J3231" s="40" t="n">
        <f aca="false">H3231-I3231</f>
        <v>0.856</v>
      </c>
      <c r="K3231" s="41" t="n">
        <v>135</v>
      </c>
      <c r="L3231" s="42" t="n">
        <f aca="false">J3231*K3231</f>
        <v>115.56</v>
      </c>
      <c r="M3231" s="43" t="n">
        <f aca="false">H3231*49.43*(1+'Chart of Accounts'!$E$67)</f>
        <v>52.069562</v>
      </c>
    </row>
    <row r="3232" customFormat="false" ht="15" hidden="false" customHeight="false" outlineLevel="0" collapsed="false">
      <c r="B3232" s="7" t="s">
        <v>3729</v>
      </c>
      <c r="C3232" s="39" t="n">
        <v>45818</v>
      </c>
      <c r="D3232" s="7" t="s">
        <v>401</v>
      </c>
      <c r="E3232" s="7" t="s">
        <v>156</v>
      </c>
      <c r="F3232" s="7" t="s">
        <v>254</v>
      </c>
      <c r="G3232" s="7" t="s">
        <v>505</v>
      </c>
      <c r="H3232" s="6" t="n">
        <v>4.34</v>
      </c>
      <c r="I3232" s="6" t="n">
        <v>0</v>
      </c>
      <c r="J3232" s="40" t="n">
        <f aca="false">H3232-I3232</f>
        <v>4.34</v>
      </c>
      <c r="K3232" s="41" t="n">
        <v>34</v>
      </c>
      <c r="L3232" s="42" t="n">
        <f aca="false">J3232*K3232</f>
        <v>147.56</v>
      </c>
      <c r="M3232" s="43" t="n">
        <f aca="false">H3232*17.1*(1+'Chart of Accounts'!$E$67)</f>
        <v>84.97503</v>
      </c>
    </row>
    <row r="3233" customFormat="false" ht="15" hidden="false" customHeight="false" outlineLevel="0" collapsed="false">
      <c r="B3233" s="7" t="s">
        <v>3730</v>
      </c>
      <c r="C3233" s="39" t="n">
        <v>45818</v>
      </c>
      <c r="D3233" s="7" t="s">
        <v>407</v>
      </c>
      <c r="E3233" s="7" t="s">
        <v>159</v>
      </c>
      <c r="F3233" s="7" t="s">
        <v>260</v>
      </c>
      <c r="G3233" s="7" t="s">
        <v>502</v>
      </c>
      <c r="H3233" s="6" t="n">
        <v>1.03</v>
      </c>
      <c r="I3233" s="6" t="n">
        <v>0</v>
      </c>
      <c r="J3233" s="40" t="n">
        <f aca="false">H3233-I3233</f>
        <v>1.03</v>
      </c>
      <c r="K3233" s="41" t="n">
        <v>135</v>
      </c>
      <c r="L3233" s="42" t="n">
        <f aca="false">J3233*K3233</f>
        <v>139.05</v>
      </c>
      <c r="M3233" s="43" t="n">
        <f aca="false">H3233*79.8*(1+'Chart of Accounts'!$E$67)</f>
        <v>94.11213</v>
      </c>
    </row>
    <row r="3234" customFormat="false" ht="15" hidden="false" customHeight="false" outlineLevel="0" collapsed="false">
      <c r="B3234" s="7" t="s">
        <v>3731</v>
      </c>
      <c r="C3234" s="39" t="n">
        <v>45819</v>
      </c>
      <c r="D3234" s="7" t="s">
        <v>280</v>
      </c>
      <c r="E3234" s="7" t="s">
        <v>157</v>
      </c>
      <c r="F3234" s="7" t="s">
        <v>187</v>
      </c>
      <c r="G3234" s="7" t="s">
        <v>502</v>
      </c>
      <c r="H3234" s="6" t="n">
        <v>1.05</v>
      </c>
      <c r="I3234" s="6" t="n">
        <v>0</v>
      </c>
      <c r="J3234" s="40" t="n">
        <f aca="false">H3234-I3234</f>
        <v>1.05</v>
      </c>
      <c r="K3234" s="41" t="n">
        <v>165</v>
      </c>
      <c r="L3234" s="42" t="n">
        <f aca="false">J3234*K3234</f>
        <v>173.25</v>
      </c>
      <c r="M3234" s="43" t="n">
        <f aca="false">H3234*66.48*(1+'Chart of Accounts'!$E$67)</f>
        <v>79.92558</v>
      </c>
    </row>
    <row r="3235" customFormat="false" ht="15" hidden="false" customHeight="false" outlineLevel="0" collapsed="false">
      <c r="B3235" s="7" t="s">
        <v>3732</v>
      </c>
      <c r="C3235" s="39" t="n">
        <v>45819</v>
      </c>
      <c r="D3235" s="7" t="s">
        <v>286</v>
      </c>
      <c r="E3235" s="7" t="s">
        <v>157</v>
      </c>
      <c r="F3235" s="7" t="s">
        <v>228</v>
      </c>
      <c r="G3235" s="7" t="s">
        <v>502</v>
      </c>
      <c r="H3235" s="6" t="n">
        <v>1.04</v>
      </c>
      <c r="I3235" s="6" t="n">
        <v>0</v>
      </c>
      <c r="J3235" s="40" t="n">
        <f aca="false">H3235-I3235</f>
        <v>1.04</v>
      </c>
      <c r="K3235" s="41" t="n">
        <v>165</v>
      </c>
      <c r="L3235" s="42" t="n">
        <f aca="false">J3235*K3235</f>
        <v>171.6</v>
      </c>
      <c r="M3235" s="43" t="n">
        <f aca="false">H3235*51.07*(1+'Chart of Accounts'!$E$67)</f>
        <v>60.814156</v>
      </c>
    </row>
    <row r="3236" customFormat="false" ht="15" hidden="false" customHeight="false" outlineLevel="0" collapsed="false">
      <c r="B3236" s="7" t="s">
        <v>3733</v>
      </c>
      <c r="C3236" s="39" t="n">
        <v>45819</v>
      </c>
      <c r="D3236" s="7" t="s">
        <v>288</v>
      </c>
      <c r="E3236" s="7" t="s">
        <v>156</v>
      </c>
      <c r="F3236" s="7" t="s">
        <v>177</v>
      </c>
      <c r="G3236" s="7" t="s">
        <v>505</v>
      </c>
      <c r="H3236" s="6" t="n">
        <v>4.01</v>
      </c>
      <c r="I3236" s="6" t="n">
        <v>0</v>
      </c>
      <c r="J3236" s="40" t="n">
        <f aca="false">H3236-I3236</f>
        <v>4.01</v>
      </c>
      <c r="K3236" s="41" t="n">
        <v>34</v>
      </c>
      <c r="L3236" s="42" t="n">
        <f aca="false">J3236*K3236</f>
        <v>136.34</v>
      </c>
      <c r="M3236" s="43" t="n">
        <f aca="false">H3236*14.56*(1+'Chart of Accounts'!$E$67)</f>
        <v>66.851512</v>
      </c>
    </row>
    <row r="3237" customFormat="false" ht="15" hidden="false" customHeight="false" outlineLevel="0" collapsed="false">
      <c r="B3237" s="7" t="s">
        <v>3734</v>
      </c>
      <c r="C3237" s="39" t="n">
        <v>45819</v>
      </c>
      <c r="D3237" s="7" t="s">
        <v>291</v>
      </c>
      <c r="E3237" s="7" t="s">
        <v>154</v>
      </c>
      <c r="F3237" s="7" t="s">
        <v>194</v>
      </c>
      <c r="G3237" s="7" t="s">
        <v>505</v>
      </c>
      <c r="H3237" s="6" t="n">
        <v>4.55</v>
      </c>
      <c r="I3237" s="6" t="n">
        <v>0</v>
      </c>
      <c r="J3237" s="40" t="n">
        <f aca="false">H3237-I3237</f>
        <v>4.55</v>
      </c>
      <c r="K3237" s="41" t="n">
        <v>26.5</v>
      </c>
      <c r="L3237" s="42" t="n">
        <f aca="false">J3237*K3237</f>
        <v>120.575</v>
      </c>
      <c r="M3237" s="43" t="n">
        <f aca="false">H3237*16*(1+'Chart of Accounts'!$E$67)</f>
        <v>83.356</v>
      </c>
    </row>
    <row r="3238" customFormat="false" ht="15" hidden="false" customHeight="false" outlineLevel="0" collapsed="false">
      <c r="B3238" s="7" t="s">
        <v>3735</v>
      </c>
      <c r="C3238" s="39" t="n">
        <v>45819</v>
      </c>
      <c r="D3238" s="7" t="s">
        <v>305</v>
      </c>
      <c r="E3238" s="7" t="s">
        <v>154</v>
      </c>
      <c r="F3238" s="7" t="s">
        <v>205</v>
      </c>
      <c r="G3238" s="7" t="s">
        <v>505</v>
      </c>
      <c r="H3238" s="6" t="n">
        <v>3.95</v>
      </c>
      <c r="I3238" s="6" t="n">
        <v>0</v>
      </c>
      <c r="J3238" s="40" t="n">
        <f aca="false">H3238-I3238</f>
        <v>3.95</v>
      </c>
      <c r="K3238" s="41" t="n">
        <v>26.5</v>
      </c>
      <c r="L3238" s="42" t="n">
        <f aca="false">J3238*K3238</f>
        <v>104.675</v>
      </c>
      <c r="M3238" s="43" t="n">
        <f aca="false">H3238*16.36*(1+'Chart of Accounts'!$E$67)</f>
        <v>73.99219</v>
      </c>
    </row>
    <row r="3239" customFormat="false" ht="15" hidden="false" customHeight="false" outlineLevel="0" collapsed="false">
      <c r="B3239" s="7" t="s">
        <v>3736</v>
      </c>
      <c r="C3239" s="39" t="n">
        <v>45819</v>
      </c>
      <c r="D3239" s="7" t="s">
        <v>307</v>
      </c>
      <c r="E3239" s="7" t="s">
        <v>157</v>
      </c>
      <c r="F3239" s="7" t="s">
        <v>264</v>
      </c>
      <c r="G3239" s="7" t="s">
        <v>502</v>
      </c>
      <c r="H3239" s="6" t="n">
        <v>1.09</v>
      </c>
      <c r="I3239" s="6" t="n">
        <v>0</v>
      </c>
      <c r="J3239" s="40" t="n">
        <f aca="false">H3239-I3239</f>
        <v>1.09</v>
      </c>
      <c r="K3239" s="41" t="n">
        <v>165</v>
      </c>
      <c r="L3239" s="42" t="n">
        <f aca="false">J3239*K3239</f>
        <v>179.85</v>
      </c>
      <c r="M3239" s="43" t="n">
        <f aca="false">H3239*55.55*(1+'Chart of Accounts'!$E$67)</f>
        <v>69.3291775</v>
      </c>
    </row>
    <row r="3240" customFormat="false" ht="15" hidden="false" customHeight="false" outlineLevel="0" collapsed="false">
      <c r="B3240" s="7" t="s">
        <v>3737</v>
      </c>
      <c r="C3240" s="39" t="n">
        <v>45819</v>
      </c>
      <c r="D3240" s="7" t="s">
        <v>309</v>
      </c>
      <c r="E3240" s="7" t="s">
        <v>159</v>
      </c>
      <c r="F3240" s="7" t="s">
        <v>252</v>
      </c>
      <c r="G3240" s="7" t="s">
        <v>502</v>
      </c>
      <c r="H3240" s="6" t="n">
        <v>0.97</v>
      </c>
      <c r="I3240" s="6" t="n">
        <v>0</v>
      </c>
      <c r="J3240" s="40" t="n">
        <f aca="false">H3240-I3240</f>
        <v>0.97</v>
      </c>
      <c r="K3240" s="41" t="n">
        <v>135</v>
      </c>
      <c r="L3240" s="42" t="n">
        <f aca="false">J3240*K3240</f>
        <v>130.95</v>
      </c>
      <c r="M3240" s="43" t="n">
        <f aca="false">H3240*57.54*(1+'Chart of Accounts'!$E$67)</f>
        <v>63.906801</v>
      </c>
    </row>
    <row r="3241" customFormat="false" ht="15" hidden="false" customHeight="false" outlineLevel="0" collapsed="false">
      <c r="B3241" s="7" t="s">
        <v>3738</v>
      </c>
      <c r="C3241" s="39" t="n">
        <v>45819</v>
      </c>
      <c r="D3241" s="7" t="s">
        <v>313</v>
      </c>
      <c r="E3241" s="7" t="s">
        <v>156</v>
      </c>
      <c r="F3241" s="7" t="s">
        <v>184</v>
      </c>
      <c r="G3241" s="7" t="s">
        <v>505</v>
      </c>
      <c r="H3241" s="6" t="n">
        <v>4.06</v>
      </c>
      <c r="I3241" s="6" t="n">
        <v>0</v>
      </c>
      <c r="J3241" s="40" t="n">
        <f aca="false">H3241-I3241</f>
        <v>4.06</v>
      </c>
      <c r="K3241" s="41" t="n">
        <v>34</v>
      </c>
      <c r="L3241" s="42" t="n">
        <f aca="false">J3241*K3241</f>
        <v>138.04</v>
      </c>
      <c r="M3241" s="43" t="n">
        <f aca="false">H3241*17.34*(1+'Chart of Accounts'!$E$67)</f>
        <v>80.608458</v>
      </c>
    </row>
    <row r="3242" customFormat="false" ht="15" hidden="false" customHeight="false" outlineLevel="0" collapsed="false">
      <c r="B3242" s="7" t="s">
        <v>3739</v>
      </c>
      <c r="C3242" s="39" t="n">
        <v>45819</v>
      </c>
      <c r="D3242" s="7" t="s">
        <v>321</v>
      </c>
      <c r="E3242" s="7" t="s">
        <v>154</v>
      </c>
      <c r="F3242" s="7" t="s">
        <v>218</v>
      </c>
      <c r="G3242" s="7" t="s">
        <v>505</v>
      </c>
      <c r="H3242" s="6" t="n">
        <v>3.86</v>
      </c>
      <c r="I3242" s="6" t="n">
        <v>0</v>
      </c>
      <c r="J3242" s="40" t="n">
        <f aca="false">H3242-I3242</f>
        <v>3.86</v>
      </c>
      <c r="K3242" s="41" t="n">
        <v>26.5</v>
      </c>
      <c r="L3242" s="42" t="n">
        <f aca="false">J3242*K3242</f>
        <v>102.29</v>
      </c>
      <c r="M3242" s="43" t="n">
        <f aca="false">H3242*16.19*(1+'Chart of Accounts'!$E$67)</f>
        <v>71.554943</v>
      </c>
    </row>
    <row r="3243" customFormat="false" ht="15" hidden="false" customHeight="false" outlineLevel="0" collapsed="false">
      <c r="B3243" s="7" t="s">
        <v>3740</v>
      </c>
      <c r="C3243" s="39" t="n">
        <v>45819</v>
      </c>
      <c r="D3243" s="7" t="s">
        <v>329</v>
      </c>
      <c r="E3243" s="7" t="s">
        <v>156</v>
      </c>
      <c r="F3243" s="7" t="s">
        <v>220</v>
      </c>
      <c r="G3243" s="7" t="s">
        <v>505</v>
      </c>
      <c r="H3243" s="6" t="n">
        <v>3.71</v>
      </c>
      <c r="I3243" s="6" t="n">
        <v>0</v>
      </c>
      <c r="J3243" s="40" t="n">
        <f aca="false">H3243-I3243</f>
        <v>3.71</v>
      </c>
      <c r="K3243" s="41" t="n">
        <v>34</v>
      </c>
      <c r="L3243" s="42" t="n">
        <f aca="false">J3243*K3243</f>
        <v>126.14</v>
      </c>
      <c r="M3243" s="43" t="n">
        <f aca="false">H3243*16.43*(1+'Chart of Accounts'!$E$67)</f>
        <v>69.7938185</v>
      </c>
    </row>
    <row r="3244" customFormat="false" ht="15" hidden="false" customHeight="false" outlineLevel="0" collapsed="false">
      <c r="B3244" s="7" t="s">
        <v>3741</v>
      </c>
      <c r="C3244" s="39" t="n">
        <v>45819</v>
      </c>
      <c r="D3244" s="7" t="s">
        <v>335</v>
      </c>
      <c r="E3244" s="7" t="s">
        <v>154</v>
      </c>
      <c r="F3244" s="7" t="s">
        <v>177</v>
      </c>
      <c r="G3244" s="7" t="s">
        <v>505</v>
      </c>
      <c r="H3244" s="6" t="n">
        <v>4.39</v>
      </c>
      <c r="I3244" s="6" t="n">
        <v>0</v>
      </c>
      <c r="J3244" s="40" t="n">
        <f aca="false">H3244-I3244</f>
        <v>4.39</v>
      </c>
      <c r="K3244" s="41" t="n">
        <v>26.5</v>
      </c>
      <c r="L3244" s="42" t="n">
        <f aca="false">J3244*K3244</f>
        <v>116.335</v>
      </c>
      <c r="M3244" s="43" t="n">
        <f aca="false">H3244*14.56*(1+'Chart of Accounts'!$E$67)</f>
        <v>73.186568</v>
      </c>
    </row>
    <row r="3245" customFormat="false" ht="15" hidden="false" customHeight="false" outlineLevel="0" collapsed="false">
      <c r="B3245" s="7" t="s">
        <v>3742</v>
      </c>
      <c r="C3245" s="39" t="n">
        <v>45819</v>
      </c>
      <c r="D3245" s="7" t="s">
        <v>339</v>
      </c>
      <c r="E3245" s="7" t="s">
        <v>154</v>
      </c>
      <c r="F3245" s="7" t="s">
        <v>242</v>
      </c>
      <c r="G3245" s="7" t="s">
        <v>505</v>
      </c>
      <c r="H3245" s="6" t="n">
        <v>3.38</v>
      </c>
      <c r="I3245" s="6" t="n">
        <v>0.101</v>
      </c>
      <c r="J3245" s="40" t="n">
        <f aca="false">H3245-I3245</f>
        <v>3.279</v>
      </c>
      <c r="K3245" s="41" t="n">
        <v>26.5</v>
      </c>
      <c r="L3245" s="42" t="n">
        <f aca="false">J3245*K3245</f>
        <v>86.8935</v>
      </c>
      <c r="M3245" s="43" t="n">
        <f aca="false">H3245*17.99*(1+'Chart of Accounts'!$E$67)</f>
        <v>69.623099</v>
      </c>
    </row>
    <row r="3246" customFormat="false" ht="15" hidden="false" customHeight="false" outlineLevel="0" collapsed="false">
      <c r="B3246" s="7" t="s">
        <v>3743</v>
      </c>
      <c r="C3246" s="39" t="n">
        <v>45819</v>
      </c>
      <c r="D3246" s="7" t="s">
        <v>353</v>
      </c>
      <c r="E3246" s="7" t="s">
        <v>154</v>
      </c>
      <c r="F3246" s="7" t="s">
        <v>254</v>
      </c>
      <c r="G3246" s="7" t="s">
        <v>505</v>
      </c>
      <c r="H3246" s="6" t="n">
        <v>3.19</v>
      </c>
      <c r="I3246" s="6" t="n">
        <v>0</v>
      </c>
      <c r="J3246" s="40" t="n">
        <f aca="false">H3246-I3246</f>
        <v>3.19</v>
      </c>
      <c r="K3246" s="41" t="n">
        <v>26.5</v>
      </c>
      <c r="L3246" s="42" t="n">
        <f aca="false">J3246*K3246</f>
        <v>84.535</v>
      </c>
      <c r="M3246" s="43" t="n">
        <f aca="false">H3246*17.1*(1+'Chart of Accounts'!$E$67)</f>
        <v>62.458605</v>
      </c>
    </row>
    <row r="3247" customFormat="false" ht="15" hidden="false" customHeight="false" outlineLevel="0" collapsed="false">
      <c r="B3247" s="7" t="s">
        <v>3744</v>
      </c>
      <c r="C3247" s="39" t="n">
        <v>45819</v>
      </c>
      <c r="D3247" s="7" t="s">
        <v>355</v>
      </c>
      <c r="E3247" s="7" t="s">
        <v>154</v>
      </c>
      <c r="F3247" s="7" t="s">
        <v>201</v>
      </c>
      <c r="G3247" s="7" t="s">
        <v>505</v>
      </c>
      <c r="H3247" s="6" t="n">
        <v>3.29</v>
      </c>
      <c r="I3247" s="6" t="n">
        <v>0</v>
      </c>
      <c r="J3247" s="40" t="n">
        <f aca="false">H3247-I3247</f>
        <v>3.29</v>
      </c>
      <c r="K3247" s="41" t="n">
        <v>26.5</v>
      </c>
      <c r="L3247" s="42" t="n">
        <f aca="false">J3247*K3247</f>
        <v>87.185</v>
      </c>
      <c r="M3247" s="43" t="n">
        <f aca="false">H3247*15.19*(1+'Chart of Accounts'!$E$67)</f>
        <v>57.2214895</v>
      </c>
    </row>
    <row r="3248" customFormat="false" ht="15" hidden="false" customHeight="false" outlineLevel="0" collapsed="false">
      <c r="B3248" s="7" t="s">
        <v>3745</v>
      </c>
      <c r="C3248" s="39" t="n">
        <v>45819</v>
      </c>
      <c r="D3248" s="7" t="s">
        <v>357</v>
      </c>
      <c r="E3248" s="7" t="s">
        <v>154</v>
      </c>
      <c r="F3248" s="7" t="s">
        <v>207</v>
      </c>
      <c r="G3248" s="7" t="s">
        <v>505</v>
      </c>
      <c r="H3248" s="6" t="n">
        <v>3.61</v>
      </c>
      <c r="I3248" s="6" t="n">
        <v>0</v>
      </c>
      <c r="J3248" s="40" t="n">
        <f aca="false">H3248-I3248</f>
        <v>3.61</v>
      </c>
      <c r="K3248" s="41" t="n">
        <v>26.5</v>
      </c>
      <c r="L3248" s="42" t="n">
        <f aca="false">J3248*K3248</f>
        <v>95.665</v>
      </c>
      <c r="M3248" s="43" t="n">
        <f aca="false">H3248*16.65*(1+'Chart of Accounts'!$E$67)</f>
        <v>68.8219425</v>
      </c>
    </row>
    <row r="3249" customFormat="false" ht="15" hidden="false" customHeight="false" outlineLevel="0" collapsed="false">
      <c r="B3249" s="7" t="s">
        <v>3746</v>
      </c>
      <c r="C3249" s="39" t="n">
        <v>45819</v>
      </c>
      <c r="D3249" s="7" t="s">
        <v>359</v>
      </c>
      <c r="E3249" s="7" t="s">
        <v>156</v>
      </c>
      <c r="F3249" s="7" t="s">
        <v>212</v>
      </c>
      <c r="G3249" s="7" t="s">
        <v>505</v>
      </c>
      <c r="H3249" s="6" t="n">
        <v>4.34</v>
      </c>
      <c r="I3249" s="6" t="n">
        <v>0</v>
      </c>
      <c r="J3249" s="40" t="n">
        <f aca="false">H3249-I3249</f>
        <v>4.34</v>
      </c>
      <c r="K3249" s="41" t="n">
        <v>34</v>
      </c>
      <c r="L3249" s="42" t="n">
        <f aca="false">J3249*K3249</f>
        <v>147.56</v>
      </c>
      <c r="M3249" s="43" t="n">
        <f aca="false">H3249*16.71*(1+'Chart of Accounts'!$E$67)</f>
        <v>83.037003</v>
      </c>
    </row>
    <row r="3250" customFormat="false" ht="15" hidden="false" customHeight="false" outlineLevel="0" collapsed="false">
      <c r="B3250" s="7" t="s">
        <v>3747</v>
      </c>
      <c r="C3250" s="39" t="n">
        <v>45819</v>
      </c>
      <c r="D3250" s="7" t="s">
        <v>365</v>
      </c>
      <c r="E3250" s="7" t="s">
        <v>154</v>
      </c>
      <c r="F3250" s="7" t="s">
        <v>194</v>
      </c>
      <c r="G3250" s="7" t="s">
        <v>505</v>
      </c>
      <c r="H3250" s="6" t="n">
        <v>3.77</v>
      </c>
      <c r="I3250" s="6" t="n">
        <v>0</v>
      </c>
      <c r="J3250" s="40" t="n">
        <f aca="false">H3250-I3250</f>
        <v>3.77</v>
      </c>
      <c r="K3250" s="41" t="n">
        <v>26.5</v>
      </c>
      <c r="L3250" s="42" t="n">
        <f aca="false">J3250*K3250</f>
        <v>99.905</v>
      </c>
      <c r="M3250" s="43" t="n">
        <f aca="false">H3250*16*(1+'Chart of Accounts'!$E$67)</f>
        <v>69.0664</v>
      </c>
    </row>
    <row r="3251" customFormat="false" ht="15" hidden="false" customHeight="false" outlineLevel="0" collapsed="false">
      <c r="B3251" s="7" t="s">
        <v>3748</v>
      </c>
      <c r="C3251" s="39" t="n">
        <v>45819</v>
      </c>
      <c r="D3251" s="7" t="s">
        <v>371</v>
      </c>
      <c r="E3251" s="7" t="s">
        <v>154</v>
      </c>
      <c r="F3251" s="7" t="s">
        <v>232</v>
      </c>
      <c r="G3251" s="7" t="s">
        <v>505</v>
      </c>
      <c r="H3251" s="6" t="n">
        <v>4.23</v>
      </c>
      <c r="I3251" s="6" t="n">
        <v>0</v>
      </c>
      <c r="J3251" s="40" t="n">
        <f aca="false">H3251-I3251</f>
        <v>4.23</v>
      </c>
      <c r="K3251" s="41" t="n">
        <v>26.5</v>
      </c>
      <c r="L3251" s="42" t="n">
        <f aca="false">J3251*K3251</f>
        <v>112.095</v>
      </c>
      <c r="M3251" s="43" t="n">
        <f aca="false">H3251*16.17*(1+'Chart of Accounts'!$E$67)</f>
        <v>78.3169695</v>
      </c>
    </row>
    <row r="3252" customFormat="false" ht="15" hidden="false" customHeight="false" outlineLevel="0" collapsed="false">
      <c r="B3252" s="7" t="s">
        <v>3749</v>
      </c>
      <c r="C3252" s="39" t="n">
        <v>45819</v>
      </c>
      <c r="D3252" s="7" t="s">
        <v>379</v>
      </c>
      <c r="E3252" s="7" t="s">
        <v>156</v>
      </c>
      <c r="F3252" s="7" t="s">
        <v>224</v>
      </c>
      <c r="G3252" s="7" t="s">
        <v>505</v>
      </c>
      <c r="H3252" s="6" t="n">
        <v>4.7</v>
      </c>
      <c r="I3252" s="6" t="n">
        <v>0</v>
      </c>
      <c r="J3252" s="40" t="n">
        <f aca="false">H3252-I3252</f>
        <v>4.7</v>
      </c>
      <c r="K3252" s="41" t="n">
        <v>34</v>
      </c>
      <c r="L3252" s="42" t="n">
        <f aca="false">J3252*K3252</f>
        <v>159.8</v>
      </c>
      <c r="M3252" s="43" t="n">
        <f aca="false">H3252*14.93*(1+'Chart of Accounts'!$E$67)</f>
        <v>80.345795</v>
      </c>
    </row>
    <row r="3253" customFormat="false" ht="15" hidden="false" customHeight="false" outlineLevel="0" collapsed="false">
      <c r="B3253" s="7" t="s">
        <v>3750</v>
      </c>
      <c r="C3253" s="39" t="n">
        <v>45819</v>
      </c>
      <c r="D3253" s="7" t="s">
        <v>385</v>
      </c>
      <c r="E3253" s="7" t="s">
        <v>156</v>
      </c>
      <c r="F3253" s="7" t="s">
        <v>238</v>
      </c>
      <c r="G3253" s="7" t="s">
        <v>505</v>
      </c>
      <c r="H3253" s="6" t="n">
        <v>4.27</v>
      </c>
      <c r="I3253" s="6" t="n">
        <v>0</v>
      </c>
      <c r="J3253" s="40" t="n">
        <f aca="false">H3253-I3253</f>
        <v>4.27</v>
      </c>
      <c r="K3253" s="41" t="n">
        <v>34</v>
      </c>
      <c r="L3253" s="42" t="n">
        <f aca="false">J3253*K3253</f>
        <v>145.18</v>
      </c>
      <c r="M3253" s="43" t="n">
        <f aca="false">H3253*15.85*(1+'Chart of Accounts'!$E$67)</f>
        <v>77.4930275</v>
      </c>
    </row>
    <row r="3254" customFormat="false" ht="15" hidden="false" customHeight="false" outlineLevel="0" collapsed="false">
      <c r="B3254" s="7" t="s">
        <v>3751</v>
      </c>
      <c r="C3254" s="39" t="n">
        <v>45819</v>
      </c>
      <c r="D3254" s="7" t="s">
        <v>389</v>
      </c>
      <c r="E3254" s="7" t="s">
        <v>154</v>
      </c>
      <c r="F3254" s="7" t="s">
        <v>246</v>
      </c>
      <c r="G3254" s="7" t="s">
        <v>505</v>
      </c>
      <c r="H3254" s="6" t="n">
        <v>4.35</v>
      </c>
      <c r="I3254" s="6" t="n">
        <v>0</v>
      </c>
      <c r="J3254" s="40" t="n">
        <f aca="false">H3254-I3254</f>
        <v>4.35</v>
      </c>
      <c r="K3254" s="41" t="n">
        <v>26.5</v>
      </c>
      <c r="L3254" s="42" t="n">
        <f aca="false">J3254*K3254</f>
        <v>115.275</v>
      </c>
      <c r="M3254" s="43" t="n">
        <f aca="false">H3254*16.48*(1+'Chart of Accounts'!$E$67)</f>
        <v>82.08276</v>
      </c>
    </row>
    <row r="3255" customFormat="false" ht="15" hidden="false" customHeight="false" outlineLevel="0" collapsed="false">
      <c r="B3255" s="7" t="s">
        <v>3752</v>
      </c>
      <c r="C3255" s="39" t="n">
        <v>45819</v>
      </c>
      <c r="D3255" s="7" t="s">
        <v>391</v>
      </c>
      <c r="E3255" s="7" t="s">
        <v>156</v>
      </c>
      <c r="F3255" s="7" t="s">
        <v>222</v>
      </c>
      <c r="G3255" s="7" t="s">
        <v>505</v>
      </c>
      <c r="H3255" s="6" t="n">
        <v>4.02</v>
      </c>
      <c r="I3255" s="6" t="n">
        <v>0</v>
      </c>
      <c r="J3255" s="40" t="n">
        <f aca="false">H3255-I3255</f>
        <v>4.02</v>
      </c>
      <c r="K3255" s="41" t="n">
        <v>34</v>
      </c>
      <c r="L3255" s="42" t="n">
        <f aca="false">J3255*K3255</f>
        <v>136.68</v>
      </c>
      <c r="M3255" s="43" t="n">
        <f aca="false">H3255*17.84*(1+'Chart of Accounts'!$E$67)</f>
        <v>82.115736</v>
      </c>
    </row>
    <row r="3256" customFormat="false" ht="15" hidden="false" customHeight="false" outlineLevel="0" collapsed="false">
      <c r="B3256" s="7" t="s">
        <v>3753</v>
      </c>
      <c r="C3256" s="39" t="n">
        <v>45819</v>
      </c>
      <c r="D3256" s="7" t="s">
        <v>393</v>
      </c>
      <c r="E3256" s="7" t="s">
        <v>157</v>
      </c>
      <c r="F3256" s="7" t="s">
        <v>203</v>
      </c>
      <c r="G3256" s="7" t="s">
        <v>502</v>
      </c>
      <c r="H3256" s="6" t="n">
        <v>0.92</v>
      </c>
      <c r="I3256" s="6" t="n">
        <v>0</v>
      </c>
      <c r="J3256" s="40" t="n">
        <f aca="false">H3256-I3256</f>
        <v>0.92</v>
      </c>
      <c r="K3256" s="41" t="n">
        <v>165</v>
      </c>
      <c r="L3256" s="42" t="n">
        <f aca="false">J3256*K3256</f>
        <v>151.8</v>
      </c>
      <c r="M3256" s="43" t="n">
        <f aca="false">H3256*49.43*(1+'Chart of Accounts'!$E$67)</f>
        <v>52.069562</v>
      </c>
    </row>
    <row r="3257" customFormat="false" ht="15" hidden="false" customHeight="false" outlineLevel="0" collapsed="false">
      <c r="B3257" s="7" t="s">
        <v>3754</v>
      </c>
      <c r="C3257" s="39" t="n">
        <v>45819</v>
      </c>
      <c r="D3257" s="7" t="s">
        <v>395</v>
      </c>
      <c r="E3257" s="7" t="s">
        <v>156</v>
      </c>
      <c r="F3257" s="7" t="s">
        <v>242</v>
      </c>
      <c r="G3257" s="7" t="s">
        <v>505</v>
      </c>
      <c r="H3257" s="6" t="n">
        <v>3.96</v>
      </c>
      <c r="I3257" s="6" t="n">
        <v>0</v>
      </c>
      <c r="J3257" s="40" t="n">
        <f aca="false">H3257-I3257</f>
        <v>3.96</v>
      </c>
      <c r="K3257" s="41" t="n">
        <v>34</v>
      </c>
      <c r="L3257" s="42" t="n">
        <f aca="false">J3257*K3257</f>
        <v>134.64</v>
      </c>
      <c r="M3257" s="43" t="n">
        <f aca="false">H3257*17.99*(1+'Chart of Accounts'!$E$67)</f>
        <v>81.570258</v>
      </c>
    </row>
    <row r="3258" customFormat="false" ht="15" hidden="false" customHeight="false" outlineLevel="0" collapsed="false">
      <c r="B3258" s="7" t="s">
        <v>3755</v>
      </c>
      <c r="C3258" s="39" t="n">
        <v>45819</v>
      </c>
      <c r="D3258" s="7" t="s">
        <v>399</v>
      </c>
      <c r="E3258" s="7" t="s">
        <v>154</v>
      </c>
      <c r="F3258" s="7" t="s">
        <v>196</v>
      </c>
      <c r="G3258" s="7" t="s">
        <v>505</v>
      </c>
      <c r="H3258" s="6" t="n">
        <v>3.58</v>
      </c>
      <c r="I3258" s="6" t="n">
        <v>0</v>
      </c>
      <c r="J3258" s="40" t="n">
        <f aca="false">H3258-I3258</f>
        <v>3.58</v>
      </c>
      <c r="K3258" s="41" t="n">
        <v>26.5</v>
      </c>
      <c r="L3258" s="42" t="n">
        <f aca="false">J3258*K3258</f>
        <v>94.87</v>
      </c>
      <c r="M3258" s="43" t="n">
        <f aca="false">H3258*15.05*(1+'Chart of Accounts'!$E$67)</f>
        <v>61.691455</v>
      </c>
    </row>
    <row r="3259" customFormat="false" ht="15" hidden="false" customHeight="false" outlineLevel="0" collapsed="false">
      <c r="B3259" s="7" t="s">
        <v>3756</v>
      </c>
      <c r="C3259" s="39" t="n">
        <v>45819</v>
      </c>
      <c r="D3259" s="7" t="s">
        <v>401</v>
      </c>
      <c r="E3259" s="7" t="s">
        <v>156</v>
      </c>
      <c r="F3259" s="7" t="s">
        <v>254</v>
      </c>
      <c r="G3259" s="7" t="s">
        <v>505</v>
      </c>
      <c r="H3259" s="6" t="n">
        <v>4.24</v>
      </c>
      <c r="I3259" s="6" t="n">
        <v>0</v>
      </c>
      <c r="J3259" s="40" t="n">
        <f aca="false">H3259-I3259</f>
        <v>4.24</v>
      </c>
      <c r="K3259" s="41" t="n">
        <v>34</v>
      </c>
      <c r="L3259" s="42" t="n">
        <f aca="false">J3259*K3259</f>
        <v>144.16</v>
      </c>
      <c r="M3259" s="43" t="n">
        <f aca="false">H3259*17.1*(1+'Chart of Accounts'!$E$67)</f>
        <v>83.01708</v>
      </c>
    </row>
    <row r="3260" customFormat="false" ht="15" hidden="false" customHeight="false" outlineLevel="0" collapsed="false">
      <c r="B3260" s="7" t="s">
        <v>3757</v>
      </c>
      <c r="C3260" s="39" t="n">
        <v>45819</v>
      </c>
      <c r="D3260" s="7" t="s">
        <v>409</v>
      </c>
      <c r="E3260" s="7" t="s">
        <v>154</v>
      </c>
      <c r="F3260" s="7" t="s">
        <v>214</v>
      </c>
      <c r="G3260" s="7" t="s">
        <v>505</v>
      </c>
      <c r="H3260" s="6" t="n">
        <v>3.05</v>
      </c>
      <c r="I3260" s="6" t="n">
        <v>0</v>
      </c>
      <c r="J3260" s="40" t="n">
        <f aca="false">H3260-I3260</f>
        <v>3.05</v>
      </c>
      <c r="K3260" s="41" t="n">
        <v>26.5</v>
      </c>
      <c r="L3260" s="42" t="n">
        <f aca="false">J3260*K3260</f>
        <v>80.825</v>
      </c>
      <c r="M3260" s="43" t="n">
        <f aca="false">H3260*15.67*(1+'Chart of Accounts'!$E$67)</f>
        <v>54.7235575</v>
      </c>
    </row>
    <row r="3261" customFormat="false" ht="15" hidden="false" customHeight="false" outlineLevel="0" collapsed="false">
      <c r="B3261" s="7" t="s">
        <v>3758</v>
      </c>
      <c r="C3261" s="39" t="n">
        <v>45819</v>
      </c>
      <c r="D3261" s="7" t="s">
        <v>411</v>
      </c>
      <c r="E3261" s="7" t="s">
        <v>154</v>
      </c>
      <c r="F3261" s="7" t="s">
        <v>177</v>
      </c>
      <c r="G3261" s="7" t="s">
        <v>505</v>
      </c>
      <c r="H3261" s="6" t="n">
        <v>4.62</v>
      </c>
      <c r="I3261" s="6" t="n">
        <v>0</v>
      </c>
      <c r="J3261" s="40" t="n">
        <f aca="false">H3261-I3261</f>
        <v>4.62</v>
      </c>
      <c r="K3261" s="41" t="n">
        <v>26.5</v>
      </c>
      <c r="L3261" s="42" t="n">
        <f aca="false">J3261*K3261</f>
        <v>122.43</v>
      </c>
      <c r="M3261" s="43" t="n">
        <f aca="false">H3261*14.56*(1+'Chart of Accounts'!$E$67)</f>
        <v>77.020944</v>
      </c>
    </row>
    <row r="3262" customFormat="false" ht="15" hidden="false" customHeight="false" outlineLevel="0" collapsed="false">
      <c r="B3262" s="7" t="s">
        <v>3759</v>
      </c>
      <c r="C3262" s="39" t="n">
        <v>45820</v>
      </c>
      <c r="D3262" s="7" t="s">
        <v>288</v>
      </c>
      <c r="E3262" s="7" t="s">
        <v>156</v>
      </c>
      <c r="F3262" s="7" t="s">
        <v>184</v>
      </c>
      <c r="G3262" s="7" t="s">
        <v>505</v>
      </c>
      <c r="H3262" s="6" t="n">
        <v>3.66</v>
      </c>
      <c r="I3262" s="6" t="n">
        <v>0</v>
      </c>
      <c r="J3262" s="40" t="n">
        <f aca="false">H3262-I3262</f>
        <v>3.66</v>
      </c>
      <c r="K3262" s="41" t="n">
        <v>34</v>
      </c>
      <c r="L3262" s="42" t="n">
        <f aca="false">J3262*K3262</f>
        <v>124.44</v>
      </c>
      <c r="M3262" s="43" t="n">
        <f aca="false">H3262*17.34*(1+'Chart of Accounts'!$E$67)</f>
        <v>72.666738</v>
      </c>
    </row>
    <row r="3263" customFormat="false" ht="15" hidden="false" customHeight="false" outlineLevel="0" collapsed="false">
      <c r="B3263" s="7" t="s">
        <v>3760</v>
      </c>
      <c r="C3263" s="39" t="n">
        <v>45820</v>
      </c>
      <c r="D3263" s="7" t="s">
        <v>297</v>
      </c>
      <c r="E3263" s="7" t="s">
        <v>156</v>
      </c>
      <c r="F3263" s="7" t="s">
        <v>201</v>
      </c>
      <c r="G3263" s="7" t="s">
        <v>505</v>
      </c>
      <c r="H3263" s="6" t="n">
        <v>3.26</v>
      </c>
      <c r="I3263" s="6" t="n">
        <v>0</v>
      </c>
      <c r="J3263" s="40" t="n">
        <f aca="false">H3263-I3263</f>
        <v>3.26</v>
      </c>
      <c r="K3263" s="41" t="n">
        <v>34</v>
      </c>
      <c r="L3263" s="42" t="n">
        <f aca="false">J3263*K3263</f>
        <v>110.84</v>
      </c>
      <c r="M3263" s="43" t="n">
        <f aca="false">H3263*15.19*(1+'Chart of Accounts'!$E$67)</f>
        <v>56.699713</v>
      </c>
    </row>
    <row r="3264" customFormat="false" ht="15" hidden="false" customHeight="false" outlineLevel="0" collapsed="false">
      <c r="B3264" s="7" t="s">
        <v>3761</v>
      </c>
      <c r="C3264" s="39" t="n">
        <v>45820</v>
      </c>
      <c r="D3264" s="7" t="s">
        <v>311</v>
      </c>
      <c r="E3264" s="7" t="s">
        <v>154</v>
      </c>
      <c r="F3264" s="7" t="s">
        <v>196</v>
      </c>
      <c r="G3264" s="7" t="s">
        <v>505</v>
      </c>
      <c r="H3264" s="6" t="n">
        <v>3.2</v>
      </c>
      <c r="I3264" s="6" t="n">
        <v>0</v>
      </c>
      <c r="J3264" s="40" t="n">
        <f aca="false">H3264-I3264</f>
        <v>3.2</v>
      </c>
      <c r="K3264" s="41" t="n">
        <v>26.5</v>
      </c>
      <c r="L3264" s="42" t="n">
        <f aca="false">J3264*K3264</f>
        <v>84.8</v>
      </c>
      <c r="M3264" s="43" t="n">
        <f aca="false">H3264*15.05*(1+'Chart of Accounts'!$E$67)</f>
        <v>55.1432</v>
      </c>
    </row>
    <row r="3265" customFormat="false" ht="15" hidden="false" customHeight="false" outlineLevel="0" collapsed="false">
      <c r="B3265" s="7" t="s">
        <v>3762</v>
      </c>
      <c r="C3265" s="39" t="n">
        <v>45820</v>
      </c>
      <c r="D3265" s="7" t="s">
        <v>313</v>
      </c>
      <c r="E3265" s="7" t="s">
        <v>156</v>
      </c>
      <c r="F3265" s="7" t="s">
        <v>184</v>
      </c>
      <c r="G3265" s="7" t="s">
        <v>505</v>
      </c>
      <c r="H3265" s="6" t="n">
        <v>3.63</v>
      </c>
      <c r="I3265" s="6" t="n">
        <v>0</v>
      </c>
      <c r="J3265" s="40" t="n">
        <f aca="false">H3265-I3265</f>
        <v>3.63</v>
      </c>
      <c r="K3265" s="41" t="n">
        <v>34</v>
      </c>
      <c r="L3265" s="42" t="n">
        <f aca="false">J3265*K3265</f>
        <v>123.42</v>
      </c>
      <c r="M3265" s="43" t="n">
        <f aca="false">H3265*17.34*(1+'Chart of Accounts'!$E$67)</f>
        <v>72.071109</v>
      </c>
    </row>
    <row r="3266" customFormat="false" ht="15" hidden="false" customHeight="false" outlineLevel="0" collapsed="false">
      <c r="B3266" s="7" t="s">
        <v>3763</v>
      </c>
      <c r="C3266" s="39" t="n">
        <v>45820</v>
      </c>
      <c r="D3266" s="7" t="s">
        <v>317</v>
      </c>
      <c r="E3266" s="7" t="s">
        <v>156</v>
      </c>
      <c r="F3266" s="7" t="s">
        <v>207</v>
      </c>
      <c r="G3266" s="7" t="s">
        <v>505</v>
      </c>
      <c r="H3266" s="6" t="n">
        <v>2.78</v>
      </c>
      <c r="I3266" s="6" t="n">
        <v>0</v>
      </c>
      <c r="J3266" s="40" t="n">
        <f aca="false">H3266-I3266</f>
        <v>2.78</v>
      </c>
      <c r="K3266" s="41" t="n">
        <v>34</v>
      </c>
      <c r="L3266" s="42" t="n">
        <f aca="false">J3266*K3266</f>
        <v>94.52</v>
      </c>
      <c r="M3266" s="43" t="n">
        <f aca="false">H3266*16.65*(1+'Chart of Accounts'!$E$67)</f>
        <v>52.998615</v>
      </c>
    </row>
    <row r="3267" customFormat="false" ht="15" hidden="false" customHeight="false" outlineLevel="0" collapsed="false">
      <c r="B3267" s="7" t="s">
        <v>3764</v>
      </c>
      <c r="C3267" s="39" t="n">
        <v>45820</v>
      </c>
      <c r="D3267" s="7" t="s">
        <v>321</v>
      </c>
      <c r="E3267" s="7" t="s">
        <v>154</v>
      </c>
      <c r="F3267" s="7" t="s">
        <v>218</v>
      </c>
      <c r="G3267" s="7" t="s">
        <v>505</v>
      </c>
      <c r="H3267" s="6" t="n">
        <v>4.14</v>
      </c>
      <c r="I3267" s="6" t="n">
        <v>0</v>
      </c>
      <c r="J3267" s="40" t="n">
        <f aca="false">H3267-I3267</f>
        <v>4.14</v>
      </c>
      <c r="K3267" s="41" t="n">
        <v>26.5</v>
      </c>
      <c r="L3267" s="42" t="n">
        <f aca="false">J3267*K3267</f>
        <v>109.71</v>
      </c>
      <c r="M3267" s="43" t="n">
        <f aca="false">H3267*16.19*(1+'Chart of Accounts'!$E$67)</f>
        <v>76.745457</v>
      </c>
    </row>
    <row r="3268" customFormat="false" ht="15" hidden="false" customHeight="false" outlineLevel="0" collapsed="false">
      <c r="B3268" s="7" t="s">
        <v>3765</v>
      </c>
      <c r="C3268" s="39" t="n">
        <v>45820</v>
      </c>
      <c r="D3268" s="7" t="s">
        <v>325</v>
      </c>
      <c r="E3268" s="7" t="s">
        <v>154</v>
      </c>
      <c r="F3268" s="7" t="s">
        <v>212</v>
      </c>
      <c r="G3268" s="7" t="s">
        <v>505</v>
      </c>
      <c r="H3268" s="6" t="n">
        <v>3.19</v>
      </c>
      <c r="I3268" s="6" t="n">
        <v>0</v>
      </c>
      <c r="J3268" s="40" t="n">
        <f aca="false">H3268-I3268</f>
        <v>3.19</v>
      </c>
      <c r="K3268" s="41" t="n">
        <v>26.5</v>
      </c>
      <c r="L3268" s="42" t="n">
        <f aca="false">J3268*K3268</f>
        <v>84.535</v>
      </c>
      <c r="M3268" s="43" t="n">
        <f aca="false">H3268*16.71*(1+'Chart of Accounts'!$E$67)</f>
        <v>61.0341105</v>
      </c>
    </row>
    <row r="3269" customFormat="false" ht="15" hidden="false" customHeight="false" outlineLevel="0" collapsed="false">
      <c r="B3269" s="7" t="s">
        <v>3766</v>
      </c>
      <c r="C3269" s="39" t="n">
        <v>45820</v>
      </c>
      <c r="D3269" s="7" t="s">
        <v>329</v>
      </c>
      <c r="E3269" s="7" t="s">
        <v>156</v>
      </c>
      <c r="F3269" s="7" t="s">
        <v>220</v>
      </c>
      <c r="G3269" s="7" t="s">
        <v>505</v>
      </c>
      <c r="H3269" s="6" t="n">
        <v>3.76</v>
      </c>
      <c r="I3269" s="6" t="n">
        <v>0</v>
      </c>
      <c r="J3269" s="40" t="n">
        <f aca="false">H3269-I3269</f>
        <v>3.76</v>
      </c>
      <c r="K3269" s="41" t="n">
        <v>34</v>
      </c>
      <c r="L3269" s="42" t="n">
        <f aca="false">J3269*K3269</f>
        <v>127.84</v>
      </c>
      <c r="M3269" s="43" t="n">
        <f aca="false">H3269*16.43*(1+'Chart of Accounts'!$E$67)</f>
        <v>70.734436</v>
      </c>
    </row>
    <row r="3270" customFormat="false" ht="15" hidden="false" customHeight="false" outlineLevel="0" collapsed="false">
      <c r="B3270" s="7" t="s">
        <v>3767</v>
      </c>
      <c r="C3270" s="39" t="n">
        <v>45820</v>
      </c>
      <c r="D3270" s="7" t="s">
        <v>331</v>
      </c>
      <c r="E3270" s="7" t="s">
        <v>156</v>
      </c>
      <c r="F3270" s="7" t="s">
        <v>224</v>
      </c>
      <c r="G3270" s="7" t="s">
        <v>505</v>
      </c>
      <c r="H3270" s="6" t="n">
        <v>4.29</v>
      </c>
      <c r="I3270" s="6" t="n">
        <v>0</v>
      </c>
      <c r="J3270" s="40" t="n">
        <f aca="false">H3270-I3270</f>
        <v>4.29</v>
      </c>
      <c r="K3270" s="41" t="n">
        <v>34</v>
      </c>
      <c r="L3270" s="42" t="n">
        <f aca="false">J3270*K3270</f>
        <v>145.86</v>
      </c>
      <c r="M3270" s="43" t="n">
        <f aca="false">H3270*14.93*(1+'Chart of Accounts'!$E$67)</f>
        <v>73.3369065</v>
      </c>
    </row>
    <row r="3271" customFormat="false" ht="15" hidden="false" customHeight="false" outlineLevel="0" collapsed="false">
      <c r="B3271" s="7" t="s">
        <v>3768</v>
      </c>
      <c r="C3271" s="39" t="n">
        <v>45820</v>
      </c>
      <c r="D3271" s="7" t="s">
        <v>337</v>
      </c>
      <c r="E3271" s="7" t="s">
        <v>154</v>
      </c>
      <c r="F3271" s="7" t="s">
        <v>232</v>
      </c>
      <c r="G3271" s="7" t="s">
        <v>505</v>
      </c>
      <c r="H3271" s="6" t="n">
        <v>2.74</v>
      </c>
      <c r="I3271" s="6" t="n">
        <v>0</v>
      </c>
      <c r="J3271" s="40" t="n">
        <f aca="false">H3271-I3271</f>
        <v>2.74</v>
      </c>
      <c r="K3271" s="41" t="n">
        <v>26.5</v>
      </c>
      <c r="L3271" s="42" t="n">
        <f aca="false">J3271*K3271</f>
        <v>72.61</v>
      </c>
      <c r="M3271" s="43" t="n">
        <f aca="false">H3271*16.17*(1+'Chart of Accounts'!$E$67)</f>
        <v>50.730141</v>
      </c>
    </row>
    <row r="3272" customFormat="false" ht="15" hidden="false" customHeight="false" outlineLevel="0" collapsed="false">
      <c r="B3272" s="7" t="s">
        <v>3769</v>
      </c>
      <c r="C3272" s="39" t="n">
        <v>45820</v>
      </c>
      <c r="D3272" s="7" t="s">
        <v>341</v>
      </c>
      <c r="E3272" s="7" t="s">
        <v>156</v>
      </c>
      <c r="F3272" s="7" t="s">
        <v>222</v>
      </c>
      <c r="G3272" s="7" t="s">
        <v>505</v>
      </c>
      <c r="H3272" s="6" t="n">
        <v>2.81</v>
      </c>
      <c r="I3272" s="6" t="n">
        <v>0</v>
      </c>
      <c r="J3272" s="40" t="n">
        <f aca="false">H3272-I3272</f>
        <v>2.81</v>
      </c>
      <c r="K3272" s="41" t="n">
        <v>34</v>
      </c>
      <c r="L3272" s="42" t="n">
        <f aca="false">J3272*K3272</f>
        <v>95.54</v>
      </c>
      <c r="M3272" s="43" t="n">
        <f aca="false">H3272*17.84*(1+'Chart of Accounts'!$E$67)</f>
        <v>57.399308</v>
      </c>
    </row>
    <row r="3273" customFormat="false" ht="15" hidden="false" customHeight="false" outlineLevel="0" collapsed="false">
      <c r="B3273" s="7" t="s">
        <v>3770</v>
      </c>
      <c r="C3273" s="39" t="n">
        <v>45820</v>
      </c>
      <c r="D3273" s="7" t="s">
        <v>343</v>
      </c>
      <c r="E3273" s="7" t="s">
        <v>154</v>
      </c>
      <c r="F3273" s="7" t="s">
        <v>222</v>
      </c>
      <c r="G3273" s="7" t="s">
        <v>505</v>
      </c>
      <c r="H3273" s="6" t="n">
        <v>3.9</v>
      </c>
      <c r="I3273" s="6" t="n">
        <v>0</v>
      </c>
      <c r="J3273" s="40" t="n">
        <f aca="false">H3273-I3273</f>
        <v>3.9</v>
      </c>
      <c r="K3273" s="41" t="n">
        <v>26.5</v>
      </c>
      <c r="L3273" s="42" t="n">
        <f aca="false">J3273*K3273</f>
        <v>103.35</v>
      </c>
      <c r="M3273" s="43" t="n">
        <f aca="false">H3273*17.84*(1+'Chart of Accounts'!$E$67)</f>
        <v>79.66452</v>
      </c>
    </row>
    <row r="3274" customFormat="false" ht="15" hidden="false" customHeight="false" outlineLevel="0" collapsed="false">
      <c r="B3274" s="7" t="s">
        <v>3771</v>
      </c>
      <c r="C3274" s="39" t="n">
        <v>45820</v>
      </c>
      <c r="D3274" s="7" t="s">
        <v>351</v>
      </c>
      <c r="E3274" s="7" t="s">
        <v>154</v>
      </c>
      <c r="F3274" s="7" t="s">
        <v>201</v>
      </c>
      <c r="G3274" s="7" t="s">
        <v>505</v>
      </c>
      <c r="H3274" s="6" t="n">
        <v>3.09</v>
      </c>
      <c r="I3274" s="6" t="n">
        <v>0</v>
      </c>
      <c r="J3274" s="40" t="n">
        <f aca="false">H3274-I3274</f>
        <v>3.09</v>
      </c>
      <c r="K3274" s="41" t="n">
        <v>26.5</v>
      </c>
      <c r="L3274" s="42" t="n">
        <f aca="false">J3274*K3274</f>
        <v>81.885</v>
      </c>
      <c r="M3274" s="43" t="n">
        <f aca="false">H3274*15.19*(1+'Chart of Accounts'!$E$67)</f>
        <v>53.7429795</v>
      </c>
    </row>
    <row r="3275" customFormat="false" ht="15" hidden="false" customHeight="false" outlineLevel="0" collapsed="false">
      <c r="B3275" s="7" t="s">
        <v>3772</v>
      </c>
      <c r="C3275" s="39" t="n">
        <v>45820</v>
      </c>
      <c r="D3275" s="7" t="s">
        <v>359</v>
      </c>
      <c r="E3275" s="7" t="s">
        <v>156</v>
      </c>
      <c r="F3275" s="7" t="s">
        <v>212</v>
      </c>
      <c r="G3275" s="7" t="s">
        <v>505</v>
      </c>
      <c r="H3275" s="6" t="n">
        <v>3.79</v>
      </c>
      <c r="I3275" s="6" t="n">
        <v>0</v>
      </c>
      <c r="J3275" s="40" t="n">
        <f aca="false">H3275-I3275</f>
        <v>3.79</v>
      </c>
      <c r="K3275" s="41" t="n">
        <v>34</v>
      </c>
      <c r="L3275" s="42" t="n">
        <f aca="false">J3275*K3275</f>
        <v>128.86</v>
      </c>
      <c r="M3275" s="43" t="n">
        <f aca="false">H3275*16.71*(1+'Chart of Accounts'!$E$67)</f>
        <v>72.5138805</v>
      </c>
    </row>
    <row r="3276" customFormat="false" ht="15" hidden="false" customHeight="false" outlineLevel="0" collapsed="false">
      <c r="B3276" s="7" t="s">
        <v>3773</v>
      </c>
      <c r="C3276" s="39" t="n">
        <v>45820</v>
      </c>
      <c r="D3276" s="7" t="s">
        <v>363</v>
      </c>
      <c r="E3276" s="7" t="s">
        <v>156</v>
      </c>
      <c r="F3276" s="7" t="s">
        <v>246</v>
      </c>
      <c r="G3276" s="7" t="s">
        <v>505</v>
      </c>
      <c r="H3276" s="6" t="n">
        <v>4.24</v>
      </c>
      <c r="I3276" s="6" t="n">
        <v>0</v>
      </c>
      <c r="J3276" s="40" t="n">
        <f aca="false">H3276-I3276</f>
        <v>4.24</v>
      </c>
      <c r="K3276" s="41" t="n">
        <v>34</v>
      </c>
      <c r="L3276" s="42" t="n">
        <f aca="false">J3276*K3276</f>
        <v>144.16</v>
      </c>
      <c r="M3276" s="43" t="n">
        <f aca="false">H3276*16.48*(1+'Chart of Accounts'!$E$67)</f>
        <v>80.007104</v>
      </c>
    </row>
    <row r="3277" customFormat="false" ht="15" hidden="false" customHeight="false" outlineLevel="0" collapsed="false">
      <c r="B3277" s="7" t="s">
        <v>3774</v>
      </c>
      <c r="C3277" s="39" t="n">
        <v>45820</v>
      </c>
      <c r="D3277" s="7" t="s">
        <v>365</v>
      </c>
      <c r="E3277" s="7" t="s">
        <v>154</v>
      </c>
      <c r="F3277" s="7" t="s">
        <v>194</v>
      </c>
      <c r="G3277" s="7" t="s">
        <v>505</v>
      </c>
      <c r="H3277" s="6" t="n">
        <v>3.98</v>
      </c>
      <c r="I3277" s="6" t="n">
        <v>0.119</v>
      </c>
      <c r="J3277" s="40" t="n">
        <f aca="false">H3277-I3277</f>
        <v>3.861</v>
      </c>
      <c r="K3277" s="41" t="n">
        <v>26.5</v>
      </c>
      <c r="L3277" s="42" t="n">
        <f aca="false">J3277*K3277</f>
        <v>102.3165</v>
      </c>
      <c r="M3277" s="43" t="n">
        <f aca="false">H3277*16*(1+'Chart of Accounts'!$E$67)</f>
        <v>72.9136</v>
      </c>
    </row>
    <row r="3278" customFormat="false" ht="15" hidden="false" customHeight="false" outlineLevel="0" collapsed="false">
      <c r="B3278" s="7" t="s">
        <v>3775</v>
      </c>
      <c r="C3278" s="39" t="n">
        <v>45820</v>
      </c>
      <c r="D3278" s="7" t="s">
        <v>375</v>
      </c>
      <c r="E3278" s="7" t="s">
        <v>156</v>
      </c>
      <c r="F3278" s="7" t="s">
        <v>196</v>
      </c>
      <c r="G3278" s="7" t="s">
        <v>505</v>
      </c>
      <c r="H3278" s="6" t="n">
        <v>3.23</v>
      </c>
      <c r="I3278" s="6" t="n">
        <v>0</v>
      </c>
      <c r="J3278" s="40" t="n">
        <f aca="false">H3278-I3278</f>
        <v>3.23</v>
      </c>
      <c r="K3278" s="41" t="n">
        <v>34</v>
      </c>
      <c r="L3278" s="42" t="n">
        <f aca="false">J3278*K3278</f>
        <v>109.82</v>
      </c>
      <c r="M3278" s="43" t="n">
        <f aca="false">H3278*15.05*(1+'Chart of Accounts'!$E$67)</f>
        <v>55.6601675</v>
      </c>
    </row>
    <row r="3279" customFormat="false" ht="15" hidden="false" customHeight="false" outlineLevel="0" collapsed="false">
      <c r="B3279" s="7" t="s">
        <v>3776</v>
      </c>
      <c r="C3279" s="39" t="n">
        <v>45820</v>
      </c>
      <c r="D3279" s="7" t="s">
        <v>377</v>
      </c>
      <c r="E3279" s="7" t="s">
        <v>154</v>
      </c>
      <c r="F3279" s="7" t="s">
        <v>214</v>
      </c>
      <c r="G3279" s="7" t="s">
        <v>505</v>
      </c>
      <c r="H3279" s="6" t="n">
        <v>4.38</v>
      </c>
      <c r="I3279" s="6" t="n">
        <v>0</v>
      </c>
      <c r="J3279" s="40" t="n">
        <f aca="false">H3279-I3279</f>
        <v>4.38</v>
      </c>
      <c r="K3279" s="41" t="n">
        <v>26.5</v>
      </c>
      <c r="L3279" s="42" t="n">
        <f aca="false">J3279*K3279</f>
        <v>116.07</v>
      </c>
      <c r="M3279" s="43" t="n">
        <f aca="false">H3279*15.67*(1+'Chart of Accounts'!$E$67)</f>
        <v>78.586617</v>
      </c>
    </row>
    <row r="3280" customFormat="false" ht="15" hidden="false" customHeight="false" outlineLevel="0" collapsed="false">
      <c r="B3280" s="7" t="s">
        <v>3777</v>
      </c>
      <c r="C3280" s="39" t="n">
        <v>45820</v>
      </c>
      <c r="D3280" s="7" t="s">
        <v>389</v>
      </c>
      <c r="E3280" s="7" t="s">
        <v>154</v>
      </c>
      <c r="F3280" s="7" t="s">
        <v>246</v>
      </c>
      <c r="G3280" s="7" t="s">
        <v>505</v>
      </c>
      <c r="H3280" s="6" t="n">
        <v>3.69</v>
      </c>
      <c r="I3280" s="6" t="n">
        <v>0</v>
      </c>
      <c r="J3280" s="40" t="n">
        <f aca="false">H3280-I3280</f>
        <v>3.69</v>
      </c>
      <c r="K3280" s="41" t="n">
        <v>26.5</v>
      </c>
      <c r="L3280" s="42" t="n">
        <f aca="false">J3280*K3280</f>
        <v>97.785</v>
      </c>
      <c r="M3280" s="43" t="n">
        <f aca="false">H3280*16.48*(1+'Chart of Accounts'!$E$67)</f>
        <v>69.628824</v>
      </c>
    </row>
    <row r="3281" customFormat="false" ht="15" hidden="false" customHeight="false" outlineLevel="0" collapsed="false">
      <c r="B3281" s="7" t="s">
        <v>3778</v>
      </c>
      <c r="C3281" s="39" t="n">
        <v>45820</v>
      </c>
      <c r="D3281" s="7" t="s">
        <v>391</v>
      </c>
      <c r="E3281" s="7" t="s">
        <v>156</v>
      </c>
      <c r="F3281" s="7" t="s">
        <v>222</v>
      </c>
      <c r="G3281" s="7" t="s">
        <v>505</v>
      </c>
      <c r="H3281" s="6" t="n">
        <v>3.69</v>
      </c>
      <c r="I3281" s="6" t="n">
        <v>0</v>
      </c>
      <c r="J3281" s="40" t="n">
        <f aca="false">H3281-I3281</f>
        <v>3.69</v>
      </c>
      <c r="K3281" s="41" t="n">
        <v>34</v>
      </c>
      <c r="L3281" s="42" t="n">
        <f aca="false">J3281*K3281</f>
        <v>125.46</v>
      </c>
      <c r="M3281" s="43" t="n">
        <f aca="false">H3281*17.84*(1+'Chart of Accounts'!$E$67)</f>
        <v>75.374892</v>
      </c>
    </row>
    <row r="3282" customFormat="false" ht="15" hidden="false" customHeight="false" outlineLevel="0" collapsed="false">
      <c r="B3282" s="7" t="s">
        <v>3779</v>
      </c>
      <c r="C3282" s="39" t="n">
        <v>45820</v>
      </c>
      <c r="D3282" s="7" t="s">
        <v>395</v>
      </c>
      <c r="E3282" s="7" t="s">
        <v>156</v>
      </c>
      <c r="F3282" s="7" t="s">
        <v>242</v>
      </c>
      <c r="G3282" s="7" t="s">
        <v>505</v>
      </c>
      <c r="H3282" s="6" t="n">
        <v>4.22</v>
      </c>
      <c r="I3282" s="6" t="n">
        <v>0</v>
      </c>
      <c r="J3282" s="40" t="n">
        <f aca="false">H3282-I3282</f>
        <v>4.22</v>
      </c>
      <c r="K3282" s="41" t="n">
        <v>34</v>
      </c>
      <c r="L3282" s="42" t="n">
        <f aca="false">J3282*K3282</f>
        <v>143.48</v>
      </c>
      <c r="M3282" s="43" t="n">
        <f aca="false">H3282*17.99*(1+'Chart of Accounts'!$E$67)</f>
        <v>86.925881</v>
      </c>
    </row>
    <row r="3283" customFormat="false" ht="15" hidden="false" customHeight="false" outlineLevel="0" collapsed="false">
      <c r="B3283" s="7" t="s">
        <v>3780</v>
      </c>
      <c r="C3283" s="39" t="n">
        <v>45820</v>
      </c>
      <c r="D3283" s="7" t="s">
        <v>401</v>
      </c>
      <c r="E3283" s="7" t="s">
        <v>156</v>
      </c>
      <c r="F3283" s="7" t="s">
        <v>254</v>
      </c>
      <c r="G3283" s="7" t="s">
        <v>505</v>
      </c>
      <c r="H3283" s="6" t="n">
        <v>3.99</v>
      </c>
      <c r="I3283" s="6" t="n">
        <v>0</v>
      </c>
      <c r="J3283" s="40" t="n">
        <f aca="false">H3283-I3283</f>
        <v>3.99</v>
      </c>
      <c r="K3283" s="41" t="n">
        <v>34</v>
      </c>
      <c r="L3283" s="42" t="n">
        <f aca="false">J3283*K3283</f>
        <v>135.66</v>
      </c>
      <c r="M3283" s="43" t="n">
        <f aca="false">H3283*17.1*(1+'Chart of Accounts'!$E$67)</f>
        <v>78.122205</v>
      </c>
    </row>
    <row r="3284" customFormat="false" ht="15" hidden="false" customHeight="false" outlineLevel="0" collapsed="false">
      <c r="B3284" s="7" t="s">
        <v>3781</v>
      </c>
      <c r="C3284" s="39" t="n">
        <v>45821</v>
      </c>
      <c r="D3284" s="7" t="s">
        <v>280</v>
      </c>
      <c r="E3284" s="7" t="s">
        <v>157</v>
      </c>
      <c r="F3284" s="7" t="s">
        <v>187</v>
      </c>
      <c r="G3284" s="7" t="s">
        <v>502</v>
      </c>
      <c r="H3284" s="6" t="n">
        <v>0.96</v>
      </c>
      <c r="I3284" s="6" t="n">
        <v>0</v>
      </c>
      <c r="J3284" s="40" t="n">
        <f aca="false">H3284-I3284</f>
        <v>0.96</v>
      </c>
      <c r="K3284" s="41" t="n">
        <v>165</v>
      </c>
      <c r="L3284" s="42" t="n">
        <f aca="false">J3284*K3284</f>
        <v>158.4</v>
      </c>
      <c r="M3284" s="43" t="n">
        <f aca="false">H3284*66.48*(1+'Chart of Accounts'!$E$67)</f>
        <v>73.074816</v>
      </c>
    </row>
    <row r="3285" customFormat="false" ht="15" hidden="false" customHeight="false" outlineLevel="0" collapsed="false">
      <c r="B3285" s="7" t="s">
        <v>3782</v>
      </c>
      <c r="C3285" s="39" t="n">
        <v>45821</v>
      </c>
      <c r="D3285" s="7" t="s">
        <v>288</v>
      </c>
      <c r="E3285" s="7" t="s">
        <v>156</v>
      </c>
      <c r="F3285" s="7" t="s">
        <v>220</v>
      </c>
      <c r="G3285" s="7" t="s">
        <v>505</v>
      </c>
      <c r="H3285" s="6" t="n">
        <v>4.23</v>
      </c>
      <c r="I3285" s="6" t="n">
        <v>0</v>
      </c>
      <c r="J3285" s="40" t="n">
        <f aca="false">H3285-I3285</f>
        <v>4.23</v>
      </c>
      <c r="K3285" s="41" t="n">
        <v>34</v>
      </c>
      <c r="L3285" s="42" t="n">
        <f aca="false">J3285*K3285</f>
        <v>143.82</v>
      </c>
      <c r="M3285" s="43" t="n">
        <f aca="false">H3285*16.43*(1+'Chart of Accounts'!$E$67)</f>
        <v>79.5762405</v>
      </c>
    </row>
    <row r="3286" customFormat="false" ht="15" hidden="false" customHeight="false" outlineLevel="0" collapsed="false">
      <c r="B3286" s="7" t="s">
        <v>3783</v>
      </c>
      <c r="C3286" s="39" t="n">
        <v>45821</v>
      </c>
      <c r="D3286" s="7" t="s">
        <v>291</v>
      </c>
      <c r="E3286" s="7" t="s">
        <v>154</v>
      </c>
      <c r="F3286" s="7" t="s">
        <v>194</v>
      </c>
      <c r="G3286" s="7" t="s">
        <v>505</v>
      </c>
      <c r="H3286" s="6" t="n">
        <v>4.5</v>
      </c>
      <c r="I3286" s="6" t="n">
        <v>0</v>
      </c>
      <c r="J3286" s="40" t="n">
        <f aca="false">H3286-I3286</f>
        <v>4.5</v>
      </c>
      <c r="K3286" s="41" t="n">
        <v>26.5</v>
      </c>
      <c r="L3286" s="42" t="n">
        <f aca="false">J3286*K3286</f>
        <v>119.25</v>
      </c>
      <c r="M3286" s="43" t="n">
        <f aca="false">H3286*16*(1+'Chart of Accounts'!$E$67)</f>
        <v>82.44</v>
      </c>
    </row>
    <row r="3287" customFormat="false" ht="15" hidden="false" customHeight="false" outlineLevel="0" collapsed="false">
      <c r="B3287" s="7" t="s">
        <v>3784</v>
      </c>
      <c r="C3287" s="39" t="n">
        <v>45821</v>
      </c>
      <c r="D3287" s="7" t="s">
        <v>301</v>
      </c>
      <c r="E3287" s="7" t="s">
        <v>157</v>
      </c>
      <c r="F3287" s="7" t="s">
        <v>209</v>
      </c>
      <c r="G3287" s="7" t="s">
        <v>502</v>
      </c>
      <c r="H3287" s="6" t="n">
        <v>0.98</v>
      </c>
      <c r="I3287" s="6" t="n">
        <v>0</v>
      </c>
      <c r="J3287" s="40" t="n">
        <f aca="false">H3287-I3287</f>
        <v>0.98</v>
      </c>
      <c r="K3287" s="41" t="n">
        <v>165</v>
      </c>
      <c r="L3287" s="42" t="n">
        <f aca="false">J3287*K3287</f>
        <v>161.7</v>
      </c>
      <c r="M3287" s="43" t="n">
        <f aca="false">H3287*73.58*(1+'Chart of Accounts'!$E$67)</f>
        <v>82.564118</v>
      </c>
    </row>
    <row r="3288" customFormat="false" ht="15" hidden="false" customHeight="false" outlineLevel="0" collapsed="false">
      <c r="B3288" s="7" t="s">
        <v>3785</v>
      </c>
      <c r="C3288" s="39" t="n">
        <v>45821</v>
      </c>
      <c r="D3288" s="7" t="s">
        <v>305</v>
      </c>
      <c r="E3288" s="7" t="s">
        <v>154</v>
      </c>
      <c r="F3288" s="7" t="s">
        <v>205</v>
      </c>
      <c r="G3288" s="7" t="s">
        <v>505</v>
      </c>
      <c r="H3288" s="6" t="n">
        <v>4.18</v>
      </c>
      <c r="I3288" s="6" t="n">
        <v>0</v>
      </c>
      <c r="J3288" s="40" t="n">
        <f aca="false">H3288-I3288</f>
        <v>4.18</v>
      </c>
      <c r="K3288" s="41" t="n">
        <v>26.5</v>
      </c>
      <c r="L3288" s="42" t="n">
        <f aca="false">J3288*K3288</f>
        <v>110.77</v>
      </c>
      <c r="M3288" s="43" t="n">
        <f aca="false">H3288*16.36*(1+'Chart of Accounts'!$E$67)</f>
        <v>78.300596</v>
      </c>
    </row>
    <row r="3289" customFormat="false" ht="15" hidden="false" customHeight="false" outlineLevel="0" collapsed="false">
      <c r="B3289" s="7" t="s">
        <v>3786</v>
      </c>
      <c r="C3289" s="39" t="n">
        <v>45821</v>
      </c>
      <c r="D3289" s="7" t="s">
        <v>307</v>
      </c>
      <c r="E3289" s="7" t="s">
        <v>157</v>
      </c>
      <c r="F3289" s="7" t="s">
        <v>264</v>
      </c>
      <c r="G3289" s="7" t="s">
        <v>502</v>
      </c>
      <c r="H3289" s="6" t="n">
        <v>0.96</v>
      </c>
      <c r="I3289" s="6" t="n">
        <v>0</v>
      </c>
      <c r="J3289" s="40" t="n">
        <f aca="false">H3289-I3289</f>
        <v>0.96</v>
      </c>
      <c r="K3289" s="41" t="n">
        <v>165</v>
      </c>
      <c r="L3289" s="42" t="n">
        <f aca="false">J3289*K3289</f>
        <v>158.4</v>
      </c>
      <c r="M3289" s="43" t="n">
        <f aca="false">H3289*55.55*(1+'Chart of Accounts'!$E$67)</f>
        <v>61.06056</v>
      </c>
    </row>
    <row r="3290" customFormat="false" ht="15" hidden="false" customHeight="false" outlineLevel="0" collapsed="false">
      <c r="B3290" s="7" t="s">
        <v>3787</v>
      </c>
      <c r="C3290" s="39" t="n">
        <v>45821</v>
      </c>
      <c r="D3290" s="7" t="s">
        <v>309</v>
      </c>
      <c r="E3290" s="7" t="s">
        <v>159</v>
      </c>
      <c r="F3290" s="7" t="s">
        <v>252</v>
      </c>
      <c r="G3290" s="7" t="s">
        <v>502</v>
      </c>
      <c r="H3290" s="6" t="n">
        <v>0.93</v>
      </c>
      <c r="I3290" s="6" t="n">
        <v>0</v>
      </c>
      <c r="J3290" s="40" t="n">
        <f aca="false">H3290-I3290</f>
        <v>0.93</v>
      </c>
      <c r="K3290" s="41" t="n">
        <v>135</v>
      </c>
      <c r="L3290" s="42" t="n">
        <f aca="false">J3290*K3290</f>
        <v>125.55</v>
      </c>
      <c r="M3290" s="43" t="n">
        <f aca="false">H3290*57.54*(1+'Chart of Accounts'!$E$67)</f>
        <v>61.271469</v>
      </c>
    </row>
    <row r="3291" customFormat="false" ht="15" hidden="false" customHeight="false" outlineLevel="0" collapsed="false">
      <c r="B3291" s="7" t="s">
        <v>3788</v>
      </c>
      <c r="C3291" s="39" t="n">
        <v>45821</v>
      </c>
      <c r="D3291" s="7" t="s">
        <v>313</v>
      </c>
      <c r="E3291" s="7" t="s">
        <v>156</v>
      </c>
      <c r="F3291" s="7" t="s">
        <v>184</v>
      </c>
      <c r="G3291" s="7" t="s">
        <v>505</v>
      </c>
      <c r="H3291" s="6" t="n">
        <v>4.36</v>
      </c>
      <c r="I3291" s="6" t="n">
        <v>0</v>
      </c>
      <c r="J3291" s="40" t="n">
        <f aca="false">H3291-I3291</f>
        <v>4.36</v>
      </c>
      <c r="K3291" s="41" t="n">
        <v>34</v>
      </c>
      <c r="L3291" s="42" t="n">
        <f aca="false">J3291*K3291</f>
        <v>148.24</v>
      </c>
      <c r="M3291" s="43" t="n">
        <f aca="false">H3291*17.34*(1+'Chart of Accounts'!$E$67)</f>
        <v>86.564748</v>
      </c>
    </row>
    <row r="3292" customFormat="false" ht="15" hidden="false" customHeight="false" outlineLevel="0" collapsed="false">
      <c r="B3292" s="7" t="s">
        <v>3789</v>
      </c>
      <c r="C3292" s="39" t="n">
        <v>45821</v>
      </c>
      <c r="D3292" s="7" t="s">
        <v>321</v>
      </c>
      <c r="E3292" s="7" t="s">
        <v>154</v>
      </c>
      <c r="F3292" s="7" t="s">
        <v>218</v>
      </c>
      <c r="G3292" s="7" t="s">
        <v>505</v>
      </c>
      <c r="H3292" s="6" t="n">
        <v>3.62</v>
      </c>
      <c r="I3292" s="6" t="n">
        <v>0</v>
      </c>
      <c r="J3292" s="40" t="n">
        <f aca="false">H3292-I3292</f>
        <v>3.62</v>
      </c>
      <c r="K3292" s="41" t="n">
        <v>26.5</v>
      </c>
      <c r="L3292" s="42" t="n">
        <f aca="false">J3292*K3292</f>
        <v>95.93</v>
      </c>
      <c r="M3292" s="43" t="n">
        <f aca="false">H3292*16.19*(1+'Chart of Accounts'!$E$67)</f>
        <v>67.105931</v>
      </c>
    </row>
    <row r="3293" customFormat="false" ht="15" hidden="false" customHeight="false" outlineLevel="0" collapsed="false">
      <c r="B3293" s="7" t="s">
        <v>3790</v>
      </c>
      <c r="C3293" s="39" t="n">
        <v>45821</v>
      </c>
      <c r="D3293" s="7" t="s">
        <v>323</v>
      </c>
      <c r="E3293" s="7" t="s">
        <v>159</v>
      </c>
      <c r="F3293" s="7" t="s">
        <v>266</v>
      </c>
      <c r="G3293" s="7" t="s">
        <v>502</v>
      </c>
      <c r="H3293" s="6" t="n">
        <v>0.97</v>
      </c>
      <c r="I3293" s="6" t="n">
        <v>0</v>
      </c>
      <c r="J3293" s="40" t="n">
        <f aca="false">H3293-I3293</f>
        <v>0.97</v>
      </c>
      <c r="K3293" s="41" t="n">
        <v>135</v>
      </c>
      <c r="L3293" s="42" t="n">
        <f aca="false">J3293*K3293</f>
        <v>130.95</v>
      </c>
      <c r="M3293" s="43" t="n">
        <f aca="false">H3293*75.18*(1+'Chart of Accounts'!$E$67)</f>
        <v>83.498667</v>
      </c>
    </row>
    <row r="3294" customFormat="false" ht="15" hidden="false" customHeight="false" outlineLevel="0" collapsed="false">
      <c r="B3294" s="7" t="s">
        <v>3791</v>
      </c>
      <c r="C3294" s="39" t="n">
        <v>45821</v>
      </c>
      <c r="D3294" s="7" t="s">
        <v>327</v>
      </c>
      <c r="E3294" s="7" t="s">
        <v>157</v>
      </c>
      <c r="F3294" s="7" t="s">
        <v>228</v>
      </c>
      <c r="G3294" s="7" t="s">
        <v>502</v>
      </c>
      <c r="H3294" s="6" t="n">
        <v>0.91</v>
      </c>
      <c r="I3294" s="6" t="n">
        <v>0</v>
      </c>
      <c r="J3294" s="40" t="n">
        <f aca="false">H3294-I3294</f>
        <v>0.91</v>
      </c>
      <c r="K3294" s="41" t="n">
        <v>165</v>
      </c>
      <c r="L3294" s="42" t="n">
        <f aca="false">J3294*K3294</f>
        <v>150.15</v>
      </c>
      <c r="M3294" s="43" t="n">
        <f aca="false">H3294*51.07*(1+'Chart of Accounts'!$E$67)</f>
        <v>53.2123865</v>
      </c>
    </row>
    <row r="3295" customFormat="false" ht="15" hidden="false" customHeight="false" outlineLevel="0" collapsed="false">
      <c r="B3295" s="7" t="s">
        <v>3792</v>
      </c>
      <c r="C3295" s="39" t="n">
        <v>45821</v>
      </c>
      <c r="D3295" s="7" t="s">
        <v>329</v>
      </c>
      <c r="E3295" s="7" t="s">
        <v>156</v>
      </c>
      <c r="F3295" s="7" t="s">
        <v>220</v>
      </c>
      <c r="G3295" s="7" t="s">
        <v>505</v>
      </c>
      <c r="H3295" s="6" t="n">
        <v>4.03</v>
      </c>
      <c r="I3295" s="6" t="n">
        <v>0</v>
      </c>
      <c r="J3295" s="40" t="n">
        <f aca="false">H3295-I3295</f>
        <v>4.03</v>
      </c>
      <c r="K3295" s="41" t="n">
        <v>34</v>
      </c>
      <c r="L3295" s="42" t="n">
        <f aca="false">J3295*K3295</f>
        <v>137.02</v>
      </c>
      <c r="M3295" s="43" t="n">
        <f aca="false">H3295*16.43*(1+'Chart of Accounts'!$E$67)</f>
        <v>75.8137705</v>
      </c>
    </row>
    <row r="3296" customFormat="false" ht="15" hidden="false" customHeight="false" outlineLevel="0" collapsed="false">
      <c r="B3296" s="7" t="s">
        <v>3793</v>
      </c>
      <c r="C3296" s="39" t="n">
        <v>45821</v>
      </c>
      <c r="D3296" s="7" t="s">
        <v>335</v>
      </c>
      <c r="E3296" s="7" t="s">
        <v>154</v>
      </c>
      <c r="F3296" s="7" t="s">
        <v>177</v>
      </c>
      <c r="G3296" s="7" t="s">
        <v>505</v>
      </c>
      <c r="H3296" s="6" t="n">
        <v>3.92</v>
      </c>
      <c r="I3296" s="6" t="n">
        <v>0</v>
      </c>
      <c r="J3296" s="40" t="n">
        <f aca="false">H3296-I3296</f>
        <v>3.92</v>
      </c>
      <c r="K3296" s="41" t="n">
        <v>26.5</v>
      </c>
      <c r="L3296" s="42" t="n">
        <f aca="false">J3296*K3296</f>
        <v>103.88</v>
      </c>
      <c r="M3296" s="43" t="n">
        <f aca="false">H3296*14.56*(1+'Chart of Accounts'!$E$67)</f>
        <v>65.351104</v>
      </c>
    </row>
    <row r="3297" customFormat="false" ht="15" hidden="false" customHeight="false" outlineLevel="0" collapsed="false">
      <c r="B3297" s="7" t="s">
        <v>3794</v>
      </c>
      <c r="C3297" s="39" t="n">
        <v>45821</v>
      </c>
      <c r="D3297" s="7" t="s">
        <v>339</v>
      </c>
      <c r="E3297" s="7" t="s">
        <v>154</v>
      </c>
      <c r="F3297" s="7" t="s">
        <v>242</v>
      </c>
      <c r="G3297" s="7" t="s">
        <v>505</v>
      </c>
      <c r="H3297" s="6" t="n">
        <v>3.11</v>
      </c>
      <c r="I3297" s="6" t="n">
        <v>0</v>
      </c>
      <c r="J3297" s="40" t="n">
        <f aca="false">H3297-I3297</f>
        <v>3.11</v>
      </c>
      <c r="K3297" s="41" t="n">
        <v>26.5</v>
      </c>
      <c r="L3297" s="42" t="n">
        <f aca="false">J3297*K3297</f>
        <v>82.415</v>
      </c>
      <c r="M3297" s="43" t="n">
        <f aca="false">H3297*17.99*(1+'Chart of Accounts'!$E$67)</f>
        <v>64.0614905</v>
      </c>
    </row>
    <row r="3298" customFormat="false" ht="15" hidden="false" customHeight="false" outlineLevel="0" collapsed="false">
      <c r="B3298" s="7" t="s">
        <v>3795</v>
      </c>
      <c r="C3298" s="39" t="n">
        <v>45821</v>
      </c>
      <c r="D3298" s="7" t="s">
        <v>353</v>
      </c>
      <c r="E3298" s="7" t="s">
        <v>154</v>
      </c>
      <c r="F3298" s="7" t="s">
        <v>254</v>
      </c>
      <c r="G3298" s="7" t="s">
        <v>505</v>
      </c>
      <c r="H3298" s="6" t="n">
        <v>3.37</v>
      </c>
      <c r="I3298" s="6" t="n">
        <v>0.101</v>
      </c>
      <c r="J3298" s="40" t="n">
        <f aca="false">H3298-I3298</f>
        <v>3.269</v>
      </c>
      <c r="K3298" s="41" t="n">
        <v>26.5</v>
      </c>
      <c r="L3298" s="42" t="n">
        <f aca="false">J3298*K3298</f>
        <v>86.6285</v>
      </c>
      <c r="M3298" s="43" t="n">
        <f aca="false">H3298*17.1*(1+'Chart of Accounts'!$E$67)</f>
        <v>65.982915</v>
      </c>
    </row>
    <row r="3299" customFormat="false" ht="15" hidden="false" customHeight="false" outlineLevel="0" collapsed="false">
      <c r="B3299" s="7" t="s">
        <v>3796</v>
      </c>
      <c r="C3299" s="39" t="n">
        <v>45821</v>
      </c>
      <c r="D3299" s="7" t="s">
        <v>355</v>
      </c>
      <c r="E3299" s="7" t="s">
        <v>154</v>
      </c>
      <c r="F3299" s="7" t="s">
        <v>201</v>
      </c>
      <c r="G3299" s="7" t="s">
        <v>505</v>
      </c>
      <c r="H3299" s="6" t="n">
        <v>3.56</v>
      </c>
      <c r="I3299" s="6" t="n">
        <v>0</v>
      </c>
      <c r="J3299" s="40" t="n">
        <f aca="false">H3299-I3299</f>
        <v>3.56</v>
      </c>
      <c r="K3299" s="41" t="n">
        <v>26.5</v>
      </c>
      <c r="L3299" s="42" t="n">
        <f aca="false">J3299*K3299</f>
        <v>94.34</v>
      </c>
      <c r="M3299" s="43" t="n">
        <f aca="false">H3299*15.19*(1+'Chart of Accounts'!$E$67)</f>
        <v>61.917478</v>
      </c>
    </row>
    <row r="3300" customFormat="false" ht="15" hidden="false" customHeight="false" outlineLevel="0" collapsed="false">
      <c r="B3300" s="7" t="s">
        <v>3797</v>
      </c>
      <c r="C3300" s="39" t="n">
        <v>45821</v>
      </c>
      <c r="D3300" s="7" t="s">
        <v>357</v>
      </c>
      <c r="E3300" s="7" t="s">
        <v>154</v>
      </c>
      <c r="F3300" s="7" t="s">
        <v>207</v>
      </c>
      <c r="G3300" s="7" t="s">
        <v>505</v>
      </c>
      <c r="H3300" s="6" t="n">
        <v>3.33</v>
      </c>
      <c r="I3300" s="6" t="n">
        <v>0.1</v>
      </c>
      <c r="J3300" s="40" t="n">
        <f aca="false">H3300-I3300</f>
        <v>3.23</v>
      </c>
      <c r="K3300" s="41" t="n">
        <v>26.5</v>
      </c>
      <c r="L3300" s="42" t="n">
        <f aca="false">J3300*K3300</f>
        <v>85.595</v>
      </c>
      <c r="M3300" s="43" t="n">
        <f aca="false">H3300*16.65*(1+'Chart of Accounts'!$E$67)</f>
        <v>63.4839525</v>
      </c>
    </row>
    <row r="3301" customFormat="false" ht="15" hidden="false" customHeight="false" outlineLevel="0" collapsed="false">
      <c r="B3301" s="7" t="s">
        <v>3798</v>
      </c>
      <c r="C3301" s="39" t="n">
        <v>45821</v>
      </c>
      <c r="D3301" s="7" t="s">
        <v>361</v>
      </c>
      <c r="E3301" s="7" t="s">
        <v>157</v>
      </c>
      <c r="F3301" s="7" t="s">
        <v>209</v>
      </c>
      <c r="G3301" s="7" t="s">
        <v>502</v>
      </c>
      <c r="H3301" s="6" t="n">
        <v>1.05</v>
      </c>
      <c r="I3301" s="6" t="n">
        <v>0</v>
      </c>
      <c r="J3301" s="40" t="n">
        <f aca="false">H3301-I3301</f>
        <v>1.05</v>
      </c>
      <c r="K3301" s="41" t="n">
        <v>165</v>
      </c>
      <c r="L3301" s="42" t="n">
        <f aca="false">J3301*K3301</f>
        <v>173.25</v>
      </c>
      <c r="M3301" s="43" t="n">
        <f aca="false">H3301*73.58*(1+'Chart of Accounts'!$E$67)</f>
        <v>88.461555</v>
      </c>
    </row>
    <row r="3302" customFormat="false" ht="15" hidden="false" customHeight="false" outlineLevel="0" collapsed="false">
      <c r="B3302" s="7" t="s">
        <v>3799</v>
      </c>
      <c r="C3302" s="39" t="n">
        <v>45821</v>
      </c>
      <c r="D3302" s="7" t="s">
        <v>365</v>
      </c>
      <c r="E3302" s="7" t="s">
        <v>154</v>
      </c>
      <c r="F3302" s="7" t="s">
        <v>194</v>
      </c>
      <c r="G3302" s="7" t="s">
        <v>505</v>
      </c>
      <c r="H3302" s="6" t="n">
        <v>3.7</v>
      </c>
      <c r="I3302" s="6" t="n">
        <v>0</v>
      </c>
      <c r="J3302" s="40" t="n">
        <f aca="false">H3302-I3302</f>
        <v>3.7</v>
      </c>
      <c r="K3302" s="41" t="n">
        <v>26.5</v>
      </c>
      <c r="L3302" s="42" t="n">
        <f aca="false">J3302*K3302</f>
        <v>98.05</v>
      </c>
      <c r="M3302" s="43" t="n">
        <f aca="false">H3302*16*(1+'Chart of Accounts'!$E$67)</f>
        <v>67.784</v>
      </c>
    </row>
    <row r="3303" customFormat="false" ht="15" hidden="false" customHeight="false" outlineLevel="0" collapsed="false">
      <c r="B3303" s="7" t="s">
        <v>3800</v>
      </c>
      <c r="C3303" s="39" t="n">
        <v>45821</v>
      </c>
      <c r="D3303" s="7" t="s">
        <v>371</v>
      </c>
      <c r="E3303" s="7" t="s">
        <v>154</v>
      </c>
      <c r="F3303" s="7" t="s">
        <v>232</v>
      </c>
      <c r="G3303" s="7" t="s">
        <v>505</v>
      </c>
      <c r="H3303" s="6" t="n">
        <v>4.32</v>
      </c>
      <c r="I3303" s="6" t="n">
        <v>0</v>
      </c>
      <c r="J3303" s="40" t="n">
        <f aca="false">H3303-I3303</f>
        <v>4.32</v>
      </c>
      <c r="K3303" s="41" t="n">
        <v>26.5</v>
      </c>
      <c r="L3303" s="42" t="n">
        <f aca="false">J3303*K3303</f>
        <v>114.48</v>
      </c>
      <c r="M3303" s="43" t="n">
        <f aca="false">H3303*16.17*(1+'Chart of Accounts'!$E$67)</f>
        <v>79.983288</v>
      </c>
    </row>
    <row r="3304" customFormat="false" ht="15" hidden="false" customHeight="false" outlineLevel="0" collapsed="false">
      <c r="B3304" s="7" t="s">
        <v>3801</v>
      </c>
      <c r="C3304" s="39" t="n">
        <v>45821</v>
      </c>
      <c r="D3304" s="7" t="s">
        <v>379</v>
      </c>
      <c r="E3304" s="7" t="s">
        <v>156</v>
      </c>
      <c r="F3304" s="7" t="s">
        <v>224</v>
      </c>
      <c r="G3304" s="7" t="s">
        <v>505</v>
      </c>
      <c r="H3304" s="6" t="n">
        <v>4.28</v>
      </c>
      <c r="I3304" s="6" t="n">
        <v>0</v>
      </c>
      <c r="J3304" s="40" t="n">
        <f aca="false">H3304-I3304</f>
        <v>4.28</v>
      </c>
      <c r="K3304" s="41" t="n">
        <v>34</v>
      </c>
      <c r="L3304" s="42" t="n">
        <f aca="false">J3304*K3304</f>
        <v>145.52</v>
      </c>
      <c r="M3304" s="43" t="n">
        <f aca="false">H3304*14.93*(1+'Chart of Accounts'!$E$67)</f>
        <v>73.165958</v>
      </c>
    </row>
    <row r="3305" customFormat="false" ht="15" hidden="false" customHeight="false" outlineLevel="0" collapsed="false">
      <c r="B3305" s="7" t="s">
        <v>3802</v>
      </c>
      <c r="C3305" s="39" t="n">
        <v>45821</v>
      </c>
      <c r="D3305" s="7" t="s">
        <v>381</v>
      </c>
      <c r="E3305" s="7" t="s">
        <v>157</v>
      </c>
      <c r="F3305" s="7" t="s">
        <v>234</v>
      </c>
      <c r="G3305" s="7" t="s">
        <v>502</v>
      </c>
      <c r="H3305" s="6" t="n">
        <v>1.05</v>
      </c>
      <c r="I3305" s="6" t="n">
        <v>0.053</v>
      </c>
      <c r="J3305" s="40" t="n">
        <f aca="false">H3305-I3305</f>
        <v>0.997</v>
      </c>
      <c r="K3305" s="41" t="n">
        <v>165</v>
      </c>
      <c r="L3305" s="42" t="n">
        <f aca="false">J3305*K3305</f>
        <v>164.505</v>
      </c>
      <c r="M3305" s="43" t="n">
        <f aca="false">H3305*89.53*(1+'Chart of Accounts'!$E$67)</f>
        <v>107.6374425</v>
      </c>
    </row>
    <row r="3306" customFormat="false" ht="15" hidden="false" customHeight="false" outlineLevel="0" collapsed="false">
      <c r="B3306" s="7" t="s">
        <v>3803</v>
      </c>
      <c r="C3306" s="39" t="n">
        <v>45821</v>
      </c>
      <c r="D3306" s="7" t="s">
        <v>385</v>
      </c>
      <c r="E3306" s="7" t="s">
        <v>156</v>
      </c>
      <c r="F3306" s="7" t="s">
        <v>238</v>
      </c>
      <c r="G3306" s="7" t="s">
        <v>505</v>
      </c>
      <c r="H3306" s="6" t="n">
        <v>4.26</v>
      </c>
      <c r="I3306" s="6" t="n">
        <v>0</v>
      </c>
      <c r="J3306" s="40" t="n">
        <f aca="false">H3306-I3306</f>
        <v>4.26</v>
      </c>
      <c r="K3306" s="41" t="n">
        <v>34</v>
      </c>
      <c r="L3306" s="42" t="n">
        <f aca="false">J3306*K3306</f>
        <v>144.84</v>
      </c>
      <c r="M3306" s="43" t="n">
        <f aca="false">H3306*15.85*(1+'Chart of Accounts'!$E$67)</f>
        <v>77.311545</v>
      </c>
    </row>
    <row r="3307" customFormat="false" ht="15" hidden="false" customHeight="false" outlineLevel="0" collapsed="false">
      <c r="B3307" s="7" t="s">
        <v>3804</v>
      </c>
      <c r="C3307" s="39" t="n">
        <v>45821</v>
      </c>
      <c r="D3307" s="7" t="s">
        <v>389</v>
      </c>
      <c r="E3307" s="7" t="s">
        <v>154</v>
      </c>
      <c r="F3307" s="7" t="s">
        <v>246</v>
      </c>
      <c r="G3307" s="7" t="s">
        <v>505</v>
      </c>
      <c r="H3307" s="6" t="n">
        <v>4.19</v>
      </c>
      <c r="I3307" s="6" t="n">
        <v>0</v>
      </c>
      <c r="J3307" s="40" t="n">
        <f aca="false">H3307-I3307</f>
        <v>4.19</v>
      </c>
      <c r="K3307" s="41" t="n">
        <v>26.5</v>
      </c>
      <c r="L3307" s="42" t="n">
        <f aca="false">J3307*K3307</f>
        <v>111.035</v>
      </c>
      <c r="M3307" s="43" t="n">
        <f aca="false">H3307*16.48*(1+'Chart of Accounts'!$E$67)</f>
        <v>79.063624</v>
      </c>
    </row>
    <row r="3308" customFormat="false" ht="15" hidden="false" customHeight="false" outlineLevel="0" collapsed="false">
      <c r="B3308" s="7" t="s">
        <v>3805</v>
      </c>
      <c r="C3308" s="39" t="n">
        <v>45821</v>
      </c>
      <c r="D3308" s="7" t="s">
        <v>391</v>
      </c>
      <c r="E3308" s="7" t="s">
        <v>156</v>
      </c>
      <c r="F3308" s="7" t="s">
        <v>222</v>
      </c>
      <c r="G3308" s="7" t="s">
        <v>505</v>
      </c>
      <c r="H3308" s="6" t="n">
        <v>4.08</v>
      </c>
      <c r="I3308" s="6" t="n">
        <v>0</v>
      </c>
      <c r="J3308" s="40" t="n">
        <f aca="false">H3308-I3308</f>
        <v>4.08</v>
      </c>
      <c r="K3308" s="41" t="n">
        <v>34</v>
      </c>
      <c r="L3308" s="42" t="n">
        <f aca="false">J3308*K3308</f>
        <v>138.72</v>
      </c>
      <c r="M3308" s="43" t="n">
        <f aca="false">H3308*17.84*(1+'Chart of Accounts'!$E$67)</f>
        <v>83.341344</v>
      </c>
    </row>
    <row r="3309" customFormat="false" ht="15" hidden="false" customHeight="false" outlineLevel="0" collapsed="false">
      <c r="B3309" s="7" t="s">
        <v>3806</v>
      </c>
      <c r="C3309" s="39" t="n">
        <v>45821</v>
      </c>
      <c r="D3309" s="7" t="s">
        <v>397</v>
      </c>
      <c r="E3309" s="7" t="s">
        <v>159</v>
      </c>
      <c r="F3309" s="7" t="s">
        <v>203</v>
      </c>
      <c r="G3309" s="7" t="s">
        <v>502</v>
      </c>
      <c r="H3309" s="6" t="n">
        <v>0.99</v>
      </c>
      <c r="I3309" s="6" t="n">
        <v>0</v>
      </c>
      <c r="J3309" s="40" t="n">
        <f aca="false">H3309-I3309</f>
        <v>0.99</v>
      </c>
      <c r="K3309" s="41" t="n">
        <v>135</v>
      </c>
      <c r="L3309" s="42" t="n">
        <f aca="false">J3309*K3309</f>
        <v>133.65</v>
      </c>
      <c r="M3309" s="43" t="n">
        <f aca="false">H3309*49.43*(1+'Chart of Accounts'!$E$67)</f>
        <v>56.0313765</v>
      </c>
    </row>
    <row r="3310" customFormat="false" ht="15" hidden="false" customHeight="false" outlineLevel="0" collapsed="false">
      <c r="B3310" s="7" t="s">
        <v>3807</v>
      </c>
      <c r="C3310" s="39" t="n">
        <v>45821</v>
      </c>
      <c r="D3310" s="7" t="s">
        <v>399</v>
      </c>
      <c r="E3310" s="7" t="s">
        <v>154</v>
      </c>
      <c r="F3310" s="7" t="s">
        <v>232</v>
      </c>
      <c r="G3310" s="7" t="s">
        <v>505</v>
      </c>
      <c r="H3310" s="6" t="n">
        <v>3.38</v>
      </c>
      <c r="I3310" s="6" t="n">
        <v>0.101</v>
      </c>
      <c r="J3310" s="40" t="n">
        <f aca="false">H3310-I3310</f>
        <v>3.279</v>
      </c>
      <c r="K3310" s="41" t="n">
        <v>26.5</v>
      </c>
      <c r="L3310" s="42" t="n">
        <f aca="false">J3310*K3310</f>
        <v>86.8935</v>
      </c>
      <c r="M3310" s="43" t="n">
        <f aca="false">H3310*16.17*(1+'Chart of Accounts'!$E$67)</f>
        <v>62.579517</v>
      </c>
    </row>
    <row r="3311" customFormat="false" ht="15" hidden="false" customHeight="false" outlineLevel="0" collapsed="false">
      <c r="B3311" s="7" t="s">
        <v>3808</v>
      </c>
      <c r="C3311" s="39" t="n">
        <v>45821</v>
      </c>
      <c r="D3311" s="7" t="s">
        <v>401</v>
      </c>
      <c r="E3311" s="7" t="s">
        <v>156</v>
      </c>
      <c r="F3311" s="7" t="s">
        <v>254</v>
      </c>
      <c r="G3311" s="7" t="s">
        <v>505</v>
      </c>
      <c r="H3311" s="6" t="n">
        <v>4.37</v>
      </c>
      <c r="I3311" s="6" t="n">
        <v>0</v>
      </c>
      <c r="J3311" s="40" t="n">
        <f aca="false">H3311-I3311</f>
        <v>4.37</v>
      </c>
      <c r="K3311" s="41" t="n">
        <v>34</v>
      </c>
      <c r="L3311" s="42" t="n">
        <f aca="false">J3311*K3311</f>
        <v>148.58</v>
      </c>
      <c r="M3311" s="43" t="n">
        <f aca="false">H3311*17.1*(1+'Chart of Accounts'!$E$67)</f>
        <v>85.562415</v>
      </c>
    </row>
    <row r="3312" customFormat="false" ht="15" hidden="false" customHeight="false" outlineLevel="0" collapsed="false">
      <c r="B3312" s="7" t="s">
        <v>3809</v>
      </c>
      <c r="C3312" s="39" t="n">
        <v>45821</v>
      </c>
      <c r="D3312" s="7" t="s">
        <v>407</v>
      </c>
      <c r="E3312" s="7" t="s">
        <v>159</v>
      </c>
      <c r="F3312" s="7" t="s">
        <v>260</v>
      </c>
      <c r="G3312" s="7" t="s">
        <v>502</v>
      </c>
      <c r="H3312" s="6" t="n">
        <v>1.08</v>
      </c>
      <c r="I3312" s="6" t="n">
        <v>0</v>
      </c>
      <c r="J3312" s="40" t="n">
        <f aca="false">H3312-I3312</f>
        <v>1.08</v>
      </c>
      <c r="K3312" s="41" t="n">
        <v>135</v>
      </c>
      <c r="L3312" s="42" t="n">
        <f aca="false">J3312*K3312</f>
        <v>145.8</v>
      </c>
      <c r="M3312" s="43" t="n">
        <f aca="false">H3312*79.8*(1+'Chart of Accounts'!$E$67)</f>
        <v>98.68068</v>
      </c>
    </row>
    <row r="3313" customFormat="false" ht="15" hidden="false" customHeight="false" outlineLevel="0" collapsed="false">
      <c r="B3313" s="7" t="s">
        <v>3810</v>
      </c>
      <c r="C3313" s="39" t="n">
        <v>45821</v>
      </c>
      <c r="D3313" s="7" t="s">
        <v>409</v>
      </c>
      <c r="E3313" s="7" t="s">
        <v>154</v>
      </c>
      <c r="F3313" s="7" t="s">
        <v>214</v>
      </c>
      <c r="G3313" s="7" t="s">
        <v>505</v>
      </c>
      <c r="H3313" s="6" t="n">
        <v>3.01</v>
      </c>
      <c r="I3313" s="6" t="n">
        <v>0</v>
      </c>
      <c r="J3313" s="40" t="n">
        <f aca="false">H3313-I3313</f>
        <v>3.01</v>
      </c>
      <c r="K3313" s="41" t="n">
        <v>26.5</v>
      </c>
      <c r="L3313" s="42" t="n">
        <f aca="false">J3313*K3313</f>
        <v>79.765</v>
      </c>
      <c r="M3313" s="43" t="n">
        <f aca="false">H3313*15.67*(1+'Chart of Accounts'!$E$67)</f>
        <v>54.0058715</v>
      </c>
    </row>
    <row r="3314" customFormat="false" ht="15" hidden="false" customHeight="false" outlineLevel="0" collapsed="false">
      <c r="B3314" s="7" t="s">
        <v>3811</v>
      </c>
      <c r="C3314" s="39" t="n">
        <v>45821</v>
      </c>
      <c r="D3314" s="7" t="s">
        <v>411</v>
      </c>
      <c r="E3314" s="7" t="s">
        <v>154</v>
      </c>
      <c r="F3314" s="7" t="s">
        <v>177</v>
      </c>
      <c r="G3314" s="7" t="s">
        <v>505</v>
      </c>
      <c r="H3314" s="6" t="n">
        <v>4.55</v>
      </c>
      <c r="I3314" s="6" t="n">
        <v>0.136</v>
      </c>
      <c r="J3314" s="40" t="n">
        <f aca="false">H3314-I3314</f>
        <v>4.414</v>
      </c>
      <c r="K3314" s="41" t="n">
        <v>26.5</v>
      </c>
      <c r="L3314" s="42" t="n">
        <f aca="false">J3314*K3314</f>
        <v>116.971</v>
      </c>
      <c r="M3314" s="43" t="n">
        <f aca="false">H3314*14.56*(1+'Chart of Accounts'!$E$67)</f>
        <v>75.85396</v>
      </c>
    </row>
    <row r="3315" customFormat="false" ht="15" hidden="false" customHeight="false" outlineLevel="0" collapsed="false">
      <c r="B3315" s="7" t="s">
        <v>3812</v>
      </c>
      <c r="C3315" s="39" t="n">
        <v>45822</v>
      </c>
      <c r="D3315" s="7" t="s">
        <v>288</v>
      </c>
      <c r="E3315" s="7" t="s">
        <v>156</v>
      </c>
      <c r="F3315" s="7" t="s">
        <v>224</v>
      </c>
      <c r="G3315" s="7" t="s">
        <v>505</v>
      </c>
      <c r="H3315" s="6" t="n">
        <v>3.78</v>
      </c>
      <c r="I3315" s="6" t="n">
        <v>0</v>
      </c>
      <c r="J3315" s="40" t="n">
        <f aca="false">H3315-I3315</f>
        <v>3.78</v>
      </c>
      <c r="K3315" s="41" t="n">
        <v>34</v>
      </c>
      <c r="L3315" s="42" t="n">
        <f aca="false">J3315*K3315</f>
        <v>128.52</v>
      </c>
      <c r="M3315" s="43" t="n">
        <f aca="false">H3315*14.93*(1+'Chart of Accounts'!$E$67)</f>
        <v>64.618533</v>
      </c>
    </row>
    <row r="3316" customFormat="false" ht="15" hidden="false" customHeight="false" outlineLevel="0" collapsed="false">
      <c r="B3316" s="7" t="s">
        <v>3813</v>
      </c>
      <c r="C3316" s="39" t="n">
        <v>45822</v>
      </c>
      <c r="D3316" s="7" t="s">
        <v>321</v>
      </c>
      <c r="E3316" s="7" t="s">
        <v>154</v>
      </c>
      <c r="F3316" s="7" t="s">
        <v>218</v>
      </c>
      <c r="G3316" s="7" t="s">
        <v>505</v>
      </c>
      <c r="H3316" s="6" t="n">
        <v>3.96</v>
      </c>
      <c r="I3316" s="6" t="n">
        <v>0.119</v>
      </c>
      <c r="J3316" s="40" t="n">
        <f aca="false">H3316-I3316</f>
        <v>3.841</v>
      </c>
      <c r="K3316" s="41" t="n">
        <v>26.5</v>
      </c>
      <c r="L3316" s="42" t="n">
        <f aca="false">J3316*K3316</f>
        <v>101.7865</v>
      </c>
      <c r="M3316" s="43" t="n">
        <f aca="false">H3316*16.19*(1+'Chart of Accounts'!$E$67)</f>
        <v>73.408698</v>
      </c>
    </row>
    <row r="3317" customFormat="false" ht="15" hidden="false" customHeight="false" outlineLevel="0" collapsed="false">
      <c r="B3317" s="7" t="s">
        <v>3814</v>
      </c>
      <c r="C3317" s="39" t="n">
        <v>45822</v>
      </c>
      <c r="D3317" s="7" t="s">
        <v>359</v>
      </c>
      <c r="E3317" s="7" t="s">
        <v>156</v>
      </c>
      <c r="F3317" s="7" t="s">
        <v>212</v>
      </c>
      <c r="G3317" s="7" t="s">
        <v>505</v>
      </c>
      <c r="H3317" s="6" t="n">
        <v>3.85</v>
      </c>
      <c r="I3317" s="6" t="n">
        <v>0</v>
      </c>
      <c r="J3317" s="40" t="n">
        <f aca="false">H3317-I3317</f>
        <v>3.85</v>
      </c>
      <c r="K3317" s="41" t="n">
        <v>34</v>
      </c>
      <c r="L3317" s="42" t="n">
        <f aca="false">J3317*K3317</f>
        <v>130.9</v>
      </c>
      <c r="M3317" s="43" t="n">
        <f aca="false">H3317*16.71*(1+'Chart of Accounts'!$E$67)</f>
        <v>73.6618575</v>
      </c>
    </row>
    <row r="3318" customFormat="false" ht="15" hidden="false" customHeight="false" outlineLevel="0" collapsed="false">
      <c r="B3318" s="7" t="s">
        <v>3815</v>
      </c>
      <c r="C3318" s="39" t="n">
        <v>45822</v>
      </c>
      <c r="D3318" s="7" t="s">
        <v>391</v>
      </c>
      <c r="E3318" s="7" t="s">
        <v>156</v>
      </c>
      <c r="F3318" s="7" t="s">
        <v>222</v>
      </c>
      <c r="G3318" s="7" t="s">
        <v>505</v>
      </c>
      <c r="H3318" s="6" t="n">
        <v>3.67</v>
      </c>
      <c r="I3318" s="6" t="n">
        <v>0</v>
      </c>
      <c r="J3318" s="40" t="n">
        <f aca="false">H3318-I3318</f>
        <v>3.67</v>
      </c>
      <c r="K3318" s="41" t="n">
        <v>34</v>
      </c>
      <c r="L3318" s="42" t="n">
        <f aca="false">J3318*K3318</f>
        <v>124.78</v>
      </c>
      <c r="M3318" s="43" t="n">
        <f aca="false">H3318*17.84*(1+'Chart of Accounts'!$E$67)</f>
        <v>74.966356</v>
      </c>
    </row>
    <row r="3319" customFormat="false" ht="15" hidden="false" customHeight="false" outlineLevel="0" collapsed="false">
      <c r="B3319" s="7" t="s">
        <v>3816</v>
      </c>
      <c r="C3319" s="39" t="n">
        <v>45822</v>
      </c>
      <c r="D3319" s="7" t="s">
        <v>395</v>
      </c>
      <c r="E3319" s="7" t="s">
        <v>156</v>
      </c>
      <c r="F3319" s="7" t="s">
        <v>242</v>
      </c>
      <c r="G3319" s="7" t="s">
        <v>505</v>
      </c>
      <c r="H3319" s="6" t="n">
        <v>4.35</v>
      </c>
      <c r="I3319" s="6" t="n">
        <v>0</v>
      </c>
      <c r="J3319" s="40" t="n">
        <f aca="false">H3319-I3319</f>
        <v>4.35</v>
      </c>
      <c r="K3319" s="41" t="n">
        <v>34</v>
      </c>
      <c r="L3319" s="42" t="n">
        <f aca="false">J3319*K3319</f>
        <v>147.9</v>
      </c>
      <c r="M3319" s="43" t="n">
        <f aca="false">H3319*17.99*(1+'Chart of Accounts'!$E$67)</f>
        <v>89.6036925</v>
      </c>
    </row>
    <row r="3320" customFormat="false" ht="15" hidden="false" customHeight="false" outlineLevel="0" collapsed="false">
      <c r="B3320" s="7" t="s">
        <v>3817</v>
      </c>
      <c r="C3320" s="39" t="n">
        <v>45822</v>
      </c>
      <c r="D3320" s="7" t="s">
        <v>401</v>
      </c>
      <c r="E3320" s="7" t="s">
        <v>156</v>
      </c>
      <c r="F3320" s="7" t="s">
        <v>254</v>
      </c>
      <c r="G3320" s="7" t="s">
        <v>505</v>
      </c>
      <c r="H3320" s="6" t="n">
        <v>3.92</v>
      </c>
      <c r="I3320" s="6" t="n">
        <v>0</v>
      </c>
      <c r="J3320" s="40" t="n">
        <f aca="false">H3320-I3320</f>
        <v>3.92</v>
      </c>
      <c r="K3320" s="41" t="n">
        <v>34</v>
      </c>
      <c r="L3320" s="42" t="n">
        <f aca="false">J3320*K3320</f>
        <v>133.28</v>
      </c>
      <c r="M3320" s="43" t="n">
        <f aca="false">H3320*17.1*(1+'Chart of Accounts'!$E$67)</f>
        <v>76.75164</v>
      </c>
    </row>
    <row r="3321" customFormat="false" ht="15" hidden="false" customHeight="false" outlineLevel="0" collapsed="false">
      <c r="B3321" s="7" t="s">
        <v>3818</v>
      </c>
      <c r="C3321" s="39" t="n">
        <v>45823</v>
      </c>
      <c r="D3321" s="7" t="s">
        <v>288</v>
      </c>
      <c r="E3321" s="7" t="s">
        <v>156</v>
      </c>
      <c r="F3321" s="7" t="s">
        <v>184</v>
      </c>
      <c r="G3321" s="7" t="s">
        <v>505</v>
      </c>
      <c r="H3321" s="6" t="n">
        <v>4.27</v>
      </c>
      <c r="I3321" s="6" t="n">
        <v>0</v>
      </c>
      <c r="J3321" s="40" t="n">
        <f aca="false">H3321-I3321</f>
        <v>4.27</v>
      </c>
      <c r="K3321" s="41" t="n">
        <v>34</v>
      </c>
      <c r="L3321" s="42" t="n">
        <f aca="false">J3321*K3321</f>
        <v>145.18</v>
      </c>
      <c r="M3321" s="43" t="n">
        <f aca="false">H3321*17.34*(1+'Chart of Accounts'!$E$67)</f>
        <v>84.777861</v>
      </c>
    </row>
    <row r="3322" customFormat="false" ht="15" hidden="false" customHeight="false" outlineLevel="0" collapsed="false">
      <c r="B3322" s="7" t="s">
        <v>3819</v>
      </c>
      <c r="C3322" s="39" t="n">
        <v>45823</v>
      </c>
      <c r="D3322" s="7" t="s">
        <v>321</v>
      </c>
      <c r="E3322" s="7" t="s">
        <v>154</v>
      </c>
      <c r="F3322" s="7" t="s">
        <v>218</v>
      </c>
      <c r="G3322" s="7" t="s">
        <v>505</v>
      </c>
      <c r="H3322" s="6" t="n">
        <v>3.8</v>
      </c>
      <c r="I3322" s="6" t="n">
        <v>0</v>
      </c>
      <c r="J3322" s="40" t="n">
        <f aca="false">H3322-I3322</f>
        <v>3.8</v>
      </c>
      <c r="K3322" s="41" t="n">
        <v>26.5</v>
      </c>
      <c r="L3322" s="42" t="n">
        <f aca="false">J3322*K3322</f>
        <v>100.7</v>
      </c>
      <c r="M3322" s="43" t="n">
        <f aca="false">H3322*16.19*(1+'Chart of Accounts'!$E$67)</f>
        <v>70.44269</v>
      </c>
    </row>
    <row r="3323" customFormat="false" ht="15" hidden="false" customHeight="false" outlineLevel="0" collapsed="false">
      <c r="B3323" s="7" t="s">
        <v>3820</v>
      </c>
      <c r="C3323" s="39" t="n">
        <v>45823</v>
      </c>
      <c r="D3323" s="7" t="s">
        <v>359</v>
      </c>
      <c r="E3323" s="7" t="s">
        <v>156</v>
      </c>
      <c r="F3323" s="7" t="s">
        <v>212</v>
      </c>
      <c r="G3323" s="7" t="s">
        <v>505</v>
      </c>
      <c r="H3323" s="6" t="n">
        <v>3.72</v>
      </c>
      <c r="I3323" s="6" t="n">
        <v>0</v>
      </c>
      <c r="J3323" s="40" t="n">
        <f aca="false">H3323-I3323</f>
        <v>3.72</v>
      </c>
      <c r="K3323" s="41" t="n">
        <v>34</v>
      </c>
      <c r="L3323" s="42" t="n">
        <f aca="false">J3323*K3323</f>
        <v>126.48</v>
      </c>
      <c r="M3323" s="43" t="n">
        <f aca="false">H3323*16.71*(1+'Chart of Accounts'!$E$67)</f>
        <v>71.174574</v>
      </c>
    </row>
    <row r="3324" customFormat="false" ht="15" hidden="false" customHeight="false" outlineLevel="0" collapsed="false">
      <c r="B3324" s="7" t="s">
        <v>3821</v>
      </c>
      <c r="C3324" s="39" t="n">
        <v>45823</v>
      </c>
      <c r="D3324" s="7" t="s">
        <v>395</v>
      </c>
      <c r="E3324" s="7" t="s">
        <v>156</v>
      </c>
      <c r="F3324" s="7" t="s">
        <v>242</v>
      </c>
      <c r="G3324" s="7" t="s">
        <v>505</v>
      </c>
      <c r="H3324" s="6" t="n">
        <v>3.77</v>
      </c>
      <c r="I3324" s="6" t="n">
        <v>0</v>
      </c>
      <c r="J3324" s="40" t="n">
        <f aca="false">H3324-I3324</f>
        <v>3.77</v>
      </c>
      <c r="K3324" s="41" t="n">
        <v>34</v>
      </c>
      <c r="L3324" s="42" t="n">
        <f aca="false">J3324*K3324</f>
        <v>128.18</v>
      </c>
      <c r="M3324" s="43" t="n">
        <f aca="false">H3324*17.99*(1+'Chart of Accounts'!$E$67)</f>
        <v>77.6565335</v>
      </c>
    </row>
    <row r="3325" customFormat="false" ht="15" hidden="false" customHeight="false" outlineLevel="0" collapsed="false">
      <c r="B3325" s="7" t="s">
        <v>3822</v>
      </c>
      <c r="C3325" s="39" t="n">
        <v>45823</v>
      </c>
      <c r="D3325" s="7" t="s">
        <v>401</v>
      </c>
      <c r="E3325" s="7" t="s">
        <v>156</v>
      </c>
      <c r="F3325" s="7" t="s">
        <v>254</v>
      </c>
      <c r="G3325" s="7" t="s">
        <v>505</v>
      </c>
      <c r="H3325" s="6" t="n">
        <v>4</v>
      </c>
      <c r="I3325" s="6" t="n">
        <v>0</v>
      </c>
      <c r="J3325" s="40" t="n">
        <f aca="false">H3325-I3325</f>
        <v>4</v>
      </c>
      <c r="K3325" s="41" t="n">
        <v>34</v>
      </c>
      <c r="L3325" s="42" t="n">
        <f aca="false">J3325*K3325</f>
        <v>136</v>
      </c>
      <c r="M3325" s="43" t="n">
        <f aca="false">H3325*17.1*(1+'Chart of Accounts'!$E$67)</f>
        <v>78.318</v>
      </c>
    </row>
    <row r="3326" customFormat="false" ht="15" hidden="false" customHeight="false" outlineLevel="0" collapsed="false">
      <c r="B3326" s="7" t="s">
        <v>3823</v>
      </c>
      <c r="C3326" s="39" t="n">
        <v>45824</v>
      </c>
      <c r="D3326" s="7" t="s">
        <v>280</v>
      </c>
      <c r="E3326" s="7" t="s">
        <v>157</v>
      </c>
      <c r="F3326" s="7" t="s">
        <v>187</v>
      </c>
      <c r="G3326" s="7" t="s">
        <v>502</v>
      </c>
      <c r="H3326" s="6" t="n">
        <v>0.99</v>
      </c>
      <c r="I3326" s="6" t="n">
        <v>0</v>
      </c>
      <c r="J3326" s="40" t="n">
        <f aca="false">H3326-I3326</f>
        <v>0.99</v>
      </c>
      <c r="K3326" s="41" t="n">
        <v>165</v>
      </c>
      <c r="L3326" s="42" t="n">
        <f aca="false">J3326*K3326</f>
        <v>163.35</v>
      </c>
      <c r="M3326" s="43" t="n">
        <f aca="false">H3326*66.48*(1+'Chart of Accounts'!$E$67)</f>
        <v>75.358404</v>
      </c>
    </row>
    <row r="3327" customFormat="false" ht="15" hidden="false" customHeight="false" outlineLevel="0" collapsed="false">
      <c r="B3327" s="7" t="s">
        <v>3824</v>
      </c>
      <c r="C3327" s="39" t="n">
        <v>45824</v>
      </c>
      <c r="D3327" s="7" t="s">
        <v>288</v>
      </c>
      <c r="E3327" s="7" t="s">
        <v>156</v>
      </c>
      <c r="F3327" s="7" t="s">
        <v>196</v>
      </c>
      <c r="G3327" s="7" t="s">
        <v>505</v>
      </c>
      <c r="H3327" s="6" t="n">
        <v>4.19</v>
      </c>
      <c r="I3327" s="6" t="n">
        <v>0</v>
      </c>
      <c r="J3327" s="40" t="n">
        <f aca="false">H3327-I3327</f>
        <v>4.19</v>
      </c>
      <c r="K3327" s="41" t="n">
        <v>34</v>
      </c>
      <c r="L3327" s="42" t="n">
        <f aca="false">J3327*K3327</f>
        <v>142.46</v>
      </c>
      <c r="M3327" s="43" t="n">
        <f aca="false">H3327*15.05*(1+'Chart of Accounts'!$E$67)</f>
        <v>72.2031275</v>
      </c>
    </row>
    <row r="3328" customFormat="false" ht="15" hidden="false" customHeight="false" outlineLevel="0" collapsed="false">
      <c r="B3328" s="7" t="s">
        <v>3825</v>
      </c>
      <c r="C3328" s="39" t="n">
        <v>45824</v>
      </c>
      <c r="D3328" s="7" t="s">
        <v>291</v>
      </c>
      <c r="E3328" s="7" t="s">
        <v>154</v>
      </c>
      <c r="F3328" s="7" t="s">
        <v>194</v>
      </c>
      <c r="G3328" s="7" t="s">
        <v>505</v>
      </c>
      <c r="H3328" s="6" t="n">
        <v>4.27</v>
      </c>
      <c r="I3328" s="6" t="n">
        <v>0.128</v>
      </c>
      <c r="J3328" s="40" t="n">
        <f aca="false">H3328-I3328</f>
        <v>4.142</v>
      </c>
      <c r="K3328" s="41" t="n">
        <v>26.5</v>
      </c>
      <c r="L3328" s="42" t="n">
        <f aca="false">J3328*K3328</f>
        <v>109.763</v>
      </c>
      <c r="M3328" s="43" t="n">
        <f aca="false">H3328*16*(1+'Chart of Accounts'!$E$67)</f>
        <v>78.2264</v>
      </c>
    </row>
    <row r="3329" customFormat="false" ht="15" hidden="false" customHeight="false" outlineLevel="0" collapsed="false">
      <c r="B3329" s="7" t="s">
        <v>3826</v>
      </c>
      <c r="C3329" s="39" t="n">
        <v>45824</v>
      </c>
      <c r="D3329" s="7" t="s">
        <v>297</v>
      </c>
      <c r="E3329" s="7" t="s">
        <v>156</v>
      </c>
      <c r="F3329" s="7" t="s">
        <v>201</v>
      </c>
      <c r="G3329" s="7" t="s">
        <v>505</v>
      </c>
      <c r="H3329" s="6" t="n">
        <v>3.01</v>
      </c>
      <c r="I3329" s="6" t="n">
        <v>0</v>
      </c>
      <c r="J3329" s="40" t="n">
        <f aca="false">H3329-I3329</f>
        <v>3.01</v>
      </c>
      <c r="K3329" s="41" t="n">
        <v>34</v>
      </c>
      <c r="L3329" s="42" t="n">
        <f aca="false">J3329*K3329</f>
        <v>102.34</v>
      </c>
      <c r="M3329" s="43" t="n">
        <f aca="false">H3329*15.19*(1+'Chart of Accounts'!$E$67)</f>
        <v>52.3515755</v>
      </c>
    </row>
    <row r="3330" customFormat="false" ht="15" hidden="false" customHeight="false" outlineLevel="0" collapsed="false">
      <c r="B3330" s="7" t="s">
        <v>3827</v>
      </c>
      <c r="C3330" s="39" t="n">
        <v>45824</v>
      </c>
      <c r="D3330" s="7" t="s">
        <v>305</v>
      </c>
      <c r="E3330" s="7" t="s">
        <v>154</v>
      </c>
      <c r="F3330" s="7" t="s">
        <v>205</v>
      </c>
      <c r="G3330" s="7" t="s">
        <v>505</v>
      </c>
      <c r="H3330" s="6" t="n">
        <v>4.3</v>
      </c>
      <c r="I3330" s="6" t="n">
        <v>0</v>
      </c>
      <c r="J3330" s="40" t="n">
        <f aca="false">H3330-I3330</f>
        <v>4.3</v>
      </c>
      <c r="K3330" s="41" t="n">
        <v>26.5</v>
      </c>
      <c r="L3330" s="42" t="n">
        <f aca="false">J3330*K3330</f>
        <v>113.95</v>
      </c>
      <c r="M3330" s="43" t="n">
        <f aca="false">H3330*16.36*(1+'Chart of Accounts'!$E$67)</f>
        <v>80.54846</v>
      </c>
    </row>
    <row r="3331" customFormat="false" ht="15" hidden="false" customHeight="false" outlineLevel="0" collapsed="false">
      <c r="B3331" s="7" t="s">
        <v>3828</v>
      </c>
      <c r="C3331" s="39" t="n">
        <v>45824</v>
      </c>
      <c r="D3331" s="7" t="s">
        <v>307</v>
      </c>
      <c r="E3331" s="7" t="s">
        <v>157</v>
      </c>
      <c r="F3331" s="7" t="s">
        <v>264</v>
      </c>
      <c r="G3331" s="7" t="s">
        <v>502</v>
      </c>
      <c r="H3331" s="6" t="n">
        <v>1</v>
      </c>
      <c r="I3331" s="6" t="n">
        <v>0</v>
      </c>
      <c r="J3331" s="40" t="n">
        <f aca="false">H3331-I3331</f>
        <v>1</v>
      </c>
      <c r="K3331" s="41" t="n">
        <v>165</v>
      </c>
      <c r="L3331" s="42" t="n">
        <f aca="false">J3331*K3331</f>
        <v>165</v>
      </c>
      <c r="M3331" s="43" t="n">
        <f aca="false">H3331*55.55*(1+'Chart of Accounts'!$E$67)</f>
        <v>63.60475</v>
      </c>
    </row>
    <row r="3332" customFormat="false" ht="15" hidden="false" customHeight="false" outlineLevel="0" collapsed="false">
      <c r="B3332" s="7" t="s">
        <v>3829</v>
      </c>
      <c r="C3332" s="39" t="n">
        <v>45824</v>
      </c>
      <c r="D3332" s="7" t="s">
        <v>309</v>
      </c>
      <c r="E3332" s="7" t="s">
        <v>159</v>
      </c>
      <c r="F3332" s="7" t="s">
        <v>252</v>
      </c>
      <c r="G3332" s="7" t="s">
        <v>502</v>
      </c>
      <c r="H3332" s="6" t="n">
        <v>0.93</v>
      </c>
      <c r="I3332" s="6" t="n">
        <v>0</v>
      </c>
      <c r="J3332" s="40" t="n">
        <f aca="false">H3332-I3332</f>
        <v>0.93</v>
      </c>
      <c r="K3332" s="41" t="n">
        <v>135</v>
      </c>
      <c r="L3332" s="42" t="n">
        <f aca="false">J3332*K3332</f>
        <v>125.55</v>
      </c>
      <c r="M3332" s="43" t="n">
        <f aca="false">H3332*57.54*(1+'Chart of Accounts'!$E$67)</f>
        <v>61.271469</v>
      </c>
    </row>
    <row r="3333" customFormat="false" ht="15" hidden="false" customHeight="false" outlineLevel="0" collapsed="false">
      <c r="B3333" s="7" t="s">
        <v>3830</v>
      </c>
      <c r="C3333" s="39" t="n">
        <v>45824</v>
      </c>
      <c r="D3333" s="7" t="s">
        <v>311</v>
      </c>
      <c r="E3333" s="7" t="s">
        <v>154</v>
      </c>
      <c r="F3333" s="7" t="s">
        <v>196</v>
      </c>
      <c r="G3333" s="7" t="s">
        <v>505</v>
      </c>
      <c r="H3333" s="6" t="n">
        <v>2.71</v>
      </c>
      <c r="I3333" s="6" t="n">
        <v>0</v>
      </c>
      <c r="J3333" s="40" t="n">
        <f aca="false">H3333-I3333</f>
        <v>2.71</v>
      </c>
      <c r="K3333" s="41" t="n">
        <v>26.5</v>
      </c>
      <c r="L3333" s="42" t="n">
        <f aca="false">J3333*K3333</f>
        <v>71.815</v>
      </c>
      <c r="M3333" s="43" t="n">
        <f aca="false">H3333*15.05*(1+'Chart of Accounts'!$E$67)</f>
        <v>46.6993975</v>
      </c>
    </row>
    <row r="3334" customFormat="false" ht="15" hidden="false" customHeight="false" outlineLevel="0" collapsed="false">
      <c r="B3334" s="7" t="s">
        <v>3831</v>
      </c>
      <c r="C3334" s="39" t="n">
        <v>45824</v>
      </c>
      <c r="D3334" s="7" t="s">
        <v>313</v>
      </c>
      <c r="E3334" s="7" t="s">
        <v>156</v>
      </c>
      <c r="F3334" s="7" t="s">
        <v>184</v>
      </c>
      <c r="G3334" s="7" t="s">
        <v>505</v>
      </c>
      <c r="H3334" s="6" t="n">
        <v>4.18</v>
      </c>
      <c r="I3334" s="6" t="n">
        <v>0</v>
      </c>
      <c r="J3334" s="40" t="n">
        <f aca="false">H3334-I3334</f>
        <v>4.18</v>
      </c>
      <c r="K3334" s="41" t="n">
        <v>34</v>
      </c>
      <c r="L3334" s="42" t="n">
        <f aca="false">J3334*K3334</f>
        <v>142.12</v>
      </c>
      <c r="M3334" s="43" t="n">
        <f aca="false">H3334*17.34*(1+'Chart of Accounts'!$E$67)</f>
        <v>82.990974</v>
      </c>
    </row>
    <row r="3335" customFormat="false" ht="15" hidden="false" customHeight="false" outlineLevel="0" collapsed="false">
      <c r="B3335" s="7" t="s">
        <v>3832</v>
      </c>
      <c r="C3335" s="39" t="n">
        <v>45824</v>
      </c>
      <c r="D3335" s="7" t="s">
        <v>317</v>
      </c>
      <c r="E3335" s="7" t="s">
        <v>156</v>
      </c>
      <c r="F3335" s="7" t="s">
        <v>207</v>
      </c>
      <c r="G3335" s="7" t="s">
        <v>505</v>
      </c>
      <c r="H3335" s="6" t="n">
        <v>2.89</v>
      </c>
      <c r="I3335" s="6" t="n">
        <v>0</v>
      </c>
      <c r="J3335" s="40" t="n">
        <f aca="false">H3335-I3335</f>
        <v>2.89</v>
      </c>
      <c r="K3335" s="41" t="n">
        <v>34</v>
      </c>
      <c r="L3335" s="42" t="n">
        <f aca="false">J3335*K3335</f>
        <v>98.26</v>
      </c>
      <c r="M3335" s="43" t="n">
        <f aca="false">H3335*16.65*(1+'Chart of Accounts'!$E$67)</f>
        <v>55.0956825</v>
      </c>
    </row>
    <row r="3336" customFormat="false" ht="15" hidden="false" customHeight="false" outlineLevel="0" collapsed="false">
      <c r="B3336" s="7" t="s">
        <v>3833</v>
      </c>
      <c r="C3336" s="39" t="n">
        <v>45824</v>
      </c>
      <c r="D3336" s="7" t="s">
        <v>321</v>
      </c>
      <c r="E3336" s="7" t="s">
        <v>154</v>
      </c>
      <c r="F3336" s="7" t="s">
        <v>218</v>
      </c>
      <c r="G3336" s="7" t="s">
        <v>505</v>
      </c>
      <c r="H3336" s="6" t="n">
        <v>3.73</v>
      </c>
      <c r="I3336" s="6" t="n">
        <v>0</v>
      </c>
      <c r="J3336" s="40" t="n">
        <f aca="false">H3336-I3336</f>
        <v>3.73</v>
      </c>
      <c r="K3336" s="41" t="n">
        <v>26.5</v>
      </c>
      <c r="L3336" s="42" t="n">
        <f aca="false">J3336*K3336</f>
        <v>98.845</v>
      </c>
      <c r="M3336" s="43" t="n">
        <f aca="false">H3336*16.19*(1+'Chart of Accounts'!$E$67)</f>
        <v>69.1450615</v>
      </c>
    </row>
    <row r="3337" customFormat="false" ht="15" hidden="false" customHeight="false" outlineLevel="0" collapsed="false">
      <c r="B3337" s="7" t="s">
        <v>3834</v>
      </c>
      <c r="C3337" s="39" t="n">
        <v>45824</v>
      </c>
      <c r="D3337" s="7" t="s">
        <v>325</v>
      </c>
      <c r="E3337" s="7" t="s">
        <v>154</v>
      </c>
      <c r="F3337" s="7" t="s">
        <v>212</v>
      </c>
      <c r="G3337" s="7" t="s">
        <v>505</v>
      </c>
      <c r="H3337" s="6" t="n">
        <v>3.18</v>
      </c>
      <c r="I3337" s="6" t="n">
        <v>0</v>
      </c>
      <c r="J3337" s="40" t="n">
        <f aca="false">H3337-I3337</f>
        <v>3.18</v>
      </c>
      <c r="K3337" s="41" t="n">
        <v>26.5</v>
      </c>
      <c r="L3337" s="42" t="n">
        <f aca="false">J3337*K3337</f>
        <v>84.27</v>
      </c>
      <c r="M3337" s="43" t="n">
        <f aca="false">H3337*16.71*(1+'Chart of Accounts'!$E$67)</f>
        <v>60.842781</v>
      </c>
    </row>
    <row r="3338" customFormat="false" ht="15" hidden="false" customHeight="false" outlineLevel="0" collapsed="false">
      <c r="B3338" s="7" t="s">
        <v>3835</v>
      </c>
      <c r="C3338" s="39" t="n">
        <v>45824</v>
      </c>
      <c r="D3338" s="7" t="s">
        <v>329</v>
      </c>
      <c r="E3338" s="7" t="s">
        <v>156</v>
      </c>
      <c r="F3338" s="7" t="s">
        <v>220</v>
      </c>
      <c r="G3338" s="7" t="s">
        <v>505</v>
      </c>
      <c r="H3338" s="6" t="n">
        <v>4.08</v>
      </c>
      <c r="I3338" s="6" t="n">
        <v>0</v>
      </c>
      <c r="J3338" s="40" t="n">
        <f aca="false">H3338-I3338</f>
        <v>4.08</v>
      </c>
      <c r="K3338" s="41" t="n">
        <v>34</v>
      </c>
      <c r="L3338" s="42" t="n">
        <f aca="false">J3338*K3338</f>
        <v>138.72</v>
      </c>
      <c r="M3338" s="43" t="n">
        <f aca="false">H3338*16.43*(1+'Chart of Accounts'!$E$67)</f>
        <v>76.754388</v>
      </c>
    </row>
    <row r="3339" customFormat="false" ht="15" hidden="false" customHeight="false" outlineLevel="0" collapsed="false">
      <c r="B3339" s="7" t="s">
        <v>3836</v>
      </c>
      <c r="C3339" s="39" t="n">
        <v>45824</v>
      </c>
      <c r="D3339" s="7" t="s">
        <v>331</v>
      </c>
      <c r="E3339" s="7" t="s">
        <v>156</v>
      </c>
      <c r="F3339" s="7" t="s">
        <v>224</v>
      </c>
      <c r="G3339" s="7" t="s">
        <v>505</v>
      </c>
      <c r="H3339" s="6" t="n">
        <v>3.86</v>
      </c>
      <c r="I3339" s="6" t="n">
        <v>0</v>
      </c>
      <c r="J3339" s="40" t="n">
        <f aca="false">H3339-I3339</f>
        <v>3.86</v>
      </c>
      <c r="K3339" s="41" t="n">
        <v>34</v>
      </c>
      <c r="L3339" s="42" t="n">
        <f aca="false">J3339*K3339</f>
        <v>131.24</v>
      </c>
      <c r="M3339" s="43" t="n">
        <f aca="false">H3339*14.93*(1+'Chart of Accounts'!$E$67)</f>
        <v>65.986121</v>
      </c>
    </row>
    <row r="3340" customFormat="false" ht="15" hidden="false" customHeight="false" outlineLevel="0" collapsed="false">
      <c r="B3340" s="7" t="s">
        <v>3837</v>
      </c>
      <c r="C3340" s="39" t="n">
        <v>45824</v>
      </c>
      <c r="D3340" s="7" t="s">
        <v>335</v>
      </c>
      <c r="E3340" s="7" t="s">
        <v>154</v>
      </c>
      <c r="F3340" s="7" t="s">
        <v>177</v>
      </c>
      <c r="G3340" s="7" t="s">
        <v>505</v>
      </c>
      <c r="H3340" s="6" t="n">
        <v>4.34</v>
      </c>
      <c r="I3340" s="6" t="n">
        <v>0</v>
      </c>
      <c r="J3340" s="40" t="n">
        <f aca="false">H3340-I3340</f>
        <v>4.34</v>
      </c>
      <c r="K3340" s="41" t="n">
        <v>26.5</v>
      </c>
      <c r="L3340" s="42" t="n">
        <f aca="false">J3340*K3340</f>
        <v>115.01</v>
      </c>
      <c r="M3340" s="43" t="n">
        <f aca="false">H3340*14.56*(1+'Chart of Accounts'!$E$67)</f>
        <v>72.353008</v>
      </c>
    </row>
    <row r="3341" customFormat="false" ht="15" hidden="false" customHeight="false" outlineLevel="0" collapsed="false">
      <c r="B3341" s="7" t="s">
        <v>3838</v>
      </c>
      <c r="C3341" s="39" t="n">
        <v>45824</v>
      </c>
      <c r="D3341" s="7" t="s">
        <v>337</v>
      </c>
      <c r="E3341" s="7" t="s">
        <v>154</v>
      </c>
      <c r="F3341" s="7" t="s">
        <v>232</v>
      </c>
      <c r="G3341" s="7" t="s">
        <v>505</v>
      </c>
      <c r="H3341" s="6" t="n">
        <v>2.98</v>
      </c>
      <c r="I3341" s="6" t="n">
        <v>0</v>
      </c>
      <c r="J3341" s="40" t="n">
        <f aca="false">H3341-I3341</f>
        <v>2.98</v>
      </c>
      <c r="K3341" s="41" t="n">
        <v>26.5</v>
      </c>
      <c r="L3341" s="42" t="n">
        <f aca="false">J3341*K3341</f>
        <v>78.97</v>
      </c>
      <c r="M3341" s="43" t="n">
        <f aca="false">H3341*16.17*(1+'Chart of Accounts'!$E$67)</f>
        <v>55.173657</v>
      </c>
    </row>
    <row r="3342" customFormat="false" ht="15" hidden="false" customHeight="false" outlineLevel="0" collapsed="false">
      <c r="B3342" s="7" t="s">
        <v>3839</v>
      </c>
      <c r="C3342" s="39" t="n">
        <v>45824</v>
      </c>
      <c r="D3342" s="7" t="s">
        <v>339</v>
      </c>
      <c r="E3342" s="7" t="s">
        <v>154</v>
      </c>
      <c r="F3342" s="7" t="s">
        <v>242</v>
      </c>
      <c r="G3342" s="7" t="s">
        <v>505</v>
      </c>
      <c r="H3342" s="6" t="n">
        <v>3.31</v>
      </c>
      <c r="I3342" s="6" t="n">
        <v>0.099</v>
      </c>
      <c r="J3342" s="40" t="n">
        <f aca="false">H3342-I3342</f>
        <v>3.211</v>
      </c>
      <c r="K3342" s="41" t="n">
        <v>26.5</v>
      </c>
      <c r="L3342" s="42" t="n">
        <f aca="false">J3342*K3342</f>
        <v>85.0915</v>
      </c>
      <c r="M3342" s="43" t="n">
        <f aca="false">H3342*17.99*(1+'Chart of Accounts'!$E$67)</f>
        <v>68.1812005</v>
      </c>
    </row>
    <row r="3343" customFormat="false" ht="15" hidden="false" customHeight="false" outlineLevel="0" collapsed="false">
      <c r="B3343" s="7" t="s">
        <v>3840</v>
      </c>
      <c r="C3343" s="39" t="n">
        <v>45824</v>
      </c>
      <c r="D3343" s="7" t="s">
        <v>341</v>
      </c>
      <c r="E3343" s="7" t="s">
        <v>156</v>
      </c>
      <c r="F3343" s="7" t="s">
        <v>222</v>
      </c>
      <c r="G3343" s="7" t="s">
        <v>505</v>
      </c>
      <c r="H3343" s="6" t="n">
        <v>3.12</v>
      </c>
      <c r="I3343" s="6" t="n">
        <v>0</v>
      </c>
      <c r="J3343" s="40" t="n">
        <f aca="false">H3343-I3343</f>
        <v>3.12</v>
      </c>
      <c r="K3343" s="41" t="n">
        <v>34</v>
      </c>
      <c r="L3343" s="42" t="n">
        <f aca="false">J3343*K3343</f>
        <v>106.08</v>
      </c>
      <c r="M3343" s="43" t="n">
        <f aca="false">H3343*17.84*(1+'Chart of Accounts'!$E$67)</f>
        <v>63.731616</v>
      </c>
    </row>
    <row r="3344" customFormat="false" ht="15" hidden="false" customHeight="false" outlineLevel="0" collapsed="false">
      <c r="B3344" s="7" t="s">
        <v>3841</v>
      </c>
      <c r="C3344" s="39" t="n">
        <v>45824</v>
      </c>
      <c r="D3344" s="7" t="s">
        <v>343</v>
      </c>
      <c r="E3344" s="7" t="s">
        <v>154</v>
      </c>
      <c r="F3344" s="7" t="s">
        <v>238</v>
      </c>
      <c r="G3344" s="7" t="s">
        <v>505</v>
      </c>
      <c r="H3344" s="6" t="n">
        <v>3.97</v>
      </c>
      <c r="I3344" s="6" t="n">
        <v>0</v>
      </c>
      <c r="J3344" s="40" t="n">
        <f aca="false">H3344-I3344</f>
        <v>3.97</v>
      </c>
      <c r="K3344" s="41" t="n">
        <v>26.5</v>
      </c>
      <c r="L3344" s="42" t="n">
        <f aca="false">J3344*K3344</f>
        <v>105.205</v>
      </c>
      <c r="M3344" s="43" t="n">
        <f aca="false">H3344*15.85*(1+'Chart of Accounts'!$E$67)</f>
        <v>72.0485525</v>
      </c>
    </row>
    <row r="3345" customFormat="false" ht="15" hidden="false" customHeight="false" outlineLevel="0" collapsed="false">
      <c r="B3345" s="7" t="s">
        <v>3842</v>
      </c>
      <c r="C3345" s="39" t="n">
        <v>45824</v>
      </c>
      <c r="D3345" s="7" t="s">
        <v>351</v>
      </c>
      <c r="E3345" s="7" t="s">
        <v>154</v>
      </c>
      <c r="F3345" s="7" t="s">
        <v>201</v>
      </c>
      <c r="G3345" s="7" t="s">
        <v>505</v>
      </c>
      <c r="H3345" s="6" t="n">
        <v>2.74</v>
      </c>
      <c r="I3345" s="6" t="n">
        <v>0</v>
      </c>
      <c r="J3345" s="40" t="n">
        <f aca="false">H3345-I3345</f>
        <v>2.74</v>
      </c>
      <c r="K3345" s="41" t="n">
        <v>26.5</v>
      </c>
      <c r="L3345" s="42" t="n">
        <f aca="false">J3345*K3345</f>
        <v>72.61</v>
      </c>
      <c r="M3345" s="43" t="n">
        <f aca="false">H3345*15.19*(1+'Chart of Accounts'!$E$67)</f>
        <v>47.655587</v>
      </c>
    </row>
    <row r="3346" customFormat="false" ht="15" hidden="false" customHeight="false" outlineLevel="0" collapsed="false">
      <c r="B3346" s="7" t="s">
        <v>3843</v>
      </c>
      <c r="C3346" s="39" t="n">
        <v>45824</v>
      </c>
      <c r="D3346" s="7" t="s">
        <v>355</v>
      </c>
      <c r="E3346" s="7" t="s">
        <v>154</v>
      </c>
      <c r="F3346" s="7" t="s">
        <v>201</v>
      </c>
      <c r="G3346" s="7" t="s">
        <v>505</v>
      </c>
      <c r="H3346" s="6" t="n">
        <v>3.18</v>
      </c>
      <c r="I3346" s="6" t="n">
        <v>0</v>
      </c>
      <c r="J3346" s="40" t="n">
        <f aca="false">H3346-I3346</f>
        <v>3.18</v>
      </c>
      <c r="K3346" s="41" t="n">
        <v>26.5</v>
      </c>
      <c r="L3346" s="42" t="n">
        <f aca="false">J3346*K3346</f>
        <v>84.27</v>
      </c>
      <c r="M3346" s="43" t="n">
        <f aca="false">H3346*15.19*(1+'Chart of Accounts'!$E$67)</f>
        <v>55.308309</v>
      </c>
    </row>
    <row r="3347" customFormat="false" ht="15" hidden="false" customHeight="false" outlineLevel="0" collapsed="false">
      <c r="B3347" s="7" t="s">
        <v>3844</v>
      </c>
      <c r="C3347" s="39" t="n">
        <v>45824</v>
      </c>
      <c r="D3347" s="7" t="s">
        <v>357</v>
      </c>
      <c r="E3347" s="7" t="s">
        <v>154</v>
      </c>
      <c r="F3347" s="7" t="s">
        <v>207</v>
      </c>
      <c r="G3347" s="7" t="s">
        <v>505</v>
      </c>
      <c r="H3347" s="6" t="n">
        <v>3.39</v>
      </c>
      <c r="I3347" s="6" t="n">
        <v>0</v>
      </c>
      <c r="J3347" s="40" t="n">
        <f aca="false">H3347-I3347</f>
        <v>3.39</v>
      </c>
      <c r="K3347" s="41" t="n">
        <v>26.5</v>
      </c>
      <c r="L3347" s="42" t="n">
        <f aca="false">J3347*K3347</f>
        <v>89.835</v>
      </c>
      <c r="M3347" s="43" t="n">
        <f aca="false">H3347*16.65*(1+'Chart of Accounts'!$E$67)</f>
        <v>64.6278075</v>
      </c>
    </row>
    <row r="3348" customFormat="false" ht="15" hidden="false" customHeight="false" outlineLevel="0" collapsed="false">
      <c r="B3348" s="7" t="s">
        <v>3845</v>
      </c>
      <c r="C3348" s="39" t="n">
        <v>45824</v>
      </c>
      <c r="D3348" s="7" t="s">
        <v>359</v>
      </c>
      <c r="E3348" s="7" t="s">
        <v>156</v>
      </c>
      <c r="F3348" s="7" t="s">
        <v>212</v>
      </c>
      <c r="G3348" s="7" t="s">
        <v>505</v>
      </c>
      <c r="H3348" s="6" t="n">
        <v>3.92</v>
      </c>
      <c r="I3348" s="6" t="n">
        <v>0</v>
      </c>
      <c r="J3348" s="40" t="n">
        <f aca="false">H3348-I3348</f>
        <v>3.92</v>
      </c>
      <c r="K3348" s="41" t="n">
        <v>34</v>
      </c>
      <c r="L3348" s="42" t="n">
        <f aca="false">J3348*K3348</f>
        <v>133.28</v>
      </c>
      <c r="M3348" s="43" t="n">
        <f aca="false">H3348*16.71*(1+'Chart of Accounts'!$E$67)</f>
        <v>75.001164</v>
      </c>
    </row>
    <row r="3349" customFormat="false" ht="15" hidden="false" customHeight="false" outlineLevel="0" collapsed="false">
      <c r="B3349" s="7" t="s">
        <v>3846</v>
      </c>
      <c r="C3349" s="39" t="n">
        <v>45824</v>
      </c>
      <c r="D3349" s="7" t="s">
        <v>363</v>
      </c>
      <c r="E3349" s="7" t="s">
        <v>156</v>
      </c>
      <c r="F3349" s="7" t="s">
        <v>246</v>
      </c>
      <c r="G3349" s="7" t="s">
        <v>505</v>
      </c>
      <c r="H3349" s="6" t="n">
        <v>4.13</v>
      </c>
      <c r="I3349" s="6" t="n">
        <v>0</v>
      </c>
      <c r="J3349" s="40" t="n">
        <f aca="false">H3349-I3349</f>
        <v>4.13</v>
      </c>
      <c r="K3349" s="41" t="n">
        <v>34</v>
      </c>
      <c r="L3349" s="42" t="n">
        <f aca="false">J3349*K3349</f>
        <v>140.42</v>
      </c>
      <c r="M3349" s="43" t="n">
        <f aca="false">H3349*16.48*(1+'Chart of Accounts'!$E$67)</f>
        <v>77.931448</v>
      </c>
    </row>
    <row r="3350" customFormat="false" ht="15" hidden="false" customHeight="false" outlineLevel="0" collapsed="false">
      <c r="B3350" s="7" t="s">
        <v>3847</v>
      </c>
      <c r="C3350" s="39" t="n">
        <v>45824</v>
      </c>
      <c r="D3350" s="7" t="s">
        <v>365</v>
      </c>
      <c r="E3350" s="7" t="s">
        <v>154</v>
      </c>
      <c r="F3350" s="7" t="s">
        <v>194</v>
      </c>
      <c r="G3350" s="7" t="s">
        <v>505</v>
      </c>
      <c r="H3350" s="6" t="n">
        <v>4.18</v>
      </c>
      <c r="I3350" s="6" t="n">
        <v>0</v>
      </c>
      <c r="J3350" s="40" t="n">
        <f aca="false">H3350-I3350</f>
        <v>4.18</v>
      </c>
      <c r="K3350" s="41" t="n">
        <v>26.5</v>
      </c>
      <c r="L3350" s="42" t="n">
        <f aca="false">J3350*K3350</f>
        <v>110.77</v>
      </c>
      <c r="M3350" s="43" t="n">
        <f aca="false">H3350*16*(1+'Chart of Accounts'!$E$67)</f>
        <v>76.5776</v>
      </c>
    </row>
    <row r="3351" customFormat="false" ht="15" hidden="false" customHeight="false" outlineLevel="0" collapsed="false">
      <c r="B3351" s="7" t="s">
        <v>3848</v>
      </c>
      <c r="C3351" s="39" t="n">
        <v>45824</v>
      </c>
      <c r="D3351" s="7" t="s">
        <v>371</v>
      </c>
      <c r="E3351" s="7" t="s">
        <v>154</v>
      </c>
      <c r="F3351" s="7" t="s">
        <v>232</v>
      </c>
      <c r="G3351" s="7" t="s">
        <v>505</v>
      </c>
      <c r="H3351" s="6" t="n">
        <v>4.3</v>
      </c>
      <c r="I3351" s="6" t="n">
        <v>0</v>
      </c>
      <c r="J3351" s="40" t="n">
        <f aca="false">H3351-I3351</f>
        <v>4.3</v>
      </c>
      <c r="K3351" s="41" t="n">
        <v>26.5</v>
      </c>
      <c r="L3351" s="42" t="n">
        <f aca="false">J3351*K3351</f>
        <v>113.95</v>
      </c>
      <c r="M3351" s="43" t="n">
        <f aca="false">H3351*16.17*(1+'Chart of Accounts'!$E$67)</f>
        <v>79.612995</v>
      </c>
    </row>
    <row r="3352" customFormat="false" ht="15" hidden="false" customHeight="false" outlineLevel="0" collapsed="false">
      <c r="B3352" s="7" t="s">
        <v>3849</v>
      </c>
      <c r="C3352" s="39" t="n">
        <v>45824</v>
      </c>
      <c r="D3352" s="7" t="s">
        <v>375</v>
      </c>
      <c r="E3352" s="7" t="s">
        <v>156</v>
      </c>
      <c r="F3352" s="7" t="s">
        <v>196</v>
      </c>
      <c r="G3352" s="7" t="s">
        <v>505</v>
      </c>
      <c r="H3352" s="6" t="n">
        <v>3.16</v>
      </c>
      <c r="I3352" s="6" t="n">
        <v>0</v>
      </c>
      <c r="J3352" s="40" t="n">
        <f aca="false">H3352-I3352</f>
        <v>3.16</v>
      </c>
      <c r="K3352" s="41" t="n">
        <v>34</v>
      </c>
      <c r="L3352" s="42" t="n">
        <f aca="false">J3352*K3352</f>
        <v>107.44</v>
      </c>
      <c r="M3352" s="43" t="n">
        <f aca="false">H3352*15.05*(1+'Chart of Accounts'!$E$67)</f>
        <v>54.45391</v>
      </c>
    </row>
    <row r="3353" customFormat="false" ht="15" hidden="false" customHeight="false" outlineLevel="0" collapsed="false">
      <c r="B3353" s="7" t="s">
        <v>3850</v>
      </c>
      <c r="C3353" s="39" t="n">
        <v>45824</v>
      </c>
      <c r="D3353" s="7" t="s">
        <v>377</v>
      </c>
      <c r="E3353" s="7" t="s">
        <v>154</v>
      </c>
      <c r="F3353" s="7" t="s">
        <v>214</v>
      </c>
      <c r="G3353" s="7" t="s">
        <v>505</v>
      </c>
      <c r="H3353" s="6" t="n">
        <v>4.07</v>
      </c>
      <c r="I3353" s="6" t="n">
        <v>0</v>
      </c>
      <c r="J3353" s="40" t="n">
        <f aca="false">H3353-I3353</f>
        <v>4.07</v>
      </c>
      <c r="K3353" s="41" t="n">
        <v>26.5</v>
      </c>
      <c r="L3353" s="42" t="n">
        <f aca="false">J3353*K3353</f>
        <v>107.855</v>
      </c>
      <c r="M3353" s="43" t="n">
        <f aca="false">H3353*15.67*(1+'Chart of Accounts'!$E$67)</f>
        <v>73.0245505</v>
      </c>
    </row>
    <row r="3354" customFormat="false" ht="15" hidden="false" customHeight="false" outlineLevel="0" collapsed="false">
      <c r="B3354" s="7" t="s">
        <v>3851</v>
      </c>
      <c r="C3354" s="39" t="n">
        <v>45824</v>
      </c>
      <c r="D3354" s="7" t="s">
        <v>379</v>
      </c>
      <c r="E3354" s="7" t="s">
        <v>156</v>
      </c>
      <c r="F3354" s="7" t="s">
        <v>224</v>
      </c>
      <c r="G3354" s="7" t="s">
        <v>505</v>
      </c>
      <c r="H3354" s="6" t="n">
        <v>5.01</v>
      </c>
      <c r="I3354" s="6" t="n">
        <v>0</v>
      </c>
      <c r="J3354" s="40" t="n">
        <f aca="false">H3354-I3354</f>
        <v>5.01</v>
      </c>
      <c r="K3354" s="41" t="n">
        <v>34</v>
      </c>
      <c r="L3354" s="42" t="n">
        <f aca="false">J3354*K3354</f>
        <v>170.34</v>
      </c>
      <c r="M3354" s="43" t="n">
        <f aca="false">H3354*14.93*(1+'Chart of Accounts'!$E$67)</f>
        <v>85.6451985</v>
      </c>
    </row>
    <row r="3355" customFormat="false" ht="15" hidden="false" customHeight="false" outlineLevel="0" collapsed="false">
      <c r="B3355" s="7" t="s">
        <v>3852</v>
      </c>
      <c r="C3355" s="39" t="n">
        <v>45824</v>
      </c>
      <c r="D3355" s="7" t="s">
        <v>385</v>
      </c>
      <c r="E3355" s="7" t="s">
        <v>156</v>
      </c>
      <c r="F3355" s="7" t="s">
        <v>238</v>
      </c>
      <c r="G3355" s="7" t="s">
        <v>505</v>
      </c>
      <c r="H3355" s="6" t="n">
        <v>3.73</v>
      </c>
      <c r="I3355" s="6" t="n">
        <v>0</v>
      </c>
      <c r="J3355" s="40" t="n">
        <f aca="false">H3355-I3355</f>
        <v>3.73</v>
      </c>
      <c r="K3355" s="41" t="n">
        <v>34</v>
      </c>
      <c r="L3355" s="42" t="n">
        <f aca="false">J3355*K3355</f>
        <v>126.82</v>
      </c>
      <c r="M3355" s="43" t="n">
        <f aca="false">H3355*15.85*(1+'Chart of Accounts'!$E$67)</f>
        <v>67.6929725</v>
      </c>
    </row>
    <row r="3356" customFormat="false" ht="15" hidden="false" customHeight="false" outlineLevel="0" collapsed="false">
      <c r="B3356" s="7" t="s">
        <v>3853</v>
      </c>
      <c r="C3356" s="39" t="n">
        <v>45824</v>
      </c>
      <c r="D3356" s="7" t="s">
        <v>389</v>
      </c>
      <c r="E3356" s="7" t="s">
        <v>154</v>
      </c>
      <c r="F3356" s="7" t="s">
        <v>246</v>
      </c>
      <c r="G3356" s="7" t="s">
        <v>505</v>
      </c>
      <c r="H3356" s="6" t="n">
        <v>3.67</v>
      </c>
      <c r="I3356" s="6" t="n">
        <v>0.11</v>
      </c>
      <c r="J3356" s="40" t="n">
        <f aca="false">H3356-I3356</f>
        <v>3.56</v>
      </c>
      <c r="K3356" s="41" t="n">
        <v>26.5</v>
      </c>
      <c r="L3356" s="42" t="n">
        <f aca="false">J3356*K3356</f>
        <v>94.34</v>
      </c>
      <c r="M3356" s="43" t="n">
        <f aca="false">H3356*16.48*(1+'Chart of Accounts'!$E$67)</f>
        <v>69.251432</v>
      </c>
    </row>
    <row r="3357" customFormat="false" ht="15" hidden="false" customHeight="false" outlineLevel="0" collapsed="false">
      <c r="B3357" s="7" t="s">
        <v>3854</v>
      </c>
      <c r="C3357" s="39" t="n">
        <v>45824</v>
      </c>
      <c r="D3357" s="7" t="s">
        <v>391</v>
      </c>
      <c r="E3357" s="7" t="s">
        <v>156</v>
      </c>
      <c r="F3357" s="7" t="s">
        <v>222</v>
      </c>
      <c r="G3357" s="7" t="s">
        <v>505</v>
      </c>
      <c r="H3357" s="6" t="n">
        <v>3.73</v>
      </c>
      <c r="I3357" s="6" t="n">
        <v>0</v>
      </c>
      <c r="J3357" s="40" t="n">
        <f aca="false">H3357-I3357</f>
        <v>3.73</v>
      </c>
      <c r="K3357" s="41" t="n">
        <v>34</v>
      </c>
      <c r="L3357" s="42" t="n">
        <f aca="false">J3357*K3357</f>
        <v>126.82</v>
      </c>
      <c r="M3357" s="43" t="n">
        <f aca="false">H3357*17.84*(1+'Chart of Accounts'!$E$67)</f>
        <v>76.191964</v>
      </c>
    </row>
    <row r="3358" customFormat="false" ht="15" hidden="false" customHeight="false" outlineLevel="0" collapsed="false">
      <c r="B3358" s="7" t="s">
        <v>3855</v>
      </c>
      <c r="C3358" s="39" t="n">
        <v>45824</v>
      </c>
      <c r="D3358" s="7" t="s">
        <v>395</v>
      </c>
      <c r="E3358" s="7" t="s">
        <v>156</v>
      </c>
      <c r="F3358" s="7" t="s">
        <v>242</v>
      </c>
      <c r="G3358" s="7" t="s">
        <v>505</v>
      </c>
      <c r="H3358" s="6" t="n">
        <v>4.32</v>
      </c>
      <c r="I3358" s="6" t="n">
        <v>0</v>
      </c>
      <c r="J3358" s="40" t="n">
        <f aca="false">H3358-I3358</f>
        <v>4.32</v>
      </c>
      <c r="K3358" s="41" t="n">
        <v>34</v>
      </c>
      <c r="L3358" s="42" t="n">
        <f aca="false">J3358*K3358</f>
        <v>146.88</v>
      </c>
      <c r="M3358" s="43" t="n">
        <f aca="false">H3358*17.99*(1+'Chart of Accounts'!$E$67)</f>
        <v>88.985736</v>
      </c>
    </row>
    <row r="3359" customFormat="false" ht="15" hidden="false" customHeight="false" outlineLevel="0" collapsed="false">
      <c r="B3359" s="7" t="s">
        <v>3856</v>
      </c>
      <c r="C3359" s="39" t="n">
        <v>45824</v>
      </c>
      <c r="D3359" s="7" t="s">
        <v>399</v>
      </c>
      <c r="E3359" s="7" t="s">
        <v>154</v>
      </c>
      <c r="F3359" s="7" t="s">
        <v>220</v>
      </c>
      <c r="G3359" s="7" t="s">
        <v>505</v>
      </c>
      <c r="H3359" s="6" t="n">
        <v>3.29</v>
      </c>
      <c r="I3359" s="6" t="n">
        <v>0</v>
      </c>
      <c r="J3359" s="40" t="n">
        <f aca="false">H3359-I3359</f>
        <v>3.29</v>
      </c>
      <c r="K3359" s="41" t="n">
        <v>26.5</v>
      </c>
      <c r="L3359" s="42" t="n">
        <f aca="false">J3359*K3359</f>
        <v>87.185</v>
      </c>
      <c r="M3359" s="43" t="n">
        <f aca="false">H3359*16.43*(1+'Chart of Accounts'!$E$67)</f>
        <v>61.8926315</v>
      </c>
    </row>
    <row r="3360" customFormat="false" ht="15" hidden="false" customHeight="false" outlineLevel="0" collapsed="false">
      <c r="B3360" s="7" t="s">
        <v>3857</v>
      </c>
      <c r="C3360" s="39" t="n">
        <v>45824</v>
      </c>
      <c r="D3360" s="7" t="s">
        <v>401</v>
      </c>
      <c r="E3360" s="7" t="s">
        <v>156</v>
      </c>
      <c r="F3360" s="7" t="s">
        <v>254</v>
      </c>
      <c r="G3360" s="7" t="s">
        <v>505</v>
      </c>
      <c r="H3360" s="6" t="n">
        <v>4.21</v>
      </c>
      <c r="I3360" s="6" t="n">
        <v>0</v>
      </c>
      <c r="J3360" s="40" t="n">
        <f aca="false">H3360-I3360</f>
        <v>4.21</v>
      </c>
      <c r="K3360" s="41" t="n">
        <v>34</v>
      </c>
      <c r="L3360" s="42" t="n">
        <f aca="false">J3360*K3360</f>
        <v>143.14</v>
      </c>
      <c r="M3360" s="43" t="n">
        <f aca="false">H3360*17.1*(1+'Chart of Accounts'!$E$67)</f>
        <v>82.429695</v>
      </c>
    </row>
    <row r="3361" customFormat="false" ht="15" hidden="false" customHeight="false" outlineLevel="0" collapsed="false">
      <c r="B3361" s="7" t="s">
        <v>3858</v>
      </c>
      <c r="C3361" s="39" t="n">
        <v>45824</v>
      </c>
      <c r="D3361" s="7" t="s">
        <v>409</v>
      </c>
      <c r="E3361" s="7" t="s">
        <v>154</v>
      </c>
      <c r="F3361" s="7" t="s">
        <v>214</v>
      </c>
      <c r="G3361" s="7" t="s">
        <v>505</v>
      </c>
      <c r="H3361" s="6" t="n">
        <v>3.52</v>
      </c>
      <c r="I3361" s="6" t="n">
        <v>0</v>
      </c>
      <c r="J3361" s="40" t="n">
        <f aca="false">H3361-I3361</f>
        <v>3.52</v>
      </c>
      <c r="K3361" s="41" t="n">
        <v>26.5</v>
      </c>
      <c r="L3361" s="42" t="n">
        <f aca="false">J3361*K3361</f>
        <v>93.28</v>
      </c>
      <c r="M3361" s="43" t="n">
        <f aca="false">H3361*15.67*(1+'Chart of Accounts'!$E$67)</f>
        <v>63.156368</v>
      </c>
    </row>
    <row r="3362" customFormat="false" ht="15" hidden="false" customHeight="false" outlineLevel="0" collapsed="false">
      <c r="B3362" s="7" t="s">
        <v>3859</v>
      </c>
      <c r="C3362" s="39" t="n">
        <v>45824</v>
      </c>
      <c r="D3362" s="7" t="s">
        <v>411</v>
      </c>
      <c r="E3362" s="7" t="s">
        <v>154</v>
      </c>
      <c r="F3362" s="7" t="s">
        <v>177</v>
      </c>
      <c r="G3362" s="7" t="s">
        <v>505</v>
      </c>
      <c r="H3362" s="6" t="n">
        <v>4.98</v>
      </c>
      <c r="I3362" s="6" t="n">
        <v>0.149</v>
      </c>
      <c r="J3362" s="40" t="n">
        <f aca="false">H3362-I3362</f>
        <v>4.831</v>
      </c>
      <c r="K3362" s="41" t="n">
        <v>26.5</v>
      </c>
      <c r="L3362" s="42" t="n">
        <f aca="false">J3362*K3362</f>
        <v>128.0215</v>
      </c>
      <c r="M3362" s="43" t="n">
        <f aca="false">H3362*14.56*(1+'Chart of Accounts'!$E$67)</f>
        <v>83.022576</v>
      </c>
    </row>
    <row r="3363" customFormat="false" ht="15" hidden="false" customHeight="false" outlineLevel="0" collapsed="false">
      <c r="B3363" s="7" t="s">
        <v>3860</v>
      </c>
      <c r="C3363" s="39" t="n">
        <v>45825</v>
      </c>
      <c r="D3363" s="7" t="s">
        <v>288</v>
      </c>
      <c r="E3363" s="7" t="s">
        <v>156</v>
      </c>
      <c r="F3363" s="7" t="s">
        <v>205</v>
      </c>
      <c r="G3363" s="7" t="s">
        <v>505</v>
      </c>
      <c r="H3363" s="6" t="n">
        <v>4.08</v>
      </c>
      <c r="I3363" s="6" t="n">
        <v>0</v>
      </c>
      <c r="J3363" s="40" t="n">
        <f aca="false">H3363-I3363</f>
        <v>4.08</v>
      </c>
      <c r="K3363" s="41" t="n">
        <v>34</v>
      </c>
      <c r="L3363" s="42" t="n">
        <f aca="false">J3363*K3363</f>
        <v>138.72</v>
      </c>
      <c r="M3363" s="43" t="n">
        <f aca="false">H3363*16.36*(1+'Chart of Accounts'!$E$67)</f>
        <v>76.427376</v>
      </c>
    </row>
    <row r="3364" customFormat="false" ht="15" hidden="false" customHeight="false" outlineLevel="0" collapsed="false">
      <c r="B3364" s="7" t="s">
        <v>3861</v>
      </c>
      <c r="C3364" s="39" t="n">
        <v>45825</v>
      </c>
      <c r="D3364" s="7" t="s">
        <v>301</v>
      </c>
      <c r="E3364" s="7" t="s">
        <v>157</v>
      </c>
      <c r="F3364" s="7" t="s">
        <v>209</v>
      </c>
      <c r="G3364" s="7" t="s">
        <v>502</v>
      </c>
      <c r="H3364" s="6" t="n">
        <v>1.07</v>
      </c>
      <c r="I3364" s="6" t="n">
        <v>0</v>
      </c>
      <c r="J3364" s="40" t="n">
        <f aca="false">H3364-I3364</f>
        <v>1.07</v>
      </c>
      <c r="K3364" s="41" t="n">
        <v>165</v>
      </c>
      <c r="L3364" s="42" t="n">
        <f aca="false">J3364*K3364</f>
        <v>176.55</v>
      </c>
      <c r="M3364" s="43" t="n">
        <f aca="false">H3364*73.58*(1+'Chart of Accounts'!$E$67)</f>
        <v>90.146537</v>
      </c>
    </row>
    <row r="3365" customFormat="false" ht="15" hidden="false" customHeight="false" outlineLevel="0" collapsed="false">
      <c r="B3365" s="7" t="s">
        <v>3862</v>
      </c>
      <c r="C3365" s="39" t="n">
        <v>45825</v>
      </c>
      <c r="D3365" s="7" t="s">
        <v>313</v>
      </c>
      <c r="E3365" s="7" t="s">
        <v>156</v>
      </c>
      <c r="F3365" s="7" t="s">
        <v>184</v>
      </c>
      <c r="G3365" s="7" t="s">
        <v>505</v>
      </c>
      <c r="H3365" s="6" t="n">
        <v>4.05</v>
      </c>
      <c r="I3365" s="6" t="n">
        <v>0</v>
      </c>
      <c r="J3365" s="40" t="n">
        <f aca="false">H3365-I3365</f>
        <v>4.05</v>
      </c>
      <c r="K3365" s="41" t="n">
        <v>34</v>
      </c>
      <c r="L3365" s="42" t="n">
        <f aca="false">J3365*K3365</f>
        <v>137.7</v>
      </c>
      <c r="M3365" s="43" t="n">
        <f aca="false">H3365*17.34*(1+'Chart of Accounts'!$E$67)</f>
        <v>80.409915</v>
      </c>
    </row>
    <row r="3366" customFormat="false" ht="15" hidden="false" customHeight="false" outlineLevel="0" collapsed="false">
      <c r="B3366" s="7" t="s">
        <v>3863</v>
      </c>
      <c r="C3366" s="39" t="n">
        <v>45825</v>
      </c>
      <c r="D3366" s="7" t="s">
        <v>319</v>
      </c>
      <c r="E3366" s="7" t="s">
        <v>157</v>
      </c>
      <c r="F3366" s="7" t="s">
        <v>234</v>
      </c>
      <c r="G3366" s="7" t="s">
        <v>502</v>
      </c>
      <c r="H3366" s="6" t="n">
        <v>1.04</v>
      </c>
      <c r="I3366" s="6" t="n">
        <v>0</v>
      </c>
      <c r="J3366" s="40" t="n">
        <f aca="false">H3366-I3366</f>
        <v>1.04</v>
      </c>
      <c r="K3366" s="41" t="n">
        <v>165</v>
      </c>
      <c r="L3366" s="42" t="n">
        <f aca="false">J3366*K3366</f>
        <v>171.6</v>
      </c>
      <c r="M3366" s="43" t="n">
        <f aca="false">H3366*89.53*(1+'Chart of Accounts'!$E$67)</f>
        <v>106.612324</v>
      </c>
    </row>
    <row r="3367" customFormat="false" ht="15" hidden="false" customHeight="false" outlineLevel="0" collapsed="false">
      <c r="B3367" s="7" t="s">
        <v>3864</v>
      </c>
      <c r="C3367" s="39" t="n">
        <v>45825</v>
      </c>
      <c r="D3367" s="7" t="s">
        <v>321</v>
      </c>
      <c r="E3367" s="7" t="s">
        <v>154</v>
      </c>
      <c r="F3367" s="7" t="s">
        <v>218</v>
      </c>
      <c r="G3367" s="7" t="s">
        <v>505</v>
      </c>
      <c r="H3367" s="6" t="n">
        <v>3.88</v>
      </c>
      <c r="I3367" s="6" t="n">
        <v>0</v>
      </c>
      <c r="J3367" s="40" t="n">
        <f aca="false">H3367-I3367</f>
        <v>3.88</v>
      </c>
      <c r="K3367" s="41" t="n">
        <v>26.5</v>
      </c>
      <c r="L3367" s="42" t="n">
        <f aca="false">J3367*K3367</f>
        <v>102.82</v>
      </c>
      <c r="M3367" s="43" t="n">
        <f aca="false">H3367*16.19*(1+'Chart of Accounts'!$E$67)</f>
        <v>71.925694</v>
      </c>
    </row>
    <row r="3368" customFormat="false" ht="15" hidden="false" customHeight="false" outlineLevel="0" collapsed="false">
      <c r="B3368" s="7" t="s">
        <v>3865</v>
      </c>
      <c r="C3368" s="39" t="n">
        <v>45825</v>
      </c>
      <c r="D3368" s="7" t="s">
        <v>323</v>
      </c>
      <c r="E3368" s="7" t="s">
        <v>159</v>
      </c>
      <c r="F3368" s="7" t="s">
        <v>266</v>
      </c>
      <c r="G3368" s="7" t="s">
        <v>502</v>
      </c>
      <c r="H3368" s="6" t="n">
        <v>0.99</v>
      </c>
      <c r="I3368" s="6" t="n">
        <v>0</v>
      </c>
      <c r="J3368" s="40" t="n">
        <f aca="false">H3368-I3368</f>
        <v>0.99</v>
      </c>
      <c r="K3368" s="41" t="n">
        <v>135</v>
      </c>
      <c r="L3368" s="42" t="n">
        <f aca="false">J3368*K3368</f>
        <v>133.65</v>
      </c>
      <c r="M3368" s="43" t="n">
        <f aca="false">H3368*75.18*(1+'Chart of Accounts'!$E$67)</f>
        <v>85.220289</v>
      </c>
    </row>
    <row r="3369" customFormat="false" ht="15" hidden="false" customHeight="false" outlineLevel="0" collapsed="false">
      <c r="B3369" s="7" t="s">
        <v>3866</v>
      </c>
      <c r="C3369" s="39" t="n">
        <v>45825</v>
      </c>
      <c r="D3369" s="7" t="s">
        <v>327</v>
      </c>
      <c r="E3369" s="7" t="s">
        <v>157</v>
      </c>
      <c r="F3369" s="7" t="s">
        <v>228</v>
      </c>
      <c r="G3369" s="7" t="s">
        <v>502</v>
      </c>
      <c r="H3369" s="6" t="n">
        <v>0.94</v>
      </c>
      <c r="I3369" s="6" t="n">
        <v>0</v>
      </c>
      <c r="J3369" s="40" t="n">
        <f aca="false">H3369-I3369</f>
        <v>0.94</v>
      </c>
      <c r="K3369" s="41" t="n">
        <v>165</v>
      </c>
      <c r="L3369" s="42" t="n">
        <f aca="false">J3369*K3369</f>
        <v>155.1</v>
      </c>
      <c r="M3369" s="43" t="n">
        <f aca="false">H3369*51.07*(1+'Chart of Accounts'!$E$67)</f>
        <v>54.966641</v>
      </c>
    </row>
    <row r="3370" customFormat="false" ht="15" hidden="false" customHeight="false" outlineLevel="0" collapsed="false">
      <c r="B3370" s="7" t="s">
        <v>3867</v>
      </c>
      <c r="C3370" s="39" t="n">
        <v>45825</v>
      </c>
      <c r="D3370" s="7" t="s">
        <v>329</v>
      </c>
      <c r="E3370" s="7" t="s">
        <v>156</v>
      </c>
      <c r="F3370" s="7" t="s">
        <v>220</v>
      </c>
      <c r="G3370" s="7" t="s">
        <v>505</v>
      </c>
      <c r="H3370" s="6" t="n">
        <v>4.35</v>
      </c>
      <c r="I3370" s="6" t="n">
        <v>0</v>
      </c>
      <c r="J3370" s="40" t="n">
        <f aca="false">H3370-I3370</f>
        <v>4.35</v>
      </c>
      <c r="K3370" s="41" t="n">
        <v>34</v>
      </c>
      <c r="L3370" s="42" t="n">
        <f aca="false">J3370*K3370</f>
        <v>147.9</v>
      </c>
      <c r="M3370" s="43" t="n">
        <f aca="false">H3370*16.43*(1+'Chart of Accounts'!$E$67)</f>
        <v>81.8337225</v>
      </c>
    </row>
    <row r="3371" customFormat="false" ht="15" hidden="false" customHeight="false" outlineLevel="0" collapsed="false">
      <c r="B3371" s="7" t="s">
        <v>3868</v>
      </c>
      <c r="C3371" s="39" t="n">
        <v>45825</v>
      </c>
      <c r="D3371" s="7" t="s">
        <v>361</v>
      </c>
      <c r="E3371" s="7" t="s">
        <v>157</v>
      </c>
      <c r="F3371" s="7" t="s">
        <v>209</v>
      </c>
      <c r="G3371" s="7" t="s">
        <v>502</v>
      </c>
      <c r="H3371" s="6" t="n">
        <v>0.97</v>
      </c>
      <c r="I3371" s="6" t="n">
        <v>0</v>
      </c>
      <c r="J3371" s="40" t="n">
        <f aca="false">H3371-I3371</f>
        <v>0.97</v>
      </c>
      <c r="K3371" s="41" t="n">
        <v>165</v>
      </c>
      <c r="L3371" s="42" t="n">
        <f aca="false">J3371*K3371</f>
        <v>160.05</v>
      </c>
      <c r="M3371" s="43" t="n">
        <f aca="false">H3371*73.58*(1+'Chart of Accounts'!$E$67)</f>
        <v>81.721627</v>
      </c>
    </row>
    <row r="3372" customFormat="false" ht="15" hidden="false" customHeight="false" outlineLevel="0" collapsed="false">
      <c r="B3372" s="7" t="s">
        <v>3869</v>
      </c>
      <c r="C3372" s="39" t="n">
        <v>45825</v>
      </c>
      <c r="D3372" s="7" t="s">
        <v>365</v>
      </c>
      <c r="E3372" s="7" t="s">
        <v>154</v>
      </c>
      <c r="F3372" s="7" t="s">
        <v>194</v>
      </c>
      <c r="G3372" s="7" t="s">
        <v>505</v>
      </c>
      <c r="H3372" s="6" t="n">
        <v>3.86</v>
      </c>
      <c r="I3372" s="6" t="n">
        <v>0</v>
      </c>
      <c r="J3372" s="40" t="n">
        <f aca="false">H3372-I3372</f>
        <v>3.86</v>
      </c>
      <c r="K3372" s="41" t="n">
        <v>26.5</v>
      </c>
      <c r="L3372" s="42" t="n">
        <f aca="false">J3372*K3372</f>
        <v>102.29</v>
      </c>
      <c r="M3372" s="43" t="n">
        <f aca="false">H3372*16*(1+'Chart of Accounts'!$E$67)</f>
        <v>70.7152</v>
      </c>
    </row>
    <row r="3373" customFormat="false" ht="15" hidden="false" customHeight="false" outlineLevel="0" collapsed="false">
      <c r="B3373" s="7" t="s">
        <v>3870</v>
      </c>
      <c r="C3373" s="39" t="n">
        <v>45825</v>
      </c>
      <c r="D3373" s="7" t="s">
        <v>389</v>
      </c>
      <c r="E3373" s="7" t="s">
        <v>154</v>
      </c>
      <c r="F3373" s="7" t="s">
        <v>246</v>
      </c>
      <c r="G3373" s="7" t="s">
        <v>505</v>
      </c>
      <c r="H3373" s="6" t="n">
        <v>3.63</v>
      </c>
      <c r="I3373" s="6" t="n">
        <v>0</v>
      </c>
      <c r="J3373" s="40" t="n">
        <f aca="false">H3373-I3373</f>
        <v>3.63</v>
      </c>
      <c r="K3373" s="41" t="n">
        <v>26.5</v>
      </c>
      <c r="L3373" s="42" t="n">
        <f aca="false">J3373*K3373</f>
        <v>96.195</v>
      </c>
      <c r="M3373" s="43" t="n">
        <f aca="false">H3373*16.48*(1+'Chart of Accounts'!$E$67)</f>
        <v>68.496648</v>
      </c>
    </row>
    <row r="3374" customFormat="false" ht="15" hidden="false" customHeight="false" outlineLevel="0" collapsed="false">
      <c r="B3374" s="7" t="s">
        <v>3871</v>
      </c>
      <c r="C3374" s="39" t="n">
        <v>45825</v>
      </c>
      <c r="D3374" s="7" t="s">
        <v>391</v>
      </c>
      <c r="E3374" s="7" t="s">
        <v>156</v>
      </c>
      <c r="F3374" s="7" t="s">
        <v>222</v>
      </c>
      <c r="G3374" s="7" t="s">
        <v>505</v>
      </c>
      <c r="H3374" s="6" t="n">
        <v>3.64</v>
      </c>
      <c r="I3374" s="6" t="n">
        <v>0</v>
      </c>
      <c r="J3374" s="40" t="n">
        <f aca="false">H3374-I3374</f>
        <v>3.64</v>
      </c>
      <c r="K3374" s="41" t="n">
        <v>34</v>
      </c>
      <c r="L3374" s="42" t="n">
        <f aca="false">J3374*K3374</f>
        <v>123.76</v>
      </c>
      <c r="M3374" s="43" t="n">
        <f aca="false">H3374*17.84*(1+'Chart of Accounts'!$E$67)</f>
        <v>74.353552</v>
      </c>
    </row>
    <row r="3375" customFormat="false" ht="15" hidden="false" customHeight="false" outlineLevel="0" collapsed="false">
      <c r="B3375" s="7" t="s">
        <v>3872</v>
      </c>
      <c r="C3375" s="39" t="n">
        <v>45825</v>
      </c>
      <c r="D3375" s="7" t="s">
        <v>395</v>
      </c>
      <c r="E3375" s="7" t="s">
        <v>156</v>
      </c>
      <c r="F3375" s="7" t="s">
        <v>242</v>
      </c>
      <c r="G3375" s="7" t="s">
        <v>505</v>
      </c>
      <c r="H3375" s="6" t="n">
        <v>4.1</v>
      </c>
      <c r="I3375" s="6" t="n">
        <v>0</v>
      </c>
      <c r="J3375" s="40" t="n">
        <f aca="false">H3375-I3375</f>
        <v>4.1</v>
      </c>
      <c r="K3375" s="41" t="n">
        <v>34</v>
      </c>
      <c r="L3375" s="42" t="n">
        <f aca="false">J3375*K3375</f>
        <v>139.4</v>
      </c>
      <c r="M3375" s="43" t="n">
        <f aca="false">H3375*17.99*(1+'Chart of Accounts'!$E$67)</f>
        <v>84.454055</v>
      </c>
    </row>
    <row r="3376" customFormat="false" ht="15" hidden="false" customHeight="false" outlineLevel="0" collapsed="false">
      <c r="B3376" s="7" t="s">
        <v>3873</v>
      </c>
      <c r="C3376" s="39" t="n">
        <v>45825</v>
      </c>
      <c r="D3376" s="7" t="s">
        <v>397</v>
      </c>
      <c r="E3376" s="7" t="s">
        <v>159</v>
      </c>
      <c r="F3376" s="7" t="s">
        <v>203</v>
      </c>
      <c r="G3376" s="7" t="s">
        <v>502</v>
      </c>
      <c r="H3376" s="6" t="n">
        <v>1.07</v>
      </c>
      <c r="I3376" s="6" t="n">
        <v>0</v>
      </c>
      <c r="J3376" s="40" t="n">
        <f aca="false">H3376-I3376</f>
        <v>1.07</v>
      </c>
      <c r="K3376" s="41" t="n">
        <v>135</v>
      </c>
      <c r="L3376" s="42" t="n">
        <f aca="false">J3376*K3376</f>
        <v>144.45</v>
      </c>
      <c r="M3376" s="43" t="n">
        <f aca="false">H3376*49.43*(1+'Chart of Accounts'!$E$67)</f>
        <v>60.5591645</v>
      </c>
    </row>
    <row r="3377" customFormat="false" ht="15" hidden="false" customHeight="false" outlineLevel="0" collapsed="false">
      <c r="B3377" s="7" t="s">
        <v>3874</v>
      </c>
      <c r="C3377" s="39" t="n">
        <v>45825</v>
      </c>
      <c r="D3377" s="7" t="s">
        <v>401</v>
      </c>
      <c r="E3377" s="7" t="s">
        <v>156</v>
      </c>
      <c r="F3377" s="7" t="s">
        <v>254</v>
      </c>
      <c r="G3377" s="7" t="s">
        <v>505</v>
      </c>
      <c r="H3377" s="6" t="n">
        <v>4.11</v>
      </c>
      <c r="I3377" s="6" t="n">
        <v>0</v>
      </c>
      <c r="J3377" s="40" t="n">
        <f aca="false">H3377-I3377</f>
        <v>4.11</v>
      </c>
      <c r="K3377" s="41" t="n">
        <v>34</v>
      </c>
      <c r="L3377" s="42" t="n">
        <f aca="false">J3377*K3377</f>
        <v>139.74</v>
      </c>
      <c r="M3377" s="43" t="n">
        <f aca="false">H3377*17.1*(1+'Chart of Accounts'!$E$67)</f>
        <v>80.471745</v>
      </c>
    </row>
    <row r="3378" customFormat="false" ht="15" hidden="false" customHeight="false" outlineLevel="0" collapsed="false">
      <c r="B3378" s="7" t="s">
        <v>3875</v>
      </c>
      <c r="C3378" s="39" t="n">
        <v>45825</v>
      </c>
      <c r="D3378" s="7" t="s">
        <v>407</v>
      </c>
      <c r="E3378" s="7" t="s">
        <v>159</v>
      </c>
      <c r="F3378" s="7" t="s">
        <v>260</v>
      </c>
      <c r="G3378" s="7" t="s">
        <v>502</v>
      </c>
      <c r="H3378" s="6" t="n">
        <v>1.07</v>
      </c>
      <c r="I3378" s="6" t="n">
        <v>0</v>
      </c>
      <c r="J3378" s="40" t="n">
        <f aca="false">H3378-I3378</f>
        <v>1.07</v>
      </c>
      <c r="K3378" s="41" t="n">
        <v>135</v>
      </c>
      <c r="L3378" s="42" t="n">
        <f aca="false">J3378*K3378</f>
        <v>144.45</v>
      </c>
      <c r="M3378" s="43" t="n">
        <f aca="false">H3378*79.8*(1+'Chart of Accounts'!$E$67)</f>
        <v>97.76697</v>
      </c>
    </row>
    <row r="3379" customFormat="false" ht="15" hidden="false" customHeight="false" outlineLevel="0" collapsed="false">
      <c r="B3379" s="7" t="s">
        <v>3876</v>
      </c>
      <c r="C3379" s="39" t="n">
        <v>45826</v>
      </c>
      <c r="D3379" s="7" t="s">
        <v>280</v>
      </c>
      <c r="E3379" s="7" t="s">
        <v>157</v>
      </c>
      <c r="F3379" s="7" t="s">
        <v>187</v>
      </c>
      <c r="G3379" s="7" t="s">
        <v>502</v>
      </c>
      <c r="H3379" s="6" t="n">
        <v>0.91</v>
      </c>
      <c r="I3379" s="6" t="n">
        <v>0</v>
      </c>
      <c r="J3379" s="40" t="n">
        <f aca="false">H3379-I3379</f>
        <v>0.91</v>
      </c>
      <c r="K3379" s="41" t="n">
        <v>165</v>
      </c>
      <c r="L3379" s="42" t="n">
        <f aca="false">J3379*K3379</f>
        <v>150.15</v>
      </c>
      <c r="M3379" s="43" t="n">
        <f aca="false">H3379*66.48*(1+'Chart of Accounts'!$E$67)</f>
        <v>69.268836</v>
      </c>
    </row>
    <row r="3380" customFormat="false" ht="15" hidden="false" customHeight="false" outlineLevel="0" collapsed="false">
      <c r="B3380" s="7" t="s">
        <v>3877</v>
      </c>
      <c r="C3380" s="39" t="n">
        <v>45826</v>
      </c>
      <c r="D3380" s="7" t="s">
        <v>288</v>
      </c>
      <c r="E3380" s="7" t="s">
        <v>156</v>
      </c>
      <c r="F3380" s="7" t="s">
        <v>201</v>
      </c>
      <c r="G3380" s="7" t="s">
        <v>505</v>
      </c>
      <c r="H3380" s="6" t="n">
        <v>3.72</v>
      </c>
      <c r="I3380" s="6" t="n">
        <v>0</v>
      </c>
      <c r="J3380" s="40" t="n">
        <f aca="false">H3380-I3380</f>
        <v>3.72</v>
      </c>
      <c r="K3380" s="41" t="n">
        <v>34</v>
      </c>
      <c r="L3380" s="42" t="n">
        <f aca="false">J3380*K3380</f>
        <v>126.48</v>
      </c>
      <c r="M3380" s="43" t="n">
        <f aca="false">H3380*15.19*(1+'Chart of Accounts'!$E$67)</f>
        <v>64.700286</v>
      </c>
    </row>
    <row r="3381" customFormat="false" ht="15" hidden="false" customHeight="false" outlineLevel="0" collapsed="false">
      <c r="B3381" s="7" t="s">
        <v>3878</v>
      </c>
      <c r="C3381" s="39" t="n">
        <v>45826</v>
      </c>
      <c r="D3381" s="7" t="s">
        <v>291</v>
      </c>
      <c r="E3381" s="7" t="s">
        <v>154</v>
      </c>
      <c r="F3381" s="7" t="s">
        <v>194</v>
      </c>
      <c r="G3381" s="7" t="s">
        <v>505</v>
      </c>
      <c r="H3381" s="6" t="n">
        <v>4.98</v>
      </c>
      <c r="I3381" s="6" t="n">
        <v>0</v>
      </c>
      <c r="J3381" s="40" t="n">
        <f aca="false">H3381-I3381</f>
        <v>4.98</v>
      </c>
      <c r="K3381" s="41" t="n">
        <v>26.5</v>
      </c>
      <c r="L3381" s="42" t="n">
        <f aca="false">J3381*K3381</f>
        <v>131.97</v>
      </c>
      <c r="M3381" s="43" t="n">
        <f aca="false">H3381*16*(1+'Chart of Accounts'!$E$67)</f>
        <v>91.2336</v>
      </c>
    </row>
    <row r="3382" customFormat="false" ht="15" hidden="false" customHeight="false" outlineLevel="0" collapsed="false">
      <c r="B3382" s="7" t="s">
        <v>3879</v>
      </c>
      <c r="C3382" s="39" t="n">
        <v>45826</v>
      </c>
      <c r="D3382" s="7" t="s">
        <v>305</v>
      </c>
      <c r="E3382" s="7" t="s">
        <v>154</v>
      </c>
      <c r="F3382" s="7" t="s">
        <v>205</v>
      </c>
      <c r="G3382" s="7" t="s">
        <v>505</v>
      </c>
      <c r="H3382" s="6" t="n">
        <v>4.17</v>
      </c>
      <c r="I3382" s="6" t="n">
        <v>0</v>
      </c>
      <c r="J3382" s="40" t="n">
        <f aca="false">H3382-I3382</f>
        <v>4.17</v>
      </c>
      <c r="K3382" s="41" t="n">
        <v>26.5</v>
      </c>
      <c r="L3382" s="42" t="n">
        <f aca="false">J3382*K3382</f>
        <v>110.505</v>
      </c>
      <c r="M3382" s="43" t="n">
        <f aca="false">H3382*16.36*(1+'Chart of Accounts'!$E$67)</f>
        <v>78.113274</v>
      </c>
    </row>
    <row r="3383" customFormat="false" ht="15" hidden="false" customHeight="false" outlineLevel="0" collapsed="false">
      <c r="B3383" s="7" t="s">
        <v>3880</v>
      </c>
      <c r="C3383" s="39" t="n">
        <v>45826</v>
      </c>
      <c r="D3383" s="7" t="s">
        <v>307</v>
      </c>
      <c r="E3383" s="7" t="s">
        <v>157</v>
      </c>
      <c r="F3383" s="7" t="s">
        <v>264</v>
      </c>
      <c r="G3383" s="7" t="s">
        <v>502</v>
      </c>
      <c r="H3383" s="6" t="n">
        <v>0.96</v>
      </c>
      <c r="I3383" s="6" t="n">
        <v>0</v>
      </c>
      <c r="J3383" s="40" t="n">
        <f aca="false">H3383-I3383</f>
        <v>0.96</v>
      </c>
      <c r="K3383" s="41" t="n">
        <v>165</v>
      </c>
      <c r="L3383" s="42" t="n">
        <f aca="false">J3383*K3383</f>
        <v>158.4</v>
      </c>
      <c r="M3383" s="43" t="n">
        <f aca="false">H3383*55.55*(1+'Chart of Accounts'!$E$67)</f>
        <v>61.06056</v>
      </c>
    </row>
    <row r="3384" customFormat="false" ht="15" hidden="false" customHeight="false" outlineLevel="0" collapsed="false">
      <c r="B3384" s="7" t="s">
        <v>3881</v>
      </c>
      <c r="C3384" s="39" t="n">
        <v>45826</v>
      </c>
      <c r="D3384" s="7" t="s">
        <v>309</v>
      </c>
      <c r="E3384" s="7" t="s">
        <v>159</v>
      </c>
      <c r="F3384" s="7" t="s">
        <v>252</v>
      </c>
      <c r="G3384" s="7" t="s">
        <v>502</v>
      </c>
      <c r="H3384" s="6" t="n">
        <v>1.05</v>
      </c>
      <c r="I3384" s="6" t="n">
        <v>0</v>
      </c>
      <c r="J3384" s="40" t="n">
        <f aca="false">H3384-I3384</f>
        <v>1.05</v>
      </c>
      <c r="K3384" s="41" t="n">
        <v>135</v>
      </c>
      <c r="L3384" s="42" t="n">
        <f aca="false">J3384*K3384</f>
        <v>141.75</v>
      </c>
      <c r="M3384" s="43" t="n">
        <f aca="false">H3384*57.54*(1+'Chart of Accounts'!$E$67)</f>
        <v>69.177465</v>
      </c>
    </row>
    <row r="3385" customFormat="false" ht="15" hidden="false" customHeight="false" outlineLevel="0" collapsed="false">
      <c r="B3385" s="7" t="s">
        <v>3882</v>
      </c>
      <c r="C3385" s="39" t="n">
        <v>45826</v>
      </c>
      <c r="D3385" s="7" t="s">
        <v>313</v>
      </c>
      <c r="E3385" s="7" t="s">
        <v>156</v>
      </c>
      <c r="F3385" s="7" t="s">
        <v>184</v>
      </c>
      <c r="G3385" s="7" t="s">
        <v>505</v>
      </c>
      <c r="H3385" s="6" t="n">
        <v>4.32</v>
      </c>
      <c r="I3385" s="6" t="n">
        <v>0</v>
      </c>
      <c r="J3385" s="40" t="n">
        <f aca="false">H3385-I3385</f>
        <v>4.32</v>
      </c>
      <c r="K3385" s="41" t="n">
        <v>34</v>
      </c>
      <c r="L3385" s="42" t="n">
        <f aca="false">J3385*K3385</f>
        <v>146.88</v>
      </c>
      <c r="M3385" s="43" t="n">
        <f aca="false">H3385*17.34*(1+'Chart of Accounts'!$E$67)</f>
        <v>85.770576</v>
      </c>
    </row>
    <row r="3386" customFormat="false" ht="15" hidden="false" customHeight="false" outlineLevel="0" collapsed="false">
      <c r="B3386" s="7" t="s">
        <v>3883</v>
      </c>
      <c r="C3386" s="39" t="n">
        <v>45826</v>
      </c>
      <c r="D3386" s="7" t="s">
        <v>321</v>
      </c>
      <c r="E3386" s="7" t="s">
        <v>154</v>
      </c>
      <c r="F3386" s="7" t="s">
        <v>218</v>
      </c>
      <c r="G3386" s="7" t="s">
        <v>505</v>
      </c>
      <c r="H3386" s="6" t="n">
        <v>4.39</v>
      </c>
      <c r="I3386" s="6" t="n">
        <v>0</v>
      </c>
      <c r="J3386" s="40" t="n">
        <f aca="false">H3386-I3386</f>
        <v>4.39</v>
      </c>
      <c r="K3386" s="41" t="n">
        <v>26.5</v>
      </c>
      <c r="L3386" s="42" t="n">
        <f aca="false">J3386*K3386</f>
        <v>116.335</v>
      </c>
      <c r="M3386" s="43" t="n">
        <f aca="false">H3386*16.19*(1+'Chart of Accounts'!$E$67)</f>
        <v>81.3798445</v>
      </c>
    </row>
    <row r="3387" customFormat="false" ht="15" hidden="false" customHeight="false" outlineLevel="0" collapsed="false">
      <c r="B3387" s="7" t="s">
        <v>3884</v>
      </c>
      <c r="C3387" s="39" t="n">
        <v>45826</v>
      </c>
      <c r="D3387" s="7" t="s">
        <v>329</v>
      </c>
      <c r="E3387" s="7" t="s">
        <v>156</v>
      </c>
      <c r="F3387" s="7" t="s">
        <v>220</v>
      </c>
      <c r="G3387" s="7" t="s">
        <v>505</v>
      </c>
      <c r="H3387" s="6" t="n">
        <v>3.61</v>
      </c>
      <c r="I3387" s="6" t="n">
        <v>0</v>
      </c>
      <c r="J3387" s="40" t="n">
        <f aca="false">H3387-I3387</f>
        <v>3.61</v>
      </c>
      <c r="K3387" s="41" t="n">
        <v>34</v>
      </c>
      <c r="L3387" s="42" t="n">
        <f aca="false">J3387*K3387</f>
        <v>122.74</v>
      </c>
      <c r="M3387" s="43" t="n">
        <f aca="false">H3387*16.43*(1+'Chart of Accounts'!$E$67)</f>
        <v>67.9125835</v>
      </c>
    </row>
    <row r="3388" customFormat="false" ht="15" hidden="false" customHeight="false" outlineLevel="0" collapsed="false">
      <c r="B3388" s="7" t="s">
        <v>3885</v>
      </c>
      <c r="C3388" s="39" t="n">
        <v>45826</v>
      </c>
      <c r="D3388" s="7" t="s">
        <v>335</v>
      </c>
      <c r="E3388" s="7" t="s">
        <v>154</v>
      </c>
      <c r="F3388" s="7" t="s">
        <v>177</v>
      </c>
      <c r="G3388" s="7" t="s">
        <v>505</v>
      </c>
      <c r="H3388" s="6" t="n">
        <v>4.13</v>
      </c>
      <c r="I3388" s="6" t="n">
        <v>0</v>
      </c>
      <c r="J3388" s="40" t="n">
        <f aca="false">H3388-I3388</f>
        <v>4.13</v>
      </c>
      <c r="K3388" s="41" t="n">
        <v>26.5</v>
      </c>
      <c r="L3388" s="42" t="n">
        <f aca="false">J3388*K3388</f>
        <v>109.445</v>
      </c>
      <c r="M3388" s="43" t="n">
        <f aca="false">H3388*14.56*(1+'Chart of Accounts'!$E$67)</f>
        <v>68.852056</v>
      </c>
    </row>
    <row r="3389" customFormat="false" ht="15" hidden="false" customHeight="false" outlineLevel="0" collapsed="false">
      <c r="B3389" s="7" t="s">
        <v>3886</v>
      </c>
      <c r="C3389" s="39" t="n">
        <v>45826</v>
      </c>
      <c r="D3389" s="7" t="s">
        <v>339</v>
      </c>
      <c r="E3389" s="7" t="s">
        <v>154</v>
      </c>
      <c r="F3389" s="7" t="s">
        <v>242</v>
      </c>
      <c r="G3389" s="7" t="s">
        <v>505</v>
      </c>
      <c r="H3389" s="6" t="n">
        <v>3.51</v>
      </c>
      <c r="I3389" s="6" t="n">
        <v>0</v>
      </c>
      <c r="J3389" s="40" t="n">
        <f aca="false">H3389-I3389</f>
        <v>3.51</v>
      </c>
      <c r="K3389" s="41" t="n">
        <v>26.5</v>
      </c>
      <c r="L3389" s="42" t="n">
        <f aca="false">J3389*K3389</f>
        <v>93.015</v>
      </c>
      <c r="M3389" s="43" t="n">
        <f aca="false">H3389*17.99*(1+'Chart of Accounts'!$E$67)</f>
        <v>72.3009105</v>
      </c>
    </row>
    <row r="3390" customFormat="false" ht="15" hidden="false" customHeight="false" outlineLevel="0" collapsed="false">
      <c r="B3390" s="7" t="s">
        <v>3887</v>
      </c>
      <c r="C3390" s="39" t="n">
        <v>45826</v>
      </c>
      <c r="D3390" s="7" t="s">
        <v>353</v>
      </c>
      <c r="E3390" s="7" t="s">
        <v>154</v>
      </c>
      <c r="F3390" s="7" t="s">
        <v>254</v>
      </c>
      <c r="G3390" s="7" t="s">
        <v>505</v>
      </c>
      <c r="H3390" s="6" t="n">
        <v>3.12</v>
      </c>
      <c r="I3390" s="6" t="n">
        <v>0</v>
      </c>
      <c r="J3390" s="40" t="n">
        <f aca="false">H3390-I3390</f>
        <v>3.12</v>
      </c>
      <c r="K3390" s="41" t="n">
        <v>26.5</v>
      </c>
      <c r="L3390" s="42" t="n">
        <f aca="false">J3390*K3390</f>
        <v>82.68</v>
      </c>
      <c r="M3390" s="43" t="n">
        <f aca="false">H3390*17.1*(1+'Chart of Accounts'!$E$67)</f>
        <v>61.08804</v>
      </c>
    </row>
    <row r="3391" customFormat="false" ht="15" hidden="false" customHeight="false" outlineLevel="0" collapsed="false">
      <c r="B3391" s="7" t="s">
        <v>3888</v>
      </c>
      <c r="C3391" s="39" t="n">
        <v>45826</v>
      </c>
      <c r="D3391" s="7" t="s">
        <v>355</v>
      </c>
      <c r="E3391" s="7" t="s">
        <v>154</v>
      </c>
      <c r="F3391" s="7" t="s">
        <v>201</v>
      </c>
      <c r="G3391" s="7" t="s">
        <v>505</v>
      </c>
      <c r="H3391" s="6" t="n">
        <v>3.46</v>
      </c>
      <c r="I3391" s="6" t="n">
        <v>0</v>
      </c>
      <c r="J3391" s="40" t="n">
        <f aca="false">H3391-I3391</f>
        <v>3.46</v>
      </c>
      <c r="K3391" s="41" t="n">
        <v>26.5</v>
      </c>
      <c r="L3391" s="42" t="n">
        <f aca="false">J3391*K3391</f>
        <v>91.69</v>
      </c>
      <c r="M3391" s="43" t="n">
        <f aca="false">H3391*15.19*(1+'Chart of Accounts'!$E$67)</f>
        <v>60.178223</v>
      </c>
    </row>
    <row r="3392" customFormat="false" ht="15" hidden="false" customHeight="false" outlineLevel="0" collapsed="false">
      <c r="B3392" s="7" t="s">
        <v>3889</v>
      </c>
      <c r="C3392" s="39" t="n">
        <v>45826</v>
      </c>
      <c r="D3392" s="7" t="s">
        <v>357</v>
      </c>
      <c r="E3392" s="7" t="s">
        <v>154</v>
      </c>
      <c r="F3392" s="7" t="s">
        <v>207</v>
      </c>
      <c r="G3392" s="7" t="s">
        <v>505</v>
      </c>
      <c r="H3392" s="6" t="n">
        <v>3.56</v>
      </c>
      <c r="I3392" s="6" t="n">
        <v>0</v>
      </c>
      <c r="J3392" s="40" t="n">
        <f aca="false">H3392-I3392</f>
        <v>3.56</v>
      </c>
      <c r="K3392" s="41" t="n">
        <v>26.5</v>
      </c>
      <c r="L3392" s="42" t="n">
        <f aca="false">J3392*K3392</f>
        <v>94.34</v>
      </c>
      <c r="M3392" s="43" t="n">
        <f aca="false">H3392*16.65*(1+'Chart of Accounts'!$E$67)</f>
        <v>67.86873</v>
      </c>
    </row>
    <row r="3393" customFormat="false" ht="15" hidden="false" customHeight="false" outlineLevel="0" collapsed="false">
      <c r="B3393" s="7" t="s">
        <v>3890</v>
      </c>
      <c r="C3393" s="39" t="n">
        <v>45826</v>
      </c>
      <c r="D3393" s="7" t="s">
        <v>359</v>
      </c>
      <c r="E3393" s="7" t="s">
        <v>156</v>
      </c>
      <c r="F3393" s="7" t="s">
        <v>212</v>
      </c>
      <c r="G3393" s="7" t="s">
        <v>505</v>
      </c>
      <c r="H3393" s="6" t="n">
        <v>4.05</v>
      </c>
      <c r="I3393" s="6" t="n">
        <v>0</v>
      </c>
      <c r="J3393" s="40" t="n">
        <f aca="false">H3393-I3393</f>
        <v>4.05</v>
      </c>
      <c r="K3393" s="41" t="n">
        <v>34</v>
      </c>
      <c r="L3393" s="42" t="n">
        <f aca="false">J3393*K3393</f>
        <v>137.7</v>
      </c>
      <c r="M3393" s="43" t="n">
        <f aca="false">H3393*16.71*(1+'Chart of Accounts'!$E$67)</f>
        <v>77.4884475</v>
      </c>
    </row>
    <row r="3394" customFormat="false" ht="15" hidden="false" customHeight="false" outlineLevel="0" collapsed="false">
      <c r="B3394" s="7" t="s">
        <v>3891</v>
      </c>
      <c r="C3394" s="39" t="n">
        <v>45826</v>
      </c>
      <c r="D3394" s="7" t="s">
        <v>365</v>
      </c>
      <c r="E3394" s="7" t="s">
        <v>154</v>
      </c>
      <c r="F3394" s="7" t="s">
        <v>194</v>
      </c>
      <c r="G3394" s="7" t="s">
        <v>505</v>
      </c>
      <c r="H3394" s="6" t="n">
        <v>4.27</v>
      </c>
      <c r="I3394" s="6" t="n">
        <v>0</v>
      </c>
      <c r="J3394" s="40" t="n">
        <f aca="false">H3394-I3394</f>
        <v>4.27</v>
      </c>
      <c r="K3394" s="41" t="n">
        <v>26.5</v>
      </c>
      <c r="L3394" s="42" t="n">
        <f aca="false">J3394*K3394</f>
        <v>113.155</v>
      </c>
      <c r="M3394" s="43" t="n">
        <f aca="false">H3394*16*(1+'Chart of Accounts'!$E$67)</f>
        <v>78.2264</v>
      </c>
    </row>
    <row r="3395" customFormat="false" ht="15" hidden="false" customHeight="false" outlineLevel="0" collapsed="false">
      <c r="B3395" s="7" t="s">
        <v>3892</v>
      </c>
      <c r="C3395" s="39" t="n">
        <v>45826</v>
      </c>
      <c r="D3395" s="7" t="s">
        <v>371</v>
      </c>
      <c r="E3395" s="7" t="s">
        <v>154</v>
      </c>
      <c r="F3395" s="7" t="s">
        <v>232</v>
      </c>
      <c r="G3395" s="7" t="s">
        <v>505</v>
      </c>
      <c r="H3395" s="6" t="n">
        <v>4.28</v>
      </c>
      <c r="I3395" s="6" t="n">
        <v>0</v>
      </c>
      <c r="J3395" s="40" t="n">
        <f aca="false">H3395-I3395</f>
        <v>4.28</v>
      </c>
      <c r="K3395" s="41" t="n">
        <v>26.5</v>
      </c>
      <c r="L3395" s="42" t="n">
        <f aca="false">J3395*K3395</f>
        <v>113.42</v>
      </c>
      <c r="M3395" s="43" t="n">
        <f aca="false">H3395*16.17*(1+'Chart of Accounts'!$E$67)</f>
        <v>79.242702</v>
      </c>
    </row>
    <row r="3396" customFormat="false" ht="15" hidden="false" customHeight="false" outlineLevel="0" collapsed="false">
      <c r="B3396" s="7" t="s">
        <v>3893</v>
      </c>
      <c r="C3396" s="39" t="n">
        <v>45826</v>
      </c>
      <c r="D3396" s="7" t="s">
        <v>379</v>
      </c>
      <c r="E3396" s="7" t="s">
        <v>156</v>
      </c>
      <c r="F3396" s="7" t="s">
        <v>224</v>
      </c>
      <c r="G3396" s="7" t="s">
        <v>505</v>
      </c>
      <c r="H3396" s="6" t="n">
        <v>4.28</v>
      </c>
      <c r="I3396" s="6" t="n">
        <v>0</v>
      </c>
      <c r="J3396" s="40" t="n">
        <f aca="false">H3396-I3396</f>
        <v>4.28</v>
      </c>
      <c r="K3396" s="41" t="n">
        <v>34</v>
      </c>
      <c r="L3396" s="42" t="n">
        <f aca="false">J3396*K3396</f>
        <v>145.52</v>
      </c>
      <c r="M3396" s="43" t="n">
        <f aca="false">H3396*14.93*(1+'Chart of Accounts'!$E$67)</f>
        <v>73.165958</v>
      </c>
    </row>
    <row r="3397" customFormat="false" ht="15" hidden="false" customHeight="false" outlineLevel="0" collapsed="false">
      <c r="B3397" s="7" t="s">
        <v>3894</v>
      </c>
      <c r="C3397" s="39" t="n">
        <v>45826</v>
      </c>
      <c r="D3397" s="7" t="s">
        <v>385</v>
      </c>
      <c r="E3397" s="7" t="s">
        <v>156</v>
      </c>
      <c r="F3397" s="7" t="s">
        <v>238</v>
      </c>
      <c r="G3397" s="7" t="s">
        <v>505</v>
      </c>
      <c r="H3397" s="6" t="n">
        <v>3.62</v>
      </c>
      <c r="I3397" s="6" t="n">
        <v>0</v>
      </c>
      <c r="J3397" s="40" t="n">
        <f aca="false">H3397-I3397</f>
        <v>3.62</v>
      </c>
      <c r="K3397" s="41" t="n">
        <v>34</v>
      </c>
      <c r="L3397" s="42" t="n">
        <f aca="false">J3397*K3397</f>
        <v>123.08</v>
      </c>
      <c r="M3397" s="43" t="n">
        <f aca="false">H3397*15.85*(1+'Chart of Accounts'!$E$67)</f>
        <v>65.696665</v>
      </c>
    </row>
    <row r="3398" customFormat="false" ht="15" hidden="false" customHeight="false" outlineLevel="0" collapsed="false">
      <c r="B3398" s="7" t="s">
        <v>3895</v>
      </c>
      <c r="C3398" s="39" t="n">
        <v>45826</v>
      </c>
      <c r="D3398" s="7" t="s">
        <v>389</v>
      </c>
      <c r="E3398" s="7" t="s">
        <v>154</v>
      </c>
      <c r="F3398" s="7" t="s">
        <v>246</v>
      </c>
      <c r="G3398" s="7" t="s">
        <v>505</v>
      </c>
      <c r="H3398" s="6" t="n">
        <v>4.11</v>
      </c>
      <c r="I3398" s="6" t="n">
        <v>0</v>
      </c>
      <c r="J3398" s="40" t="n">
        <f aca="false">H3398-I3398</f>
        <v>4.11</v>
      </c>
      <c r="K3398" s="41" t="n">
        <v>26.5</v>
      </c>
      <c r="L3398" s="42" t="n">
        <f aca="false">J3398*K3398</f>
        <v>108.915</v>
      </c>
      <c r="M3398" s="43" t="n">
        <f aca="false">H3398*16.48*(1+'Chart of Accounts'!$E$67)</f>
        <v>77.554056</v>
      </c>
    </row>
    <row r="3399" customFormat="false" ht="15" hidden="false" customHeight="false" outlineLevel="0" collapsed="false">
      <c r="B3399" s="7" t="s">
        <v>3896</v>
      </c>
      <c r="C3399" s="39" t="n">
        <v>45826</v>
      </c>
      <c r="D3399" s="7" t="s">
        <v>391</v>
      </c>
      <c r="E3399" s="7" t="s">
        <v>156</v>
      </c>
      <c r="F3399" s="7" t="s">
        <v>222</v>
      </c>
      <c r="G3399" s="7" t="s">
        <v>505</v>
      </c>
      <c r="H3399" s="6" t="n">
        <v>4.35</v>
      </c>
      <c r="I3399" s="6" t="n">
        <v>0</v>
      </c>
      <c r="J3399" s="40" t="n">
        <f aca="false">H3399-I3399</f>
        <v>4.35</v>
      </c>
      <c r="K3399" s="41" t="n">
        <v>34</v>
      </c>
      <c r="L3399" s="42" t="n">
        <f aca="false">J3399*K3399</f>
        <v>147.9</v>
      </c>
      <c r="M3399" s="43" t="n">
        <f aca="false">H3399*17.84*(1+'Chart of Accounts'!$E$67)</f>
        <v>88.85658</v>
      </c>
    </row>
    <row r="3400" customFormat="false" ht="15" hidden="false" customHeight="false" outlineLevel="0" collapsed="false">
      <c r="B3400" s="7" t="s">
        <v>3897</v>
      </c>
      <c r="C3400" s="39" t="n">
        <v>45826</v>
      </c>
      <c r="D3400" s="7" t="s">
        <v>393</v>
      </c>
      <c r="E3400" s="7" t="s">
        <v>157</v>
      </c>
      <c r="F3400" s="7" t="s">
        <v>203</v>
      </c>
      <c r="G3400" s="7" t="s">
        <v>502</v>
      </c>
      <c r="H3400" s="6" t="n">
        <v>1.09</v>
      </c>
      <c r="I3400" s="6" t="n">
        <v>0</v>
      </c>
      <c r="J3400" s="40" t="n">
        <f aca="false">H3400-I3400</f>
        <v>1.09</v>
      </c>
      <c r="K3400" s="41" t="n">
        <v>165</v>
      </c>
      <c r="L3400" s="42" t="n">
        <f aca="false">J3400*K3400</f>
        <v>179.85</v>
      </c>
      <c r="M3400" s="43" t="n">
        <f aca="false">H3400*49.43*(1+'Chart of Accounts'!$E$67)</f>
        <v>61.6911115</v>
      </c>
    </row>
    <row r="3401" customFormat="false" ht="15" hidden="false" customHeight="false" outlineLevel="0" collapsed="false">
      <c r="B3401" s="7" t="s">
        <v>3898</v>
      </c>
      <c r="C3401" s="39" t="n">
        <v>45826</v>
      </c>
      <c r="D3401" s="7" t="s">
        <v>395</v>
      </c>
      <c r="E3401" s="7" t="s">
        <v>156</v>
      </c>
      <c r="F3401" s="7" t="s">
        <v>242</v>
      </c>
      <c r="G3401" s="7" t="s">
        <v>505</v>
      </c>
      <c r="H3401" s="6" t="n">
        <v>4.19</v>
      </c>
      <c r="I3401" s="6" t="n">
        <v>0</v>
      </c>
      <c r="J3401" s="40" t="n">
        <f aca="false">H3401-I3401</f>
        <v>4.19</v>
      </c>
      <c r="K3401" s="41" t="n">
        <v>34</v>
      </c>
      <c r="L3401" s="42" t="n">
        <f aca="false">J3401*K3401</f>
        <v>142.46</v>
      </c>
      <c r="M3401" s="43" t="n">
        <f aca="false">H3401*17.99*(1+'Chart of Accounts'!$E$67)</f>
        <v>86.3079245</v>
      </c>
    </row>
    <row r="3402" customFormat="false" ht="15" hidden="false" customHeight="false" outlineLevel="0" collapsed="false">
      <c r="B3402" s="7" t="s">
        <v>3899</v>
      </c>
      <c r="C3402" s="39" t="n">
        <v>45826</v>
      </c>
      <c r="D3402" s="7" t="s">
        <v>399</v>
      </c>
      <c r="E3402" s="7" t="s">
        <v>154</v>
      </c>
      <c r="F3402" s="7" t="s">
        <v>220</v>
      </c>
      <c r="G3402" s="7" t="s">
        <v>505</v>
      </c>
      <c r="H3402" s="6" t="n">
        <v>3.19</v>
      </c>
      <c r="I3402" s="6" t="n">
        <v>0</v>
      </c>
      <c r="J3402" s="40" t="n">
        <f aca="false">H3402-I3402</f>
        <v>3.19</v>
      </c>
      <c r="K3402" s="41" t="n">
        <v>26.5</v>
      </c>
      <c r="L3402" s="42" t="n">
        <f aca="false">J3402*K3402</f>
        <v>84.535</v>
      </c>
      <c r="M3402" s="43" t="n">
        <f aca="false">H3402*16.43*(1+'Chart of Accounts'!$E$67)</f>
        <v>60.0113965</v>
      </c>
    </row>
    <row r="3403" customFormat="false" ht="15" hidden="false" customHeight="false" outlineLevel="0" collapsed="false">
      <c r="B3403" s="7" t="s">
        <v>3900</v>
      </c>
      <c r="C3403" s="39" t="n">
        <v>45826</v>
      </c>
      <c r="D3403" s="7" t="s">
        <v>401</v>
      </c>
      <c r="E3403" s="7" t="s">
        <v>156</v>
      </c>
      <c r="F3403" s="7" t="s">
        <v>254</v>
      </c>
      <c r="G3403" s="7" t="s">
        <v>505</v>
      </c>
      <c r="H3403" s="6" t="n">
        <v>4.27</v>
      </c>
      <c r="I3403" s="6" t="n">
        <v>0</v>
      </c>
      <c r="J3403" s="40" t="n">
        <f aca="false">H3403-I3403</f>
        <v>4.27</v>
      </c>
      <c r="K3403" s="41" t="n">
        <v>34</v>
      </c>
      <c r="L3403" s="42" t="n">
        <f aca="false">J3403*K3403</f>
        <v>145.18</v>
      </c>
      <c r="M3403" s="43" t="n">
        <f aca="false">H3403*17.1*(1+'Chart of Accounts'!$E$67)</f>
        <v>83.604465</v>
      </c>
    </row>
    <row r="3404" customFormat="false" ht="15" hidden="false" customHeight="false" outlineLevel="0" collapsed="false">
      <c r="B3404" s="7" t="s">
        <v>3901</v>
      </c>
      <c r="C3404" s="39" t="n">
        <v>45826</v>
      </c>
      <c r="D3404" s="7" t="s">
        <v>409</v>
      </c>
      <c r="E3404" s="7" t="s">
        <v>154</v>
      </c>
      <c r="F3404" s="7" t="s">
        <v>214</v>
      </c>
      <c r="G3404" s="7" t="s">
        <v>505</v>
      </c>
      <c r="H3404" s="6" t="n">
        <v>3.65</v>
      </c>
      <c r="I3404" s="6" t="n">
        <v>0</v>
      </c>
      <c r="J3404" s="40" t="n">
        <f aca="false">H3404-I3404</f>
        <v>3.65</v>
      </c>
      <c r="K3404" s="41" t="n">
        <v>26.5</v>
      </c>
      <c r="L3404" s="42" t="n">
        <f aca="false">J3404*K3404</f>
        <v>96.725</v>
      </c>
      <c r="M3404" s="43" t="n">
        <f aca="false">H3404*15.67*(1+'Chart of Accounts'!$E$67)</f>
        <v>65.4888475</v>
      </c>
    </row>
    <row r="3405" customFormat="false" ht="15" hidden="false" customHeight="false" outlineLevel="0" collapsed="false">
      <c r="B3405" s="7" t="s">
        <v>3902</v>
      </c>
      <c r="C3405" s="39" t="n">
        <v>45826</v>
      </c>
      <c r="D3405" s="7" t="s">
        <v>411</v>
      </c>
      <c r="E3405" s="7" t="s">
        <v>154</v>
      </c>
      <c r="F3405" s="7" t="s">
        <v>177</v>
      </c>
      <c r="G3405" s="7" t="s">
        <v>505</v>
      </c>
      <c r="H3405" s="6" t="n">
        <v>4.29</v>
      </c>
      <c r="I3405" s="6" t="n">
        <v>0</v>
      </c>
      <c r="J3405" s="40" t="n">
        <f aca="false">H3405-I3405</f>
        <v>4.29</v>
      </c>
      <c r="K3405" s="41" t="n">
        <v>26.5</v>
      </c>
      <c r="L3405" s="42" t="n">
        <f aca="false">J3405*K3405</f>
        <v>113.685</v>
      </c>
      <c r="M3405" s="43" t="n">
        <f aca="false">H3405*14.56*(1+'Chart of Accounts'!$E$67)</f>
        <v>71.519448</v>
      </c>
    </row>
    <row r="3406" customFormat="false" ht="15" hidden="false" customHeight="false" outlineLevel="0" collapsed="false">
      <c r="B3406" s="7" t="s">
        <v>3903</v>
      </c>
      <c r="C3406" s="39" t="n">
        <v>45827</v>
      </c>
      <c r="D3406" s="7" t="s">
        <v>288</v>
      </c>
      <c r="E3406" s="7" t="s">
        <v>156</v>
      </c>
      <c r="F3406" s="7" t="s">
        <v>205</v>
      </c>
      <c r="G3406" s="7" t="s">
        <v>505</v>
      </c>
      <c r="H3406" s="6" t="n">
        <v>4.22</v>
      </c>
      <c r="I3406" s="6" t="n">
        <v>0</v>
      </c>
      <c r="J3406" s="40" t="n">
        <f aca="false">H3406-I3406</f>
        <v>4.22</v>
      </c>
      <c r="K3406" s="41" t="n">
        <v>34</v>
      </c>
      <c r="L3406" s="42" t="n">
        <f aca="false">J3406*K3406</f>
        <v>143.48</v>
      </c>
      <c r="M3406" s="43" t="n">
        <f aca="false">H3406*16.36*(1+'Chart of Accounts'!$E$67)</f>
        <v>79.049884</v>
      </c>
    </row>
    <row r="3407" customFormat="false" ht="15" hidden="false" customHeight="false" outlineLevel="0" collapsed="false">
      <c r="B3407" s="7" t="s">
        <v>3904</v>
      </c>
      <c r="C3407" s="39" t="n">
        <v>45827</v>
      </c>
      <c r="D3407" s="7" t="s">
        <v>297</v>
      </c>
      <c r="E3407" s="7" t="s">
        <v>156</v>
      </c>
      <c r="F3407" s="7" t="s">
        <v>201</v>
      </c>
      <c r="G3407" s="7" t="s">
        <v>505</v>
      </c>
      <c r="H3407" s="6" t="n">
        <v>3.2</v>
      </c>
      <c r="I3407" s="6" t="n">
        <v>0</v>
      </c>
      <c r="J3407" s="40" t="n">
        <f aca="false">H3407-I3407</f>
        <v>3.2</v>
      </c>
      <c r="K3407" s="41" t="n">
        <v>34</v>
      </c>
      <c r="L3407" s="42" t="n">
        <f aca="false">J3407*K3407</f>
        <v>108.8</v>
      </c>
      <c r="M3407" s="43" t="n">
        <f aca="false">H3407*15.19*(1+'Chart of Accounts'!$E$67)</f>
        <v>55.65616</v>
      </c>
    </row>
    <row r="3408" customFormat="false" ht="15" hidden="false" customHeight="false" outlineLevel="0" collapsed="false">
      <c r="B3408" s="7" t="s">
        <v>3905</v>
      </c>
      <c r="C3408" s="39" t="n">
        <v>45827</v>
      </c>
      <c r="D3408" s="7" t="s">
        <v>311</v>
      </c>
      <c r="E3408" s="7" t="s">
        <v>154</v>
      </c>
      <c r="F3408" s="7" t="s">
        <v>196</v>
      </c>
      <c r="G3408" s="7" t="s">
        <v>505</v>
      </c>
      <c r="H3408" s="6" t="n">
        <v>2.83</v>
      </c>
      <c r="I3408" s="6" t="n">
        <v>0</v>
      </c>
      <c r="J3408" s="40" t="n">
        <f aca="false">H3408-I3408</f>
        <v>2.83</v>
      </c>
      <c r="K3408" s="41" t="n">
        <v>26.5</v>
      </c>
      <c r="L3408" s="42" t="n">
        <f aca="false">J3408*K3408</f>
        <v>74.995</v>
      </c>
      <c r="M3408" s="43" t="n">
        <f aca="false">H3408*15.05*(1+'Chart of Accounts'!$E$67)</f>
        <v>48.7672675</v>
      </c>
    </row>
    <row r="3409" customFormat="false" ht="15" hidden="false" customHeight="false" outlineLevel="0" collapsed="false">
      <c r="B3409" s="7" t="s">
        <v>3906</v>
      </c>
      <c r="C3409" s="39" t="n">
        <v>45827</v>
      </c>
      <c r="D3409" s="7" t="s">
        <v>313</v>
      </c>
      <c r="E3409" s="7" t="s">
        <v>156</v>
      </c>
      <c r="F3409" s="7" t="s">
        <v>184</v>
      </c>
      <c r="G3409" s="7" t="s">
        <v>505</v>
      </c>
      <c r="H3409" s="6" t="n">
        <v>4.25</v>
      </c>
      <c r="I3409" s="6" t="n">
        <v>0</v>
      </c>
      <c r="J3409" s="40" t="n">
        <f aca="false">H3409-I3409</f>
        <v>4.25</v>
      </c>
      <c r="K3409" s="41" t="n">
        <v>34</v>
      </c>
      <c r="L3409" s="42" t="n">
        <f aca="false">J3409*K3409</f>
        <v>144.5</v>
      </c>
      <c r="M3409" s="43" t="n">
        <f aca="false">H3409*17.34*(1+'Chart of Accounts'!$E$67)</f>
        <v>84.380775</v>
      </c>
    </row>
    <row r="3410" customFormat="false" ht="15" hidden="false" customHeight="false" outlineLevel="0" collapsed="false">
      <c r="B3410" s="7" t="s">
        <v>3907</v>
      </c>
      <c r="C3410" s="39" t="n">
        <v>45827</v>
      </c>
      <c r="D3410" s="7" t="s">
        <v>317</v>
      </c>
      <c r="E3410" s="7" t="s">
        <v>156</v>
      </c>
      <c r="F3410" s="7" t="s">
        <v>207</v>
      </c>
      <c r="G3410" s="7" t="s">
        <v>505</v>
      </c>
      <c r="H3410" s="6" t="n">
        <v>3.12</v>
      </c>
      <c r="I3410" s="6" t="n">
        <v>0</v>
      </c>
      <c r="J3410" s="40" t="n">
        <f aca="false">H3410-I3410</f>
        <v>3.12</v>
      </c>
      <c r="K3410" s="41" t="n">
        <v>34</v>
      </c>
      <c r="L3410" s="42" t="n">
        <f aca="false">J3410*K3410</f>
        <v>106.08</v>
      </c>
      <c r="M3410" s="43" t="n">
        <f aca="false">H3410*16.65*(1+'Chart of Accounts'!$E$67)</f>
        <v>59.48046</v>
      </c>
    </row>
    <row r="3411" customFormat="false" ht="15" hidden="false" customHeight="false" outlineLevel="0" collapsed="false">
      <c r="B3411" s="7" t="s">
        <v>3908</v>
      </c>
      <c r="C3411" s="39" t="n">
        <v>45827</v>
      </c>
      <c r="D3411" s="7" t="s">
        <v>321</v>
      </c>
      <c r="E3411" s="7" t="s">
        <v>154</v>
      </c>
      <c r="F3411" s="7" t="s">
        <v>218</v>
      </c>
      <c r="G3411" s="7" t="s">
        <v>505</v>
      </c>
      <c r="H3411" s="6" t="n">
        <v>4.24</v>
      </c>
      <c r="I3411" s="6" t="n">
        <v>0</v>
      </c>
      <c r="J3411" s="40" t="n">
        <f aca="false">H3411-I3411</f>
        <v>4.24</v>
      </c>
      <c r="K3411" s="41" t="n">
        <v>26.5</v>
      </c>
      <c r="L3411" s="42" t="n">
        <f aca="false">J3411*K3411</f>
        <v>112.36</v>
      </c>
      <c r="M3411" s="43" t="n">
        <f aca="false">H3411*16.19*(1+'Chart of Accounts'!$E$67)</f>
        <v>78.599212</v>
      </c>
    </row>
    <row r="3412" customFormat="false" ht="15" hidden="false" customHeight="false" outlineLevel="0" collapsed="false">
      <c r="B3412" s="7" t="s">
        <v>3909</v>
      </c>
      <c r="C3412" s="39" t="n">
        <v>45827</v>
      </c>
      <c r="D3412" s="7" t="s">
        <v>325</v>
      </c>
      <c r="E3412" s="7" t="s">
        <v>154</v>
      </c>
      <c r="F3412" s="7" t="s">
        <v>212</v>
      </c>
      <c r="G3412" s="7" t="s">
        <v>505</v>
      </c>
      <c r="H3412" s="6" t="n">
        <v>2.85</v>
      </c>
      <c r="I3412" s="6" t="n">
        <v>0.085</v>
      </c>
      <c r="J3412" s="40" t="n">
        <f aca="false">H3412-I3412</f>
        <v>2.765</v>
      </c>
      <c r="K3412" s="41" t="n">
        <v>26.5</v>
      </c>
      <c r="L3412" s="42" t="n">
        <f aca="false">J3412*K3412</f>
        <v>73.2725</v>
      </c>
      <c r="M3412" s="43" t="n">
        <f aca="false">H3412*16.71*(1+'Chart of Accounts'!$E$67)</f>
        <v>54.5289075</v>
      </c>
    </row>
    <row r="3413" customFormat="false" ht="15" hidden="false" customHeight="false" outlineLevel="0" collapsed="false">
      <c r="B3413" s="7" t="s">
        <v>3910</v>
      </c>
      <c r="C3413" s="39" t="n">
        <v>45827</v>
      </c>
      <c r="D3413" s="7" t="s">
        <v>329</v>
      </c>
      <c r="E3413" s="7" t="s">
        <v>156</v>
      </c>
      <c r="F3413" s="7" t="s">
        <v>220</v>
      </c>
      <c r="G3413" s="7" t="s">
        <v>505</v>
      </c>
      <c r="H3413" s="6" t="n">
        <v>3.69</v>
      </c>
      <c r="I3413" s="6" t="n">
        <v>0</v>
      </c>
      <c r="J3413" s="40" t="n">
        <f aca="false">H3413-I3413</f>
        <v>3.69</v>
      </c>
      <c r="K3413" s="41" t="n">
        <v>34</v>
      </c>
      <c r="L3413" s="42" t="n">
        <f aca="false">J3413*K3413</f>
        <v>125.46</v>
      </c>
      <c r="M3413" s="43" t="n">
        <f aca="false">H3413*16.43*(1+'Chart of Accounts'!$E$67)</f>
        <v>69.4175715</v>
      </c>
    </row>
    <row r="3414" customFormat="false" ht="15" hidden="false" customHeight="false" outlineLevel="0" collapsed="false">
      <c r="B3414" s="7" t="s">
        <v>3911</v>
      </c>
      <c r="C3414" s="39" t="n">
        <v>45827</v>
      </c>
      <c r="D3414" s="7" t="s">
        <v>331</v>
      </c>
      <c r="E3414" s="7" t="s">
        <v>156</v>
      </c>
      <c r="F3414" s="7" t="s">
        <v>224</v>
      </c>
      <c r="G3414" s="7" t="s">
        <v>505</v>
      </c>
      <c r="H3414" s="6" t="n">
        <v>3.71</v>
      </c>
      <c r="I3414" s="6" t="n">
        <v>0</v>
      </c>
      <c r="J3414" s="40" t="n">
        <f aca="false">H3414-I3414</f>
        <v>3.71</v>
      </c>
      <c r="K3414" s="41" t="n">
        <v>34</v>
      </c>
      <c r="L3414" s="42" t="n">
        <f aca="false">J3414*K3414</f>
        <v>126.14</v>
      </c>
      <c r="M3414" s="43" t="n">
        <f aca="false">H3414*14.93*(1+'Chart of Accounts'!$E$67)</f>
        <v>63.4218935</v>
      </c>
    </row>
    <row r="3415" customFormat="false" ht="15" hidden="false" customHeight="false" outlineLevel="0" collapsed="false">
      <c r="B3415" s="7" t="s">
        <v>3912</v>
      </c>
      <c r="C3415" s="39" t="n">
        <v>45827</v>
      </c>
      <c r="D3415" s="7" t="s">
        <v>337</v>
      </c>
      <c r="E3415" s="7" t="s">
        <v>154</v>
      </c>
      <c r="F3415" s="7" t="s">
        <v>232</v>
      </c>
      <c r="G3415" s="7" t="s">
        <v>505</v>
      </c>
      <c r="H3415" s="6" t="n">
        <v>2.93</v>
      </c>
      <c r="I3415" s="6" t="n">
        <v>0.088</v>
      </c>
      <c r="J3415" s="40" t="n">
        <f aca="false">H3415-I3415</f>
        <v>2.842</v>
      </c>
      <c r="K3415" s="41" t="n">
        <v>26.5</v>
      </c>
      <c r="L3415" s="42" t="n">
        <f aca="false">J3415*K3415</f>
        <v>75.313</v>
      </c>
      <c r="M3415" s="43" t="n">
        <f aca="false">H3415*16.17*(1+'Chart of Accounts'!$E$67)</f>
        <v>54.2479245</v>
      </c>
    </row>
    <row r="3416" customFormat="false" ht="15" hidden="false" customHeight="false" outlineLevel="0" collapsed="false">
      <c r="B3416" s="7" t="s">
        <v>3913</v>
      </c>
      <c r="C3416" s="39" t="n">
        <v>45827</v>
      </c>
      <c r="D3416" s="7" t="s">
        <v>341</v>
      </c>
      <c r="E3416" s="7" t="s">
        <v>156</v>
      </c>
      <c r="F3416" s="7" t="s">
        <v>222</v>
      </c>
      <c r="G3416" s="7" t="s">
        <v>505</v>
      </c>
      <c r="H3416" s="6" t="n">
        <v>3.12</v>
      </c>
      <c r="I3416" s="6" t="n">
        <v>0</v>
      </c>
      <c r="J3416" s="40" t="n">
        <f aca="false">H3416-I3416</f>
        <v>3.12</v>
      </c>
      <c r="K3416" s="41" t="n">
        <v>34</v>
      </c>
      <c r="L3416" s="42" t="n">
        <f aca="false">J3416*K3416</f>
        <v>106.08</v>
      </c>
      <c r="M3416" s="43" t="n">
        <f aca="false">H3416*17.84*(1+'Chart of Accounts'!$E$67)</f>
        <v>63.731616</v>
      </c>
    </row>
    <row r="3417" customFormat="false" ht="15" hidden="false" customHeight="false" outlineLevel="0" collapsed="false">
      <c r="B3417" s="7" t="s">
        <v>3914</v>
      </c>
      <c r="C3417" s="39" t="n">
        <v>45827</v>
      </c>
      <c r="D3417" s="7" t="s">
        <v>343</v>
      </c>
      <c r="E3417" s="7" t="s">
        <v>154</v>
      </c>
      <c r="F3417" s="7" t="s">
        <v>220</v>
      </c>
      <c r="G3417" s="7" t="s">
        <v>505</v>
      </c>
      <c r="H3417" s="6" t="n">
        <v>3.61</v>
      </c>
      <c r="I3417" s="6" t="n">
        <v>0</v>
      </c>
      <c r="J3417" s="40" t="n">
        <f aca="false">H3417-I3417</f>
        <v>3.61</v>
      </c>
      <c r="K3417" s="41" t="n">
        <v>26.5</v>
      </c>
      <c r="L3417" s="42" t="n">
        <f aca="false">J3417*K3417</f>
        <v>95.665</v>
      </c>
      <c r="M3417" s="43" t="n">
        <f aca="false">H3417*16.43*(1+'Chart of Accounts'!$E$67)</f>
        <v>67.9125835</v>
      </c>
    </row>
    <row r="3418" customFormat="false" ht="15" hidden="false" customHeight="false" outlineLevel="0" collapsed="false">
      <c r="B3418" s="7" t="s">
        <v>3915</v>
      </c>
      <c r="C3418" s="39" t="n">
        <v>45827</v>
      </c>
      <c r="D3418" s="7" t="s">
        <v>351</v>
      </c>
      <c r="E3418" s="7" t="s">
        <v>154</v>
      </c>
      <c r="F3418" s="7" t="s">
        <v>201</v>
      </c>
      <c r="G3418" s="7" t="s">
        <v>505</v>
      </c>
      <c r="H3418" s="6" t="n">
        <v>3.24</v>
      </c>
      <c r="I3418" s="6" t="n">
        <v>0</v>
      </c>
      <c r="J3418" s="40" t="n">
        <f aca="false">H3418-I3418</f>
        <v>3.24</v>
      </c>
      <c r="K3418" s="41" t="n">
        <v>26.5</v>
      </c>
      <c r="L3418" s="42" t="n">
        <f aca="false">J3418*K3418</f>
        <v>85.86</v>
      </c>
      <c r="M3418" s="43" t="n">
        <f aca="false">H3418*15.19*(1+'Chart of Accounts'!$E$67)</f>
        <v>56.351862</v>
      </c>
    </row>
    <row r="3419" customFormat="false" ht="15" hidden="false" customHeight="false" outlineLevel="0" collapsed="false">
      <c r="B3419" s="7" t="s">
        <v>3916</v>
      </c>
      <c r="C3419" s="39" t="n">
        <v>45827</v>
      </c>
      <c r="D3419" s="7" t="s">
        <v>359</v>
      </c>
      <c r="E3419" s="7" t="s">
        <v>156</v>
      </c>
      <c r="F3419" s="7" t="s">
        <v>212</v>
      </c>
      <c r="G3419" s="7" t="s">
        <v>505</v>
      </c>
      <c r="H3419" s="6" t="n">
        <v>3.73</v>
      </c>
      <c r="I3419" s="6" t="n">
        <v>0</v>
      </c>
      <c r="J3419" s="40" t="n">
        <f aca="false">H3419-I3419</f>
        <v>3.73</v>
      </c>
      <c r="K3419" s="41" t="n">
        <v>34</v>
      </c>
      <c r="L3419" s="42" t="n">
        <f aca="false">J3419*K3419</f>
        <v>126.82</v>
      </c>
      <c r="M3419" s="43" t="n">
        <f aca="false">H3419*16.71*(1+'Chart of Accounts'!$E$67)</f>
        <v>71.3659035</v>
      </c>
    </row>
    <row r="3420" customFormat="false" ht="15" hidden="false" customHeight="false" outlineLevel="0" collapsed="false">
      <c r="B3420" s="7" t="s">
        <v>3917</v>
      </c>
      <c r="C3420" s="39" t="n">
        <v>45827</v>
      </c>
      <c r="D3420" s="7" t="s">
        <v>363</v>
      </c>
      <c r="E3420" s="7" t="s">
        <v>156</v>
      </c>
      <c r="F3420" s="7" t="s">
        <v>246</v>
      </c>
      <c r="G3420" s="7" t="s">
        <v>505</v>
      </c>
      <c r="H3420" s="6" t="n">
        <v>3.95</v>
      </c>
      <c r="I3420" s="6" t="n">
        <v>0</v>
      </c>
      <c r="J3420" s="40" t="n">
        <f aca="false">H3420-I3420</f>
        <v>3.95</v>
      </c>
      <c r="K3420" s="41" t="n">
        <v>34</v>
      </c>
      <c r="L3420" s="42" t="n">
        <f aca="false">J3420*K3420</f>
        <v>134.3</v>
      </c>
      <c r="M3420" s="43" t="n">
        <f aca="false">H3420*16.48*(1+'Chart of Accounts'!$E$67)</f>
        <v>74.53492</v>
      </c>
    </row>
    <row r="3421" customFormat="false" ht="15" hidden="false" customHeight="false" outlineLevel="0" collapsed="false">
      <c r="B3421" s="7" t="s">
        <v>3918</v>
      </c>
      <c r="C3421" s="39" t="n">
        <v>45827</v>
      </c>
      <c r="D3421" s="7" t="s">
        <v>365</v>
      </c>
      <c r="E3421" s="7" t="s">
        <v>154</v>
      </c>
      <c r="F3421" s="7" t="s">
        <v>194</v>
      </c>
      <c r="G3421" s="7" t="s">
        <v>505</v>
      </c>
      <c r="H3421" s="6" t="n">
        <v>4.16</v>
      </c>
      <c r="I3421" s="6" t="n">
        <v>0</v>
      </c>
      <c r="J3421" s="40" t="n">
        <f aca="false">H3421-I3421</f>
        <v>4.16</v>
      </c>
      <c r="K3421" s="41" t="n">
        <v>26.5</v>
      </c>
      <c r="L3421" s="42" t="n">
        <f aca="false">J3421*K3421</f>
        <v>110.24</v>
      </c>
      <c r="M3421" s="43" t="n">
        <f aca="false">H3421*16*(1+'Chart of Accounts'!$E$67)</f>
        <v>76.2112</v>
      </c>
    </row>
    <row r="3422" customFormat="false" ht="15" hidden="false" customHeight="false" outlineLevel="0" collapsed="false">
      <c r="B3422" s="7" t="s">
        <v>3919</v>
      </c>
      <c r="C3422" s="39" t="n">
        <v>45827</v>
      </c>
      <c r="D3422" s="7" t="s">
        <v>375</v>
      </c>
      <c r="E3422" s="7" t="s">
        <v>156</v>
      </c>
      <c r="F3422" s="7" t="s">
        <v>196</v>
      </c>
      <c r="G3422" s="7" t="s">
        <v>505</v>
      </c>
      <c r="H3422" s="6" t="n">
        <v>2.85</v>
      </c>
      <c r="I3422" s="6" t="n">
        <v>0</v>
      </c>
      <c r="J3422" s="40" t="n">
        <f aca="false">H3422-I3422</f>
        <v>2.85</v>
      </c>
      <c r="K3422" s="41" t="n">
        <v>34</v>
      </c>
      <c r="L3422" s="42" t="n">
        <f aca="false">J3422*K3422</f>
        <v>96.9</v>
      </c>
      <c r="M3422" s="43" t="n">
        <f aca="false">H3422*15.05*(1+'Chart of Accounts'!$E$67)</f>
        <v>49.1119125</v>
      </c>
    </row>
    <row r="3423" customFormat="false" ht="15" hidden="false" customHeight="false" outlineLevel="0" collapsed="false">
      <c r="B3423" s="7" t="s">
        <v>3920</v>
      </c>
      <c r="C3423" s="39" t="n">
        <v>45827</v>
      </c>
      <c r="D3423" s="7" t="s">
        <v>377</v>
      </c>
      <c r="E3423" s="7" t="s">
        <v>154</v>
      </c>
      <c r="F3423" s="7" t="s">
        <v>214</v>
      </c>
      <c r="G3423" s="7" t="s">
        <v>505</v>
      </c>
      <c r="H3423" s="6" t="n">
        <v>3.99</v>
      </c>
      <c r="I3423" s="6" t="n">
        <v>0.12</v>
      </c>
      <c r="J3423" s="40" t="n">
        <f aca="false">H3423-I3423</f>
        <v>3.87</v>
      </c>
      <c r="K3423" s="41" t="n">
        <v>26.5</v>
      </c>
      <c r="L3423" s="42" t="n">
        <f aca="false">J3423*K3423</f>
        <v>102.555</v>
      </c>
      <c r="M3423" s="43" t="n">
        <f aca="false">H3423*15.67*(1+'Chart of Accounts'!$E$67)</f>
        <v>71.5891785</v>
      </c>
    </row>
    <row r="3424" customFormat="false" ht="15" hidden="false" customHeight="false" outlineLevel="0" collapsed="false">
      <c r="B3424" s="7" t="s">
        <v>3921</v>
      </c>
      <c r="C3424" s="39" t="n">
        <v>45827</v>
      </c>
      <c r="D3424" s="7" t="s">
        <v>389</v>
      </c>
      <c r="E3424" s="7" t="s">
        <v>154</v>
      </c>
      <c r="F3424" s="7" t="s">
        <v>246</v>
      </c>
      <c r="G3424" s="7" t="s">
        <v>505</v>
      </c>
      <c r="H3424" s="6" t="n">
        <v>4.34</v>
      </c>
      <c r="I3424" s="6" t="n">
        <v>0</v>
      </c>
      <c r="J3424" s="40" t="n">
        <f aca="false">H3424-I3424</f>
        <v>4.34</v>
      </c>
      <c r="K3424" s="41" t="n">
        <v>26.5</v>
      </c>
      <c r="L3424" s="42" t="n">
        <f aca="false">J3424*K3424</f>
        <v>115.01</v>
      </c>
      <c r="M3424" s="43" t="n">
        <f aca="false">H3424*16.48*(1+'Chart of Accounts'!$E$67)</f>
        <v>81.894064</v>
      </c>
    </row>
    <row r="3425" customFormat="false" ht="15" hidden="false" customHeight="false" outlineLevel="0" collapsed="false">
      <c r="B3425" s="7" t="s">
        <v>3922</v>
      </c>
      <c r="C3425" s="39" t="n">
        <v>45827</v>
      </c>
      <c r="D3425" s="7" t="s">
        <v>391</v>
      </c>
      <c r="E3425" s="7" t="s">
        <v>156</v>
      </c>
      <c r="F3425" s="7" t="s">
        <v>222</v>
      </c>
      <c r="G3425" s="7" t="s">
        <v>505</v>
      </c>
      <c r="H3425" s="6" t="n">
        <v>4.34</v>
      </c>
      <c r="I3425" s="6" t="n">
        <v>0</v>
      </c>
      <c r="J3425" s="40" t="n">
        <f aca="false">H3425-I3425</f>
        <v>4.34</v>
      </c>
      <c r="K3425" s="41" t="n">
        <v>34</v>
      </c>
      <c r="L3425" s="42" t="n">
        <f aca="false">J3425*K3425</f>
        <v>147.56</v>
      </c>
      <c r="M3425" s="43" t="n">
        <f aca="false">H3425*17.84*(1+'Chart of Accounts'!$E$67)</f>
        <v>88.652312</v>
      </c>
    </row>
    <row r="3426" customFormat="false" ht="15" hidden="false" customHeight="false" outlineLevel="0" collapsed="false">
      <c r="B3426" s="7" t="s">
        <v>3923</v>
      </c>
      <c r="C3426" s="39" t="n">
        <v>45827</v>
      </c>
      <c r="D3426" s="7" t="s">
        <v>395</v>
      </c>
      <c r="E3426" s="7" t="s">
        <v>156</v>
      </c>
      <c r="F3426" s="7" t="s">
        <v>242</v>
      </c>
      <c r="G3426" s="7" t="s">
        <v>505</v>
      </c>
      <c r="H3426" s="6" t="n">
        <v>3.82</v>
      </c>
      <c r="I3426" s="6" t="n">
        <v>0</v>
      </c>
      <c r="J3426" s="40" t="n">
        <f aca="false">H3426-I3426</f>
        <v>3.82</v>
      </c>
      <c r="K3426" s="41" t="n">
        <v>34</v>
      </c>
      <c r="L3426" s="42" t="n">
        <f aca="false">J3426*K3426</f>
        <v>129.88</v>
      </c>
      <c r="M3426" s="43" t="n">
        <f aca="false">H3426*17.99*(1+'Chart of Accounts'!$E$67)</f>
        <v>78.686461</v>
      </c>
    </row>
    <row r="3427" customFormat="false" ht="15" hidden="false" customHeight="false" outlineLevel="0" collapsed="false">
      <c r="B3427" s="7" t="s">
        <v>3924</v>
      </c>
      <c r="C3427" s="39" t="n">
        <v>45827</v>
      </c>
      <c r="D3427" s="7" t="s">
        <v>401</v>
      </c>
      <c r="E3427" s="7" t="s">
        <v>156</v>
      </c>
      <c r="F3427" s="7" t="s">
        <v>254</v>
      </c>
      <c r="G3427" s="7" t="s">
        <v>505</v>
      </c>
      <c r="H3427" s="6" t="n">
        <v>3.73</v>
      </c>
      <c r="I3427" s="6" t="n">
        <v>0</v>
      </c>
      <c r="J3427" s="40" t="n">
        <f aca="false">H3427-I3427</f>
        <v>3.73</v>
      </c>
      <c r="K3427" s="41" t="n">
        <v>34</v>
      </c>
      <c r="L3427" s="42" t="n">
        <f aca="false">J3427*K3427</f>
        <v>126.82</v>
      </c>
      <c r="M3427" s="43" t="n">
        <f aca="false">H3427*17.1*(1+'Chart of Accounts'!$E$67)</f>
        <v>73.031535</v>
      </c>
    </row>
    <row r="3428" customFormat="false" ht="15" hidden="false" customHeight="false" outlineLevel="0" collapsed="false">
      <c r="B3428" s="7" t="s">
        <v>3925</v>
      </c>
      <c r="C3428" s="39" t="n">
        <v>45828</v>
      </c>
      <c r="D3428" s="7" t="s">
        <v>280</v>
      </c>
      <c r="E3428" s="7" t="s">
        <v>157</v>
      </c>
      <c r="F3428" s="7" t="s">
        <v>187</v>
      </c>
      <c r="G3428" s="7" t="s">
        <v>502</v>
      </c>
      <c r="H3428" s="6" t="n">
        <v>1.02</v>
      </c>
      <c r="I3428" s="6" t="n">
        <v>0</v>
      </c>
      <c r="J3428" s="40" t="n">
        <f aca="false">H3428-I3428</f>
        <v>1.02</v>
      </c>
      <c r="K3428" s="41" t="n">
        <v>165</v>
      </c>
      <c r="L3428" s="42" t="n">
        <f aca="false">J3428*K3428</f>
        <v>168.3</v>
      </c>
      <c r="M3428" s="43" t="n">
        <f aca="false">H3428*66.48*(1+'Chart of Accounts'!$E$67)</f>
        <v>77.641992</v>
      </c>
    </row>
    <row r="3429" customFormat="false" ht="15" hidden="false" customHeight="false" outlineLevel="0" collapsed="false">
      <c r="B3429" s="7" t="s">
        <v>3926</v>
      </c>
      <c r="C3429" s="39" t="n">
        <v>45828</v>
      </c>
      <c r="D3429" s="7" t="s">
        <v>288</v>
      </c>
      <c r="E3429" s="7" t="s">
        <v>156</v>
      </c>
      <c r="F3429" s="7" t="s">
        <v>201</v>
      </c>
      <c r="G3429" s="7" t="s">
        <v>505</v>
      </c>
      <c r="H3429" s="6" t="n">
        <v>4.36</v>
      </c>
      <c r="I3429" s="6" t="n">
        <v>0</v>
      </c>
      <c r="J3429" s="40" t="n">
        <f aca="false">H3429-I3429</f>
        <v>4.36</v>
      </c>
      <c r="K3429" s="41" t="n">
        <v>34</v>
      </c>
      <c r="L3429" s="42" t="n">
        <f aca="false">J3429*K3429</f>
        <v>148.24</v>
      </c>
      <c r="M3429" s="43" t="n">
        <f aca="false">H3429*15.19*(1+'Chart of Accounts'!$E$67)</f>
        <v>75.831518</v>
      </c>
    </row>
    <row r="3430" customFormat="false" ht="15" hidden="false" customHeight="false" outlineLevel="0" collapsed="false">
      <c r="B3430" s="7" t="s">
        <v>3927</v>
      </c>
      <c r="C3430" s="39" t="n">
        <v>45828</v>
      </c>
      <c r="D3430" s="7" t="s">
        <v>291</v>
      </c>
      <c r="E3430" s="7" t="s">
        <v>154</v>
      </c>
      <c r="F3430" s="7" t="s">
        <v>194</v>
      </c>
      <c r="G3430" s="7" t="s">
        <v>505</v>
      </c>
      <c r="H3430" s="6" t="n">
        <v>4.51</v>
      </c>
      <c r="I3430" s="6" t="n">
        <v>0</v>
      </c>
      <c r="J3430" s="40" t="n">
        <f aca="false">H3430-I3430</f>
        <v>4.51</v>
      </c>
      <c r="K3430" s="41" t="n">
        <v>26.5</v>
      </c>
      <c r="L3430" s="42" t="n">
        <f aca="false">J3430*K3430</f>
        <v>119.515</v>
      </c>
      <c r="M3430" s="43" t="n">
        <f aca="false">H3430*16*(1+'Chart of Accounts'!$E$67)</f>
        <v>82.6232</v>
      </c>
    </row>
    <row r="3431" customFormat="false" ht="15" hidden="false" customHeight="false" outlineLevel="0" collapsed="false">
      <c r="B3431" s="7" t="s">
        <v>3928</v>
      </c>
      <c r="C3431" s="39" t="n">
        <v>45828</v>
      </c>
      <c r="D3431" s="7" t="s">
        <v>301</v>
      </c>
      <c r="E3431" s="7" t="s">
        <v>157</v>
      </c>
      <c r="F3431" s="7" t="s">
        <v>209</v>
      </c>
      <c r="G3431" s="7" t="s">
        <v>502</v>
      </c>
      <c r="H3431" s="6" t="n">
        <v>0.96</v>
      </c>
      <c r="I3431" s="6" t="n">
        <v>0</v>
      </c>
      <c r="J3431" s="40" t="n">
        <f aca="false">H3431-I3431</f>
        <v>0.96</v>
      </c>
      <c r="K3431" s="41" t="n">
        <v>165</v>
      </c>
      <c r="L3431" s="42" t="n">
        <f aca="false">J3431*K3431</f>
        <v>158.4</v>
      </c>
      <c r="M3431" s="43" t="n">
        <f aca="false">H3431*73.58*(1+'Chart of Accounts'!$E$67)</f>
        <v>80.879136</v>
      </c>
    </row>
    <row r="3432" customFormat="false" ht="15" hidden="false" customHeight="false" outlineLevel="0" collapsed="false">
      <c r="B3432" s="7" t="s">
        <v>3929</v>
      </c>
      <c r="C3432" s="39" t="n">
        <v>45828</v>
      </c>
      <c r="D3432" s="7" t="s">
        <v>305</v>
      </c>
      <c r="E3432" s="7" t="s">
        <v>154</v>
      </c>
      <c r="F3432" s="7" t="s">
        <v>205</v>
      </c>
      <c r="G3432" s="7" t="s">
        <v>505</v>
      </c>
      <c r="H3432" s="6" t="n">
        <v>3.97</v>
      </c>
      <c r="I3432" s="6" t="n">
        <v>0.119</v>
      </c>
      <c r="J3432" s="40" t="n">
        <f aca="false">H3432-I3432</f>
        <v>3.851</v>
      </c>
      <c r="K3432" s="41" t="n">
        <v>26.5</v>
      </c>
      <c r="L3432" s="42" t="n">
        <f aca="false">J3432*K3432</f>
        <v>102.0515</v>
      </c>
      <c r="M3432" s="43" t="n">
        <f aca="false">H3432*16.36*(1+'Chart of Accounts'!$E$67)</f>
        <v>74.366834</v>
      </c>
    </row>
    <row r="3433" customFormat="false" ht="15" hidden="false" customHeight="false" outlineLevel="0" collapsed="false">
      <c r="B3433" s="7" t="s">
        <v>3930</v>
      </c>
      <c r="C3433" s="39" t="n">
        <v>45828</v>
      </c>
      <c r="D3433" s="7" t="s">
        <v>307</v>
      </c>
      <c r="E3433" s="7" t="s">
        <v>157</v>
      </c>
      <c r="F3433" s="7" t="s">
        <v>264</v>
      </c>
      <c r="G3433" s="7" t="s">
        <v>502</v>
      </c>
      <c r="H3433" s="6" t="n">
        <v>0.93</v>
      </c>
      <c r="I3433" s="6" t="n">
        <v>0</v>
      </c>
      <c r="J3433" s="40" t="n">
        <f aca="false">H3433-I3433</f>
        <v>0.93</v>
      </c>
      <c r="K3433" s="41" t="n">
        <v>165</v>
      </c>
      <c r="L3433" s="42" t="n">
        <f aca="false">J3433*K3433</f>
        <v>153.45</v>
      </c>
      <c r="M3433" s="43" t="n">
        <f aca="false">H3433*55.55*(1+'Chart of Accounts'!$E$67)</f>
        <v>59.1524175</v>
      </c>
    </row>
    <row r="3434" customFormat="false" ht="15" hidden="false" customHeight="false" outlineLevel="0" collapsed="false">
      <c r="B3434" s="7" t="s">
        <v>3931</v>
      </c>
      <c r="C3434" s="39" t="n">
        <v>45828</v>
      </c>
      <c r="D3434" s="7" t="s">
        <v>309</v>
      </c>
      <c r="E3434" s="7" t="s">
        <v>159</v>
      </c>
      <c r="F3434" s="7" t="s">
        <v>252</v>
      </c>
      <c r="G3434" s="7" t="s">
        <v>502</v>
      </c>
      <c r="H3434" s="6" t="n">
        <v>0.92</v>
      </c>
      <c r="I3434" s="6" t="n">
        <v>0</v>
      </c>
      <c r="J3434" s="40" t="n">
        <f aca="false">H3434-I3434</f>
        <v>0.92</v>
      </c>
      <c r="K3434" s="41" t="n">
        <v>135</v>
      </c>
      <c r="L3434" s="42" t="n">
        <f aca="false">J3434*K3434</f>
        <v>124.2</v>
      </c>
      <c r="M3434" s="43" t="n">
        <f aca="false">H3434*57.54*(1+'Chart of Accounts'!$E$67)</f>
        <v>60.612636</v>
      </c>
    </row>
    <row r="3435" customFormat="false" ht="15" hidden="false" customHeight="false" outlineLevel="0" collapsed="false">
      <c r="B3435" s="7" t="s">
        <v>3932</v>
      </c>
      <c r="C3435" s="39" t="n">
        <v>45828</v>
      </c>
      <c r="D3435" s="7" t="s">
        <v>313</v>
      </c>
      <c r="E3435" s="7" t="s">
        <v>156</v>
      </c>
      <c r="F3435" s="7" t="s">
        <v>184</v>
      </c>
      <c r="G3435" s="7" t="s">
        <v>505</v>
      </c>
      <c r="H3435" s="6" t="n">
        <v>3.67</v>
      </c>
      <c r="I3435" s="6" t="n">
        <v>0</v>
      </c>
      <c r="J3435" s="40" t="n">
        <f aca="false">H3435-I3435</f>
        <v>3.67</v>
      </c>
      <c r="K3435" s="41" t="n">
        <v>34</v>
      </c>
      <c r="L3435" s="42" t="n">
        <f aca="false">J3435*K3435</f>
        <v>124.78</v>
      </c>
      <c r="M3435" s="43" t="n">
        <f aca="false">H3435*17.34*(1+'Chart of Accounts'!$E$67)</f>
        <v>72.865281</v>
      </c>
    </row>
    <row r="3436" customFormat="false" ht="15" hidden="false" customHeight="false" outlineLevel="0" collapsed="false">
      <c r="B3436" s="7" t="s">
        <v>3933</v>
      </c>
      <c r="C3436" s="39" t="n">
        <v>45828</v>
      </c>
      <c r="D3436" s="7" t="s">
        <v>319</v>
      </c>
      <c r="E3436" s="7" t="s">
        <v>157</v>
      </c>
      <c r="F3436" s="7" t="s">
        <v>234</v>
      </c>
      <c r="G3436" s="7" t="s">
        <v>502</v>
      </c>
      <c r="H3436" s="6" t="n">
        <v>1.07</v>
      </c>
      <c r="I3436" s="6" t="n">
        <v>0</v>
      </c>
      <c r="J3436" s="40" t="n">
        <f aca="false">H3436-I3436</f>
        <v>1.07</v>
      </c>
      <c r="K3436" s="41" t="n">
        <v>165</v>
      </c>
      <c r="L3436" s="42" t="n">
        <f aca="false">J3436*K3436</f>
        <v>176.55</v>
      </c>
      <c r="M3436" s="43" t="n">
        <f aca="false">H3436*89.53*(1+'Chart of Accounts'!$E$67)</f>
        <v>109.6876795</v>
      </c>
    </row>
    <row r="3437" customFormat="false" ht="15" hidden="false" customHeight="false" outlineLevel="0" collapsed="false">
      <c r="B3437" s="7" t="s">
        <v>3934</v>
      </c>
      <c r="C3437" s="39" t="n">
        <v>45828</v>
      </c>
      <c r="D3437" s="7" t="s">
        <v>321</v>
      </c>
      <c r="E3437" s="7" t="s">
        <v>154</v>
      </c>
      <c r="F3437" s="7" t="s">
        <v>218</v>
      </c>
      <c r="G3437" s="7" t="s">
        <v>505</v>
      </c>
      <c r="H3437" s="6" t="n">
        <v>3.88</v>
      </c>
      <c r="I3437" s="6" t="n">
        <v>0</v>
      </c>
      <c r="J3437" s="40" t="n">
        <f aca="false">H3437-I3437</f>
        <v>3.88</v>
      </c>
      <c r="K3437" s="41" t="n">
        <v>26.5</v>
      </c>
      <c r="L3437" s="42" t="n">
        <f aca="false">J3437*K3437</f>
        <v>102.82</v>
      </c>
      <c r="M3437" s="43" t="n">
        <f aca="false">H3437*16.19*(1+'Chart of Accounts'!$E$67)</f>
        <v>71.925694</v>
      </c>
    </row>
    <row r="3438" customFormat="false" ht="15" hidden="false" customHeight="false" outlineLevel="0" collapsed="false">
      <c r="B3438" s="7" t="s">
        <v>3935</v>
      </c>
      <c r="C3438" s="39" t="n">
        <v>45828</v>
      </c>
      <c r="D3438" s="7" t="s">
        <v>323</v>
      </c>
      <c r="E3438" s="7" t="s">
        <v>159</v>
      </c>
      <c r="F3438" s="7" t="s">
        <v>266</v>
      </c>
      <c r="G3438" s="7" t="s">
        <v>502</v>
      </c>
      <c r="H3438" s="6" t="n">
        <v>1.04</v>
      </c>
      <c r="I3438" s="6" t="n">
        <v>0</v>
      </c>
      <c r="J3438" s="40" t="n">
        <f aca="false">H3438-I3438</f>
        <v>1.04</v>
      </c>
      <c r="K3438" s="41" t="n">
        <v>135</v>
      </c>
      <c r="L3438" s="42" t="n">
        <f aca="false">J3438*K3438</f>
        <v>140.4</v>
      </c>
      <c r="M3438" s="43" t="n">
        <f aca="false">H3438*75.18*(1+'Chart of Accounts'!$E$67)</f>
        <v>89.524344</v>
      </c>
    </row>
    <row r="3439" customFormat="false" ht="15" hidden="false" customHeight="false" outlineLevel="0" collapsed="false">
      <c r="B3439" s="7" t="s">
        <v>3936</v>
      </c>
      <c r="C3439" s="39" t="n">
        <v>45828</v>
      </c>
      <c r="D3439" s="7" t="s">
        <v>327</v>
      </c>
      <c r="E3439" s="7" t="s">
        <v>157</v>
      </c>
      <c r="F3439" s="7" t="s">
        <v>228</v>
      </c>
      <c r="G3439" s="7" t="s">
        <v>502</v>
      </c>
      <c r="H3439" s="6" t="n">
        <v>1.07</v>
      </c>
      <c r="I3439" s="6" t="n">
        <v>0</v>
      </c>
      <c r="J3439" s="40" t="n">
        <f aca="false">H3439-I3439</f>
        <v>1.07</v>
      </c>
      <c r="K3439" s="41" t="n">
        <v>165</v>
      </c>
      <c r="L3439" s="42" t="n">
        <f aca="false">J3439*K3439</f>
        <v>176.55</v>
      </c>
      <c r="M3439" s="43" t="n">
        <f aca="false">H3439*51.07*(1+'Chart of Accounts'!$E$67)</f>
        <v>62.5684105</v>
      </c>
    </row>
    <row r="3440" customFormat="false" ht="15" hidden="false" customHeight="false" outlineLevel="0" collapsed="false">
      <c r="B3440" s="7" t="s">
        <v>3937</v>
      </c>
      <c r="C3440" s="39" t="n">
        <v>45828</v>
      </c>
      <c r="D3440" s="7" t="s">
        <v>329</v>
      </c>
      <c r="E3440" s="7" t="s">
        <v>156</v>
      </c>
      <c r="F3440" s="7" t="s">
        <v>220</v>
      </c>
      <c r="G3440" s="7" t="s">
        <v>505</v>
      </c>
      <c r="H3440" s="6" t="n">
        <v>3.68</v>
      </c>
      <c r="I3440" s="6" t="n">
        <v>0</v>
      </c>
      <c r="J3440" s="40" t="n">
        <f aca="false">H3440-I3440</f>
        <v>3.68</v>
      </c>
      <c r="K3440" s="41" t="n">
        <v>34</v>
      </c>
      <c r="L3440" s="42" t="n">
        <f aca="false">J3440*K3440</f>
        <v>125.12</v>
      </c>
      <c r="M3440" s="43" t="n">
        <f aca="false">H3440*16.43*(1+'Chart of Accounts'!$E$67)</f>
        <v>69.229448</v>
      </c>
    </row>
    <row r="3441" customFormat="false" ht="15" hidden="false" customHeight="false" outlineLevel="0" collapsed="false">
      <c r="B3441" s="7" t="s">
        <v>3938</v>
      </c>
      <c r="C3441" s="39" t="n">
        <v>45828</v>
      </c>
      <c r="D3441" s="7" t="s">
        <v>335</v>
      </c>
      <c r="E3441" s="7" t="s">
        <v>154</v>
      </c>
      <c r="F3441" s="7" t="s">
        <v>177</v>
      </c>
      <c r="G3441" s="7" t="s">
        <v>505</v>
      </c>
      <c r="H3441" s="6" t="n">
        <v>3.71</v>
      </c>
      <c r="I3441" s="6" t="n">
        <v>0</v>
      </c>
      <c r="J3441" s="40" t="n">
        <f aca="false">H3441-I3441</f>
        <v>3.71</v>
      </c>
      <c r="K3441" s="41" t="n">
        <v>26.5</v>
      </c>
      <c r="L3441" s="42" t="n">
        <f aca="false">J3441*K3441</f>
        <v>98.315</v>
      </c>
      <c r="M3441" s="43" t="n">
        <f aca="false">H3441*14.56*(1+'Chart of Accounts'!$E$67)</f>
        <v>61.850152</v>
      </c>
    </row>
    <row r="3442" customFormat="false" ht="15" hidden="false" customHeight="false" outlineLevel="0" collapsed="false">
      <c r="B3442" s="7" t="s">
        <v>3939</v>
      </c>
      <c r="C3442" s="39" t="n">
        <v>45828</v>
      </c>
      <c r="D3442" s="7" t="s">
        <v>339</v>
      </c>
      <c r="E3442" s="7" t="s">
        <v>154</v>
      </c>
      <c r="F3442" s="7" t="s">
        <v>242</v>
      </c>
      <c r="G3442" s="7" t="s">
        <v>505</v>
      </c>
      <c r="H3442" s="6" t="n">
        <v>3.55</v>
      </c>
      <c r="I3442" s="6" t="n">
        <v>0</v>
      </c>
      <c r="J3442" s="40" t="n">
        <f aca="false">H3442-I3442</f>
        <v>3.55</v>
      </c>
      <c r="K3442" s="41" t="n">
        <v>26.5</v>
      </c>
      <c r="L3442" s="42" t="n">
        <f aca="false">J3442*K3442</f>
        <v>94.075</v>
      </c>
      <c r="M3442" s="43" t="n">
        <f aca="false">H3442*17.99*(1+'Chart of Accounts'!$E$67)</f>
        <v>73.1248525</v>
      </c>
    </row>
    <row r="3443" customFormat="false" ht="15" hidden="false" customHeight="false" outlineLevel="0" collapsed="false">
      <c r="B3443" s="7" t="s">
        <v>3940</v>
      </c>
      <c r="C3443" s="39" t="n">
        <v>45828</v>
      </c>
      <c r="D3443" s="7" t="s">
        <v>353</v>
      </c>
      <c r="E3443" s="7" t="s">
        <v>154</v>
      </c>
      <c r="F3443" s="7" t="s">
        <v>254</v>
      </c>
      <c r="G3443" s="7" t="s">
        <v>505</v>
      </c>
      <c r="H3443" s="6" t="n">
        <v>3.26</v>
      </c>
      <c r="I3443" s="6" t="n">
        <v>0</v>
      </c>
      <c r="J3443" s="40" t="n">
        <f aca="false">H3443-I3443</f>
        <v>3.26</v>
      </c>
      <c r="K3443" s="41" t="n">
        <v>26.5</v>
      </c>
      <c r="L3443" s="42" t="n">
        <f aca="false">J3443*K3443</f>
        <v>86.39</v>
      </c>
      <c r="M3443" s="43" t="n">
        <f aca="false">H3443*17.1*(1+'Chart of Accounts'!$E$67)</f>
        <v>63.82917</v>
      </c>
    </row>
    <row r="3444" customFormat="false" ht="15" hidden="false" customHeight="false" outlineLevel="0" collapsed="false">
      <c r="B3444" s="7" t="s">
        <v>3941</v>
      </c>
      <c r="C3444" s="39" t="n">
        <v>45828</v>
      </c>
      <c r="D3444" s="7" t="s">
        <v>355</v>
      </c>
      <c r="E3444" s="7" t="s">
        <v>154</v>
      </c>
      <c r="F3444" s="7" t="s">
        <v>201</v>
      </c>
      <c r="G3444" s="7" t="s">
        <v>505</v>
      </c>
      <c r="H3444" s="6" t="n">
        <v>3.49</v>
      </c>
      <c r="I3444" s="6" t="n">
        <v>0</v>
      </c>
      <c r="J3444" s="40" t="n">
        <f aca="false">H3444-I3444</f>
        <v>3.49</v>
      </c>
      <c r="K3444" s="41" t="n">
        <v>26.5</v>
      </c>
      <c r="L3444" s="42" t="n">
        <f aca="false">J3444*K3444</f>
        <v>92.485</v>
      </c>
      <c r="M3444" s="43" t="n">
        <f aca="false">H3444*15.19*(1+'Chart of Accounts'!$E$67)</f>
        <v>60.6999995</v>
      </c>
    </row>
    <row r="3445" customFormat="false" ht="15" hidden="false" customHeight="false" outlineLevel="0" collapsed="false">
      <c r="B3445" s="7" t="s">
        <v>3942</v>
      </c>
      <c r="C3445" s="39" t="n">
        <v>45828</v>
      </c>
      <c r="D3445" s="7" t="s">
        <v>357</v>
      </c>
      <c r="E3445" s="7" t="s">
        <v>154</v>
      </c>
      <c r="F3445" s="7" t="s">
        <v>207</v>
      </c>
      <c r="G3445" s="7" t="s">
        <v>505</v>
      </c>
      <c r="H3445" s="6" t="n">
        <v>3.41</v>
      </c>
      <c r="I3445" s="6" t="n">
        <v>0</v>
      </c>
      <c r="J3445" s="40" t="n">
        <f aca="false">H3445-I3445</f>
        <v>3.41</v>
      </c>
      <c r="K3445" s="41" t="n">
        <v>26.5</v>
      </c>
      <c r="L3445" s="42" t="n">
        <f aca="false">J3445*K3445</f>
        <v>90.365</v>
      </c>
      <c r="M3445" s="43" t="n">
        <f aca="false">H3445*16.65*(1+'Chart of Accounts'!$E$67)</f>
        <v>65.0090925</v>
      </c>
    </row>
    <row r="3446" customFormat="false" ht="15" hidden="false" customHeight="false" outlineLevel="0" collapsed="false">
      <c r="B3446" s="7" t="s">
        <v>3943</v>
      </c>
      <c r="C3446" s="39" t="n">
        <v>45828</v>
      </c>
      <c r="D3446" s="7" t="s">
        <v>359</v>
      </c>
      <c r="E3446" s="7" t="s">
        <v>156</v>
      </c>
      <c r="F3446" s="7" t="s">
        <v>212</v>
      </c>
      <c r="G3446" s="7" t="s">
        <v>505</v>
      </c>
      <c r="H3446" s="6" t="n">
        <v>3.87</v>
      </c>
      <c r="I3446" s="6" t="n">
        <v>0</v>
      </c>
      <c r="J3446" s="40" t="n">
        <f aca="false">H3446-I3446</f>
        <v>3.87</v>
      </c>
      <c r="K3446" s="41" t="n">
        <v>34</v>
      </c>
      <c r="L3446" s="42" t="n">
        <f aca="false">J3446*K3446</f>
        <v>131.58</v>
      </c>
      <c r="M3446" s="43" t="n">
        <f aca="false">H3446*16.71*(1+'Chart of Accounts'!$E$67)</f>
        <v>74.0445165</v>
      </c>
    </row>
    <row r="3447" customFormat="false" ht="15" hidden="false" customHeight="false" outlineLevel="0" collapsed="false">
      <c r="B3447" s="7" t="s">
        <v>3944</v>
      </c>
      <c r="C3447" s="39" t="n">
        <v>45828</v>
      </c>
      <c r="D3447" s="7" t="s">
        <v>361</v>
      </c>
      <c r="E3447" s="7" t="s">
        <v>157</v>
      </c>
      <c r="F3447" s="7" t="s">
        <v>209</v>
      </c>
      <c r="G3447" s="7" t="s">
        <v>502</v>
      </c>
      <c r="H3447" s="6" t="n">
        <v>1.05</v>
      </c>
      <c r="I3447" s="6" t="n">
        <v>0</v>
      </c>
      <c r="J3447" s="40" t="n">
        <f aca="false">H3447-I3447</f>
        <v>1.05</v>
      </c>
      <c r="K3447" s="41" t="n">
        <v>165</v>
      </c>
      <c r="L3447" s="42" t="n">
        <f aca="false">J3447*K3447</f>
        <v>173.25</v>
      </c>
      <c r="M3447" s="43" t="n">
        <f aca="false">H3447*73.58*(1+'Chart of Accounts'!$E$67)</f>
        <v>88.461555</v>
      </c>
    </row>
    <row r="3448" customFormat="false" ht="15" hidden="false" customHeight="false" outlineLevel="0" collapsed="false">
      <c r="B3448" s="7" t="s">
        <v>3945</v>
      </c>
      <c r="C3448" s="39" t="n">
        <v>45828</v>
      </c>
      <c r="D3448" s="7" t="s">
        <v>365</v>
      </c>
      <c r="E3448" s="7" t="s">
        <v>154</v>
      </c>
      <c r="F3448" s="7" t="s">
        <v>194</v>
      </c>
      <c r="G3448" s="7" t="s">
        <v>505</v>
      </c>
      <c r="H3448" s="6" t="n">
        <v>3.71</v>
      </c>
      <c r="I3448" s="6" t="n">
        <v>0</v>
      </c>
      <c r="J3448" s="40" t="n">
        <f aca="false">H3448-I3448</f>
        <v>3.71</v>
      </c>
      <c r="K3448" s="41" t="n">
        <v>26.5</v>
      </c>
      <c r="L3448" s="42" t="n">
        <f aca="false">J3448*K3448</f>
        <v>98.315</v>
      </c>
      <c r="M3448" s="43" t="n">
        <f aca="false">H3448*16*(1+'Chart of Accounts'!$E$67)</f>
        <v>67.9672</v>
      </c>
    </row>
    <row r="3449" customFormat="false" ht="15" hidden="false" customHeight="false" outlineLevel="0" collapsed="false">
      <c r="B3449" s="7" t="s">
        <v>3946</v>
      </c>
      <c r="C3449" s="39" t="n">
        <v>45828</v>
      </c>
      <c r="D3449" s="7" t="s">
        <v>371</v>
      </c>
      <c r="E3449" s="7" t="s">
        <v>154</v>
      </c>
      <c r="F3449" s="7" t="s">
        <v>232</v>
      </c>
      <c r="G3449" s="7" t="s">
        <v>505</v>
      </c>
      <c r="H3449" s="6" t="n">
        <v>4.61</v>
      </c>
      <c r="I3449" s="6" t="n">
        <v>0</v>
      </c>
      <c r="J3449" s="40" t="n">
        <f aca="false">H3449-I3449</f>
        <v>4.61</v>
      </c>
      <c r="K3449" s="41" t="n">
        <v>26.5</v>
      </c>
      <c r="L3449" s="42" t="n">
        <f aca="false">J3449*K3449</f>
        <v>122.165</v>
      </c>
      <c r="M3449" s="43" t="n">
        <f aca="false">H3449*16.17*(1+'Chart of Accounts'!$E$67)</f>
        <v>85.3525365</v>
      </c>
    </row>
    <row r="3450" customFormat="false" ht="15" hidden="false" customHeight="false" outlineLevel="0" collapsed="false">
      <c r="B3450" s="7" t="s">
        <v>3947</v>
      </c>
      <c r="C3450" s="39" t="n">
        <v>45828</v>
      </c>
      <c r="D3450" s="7" t="s">
        <v>379</v>
      </c>
      <c r="E3450" s="7" t="s">
        <v>156</v>
      </c>
      <c r="F3450" s="7" t="s">
        <v>224</v>
      </c>
      <c r="G3450" s="7" t="s">
        <v>505</v>
      </c>
      <c r="H3450" s="6" t="n">
        <v>4.6</v>
      </c>
      <c r="I3450" s="6" t="n">
        <v>0</v>
      </c>
      <c r="J3450" s="40" t="n">
        <f aca="false">H3450-I3450</f>
        <v>4.6</v>
      </c>
      <c r="K3450" s="41" t="n">
        <v>34</v>
      </c>
      <c r="L3450" s="42" t="n">
        <f aca="false">J3450*K3450</f>
        <v>156.4</v>
      </c>
      <c r="M3450" s="43" t="n">
        <f aca="false">H3450*14.93*(1+'Chart of Accounts'!$E$67)</f>
        <v>78.63631</v>
      </c>
    </row>
    <row r="3451" customFormat="false" ht="15" hidden="false" customHeight="false" outlineLevel="0" collapsed="false">
      <c r="B3451" s="7" t="s">
        <v>3948</v>
      </c>
      <c r="C3451" s="39" t="n">
        <v>45828</v>
      </c>
      <c r="D3451" s="7" t="s">
        <v>381</v>
      </c>
      <c r="E3451" s="7" t="s">
        <v>157</v>
      </c>
      <c r="F3451" s="7" t="s">
        <v>234</v>
      </c>
      <c r="G3451" s="7" t="s">
        <v>502</v>
      </c>
      <c r="H3451" s="6" t="n">
        <v>1.06</v>
      </c>
      <c r="I3451" s="6" t="n">
        <v>0</v>
      </c>
      <c r="J3451" s="40" t="n">
        <f aca="false">H3451-I3451</f>
        <v>1.06</v>
      </c>
      <c r="K3451" s="41" t="n">
        <v>165</v>
      </c>
      <c r="L3451" s="42" t="n">
        <f aca="false">J3451*K3451</f>
        <v>174.9</v>
      </c>
      <c r="M3451" s="43" t="n">
        <f aca="false">H3451*89.53*(1+'Chart of Accounts'!$E$67)</f>
        <v>108.662561</v>
      </c>
    </row>
    <row r="3452" customFormat="false" ht="15" hidden="false" customHeight="false" outlineLevel="0" collapsed="false">
      <c r="B3452" s="7" t="s">
        <v>3949</v>
      </c>
      <c r="C3452" s="39" t="n">
        <v>45828</v>
      </c>
      <c r="D3452" s="7" t="s">
        <v>385</v>
      </c>
      <c r="E3452" s="7" t="s">
        <v>156</v>
      </c>
      <c r="F3452" s="7" t="s">
        <v>238</v>
      </c>
      <c r="G3452" s="7" t="s">
        <v>505</v>
      </c>
      <c r="H3452" s="6" t="n">
        <v>3.94</v>
      </c>
      <c r="I3452" s="6" t="n">
        <v>0</v>
      </c>
      <c r="J3452" s="40" t="n">
        <f aca="false">H3452-I3452</f>
        <v>3.94</v>
      </c>
      <c r="K3452" s="41" t="n">
        <v>34</v>
      </c>
      <c r="L3452" s="42" t="n">
        <f aca="false">J3452*K3452</f>
        <v>133.96</v>
      </c>
      <c r="M3452" s="43" t="n">
        <f aca="false">H3452*15.85*(1+'Chart of Accounts'!$E$67)</f>
        <v>71.504105</v>
      </c>
    </row>
    <row r="3453" customFormat="false" ht="15" hidden="false" customHeight="false" outlineLevel="0" collapsed="false">
      <c r="B3453" s="7" t="s">
        <v>3950</v>
      </c>
      <c r="C3453" s="39" t="n">
        <v>45828</v>
      </c>
      <c r="D3453" s="7" t="s">
        <v>389</v>
      </c>
      <c r="E3453" s="7" t="s">
        <v>154</v>
      </c>
      <c r="F3453" s="7" t="s">
        <v>246</v>
      </c>
      <c r="G3453" s="7" t="s">
        <v>505</v>
      </c>
      <c r="H3453" s="6" t="n">
        <v>4.27</v>
      </c>
      <c r="I3453" s="6" t="n">
        <v>0.128</v>
      </c>
      <c r="J3453" s="40" t="n">
        <f aca="false">H3453-I3453</f>
        <v>4.142</v>
      </c>
      <c r="K3453" s="41" t="n">
        <v>26.5</v>
      </c>
      <c r="L3453" s="42" t="n">
        <f aca="false">J3453*K3453</f>
        <v>109.763</v>
      </c>
      <c r="M3453" s="43" t="n">
        <f aca="false">H3453*16.48*(1+'Chart of Accounts'!$E$67)</f>
        <v>80.573192</v>
      </c>
    </row>
    <row r="3454" customFormat="false" ht="15" hidden="false" customHeight="false" outlineLevel="0" collapsed="false">
      <c r="B3454" s="7" t="s">
        <v>3951</v>
      </c>
      <c r="C3454" s="39" t="n">
        <v>45828</v>
      </c>
      <c r="D3454" s="7" t="s">
        <v>391</v>
      </c>
      <c r="E3454" s="7" t="s">
        <v>156</v>
      </c>
      <c r="F3454" s="7" t="s">
        <v>222</v>
      </c>
      <c r="G3454" s="7" t="s">
        <v>505</v>
      </c>
      <c r="H3454" s="6" t="n">
        <v>4.15</v>
      </c>
      <c r="I3454" s="6" t="n">
        <v>0</v>
      </c>
      <c r="J3454" s="40" t="n">
        <f aca="false">H3454-I3454</f>
        <v>4.15</v>
      </c>
      <c r="K3454" s="41" t="n">
        <v>34</v>
      </c>
      <c r="L3454" s="42" t="n">
        <f aca="false">J3454*K3454</f>
        <v>141.1</v>
      </c>
      <c r="M3454" s="43" t="n">
        <f aca="false">H3454*17.84*(1+'Chart of Accounts'!$E$67)</f>
        <v>84.77122</v>
      </c>
    </row>
    <row r="3455" customFormat="false" ht="15" hidden="false" customHeight="false" outlineLevel="0" collapsed="false">
      <c r="B3455" s="7" t="s">
        <v>3952</v>
      </c>
      <c r="C3455" s="39" t="n">
        <v>45828</v>
      </c>
      <c r="D3455" s="7" t="s">
        <v>397</v>
      </c>
      <c r="E3455" s="7" t="s">
        <v>159</v>
      </c>
      <c r="F3455" s="7" t="s">
        <v>203</v>
      </c>
      <c r="G3455" s="7" t="s">
        <v>502</v>
      </c>
      <c r="H3455" s="6" t="n">
        <v>0.93</v>
      </c>
      <c r="I3455" s="6" t="n">
        <v>0</v>
      </c>
      <c r="J3455" s="40" t="n">
        <f aca="false">H3455-I3455</f>
        <v>0.93</v>
      </c>
      <c r="K3455" s="41" t="n">
        <v>135</v>
      </c>
      <c r="L3455" s="42" t="n">
        <f aca="false">J3455*K3455</f>
        <v>125.55</v>
      </c>
      <c r="M3455" s="43" t="n">
        <f aca="false">H3455*49.43*(1+'Chart of Accounts'!$E$67)</f>
        <v>52.6355355</v>
      </c>
    </row>
    <row r="3456" customFormat="false" ht="15" hidden="false" customHeight="false" outlineLevel="0" collapsed="false">
      <c r="B3456" s="7" t="s">
        <v>3953</v>
      </c>
      <c r="C3456" s="39" t="n">
        <v>45828</v>
      </c>
      <c r="D3456" s="7" t="s">
        <v>399</v>
      </c>
      <c r="E3456" s="7" t="s">
        <v>154</v>
      </c>
      <c r="F3456" s="7" t="s">
        <v>224</v>
      </c>
      <c r="G3456" s="7" t="s">
        <v>505</v>
      </c>
      <c r="H3456" s="6" t="n">
        <v>3.01</v>
      </c>
      <c r="I3456" s="6" t="n">
        <v>0</v>
      </c>
      <c r="J3456" s="40" t="n">
        <f aca="false">H3456-I3456</f>
        <v>3.01</v>
      </c>
      <c r="K3456" s="41" t="n">
        <v>26.5</v>
      </c>
      <c r="L3456" s="42" t="n">
        <f aca="false">J3456*K3456</f>
        <v>79.765</v>
      </c>
      <c r="M3456" s="43" t="n">
        <f aca="false">H3456*14.93*(1+'Chart of Accounts'!$E$67)</f>
        <v>51.4554985</v>
      </c>
    </row>
    <row r="3457" customFormat="false" ht="15" hidden="false" customHeight="false" outlineLevel="0" collapsed="false">
      <c r="B3457" s="7" t="s">
        <v>3954</v>
      </c>
      <c r="C3457" s="39" t="n">
        <v>45828</v>
      </c>
      <c r="D3457" s="7" t="s">
        <v>401</v>
      </c>
      <c r="E3457" s="7" t="s">
        <v>156</v>
      </c>
      <c r="F3457" s="7" t="s">
        <v>254</v>
      </c>
      <c r="G3457" s="7" t="s">
        <v>505</v>
      </c>
      <c r="H3457" s="6" t="n">
        <v>3.64</v>
      </c>
      <c r="I3457" s="6" t="n">
        <v>0</v>
      </c>
      <c r="J3457" s="40" t="n">
        <f aca="false">H3457-I3457</f>
        <v>3.64</v>
      </c>
      <c r="K3457" s="41" t="n">
        <v>34</v>
      </c>
      <c r="L3457" s="42" t="n">
        <f aca="false">J3457*K3457</f>
        <v>123.76</v>
      </c>
      <c r="M3457" s="43" t="n">
        <f aca="false">H3457*17.1*(1+'Chart of Accounts'!$E$67)</f>
        <v>71.26938</v>
      </c>
    </row>
    <row r="3458" customFormat="false" ht="15" hidden="false" customHeight="false" outlineLevel="0" collapsed="false">
      <c r="B3458" s="7" t="s">
        <v>3955</v>
      </c>
      <c r="C3458" s="39" t="n">
        <v>45828</v>
      </c>
      <c r="D3458" s="7" t="s">
        <v>407</v>
      </c>
      <c r="E3458" s="7" t="s">
        <v>159</v>
      </c>
      <c r="F3458" s="7" t="s">
        <v>260</v>
      </c>
      <c r="G3458" s="7" t="s">
        <v>502</v>
      </c>
      <c r="H3458" s="6" t="n">
        <v>0.92</v>
      </c>
      <c r="I3458" s="6" t="n">
        <v>0</v>
      </c>
      <c r="J3458" s="40" t="n">
        <f aca="false">H3458-I3458</f>
        <v>0.92</v>
      </c>
      <c r="K3458" s="41" t="n">
        <v>135</v>
      </c>
      <c r="L3458" s="42" t="n">
        <f aca="false">J3458*K3458</f>
        <v>124.2</v>
      </c>
      <c r="M3458" s="43" t="n">
        <f aca="false">H3458*79.8*(1+'Chart of Accounts'!$E$67)</f>
        <v>84.06132</v>
      </c>
    </row>
    <row r="3459" customFormat="false" ht="15" hidden="false" customHeight="false" outlineLevel="0" collapsed="false">
      <c r="B3459" s="7" t="s">
        <v>3956</v>
      </c>
      <c r="C3459" s="39" t="n">
        <v>45828</v>
      </c>
      <c r="D3459" s="7" t="s">
        <v>409</v>
      </c>
      <c r="E3459" s="7" t="s">
        <v>154</v>
      </c>
      <c r="F3459" s="7" t="s">
        <v>214</v>
      </c>
      <c r="G3459" s="7" t="s">
        <v>505</v>
      </c>
      <c r="H3459" s="6" t="n">
        <v>3.33</v>
      </c>
      <c r="I3459" s="6" t="n">
        <v>0</v>
      </c>
      <c r="J3459" s="40" t="n">
        <f aca="false">H3459-I3459</f>
        <v>3.33</v>
      </c>
      <c r="K3459" s="41" t="n">
        <v>26.5</v>
      </c>
      <c r="L3459" s="42" t="n">
        <f aca="false">J3459*K3459</f>
        <v>88.245</v>
      </c>
      <c r="M3459" s="43" t="n">
        <f aca="false">H3459*15.67*(1+'Chart of Accounts'!$E$67)</f>
        <v>59.7473595</v>
      </c>
    </row>
    <row r="3460" customFormat="false" ht="15" hidden="false" customHeight="false" outlineLevel="0" collapsed="false">
      <c r="B3460" s="7" t="s">
        <v>3957</v>
      </c>
      <c r="C3460" s="39" t="n">
        <v>45828</v>
      </c>
      <c r="D3460" s="7" t="s">
        <v>411</v>
      </c>
      <c r="E3460" s="7" t="s">
        <v>154</v>
      </c>
      <c r="F3460" s="7" t="s">
        <v>177</v>
      </c>
      <c r="G3460" s="7" t="s">
        <v>505</v>
      </c>
      <c r="H3460" s="6" t="n">
        <v>4.99</v>
      </c>
      <c r="I3460" s="6" t="n">
        <v>0.15</v>
      </c>
      <c r="J3460" s="40" t="n">
        <f aca="false">H3460-I3460</f>
        <v>4.84</v>
      </c>
      <c r="K3460" s="41" t="n">
        <v>26.5</v>
      </c>
      <c r="L3460" s="42" t="n">
        <f aca="false">J3460*K3460</f>
        <v>128.26</v>
      </c>
      <c r="M3460" s="43" t="n">
        <f aca="false">H3460*14.56*(1+'Chart of Accounts'!$E$67)</f>
        <v>83.189288</v>
      </c>
    </row>
    <row r="3461" customFormat="false" ht="15" hidden="false" customHeight="false" outlineLevel="0" collapsed="false">
      <c r="B3461" s="7" t="s">
        <v>3958</v>
      </c>
      <c r="C3461" s="39" t="n">
        <v>45829</v>
      </c>
      <c r="D3461" s="7" t="s">
        <v>288</v>
      </c>
      <c r="E3461" s="7" t="s">
        <v>156</v>
      </c>
      <c r="F3461" s="7" t="s">
        <v>224</v>
      </c>
      <c r="G3461" s="7" t="s">
        <v>505</v>
      </c>
      <c r="H3461" s="6" t="n">
        <v>3.74</v>
      </c>
      <c r="I3461" s="6" t="n">
        <v>0</v>
      </c>
      <c r="J3461" s="40" t="n">
        <f aca="false">H3461-I3461</f>
        <v>3.74</v>
      </c>
      <c r="K3461" s="41" t="n">
        <v>34</v>
      </c>
      <c r="L3461" s="42" t="n">
        <f aca="false">J3461*K3461</f>
        <v>127.16</v>
      </c>
      <c r="M3461" s="43" t="n">
        <f aca="false">H3461*14.93*(1+'Chart of Accounts'!$E$67)</f>
        <v>63.934739</v>
      </c>
    </row>
    <row r="3462" customFormat="false" ht="15" hidden="false" customHeight="false" outlineLevel="0" collapsed="false">
      <c r="B3462" s="7" t="s">
        <v>3959</v>
      </c>
      <c r="C3462" s="39" t="n">
        <v>45829</v>
      </c>
      <c r="D3462" s="7" t="s">
        <v>359</v>
      </c>
      <c r="E3462" s="7" t="s">
        <v>156</v>
      </c>
      <c r="F3462" s="7" t="s">
        <v>212</v>
      </c>
      <c r="G3462" s="7" t="s">
        <v>505</v>
      </c>
      <c r="H3462" s="6" t="n">
        <v>4.07</v>
      </c>
      <c r="I3462" s="6" t="n">
        <v>0</v>
      </c>
      <c r="J3462" s="40" t="n">
        <f aca="false">H3462-I3462</f>
        <v>4.07</v>
      </c>
      <c r="K3462" s="41" t="n">
        <v>34</v>
      </c>
      <c r="L3462" s="42" t="n">
        <f aca="false">J3462*K3462</f>
        <v>138.38</v>
      </c>
      <c r="M3462" s="43" t="n">
        <f aca="false">H3462*16.71*(1+'Chart of Accounts'!$E$67)</f>
        <v>77.8711065</v>
      </c>
    </row>
    <row r="3463" customFormat="false" ht="15" hidden="false" customHeight="false" outlineLevel="0" collapsed="false">
      <c r="B3463" s="7" t="s">
        <v>3960</v>
      </c>
      <c r="C3463" s="39" t="n">
        <v>45829</v>
      </c>
      <c r="D3463" s="7" t="s">
        <v>391</v>
      </c>
      <c r="E3463" s="7" t="s">
        <v>156</v>
      </c>
      <c r="F3463" s="7" t="s">
        <v>222</v>
      </c>
      <c r="G3463" s="7" t="s">
        <v>505</v>
      </c>
      <c r="H3463" s="6" t="n">
        <v>4.18</v>
      </c>
      <c r="I3463" s="6" t="n">
        <v>0</v>
      </c>
      <c r="J3463" s="40" t="n">
        <f aca="false">H3463-I3463</f>
        <v>4.18</v>
      </c>
      <c r="K3463" s="41" t="n">
        <v>34</v>
      </c>
      <c r="L3463" s="42" t="n">
        <f aca="false">J3463*K3463</f>
        <v>142.12</v>
      </c>
      <c r="M3463" s="43" t="n">
        <f aca="false">H3463*17.84*(1+'Chart of Accounts'!$E$67)</f>
        <v>85.384024</v>
      </c>
    </row>
    <row r="3464" customFormat="false" ht="15" hidden="false" customHeight="false" outlineLevel="0" collapsed="false">
      <c r="B3464" s="7" t="s">
        <v>3961</v>
      </c>
      <c r="C3464" s="39" t="n">
        <v>45829</v>
      </c>
      <c r="D3464" s="7" t="s">
        <v>395</v>
      </c>
      <c r="E3464" s="7" t="s">
        <v>156</v>
      </c>
      <c r="F3464" s="7" t="s">
        <v>242</v>
      </c>
      <c r="G3464" s="7" t="s">
        <v>505</v>
      </c>
      <c r="H3464" s="6" t="n">
        <v>3.83</v>
      </c>
      <c r="I3464" s="6" t="n">
        <v>0</v>
      </c>
      <c r="J3464" s="40" t="n">
        <f aca="false">H3464-I3464</f>
        <v>3.83</v>
      </c>
      <c r="K3464" s="41" t="n">
        <v>34</v>
      </c>
      <c r="L3464" s="42" t="n">
        <f aca="false">J3464*K3464</f>
        <v>130.22</v>
      </c>
      <c r="M3464" s="43" t="n">
        <f aca="false">H3464*17.99*(1+'Chart of Accounts'!$E$67)</f>
        <v>78.8924465</v>
      </c>
    </row>
    <row r="3465" customFormat="false" ht="15" hidden="false" customHeight="false" outlineLevel="0" collapsed="false">
      <c r="B3465" s="7" t="s">
        <v>3962</v>
      </c>
      <c r="C3465" s="39" t="n">
        <v>45829</v>
      </c>
      <c r="D3465" s="7" t="s">
        <v>401</v>
      </c>
      <c r="E3465" s="7" t="s">
        <v>156</v>
      </c>
      <c r="F3465" s="7" t="s">
        <v>254</v>
      </c>
      <c r="G3465" s="7" t="s">
        <v>505</v>
      </c>
      <c r="H3465" s="6" t="n">
        <v>3.89</v>
      </c>
      <c r="I3465" s="6" t="n">
        <v>0</v>
      </c>
      <c r="J3465" s="40" t="n">
        <f aca="false">H3465-I3465</f>
        <v>3.89</v>
      </c>
      <c r="K3465" s="41" t="n">
        <v>34</v>
      </c>
      <c r="L3465" s="42" t="n">
        <f aca="false">J3465*K3465</f>
        <v>132.26</v>
      </c>
      <c r="M3465" s="43" t="n">
        <f aca="false">H3465*17.1*(1+'Chart of Accounts'!$E$67)</f>
        <v>76.164255</v>
      </c>
    </row>
    <row r="3466" customFormat="false" ht="15" hidden="false" customHeight="false" outlineLevel="0" collapsed="false">
      <c r="B3466" s="7" t="s">
        <v>3963</v>
      </c>
      <c r="C3466" s="39" t="n">
        <v>45830</v>
      </c>
      <c r="D3466" s="7" t="s">
        <v>288</v>
      </c>
      <c r="E3466" s="7" t="s">
        <v>156</v>
      </c>
      <c r="F3466" s="7" t="s">
        <v>218</v>
      </c>
      <c r="G3466" s="7" t="s">
        <v>505</v>
      </c>
      <c r="H3466" s="6" t="n">
        <v>3.8</v>
      </c>
      <c r="I3466" s="6" t="n">
        <v>0</v>
      </c>
      <c r="J3466" s="40" t="n">
        <f aca="false">H3466-I3466</f>
        <v>3.8</v>
      </c>
      <c r="K3466" s="41" t="n">
        <v>34</v>
      </c>
      <c r="L3466" s="42" t="n">
        <f aca="false">J3466*K3466</f>
        <v>129.2</v>
      </c>
      <c r="M3466" s="43" t="n">
        <f aca="false">H3466*16.19*(1+'Chart of Accounts'!$E$67)</f>
        <v>70.44269</v>
      </c>
    </row>
    <row r="3467" customFormat="false" ht="15" hidden="false" customHeight="false" outlineLevel="0" collapsed="false">
      <c r="B3467" s="7" t="s">
        <v>3964</v>
      </c>
      <c r="C3467" s="39" t="n">
        <v>45830</v>
      </c>
      <c r="D3467" s="7" t="s">
        <v>321</v>
      </c>
      <c r="E3467" s="7" t="s">
        <v>154</v>
      </c>
      <c r="F3467" s="7" t="s">
        <v>218</v>
      </c>
      <c r="G3467" s="7" t="s">
        <v>505</v>
      </c>
      <c r="H3467" s="6" t="n">
        <v>3.62</v>
      </c>
      <c r="I3467" s="6" t="n">
        <v>0</v>
      </c>
      <c r="J3467" s="40" t="n">
        <f aca="false">H3467-I3467</f>
        <v>3.62</v>
      </c>
      <c r="K3467" s="41" t="n">
        <v>26.5</v>
      </c>
      <c r="L3467" s="42" t="n">
        <f aca="false">J3467*K3467</f>
        <v>95.93</v>
      </c>
      <c r="M3467" s="43" t="n">
        <f aca="false">H3467*16.19*(1+'Chart of Accounts'!$E$67)</f>
        <v>67.105931</v>
      </c>
    </row>
    <row r="3468" customFormat="false" ht="15" hidden="false" customHeight="false" outlineLevel="0" collapsed="false">
      <c r="B3468" s="7" t="s">
        <v>3965</v>
      </c>
      <c r="C3468" s="39" t="n">
        <v>45830</v>
      </c>
      <c r="D3468" s="7" t="s">
        <v>359</v>
      </c>
      <c r="E3468" s="7" t="s">
        <v>156</v>
      </c>
      <c r="F3468" s="7" t="s">
        <v>212</v>
      </c>
      <c r="G3468" s="7" t="s">
        <v>505</v>
      </c>
      <c r="H3468" s="6" t="n">
        <v>3.93</v>
      </c>
      <c r="I3468" s="6" t="n">
        <v>0</v>
      </c>
      <c r="J3468" s="40" t="n">
        <f aca="false">H3468-I3468</f>
        <v>3.93</v>
      </c>
      <c r="K3468" s="41" t="n">
        <v>34</v>
      </c>
      <c r="L3468" s="42" t="n">
        <f aca="false">J3468*K3468</f>
        <v>133.62</v>
      </c>
      <c r="M3468" s="43" t="n">
        <f aca="false">H3468*16.71*(1+'Chart of Accounts'!$E$67)</f>
        <v>75.1924935</v>
      </c>
    </row>
    <row r="3469" customFormat="false" ht="15" hidden="false" customHeight="false" outlineLevel="0" collapsed="false">
      <c r="B3469" s="7" t="s">
        <v>3966</v>
      </c>
      <c r="C3469" s="39" t="n">
        <v>45830</v>
      </c>
      <c r="D3469" s="7" t="s">
        <v>391</v>
      </c>
      <c r="E3469" s="7" t="s">
        <v>156</v>
      </c>
      <c r="F3469" s="7" t="s">
        <v>222</v>
      </c>
      <c r="G3469" s="7" t="s">
        <v>505</v>
      </c>
      <c r="H3469" s="6" t="n">
        <v>3.63</v>
      </c>
      <c r="I3469" s="6" t="n">
        <v>0</v>
      </c>
      <c r="J3469" s="40" t="n">
        <f aca="false">H3469-I3469</f>
        <v>3.63</v>
      </c>
      <c r="K3469" s="41" t="n">
        <v>34</v>
      </c>
      <c r="L3469" s="42" t="n">
        <f aca="false">J3469*K3469</f>
        <v>123.42</v>
      </c>
      <c r="M3469" s="43" t="n">
        <f aca="false">H3469*17.84*(1+'Chart of Accounts'!$E$67)</f>
        <v>74.149284</v>
      </c>
    </row>
    <row r="3470" customFormat="false" ht="15" hidden="false" customHeight="false" outlineLevel="0" collapsed="false">
      <c r="B3470" s="7" t="s">
        <v>3967</v>
      </c>
      <c r="C3470" s="39" t="n">
        <v>45830</v>
      </c>
      <c r="D3470" s="7" t="s">
        <v>395</v>
      </c>
      <c r="E3470" s="7" t="s">
        <v>156</v>
      </c>
      <c r="F3470" s="7" t="s">
        <v>242</v>
      </c>
      <c r="G3470" s="7" t="s">
        <v>505</v>
      </c>
      <c r="H3470" s="6" t="n">
        <v>4.03</v>
      </c>
      <c r="I3470" s="6" t="n">
        <v>0</v>
      </c>
      <c r="J3470" s="40" t="n">
        <f aca="false">H3470-I3470</f>
        <v>4.03</v>
      </c>
      <c r="K3470" s="41" t="n">
        <v>34</v>
      </c>
      <c r="L3470" s="42" t="n">
        <f aca="false">J3470*K3470</f>
        <v>137.02</v>
      </c>
      <c r="M3470" s="43" t="n">
        <f aca="false">H3470*17.99*(1+'Chart of Accounts'!$E$67)</f>
        <v>83.0121565</v>
      </c>
    </row>
    <row r="3471" customFormat="false" ht="15" hidden="false" customHeight="false" outlineLevel="0" collapsed="false">
      <c r="B3471" s="7" t="s">
        <v>3968</v>
      </c>
      <c r="C3471" s="39" t="n">
        <v>45830</v>
      </c>
      <c r="D3471" s="7" t="s">
        <v>401</v>
      </c>
      <c r="E3471" s="7" t="s">
        <v>156</v>
      </c>
      <c r="F3471" s="7" t="s">
        <v>254</v>
      </c>
      <c r="G3471" s="7" t="s">
        <v>505</v>
      </c>
      <c r="H3471" s="6" t="n">
        <v>4.03</v>
      </c>
      <c r="I3471" s="6" t="n">
        <v>0</v>
      </c>
      <c r="J3471" s="40" t="n">
        <f aca="false">H3471-I3471</f>
        <v>4.03</v>
      </c>
      <c r="K3471" s="41" t="n">
        <v>34</v>
      </c>
      <c r="L3471" s="42" t="n">
        <f aca="false">J3471*K3471</f>
        <v>137.02</v>
      </c>
      <c r="M3471" s="43" t="n">
        <f aca="false">H3471*17.1*(1+'Chart of Accounts'!$E$67)</f>
        <v>78.905385</v>
      </c>
    </row>
    <row r="3472" customFormat="false" ht="15" hidden="false" customHeight="false" outlineLevel="0" collapsed="false">
      <c r="B3472" s="7" t="s">
        <v>3969</v>
      </c>
      <c r="C3472" s="39" t="n">
        <v>45831</v>
      </c>
      <c r="D3472" s="7" t="s">
        <v>280</v>
      </c>
      <c r="E3472" s="7" t="s">
        <v>157</v>
      </c>
      <c r="F3472" s="7" t="s">
        <v>187</v>
      </c>
      <c r="G3472" s="7" t="s">
        <v>502</v>
      </c>
      <c r="H3472" s="6" t="n">
        <v>1</v>
      </c>
      <c r="I3472" s="6" t="n">
        <v>0</v>
      </c>
      <c r="J3472" s="40" t="n">
        <f aca="false">H3472-I3472</f>
        <v>1</v>
      </c>
      <c r="K3472" s="41" t="n">
        <v>165</v>
      </c>
      <c r="L3472" s="42" t="n">
        <f aca="false">J3472*K3472</f>
        <v>165</v>
      </c>
      <c r="M3472" s="43" t="n">
        <f aca="false">H3472*66.48*(1+'Chart of Accounts'!$E$67)</f>
        <v>76.1196</v>
      </c>
    </row>
    <row r="3473" customFormat="false" ht="15" hidden="false" customHeight="false" outlineLevel="0" collapsed="false">
      <c r="B3473" s="7" t="s">
        <v>3970</v>
      </c>
      <c r="C3473" s="39" t="n">
        <v>45831</v>
      </c>
      <c r="D3473" s="7" t="s">
        <v>288</v>
      </c>
      <c r="E3473" s="7" t="s">
        <v>156</v>
      </c>
      <c r="F3473" s="7" t="s">
        <v>246</v>
      </c>
      <c r="G3473" s="7" t="s">
        <v>505</v>
      </c>
      <c r="H3473" s="6" t="n">
        <v>3.97</v>
      </c>
      <c r="I3473" s="6" t="n">
        <v>0</v>
      </c>
      <c r="J3473" s="40" t="n">
        <f aca="false">H3473-I3473</f>
        <v>3.97</v>
      </c>
      <c r="K3473" s="41" t="n">
        <v>34</v>
      </c>
      <c r="L3473" s="42" t="n">
        <f aca="false">J3473*K3473</f>
        <v>134.98</v>
      </c>
      <c r="M3473" s="43" t="n">
        <f aca="false">H3473*16.48*(1+'Chart of Accounts'!$E$67)</f>
        <v>74.912312</v>
      </c>
    </row>
    <row r="3474" customFormat="false" ht="15" hidden="false" customHeight="false" outlineLevel="0" collapsed="false">
      <c r="B3474" s="7" t="s">
        <v>3971</v>
      </c>
      <c r="C3474" s="39" t="n">
        <v>45831</v>
      </c>
      <c r="D3474" s="7" t="s">
        <v>291</v>
      </c>
      <c r="E3474" s="7" t="s">
        <v>154</v>
      </c>
      <c r="F3474" s="7" t="s">
        <v>194</v>
      </c>
      <c r="G3474" s="7" t="s">
        <v>505</v>
      </c>
      <c r="H3474" s="6" t="n">
        <v>4.24</v>
      </c>
      <c r="I3474" s="6" t="n">
        <v>0.127</v>
      </c>
      <c r="J3474" s="40" t="n">
        <f aca="false">H3474-I3474</f>
        <v>4.113</v>
      </c>
      <c r="K3474" s="41" t="n">
        <v>26.5</v>
      </c>
      <c r="L3474" s="42" t="n">
        <f aca="false">J3474*K3474</f>
        <v>108.9945</v>
      </c>
      <c r="M3474" s="43" t="n">
        <f aca="false">H3474*16*(1+'Chart of Accounts'!$E$67)</f>
        <v>77.6768</v>
      </c>
    </row>
    <row r="3475" customFormat="false" ht="15" hidden="false" customHeight="false" outlineLevel="0" collapsed="false">
      <c r="B3475" s="7" t="s">
        <v>3972</v>
      </c>
      <c r="C3475" s="39" t="n">
        <v>45831</v>
      </c>
      <c r="D3475" s="7" t="s">
        <v>297</v>
      </c>
      <c r="E3475" s="7" t="s">
        <v>156</v>
      </c>
      <c r="F3475" s="7" t="s">
        <v>201</v>
      </c>
      <c r="G3475" s="7" t="s">
        <v>505</v>
      </c>
      <c r="H3475" s="6" t="n">
        <v>3.07</v>
      </c>
      <c r="I3475" s="6" t="n">
        <v>0</v>
      </c>
      <c r="J3475" s="40" t="n">
        <f aca="false">H3475-I3475</f>
        <v>3.07</v>
      </c>
      <c r="K3475" s="41" t="n">
        <v>34</v>
      </c>
      <c r="L3475" s="42" t="n">
        <f aca="false">J3475*K3475</f>
        <v>104.38</v>
      </c>
      <c r="M3475" s="43" t="n">
        <f aca="false">H3475*15.19*(1+'Chart of Accounts'!$E$67)</f>
        <v>53.3951285</v>
      </c>
    </row>
    <row r="3476" customFormat="false" ht="15" hidden="false" customHeight="false" outlineLevel="0" collapsed="false">
      <c r="B3476" s="7" t="s">
        <v>3973</v>
      </c>
      <c r="C3476" s="39" t="n">
        <v>45831</v>
      </c>
      <c r="D3476" s="7" t="s">
        <v>305</v>
      </c>
      <c r="E3476" s="7" t="s">
        <v>154</v>
      </c>
      <c r="F3476" s="7" t="s">
        <v>205</v>
      </c>
      <c r="G3476" s="7" t="s">
        <v>505</v>
      </c>
      <c r="H3476" s="6" t="n">
        <v>3.68</v>
      </c>
      <c r="I3476" s="6" t="n">
        <v>0</v>
      </c>
      <c r="J3476" s="40" t="n">
        <f aca="false">H3476-I3476</f>
        <v>3.68</v>
      </c>
      <c r="K3476" s="41" t="n">
        <v>26.5</v>
      </c>
      <c r="L3476" s="42" t="n">
        <f aca="false">J3476*K3476</f>
        <v>97.52</v>
      </c>
      <c r="M3476" s="43" t="n">
        <f aca="false">H3476*16.36*(1+'Chart of Accounts'!$E$67)</f>
        <v>68.934496</v>
      </c>
    </row>
    <row r="3477" customFormat="false" ht="15" hidden="false" customHeight="false" outlineLevel="0" collapsed="false">
      <c r="B3477" s="7" t="s">
        <v>3974</v>
      </c>
      <c r="C3477" s="39" t="n">
        <v>45831</v>
      </c>
      <c r="D3477" s="7" t="s">
        <v>307</v>
      </c>
      <c r="E3477" s="7" t="s">
        <v>157</v>
      </c>
      <c r="F3477" s="7" t="s">
        <v>264</v>
      </c>
      <c r="G3477" s="7" t="s">
        <v>502</v>
      </c>
      <c r="H3477" s="6" t="n">
        <v>0.97</v>
      </c>
      <c r="I3477" s="6" t="n">
        <v>0</v>
      </c>
      <c r="J3477" s="40" t="n">
        <f aca="false">H3477-I3477</f>
        <v>0.97</v>
      </c>
      <c r="K3477" s="41" t="n">
        <v>165</v>
      </c>
      <c r="L3477" s="42" t="n">
        <f aca="false">J3477*K3477</f>
        <v>160.05</v>
      </c>
      <c r="M3477" s="43" t="n">
        <f aca="false">H3477*55.55*(1+'Chart of Accounts'!$E$67)</f>
        <v>61.6966075</v>
      </c>
    </row>
    <row r="3478" customFormat="false" ht="15" hidden="false" customHeight="false" outlineLevel="0" collapsed="false">
      <c r="B3478" s="7" t="s">
        <v>3975</v>
      </c>
      <c r="C3478" s="39" t="n">
        <v>45831</v>
      </c>
      <c r="D3478" s="7" t="s">
        <v>309</v>
      </c>
      <c r="E3478" s="7" t="s">
        <v>159</v>
      </c>
      <c r="F3478" s="7" t="s">
        <v>252</v>
      </c>
      <c r="G3478" s="7" t="s">
        <v>502</v>
      </c>
      <c r="H3478" s="6" t="n">
        <v>0.98</v>
      </c>
      <c r="I3478" s="6" t="n">
        <v>0</v>
      </c>
      <c r="J3478" s="40" t="n">
        <f aca="false">H3478-I3478</f>
        <v>0.98</v>
      </c>
      <c r="K3478" s="41" t="n">
        <v>135</v>
      </c>
      <c r="L3478" s="42" t="n">
        <f aca="false">J3478*K3478</f>
        <v>132.3</v>
      </c>
      <c r="M3478" s="43" t="n">
        <f aca="false">H3478*57.54*(1+'Chart of Accounts'!$E$67)</f>
        <v>64.565634</v>
      </c>
    </row>
    <row r="3479" customFormat="false" ht="15" hidden="false" customHeight="false" outlineLevel="0" collapsed="false">
      <c r="B3479" s="7" t="s">
        <v>3976</v>
      </c>
      <c r="C3479" s="39" t="n">
        <v>45831</v>
      </c>
      <c r="D3479" s="7" t="s">
        <v>311</v>
      </c>
      <c r="E3479" s="7" t="s">
        <v>154</v>
      </c>
      <c r="F3479" s="7" t="s">
        <v>196</v>
      </c>
      <c r="G3479" s="7" t="s">
        <v>505</v>
      </c>
      <c r="H3479" s="6" t="n">
        <v>3.13</v>
      </c>
      <c r="I3479" s="6" t="n">
        <v>0.094</v>
      </c>
      <c r="J3479" s="40" t="n">
        <f aca="false">H3479-I3479</f>
        <v>3.036</v>
      </c>
      <c r="K3479" s="41" t="n">
        <v>26.5</v>
      </c>
      <c r="L3479" s="42" t="n">
        <f aca="false">J3479*K3479</f>
        <v>80.454</v>
      </c>
      <c r="M3479" s="43" t="n">
        <f aca="false">H3479*15.05*(1+'Chart of Accounts'!$E$67)</f>
        <v>53.9369425</v>
      </c>
    </row>
    <row r="3480" customFormat="false" ht="15" hidden="false" customHeight="false" outlineLevel="0" collapsed="false">
      <c r="B3480" s="7" t="s">
        <v>3977</v>
      </c>
      <c r="C3480" s="39" t="n">
        <v>45831</v>
      </c>
      <c r="D3480" s="7" t="s">
        <v>313</v>
      </c>
      <c r="E3480" s="7" t="s">
        <v>156</v>
      </c>
      <c r="F3480" s="7" t="s">
        <v>184</v>
      </c>
      <c r="G3480" s="7" t="s">
        <v>505</v>
      </c>
      <c r="H3480" s="6" t="n">
        <v>4.33</v>
      </c>
      <c r="I3480" s="6" t="n">
        <v>0</v>
      </c>
      <c r="J3480" s="40" t="n">
        <f aca="false">H3480-I3480</f>
        <v>4.33</v>
      </c>
      <c r="K3480" s="41" t="n">
        <v>34</v>
      </c>
      <c r="L3480" s="42" t="n">
        <f aca="false">J3480*K3480</f>
        <v>147.22</v>
      </c>
      <c r="M3480" s="43" t="n">
        <f aca="false">H3480*17.34*(1+'Chart of Accounts'!$E$67)</f>
        <v>85.969119</v>
      </c>
    </row>
    <row r="3481" customFormat="false" ht="15" hidden="false" customHeight="false" outlineLevel="0" collapsed="false">
      <c r="B3481" s="7" t="s">
        <v>3978</v>
      </c>
      <c r="C3481" s="39" t="n">
        <v>45831</v>
      </c>
      <c r="D3481" s="7" t="s">
        <v>317</v>
      </c>
      <c r="E3481" s="7" t="s">
        <v>156</v>
      </c>
      <c r="F3481" s="7" t="s">
        <v>207</v>
      </c>
      <c r="G3481" s="7" t="s">
        <v>505</v>
      </c>
      <c r="H3481" s="6" t="n">
        <v>3.04</v>
      </c>
      <c r="I3481" s="6" t="n">
        <v>0</v>
      </c>
      <c r="J3481" s="40" t="n">
        <f aca="false">H3481-I3481</f>
        <v>3.04</v>
      </c>
      <c r="K3481" s="41" t="n">
        <v>34</v>
      </c>
      <c r="L3481" s="42" t="n">
        <f aca="false">J3481*K3481</f>
        <v>103.36</v>
      </c>
      <c r="M3481" s="43" t="n">
        <f aca="false">H3481*16.65*(1+'Chart of Accounts'!$E$67)</f>
        <v>57.95532</v>
      </c>
    </row>
    <row r="3482" customFormat="false" ht="15" hidden="false" customHeight="false" outlineLevel="0" collapsed="false">
      <c r="B3482" s="7" t="s">
        <v>3979</v>
      </c>
      <c r="C3482" s="39" t="n">
        <v>45831</v>
      </c>
      <c r="D3482" s="7" t="s">
        <v>321</v>
      </c>
      <c r="E3482" s="7" t="s">
        <v>154</v>
      </c>
      <c r="F3482" s="7" t="s">
        <v>218</v>
      </c>
      <c r="G3482" s="7" t="s">
        <v>505</v>
      </c>
      <c r="H3482" s="6" t="n">
        <v>4.03</v>
      </c>
      <c r="I3482" s="6" t="n">
        <v>0</v>
      </c>
      <c r="J3482" s="40" t="n">
        <f aca="false">H3482-I3482</f>
        <v>4.03</v>
      </c>
      <c r="K3482" s="41" t="n">
        <v>26.5</v>
      </c>
      <c r="L3482" s="42" t="n">
        <f aca="false">J3482*K3482</f>
        <v>106.795</v>
      </c>
      <c r="M3482" s="43" t="n">
        <f aca="false">H3482*16.19*(1+'Chart of Accounts'!$E$67)</f>
        <v>74.7063265</v>
      </c>
    </row>
    <row r="3483" customFormat="false" ht="15" hidden="false" customHeight="false" outlineLevel="0" collapsed="false">
      <c r="B3483" s="7" t="s">
        <v>3980</v>
      </c>
      <c r="C3483" s="39" t="n">
        <v>45831</v>
      </c>
      <c r="D3483" s="7" t="s">
        <v>325</v>
      </c>
      <c r="E3483" s="7" t="s">
        <v>154</v>
      </c>
      <c r="F3483" s="7" t="s">
        <v>212</v>
      </c>
      <c r="G3483" s="7" t="s">
        <v>505</v>
      </c>
      <c r="H3483" s="6" t="n">
        <v>2.73</v>
      </c>
      <c r="I3483" s="6" t="n">
        <v>0</v>
      </c>
      <c r="J3483" s="40" t="n">
        <f aca="false">H3483-I3483</f>
        <v>2.73</v>
      </c>
      <c r="K3483" s="41" t="n">
        <v>26.5</v>
      </c>
      <c r="L3483" s="42" t="n">
        <f aca="false">J3483*K3483</f>
        <v>72.345</v>
      </c>
      <c r="M3483" s="43" t="n">
        <f aca="false">H3483*16.71*(1+'Chart of Accounts'!$E$67)</f>
        <v>52.2329535</v>
      </c>
    </row>
    <row r="3484" customFormat="false" ht="15" hidden="false" customHeight="false" outlineLevel="0" collapsed="false">
      <c r="B3484" s="7" t="s">
        <v>3981</v>
      </c>
      <c r="C3484" s="39" t="n">
        <v>45831</v>
      </c>
      <c r="D3484" s="7" t="s">
        <v>329</v>
      </c>
      <c r="E3484" s="7" t="s">
        <v>156</v>
      </c>
      <c r="F3484" s="7" t="s">
        <v>220</v>
      </c>
      <c r="G3484" s="7" t="s">
        <v>505</v>
      </c>
      <c r="H3484" s="6" t="n">
        <v>4.35</v>
      </c>
      <c r="I3484" s="6" t="n">
        <v>0</v>
      </c>
      <c r="J3484" s="40" t="n">
        <f aca="false">H3484-I3484</f>
        <v>4.35</v>
      </c>
      <c r="K3484" s="41" t="n">
        <v>34</v>
      </c>
      <c r="L3484" s="42" t="n">
        <f aca="false">J3484*K3484</f>
        <v>147.9</v>
      </c>
      <c r="M3484" s="43" t="n">
        <f aca="false">H3484*16.43*(1+'Chart of Accounts'!$E$67)</f>
        <v>81.8337225</v>
      </c>
    </row>
    <row r="3485" customFormat="false" ht="15" hidden="false" customHeight="false" outlineLevel="0" collapsed="false">
      <c r="B3485" s="7" t="s">
        <v>3982</v>
      </c>
      <c r="C3485" s="39" t="n">
        <v>45831</v>
      </c>
      <c r="D3485" s="7" t="s">
        <v>331</v>
      </c>
      <c r="E3485" s="7" t="s">
        <v>156</v>
      </c>
      <c r="F3485" s="7" t="s">
        <v>224</v>
      </c>
      <c r="G3485" s="7" t="s">
        <v>505</v>
      </c>
      <c r="H3485" s="6" t="n">
        <v>3.75</v>
      </c>
      <c r="I3485" s="6" t="n">
        <v>0</v>
      </c>
      <c r="J3485" s="40" t="n">
        <f aca="false">H3485-I3485</f>
        <v>3.75</v>
      </c>
      <c r="K3485" s="41" t="n">
        <v>34</v>
      </c>
      <c r="L3485" s="42" t="n">
        <f aca="false">J3485*K3485</f>
        <v>127.5</v>
      </c>
      <c r="M3485" s="43" t="n">
        <f aca="false">H3485*14.93*(1+'Chart of Accounts'!$E$67)</f>
        <v>64.1056875</v>
      </c>
    </row>
    <row r="3486" customFormat="false" ht="15" hidden="false" customHeight="false" outlineLevel="0" collapsed="false">
      <c r="B3486" s="7" t="s">
        <v>3983</v>
      </c>
      <c r="C3486" s="39" t="n">
        <v>45831</v>
      </c>
      <c r="D3486" s="7" t="s">
        <v>335</v>
      </c>
      <c r="E3486" s="7" t="s">
        <v>154</v>
      </c>
      <c r="F3486" s="7" t="s">
        <v>177</v>
      </c>
      <c r="G3486" s="7" t="s">
        <v>505</v>
      </c>
      <c r="H3486" s="6" t="n">
        <v>3.92</v>
      </c>
      <c r="I3486" s="6" t="n">
        <v>0</v>
      </c>
      <c r="J3486" s="40" t="n">
        <f aca="false">H3486-I3486</f>
        <v>3.92</v>
      </c>
      <c r="K3486" s="41" t="n">
        <v>26.5</v>
      </c>
      <c r="L3486" s="42" t="n">
        <f aca="false">J3486*K3486</f>
        <v>103.88</v>
      </c>
      <c r="M3486" s="43" t="n">
        <f aca="false">H3486*14.56*(1+'Chart of Accounts'!$E$67)</f>
        <v>65.351104</v>
      </c>
    </row>
    <row r="3487" customFormat="false" ht="15" hidden="false" customHeight="false" outlineLevel="0" collapsed="false">
      <c r="B3487" s="7" t="s">
        <v>3984</v>
      </c>
      <c r="C3487" s="39" t="n">
        <v>45831</v>
      </c>
      <c r="D3487" s="7" t="s">
        <v>337</v>
      </c>
      <c r="E3487" s="7" t="s">
        <v>154</v>
      </c>
      <c r="F3487" s="7" t="s">
        <v>232</v>
      </c>
      <c r="G3487" s="7" t="s">
        <v>505</v>
      </c>
      <c r="H3487" s="6" t="n">
        <v>2.7</v>
      </c>
      <c r="I3487" s="6" t="n">
        <v>0</v>
      </c>
      <c r="J3487" s="40" t="n">
        <f aca="false">H3487-I3487</f>
        <v>2.7</v>
      </c>
      <c r="K3487" s="41" t="n">
        <v>26.5</v>
      </c>
      <c r="L3487" s="42" t="n">
        <f aca="false">J3487*K3487</f>
        <v>71.55</v>
      </c>
      <c r="M3487" s="43" t="n">
        <f aca="false">H3487*16.17*(1+'Chart of Accounts'!$E$67)</f>
        <v>49.989555</v>
      </c>
    </row>
    <row r="3488" customFormat="false" ht="15" hidden="false" customHeight="false" outlineLevel="0" collapsed="false">
      <c r="B3488" s="7" t="s">
        <v>3985</v>
      </c>
      <c r="C3488" s="39" t="n">
        <v>45831</v>
      </c>
      <c r="D3488" s="7" t="s">
        <v>339</v>
      </c>
      <c r="E3488" s="7" t="s">
        <v>154</v>
      </c>
      <c r="F3488" s="7" t="s">
        <v>242</v>
      </c>
      <c r="G3488" s="7" t="s">
        <v>505</v>
      </c>
      <c r="H3488" s="6" t="n">
        <v>3.44</v>
      </c>
      <c r="I3488" s="6" t="n">
        <v>0</v>
      </c>
      <c r="J3488" s="40" t="n">
        <f aca="false">H3488-I3488</f>
        <v>3.44</v>
      </c>
      <c r="K3488" s="41" t="n">
        <v>26.5</v>
      </c>
      <c r="L3488" s="42" t="n">
        <f aca="false">J3488*K3488</f>
        <v>91.16</v>
      </c>
      <c r="M3488" s="43" t="n">
        <f aca="false">H3488*17.99*(1+'Chart of Accounts'!$E$67)</f>
        <v>70.859012</v>
      </c>
    </row>
    <row r="3489" customFormat="false" ht="15" hidden="false" customHeight="false" outlineLevel="0" collapsed="false">
      <c r="B3489" s="7" t="s">
        <v>3986</v>
      </c>
      <c r="C3489" s="39" t="n">
        <v>45831</v>
      </c>
      <c r="D3489" s="7" t="s">
        <v>341</v>
      </c>
      <c r="E3489" s="7" t="s">
        <v>156</v>
      </c>
      <c r="F3489" s="7" t="s">
        <v>222</v>
      </c>
      <c r="G3489" s="7" t="s">
        <v>505</v>
      </c>
      <c r="H3489" s="6" t="n">
        <v>3.17</v>
      </c>
      <c r="I3489" s="6" t="n">
        <v>0</v>
      </c>
      <c r="J3489" s="40" t="n">
        <f aca="false">H3489-I3489</f>
        <v>3.17</v>
      </c>
      <c r="K3489" s="41" t="n">
        <v>34</v>
      </c>
      <c r="L3489" s="42" t="n">
        <f aca="false">J3489*K3489</f>
        <v>107.78</v>
      </c>
      <c r="M3489" s="43" t="n">
        <f aca="false">H3489*17.84*(1+'Chart of Accounts'!$E$67)</f>
        <v>64.752956</v>
      </c>
    </row>
    <row r="3490" customFormat="false" ht="15" hidden="false" customHeight="false" outlineLevel="0" collapsed="false">
      <c r="B3490" s="7" t="s">
        <v>3987</v>
      </c>
      <c r="C3490" s="39" t="n">
        <v>45831</v>
      </c>
      <c r="D3490" s="7" t="s">
        <v>343</v>
      </c>
      <c r="E3490" s="7" t="s">
        <v>154</v>
      </c>
      <c r="F3490" s="7" t="s">
        <v>212</v>
      </c>
      <c r="G3490" s="7" t="s">
        <v>505</v>
      </c>
      <c r="H3490" s="6" t="n">
        <v>3.78</v>
      </c>
      <c r="I3490" s="6" t="n">
        <v>0.113</v>
      </c>
      <c r="J3490" s="40" t="n">
        <f aca="false">H3490-I3490</f>
        <v>3.667</v>
      </c>
      <c r="K3490" s="41" t="n">
        <v>26.5</v>
      </c>
      <c r="L3490" s="42" t="n">
        <f aca="false">J3490*K3490</f>
        <v>97.1755</v>
      </c>
      <c r="M3490" s="43" t="n">
        <f aca="false">H3490*16.71*(1+'Chart of Accounts'!$E$67)</f>
        <v>72.322551</v>
      </c>
    </row>
    <row r="3491" customFormat="false" ht="15" hidden="false" customHeight="false" outlineLevel="0" collapsed="false">
      <c r="B3491" s="7" t="s">
        <v>3988</v>
      </c>
      <c r="C3491" s="39" t="n">
        <v>45831</v>
      </c>
      <c r="D3491" s="7" t="s">
        <v>351</v>
      </c>
      <c r="E3491" s="7" t="s">
        <v>154</v>
      </c>
      <c r="F3491" s="7" t="s">
        <v>201</v>
      </c>
      <c r="G3491" s="7" t="s">
        <v>505</v>
      </c>
      <c r="H3491" s="6" t="n">
        <v>2.87</v>
      </c>
      <c r="I3491" s="6" t="n">
        <v>0</v>
      </c>
      <c r="J3491" s="40" t="n">
        <f aca="false">H3491-I3491</f>
        <v>2.87</v>
      </c>
      <c r="K3491" s="41" t="n">
        <v>26.5</v>
      </c>
      <c r="L3491" s="42" t="n">
        <f aca="false">J3491*K3491</f>
        <v>76.055</v>
      </c>
      <c r="M3491" s="43" t="n">
        <f aca="false">H3491*15.19*(1+'Chart of Accounts'!$E$67)</f>
        <v>49.9166185</v>
      </c>
    </row>
    <row r="3492" customFormat="false" ht="15" hidden="false" customHeight="false" outlineLevel="0" collapsed="false">
      <c r="B3492" s="7" t="s">
        <v>3989</v>
      </c>
      <c r="C3492" s="39" t="n">
        <v>45831</v>
      </c>
      <c r="D3492" s="7" t="s">
        <v>353</v>
      </c>
      <c r="E3492" s="7" t="s">
        <v>154</v>
      </c>
      <c r="F3492" s="7" t="s">
        <v>254</v>
      </c>
      <c r="G3492" s="7" t="s">
        <v>505</v>
      </c>
      <c r="H3492" s="6" t="n">
        <v>3.39</v>
      </c>
      <c r="I3492" s="6" t="n">
        <v>0</v>
      </c>
      <c r="J3492" s="40" t="n">
        <f aca="false">H3492-I3492</f>
        <v>3.39</v>
      </c>
      <c r="K3492" s="41" t="n">
        <v>26.5</v>
      </c>
      <c r="L3492" s="42" t="n">
        <f aca="false">J3492*K3492</f>
        <v>89.835</v>
      </c>
      <c r="M3492" s="43" t="n">
        <f aca="false">H3492*17.1*(1+'Chart of Accounts'!$E$67)</f>
        <v>66.374505</v>
      </c>
    </row>
    <row r="3493" customFormat="false" ht="15" hidden="false" customHeight="false" outlineLevel="0" collapsed="false">
      <c r="B3493" s="7" t="s">
        <v>3990</v>
      </c>
      <c r="C3493" s="39" t="n">
        <v>45831</v>
      </c>
      <c r="D3493" s="7" t="s">
        <v>355</v>
      </c>
      <c r="E3493" s="7" t="s">
        <v>154</v>
      </c>
      <c r="F3493" s="7" t="s">
        <v>201</v>
      </c>
      <c r="G3493" s="7" t="s">
        <v>505</v>
      </c>
      <c r="H3493" s="6" t="n">
        <v>3.26</v>
      </c>
      <c r="I3493" s="6" t="n">
        <v>0.098</v>
      </c>
      <c r="J3493" s="40" t="n">
        <f aca="false">H3493-I3493</f>
        <v>3.162</v>
      </c>
      <c r="K3493" s="41" t="n">
        <v>26.5</v>
      </c>
      <c r="L3493" s="42" t="n">
        <f aca="false">J3493*K3493</f>
        <v>83.793</v>
      </c>
      <c r="M3493" s="43" t="n">
        <f aca="false">H3493*15.19*(1+'Chart of Accounts'!$E$67)</f>
        <v>56.699713</v>
      </c>
    </row>
    <row r="3494" customFormat="false" ht="15" hidden="false" customHeight="false" outlineLevel="0" collapsed="false">
      <c r="B3494" s="7" t="s">
        <v>3991</v>
      </c>
      <c r="C3494" s="39" t="n">
        <v>45831</v>
      </c>
      <c r="D3494" s="7" t="s">
        <v>357</v>
      </c>
      <c r="E3494" s="7" t="s">
        <v>154</v>
      </c>
      <c r="F3494" s="7" t="s">
        <v>207</v>
      </c>
      <c r="G3494" s="7" t="s">
        <v>505</v>
      </c>
      <c r="H3494" s="6" t="n">
        <v>3.23</v>
      </c>
      <c r="I3494" s="6" t="n">
        <v>0</v>
      </c>
      <c r="J3494" s="40" t="n">
        <f aca="false">H3494-I3494</f>
        <v>3.23</v>
      </c>
      <c r="K3494" s="41" t="n">
        <v>26.5</v>
      </c>
      <c r="L3494" s="42" t="n">
        <f aca="false">J3494*K3494</f>
        <v>85.595</v>
      </c>
      <c r="M3494" s="43" t="n">
        <f aca="false">H3494*16.65*(1+'Chart of Accounts'!$E$67)</f>
        <v>61.5775275</v>
      </c>
    </row>
    <row r="3495" customFormat="false" ht="15" hidden="false" customHeight="false" outlineLevel="0" collapsed="false">
      <c r="B3495" s="7" t="s">
        <v>3992</v>
      </c>
      <c r="C3495" s="39" t="n">
        <v>45831</v>
      </c>
      <c r="D3495" s="7" t="s">
        <v>359</v>
      </c>
      <c r="E3495" s="7" t="s">
        <v>156</v>
      </c>
      <c r="F3495" s="7" t="s">
        <v>212</v>
      </c>
      <c r="G3495" s="7" t="s">
        <v>505</v>
      </c>
      <c r="H3495" s="6" t="n">
        <v>3.97</v>
      </c>
      <c r="I3495" s="6" t="n">
        <v>0</v>
      </c>
      <c r="J3495" s="40" t="n">
        <f aca="false">H3495-I3495</f>
        <v>3.97</v>
      </c>
      <c r="K3495" s="41" t="n">
        <v>34</v>
      </c>
      <c r="L3495" s="42" t="n">
        <f aca="false">J3495*K3495</f>
        <v>134.98</v>
      </c>
      <c r="M3495" s="43" t="n">
        <f aca="false">H3495*16.71*(1+'Chart of Accounts'!$E$67)</f>
        <v>75.9578115</v>
      </c>
    </row>
    <row r="3496" customFormat="false" ht="15" hidden="false" customHeight="false" outlineLevel="0" collapsed="false">
      <c r="B3496" s="7" t="s">
        <v>3993</v>
      </c>
      <c r="C3496" s="39" t="n">
        <v>45831</v>
      </c>
      <c r="D3496" s="7" t="s">
        <v>363</v>
      </c>
      <c r="E3496" s="7" t="s">
        <v>156</v>
      </c>
      <c r="F3496" s="7" t="s">
        <v>246</v>
      </c>
      <c r="G3496" s="7" t="s">
        <v>505</v>
      </c>
      <c r="H3496" s="6" t="n">
        <v>4.16</v>
      </c>
      <c r="I3496" s="6" t="n">
        <v>0</v>
      </c>
      <c r="J3496" s="40" t="n">
        <f aca="false">H3496-I3496</f>
        <v>4.16</v>
      </c>
      <c r="K3496" s="41" t="n">
        <v>34</v>
      </c>
      <c r="L3496" s="42" t="n">
        <f aca="false">J3496*K3496</f>
        <v>141.44</v>
      </c>
      <c r="M3496" s="43" t="n">
        <f aca="false">H3496*16.48*(1+'Chart of Accounts'!$E$67)</f>
        <v>78.497536</v>
      </c>
    </row>
    <row r="3497" customFormat="false" ht="15" hidden="false" customHeight="false" outlineLevel="0" collapsed="false">
      <c r="B3497" s="7" t="s">
        <v>3994</v>
      </c>
      <c r="C3497" s="39" t="n">
        <v>45831</v>
      </c>
      <c r="D3497" s="7" t="s">
        <v>365</v>
      </c>
      <c r="E3497" s="7" t="s">
        <v>154</v>
      </c>
      <c r="F3497" s="7" t="s">
        <v>194</v>
      </c>
      <c r="G3497" s="7" t="s">
        <v>505</v>
      </c>
      <c r="H3497" s="6" t="n">
        <v>3.63</v>
      </c>
      <c r="I3497" s="6" t="n">
        <v>0</v>
      </c>
      <c r="J3497" s="40" t="n">
        <f aca="false">H3497-I3497</f>
        <v>3.63</v>
      </c>
      <c r="K3497" s="41" t="n">
        <v>26.5</v>
      </c>
      <c r="L3497" s="42" t="n">
        <f aca="false">J3497*K3497</f>
        <v>96.195</v>
      </c>
      <c r="M3497" s="43" t="n">
        <f aca="false">H3497*16*(1+'Chart of Accounts'!$E$67)</f>
        <v>66.5016</v>
      </c>
    </row>
    <row r="3498" customFormat="false" ht="15" hidden="false" customHeight="false" outlineLevel="0" collapsed="false">
      <c r="B3498" s="7" t="s">
        <v>3995</v>
      </c>
      <c r="C3498" s="39" t="n">
        <v>45831</v>
      </c>
      <c r="D3498" s="7" t="s">
        <v>371</v>
      </c>
      <c r="E3498" s="7" t="s">
        <v>154</v>
      </c>
      <c r="F3498" s="7" t="s">
        <v>232</v>
      </c>
      <c r="G3498" s="7" t="s">
        <v>505</v>
      </c>
      <c r="H3498" s="6" t="n">
        <v>4.79</v>
      </c>
      <c r="I3498" s="6" t="n">
        <v>0</v>
      </c>
      <c r="J3498" s="40" t="n">
        <f aca="false">H3498-I3498</f>
        <v>4.79</v>
      </c>
      <c r="K3498" s="41" t="n">
        <v>26.5</v>
      </c>
      <c r="L3498" s="42" t="n">
        <f aca="false">J3498*K3498</f>
        <v>126.935</v>
      </c>
      <c r="M3498" s="43" t="n">
        <f aca="false">H3498*16.17*(1+'Chart of Accounts'!$E$67)</f>
        <v>88.6851735</v>
      </c>
    </row>
    <row r="3499" customFormat="false" ht="15" hidden="false" customHeight="false" outlineLevel="0" collapsed="false">
      <c r="B3499" s="7" t="s">
        <v>3996</v>
      </c>
      <c r="C3499" s="39" t="n">
        <v>45831</v>
      </c>
      <c r="D3499" s="7" t="s">
        <v>375</v>
      </c>
      <c r="E3499" s="7" t="s">
        <v>156</v>
      </c>
      <c r="F3499" s="7" t="s">
        <v>196</v>
      </c>
      <c r="G3499" s="7" t="s">
        <v>505</v>
      </c>
      <c r="H3499" s="6" t="n">
        <v>2.82</v>
      </c>
      <c r="I3499" s="6" t="n">
        <v>0</v>
      </c>
      <c r="J3499" s="40" t="n">
        <f aca="false">H3499-I3499</f>
        <v>2.82</v>
      </c>
      <c r="K3499" s="41" t="n">
        <v>34</v>
      </c>
      <c r="L3499" s="42" t="n">
        <f aca="false">J3499*K3499</f>
        <v>95.88</v>
      </c>
      <c r="M3499" s="43" t="n">
        <f aca="false">H3499*15.05*(1+'Chart of Accounts'!$E$67)</f>
        <v>48.594945</v>
      </c>
    </row>
    <row r="3500" customFormat="false" ht="15" hidden="false" customHeight="false" outlineLevel="0" collapsed="false">
      <c r="B3500" s="7" t="s">
        <v>3997</v>
      </c>
      <c r="C3500" s="39" t="n">
        <v>45831</v>
      </c>
      <c r="D3500" s="7" t="s">
        <v>377</v>
      </c>
      <c r="E3500" s="7" t="s">
        <v>154</v>
      </c>
      <c r="F3500" s="7" t="s">
        <v>214</v>
      </c>
      <c r="G3500" s="7" t="s">
        <v>505</v>
      </c>
      <c r="H3500" s="6" t="n">
        <v>3.83</v>
      </c>
      <c r="I3500" s="6" t="n">
        <v>0</v>
      </c>
      <c r="J3500" s="40" t="n">
        <f aca="false">H3500-I3500</f>
        <v>3.83</v>
      </c>
      <c r="K3500" s="41" t="n">
        <v>26.5</v>
      </c>
      <c r="L3500" s="42" t="n">
        <f aca="false">J3500*K3500</f>
        <v>101.495</v>
      </c>
      <c r="M3500" s="43" t="n">
        <f aca="false">H3500*15.67*(1+'Chart of Accounts'!$E$67)</f>
        <v>68.7184345</v>
      </c>
    </row>
    <row r="3501" customFormat="false" ht="15" hidden="false" customHeight="false" outlineLevel="0" collapsed="false">
      <c r="B3501" s="7" t="s">
        <v>3998</v>
      </c>
      <c r="C3501" s="39" t="n">
        <v>45831</v>
      </c>
      <c r="D3501" s="7" t="s">
        <v>379</v>
      </c>
      <c r="E3501" s="7" t="s">
        <v>156</v>
      </c>
      <c r="F3501" s="7" t="s">
        <v>224</v>
      </c>
      <c r="G3501" s="7" t="s">
        <v>505</v>
      </c>
      <c r="H3501" s="6" t="n">
        <v>4.23</v>
      </c>
      <c r="I3501" s="6" t="n">
        <v>0</v>
      </c>
      <c r="J3501" s="40" t="n">
        <f aca="false">H3501-I3501</f>
        <v>4.23</v>
      </c>
      <c r="K3501" s="41" t="n">
        <v>34</v>
      </c>
      <c r="L3501" s="42" t="n">
        <f aca="false">J3501*K3501</f>
        <v>143.82</v>
      </c>
      <c r="M3501" s="43" t="n">
        <f aca="false">H3501*14.93*(1+'Chart of Accounts'!$E$67)</f>
        <v>72.3112155</v>
      </c>
    </row>
    <row r="3502" customFormat="false" ht="15" hidden="false" customHeight="false" outlineLevel="0" collapsed="false">
      <c r="B3502" s="7" t="s">
        <v>3999</v>
      </c>
      <c r="C3502" s="39" t="n">
        <v>45831</v>
      </c>
      <c r="D3502" s="7" t="s">
        <v>385</v>
      </c>
      <c r="E3502" s="7" t="s">
        <v>156</v>
      </c>
      <c r="F3502" s="7" t="s">
        <v>238</v>
      </c>
      <c r="G3502" s="7" t="s">
        <v>505</v>
      </c>
      <c r="H3502" s="6" t="n">
        <v>3.88</v>
      </c>
      <c r="I3502" s="6" t="n">
        <v>0</v>
      </c>
      <c r="J3502" s="40" t="n">
        <f aca="false">H3502-I3502</f>
        <v>3.88</v>
      </c>
      <c r="K3502" s="41" t="n">
        <v>34</v>
      </c>
      <c r="L3502" s="42" t="n">
        <f aca="false">J3502*K3502</f>
        <v>131.92</v>
      </c>
      <c r="M3502" s="43" t="n">
        <f aca="false">H3502*15.85*(1+'Chart of Accounts'!$E$67)</f>
        <v>70.41521</v>
      </c>
    </row>
    <row r="3503" customFormat="false" ht="15" hidden="false" customHeight="false" outlineLevel="0" collapsed="false">
      <c r="B3503" s="7" t="s">
        <v>4000</v>
      </c>
      <c r="C3503" s="39" t="n">
        <v>45831</v>
      </c>
      <c r="D3503" s="7" t="s">
        <v>389</v>
      </c>
      <c r="E3503" s="7" t="s">
        <v>154</v>
      </c>
      <c r="F3503" s="7" t="s">
        <v>246</v>
      </c>
      <c r="G3503" s="7" t="s">
        <v>505</v>
      </c>
      <c r="H3503" s="6" t="n">
        <v>3.62</v>
      </c>
      <c r="I3503" s="6" t="n">
        <v>0</v>
      </c>
      <c r="J3503" s="40" t="n">
        <f aca="false">H3503-I3503</f>
        <v>3.62</v>
      </c>
      <c r="K3503" s="41" t="n">
        <v>26.5</v>
      </c>
      <c r="L3503" s="42" t="n">
        <f aca="false">J3503*K3503</f>
        <v>95.93</v>
      </c>
      <c r="M3503" s="43" t="n">
        <f aca="false">H3503*16.48*(1+'Chart of Accounts'!$E$67)</f>
        <v>68.307952</v>
      </c>
    </row>
    <row r="3504" customFormat="false" ht="15" hidden="false" customHeight="false" outlineLevel="0" collapsed="false">
      <c r="B3504" s="7" t="s">
        <v>4001</v>
      </c>
      <c r="C3504" s="39" t="n">
        <v>45831</v>
      </c>
      <c r="D3504" s="7" t="s">
        <v>391</v>
      </c>
      <c r="E3504" s="7" t="s">
        <v>156</v>
      </c>
      <c r="F3504" s="7" t="s">
        <v>222</v>
      </c>
      <c r="G3504" s="7" t="s">
        <v>505</v>
      </c>
      <c r="H3504" s="6" t="n">
        <v>3.99</v>
      </c>
      <c r="I3504" s="6" t="n">
        <v>0</v>
      </c>
      <c r="J3504" s="40" t="n">
        <f aca="false">H3504-I3504</f>
        <v>3.99</v>
      </c>
      <c r="K3504" s="41" t="n">
        <v>34</v>
      </c>
      <c r="L3504" s="42" t="n">
        <f aca="false">J3504*K3504</f>
        <v>135.66</v>
      </c>
      <c r="M3504" s="43" t="n">
        <f aca="false">H3504*17.84*(1+'Chart of Accounts'!$E$67)</f>
        <v>81.502932</v>
      </c>
    </row>
    <row r="3505" customFormat="false" ht="15" hidden="false" customHeight="false" outlineLevel="0" collapsed="false">
      <c r="B3505" s="7" t="s">
        <v>4002</v>
      </c>
      <c r="C3505" s="39" t="n">
        <v>45831</v>
      </c>
      <c r="D3505" s="7" t="s">
        <v>395</v>
      </c>
      <c r="E3505" s="7" t="s">
        <v>156</v>
      </c>
      <c r="F3505" s="7" t="s">
        <v>242</v>
      </c>
      <c r="G3505" s="7" t="s">
        <v>505</v>
      </c>
      <c r="H3505" s="6" t="n">
        <v>3.71</v>
      </c>
      <c r="I3505" s="6" t="n">
        <v>0</v>
      </c>
      <c r="J3505" s="40" t="n">
        <f aca="false">H3505-I3505</f>
        <v>3.71</v>
      </c>
      <c r="K3505" s="41" t="n">
        <v>34</v>
      </c>
      <c r="L3505" s="42" t="n">
        <f aca="false">J3505*K3505</f>
        <v>126.14</v>
      </c>
      <c r="M3505" s="43" t="n">
        <f aca="false">H3505*17.99*(1+'Chart of Accounts'!$E$67)</f>
        <v>76.4206205</v>
      </c>
    </row>
    <row r="3506" customFormat="false" ht="15" hidden="false" customHeight="false" outlineLevel="0" collapsed="false">
      <c r="B3506" s="7" t="s">
        <v>4003</v>
      </c>
      <c r="C3506" s="39" t="n">
        <v>45831</v>
      </c>
      <c r="D3506" s="7" t="s">
        <v>399</v>
      </c>
      <c r="E3506" s="7" t="s">
        <v>154</v>
      </c>
      <c r="F3506" s="7" t="s">
        <v>196</v>
      </c>
      <c r="G3506" s="7" t="s">
        <v>505</v>
      </c>
      <c r="H3506" s="6" t="n">
        <v>3.06</v>
      </c>
      <c r="I3506" s="6" t="n">
        <v>0</v>
      </c>
      <c r="J3506" s="40" t="n">
        <f aca="false">H3506-I3506</f>
        <v>3.06</v>
      </c>
      <c r="K3506" s="41" t="n">
        <v>26.5</v>
      </c>
      <c r="L3506" s="42" t="n">
        <f aca="false">J3506*K3506</f>
        <v>81.09</v>
      </c>
      <c r="M3506" s="43" t="n">
        <f aca="false">H3506*15.05*(1+'Chart of Accounts'!$E$67)</f>
        <v>52.730685</v>
      </c>
    </row>
    <row r="3507" customFormat="false" ht="15" hidden="false" customHeight="false" outlineLevel="0" collapsed="false">
      <c r="B3507" s="7" t="s">
        <v>4004</v>
      </c>
      <c r="C3507" s="39" t="n">
        <v>45831</v>
      </c>
      <c r="D3507" s="7" t="s">
        <v>401</v>
      </c>
      <c r="E3507" s="7" t="s">
        <v>156</v>
      </c>
      <c r="F3507" s="7" t="s">
        <v>254</v>
      </c>
      <c r="G3507" s="7" t="s">
        <v>505</v>
      </c>
      <c r="H3507" s="6" t="n">
        <v>3.74</v>
      </c>
      <c r="I3507" s="6" t="n">
        <v>0</v>
      </c>
      <c r="J3507" s="40" t="n">
        <f aca="false">H3507-I3507</f>
        <v>3.74</v>
      </c>
      <c r="K3507" s="41" t="n">
        <v>34</v>
      </c>
      <c r="L3507" s="42" t="n">
        <f aca="false">J3507*K3507</f>
        <v>127.16</v>
      </c>
      <c r="M3507" s="43" t="n">
        <f aca="false">H3507*17.1*(1+'Chart of Accounts'!$E$67)</f>
        <v>73.22733</v>
      </c>
    </row>
    <row r="3508" customFormat="false" ht="15" hidden="false" customHeight="false" outlineLevel="0" collapsed="false">
      <c r="B3508" s="7" t="s">
        <v>4005</v>
      </c>
      <c r="C3508" s="39" t="n">
        <v>45831</v>
      </c>
      <c r="D3508" s="7" t="s">
        <v>409</v>
      </c>
      <c r="E3508" s="7" t="s">
        <v>154</v>
      </c>
      <c r="F3508" s="7" t="s">
        <v>214</v>
      </c>
      <c r="G3508" s="7" t="s">
        <v>505</v>
      </c>
      <c r="H3508" s="6" t="n">
        <v>3.49</v>
      </c>
      <c r="I3508" s="6" t="n">
        <v>0</v>
      </c>
      <c r="J3508" s="40" t="n">
        <f aca="false">H3508-I3508</f>
        <v>3.49</v>
      </c>
      <c r="K3508" s="41" t="n">
        <v>26.5</v>
      </c>
      <c r="L3508" s="42" t="n">
        <f aca="false">J3508*K3508</f>
        <v>92.485</v>
      </c>
      <c r="M3508" s="43" t="n">
        <f aca="false">H3508*15.67*(1+'Chart of Accounts'!$E$67)</f>
        <v>62.6181035</v>
      </c>
    </row>
    <row r="3509" customFormat="false" ht="15" hidden="false" customHeight="false" outlineLevel="0" collapsed="false">
      <c r="B3509" s="7" t="s">
        <v>4006</v>
      </c>
      <c r="C3509" s="39" t="n">
        <v>45831</v>
      </c>
      <c r="D3509" s="7" t="s">
        <v>411</v>
      </c>
      <c r="E3509" s="7" t="s">
        <v>154</v>
      </c>
      <c r="F3509" s="7" t="s">
        <v>177</v>
      </c>
      <c r="G3509" s="7" t="s">
        <v>505</v>
      </c>
      <c r="H3509" s="6" t="n">
        <v>4.9</v>
      </c>
      <c r="I3509" s="6" t="n">
        <v>0</v>
      </c>
      <c r="J3509" s="40" t="n">
        <f aca="false">H3509-I3509</f>
        <v>4.9</v>
      </c>
      <c r="K3509" s="41" t="n">
        <v>26.5</v>
      </c>
      <c r="L3509" s="42" t="n">
        <f aca="false">J3509*K3509</f>
        <v>129.85</v>
      </c>
      <c r="M3509" s="43" t="n">
        <f aca="false">H3509*14.56*(1+'Chart of Accounts'!$E$67)</f>
        <v>81.68888</v>
      </c>
    </row>
    <row r="3510" customFormat="false" ht="15" hidden="false" customHeight="false" outlineLevel="0" collapsed="false">
      <c r="B3510" s="7" t="s">
        <v>4007</v>
      </c>
      <c r="C3510" s="39" t="n">
        <v>45832</v>
      </c>
      <c r="D3510" s="7" t="s">
        <v>288</v>
      </c>
      <c r="E3510" s="7" t="s">
        <v>156</v>
      </c>
      <c r="F3510" s="7" t="s">
        <v>196</v>
      </c>
      <c r="G3510" s="7" t="s">
        <v>505</v>
      </c>
      <c r="H3510" s="6" t="n">
        <v>3.86</v>
      </c>
      <c r="I3510" s="6" t="n">
        <v>0</v>
      </c>
      <c r="J3510" s="40" t="n">
        <f aca="false">H3510-I3510</f>
        <v>3.86</v>
      </c>
      <c r="K3510" s="41" t="n">
        <v>34</v>
      </c>
      <c r="L3510" s="42" t="n">
        <f aca="false">J3510*K3510</f>
        <v>131.24</v>
      </c>
      <c r="M3510" s="43" t="n">
        <f aca="false">H3510*15.05*(1+'Chart of Accounts'!$E$67)</f>
        <v>66.516485</v>
      </c>
    </row>
    <row r="3511" customFormat="false" ht="15" hidden="false" customHeight="false" outlineLevel="0" collapsed="false">
      <c r="B3511" s="7" t="s">
        <v>4008</v>
      </c>
      <c r="C3511" s="39" t="n">
        <v>45832</v>
      </c>
      <c r="D3511" s="7" t="s">
        <v>301</v>
      </c>
      <c r="E3511" s="7" t="s">
        <v>157</v>
      </c>
      <c r="F3511" s="7" t="s">
        <v>209</v>
      </c>
      <c r="G3511" s="7" t="s">
        <v>502</v>
      </c>
      <c r="H3511" s="6" t="n">
        <v>1.04</v>
      </c>
      <c r="I3511" s="6" t="n">
        <v>0</v>
      </c>
      <c r="J3511" s="40" t="n">
        <f aca="false">H3511-I3511</f>
        <v>1.04</v>
      </c>
      <c r="K3511" s="41" t="n">
        <v>165</v>
      </c>
      <c r="L3511" s="42" t="n">
        <f aca="false">J3511*K3511</f>
        <v>171.6</v>
      </c>
      <c r="M3511" s="43" t="n">
        <f aca="false">H3511*73.58*(1+'Chart of Accounts'!$E$67)</f>
        <v>87.619064</v>
      </c>
    </row>
    <row r="3512" customFormat="false" ht="15" hidden="false" customHeight="false" outlineLevel="0" collapsed="false">
      <c r="B3512" s="7" t="s">
        <v>4009</v>
      </c>
      <c r="C3512" s="39" t="n">
        <v>45832</v>
      </c>
      <c r="D3512" s="7" t="s">
        <v>313</v>
      </c>
      <c r="E3512" s="7" t="s">
        <v>156</v>
      </c>
      <c r="F3512" s="7" t="s">
        <v>184</v>
      </c>
      <c r="G3512" s="7" t="s">
        <v>505</v>
      </c>
      <c r="H3512" s="6" t="n">
        <v>4</v>
      </c>
      <c r="I3512" s="6" t="n">
        <v>0</v>
      </c>
      <c r="J3512" s="40" t="n">
        <f aca="false">H3512-I3512</f>
        <v>4</v>
      </c>
      <c r="K3512" s="41" t="n">
        <v>34</v>
      </c>
      <c r="L3512" s="42" t="n">
        <f aca="false">J3512*K3512</f>
        <v>136</v>
      </c>
      <c r="M3512" s="43" t="n">
        <f aca="false">H3512*17.34*(1+'Chart of Accounts'!$E$67)</f>
        <v>79.4172</v>
      </c>
    </row>
    <row r="3513" customFormat="false" ht="15" hidden="false" customHeight="false" outlineLevel="0" collapsed="false">
      <c r="B3513" s="7" t="s">
        <v>4010</v>
      </c>
      <c r="C3513" s="39" t="n">
        <v>45832</v>
      </c>
      <c r="D3513" s="7" t="s">
        <v>319</v>
      </c>
      <c r="E3513" s="7" t="s">
        <v>157</v>
      </c>
      <c r="F3513" s="7" t="s">
        <v>234</v>
      </c>
      <c r="G3513" s="7" t="s">
        <v>502</v>
      </c>
      <c r="H3513" s="6" t="n">
        <v>0.98</v>
      </c>
      <c r="I3513" s="6" t="n">
        <v>0</v>
      </c>
      <c r="J3513" s="40" t="n">
        <f aca="false">H3513-I3513</f>
        <v>0.98</v>
      </c>
      <c r="K3513" s="41" t="n">
        <v>165</v>
      </c>
      <c r="L3513" s="42" t="n">
        <f aca="false">J3513*K3513</f>
        <v>161.7</v>
      </c>
      <c r="M3513" s="43" t="n">
        <f aca="false">H3513*89.53*(1+'Chart of Accounts'!$E$67)</f>
        <v>100.461613</v>
      </c>
    </row>
    <row r="3514" customFormat="false" ht="15" hidden="false" customHeight="false" outlineLevel="0" collapsed="false">
      <c r="B3514" s="7" t="s">
        <v>4011</v>
      </c>
      <c r="C3514" s="39" t="n">
        <v>45832</v>
      </c>
      <c r="D3514" s="7" t="s">
        <v>321</v>
      </c>
      <c r="E3514" s="7" t="s">
        <v>154</v>
      </c>
      <c r="F3514" s="7" t="s">
        <v>218</v>
      </c>
      <c r="G3514" s="7" t="s">
        <v>505</v>
      </c>
      <c r="H3514" s="6" t="n">
        <v>4.34</v>
      </c>
      <c r="I3514" s="6" t="n">
        <v>0</v>
      </c>
      <c r="J3514" s="40" t="n">
        <f aca="false">H3514-I3514</f>
        <v>4.34</v>
      </c>
      <c r="K3514" s="41" t="n">
        <v>26.5</v>
      </c>
      <c r="L3514" s="42" t="n">
        <f aca="false">J3514*K3514</f>
        <v>115.01</v>
      </c>
      <c r="M3514" s="43" t="n">
        <f aca="false">H3514*16.19*(1+'Chart of Accounts'!$E$67)</f>
        <v>80.452967</v>
      </c>
    </row>
    <row r="3515" customFormat="false" ht="15" hidden="false" customHeight="false" outlineLevel="0" collapsed="false">
      <c r="B3515" s="7" t="s">
        <v>4012</v>
      </c>
      <c r="C3515" s="39" t="n">
        <v>45832</v>
      </c>
      <c r="D3515" s="7" t="s">
        <v>327</v>
      </c>
      <c r="E3515" s="7" t="s">
        <v>157</v>
      </c>
      <c r="F3515" s="7" t="s">
        <v>228</v>
      </c>
      <c r="G3515" s="7" t="s">
        <v>502</v>
      </c>
      <c r="H3515" s="6" t="n">
        <v>1.05</v>
      </c>
      <c r="I3515" s="6" t="n">
        <v>0</v>
      </c>
      <c r="J3515" s="40" t="n">
        <f aca="false">H3515-I3515</f>
        <v>1.05</v>
      </c>
      <c r="K3515" s="41" t="n">
        <v>165</v>
      </c>
      <c r="L3515" s="42" t="n">
        <f aca="false">J3515*K3515</f>
        <v>173.25</v>
      </c>
      <c r="M3515" s="43" t="n">
        <f aca="false">H3515*51.07*(1+'Chart of Accounts'!$E$67)</f>
        <v>61.3989075</v>
      </c>
    </row>
    <row r="3516" customFormat="false" ht="15" hidden="false" customHeight="false" outlineLevel="0" collapsed="false">
      <c r="B3516" s="7" t="s">
        <v>4013</v>
      </c>
      <c r="C3516" s="39" t="n">
        <v>45832</v>
      </c>
      <c r="D3516" s="7" t="s">
        <v>329</v>
      </c>
      <c r="E3516" s="7" t="s">
        <v>156</v>
      </c>
      <c r="F3516" s="7" t="s">
        <v>220</v>
      </c>
      <c r="G3516" s="7" t="s">
        <v>505</v>
      </c>
      <c r="H3516" s="6" t="n">
        <v>3.68</v>
      </c>
      <c r="I3516" s="6" t="n">
        <v>0</v>
      </c>
      <c r="J3516" s="40" t="n">
        <f aca="false">H3516-I3516</f>
        <v>3.68</v>
      </c>
      <c r="K3516" s="41" t="n">
        <v>34</v>
      </c>
      <c r="L3516" s="42" t="n">
        <f aca="false">J3516*K3516</f>
        <v>125.12</v>
      </c>
      <c r="M3516" s="43" t="n">
        <f aca="false">H3516*16.43*(1+'Chart of Accounts'!$E$67)</f>
        <v>69.229448</v>
      </c>
    </row>
    <row r="3517" customFormat="false" ht="15" hidden="false" customHeight="false" outlineLevel="0" collapsed="false">
      <c r="B3517" s="7" t="s">
        <v>4014</v>
      </c>
      <c r="C3517" s="39" t="n">
        <v>45832</v>
      </c>
      <c r="D3517" s="7" t="s">
        <v>359</v>
      </c>
      <c r="E3517" s="7" t="s">
        <v>156</v>
      </c>
      <c r="F3517" s="7" t="s">
        <v>212</v>
      </c>
      <c r="G3517" s="7" t="s">
        <v>505</v>
      </c>
      <c r="H3517" s="6" t="n">
        <v>3.93</v>
      </c>
      <c r="I3517" s="6" t="n">
        <v>0</v>
      </c>
      <c r="J3517" s="40" t="n">
        <f aca="false">H3517-I3517</f>
        <v>3.93</v>
      </c>
      <c r="K3517" s="41" t="n">
        <v>34</v>
      </c>
      <c r="L3517" s="42" t="n">
        <f aca="false">J3517*K3517</f>
        <v>133.62</v>
      </c>
      <c r="M3517" s="43" t="n">
        <f aca="false">H3517*16.71*(1+'Chart of Accounts'!$E$67)</f>
        <v>75.1924935</v>
      </c>
    </row>
    <row r="3518" customFormat="false" ht="15" hidden="false" customHeight="false" outlineLevel="0" collapsed="false">
      <c r="B3518" s="7" t="s">
        <v>4015</v>
      </c>
      <c r="C3518" s="39" t="n">
        <v>45832</v>
      </c>
      <c r="D3518" s="7" t="s">
        <v>361</v>
      </c>
      <c r="E3518" s="7" t="s">
        <v>157</v>
      </c>
      <c r="F3518" s="7" t="s">
        <v>209</v>
      </c>
      <c r="G3518" s="7" t="s">
        <v>502</v>
      </c>
      <c r="H3518" s="6" t="n">
        <v>0.94</v>
      </c>
      <c r="I3518" s="6" t="n">
        <v>0</v>
      </c>
      <c r="J3518" s="40" t="n">
        <f aca="false">H3518-I3518</f>
        <v>0.94</v>
      </c>
      <c r="K3518" s="41" t="n">
        <v>165</v>
      </c>
      <c r="L3518" s="42" t="n">
        <f aca="false">J3518*K3518</f>
        <v>155.1</v>
      </c>
      <c r="M3518" s="43" t="n">
        <f aca="false">H3518*73.58*(1+'Chart of Accounts'!$E$67)</f>
        <v>79.194154</v>
      </c>
    </row>
    <row r="3519" customFormat="false" ht="15" hidden="false" customHeight="false" outlineLevel="0" collapsed="false">
      <c r="B3519" s="7" t="s">
        <v>4016</v>
      </c>
      <c r="C3519" s="39" t="n">
        <v>45832</v>
      </c>
      <c r="D3519" s="7" t="s">
        <v>365</v>
      </c>
      <c r="E3519" s="7" t="s">
        <v>154</v>
      </c>
      <c r="F3519" s="7" t="s">
        <v>194</v>
      </c>
      <c r="G3519" s="7" t="s">
        <v>505</v>
      </c>
      <c r="H3519" s="6" t="n">
        <v>3.66</v>
      </c>
      <c r="I3519" s="6" t="n">
        <v>0</v>
      </c>
      <c r="J3519" s="40" t="n">
        <f aca="false">H3519-I3519</f>
        <v>3.66</v>
      </c>
      <c r="K3519" s="41" t="n">
        <v>26.5</v>
      </c>
      <c r="L3519" s="42" t="n">
        <f aca="false">J3519*K3519</f>
        <v>96.99</v>
      </c>
      <c r="M3519" s="43" t="n">
        <f aca="false">H3519*16*(1+'Chart of Accounts'!$E$67)</f>
        <v>67.0512</v>
      </c>
    </row>
    <row r="3520" customFormat="false" ht="15" hidden="false" customHeight="false" outlineLevel="0" collapsed="false">
      <c r="B3520" s="7" t="s">
        <v>4017</v>
      </c>
      <c r="C3520" s="39" t="n">
        <v>45832</v>
      </c>
      <c r="D3520" s="7" t="s">
        <v>381</v>
      </c>
      <c r="E3520" s="7" t="s">
        <v>157</v>
      </c>
      <c r="F3520" s="7" t="s">
        <v>234</v>
      </c>
      <c r="G3520" s="7" t="s">
        <v>502</v>
      </c>
      <c r="H3520" s="6" t="n">
        <v>0.9</v>
      </c>
      <c r="I3520" s="6" t="n">
        <v>0</v>
      </c>
      <c r="J3520" s="40" t="n">
        <f aca="false">H3520-I3520</f>
        <v>0.9</v>
      </c>
      <c r="K3520" s="41" t="n">
        <v>165</v>
      </c>
      <c r="L3520" s="42" t="n">
        <f aca="false">J3520*K3520</f>
        <v>148.5</v>
      </c>
      <c r="M3520" s="43" t="n">
        <f aca="false">H3520*89.53*(1+'Chart of Accounts'!$E$67)</f>
        <v>92.260665</v>
      </c>
    </row>
    <row r="3521" customFormat="false" ht="15" hidden="false" customHeight="false" outlineLevel="0" collapsed="false">
      <c r="B3521" s="7" t="s">
        <v>4018</v>
      </c>
      <c r="C3521" s="39" t="n">
        <v>45832</v>
      </c>
      <c r="D3521" s="7" t="s">
        <v>389</v>
      </c>
      <c r="E3521" s="7" t="s">
        <v>154</v>
      </c>
      <c r="F3521" s="7" t="s">
        <v>246</v>
      </c>
      <c r="G3521" s="7" t="s">
        <v>505</v>
      </c>
      <c r="H3521" s="6" t="n">
        <v>4.1</v>
      </c>
      <c r="I3521" s="6" t="n">
        <v>0</v>
      </c>
      <c r="J3521" s="40" t="n">
        <f aca="false">H3521-I3521</f>
        <v>4.1</v>
      </c>
      <c r="K3521" s="41" t="n">
        <v>26.5</v>
      </c>
      <c r="L3521" s="42" t="n">
        <f aca="false">J3521*K3521</f>
        <v>108.65</v>
      </c>
      <c r="M3521" s="43" t="n">
        <f aca="false">H3521*16.48*(1+'Chart of Accounts'!$E$67)</f>
        <v>77.36536</v>
      </c>
    </row>
    <row r="3522" customFormat="false" ht="15" hidden="false" customHeight="false" outlineLevel="0" collapsed="false">
      <c r="B3522" s="7" t="s">
        <v>4019</v>
      </c>
      <c r="C3522" s="39" t="n">
        <v>45832</v>
      </c>
      <c r="D3522" s="7" t="s">
        <v>391</v>
      </c>
      <c r="E3522" s="7" t="s">
        <v>156</v>
      </c>
      <c r="F3522" s="7" t="s">
        <v>222</v>
      </c>
      <c r="G3522" s="7" t="s">
        <v>505</v>
      </c>
      <c r="H3522" s="6" t="n">
        <v>3.62</v>
      </c>
      <c r="I3522" s="6" t="n">
        <v>0</v>
      </c>
      <c r="J3522" s="40" t="n">
        <f aca="false">H3522-I3522</f>
        <v>3.62</v>
      </c>
      <c r="K3522" s="41" t="n">
        <v>34</v>
      </c>
      <c r="L3522" s="42" t="n">
        <f aca="false">J3522*K3522</f>
        <v>123.08</v>
      </c>
      <c r="M3522" s="43" t="n">
        <f aca="false">H3522*17.84*(1+'Chart of Accounts'!$E$67)</f>
        <v>73.945016</v>
      </c>
    </row>
    <row r="3523" customFormat="false" ht="15" hidden="false" customHeight="false" outlineLevel="0" collapsed="false">
      <c r="B3523" s="7" t="s">
        <v>4020</v>
      </c>
      <c r="C3523" s="39" t="n">
        <v>45832</v>
      </c>
      <c r="D3523" s="7" t="s">
        <v>395</v>
      </c>
      <c r="E3523" s="7" t="s">
        <v>156</v>
      </c>
      <c r="F3523" s="7" t="s">
        <v>242</v>
      </c>
      <c r="G3523" s="7" t="s">
        <v>505</v>
      </c>
      <c r="H3523" s="6" t="n">
        <v>3.91</v>
      </c>
      <c r="I3523" s="6" t="n">
        <v>0</v>
      </c>
      <c r="J3523" s="40" t="n">
        <f aca="false">H3523-I3523</f>
        <v>3.91</v>
      </c>
      <c r="K3523" s="41" t="n">
        <v>34</v>
      </c>
      <c r="L3523" s="42" t="n">
        <f aca="false">J3523*K3523</f>
        <v>132.94</v>
      </c>
      <c r="M3523" s="43" t="n">
        <f aca="false">H3523*17.99*(1+'Chart of Accounts'!$E$67)</f>
        <v>80.5403305</v>
      </c>
    </row>
    <row r="3524" customFormat="false" ht="15" hidden="false" customHeight="false" outlineLevel="0" collapsed="false">
      <c r="B3524" s="7" t="s">
        <v>4021</v>
      </c>
      <c r="C3524" s="39" t="n">
        <v>45832</v>
      </c>
      <c r="D3524" s="7" t="s">
        <v>397</v>
      </c>
      <c r="E3524" s="7" t="s">
        <v>159</v>
      </c>
      <c r="F3524" s="7" t="s">
        <v>203</v>
      </c>
      <c r="G3524" s="7" t="s">
        <v>502</v>
      </c>
      <c r="H3524" s="6" t="n">
        <v>1.08</v>
      </c>
      <c r="I3524" s="6" t="n">
        <v>0</v>
      </c>
      <c r="J3524" s="40" t="n">
        <f aca="false">H3524-I3524</f>
        <v>1.08</v>
      </c>
      <c r="K3524" s="41" t="n">
        <v>135</v>
      </c>
      <c r="L3524" s="42" t="n">
        <f aca="false">J3524*K3524</f>
        <v>145.8</v>
      </c>
      <c r="M3524" s="43" t="n">
        <f aca="false">H3524*49.43*(1+'Chart of Accounts'!$E$67)</f>
        <v>61.125138</v>
      </c>
    </row>
    <row r="3525" customFormat="false" ht="15" hidden="false" customHeight="false" outlineLevel="0" collapsed="false">
      <c r="B3525" s="7" t="s">
        <v>4022</v>
      </c>
      <c r="C3525" s="39" t="n">
        <v>45832</v>
      </c>
      <c r="D3525" s="7" t="s">
        <v>401</v>
      </c>
      <c r="E3525" s="7" t="s">
        <v>156</v>
      </c>
      <c r="F3525" s="7" t="s">
        <v>254</v>
      </c>
      <c r="G3525" s="7" t="s">
        <v>505</v>
      </c>
      <c r="H3525" s="6" t="n">
        <v>3.79</v>
      </c>
      <c r="I3525" s="6" t="n">
        <v>0</v>
      </c>
      <c r="J3525" s="40" t="n">
        <f aca="false">H3525-I3525</f>
        <v>3.79</v>
      </c>
      <c r="K3525" s="41" t="n">
        <v>34</v>
      </c>
      <c r="L3525" s="42" t="n">
        <f aca="false">J3525*K3525</f>
        <v>128.86</v>
      </c>
      <c r="M3525" s="43" t="n">
        <f aca="false">H3525*17.1*(1+'Chart of Accounts'!$E$67)</f>
        <v>74.206305</v>
      </c>
    </row>
    <row r="3526" customFormat="false" ht="15" hidden="false" customHeight="false" outlineLevel="0" collapsed="false">
      <c r="B3526" s="7" t="s">
        <v>4023</v>
      </c>
      <c r="C3526" s="39" t="n">
        <v>45832</v>
      </c>
      <c r="D3526" s="7" t="s">
        <v>407</v>
      </c>
      <c r="E3526" s="7" t="s">
        <v>159</v>
      </c>
      <c r="F3526" s="7" t="s">
        <v>260</v>
      </c>
      <c r="G3526" s="7" t="s">
        <v>502</v>
      </c>
      <c r="H3526" s="6" t="n">
        <v>0.94</v>
      </c>
      <c r="I3526" s="6" t="n">
        <v>0.066</v>
      </c>
      <c r="J3526" s="40" t="n">
        <f aca="false">H3526-I3526</f>
        <v>0.874</v>
      </c>
      <c r="K3526" s="41" t="n">
        <v>135</v>
      </c>
      <c r="L3526" s="42" t="n">
        <f aca="false">J3526*K3526</f>
        <v>117.99</v>
      </c>
      <c r="M3526" s="43" t="n">
        <f aca="false">H3526*79.8*(1+'Chart of Accounts'!$E$67)</f>
        <v>85.88874</v>
      </c>
    </row>
    <row r="3527" customFormat="false" ht="15" hidden="false" customHeight="false" outlineLevel="0" collapsed="false">
      <c r="B3527" s="7" t="s">
        <v>4024</v>
      </c>
      <c r="C3527" s="39" t="n">
        <v>45833</v>
      </c>
      <c r="D3527" s="7" t="s">
        <v>280</v>
      </c>
      <c r="E3527" s="7" t="s">
        <v>157</v>
      </c>
      <c r="F3527" s="7" t="s">
        <v>187</v>
      </c>
      <c r="G3527" s="7" t="s">
        <v>502</v>
      </c>
      <c r="H3527" s="6" t="n">
        <v>0.91</v>
      </c>
      <c r="I3527" s="6" t="n">
        <v>0</v>
      </c>
      <c r="J3527" s="40" t="n">
        <f aca="false">H3527-I3527</f>
        <v>0.91</v>
      </c>
      <c r="K3527" s="41" t="n">
        <v>165</v>
      </c>
      <c r="L3527" s="42" t="n">
        <f aca="false">J3527*K3527</f>
        <v>150.15</v>
      </c>
      <c r="M3527" s="43" t="n">
        <f aca="false">H3527*66.48*(1+'Chart of Accounts'!$E$67)</f>
        <v>69.268836</v>
      </c>
    </row>
    <row r="3528" customFormat="false" ht="15" hidden="false" customHeight="false" outlineLevel="0" collapsed="false">
      <c r="B3528" s="7" t="s">
        <v>4025</v>
      </c>
      <c r="C3528" s="39" t="n">
        <v>45833</v>
      </c>
      <c r="D3528" s="7" t="s">
        <v>288</v>
      </c>
      <c r="E3528" s="7" t="s">
        <v>156</v>
      </c>
      <c r="F3528" s="7" t="s">
        <v>212</v>
      </c>
      <c r="G3528" s="7" t="s">
        <v>505</v>
      </c>
      <c r="H3528" s="6" t="n">
        <v>4.15</v>
      </c>
      <c r="I3528" s="6" t="n">
        <v>0</v>
      </c>
      <c r="J3528" s="40" t="n">
        <f aca="false">H3528-I3528</f>
        <v>4.15</v>
      </c>
      <c r="K3528" s="41" t="n">
        <v>34</v>
      </c>
      <c r="L3528" s="42" t="n">
        <f aca="false">J3528*K3528</f>
        <v>141.1</v>
      </c>
      <c r="M3528" s="43" t="n">
        <f aca="false">H3528*16.71*(1+'Chart of Accounts'!$E$67)</f>
        <v>79.4017425</v>
      </c>
    </row>
    <row r="3529" customFormat="false" ht="15" hidden="false" customHeight="false" outlineLevel="0" collapsed="false">
      <c r="B3529" s="7" t="s">
        <v>4026</v>
      </c>
      <c r="C3529" s="39" t="n">
        <v>45833</v>
      </c>
      <c r="D3529" s="7" t="s">
        <v>291</v>
      </c>
      <c r="E3529" s="7" t="s">
        <v>154</v>
      </c>
      <c r="F3529" s="7" t="s">
        <v>194</v>
      </c>
      <c r="G3529" s="7" t="s">
        <v>505</v>
      </c>
      <c r="H3529" s="6" t="n">
        <v>5.11</v>
      </c>
      <c r="I3529" s="6" t="n">
        <v>0.153</v>
      </c>
      <c r="J3529" s="40" t="n">
        <f aca="false">H3529-I3529</f>
        <v>4.957</v>
      </c>
      <c r="K3529" s="41" t="n">
        <v>26.5</v>
      </c>
      <c r="L3529" s="42" t="n">
        <f aca="false">J3529*K3529</f>
        <v>131.3605</v>
      </c>
      <c r="M3529" s="43" t="n">
        <f aca="false">H3529*16*(1+'Chart of Accounts'!$E$67)</f>
        <v>93.6152</v>
      </c>
    </row>
    <row r="3530" customFormat="false" ht="15" hidden="false" customHeight="false" outlineLevel="0" collapsed="false">
      <c r="B3530" s="7" t="s">
        <v>4027</v>
      </c>
      <c r="C3530" s="39" t="n">
        <v>45833</v>
      </c>
      <c r="D3530" s="7" t="s">
        <v>305</v>
      </c>
      <c r="E3530" s="7" t="s">
        <v>154</v>
      </c>
      <c r="F3530" s="7" t="s">
        <v>205</v>
      </c>
      <c r="G3530" s="7" t="s">
        <v>505</v>
      </c>
      <c r="H3530" s="6" t="n">
        <v>4.08</v>
      </c>
      <c r="I3530" s="6" t="n">
        <v>0</v>
      </c>
      <c r="J3530" s="40" t="n">
        <f aca="false">H3530-I3530</f>
        <v>4.08</v>
      </c>
      <c r="K3530" s="41" t="n">
        <v>26.5</v>
      </c>
      <c r="L3530" s="42" t="n">
        <f aca="false">J3530*K3530</f>
        <v>108.12</v>
      </c>
      <c r="M3530" s="43" t="n">
        <f aca="false">H3530*16.36*(1+'Chart of Accounts'!$E$67)</f>
        <v>76.427376</v>
      </c>
    </row>
    <row r="3531" customFormat="false" ht="15" hidden="false" customHeight="false" outlineLevel="0" collapsed="false">
      <c r="B3531" s="7" t="s">
        <v>4028</v>
      </c>
      <c r="C3531" s="39" t="n">
        <v>45833</v>
      </c>
      <c r="D3531" s="7" t="s">
        <v>307</v>
      </c>
      <c r="E3531" s="7" t="s">
        <v>157</v>
      </c>
      <c r="F3531" s="7" t="s">
        <v>264</v>
      </c>
      <c r="G3531" s="7" t="s">
        <v>502</v>
      </c>
      <c r="H3531" s="6" t="n">
        <v>0.93</v>
      </c>
      <c r="I3531" s="6" t="n">
        <v>0</v>
      </c>
      <c r="J3531" s="40" t="n">
        <f aca="false">H3531-I3531</f>
        <v>0.93</v>
      </c>
      <c r="K3531" s="41" t="n">
        <v>165</v>
      </c>
      <c r="L3531" s="42" t="n">
        <f aca="false">J3531*K3531</f>
        <v>153.45</v>
      </c>
      <c r="M3531" s="43" t="n">
        <f aca="false">H3531*55.55*(1+'Chart of Accounts'!$E$67)</f>
        <v>59.1524175</v>
      </c>
    </row>
    <row r="3532" customFormat="false" ht="15" hidden="false" customHeight="false" outlineLevel="0" collapsed="false">
      <c r="B3532" s="7" t="s">
        <v>4029</v>
      </c>
      <c r="C3532" s="39" t="n">
        <v>45833</v>
      </c>
      <c r="D3532" s="7" t="s">
        <v>309</v>
      </c>
      <c r="E3532" s="7" t="s">
        <v>159</v>
      </c>
      <c r="F3532" s="7" t="s">
        <v>252</v>
      </c>
      <c r="G3532" s="7" t="s">
        <v>502</v>
      </c>
      <c r="H3532" s="6" t="n">
        <v>0.9</v>
      </c>
      <c r="I3532" s="6" t="n">
        <v>0</v>
      </c>
      <c r="J3532" s="40" t="n">
        <f aca="false">H3532-I3532</f>
        <v>0.9</v>
      </c>
      <c r="K3532" s="41" t="n">
        <v>135</v>
      </c>
      <c r="L3532" s="42" t="n">
        <f aca="false">J3532*K3532</f>
        <v>121.5</v>
      </c>
      <c r="M3532" s="43" t="n">
        <f aca="false">H3532*57.54*(1+'Chart of Accounts'!$E$67)</f>
        <v>59.29497</v>
      </c>
    </row>
    <row r="3533" customFormat="false" ht="15" hidden="false" customHeight="false" outlineLevel="0" collapsed="false">
      <c r="B3533" s="7" t="s">
        <v>4030</v>
      </c>
      <c r="C3533" s="39" t="n">
        <v>45833</v>
      </c>
      <c r="D3533" s="7" t="s">
        <v>313</v>
      </c>
      <c r="E3533" s="7" t="s">
        <v>156</v>
      </c>
      <c r="F3533" s="7" t="s">
        <v>184</v>
      </c>
      <c r="G3533" s="7" t="s">
        <v>505</v>
      </c>
      <c r="H3533" s="6" t="n">
        <v>4.29</v>
      </c>
      <c r="I3533" s="6" t="n">
        <v>0</v>
      </c>
      <c r="J3533" s="40" t="n">
        <f aca="false">H3533-I3533</f>
        <v>4.29</v>
      </c>
      <c r="K3533" s="41" t="n">
        <v>34</v>
      </c>
      <c r="L3533" s="42" t="n">
        <f aca="false">J3533*K3533</f>
        <v>145.86</v>
      </c>
      <c r="M3533" s="43" t="n">
        <f aca="false">H3533*17.34*(1+'Chart of Accounts'!$E$67)</f>
        <v>85.174947</v>
      </c>
    </row>
    <row r="3534" customFormat="false" ht="15" hidden="false" customHeight="false" outlineLevel="0" collapsed="false">
      <c r="B3534" s="7" t="s">
        <v>4031</v>
      </c>
      <c r="C3534" s="39" t="n">
        <v>45833</v>
      </c>
      <c r="D3534" s="7" t="s">
        <v>321</v>
      </c>
      <c r="E3534" s="7" t="s">
        <v>154</v>
      </c>
      <c r="F3534" s="7" t="s">
        <v>218</v>
      </c>
      <c r="G3534" s="7" t="s">
        <v>505</v>
      </c>
      <c r="H3534" s="6" t="n">
        <v>3.66</v>
      </c>
      <c r="I3534" s="6" t="n">
        <v>0</v>
      </c>
      <c r="J3534" s="40" t="n">
        <f aca="false">H3534-I3534</f>
        <v>3.66</v>
      </c>
      <c r="K3534" s="41" t="n">
        <v>26.5</v>
      </c>
      <c r="L3534" s="42" t="n">
        <f aca="false">J3534*K3534</f>
        <v>96.99</v>
      </c>
      <c r="M3534" s="43" t="n">
        <f aca="false">H3534*16.19*(1+'Chart of Accounts'!$E$67)</f>
        <v>67.847433</v>
      </c>
    </row>
    <row r="3535" customFormat="false" ht="15" hidden="false" customHeight="false" outlineLevel="0" collapsed="false">
      <c r="B3535" s="7" t="s">
        <v>4032</v>
      </c>
      <c r="C3535" s="39" t="n">
        <v>45833</v>
      </c>
      <c r="D3535" s="7" t="s">
        <v>329</v>
      </c>
      <c r="E3535" s="7" t="s">
        <v>156</v>
      </c>
      <c r="F3535" s="7" t="s">
        <v>220</v>
      </c>
      <c r="G3535" s="7" t="s">
        <v>505</v>
      </c>
      <c r="H3535" s="6" t="n">
        <v>4.17</v>
      </c>
      <c r="I3535" s="6" t="n">
        <v>0</v>
      </c>
      <c r="J3535" s="40" t="n">
        <f aca="false">H3535-I3535</f>
        <v>4.17</v>
      </c>
      <c r="K3535" s="41" t="n">
        <v>34</v>
      </c>
      <c r="L3535" s="42" t="n">
        <f aca="false">J3535*K3535</f>
        <v>141.78</v>
      </c>
      <c r="M3535" s="43" t="n">
        <f aca="false">H3535*16.43*(1+'Chart of Accounts'!$E$67)</f>
        <v>78.4474995</v>
      </c>
    </row>
    <row r="3536" customFormat="false" ht="15" hidden="false" customHeight="false" outlineLevel="0" collapsed="false">
      <c r="B3536" s="7" t="s">
        <v>4033</v>
      </c>
      <c r="C3536" s="39" t="n">
        <v>45833</v>
      </c>
      <c r="D3536" s="7" t="s">
        <v>335</v>
      </c>
      <c r="E3536" s="7" t="s">
        <v>154</v>
      </c>
      <c r="F3536" s="7" t="s">
        <v>177</v>
      </c>
      <c r="G3536" s="7" t="s">
        <v>505</v>
      </c>
      <c r="H3536" s="6" t="n">
        <v>4.12</v>
      </c>
      <c r="I3536" s="6" t="n">
        <v>0.124</v>
      </c>
      <c r="J3536" s="40" t="n">
        <f aca="false">H3536-I3536</f>
        <v>3.996</v>
      </c>
      <c r="K3536" s="41" t="n">
        <v>26.5</v>
      </c>
      <c r="L3536" s="42" t="n">
        <f aca="false">J3536*K3536</f>
        <v>105.894</v>
      </c>
      <c r="M3536" s="43" t="n">
        <f aca="false">H3536*14.56*(1+'Chart of Accounts'!$E$67)</f>
        <v>68.685344</v>
      </c>
    </row>
    <row r="3537" customFormat="false" ht="15" hidden="false" customHeight="false" outlineLevel="0" collapsed="false">
      <c r="B3537" s="7" t="s">
        <v>4034</v>
      </c>
      <c r="C3537" s="39" t="n">
        <v>45833</v>
      </c>
      <c r="D3537" s="7" t="s">
        <v>339</v>
      </c>
      <c r="E3537" s="7" t="s">
        <v>154</v>
      </c>
      <c r="F3537" s="7" t="s">
        <v>242</v>
      </c>
      <c r="G3537" s="7" t="s">
        <v>505</v>
      </c>
      <c r="H3537" s="6" t="n">
        <v>3.32</v>
      </c>
      <c r="I3537" s="6" t="n">
        <v>0</v>
      </c>
      <c r="J3537" s="40" t="n">
        <f aca="false">H3537-I3537</f>
        <v>3.32</v>
      </c>
      <c r="K3537" s="41" t="n">
        <v>26.5</v>
      </c>
      <c r="L3537" s="42" t="n">
        <f aca="false">J3537*K3537</f>
        <v>87.98</v>
      </c>
      <c r="M3537" s="43" t="n">
        <f aca="false">H3537*17.99*(1+'Chart of Accounts'!$E$67)</f>
        <v>68.387186</v>
      </c>
    </row>
    <row r="3538" customFormat="false" ht="15" hidden="false" customHeight="false" outlineLevel="0" collapsed="false">
      <c r="B3538" s="7" t="s">
        <v>4035</v>
      </c>
      <c r="C3538" s="39" t="n">
        <v>45833</v>
      </c>
      <c r="D3538" s="7" t="s">
        <v>353</v>
      </c>
      <c r="E3538" s="7" t="s">
        <v>154</v>
      </c>
      <c r="F3538" s="7" t="s">
        <v>254</v>
      </c>
      <c r="G3538" s="7" t="s">
        <v>505</v>
      </c>
      <c r="H3538" s="6" t="n">
        <v>3.27</v>
      </c>
      <c r="I3538" s="6" t="n">
        <v>0</v>
      </c>
      <c r="J3538" s="40" t="n">
        <f aca="false">H3538-I3538</f>
        <v>3.27</v>
      </c>
      <c r="K3538" s="41" t="n">
        <v>26.5</v>
      </c>
      <c r="L3538" s="42" t="n">
        <f aca="false">J3538*K3538</f>
        <v>86.655</v>
      </c>
      <c r="M3538" s="43" t="n">
        <f aca="false">H3538*17.1*(1+'Chart of Accounts'!$E$67)</f>
        <v>64.024965</v>
      </c>
    </row>
    <row r="3539" customFormat="false" ht="15" hidden="false" customHeight="false" outlineLevel="0" collapsed="false">
      <c r="B3539" s="7" t="s">
        <v>4036</v>
      </c>
      <c r="C3539" s="39" t="n">
        <v>45833</v>
      </c>
      <c r="D3539" s="7" t="s">
        <v>355</v>
      </c>
      <c r="E3539" s="7" t="s">
        <v>154</v>
      </c>
      <c r="F3539" s="7" t="s">
        <v>201</v>
      </c>
      <c r="G3539" s="7" t="s">
        <v>505</v>
      </c>
      <c r="H3539" s="6" t="n">
        <v>3.24</v>
      </c>
      <c r="I3539" s="6" t="n">
        <v>0</v>
      </c>
      <c r="J3539" s="40" t="n">
        <f aca="false">H3539-I3539</f>
        <v>3.24</v>
      </c>
      <c r="K3539" s="41" t="n">
        <v>26.5</v>
      </c>
      <c r="L3539" s="42" t="n">
        <f aca="false">J3539*K3539</f>
        <v>85.86</v>
      </c>
      <c r="M3539" s="43" t="n">
        <f aca="false">H3539*15.19*(1+'Chart of Accounts'!$E$67)</f>
        <v>56.351862</v>
      </c>
    </row>
    <row r="3540" customFormat="false" ht="15" hidden="false" customHeight="false" outlineLevel="0" collapsed="false">
      <c r="B3540" s="7" t="s">
        <v>4037</v>
      </c>
      <c r="C3540" s="39" t="n">
        <v>45833</v>
      </c>
      <c r="D3540" s="7" t="s">
        <v>357</v>
      </c>
      <c r="E3540" s="7" t="s">
        <v>154</v>
      </c>
      <c r="F3540" s="7" t="s">
        <v>207</v>
      </c>
      <c r="G3540" s="7" t="s">
        <v>505</v>
      </c>
      <c r="H3540" s="6" t="n">
        <v>3.43</v>
      </c>
      <c r="I3540" s="6" t="n">
        <v>0.103</v>
      </c>
      <c r="J3540" s="40" t="n">
        <f aca="false">H3540-I3540</f>
        <v>3.327</v>
      </c>
      <c r="K3540" s="41" t="n">
        <v>26.5</v>
      </c>
      <c r="L3540" s="42" t="n">
        <f aca="false">J3540*K3540</f>
        <v>88.1655</v>
      </c>
      <c r="M3540" s="43" t="n">
        <f aca="false">H3540*16.65*(1+'Chart of Accounts'!$E$67)</f>
        <v>65.3903775</v>
      </c>
    </row>
    <row r="3541" customFormat="false" ht="15" hidden="false" customHeight="false" outlineLevel="0" collapsed="false">
      <c r="B3541" s="7" t="s">
        <v>4038</v>
      </c>
      <c r="C3541" s="39" t="n">
        <v>45833</v>
      </c>
      <c r="D3541" s="7" t="s">
        <v>359</v>
      </c>
      <c r="E3541" s="7" t="s">
        <v>156</v>
      </c>
      <c r="F3541" s="7" t="s">
        <v>212</v>
      </c>
      <c r="G3541" s="7" t="s">
        <v>505</v>
      </c>
      <c r="H3541" s="6" t="n">
        <v>3.72</v>
      </c>
      <c r="I3541" s="6" t="n">
        <v>0</v>
      </c>
      <c r="J3541" s="40" t="n">
        <f aca="false">H3541-I3541</f>
        <v>3.72</v>
      </c>
      <c r="K3541" s="41" t="n">
        <v>34</v>
      </c>
      <c r="L3541" s="42" t="n">
        <f aca="false">J3541*K3541</f>
        <v>126.48</v>
      </c>
      <c r="M3541" s="43" t="n">
        <f aca="false">H3541*16.71*(1+'Chart of Accounts'!$E$67)</f>
        <v>71.174574</v>
      </c>
    </row>
    <row r="3542" customFormat="false" ht="15" hidden="false" customHeight="false" outlineLevel="0" collapsed="false">
      <c r="B3542" s="7" t="s">
        <v>4039</v>
      </c>
      <c r="C3542" s="39" t="n">
        <v>45833</v>
      </c>
      <c r="D3542" s="7" t="s">
        <v>365</v>
      </c>
      <c r="E3542" s="7" t="s">
        <v>154</v>
      </c>
      <c r="F3542" s="7" t="s">
        <v>194</v>
      </c>
      <c r="G3542" s="7" t="s">
        <v>505</v>
      </c>
      <c r="H3542" s="6" t="n">
        <v>4.2</v>
      </c>
      <c r="I3542" s="6" t="n">
        <v>0</v>
      </c>
      <c r="J3542" s="40" t="n">
        <f aca="false">H3542-I3542</f>
        <v>4.2</v>
      </c>
      <c r="K3542" s="41" t="n">
        <v>26.5</v>
      </c>
      <c r="L3542" s="42" t="n">
        <f aca="false">J3542*K3542</f>
        <v>111.3</v>
      </c>
      <c r="M3542" s="43" t="n">
        <f aca="false">H3542*16*(1+'Chart of Accounts'!$E$67)</f>
        <v>76.944</v>
      </c>
    </row>
    <row r="3543" customFormat="false" ht="15" hidden="false" customHeight="false" outlineLevel="0" collapsed="false">
      <c r="B3543" s="7" t="s">
        <v>4040</v>
      </c>
      <c r="C3543" s="39" t="n">
        <v>45833</v>
      </c>
      <c r="D3543" s="7" t="s">
        <v>371</v>
      </c>
      <c r="E3543" s="7" t="s">
        <v>154</v>
      </c>
      <c r="F3543" s="7" t="s">
        <v>232</v>
      </c>
      <c r="G3543" s="7" t="s">
        <v>505</v>
      </c>
      <c r="H3543" s="6" t="n">
        <v>4.59</v>
      </c>
      <c r="I3543" s="6" t="n">
        <v>0</v>
      </c>
      <c r="J3543" s="40" t="n">
        <f aca="false">H3543-I3543</f>
        <v>4.59</v>
      </c>
      <c r="K3543" s="41" t="n">
        <v>26.5</v>
      </c>
      <c r="L3543" s="42" t="n">
        <f aca="false">J3543*K3543</f>
        <v>121.635</v>
      </c>
      <c r="M3543" s="43" t="n">
        <f aca="false">H3543*16.17*(1+'Chart of Accounts'!$E$67)</f>
        <v>84.9822435</v>
      </c>
    </row>
    <row r="3544" customFormat="false" ht="15" hidden="false" customHeight="false" outlineLevel="0" collapsed="false">
      <c r="B3544" s="7" t="s">
        <v>4041</v>
      </c>
      <c r="C3544" s="39" t="n">
        <v>45833</v>
      </c>
      <c r="D3544" s="7" t="s">
        <v>379</v>
      </c>
      <c r="E3544" s="7" t="s">
        <v>156</v>
      </c>
      <c r="F3544" s="7" t="s">
        <v>224</v>
      </c>
      <c r="G3544" s="7" t="s">
        <v>505</v>
      </c>
      <c r="H3544" s="6" t="n">
        <v>4.94</v>
      </c>
      <c r="I3544" s="6" t="n">
        <v>0</v>
      </c>
      <c r="J3544" s="40" t="n">
        <f aca="false">H3544-I3544</f>
        <v>4.94</v>
      </c>
      <c r="K3544" s="41" t="n">
        <v>34</v>
      </c>
      <c r="L3544" s="42" t="n">
        <f aca="false">J3544*K3544</f>
        <v>167.96</v>
      </c>
      <c r="M3544" s="43" t="n">
        <f aca="false">H3544*14.93*(1+'Chart of Accounts'!$E$67)</f>
        <v>84.448559</v>
      </c>
    </row>
    <row r="3545" customFormat="false" ht="15" hidden="false" customHeight="false" outlineLevel="0" collapsed="false">
      <c r="B3545" s="7" t="s">
        <v>4042</v>
      </c>
      <c r="C3545" s="39" t="n">
        <v>45833</v>
      </c>
      <c r="D3545" s="7" t="s">
        <v>385</v>
      </c>
      <c r="E3545" s="7" t="s">
        <v>156</v>
      </c>
      <c r="F3545" s="7" t="s">
        <v>238</v>
      </c>
      <c r="G3545" s="7" t="s">
        <v>505</v>
      </c>
      <c r="H3545" s="6" t="n">
        <v>4.11</v>
      </c>
      <c r="I3545" s="6" t="n">
        <v>0</v>
      </c>
      <c r="J3545" s="40" t="n">
        <f aca="false">H3545-I3545</f>
        <v>4.11</v>
      </c>
      <c r="K3545" s="41" t="n">
        <v>34</v>
      </c>
      <c r="L3545" s="42" t="n">
        <f aca="false">J3545*K3545</f>
        <v>139.74</v>
      </c>
      <c r="M3545" s="43" t="n">
        <f aca="false">H3545*15.85*(1+'Chart of Accounts'!$E$67)</f>
        <v>74.5893075</v>
      </c>
    </row>
    <row r="3546" customFormat="false" ht="15" hidden="false" customHeight="false" outlineLevel="0" collapsed="false">
      <c r="B3546" s="7" t="s">
        <v>4043</v>
      </c>
      <c r="C3546" s="39" t="n">
        <v>45833</v>
      </c>
      <c r="D3546" s="7" t="s">
        <v>389</v>
      </c>
      <c r="E3546" s="7" t="s">
        <v>154</v>
      </c>
      <c r="F3546" s="7" t="s">
        <v>246</v>
      </c>
      <c r="G3546" s="7" t="s">
        <v>505</v>
      </c>
      <c r="H3546" s="6" t="n">
        <v>3.99</v>
      </c>
      <c r="I3546" s="6" t="n">
        <v>0</v>
      </c>
      <c r="J3546" s="40" t="n">
        <f aca="false">H3546-I3546</f>
        <v>3.99</v>
      </c>
      <c r="K3546" s="41" t="n">
        <v>26.5</v>
      </c>
      <c r="L3546" s="42" t="n">
        <f aca="false">J3546*K3546</f>
        <v>105.735</v>
      </c>
      <c r="M3546" s="43" t="n">
        <f aca="false">H3546*16.48*(1+'Chart of Accounts'!$E$67)</f>
        <v>75.289704</v>
      </c>
    </row>
    <row r="3547" customFormat="false" ht="15" hidden="false" customHeight="false" outlineLevel="0" collapsed="false">
      <c r="B3547" s="7" t="s">
        <v>4044</v>
      </c>
      <c r="C3547" s="39" t="n">
        <v>45833</v>
      </c>
      <c r="D3547" s="7" t="s">
        <v>391</v>
      </c>
      <c r="E3547" s="7" t="s">
        <v>156</v>
      </c>
      <c r="F3547" s="7" t="s">
        <v>222</v>
      </c>
      <c r="G3547" s="7" t="s">
        <v>505</v>
      </c>
      <c r="H3547" s="6" t="n">
        <v>3.84</v>
      </c>
      <c r="I3547" s="6" t="n">
        <v>0</v>
      </c>
      <c r="J3547" s="40" t="n">
        <f aca="false">H3547-I3547</f>
        <v>3.84</v>
      </c>
      <c r="K3547" s="41" t="n">
        <v>34</v>
      </c>
      <c r="L3547" s="42" t="n">
        <f aca="false">J3547*K3547</f>
        <v>130.56</v>
      </c>
      <c r="M3547" s="43" t="n">
        <f aca="false">H3547*17.84*(1+'Chart of Accounts'!$E$67)</f>
        <v>78.438912</v>
      </c>
    </row>
    <row r="3548" customFormat="false" ht="15" hidden="false" customHeight="false" outlineLevel="0" collapsed="false">
      <c r="B3548" s="7" t="s">
        <v>4045</v>
      </c>
      <c r="C3548" s="39" t="n">
        <v>45833</v>
      </c>
      <c r="D3548" s="7" t="s">
        <v>393</v>
      </c>
      <c r="E3548" s="7" t="s">
        <v>157</v>
      </c>
      <c r="F3548" s="7" t="s">
        <v>203</v>
      </c>
      <c r="G3548" s="7" t="s">
        <v>502</v>
      </c>
      <c r="H3548" s="6" t="n">
        <v>1.04</v>
      </c>
      <c r="I3548" s="6" t="n">
        <v>0</v>
      </c>
      <c r="J3548" s="40" t="n">
        <f aca="false">H3548-I3548</f>
        <v>1.04</v>
      </c>
      <c r="K3548" s="41" t="n">
        <v>165</v>
      </c>
      <c r="L3548" s="42" t="n">
        <f aca="false">J3548*K3548</f>
        <v>171.6</v>
      </c>
      <c r="M3548" s="43" t="n">
        <f aca="false">H3548*49.43*(1+'Chart of Accounts'!$E$67)</f>
        <v>58.861244</v>
      </c>
    </row>
    <row r="3549" customFormat="false" ht="15" hidden="false" customHeight="false" outlineLevel="0" collapsed="false">
      <c r="B3549" s="7" t="s">
        <v>4046</v>
      </c>
      <c r="C3549" s="39" t="n">
        <v>45833</v>
      </c>
      <c r="D3549" s="7" t="s">
        <v>395</v>
      </c>
      <c r="E3549" s="7" t="s">
        <v>156</v>
      </c>
      <c r="F3549" s="7" t="s">
        <v>242</v>
      </c>
      <c r="G3549" s="7" t="s">
        <v>505</v>
      </c>
      <c r="H3549" s="6" t="n">
        <v>4.21</v>
      </c>
      <c r="I3549" s="6" t="n">
        <v>0</v>
      </c>
      <c r="J3549" s="40" t="n">
        <f aca="false">H3549-I3549</f>
        <v>4.21</v>
      </c>
      <c r="K3549" s="41" t="n">
        <v>34</v>
      </c>
      <c r="L3549" s="42" t="n">
        <f aca="false">J3549*K3549</f>
        <v>143.14</v>
      </c>
      <c r="M3549" s="43" t="n">
        <f aca="false">H3549*17.99*(1+'Chart of Accounts'!$E$67)</f>
        <v>86.7198955</v>
      </c>
    </row>
    <row r="3550" customFormat="false" ht="15" hidden="false" customHeight="false" outlineLevel="0" collapsed="false">
      <c r="B3550" s="7" t="s">
        <v>4047</v>
      </c>
      <c r="C3550" s="39" t="n">
        <v>45833</v>
      </c>
      <c r="D3550" s="7" t="s">
        <v>399</v>
      </c>
      <c r="E3550" s="7" t="s">
        <v>154</v>
      </c>
      <c r="F3550" s="7" t="s">
        <v>222</v>
      </c>
      <c r="G3550" s="7" t="s">
        <v>505</v>
      </c>
      <c r="H3550" s="6" t="n">
        <v>3.15</v>
      </c>
      <c r="I3550" s="6" t="n">
        <v>0</v>
      </c>
      <c r="J3550" s="40" t="n">
        <f aca="false">H3550-I3550</f>
        <v>3.15</v>
      </c>
      <c r="K3550" s="41" t="n">
        <v>26.5</v>
      </c>
      <c r="L3550" s="42" t="n">
        <f aca="false">J3550*K3550</f>
        <v>83.475</v>
      </c>
      <c r="M3550" s="43" t="n">
        <f aca="false">H3550*17.84*(1+'Chart of Accounts'!$E$67)</f>
        <v>64.34442</v>
      </c>
    </row>
    <row r="3551" customFormat="false" ht="15" hidden="false" customHeight="false" outlineLevel="0" collapsed="false">
      <c r="B3551" s="7" t="s">
        <v>4048</v>
      </c>
      <c r="C3551" s="39" t="n">
        <v>45833</v>
      </c>
      <c r="D3551" s="7" t="s">
        <v>401</v>
      </c>
      <c r="E3551" s="7" t="s">
        <v>156</v>
      </c>
      <c r="F3551" s="7" t="s">
        <v>254</v>
      </c>
      <c r="G3551" s="7" t="s">
        <v>505</v>
      </c>
      <c r="H3551" s="6" t="n">
        <v>3.85</v>
      </c>
      <c r="I3551" s="6" t="n">
        <v>0</v>
      </c>
      <c r="J3551" s="40" t="n">
        <f aca="false">H3551-I3551</f>
        <v>3.85</v>
      </c>
      <c r="K3551" s="41" t="n">
        <v>34</v>
      </c>
      <c r="L3551" s="42" t="n">
        <f aca="false">J3551*K3551</f>
        <v>130.9</v>
      </c>
      <c r="M3551" s="43" t="n">
        <f aca="false">H3551*17.1*(1+'Chart of Accounts'!$E$67)</f>
        <v>75.381075</v>
      </c>
    </row>
    <row r="3552" customFormat="false" ht="15" hidden="false" customHeight="false" outlineLevel="0" collapsed="false">
      <c r="B3552" s="7" t="s">
        <v>4049</v>
      </c>
      <c r="C3552" s="39" t="n">
        <v>45833</v>
      </c>
      <c r="D3552" s="7" t="s">
        <v>409</v>
      </c>
      <c r="E3552" s="7" t="s">
        <v>154</v>
      </c>
      <c r="F3552" s="7" t="s">
        <v>214</v>
      </c>
      <c r="G3552" s="7" t="s">
        <v>505</v>
      </c>
      <c r="H3552" s="6" t="n">
        <v>3.2</v>
      </c>
      <c r="I3552" s="6" t="n">
        <v>0</v>
      </c>
      <c r="J3552" s="40" t="n">
        <f aca="false">H3552-I3552</f>
        <v>3.2</v>
      </c>
      <c r="K3552" s="41" t="n">
        <v>26.5</v>
      </c>
      <c r="L3552" s="42" t="n">
        <f aca="false">J3552*K3552</f>
        <v>84.8</v>
      </c>
      <c r="M3552" s="43" t="n">
        <f aca="false">H3552*15.67*(1+'Chart of Accounts'!$E$67)</f>
        <v>57.41488</v>
      </c>
    </row>
    <row r="3553" customFormat="false" ht="15" hidden="false" customHeight="false" outlineLevel="0" collapsed="false">
      <c r="B3553" s="7" t="s">
        <v>4050</v>
      </c>
      <c r="C3553" s="39" t="n">
        <v>45833</v>
      </c>
      <c r="D3553" s="7" t="s">
        <v>411</v>
      </c>
      <c r="E3553" s="7" t="s">
        <v>154</v>
      </c>
      <c r="F3553" s="7" t="s">
        <v>177</v>
      </c>
      <c r="G3553" s="7" t="s">
        <v>505</v>
      </c>
      <c r="H3553" s="6" t="n">
        <v>4.34</v>
      </c>
      <c r="I3553" s="6" t="n">
        <v>0.13</v>
      </c>
      <c r="J3553" s="40" t="n">
        <f aca="false">H3553-I3553</f>
        <v>4.21</v>
      </c>
      <c r="K3553" s="41" t="n">
        <v>26.5</v>
      </c>
      <c r="L3553" s="42" t="n">
        <f aca="false">J3553*K3553</f>
        <v>111.565</v>
      </c>
      <c r="M3553" s="43" t="n">
        <f aca="false">H3553*14.56*(1+'Chart of Accounts'!$E$67)</f>
        <v>72.353008</v>
      </c>
    </row>
    <row r="3554" customFormat="false" ht="15" hidden="false" customHeight="false" outlineLevel="0" collapsed="false">
      <c r="B3554" s="7" t="s">
        <v>4051</v>
      </c>
      <c r="C3554" s="39" t="n">
        <v>45834</v>
      </c>
      <c r="D3554" s="7" t="s">
        <v>288</v>
      </c>
      <c r="E3554" s="7" t="s">
        <v>156</v>
      </c>
      <c r="F3554" s="7" t="s">
        <v>214</v>
      </c>
      <c r="G3554" s="7" t="s">
        <v>505</v>
      </c>
      <c r="H3554" s="6" t="n">
        <v>4.09</v>
      </c>
      <c r="I3554" s="6" t="n">
        <v>0</v>
      </c>
      <c r="J3554" s="40" t="n">
        <f aca="false">H3554-I3554</f>
        <v>4.09</v>
      </c>
      <c r="K3554" s="41" t="n">
        <v>34</v>
      </c>
      <c r="L3554" s="42" t="n">
        <f aca="false">J3554*K3554</f>
        <v>139.06</v>
      </c>
      <c r="M3554" s="43" t="n">
        <f aca="false">H3554*15.67*(1+'Chart of Accounts'!$E$67)</f>
        <v>73.3833935</v>
      </c>
    </row>
    <row r="3555" customFormat="false" ht="15" hidden="false" customHeight="false" outlineLevel="0" collapsed="false">
      <c r="B3555" s="7" t="s">
        <v>4052</v>
      </c>
      <c r="C3555" s="39" t="n">
        <v>45834</v>
      </c>
      <c r="D3555" s="7" t="s">
        <v>297</v>
      </c>
      <c r="E3555" s="7" t="s">
        <v>156</v>
      </c>
      <c r="F3555" s="7" t="s">
        <v>201</v>
      </c>
      <c r="G3555" s="7" t="s">
        <v>505</v>
      </c>
      <c r="H3555" s="6" t="n">
        <v>2.72</v>
      </c>
      <c r="I3555" s="6" t="n">
        <v>0</v>
      </c>
      <c r="J3555" s="40" t="n">
        <f aca="false">H3555-I3555</f>
        <v>2.72</v>
      </c>
      <c r="K3555" s="41" t="n">
        <v>34</v>
      </c>
      <c r="L3555" s="42" t="n">
        <f aca="false">J3555*K3555</f>
        <v>92.48</v>
      </c>
      <c r="M3555" s="43" t="n">
        <f aca="false">H3555*15.19*(1+'Chart of Accounts'!$E$67)</f>
        <v>47.307736</v>
      </c>
    </row>
    <row r="3556" customFormat="false" ht="15" hidden="false" customHeight="false" outlineLevel="0" collapsed="false">
      <c r="B3556" s="7" t="s">
        <v>4053</v>
      </c>
      <c r="C3556" s="39" t="n">
        <v>45834</v>
      </c>
      <c r="D3556" s="7" t="s">
        <v>311</v>
      </c>
      <c r="E3556" s="7" t="s">
        <v>154</v>
      </c>
      <c r="F3556" s="7" t="s">
        <v>196</v>
      </c>
      <c r="G3556" s="7" t="s">
        <v>505</v>
      </c>
      <c r="H3556" s="6" t="n">
        <v>3.05</v>
      </c>
      <c r="I3556" s="6" t="n">
        <v>0</v>
      </c>
      <c r="J3556" s="40" t="n">
        <f aca="false">H3556-I3556</f>
        <v>3.05</v>
      </c>
      <c r="K3556" s="41" t="n">
        <v>26.5</v>
      </c>
      <c r="L3556" s="42" t="n">
        <f aca="false">J3556*K3556</f>
        <v>80.825</v>
      </c>
      <c r="M3556" s="43" t="n">
        <f aca="false">H3556*15.05*(1+'Chart of Accounts'!$E$67)</f>
        <v>52.5583625</v>
      </c>
    </row>
    <row r="3557" customFormat="false" ht="15" hidden="false" customHeight="false" outlineLevel="0" collapsed="false">
      <c r="B3557" s="7" t="s">
        <v>4054</v>
      </c>
      <c r="C3557" s="39" t="n">
        <v>45834</v>
      </c>
      <c r="D3557" s="7" t="s">
        <v>313</v>
      </c>
      <c r="E3557" s="7" t="s">
        <v>156</v>
      </c>
      <c r="F3557" s="7" t="s">
        <v>184</v>
      </c>
      <c r="G3557" s="7" t="s">
        <v>505</v>
      </c>
      <c r="H3557" s="6" t="n">
        <v>4.2</v>
      </c>
      <c r="I3557" s="6" t="n">
        <v>0</v>
      </c>
      <c r="J3557" s="40" t="n">
        <f aca="false">H3557-I3557</f>
        <v>4.2</v>
      </c>
      <c r="K3557" s="41" t="n">
        <v>34</v>
      </c>
      <c r="L3557" s="42" t="n">
        <f aca="false">J3557*K3557</f>
        <v>142.8</v>
      </c>
      <c r="M3557" s="43" t="n">
        <f aca="false">H3557*17.34*(1+'Chart of Accounts'!$E$67)</f>
        <v>83.38806</v>
      </c>
    </row>
    <row r="3558" customFormat="false" ht="15" hidden="false" customHeight="false" outlineLevel="0" collapsed="false">
      <c r="B3558" s="7" t="s">
        <v>4055</v>
      </c>
      <c r="C3558" s="39" t="n">
        <v>45834</v>
      </c>
      <c r="D3558" s="7" t="s">
        <v>317</v>
      </c>
      <c r="E3558" s="7" t="s">
        <v>156</v>
      </c>
      <c r="F3558" s="7" t="s">
        <v>207</v>
      </c>
      <c r="G3558" s="7" t="s">
        <v>505</v>
      </c>
      <c r="H3558" s="6" t="n">
        <v>3.07</v>
      </c>
      <c r="I3558" s="6" t="n">
        <v>0</v>
      </c>
      <c r="J3558" s="40" t="n">
        <f aca="false">H3558-I3558</f>
        <v>3.07</v>
      </c>
      <c r="K3558" s="41" t="n">
        <v>34</v>
      </c>
      <c r="L3558" s="42" t="n">
        <f aca="false">J3558*K3558</f>
        <v>104.38</v>
      </c>
      <c r="M3558" s="43" t="n">
        <f aca="false">H3558*16.65*(1+'Chart of Accounts'!$E$67)</f>
        <v>58.5272475</v>
      </c>
    </row>
    <row r="3559" customFormat="false" ht="15" hidden="false" customHeight="false" outlineLevel="0" collapsed="false">
      <c r="B3559" s="7" t="s">
        <v>4056</v>
      </c>
      <c r="C3559" s="39" t="n">
        <v>45834</v>
      </c>
      <c r="D3559" s="7" t="s">
        <v>321</v>
      </c>
      <c r="E3559" s="7" t="s">
        <v>154</v>
      </c>
      <c r="F3559" s="7" t="s">
        <v>218</v>
      </c>
      <c r="G3559" s="7" t="s">
        <v>505</v>
      </c>
      <c r="H3559" s="6" t="n">
        <v>3.72</v>
      </c>
      <c r="I3559" s="6" t="n">
        <v>0</v>
      </c>
      <c r="J3559" s="40" t="n">
        <f aca="false">H3559-I3559</f>
        <v>3.72</v>
      </c>
      <c r="K3559" s="41" t="n">
        <v>26.5</v>
      </c>
      <c r="L3559" s="42" t="n">
        <f aca="false">J3559*K3559</f>
        <v>98.58</v>
      </c>
      <c r="M3559" s="43" t="n">
        <f aca="false">H3559*16.19*(1+'Chart of Accounts'!$E$67)</f>
        <v>68.959686</v>
      </c>
    </row>
    <row r="3560" customFormat="false" ht="15" hidden="false" customHeight="false" outlineLevel="0" collapsed="false">
      <c r="B3560" s="7" t="s">
        <v>4057</v>
      </c>
      <c r="C3560" s="39" t="n">
        <v>45834</v>
      </c>
      <c r="D3560" s="7" t="s">
        <v>325</v>
      </c>
      <c r="E3560" s="7" t="s">
        <v>154</v>
      </c>
      <c r="F3560" s="7" t="s">
        <v>212</v>
      </c>
      <c r="G3560" s="7" t="s">
        <v>505</v>
      </c>
      <c r="H3560" s="6" t="n">
        <v>2.92</v>
      </c>
      <c r="I3560" s="6" t="n">
        <v>0</v>
      </c>
      <c r="J3560" s="40" t="n">
        <f aca="false">H3560-I3560</f>
        <v>2.92</v>
      </c>
      <c r="K3560" s="41" t="n">
        <v>26.5</v>
      </c>
      <c r="L3560" s="42" t="n">
        <f aca="false">J3560*K3560</f>
        <v>77.38</v>
      </c>
      <c r="M3560" s="43" t="n">
        <f aca="false">H3560*16.71*(1+'Chart of Accounts'!$E$67)</f>
        <v>55.868214</v>
      </c>
    </row>
    <row r="3561" customFormat="false" ht="15" hidden="false" customHeight="false" outlineLevel="0" collapsed="false">
      <c r="B3561" s="7" t="s">
        <v>4058</v>
      </c>
      <c r="C3561" s="39" t="n">
        <v>45834</v>
      </c>
      <c r="D3561" s="7" t="s">
        <v>329</v>
      </c>
      <c r="E3561" s="7" t="s">
        <v>156</v>
      </c>
      <c r="F3561" s="7" t="s">
        <v>220</v>
      </c>
      <c r="G3561" s="7" t="s">
        <v>505</v>
      </c>
      <c r="H3561" s="6" t="n">
        <v>3.74</v>
      </c>
      <c r="I3561" s="6" t="n">
        <v>0</v>
      </c>
      <c r="J3561" s="40" t="n">
        <f aca="false">H3561-I3561</f>
        <v>3.74</v>
      </c>
      <c r="K3561" s="41" t="n">
        <v>34</v>
      </c>
      <c r="L3561" s="42" t="n">
        <f aca="false">J3561*K3561</f>
        <v>127.16</v>
      </c>
      <c r="M3561" s="43" t="n">
        <f aca="false">H3561*16.43*(1+'Chart of Accounts'!$E$67)</f>
        <v>70.358189</v>
      </c>
    </row>
    <row r="3562" customFormat="false" ht="15" hidden="false" customHeight="false" outlineLevel="0" collapsed="false">
      <c r="B3562" s="7" t="s">
        <v>4059</v>
      </c>
      <c r="C3562" s="39" t="n">
        <v>45834</v>
      </c>
      <c r="D3562" s="7" t="s">
        <v>337</v>
      </c>
      <c r="E3562" s="7" t="s">
        <v>154</v>
      </c>
      <c r="F3562" s="7" t="s">
        <v>232</v>
      </c>
      <c r="G3562" s="7" t="s">
        <v>505</v>
      </c>
      <c r="H3562" s="6" t="n">
        <v>2.91</v>
      </c>
      <c r="I3562" s="6" t="n">
        <v>0</v>
      </c>
      <c r="J3562" s="40" t="n">
        <f aca="false">H3562-I3562</f>
        <v>2.91</v>
      </c>
      <c r="K3562" s="41" t="n">
        <v>26.5</v>
      </c>
      <c r="L3562" s="42" t="n">
        <f aca="false">J3562*K3562</f>
        <v>77.115</v>
      </c>
      <c r="M3562" s="43" t="n">
        <f aca="false">H3562*16.17*(1+'Chart of Accounts'!$E$67)</f>
        <v>53.8776315</v>
      </c>
    </row>
    <row r="3563" customFormat="false" ht="15" hidden="false" customHeight="false" outlineLevel="0" collapsed="false">
      <c r="B3563" s="7" t="s">
        <v>4060</v>
      </c>
      <c r="C3563" s="39" t="n">
        <v>45834</v>
      </c>
      <c r="D3563" s="7" t="s">
        <v>341</v>
      </c>
      <c r="E3563" s="7" t="s">
        <v>156</v>
      </c>
      <c r="F3563" s="7" t="s">
        <v>222</v>
      </c>
      <c r="G3563" s="7" t="s">
        <v>505</v>
      </c>
      <c r="H3563" s="6" t="n">
        <v>2.87</v>
      </c>
      <c r="I3563" s="6" t="n">
        <v>0</v>
      </c>
      <c r="J3563" s="40" t="n">
        <f aca="false">H3563-I3563</f>
        <v>2.87</v>
      </c>
      <c r="K3563" s="41" t="n">
        <v>34</v>
      </c>
      <c r="L3563" s="42" t="n">
        <f aca="false">J3563*K3563</f>
        <v>97.58</v>
      </c>
      <c r="M3563" s="43" t="n">
        <f aca="false">H3563*17.84*(1+'Chart of Accounts'!$E$67)</f>
        <v>58.624916</v>
      </c>
    </row>
    <row r="3564" customFormat="false" ht="15" hidden="false" customHeight="false" outlineLevel="0" collapsed="false">
      <c r="B3564" s="7" t="s">
        <v>4061</v>
      </c>
      <c r="C3564" s="39" t="n">
        <v>45834</v>
      </c>
      <c r="D3564" s="7" t="s">
        <v>343</v>
      </c>
      <c r="E3564" s="7" t="s">
        <v>154</v>
      </c>
      <c r="F3564" s="7" t="s">
        <v>238</v>
      </c>
      <c r="G3564" s="7" t="s">
        <v>505</v>
      </c>
      <c r="H3564" s="6" t="n">
        <v>4.12</v>
      </c>
      <c r="I3564" s="6" t="n">
        <v>0</v>
      </c>
      <c r="J3564" s="40" t="n">
        <f aca="false">H3564-I3564</f>
        <v>4.12</v>
      </c>
      <c r="K3564" s="41" t="n">
        <v>26.5</v>
      </c>
      <c r="L3564" s="42" t="n">
        <f aca="false">J3564*K3564</f>
        <v>109.18</v>
      </c>
      <c r="M3564" s="43" t="n">
        <f aca="false">H3564*15.85*(1+'Chart of Accounts'!$E$67)</f>
        <v>74.77079</v>
      </c>
    </row>
    <row r="3565" customFormat="false" ht="15" hidden="false" customHeight="false" outlineLevel="0" collapsed="false">
      <c r="B3565" s="7" t="s">
        <v>4062</v>
      </c>
      <c r="C3565" s="39" t="n">
        <v>45834</v>
      </c>
      <c r="D3565" s="7" t="s">
        <v>359</v>
      </c>
      <c r="E3565" s="7" t="s">
        <v>156</v>
      </c>
      <c r="F3565" s="7" t="s">
        <v>212</v>
      </c>
      <c r="G3565" s="7" t="s">
        <v>505</v>
      </c>
      <c r="H3565" s="6" t="n">
        <v>4.28</v>
      </c>
      <c r="I3565" s="6" t="n">
        <v>0</v>
      </c>
      <c r="J3565" s="40" t="n">
        <f aca="false">H3565-I3565</f>
        <v>4.28</v>
      </c>
      <c r="K3565" s="41" t="n">
        <v>34</v>
      </c>
      <c r="L3565" s="42" t="n">
        <f aca="false">J3565*K3565</f>
        <v>145.52</v>
      </c>
      <c r="M3565" s="43" t="n">
        <f aca="false">H3565*16.71*(1+'Chart of Accounts'!$E$67)</f>
        <v>81.889026</v>
      </c>
    </row>
    <row r="3566" customFormat="false" ht="15" hidden="false" customHeight="false" outlineLevel="0" collapsed="false">
      <c r="B3566" s="7" t="s">
        <v>4063</v>
      </c>
      <c r="C3566" s="39" t="n">
        <v>45834</v>
      </c>
      <c r="D3566" s="7" t="s">
        <v>363</v>
      </c>
      <c r="E3566" s="7" t="s">
        <v>156</v>
      </c>
      <c r="F3566" s="7" t="s">
        <v>246</v>
      </c>
      <c r="G3566" s="7" t="s">
        <v>505</v>
      </c>
      <c r="H3566" s="6" t="n">
        <v>3.78</v>
      </c>
      <c r="I3566" s="6" t="n">
        <v>0</v>
      </c>
      <c r="J3566" s="40" t="n">
        <f aca="false">H3566-I3566</f>
        <v>3.78</v>
      </c>
      <c r="K3566" s="41" t="n">
        <v>34</v>
      </c>
      <c r="L3566" s="42" t="n">
        <f aca="false">J3566*K3566</f>
        <v>128.52</v>
      </c>
      <c r="M3566" s="43" t="n">
        <f aca="false">H3566*16.48*(1+'Chart of Accounts'!$E$67)</f>
        <v>71.327088</v>
      </c>
    </row>
    <row r="3567" customFormat="false" ht="15" hidden="false" customHeight="false" outlineLevel="0" collapsed="false">
      <c r="B3567" s="7" t="s">
        <v>4064</v>
      </c>
      <c r="C3567" s="39" t="n">
        <v>45834</v>
      </c>
      <c r="D3567" s="7" t="s">
        <v>365</v>
      </c>
      <c r="E3567" s="7" t="s">
        <v>154</v>
      </c>
      <c r="F3567" s="7" t="s">
        <v>194</v>
      </c>
      <c r="G3567" s="7" t="s">
        <v>505</v>
      </c>
      <c r="H3567" s="6" t="n">
        <v>3.92</v>
      </c>
      <c r="I3567" s="6" t="n">
        <v>0</v>
      </c>
      <c r="J3567" s="40" t="n">
        <f aca="false">H3567-I3567</f>
        <v>3.92</v>
      </c>
      <c r="K3567" s="41" t="n">
        <v>26.5</v>
      </c>
      <c r="L3567" s="42" t="n">
        <f aca="false">J3567*K3567</f>
        <v>103.88</v>
      </c>
      <c r="M3567" s="43" t="n">
        <f aca="false">H3567*16*(1+'Chart of Accounts'!$E$67)</f>
        <v>71.8144</v>
      </c>
    </row>
    <row r="3568" customFormat="false" ht="15" hidden="false" customHeight="false" outlineLevel="0" collapsed="false">
      <c r="B3568" s="7" t="s">
        <v>4065</v>
      </c>
      <c r="C3568" s="39" t="n">
        <v>45834</v>
      </c>
      <c r="D3568" s="7" t="s">
        <v>375</v>
      </c>
      <c r="E3568" s="7" t="s">
        <v>156</v>
      </c>
      <c r="F3568" s="7" t="s">
        <v>196</v>
      </c>
      <c r="G3568" s="7" t="s">
        <v>505</v>
      </c>
      <c r="H3568" s="6" t="n">
        <v>2.74</v>
      </c>
      <c r="I3568" s="6" t="n">
        <v>0</v>
      </c>
      <c r="J3568" s="40" t="n">
        <f aca="false">H3568-I3568</f>
        <v>2.74</v>
      </c>
      <c r="K3568" s="41" t="n">
        <v>34</v>
      </c>
      <c r="L3568" s="42" t="n">
        <f aca="false">J3568*K3568</f>
        <v>93.16</v>
      </c>
      <c r="M3568" s="43" t="n">
        <f aca="false">H3568*15.05*(1+'Chart of Accounts'!$E$67)</f>
        <v>47.216365</v>
      </c>
    </row>
    <row r="3569" customFormat="false" ht="15" hidden="false" customHeight="false" outlineLevel="0" collapsed="false">
      <c r="B3569" s="7" t="s">
        <v>4066</v>
      </c>
      <c r="C3569" s="39" t="n">
        <v>45834</v>
      </c>
      <c r="D3569" s="7" t="s">
        <v>377</v>
      </c>
      <c r="E3569" s="7" t="s">
        <v>154</v>
      </c>
      <c r="F3569" s="7" t="s">
        <v>214</v>
      </c>
      <c r="G3569" s="7" t="s">
        <v>505</v>
      </c>
      <c r="H3569" s="6" t="n">
        <v>4.19</v>
      </c>
      <c r="I3569" s="6" t="n">
        <v>0</v>
      </c>
      <c r="J3569" s="40" t="n">
        <f aca="false">H3569-I3569</f>
        <v>4.19</v>
      </c>
      <c r="K3569" s="41" t="n">
        <v>26.5</v>
      </c>
      <c r="L3569" s="42" t="n">
        <f aca="false">J3569*K3569</f>
        <v>111.035</v>
      </c>
      <c r="M3569" s="43" t="n">
        <f aca="false">H3569*15.67*(1+'Chart of Accounts'!$E$67)</f>
        <v>75.1776085</v>
      </c>
    </row>
    <row r="3570" customFormat="false" ht="15" hidden="false" customHeight="false" outlineLevel="0" collapsed="false">
      <c r="B3570" s="7" t="s">
        <v>4067</v>
      </c>
      <c r="C3570" s="39" t="n">
        <v>45834</v>
      </c>
      <c r="D3570" s="7" t="s">
        <v>389</v>
      </c>
      <c r="E3570" s="7" t="s">
        <v>154</v>
      </c>
      <c r="F3570" s="7" t="s">
        <v>246</v>
      </c>
      <c r="G3570" s="7" t="s">
        <v>505</v>
      </c>
      <c r="H3570" s="6" t="n">
        <v>3.64</v>
      </c>
      <c r="I3570" s="6" t="n">
        <v>0</v>
      </c>
      <c r="J3570" s="40" t="n">
        <f aca="false">H3570-I3570</f>
        <v>3.64</v>
      </c>
      <c r="K3570" s="41" t="n">
        <v>26.5</v>
      </c>
      <c r="L3570" s="42" t="n">
        <f aca="false">J3570*K3570</f>
        <v>96.46</v>
      </c>
      <c r="M3570" s="43" t="n">
        <f aca="false">H3570*16.48*(1+'Chart of Accounts'!$E$67)</f>
        <v>68.685344</v>
      </c>
    </row>
    <row r="3571" customFormat="false" ht="15" hidden="false" customHeight="false" outlineLevel="0" collapsed="false">
      <c r="B3571" s="7" t="s">
        <v>4068</v>
      </c>
      <c r="C3571" s="39" t="n">
        <v>45834</v>
      </c>
      <c r="D3571" s="7" t="s">
        <v>391</v>
      </c>
      <c r="E3571" s="7" t="s">
        <v>156</v>
      </c>
      <c r="F3571" s="7" t="s">
        <v>222</v>
      </c>
      <c r="G3571" s="7" t="s">
        <v>505</v>
      </c>
      <c r="H3571" s="6" t="n">
        <v>3.8</v>
      </c>
      <c r="I3571" s="6" t="n">
        <v>0</v>
      </c>
      <c r="J3571" s="40" t="n">
        <f aca="false">H3571-I3571</f>
        <v>3.8</v>
      </c>
      <c r="K3571" s="41" t="n">
        <v>34</v>
      </c>
      <c r="L3571" s="42" t="n">
        <f aca="false">J3571*K3571</f>
        <v>129.2</v>
      </c>
      <c r="M3571" s="43" t="n">
        <f aca="false">H3571*17.84*(1+'Chart of Accounts'!$E$67)</f>
        <v>77.62184</v>
      </c>
    </row>
    <row r="3572" customFormat="false" ht="15" hidden="false" customHeight="false" outlineLevel="0" collapsed="false">
      <c r="B3572" s="7" t="s">
        <v>4069</v>
      </c>
      <c r="C3572" s="39" t="n">
        <v>45834</v>
      </c>
      <c r="D3572" s="7" t="s">
        <v>395</v>
      </c>
      <c r="E3572" s="7" t="s">
        <v>156</v>
      </c>
      <c r="F3572" s="7" t="s">
        <v>242</v>
      </c>
      <c r="G3572" s="7" t="s">
        <v>505</v>
      </c>
      <c r="H3572" s="6" t="n">
        <v>4.12</v>
      </c>
      <c r="I3572" s="6" t="n">
        <v>0</v>
      </c>
      <c r="J3572" s="40" t="n">
        <f aca="false">H3572-I3572</f>
        <v>4.12</v>
      </c>
      <c r="K3572" s="41" t="n">
        <v>34</v>
      </c>
      <c r="L3572" s="42" t="n">
        <f aca="false">J3572*K3572</f>
        <v>140.08</v>
      </c>
      <c r="M3572" s="43" t="n">
        <f aca="false">H3572*17.99*(1+'Chart of Accounts'!$E$67)</f>
        <v>84.866026</v>
      </c>
    </row>
    <row r="3573" customFormat="false" ht="15" hidden="false" customHeight="false" outlineLevel="0" collapsed="false">
      <c r="B3573" s="7" t="s">
        <v>4070</v>
      </c>
      <c r="C3573" s="39" t="n">
        <v>45834</v>
      </c>
      <c r="D3573" s="7" t="s">
        <v>401</v>
      </c>
      <c r="E3573" s="7" t="s">
        <v>156</v>
      </c>
      <c r="F3573" s="7" t="s">
        <v>254</v>
      </c>
      <c r="G3573" s="7" t="s">
        <v>505</v>
      </c>
      <c r="H3573" s="6" t="n">
        <v>3.96</v>
      </c>
      <c r="I3573" s="6" t="n">
        <v>0</v>
      </c>
      <c r="J3573" s="40" t="n">
        <f aca="false">H3573-I3573</f>
        <v>3.96</v>
      </c>
      <c r="K3573" s="41" t="n">
        <v>34</v>
      </c>
      <c r="L3573" s="42" t="n">
        <f aca="false">J3573*K3573</f>
        <v>134.64</v>
      </c>
      <c r="M3573" s="43" t="n">
        <f aca="false">H3573*17.1*(1+'Chart of Accounts'!$E$67)</f>
        <v>77.53482</v>
      </c>
    </row>
    <row r="3574" customFormat="false" ht="15" hidden="false" customHeight="false" outlineLevel="0" collapsed="false">
      <c r="B3574" s="7" t="s">
        <v>4071</v>
      </c>
      <c r="C3574" s="39" t="n">
        <v>45835</v>
      </c>
      <c r="D3574" s="7" t="s">
        <v>280</v>
      </c>
      <c r="E3574" s="7" t="s">
        <v>157</v>
      </c>
      <c r="F3574" s="7" t="s">
        <v>187</v>
      </c>
      <c r="G3574" s="7" t="s">
        <v>502</v>
      </c>
      <c r="H3574" s="6" t="n">
        <v>1.01</v>
      </c>
      <c r="I3574" s="6" t="n">
        <v>0</v>
      </c>
      <c r="J3574" s="40" t="n">
        <f aca="false">H3574-I3574</f>
        <v>1.01</v>
      </c>
      <c r="K3574" s="41" t="n">
        <v>165</v>
      </c>
      <c r="L3574" s="42" t="n">
        <f aca="false">J3574*K3574</f>
        <v>166.65</v>
      </c>
      <c r="M3574" s="43" t="n">
        <f aca="false">H3574*66.48*(1+'Chart of Accounts'!$E$67)</f>
        <v>76.880796</v>
      </c>
    </row>
    <row r="3575" customFormat="false" ht="15" hidden="false" customHeight="false" outlineLevel="0" collapsed="false">
      <c r="B3575" s="7" t="s">
        <v>4072</v>
      </c>
      <c r="C3575" s="39" t="n">
        <v>45835</v>
      </c>
      <c r="D3575" s="7" t="s">
        <v>288</v>
      </c>
      <c r="E3575" s="7" t="s">
        <v>156</v>
      </c>
      <c r="F3575" s="7" t="s">
        <v>201</v>
      </c>
      <c r="G3575" s="7" t="s">
        <v>505</v>
      </c>
      <c r="H3575" s="6" t="n">
        <v>4.26</v>
      </c>
      <c r="I3575" s="6" t="n">
        <v>0</v>
      </c>
      <c r="J3575" s="40" t="n">
        <f aca="false">H3575-I3575</f>
        <v>4.26</v>
      </c>
      <c r="K3575" s="41" t="n">
        <v>34</v>
      </c>
      <c r="L3575" s="42" t="n">
        <f aca="false">J3575*K3575</f>
        <v>144.84</v>
      </c>
      <c r="M3575" s="43" t="n">
        <f aca="false">H3575*15.19*(1+'Chart of Accounts'!$E$67)</f>
        <v>74.092263</v>
      </c>
    </row>
    <row r="3576" customFormat="false" ht="15" hidden="false" customHeight="false" outlineLevel="0" collapsed="false">
      <c r="B3576" s="7" t="s">
        <v>4073</v>
      </c>
      <c r="C3576" s="39" t="n">
        <v>45835</v>
      </c>
      <c r="D3576" s="7" t="s">
        <v>291</v>
      </c>
      <c r="E3576" s="7" t="s">
        <v>154</v>
      </c>
      <c r="F3576" s="7" t="s">
        <v>194</v>
      </c>
      <c r="G3576" s="7" t="s">
        <v>505</v>
      </c>
      <c r="H3576" s="6" t="n">
        <v>4.26</v>
      </c>
      <c r="I3576" s="6" t="n">
        <v>0</v>
      </c>
      <c r="J3576" s="40" t="n">
        <f aca="false">H3576-I3576</f>
        <v>4.26</v>
      </c>
      <c r="K3576" s="41" t="n">
        <v>26.5</v>
      </c>
      <c r="L3576" s="42" t="n">
        <f aca="false">J3576*K3576</f>
        <v>112.89</v>
      </c>
      <c r="M3576" s="43" t="n">
        <f aca="false">H3576*16*(1+'Chart of Accounts'!$E$67)</f>
        <v>78.0432</v>
      </c>
    </row>
    <row r="3577" customFormat="false" ht="15" hidden="false" customHeight="false" outlineLevel="0" collapsed="false">
      <c r="B3577" s="7" t="s">
        <v>4074</v>
      </c>
      <c r="C3577" s="39" t="n">
        <v>45835</v>
      </c>
      <c r="D3577" s="7" t="s">
        <v>301</v>
      </c>
      <c r="E3577" s="7" t="s">
        <v>157</v>
      </c>
      <c r="F3577" s="7" t="s">
        <v>209</v>
      </c>
      <c r="G3577" s="7" t="s">
        <v>502</v>
      </c>
      <c r="H3577" s="6" t="n">
        <v>1.02</v>
      </c>
      <c r="I3577" s="6" t="n">
        <v>0</v>
      </c>
      <c r="J3577" s="40" t="n">
        <f aca="false">H3577-I3577</f>
        <v>1.02</v>
      </c>
      <c r="K3577" s="41" t="n">
        <v>165</v>
      </c>
      <c r="L3577" s="42" t="n">
        <f aca="false">J3577*K3577</f>
        <v>168.3</v>
      </c>
      <c r="M3577" s="43" t="n">
        <f aca="false">H3577*73.58*(1+'Chart of Accounts'!$E$67)</f>
        <v>85.934082</v>
      </c>
    </row>
    <row r="3578" customFormat="false" ht="15" hidden="false" customHeight="false" outlineLevel="0" collapsed="false">
      <c r="B3578" s="7" t="s">
        <v>4075</v>
      </c>
      <c r="C3578" s="39" t="n">
        <v>45835</v>
      </c>
      <c r="D3578" s="7" t="s">
        <v>305</v>
      </c>
      <c r="E3578" s="7" t="s">
        <v>154</v>
      </c>
      <c r="F3578" s="7" t="s">
        <v>205</v>
      </c>
      <c r="G3578" s="7" t="s">
        <v>505</v>
      </c>
      <c r="H3578" s="6" t="n">
        <v>4.23</v>
      </c>
      <c r="I3578" s="6" t="n">
        <v>0</v>
      </c>
      <c r="J3578" s="40" t="n">
        <f aca="false">H3578-I3578</f>
        <v>4.23</v>
      </c>
      <c r="K3578" s="41" t="n">
        <v>26.5</v>
      </c>
      <c r="L3578" s="42" t="n">
        <f aca="false">J3578*K3578</f>
        <v>112.095</v>
      </c>
      <c r="M3578" s="43" t="n">
        <f aca="false">H3578*16.36*(1+'Chart of Accounts'!$E$67)</f>
        <v>79.237206</v>
      </c>
    </row>
    <row r="3579" customFormat="false" ht="15" hidden="false" customHeight="false" outlineLevel="0" collapsed="false">
      <c r="B3579" s="7" t="s">
        <v>4076</v>
      </c>
      <c r="C3579" s="39" t="n">
        <v>45835</v>
      </c>
      <c r="D3579" s="7" t="s">
        <v>307</v>
      </c>
      <c r="E3579" s="7" t="s">
        <v>157</v>
      </c>
      <c r="F3579" s="7" t="s">
        <v>264</v>
      </c>
      <c r="G3579" s="7" t="s">
        <v>502</v>
      </c>
      <c r="H3579" s="6" t="n">
        <v>0.94</v>
      </c>
      <c r="I3579" s="6" t="n">
        <v>0.047</v>
      </c>
      <c r="J3579" s="40" t="n">
        <f aca="false">H3579-I3579</f>
        <v>0.893</v>
      </c>
      <c r="K3579" s="41" t="n">
        <v>165</v>
      </c>
      <c r="L3579" s="42" t="n">
        <f aca="false">J3579*K3579</f>
        <v>147.345</v>
      </c>
      <c r="M3579" s="43" t="n">
        <f aca="false">H3579*55.55*(1+'Chart of Accounts'!$E$67)</f>
        <v>59.788465</v>
      </c>
    </row>
    <row r="3580" customFormat="false" ht="15" hidden="false" customHeight="false" outlineLevel="0" collapsed="false">
      <c r="B3580" s="7" t="s">
        <v>4077</v>
      </c>
      <c r="C3580" s="39" t="n">
        <v>45835</v>
      </c>
      <c r="D3580" s="7" t="s">
        <v>309</v>
      </c>
      <c r="E3580" s="7" t="s">
        <v>159</v>
      </c>
      <c r="F3580" s="7" t="s">
        <v>252</v>
      </c>
      <c r="G3580" s="7" t="s">
        <v>502</v>
      </c>
      <c r="H3580" s="6" t="n">
        <v>0.94</v>
      </c>
      <c r="I3580" s="6" t="n">
        <v>0</v>
      </c>
      <c r="J3580" s="40" t="n">
        <f aca="false">H3580-I3580</f>
        <v>0.94</v>
      </c>
      <c r="K3580" s="41" t="n">
        <v>135</v>
      </c>
      <c r="L3580" s="42" t="n">
        <f aca="false">J3580*K3580</f>
        <v>126.9</v>
      </c>
      <c r="M3580" s="43" t="n">
        <f aca="false">H3580*57.54*(1+'Chart of Accounts'!$E$67)</f>
        <v>61.930302</v>
      </c>
    </row>
    <row r="3581" customFormat="false" ht="15" hidden="false" customHeight="false" outlineLevel="0" collapsed="false">
      <c r="B3581" s="7" t="s">
        <v>4078</v>
      </c>
      <c r="C3581" s="39" t="n">
        <v>45835</v>
      </c>
      <c r="D3581" s="7" t="s">
        <v>313</v>
      </c>
      <c r="E3581" s="7" t="s">
        <v>156</v>
      </c>
      <c r="F3581" s="7" t="s">
        <v>184</v>
      </c>
      <c r="G3581" s="7" t="s">
        <v>505</v>
      </c>
      <c r="H3581" s="6" t="n">
        <v>3.99</v>
      </c>
      <c r="I3581" s="6" t="n">
        <v>0</v>
      </c>
      <c r="J3581" s="40" t="n">
        <f aca="false">H3581-I3581</f>
        <v>3.99</v>
      </c>
      <c r="K3581" s="41" t="n">
        <v>34</v>
      </c>
      <c r="L3581" s="42" t="n">
        <f aca="false">J3581*K3581</f>
        <v>135.66</v>
      </c>
      <c r="M3581" s="43" t="n">
        <f aca="false">H3581*17.34*(1+'Chart of Accounts'!$E$67)</f>
        <v>79.218657</v>
      </c>
    </row>
    <row r="3582" customFormat="false" ht="15" hidden="false" customHeight="false" outlineLevel="0" collapsed="false">
      <c r="B3582" s="7" t="s">
        <v>4079</v>
      </c>
      <c r="C3582" s="39" t="n">
        <v>45835</v>
      </c>
      <c r="D3582" s="7" t="s">
        <v>319</v>
      </c>
      <c r="E3582" s="7" t="s">
        <v>157</v>
      </c>
      <c r="F3582" s="7" t="s">
        <v>234</v>
      </c>
      <c r="G3582" s="7" t="s">
        <v>502</v>
      </c>
      <c r="H3582" s="6" t="n">
        <v>1.07</v>
      </c>
      <c r="I3582" s="6" t="n">
        <v>0</v>
      </c>
      <c r="J3582" s="40" t="n">
        <f aca="false">H3582-I3582</f>
        <v>1.07</v>
      </c>
      <c r="K3582" s="41" t="n">
        <v>165</v>
      </c>
      <c r="L3582" s="42" t="n">
        <f aca="false">J3582*K3582</f>
        <v>176.55</v>
      </c>
      <c r="M3582" s="43" t="n">
        <f aca="false">H3582*89.53*(1+'Chart of Accounts'!$E$67)</f>
        <v>109.6876795</v>
      </c>
    </row>
    <row r="3583" customFormat="false" ht="15" hidden="false" customHeight="false" outlineLevel="0" collapsed="false">
      <c r="B3583" s="7" t="s">
        <v>4080</v>
      </c>
      <c r="C3583" s="39" t="n">
        <v>45835</v>
      </c>
      <c r="D3583" s="7" t="s">
        <v>321</v>
      </c>
      <c r="E3583" s="7" t="s">
        <v>154</v>
      </c>
      <c r="F3583" s="7" t="s">
        <v>218</v>
      </c>
      <c r="G3583" s="7" t="s">
        <v>505</v>
      </c>
      <c r="H3583" s="6" t="n">
        <v>4.22</v>
      </c>
      <c r="I3583" s="6" t="n">
        <v>0</v>
      </c>
      <c r="J3583" s="40" t="n">
        <f aca="false">H3583-I3583</f>
        <v>4.22</v>
      </c>
      <c r="K3583" s="41" t="n">
        <v>26.5</v>
      </c>
      <c r="L3583" s="42" t="n">
        <f aca="false">J3583*K3583</f>
        <v>111.83</v>
      </c>
      <c r="M3583" s="43" t="n">
        <f aca="false">H3583*16.19*(1+'Chart of Accounts'!$E$67)</f>
        <v>78.228461</v>
      </c>
    </row>
    <row r="3584" customFormat="false" ht="15" hidden="false" customHeight="false" outlineLevel="0" collapsed="false">
      <c r="B3584" s="7" t="s">
        <v>4081</v>
      </c>
      <c r="C3584" s="39" t="n">
        <v>45835</v>
      </c>
      <c r="D3584" s="7" t="s">
        <v>323</v>
      </c>
      <c r="E3584" s="7" t="s">
        <v>159</v>
      </c>
      <c r="F3584" s="7" t="s">
        <v>266</v>
      </c>
      <c r="G3584" s="7" t="s">
        <v>502</v>
      </c>
      <c r="H3584" s="6" t="n">
        <v>1.02</v>
      </c>
      <c r="I3584" s="6" t="n">
        <v>0.071</v>
      </c>
      <c r="J3584" s="40" t="n">
        <f aca="false">H3584-I3584</f>
        <v>0.949</v>
      </c>
      <c r="K3584" s="41" t="n">
        <v>135</v>
      </c>
      <c r="L3584" s="42" t="n">
        <f aca="false">J3584*K3584</f>
        <v>128.115</v>
      </c>
      <c r="M3584" s="43" t="n">
        <f aca="false">H3584*75.18*(1+'Chart of Accounts'!$E$67)</f>
        <v>87.802722</v>
      </c>
    </row>
    <row r="3585" customFormat="false" ht="15" hidden="false" customHeight="false" outlineLevel="0" collapsed="false">
      <c r="B3585" s="7" t="s">
        <v>4082</v>
      </c>
      <c r="C3585" s="39" t="n">
        <v>45835</v>
      </c>
      <c r="D3585" s="7" t="s">
        <v>327</v>
      </c>
      <c r="E3585" s="7" t="s">
        <v>157</v>
      </c>
      <c r="F3585" s="7" t="s">
        <v>228</v>
      </c>
      <c r="G3585" s="7" t="s">
        <v>502</v>
      </c>
      <c r="H3585" s="6" t="n">
        <v>1.05</v>
      </c>
      <c r="I3585" s="6" t="n">
        <v>0</v>
      </c>
      <c r="J3585" s="40" t="n">
        <f aca="false">H3585-I3585</f>
        <v>1.05</v>
      </c>
      <c r="K3585" s="41" t="n">
        <v>165</v>
      </c>
      <c r="L3585" s="42" t="n">
        <f aca="false">J3585*K3585</f>
        <v>173.25</v>
      </c>
      <c r="M3585" s="43" t="n">
        <f aca="false">H3585*51.07*(1+'Chart of Accounts'!$E$67)</f>
        <v>61.3989075</v>
      </c>
    </row>
    <row r="3586" customFormat="false" ht="15" hidden="false" customHeight="false" outlineLevel="0" collapsed="false">
      <c r="B3586" s="7" t="s">
        <v>4083</v>
      </c>
      <c r="C3586" s="39" t="n">
        <v>45835</v>
      </c>
      <c r="D3586" s="7" t="s">
        <v>329</v>
      </c>
      <c r="E3586" s="7" t="s">
        <v>156</v>
      </c>
      <c r="F3586" s="7" t="s">
        <v>220</v>
      </c>
      <c r="G3586" s="7" t="s">
        <v>505</v>
      </c>
      <c r="H3586" s="6" t="n">
        <v>3.74</v>
      </c>
      <c r="I3586" s="6" t="n">
        <v>0</v>
      </c>
      <c r="J3586" s="40" t="n">
        <f aca="false">H3586-I3586</f>
        <v>3.74</v>
      </c>
      <c r="K3586" s="41" t="n">
        <v>34</v>
      </c>
      <c r="L3586" s="42" t="n">
        <f aca="false">J3586*K3586</f>
        <v>127.16</v>
      </c>
      <c r="M3586" s="43" t="n">
        <f aca="false">H3586*16.43*(1+'Chart of Accounts'!$E$67)</f>
        <v>70.358189</v>
      </c>
    </row>
    <row r="3587" customFormat="false" ht="15" hidden="false" customHeight="false" outlineLevel="0" collapsed="false">
      <c r="B3587" s="7" t="s">
        <v>4084</v>
      </c>
      <c r="C3587" s="39" t="n">
        <v>45835</v>
      </c>
      <c r="D3587" s="7" t="s">
        <v>335</v>
      </c>
      <c r="E3587" s="7" t="s">
        <v>154</v>
      </c>
      <c r="F3587" s="7" t="s">
        <v>177</v>
      </c>
      <c r="G3587" s="7" t="s">
        <v>505</v>
      </c>
      <c r="H3587" s="6" t="n">
        <v>4.36</v>
      </c>
      <c r="I3587" s="6" t="n">
        <v>0</v>
      </c>
      <c r="J3587" s="40" t="n">
        <f aca="false">H3587-I3587</f>
        <v>4.36</v>
      </c>
      <c r="K3587" s="41" t="n">
        <v>26.5</v>
      </c>
      <c r="L3587" s="42" t="n">
        <f aca="false">J3587*K3587</f>
        <v>115.54</v>
      </c>
      <c r="M3587" s="43" t="n">
        <f aca="false">H3587*14.56*(1+'Chart of Accounts'!$E$67)</f>
        <v>72.686432</v>
      </c>
    </row>
    <row r="3588" customFormat="false" ht="15" hidden="false" customHeight="false" outlineLevel="0" collapsed="false">
      <c r="B3588" s="7" t="s">
        <v>4085</v>
      </c>
      <c r="C3588" s="39" t="n">
        <v>45835</v>
      </c>
      <c r="D3588" s="7" t="s">
        <v>339</v>
      </c>
      <c r="E3588" s="7" t="s">
        <v>154</v>
      </c>
      <c r="F3588" s="7" t="s">
        <v>242</v>
      </c>
      <c r="G3588" s="7" t="s">
        <v>505</v>
      </c>
      <c r="H3588" s="6" t="n">
        <v>3.17</v>
      </c>
      <c r="I3588" s="6" t="n">
        <v>0</v>
      </c>
      <c r="J3588" s="40" t="n">
        <f aca="false">H3588-I3588</f>
        <v>3.17</v>
      </c>
      <c r="K3588" s="41" t="n">
        <v>26.5</v>
      </c>
      <c r="L3588" s="42" t="n">
        <f aca="false">J3588*K3588</f>
        <v>84.005</v>
      </c>
      <c r="M3588" s="43" t="n">
        <f aca="false">H3588*17.99*(1+'Chart of Accounts'!$E$67)</f>
        <v>65.2974035</v>
      </c>
    </row>
    <row r="3589" customFormat="false" ht="15" hidden="false" customHeight="false" outlineLevel="0" collapsed="false">
      <c r="B3589" s="7" t="s">
        <v>4086</v>
      </c>
      <c r="C3589" s="39" t="n">
        <v>45835</v>
      </c>
      <c r="D3589" s="7" t="s">
        <v>353</v>
      </c>
      <c r="E3589" s="7" t="s">
        <v>154</v>
      </c>
      <c r="F3589" s="7" t="s">
        <v>254</v>
      </c>
      <c r="G3589" s="7" t="s">
        <v>505</v>
      </c>
      <c r="H3589" s="6" t="n">
        <v>3.21</v>
      </c>
      <c r="I3589" s="6" t="n">
        <v>0</v>
      </c>
      <c r="J3589" s="40" t="n">
        <f aca="false">H3589-I3589</f>
        <v>3.21</v>
      </c>
      <c r="K3589" s="41" t="n">
        <v>26.5</v>
      </c>
      <c r="L3589" s="42" t="n">
        <f aca="false">J3589*K3589</f>
        <v>85.065</v>
      </c>
      <c r="M3589" s="43" t="n">
        <f aca="false">H3589*17.1*(1+'Chart of Accounts'!$E$67)</f>
        <v>62.850195</v>
      </c>
    </row>
    <row r="3590" customFormat="false" ht="15" hidden="false" customHeight="false" outlineLevel="0" collapsed="false">
      <c r="B3590" s="7" t="s">
        <v>4087</v>
      </c>
      <c r="C3590" s="39" t="n">
        <v>45835</v>
      </c>
      <c r="D3590" s="7" t="s">
        <v>355</v>
      </c>
      <c r="E3590" s="7" t="s">
        <v>154</v>
      </c>
      <c r="F3590" s="7" t="s">
        <v>201</v>
      </c>
      <c r="G3590" s="7" t="s">
        <v>505</v>
      </c>
      <c r="H3590" s="6" t="n">
        <v>3.63</v>
      </c>
      <c r="I3590" s="6" t="n">
        <v>0</v>
      </c>
      <c r="J3590" s="40" t="n">
        <f aca="false">H3590-I3590</f>
        <v>3.63</v>
      </c>
      <c r="K3590" s="41" t="n">
        <v>26.5</v>
      </c>
      <c r="L3590" s="42" t="n">
        <f aca="false">J3590*K3590</f>
        <v>96.195</v>
      </c>
      <c r="M3590" s="43" t="n">
        <f aca="false">H3590*15.19*(1+'Chart of Accounts'!$E$67)</f>
        <v>63.1349565</v>
      </c>
    </row>
    <row r="3591" customFormat="false" ht="15" hidden="false" customHeight="false" outlineLevel="0" collapsed="false">
      <c r="B3591" s="7" t="s">
        <v>4088</v>
      </c>
      <c r="C3591" s="39" t="n">
        <v>45835</v>
      </c>
      <c r="D3591" s="7" t="s">
        <v>357</v>
      </c>
      <c r="E3591" s="7" t="s">
        <v>154</v>
      </c>
      <c r="F3591" s="7" t="s">
        <v>207</v>
      </c>
      <c r="G3591" s="7" t="s">
        <v>505</v>
      </c>
      <c r="H3591" s="6" t="n">
        <v>3.65</v>
      </c>
      <c r="I3591" s="6" t="n">
        <v>0</v>
      </c>
      <c r="J3591" s="40" t="n">
        <f aca="false">H3591-I3591</f>
        <v>3.65</v>
      </c>
      <c r="K3591" s="41" t="n">
        <v>26.5</v>
      </c>
      <c r="L3591" s="42" t="n">
        <f aca="false">J3591*K3591</f>
        <v>96.725</v>
      </c>
      <c r="M3591" s="43" t="n">
        <f aca="false">H3591*16.65*(1+'Chart of Accounts'!$E$67)</f>
        <v>69.5845125</v>
      </c>
    </row>
    <row r="3592" customFormat="false" ht="15" hidden="false" customHeight="false" outlineLevel="0" collapsed="false">
      <c r="B3592" s="7" t="s">
        <v>4089</v>
      </c>
      <c r="C3592" s="39" t="n">
        <v>45835</v>
      </c>
      <c r="D3592" s="7" t="s">
        <v>359</v>
      </c>
      <c r="E3592" s="7" t="s">
        <v>156</v>
      </c>
      <c r="F3592" s="7" t="s">
        <v>212</v>
      </c>
      <c r="G3592" s="7" t="s">
        <v>505</v>
      </c>
      <c r="H3592" s="6" t="n">
        <v>3.65</v>
      </c>
      <c r="I3592" s="6" t="n">
        <v>0</v>
      </c>
      <c r="J3592" s="40" t="n">
        <f aca="false">H3592-I3592</f>
        <v>3.65</v>
      </c>
      <c r="K3592" s="41" t="n">
        <v>34</v>
      </c>
      <c r="L3592" s="42" t="n">
        <f aca="false">J3592*K3592</f>
        <v>124.1</v>
      </c>
      <c r="M3592" s="43" t="n">
        <f aca="false">H3592*16.71*(1+'Chart of Accounts'!$E$67)</f>
        <v>69.8352675</v>
      </c>
    </row>
    <row r="3593" customFormat="false" ht="15" hidden="false" customHeight="false" outlineLevel="0" collapsed="false">
      <c r="B3593" s="7" t="s">
        <v>4090</v>
      </c>
      <c r="C3593" s="39" t="n">
        <v>45835</v>
      </c>
      <c r="D3593" s="7" t="s">
        <v>361</v>
      </c>
      <c r="E3593" s="7" t="s">
        <v>157</v>
      </c>
      <c r="F3593" s="7" t="s">
        <v>209</v>
      </c>
      <c r="G3593" s="7" t="s">
        <v>502</v>
      </c>
      <c r="H3593" s="6" t="n">
        <v>1.09</v>
      </c>
      <c r="I3593" s="6" t="n">
        <v>0</v>
      </c>
      <c r="J3593" s="40" t="n">
        <f aca="false">H3593-I3593</f>
        <v>1.09</v>
      </c>
      <c r="K3593" s="41" t="n">
        <v>165</v>
      </c>
      <c r="L3593" s="42" t="n">
        <f aca="false">J3593*K3593</f>
        <v>179.85</v>
      </c>
      <c r="M3593" s="43" t="n">
        <f aca="false">H3593*73.58*(1+'Chart of Accounts'!$E$67)</f>
        <v>91.831519</v>
      </c>
    </row>
    <row r="3594" customFormat="false" ht="15" hidden="false" customHeight="false" outlineLevel="0" collapsed="false">
      <c r="B3594" s="7" t="s">
        <v>4091</v>
      </c>
      <c r="C3594" s="39" t="n">
        <v>45835</v>
      </c>
      <c r="D3594" s="7" t="s">
        <v>365</v>
      </c>
      <c r="E3594" s="7" t="s">
        <v>154</v>
      </c>
      <c r="F3594" s="7" t="s">
        <v>194</v>
      </c>
      <c r="G3594" s="7" t="s">
        <v>505</v>
      </c>
      <c r="H3594" s="6" t="n">
        <v>4.03</v>
      </c>
      <c r="I3594" s="6" t="n">
        <v>0</v>
      </c>
      <c r="J3594" s="40" t="n">
        <f aca="false">H3594-I3594</f>
        <v>4.03</v>
      </c>
      <c r="K3594" s="41" t="n">
        <v>26.5</v>
      </c>
      <c r="L3594" s="42" t="n">
        <f aca="false">J3594*K3594</f>
        <v>106.795</v>
      </c>
      <c r="M3594" s="43" t="n">
        <f aca="false">H3594*16*(1+'Chart of Accounts'!$E$67)</f>
        <v>73.8296</v>
      </c>
    </row>
    <row r="3595" customFormat="false" ht="15" hidden="false" customHeight="false" outlineLevel="0" collapsed="false">
      <c r="B3595" s="7" t="s">
        <v>4092</v>
      </c>
      <c r="C3595" s="39" t="n">
        <v>45835</v>
      </c>
      <c r="D3595" s="7" t="s">
        <v>371</v>
      </c>
      <c r="E3595" s="7" t="s">
        <v>154</v>
      </c>
      <c r="F3595" s="7" t="s">
        <v>232</v>
      </c>
      <c r="G3595" s="7" t="s">
        <v>505</v>
      </c>
      <c r="H3595" s="6" t="n">
        <v>4.91</v>
      </c>
      <c r="I3595" s="6" t="n">
        <v>0</v>
      </c>
      <c r="J3595" s="40" t="n">
        <f aca="false">H3595-I3595</f>
        <v>4.91</v>
      </c>
      <c r="K3595" s="41" t="n">
        <v>26.5</v>
      </c>
      <c r="L3595" s="42" t="n">
        <f aca="false">J3595*K3595</f>
        <v>130.115</v>
      </c>
      <c r="M3595" s="43" t="n">
        <f aca="false">H3595*16.17*(1+'Chart of Accounts'!$E$67)</f>
        <v>90.9069315</v>
      </c>
    </row>
    <row r="3596" customFormat="false" ht="15" hidden="false" customHeight="false" outlineLevel="0" collapsed="false">
      <c r="B3596" s="7" t="s">
        <v>4093</v>
      </c>
      <c r="C3596" s="39" t="n">
        <v>45835</v>
      </c>
      <c r="D3596" s="7" t="s">
        <v>379</v>
      </c>
      <c r="E3596" s="7" t="s">
        <v>156</v>
      </c>
      <c r="F3596" s="7" t="s">
        <v>224</v>
      </c>
      <c r="G3596" s="7" t="s">
        <v>505</v>
      </c>
      <c r="H3596" s="6" t="n">
        <v>4.5</v>
      </c>
      <c r="I3596" s="6" t="n">
        <v>0</v>
      </c>
      <c r="J3596" s="40" t="n">
        <f aca="false">H3596-I3596</f>
        <v>4.5</v>
      </c>
      <c r="K3596" s="41" t="n">
        <v>34</v>
      </c>
      <c r="L3596" s="42" t="n">
        <f aca="false">J3596*K3596</f>
        <v>153</v>
      </c>
      <c r="M3596" s="43" t="n">
        <f aca="false">H3596*14.93*(1+'Chart of Accounts'!$E$67)</f>
        <v>76.926825</v>
      </c>
    </row>
    <row r="3597" customFormat="false" ht="15" hidden="false" customHeight="false" outlineLevel="0" collapsed="false">
      <c r="B3597" s="7" t="s">
        <v>4094</v>
      </c>
      <c r="C3597" s="39" t="n">
        <v>45835</v>
      </c>
      <c r="D3597" s="7" t="s">
        <v>381</v>
      </c>
      <c r="E3597" s="7" t="s">
        <v>157</v>
      </c>
      <c r="F3597" s="7" t="s">
        <v>234</v>
      </c>
      <c r="G3597" s="7" t="s">
        <v>502</v>
      </c>
      <c r="H3597" s="6" t="n">
        <v>0.96</v>
      </c>
      <c r="I3597" s="6" t="n">
        <v>0</v>
      </c>
      <c r="J3597" s="40" t="n">
        <f aca="false">H3597-I3597</f>
        <v>0.96</v>
      </c>
      <c r="K3597" s="41" t="n">
        <v>165</v>
      </c>
      <c r="L3597" s="42" t="n">
        <f aca="false">J3597*K3597</f>
        <v>158.4</v>
      </c>
      <c r="M3597" s="43" t="n">
        <f aca="false">H3597*89.53*(1+'Chart of Accounts'!$E$67)</f>
        <v>98.411376</v>
      </c>
    </row>
    <row r="3598" customFormat="false" ht="15" hidden="false" customHeight="false" outlineLevel="0" collapsed="false">
      <c r="B3598" s="7" t="s">
        <v>4095</v>
      </c>
      <c r="C3598" s="39" t="n">
        <v>45835</v>
      </c>
      <c r="D3598" s="7" t="s">
        <v>385</v>
      </c>
      <c r="E3598" s="7" t="s">
        <v>156</v>
      </c>
      <c r="F3598" s="7" t="s">
        <v>238</v>
      </c>
      <c r="G3598" s="7" t="s">
        <v>505</v>
      </c>
      <c r="H3598" s="6" t="n">
        <v>3.72</v>
      </c>
      <c r="I3598" s="6" t="n">
        <v>0</v>
      </c>
      <c r="J3598" s="40" t="n">
        <f aca="false">H3598-I3598</f>
        <v>3.72</v>
      </c>
      <c r="K3598" s="41" t="n">
        <v>34</v>
      </c>
      <c r="L3598" s="42" t="n">
        <f aca="false">J3598*K3598</f>
        <v>126.48</v>
      </c>
      <c r="M3598" s="43" t="n">
        <f aca="false">H3598*15.85*(1+'Chart of Accounts'!$E$67)</f>
        <v>67.51149</v>
      </c>
    </row>
    <row r="3599" customFormat="false" ht="15" hidden="false" customHeight="false" outlineLevel="0" collapsed="false">
      <c r="B3599" s="7" t="s">
        <v>4096</v>
      </c>
      <c r="C3599" s="39" t="n">
        <v>45835</v>
      </c>
      <c r="D3599" s="7" t="s">
        <v>389</v>
      </c>
      <c r="E3599" s="7" t="s">
        <v>154</v>
      </c>
      <c r="F3599" s="7" t="s">
        <v>246</v>
      </c>
      <c r="G3599" s="7" t="s">
        <v>505</v>
      </c>
      <c r="H3599" s="6" t="n">
        <v>4.23</v>
      </c>
      <c r="I3599" s="6" t="n">
        <v>0</v>
      </c>
      <c r="J3599" s="40" t="n">
        <f aca="false">H3599-I3599</f>
        <v>4.23</v>
      </c>
      <c r="K3599" s="41" t="n">
        <v>26.5</v>
      </c>
      <c r="L3599" s="42" t="n">
        <f aca="false">J3599*K3599</f>
        <v>112.095</v>
      </c>
      <c r="M3599" s="43" t="n">
        <f aca="false">H3599*16.48*(1+'Chart of Accounts'!$E$67)</f>
        <v>79.818408</v>
      </c>
    </row>
    <row r="3600" customFormat="false" ht="15" hidden="false" customHeight="false" outlineLevel="0" collapsed="false">
      <c r="B3600" s="7" t="s">
        <v>4097</v>
      </c>
      <c r="C3600" s="39" t="n">
        <v>45835</v>
      </c>
      <c r="D3600" s="7" t="s">
        <v>391</v>
      </c>
      <c r="E3600" s="7" t="s">
        <v>156</v>
      </c>
      <c r="F3600" s="7" t="s">
        <v>222</v>
      </c>
      <c r="G3600" s="7" t="s">
        <v>505</v>
      </c>
      <c r="H3600" s="6" t="n">
        <v>3.73</v>
      </c>
      <c r="I3600" s="6" t="n">
        <v>0</v>
      </c>
      <c r="J3600" s="40" t="n">
        <f aca="false">H3600-I3600</f>
        <v>3.73</v>
      </c>
      <c r="K3600" s="41" t="n">
        <v>34</v>
      </c>
      <c r="L3600" s="42" t="n">
        <f aca="false">J3600*K3600</f>
        <v>126.82</v>
      </c>
      <c r="M3600" s="43" t="n">
        <f aca="false">H3600*17.84*(1+'Chart of Accounts'!$E$67)</f>
        <v>76.191964</v>
      </c>
    </row>
    <row r="3601" customFormat="false" ht="15" hidden="false" customHeight="false" outlineLevel="0" collapsed="false">
      <c r="B3601" s="7" t="s">
        <v>4098</v>
      </c>
      <c r="C3601" s="39" t="n">
        <v>45835</v>
      </c>
      <c r="D3601" s="7" t="s">
        <v>395</v>
      </c>
      <c r="E3601" s="7" t="s">
        <v>156</v>
      </c>
      <c r="F3601" s="7" t="s">
        <v>242</v>
      </c>
      <c r="G3601" s="7" t="s">
        <v>505</v>
      </c>
      <c r="H3601" s="6" t="n">
        <v>4.12</v>
      </c>
      <c r="I3601" s="6" t="n">
        <v>0</v>
      </c>
      <c r="J3601" s="40" t="n">
        <f aca="false">H3601-I3601</f>
        <v>4.12</v>
      </c>
      <c r="K3601" s="41" t="n">
        <v>34</v>
      </c>
      <c r="L3601" s="42" t="n">
        <f aca="false">J3601*K3601</f>
        <v>140.08</v>
      </c>
      <c r="M3601" s="43" t="n">
        <f aca="false">H3601*17.99*(1+'Chart of Accounts'!$E$67)</f>
        <v>84.866026</v>
      </c>
    </row>
    <row r="3602" customFormat="false" ht="15" hidden="false" customHeight="false" outlineLevel="0" collapsed="false">
      <c r="B3602" s="7" t="s">
        <v>4099</v>
      </c>
      <c r="C3602" s="39" t="n">
        <v>45835</v>
      </c>
      <c r="D3602" s="7" t="s">
        <v>397</v>
      </c>
      <c r="E3602" s="7" t="s">
        <v>159</v>
      </c>
      <c r="F3602" s="7" t="s">
        <v>203</v>
      </c>
      <c r="G3602" s="7" t="s">
        <v>502</v>
      </c>
      <c r="H3602" s="6" t="n">
        <v>0.95</v>
      </c>
      <c r="I3602" s="6" t="n">
        <v>0</v>
      </c>
      <c r="J3602" s="40" t="n">
        <f aca="false">H3602-I3602</f>
        <v>0.95</v>
      </c>
      <c r="K3602" s="41" t="n">
        <v>135</v>
      </c>
      <c r="L3602" s="42" t="n">
        <f aca="false">J3602*K3602</f>
        <v>128.25</v>
      </c>
      <c r="M3602" s="43" t="n">
        <f aca="false">H3602*49.43*(1+'Chart of Accounts'!$E$67)</f>
        <v>53.7674825</v>
      </c>
    </row>
    <row r="3603" customFormat="false" ht="15" hidden="false" customHeight="false" outlineLevel="0" collapsed="false">
      <c r="B3603" s="7" t="s">
        <v>4100</v>
      </c>
      <c r="C3603" s="39" t="n">
        <v>45835</v>
      </c>
      <c r="D3603" s="7" t="s">
        <v>399</v>
      </c>
      <c r="E3603" s="7" t="s">
        <v>154</v>
      </c>
      <c r="F3603" s="7" t="s">
        <v>201</v>
      </c>
      <c r="G3603" s="7" t="s">
        <v>505</v>
      </c>
      <c r="H3603" s="6" t="n">
        <v>3.57</v>
      </c>
      <c r="I3603" s="6" t="n">
        <v>0</v>
      </c>
      <c r="J3603" s="40" t="n">
        <f aca="false">H3603-I3603</f>
        <v>3.57</v>
      </c>
      <c r="K3603" s="41" t="n">
        <v>26.5</v>
      </c>
      <c r="L3603" s="42" t="n">
        <f aca="false">J3603*K3603</f>
        <v>94.605</v>
      </c>
      <c r="M3603" s="43" t="n">
        <f aca="false">H3603*15.19*(1+'Chart of Accounts'!$E$67)</f>
        <v>62.0914035</v>
      </c>
    </row>
    <row r="3604" customFormat="false" ht="15" hidden="false" customHeight="false" outlineLevel="0" collapsed="false">
      <c r="B3604" s="7" t="s">
        <v>4101</v>
      </c>
      <c r="C3604" s="39" t="n">
        <v>45835</v>
      </c>
      <c r="D3604" s="7" t="s">
        <v>401</v>
      </c>
      <c r="E3604" s="7" t="s">
        <v>156</v>
      </c>
      <c r="F3604" s="7" t="s">
        <v>254</v>
      </c>
      <c r="G3604" s="7" t="s">
        <v>505</v>
      </c>
      <c r="H3604" s="6" t="n">
        <v>4.18</v>
      </c>
      <c r="I3604" s="6" t="n">
        <v>0</v>
      </c>
      <c r="J3604" s="40" t="n">
        <f aca="false">H3604-I3604</f>
        <v>4.18</v>
      </c>
      <c r="K3604" s="41" t="n">
        <v>34</v>
      </c>
      <c r="L3604" s="42" t="n">
        <f aca="false">J3604*K3604</f>
        <v>142.12</v>
      </c>
      <c r="M3604" s="43" t="n">
        <f aca="false">H3604*17.1*(1+'Chart of Accounts'!$E$67)</f>
        <v>81.84231</v>
      </c>
    </row>
    <row r="3605" customFormat="false" ht="15" hidden="false" customHeight="false" outlineLevel="0" collapsed="false">
      <c r="B3605" s="7" t="s">
        <v>4102</v>
      </c>
      <c r="C3605" s="39" t="n">
        <v>45835</v>
      </c>
      <c r="D3605" s="7" t="s">
        <v>407</v>
      </c>
      <c r="E3605" s="7" t="s">
        <v>159</v>
      </c>
      <c r="F3605" s="7" t="s">
        <v>260</v>
      </c>
      <c r="G3605" s="7" t="s">
        <v>502</v>
      </c>
      <c r="H3605" s="6" t="n">
        <v>0.96</v>
      </c>
      <c r="I3605" s="6" t="n">
        <v>0</v>
      </c>
      <c r="J3605" s="40" t="n">
        <f aca="false">H3605-I3605</f>
        <v>0.96</v>
      </c>
      <c r="K3605" s="41" t="n">
        <v>135</v>
      </c>
      <c r="L3605" s="42" t="n">
        <f aca="false">J3605*K3605</f>
        <v>129.6</v>
      </c>
      <c r="M3605" s="43" t="n">
        <f aca="false">H3605*79.8*(1+'Chart of Accounts'!$E$67)</f>
        <v>87.71616</v>
      </c>
    </row>
    <row r="3606" customFormat="false" ht="15" hidden="false" customHeight="false" outlineLevel="0" collapsed="false">
      <c r="B3606" s="7" t="s">
        <v>4103</v>
      </c>
      <c r="C3606" s="39" t="n">
        <v>45835</v>
      </c>
      <c r="D3606" s="7" t="s">
        <v>409</v>
      </c>
      <c r="E3606" s="7" t="s">
        <v>154</v>
      </c>
      <c r="F3606" s="7" t="s">
        <v>214</v>
      </c>
      <c r="G3606" s="7" t="s">
        <v>505</v>
      </c>
      <c r="H3606" s="6" t="n">
        <v>3</v>
      </c>
      <c r="I3606" s="6" t="n">
        <v>0.09</v>
      </c>
      <c r="J3606" s="40" t="n">
        <f aca="false">H3606-I3606</f>
        <v>2.91</v>
      </c>
      <c r="K3606" s="41" t="n">
        <v>26.5</v>
      </c>
      <c r="L3606" s="42" t="n">
        <f aca="false">J3606*K3606</f>
        <v>77.115</v>
      </c>
      <c r="M3606" s="43" t="n">
        <f aca="false">H3606*15.67*(1+'Chart of Accounts'!$E$67)</f>
        <v>53.82645</v>
      </c>
    </row>
    <row r="3607" customFormat="false" ht="15" hidden="false" customHeight="false" outlineLevel="0" collapsed="false">
      <c r="B3607" s="7" t="s">
        <v>4104</v>
      </c>
      <c r="C3607" s="39" t="n">
        <v>45835</v>
      </c>
      <c r="D3607" s="7" t="s">
        <v>411</v>
      </c>
      <c r="E3607" s="7" t="s">
        <v>154</v>
      </c>
      <c r="F3607" s="7" t="s">
        <v>177</v>
      </c>
      <c r="G3607" s="7" t="s">
        <v>505</v>
      </c>
      <c r="H3607" s="6" t="n">
        <v>4.58</v>
      </c>
      <c r="I3607" s="6" t="n">
        <v>0.137</v>
      </c>
      <c r="J3607" s="40" t="n">
        <f aca="false">H3607-I3607</f>
        <v>4.443</v>
      </c>
      <c r="K3607" s="41" t="n">
        <v>26.5</v>
      </c>
      <c r="L3607" s="42" t="n">
        <f aca="false">J3607*K3607</f>
        <v>117.7395</v>
      </c>
      <c r="M3607" s="43" t="n">
        <f aca="false">H3607*14.56*(1+'Chart of Accounts'!$E$67)</f>
        <v>76.354096</v>
      </c>
    </row>
    <row r="3608" customFormat="false" ht="15" hidden="false" customHeight="false" outlineLevel="0" collapsed="false">
      <c r="B3608" s="7" t="s">
        <v>4105</v>
      </c>
      <c r="C3608" s="39" t="n">
        <v>45836</v>
      </c>
      <c r="D3608" s="7" t="s">
        <v>288</v>
      </c>
      <c r="E3608" s="7" t="s">
        <v>156</v>
      </c>
      <c r="F3608" s="7" t="s">
        <v>207</v>
      </c>
      <c r="G3608" s="7" t="s">
        <v>505</v>
      </c>
      <c r="H3608" s="6" t="n">
        <v>3.97</v>
      </c>
      <c r="I3608" s="6" t="n">
        <v>0</v>
      </c>
      <c r="J3608" s="40" t="n">
        <f aca="false">H3608-I3608</f>
        <v>3.97</v>
      </c>
      <c r="K3608" s="41" t="n">
        <v>34</v>
      </c>
      <c r="L3608" s="42" t="n">
        <f aca="false">J3608*K3608</f>
        <v>134.98</v>
      </c>
      <c r="M3608" s="43" t="n">
        <f aca="false">H3608*16.65*(1+'Chart of Accounts'!$E$67)</f>
        <v>75.6850725</v>
      </c>
    </row>
    <row r="3609" customFormat="false" ht="15" hidden="false" customHeight="false" outlineLevel="0" collapsed="false">
      <c r="B3609" s="7" t="s">
        <v>4106</v>
      </c>
      <c r="C3609" s="39" t="n">
        <v>45836</v>
      </c>
      <c r="D3609" s="7" t="s">
        <v>321</v>
      </c>
      <c r="E3609" s="7" t="s">
        <v>154</v>
      </c>
      <c r="F3609" s="7" t="s">
        <v>218</v>
      </c>
      <c r="G3609" s="7" t="s">
        <v>505</v>
      </c>
      <c r="H3609" s="6" t="n">
        <v>4.17</v>
      </c>
      <c r="I3609" s="6" t="n">
        <v>0</v>
      </c>
      <c r="J3609" s="40" t="n">
        <f aca="false">H3609-I3609</f>
        <v>4.17</v>
      </c>
      <c r="K3609" s="41" t="n">
        <v>26.5</v>
      </c>
      <c r="L3609" s="42" t="n">
        <f aca="false">J3609*K3609</f>
        <v>110.505</v>
      </c>
      <c r="M3609" s="43" t="n">
        <f aca="false">H3609*16.19*(1+'Chart of Accounts'!$E$67)</f>
        <v>77.3015835</v>
      </c>
    </row>
    <row r="3610" customFormat="false" ht="15" hidden="false" customHeight="false" outlineLevel="0" collapsed="false">
      <c r="B3610" s="7" t="s">
        <v>4107</v>
      </c>
      <c r="C3610" s="39" t="n">
        <v>45836</v>
      </c>
      <c r="D3610" s="7" t="s">
        <v>359</v>
      </c>
      <c r="E3610" s="7" t="s">
        <v>156</v>
      </c>
      <c r="F3610" s="7" t="s">
        <v>212</v>
      </c>
      <c r="G3610" s="7" t="s">
        <v>505</v>
      </c>
      <c r="H3610" s="6" t="n">
        <v>3.86</v>
      </c>
      <c r="I3610" s="6" t="n">
        <v>0</v>
      </c>
      <c r="J3610" s="40" t="n">
        <f aca="false">H3610-I3610</f>
        <v>3.86</v>
      </c>
      <c r="K3610" s="41" t="n">
        <v>34</v>
      </c>
      <c r="L3610" s="42" t="n">
        <f aca="false">J3610*K3610</f>
        <v>131.24</v>
      </c>
      <c r="M3610" s="43" t="n">
        <f aca="false">H3610*16.71*(1+'Chart of Accounts'!$E$67)</f>
        <v>73.853187</v>
      </c>
    </row>
    <row r="3611" customFormat="false" ht="15" hidden="false" customHeight="false" outlineLevel="0" collapsed="false">
      <c r="B3611" s="7" t="s">
        <v>4108</v>
      </c>
      <c r="C3611" s="39" t="n">
        <v>45836</v>
      </c>
      <c r="D3611" s="7" t="s">
        <v>391</v>
      </c>
      <c r="E3611" s="7" t="s">
        <v>156</v>
      </c>
      <c r="F3611" s="7" t="s">
        <v>222</v>
      </c>
      <c r="G3611" s="7" t="s">
        <v>505</v>
      </c>
      <c r="H3611" s="6" t="n">
        <v>4.05</v>
      </c>
      <c r="I3611" s="6" t="n">
        <v>0</v>
      </c>
      <c r="J3611" s="40" t="n">
        <f aca="false">H3611-I3611</f>
        <v>4.05</v>
      </c>
      <c r="K3611" s="41" t="n">
        <v>34</v>
      </c>
      <c r="L3611" s="42" t="n">
        <f aca="false">J3611*K3611</f>
        <v>137.7</v>
      </c>
      <c r="M3611" s="43" t="n">
        <f aca="false">H3611*17.84*(1+'Chart of Accounts'!$E$67)</f>
        <v>82.72854</v>
      </c>
    </row>
    <row r="3612" customFormat="false" ht="15" hidden="false" customHeight="false" outlineLevel="0" collapsed="false">
      <c r="B3612" s="7" t="s">
        <v>4109</v>
      </c>
      <c r="C3612" s="39" t="n">
        <v>45836</v>
      </c>
      <c r="D3612" s="7" t="s">
        <v>395</v>
      </c>
      <c r="E3612" s="7" t="s">
        <v>156</v>
      </c>
      <c r="F3612" s="7" t="s">
        <v>242</v>
      </c>
      <c r="G3612" s="7" t="s">
        <v>505</v>
      </c>
      <c r="H3612" s="6" t="n">
        <v>4</v>
      </c>
      <c r="I3612" s="6" t="n">
        <v>0</v>
      </c>
      <c r="J3612" s="40" t="n">
        <f aca="false">H3612-I3612</f>
        <v>4</v>
      </c>
      <c r="K3612" s="41" t="n">
        <v>34</v>
      </c>
      <c r="L3612" s="42" t="n">
        <f aca="false">J3612*K3612</f>
        <v>136</v>
      </c>
      <c r="M3612" s="43" t="n">
        <f aca="false">H3612*17.99*(1+'Chart of Accounts'!$E$67)</f>
        <v>82.3942</v>
      </c>
    </row>
    <row r="3613" customFormat="false" ht="15" hidden="false" customHeight="false" outlineLevel="0" collapsed="false">
      <c r="B3613" s="7" t="s">
        <v>4110</v>
      </c>
      <c r="C3613" s="39" t="n">
        <v>45836</v>
      </c>
      <c r="D3613" s="7" t="s">
        <v>401</v>
      </c>
      <c r="E3613" s="7" t="s">
        <v>156</v>
      </c>
      <c r="F3613" s="7" t="s">
        <v>254</v>
      </c>
      <c r="G3613" s="7" t="s">
        <v>505</v>
      </c>
      <c r="H3613" s="6" t="n">
        <v>3.79</v>
      </c>
      <c r="I3613" s="6" t="n">
        <v>0</v>
      </c>
      <c r="J3613" s="40" t="n">
        <f aca="false">H3613-I3613</f>
        <v>3.79</v>
      </c>
      <c r="K3613" s="41" t="n">
        <v>34</v>
      </c>
      <c r="L3613" s="42" t="n">
        <f aca="false">J3613*K3613</f>
        <v>128.86</v>
      </c>
      <c r="M3613" s="43" t="n">
        <f aca="false">H3613*17.1*(1+'Chart of Accounts'!$E$67)</f>
        <v>74.206305</v>
      </c>
    </row>
    <row r="3614" customFormat="false" ht="15" hidden="false" customHeight="false" outlineLevel="0" collapsed="false">
      <c r="B3614" s="7" t="s">
        <v>4111</v>
      </c>
      <c r="C3614" s="39" t="n">
        <v>45837</v>
      </c>
      <c r="D3614" s="7" t="s">
        <v>288</v>
      </c>
      <c r="E3614" s="7" t="s">
        <v>156</v>
      </c>
      <c r="F3614" s="7" t="s">
        <v>184</v>
      </c>
      <c r="G3614" s="7" t="s">
        <v>505</v>
      </c>
      <c r="H3614" s="6" t="n">
        <v>4.18</v>
      </c>
      <c r="I3614" s="6" t="n">
        <v>0</v>
      </c>
      <c r="J3614" s="40" t="n">
        <f aca="false">H3614-I3614</f>
        <v>4.18</v>
      </c>
      <c r="K3614" s="41" t="n">
        <v>34</v>
      </c>
      <c r="L3614" s="42" t="n">
        <f aca="false">J3614*K3614</f>
        <v>142.12</v>
      </c>
      <c r="M3614" s="43" t="n">
        <f aca="false">H3614*17.34*(1+'Chart of Accounts'!$E$67)</f>
        <v>82.990974</v>
      </c>
    </row>
    <row r="3615" customFormat="false" ht="15" hidden="false" customHeight="false" outlineLevel="0" collapsed="false">
      <c r="B3615" s="7" t="s">
        <v>4112</v>
      </c>
      <c r="C3615" s="39" t="n">
        <v>45837</v>
      </c>
      <c r="D3615" s="7" t="s">
        <v>321</v>
      </c>
      <c r="E3615" s="7" t="s">
        <v>154</v>
      </c>
      <c r="F3615" s="7" t="s">
        <v>218</v>
      </c>
      <c r="G3615" s="7" t="s">
        <v>505</v>
      </c>
      <c r="H3615" s="6" t="n">
        <v>3.91</v>
      </c>
      <c r="I3615" s="6" t="n">
        <v>0</v>
      </c>
      <c r="J3615" s="40" t="n">
        <f aca="false">H3615-I3615</f>
        <v>3.91</v>
      </c>
      <c r="K3615" s="41" t="n">
        <v>26.5</v>
      </c>
      <c r="L3615" s="42" t="n">
        <f aca="false">J3615*K3615</f>
        <v>103.615</v>
      </c>
      <c r="M3615" s="43" t="n">
        <f aca="false">H3615*16.19*(1+'Chart of Accounts'!$E$67)</f>
        <v>72.4818205</v>
      </c>
    </row>
    <row r="3616" customFormat="false" ht="15" hidden="false" customHeight="false" outlineLevel="0" collapsed="false">
      <c r="B3616" s="7" t="s">
        <v>4113</v>
      </c>
      <c r="C3616" s="39" t="n">
        <v>45837</v>
      </c>
      <c r="D3616" s="7" t="s">
        <v>359</v>
      </c>
      <c r="E3616" s="7" t="s">
        <v>156</v>
      </c>
      <c r="F3616" s="7" t="s">
        <v>212</v>
      </c>
      <c r="G3616" s="7" t="s">
        <v>505</v>
      </c>
      <c r="H3616" s="6" t="n">
        <v>3.8</v>
      </c>
      <c r="I3616" s="6" t="n">
        <v>0</v>
      </c>
      <c r="J3616" s="40" t="n">
        <f aca="false">H3616-I3616</f>
        <v>3.8</v>
      </c>
      <c r="K3616" s="41" t="n">
        <v>34</v>
      </c>
      <c r="L3616" s="42" t="n">
        <f aca="false">J3616*K3616</f>
        <v>129.2</v>
      </c>
      <c r="M3616" s="43" t="n">
        <f aca="false">H3616*16.71*(1+'Chart of Accounts'!$E$67)</f>
        <v>72.70521</v>
      </c>
    </row>
    <row r="3617" customFormat="false" ht="15" hidden="false" customHeight="false" outlineLevel="0" collapsed="false">
      <c r="B3617" s="7" t="s">
        <v>4114</v>
      </c>
      <c r="C3617" s="39" t="n">
        <v>45837</v>
      </c>
      <c r="D3617" s="7" t="s">
        <v>391</v>
      </c>
      <c r="E3617" s="7" t="s">
        <v>156</v>
      </c>
      <c r="F3617" s="7" t="s">
        <v>222</v>
      </c>
      <c r="G3617" s="7" t="s">
        <v>505</v>
      </c>
      <c r="H3617" s="6" t="n">
        <v>3.65</v>
      </c>
      <c r="I3617" s="6" t="n">
        <v>0</v>
      </c>
      <c r="J3617" s="40" t="n">
        <f aca="false">H3617-I3617</f>
        <v>3.65</v>
      </c>
      <c r="K3617" s="41" t="n">
        <v>34</v>
      </c>
      <c r="L3617" s="42" t="n">
        <f aca="false">J3617*K3617</f>
        <v>124.1</v>
      </c>
      <c r="M3617" s="43" t="n">
        <f aca="false">H3617*17.84*(1+'Chart of Accounts'!$E$67)</f>
        <v>74.55782</v>
      </c>
    </row>
    <row r="3618" customFormat="false" ht="15" hidden="false" customHeight="false" outlineLevel="0" collapsed="false">
      <c r="B3618" s="7" t="s">
        <v>4115</v>
      </c>
      <c r="C3618" s="39" t="n">
        <v>45837</v>
      </c>
      <c r="D3618" s="7" t="s">
        <v>395</v>
      </c>
      <c r="E3618" s="7" t="s">
        <v>156</v>
      </c>
      <c r="F3618" s="7" t="s">
        <v>242</v>
      </c>
      <c r="G3618" s="7" t="s">
        <v>505</v>
      </c>
      <c r="H3618" s="6" t="n">
        <v>4.03</v>
      </c>
      <c r="I3618" s="6" t="n">
        <v>0</v>
      </c>
      <c r="J3618" s="40" t="n">
        <f aca="false">H3618-I3618</f>
        <v>4.03</v>
      </c>
      <c r="K3618" s="41" t="n">
        <v>34</v>
      </c>
      <c r="L3618" s="42" t="n">
        <f aca="false">J3618*K3618</f>
        <v>137.02</v>
      </c>
      <c r="M3618" s="43" t="n">
        <f aca="false">H3618*17.99*(1+'Chart of Accounts'!$E$67)</f>
        <v>83.0121565</v>
      </c>
    </row>
    <row r="3619" customFormat="false" ht="15" hidden="false" customHeight="false" outlineLevel="0" collapsed="false">
      <c r="B3619" s="7" t="s">
        <v>4116</v>
      </c>
      <c r="C3619" s="39" t="n">
        <v>45837</v>
      </c>
      <c r="D3619" s="7" t="s">
        <v>401</v>
      </c>
      <c r="E3619" s="7" t="s">
        <v>156</v>
      </c>
      <c r="F3619" s="7" t="s">
        <v>254</v>
      </c>
      <c r="G3619" s="7" t="s">
        <v>505</v>
      </c>
      <c r="H3619" s="6" t="n">
        <v>3.98</v>
      </c>
      <c r="I3619" s="6" t="n">
        <v>0</v>
      </c>
      <c r="J3619" s="40" t="n">
        <f aca="false">H3619-I3619</f>
        <v>3.98</v>
      </c>
      <c r="K3619" s="41" t="n">
        <v>34</v>
      </c>
      <c r="L3619" s="42" t="n">
        <f aca="false">J3619*K3619</f>
        <v>135.32</v>
      </c>
      <c r="M3619" s="43" t="n">
        <f aca="false">H3619*17.1*(1+'Chart of Accounts'!$E$67)</f>
        <v>77.92641</v>
      </c>
    </row>
    <row r="3620" customFormat="false" ht="15" hidden="false" customHeight="false" outlineLevel="0" collapsed="false">
      <c r="B3620" s="7" t="s">
        <v>4117</v>
      </c>
      <c r="C3620" s="39" t="n">
        <v>45838</v>
      </c>
      <c r="D3620" s="7" t="s">
        <v>280</v>
      </c>
      <c r="E3620" s="7" t="s">
        <v>157</v>
      </c>
      <c r="F3620" s="7" t="s">
        <v>187</v>
      </c>
      <c r="G3620" s="7" t="s">
        <v>502</v>
      </c>
      <c r="H3620" s="6" t="n">
        <v>1.1</v>
      </c>
      <c r="I3620" s="6" t="n">
        <v>0</v>
      </c>
      <c r="J3620" s="40" t="n">
        <f aca="false">H3620-I3620</f>
        <v>1.1</v>
      </c>
      <c r="K3620" s="41" t="n">
        <v>165</v>
      </c>
      <c r="L3620" s="42" t="n">
        <f aca="false">J3620*K3620</f>
        <v>181.5</v>
      </c>
      <c r="M3620" s="43" t="n">
        <f aca="false">H3620*66.48*(1+'Chart of Accounts'!$E$67)</f>
        <v>83.73156</v>
      </c>
    </row>
    <row r="3621" customFormat="false" ht="15" hidden="false" customHeight="false" outlineLevel="0" collapsed="false">
      <c r="B3621" s="7" t="s">
        <v>4118</v>
      </c>
      <c r="C3621" s="39" t="n">
        <v>45838</v>
      </c>
      <c r="D3621" s="7" t="s">
        <v>288</v>
      </c>
      <c r="E3621" s="7" t="s">
        <v>156</v>
      </c>
      <c r="F3621" s="7" t="s">
        <v>207</v>
      </c>
      <c r="G3621" s="7" t="s">
        <v>505</v>
      </c>
      <c r="H3621" s="6" t="n">
        <v>4.3</v>
      </c>
      <c r="I3621" s="6" t="n">
        <v>0</v>
      </c>
      <c r="J3621" s="40" t="n">
        <f aca="false">H3621-I3621</f>
        <v>4.3</v>
      </c>
      <c r="K3621" s="41" t="n">
        <v>34</v>
      </c>
      <c r="L3621" s="42" t="n">
        <f aca="false">J3621*K3621</f>
        <v>146.2</v>
      </c>
      <c r="M3621" s="43" t="n">
        <f aca="false">H3621*16.65*(1+'Chart of Accounts'!$E$67)</f>
        <v>81.976275</v>
      </c>
    </row>
    <row r="3622" customFormat="false" ht="15" hidden="false" customHeight="false" outlineLevel="0" collapsed="false">
      <c r="B3622" s="7" t="s">
        <v>4119</v>
      </c>
      <c r="C3622" s="39" t="n">
        <v>45838</v>
      </c>
      <c r="D3622" s="7" t="s">
        <v>291</v>
      </c>
      <c r="E3622" s="7" t="s">
        <v>154</v>
      </c>
      <c r="F3622" s="7" t="s">
        <v>194</v>
      </c>
      <c r="G3622" s="7" t="s">
        <v>505</v>
      </c>
      <c r="H3622" s="6" t="n">
        <v>4.61</v>
      </c>
      <c r="I3622" s="6" t="n">
        <v>0</v>
      </c>
      <c r="J3622" s="40" t="n">
        <f aca="false">H3622-I3622</f>
        <v>4.61</v>
      </c>
      <c r="K3622" s="41" t="n">
        <v>26.5</v>
      </c>
      <c r="L3622" s="42" t="n">
        <f aca="false">J3622*K3622</f>
        <v>122.165</v>
      </c>
      <c r="M3622" s="43" t="n">
        <f aca="false">H3622*16*(1+'Chart of Accounts'!$E$67)</f>
        <v>84.4552</v>
      </c>
    </row>
    <row r="3623" customFormat="false" ht="15" hidden="false" customHeight="false" outlineLevel="0" collapsed="false">
      <c r="B3623" s="7" t="s">
        <v>4120</v>
      </c>
      <c r="C3623" s="39" t="n">
        <v>45838</v>
      </c>
      <c r="D3623" s="7" t="s">
        <v>297</v>
      </c>
      <c r="E3623" s="7" t="s">
        <v>156</v>
      </c>
      <c r="F3623" s="7" t="s">
        <v>201</v>
      </c>
      <c r="G3623" s="7" t="s">
        <v>505</v>
      </c>
      <c r="H3623" s="6" t="n">
        <v>3.1</v>
      </c>
      <c r="I3623" s="6" t="n">
        <v>0</v>
      </c>
      <c r="J3623" s="40" t="n">
        <f aca="false">H3623-I3623</f>
        <v>3.1</v>
      </c>
      <c r="K3623" s="41" t="n">
        <v>34</v>
      </c>
      <c r="L3623" s="42" t="n">
        <f aca="false">J3623*K3623</f>
        <v>105.4</v>
      </c>
      <c r="M3623" s="43" t="n">
        <f aca="false">H3623*15.19*(1+'Chart of Accounts'!$E$67)</f>
        <v>53.916905</v>
      </c>
    </row>
    <row r="3624" customFormat="false" ht="15" hidden="false" customHeight="false" outlineLevel="0" collapsed="false">
      <c r="B3624" s="7" t="s">
        <v>4121</v>
      </c>
      <c r="C3624" s="39" t="n">
        <v>45838</v>
      </c>
      <c r="D3624" s="7" t="s">
        <v>305</v>
      </c>
      <c r="E3624" s="7" t="s">
        <v>154</v>
      </c>
      <c r="F3624" s="7" t="s">
        <v>205</v>
      </c>
      <c r="G3624" s="7" t="s">
        <v>505</v>
      </c>
      <c r="H3624" s="6" t="n">
        <v>4.15</v>
      </c>
      <c r="I3624" s="6" t="n">
        <v>0</v>
      </c>
      <c r="J3624" s="40" t="n">
        <f aca="false">H3624-I3624</f>
        <v>4.15</v>
      </c>
      <c r="K3624" s="41" t="n">
        <v>26.5</v>
      </c>
      <c r="L3624" s="42" t="n">
        <f aca="false">J3624*K3624</f>
        <v>109.975</v>
      </c>
      <c r="M3624" s="43" t="n">
        <f aca="false">H3624*16.36*(1+'Chart of Accounts'!$E$67)</f>
        <v>77.73863</v>
      </c>
    </row>
    <row r="3625" customFormat="false" ht="15" hidden="false" customHeight="false" outlineLevel="0" collapsed="false">
      <c r="B3625" s="7" t="s">
        <v>4122</v>
      </c>
      <c r="C3625" s="39" t="n">
        <v>45838</v>
      </c>
      <c r="D3625" s="7" t="s">
        <v>307</v>
      </c>
      <c r="E3625" s="7" t="s">
        <v>157</v>
      </c>
      <c r="F3625" s="7" t="s">
        <v>264</v>
      </c>
      <c r="G3625" s="7" t="s">
        <v>502</v>
      </c>
      <c r="H3625" s="6" t="n">
        <v>1.07</v>
      </c>
      <c r="I3625" s="6" t="n">
        <v>0</v>
      </c>
      <c r="J3625" s="40" t="n">
        <f aca="false">H3625-I3625</f>
        <v>1.07</v>
      </c>
      <c r="K3625" s="41" t="n">
        <v>165</v>
      </c>
      <c r="L3625" s="42" t="n">
        <f aca="false">J3625*K3625</f>
        <v>176.55</v>
      </c>
      <c r="M3625" s="43" t="n">
        <f aca="false">H3625*55.55*(1+'Chart of Accounts'!$E$67)</f>
        <v>68.0570825</v>
      </c>
    </row>
    <row r="3626" customFormat="false" ht="15" hidden="false" customHeight="false" outlineLevel="0" collapsed="false">
      <c r="B3626" s="7" t="s">
        <v>4123</v>
      </c>
      <c r="C3626" s="39" t="n">
        <v>45838</v>
      </c>
      <c r="D3626" s="7" t="s">
        <v>309</v>
      </c>
      <c r="E3626" s="7" t="s">
        <v>159</v>
      </c>
      <c r="F3626" s="7" t="s">
        <v>252</v>
      </c>
      <c r="G3626" s="7" t="s">
        <v>502</v>
      </c>
      <c r="H3626" s="6" t="n">
        <v>1.09</v>
      </c>
      <c r="I3626" s="6" t="n">
        <v>0</v>
      </c>
      <c r="J3626" s="40" t="n">
        <f aca="false">H3626-I3626</f>
        <v>1.09</v>
      </c>
      <c r="K3626" s="41" t="n">
        <v>135</v>
      </c>
      <c r="L3626" s="42" t="n">
        <f aca="false">J3626*K3626</f>
        <v>147.15</v>
      </c>
      <c r="M3626" s="43" t="n">
        <f aca="false">H3626*57.54*(1+'Chart of Accounts'!$E$67)</f>
        <v>71.812797</v>
      </c>
    </row>
    <row r="3627" customFormat="false" ht="15" hidden="false" customHeight="false" outlineLevel="0" collapsed="false">
      <c r="B3627" s="7" t="s">
        <v>4124</v>
      </c>
      <c r="C3627" s="39" t="n">
        <v>45838</v>
      </c>
      <c r="D3627" s="7" t="s">
        <v>311</v>
      </c>
      <c r="E3627" s="7" t="s">
        <v>154</v>
      </c>
      <c r="F3627" s="7" t="s">
        <v>196</v>
      </c>
      <c r="G3627" s="7" t="s">
        <v>505</v>
      </c>
      <c r="H3627" s="6" t="n">
        <v>3.15</v>
      </c>
      <c r="I3627" s="6" t="n">
        <v>0</v>
      </c>
      <c r="J3627" s="40" t="n">
        <f aca="false">H3627-I3627</f>
        <v>3.15</v>
      </c>
      <c r="K3627" s="41" t="n">
        <v>26.5</v>
      </c>
      <c r="L3627" s="42" t="n">
        <f aca="false">J3627*K3627</f>
        <v>83.475</v>
      </c>
      <c r="M3627" s="43" t="n">
        <f aca="false">H3627*15.05*(1+'Chart of Accounts'!$E$67)</f>
        <v>54.2815875</v>
      </c>
    </row>
    <row r="3628" customFormat="false" ht="15" hidden="false" customHeight="false" outlineLevel="0" collapsed="false">
      <c r="B3628" s="7" t="s">
        <v>4125</v>
      </c>
      <c r="C3628" s="39" t="n">
        <v>45838</v>
      </c>
      <c r="D3628" s="7" t="s">
        <v>313</v>
      </c>
      <c r="E3628" s="7" t="s">
        <v>156</v>
      </c>
      <c r="F3628" s="7" t="s">
        <v>184</v>
      </c>
      <c r="G3628" s="7" t="s">
        <v>505</v>
      </c>
      <c r="H3628" s="6" t="n">
        <v>3.78</v>
      </c>
      <c r="I3628" s="6" t="n">
        <v>0</v>
      </c>
      <c r="J3628" s="40" t="n">
        <f aca="false">H3628-I3628</f>
        <v>3.78</v>
      </c>
      <c r="K3628" s="41" t="n">
        <v>34</v>
      </c>
      <c r="L3628" s="42" t="n">
        <f aca="false">J3628*K3628</f>
        <v>128.52</v>
      </c>
      <c r="M3628" s="43" t="n">
        <f aca="false">H3628*17.34*(1+'Chart of Accounts'!$E$67)</f>
        <v>75.049254</v>
      </c>
    </row>
    <row r="3629" customFormat="false" ht="15" hidden="false" customHeight="false" outlineLevel="0" collapsed="false">
      <c r="B3629" s="7" t="s">
        <v>4126</v>
      </c>
      <c r="C3629" s="39" t="n">
        <v>45838</v>
      </c>
      <c r="D3629" s="7" t="s">
        <v>317</v>
      </c>
      <c r="E3629" s="7" t="s">
        <v>156</v>
      </c>
      <c r="F3629" s="7" t="s">
        <v>207</v>
      </c>
      <c r="G3629" s="7" t="s">
        <v>505</v>
      </c>
      <c r="H3629" s="6" t="n">
        <v>3.28</v>
      </c>
      <c r="I3629" s="6" t="n">
        <v>0</v>
      </c>
      <c r="J3629" s="40" t="n">
        <f aca="false">H3629-I3629</f>
        <v>3.28</v>
      </c>
      <c r="K3629" s="41" t="n">
        <v>34</v>
      </c>
      <c r="L3629" s="42" t="n">
        <f aca="false">J3629*K3629</f>
        <v>111.52</v>
      </c>
      <c r="M3629" s="43" t="n">
        <f aca="false">H3629*16.65*(1+'Chart of Accounts'!$E$67)</f>
        <v>62.53074</v>
      </c>
    </row>
    <row r="3630" customFormat="false" ht="15" hidden="false" customHeight="false" outlineLevel="0" collapsed="false">
      <c r="B3630" s="7" t="s">
        <v>4127</v>
      </c>
      <c r="C3630" s="39" t="n">
        <v>45838</v>
      </c>
      <c r="D3630" s="7" t="s">
        <v>321</v>
      </c>
      <c r="E3630" s="7" t="s">
        <v>154</v>
      </c>
      <c r="F3630" s="7" t="s">
        <v>218</v>
      </c>
      <c r="G3630" s="7" t="s">
        <v>505</v>
      </c>
      <c r="H3630" s="6" t="n">
        <v>4.35</v>
      </c>
      <c r="I3630" s="6" t="n">
        <v>0</v>
      </c>
      <c r="J3630" s="40" t="n">
        <f aca="false">H3630-I3630</f>
        <v>4.35</v>
      </c>
      <c r="K3630" s="41" t="n">
        <v>26.5</v>
      </c>
      <c r="L3630" s="42" t="n">
        <f aca="false">J3630*K3630</f>
        <v>115.275</v>
      </c>
      <c r="M3630" s="43" t="n">
        <f aca="false">H3630*16.19*(1+'Chart of Accounts'!$E$67)</f>
        <v>80.6383425</v>
      </c>
    </row>
    <row r="3631" customFormat="false" ht="15" hidden="false" customHeight="false" outlineLevel="0" collapsed="false">
      <c r="B3631" s="7" t="s">
        <v>4128</v>
      </c>
      <c r="C3631" s="39" t="n">
        <v>45838</v>
      </c>
      <c r="D3631" s="7" t="s">
        <v>325</v>
      </c>
      <c r="E3631" s="7" t="s">
        <v>154</v>
      </c>
      <c r="F3631" s="7" t="s">
        <v>184</v>
      </c>
      <c r="G3631" s="7" t="s">
        <v>505</v>
      </c>
      <c r="H3631" s="6" t="n">
        <v>2.96</v>
      </c>
      <c r="I3631" s="6" t="n">
        <v>0</v>
      </c>
      <c r="J3631" s="40" t="n">
        <f aca="false">H3631-I3631</f>
        <v>2.96</v>
      </c>
      <c r="K3631" s="41" t="n">
        <v>26.5</v>
      </c>
      <c r="L3631" s="42" t="n">
        <f aca="false">J3631*K3631</f>
        <v>78.44</v>
      </c>
      <c r="M3631" s="43" t="n">
        <f aca="false">H3631*17.34*(1+'Chart of Accounts'!$E$67)</f>
        <v>58.768728</v>
      </c>
    </row>
    <row r="3632" customFormat="false" ht="15" hidden="false" customHeight="false" outlineLevel="0" collapsed="false">
      <c r="B3632" s="7" t="s">
        <v>4129</v>
      </c>
      <c r="C3632" s="39" t="n">
        <v>45838</v>
      </c>
      <c r="D3632" s="7" t="s">
        <v>329</v>
      </c>
      <c r="E3632" s="7" t="s">
        <v>156</v>
      </c>
      <c r="F3632" s="7" t="s">
        <v>220</v>
      </c>
      <c r="G3632" s="7" t="s">
        <v>505</v>
      </c>
      <c r="H3632" s="6" t="n">
        <v>3.65</v>
      </c>
      <c r="I3632" s="6" t="n">
        <v>0</v>
      </c>
      <c r="J3632" s="40" t="n">
        <f aca="false">H3632-I3632</f>
        <v>3.65</v>
      </c>
      <c r="K3632" s="41" t="n">
        <v>34</v>
      </c>
      <c r="L3632" s="42" t="n">
        <f aca="false">J3632*K3632</f>
        <v>124.1</v>
      </c>
      <c r="M3632" s="43" t="n">
        <f aca="false">H3632*16.43*(1+'Chart of Accounts'!$E$67)</f>
        <v>68.6650775</v>
      </c>
    </row>
    <row r="3633" customFormat="false" ht="15" hidden="false" customHeight="false" outlineLevel="0" collapsed="false">
      <c r="B3633" s="7" t="s">
        <v>4130</v>
      </c>
      <c r="C3633" s="39" t="n">
        <v>45838</v>
      </c>
      <c r="D3633" s="7" t="s">
        <v>331</v>
      </c>
      <c r="E3633" s="7" t="s">
        <v>156</v>
      </c>
      <c r="F3633" s="7" t="s">
        <v>224</v>
      </c>
      <c r="G3633" s="7" t="s">
        <v>505</v>
      </c>
      <c r="H3633" s="6" t="n">
        <v>4.05</v>
      </c>
      <c r="I3633" s="6" t="n">
        <v>0</v>
      </c>
      <c r="J3633" s="40" t="n">
        <f aca="false">H3633-I3633</f>
        <v>4.05</v>
      </c>
      <c r="K3633" s="41" t="n">
        <v>34</v>
      </c>
      <c r="L3633" s="42" t="n">
        <f aca="false">J3633*K3633</f>
        <v>137.7</v>
      </c>
      <c r="M3633" s="43" t="n">
        <f aca="false">H3633*14.93*(1+'Chart of Accounts'!$E$67)</f>
        <v>69.2341425</v>
      </c>
    </row>
    <row r="3634" customFormat="false" ht="15" hidden="false" customHeight="false" outlineLevel="0" collapsed="false">
      <c r="B3634" s="7" t="s">
        <v>4131</v>
      </c>
      <c r="C3634" s="39" t="n">
        <v>45838</v>
      </c>
      <c r="D3634" s="7" t="s">
        <v>335</v>
      </c>
      <c r="E3634" s="7" t="s">
        <v>154</v>
      </c>
      <c r="F3634" s="7" t="s">
        <v>177</v>
      </c>
      <c r="G3634" s="7" t="s">
        <v>505</v>
      </c>
      <c r="H3634" s="6" t="n">
        <v>4.3</v>
      </c>
      <c r="I3634" s="6" t="n">
        <v>0</v>
      </c>
      <c r="J3634" s="40" t="n">
        <f aca="false">H3634-I3634</f>
        <v>4.3</v>
      </c>
      <c r="K3634" s="41" t="n">
        <v>26.5</v>
      </c>
      <c r="L3634" s="42" t="n">
        <f aca="false">J3634*K3634</f>
        <v>113.95</v>
      </c>
      <c r="M3634" s="43" t="n">
        <f aca="false">H3634*14.56*(1+'Chart of Accounts'!$E$67)</f>
        <v>71.68616</v>
      </c>
    </row>
    <row r="3635" customFormat="false" ht="15" hidden="false" customHeight="false" outlineLevel="0" collapsed="false">
      <c r="B3635" s="7" t="s">
        <v>4132</v>
      </c>
      <c r="C3635" s="39" t="n">
        <v>45838</v>
      </c>
      <c r="D3635" s="7" t="s">
        <v>337</v>
      </c>
      <c r="E3635" s="7" t="s">
        <v>154</v>
      </c>
      <c r="F3635" s="7" t="s">
        <v>232</v>
      </c>
      <c r="G3635" s="7" t="s">
        <v>505</v>
      </c>
      <c r="H3635" s="6" t="n">
        <v>2.87</v>
      </c>
      <c r="I3635" s="6" t="n">
        <v>0.086</v>
      </c>
      <c r="J3635" s="40" t="n">
        <f aca="false">H3635-I3635</f>
        <v>2.784</v>
      </c>
      <c r="K3635" s="41" t="n">
        <v>26.5</v>
      </c>
      <c r="L3635" s="42" t="n">
        <f aca="false">J3635*K3635</f>
        <v>73.776</v>
      </c>
      <c r="M3635" s="43" t="n">
        <f aca="false">H3635*16.17*(1+'Chart of Accounts'!$E$67)</f>
        <v>53.1370455</v>
      </c>
    </row>
    <row r="3636" customFormat="false" ht="15" hidden="false" customHeight="false" outlineLevel="0" collapsed="false">
      <c r="B3636" s="7" t="s">
        <v>4133</v>
      </c>
      <c r="C3636" s="39" t="n">
        <v>45838</v>
      </c>
      <c r="D3636" s="7" t="s">
        <v>339</v>
      </c>
      <c r="E3636" s="7" t="s">
        <v>154</v>
      </c>
      <c r="F3636" s="7" t="s">
        <v>242</v>
      </c>
      <c r="G3636" s="7" t="s">
        <v>505</v>
      </c>
      <c r="H3636" s="6" t="n">
        <v>3.05</v>
      </c>
      <c r="I3636" s="6" t="n">
        <v>0</v>
      </c>
      <c r="J3636" s="40" t="n">
        <f aca="false">H3636-I3636</f>
        <v>3.05</v>
      </c>
      <c r="K3636" s="41" t="n">
        <v>26.5</v>
      </c>
      <c r="L3636" s="42" t="n">
        <f aca="false">J3636*K3636</f>
        <v>80.825</v>
      </c>
      <c r="M3636" s="43" t="n">
        <f aca="false">H3636*17.99*(1+'Chart of Accounts'!$E$67)</f>
        <v>62.8255775</v>
      </c>
    </row>
    <row r="3637" customFormat="false" ht="15" hidden="false" customHeight="false" outlineLevel="0" collapsed="false">
      <c r="B3637" s="7" t="s">
        <v>4134</v>
      </c>
      <c r="C3637" s="39" t="n">
        <v>45838</v>
      </c>
      <c r="D3637" s="7" t="s">
        <v>341</v>
      </c>
      <c r="E3637" s="7" t="s">
        <v>156</v>
      </c>
      <c r="F3637" s="7" t="s">
        <v>222</v>
      </c>
      <c r="G3637" s="7" t="s">
        <v>505</v>
      </c>
      <c r="H3637" s="6" t="n">
        <v>2.77</v>
      </c>
      <c r="I3637" s="6" t="n">
        <v>0</v>
      </c>
      <c r="J3637" s="40" t="n">
        <f aca="false">H3637-I3637</f>
        <v>2.77</v>
      </c>
      <c r="K3637" s="41" t="n">
        <v>34</v>
      </c>
      <c r="L3637" s="42" t="n">
        <f aca="false">J3637*K3637</f>
        <v>94.18</v>
      </c>
      <c r="M3637" s="43" t="n">
        <f aca="false">H3637*17.84*(1+'Chart of Accounts'!$E$67)</f>
        <v>56.582236</v>
      </c>
    </row>
    <row r="3638" customFormat="false" ht="15" hidden="false" customHeight="false" outlineLevel="0" collapsed="false">
      <c r="B3638" s="7" t="s">
        <v>4135</v>
      </c>
      <c r="C3638" s="39" t="n">
        <v>45838</v>
      </c>
      <c r="D3638" s="7" t="s">
        <v>343</v>
      </c>
      <c r="E3638" s="7" t="s">
        <v>154</v>
      </c>
      <c r="F3638" s="7" t="s">
        <v>242</v>
      </c>
      <c r="G3638" s="7" t="s">
        <v>505</v>
      </c>
      <c r="H3638" s="6" t="n">
        <v>4.28</v>
      </c>
      <c r="I3638" s="6" t="n">
        <v>0</v>
      </c>
      <c r="J3638" s="40" t="n">
        <f aca="false">H3638-I3638</f>
        <v>4.28</v>
      </c>
      <c r="K3638" s="41" t="n">
        <v>26.5</v>
      </c>
      <c r="L3638" s="42" t="n">
        <f aca="false">J3638*K3638</f>
        <v>113.42</v>
      </c>
      <c r="M3638" s="43" t="n">
        <f aca="false">H3638*17.99*(1+'Chart of Accounts'!$E$67)</f>
        <v>88.161794</v>
      </c>
    </row>
    <row r="3639" customFormat="false" ht="15" hidden="false" customHeight="false" outlineLevel="0" collapsed="false">
      <c r="B3639" s="7" t="s">
        <v>4136</v>
      </c>
      <c r="C3639" s="39" t="n">
        <v>45838</v>
      </c>
      <c r="D3639" s="7" t="s">
        <v>351</v>
      </c>
      <c r="E3639" s="7" t="s">
        <v>154</v>
      </c>
      <c r="F3639" s="7" t="s">
        <v>201</v>
      </c>
      <c r="G3639" s="7" t="s">
        <v>505</v>
      </c>
      <c r="H3639" s="6" t="n">
        <v>3.3</v>
      </c>
      <c r="I3639" s="6" t="n">
        <v>0</v>
      </c>
      <c r="J3639" s="40" t="n">
        <f aca="false">H3639-I3639</f>
        <v>3.3</v>
      </c>
      <c r="K3639" s="41" t="n">
        <v>26.5</v>
      </c>
      <c r="L3639" s="42" t="n">
        <f aca="false">J3639*K3639</f>
        <v>87.45</v>
      </c>
      <c r="M3639" s="43" t="n">
        <f aca="false">H3639*15.19*(1+'Chart of Accounts'!$E$67)</f>
        <v>57.395415</v>
      </c>
    </row>
    <row r="3640" customFormat="false" ht="15" hidden="false" customHeight="false" outlineLevel="0" collapsed="false">
      <c r="B3640" s="7" t="s">
        <v>4137</v>
      </c>
      <c r="C3640" s="39" t="n">
        <v>45838</v>
      </c>
      <c r="D3640" s="7" t="s">
        <v>353</v>
      </c>
      <c r="E3640" s="7" t="s">
        <v>154</v>
      </c>
      <c r="F3640" s="7" t="s">
        <v>254</v>
      </c>
      <c r="G3640" s="7" t="s">
        <v>505</v>
      </c>
      <c r="H3640" s="6" t="n">
        <v>3.29</v>
      </c>
      <c r="I3640" s="6" t="n">
        <v>0</v>
      </c>
      <c r="J3640" s="40" t="n">
        <f aca="false">H3640-I3640</f>
        <v>3.29</v>
      </c>
      <c r="K3640" s="41" t="n">
        <v>26.5</v>
      </c>
      <c r="L3640" s="42" t="n">
        <f aca="false">J3640*K3640</f>
        <v>87.185</v>
      </c>
      <c r="M3640" s="43" t="n">
        <f aca="false">H3640*17.1*(1+'Chart of Accounts'!$E$67)</f>
        <v>64.416555</v>
      </c>
    </row>
    <row r="3641" customFormat="false" ht="15" hidden="false" customHeight="false" outlineLevel="0" collapsed="false">
      <c r="B3641" s="7" t="s">
        <v>4138</v>
      </c>
      <c r="C3641" s="39" t="n">
        <v>45838</v>
      </c>
      <c r="D3641" s="7" t="s">
        <v>355</v>
      </c>
      <c r="E3641" s="7" t="s">
        <v>154</v>
      </c>
      <c r="F3641" s="7" t="s">
        <v>201</v>
      </c>
      <c r="G3641" s="7" t="s">
        <v>505</v>
      </c>
      <c r="H3641" s="6" t="n">
        <v>3.59</v>
      </c>
      <c r="I3641" s="6" t="n">
        <v>0</v>
      </c>
      <c r="J3641" s="40" t="n">
        <f aca="false">H3641-I3641</f>
        <v>3.59</v>
      </c>
      <c r="K3641" s="41" t="n">
        <v>26.5</v>
      </c>
      <c r="L3641" s="42" t="n">
        <f aca="false">J3641*K3641</f>
        <v>95.135</v>
      </c>
      <c r="M3641" s="43" t="n">
        <f aca="false">H3641*15.19*(1+'Chart of Accounts'!$E$67)</f>
        <v>62.4392545</v>
      </c>
    </row>
    <row r="3642" customFormat="false" ht="15" hidden="false" customHeight="false" outlineLevel="0" collapsed="false">
      <c r="B3642" s="7" t="s">
        <v>4139</v>
      </c>
      <c r="C3642" s="39" t="n">
        <v>45838</v>
      </c>
      <c r="D3642" s="7" t="s">
        <v>357</v>
      </c>
      <c r="E3642" s="7" t="s">
        <v>154</v>
      </c>
      <c r="F3642" s="7" t="s">
        <v>207</v>
      </c>
      <c r="G3642" s="7" t="s">
        <v>505</v>
      </c>
      <c r="H3642" s="6" t="n">
        <v>3.05</v>
      </c>
      <c r="I3642" s="6" t="n">
        <v>0</v>
      </c>
      <c r="J3642" s="40" t="n">
        <f aca="false">H3642-I3642</f>
        <v>3.05</v>
      </c>
      <c r="K3642" s="41" t="n">
        <v>26.5</v>
      </c>
      <c r="L3642" s="42" t="n">
        <f aca="false">J3642*K3642</f>
        <v>80.825</v>
      </c>
      <c r="M3642" s="43" t="n">
        <f aca="false">H3642*16.65*(1+'Chart of Accounts'!$E$67)</f>
        <v>58.1459625</v>
      </c>
    </row>
    <row r="3643" customFormat="false" ht="15" hidden="false" customHeight="false" outlineLevel="0" collapsed="false">
      <c r="B3643" s="7" t="s">
        <v>4140</v>
      </c>
      <c r="C3643" s="39" t="n">
        <v>45838</v>
      </c>
      <c r="D3643" s="7" t="s">
        <v>359</v>
      </c>
      <c r="E3643" s="7" t="s">
        <v>156</v>
      </c>
      <c r="F3643" s="7" t="s">
        <v>238</v>
      </c>
      <c r="G3643" s="7" t="s">
        <v>505</v>
      </c>
      <c r="H3643" s="6" t="n">
        <v>4.02</v>
      </c>
      <c r="I3643" s="6" t="n">
        <v>0</v>
      </c>
      <c r="J3643" s="40" t="n">
        <f aca="false">H3643-I3643</f>
        <v>4.02</v>
      </c>
      <c r="K3643" s="41" t="n">
        <v>34</v>
      </c>
      <c r="L3643" s="42" t="n">
        <f aca="false">J3643*K3643</f>
        <v>136.68</v>
      </c>
      <c r="M3643" s="43" t="n">
        <f aca="false">H3643*15.85*(1+'Chart of Accounts'!$E$67)</f>
        <v>72.955965</v>
      </c>
    </row>
    <row r="3644" customFormat="false" ht="15" hidden="false" customHeight="false" outlineLevel="0" collapsed="false">
      <c r="B3644" s="7" t="s">
        <v>4141</v>
      </c>
      <c r="C3644" s="39" t="n">
        <v>45838</v>
      </c>
      <c r="D3644" s="7" t="s">
        <v>363</v>
      </c>
      <c r="E3644" s="7" t="s">
        <v>156</v>
      </c>
      <c r="F3644" s="7" t="s">
        <v>246</v>
      </c>
      <c r="G3644" s="7" t="s">
        <v>505</v>
      </c>
      <c r="H3644" s="6" t="n">
        <v>3.92</v>
      </c>
      <c r="I3644" s="6" t="n">
        <v>0</v>
      </c>
      <c r="J3644" s="40" t="n">
        <f aca="false">H3644-I3644</f>
        <v>3.92</v>
      </c>
      <c r="K3644" s="41" t="n">
        <v>34</v>
      </c>
      <c r="L3644" s="42" t="n">
        <f aca="false">J3644*K3644</f>
        <v>133.28</v>
      </c>
      <c r="M3644" s="43" t="n">
        <f aca="false">H3644*16.48*(1+'Chart of Accounts'!$E$67)</f>
        <v>73.968832</v>
      </c>
    </row>
    <row r="3645" customFormat="false" ht="15" hidden="false" customHeight="false" outlineLevel="0" collapsed="false">
      <c r="B3645" s="7" t="s">
        <v>4142</v>
      </c>
      <c r="C3645" s="39" t="n">
        <v>45838</v>
      </c>
      <c r="D3645" s="7" t="s">
        <v>371</v>
      </c>
      <c r="E3645" s="7" t="s">
        <v>154</v>
      </c>
      <c r="F3645" s="7" t="s">
        <v>232</v>
      </c>
      <c r="G3645" s="7" t="s">
        <v>505</v>
      </c>
      <c r="H3645" s="6" t="n">
        <v>4.6</v>
      </c>
      <c r="I3645" s="6" t="n">
        <v>0</v>
      </c>
      <c r="J3645" s="40" t="n">
        <f aca="false">H3645-I3645</f>
        <v>4.6</v>
      </c>
      <c r="K3645" s="41" t="n">
        <v>26.5</v>
      </c>
      <c r="L3645" s="42" t="n">
        <f aca="false">J3645*K3645</f>
        <v>121.9</v>
      </c>
      <c r="M3645" s="43" t="n">
        <f aca="false">H3645*16.17*(1+'Chart of Accounts'!$E$67)</f>
        <v>85.16739</v>
      </c>
    </row>
    <row r="3646" customFormat="false" ht="15" hidden="false" customHeight="false" outlineLevel="0" collapsed="false">
      <c r="B3646" s="7" t="s">
        <v>4143</v>
      </c>
      <c r="C3646" s="39" t="n">
        <v>45838</v>
      </c>
      <c r="D3646" s="7" t="s">
        <v>375</v>
      </c>
      <c r="E3646" s="7" t="s">
        <v>156</v>
      </c>
      <c r="F3646" s="7" t="s">
        <v>196</v>
      </c>
      <c r="G3646" s="7" t="s">
        <v>505</v>
      </c>
      <c r="H3646" s="6" t="n">
        <v>3.1</v>
      </c>
      <c r="I3646" s="6" t="n">
        <v>0</v>
      </c>
      <c r="J3646" s="40" t="n">
        <f aca="false">H3646-I3646</f>
        <v>3.1</v>
      </c>
      <c r="K3646" s="41" t="n">
        <v>34</v>
      </c>
      <c r="L3646" s="42" t="n">
        <f aca="false">J3646*K3646</f>
        <v>105.4</v>
      </c>
      <c r="M3646" s="43" t="n">
        <f aca="false">H3646*15.05*(1+'Chart of Accounts'!$E$67)</f>
        <v>53.419975</v>
      </c>
    </row>
    <row r="3647" customFormat="false" ht="15" hidden="false" customHeight="false" outlineLevel="0" collapsed="false">
      <c r="B3647" s="7" t="s">
        <v>4144</v>
      </c>
      <c r="C3647" s="39" t="n">
        <v>45838</v>
      </c>
      <c r="D3647" s="7" t="s">
        <v>377</v>
      </c>
      <c r="E3647" s="7" t="s">
        <v>154</v>
      </c>
      <c r="F3647" s="7" t="s">
        <v>214</v>
      </c>
      <c r="G3647" s="7" t="s">
        <v>505</v>
      </c>
      <c r="H3647" s="6" t="n">
        <v>4.13</v>
      </c>
      <c r="I3647" s="6" t="n">
        <v>0</v>
      </c>
      <c r="J3647" s="40" t="n">
        <f aca="false">H3647-I3647</f>
        <v>4.13</v>
      </c>
      <c r="K3647" s="41" t="n">
        <v>26.5</v>
      </c>
      <c r="L3647" s="42" t="n">
        <f aca="false">J3647*K3647</f>
        <v>109.445</v>
      </c>
      <c r="M3647" s="43" t="n">
        <f aca="false">H3647*15.67*(1+'Chart of Accounts'!$E$67)</f>
        <v>74.1010795</v>
      </c>
    </row>
    <row r="3648" customFormat="false" ht="15" hidden="false" customHeight="false" outlineLevel="0" collapsed="false">
      <c r="B3648" s="7" t="s">
        <v>4145</v>
      </c>
      <c r="C3648" s="39" t="n">
        <v>45838</v>
      </c>
      <c r="D3648" s="7" t="s">
        <v>379</v>
      </c>
      <c r="E3648" s="7" t="s">
        <v>156</v>
      </c>
      <c r="F3648" s="7" t="s">
        <v>224</v>
      </c>
      <c r="G3648" s="7" t="s">
        <v>505</v>
      </c>
      <c r="H3648" s="6" t="n">
        <v>4.53</v>
      </c>
      <c r="I3648" s="6" t="n">
        <v>0</v>
      </c>
      <c r="J3648" s="40" t="n">
        <f aca="false">H3648-I3648</f>
        <v>4.53</v>
      </c>
      <c r="K3648" s="41" t="n">
        <v>34</v>
      </c>
      <c r="L3648" s="42" t="n">
        <f aca="false">J3648*K3648</f>
        <v>154.02</v>
      </c>
      <c r="M3648" s="43" t="n">
        <f aca="false">H3648*14.93*(1+'Chart of Accounts'!$E$67)</f>
        <v>77.4396705</v>
      </c>
    </row>
    <row r="3649" customFormat="false" ht="15" hidden="false" customHeight="false" outlineLevel="0" collapsed="false">
      <c r="B3649" s="7" t="s">
        <v>4146</v>
      </c>
      <c r="C3649" s="39" t="n">
        <v>45838</v>
      </c>
      <c r="D3649" s="7" t="s">
        <v>385</v>
      </c>
      <c r="E3649" s="7" t="s">
        <v>156</v>
      </c>
      <c r="F3649" s="7" t="s">
        <v>238</v>
      </c>
      <c r="G3649" s="7" t="s">
        <v>505</v>
      </c>
      <c r="H3649" s="6" t="n">
        <v>3.72</v>
      </c>
      <c r="I3649" s="6" t="n">
        <v>0</v>
      </c>
      <c r="J3649" s="40" t="n">
        <f aca="false">H3649-I3649</f>
        <v>3.72</v>
      </c>
      <c r="K3649" s="41" t="n">
        <v>34</v>
      </c>
      <c r="L3649" s="42" t="n">
        <f aca="false">J3649*K3649</f>
        <v>126.48</v>
      </c>
      <c r="M3649" s="43" t="n">
        <f aca="false">H3649*15.85*(1+'Chart of Accounts'!$E$67)</f>
        <v>67.51149</v>
      </c>
    </row>
    <row r="3650" customFormat="false" ht="15" hidden="false" customHeight="false" outlineLevel="0" collapsed="false">
      <c r="B3650" s="7" t="s">
        <v>4147</v>
      </c>
      <c r="C3650" s="39" t="n">
        <v>45838</v>
      </c>
      <c r="D3650" s="7" t="s">
        <v>389</v>
      </c>
      <c r="E3650" s="7" t="s">
        <v>154</v>
      </c>
      <c r="F3650" s="7" t="s">
        <v>246</v>
      </c>
      <c r="G3650" s="7" t="s">
        <v>505</v>
      </c>
      <c r="H3650" s="6" t="n">
        <v>3.75</v>
      </c>
      <c r="I3650" s="6" t="n">
        <v>0</v>
      </c>
      <c r="J3650" s="40" t="n">
        <f aca="false">H3650-I3650</f>
        <v>3.75</v>
      </c>
      <c r="K3650" s="41" t="n">
        <v>26.5</v>
      </c>
      <c r="L3650" s="42" t="n">
        <f aca="false">J3650*K3650</f>
        <v>99.375</v>
      </c>
      <c r="M3650" s="43" t="n">
        <f aca="false">H3650*16.48*(1+'Chart of Accounts'!$E$67)</f>
        <v>70.761</v>
      </c>
    </row>
    <row r="3651" customFormat="false" ht="15" hidden="false" customHeight="false" outlineLevel="0" collapsed="false">
      <c r="B3651" s="7" t="s">
        <v>4148</v>
      </c>
      <c r="C3651" s="39" t="n">
        <v>45838</v>
      </c>
      <c r="D3651" s="7" t="s">
        <v>391</v>
      </c>
      <c r="E3651" s="7" t="s">
        <v>156</v>
      </c>
      <c r="F3651" s="7" t="s">
        <v>222</v>
      </c>
      <c r="G3651" s="7" t="s">
        <v>505</v>
      </c>
      <c r="H3651" s="6" t="n">
        <v>4.28</v>
      </c>
      <c r="I3651" s="6" t="n">
        <v>0</v>
      </c>
      <c r="J3651" s="40" t="n">
        <f aca="false">H3651-I3651</f>
        <v>4.28</v>
      </c>
      <c r="K3651" s="41" t="n">
        <v>34</v>
      </c>
      <c r="L3651" s="42" t="n">
        <f aca="false">J3651*K3651</f>
        <v>145.52</v>
      </c>
      <c r="M3651" s="43" t="n">
        <f aca="false">H3651*17.84*(1+'Chart of Accounts'!$E$67)</f>
        <v>87.426704</v>
      </c>
    </row>
    <row r="3652" customFormat="false" ht="15" hidden="false" customHeight="false" outlineLevel="0" collapsed="false">
      <c r="B3652" s="7" t="s">
        <v>4149</v>
      </c>
      <c r="C3652" s="39" t="n">
        <v>45838</v>
      </c>
      <c r="D3652" s="7" t="s">
        <v>395</v>
      </c>
      <c r="E3652" s="7" t="s">
        <v>156</v>
      </c>
      <c r="F3652" s="7" t="s">
        <v>242</v>
      </c>
      <c r="G3652" s="7" t="s">
        <v>505</v>
      </c>
      <c r="H3652" s="6" t="n">
        <v>4.36</v>
      </c>
      <c r="I3652" s="6" t="n">
        <v>0</v>
      </c>
      <c r="J3652" s="40" t="n">
        <f aca="false">H3652-I3652</f>
        <v>4.36</v>
      </c>
      <c r="K3652" s="41" t="n">
        <v>34</v>
      </c>
      <c r="L3652" s="42" t="n">
        <f aca="false">J3652*K3652</f>
        <v>148.24</v>
      </c>
      <c r="M3652" s="43" t="n">
        <f aca="false">H3652*17.99*(1+'Chart of Accounts'!$E$67)</f>
        <v>89.809678</v>
      </c>
    </row>
    <row r="3653" customFormat="false" ht="15" hidden="false" customHeight="false" outlineLevel="0" collapsed="false">
      <c r="B3653" s="7" t="s">
        <v>4150</v>
      </c>
      <c r="C3653" s="39" t="n">
        <v>45838</v>
      </c>
      <c r="D3653" s="7" t="s">
        <v>399</v>
      </c>
      <c r="E3653" s="7" t="s">
        <v>154</v>
      </c>
      <c r="F3653" s="7" t="s">
        <v>220</v>
      </c>
      <c r="G3653" s="7" t="s">
        <v>505</v>
      </c>
      <c r="H3653" s="6" t="n">
        <v>3.15</v>
      </c>
      <c r="I3653" s="6" t="n">
        <v>0</v>
      </c>
      <c r="J3653" s="40" t="n">
        <f aca="false">H3653-I3653</f>
        <v>3.15</v>
      </c>
      <c r="K3653" s="41" t="n">
        <v>26.5</v>
      </c>
      <c r="L3653" s="42" t="n">
        <f aca="false">J3653*K3653</f>
        <v>83.475</v>
      </c>
      <c r="M3653" s="43" t="n">
        <f aca="false">H3653*16.43*(1+'Chart of Accounts'!$E$67)</f>
        <v>59.2589025</v>
      </c>
    </row>
    <row r="3654" customFormat="false" ht="15" hidden="false" customHeight="false" outlineLevel="0" collapsed="false">
      <c r="B3654" s="7" t="s">
        <v>4151</v>
      </c>
      <c r="C3654" s="39" t="n">
        <v>45838</v>
      </c>
      <c r="D3654" s="7" t="s">
        <v>401</v>
      </c>
      <c r="E3654" s="7" t="s">
        <v>156</v>
      </c>
      <c r="F3654" s="7" t="s">
        <v>254</v>
      </c>
      <c r="G3654" s="7" t="s">
        <v>505</v>
      </c>
      <c r="H3654" s="6" t="n">
        <v>4.39</v>
      </c>
      <c r="I3654" s="6" t="n">
        <v>0</v>
      </c>
      <c r="J3654" s="40" t="n">
        <f aca="false">H3654-I3654</f>
        <v>4.39</v>
      </c>
      <c r="K3654" s="41" t="n">
        <v>34</v>
      </c>
      <c r="L3654" s="42" t="n">
        <f aca="false">J3654*K3654</f>
        <v>149.26</v>
      </c>
      <c r="M3654" s="43" t="n">
        <f aca="false">H3654*17.1*(1+'Chart of Accounts'!$E$67)</f>
        <v>85.954005</v>
      </c>
    </row>
    <row r="3655" customFormat="false" ht="15" hidden="false" customHeight="false" outlineLevel="0" collapsed="false">
      <c r="B3655" s="7" t="s">
        <v>4152</v>
      </c>
      <c r="C3655" s="39" t="n">
        <v>45838</v>
      </c>
      <c r="D3655" s="7" t="s">
        <v>409</v>
      </c>
      <c r="E3655" s="7" t="s">
        <v>154</v>
      </c>
      <c r="F3655" s="7" t="s">
        <v>214</v>
      </c>
      <c r="G3655" s="7" t="s">
        <v>505</v>
      </c>
      <c r="H3655" s="6" t="n">
        <v>3.51</v>
      </c>
      <c r="I3655" s="6" t="n">
        <v>0</v>
      </c>
      <c r="J3655" s="40" t="n">
        <f aca="false">H3655-I3655</f>
        <v>3.51</v>
      </c>
      <c r="K3655" s="41" t="n">
        <v>26.5</v>
      </c>
      <c r="L3655" s="42" t="n">
        <f aca="false">J3655*K3655</f>
        <v>93.015</v>
      </c>
      <c r="M3655" s="43" t="n">
        <f aca="false">H3655*15.67*(1+'Chart of Accounts'!$E$67)</f>
        <v>62.9769465</v>
      </c>
    </row>
    <row r="3656" customFormat="false" ht="15" hidden="false" customHeight="false" outlineLevel="0" collapsed="false">
      <c r="B3656" s="7" t="s">
        <v>4153</v>
      </c>
      <c r="C3656" s="39" t="n">
        <v>45838</v>
      </c>
      <c r="D3656" s="7" t="s">
        <v>411</v>
      </c>
      <c r="E3656" s="7" t="s">
        <v>154</v>
      </c>
      <c r="F3656" s="7" t="s">
        <v>177</v>
      </c>
      <c r="G3656" s="7" t="s">
        <v>505</v>
      </c>
      <c r="H3656" s="6" t="n">
        <v>5.08</v>
      </c>
      <c r="I3656" s="6" t="n">
        <v>0</v>
      </c>
      <c r="J3656" s="40" t="n">
        <f aca="false">H3656-I3656</f>
        <v>5.08</v>
      </c>
      <c r="K3656" s="41" t="n">
        <v>26.5</v>
      </c>
      <c r="L3656" s="42" t="n">
        <f aca="false">J3656*K3656</f>
        <v>134.62</v>
      </c>
      <c r="M3656" s="43" t="n">
        <f aca="false">H3656*14.56*(1+'Chart of Accounts'!$E$67)</f>
        <v>84.689696</v>
      </c>
    </row>
    <row r="3657" customFormat="false" ht="15" hidden="false" customHeight="false" outlineLevel="0" collapsed="false">
      <c r="B3657" s="7" t="s">
        <v>4154</v>
      </c>
      <c r="C3657" s="39" t="n">
        <v>45839</v>
      </c>
      <c r="D3657" s="7" t="s">
        <v>288</v>
      </c>
      <c r="E3657" s="7" t="s">
        <v>156</v>
      </c>
      <c r="F3657" s="7" t="s">
        <v>207</v>
      </c>
      <c r="G3657" s="7" t="s">
        <v>505</v>
      </c>
      <c r="H3657" s="6" t="n">
        <v>3.62</v>
      </c>
      <c r="I3657" s="6" t="n">
        <v>0</v>
      </c>
      <c r="J3657" s="40" t="n">
        <f aca="false">H3657-I3657</f>
        <v>3.62</v>
      </c>
      <c r="K3657" s="41" t="n">
        <v>34</v>
      </c>
      <c r="L3657" s="42" t="n">
        <f aca="false">J3657*K3657</f>
        <v>123.08</v>
      </c>
      <c r="M3657" s="43" t="n">
        <f aca="false">H3657*16.65*(1+'Chart of Accounts'!$E$67)</f>
        <v>69.012585</v>
      </c>
    </row>
    <row r="3658" customFormat="false" ht="15" hidden="false" customHeight="false" outlineLevel="0" collapsed="false">
      <c r="B3658" s="7" t="s">
        <v>4155</v>
      </c>
      <c r="C3658" s="39" t="n">
        <v>45839</v>
      </c>
      <c r="D3658" s="7" t="s">
        <v>301</v>
      </c>
      <c r="E3658" s="7" t="s">
        <v>157</v>
      </c>
      <c r="F3658" s="7" t="s">
        <v>209</v>
      </c>
      <c r="G3658" s="7" t="s">
        <v>502</v>
      </c>
      <c r="H3658" s="6" t="n">
        <v>0.99</v>
      </c>
      <c r="I3658" s="6" t="n">
        <v>0</v>
      </c>
      <c r="J3658" s="40" t="n">
        <f aca="false">H3658-I3658</f>
        <v>0.99</v>
      </c>
      <c r="K3658" s="41" t="n">
        <v>165</v>
      </c>
      <c r="L3658" s="42" t="n">
        <f aca="false">J3658*K3658</f>
        <v>163.35</v>
      </c>
      <c r="M3658" s="43" t="n">
        <f aca="false">H3658*73.58*(1+'Chart of Accounts'!$E$67)</f>
        <v>83.406609</v>
      </c>
    </row>
    <row r="3659" customFormat="false" ht="15" hidden="false" customHeight="false" outlineLevel="0" collapsed="false">
      <c r="B3659" s="7" t="s">
        <v>4156</v>
      </c>
      <c r="C3659" s="39" t="n">
        <v>45839</v>
      </c>
      <c r="D3659" s="7" t="s">
        <v>313</v>
      </c>
      <c r="E3659" s="7" t="s">
        <v>156</v>
      </c>
      <c r="F3659" s="7" t="s">
        <v>184</v>
      </c>
      <c r="G3659" s="7" t="s">
        <v>505</v>
      </c>
      <c r="H3659" s="6" t="n">
        <v>3.9</v>
      </c>
      <c r="I3659" s="6" t="n">
        <v>0</v>
      </c>
      <c r="J3659" s="40" t="n">
        <f aca="false">H3659-I3659</f>
        <v>3.9</v>
      </c>
      <c r="K3659" s="41" t="n">
        <v>34</v>
      </c>
      <c r="L3659" s="42" t="n">
        <f aca="false">J3659*K3659</f>
        <v>132.6</v>
      </c>
      <c r="M3659" s="43" t="n">
        <f aca="false">H3659*17.34*(1+'Chart of Accounts'!$E$67)</f>
        <v>77.43177</v>
      </c>
    </row>
    <row r="3660" customFormat="false" ht="15" hidden="false" customHeight="false" outlineLevel="0" collapsed="false">
      <c r="B3660" s="7" t="s">
        <v>4157</v>
      </c>
      <c r="C3660" s="39" t="n">
        <v>45839</v>
      </c>
      <c r="D3660" s="7" t="s">
        <v>319</v>
      </c>
      <c r="E3660" s="7" t="s">
        <v>157</v>
      </c>
      <c r="F3660" s="7" t="s">
        <v>234</v>
      </c>
      <c r="G3660" s="7" t="s">
        <v>502</v>
      </c>
      <c r="H3660" s="6" t="n">
        <v>0.94</v>
      </c>
      <c r="I3660" s="6" t="n">
        <v>0</v>
      </c>
      <c r="J3660" s="40" t="n">
        <f aca="false">H3660-I3660</f>
        <v>0.94</v>
      </c>
      <c r="K3660" s="41" t="n">
        <v>165</v>
      </c>
      <c r="L3660" s="42" t="n">
        <f aca="false">J3660*K3660</f>
        <v>155.1</v>
      </c>
      <c r="M3660" s="43" t="n">
        <f aca="false">H3660*89.53*(1+'Chart of Accounts'!$E$67)</f>
        <v>96.361139</v>
      </c>
    </row>
    <row r="3661" customFormat="false" ht="15" hidden="false" customHeight="false" outlineLevel="0" collapsed="false">
      <c r="B3661" s="7" t="s">
        <v>4158</v>
      </c>
      <c r="C3661" s="39" t="n">
        <v>45839</v>
      </c>
      <c r="D3661" s="7" t="s">
        <v>321</v>
      </c>
      <c r="E3661" s="7" t="s">
        <v>154</v>
      </c>
      <c r="F3661" s="7" t="s">
        <v>218</v>
      </c>
      <c r="G3661" s="7" t="s">
        <v>505</v>
      </c>
      <c r="H3661" s="6" t="n">
        <v>3.7</v>
      </c>
      <c r="I3661" s="6" t="n">
        <v>0.111</v>
      </c>
      <c r="J3661" s="40" t="n">
        <f aca="false">H3661-I3661</f>
        <v>3.589</v>
      </c>
      <c r="K3661" s="41" t="n">
        <v>26.5</v>
      </c>
      <c r="L3661" s="42" t="n">
        <f aca="false">J3661*K3661</f>
        <v>95.1085</v>
      </c>
      <c r="M3661" s="43" t="n">
        <f aca="false">H3661*16.19*(1+'Chart of Accounts'!$E$67)</f>
        <v>68.588935</v>
      </c>
    </row>
    <row r="3662" customFormat="false" ht="15" hidden="false" customHeight="false" outlineLevel="0" collapsed="false">
      <c r="B3662" s="7" t="s">
        <v>4159</v>
      </c>
      <c r="C3662" s="39" t="n">
        <v>45839</v>
      </c>
      <c r="D3662" s="7" t="s">
        <v>323</v>
      </c>
      <c r="E3662" s="7" t="s">
        <v>159</v>
      </c>
      <c r="F3662" s="7" t="s">
        <v>266</v>
      </c>
      <c r="G3662" s="7" t="s">
        <v>502</v>
      </c>
      <c r="H3662" s="6" t="n">
        <v>1</v>
      </c>
      <c r="I3662" s="6" t="n">
        <v>0</v>
      </c>
      <c r="J3662" s="40" t="n">
        <f aca="false">H3662-I3662</f>
        <v>1</v>
      </c>
      <c r="K3662" s="41" t="n">
        <v>135</v>
      </c>
      <c r="L3662" s="42" t="n">
        <f aca="false">J3662*K3662</f>
        <v>135</v>
      </c>
      <c r="M3662" s="43" t="n">
        <f aca="false">H3662*75.18*(1+'Chart of Accounts'!$E$67)</f>
        <v>86.0811</v>
      </c>
    </row>
    <row r="3663" customFormat="false" ht="15" hidden="false" customHeight="false" outlineLevel="0" collapsed="false">
      <c r="B3663" s="7" t="s">
        <v>4160</v>
      </c>
      <c r="C3663" s="39" t="n">
        <v>45839</v>
      </c>
      <c r="D3663" s="7" t="s">
        <v>327</v>
      </c>
      <c r="E3663" s="7" t="s">
        <v>157</v>
      </c>
      <c r="F3663" s="7" t="s">
        <v>228</v>
      </c>
      <c r="G3663" s="7" t="s">
        <v>502</v>
      </c>
      <c r="H3663" s="6" t="n">
        <v>0.96</v>
      </c>
      <c r="I3663" s="6" t="n">
        <v>0</v>
      </c>
      <c r="J3663" s="40" t="n">
        <f aca="false">H3663-I3663</f>
        <v>0.96</v>
      </c>
      <c r="K3663" s="41" t="n">
        <v>165</v>
      </c>
      <c r="L3663" s="42" t="n">
        <f aca="false">J3663*K3663</f>
        <v>158.4</v>
      </c>
      <c r="M3663" s="43" t="n">
        <f aca="false">H3663*51.07*(1+'Chart of Accounts'!$E$67)</f>
        <v>56.136144</v>
      </c>
    </row>
    <row r="3664" customFormat="false" ht="15" hidden="false" customHeight="false" outlineLevel="0" collapsed="false">
      <c r="B3664" s="7" t="s">
        <v>4161</v>
      </c>
      <c r="C3664" s="39" t="n">
        <v>45839</v>
      </c>
      <c r="D3664" s="7" t="s">
        <v>329</v>
      </c>
      <c r="E3664" s="7" t="s">
        <v>156</v>
      </c>
      <c r="F3664" s="7" t="s">
        <v>220</v>
      </c>
      <c r="G3664" s="7" t="s">
        <v>505</v>
      </c>
      <c r="H3664" s="6" t="n">
        <v>4.24</v>
      </c>
      <c r="I3664" s="6" t="n">
        <v>0</v>
      </c>
      <c r="J3664" s="40" t="n">
        <f aca="false">H3664-I3664</f>
        <v>4.24</v>
      </c>
      <c r="K3664" s="41" t="n">
        <v>34</v>
      </c>
      <c r="L3664" s="42" t="n">
        <f aca="false">J3664*K3664</f>
        <v>144.16</v>
      </c>
      <c r="M3664" s="43" t="n">
        <f aca="false">H3664*16.43*(1+'Chart of Accounts'!$E$67)</f>
        <v>79.764364</v>
      </c>
    </row>
    <row r="3665" customFormat="false" ht="15" hidden="false" customHeight="false" outlineLevel="0" collapsed="false">
      <c r="B3665" s="7" t="s">
        <v>4162</v>
      </c>
      <c r="C3665" s="39" t="n">
        <v>45839</v>
      </c>
      <c r="D3665" s="7" t="s">
        <v>359</v>
      </c>
      <c r="E3665" s="7" t="s">
        <v>156</v>
      </c>
      <c r="F3665" s="7" t="s">
        <v>177</v>
      </c>
      <c r="G3665" s="7" t="s">
        <v>505</v>
      </c>
      <c r="H3665" s="6" t="n">
        <v>3.69</v>
      </c>
      <c r="I3665" s="6" t="n">
        <v>0</v>
      </c>
      <c r="J3665" s="40" t="n">
        <f aca="false">H3665-I3665</f>
        <v>3.69</v>
      </c>
      <c r="K3665" s="41" t="n">
        <v>34</v>
      </c>
      <c r="L3665" s="42" t="n">
        <f aca="false">J3665*K3665</f>
        <v>125.46</v>
      </c>
      <c r="M3665" s="43" t="n">
        <f aca="false">H3665*14.56*(1+'Chart of Accounts'!$E$67)</f>
        <v>61.516728</v>
      </c>
    </row>
    <row r="3666" customFormat="false" ht="15" hidden="false" customHeight="false" outlineLevel="0" collapsed="false">
      <c r="B3666" s="7" t="s">
        <v>4163</v>
      </c>
      <c r="C3666" s="39" t="n">
        <v>45839</v>
      </c>
      <c r="D3666" s="7" t="s">
        <v>361</v>
      </c>
      <c r="E3666" s="7" t="s">
        <v>157</v>
      </c>
      <c r="F3666" s="7" t="s">
        <v>209</v>
      </c>
      <c r="G3666" s="7" t="s">
        <v>502</v>
      </c>
      <c r="H3666" s="6" t="n">
        <v>0.98</v>
      </c>
      <c r="I3666" s="6" t="n">
        <v>0.049</v>
      </c>
      <c r="J3666" s="40" t="n">
        <f aca="false">H3666-I3666</f>
        <v>0.931</v>
      </c>
      <c r="K3666" s="41" t="n">
        <v>165</v>
      </c>
      <c r="L3666" s="42" t="n">
        <f aca="false">J3666*K3666</f>
        <v>153.615</v>
      </c>
      <c r="M3666" s="43" t="n">
        <f aca="false">H3666*73.58*(1+'Chart of Accounts'!$E$67)</f>
        <v>82.564118</v>
      </c>
    </row>
    <row r="3667" customFormat="false" ht="15" hidden="false" customHeight="false" outlineLevel="0" collapsed="false">
      <c r="B3667" s="7" t="s">
        <v>4164</v>
      </c>
      <c r="C3667" s="39" t="n">
        <v>45839</v>
      </c>
      <c r="D3667" s="7" t="s">
        <v>365</v>
      </c>
      <c r="E3667" s="7" t="s">
        <v>154</v>
      </c>
      <c r="F3667" s="7" t="s">
        <v>194</v>
      </c>
      <c r="G3667" s="7" t="s">
        <v>505</v>
      </c>
      <c r="H3667" s="6" t="n">
        <v>3.89</v>
      </c>
      <c r="I3667" s="6" t="n">
        <v>0.117</v>
      </c>
      <c r="J3667" s="40" t="n">
        <f aca="false">H3667-I3667</f>
        <v>3.773</v>
      </c>
      <c r="K3667" s="41" t="n">
        <v>26.5</v>
      </c>
      <c r="L3667" s="42" t="n">
        <f aca="false">J3667*K3667</f>
        <v>99.9845</v>
      </c>
      <c r="M3667" s="43" t="n">
        <f aca="false">H3667*16*(1+'Chart of Accounts'!$E$67)</f>
        <v>71.2648</v>
      </c>
    </row>
    <row r="3668" customFormat="false" ht="15" hidden="false" customHeight="false" outlineLevel="0" collapsed="false">
      <c r="B3668" s="7" t="s">
        <v>4165</v>
      </c>
      <c r="C3668" s="39" t="n">
        <v>45839</v>
      </c>
      <c r="D3668" s="7" t="s">
        <v>381</v>
      </c>
      <c r="E3668" s="7" t="s">
        <v>157</v>
      </c>
      <c r="F3668" s="7" t="s">
        <v>234</v>
      </c>
      <c r="G3668" s="7" t="s">
        <v>502</v>
      </c>
      <c r="H3668" s="6" t="n">
        <v>1.09</v>
      </c>
      <c r="I3668" s="6" t="n">
        <v>0</v>
      </c>
      <c r="J3668" s="40" t="n">
        <f aca="false">H3668-I3668</f>
        <v>1.09</v>
      </c>
      <c r="K3668" s="41" t="n">
        <v>165</v>
      </c>
      <c r="L3668" s="42" t="n">
        <f aca="false">J3668*K3668</f>
        <v>179.85</v>
      </c>
      <c r="M3668" s="43" t="n">
        <f aca="false">H3668*89.53*(1+'Chart of Accounts'!$E$67)</f>
        <v>111.7379165</v>
      </c>
    </row>
    <row r="3669" customFormat="false" ht="15" hidden="false" customHeight="false" outlineLevel="0" collapsed="false">
      <c r="B3669" s="7" t="s">
        <v>4166</v>
      </c>
      <c r="C3669" s="39" t="n">
        <v>45839</v>
      </c>
      <c r="D3669" s="7" t="s">
        <v>389</v>
      </c>
      <c r="E3669" s="7" t="s">
        <v>154</v>
      </c>
      <c r="F3669" s="7" t="s">
        <v>246</v>
      </c>
      <c r="G3669" s="7" t="s">
        <v>505</v>
      </c>
      <c r="H3669" s="6" t="n">
        <v>4.16</v>
      </c>
      <c r="I3669" s="6" t="n">
        <v>0</v>
      </c>
      <c r="J3669" s="40" t="n">
        <f aca="false">H3669-I3669</f>
        <v>4.16</v>
      </c>
      <c r="K3669" s="41" t="n">
        <v>26.5</v>
      </c>
      <c r="L3669" s="42" t="n">
        <f aca="false">J3669*K3669</f>
        <v>110.24</v>
      </c>
      <c r="M3669" s="43" t="n">
        <f aca="false">H3669*16.48*(1+'Chart of Accounts'!$E$67)</f>
        <v>78.497536</v>
      </c>
    </row>
    <row r="3670" customFormat="false" ht="15" hidden="false" customHeight="false" outlineLevel="0" collapsed="false">
      <c r="B3670" s="7" t="s">
        <v>4167</v>
      </c>
      <c r="C3670" s="39" t="n">
        <v>45839</v>
      </c>
      <c r="D3670" s="7" t="s">
        <v>395</v>
      </c>
      <c r="E3670" s="7" t="s">
        <v>156</v>
      </c>
      <c r="F3670" s="7" t="s">
        <v>242</v>
      </c>
      <c r="G3670" s="7" t="s">
        <v>505</v>
      </c>
      <c r="H3670" s="6" t="n">
        <v>4.18</v>
      </c>
      <c r="I3670" s="6" t="n">
        <v>0</v>
      </c>
      <c r="J3670" s="40" t="n">
        <f aca="false">H3670-I3670</f>
        <v>4.18</v>
      </c>
      <c r="K3670" s="41" t="n">
        <v>34</v>
      </c>
      <c r="L3670" s="42" t="n">
        <f aca="false">J3670*K3670</f>
        <v>142.12</v>
      </c>
      <c r="M3670" s="43" t="n">
        <f aca="false">H3670*17.99*(1+'Chart of Accounts'!$E$67)</f>
        <v>86.101939</v>
      </c>
    </row>
    <row r="3671" customFormat="false" ht="15" hidden="false" customHeight="false" outlineLevel="0" collapsed="false">
      <c r="B3671" s="7" t="s">
        <v>4168</v>
      </c>
      <c r="C3671" s="39" t="n">
        <v>45839</v>
      </c>
      <c r="D3671" s="7" t="s">
        <v>397</v>
      </c>
      <c r="E3671" s="7" t="s">
        <v>159</v>
      </c>
      <c r="F3671" s="7" t="s">
        <v>203</v>
      </c>
      <c r="G3671" s="7" t="s">
        <v>502</v>
      </c>
      <c r="H3671" s="6" t="n">
        <v>1.07</v>
      </c>
      <c r="I3671" s="6" t="n">
        <v>0.075</v>
      </c>
      <c r="J3671" s="40" t="n">
        <f aca="false">H3671-I3671</f>
        <v>0.995</v>
      </c>
      <c r="K3671" s="41" t="n">
        <v>135</v>
      </c>
      <c r="L3671" s="42" t="n">
        <f aca="false">J3671*K3671</f>
        <v>134.325</v>
      </c>
      <c r="M3671" s="43" t="n">
        <f aca="false">H3671*49.43*(1+'Chart of Accounts'!$E$67)</f>
        <v>60.5591645</v>
      </c>
    </row>
    <row r="3672" customFormat="false" ht="15" hidden="false" customHeight="false" outlineLevel="0" collapsed="false">
      <c r="B3672" s="7" t="s">
        <v>4169</v>
      </c>
      <c r="C3672" s="39" t="n">
        <v>45839</v>
      </c>
      <c r="D3672" s="7" t="s">
        <v>401</v>
      </c>
      <c r="E3672" s="7" t="s">
        <v>156</v>
      </c>
      <c r="F3672" s="7" t="s">
        <v>254</v>
      </c>
      <c r="G3672" s="7" t="s">
        <v>505</v>
      </c>
      <c r="H3672" s="6" t="n">
        <v>4.01</v>
      </c>
      <c r="I3672" s="6" t="n">
        <v>0</v>
      </c>
      <c r="J3672" s="40" t="n">
        <f aca="false">H3672-I3672</f>
        <v>4.01</v>
      </c>
      <c r="K3672" s="41" t="n">
        <v>34</v>
      </c>
      <c r="L3672" s="42" t="n">
        <f aca="false">J3672*K3672</f>
        <v>136.34</v>
      </c>
      <c r="M3672" s="43" t="n">
        <f aca="false">H3672*17.1*(1+'Chart of Accounts'!$E$67)</f>
        <v>78.513795</v>
      </c>
    </row>
    <row r="3673" customFormat="false" ht="15" hidden="false" customHeight="false" outlineLevel="0" collapsed="false">
      <c r="B3673" s="7" t="s">
        <v>4170</v>
      </c>
      <c r="C3673" s="39" t="n">
        <v>45839</v>
      </c>
      <c r="D3673" s="7" t="s">
        <v>407</v>
      </c>
      <c r="E3673" s="7" t="s">
        <v>159</v>
      </c>
      <c r="F3673" s="7" t="s">
        <v>260</v>
      </c>
      <c r="G3673" s="7" t="s">
        <v>502</v>
      </c>
      <c r="H3673" s="6" t="n">
        <v>0.91</v>
      </c>
      <c r="I3673" s="6" t="n">
        <v>0</v>
      </c>
      <c r="J3673" s="40" t="n">
        <f aca="false">H3673-I3673</f>
        <v>0.91</v>
      </c>
      <c r="K3673" s="41" t="n">
        <v>135</v>
      </c>
      <c r="L3673" s="42" t="n">
        <f aca="false">J3673*K3673</f>
        <v>122.85</v>
      </c>
      <c r="M3673" s="43" t="n">
        <f aca="false">H3673*79.8*(1+'Chart of Accounts'!$E$67)</f>
        <v>83.14761</v>
      </c>
    </row>
    <row r="3674" customFormat="false" ht="15" hidden="false" customHeight="false" outlineLevel="0" collapsed="false">
      <c r="B3674" s="7" t="s">
        <v>4171</v>
      </c>
      <c r="C3674" s="39" t="n">
        <v>45840</v>
      </c>
      <c r="D3674" s="7" t="s">
        <v>280</v>
      </c>
      <c r="E3674" s="7" t="s">
        <v>157</v>
      </c>
      <c r="F3674" s="7" t="s">
        <v>187</v>
      </c>
      <c r="G3674" s="7" t="s">
        <v>502</v>
      </c>
      <c r="H3674" s="6" t="n">
        <v>1.05</v>
      </c>
      <c r="I3674" s="6" t="n">
        <v>0</v>
      </c>
      <c r="J3674" s="40" t="n">
        <f aca="false">H3674-I3674</f>
        <v>1.05</v>
      </c>
      <c r="K3674" s="41" t="n">
        <v>165</v>
      </c>
      <c r="L3674" s="42" t="n">
        <f aca="false">J3674*K3674</f>
        <v>173.25</v>
      </c>
      <c r="M3674" s="43" t="n">
        <f aca="false">H3674*66.48*(1+'Chart of Accounts'!$E$67)</f>
        <v>79.92558</v>
      </c>
    </row>
    <row r="3675" customFormat="false" ht="15" hidden="false" customHeight="false" outlineLevel="0" collapsed="false">
      <c r="B3675" s="7" t="s">
        <v>4172</v>
      </c>
      <c r="C3675" s="39" t="n">
        <v>45840</v>
      </c>
      <c r="D3675" s="7" t="s">
        <v>288</v>
      </c>
      <c r="E3675" s="7" t="s">
        <v>156</v>
      </c>
      <c r="F3675" s="7" t="s">
        <v>205</v>
      </c>
      <c r="G3675" s="7" t="s">
        <v>505</v>
      </c>
      <c r="H3675" s="6" t="n">
        <v>4.26</v>
      </c>
      <c r="I3675" s="6" t="n">
        <v>0</v>
      </c>
      <c r="J3675" s="40" t="n">
        <f aca="false">H3675-I3675</f>
        <v>4.26</v>
      </c>
      <c r="K3675" s="41" t="n">
        <v>34</v>
      </c>
      <c r="L3675" s="42" t="n">
        <f aca="false">J3675*K3675</f>
        <v>144.84</v>
      </c>
      <c r="M3675" s="43" t="n">
        <f aca="false">H3675*16.36*(1+'Chart of Accounts'!$E$67)</f>
        <v>79.799172</v>
      </c>
    </row>
    <row r="3676" customFormat="false" ht="15" hidden="false" customHeight="false" outlineLevel="0" collapsed="false">
      <c r="B3676" s="7" t="s">
        <v>4173</v>
      </c>
      <c r="C3676" s="39" t="n">
        <v>45840</v>
      </c>
      <c r="D3676" s="7" t="s">
        <v>291</v>
      </c>
      <c r="E3676" s="7" t="s">
        <v>154</v>
      </c>
      <c r="F3676" s="7" t="s">
        <v>194</v>
      </c>
      <c r="G3676" s="7" t="s">
        <v>505</v>
      </c>
      <c r="H3676" s="6" t="n">
        <v>5.1</v>
      </c>
      <c r="I3676" s="6" t="n">
        <v>0</v>
      </c>
      <c r="J3676" s="40" t="n">
        <f aca="false">H3676-I3676</f>
        <v>5.1</v>
      </c>
      <c r="K3676" s="41" t="n">
        <v>26.5</v>
      </c>
      <c r="L3676" s="42" t="n">
        <f aca="false">J3676*K3676</f>
        <v>135.15</v>
      </c>
      <c r="M3676" s="43" t="n">
        <f aca="false">H3676*16*(1+'Chart of Accounts'!$E$67)</f>
        <v>93.432</v>
      </c>
    </row>
    <row r="3677" customFormat="false" ht="15" hidden="false" customHeight="false" outlineLevel="0" collapsed="false">
      <c r="B3677" s="7" t="s">
        <v>4174</v>
      </c>
      <c r="C3677" s="39" t="n">
        <v>45840</v>
      </c>
      <c r="D3677" s="7" t="s">
        <v>305</v>
      </c>
      <c r="E3677" s="7" t="s">
        <v>154</v>
      </c>
      <c r="F3677" s="7" t="s">
        <v>205</v>
      </c>
      <c r="G3677" s="7" t="s">
        <v>505</v>
      </c>
      <c r="H3677" s="6" t="n">
        <v>3.75</v>
      </c>
      <c r="I3677" s="6" t="n">
        <v>0.112</v>
      </c>
      <c r="J3677" s="40" t="n">
        <f aca="false">H3677-I3677</f>
        <v>3.638</v>
      </c>
      <c r="K3677" s="41" t="n">
        <v>26.5</v>
      </c>
      <c r="L3677" s="42" t="n">
        <f aca="false">J3677*K3677</f>
        <v>96.407</v>
      </c>
      <c r="M3677" s="43" t="n">
        <f aca="false">H3677*16.36*(1+'Chart of Accounts'!$E$67)</f>
        <v>70.24575</v>
      </c>
    </row>
    <row r="3678" customFormat="false" ht="15" hidden="false" customHeight="false" outlineLevel="0" collapsed="false">
      <c r="B3678" s="7" t="s">
        <v>4175</v>
      </c>
      <c r="C3678" s="39" t="n">
        <v>45840</v>
      </c>
      <c r="D3678" s="7" t="s">
        <v>307</v>
      </c>
      <c r="E3678" s="7" t="s">
        <v>157</v>
      </c>
      <c r="F3678" s="7" t="s">
        <v>264</v>
      </c>
      <c r="G3678" s="7" t="s">
        <v>502</v>
      </c>
      <c r="H3678" s="6" t="n">
        <v>0.93</v>
      </c>
      <c r="I3678" s="6" t="n">
        <v>0</v>
      </c>
      <c r="J3678" s="40" t="n">
        <f aca="false">H3678-I3678</f>
        <v>0.93</v>
      </c>
      <c r="K3678" s="41" t="n">
        <v>165</v>
      </c>
      <c r="L3678" s="42" t="n">
        <f aca="false">J3678*K3678</f>
        <v>153.45</v>
      </c>
      <c r="M3678" s="43" t="n">
        <f aca="false">H3678*55.55*(1+'Chart of Accounts'!$E$67)</f>
        <v>59.1524175</v>
      </c>
    </row>
    <row r="3679" customFormat="false" ht="15" hidden="false" customHeight="false" outlineLevel="0" collapsed="false">
      <c r="B3679" s="7" t="s">
        <v>4176</v>
      </c>
      <c r="C3679" s="39" t="n">
        <v>45840</v>
      </c>
      <c r="D3679" s="7" t="s">
        <v>309</v>
      </c>
      <c r="E3679" s="7" t="s">
        <v>159</v>
      </c>
      <c r="F3679" s="7" t="s">
        <v>252</v>
      </c>
      <c r="G3679" s="7" t="s">
        <v>502</v>
      </c>
      <c r="H3679" s="6" t="n">
        <v>1.03</v>
      </c>
      <c r="I3679" s="6" t="n">
        <v>0</v>
      </c>
      <c r="J3679" s="40" t="n">
        <f aca="false">H3679-I3679</f>
        <v>1.03</v>
      </c>
      <c r="K3679" s="41" t="n">
        <v>135</v>
      </c>
      <c r="L3679" s="42" t="n">
        <f aca="false">J3679*K3679</f>
        <v>139.05</v>
      </c>
      <c r="M3679" s="43" t="n">
        <f aca="false">H3679*57.54*(1+'Chart of Accounts'!$E$67)</f>
        <v>67.859799</v>
      </c>
    </row>
    <row r="3680" customFormat="false" ht="15" hidden="false" customHeight="false" outlineLevel="0" collapsed="false">
      <c r="B3680" s="7" t="s">
        <v>4177</v>
      </c>
      <c r="C3680" s="39" t="n">
        <v>45840</v>
      </c>
      <c r="D3680" s="7" t="s">
        <v>313</v>
      </c>
      <c r="E3680" s="7" t="s">
        <v>156</v>
      </c>
      <c r="F3680" s="7" t="s">
        <v>184</v>
      </c>
      <c r="G3680" s="7" t="s">
        <v>505</v>
      </c>
      <c r="H3680" s="6" t="n">
        <v>3.86</v>
      </c>
      <c r="I3680" s="6" t="n">
        <v>0</v>
      </c>
      <c r="J3680" s="40" t="n">
        <f aca="false">H3680-I3680</f>
        <v>3.86</v>
      </c>
      <c r="K3680" s="41" t="n">
        <v>34</v>
      </c>
      <c r="L3680" s="42" t="n">
        <f aca="false">J3680*K3680</f>
        <v>131.24</v>
      </c>
      <c r="M3680" s="43" t="n">
        <f aca="false">H3680*17.34*(1+'Chart of Accounts'!$E$67)</f>
        <v>76.637598</v>
      </c>
    </row>
    <row r="3681" customFormat="false" ht="15" hidden="false" customHeight="false" outlineLevel="0" collapsed="false">
      <c r="B3681" s="7" t="s">
        <v>4178</v>
      </c>
      <c r="C3681" s="39" t="n">
        <v>45840</v>
      </c>
      <c r="D3681" s="7" t="s">
        <v>321</v>
      </c>
      <c r="E3681" s="7" t="s">
        <v>154</v>
      </c>
      <c r="F3681" s="7" t="s">
        <v>218</v>
      </c>
      <c r="G3681" s="7" t="s">
        <v>505</v>
      </c>
      <c r="H3681" s="6" t="n">
        <v>4.31</v>
      </c>
      <c r="I3681" s="6" t="n">
        <v>0</v>
      </c>
      <c r="J3681" s="40" t="n">
        <f aca="false">H3681-I3681</f>
        <v>4.31</v>
      </c>
      <c r="K3681" s="41" t="n">
        <v>26.5</v>
      </c>
      <c r="L3681" s="42" t="n">
        <f aca="false">J3681*K3681</f>
        <v>114.215</v>
      </c>
      <c r="M3681" s="43" t="n">
        <f aca="false">H3681*16.19*(1+'Chart of Accounts'!$E$67)</f>
        <v>79.8968405</v>
      </c>
    </row>
    <row r="3682" customFormat="false" ht="15" hidden="false" customHeight="false" outlineLevel="0" collapsed="false">
      <c r="B3682" s="7" t="s">
        <v>4179</v>
      </c>
      <c r="C3682" s="39" t="n">
        <v>45840</v>
      </c>
      <c r="D3682" s="7" t="s">
        <v>329</v>
      </c>
      <c r="E3682" s="7" t="s">
        <v>156</v>
      </c>
      <c r="F3682" s="7" t="s">
        <v>220</v>
      </c>
      <c r="G3682" s="7" t="s">
        <v>505</v>
      </c>
      <c r="H3682" s="6" t="n">
        <v>4.33</v>
      </c>
      <c r="I3682" s="6" t="n">
        <v>0</v>
      </c>
      <c r="J3682" s="40" t="n">
        <f aca="false">H3682-I3682</f>
        <v>4.33</v>
      </c>
      <c r="K3682" s="41" t="n">
        <v>34</v>
      </c>
      <c r="L3682" s="42" t="n">
        <f aca="false">J3682*K3682</f>
        <v>147.22</v>
      </c>
      <c r="M3682" s="43" t="n">
        <f aca="false">H3682*16.43*(1+'Chart of Accounts'!$E$67)</f>
        <v>81.4574755</v>
      </c>
    </row>
    <row r="3683" customFormat="false" ht="15" hidden="false" customHeight="false" outlineLevel="0" collapsed="false">
      <c r="B3683" s="7" t="s">
        <v>4180</v>
      </c>
      <c r="C3683" s="39" t="n">
        <v>45840</v>
      </c>
      <c r="D3683" s="7" t="s">
        <v>335</v>
      </c>
      <c r="E3683" s="7" t="s">
        <v>154</v>
      </c>
      <c r="F3683" s="7" t="s">
        <v>177</v>
      </c>
      <c r="G3683" s="7" t="s">
        <v>505</v>
      </c>
      <c r="H3683" s="6" t="n">
        <v>4.08</v>
      </c>
      <c r="I3683" s="6" t="n">
        <v>0</v>
      </c>
      <c r="J3683" s="40" t="n">
        <f aca="false">H3683-I3683</f>
        <v>4.08</v>
      </c>
      <c r="K3683" s="41" t="n">
        <v>26.5</v>
      </c>
      <c r="L3683" s="42" t="n">
        <f aca="false">J3683*K3683</f>
        <v>108.12</v>
      </c>
      <c r="M3683" s="43" t="n">
        <f aca="false">H3683*14.56*(1+'Chart of Accounts'!$E$67)</f>
        <v>68.018496</v>
      </c>
    </row>
    <row r="3684" customFormat="false" ht="15" hidden="false" customHeight="false" outlineLevel="0" collapsed="false">
      <c r="B3684" s="7" t="s">
        <v>4181</v>
      </c>
      <c r="C3684" s="39" t="n">
        <v>45840</v>
      </c>
      <c r="D3684" s="7" t="s">
        <v>339</v>
      </c>
      <c r="E3684" s="7" t="s">
        <v>154</v>
      </c>
      <c r="F3684" s="7" t="s">
        <v>242</v>
      </c>
      <c r="G3684" s="7" t="s">
        <v>505</v>
      </c>
      <c r="H3684" s="6" t="n">
        <v>3.01</v>
      </c>
      <c r="I3684" s="6" t="n">
        <v>0.09</v>
      </c>
      <c r="J3684" s="40" t="n">
        <f aca="false">H3684-I3684</f>
        <v>2.92</v>
      </c>
      <c r="K3684" s="41" t="n">
        <v>26.5</v>
      </c>
      <c r="L3684" s="42" t="n">
        <f aca="false">J3684*K3684</f>
        <v>77.38</v>
      </c>
      <c r="M3684" s="43" t="n">
        <f aca="false">H3684*17.99*(1+'Chart of Accounts'!$E$67)</f>
        <v>62.0016355</v>
      </c>
    </row>
    <row r="3685" customFormat="false" ht="15" hidden="false" customHeight="false" outlineLevel="0" collapsed="false">
      <c r="B3685" s="7" t="s">
        <v>4182</v>
      </c>
      <c r="C3685" s="39" t="n">
        <v>45840</v>
      </c>
      <c r="D3685" s="7" t="s">
        <v>353</v>
      </c>
      <c r="E3685" s="7" t="s">
        <v>154</v>
      </c>
      <c r="F3685" s="7" t="s">
        <v>254</v>
      </c>
      <c r="G3685" s="7" t="s">
        <v>505</v>
      </c>
      <c r="H3685" s="6" t="n">
        <v>3.66</v>
      </c>
      <c r="I3685" s="6" t="n">
        <v>0</v>
      </c>
      <c r="J3685" s="40" t="n">
        <f aca="false">H3685-I3685</f>
        <v>3.66</v>
      </c>
      <c r="K3685" s="41" t="n">
        <v>26.5</v>
      </c>
      <c r="L3685" s="42" t="n">
        <f aca="false">J3685*K3685</f>
        <v>96.99</v>
      </c>
      <c r="M3685" s="43" t="n">
        <f aca="false">H3685*17.1*(1+'Chart of Accounts'!$E$67)</f>
        <v>71.66097</v>
      </c>
    </row>
    <row r="3686" customFormat="false" ht="15" hidden="false" customHeight="false" outlineLevel="0" collapsed="false">
      <c r="B3686" s="7" t="s">
        <v>4183</v>
      </c>
      <c r="C3686" s="39" t="n">
        <v>45840</v>
      </c>
      <c r="D3686" s="7" t="s">
        <v>355</v>
      </c>
      <c r="E3686" s="7" t="s">
        <v>154</v>
      </c>
      <c r="F3686" s="7" t="s">
        <v>201</v>
      </c>
      <c r="G3686" s="7" t="s">
        <v>505</v>
      </c>
      <c r="H3686" s="6" t="n">
        <v>3.66</v>
      </c>
      <c r="I3686" s="6" t="n">
        <v>0</v>
      </c>
      <c r="J3686" s="40" t="n">
        <f aca="false">H3686-I3686</f>
        <v>3.66</v>
      </c>
      <c r="K3686" s="41" t="n">
        <v>26.5</v>
      </c>
      <c r="L3686" s="42" t="n">
        <f aca="false">J3686*K3686</f>
        <v>96.99</v>
      </c>
      <c r="M3686" s="43" t="n">
        <f aca="false">H3686*15.19*(1+'Chart of Accounts'!$E$67)</f>
        <v>63.656733</v>
      </c>
    </row>
    <row r="3687" customFormat="false" ht="15" hidden="false" customHeight="false" outlineLevel="0" collapsed="false">
      <c r="B3687" s="7" t="s">
        <v>4184</v>
      </c>
      <c r="C3687" s="39" t="n">
        <v>45840</v>
      </c>
      <c r="D3687" s="7" t="s">
        <v>357</v>
      </c>
      <c r="E3687" s="7" t="s">
        <v>154</v>
      </c>
      <c r="F3687" s="7" t="s">
        <v>207</v>
      </c>
      <c r="G3687" s="7" t="s">
        <v>505</v>
      </c>
      <c r="H3687" s="6" t="n">
        <v>3.09</v>
      </c>
      <c r="I3687" s="6" t="n">
        <v>0</v>
      </c>
      <c r="J3687" s="40" t="n">
        <f aca="false">H3687-I3687</f>
        <v>3.09</v>
      </c>
      <c r="K3687" s="41" t="n">
        <v>26.5</v>
      </c>
      <c r="L3687" s="42" t="n">
        <f aca="false">J3687*K3687</f>
        <v>81.885</v>
      </c>
      <c r="M3687" s="43" t="n">
        <f aca="false">H3687*16.65*(1+'Chart of Accounts'!$E$67)</f>
        <v>58.9085325</v>
      </c>
    </row>
    <row r="3688" customFormat="false" ht="15" hidden="false" customHeight="false" outlineLevel="0" collapsed="false">
      <c r="B3688" s="7" t="s">
        <v>4185</v>
      </c>
      <c r="C3688" s="39" t="n">
        <v>45840</v>
      </c>
      <c r="D3688" s="7" t="s">
        <v>359</v>
      </c>
      <c r="E3688" s="7" t="s">
        <v>156</v>
      </c>
      <c r="F3688" s="7" t="s">
        <v>218</v>
      </c>
      <c r="G3688" s="7" t="s">
        <v>505</v>
      </c>
      <c r="H3688" s="6" t="n">
        <v>3.85</v>
      </c>
      <c r="I3688" s="6" t="n">
        <v>0</v>
      </c>
      <c r="J3688" s="40" t="n">
        <f aca="false">H3688-I3688</f>
        <v>3.85</v>
      </c>
      <c r="K3688" s="41" t="n">
        <v>34</v>
      </c>
      <c r="L3688" s="42" t="n">
        <f aca="false">J3688*K3688</f>
        <v>130.9</v>
      </c>
      <c r="M3688" s="43" t="n">
        <f aca="false">H3688*16.19*(1+'Chart of Accounts'!$E$67)</f>
        <v>71.3695675</v>
      </c>
    </row>
    <row r="3689" customFormat="false" ht="15" hidden="false" customHeight="false" outlineLevel="0" collapsed="false">
      <c r="B3689" s="7" t="s">
        <v>4186</v>
      </c>
      <c r="C3689" s="39" t="n">
        <v>45840</v>
      </c>
      <c r="D3689" s="7" t="s">
        <v>365</v>
      </c>
      <c r="E3689" s="7" t="s">
        <v>154</v>
      </c>
      <c r="F3689" s="7" t="s">
        <v>194</v>
      </c>
      <c r="G3689" s="7" t="s">
        <v>505</v>
      </c>
      <c r="H3689" s="6" t="n">
        <v>4.13</v>
      </c>
      <c r="I3689" s="6" t="n">
        <v>0</v>
      </c>
      <c r="J3689" s="40" t="n">
        <f aca="false">H3689-I3689</f>
        <v>4.13</v>
      </c>
      <c r="K3689" s="41" t="n">
        <v>26.5</v>
      </c>
      <c r="L3689" s="42" t="n">
        <f aca="false">J3689*K3689</f>
        <v>109.445</v>
      </c>
      <c r="M3689" s="43" t="n">
        <f aca="false">H3689*16*(1+'Chart of Accounts'!$E$67)</f>
        <v>75.6616</v>
      </c>
    </row>
    <row r="3690" customFormat="false" ht="15" hidden="false" customHeight="false" outlineLevel="0" collapsed="false">
      <c r="B3690" s="7" t="s">
        <v>4187</v>
      </c>
      <c r="C3690" s="39" t="n">
        <v>45840</v>
      </c>
      <c r="D3690" s="7" t="s">
        <v>371</v>
      </c>
      <c r="E3690" s="7" t="s">
        <v>154</v>
      </c>
      <c r="F3690" s="7" t="s">
        <v>232</v>
      </c>
      <c r="G3690" s="7" t="s">
        <v>505</v>
      </c>
      <c r="H3690" s="6" t="n">
        <v>4.87</v>
      </c>
      <c r="I3690" s="6" t="n">
        <v>0</v>
      </c>
      <c r="J3690" s="40" t="n">
        <f aca="false">H3690-I3690</f>
        <v>4.87</v>
      </c>
      <c r="K3690" s="41" t="n">
        <v>26.5</v>
      </c>
      <c r="L3690" s="42" t="n">
        <f aca="false">J3690*K3690</f>
        <v>129.055</v>
      </c>
      <c r="M3690" s="43" t="n">
        <f aca="false">H3690*16.17*(1+'Chart of Accounts'!$E$67)</f>
        <v>90.1663455</v>
      </c>
    </row>
    <row r="3691" customFormat="false" ht="15" hidden="false" customHeight="false" outlineLevel="0" collapsed="false">
      <c r="B3691" s="7" t="s">
        <v>4188</v>
      </c>
      <c r="C3691" s="39" t="n">
        <v>45840</v>
      </c>
      <c r="D3691" s="7" t="s">
        <v>379</v>
      </c>
      <c r="E3691" s="7" t="s">
        <v>156</v>
      </c>
      <c r="F3691" s="7" t="s">
        <v>224</v>
      </c>
      <c r="G3691" s="7" t="s">
        <v>505</v>
      </c>
      <c r="H3691" s="6" t="n">
        <v>5</v>
      </c>
      <c r="I3691" s="6" t="n">
        <v>0</v>
      </c>
      <c r="J3691" s="40" t="n">
        <f aca="false">H3691-I3691</f>
        <v>5</v>
      </c>
      <c r="K3691" s="41" t="n">
        <v>34</v>
      </c>
      <c r="L3691" s="42" t="n">
        <f aca="false">J3691*K3691</f>
        <v>170</v>
      </c>
      <c r="M3691" s="43" t="n">
        <f aca="false">H3691*14.93*(1+'Chart of Accounts'!$E$67)</f>
        <v>85.47425</v>
      </c>
    </row>
    <row r="3692" customFormat="false" ht="15" hidden="false" customHeight="false" outlineLevel="0" collapsed="false">
      <c r="B3692" s="7" t="s">
        <v>4189</v>
      </c>
      <c r="C3692" s="39" t="n">
        <v>45840</v>
      </c>
      <c r="D3692" s="7" t="s">
        <v>385</v>
      </c>
      <c r="E3692" s="7" t="s">
        <v>156</v>
      </c>
      <c r="F3692" s="7" t="s">
        <v>238</v>
      </c>
      <c r="G3692" s="7" t="s">
        <v>505</v>
      </c>
      <c r="H3692" s="6" t="n">
        <v>3.7</v>
      </c>
      <c r="I3692" s="6" t="n">
        <v>0</v>
      </c>
      <c r="J3692" s="40" t="n">
        <f aca="false">H3692-I3692</f>
        <v>3.7</v>
      </c>
      <c r="K3692" s="41" t="n">
        <v>34</v>
      </c>
      <c r="L3692" s="42" t="n">
        <f aca="false">J3692*K3692</f>
        <v>125.8</v>
      </c>
      <c r="M3692" s="43" t="n">
        <f aca="false">H3692*15.85*(1+'Chart of Accounts'!$E$67)</f>
        <v>67.148525</v>
      </c>
    </row>
    <row r="3693" customFormat="false" ht="15" hidden="false" customHeight="false" outlineLevel="0" collapsed="false">
      <c r="B3693" s="7" t="s">
        <v>4190</v>
      </c>
      <c r="C3693" s="39" t="n">
        <v>45840</v>
      </c>
      <c r="D3693" s="7" t="s">
        <v>389</v>
      </c>
      <c r="E3693" s="7" t="s">
        <v>154</v>
      </c>
      <c r="F3693" s="7" t="s">
        <v>246</v>
      </c>
      <c r="G3693" s="7" t="s">
        <v>505</v>
      </c>
      <c r="H3693" s="6" t="n">
        <v>3.67</v>
      </c>
      <c r="I3693" s="6" t="n">
        <v>0</v>
      </c>
      <c r="J3693" s="40" t="n">
        <f aca="false">H3693-I3693</f>
        <v>3.67</v>
      </c>
      <c r="K3693" s="41" t="n">
        <v>26.5</v>
      </c>
      <c r="L3693" s="42" t="n">
        <f aca="false">J3693*K3693</f>
        <v>97.255</v>
      </c>
      <c r="M3693" s="43" t="n">
        <f aca="false">H3693*16.48*(1+'Chart of Accounts'!$E$67)</f>
        <v>69.251432</v>
      </c>
    </row>
    <row r="3694" customFormat="false" ht="15" hidden="false" customHeight="false" outlineLevel="0" collapsed="false">
      <c r="B3694" s="7" t="s">
        <v>4191</v>
      </c>
      <c r="C3694" s="39" t="n">
        <v>45840</v>
      </c>
      <c r="D3694" s="7" t="s">
        <v>391</v>
      </c>
      <c r="E3694" s="7" t="s">
        <v>156</v>
      </c>
      <c r="F3694" s="7" t="s">
        <v>222</v>
      </c>
      <c r="G3694" s="7" t="s">
        <v>505</v>
      </c>
      <c r="H3694" s="6" t="n">
        <v>4.31</v>
      </c>
      <c r="I3694" s="6" t="n">
        <v>0</v>
      </c>
      <c r="J3694" s="40" t="n">
        <f aca="false">H3694-I3694</f>
        <v>4.31</v>
      </c>
      <c r="K3694" s="41" t="n">
        <v>34</v>
      </c>
      <c r="L3694" s="42" t="n">
        <f aca="false">J3694*K3694</f>
        <v>146.54</v>
      </c>
      <c r="M3694" s="43" t="n">
        <f aca="false">H3694*17.84*(1+'Chart of Accounts'!$E$67)</f>
        <v>88.039508</v>
      </c>
    </row>
    <row r="3695" customFormat="false" ht="15" hidden="false" customHeight="false" outlineLevel="0" collapsed="false">
      <c r="B3695" s="7" t="s">
        <v>4192</v>
      </c>
      <c r="C3695" s="39" t="n">
        <v>45840</v>
      </c>
      <c r="D3695" s="7" t="s">
        <v>393</v>
      </c>
      <c r="E3695" s="7" t="s">
        <v>157</v>
      </c>
      <c r="F3695" s="7" t="s">
        <v>203</v>
      </c>
      <c r="G3695" s="7" t="s">
        <v>502</v>
      </c>
      <c r="H3695" s="6" t="n">
        <v>0.94</v>
      </c>
      <c r="I3695" s="6" t="n">
        <v>0</v>
      </c>
      <c r="J3695" s="40" t="n">
        <f aca="false">H3695-I3695</f>
        <v>0.94</v>
      </c>
      <c r="K3695" s="41" t="n">
        <v>165</v>
      </c>
      <c r="L3695" s="42" t="n">
        <f aca="false">J3695*K3695</f>
        <v>155.1</v>
      </c>
      <c r="M3695" s="43" t="n">
        <f aca="false">H3695*49.43*(1+'Chart of Accounts'!$E$67)</f>
        <v>53.201509</v>
      </c>
    </row>
    <row r="3696" customFormat="false" ht="15" hidden="false" customHeight="false" outlineLevel="0" collapsed="false">
      <c r="B3696" s="7" t="s">
        <v>4193</v>
      </c>
      <c r="C3696" s="39" t="n">
        <v>45840</v>
      </c>
      <c r="D3696" s="7" t="s">
        <v>395</v>
      </c>
      <c r="E3696" s="7" t="s">
        <v>156</v>
      </c>
      <c r="F3696" s="7" t="s">
        <v>242</v>
      </c>
      <c r="G3696" s="7" t="s">
        <v>505</v>
      </c>
      <c r="H3696" s="6" t="n">
        <v>4.38</v>
      </c>
      <c r="I3696" s="6" t="n">
        <v>0</v>
      </c>
      <c r="J3696" s="40" t="n">
        <f aca="false">H3696-I3696</f>
        <v>4.38</v>
      </c>
      <c r="K3696" s="41" t="n">
        <v>34</v>
      </c>
      <c r="L3696" s="42" t="n">
        <f aca="false">J3696*K3696</f>
        <v>148.92</v>
      </c>
      <c r="M3696" s="43" t="n">
        <f aca="false">H3696*17.99*(1+'Chart of Accounts'!$E$67)</f>
        <v>90.221649</v>
      </c>
    </row>
    <row r="3697" customFormat="false" ht="15" hidden="false" customHeight="false" outlineLevel="0" collapsed="false">
      <c r="B3697" s="7" t="s">
        <v>4194</v>
      </c>
      <c r="C3697" s="39" t="n">
        <v>45840</v>
      </c>
      <c r="D3697" s="7" t="s">
        <v>399</v>
      </c>
      <c r="E3697" s="7" t="s">
        <v>154</v>
      </c>
      <c r="F3697" s="7" t="s">
        <v>201</v>
      </c>
      <c r="G3697" s="7" t="s">
        <v>505</v>
      </c>
      <c r="H3697" s="6" t="n">
        <v>3.38</v>
      </c>
      <c r="I3697" s="6" t="n">
        <v>0</v>
      </c>
      <c r="J3697" s="40" t="n">
        <f aca="false">H3697-I3697</f>
        <v>3.38</v>
      </c>
      <c r="K3697" s="41" t="n">
        <v>26.5</v>
      </c>
      <c r="L3697" s="42" t="n">
        <f aca="false">J3697*K3697</f>
        <v>89.57</v>
      </c>
      <c r="M3697" s="43" t="n">
        <f aca="false">H3697*15.19*(1+'Chart of Accounts'!$E$67)</f>
        <v>58.786819</v>
      </c>
    </row>
    <row r="3698" customFormat="false" ht="15" hidden="false" customHeight="false" outlineLevel="0" collapsed="false">
      <c r="B3698" s="7" t="s">
        <v>4195</v>
      </c>
      <c r="C3698" s="39" t="n">
        <v>45840</v>
      </c>
      <c r="D3698" s="7" t="s">
        <v>401</v>
      </c>
      <c r="E3698" s="7" t="s">
        <v>156</v>
      </c>
      <c r="F3698" s="7" t="s">
        <v>254</v>
      </c>
      <c r="G3698" s="7" t="s">
        <v>505</v>
      </c>
      <c r="H3698" s="6" t="n">
        <v>3.9</v>
      </c>
      <c r="I3698" s="6" t="n">
        <v>0</v>
      </c>
      <c r="J3698" s="40" t="n">
        <f aca="false">H3698-I3698</f>
        <v>3.9</v>
      </c>
      <c r="K3698" s="41" t="n">
        <v>34</v>
      </c>
      <c r="L3698" s="42" t="n">
        <f aca="false">J3698*K3698</f>
        <v>132.6</v>
      </c>
      <c r="M3698" s="43" t="n">
        <f aca="false">H3698*17.1*(1+'Chart of Accounts'!$E$67)</f>
        <v>76.36005</v>
      </c>
    </row>
    <row r="3699" customFormat="false" ht="15" hidden="false" customHeight="false" outlineLevel="0" collapsed="false">
      <c r="B3699" s="7" t="s">
        <v>4196</v>
      </c>
      <c r="C3699" s="39" t="n">
        <v>45840</v>
      </c>
      <c r="D3699" s="7" t="s">
        <v>409</v>
      </c>
      <c r="E3699" s="7" t="s">
        <v>154</v>
      </c>
      <c r="F3699" s="7" t="s">
        <v>214</v>
      </c>
      <c r="G3699" s="7" t="s">
        <v>505</v>
      </c>
      <c r="H3699" s="6" t="n">
        <v>3.57</v>
      </c>
      <c r="I3699" s="6" t="n">
        <v>0</v>
      </c>
      <c r="J3699" s="40" t="n">
        <f aca="false">H3699-I3699</f>
        <v>3.57</v>
      </c>
      <c r="K3699" s="41" t="n">
        <v>26.5</v>
      </c>
      <c r="L3699" s="42" t="n">
        <f aca="false">J3699*K3699</f>
        <v>94.605</v>
      </c>
      <c r="M3699" s="43" t="n">
        <f aca="false">H3699*15.67*(1+'Chart of Accounts'!$E$67)</f>
        <v>64.0534755</v>
      </c>
    </row>
    <row r="3700" customFormat="false" ht="15" hidden="false" customHeight="false" outlineLevel="0" collapsed="false">
      <c r="B3700" s="7" t="s">
        <v>4197</v>
      </c>
      <c r="C3700" s="39" t="n">
        <v>45840</v>
      </c>
      <c r="D3700" s="7" t="s">
        <v>411</v>
      </c>
      <c r="E3700" s="7" t="s">
        <v>154</v>
      </c>
      <c r="F3700" s="7" t="s">
        <v>177</v>
      </c>
      <c r="G3700" s="7" t="s">
        <v>505</v>
      </c>
      <c r="H3700" s="6" t="n">
        <v>4.79</v>
      </c>
      <c r="I3700" s="6" t="n">
        <v>0</v>
      </c>
      <c r="J3700" s="40" t="n">
        <f aca="false">H3700-I3700</f>
        <v>4.79</v>
      </c>
      <c r="K3700" s="41" t="n">
        <v>26.5</v>
      </c>
      <c r="L3700" s="42" t="n">
        <f aca="false">J3700*K3700</f>
        <v>126.935</v>
      </c>
      <c r="M3700" s="43" t="n">
        <f aca="false">H3700*14.56*(1+'Chart of Accounts'!$E$67)</f>
        <v>79.855048</v>
      </c>
    </row>
    <row r="3701" customFormat="false" ht="15" hidden="false" customHeight="false" outlineLevel="0" collapsed="false">
      <c r="B3701" s="7" t="s">
        <v>4198</v>
      </c>
      <c r="C3701" s="39" t="n">
        <v>45841</v>
      </c>
      <c r="D3701" s="7" t="s">
        <v>288</v>
      </c>
      <c r="E3701" s="7" t="s">
        <v>156</v>
      </c>
      <c r="F3701" s="7" t="s">
        <v>214</v>
      </c>
      <c r="G3701" s="7" t="s">
        <v>505</v>
      </c>
      <c r="H3701" s="6" t="n">
        <v>3.61</v>
      </c>
      <c r="I3701" s="6" t="n">
        <v>0</v>
      </c>
      <c r="J3701" s="40" t="n">
        <f aca="false">H3701-I3701</f>
        <v>3.61</v>
      </c>
      <c r="K3701" s="41" t="n">
        <v>34</v>
      </c>
      <c r="L3701" s="42" t="n">
        <f aca="false">J3701*K3701</f>
        <v>122.74</v>
      </c>
      <c r="M3701" s="43" t="n">
        <f aca="false">H3701*15.67*(1+'Chart of Accounts'!$E$67)</f>
        <v>64.7711615</v>
      </c>
    </row>
    <row r="3702" customFormat="false" ht="15" hidden="false" customHeight="false" outlineLevel="0" collapsed="false">
      <c r="B3702" s="7" t="s">
        <v>4199</v>
      </c>
      <c r="C3702" s="39" t="n">
        <v>45841</v>
      </c>
      <c r="D3702" s="7" t="s">
        <v>297</v>
      </c>
      <c r="E3702" s="7" t="s">
        <v>156</v>
      </c>
      <c r="F3702" s="7" t="s">
        <v>201</v>
      </c>
      <c r="G3702" s="7" t="s">
        <v>505</v>
      </c>
      <c r="H3702" s="6" t="n">
        <v>2.89</v>
      </c>
      <c r="I3702" s="6" t="n">
        <v>0</v>
      </c>
      <c r="J3702" s="40" t="n">
        <f aca="false">H3702-I3702</f>
        <v>2.89</v>
      </c>
      <c r="K3702" s="41" t="n">
        <v>34</v>
      </c>
      <c r="L3702" s="42" t="n">
        <f aca="false">J3702*K3702</f>
        <v>98.26</v>
      </c>
      <c r="M3702" s="43" t="n">
        <f aca="false">H3702*15.19*(1+'Chart of Accounts'!$E$67)</f>
        <v>50.2644695</v>
      </c>
    </row>
    <row r="3703" customFormat="false" ht="15" hidden="false" customHeight="false" outlineLevel="0" collapsed="false">
      <c r="B3703" s="7" t="s">
        <v>4200</v>
      </c>
      <c r="C3703" s="39" t="n">
        <v>45841</v>
      </c>
      <c r="D3703" s="7" t="s">
        <v>311</v>
      </c>
      <c r="E3703" s="7" t="s">
        <v>154</v>
      </c>
      <c r="F3703" s="7" t="s">
        <v>196</v>
      </c>
      <c r="G3703" s="7" t="s">
        <v>505</v>
      </c>
      <c r="H3703" s="6" t="n">
        <v>2.91</v>
      </c>
      <c r="I3703" s="6" t="n">
        <v>0</v>
      </c>
      <c r="J3703" s="40" t="n">
        <f aca="false">H3703-I3703</f>
        <v>2.91</v>
      </c>
      <c r="K3703" s="41" t="n">
        <v>26.5</v>
      </c>
      <c r="L3703" s="42" t="n">
        <f aca="false">J3703*K3703</f>
        <v>77.115</v>
      </c>
      <c r="M3703" s="43" t="n">
        <f aca="false">H3703*15.05*(1+'Chart of Accounts'!$E$67)</f>
        <v>50.1458475</v>
      </c>
    </row>
    <row r="3704" customFormat="false" ht="15" hidden="false" customHeight="false" outlineLevel="0" collapsed="false">
      <c r="B3704" s="7" t="s">
        <v>4201</v>
      </c>
      <c r="C3704" s="39" t="n">
        <v>45841</v>
      </c>
      <c r="D3704" s="7" t="s">
        <v>313</v>
      </c>
      <c r="E3704" s="7" t="s">
        <v>156</v>
      </c>
      <c r="F3704" s="7" t="s">
        <v>184</v>
      </c>
      <c r="G3704" s="7" t="s">
        <v>505</v>
      </c>
      <c r="H3704" s="6" t="n">
        <v>4.06</v>
      </c>
      <c r="I3704" s="6" t="n">
        <v>0</v>
      </c>
      <c r="J3704" s="40" t="n">
        <f aca="false">H3704-I3704</f>
        <v>4.06</v>
      </c>
      <c r="K3704" s="41" t="n">
        <v>34</v>
      </c>
      <c r="L3704" s="42" t="n">
        <f aca="false">J3704*K3704</f>
        <v>138.04</v>
      </c>
      <c r="M3704" s="43" t="n">
        <f aca="false">H3704*17.34*(1+'Chart of Accounts'!$E$67)</f>
        <v>80.608458</v>
      </c>
    </row>
    <row r="3705" customFormat="false" ht="15" hidden="false" customHeight="false" outlineLevel="0" collapsed="false">
      <c r="B3705" s="7" t="s">
        <v>4202</v>
      </c>
      <c r="C3705" s="39" t="n">
        <v>45841</v>
      </c>
      <c r="D3705" s="7" t="s">
        <v>317</v>
      </c>
      <c r="E3705" s="7" t="s">
        <v>156</v>
      </c>
      <c r="F3705" s="7" t="s">
        <v>207</v>
      </c>
      <c r="G3705" s="7" t="s">
        <v>505</v>
      </c>
      <c r="H3705" s="6" t="n">
        <v>3.07</v>
      </c>
      <c r="I3705" s="6" t="n">
        <v>0</v>
      </c>
      <c r="J3705" s="40" t="n">
        <f aca="false">H3705-I3705</f>
        <v>3.07</v>
      </c>
      <c r="K3705" s="41" t="n">
        <v>34</v>
      </c>
      <c r="L3705" s="42" t="n">
        <f aca="false">J3705*K3705</f>
        <v>104.38</v>
      </c>
      <c r="M3705" s="43" t="n">
        <f aca="false">H3705*16.65*(1+'Chart of Accounts'!$E$67)</f>
        <v>58.5272475</v>
      </c>
    </row>
    <row r="3706" customFormat="false" ht="15" hidden="false" customHeight="false" outlineLevel="0" collapsed="false">
      <c r="B3706" s="7" t="s">
        <v>4203</v>
      </c>
      <c r="C3706" s="39" t="n">
        <v>45841</v>
      </c>
      <c r="D3706" s="7" t="s">
        <v>321</v>
      </c>
      <c r="E3706" s="7" t="s">
        <v>154</v>
      </c>
      <c r="F3706" s="7" t="s">
        <v>218</v>
      </c>
      <c r="G3706" s="7" t="s">
        <v>505</v>
      </c>
      <c r="H3706" s="6" t="n">
        <v>3.82</v>
      </c>
      <c r="I3706" s="6" t="n">
        <v>0</v>
      </c>
      <c r="J3706" s="40" t="n">
        <f aca="false">H3706-I3706</f>
        <v>3.82</v>
      </c>
      <c r="K3706" s="41" t="n">
        <v>26.5</v>
      </c>
      <c r="L3706" s="42" t="n">
        <f aca="false">J3706*K3706</f>
        <v>101.23</v>
      </c>
      <c r="M3706" s="43" t="n">
        <f aca="false">H3706*16.19*(1+'Chart of Accounts'!$E$67)</f>
        <v>70.813441</v>
      </c>
    </row>
    <row r="3707" customFormat="false" ht="15" hidden="false" customHeight="false" outlineLevel="0" collapsed="false">
      <c r="B3707" s="7" t="s">
        <v>4204</v>
      </c>
      <c r="C3707" s="39" t="n">
        <v>45841</v>
      </c>
      <c r="D3707" s="7" t="s">
        <v>325</v>
      </c>
      <c r="E3707" s="7" t="s">
        <v>154</v>
      </c>
      <c r="F3707" s="7" t="s">
        <v>218</v>
      </c>
      <c r="G3707" s="7" t="s">
        <v>505</v>
      </c>
      <c r="H3707" s="6" t="n">
        <v>2.9</v>
      </c>
      <c r="I3707" s="6" t="n">
        <v>0</v>
      </c>
      <c r="J3707" s="40" t="n">
        <f aca="false">H3707-I3707</f>
        <v>2.9</v>
      </c>
      <c r="K3707" s="41" t="n">
        <v>26.5</v>
      </c>
      <c r="L3707" s="42" t="n">
        <f aca="false">J3707*K3707</f>
        <v>76.85</v>
      </c>
      <c r="M3707" s="43" t="n">
        <f aca="false">H3707*16.19*(1+'Chart of Accounts'!$E$67)</f>
        <v>53.758895</v>
      </c>
    </row>
    <row r="3708" customFormat="false" ht="15" hidden="false" customHeight="false" outlineLevel="0" collapsed="false">
      <c r="B3708" s="7" t="s">
        <v>4205</v>
      </c>
      <c r="C3708" s="39" t="n">
        <v>45841</v>
      </c>
      <c r="D3708" s="7" t="s">
        <v>329</v>
      </c>
      <c r="E3708" s="7" t="s">
        <v>156</v>
      </c>
      <c r="F3708" s="7" t="s">
        <v>220</v>
      </c>
      <c r="G3708" s="7" t="s">
        <v>505</v>
      </c>
      <c r="H3708" s="6" t="n">
        <v>4.3</v>
      </c>
      <c r="I3708" s="6" t="n">
        <v>0</v>
      </c>
      <c r="J3708" s="40" t="n">
        <f aca="false">H3708-I3708</f>
        <v>4.3</v>
      </c>
      <c r="K3708" s="41" t="n">
        <v>34</v>
      </c>
      <c r="L3708" s="42" t="n">
        <f aca="false">J3708*K3708</f>
        <v>146.2</v>
      </c>
      <c r="M3708" s="43" t="n">
        <f aca="false">H3708*16.43*(1+'Chart of Accounts'!$E$67)</f>
        <v>80.893105</v>
      </c>
    </row>
    <row r="3709" customFormat="false" ht="15" hidden="false" customHeight="false" outlineLevel="0" collapsed="false">
      <c r="B3709" s="7" t="s">
        <v>4206</v>
      </c>
      <c r="C3709" s="39" t="n">
        <v>45841</v>
      </c>
      <c r="D3709" s="7" t="s">
        <v>331</v>
      </c>
      <c r="E3709" s="7" t="s">
        <v>156</v>
      </c>
      <c r="F3709" s="7" t="s">
        <v>224</v>
      </c>
      <c r="G3709" s="7" t="s">
        <v>505</v>
      </c>
      <c r="H3709" s="6" t="n">
        <v>3.68</v>
      </c>
      <c r="I3709" s="6" t="n">
        <v>0</v>
      </c>
      <c r="J3709" s="40" t="n">
        <f aca="false">H3709-I3709</f>
        <v>3.68</v>
      </c>
      <c r="K3709" s="41" t="n">
        <v>34</v>
      </c>
      <c r="L3709" s="42" t="n">
        <f aca="false">J3709*K3709</f>
        <v>125.12</v>
      </c>
      <c r="M3709" s="43" t="n">
        <f aca="false">H3709*14.93*(1+'Chart of Accounts'!$E$67)</f>
        <v>62.909048</v>
      </c>
    </row>
    <row r="3710" customFormat="false" ht="15" hidden="false" customHeight="false" outlineLevel="0" collapsed="false">
      <c r="B3710" s="7" t="s">
        <v>4207</v>
      </c>
      <c r="C3710" s="39" t="n">
        <v>45841</v>
      </c>
      <c r="D3710" s="7" t="s">
        <v>337</v>
      </c>
      <c r="E3710" s="7" t="s">
        <v>154</v>
      </c>
      <c r="F3710" s="7" t="s">
        <v>232</v>
      </c>
      <c r="G3710" s="7" t="s">
        <v>505</v>
      </c>
      <c r="H3710" s="6" t="n">
        <v>2.86</v>
      </c>
      <c r="I3710" s="6" t="n">
        <v>0</v>
      </c>
      <c r="J3710" s="40" t="n">
        <f aca="false">H3710-I3710</f>
        <v>2.86</v>
      </c>
      <c r="K3710" s="41" t="n">
        <v>26.5</v>
      </c>
      <c r="L3710" s="42" t="n">
        <f aca="false">J3710*K3710</f>
        <v>75.79</v>
      </c>
      <c r="M3710" s="43" t="n">
        <f aca="false">H3710*16.17*(1+'Chart of Accounts'!$E$67)</f>
        <v>52.951899</v>
      </c>
    </row>
    <row r="3711" customFormat="false" ht="15" hidden="false" customHeight="false" outlineLevel="0" collapsed="false">
      <c r="B3711" s="7" t="s">
        <v>4208</v>
      </c>
      <c r="C3711" s="39" t="n">
        <v>45841</v>
      </c>
      <c r="D3711" s="7" t="s">
        <v>341</v>
      </c>
      <c r="E3711" s="7" t="s">
        <v>156</v>
      </c>
      <c r="F3711" s="7" t="s">
        <v>222</v>
      </c>
      <c r="G3711" s="7" t="s">
        <v>505</v>
      </c>
      <c r="H3711" s="6" t="n">
        <v>2.72</v>
      </c>
      <c r="I3711" s="6" t="n">
        <v>0</v>
      </c>
      <c r="J3711" s="40" t="n">
        <f aca="false">H3711-I3711</f>
        <v>2.72</v>
      </c>
      <c r="K3711" s="41" t="n">
        <v>34</v>
      </c>
      <c r="L3711" s="42" t="n">
        <f aca="false">J3711*K3711</f>
        <v>92.48</v>
      </c>
      <c r="M3711" s="43" t="n">
        <f aca="false">H3711*17.84*(1+'Chart of Accounts'!$E$67)</f>
        <v>55.560896</v>
      </c>
    </row>
    <row r="3712" customFormat="false" ht="15" hidden="false" customHeight="false" outlineLevel="0" collapsed="false">
      <c r="B3712" s="7" t="s">
        <v>4209</v>
      </c>
      <c r="C3712" s="39" t="n">
        <v>45841</v>
      </c>
      <c r="D3712" s="7" t="s">
        <v>343</v>
      </c>
      <c r="E3712" s="7" t="s">
        <v>154</v>
      </c>
      <c r="F3712" s="7" t="s">
        <v>196</v>
      </c>
      <c r="G3712" s="7" t="s">
        <v>505</v>
      </c>
      <c r="H3712" s="6" t="n">
        <v>4.38</v>
      </c>
      <c r="I3712" s="6" t="n">
        <v>0</v>
      </c>
      <c r="J3712" s="40" t="n">
        <f aca="false">H3712-I3712</f>
        <v>4.38</v>
      </c>
      <c r="K3712" s="41" t="n">
        <v>26.5</v>
      </c>
      <c r="L3712" s="42" t="n">
        <f aca="false">J3712*K3712</f>
        <v>116.07</v>
      </c>
      <c r="M3712" s="43" t="n">
        <f aca="false">H3712*15.05*(1+'Chart of Accounts'!$E$67)</f>
        <v>75.477255</v>
      </c>
    </row>
    <row r="3713" customFormat="false" ht="15" hidden="false" customHeight="false" outlineLevel="0" collapsed="false">
      <c r="B3713" s="7" t="s">
        <v>4210</v>
      </c>
      <c r="C3713" s="39" t="n">
        <v>45841</v>
      </c>
      <c r="D3713" s="7" t="s">
        <v>351</v>
      </c>
      <c r="E3713" s="7" t="s">
        <v>154</v>
      </c>
      <c r="F3713" s="7" t="s">
        <v>201</v>
      </c>
      <c r="G3713" s="7" t="s">
        <v>505</v>
      </c>
      <c r="H3713" s="6" t="n">
        <v>2.88</v>
      </c>
      <c r="I3713" s="6" t="n">
        <v>0</v>
      </c>
      <c r="J3713" s="40" t="n">
        <f aca="false">H3713-I3713</f>
        <v>2.88</v>
      </c>
      <c r="K3713" s="41" t="n">
        <v>26.5</v>
      </c>
      <c r="L3713" s="42" t="n">
        <f aca="false">J3713*K3713</f>
        <v>76.32</v>
      </c>
      <c r="M3713" s="43" t="n">
        <f aca="false">H3713*15.19*(1+'Chart of Accounts'!$E$67)</f>
        <v>50.090544</v>
      </c>
    </row>
    <row r="3714" customFormat="false" ht="15" hidden="false" customHeight="false" outlineLevel="0" collapsed="false">
      <c r="B3714" s="7" t="s">
        <v>4211</v>
      </c>
      <c r="C3714" s="39" t="n">
        <v>45841</v>
      </c>
      <c r="D3714" s="7" t="s">
        <v>359</v>
      </c>
      <c r="E3714" s="7" t="s">
        <v>156</v>
      </c>
      <c r="F3714" s="7" t="s">
        <v>194</v>
      </c>
      <c r="G3714" s="7" t="s">
        <v>505</v>
      </c>
      <c r="H3714" s="6" t="n">
        <v>3.95</v>
      </c>
      <c r="I3714" s="6" t="n">
        <v>0</v>
      </c>
      <c r="J3714" s="40" t="n">
        <f aca="false">H3714-I3714</f>
        <v>3.95</v>
      </c>
      <c r="K3714" s="41" t="n">
        <v>34</v>
      </c>
      <c r="L3714" s="42" t="n">
        <f aca="false">J3714*K3714</f>
        <v>134.3</v>
      </c>
      <c r="M3714" s="43" t="n">
        <f aca="false">H3714*16*(1+'Chart of Accounts'!$E$67)</f>
        <v>72.364</v>
      </c>
    </row>
    <row r="3715" customFormat="false" ht="15" hidden="false" customHeight="false" outlineLevel="0" collapsed="false">
      <c r="B3715" s="7" t="s">
        <v>4212</v>
      </c>
      <c r="C3715" s="39" t="n">
        <v>45841</v>
      </c>
      <c r="D3715" s="7" t="s">
        <v>363</v>
      </c>
      <c r="E3715" s="7" t="s">
        <v>156</v>
      </c>
      <c r="F3715" s="7" t="s">
        <v>246</v>
      </c>
      <c r="G3715" s="7" t="s">
        <v>505</v>
      </c>
      <c r="H3715" s="6" t="n">
        <v>4.38</v>
      </c>
      <c r="I3715" s="6" t="n">
        <v>0</v>
      </c>
      <c r="J3715" s="40" t="n">
        <f aca="false">H3715-I3715</f>
        <v>4.38</v>
      </c>
      <c r="K3715" s="41" t="n">
        <v>34</v>
      </c>
      <c r="L3715" s="42" t="n">
        <f aca="false">J3715*K3715</f>
        <v>148.92</v>
      </c>
      <c r="M3715" s="43" t="n">
        <f aca="false">H3715*16.48*(1+'Chart of Accounts'!$E$67)</f>
        <v>82.648848</v>
      </c>
    </row>
    <row r="3716" customFormat="false" ht="15" hidden="false" customHeight="false" outlineLevel="0" collapsed="false">
      <c r="B3716" s="7" t="s">
        <v>4213</v>
      </c>
      <c r="C3716" s="39" t="n">
        <v>45841</v>
      </c>
      <c r="D3716" s="7" t="s">
        <v>365</v>
      </c>
      <c r="E3716" s="7" t="s">
        <v>154</v>
      </c>
      <c r="F3716" s="7" t="s">
        <v>194</v>
      </c>
      <c r="G3716" s="7" t="s">
        <v>505</v>
      </c>
      <c r="H3716" s="6" t="n">
        <v>4.31</v>
      </c>
      <c r="I3716" s="6" t="n">
        <v>0.129</v>
      </c>
      <c r="J3716" s="40" t="n">
        <f aca="false">H3716-I3716</f>
        <v>4.181</v>
      </c>
      <c r="K3716" s="41" t="n">
        <v>26.5</v>
      </c>
      <c r="L3716" s="42" t="n">
        <f aca="false">J3716*K3716</f>
        <v>110.7965</v>
      </c>
      <c r="M3716" s="43" t="n">
        <f aca="false">H3716*16*(1+'Chart of Accounts'!$E$67)</f>
        <v>78.9592</v>
      </c>
    </row>
    <row r="3717" customFormat="false" ht="15" hidden="false" customHeight="false" outlineLevel="0" collapsed="false">
      <c r="B3717" s="7" t="s">
        <v>4214</v>
      </c>
      <c r="C3717" s="39" t="n">
        <v>45841</v>
      </c>
      <c r="D3717" s="7" t="s">
        <v>375</v>
      </c>
      <c r="E3717" s="7" t="s">
        <v>156</v>
      </c>
      <c r="F3717" s="7" t="s">
        <v>196</v>
      </c>
      <c r="G3717" s="7" t="s">
        <v>505</v>
      </c>
      <c r="H3717" s="6" t="n">
        <v>3.11</v>
      </c>
      <c r="I3717" s="6" t="n">
        <v>0</v>
      </c>
      <c r="J3717" s="40" t="n">
        <f aca="false">H3717-I3717</f>
        <v>3.11</v>
      </c>
      <c r="K3717" s="41" t="n">
        <v>34</v>
      </c>
      <c r="L3717" s="42" t="n">
        <f aca="false">J3717*K3717</f>
        <v>105.74</v>
      </c>
      <c r="M3717" s="43" t="n">
        <f aca="false">H3717*15.05*(1+'Chart of Accounts'!$E$67)</f>
        <v>53.5922975</v>
      </c>
    </row>
    <row r="3718" customFormat="false" ht="15" hidden="false" customHeight="false" outlineLevel="0" collapsed="false">
      <c r="B3718" s="7" t="s">
        <v>4215</v>
      </c>
      <c r="C3718" s="39" t="n">
        <v>45841</v>
      </c>
      <c r="D3718" s="7" t="s">
        <v>377</v>
      </c>
      <c r="E3718" s="7" t="s">
        <v>154</v>
      </c>
      <c r="F3718" s="7" t="s">
        <v>214</v>
      </c>
      <c r="G3718" s="7" t="s">
        <v>505</v>
      </c>
      <c r="H3718" s="6" t="n">
        <v>4.2</v>
      </c>
      <c r="I3718" s="6" t="n">
        <v>0</v>
      </c>
      <c r="J3718" s="40" t="n">
        <f aca="false">H3718-I3718</f>
        <v>4.2</v>
      </c>
      <c r="K3718" s="41" t="n">
        <v>26.5</v>
      </c>
      <c r="L3718" s="42" t="n">
        <f aca="false">J3718*K3718</f>
        <v>111.3</v>
      </c>
      <c r="M3718" s="43" t="n">
        <f aca="false">H3718*15.67*(1+'Chart of Accounts'!$E$67)</f>
        <v>75.35703</v>
      </c>
    </row>
    <row r="3719" customFormat="false" ht="15" hidden="false" customHeight="false" outlineLevel="0" collapsed="false">
      <c r="B3719" s="7" t="s">
        <v>4216</v>
      </c>
      <c r="C3719" s="39" t="n">
        <v>45841</v>
      </c>
      <c r="D3719" s="7" t="s">
        <v>389</v>
      </c>
      <c r="E3719" s="7" t="s">
        <v>154</v>
      </c>
      <c r="F3719" s="7" t="s">
        <v>246</v>
      </c>
      <c r="G3719" s="7" t="s">
        <v>505</v>
      </c>
      <c r="H3719" s="6" t="n">
        <v>4.05</v>
      </c>
      <c r="I3719" s="6" t="n">
        <v>0.121</v>
      </c>
      <c r="J3719" s="40" t="n">
        <f aca="false">H3719-I3719</f>
        <v>3.929</v>
      </c>
      <c r="K3719" s="41" t="n">
        <v>26.5</v>
      </c>
      <c r="L3719" s="42" t="n">
        <f aca="false">J3719*K3719</f>
        <v>104.1185</v>
      </c>
      <c r="M3719" s="43" t="n">
        <f aca="false">H3719*16.48*(1+'Chart of Accounts'!$E$67)</f>
        <v>76.42188</v>
      </c>
    </row>
    <row r="3720" customFormat="false" ht="15" hidden="false" customHeight="false" outlineLevel="0" collapsed="false">
      <c r="B3720" s="7" t="s">
        <v>4217</v>
      </c>
      <c r="C3720" s="39" t="n">
        <v>45841</v>
      </c>
      <c r="D3720" s="7" t="s">
        <v>391</v>
      </c>
      <c r="E3720" s="7" t="s">
        <v>156</v>
      </c>
      <c r="F3720" s="7" t="s">
        <v>222</v>
      </c>
      <c r="G3720" s="7" t="s">
        <v>505</v>
      </c>
      <c r="H3720" s="6" t="n">
        <v>4.03</v>
      </c>
      <c r="I3720" s="6" t="n">
        <v>0</v>
      </c>
      <c r="J3720" s="40" t="n">
        <f aca="false">H3720-I3720</f>
        <v>4.03</v>
      </c>
      <c r="K3720" s="41" t="n">
        <v>34</v>
      </c>
      <c r="L3720" s="42" t="n">
        <f aca="false">J3720*K3720</f>
        <v>137.02</v>
      </c>
      <c r="M3720" s="43" t="n">
        <f aca="false">H3720*17.84*(1+'Chart of Accounts'!$E$67)</f>
        <v>82.320004</v>
      </c>
    </row>
    <row r="3721" customFormat="false" ht="15" hidden="false" customHeight="false" outlineLevel="0" collapsed="false">
      <c r="B3721" s="7" t="s">
        <v>4218</v>
      </c>
      <c r="C3721" s="39" t="n">
        <v>45841</v>
      </c>
      <c r="D3721" s="7" t="s">
        <v>395</v>
      </c>
      <c r="E3721" s="7" t="s">
        <v>156</v>
      </c>
      <c r="F3721" s="7" t="s">
        <v>242</v>
      </c>
      <c r="G3721" s="7" t="s">
        <v>505</v>
      </c>
      <c r="H3721" s="6" t="n">
        <v>4.4</v>
      </c>
      <c r="I3721" s="6" t="n">
        <v>0</v>
      </c>
      <c r="J3721" s="40" t="n">
        <f aca="false">H3721-I3721</f>
        <v>4.4</v>
      </c>
      <c r="K3721" s="41" t="n">
        <v>34</v>
      </c>
      <c r="L3721" s="42" t="n">
        <f aca="false">J3721*K3721</f>
        <v>149.6</v>
      </c>
      <c r="M3721" s="43" t="n">
        <f aca="false">H3721*17.99*(1+'Chart of Accounts'!$E$67)</f>
        <v>90.63362</v>
      </c>
    </row>
    <row r="3722" customFormat="false" ht="15" hidden="false" customHeight="false" outlineLevel="0" collapsed="false">
      <c r="B3722" s="7" t="s">
        <v>4219</v>
      </c>
      <c r="C3722" s="39" t="n">
        <v>45841</v>
      </c>
      <c r="D3722" s="7" t="s">
        <v>401</v>
      </c>
      <c r="E3722" s="7" t="s">
        <v>156</v>
      </c>
      <c r="F3722" s="7" t="s">
        <v>254</v>
      </c>
      <c r="G3722" s="7" t="s">
        <v>505</v>
      </c>
      <c r="H3722" s="6" t="n">
        <v>4.14</v>
      </c>
      <c r="I3722" s="6" t="n">
        <v>0</v>
      </c>
      <c r="J3722" s="40" t="n">
        <f aca="false">H3722-I3722</f>
        <v>4.14</v>
      </c>
      <c r="K3722" s="41" t="n">
        <v>34</v>
      </c>
      <c r="L3722" s="42" t="n">
        <f aca="false">J3722*K3722</f>
        <v>140.76</v>
      </c>
      <c r="M3722" s="43" t="n">
        <f aca="false">H3722*17.1*(1+'Chart of Accounts'!$E$67)</f>
        <v>81.05913</v>
      </c>
    </row>
    <row r="3723" customFormat="false" ht="15" hidden="false" customHeight="false" outlineLevel="0" collapsed="false">
      <c r="B3723" s="7" t="s">
        <v>4220</v>
      </c>
      <c r="C3723" s="39" t="n">
        <v>45842</v>
      </c>
      <c r="D3723" s="7" t="s">
        <v>280</v>
      </c>
      <c r="E3723" s="7" t="s">
        <v>157</v>
      </c>
      <c r="F3723" s="7" t="s">
        <v>187</v>
      </c>
      <c r="G3723" s="7" t="s">
        <v>502</v>
      </c>
      <c r="H3723" s="6" t="n">
        <v>0.95</v>
      </c>
      <c r="I3723" s="6" t="n">
        <v>0</v>
      </c>
      <c r="J3723" s="40" t="n">
        <f aca="false">H3723-I3723</f>
        <v>0.95</v>
      </c>
      <c r="K3723" s="41" t="n">
        <v>165</v>
      </c>
      <c r="L3723" s="42" t="n">
        <f aca="false">J3723*K3723</f>
        <v>156.75</v>
      </c>
      <c r="M3723" s="43" t="n">
        <f aca="false">H3723*66.48*(1+'Chart of Accounts'!$E$67)</f>
        <v>72.31362</v>
      </c>
    </row>
    <row r="3724" customFormat="false" ht="15" hidden="false" customHeight="false" outlineLevel="0" collapsed="false">
      <c r="B3724" s="7" t="s">
        <v>4221</v>
      </c>
      <c r="C3724" s="39" t="n">
        <v>45842</v>
      </c>
      <c r="D3724" s="7" t="s">
        <v>288</v>
      </c>
      <c r="E3724" s="7" t="s">
        <v>156</v>
      </c>
      <c r="F3724" s="7" t="s">
        <v>238</v>
      </c>
      <c r="G3724" s="7" t="s">
        <v>505</v>
      </c>
      <c r="H3724" s="6" t="n">
        <v>4.03</v>
      </c>
      <c r="I3724" s="6" t="n">
        <v>0</v>
      </c>
      <c r="J3724" s="40" t="n">
        <f aca="false">H3724-I3724</f>
        <v>4.03</v>
      </c>
      <c r="K3724" s="41" t="n">
        <v>34</v>
      </c>
      <c r="L3724" s="42" t="n">
        <f aca="false">J3724*K3724</f>
        <v>137.02</v>
      </c>
      <c r="M3724" s="43" t="n">
        <f aca="false">H3724*15.85*(1+'Chart of Accounts'!$E$67)</f>
        <v>73.1374475</v>
      </c>
    </row>
    <row r="3725" customFormat="false" ht="15" hidden="false" customHeight="false" outlineLevel="0" collapsed="false">
      <c r="B3725" s="7" t="s">
        <v>4222</v>
      </c>
      <c r="C3725" s="39" t="n">
        <v>45842</v>
      </c>
      <c r="D3725" s="7" t="s">
        <v>291</v>
      </c>
      <c r="E3725" s="7" t="s">
        <v>154</v>
      </c>
      <c r="F3725" s="7" t="s">
        <v>194</v>
      </c>
      <c r="G3725" s="7" t="s">
        <v>505</v>
      </c>
      <c r="H3725" s="6" t="n">
        <v>4.46</v>
      </c>
      <c r="I3725" s="6" t="n">
        <v>0</v>
      </c>
      <c r="J3725" s="40" t="n">
        <f aca="false">H3725-I3725</f>
        <v>4.46</v>
      </c>
      <c r="K3725" s="41" t="n">
        <v>26.5</v>
      </c>
      <c r="L3725" s="42" t="n">
        <f aca="false">J3725*K3725</f>
        <v>118.19</v>
      </c>
      <c r="M3725" s="43" t="n">
        <f aca="false">H3725*16*(1+'Chart of Accounts'!$E$67)</f>
        <v>81.7072</v>
      </c>
    </row>
    <row r="3726" customFormat="false" ht="15" hidden="false" customHeight="false" outlineLevel="0" collapsed="false">
      <c r="B3726" s="7" t="s">
        <v>4223</v>
      </c>
      <c r="C3726" s="39" t="n">
        <v>45842</v>
      </c>
      <c r="D3726" s="7" t="s">
        <v>301</v>
      </c>
      <c r="E3726" s="7" t="s">
        <v>157</v>
      </c>
      <c r="F3726" s="7" t="s">
        <v>209</v>
      </c>
      <c r="G3726" s="7" t="s">
        <v>502</v>
      </c>
      <c r="H3726" s="6" t="n">
        <v>0.96</v>
      </c>
      <c r="I3726" s="6" t="n">
        <v>0</v>
      </c>
      <c r="J3726" s="40" t="n">
        <f aca="false">H3726-I3726</f>
        <v>0.96</v>
      </c>
      <c r="K3726" s="41" t="n">
        <v>165</v>
      </c>
      <c r="L3726" s="42" t="n">
        <f aca="false">J3726*K3726</f>
        <v>158.4</v>
      </c>
      <c r="M3726" s="43" t="n">
        <f aca="false">H3726*73.58*(1+'Chart of Accounts'!$E$67)</f>
        <v>80.879136</v>
      </c>
    </row>
    <row r="3727" customFormat="false" ht="15" hidden="false" customHeight="false" outlineLevel="0" collapsed="false">
      <c r="B3727" s="7" t="s">
        <v>4224</v>
      </c>
      <c r="C3727" s="39" t="n">
        <v>45842</v>
      </c>
      <c r="D3727" s="7" t="s">
        <v>305</v>
      </c>
      <c r="E3727" s="7" t="s">
        <v>154</v>
      </c>
      <c r="F3727" s="7" t="s">
        <v>205</v>
      </c>
      <c r="G3727" s="7" t="s">
        <v>505</v>
      </c>
      <c r="H3727" s="6" t="n">
        <v>4.31</v>
      </c>
      <c r="I3727" s="6" t="n">
        <v>0.129</v>
      </c>
      <c r="J3727" s="40" t="n">
        <f aca="false">H3727-I3727</f>
        <v>4.181</v>
      </c>
      <c r="K3727" s="41" t="n">
        <v>26.5</v>
      </c>
      <c r="L3727" s="42" t="n">
        <f aca="false">J3727*K3727</f>
        <v>110.7965</v>
      </c>
      <c r="M3727" s="43" t="n">
        <f aca="false">H3727*16.36*(1+'Chart of Accounts'!$E$67)</f>
        <v>80.735782</v>
      </c>
    </row>
    <row r="3728" customFormat="false" ht="15" hidden="false" customHeight="false" outlineLevel="0" collapsed="false">
      <c r="B3728" s="7" t="s">
        <v>4225</v>
      </c>
      <c r="C3728" s="39" t="n">
        <v>45842</v>
      </c>
      <c r="D3728" s="7" t="s">
        <v>309</v>
      </c>
      <c r="E3728" s="7" t="s">
        <v>159</v>
      </c>
      <c r="F3728" s="7" t="s">
        <v>252</v>
      </c>
      <c r="G3728" s="7" t="s">
        <v>502</v>
      </c>
      <c r="H3728" s="6" t="n">
        <v>1.04</v>
      </c>
      <c r="I3728" s="6" t="n">
        <v>0</v>
      </c>
      <c r="J3728" s="40" t="n">
        <f aca="false">H3728-I3728</f>
        <v>1.04</v>
      </c>
      <c r="K3728" s="41" t="n">
        <v>135</v>
      </c>
      <c r="L3728" s="42" t="n">
        <f aca="false">J3728*K3728</f>
        <v>140.4</v>
      </c>
      <c r="M3728" s="43" t="n">
        <f aca="false">H3728*57.54*(1+'Chart of Accounts'!$E$67)</f>
        <v>68.518632</v>
      </c>
    </row>
    <row r="3729" customFormat="false" ht="15" hidden="false" customHeight="false" outlineLevel="0" collapsed="false">
      <c r="B3729" s="7" t="s">
        <v>4226</v>
      </c>
      <c r="C3729" s="39" t="n">
        <v>45842</v>
      </c>
      <c r="D3729" s="7" t="s">
        <v>313</v>
      </c>
      <c r="E3729" s="7" t="s">
        <v>156</v>
      </c>
      <c r="F3729" s="7" t="s">
        <v>184</v>
      </c>
      <c r="G3729" s="7" t="s">
        <v>505</v>
      </c>
      <c r="H3729" s="6" t="n">
        <v>4.19</v>
      </c>
      <c r="I3729" s="6" t="n">
        <v>0</v>
      </c>
      <c r="J3729" s="40" t="n">
        <f aca="false">H3729-I3729</f>
        <v>4.19</v>
      </c>
      <c r="K3729" s="41" t="n">
        <v>34</v>
      </c>
      <c r="L3729" s="42" t="n">
        <f aca="false">J3729*K3729</f>
        <v>142.46</v>
      </c>
      <c r="M3729" s="43" t="n">
        <f aca="false">H3729*17.34*(1+'Chart of Accounts'!$E$67)</f>
        <v>83.189517</v>
      </c>
    </row>
    <row r="3730" customFormat="false" ht="15" hidden="false" customHeight="false" outlineLevel="0" collapsed="false">
      <c r="B3730" s="7" t="s">
        <v>4227</v>
      </c>
      <c r="C3730" s="39" t="n">
        <v>45842</v>
      </c>
      <c r="D3730" s="7" t="s">
        <v>319</v>
      </c>
      <c r="E3730" s="7" t="s">
        <v>157</v>
      </c>
      <c r="F3730" s="7" t="s">
        <v>234</v>
      </c>
      <c r="G3730" s="7" t="s">
        <v>502</v>
      </c>
      <c r="H3730" s="6" t="n">
        <v>1.05</v>
      </c>
      <c r="I3730" s="6" t="n">
        <v>0</v>
      </c>
      <c r="J3730" s="40" t="n">
        <f aca="false">H3730-I3730</f>
        <v>1.05</v>
      </c>
      <c r="K3730" s="41" t="n">
        <v>165</v>
      </c>
      <c r="L3730" s="42" t="n">
        <f aca="false">J3730*K3730</f>
        <v>173.25</v>
      </c>
      <c r="M3730" s="43" t="n">
        <f aca="false">H3730*89.53*(1+'Chart of Accounts'!$E$67)</f>
        <v>107.6374425</v>
      </c>
    </row>
    <row r="3731" customFormat="false" ht="15" hidden="false" customHeight="false" outlineLevel="0" collapsed="false">
      <c r="B3731" s="7" t="s">
        <v>4228</v>
      </c>
      <c r="C3731" s="39" t="n">
        <v>45842</v>
      </c>
      <c r="D3731" s="7" t="s">
        <v>321</v>
      </c>
      <c r="E3731" s="7" t="s">
        <v>154</v>
      </c>
      <c r="F3731" s="7" t="s">
        <v>218</v>
      </c>
      <c r="G3731" s="7" t="s">
        <v>505</v>
      </c>
      <c r="H3731" s="6" t="n">
        <v>3.73</v>
      </c>
      <c r="I3731" s="6" t="n">
        <v>0</v>
      </c>
      <c r="J3731" s="40" t="n">
        <f aca="false">H3731-I3731</f>
        <v>3.73</v>
      </c>
      <c r="K3731" s="41" t="n">
        <v>26.5</v>
      </c>
      <c r="L3731" s="42" t="n">
        <f aca="false">J3731*K3731</f>
        <v>98.845</v>
      </c>
      <c r="M3731" s="43" t="n">
        <f aca="false">H3731*16.19*(1+'Chart of Accounts'!$E$67)</f>
        <v>69.1450615</v>
      </c>
    </row>
    <row r="3732" customFormat="false" ht="15" hidden="false" customHeight="false" outlineLevel="0" collapsed="false">
      <c r="B3732" s="7" t="s">
        <v>4229</v>
      </c>
      <c r="C3732" s="39" t="n">
        <v>45842</v>
      </c>
      <c r="D3732" s="7" t="s">
        <v>323</v>
      </c>
      <c r="E3732" s="7" t="s">
        <v>159</v>
      </c>
      <c r="F3732" s="7" t="s">
        <v>266</v>
      </c>
      <c r="G3732" s="7" t="s">
        <v>502</v>
      </c>
      <c r="H3732" s="6" t="n">
        <v>1.1</v>
      </c>
      <c r="I3732" s="6" t="n">
        <v>0</v>
      </c>
      <c r="J3732" s="40" t="n">
        <f aca="false">H3732-I3732</f>
        <v>1.1</v>
      </c>
      <c r="K3732" s="41" t="n">
        <v>135</v>
      </c>
      <c r="L3732" s="42" t="n">
        <f aca="false">J3732*K3732</f>
        <v>148.5</v>
      </c>
      <c r="M3732" s="43" t="n">
        <f aca="false">H3732*75.18*(1+'Chart of Accounts'!$E$67)</f>
        <v>94.68921</v>
      </c>
    </row>
    <row r="3733" customFormat="false" ht="15" hidden="false" customHeight="false" outlineLevel="0" collapsed="false">
      <c r="B3733" s="7" t="s">
        <v>4230</v>
      </c>
      <c r="C3733" s="39" t="n">
        <v>45842</v>
      </c>
      <c r="D3733" s="7" t="s">
        <v>327</v>
      </c>
      <c r="E3733" s="7" t="s">
        <v>157</v>
      </c>
      <c r="F3733" s="7" t="s">
        <v>228</v>
      </c>
      <c r="G3733" s="7" t="s">
        <v>502</v>
      </c>
      <c r="H3733" s="6" t="n">
        <v>0.98</v>
      </c>
      <c r="I3733" s="6" t="n">
        <v>0</v>
      </c>
      <c r="J3733" s="40" t="n">
        <f aca="false">H3733-I3733</f>
        <v>0.98</v>
      </c>
      <c r="K3733" s="41" t="n">
        <v>165</v>
      </c>
      <c r="L3733" s="42" t="n">
        <f aca="false">J3733*K3733</f>
        <v>161.7</v>
      </c>
      <c r="M3733" s="43" t="n">
        <f aca="false">H3733*51.07*(1+'Chart of Accounts'!$E$67)</f>
        <v>57.305647</v>
      </c>
    </row>
    <row r="3734" customFormat="false" ht="15" hidden="false" customHeight="false" outlineLevel="0" collapsed="false">
      <c r="B3734" s="7" t="s">
        <v>4231</v>
      </c>
      <c r="C3734" s="39" t="n">
        <v>45842</v>
      </c>
      <c r="D3734" s="7" t="s">
        <v>329</v>
      </c>
      <c r="E3734" s="7" t="s">
        <v>156</v>
      </c>
      <c r="F3734" s="7" t="s">
        <v>220</v>
      </c>
      <c r="G3734" s="7" t="s">
        <v>505</v>
      </c>
      <c r="H3734" s="6" t="n">
        <v>3.88</v>
      </c>
      <c r="I3734" s="6" t="n">
        <v>0</v>
      </c>
      <c r="J3734" s="40" t="n">
        <f aca="false">H3734-I3734</f>
        <v>3.88</v>
      </c>
      <c r="K3734" s="41" t="n">
        <v>34</v>
      </c>
      <c r="L3734" s="42" t="n">
        <f aca="false">J3734*K3734</f>
        <v>131.92</v>
      </c>
      <c r="M3734" s="43" t="n">
        <f aca="false">H3734*16.43*(1+'Chart of Accounts'!$E$67)</f>
        <v>72.991918</v>
      </c>
    </row>
    <row r="3735" customFormat="false" ht="15" hidden="false" customHeight="false" outlineLevel="0" collapsed="false">
      <c r="B3735" s="7" t="s">
        <v>4232</v>
      </c>
      <c r="C3735" s="39" t="n">
        <v>45842</v>
      </c>
      <c r="D3735" s="7" t="s">
        <v>335</v>
      </c>
      <c r="E3735" s="7" t="s">
        <v>154</v>
      </c>
      <c r="F3735" s="7" t="s">
        <v>177</v>
      </c>
      <c r="G3735" s="7" t="s">
        <v>505</v>
      </c>
      <c r="H3735" s="6" t="n">
        <v>3.71</v>
      </c>
      <c r="I3735" s="6" t="n">
        <v>0</v>
      </c>
      <c r="J3735" s="40" t="n">
        <f aca="false">H3735-I3735</f>
        <v>3.71</v>
      </c>
      <c r="K3735" s="41" t="n">
        <v>26.5</v>
      </c>
      <c r="L3735" s="42" t="n">
        <f aca="false">J3735*K3735</f>
        <v>98.315</v>
      </c>
      <c r="M3735" s="43" t="n">
        <f aca="false">H3735*14.56*(1+'Chart of Accounts'!$E$67)</f>
        <v>61.850152</v>
      </c>
    </row>
    <row r="3736" customFormat="false" ht="15" hidden="false" customHeight="false" outlineLevel="0" collapsed="false">
      <c r="B3736" s="7" t="s">
        <v>4233</v>
      </c>
      <c r="C3736" s="39" t="n">
        <v>45842</v>
      </c>
      <c r="D3736" s="7" t="s">
        <v>339</v>
      </c>
      <c r="E3736" s="7" t="s">
        <v>154</v>
      </c>
      <c r="F3736" s="7" t="s">
        <v>242</v>
      </c>
      <c r="G3736" s="7" t="s">
        <v>505</v>
      </c>
      <c r="H3736" s="6" t="n">
        <v>3.39</v>
      </c>
      <c r="I3736" s="6" t="n">
        <v>0</v>
      </c>
      <c r="J3736" s="40" t="n">
        <f aca="false">H3736-I3736</f>
        <v>3.39</v>
      </c>
      <c r="K3736" s="41" t="n">
        <v>26.5</v>
      </c>
      <c r="L3736" s="42" t="n">
        <f aca="false">J3736*K3736</f>
        <v>89.835</v>
      </c>
      <c r="M3736" s="43" t="n">
        <f aca="false">H3736*17.99*(1+'Chart of Accounts'!$E$67)</f>
        <v>69.8290845</v>
      </c>
    </row>
    <row r="3737" customFormat="false" ht="15" hidden="false" customHeight="false" outlineLevel="0" collapsed="false">
      <c r="B3737" s="7" t="s">
        <v>4234</v>
      </c>
      <c r="C3737" s="39" t="n">
        <v>45842</v>
      </c>
      <c r="D3737" s="7" t="s">
        <v>353</v>
      </c>
      <c r="E3737" s="7" t="s">
        <v>154</v>
      </c>
      <c r="F3737" s="7" t="s">
        <v>254</v>
      </c>
      <c r="G3737" s="7" t="s">
        <v>505</v>
      </c>
      <c r="H3737" s="6" t="n">
        <v>3.09</v>
      </c>
      <c r="I3737" s="6" t="n">
        <v>0</v>
      </c>
      <c r="J3737" s="40" t="n">
        <f aca="false">H3737-I3737</f>
        <v>3.09</v>
      </c>
      <c r="K3737" s="41" t="n">
        <v>26.5</v>
      </c>
      <c r="L3737" s="42" t="n">
        <f aca="false">J3737*K3737</f>
        <v>81.885</v>
      </c>
      <c r="M3737" s="43" t="n">
        <f aca="false">H3737*17.1*(1+'Chart of Accounts'!$E$67)</f>
        <v>60.500655</v>
      </c>
    </row>
    <row r="3738" customFormat="false" ht="15" hidden="false" customHeight="false" outlineLevel="0" collapsed="false">
      <c r="B3738" s="7" t="s">
        <v>4235</v>
      </c>
      <c r="C3738" s="39" t="n">
        <v>45842</v>
      </c>
      <c r="D3738" s="7" t="s">
        <v>355</v>
      </c>
      <c r="E3738" s="7" t="s">
        <v>154</v>
      </c>
      <c r="F3738" s="7" t="s">
        <v>201</v>
      </c>
      <c r="G3738" s="7" t="s">
        <v>505</v>
      </c>
      <c r="H3738" s="6" t="n">
        <v>3.42</v>
      </c>
      <c r="I3738" s="6" t="n">
        <v>0</v>
      </c>
      <c r="J3738" s="40" t="n">
        <f aca="false">H3738-I3738</f>
        <v>3.42</v>
      </c>
      <c r="K3738" s="41" t="n">
        <v>26.5</v>
      </c>
      <c r="L3738" s="42" t="n">
        <f aca="false">J3738*K3738</f>
        <v>90.63</v>
      </c>
      <c r="M3738" s="43" t="n">
        <f aca="false">H3738*15.19*(1+'Chart of Accounts'!$E$67)</f>
        <v>59.482521</v>
      </c>
    </row>
    <row r="3739" customFormat="false" ht="15" hidden="false" customHeight="false" outlineLevel="0" collapsed="false">
      <c r="B3739" s="7" t="s">
        <v>4236</v>
      </c>
      <c r="C3739" s="39" t="n">
        <v>45842</v>
      </c>
      <c r="D3739" s="7" t="s">
        <v>357</v>
      </c>
      <c r="E3739" s="7" t="s">
        <v>154</v>
      </c>
      <c r="F3739" s="7" t="s">
        <v>207</v>
      </c>
      <c r="G3739" s="7" t="s">
        <v>505</v>
      </c>
      <c r="H3739" s="6" t="n">
        <v>3.51</v>
      </c>
      <c r="I3739" s="6" t="n">
        <v>0</v>
      </c>
      <c r="J3739" s="40" t="n">
        <f aca="false">H3739-I3739</f>
        <v>3.51</v>
      </c>
      <c r="K3739" s="41" t="n">
        <v>26.5</v>
      </c>
      <c r="L3739" s="42" t="n">
        <f aca="false">J3739*K3739</f>
        <v>93.015</v>
      </c>
      <c r="M3739" s="43" t="n">
        <f aca="false">H3739*16.65*(1+'Chart of Accounts'!$E$67)</f>
        <v>66.9155175</v>
      </c>
    </row>
    <row r="3740" customFormat="false" ht="15" hidden="false" customHeight="false" outlineLevel="0" collapsed="false">
      <c r="B3740" s="7" t="s">
        <v>4237</v>
      </c>
      <c r="C3740" s="39" t="n">
        <v>45842</v>
      </c>
      <c r="D3740" s="7" t="s">
        <v>359</v>
      </c>
      <c r="E3740" s="7" t="s">
        <v>156</v>
      </c>
      <c r="F3740" s="7" t="s">
        <v>242</v>
      </c>
      <c r="G3740" s="7" t="s">
        <v>505</v>
      </c>
      <c r="H3740" s="6" t="n">
        <v>3.95</v>
      </c>
      <c r="I3740" s="6" t="n">
        <v>0</v>
      </c>
      <c r="J3740" s="40" t="n">
        <f aca="false">H3740-I3740</f>
        <v>3.95</v>
      </c>
      <c r="K3740" s="41" t="n">
        <v>34</v>
      </c>
      <c r="L3740" s="42" t="n">
        <f aca="false">J3740*K3740</f>
        <v>134.3</v>
      </c>
      <c r="M3740" s="43" t="n">
        <f aca="false">H3740*17.99*(1+'Chart of Accounts'!$E$67)</f>
        <v>81.3642725</v>
      </c>
    </row>
    <row r="3741" customFormat="false" ht="15" hidden="false" customHeight="false" outlineLevel="0" collapsed="false">
      <c r="B3741" s="7" t="s">
        <v>4238</v>
      </c>
      <c r="C3741" s="39" t="n">
        <v>45842</v>
      </c>
      <c r="D3741" s="7" t="s">
        <v>361</v>
      </c>
      <c r="E3741" s="7" t="s">
        <v>157</v>
      </c>
      <c r="F3741" s="7" t="s">
        <v>209</v>
      </c>
      <c r="G3741" s="7" t="s">
        <v>502</v>
      </c>
      <c r="H3741" s="6" t="n">
        <v>1.08</v>
      </c>
      <c r="I3741" s="6" t="n">
        <v>0</v>
      </c>
      <c r="J3741" s="40" t="n">
        <f aca="false">H3741-I3741</f>
        <v>1.08</v>
      </c>
      <c r="K3741" s="41" t="n">
        <v>165</v>
      </c>
      <c r="L3741" s="42" t="n">
        <f aca="false">J3741*K3741</f>
        <v>178.2</v>
      </c>
      <c r="M3741" s="43" t="n">
        <f aca="false">H3741*73.58*(1+'Chart of Accounts'!$E$67)</f>
        <v>90.989028</v>
      </c>
    </row>
    <row r="3742" customFormat="false" ht="15" hidden="false" customHeight="false" outlineLevel="0" collapsed="false">
      <c r="B3742" s="7" t="s">
        <v>4239</v>
      </c>
      <c r="C3742" s="39" t="n">
        <v>45842</v>
      </c>
      <c r="D3742" s="7" t="s">
        <v>365</v>
      </c>
      <c r="E3742" s="7" t="s">
        <v>154</v>
      </c>
      <c r="F3742" s="7" t="s">
        <v>194</v>
      </c>
      <c r="G3742" s="7" t="s">
        <v>505</v>
      </c>
      <c r="H3742" s="6" t="n">
        <v>4.3</v>
      </c>
      <c r="I3742" s="6" t="n">
        <v>0.129</v>
      </c>
      <c r="J3742" s="40" t="n">
        <f aca="false">H3742-I3742</f>
        <v>4.171</v>
      </c>
      <c r="K3742" s="41" t="n">
        <v>26.5</v>
      </c>
      <c r="L3742" s="42" t="n">
        <f aca="false">J3742*K3742</f>
        <v>110.5315</v>
      </c>
      <c r="M3742" s="43" t="n">
        <f aca="false">H3742*16*(1+'Chart of Accounts'!$E$67)</f>
        <v>78.776</v>
      </c>
    </row>
    <row r="3743" customFormat="false" ht="15" hidden="false" customHeight="false" outlineLevel="0" collapsed="false">
      <c r="B3743" s="7" t="s">
        <v>4240</v>
      </c>
      <c r="C3743" s="39" t="n">
        <v>45842</v>
      </c>
      <c r="D3743" s="7" t="s">
        <v>371</v>
      </c>
      <c r="E3743" s="7" t="s">
        <v>154</v>
      </c>
      <c r="F3743" s="7" t="s">
        <v>232</v>
      </c>
      <c r="G3743" s="7" t="s">
        <v>505</v>
      </c>
      <c r="H3743" s="6" t="n">
        <v>4.98</v>
      </c>
      <c r="I3743" s="6" t="n">
        <v>0</v>
      </c>
      <c r="J3743" s="40" t="n">
        <f aca="false">H3743-I3743</f>
        <v>4.98</v>
      </c>
      <c r="K3743" s="41" t="n">
        <v>26.5</v>
      </c>
      <c r="L3743" s="42" t="n">
        <f aca="false">J3743*K3743</f>
        <v>131.97</v>
      </c>
      <c r="M3743" s="43" t="n">
        <f aca="false">H3743*16.17*(1+'Chart of Accounts'!$E$67)</f>
        <v>92.202957</v>
      </c>
    </row>
    <row r="3744" customFormat="false" ht="15" hidden="false" customHeight="false" outlineLevel="0" collapsed="false">
      <c r="B3744" s="7" t="s">
        <v>4241</v>
      </c>
      <c r="C3744" s="39" t="n">
        <v>45842</v>
      </c>
      <c r="D3744" s="7" t="s">
        <v>379</v>
      </c>
      <c r="E3744" s="7" t="s">
        <v>156</v>
      </c>
      <c r="F3744" s="7" t="s">
        <v>224</v>
      </c>
      <c r="G3744" s="7" t="s">
        <v>505</v>
      </c>
      <c r="H3744" s="6" t="n">
        <v>4.6</v>
      </c>
      <c r="I3744" s="6" t="n">
        <v>0</v>
      </c>
      <c r="J3744" s="40" t="n">
        <f aca="false">H3744-I3744</f>
        <v>4.6</v>
      </c>
      <c r="K3744" s="41" t="n">
        <v>34</v>
      </c>
      <c r="L3744" s="42" t="n">
        <f aca="false">J3744*K3744</f>
        <v>156.4</v>
      </c>
      <c r="M3744" s="43" t="n">
        <f aca="false">H3744*14.93*(1+'Chart of Accounts'!$E$67)</f>
        <v>78.63631</v>
      </c>
    </row>
    <row r="3745" customFormat="false" ht="15" hidden="false" customHeight="false" outlineLevel="0" collapsed="false">
      <c r="B3745" s="7" t="s">
        <v>4242</v>
      </c>
      <c r="C3745" s="39" t="n">
        <v>45842</v>
      </c>
      <c r="D3745" s="7" t="s">
        <v>381</v>
      </c>
      <c r="E3745" s="7" t="s">
        <v>157</v>
      </c>
      <c r="F3745" s="7" t="s">
        <v>234</v>
      </c>
      <c r="G3745" s="7" t="s">
        <v>502</v>
      </c>
      <c r="H3745" s="6" t="n">
        <v>1.07</v>
      </c>
      <c r="I3745" s="6" t="n">
        <v>0</v>
      </c>
      <c r="J3745" s="40" t="n">
        <f aca="false">H3745-I3745</f>
        <v>1.07</v>
      </c>
      <c r="K3745" s="41" t="n">
        <v>165</v>
      </c>
      <c r="L3745" s="42" t="n">
        <f aca="false">J3745*K3745</f>
        <v>176.55</v>
      </c>
      <c r="M3745" s="43" t="n">
        <f aca="false">H3745*89.53*(1+'Chart of Accounts'!$E$67)</f>
        <v>109.6876795</v>
      </c>
    </row>
    <row r="3746" customFormat="false" ht="15" hidden="false" customHeight="false" outlineLevel="0" collapsed="false">
      <c r="B3746" s="7" t="s">
        <v>4243</v>
      </c>
      <c r="C3746" s="39" t="n">
        <v>45842</v>
      </c>
      <c r="D3746" s="7" t="s">
        <v>385</v>
      </c>
      <c r="E3746" s="7" t="s">
        <v>156</v>
      </c>
      <c r="F3746" s="7" t="s">
        <v>238</v>
      </c>
      <c r="G3746" s="7" t="s">
        <v>505</v>
      </c>
      <c r="H3746" s="6" t="n">
        <v>4.02</v>
      </c>
      <c r="I3746" s="6" t="n">
        <v>0</v>
      </c>
      <c r="J3746" s="40" t="n">
        <f aca="false">H3746-I3746</f>
        <v>4.02</v>
      </c>
      <c r="K3746" s="41" t="n">
        <v>34</v>
      </c>
      <c r="L3746" s="42" t="n">
        <f aca="false">J3746*K3746</f>
        <v>136.68</v>
      </c>
      <c r="M3746" s="43" t="n">
        <f aca="false">H3746*15.85*(1+'Chart of Accounts'!$E$67)</f>
        <v>72.955965</v>
      </c>
    </row>
    <row r="3747" customFormat="false" ht="15" hidden="false" customHeight="false" outlineLevel="0" collapsed="false">
      <c r="B3747" s="7" t="s">
        <v>4244</v>
      </c>
      <c r="C3747" s="39" t="n">
        <v>45842</v>
      </c>
      <c r="D3747" s="7" t="s">
        <v>389</v>
      </c>
      <c r="E3747" s="7" t="s">
        <v>154</v>
      </c>
      <c r="F3747" s="7" t="s">
        <v>246</v>
      </c>
      <c r="G3747" s="7" t="s">
        <v>505</v>
      </c>
      <c r="H3747" s="6" t="n">
        <v>4.37</v>
      </c>
      <c r="I3747" s="6" t="n">
        <v>0</v>
      </c>
      <c r="J3747" s="40" t="n">
        <f aca="false">H3747-I3747</f>
        <v>4.37</v>
      </c>
      <c r="K3747" s="41" t="n">
        <v>26.5</v>
      </c>
      <c r="L3747" s="42" t="n">
        <f aca="false">J3747*K3747</f>
        <v>115.805</v>
      </c>
      <c r="M3747" s="43" t="n">
        <f aca="false">H3747*16.48*(1+'Chart of Accounts'!$E$67)</f>
        <v>82.460152</v>
      </c>
    </row>
    <row r="3748" customFormat="false" ht="15" hidden="false" customHeight="false" outlineLevel="0" collapsed="false">
      <c r="B3748" s="7" t="s">
        <v>4245</v>
      </c>
      <c r="C3748" s="39" t="n">
        <v>45842</v>
      </c>
      <c r="D3748" s="7" t="s">
        <v>391</v>
      </c>
      <c r="E3748" s="7" t="s">
        <v>156</v>
      </c>
      <c r="F3748" s="7" t="s">
        <v>222</v>
      </c>
      <c r="G3748" s="7" t="s">
        <v>505</v>
      </c>
      <c r="H3748" s="6" t="n">
        <v>4.28</v>
      </c>
      <c r="I3748" s="6" t="n">
        <v>0</v>
      </c>
      <c r="J3748" s="40" t="n">
        <f aca="false">H3748-I3748</f>
        <v>4.28</v>
      </c>
      <c r="K3748" s="41" t="n">
        <v>34</v>
      </c>
      <c r="L3748" s="42" t="n">
        <f aca="false">J3748*K3748</f>
        <v>145.52</v>
      </c>
      <c r="M3748" s="43" t="n">
        <f aca="false">H3748*17.84*(1+'Chart of Accounts'!$E$67)</f>
        <v>87.426704</v>
      </c>
    </row>
    <row r="3749" customFormat="false" ht="15" hidden="false" customHeight="false" outlineLevel="0" collapsed="false">
      <c r="B3749" s="7" t="s">
        <v>4246</v>
      </c>
      <c r="C3749" s="39" t="n">
        <v>45842</v>
      </c>
      <c r="D3749" s="7" t="s">
        <v>395</v>
      </c>
      <c r="E3749" s="7" t="s">
        <v>156</v>
      </c>
      <c r="F3749" s="7" t="s">
        <v>242</v>
      </c>
      <c r="G3749" s="7" t="s">
        <v>505</v>
      </c>
      <c r="H3749" s="6" t="n">
        <v>3.95</v>
      </c>
      <c r="I3749" s="6" t="n">
        <v>0</v>
      </c>
      <c r="J3749" s="40" t="n">
        <f aca="false">H3749-I3749</f>
        <v>3.95</v>
      </c>
      <c r="K3749" s="41" t="n">
        <v>34</v>
      </c>
      <c r="L3749" s="42" t="n">
        <f aca="false">J3749*K3749</f>
        <v>134.3</v>
      </c>
      <c r="M3749" s="43" t="n">
        <f aca="false">H3749*17.99*(1+'Chart of Accounts'!$E$67)</f>
        <v>81.3642725</v>
      </c>
    </row>
    <row r="3750" customFormat="false" ht="15" hidden="false" customHeight="false" outlineLevel="0" collapsed="false">
      <c r="B3750" s="7" t="s">
        <v>4247</v>
      </c>
      <c r="C3750" s="39" t="n">
        <v>45842</v>
      </c>
      <c r="D3750" s="7" t="s">
        <v>397</v>
      </c>
      <c r="E3750" s="7" t="s">
        <v>159</v>
      </c>
      <c r="F3750" s="7" t="s">
        <v>203</v>
      </c>
      <c r="G3750" s="7" t="s">
        <v>502</v>
      </c>
      <c r="H3750" s="6" t="n">
        <v>1.05</v>
      </c>
      <c r="I3750" s="6" t="n">
        <v>0</v>
      </c>
      <c r="J3750" s="40" t="n">
        <f aca="false">H3750-I3750</f>
        <v>1.05</v>
      </c>
      <c r="K3750" s="41" t="n">
        <v>135</v>
      </c>
      <c r="L3750" s="42" t="n">
        <f aca="false">J3750*K3750</f>
        <v>141.75</v>
      </c>
      <c r="M3750" s="43" t="n">
        <f aca="false">H3750*49.43*(1+'Chart of Accounts'!$E$67)</f>
        <v>59.4272175</v>
      </c>
    </row>
    <row r="3751" customFormat="false" ht="15" hidden="false" customHeight="false" outlineLevel="0" collapsed="false">
      <c r="B3751" s="7" t="s">
        <v>4248</v>
      </c>
      <c r="C3751" s="39" t="n">
        <v>45842</v>
      </c>
      <c r="D3751" s="7" t="s">
        <v>399</v>
      </c>
      <c r="E3751" s="7" t="s">
        <v>154</v>
      </c>
      <c r="F3751" s="7" t="s">
        <v>222</v>
      </c>
      <c r="G3751" s="7" t="s">
        <v>505</v>
      </c>
      <c r="H3751" s="6" t="n">
        <v>3.6</v>
      </c>
      <c r="I3751" s="6" t="n">
        <v>0</v>
      </c>
      <c r="J3751" s="40" t="n">
        <f aca="false">H3751-I3751</f>
        <v>3.6</v>
      </c>
      <c r="K3751" s="41" t="n">
        <v>26.5</v>
      </c>
      <c r="L3751" s="42" t="n">
        <f aca="false">J3751*K3751</f>
        <v>95.4</v>
      </c>
      <c r="M3751" s="43" t="n">
        <f aca="false">H3751*17.84*(1+'Chart of Accounts'!$E$67)</f>
        <v>73.53648</v>
      </c>
    </row>
    <row r="3752" customFormat="false" ht="15" hidden="false" customHeight="false" outlineLevel="0" collapsed="false">
      <c r="B3752" s="7" t="s">
        <v>4249</v>
      </c>
      <c r="C3752" s="39" t="n">
        <v>45842</v>
      </c>
      <c r="D3752" s="7" t="s">
        <v>401</v>
      </c>
      <c r="E3752" s="7" t="s">
        <v>156</v>
      </c>
      <c r="F3752" s="7" t="s">
        <v>254</v>
      </c>
      <c r="G3752" s="7" t="s">
        <v>505</v>
      </c>
      <c r="H3752" s="6" t="n">
        <v>4.27</v>
      </c>
      <c r="I3752" s="6" t="n">
        <v>0</v>
      </c>
      <c r="J3752" s="40" t="n">
        <f aca="false">H3752-I3752</f>
        <v>4.27</v>
      </c>
      <c r="K3752" s="41" t="n">
        <v>34</v>
      </c>
      <c r="L3752" s="42" t="n">
        <f aca="false">J3752*K3752</f>
        <v>145.18</v>
      </c>
      <c r="M3752" s="43" t="n">
        <f aca="false">H3752*17.1*(1+'Chart of Accounts'!$E$67)</f>
        <v>83.604465</v>
      </c>
    </row>
    <row r="3753" customFormat="false" ht="15" hidden="false" customHeight="false" outlineLevel="0" collapsed="false">
      <c r="B3753" s="7" t="s">
        <v>4250</v>
      </c>
      <c r="C3753" s="39" t="n">
        <v>45842</v>
      </c>
      <c r="D3753" s="7" t="s">
        <v>407</v>
      </c>
      <c r="E3753" s="7" t="s">
        <v>159</v>
      </c>
      <c r="F3753" s="7" t="s">
        <v>260</v>
      </c>
      <c r="G3753" s="7" t="s">
        <v>502</v>
      </c>
      <c r="H3753" s="6" t="n">
        <v>0.92</v>
      </c>
      <c r="I3753" s="6" t="n">
        <v>0</v>
      </c>
      <c r="J3753" s="40" t="n">
        <f aca="false">H3753-I3753</f>
        <v>0.92</v>
      </c>
      <c r="K3753" s="41" t="n">
        <v>135</v>
      </c>
      <c r="L3753" s="42" t="n">
        <f aca="false">J3753*K3753</f>
        <v>124.2</v>
      </c>
      <c r="M3753" s="43" t="n">
        <f aca="false">H3753*79.8*(1+'Chart of Accounts'!$E$67)</f>
        <v>84.06132</v>
      </c>
    </row>
    <row r="3754" customFormat="false" ht="15" hidden="false" customHeight="false" outlineLevel="0" collapsed="false">
      <c r="B3754" s="7" t="s">
        <v>4251</v>
      </c>
      <c r="C3754" s="39" t="n">
        <v>45842</v>
      </c>
      <c r="D3754" s="7" t="s">
        <v>409</v>
      </c>
      <c r="E3754" s="7" t="s">
        <v>154</v>
      </c>
      <c r="F3754" s="7" t="s">
        <v>214</v>
      </c>
      <c r="G3754" s="7" t="s">
        <v>505</v>
      </c>
      <c r="H3754" s="6" t="n">
        <v>3.33</v>
      </c>
      <c r="I3754" s="6" t="n">
        <v>0</v>
      </c>
      <c r="J3754" s="40" t="n">
        <f aca="false">H3754-I3754</f>
        <v>3.33</v>
      </c>
      <c r="K3754" s="41" t="n">
        <v>26.5</v>
      </c>
      <c r="L3754" s="42" t="n">
        <f aca="false">J3754*K3754</f>
        <v>88.245</v>
      </c>
      <c r="M3754" s="43" t="n">
        <f aca="false">H3754*15.67*(1+'Chart of Accounts'!$E$67)</f>
        <v>59.7473595</v>
      </c>
    </row>
    <row r="3755" customFormat="false" ht="15" hidden="false" customHeight="false" outlineLevel="0" collapsed="false">
      <c r="B3755" s="7" t="s">
        <v>4252</v>
      </c>
      <c r="C3755" s="39" t="n">
        <v>45842</v>
      </c>
      <c r="D3755" s="7" t="s">
        <v>411</v>
      </c>
      <c r="E3755" s="7" t="s">
        <v>154</v>
      </c>
      <c r="F3755" s="7" t="s">
        <v>177</v>
      </c>
      <c r="G3755" s="7" t="s">
        <v>505</v>
      </c>
      <c r="H3755" s="6" t="n">
        <v>4.3</v>
      </c>
      <c r="I3755" s="6" t="n">
        <v>0</v>
      </c>
      <c r="J3755" s="40" t="n">
        <f aca="false">H3755-I3755</f>
        <v>4.3</v>
      </c>
      <c r="K3755" s="41" t="n">
        <v>26.5</v>
      </c>
      <c r="L3755" s="42" t="n">
        <f aca="false">J3755*K3755</f>
        <v>113.95</v>
      </c>
      <c r="M3755" s="43" t="n">
        <f aca="false">H3755*14.56*(1+'Chart of Accounts'!$E$67)</f>
        <v>71.68616</v>
      </c>
    </row>
    <row r="3756" customFormat="false" ht="15" hidden="false" customHeight="false" outlineLevel="0" collapsed="false">
      <c r="B3756" s="7" t="s">
        <v>4253</v>
      </c>
      <c r="C3756" s="39" t="n">
        <v>45843</v>
      </c>
      <c r="D3756" s="7" t="s">
        <v>288</v>
      </c>
      <c r="E3756" s="7" t="s">
        <v>156</v>
      </c>
      <c r="F3756" s="7" t="s">
        <v>232</v>
      </c>
      <c r="G3756" s="7" t="s">
        <v>505</v>
      </c>
      <c r="H3756" s="6" t="n">
        <v>4.05</v>
      </c>
      <c r="I3756" s="6" t="n">
        <v>0</v>
      </c>
      <c r="J3756" s="40" t="n">
        <f aca="false">H3756-I3756</f>
        <v>4.05</v>
      </c>
      <c r="K3756" s="41" t="n">
        <v>34</v>
      </c>
      <c r="L3756" s="42" t="n">
        <f aca="false">J3756*K3756</f>
        <v>137.7</v>
      </c>
      <c r="M3756" s="43" t="n">
        <f aca="false">H3756*16.17*(1+'Chart of Accounts'!$E$67)</f>
        <v>74.9843325</v>
      </c>
    </row>
    <row r="3757" customFormat="false" ht="15" hidden="false" customHeight="false" outlineLevel="0" collapsed="false">
      <c r="B3757" s="7" t="s">
        <v>4254</v>
      </c>
      <c r="C3757" s="39" t="n">
        <v>45843</v>
      </c>
      <c r="D3757" s="7" t="s">
        <v>321</v>
      </c>
      <c r="E3757" s="7" t="s">
        <v>154</v>
      </c>
      <c r="F3757" s="7" t="s">
        <v>218</v>
      </c>
      <c r="G3757" s="7" t="s">
        <v>505</v>
      </c>
      <c r="H3757" s="6" t="n">
        <v>4.3</v>
      </c>
      <c r="I3757" s="6" t="n">
        <v>0.129</v>
      </c>
      <c r="J3757" s="40" t="n">
        <f aca="false">H3757-I3757</f>
        <v>4.171</v>
      </c>
      <c r="K3757" s="41" t="n">
        <v>26.5</v>
      </c>
      <c r="L3757" s="42" t="n">
        <f aca="false">J3757*K3757</f>
        <v>110.5315</v>
      </c>
      <c r="M3757" s="43" t="n">
        <f aca="false">H3757*16.19*(1+'Chart of Accounts'!$E$67)</f>
        <v>79.711465</v>
      </c>
    </row>
    <row r="3758" customFormat="false" ht="15" hidden="false" customHeight="false" outlineLevel="0" collapsed="false">
      <c r="B3758" s="7" t="s">
        <v>4255</v>
      </c>
      <c r="C3758" s="39" t="n">
        <v>45843</v>
      </c>
      <c r="D3758" s="7" t="s">
        <v>359</v>
      </c>
      <c r="E3758" s="7" t="s">
        <v>156</v>
      </c>
      <c r="F3758" s="7" t="s">
        <v>196</v>
      </c>
      <c r="G3758" s="7" t="s">
        <v>505</v>
      </c>
      <c r="H3758" s="6" t="n">
        <v>3.69</v>
      </c>
      <c r="I3758" s="6" t="n">
        <v>0</v>
      </c>
      <c r="J3758" s="40" t="n">
        <f aca="false">H3758-I3758</f>
        <v>3.69</v>
      </c>
      <c r="K3758" s="41" t="n">
        <v>34</v>
      </c>
      <c r="L3758" s="42" t="n">
        <f aca="false">J3758*K3758</f>
        <v>125.46</v>
      </c>
      <c r="M3758" s="43" t="n">
        <f aca="false">H3758*15.05*(1+'Chart of Accounts'!$E$67)</f>
        <v>63.5870025</v>
      </c>
    </row>
    <row r="3759" customFormat="false" ht="15" hidden="false" customHeight="false" outlineLevel="0" collapsed="false">
      <c r="B3759" s="7" t="s">
        <v>4256</v>
      </c>
      <c r="C3759" s="39" t="n">
        <v>45843</v>
      </c>
      <c r="D3759" s="7" t="s">
        <v>391</v>
      </c>
      <c r="E3759" s="7" t="s">
        <v>156</v>
      </c>
      <c r="F3759" s="7" t="s">
        <v>222</v>
      </c>
      <c r="G3759" s="7" t="s">
        <v>505</v>
      </c>
      <c r="H3759" s="6" t="n">
        <v>3.69</v>
      </c>
      <c r="I3759" s="6" t="n">
        <v>0</v>
      </c>
      <c r="J3759" s="40" t="n">
        <f aca="false">H3759-I3759</f>
        <v>3.69</v>
      </c>
      <c r="K3759" s="41" t="n">
        <v>34</v>
      </c>
      <c r="L3759" s="42" t="n">
        <f aca="false">J3759*K3759</f>
        <v>125.46</v>
      </c>
      <c r="M3759" s="43" t="n">
        <f aca="false">H3759*17.84*(1+'Chart of Accounts'!$E$67)</f>
        <v>75.374892</v>
      </c>
    </row>
    <row r="3760" customFormat="false" ht="15" hidden="false" customHeight="false" outlineLevel="0" collapsed="false">
      <c r="B3760" s="7" t="s">
        <v>4257</v>
      </c>
      <c r="C3760" s="39" t="n">
        <v>45843</v>
      </c>
      <c r="D3760" s="7" t="s">
        <v>395</v>
      </c>
      <c r="E3760" s="7" t="s">
        <v>156</v>
      </c>
      <c r="F3760" s="7" t="s">
        <v>242</v>
      </c>
      <c r="G3760" s="7" t="s">
        <v>505</v>
      </c>
      <c r="H3760" s="6" t="n">
        <v>4.14</v>
      </c>
      <c r="I3760" s="6" t="n">
        <v>0</v>
      </c>
      <c r="J3760" s="40" t="n">
        <f aca="false">H3760-I3760</f>
        <v>4.14</v>
      </c>
      <c r="K3760" s="41" t="n">
        <v>34</v>
      </c>
      <c r="L3760" s="42" t="n">
        <f aca="false">J3760*K3760</f>
        <v>140.76</v>
      </c>
      <c r="M3760" s="43" t="n">
        <f aca="false">H3760*17.99*(1+'Chart of Accounts'!$E$67)</f>
        <v>85.277997</v>
      </c>
    </row>
    <row r="3761" customFormat="false" ht="15" hidden="false" customHeight="false" outlineLevel="0" collapsed="false">
      <c r="B3761" s="7" t="s">
        <v>4258</v>
      </c>
      <c r="C3761" s="39" t="n">
        <v>45843</v>
      </c>
      <c r="D3761" s="7" t="s">
        <v>401</v>
      </c>
      <c r="E3761" s="7" t="s">
        <v>156</v>
      </c>
      <c r="F3761" s="7" t="s">
        <v>254</v>
      </c>
      <c r="G3761" s="7" t="s">
        <v>505</v>
      </c>
      <c r="H3761" s="6" t="n">
        <v>3.91</v>
      </c>
      <c r="I3761" s="6" t="n">
        <v>0</v>
      </c>
      <c r="J3761" s="40" t="n">
        <f aca="false">H3761-I3761</f>
        <v>3.91</v>
      </c>
      <c r="K3761" s="41" t="n">
        <v>34</v>
      </c>
      <c r="L3761" s="42" t="n">
        <f aca="false">J3761*K3761</f>
        <v>132.94</v>
      </c>
      <c r="M3761" s="43" t="n">
        <f aca="false">H3761*17.1*(1+'Chart of Accounts'!$E$67)</f>
        <v>76.555845</v>
      </c>
    </row>
    <row r="3762" customFormat="false" ht="15" hidden="false" customHeight="false" outlineLevel="0" collapsed="false">
      <c r="B3762" s="7" t="s">
        <v>4259</v>
      </c>
      <c r="C3762" s="39" t="n">
        <v>45844</v>
      </c>
      <c r="D3762" s="7" t="s">
        <v>288</v>
      </c>
      <c r="E3762" s="7" t="s">
        <v>156</v>
      </c>
      <c r="F3762" s="7" t="s">
        <v>246</v>
      </c>
      <c r="G3762" s="7" t="s">
        <v>505</v>
      </c>
      <c r="H3762" s="6" t="n">
        <v>4.23</v>
      </c>
      <c r="I3762" s="6" t="n">
        <v>0</v>
      </c>
      <c r="J3762" s="40" t="n">
        <f aca="false">H3762-I3762</f>
        <v>4.23</v>
      </c>
      <c r="K3762" s="41" t="n">
        <v>34</v>
      </c>
      <c r="L3762" s="42" t="n">
        <f aca="false">J3762*K3762</f>
        <v>143.82</v>
      </c>
      <c r="M3762" s="43" t="n">
        <f aca="false">H3762*16.48*(1+'Chart of Accounts'!$E$67)</f>
        <v>79.818408</v>
      </c>
    </row>
    <row r="3763" customFormat="false" ht="15" hidden="false" customHeight="false" outlineLevel="0" collapsed="false">
      <c r="B3763" s="7" t="s">
        <v>4260</v>
      </c>
      <c r="C3763" s="39" t="n">
        <v>45844</v>
      </c>
      <c r="D3763" s="7" t="s">
        <v>321</v>
      </c>
      <c r="E3763" s="7" t="s">
        <v>154</v>
      </c>
      <c r="F3763" s="7" t="s">
        <v>218</v>
      </c>
      <c r="G3763" s="7" t="s">
        <v>505</v>
      </c>
      <c r="H3763" s="6" t="n">
        <v>3.92</v>
      </c>
      <c r="I3763" s="6" t="n">
        <v>0</v>
      </c>
      <c r="J3763" s="40" t="n">
        <f aca="false">H3763-I3763</f>
        <v>3.92</v>
      </c>
      <c r="K3763" s="41" t="n">
        <v>26.5</v>
      </c>
      <c r="L3763" s="42" t="n">
        <f aca="false">J3763*K3763</f>
        <v>103.88</v>
      </c>
      <c r="M3763" s="43" t="n">
        <f aca="false">H3763*16.19*(1+'Chart of Accounts'!$E$67)</f>
        <v>72.667196</v>
      </c>
    </row>
    <row r="3764" customFormat="false" ht="15" hidden="false" customHeight="false" outlineLevel="0" collapsed="false">
      <c r="B3764" s="7" t="s">
        <v>4261</v>
      </c>
      <c r="C3764" s="39" t="n">
        <v>45844</v>
      </c>
      <c r="D3764" s="7" t="s">
        <v>359</v>
      </c>
      <c r="E3764" s="7" t="s">
        <v>156</v>
      </c>
      <c r="F3764" s="7" t="s">
        <v>207</v>
      </c>
      <c r="G3764" s="7" t="s">
        <v>505</v>
      </c>
      <c r="H3764" s="6" t="n">
        <v>3.95</v>
      </c>
      <c r="I3764" s="6" t="n">
        <v>0</v>
      </c>
      <c r="J3764" s="40" t="n">
        <f aca="false">H3764-I3764</f>
        <v>3.95</v>
      </c>
      <c r="K3764" s="41" t="n">
        <v>34</v>
      </c>
      <c r="L3764" s="42" t="n">
        <f aca="false">J3764*K3764</f>
        <v>134.3</v>
      </c>
      <c r="M3764" s="43" t="n">
        <f aca="false">H3764*16.65*(1+'Chart of Accounts'!$E$67)</f>
        <v>75.3037875</v>
      </c>
    </row>
    <row r="3765" customFormat="false" ht="15" hidden="false" customHeight="false" outlineLevel="0" collapsed="false">
      <c r="B3765" s="7" t="s">
        <v>4262</v>
      </c>
      <c r="C3765" s="39" t="n">
        <v>45844</v>
      </c>
      <c r="D3765" s="7" t="s">
        <v>391</v>
      </c>
      <c r="E3765" s="7" t="s">
        <v>156</v>
      </c>
      <c r="F3765" s="7" t="s">
        <v>222</v>
      </c>
      <c r="G3765" s="7" t="s">
        <v>505</v>
      </c>
      <c r="H3765" s="6" t="n">
        <v>3.62</v>
      </c>
      <c r="I3765" s="6" t="n">
        <v>0</v>
      </c>
      <c r="J3765" s="40" t="n">
        <f aca="false">H3765-I3765</f>
        <v>3.62</v>
      </c>
      <c r="K3765" s="41" t="n">
        <v>34</v>
      </c>
      <c r="L3765" s="42" t="n">
        <f aca="false">J3765*K3765</f>
        <v>123.08</v>
      </c>
      <c r="M3765" s="43" t="n">
        <f aca="false">H3765*17.84*(1+'Chart of Accounts'!$E$67)</f>
        <v>73.945016</v>
      </c>
    </row>
    <row r="3766" customFormat="false" ht="15" hidden="false" customHeight="false" outlineLevel="0" collapsed="false">
      <c r="B3766" s="7" t="s">
        <v>4263</v>
      </c>
      <c r="C3766" s="39" t="n">
        <v>45844</v>
      </c>
      <c r="D3766" s="7" t="s">
        <v>395</v>
      </c>
      <c r="E3766" s="7" t="s">
        <v>156</v>
      </c>
      <c r="F3766" s="7" t="s">
        <v>242</v>
      </c>
      <c r="G3766" s="7" t="s">
        <v>505</v>
      </c>
      <c r="H3766" s="6" t="n">
        <v>4.34</v>
      </c>
      <c r="I3766" s="6" t="n">
        <v>0</v>
      </c>
      <c r="J3766" s="40" t="n">
        <f aca="false">H3766-I3766</f>
        <v>4.34</v>
      </c>
      <c r="K3766" s="41" t="n">
        <v>34</v>
      </c>
      <c r="L3766" s="42" t="n">
        <f aca="false">J3766*K3766</f>
        <v>147.56</v>
      </c>
      <c r="M3766" s="43" t="n">
        <f aca="false">H3766*17.99*(1+'Chart of Accounts'!$E$67)</f>
        <v>89.397707</v>
      </c>
    </row>
    <row r="3767" customFormat="false" ht="15" hidden="false" customHeight="false" outlineLevel="0" collapsed="false">
      <c r="B3767" s="7" t="s">
        <v>4264</v>
      </c>
      <c r="C3767" s="39" t="n">
        <v>45844</v>
      </c>
      <c r="D3767" s="7" t="s">
        <v>401</v>
      </c>
      <c r="E3767" s="7" t="s">
        <v>156</v>
      </c>
      <c r="F3767" s="7" t="s">
        <v>254</v>
      </c>
      <c r="G3767" s="7" t="s">
        <v>505</v>
      </c>
      <c r="H3767" s="6" t="n">
        <v>4.28</v>
      </c>
      <c r="I3767" s="6" t="n">
        <v>0</v>
      </c>
      <c r="J3767" s="40" t="n">
        <f aca="false">H3767-I3767</f>
        <v>4.28</v>
      </c>
      <c r="K3767" s="41" t="n">
        <v>34</v>
      </c>
      <c r="L3767" s="42" t="n">
        <f aca="false">J3767*K3767</f>
        <v>145.52</v>
      </c>
      <c r="M3767" s="43" t="n">
        <f aca="false">H3767*17.1*(1+'Chart of Accounts'!$E$67)</f>
        <v>83.80026</v>
      </c>
    </row>
    <row r="3768" customFormat="false" ht="15" hidden="false" customHeight="false" outlineLevel="0" collapsed="false">
      <c r="B3768" s="7" t="s">
        <v>4265</v>
      </c>
      <c r="C3768" s="39" t="n">
        <v>45845</v>
      </c>
      <c r="D3768" s="7" t="s">
        <v>280</v>
      </c>
      <c r="E3768" s="7" t="s">
        <v>157</v>
      </c>
      <c r="F3768" s="7" t="s">
        <v>187</v>
      </c>
      <c r="G3768" s="7" t="s">
        <v>502</v>
      </c>
      <c r="H3768" s="6" t="n">
        <v>0.97</v>
      </c>
      <c r="I3768" s="6" t="n">
        <v>0</v>
      </c>
      <c r="J3768" s="40" t="n">
        <f aca="false">H3768-I3768</f>
        <v>0.97</v>
      </c>
      <c r="K3768" s="41" t="n">
        <v>165</v>
      </c>
      <c r="L3768" s="42" t="n">
        <f aca="false">J3768*K3768</f>
        <v>160.05</v>
      </c>
      <c r="M3768" s="43" t="n">
        <f aca="false">H3768*66.48*(1+'Chart of Accounts'!$E$67)</f>
        <v>73.836012</v>
      </c>
    </row>
    <row r="3769" customFormat="false" ht="15" hidden="false" customHeight="false" outlineLevel="0" collapsed="false">
      <c r="B3769" s="7" t="s">
        <v>4266</v>
      </c>
      <c r="C3769" s="39" t="n">
        <v>45845</v>
      </c>
      <c r="D3769" s="7" t="s">
        <v>288</v>
      </c>
      <c r="E3769" s="7" t="s">
        <v>156</v>
      </c>
      <c r="F3769" s="7" t="s">
        <v>242</v>
      </c>
      <c r="G3769" s="7" t="s">
        <v>505</v>
      </c>
      <c r="H3769" s="6" t="n">
        <v>3.96</v>
      </c>
      <c r="I3769" s="6" t="n">
        <v>0</v>
      </c>
      <c r="J3769" s="40" t="n">
        <f aca="false">H3769-I3769</f>
        <v>3.96</v>
      </c>
      <c r="K3769" s="41" t="n">
        <v>34</v>
      </c>
      <c r="L3769" s="42" t="n">
        <f aca="false">J3769*K3769</f>
        <v>134.64</v>
      </c>
      <c r="M3769" s="43" t="n">
        <f aca="false">H3769*17.99*(1+'Chart of Accounts'!$E$67)</f>
        <v>81.570258</v>
      </c>
    </row>
    <row r="3770" customFormat="false" ht="15" hidden="false" customHeight="false" outlineLevel="0" collapsed="false">
      <c r="B3770" s="7" t="s">
        <v>4267</v>
      </c>
      <c r="C3770" s="39" t="n">
        <v>45845</v>
      </c>
      <c r="D3770" s="7" t="s">
        <v>291</v>
      </c>
      <c r="E3770" s="7" t="s">
        <v>154</v>
      </c>
      <c r="F3770" s="7" t="s">
        <v>194</v>
      </c>
      <c r="G3770" s="7" t="s">
        <v>505</v>
      </c>
      <c r="H3770" s="6" t="n">
        <v>4.79</v>
      </c>
      <c r="I3770" s="6" t="n">
        <v>0</v>
      </c>
      <c r="J3770" s="40" t="n">
        <f aca="false">H3770-I3770</f>
        <v>4.79</v>
      </c>
      <c r="K3770" s="41" t="n">
        <v>26.5</v>
      </c>
      <c r="L3770" s="42" t="n">
        <f aca="false">J3770*K3770</f>
        <v>126.935</v>
      </c>
      <c r="M3770" s="43" t="n">
        <f aca="false">H3770*16*(1+'Chart of Accounts'!$E$67)</f>
        <v>87.7528</v>
      </c>
    </row>
    <row r="3771" customFormat="false" ht="15" hidden="false" customHeight="false" outlineLevel="0" collapsed="false">
      <c r="B3771" s="7" t="s">
        <v>4268</v>
      </c>
      <c r="C3771" s="39" t="n">
        <v>45845</v>
      </c>
      <c r="D3771" s="7" t="s">
        <v>297</v>
      </c>
      <c r="E3771" s="7" t="s">
        <v>156</v>
      </c>
      <c r="F3771" s="7" t="s">
        <v>201</v>
      </c>
      <c r="G3771" s="7" t="s">
        <v>505</v>
      </c>
      <c r="H3771" s="6" t="n">
        <v>3.04</v>
      </c>
      <c r="I3771" s="6" t="n">
        <v>0</v>
      </c>
      <c r="J3771" s="40" t="n">
        <f aca="false">H3771-I3771</f>
        <v>3.04</v>
      </c>
      <c r="K3771" s="41" t="n">
        <v>34</v>
      </c>
      <c r="L3771" s="42" t="n">
        <f aca="false">J3771*K3771</f>
        <v>103.36</v>
      </c>
      <c r="M3771" s="43" t="n">
        <f aca="false">H3771*15.19*(1+'Chart of Accounts'!$E$67)</f>
        <v>52.873352</v>
      </c>
    </row>
    <row r="3772" customFormat="false" ht="15" hidden="false" customHeight="false" outlineLevel="0" collapsed="false">
      <c r="B3772" s="7" t="s">
        <v>4269</v>
      </c>
      <c r="C3772" s="39" t="n">
        <v>45845</v>
      </c>
      <c r="D3772" s="7" t="s">
        <v>305</v>
      </c>
      <c r="E3772" s="7" t="s">
        <v>154</v>
      </c>
      <c r="F3772" s="7" t="s">
        <v>205</v>
      </c>
      <c r="G3772" s="7" t="s">
        <v>505</v>
      </c>
      <c r="H3772" s="6" t="n">
        <v>4.19</v>
      </c>
      <c r="I3772" s="6" t="n">
        <v>0</v>
      </c>
      <c r="J3772" s="40" t="n">
        <f aca="false">H3772-I3772</f>
        <v>4.19</v>
      </c>
      <c r="K3772" s="41" t="n">
        <v>26.5</v>
      </c>
      <c r="L3772" s="42" t="n">
        <f aca="false">J3772*K3772</f>
        <v>111.035</v>
      </c>
      <c r="M3772" s="43" t="n">
        <f aca="false">H3772*16.36*(1+'Chart of Accounts'!$E$67)</f>
        <v>78.487918</v>
      </c>
    </row>
    <row r="3773" customFormat="false" ht="15" hidden="false" customHeight="false" outlineLevel="0" collapsed="false">
      <c r="B3773" s="7" t="s">
        <v>4270</v>
      </c>
      <c r="C3773" s="39" t="n">
        <v>45845</v>
      </c>
      <c r="D3773" s="7" t="s">
        <v>307</v>
      </c>
      <c r="E3773" s="7" t="s">
        <v>157</v>
      </c>
      <c r="F3773" s="7" t="s">
        <v>264</v>
      </c>
      <c r="G3773" s="7" t="s">
        <v>502</v>
      </c>
      <c r="H3773" s="6" t="n">
        <v>0.93</v>
      </c>
      <c r="I3773" s="6" t="n">
        <v>0.047</v>
      </c>
      <c r="J3773" s="40" t="n">
        <f aca="false">H3773-I3773</f>
        <v>0.883</v>
      </c>
      <c r="K3773" s="41" t="n">
        <v>165</v>
      </c>
      <c r="L3773" s="42" t="n">
        <f aca="false">J3773*K3773</f>
        <v>145.695</v>
      </c>
      <c r="M3773" s="43" t="n">
        <f aca="false">H3773*55.55*(1+'Chart of Accounts'!$E$67)</f>
        <v>59.1524175</v>
      </c>
    </row>
    <row r="3774" customFormat="false" ht="15" hidden="false" customHeight="false" outlineLevel="0" collapsed="false">
      <c r="B3774" s="7" t="s">
        <v>4271</v>
      </c>
      <c r="C3774" s="39" t="n">
        <v>45845</v>
      </c>
      <c r="D3774" s="7" t="s">
        <v>309</v>
      </c>
      <c r="E3774" s="7" t="s">
        <v>159</v>
      </c>
      <c r="F3774" s="7" t="s">
        <v>252</v>
      </c>
      <c r="G3774" s="7" t="s">
        <v>502</v>
      </c>
      <c r="H3774" s="6" t="n">
        <v>0.97</v>
      </c>
      <c r="I3774" s="6" t="n">
        <v>0</v>
      </c>
      <c r="J3774" s="40" t="n">
        <f aca="false">H3774-I3774</f>
        <v>0.97</v>
      </c>
      <c r="K3774" s="41" t="n">
        <v>135</v>
      </c>
      <c r="L3774" s="42" t="n">
        <f aca="false">J3774*K3774</f>
        <v>130.95</v>
      </c>
      <c r="M3774" s="43" t="n">
        <f aca="false">H3774*57.54*(1+'Chart of Accounts'!$E$67)</f>
        <v>63.906801</v>
      </c>
    </row>
    <row r="3775" customFormat="false" ht="15" hidden="false" customHeight="false" outlineLevel="0" collapsed="false">
      <c r="B3775" s="7" t="s">
        <v>4272</v>
      </c>
      <c r="C3775" s="39" t="n">
        <v>45845</v>
      </c>
      <c r="D3775" s="7" t="s">
        <v>311</v>
      </c>
      <c r="E3775" s="7" t="s">
        <v>154</v>
      </c>
      <c r="F3775" s="7" t="s">
        <v>196</v>
      </c>
      <c r="G3775" s="7" t="s">
        <v>505</v>
      </c>
      <c r="H3775" s="6" t="n">
        <v>3.28</v>
      </c>
      <c r="I3775" s="6" t="n">
        <v>0</v>
      </c>
      <c r="J3775" s="40" t="n">
        <f aca="false">H3775-I3775</f>
        <v>3.28</v>
      </c>
      <c r="K3775" s="41" t="n">
        <v>26.5</v>
      </c>
      <c r="L3775" s="42" t="n">
        <f aca="false">J3775*K3775</f>
        <v>86.92</v>
      </c>
      <c r="M3775" s="43" t="n">
        <f aca="false">H3775*15.05*(1+'Chart of Accounts'!$E$67)</f>
        <v>56.52178</v>
      </c>
    </row>
    <row r="3776" customFormat="false" ht="15" hidden="false" customHeight="false" outlineLevel="0" collapsed="false">
      <c r="B3776" s="7" t="s">
        <v>4273</v>
      </c>
      <c r="C3776" s="39" t="n">
        <v>45845</v>
      </c>
      <c r="D3776" s="7" t="s">
        <v>313</v>
      </c>
      <c r="E3776" s="7" t="s">
        <v>156</v>
      </c>
      <c r="F3776" s="7" t="s">
        <v>184</v>
      </c>
      <c r="G3776" s="7" t="s">
        <v>505</v>
      </c>
      <c r="H3776" s="6" t="n">
        <v>4.33</v>
      </c>
      <c r="I3776" s="6" t="n">
        <v>0</v>
      </c>
      <c r="J3776" s="40" t="n">
        <f aca="false">H3776-I3776</f>
        <v>4.33</v>
      </c>
      <c r="K3776" s="41" t="n">
        <v>34</v>
      </c>
      <c r="L3776" s="42" t="n">
        <f aca="false">J3776*K3776</f>
        <v>147.22</v>
      </c>
      <c r="M3776" s="43" t="n">
        <f aca="false">H3776*17.34*(1+'Chart of Accounts'!$E$67)</f>
        <v>85.969119</v>
      </c>
    </row>
    <row r="3777" customFormat="false" ht="15" hidden="false" customHeight="false" outlineLevel="0" collapsed="false">
      <c r="B3777" s="7" t="s">
        <v>4274</v>
      </c>
      <c r="C3777" s="39" t="n">
        <v>45845</v>
      </c>
      <c r="D3777" s="7" t="s">
        <v>317</v>
      </c>
      <c r="E3777" s="7" t="s">
        <v>156</v>
      </c>
      <c r="F3777" s="7" t="s">
        <v>207</v>
      </c>
      <c r="G3777" s="7" t="s">
        <v>505</v>
      </c>
      <c r="H3777" s="6" t="n">
        <v>3.07</v>
      </c>
      <c r="I3777" s="6" t="n">
        <v>0</v>
      </c>
      <c r="J3777" s="40" t="n">
        <f aca="false">H3777-I3777</f>
        <v>3.07</v>
      </c>
      <c r="K3777" s="41" t="n">
        <v>34</v>
      </c>
      <c r="L3777" s="42" t="n">
        <f aca="false">J3777*K3777</f>
        <v>104.38</v>
      </c>
      <c r="M3777" s="43" t="n">
        <f aca="false">H3777*16.65*(1+'Chart of Accounts'!$E$67)</f>
        <v>58.5272475</v>
      </c>
    </row>
    <row r="3778" customFormat="false" ht="15" hidden="false" customHeight="false" outlineLevel="0" collapsed="false">
      <c r="B3778" s="7" t="s">
        <v>4275</v>
      </c>
      <c r="C3778" s="39" t="n">
        <v>45845</v>
      </c>
      <c r="D3778" s="7" t="s">
        <v>321</v>
      </c>
      <c r="E3778" s="7" t="s">
        <v>154</v>
      </c>
      <c r="F3778" s="7" t="s">
        <v>218</v>
      </c>
      <c r="G3778" s="7" t="s">
        <v>505</v>
      </c>
      <c r="H3778" s="6" t="n">
        <v>3.76</v>
      </c>
      <c r="I3778" s="6" t="n">
        <v>0</v>
      </c>
      <c r="J3778" s="40" t="n">
        <f aca="false">H3778-I3778</f>
        <v>3.76</v>
      </c>
      <c r="K3778" s="41" t="n">
        <v>26.5</v>
      </c>
      <c r="L3778" s="42" t="n">
        <f aca="false">J3778*K3778</f>
        <v>99.64</v>
      </c>
      <c r="M3778" s="43" t="n">
        <f aca="false">H3778*16.19*(1+'Chart of Accounts'!$E$67)</f>
        <v>69.701188</v>
      </c>
    </row>
    <row r="3779" customFormat="false" ht="15" hidden="false" customHeight="false" outlineLevel="0" collapsed="false">
      <c r="B3779" s="7" t="s">
        <v>4276</v>
      </c>
      <c r="C3779" s="39" t="n">
        <v>45845</v>
      </c>
      <c r="D3779" s="7" t="s">
        <v>325</v>
      </c>
      <c r="E3779" s="7" t="s">
        <v>154</v>
      </c>
      <c r="F3779" s="7" t="s">
        <v>224</v>
      </c>
      <c r="G3779" s="7" t="s">
        <v>505</v>
      </c>
      <c r="H3779" s="6" t="n">
        <v>2.9</v>
      </c>
      <c r="I3779" s="6" t="n">
        <v>0</v>
      </c>
      <c r="J3779" s="40" t="n">
        <f aca="false">H3779-I3779</f>
        <v>2.9</v>
      </c>
      <c r="K3779" s="41" t="n">
        <v>26.5</v>
      </c>
      <c r="L3779" s="42" t="n">
        <f aca="false">J3779*K3779</f>
        <v>76.85</v>
      </c>
      <c r="M3779" s="43" t="n">
        <f aca="false">H3779*14.93*(1+'Chart of Accounts'!$E$67)</f>
        <v>49.575065</v>
      </c>
    </row>
    <row r="3780" customFormat="false" ht="15" hidden="false" customHeight="false" outlineLevel="0" collapsed="false">
      <c r="B3780" s="7" t="s">
        <v>4277</v>
      </c>
      <c r="C3780" s="39" t="n">
        <v>45845</v>
      </c>
      <c r="D3780" s="7" t="s">
        <v>329</v>
      </c>
      <c r="E3780" s="7" t="s">
        <v>156</v>
      </c>
      <c r="F3780" s="7" t="s">
        <v>220</v>
      </c>
      <c r="G3780" s="7" t="s">
        <v>505</v>
      </c>
      <c r="H3780" s="6" t="n">
        <v>4.37</v>
      </c>
      <c r="I3780" s="6" t="n">
        <v>0</v>
      </c>
      <c r="J3780" s="40" t="n">
        <f aca="false">H3780-I3780</f>
        <v>4.37</v>
      </c>
      <c r="K3780" s="41" t="n">
        <v>34</v>
      </c>
      <c r="L3780" s="42" t="n">
        <f aca="false">J3780*K3780</f>
        <v>148.58</v>
      </c>
      <c r="M3780" s="43" t="n">
        <f aca="false">H3780*16.43*(1+'Chart of Accounts'!$E$67)</f>
        <v>82.2099695</v>
      </c>
    </row>
    <row r="3781" customFormat="false" ht="15" hidden="false" customHeight="false" outlineLevel="0" collapsed="false">
      <c r="B3781" s="7" t="s">
        <v>4278</v>
      </c>
      <c r="C3781" s="39" t="n">
        <v>45845</v>
      </c>
      <c r="D3781" s="7" t="s">
        <v>331</v>
      </c>
      <c r="E3781" s="7" t="s">
        <v>156</v>
      </c>
      <c r="F3781" s="7" t="s">
        <v>224</v>
      </c>
      <c r="G3781" s="7" t="s">
        <v>505</v>
      </c>
      <c r="H3781" s="6" t="n">
        <v>4.07</v>
      </c>
      <c r="I3781" s="6" t="n">
        <v>0</v>
      </c>
      <c r="J3781" s="40" t="n">
        <f aca="false">H3781-I3781</f>
        <v>4.07</v>
      </c>
      <c r="K3781" s="41" t="n">
        <v>34</v>
      </c>
      <c r="L3781" s="42" t="n">
        <f aca="false">J3781*K3781</f>
        <v>138.38</v>
      </c>
      <c r="M3781" s="43" t="n">
        <f aca="false">H3781*14.93*(1+'Chart of Accounts'!$E$67)</f>
        <v>69.5760395</v>
      </c>
    </row>
    <row r="3782" customFormat="false" ht="15" hidden="false" customHeight="false" outlineLevel="0" collapsed="false">
      <c r="B3782" s="7" t="s">
        <v>4279</v>
      </c>
      <c r="C3782" s="39" t="n">
        <v>45845</v>
      </c>
      <c r="D3782" s="7" t="s">
        <v>335</v>
      </c>
      <c r="E3782" s="7" t="s">
        <v>154</v>
      </c>
      <c r="F3782" s="7" t="s">
        <v>177</v>
      </c>
      <c r="G3782" s="7" t="s">
        <v>505</v>
      </c>
      <c r="H3782" s="6" t="n">
        <v>4.05</v>
      </c>
      <c r="I3782" s="6" t="n">
        <v>0</v>
      </c>
      <c r="J3782" s="40" t="n">
        <f aca="false">H3782-I3782</f>
        <v>4.05</v>
      </c>
      <c r="K3782" s="41" t="n">
        <v>26.5</v>
      </c>
      <c r="L3782" s="42" t="n">
        <f aca="false">J3782*K3782</f>
        <v>107.325</v>
      </c>
      <c r="M3782" s="43" t="n">
        <f aca="false">H3782*14.56*(1+'Chart of Accounts'!$E$67)</f>
        <v>67.51836</v>
      </c>
    </row>
    <row r="3783" customFormat="false" ht="15" hidden="false" customHeight="false" outlineLevel="0" collapsed="false">
      <c r="B3783" s="7" t="s">
        <v>4280</v>
      </c>
      <c r="C3783" s="39" t="n">
        <v>45845</v>
      </c>
      <c r="D3783" s="7" t="s">
        <v>337</v>
      </c>
      <c r="E3783" s="7" t="s">
        <v>154</v>
      </c>
      <c r="F3783" s="7" t="s">
        <v>232</v>
      </c>
      <c r="G3783" s="7" t="s">
        <v>505</v>
      </c>
      <c r="H3783" s="6" t="n">
        <v>2.94</v>
      </c>
      <c r="I3783" s="6" t="n">
        <v>0</v>
      </c>
      <c r="J3783" s="40" t="n">
        <f aca="false">H3783-I3783</f>
        <v>2.94</v>
      </c>
      <c r="K3783" s="41" t="n">
        <v>26.5</v>
      </c>
      <c r="L3783" s="42" t="n">
        <f aca="false">J3783*K3783</f>
        <v>77.91</v>
      </c>
      <c r="M3783" s="43" t="n">
        <f aca="false">H3783*16.17*(1+'Chart of Accounts'!$E$67)</f>
        <v>54.433071</v>
      </c>
    </row>
    <row r="3784" customFormat="false" ht="15" hidden="false" customHeight="false" outlineLevel="0" collapsed="false">
      <c r="B3784" s="7" t="s">
        <v>4281</v>
      </c>
      <c r="C3784" s="39" t="n">
        <v>45845</v>
      </c>
      <c r="D3784" s="7" t="s">
        <v>339</v>
      </c>
      <c r="E3784" s="7" t="s">
        <v>154</v>
      </c>
      <c r="F3784" s="7" t="s">
        <v>242</v>
      </c>
      <c r="G3784" s="7" t="s">
        <v>505</v>
      </c>
      <c r="H3784" s="6" t="n">
        <v>3.06</v>
      </c>
      <c r="I3784" s="6" t="n">
        <v>0</v>
      </c>
      <c r="J3784" s="40" t="n">
        <f aca="false">H3784-I3784</f>
        <v>3.06</v>
      </c>
      <c r="K3784" s="41" t="n">
        <v>26.5</v>
      </c>
      <c r="L3784" s="42" t="n">
        <f aca="false">J3784*K3784</f>
        <v>81.09</v>
      </c>
      <c r="M3784" s="43" t="n">
        <f aca="false">H3784*17.99*(1+'Chart of Accounts'!$E$67)</f>
        <v>63.031563</v>
      </c>
    </row>
    <row r="3785" customFormat="false" ht="15" hidden="false" customHeight="false" outlineLevel="0" collapsed="false">
      <c r="B3785" s="7" t="s">
        <v>4282</v>
      </c>
      <c r="C3785" s="39" t="n">
        <v>45845</v>
      </c>
      <c r="D3785" s="7" t="s">
        <v>341</v>
      </c>
      <c r="E3785" s="7" t="s">
        <v>156</v>
      </c>
      <c r="F3785" s="7" t="s">
        <v>222</v>
      </c>
      <c r="G3785" s="7" t="s">
        <v>505</v>
      </c>
      <c r="H3785" s="6" t="n">
        <v>2.94</v>
      </c>
      <c r="I3785" s="6" t="n">
        <v>0</v>
      </c>
      <c r="J3785" s="40" t="n">
        <f aca="false">H3785-I3785</f>
        <v>2.94</v>
      </c>
      <c r="K3785" s="41" t="n">
        <v>34</v>
      </c>
      <c r="L3785" s="42" t="n">
        <f aca="false">J3785*K3785</f>
        <v>99.96</v>
      </c>
      <c r="M3785" s="43" t="n">
        <f aca="false">H3785*17.84*(1+'Chart of Accounts'!$E$67)</f>
        <v>60.054792</v>
      </c>
    </row>
    <row r="3786" customFormat="false" ht="15" hidden="false" customHeight="false" outlineLevel="0" collapsed="false">
      <c r="B3786" s="7" t="s">
        <v>4283</v>
      </c>
      <c r="C3786" s="39" t="n">
        <v>45845</v>
      </c>
      <c r="D3786" s="7" t="s">
        <v>343</v>
      </c>
      <c r="E3786" s="7" t="s">
        <v>154</v>
      </c>
      <c r="F3786" s="7" t="s">
        <v>232</v>
      </c>
      <c r="G3786" s="7" t="s">
        <v>505</v>
      </c>
      <c r="H3786" s="6" t="n">
        <v>4.03</v>
      </c>
      <c r="I3786" s="6" t="n">
        <v>0.121</v>
      </c>
      <c r="J3786" s="40" t="n">
        <f aca="false">H3786-I3786</f>
        <v>3.909</v>
      </c>
      <c r="K3786" s="41" t="n">
        <v>26.5</v>
      </c>
      <c r="L3786" s="42" t="n">
        <f aca="false">J3786*K3786</f>
        <v>103.5885</v>
      </c>
      <c r="M3786" s="43" t="n">
        <f aca="false">H3786*16.17*(1+'Chart of Accounts'!$E$67)</f>
        <v>74.6140395</v>
      </c>
    </row>
    <row r="3787" customFormat="false" ht="15" hidden="false" customHeight="false" outlineLevel="0" collapsed="false">
      <c r="B3787" s="7" t="s">
        <v>4284</v>
      </c>
      <c r="C3787" s="39" t="n">
        <v>45845</v>
      </c>
      <c r="D3787" s="7" t="s">
        <v>351</v>
      </c>
      <c r="E3787" s="7" t="s">
        <v>154</v>
      </c>
      <c r="F3787" s="7" t="s">
        <v>201</v>
      </c>
      <c r="G3787" s="7" t="s">
        <v>505</v>
      </c>
      <c r="H3787" s="6" t="n">
        <v>3.27</v>
      </c>
      <c r="I3787" s="6" t="n">
        <v>0</v>
      </c>
      <c r="J3787" s="40" t="n">
        <f aca="false">H3787-I3787</f>
        <v>3.27</v>
      </c>
      <c r="K3787" s="41" t="n">
        <v>26.5</v>
      </c>
      <c r="L3787" s="42" t="n">
        <f aca="false">J3787*K3787</f>
        <v>86.655</v>
      </c>
      <c r="M3787" s="43" t="n">
        <f aca="false">H3787*15.19*(1+'Chart of Accounts'!$E$67)</f>
        <v>56.8736385</v>
      </c>
    </row>
    <row r="3788" customFormat="false" ht="15" hidden="false" customHeight="false" outlineLevel="0" collapsed="false">
      <c r="B3788" s="7" t="s">
        <v>4285</v>
      </c>
      <c r="C3788" s="39" t="n">
        <v>45845</v>
      </c>
      <c r="D3788" s="7" t="s">
        <v>353</v>
      </c>
      <c r="E3788" s="7" t="s">
        <v>154</v>
      </c>
      <c r="F3788" s="7" t="s">
        <v>254</v>
      </c>
      <c r="G3788" s="7" t="s">
        <v>505</v>
      </c>
      <c r="H3788" s="6" t="n">
        <v>3.2</v>
      </c>
      <c r="I3788" s="6" t="n">
        <v>0.096</v>
      </c>
      <c r="J3788" s="40" t="n">
        <f aca="false">H3788-I3788</f>
        <v>3.104</v>
      </c>
      <c r="K3788" s="41" t="n">
        <v>26.5</v>
      </c>
      <c r="L3788" s="42" t="n">
        <f aca="false">J3788*K3788</f>
        <v>82.256</v>
      </c>
      <c r="M3788" s="43" t="n">
        <f aca="false">H3788*17.1*(1+'Chart of Accounts'!$E$67)</f>
        <v>62.6544</v>
      </c>
    </row>
    <row r="3789" customFormat="false" ht="15" hidden="false" customHeight="false" outlineLevel="0" collapsed="false">
      <c r="B3789" s="7" t="s">
        <v>4286</v>
      </c>
      <c r="C3789" s="39" t="n">
        <v>45845</v>
      </c>
      <c r="D3789" s="7" t="s">
        <v>355</v>
      </c>
      <c r="E3789" s="7" t="s">
        <v>154</v>
      </c>
      <c r="F3789" s="7" t="s">
        <v>201</v>
      </c>
      <c r="G3789" s="7" t="s">
        <v>505</v>
      </c>
      <c r="H3789" s="6" t="n">
        <v>3.67</v>
      </c>
      <c r="I3789" s="6" t="n">
        <v>0.11</v>
      </c>
      <c r="J3789" s="40" t="n">
        <f aca="false">H3789-I3789</f>
        <v>3.56</v>
      </c>
      <c r="K3789" s="41" t="n">
        <v>26.5</v>
      </c>
      <c r="L3789" s="42" t="n">
        <f aca="false">J3789*K3789</f>
        <v>94.34</v>
      </c>
      <c r="M3789" s="43" t="n">
        <f aca="false">H3789*15.19*(1+'Chart of Accounts'!$E$67)</f>
        <v>63.8306585</v>
      </c>
    </row>
    <row r="3790" customFormat="false" ht="15" hidden="false" customHeight="false" outlineLevel="0" collapsed="false">
      <c r="B3790" s="7" t="s">
        <v>4287</v>
      </c>
      <c r="C3790" s="39" t="n">
        <v>45845</v>
      </c>
      <c r="D3790" s="7" t="s">
        <v>357</v>
      </c>
      <c r="E3790" s="7" t="s">
        <v>154</v>
      </c>
      <c r="F3790" s="7" t="s">
        <v>207</v>
      </c>
      <c r="G3790" s="7" t="s">
        <v>505</v>
      </c>
      <c r="H3790" s="6" t="n">
        <v>3.37</v>
      </c>
      <c r="I3790" s="6" t="n">
        <v>0</v>
      </c>
      <c r="J3790" s="40" t="n">
        <f aca="false">H3790-I3790</f>
        <v>3.37</v>
      </c>
      <c r="K3790" s="41" t="n">
        <v>26.5</v>
      </c>
      <c r="L3790" s="42" t="n">
        <f aca="false">J3790*K3790</f>
        <v>89.305</v>
      </c>
      <c r="M3790" s="43" t="n">
        <f aca="false">H3790*16.65*(1+'Chart of Accounts'!$E$67)</f>
        <v>64.2465225</v>
      </c>
    </row>
    <row r="3791" customFormat="false" ht="15" hidden="false" customHeight="false" outlineLevel="0" collapsed="false">
      <c r="B3791" s="7" t="s">
        <v>4288</v>
      </c>
      <c r="C3791" s="39" t="n">
        <v>45845</v>
      </c>
      <c r="D3791" s="7" t="s">
        <v>359</v>
      </c>
      <c r="E3791" s="7" t="s">
        <v>156</v>
      </c>
      <c r="F3791" s="7" t="s">
        <v>214</v>
      </c>
      <c r="G3791" s="7" t="s">
        <v>505</v>
      </c>
      <c r="H3791" s="6" t="n">
        <v>4</v>
      </c>
      <c r="I3791" s="6" t="n">
        <v>0</v>
      </c>
      <c r="J3791" s="40" t="n">
        <f aca="false">H3791-I3791</f>
        <v>4</v>
      </c>
      <c r="K3791" s="41" t="n">
        <v>34</v>
      </c>
      <c r="L3791" s="42" t="n">
        <f aca="false">J3791*K3791</f>
        <v>136</v>
      </c>
      <c r="M3791" s="43" t="n">
        <f aca="false">H3791*15.67*(1+'Chart of Accounts'!$E$67)</f>
        <v>71.7686</v>
      </c>
    </row>
    <row r="3792" customFormat="false" ht="15" hidden="false" customHeight="false" outlineLevel="0" collapsed="false">
      <c r="B3792" s="7" t="s">
        <v>4289</v>
      </c>
      <c r="C3792" s="39" t="n">
        <v>45845</v>
      </c>
      <c r="D3792" s="7" t="s">
        <v>363</v>
      </c>
      <c r="E3792" s="7" t="s">
        <v>156</v>
      </c>
      <c r="F3792" s="7" t="s">
        <v>246</v>
      </c>
      <c r="G3792" s="7" t="s">
        <v>505</v>
      </c>
      <c r="H3792" s="6" t="n">
        <v>3.78</v>
      </c>
      <c r="I3792" s="6" t="n">
        <v>0</v>
      </c>
      <c r="J3792" s="40" t="n">
        <f aca="false">H3792-I3792</f>
        <v>3.78</v>
      </c>
      <c r="K3792" s="41" t="n">
        <v>34</v>
      </c>
      <c r="L3792" s="42" t="n">
        <f aca="false">J3792*K3792</f>
        <v>128.52</v>
      </c>
      <c r="M3792" s="43" t="n">
        <f aca="false">H3792*16.48*(1+'Chart of Accounts'!$E$67)</f>
        <v>71.327088</v>
      </c>
    </row>
    <row r="3793" customFormat="false" ht="15" hidden="false" customHeight="false" outlineLevel="0" collapsed="false">
      <c r="B3793" s="7" t="s">
        <v>4290</v>
      </c>
      <c r="C3793" s="39" t="n">
        <v>45845</v>
      </c>
      <c r="D3793" s="7" t="s">
        <v>365</v>
      </c>
      <c r="E3793" s="7" t="s">
        <v>154</v>
      </c>
      <c r="F3793" s="7" t="s">
        <v>194</v>
      </c>
      <c r="G3793" s="7" t="s">
        <v>505</v>
      </c>
      <c r="H3793" s="6" t="n">
        <v>3.61</v>
      </c>
      <c r="I3793" s="6" t="n">
        <v>0.108</v>
      </c>
      <c r="J3793" s="40" t="n">
        <f aca="false">H3793-I3793</f>
        <v>3.502</v>
      </c>
      <c r="K3793" s="41" t="n">
        <v>26.5</v>
      </c>
      <c r="L3793" s="42" t="n">
        <f aca="false">J3793*K3793</f>
        <v>92.803</v>
      </c>
      <c r="M3793" s="43" t="n">
        <f aca="false">H3793*16*(1+'Chart of Accounts'!$E$67)</f>
        <v>66.1352</v>
      </c>
    </row>
    <row r="3794" customFormat="false" ht="15" hidden="false" customHeight="false" outlineLevel="0" collapsed="false">
      <c r="B3794" s="7" t="s">
        <v>4291</v>
      </c>
      <c r="C3794" s="39" t="n">
        <v>45845</v>
      </c>
      <c r="D3794" s="7" t="s">
        <v>371</v>
      </c>
      <c r="E3794" s="7" t="s">
        <v>154</v>
      </c>
      <c r="F3794" s="7" t="s">
        <v>232</v>
      </c>
      <c r="G3794" s="7" t="s">
        <v>505</v>
      </c>
      <c r="H3794" s="6" t="n">
        <v>4.77</v>
      </c>
      <c r="I3794" s="6" t="n">
        <v>0</v>
      </c>
      <c r="J3794" s="40" t="n">
        <f aca="false">H3794-I3794</f>
        <v>4.77</v>
      </c>
      <c r="K3794" s="41" t="n">
        <v>26.5</v>
      </c>
      <c r="L3794" s="42" t="n">
        <f aca="false">J3794*K3794</f>
        <v>126.405</v>
      </c>
      <c r="M3794" s="43" t="n">
        <f aca="false">H3794*16.17*(1+'Chart of Accounts'!$E$67)</f>
        <v>88.3148805</v>
      </c>
    </row>
    <row r="3795" customFormat="false" ht="15" hidden="false" customHeight="false" outlineLevel="0" collapsed="false">
      <c r="B3795" s="7" t="s">
        <v>4292</v>
      </c>
      <c r="C3795" s="39" t="n">
        <v>45845</v>
      </c>
      <c r="D3795" s="7" t="s">
        <v>375</v>
      </c>
      <c r="E3795" s="7" t="s">
        <v>156</v>
      </c>
      <c r="F3795" s="7" t="s">
        <v>196</v>
      </c>
      <c r="G3795" s="7" t="s">
        <v>505</v>
      </c>
      <c r="H3795" s="6" t="n">
        <v>3.03</v>
      </c>
      <c r="I3795" s="6" t="n">
        <v>0</v>
      </c>
      <c r="J3795" s="40" t="n">
        <f aca="false">H3795-I3795</f>
        <v>3.03</v>
      </c>
      <c r="K3795" s="41" t="n">
        <v>34</v>
      </c>
      <c r="L3795" s="42" t="n">
        <f aca="false">J3795*K3795</f>
        <v>103.02</v>
      </c>
      <c r="M3795" s="43" t="n">
        <f aca="false">H3795*15.05*(1+'Chart of Accounts'!$E$67)</f>
        <v>52.2137175</v>
      </c>
    </row>
    <row r="3796" customFormat="false" ht="15" hidden="false" customHeight="false" outlineLevel="0" collapsed="false">
      <c r="B3796" s="7" t="s">
        <v>4293</v>
      </c>
      <c r="C3796" s="39" t="n">
        <v>45845</v>
      </c>
      <c r="D3796" s="7" t="s">
        <v>377</v>
      </c>
      <c r="E3796" s="7" t="s">
        <v>154</v>
      </c>
      <c r="F3796" s="7" t="s">
        <v>214</v>
      </c>
      <c r="G3796" s="7" t="s">
        <v>505</v>
      </c>
      <c r="H3796" s="6" t="n">
        <v>4.28</v>
      </c>
      <c r="I3796" s="6" t="n">
        <v>0</v>
      </c>
      <c r="J3796" s="40" t="n">
        <f aca="false">H3796-I3796</f>
        <v>4.28</v>
      </c>
      <c r="K3796" s="41" t="n">
        <v>26.5</v>
      </c>
      <c r="L3796" s="42" t="n">
        <f aca="false">J3796*K3796</f>
        <v>113.42</v>
      </c>
      <c r="M3796" s="43" t="n">
        <f aca="false">H3796*15.67*(1+'Chart of Accounts'!$E$67)</f>
        <v>76.792402</v>
      </c>
    </row>
    <row r="3797" customFormat="false" ht="15" hidden="false" customHeight="false" outlineLevel="0" collapsed="false">
      <c r="B3797" s="7" t="s">
        <v>4294</v>
      </c>
      <c r="C3797" s="39" t="n">
        <v>45845</v>
      </c>
      <c r="D3797" s="7" t="s">
        <v>379</v>
      </c>
      <c r="E3797" s="7" t="s">
        <v>156</v>
      </c>
      <c r="F3797" s="7" t="s">
        <v>224</v>
      </c>
      <c r="G3797" s="7" t="s">
        <v>505</v>
      </c>
      <c r="H3797" s="6" t="n">
        <v>5.03</v>
      </c>
      <c r="I3797" s="6" t="n">
        <v>0</v>
      </c>
      <c r="J3797" s="40" t="n">
        <f aca="false">H3797-I3797</f>
        <v>5.03</v>
      </c>
      <c r="K3797" s="41" t="n">
        <v>34</v>
      </c>
      <c r="L3797" s="42" t="n">
        <f aca="false">J3797*K3797</f>
        <v>171.02</v>
      </c>
      <c r="M3797" s="43" t="n">
        <f aca="false">H3797*14.93*(1+'Chart of Accounts'!$E$67)</f>
        <v>85.9870955</v>
      </c>
    </row>
    <row r="3798" customFormat="false" ht="15" hidden="false" customHeight="false" outlineLevel="0" collapsed="false">
      <c r="B3798" s="7" t="s">
        <v>4295</v>
      </c>
      <c r="C3798" s="39" t="n">
        <v>45845</v>
      </c>
      <c r="D3798" s="7" t="s">
        <v>385</v>
      </c>
      <c r="E3798" s="7" t="s">
        <v>156</v>
      </c>
      <c r="F3798" s="7" t="s">
        <v>238</v>
      </c>
      <c r="G3798" s="7" t="s">
        <v>505</v>
      </c>
      <c r="H3798" s="6" t="n">
        <v>4.17</v>
      </c>
      <c r="I3798" s="6" t="n">
        <v>0</v>
      </c>
      <c r="J3798" s="40" t="n">
        <f aca="false">H3798-I3798</f>
        <v>4.17</v>
      </c>
      <c r="K3798" s="41" t="n">
        <v>34</v>
      </c>
      <c r="L3798" s="42" t="n">
        <f aca="false">J3798*K3798</f>
        <v>141.78</v>
      </c>
      <c r="M3798" s="43" t="n">
        <f aca="false">H3798*15.85*(1+'Chart of Accounts'!$E$67)</f>
        <v>75.6782025</v>
      </c>
    </row>
    <row r="3799" customFormat="false" ht="15" hidden="false" customHeight="false" outlineLevel="0" collapsed="false">
      <c r="B3799" s="7" t="s">
        <v>4296</v>
      </c>
      <c r="C3799" s="39" t="n">
        <v>45845</v>
      </c>
      <c r="D3799" s="7" t="s">
        <v>389</v>
      </c>
      <c r="E3799" s="7" t="s">
        <v>154</v>
      </c>
      <c r="F3799" s="7" t="s">
        <v>246</v>
      </c>
      <c r="G3799" s="7" t="s">
        <v>505</v>
      </c>
      <c r="H3799" s="6" t="n">
        <v>3.81</v>
      </c>
      <c r="I3799" s="6" t="n">
        <v>0</v>
      </c>
      <c r="J3799" s="40" t="n">
        <f aca="false">H3799-I3799</f>
        <v>3.81</v>
      </c>
      <c r="K3799" s="41" t="n">
        <v>26.5</v>
      </c>
      <c r="L3799" s="42" t="n">
        <f aca="false">J3799*K3799</f>
        <v>100.965</v>
      </c>
      <c r="M3799" s="43" t="n">
        <f aca="false">H3799*16.48*(1+'Chart of Accounts'!$E$67)</f>
        <v>71.893176</v>
      </c>
    </row>
    <row r="3800" customFormat="false" ht="15" hidden="false" customHeight="false" outlineLevel="0" collapsed="false">
      <c r="B3800" s="7" t="s">
        <v>4297</v>
      </c>
      <c r="C3800" s="39" t="n">
        <v>45845</v>
      </c>
      <c r="D3800" s="7" t="s">
        <v>391</v>
      </c>
      <c r="E3800" s="7" t="s">
        <v>156</v>
      </c>
      <c r="F3800" s="7" t="s">
        <v>222</v>
      </c>
      <c r="G3800" s="7" t="s">
        <v>505</v>
      </c>
      <c r="H3800" s="6" t="n">
        <v>4.35</v>
      </c>
      <c r="I3800" s="6" t="n">
        <v>0</v>
      </c>
      <c r="J3800" s="40" t="n">
        <f aca="false">H3800-I3800</f>
        <v>4.35</v>
      </c>
      <c r="K3800" s="41" t="n">
        <v>34</v>
      </c>
      <c r="L3800" s="42" t="n">
        <f aca="false">J3800*K3800</f>
        <v>147.9</v>
      </c>
      <c r="M3800" s="43" t="n">
        <f aca="false">H3800*17.84*(1+'Chart of Accounts'!$E$67)</f>
        <v>88.85658</v>
      </c>
    </row>
    <row r="3801" customFormat="false" ht="15" hidden="false" customHeight="false" outlineLevel="0" collapsed="false">
      <c r="B3801" s="7" t="s">
        <v>4298</v>
      </c>
      <c r="C3801" s="39" t="n">
        <v>45845</v>
      </c>
      <c r="D3801" s="7" t="s">
        <v>395</v>
      </c>
      <c r="E3801" s="7" t="s">
        <v>156</v>
      </c>
      <c r="F3801" s="7" t="s">
        <v>242</v>
      </c>
      <c r="G3801" s="7" t="s">
        <v>505</v>
      </c>
      <c r="H3801" s="6" t="n">
        <v>4.37</v>
      </c>
      <c r="I3801" s="6" t="n">
        <v>0</v>
      </c>
      <c r="J3801" s="40" t="n">
        <f aca="false">H3801-I3801</f>
        <v>4.37</v>
      </c>
      <c r="K3801" s="41" t="n">
        <v>34</v>
      </c>
      <c r="L3801" s="42" t="n">
        <f aca="false">J3801*K3801</f>
        <v>148.58</v>
      </c>
      <c r="M3801" s="43" t="n">
        <f aca="false">H3801*17.99*(1+'Chart of Accounts'!$E$67)</f>
        <v>90.0156635</v>
      </c>
    </row>
    <row r="3802" customFormat="false" ht="15" hidden="false" customHeight="false" outlineLevel="0" collapsed="false">
      <c r="B3802" s="7" t="s">
        <v>4299</v>
      </c>
      <c r="C3802" s="39" t="n">
        <v>45845</v>
      </c>
      <c r="D3802" s="7" t="s">
        <v>399</v>
      </c>
      <c r="E3802" s="7" t="s">
        <v>154</v>
      </c>
      <c r="F3802" s="7" t="s">
        <v>254</v>
      </c>
      <c r="G3802" s="7" t="s">
        <v>505</v>
      </c>
      <c r="H3802" s="6" t="n">
        <v>3.66</v>
      </c>
      <c r="I3802" s="6" t="n">
        <v>0</v>
      </c>
      <c r="J3802" s="40" t="n">
        <f aca="false">H3802-I3802</f>
        <v>3.66</v>
      </c>
      <c r="K3802" s="41" t="n">
        <v>26.5</v>
      </c>
      <c r="L3802" s="42" t="n">
        <f aca="false">J3802*K3802</f>
        <v>96.99</v>
      </c>
      <c r="M3802" s="43" t="n">
        <f aca="false">H3802*17.1*(1+'Chart of Accounts'!$E$67)</f>
        <v>71.66097</v>
      </c>
    </row>
    <row r="3803" customFormat="false" ht="15" hidden="false" customHeight="false" outlineLevel="0" collapsed="false">
      <c r="B3803" s="7" t="s">
        <v>4300</v>
      </c>
      <c r="C3803" s="39" t="n">
        <v>45845</v>
      </c>
      <c r="D3803" s="7" t="s">
        <v>401</v>
      </c>
      <c r="E3803" s="7" t="s">
        <v>156</v>
      </c>
      <c r="F3803" s="7" t="s">
        <v>254</v>
      </c>
      <c r="G3803" s="7" t="s">
        <v>505</v>
      </c>
      <c r="H3803" s="6" t="n">
        <v>3.68</v>
      </c>
      <c r="I3803" s="6" t="n">
        <v>0</v>
      </c>
      <c r="J3803" s="40" t="n">
        <f aca="false">H3803-I3803</f>
        <v>3.68</v>
      </c>
      <c r="K3803" s="41" t="n">
        <v>34</v>
      </c>
      <c r="L3803" s="42" t="n">
        <f aca="false">J3803*K3803</f>
        <v>125.12</v>
      </c>
      <c r="M3803" s="43" t="n">
        <f aca="false">H3803*17.1*(1+'Chart of Accounts'!$E$67)</f>
        <v>72.05256</v>
      </c>
    </row>
    <row r="3804" customFormat="false" ht="15" hidden="false" customHeight="false" outlineLevel="0" collapsed="false">
      <c r="B3804" s="7" t="s">
        <v>4301</v>
      </c>
      <c r="C3804" s="39" t="n">
        <v>45845</v>
      </c>
      <c r="D3804" s="7" t="s">
        <v>409</v>
      </c>
      <c r="E3804" s="7" t="s">
        <v>154</v>
      </c>
      <c r="F3804" s="7" t="s">
        <v>214</v>
      </c>
      <c r="G3804" s="7" t="s">
        <v>505</v>
      </c>
      <c r="H3804" s="6" t="n">
        <v>3.47</v>
      </c>
      <c r="I3804" s="6" t="n">
        <v>0.104</v>
      </c>
      <c r="J3804" s="40" t="n">
        <f aca="false">H3804-I3804</f>
        <v>3.366</v>
      </c>
      <c r="K3804" s="41" t="n">
        <v>26.5</v>
      </c>
      <c r="L3804" s="42" t="n">
        <f aca="false">J3804*K3804</f>
        <v>89.199</v>
      </c>
      <c r="M3804" s="43" t="n">
        <f aca="false">H3804*15.67*(1+'Chart of Accounts'!$E$67)</f>
        <v>62.2592605</v>
      </c>
    </row>
    <row r="3805" customFormat="false" ht="15" hidden="false" customHeight="false" outlineLevel="0" collapsed="false">
      <c r="B3805" s="7" t="s">
        <v>4302</v>
      </c>
      <c r="C3805" s="39" t="n">
        <v>45845</v>
      </c>
      <c r="D3805" s="7" t="s">
        <v>411</v>
      </c>
      <c r="E3805" s="7" t="s">
        <v>154</v>
      </c>
      <c r="F3805" s="7" t="s">
        <v>177</v>
      </c>
      <c r="G3805" s="7" t="s">
        <v>505</v>
      </c>
      <c r="H3805" s="6" t="n">
        <v>4.97</v>
      </c>
      <c r="I3805" s="6" t="n">
        <v>0</v>
      </c>
      <c r="J3805" s="40" t="n">
        <f aca="false">H3805-I3805</f>
        <v>4.97</v>
      </c>
      <c r="K3805" s="41" t="n">
        <v>26.5</v>
      </c>
      <c r="L3805" s="42" t="n">
        <f aca="false">J3805*K3805</f>
        <v>131.705</v>
      </c>
      <c r="M3805" s="43" t="n">
        <f aca="false">H3805*14.56*(1+'Chart of Accounts'!$E$67)</f>
        <v>82.855864</v>
      </c>
    </row>
    <row r="3806" customFormat="false" ht="15" hidden="false" customHeight="false" outlineLevel="0" collapsed="false">
      <c r="B3806" s="7" t="s">
        <v>4303</v>
      </c>
      <c r="C3806" s="39" t="n">
        <v>45846</v>
      </c>
      <c r="D3806" s="7" t="s">
        <v>288</v>
      </c>
      <c r="E3806" s="7" t="s">
        <v>156</v>
      </c>
      <c r="F3806" s="7" t="s">
        <v>214</v>
      </c>
      <c r="G3806" s="7" t="s">
        <v>505</v>
      </c>
      <c r="H3806" s="6" t="n">
        <v>4.16</v>
      </c>
      <c r="I3806" s="6" t="n">
        <v>0</v>
      </c>
      <c r="J3806" s="40" t="n">
        <f aca="false">H3806-I3806</f>
        <v>4.16</v>
      </c>
      <c r="K3806" s="41" t="n">
        <v>34</v>
      </c>
      <c r="L3806" s="42" t="n">
        <f aca="false">J3806*K3806</f>
        <v>141.44</v>
      </c>
      <c r="M3806" s="43" t="n">
        <f aca="false">H3806*15.67*(1+'Chart of Accounts'!$E$67)</f>
        <v>74.639344</v>
      </c>
    </row>
    <row r="3807" customFormat="false" ht="15" hidden="false" customHeight="false" outlineLevel="0" collapsed="false">
      <c r="B3807" s="7" t="s">
        <v>4304</v>
      </c>
      <c r="C3807" s="39" t="n">
        <v>45846</v>
      </c>
      <c r="D3807" s="7" t="s">
        <v>301</v>
      </c>
      <c r="E3807" s="7" t="s">
        <v>157</v>
      </c>
      <c r="F3807" s="7" t="s">
        <v>209</v>
      </c>
      <c r="G3807" s="7" t="s">
        <v>502</v>
      </c>
      <c r="H3807" s="6" t="n">
        <v>1.01</v>
      </c>
      <c r="I3807" s="6" t="n">
        <v>0</v>
      </c>
      <c r="J3807" s="40" t="n">
        <f aca="false">H3807-I3807</f>
        <v>1.01</v>
      </c>
      <c r="K3807" s="41" t="n">
        <v>165</v>
      </c>
      <c r="L3807" s="42" t="n">
        <f aca="false">J3807*K3807</f>
        <v>166.65</v>
      </c>
      <c r="M3807" s="43" t="n">
        <f aca="false">H3807*73.58*(1+'Chart of Accounts'!$E$67)</f>
        <v>85.091591</v>
      </c>
    </row>
    <row r="3808" customFormat="false" ht="15" hidden="false" customHeight="false" outlineLevel="0" collapsed="false">
      <c r="B3808" s="7" t="s">
        <v>4305</v>
      </c>
      <c r="C3808" s="39" t="n">
        <v>45846</v>
      </c>
      <c r="D3808" s="7" t="s">
        <v>313</v>
      </c>
      <c r="E3808" s="7" t="s">
        <v>156</v>
      </c>
      <c r="F3808" s="7" t="s">
        <v>184</v>
      </c>
      <c r="G3808" s="7" t="s">
        <v>505</v>
      </c>
      <c r="H3808" s="6" t="n">
        <v>4</v>
      </c>
      <c r="I3808" s="6" t="n">
        <v>0</v>
      </c>
      <c r="J3808" s="40" t="n">
        <f aca="false">H3808-I3808</f>
        <v>4</v>
      </c>
      <c r="K3808" s="41" t="n">
        <v>34</v>
      </c>
      <c r="L3808" s="42" t="n">
        <f aca="false">J3808*K3808</f>
        <v>136</v>
      </c>
      <c r="M3808" s="43" t="n">
        <f aca="false">H3808*17.34*(1+'Chart of Accounts'!$E$67)</f>
        <v>79.4172</v>
      </c>
    </row>
    <row r="3809" customFormat="false" ht="15" hidden="false" customHeight="false" outlineLevel="0" collapsed="false">
      <c r="B3809" s="7" t="s">
        <v>4306</v>
      </c>
      <c r="C3809" s="39" t="n">
        <v>45846</v>
      </c>
      <c r="D3809" s="7" t="s">
        <v>319</v>
      </c>
      <c r="E3809" s="7" t="s">
        <v>157</v>
      </c>
      <c r="F3809" s="7" t="s">
        <v>234</v>
      </c>
      <c r="G3809" s="7" t="s">
        <v>502</v>
      </c>
      <c r="H3809" s="6" t="n">
        <v>0.93</v>
      </c>
      <c r="I3809" s="6" t="n">
        <v>0</v>
      </c>
      <c r="J3809" s="40" t="n">
        <f aca="false">H3809-I3809</f>
        <v>0.93</v>
      </c>
      <c r="K3809" s="41" t="n">
        <v>165</v>
      </c>
      <c r="L3809" s="42" t="n">
        <f aca="false">J3809*K3809</f>
        <v>153.45</v>
      </c>
      <c r="M3809" s="43" t="n">
        <f aca="false">H3809*89.53*(1+'Chart of Accounts'!$E$67)</f>
        <v>95.3360205</v>
      </c>
    </row>
    <row r="3810" customFormat="false" ht="15" hidden="false" customHeight="false" outlineLevel="0" collapsed="false">
      <c r="B3810" s="7" t="s">
        <v>4307</v>
      </c>
      <c r="C3810" s="39" t="n">
        <v>45846</v>
      </c>
      <c r="D3810" s="7" t="s">
        <v>321</v>
      </c>
      <c r="E3810" s="7" t="s">
        <v>154</v>
      </c>
      <c r="F3810" s="7" t="s">
        <v>218</v>
      </c>
      <c r="G3810" s="7" t="s">
        <v>505</v>
      </c>
      <c r="H3810" s="6" t="n">
        <v>3.65</v>
      </c>
      <c r="I3810" s="6" t="n">
        <v>0</v>
      </c>
      <c r="J3810" s="40" t="n">
        <f aca="false">H3810-I3810</f>
        <v>3.65</v>
      </c>
      <c r="K3810" s="41" t="n">
        <v>26.5</v>
      </c>
      <c r="L3810" s="42" t="n">
        <f aca="false">J3810*K3810</f>
        <v>96.725</v>
      </c>
      <c r="M3810" s="43" t="n">
        <f aca="false">H3810*16.19*(1+'Chart of Accounts'!$E$67)</f>
        <v>67.6620575</v>
      </c>
    </row>
    <row r="3811" customFormat="false" ht="15" hidden="false" customHeight="false" outlineLevel="0" collapsed="false">
      <c r="B3811" s="7" t="s">
        <v>4308</v>
      </c>
      <c r="C3811" s="39" t="n">
        <v>45846</v>
      </c>
      <c r="D3811" s="7" t="s">
        <v>323</v>
      </c>
      <c r="E3811" s="7" t="s">
        <v>159</v>
      </c>
      <c r="F3811" s="7" t="s">
        <v>266</v>
      </c>
      <c r="G3811" s="7" t="s">
        <v>502</v>
      </c>
      <c r="H3811" s="6" t="n">
        <v>0.93</v>
      </c>
      <c r="I3811" s="6" t="n">
        <v>0.065</v>
      </c>
      <c r="J3811" s="40" t="n">
        <f aca="false">H3811-I3811</f>
        <v>0.865</v>
      </c>
      <c r="K3811" s="41" t="n">
        <v>135</v>
      </c>
      <c r="L3811" s="42" t="n">
        <f aca="false">J3811*K3811</f>
        <v>116.775</v>
      </c>
      <c r="M3811" s="43" t="n">
        <f aca="false">H3811*75.18*(1+'Chart of Accounts'!$E$67)</f>
        <v>80.055423</v>
      </c>
    </row>
    <row r="3812" customFormat="false" ht="15" hidden="false" customHeight="false" outlineLevel="0" collapsed="false">
      <c r="B3812" s="7" t="s">
        <v>4309</v>
      </c>
      <c r="C3812" s="39" t="n">
        <v>45846</v>
      </c>
      <c r="D3812" s="7" t="s">
        <v>327</v>
      </c>
      <c r="E3812" s="7" t="s">
        <v>157</v>
      </c>
      <c r="F3812" s="7" t="s">
        <v>228</v>
      </c>
      <c r="G3812" s="7" t="s">
        <v>502</v>
      </c>
      <c r="H3812" s="6" t="n">
        <v>1.04</v>
      </c>
      <c r="I3812" s="6" t="n">
        <v>0</v>
      </c>
      <c r="J3812" s="40" t="n">
        <f aca="false">H3812-I3812</f>
        <v>1.04</v>
      </c>
      <c r="K3812" s="41" t="n">
        <v>165</v>
      </c>
      <c r="L3812" s="42" t="n">
        <f aca="false">J3812*K3812</f>
        <v>171.6</v>
      </c>
      <c r="M3812" s="43" t="n">
        <f aca="false">H3812*51.07*(1+'Chart of Accounts'!$E$67)</f>
        <v>60.814156</v>
      </c>
    </row>
    <row r="3813" customFormat="false" ht="15" hidden="false" customHeight="false" outlineLevel="0" collapsed="false">
      <c r="B3813" s="7" t="s">
        <v>4310</v>
      </c>
      <c r="C3813" s="39" t="n">
        <v>45846</v>
      </c>
      <c r="D3813" s="7" t="s">
        <v>329</v>
      </c>
      <c r="E3813" s="7" t="s">
        <v>156</v>
      </c>
      <c r="F3813" s="7" t="s">
        <v>220</v>
      </c>
      <c r="G3813" s="7" t="s">
        <v>505</v>
      </c>
      <c r="H3813" s="6" t="n">
        <v>4.18</v>
      </c>
      <c r="I3813" s="6" t="n">
        <v>0</v>
      </c>
      <c r="J3813" s="40" t="n">
        <f aca="false">H3813-I3813</f>
        <v>4.18</v>
      </c>
      <c r="K3813" s="41" t="n">
        <v>34</v>
      </c>
      <c r="L3813" s="42" t="n">
        <f aca="false">J3813*K3813</f>
        <v>142.12</v>
      </c>
      <c r="M3813" s="43" t="n">
        <f aca="false">H3813*16.43*(1+'Chart of Accounts'!$E$67)</f>
        <v>78.635623</v>
      </c>
    </row>
    <row r="3814" customFormat="false" ht="15" hidden="false" customHeight="false" outlineLevel="0" collapsed="false">
      <c r="B3814" s="7" t="s">
        <v>4311</v>
      </c>
      <c r="C3814" s="39" t="n">
        <v>45846</v>
      </c>
      <c r="D3814" s="7" t="s">
        <v>359</v>
      </c>
      <c r="E3814" s="7" t="s">
        <v>156</v>
      </c>
      <c r="F3814" s="7" t="s">
        <v>232</v>
      </c>
      <c r="G3814" s="7" t="s">
        <v>505</v>
      </c>
      <c r="H3814" s="6" t="n">
        <v>4.16</v>
      </c>
      <c r="I3814" s="6" t="n">
        <v>0</v>
      </c>
      <c r="J3814" s="40" t="n">
        <f aca="false">H3814-I3814</f>
        <v>4.16</v>
      </c>
      <c r="K3814" s="41" t="n">
        <v>34</v>
      </c>
      <c r="L3814" s="42" t="n">
        <f aca="false">J3814*K3814</f>
        <v>141.44</v>
      </c>
      <c r="M3814" s="43" t="n">
        <f aca="false">H3814*16.17*(1+'Chart of Accounts'!$E$67)</f>
        <v>77.020944</v>
      </c>
    </row>
    <row r="3815" customFormat="false" ht="15" hidden="false" customHeight="false" outlineLevel="0" collapsed="false">
      <c r="B3815" s="7" t="s">
        <v>4312</v>
      </c>
      <c r="C3815" s="39" t="n">
        <v>45846</v>
      </c>
      <c r="D3815" s="7" t="s">
        <v>361</v>
      </c>
      <c r="E3815" s="7" t="s">
        <v>157</v>
      </c>
      <c r="F3815" s="7" t="s">
        <v>209</v>
      </c>
      <c r="G3815" s="7" t="s">
        <v>502</v>
      </c>
      <c r="H3815" s="6" t="n">
        <v>0.99</v>
      </c>
      <c r="I3815" s="6" t="n">
        <v>0</v>
      </c>
      <c r="J3815" s="40" t="n">
        <f aca="false">H3815-I3815</f>
        <v>0.99</v>
      </c>
      <c r="K3815" s="41" t="n">
        <v>165</v>
      </c>
      <c r="L3815" s="42" t="n">
        <f aca="false">J3815*K3815</f>
        <v>163.35</v>
      </c>
      <c r="M3815" s="43" t="n">
        <f aca="false">H3815*73.58*(1+'Chart of Accounts'!$E$67)</f>
        <v>83.406609</v>
      </c>
    </row>
    <row r="3816" customFormat="false" ht="15" hidden="false" customHeight="false" outlineLevel="0" collapsed="false">
      <c r="B3816" s="7" t="s">
        <v>4313</v>
      </c>
      <c r="C3816" s="39" t="n">
        <v>45846</v>
      </c>
      <c r="D3816" s="7" t="s">
        <v>365</v>
      </c>
      <c r="E3816" s="7" t="s">
        <v>154</v>
      </c>
      <c r="F3816" s="7" t="s">
        <v>194</v>
      </c>
      <c r="G3816" s="7" t="s">
        <v>505</v>
      </c>
      <c r="H3816" s="6" t="n">
        <v>3.86</v>
      </c>
      <c r="I3816" s="6" t="n">
        <v>0</v>
      </c>
      <c r="J3816" s="40" t="n">
        <f aca="false">H3816-I3816</f>
        <v>3.86</v>
      </c>
      <c r="K3816" s="41" t="n">
        <v>26.5</v>
      </c>
      <c r="L3816" s="42" t="n">
        <f aca="false">J3816*K3816</f>
        <v>102.29</v>
      </c>
      <c r="M3816" s="43" t="n">
        <f aca="false">H3816*16*(1+'Chart of Accounts'!$E$67)</f>
        <v>70.7152</v>
      </c>
    </row>
    <row r="3817" customFormat="false" ht="15" hidden="false" customHeight="false" outlineLevel="0" collapsed="false">
      <c r="B3817" s="7" t="s">
        <v>4314</v>
      </c>
      <c r="C3817" s="39" t="n">
        <v>45846</v>
      </c>
      <c r="D3817" s="7" t="s">
        <v>381</v>
      </c>
      <c r="E3817" s="7" t="s">
        <v>157</v>
      </c>
      <c r="F3817" s="7" t="s">
        <v>234</v>
      </c>
      <c r="G3817" s="7" t="s">
        <v>502</v>
      </c>
      <c r="H3817" s="6" t="n">
        <v>1.09</v>
      </c>
      <c r="I3817" s="6" t="n">
        <v>0</v>
      </c>
      <c r="J3817" s="40" t="n">
        <f aca="false">H3817-I3817</f>
        <v>1.09</v>
      </c>
      <c r="K3817" s="41" t="n">
        <v>165</v>
      </c>
      <c r="L3817" s="42" t="n">
        <f aca="false">J3817*K3817</f>
        <v>179.85</v>
      </c>
      <c r="M3817" s="43" t="n">
        <f aca="false">H3817*89.53*(1+'Chart of Accounts'!$E$67)</f>
        <v>111.7379165</v>
      </c>
    </row>
    <row r="3818" customFormat="false" ht="15" hidden="false" customHeight="false" outlineLevel="0" collapsed="false">
      <c r="B3818" s="7" t="s">
        <v>4315</v>
      </c>
      <c r="C3818" s="39" t="n">
        <v>45846</v>
      </c>
      <c r="D3818" s="7" t="s">
        <v>389</v>
      </c>
      <c r="E3818" s="7" t="s">
        <v>154</v>
      </c>
      <c r="F3818" s="7" t="s">
        <v>246</v>
      </c>
      <c r="G3818" s="7" t="s">
        <v>505</v>
      </c>
      <c r="H3818" s="6" t="n">
        <v>4.15</v>
      </c>
      <c r="I3818" s="6" t="n">
        <v>0.124</v>
      </c>
      <c r="J3818" s="40" t="n">
        <f aca="false">H3818-I3818</f>
        <v>4.026</v>
      </c>
      <c r="K3818" s="41" t="n">
        <v>26.5</v>
      </c>
      <c r="L3818" s="42" t="n">
        <f aca="false">J3818*K3818</f>
        <v>106.689</v>
      </c>
      <c r="M3818" s="43" t="n">
        <f aca="false">H3818*16.48*(1+'Chart of Accounts'!$E$67)</f>
        <v>78.30884</v>
      </c>
    </row>
    <row r="3819" customFormat="false" ht="15" hidden="false" customHeight="false" outlineLevel="0" collapsed="false">
      <c r="B3819" s="7" t="s">
        <v>4316</v>
      </c>
      <c r="C3819" s="39" t="n">
        <v>45846</v>
      </c>
      <c r="D3819" s="7" t="s">
        <v>391</v>
      </c>
      <c r="E3819" s="7" t="s">
        <v>156</v>
      </c>
      <c r="F3819" s="7" t="s">
        <v>222</v>
      </c>
      <c r="G3819" s="7" t="s">
        <v>505</v>
      </c>
      <c r="H3819" s="6" t="n">
        <v>4.09</v>
      </c>
      <c r="I3819" s="6" t="n">
        <v>0</v>
      </c>
      <c r="J3819" s="40" t="n">
        <f aca="false">H3819-I3819</f>
        <v>4.09</v>
      </c>
      <c r="K3819" s="41" t="n">
        <v>34</v>
      </c>
      <c r="L3819" s="42" t="n">
        <f aca="false">J3819*K3819</f>
        <v>139.06</v>
      </c>
      <c r="M3819" s="43" t="n">
        <f aca="false">H3819*17.84*(1+'Chart of Accounts'!$E$67)</f>
        <v>83.545612</v>
      </c>
    </row>
    <row r="3820" customFormat="false" ht="15" hidden="false" customHeight="false" outlineLevel="0" collapsed="false">
      <c r="B3820" s="7" t="s">
        <v>4317</v>
      </c>
      <c r="C3820" s="39" t="n">
        <v>45846</v>
      </c>
      <c r="D3820" s="7" t="s">
        <v>395</v>
      </c>
      <c r="E3820" s="7" t="s">
        <v>156</v>
      </c>
      <c r="F3820" s="7" t="s">
        <v>242</v>
      </c>
      <c r="G3820" s="7" t="s">
        <v>505</v>
      </c>
      <c r="H3820" s="6" t="n">
        <v>3.7</v>
      </c>
      <c r="I3820" s="6" t="n">
        <v>0</v>
      </c>
      <c r="J3820" s="40" t="n">
        <f aca="false">H3820-I3820</f>
        <v>3.7</v>
      </c>
      <c r="K3820" s="41" t="n">
        <v>34</v>
      </c>
      <c r="L3820" s="42" t="n">
        <f aca="false">J3820*K3820</f>
        <v>125.8</v>
      </c>
      <c r="M3820" s="43" t="n">
        <f aca="false">H3820*17.99*(1+'Chart of Accounts'!$E$67)</f>
        <v>76.214635</v>
      </c>
    </row>
    <row r="3821" customFormat="false" ht="15" hidden="false" customHeight="false" outlineLevel="0" collapsed="false">
      <c r="B3821" s="7" t="s">
        <v>4318</v>
      </c>
      <c r="C3821" s="39" t="n">
        <v>45846</v>
      </c>
      <c r="D3821" s="7" t="s">
        <v>397</v>
      </c>
      <c r="E3821" s="7" t="s">
        <v>159</v>
      </c>
      <c r="F3821" s="7" t="s">
        <v>203</v>
      </c>
      <c r="G3821" s="7" t="s">
        <v>502</v>
      </c>
      <c r="H3821" s="6" t="n">
        <v>1.01</v>
      </c>
      <c r="I3821" s="6" t="n">
        <v>0</v>
      </c>
      <c r="J3821" s="40" t="n">
        <f aca="false">H3821-I3821</f>
        <v>1.01</v>
      </c>
      <c r="K3821" s="41" t="n">
        <v>135</v>
      </c>
      <c r="L3821" s="42" t="n">
        <f aca="false">J3821*K3821</f>
        <v>136.35</v>
      </c>
      <c r="M3821" s="43" t="n">
        <f aca="false">H3821*49.43*(1+'Chart of Accounts'!$E$67)</f>
        <v>57.1633235</v>
      </c>
    </row>
    <row r="3822" customFormat="false" ht="15" hidden="false" customHeight="false" outlineLevel="0" collapsed="false">
      <c r="B3822" s="7" t="s">
        <v>4319</v>
      </c>
      <c r="C3822" s="39" t="n">
        <v>45846</v>
      </c>
      <c r="D3822" s="7" t="s">
        <v>401</v>
      </c>
      <c r="E3822" s="7" t="s">
        <v>156</v>
      </c>
      <c r="F3822" s="7" t="s">
        <v>254</v>
      </c>
      <c r="G3822" s="7" t="s">
        <v>505</v>
      </c>
      <c r="H3822" s="6" t="n">
        <v>3.8</v>
      </c>
      <c r="I3822" s="6" t="n">
        <v>0</v>
      </c>
      <c r="J3822" s="40" t="n">
        <f aca="false">H3822-I3822</f>
        <v>3.8</v>
      </c>
      <c r="K3822" s="41" t="n">
        <v>34</v>
      </c>
      <c r="L3822" s="42" t="n">
        <f aca="false">J3822*K3822</f>
        <v>129.2</v>
      </c>
      <c r="M3822" s="43" t="n">
        <f aca="false">H3822*17.1*(1+'Chart of Accounts'!$E$67)</f>
        <v>74.4021</v>
      </c>
    </row>
    <row r="3823" customFormat="false" ht="15" hidden="false" customHeight="false" outlineLevel="0" collapsed="false">
      <c r="B3823" s="7" t="s">
        <v>4320</v>
      </c>
      <c r="C3823" s="39" t="n">
        <v>45846</v>
      </c>
      <c r="D3823" s="7" t="s">
        <v>407</v>
      </c>
      <c r="E3823" s="7" t="s">
        <v>159</v>
      </c>
      <c r="F3823" s="7" t="s">
        <v>260</v>
      </c>
      <c r="G3823" s="7" t="s">
        <v>502</v>
      </c>
      <c r="H3823" s="6" t="n">
        <v>0.94</v>
      </c>
      <c r="I3823" s="6" t="n">
        <v>0</v>
      </c>
      <c r="J3823" s="40" t="n">
        <f aca="false">H3823-I3823</f>
        <v>0.94</v>
      </c>
      <c r="K3823" s="41" t="n">
        <v>135</v>
      </c>
      <c r="L3823" s="42" t="n">
        <f aca="false">J3823*K3823</f>
        <v>126.9</v>
      </c>
      <c r="M3823" s="43" t="n">
        <f aca="false">H3823*79.8*(1+'Chart of Accounts'!$E$67)</f>
        <v>85.88874</v>
      </c>
    </row>
    <row r="3824" customFormat="false" ht="15" hidden="false" customHeight="false" outlineLevel="0" collapsed="false">
      <c r="B3824" s="7" t="s">
        <v>4321</v>
      </c>
      <c r="C3824" s="39" t="n">
        <v>45847</v>
      </c>
      <c r="D3824" s="7" t="s">
        <v>280</v>
      </c>
      <c r="E3824" s="7" t="s">
        <v>157</v>
      </c>
      <c r="F3824" s="7" t="s">
        <v>187</v>
      </c>
      <c r="G3824" s="7" t="s">
        <v>502</v>
      </c>
      <c r="H3824" s="6" t="n">
        <v>1</v>
      </c>
      <c r="I3824" s="6" t="n">
        <v>0.05</v>
      </c>
      <c r="J3824" s="40" t="n">
        <f aca="false">H3824-I3824</f>
        <v>0.95</v>
      </c>
      <c r="K3824" s="41" t="n">
        <v>165</v>
      </c>
      <c r="L3824" s="42" t="n">
        <f aca="false">J3824*K3824</f>
        <v>156.75</v>
      </c>
      <c r="M3824" s="43" t="n">
        <f aca="false">H3824*66.48*(1+'Chart of Accounts'!$E$67)</f>
        <v>76.1196</v>
      </c>
    </row>
    <row r="3825" customFormat="false" ht="15" hidden="false" customHeight="false" outlineLevel="0" collapsed="false">
      <c r="B3825" s="7" t="s">
        <v>4322</v>
      </c>
      <c r="C3825" s="39" t="n">
        <v>45847</v>
      </c>
      <c r="D3825" s="7" t="s">
        <v>288</v>
      </c>
      <c r="E3825" s="7" t="s">
        <v>156</v>
      </c>
      <c r="F3825" s="7" t="s">
        <v>232</v>
      </c>
      <c r="G3825" s="7" t="s">
        <v>505</v>
      </c>
      <c r="H3825" s="6" t="n">
        <v>4.36</v>
      </c>
      <c r="I3825" s="6" t="n">
        <v>0</v>
      </c>
      <c r="J3825" s="40" t="n">
        <f aca="false">H3825-I3825</f>
        <v>4.36</v>
      </c>
      <c r="K3825" s="41" t="n">
        <v>34</v>
      </c>
      <c r="L3825" s="42" t="n">
        <f aca="false">J3825*K3825</f>
        <v>148.24</v>
      </c>
      <c r="M3825" s="43" t="n">
        <f aca="false">H3825*16.17*(1+'Chart of Accounts'!$E$67)</f>
        <v>80.723874</v>
      </c>
    </row>
    <row r="3826" customFormat="false" ht="15" hidden="false" customHeight="false" outlineLevel="0" collapsed="false">
      <c r="B3826" s="7" t="s">
        <v>4323</v>
      </c>
      <c r="C3826" s="39" t="n">
        <v>45847</v>
      </c>
      <c r="D3826" s="7" t="s">
        <v>291</v>
      </c>
      <c r="E3826" s="7" t="s">
        <v>154</v>
      </c>
      <c r="F3826" s="7" t="s">
        <v>194</v>
      </c>
      <c r="G3826" s="7" t="s">
        <v>505</v>
      </c>
      <c r="H3826" s="6" t="n">
        <v>4.56</v>
      </c>
      <c r="I3826" s="6" t="n">
        <v>0</v>
      </c>
      <c r="J3826" s="40" t="n">
        <f aca="false">H3826-I3826</f>
        <v>4.56</v>
      </c>
      <c r="K3826" s="41" t="n">
        <v>26.5</v>
      </c>
      <c r="L3826" s="42" t="n">
        <f aca="false">J3826*K3826</f>
        <v>120.84</v>
      </c>
      <c r="M3826" s="43" t="n">
        <f aca="false">H3826*16*(1+'Chart of Accounts'!$E$67)</f>
        <v>83.5392</v>
      </c>
    </row>
    <row r="3827" customFormat="false" ht="15" hidden="false" customHeight="false" outlineLevel="0" collapsed="false">
      <c r="B3827" s="7" t="s">
        <v>4324</v>
      </c>
      <c r="C3827" s="39" t="n">
        <v>45847</v>
      </c>
      <c r="D3827" s="7" t="s">
        <v>305</v>
      </c>
      <c r="E3827" s="7" t="s">
        <v>154</v>
      </c>
      <c r="F3827" s="7" t="s">
        <v>205</v>
      </c>
      <c r="G3827" s="7" t="s">
        <v>505</v>
      </c>
      <c r="H3827" s="6" t="n">
        <v>3.75</v>
      </c>
      <c r="I3827" s="6" t="n">
        <v>0</v>
      </c>
      <c r="J3827" s="40" t="n">
        <f aca="false">H3827-I3827</f>
        <v>3.75</v>
      </c>
      <c r="K3827" s="41" t="n">
        <v>26.5</v>
      </c>
      <c r="L3827" s="42" t="n">
        <f aca="false">J3827*K3827</f>
        <v>99.375</v>
      </c>
      <c r="M3827" s="43" t="n">
        <f aca="false">H3827*16.36*(1+'Chart of Accounts'!$E$67)</f>
        <v>70.24575</v>
      </c>
    </row>
    <row r="3828" customFormat="false" ht="15" hidden="false" customHeight="false" outlineLevel="0" collapsed="false">
      <c r="B3828" s="7" t="s">
        <v>4325</v>
      </c>
      <c r="C3828" s="39" t="n">
        <v>45847</v>
      </c>
      <c r="D3828" s="7" t="s">
        <v>307</v>
      </c>
      <c r="E3828" s="7" t="s">
        <v>157</v>
      </c>
      <c r="F3828" s="7" t="s">
        <v>264</v>
      </c>
      <c r="G3828" s="7" t="s">
        <v>502</v>
      </c>
      <c r="H3828" s="6" t="n">
        <v>0.99</v>
      </c>
      <c r="I3828" s="6" t="n">
        <v>0.05</v>
      </c>
      <c r="J3828" s="40" t="n">
        <f aca="false">H3828-I3828</f>
        <v>0.94</v>
      </c>
      <c r="K3828" s="41" t="n">
        <v>165</v>
      </c>
      <c r="L3828" s="42" t="n">
        <f aca="false">J3828*K3828</f>
        <v>155.1</v>
      </c>
      <c r="M3828" s="43" t="n">
        <f aca="false">H3828*55.55*(1+'Chart of Accounts'!$E$67)</f>
        <v>62.9687025</v>
      </c>
    </row>
    <row r="3829" customFormat="false" ht="15" hidden="false" customHeight="false" outlineLevel="0" collapsed="false">
      <c r="B3829" s="7" t="s">
        <v>4326</v>
      </c>
      <c r="C3829" s="39" t="n">
        <v>45847</v>
      </c>
      <c r="D3829" s="7" t="s">
        <v>309</v>
      </c>
      <c r="E3829" s="7" t="s">
        <v>159</v>
      </c>
      <c r="F3829" s="7" t="s">
        <v>252</v>
      </c>
      <c r="G3829" s="7" t="s">
        <v>502</v>
      </c>
      <c r="H3829" s="6" t="n">
        <v>0.95</v>
      </c>
      <c r="I3829" s="6" t="n">
        <v>0</v>
      </c>
      <c r="J3829" s="40" t="n">
        <f aca="false">H3829-I3829</f>
        <v>0.95</v>
      </c>
      <c r="K3829" s="41" t="n">
        <v>135</v>
      </c>
      <c r="L3829" s="42" t="n">
        <f aca="false">J3829*K3829</f>
        <v>128.25</v>
      </c>
      <c r="M3829" s="43" t="n">
        <f aca="false">H3829*57.54*(1+'Chart of Accounts'!$E$67)</f>
        <v>62.589135</v>
      </c>
    </row>
    <row r="3830" customFormat="false" ht="15" hidden="false" customHeight="false" outlineLevel="0" collapsed="false">
      <c r="B3830" s="7" t="s">
        <v>4327</v>
      </c>
      <c r="C3830" s="39" t="n">
        <v>45847</v>
      </c>
      <c r="D3830" s="7" t="s">
        <v>313</v>
      </c>
      <c r="E3830" s="7" t="s">
        <v>156</v>
      </c>
      <c r="F3830" s="7" t="s">
        <v>184</v>
      </c>
      <c r="G3830" s="7" t="s">
        <v>505</v>
      </c>
      <c r="H3830" s="6" t="n">
        <v>4.12</v>
      </c>
      <c r="I3830" s="6" t="n">
        <v>0</v>
      </c>
      <c r="J3830" s="40" t="n">
        <f aca="false">H3830-I3830</f>
        <v>4.12</v>
      </c>
      <c r="K3830" s="41" t="n">
        <v>34</v>
      </c>
      <c r="L3830" s="42" t="n">
        <f aca="false">J3830*K3830</f>
        <v>140.08</v>
      </c>
      <c r="M3830" s="43" t="n">
        <f aca="false">H3830*17.34*(1+'Chart of Accounts'!$E$67)</f>
        <v>81.799716</v>
      </c>
    </row>
    <row r="3831" customFormat="false" ht="15" hidden="false" customHeight="false" outlineLevel="0" collapsed="false">
      <c r="B3831" s="7" t="s">
        <v>4328</v>
      </c>
      <c r="C3831" s="39" t="n">
        <v>45847</v>
      </c>
      <c r="D3831" s="7" t="s">
        <v>321</v>
      </c>
      <c r="E3831" s="7" t="s">
        <v>154</v>
      </c>
      <c r="F3831" s="7" t="s">
        <v>218</v>
      </c>
      <c r="G3831" s="7" t="s">
        <v>505</v>
      </c>
      <c r="H3831" s="6" t="n">
        <v>3.68</v>
      </c>
      <c r="I3831" s="6" t="n">
        <v>0</v>
      </c>
      <c r="J3831" s="40" t="n">
        <f aca="false">H3831-I3831</f>
        <v>3.68</v>
      </c>
      <c r="K3831" s="41" t="n">
        <v>26.5</v>
      </c>
      <c r="L3831" s="42" t="n">
        <f aca="false">J3831*K3831</f>
        <v>97.52</v>
      </c>
      <c r="M3831" s="43" t="n">
        <f aca="false">H3831*16.19*(1+'Chart of Accounts'!$E$67)</f>
        <v>68.218184</v>
      </c>
    </row>
    <row r="3832" customFormat="false" ht="15" hidden="false" customHeight="false" outlineLevel="0" collapsed="false">
      <c r="B3832" s="7" t="s">
        <v>4329</v>
      </c>
      <c r="C3832" s="39" t="n">
        <v>45847</v>
      </c>
      <c r="D3832" s="7" t="s">
        <v>329</v>
      </c>
      <c r="E3832" s="7" t="s">
        <v>156</v>
      </c>
      <c r="F3832" s="7" t="s">
        <v>220</v>
      </c>
      <c r="G3832" s="7" t="s">
        <v>505</v>
      </c>
      <c r="H3832" s="6" t="n">
        <v>3.65</v>
      </c>
      <c r="I3832" s="6" t="n">
        <v>0</v>
      </c>
      <c r="J3832" s="40" t="n">
        <f aca="false">H3832-I3832</f>
        <v>3.65</v>
      </c>
      <c r="K3832" s="41" t="n">
        <v>34</v>
      </c>
      <c r="L3832" s="42" t="n">
        <f aca="false">J3832*K3832</f>
        <v>124.1</v>
      </c>
      <c r="M3832" s="43" t="n">
        <f aca="false">H3832*16.43*(1+'Chart of Accounts'!$E$67)</f>
        <v>68.6650775</v>
      </c>
    </row>
    <row r="3833" customFormat="false" ht="15" hidden="false" customHeight="false" outlineLevel="0" collapsed="false">
      <c r="B3833" s="7" t="s">
        <v>4330</v>
      </c>
      <c r="C3833" s="39" t="n">
        <v>45847</v>
      </c>
      <c r="D3833" s="7" t="s">
        <v>339</v>
      </c>
      <c r="E3833" s="7" t="s">
        <v>154</v>
      </c>
      <c r="F3833" s="7" t="s">
        <v>242</v>
      </c>
      <c r="G3833" s="7" t="s">
        <v>505</v>
      </c>
      <c r="H3833" s="6" t="n">
        <v>3.01</v>
      </c>
      <c r="I3833" s="6" t="n">
        <v>0</v>
      </c>
      <c r="J3833" s="40" t="n">
        <f aca="false">H3833-I3833</f>
        <v>3.01</v>
      </c>
      <c r="K3833" s="41" t="n">
        <v>26.5</v>
      </c>
      <c r="L3833" s="42" t="n">
        <f aca="false">J3833*K3833</f>
        <v>79.765</v>
      </c>
      <c r="M3833" s="43" t="n">
        <f aca="false">H3833*17.99*(1+'Chart of Accounts'!$E$67)</f>
        <v>62.0016355</v>
      </c>
    </row>
    <row r="3834" customFormat="false" ht="15" hidden="false" customHeight="false" outlineLevel="0" collapsed="false">
      <c r="B3834" s="7" t="s">
        <v>4331</v>
      </c>
      <c r="C3834" s="39" t="n">
        <v>45847</v>
      </c>
      <c r="D3834" s="7" t="s">
        <v>353</v>
      </c>
      <c r="E3834" s="7" t="s">
        <v>154</v>
      </c>
      <c r="F3834" s="7" t="s">
        <v>254</v>
      </c>
      <c r="G3834" s="7" t="s">
        <v>505</v>
      </c>
      <c r="H3834" s="6" t="n">
        <v>3.53</v>
      </c>
      <c r="I3834" s="6" t="n">
        <v>0</v>
      </c>
      <c r="J3834" s="40" t="n">
        <f aca="false">H3834-I3834</f>
        <v>3.53</v>
      </c>
      <c r="K3834" s="41" t="n">
        <v>26.5</v>
      </c>
      <c r="L3834" s="42" t="n">
        <f aca="false">J3834*K3834</f>
        <v>93.545</v>
      </c>
      <c r="M3834" s="43" t="n">
        <f aca="false">H3834*17.1*(1+'Chart of Accounts'!$E$67)</f>
        <v>69.115635</v>
      </c>
    </row>
    <row r="3835" customFormat="false" ht="15" hidden="false" customHeight="false" outlineLevel="0" collapsed="false">
      <c r="B3835" s="7" t="s">
        <v>4332</v>
      </c>
      <c r="C3835" s="39" t="n">
        <v>45847</v>
      </c>
      <c r="D3835" s="7" t="s">
        <v>355</v>
      </c>
      <c r="E3835" s="7" t="s">
        <v>154</v>
      </c>
      <c r="F3835" s="7" t="s">
        <v>201</v>
      </c>
      <c r="G3835" s="7" t="s">
        <v>505</v>
      </c>
      <c r="H3835" s="6" t="n">
        <v>3.05</v>
      </c>
      <c r="I3835" s="6" t="n">
        <v>0</v>
      </c>
      <c r="J3835" s="40" t="n">
        <f aca="false">H3835-I3835</f>
        <v>3.05</v>
      </c>
      <c r="K3835" s="41" t="n">
        <v>26.5</v>
      </c>
      <c r="L3835" s="42" t="n">
        <f aca="false">J3835*K3835</f>
        <v>80.825</v>
      </c>
      <c r="M3835" s="43" t="n">
        <f aca="false">H3835*15.19*(1+'Chart of Accounts'!$E$67)</f>
        <v>53.0472775</v>
      </c>
    </row>
    <row r="3836" customFormat="false" ht="15" hidden="false" customHeight="false" outlineLevel="0" collapsed="false">
      <c r="B3836" s="7" t="s">
        <v>4333</v>
      </c>
      <c r="C3836" s="39" t="n">
        <v>45847</v>
      </c>
      <c r="D3836" s="7" t="s">
        <v>357</v>
      </c>
      <c r="E3836" s="7" t="s">
        <v>154</v>
      </c>
      <c r="F3836" s="7" t="s">
        <v>207</v>
      </c>
      <c r="G3836" s="7" t="s">
        <v>505</v>
      </c>
      <c r="H3836" s="6" t="n">
        <v>3.33</v>
      </c>
      <c r="I3836" s="6" t="n">
        <v>0</v>
      </c>
      <c r="J3836" s="40" t="n">
        <f aca="false">H3836-I3836</f>
        <v>3.33</v>
      </c>
      <c r="K3836" s="41" t="n">
        <v>26.5</v>
      </c>
      <c r="L3836" s="42" t="n">
        <f aca="false">J3836*K3836</f>
        <v>88.245</v>
      </c>
      <c r="M3836" s="43" t="n">
        <f aca="false">H3836*16.65*(1+'Chart of Accounts'!$E$67)</f>
        <v>63.4839525</v>
      </c>
    </row>
    <row r="3837" customFormat="false" ht="15" hidden="false" customHeight="false" outlineLevel="0" collapsed="false">
      <c r="B3837" s="7" t="s">
        <v>4334</v>
      </c>
      <c r="C3837" s="39" t="n">
        <v>45847</v>
      </c>
      <c r="D3837" s="7" t="s">
        <v>359</v>
      </c>
      <c r="E3837" s="7" t="s">
        <v>156</v>
      </c>
      <c r="F3837" s="7" t="s">
        <v>201</v>
      </c>
      <c r="G3837" s="7" t="s">
        <v>505</v>
      </c>
      <c r="H3837" s="6" t="n">
        <v>3.68</v>
      </c>
      <c r="I3837" s="6" t="n">
        <v>0</v>
      </c>
      <c r="J3837" s="40" t="n">
        <f aca="false">H3837-I3837</f>
        <v>3.68</v>
      </c>
      <c r="K3837" s="41" t="n">
        <v>34</v>
      </c>
      <c r="L3837" s="42" t="n">
        <f aca="false">J3837*K3837</f>
        <v>125.12</v>
      </c>
      <c r="M3837" s="43" t="n">
        <f aca="false">H3837*15.19*(1+'Chart of Accounts'!$E$67)</f>
        <v>64.004584</v>
      </c>
    </row>
    <row r="3838" customFormat="false" ht="15" hidden="false" customHeight="false" outlineLevel="0" collapsed="false">
      <c r="B3838" s="7" t="s">
        <v>4335</v>
      </c>
      <c r="C3838" s="39" t="n">
        <v>45847</v>
      </c>
      <c r="D3838" s="7" t="s">
        <v>365</v>
      </c>
      <c r="E3838" s="7" t="s">
        <v>154</v>
      </c>
      <c r="F3838" s="7" t="s">
        <v>194</v>
      </c>
      <c r="G3838" s="7" t="s">
        <v>505</v>
      </c>
      <c r="H3838" s="6" t="n">
        <v>4.06</v>
      </c>
      <c r="I3838" s="6" t="n">
        <v>0</v>
      </c>
      <c r="J3838" s="40" t="n">
        <f aca="false">H3838-I3838</f>
        <v>4.06</v>
      </c>
      <c r="K3838" s="41" t="n">
        <v>26.5</v>
      </c>
      <c r="L3838" s="42" t="n">
        <f aca="false">J3838*K3838</f>
        <v>107.59</v>
      </c>
      <c r="M3838" s="43" t="n">
        <f aca="false">H3838*16*(1+'Chart of Accounts'!$E$67)</f>
        <v>74.3792</v>
      </c>
    </row>
    <row r="3839" customFormat="false" ht="15" hidden="false" customHeight="false" outlineLevel="0" collapsed="false">
      <c r="B3839" s="7" t="s">
        <v>4336</v>
      </c>
      <c r="C3839" s="39" t="n">
        <v>45847</v>
      </c>
      <c r="D3839" s="7" t="s">
        <v>371</v>
      </c>
      <c r="E3839" s="7" t="s">
        <v>154</v>
      </c>
      <c r="F3839" s="7" t="s">
        <v>232</v>
      </c>
      <c r="G3839" s="7" t="s">
        <v>505</v>
      </c>
      <c r="H3839" s="6" t="n">
        <v>5.02</v>
      </c>
      <c r="I3839" s="6" t="n">
        <v>0.151</v>
      </c>
      <c r="J3839" s="40" t="n">
        <f aca="false">H3839-I3839</f>
        <v>4.869</v>
      </c>
      <c r="K3839" s="41" t="n">
        <v>26.5</v>
      </c>
      <c r="L3839" s="42" t="n">
        <f aca="false">J3839*K3839</f>
        <v>129.0285</v>
      </c>
      <c r="M3839" s="43" t="n">
        <f aca="false">H3839*16.17*(1+'Chart of Accounts'!$E$67)</f>
        <v>92.943543</v>
      </c>
    </row>
    <row r="3840" customFormat="false" ht="15" hidden="false" customHeight="false" outlineLevel="0" collapsed="false">
      <c r="B3840" s="7" t="s">
        <v>4337</v>
      </c>
      <c r="C3840" s="39" t="n">
        <v>45847</v>
      </c>
      <c r="D3840" s="7" t="s">
        <v>379</v>
      </c>
      <c r="E3840" s="7" t="s">
        <v>156</v>
      </c>
      <c r="F3840" s="7" t="s">
        <v>224</v>
      </c>
      <c r="G3840" s="7" t="s">
        <v>505</v>
      </c>
      <c r="H3840" s="6" t="n">
        <v>4.96</v>
      </c>
      <c r="I3840" s="6" t="n">
        <v>0</v>
      </c>
      <c r="J3840" s="40" t="n">
        <f aca="false">H3840-I3840</f>
        <v>4.96</v>
      </c>
      <c r="K3840" s="41" t="n">
        <v>34</v>
      </c>
      <c r="L3840" s="42" t="n">
        <f aca="false">J3840*K3840</f>
        <v>168.64</v>
      </c>
      <c r="M3840" s="43" t="n">
        <f aca="false">H3840*14.93*(1+'Chart of Accounts'!$E$67)</f>
        <v>84.790456</v>
      </c>
    </row>
    <row r="3841" customFormat="false" ht="15" hidden="false" customHeight="false" outlineLevel="0" collapsed="false">
      <c r="B3841" s="7" t="s">
        <v>4338</v>
      </c>
      <c r="C3841" s="39" t="n">
        <v>45847</v>
      </c>
      <c r="D3841" s="7" t="s">
        <v>385</v>
      </c>
      <c r="E3841" s="7" t="s">
        <v>156</v>
      </c>
      <c r="F3841" s="7" t="s">
        <v>238</v>
      </c>
      <c r="G3841" s="7" t="s">
        <v>505</v>
      </c>
      <c r="H3841" s="6" t="n">
        <v>4.03</v>
      </c>
      <c r="I3841" s="6" t="n">
        <v>0</v>
      </c>
      <c r="J3841" s="40" t="n">
        <f aca="false">H3841-I3841</f>
        <v>4.03</v>
      </c>
      <c r="K3841" s="41" t="n">
        <v>34</v>
      </c>
      <c r="L3841" s="42" t="n">
        <f aca="false">J3841*K3841</f>
        <v>137.02</v>
      </c>
      <c r="M3841" s="43" t="n">
        <f aca="false">H3841*15.85*(1+'Chart of Accounts'!$E$67)</f>
        <v>73.1374475</v>
      </c>
    </row>
    <row r="3842" customFormat="false" ht="15" hidden="false" customHeight="false" outlineLevel="0" collapsed="false">
      <c r="B3842" s="7" t="s">
        <v>4339</v>
      </c>
      <c r="C3842" s="39" t="n">
        <v>45847</v>
      </c>
      <c r="D3842" s="7" t="s">
        <v>389</v>
      </c>
      <c r="E3842" s="7" t="s">
        <v>154</v>
      </c>
      <c r="F3842" s="7" t="s">
        <v>246</v>
      </c>
      <c r="G3842" s="7" t="s">
        <v>505</v>
      </c>
      <c r="H3842" s="6" t="n">
        <v>4.25</v>
      </c>
      <c r="I3842" s="6" t="n">
        <v>0</v>
      </c>
      <c r="J3842" s="40" t="n">
        <f aca="false">H3842-I3842</f>
        <v>4.25</v>
      </c>
      <c r="K3842" s="41" t="n">
        <v>26.5</v>
      </c>
      <c r="L3842" s="42" t="n">
        <f aca="false">J3842*K3842</f>
        <v>112.625</v>
      </c>
      <c r="M3842" s="43" t="n">
        <f aca="false">H3842*16.48*(1+'Chart of Accounts'!$E$67)</f>
        <v>80.1958</v>
      </c>
    </row>
    <row r="3843" customFormat="false" ht="15" hidden="false" customHeight="false" outlineLevel="0" collapsed="false">
      <c r="B3843" s="7" t="s">
        <v>4340</v>
      </c>
      <c r="C3843" s="39" t="n">
        <v>45847</v>
      </c>
      <c r="D3843" s="7" t="s">
        <v>391</v>
      </c>
      <c r="E3843" s="7" t="s">
        <v>156</v>
      </c>
      <c r="F3843" s="7" t="s">
        <v>222</v>
      </c>
      <c r="G3843" s="7" t="s">
        <v>505</v>
      </c>
      <c r="H3843" s="6" t="n">
        <v>3.88</v>
      </c>
      <c r="I3843" s="6" t="n">
        <v>0</v>
      </c>
      <c r="J3843" s="40" t="n">
        <f aca="false">H3843-I3843</f>
        <v>3.88</v>
      </c>
      <c r="K3843" s="41" t="n">
        <v>34</v>
      </c>
      <c r="L3843" s="42" t="n">
        <f aca="false">J3843*K3843</f>
        <v>131.92</v>
      </c>
      <c r="M3843" s="43" t="n">
        <f aca="false">H3843*17.84*(1+'Chart of Accounts'!$E$67)</f>
        <v>79.255984</v>
      </c>
    </row>
    <row r="3844" customFormat="false" ht="15" hidden="false" customHeight="false" outlineLevel="0" collapsed="false">
      <c r="B3844" s="7" t="s">
        <v>4341</v>
      </c>
      <c r="C3844" s="39" t="n">
        <v>45847</v>
      </c>
      <c r="D3844" s="7" t="s">
        <v>393</v>
      </c>
      <c r="E3844" s="7" t="s">
        <v>157</v>
      </c>
      <c r="F3844" s="7" t="s">
        <v>203</v>
      </c>
      <c r="G3844" s="7" t="s">
        <v>502</v>
      </c>
      <c r="H3844" s="6" t="n">
        <v>1.08</v>
      </c>
      <c r="I3844" s="6" t="n">
        <v>0</v>
      </c>
      <c r="J3844" s="40" t="n">
        <f aca="false">H3844-I3844</f>
        <v>1.08</v>
      </c>
      <c r="K3844" s="41" t="n">
        <v>165</v>
      </c>
      <c r="L3844" s="42" t="n">
        <f aca="false">J3844*K3844</f>
        <v>178.2</v>
      </c>
      <c r="M3844" s="43" t="n">
        <f aca="false">H3844*49.43*(1+'Chart of Accounts'!$E$67)</f>
        <v>61.125138</v>
      </c>
    </row>
    <row r="3845" customFormat="false" ht="15" hidden="false" customHeight="false" outlineLevel="0" collapsed="false">
      <c r="B3845" s="7" t="s">
        <v>4342</v>
      </c>
      <c r="C3845" s="39" t="n">
        <v>45847</v>
      </c>
      <c r="D3845" s="7" t="s">
        <v>395</v>
      </c>
      <c r="E3845" s="7" t="s">
        <v>156</v>
      </c>
      <c r="F3845" s="7" t="s">
        <v>242</v>
      </c>
      <c r="G3845" s="7" t="s">
        <v>505</v>
      </c>
      <c r="H3845" s="6" t="n">
        <v>4.4</v>
      </c>
      <c r="I3845" s="6" t="n">
        <v>0</v>
      </c>
      <c r="J3845" s="40" t="n">
        <f aca="false">H3845-I3845</f>
        <v>4.4</v>
      </c>
      <c r="K3845" s="41" t="n">
        <v>34</v>
      </c>
      <c r="L3845" s="42" t="n">
        <f aca="false">J3845*K3845</f>
        <v>149.6</v>
      </c>
      <c r="M3845" s="43" t="n">
        <f aca="false">H3845*17.99*(1+'Chart of Accounts'!$E$67)</f>
        <v>90.63362</v>
      </c>
    </row>
    <row r="3846" customFormat="false" ht="15" hidden="false" customHeight="false" outlineLevel="0" collapsed="false">
      <c r="B3846" s="7" t="s">
        <v>4343</v>
      </c>
      <c r="C3846" s="39" t="n">
        <v>45847</v>
      </c>
      <c r="D3846" s="7" t="s">
        <v>399</v>
      </c>
      <c r="E3846" s="7" t="s">
        <v>154</v>
      </c>
      <c r="F3846" s="7" t="s">
        <v>232</v>
      </c>
      <c r="G3846" s="7" t="s">
        <v>505</v>
      </c>
      <c r="H3846" s="6" t="n">
        <v>3.62</v>
      </c>
      <c r="I3846" s="6" t="n">
        <v>0</v>
      </c>
      <c r="J3846" s="40" t="n">
        <f aca="false">H3846-I3846</f>
        <v>3.62</v>
      </c>
      <c r="K3846" s="41" t="n">
        <v>26.5</v>
      </c>
      <c r="L3846" s="42" t="n">
        <f aca="false">J3846*K3846</f>
        <v>95.93</v>
      </c>
      <c r="M3846" s="43" t="n">
        <f aca="false">H3846*16.17*(1+'Chart of Accounts'!$E$67)</f>
        <v>67.023033</v>
      </c>
    </row>
    <row r="3847" customFormat="false" ht="15" hidden="false" customHeight="false" outlineLevel="0" collapsed="false">
      <c r="B3847" s="7" t="s">
        <v>4344</v>
      </c>
      <c r="C3847" s="39" t="n">
        <v>45847</v>
      </c>
      <c r="D3847" s="7" t="s">
        <v>401</v>
      </c>
      <c r="E3847" s="7" t="s">
        <v>156</v>
      </c>
      <c r="F3847" s="7" t="s">
        <v>254</v>
      </c>
      <c r="G3847" s="7" t="s">
        <v>505</v>
      </c>
      <c r="H3847" s="6" t="n">
        <v>4.36</v>
      </c>
      <c r="I3847" s="6" t="n">
        <v>0</v>
      </c>
      <c r="J3847" s="40" t="n">
        <f aca="false">H3847-I3847</f>
        <v>4.36</v>
      </c>
      <c r="K3847" s="41" t="n">
        <v>34</v>
      </c>
      <c r="L3847" s="42" t="n">
        <f aca="false">J3847*K3847</f>
        <v>148.24</v>
      </c>
      <c r="M3847" s="43" t="n">
        <f aca="false">H3847*17.1*(1+'Chart of Accounts'!$E$67)</f>
        <v>85.36662</v>
      </c>
    </row>
    <row r="3848" customFormat="false" ht="15" hidden="false" customHeight="false" outlineLevel="0" collapsed="false">
      <c r="B3848" s="7" t="s">
        <v>4345</v>
      </c>
      <c r="C3848" s="39" t="n">
        <v>45847</v>
      </c>
      <c r="D3848" s="7" t="s">
        <v>409</v>
      </c>
      <c r="E3848" s="7" t="s">
        <v>154</v>
      </c>
      <c r="F3848" s="7" t="s">
        <v>214</v>
      </c>
      <c r="G3848" s="7" t="s">
        <v>505</v>
      </c>
      <c r="H3848" s="6" t="n">
        <v>3.16</v>
      </c>
      <c r="I3848" s="6" t="n">
        <v>0</v>
      </c>
      <c r="J3848" s="40" t="n">
        <f aca="false">H3848-I3848</f>
        <v>3.16</v>
      </c>
      <c r="K3848" s="41" t="n">
        <v>26.5</v>
      </c>
      <c r="L3848" s="42" t="n">
        <f aca="false">J3848*K3848</f>
        <v>83.74</v>
      </c>
      <c r="M3848" s="43" t="n">
        <f aca="false">H3848*15.67*(1+'Chart of Accounts'!$E$67)</f>
        <v>56.697194</v>
      </c>
    </row>
    <row r="3849" customFormat="false" ht="15" hidden="false" customHeight="false" outlineLevel="0" collapsed="false">
      <c r="B3849" s="7" t="s">
        <v>4346</v>
      </c>
      <c r="C3849" s="39" t="n">
        <v>45847</v>
      </c>
      <c r="D3849" s="7" t="s">
        <v>411</v>
      </c>
      <c r="E3849" s="7" t="s">
        <v>154</v>
      </c>
      <c r="F3849" s="7" t="s">
        <v>177</v>
      </c>
      <c r="G3849" s="7" t="s">
        <v>505</v>
      </c>
      <c r="H3849" s="6" t="n">
        <v>4.66</v>
      </c>
      <c r="I3849" s="6" t="n">
        <v>0.14</v>
      </c>
      <c r="J3849" s="40" t="n">
        <f aca="false">H3849-I3849</f>
        <v>4.52</v>
      </c>
      <c r="K3849" s="41" t="n">
        <v>26.5</v>
      </c>
      <c r="L3849" s="42" t="n">
        <f aca="false">J3849*K3849</f>
        <v>119.78</v>
      </c>
      <c r="M3849" s="43" t="n">
        <f aca="false">H3849*14.56*(1+'Chart of Accounts'!$E$67)</f>
        <v>77.687792</v>
      </c>
    </row>
    <row r="3850" customFormat="false" ht="15" hidden="false" customHeight="false" outlineLevel="0" collapsed="false">
      <c r="B3850" s="7" t="s">
        <v>4347</v>
      </c>
      <c r="C3850" s="39" t="n">
        <v>45848</v>
      </c>
      <c r="D3850" s="7" t="s">
        <v>288</v>
      </c>
      <c r="E3850" s="7" t="s">
        <v>156</v>
      </c>
      <c r="F3850" s="7" t="s">
        <v>244</v>
      </c>
      <c r="G3850" s="7" t="s">
        <v>505</v>
      </c>
      <c r="H3850" s="6" t="n">
        <v>3.65</v>
      </c>
      <c r="I3850" s="6" t="n">
        <v>0</v>
      </c>
      <c r="J3850" s="40" t="n">
        <f aca="false">H3850-I3850</f>
        <v>3.65</v>
      </c>
      <c r="K3850" s="41" t="n">
        <v>34</v>
      </c>
      <c r="L3850" s="42" t="n">
        <f aca="false">J3850*K3850</f>
        <v>124.1</v>
      </c>
      <c r="M3850" s="43" t="n">
        <f aca="false">H3850*16.39*(1+'Chart of Accounts'!$E$67)</f>
        <v>68.4979075</v>
      </c>
    </row>
    <row r="3851" customFormat="false" ht="15" hidden="false" customHeight="false" outlineLevel="0" collapsed="false">
      <c r="B3851" s="7" t="s">
        <v>4348</v>
      </c>
      <c r="C3851" s="39" t="n">
        <v>45848</v>
      </c>
      <c r="D3851" s="7" t="s">
        <v>297</v>
      </c>
      <c r="E3851" s="7" t="s">
        <v>156</v>
      </c>
      <c r="F3851" s="7" t="s">
        <v>201</v>
      </c>
      <c r="G3851" s="7" t="s">
        <v>505</v>
      </c>
      <c r="H3851" s="6" t="n">
        <v>3.25</v>
      </c>
      <c r="I3851" s="6" t="n">
        <v>0</v>
      </c>
      <c r="J3851" s="40" t="n">
        <f aca="false">H3851-I3851</f>
        <v>3.25</v>
      </c>
      <c r="K3851" s="41" t="n">
        <v>34</v>
      </c>
      <c r="L3851" s="42" t="n">
        <f aca="false">J3851*K3851</f>
        <v>110.5</v>
      </c>
      <c r="M3851" s="43" t="n">
        <f aca="false">H3851*15.19*(1+'Chart of Accounts'!$E$67)</f>
        <v>56.5257875</v>
      </c>
    </row>
    <row r="3852" customFormat="false" ht="15" hidden="false" customHeight="false" outlineLevel="0" collapsed="false">
      <c r="B3852" s="7" t="s">
        <v>4349</v>
      </c>
      <c r="C3852" s="39" t="n">
        <v>45848</v>
      </c>
      <c r="D3852" s="7" t="s">
        <v>311</v>
      </c>
      <c r="E3852" s="7" t="s">
        <v>154</v>
      </c>
      <c r="F3852" s="7" t="s">
        <v>196</v>
      </c>
      <c r="G3852" s="7" t="s">
        <v>505</v>
      </c>
      <c r="H3852" s="6" t="n">
        <v>2.76</v>
      </c>
      <c r="I3852" s="6" t="n">
        <v>0</v>
      </c>
      <c r="J3852" s="40" t="n">
        <f aca="false">H3852-I3852</f>
        <v>2.76</v>
      </c>
      <c r="K3852" s="41" t="n">
        <v>26.5</v>
      </c>
      <c r="L3852" s="42" t="n">
        <f aca="false">J3852*K3852</f>
        <v>73.14</v>
      </c>
      <c r="M3852" s="43" t="n">
        <f aca="false">H3852*15.05*(1+'Chart of Accounts'!$E$67)</f>
        <v>47.56101</v>
      </c>
    </row>
    <row r="3853" customFormat="false" ht="15" hidden="false" customHeight="false" outlineLevel="0" collapsed="false">
      <c r="B3853" s="7" t="s">
        <v>4350</v>
      </c>
      <c r="C3853" s="39" t="n">
        <v>45848</v>
      </c>
      <c r="D3853" s="7" t="s">
        <v>313</v>
      </c>
      <c r="E3853" s="7" t="s">
        <v>156</v>
      </c>
      <c r="F3853" s="7" t="s">
        <v>184</v>
      </c>
      <c r="G3853" s="7" t="s">
        <v>505</v>
      </c>
      <c r="H3853" s="6" t="n">
        <v>3.86</v>
      </c>
      <c r="I3853" s="6" t="n">
        <v>0</v>
      </c>
      <c r="J3853" s="40" t="n">
        <f aca="false">H3853-I3853</f>
        <v>3.86</v>
      </c>
      <c r="K3853" s="41" t="n">
        <v>34</v>
      </c>
      <c r="L3853" s="42" t="n">
        <f aca="false">J3853*K3853</f>
        <v>131.24</v>
      </c>
      <c r="M3853" s="43" t="n">
        <f aca="false">H3853*17.34*(1+'Chart of Accounts'!$E$67)</f>
        <v>76.637598</v>
      </c>
    </row>
    <row r="3854" customFormat="false" ht="15" hidden="false" customHeight="false" outlineLevel="0" collapsed="false">
      <c r="B3854" s="7" t="s">
        <v>4351</v>
      </c>
      <c r="C3854" s="39" t="n">
        <v>45848</v>
      </c>
      <c r="D3854" s="7" t="s">
        <v>317</v>
      </c>
      <c r="E3854" s="7" t="s">
        <v>156</v>
      </c>
      <c r="F3854" s="7" t="s">
        <v>207</v>
      </c>
      <c r="G3854" s="7" t="s">
        <v>505</v>
      </c>
      <c r="H3854" s="6" t="n">
        <v>3.02</v>
      </c>
      <c r="I3854" s="6" t="n">
        <v>0</v>
      </c>
      <c r="J3854" s="40" t="n">
        <f aca="false">H3854-I3854</f>
        <v>3.02</v>
      </c>
      <c r="K3854" s="41" t="n">
        <v>34</v>
      </c>
      <c r="L3854" s="42" t="n">
        <f aca="false">J3854*K3854</f>
        <v>102.68</v>
      </c>
      <c r="M3854" s="43" t="n">
        <f aca="false">H3854*16.65*(1+'Chart of Accounts'!$E$67)</f>
        <v>57.574035</v>
      </c>
    </row>
    <row r="3855" customFormat="false" ht="15" hidden="false" customHeight="false" outlineLevel="0" collapsed="false">
      <c r="B3855" s="7" t="s">
        <v>4352</v>
      </c>
      <c r="C3855" s="39" t="n">
        <v>45848</v>
      </c>
      <c r="D3855" s="7" t="s">
        <v>321</v>
      </c>
      <c r="E3855" s="7" t="s">
        <v>154</v>
      </c>
      <c r="F3855" s="7" t="s">
        <v>218</v>
      </c>
      <c r="G3855" s="7" t="s">
        <v>505</v>
      </c>
      <c r="H3855" s="6" t="n">
        <v>3.76</v>
      </c>
      <c r="I3855" s="6" t="n">
        <v>0</v>
      </c>
      <c r="J3855" s="40" t="n">
        <f aca="false">H3855-I3855</f>
        <v>3.76</v>
      </c>
      <c r="K3855" s="41" t="n">
        <v>26.5</v>
      </c>
      <c r="L3855" s="42" t="n">
        <f aca="false">J3855*K3855</f>
        <v>99.64</v>
      </c>
      <c r="M3855" s="43" t="n">
        <f aca="false">H3855*16.19*(1+'Chart of Accounts'!$E$67)</f>
        <v>69.701188</v>
      </c>
    </row>
    <row r="3856" customFormat="false" ht="15" hidden="false" customHeight="false" outlineLevel="0" collapsed="false">
      <c r="B3856" s="7" t="s">
        <v>4353</v>
      </c>
      <c r="C3856" s="39" t="n">
        <v>45848</v>
      </c>
      <c r="D3856" s="7" t="s">
        <v>325</v>
      </c>
      <c r="E3856" s="7" t="s">
        <v>154</v>
      </c>
      <c r="F3856" s="7" t="s">
        <v>238</v>
      </c>
      <c r="G3856" s="7" t="s">
        <v>505</v>
      </c>
      <c r="H3856" s="6" t="n">
        <v>2.82</v>
      </c>
      <c r="I3856" s="6" t="n">
        <v>0</v>
      </c>
      <c r="J3856" s="40" t="n">
        <f aca="false">H3856-I3856</f>
        <v>2.82</v>
      </c>
      <c r="K3856" s="41" t="n">
        <v>26.5</v>
      </c>
      <c r="L3856" s="42" t="n">
        <f aca="false">J3856*K3856</f>
        <v>74.73</v>
      </c>
      <c r="M3856" s="43" t="n">
        <f aca="false">H3856*15.85*(1+'Chart of Accounts'!$E$67)</f>
        <v>51.178065</v>
      </c>
    </row>
    <row r="3857" customFormat="false" ht="15" hidden="false" customHeight="false" outlineLevel="0" collapsed="false">
      <c r="B3857" s="7" t="s">
        <v>4354</v>
      </c>
      <c r="C3857" s="39" t="n">
        <v>45848</v>
      </c>
      <c r="D3857" s="7" t="s">
        <v>329</v>
      </c>
      <c r="E3857" s="7" t="s">
        <v>156</v>
      </c>
      <c r="F3857" s="7" t="s">
        <v>220</v>
      </c>
      <c r="G3857" s="7" t="s">
        <v>505</v>
      </c>
      <c r="H3857" s="6" t="n">
        <v>3.9</v>
      </c>
      <c r="I3857" s="6" t="n">
        <v>0</v>
      </c>
      <c r="J3857" s="40" t="n">
        <f aca="false">H3857-I3857</f>
        <v>3.9</v>
      </c>
      <c r="K3857" s="41" t="n">
        <v>34</v>
      </c>
      <c r="L3857" s="42" t="n">
        <f aca="false">J3857*K3857</f>
        <v>132.6</v>
      </c>
      <c r="M3857" s="43" t="n">
        <f aca="false">H3857*16.43*(1+'Chart of Accounts'!$E$67)</f>
        <v>73.368165</v>
      </c>
    </row>
    <row r="3858" customFormat="false" ht="15" hidden="false" customHeight="false" outlineLevel="0" collapsed="false">
      <c r="B3858" s="7" t="s">
        <v>4355</v>
      </c>
      <c r="C3858" s="39" t="n">
        <v>45848</v>
      </c>
      <c r="D3858" s="7" t="s">
        <v>331</v>
      </c>
      <c r="E3858" s="7" t="s">
        <v>156</v>
      </c>
      <c r="F3858" s="7" t="s">
        <v>224</v>
      </c>
      <c r="G3858" s="7" t="s">
        <v>505</v>
      </c>
      <c r="H3858" s="6" t="n">
        <v>3.86</v>
      </c>
      <c r="I3858" s="6" t="n">
        <v>0</v>
      </c>
      <c r="J3858" s="40" t="n">
        <f aca="false">H3858-I3858</f>
        <v>3.86</v>
      </c>
      <c r="K3858" s="41" t="n">
        <v>34</v>
      </c>
      <c r="L3858" s="42" t="n">
        <f aca="false">J3858*K3858</f>
        <v>131.24</v>
      </c>
      <c r="M3858" s="43" t="n">
        <f aca="false">H3858*14.93*(1+'Chart of Accounts'!$E$67)</f>
        <v>65.986121</v>
      </c>
    </row>
    <row r="3859" customFormat="false" ht="15" hidden="false" customHeight="false" outlineLevel="0" collapsed="false">
      <c r="B3859" s="7" t="s">
        <v>4356</v>
      </c>
      <c r="C3859" s="39" t="n">
        <v>45848</v>
      </c>
      <c r="D3859" s="7" t="s">
        <v>337</v>
      </c>
      <c r="E3859" s="7" t="s">
        <v>154</v>
      </c>
      <c r="F3859" s="7" t="s">
        <v>232</v>
      </c>
      <c r="G3859" s="7" t="s">
        <v>505</v>
      </c>
      <c r="H3859" s="6" t="n">
        <v>3</v>
      </c>
      <c r="I3859" s="6" t="n">
        <v>0</v>
      </c>
      <c r="J3859" s="40" t="n">
        <f aca="false">H3859-I3859</f>
        <v>3</v>
      </c>
      <c r="K3859" s="41" t="n">
        <v>26.5</v>
      </c>
      <c r="L3859" s="42" t="n">
        <f aca="false">J3859*K3859</f>
        <v>79.5</v>
      </c>
      <c r="M3859" s="43" t="n">
        <f aca="false">H3859*16.17*(1+'Chart of Accounts'!$E$67)</f>
        <v>55.54395</v>
      </c>
    </row>
    <row r="3860" customFormat="false" ht="15" hidden="false" customHeight="false" outlineLevel="0" collapsed="false">
      <c r="B3860" s="7" t="s">
        <v>4357</v>
      </c>
      <c r="C3860" s="39" t="n">
        <v>45848</v>
      </c>
      <c r="D3860" s="7" t="s">
        <v>341</v>
      </c>
      <c r="E3860" s="7" t="s">
        <v>156</v>
      </c>
      <c r="F3860" s="7" t="s">
        <v>222</v>
      </c>
      <c r="G3860" s="7" t="s">
        <v>505</v>
      </c>
      <c r="H3860" s="6" t="n">
        <v>3.11</v>
      </c>
      <c r="I3860" s="6" t="n">
        <v>0</v>
      </c>
      <c r="J3860" s="40" t="n">
        <f aca="false">H3860-I3860</f>
        <v>3.11</v>
      </c>
      <c r="K3860" s="41" t="n">
        <v>34</v>
      </c>
      <c r="L3860" s="42" t="n">
        <f aca="false">J3860*K3860</f>
        <v>105.74</v>
      </c>
      <c r="M3860" s="43" t="n">
        <f aca="false">H3860*17.84*(1+'Chart of Accounts'!$E$67)</f>
        <v>63.527348</v>
      </c>
    </row>
    <row r="3861" customFormat="false" ht="15" hidden="false" customHeight="false" outlineLevel="0" collapsed="false">
      <c r="B3861" s="7" t="s">
        <v>4358</v>
      </c>
      <c r="C3861" s="39" t="n">
        <v>45848</v>
      </c>
      <c r="D3861" s="7" t="s">
        <v>343</v>
      </c>
      <c r="E3861" s="7" t="s">
        <v>154</v>
      </c>
      <c r="F3861" s="7" t="s">
        <v>254</v>
      </c>
      <c r="G3861" s="7" t="s">
        <v>505</v>
      </c>
      <c r="H3861" s="6" t="n">
        <v>3.75</v>
      </c>
      <c r="I3861" s="6" t="n">
        <v>0</v>
      </c>
      <c r="J3861" s="40" t="n">
        <f aca="false">H3861-I3861</f>
        <v>3.75</v>
      </c>
      <c r="K3861" s="41" t="n">
        <v>26.5</v>
      </c>
      <c r="L3861" s="42" t="n">
        <f aca="false">J3861*K3861</f>
        <v>99.375</v>
      </c>
      <c r="M3861" s="43" t="n">
        <f aca="false">H3861*17.1*(1+'Chart of Accounts'!$E$67)</f>
        <v>73.423125</v>
      </c>
    </row>
    <row r="3862" customFormat="false" ht="15" hidden="false" customHeight="false" outlineLevel="0" collapsed="false">
      <c r="B3862" s="7" t="s">
        <v>4359</v>
      </c>
      <c r="C3862" s="39" t="n">
        <v>45848</v>
      </c>
      <c r="D3862" s="7" t="s">
        <v>351</v>
      </c>
      <c r="E3862" s="7" t="s">
        <v>154</v>
      </c>
      <c r="F3862" s="7" t="s">
        <v>201</v>
      </c>
      <c r="G3862" s="7" t="s">
        <v>505</v>
      </c>
      <c r="H3862" s="6" t="n">
        <v>2.89</v>
      </c>
      <c r="I3862" s="6" t="n">
        <v>0.087</v>
      </c>
      <c r="J3862" s="40" t="n">
        <f aca="false">H3862-I3862</f>
        <v>2.803</v>
      </c>
      <c r="K3862" s="41" t="n">
        <v>26.5</v>
      </c>
      <c r="L3862" s="42" t="n">
        <f aca="false">J3862*K3862</f>
        <v>74.2795</v>
      </c>
      <c r="M3862" s="43" t="n">
        <f aca="false">H3862*15.19*(1+'Chart of Accounts'!$E$67)</f>
        <v>50.2644695</v>
      </c>
    </row>
    <row r="3863" customFormat="false" ht="15" hidden="false" customHeight="false" outlineLevel="0" collapsed="false">
      <c r="B3863" s="7" t="s">
        <v>4360</v>
      </c>
      <c r="C3863" s="39" t="n">
        <v>45848</v>
      </c>
      <c r="D3863" s="7" t="s">
        <v>359</v>
      </c>
      <c r="E3863" s="7" t="s">
        <v>156</v>
      </c>
      <c r="F3863" s="7" t="s">
        <v>224</v>
      </c>
      <c r="G3863" s="7" t="s">
        <v>505</v>
      </c>
      <c r="H3863" s="6" t="n">
        <v>4.37</v>
      </c>
      <c r="I3863" s="6" t="n">
        <v>0</v>
      </c>
      <c r="J3863" s="40" t="n">
        <f aca="false">H3863-I3863</f>
        <v>4.37</v>
      </c>
      <c r="K3863" s="41" t="n">
        <v>34</v>
      </c>
      <c r="L3863" s="42" t="n">
        <f aca="false">J3863*K3863</f>
        <v>148.58</v>
      </c>
      <c r="M3863" s="43" t="n">
        <f aca="false">H3863*14.93*(1+'Chart of Accounts'!$E$67)</f>
        <v>74.7044945</v>
      </c>
    </row>
    <row r="3864" customFormat="false" ht="15" hidden="false" customHeight="false" outlineLevel="0" collapsed="false">
      <c r="B3864" s="7" t="s">
        <v>4361</v>
      </c>
      <c r="C3864" s="39" t="n">
        <v>45848</v>
      </c>
      <c r="D3864" s="7" t="s">
        <v>363</v>
      </c>
      <c r="E3864" s="7" t="s">
        <v>156</v>
      </c>
      <c r="F3864" s="7" t="s">
        <v>246</v>
      </c>
      <c r="G3864" s="7" t="s">
        <v>505</v>
      </c>
      <c r="H3864" s="6" t="n">
        <v>3.64</v>
      </c>
      <c r="I3864" s="6" t="n">
        <v>0</v>
      </c>
      <c r="J3864" s="40" t="n">
        <f aca="false">H3864-I3864</f>
        <v>3.64</v>
      </c>
      <c r="K3864" s="41" t="n">
        <v>34</v>
      </c>
      <c r="L3864" s="42" t="n">
        <f aca="false">J3864*K3864</f>
        <v>123.76</v>
      </c>
      <c r="M3864" s="43" t="n">
        <f aca="false">H3864*16.48*(1+'Chart of Accounts'!$E$67)</f>
        <v>68.685344</v>
      </c>
    </row>
    <row r="3865" customFormat="false" ht="15" hidden="false" customHeight="false" outlineLevel="0" collapsed="false">
      <c r="B3865" s="7" t="s">
        <v>4362</v>
      </c>
      <c r="C3865" s="39" t="n">
        <v>45848</v>
      </c>
      <c r="D3865" s="7" t="s">
        <v>365</v>
      </c>
      <c r="E3865" s="7" t="s">
        <v>154</v>
      </c>
      <c r="F3865" s="7" t="s">
        <v>194</v>
      </c>
      <c r="G3865" s="7" t="s">
        <v>505</v>
      </c>
      <c r="H3865" s="6" t="n">
        <v>4.19</v>
      </c>
      <c r="I3865" s="6" t="n">
        <v>0</v>
      </c>
      <c r="J3865" s="40" t="n">
        <f aca="false">H3865-I3865</f>
        <v>4.19</v>
      </c>
      <c r="K3865" s="41" t="n">
        <v>26.5</v>
      </c>
      <c r="L3865" s="42" t="n">
        <f aca="false">J3865*K3865</f>
        <v>111.035</v>
      </c>
      <c r="M3865" s="43" t="n">
        <f aca="false">H3865*16*(1+'Chart of Accounts'!$E$67)</f>
        <v>76.7608</v>
      </c>
    </row>
    <row r="3866" customFormat="false" ht="15" hidden="false" customHeight="false" outlineLevel="0" collapsed="false">
      <c r="B3866" s="7" t="s">
        <v>4363</v>
      </c>
      <c r="C3866" s="39" t="n">
        <v>45848</v>
      </c>
      <c r="D3866" s="7" t="s">
        <v>375</v>
      </c>
      <c r="E3866" s="7" t="s">
        <v>156</v>
      </c>
      <c r="F3866" s="7" t="s">
        <v>196</v>
      </c>
      <c r="G3866" s="7" t="s">
        <v>505</v>
      </c>
      <c r="H3866" s="6" t="n">
        <v>2.92</v>
      </c>
      <c r="I3866" s="6" t="n">
        <v>0</v>
      </c>
      <c r="J3866" s="40" t="n">
        <f aca="false">H3866-I3866</f>
        <v>2.92</v>
      </c>
      <c r="K3866" s="41" t="n">
        <v>34</v>
      </c>
      <c r="L3866" s="42" t="n">
        <f aca="false">J3866*K3866</f>
        <v>99.28</v>
      </c>
      <c r="M3866" s="43" t="n">
        <f aca="false">H3866*15.05*(1+'Chart of Accounts'!$E$67)</f>
        <v>50.31817</v>
      </c>
    </row>
    <row r="3867" customFormat="false" ht="15" hidden="false" customHeight="false" outlineLevel="0" collapsed="false">
      <c r="B3867" s="7" t="s">
        <v>4364</v>
      </c>
      <c r="C3867" s="39" t="n">
        <v>45848</v>
      </c>
      <c r="D3867" s="7" t="s">
        <v>377</v>
      </c>
      <c r="E3867" s="7" t="s">
        <v>154</v>
      </c>
      <c r="F3867" s="7" t="s">
        <v>214</v>
      </c>
      <c r="G3867" s="7" t="s">
        <v>505</v>
      </c>
      <c r="H3867" s="6" t="n">
        <v>3.68</v>
      </c>
      <c r="I3867" s="6" t="n">
        <v>0</v>
      </c>
      <c r="J3867" s="40" t="n">
        <f aca="false">H3867-I3867</f>
        <v>3.68</v>
      </c>
      <c r="K3867" s="41" t="n">
        <v>26.5</v>
      </c>
      <c r="L3867" s="42" t="n">
        <f aca="false">J3867*K3867</f>
        <v>97.52</v>
      </c>
      <c r="M3867" s="43" t="n">
        <f aca="false">H3867*15.67*(1+'Chart of Accounts'!$E$67)</f>
        <v>66.027112</v>
      </c>
    </row>
    <row r="3868" customFormat="false" ht="15" hidden="false" customHeight="false" outlineLevel="0" collapsed="false">
      <c r="B3868" s="7" t="s">
        <v>4365</v>
      </c>
      <c r="C3868" s="39" t="n">
        <v>45848</v>
      </c>
      <c r="D3868" s="7" t="s">
        <v>389</v>
      </c>
      <c r="E3868" s="7" t="s">
        <v>154</v>
      </c>
      <c r="F3868" s="7" t="s">
        <v>246</v>
      </c>
      <c r="G3868" s="7" t="s">
        <v>505</v>
      </c>
      <c r="H3868" s="6" t="n">
        <v>4.17</v>
      </c>
      <c r="I3868" s="6" t="n">
        <v>0</v>
      </c>
      <c r="J3868" s="40" t="n">
        <f aca="false">H3868-I3868</f>
        <v>4.17</v>
      </c>
      <c r="K3868" s="41" t="n">
        <v>26.5</v>
      </c>
      <c r="L3868" s="42" t="n">
        <f aca="false">J3868*K3868</f>
        <v>110.505</v>
      </c>
      <c r="M3868" s="43" t="n">
        <f aca="false">H3868*16.48*(1+'Chart of Accounts'!$E$67)</f>
        <v>78.686232</v>
      </c>
    </row>
    <row r="3869" customFormat="false" ht="15" hidden="false" customHeight="false" outlineLevel="0" collapsed="false">
      <c r="B3869" s="7" t="s">
        <v>4366</v>
      </c>
      <c r="C3869" s="39" t="n">
        <v>45848</v>
      </c>
      <c r="D3869" s="7" t="s">
        <v>391</v>
      </c>
      <c r="E3869" s="7" t="s">
        <v>156</v>
      </c>
      <c r="F3869" s="7" t="s">
        <v>222</v>
      </c>
      <c r="G3869" s="7" t="s">
        <v>505</v>
      </c>
      <c r="H3869" s="6" t="n">
        <v>3.77</v>
      </c>
      <c r="I3869" s="6" t="n">
        <v>0</v>
      </c>
      <c r="J3869" s="40" t="n">
        <f aca="false">H3869-I3869</f>
        <v>3.77</v>
      </c>
      <c r="K3869" s="41" t="n">
        <v>34</v>
      </c>
      <c r="L3869" s="42" t="n">
        <f aca="false">J3869*K3869</f>
        <v>128.18</v>
      </c>
      <c r="M3869" s="43" t="n">
        <f aca="false">H3869*17.84*(1+'Chart of Accounts'!$E$67)</f>
        <v>77.009036</v>
      </c>
    </row>
    <row r="3870" customFormat="false" ht="15" hidden="false" customHeight="false" outlineLevel="0" collapsed="false">
      <c r="B3870" s="7" t="s">
        <v>4367</v>
      </c>
      <c r="C3870" s="39" t="n">
        <v>45848</v>
      </c>
      <c r="D3870" s="7" t="s">
        <v>395</v>
      </c>
      <c r="E3870" s="7" t="s">
        <v>156</v>
      </c>
      <c r="F3870" s="7" t="s">
        <v>242</v>
      </c>
      <c r="G3870" s="7" t="s">
        <v>505</v>
      </c>
      <c r="H3870" s="6" t="n">
        <v>4.34</v>
      </c>
      <c r="I3870" s="6" t="n">
        <v>0</v>
      </c>
      <c r="J3870" s="40" t="n">
        <f aca="false">H3870-I3870</f>
        <v>4.34</v>
      </c>
      <c r="K3870" s="41" t="n">
        <v>34</v>
      </c>
      <c r="L3870" s="42" t="n">
        <f aca="false">J3870*K3870</f>
        <v>147.56</v>
      </c>
      <c r="M3870" s="43" t="n">
        <f aca="false">H3870*17.99*(1+'Chart of Accounts'!$E$67)</f>
        <v>89.397707</v>
      </c>
    </row>
    <row r="3871" customFormat="false" ht="15" hidden="false" customHeight="false" outlineLevel="0" collapsed="false">
      <c r="B3871" s="7" t="s">
        <v>4368</v>
      </c>
      <c r="C3871" s="39" t="n">
        <v>45849</v>
      </c>
      <c r="D3871" s="7" t="s">
        <v>280</v>
      </c>
      <c r="E3871" s="7" t="s">
        <v>157</v>
      </c>
      <c r="F3871" s="7" t="s">
        <v>187</v>
      </c>
      <c r="G3871" s="7" t="s">
        <v>502</v>
      </c>
      <c r="H3871" s="6" t="n">
        <v>1.03</v>
      </c>
      <c r="I3871" s="6" t="n">
        <v>0</v>
      </c>
      <c r="J3871" s="40" t="n">
        <f aca="false">H3871-I3871</f>
        <v>1.03</v>
      </c>
      <c r="K3871" s="41" t="n">
        <v>165</v>
      </c>
      <c r="L3871" s="42" t="n">
        <f aca="false">J3871*K3871</f>
        <v>169.95</v>
      </c>
      <c r="M3871" s="43" t="n">
        <f aca="false">H3871*66.48*(1+'Chart of Accounts'!$E$67)</f>
        <v>78.403188</v>
      </c>
    </row>
    <row r="3872" customFormat="false" ht="15" hidden="false" customHeight="false" outlineLevel="0" collapsed="false">
      <c r="B3872" s="7" t="s">
        <v>4369</v>
      </c>
      <c r="C3872" s="39" t="n">
        <v>45849</v>
      </c>
      <c r="D3872" s="7" t="s">
        <v>288</v>
      </c>
      <c r="E3872" s="7" t="s">
        <v>156</v>
      </c>
      <c r="F3872" s="7" t="s">
        <v>214</v>
      </c>
      <c r="G3872" s="7" t="s">
        <v>505</v>
      </c>
      <c r="H3872" s="6" t="n">
        <v>3.74</v>
      </c>
      <c r="I3872" s="6" t="n">
        <v>0</v>
      </c>
      <c r="J3872" s="40" t="n">
        <f aca="false">H3872-I3872</f>
        <v>3.74</v>
      </c>
      <c r="K3872" s="41" t="n">
        <v>34</v>
      </c>
      <c r="L3872" s="42" t="n">
        <f aca="false">J3872*K3872</f>
        <v>127.16</v>
      </c>
      <c r="M3872" s="43" t="n">
        <f aca="false">H3872*15.67*(1+'Chart of Accounts'!$E$67)</f>
        <v>67.103641</v>
      </c>
    </row>
    <row r="3873" customFormat="false" ht="15" hidden="false" customHeight="false" outlineLevel="0" collapsed="false">
      <c r="B3873" s="7" t="s">
        <v>4370</v>
      </c>
      <c r="C3873" s="39" t="n">
        <v>45849</v>
      </c>
      <c r="D3873" s="7" t="s">
        <v>291</v>
      </c>
      <c r="E3873" s="7" t="s">
        <v>154</v>
      </c>
      <c r="F3873" s="7" t="s">
        <v>194</v>
      </c>
      <c r="G3873" s="7" t="s">
        <v>505</v>
      </c>
      <c r="H3873" s="6" t="n">
        <v>4.98</v>
      </c>
      <c r="I3873" s="6" t="n">
        <v>0.149</v>
      </c>
      <c r="J3873" s="40" t="n">
        <f aca="false">H3873-I3873</f>
        <v>4.831</v>
      </c>
      <c r="K3873" s="41" t="n">
        <v>26.5</v>
      </c>
      <c r="L3873" s="42" t="n">
        <f aca="false">J3873*K3873</f>
        <v>128.0215</v>
      </c>
      <c r="M3873" s="43" t="n">
        <f aca="false">H3873*16*(1+'Chart of Accounts'!$E$67)</f>
        <v>91.2336</v>
      </c>
    </row>
    <row r="3874" customFormat="false" ht="15" hidden="false" customHeight="false" outlineLevel="0" collapsed="false">
      <c r="B3874" s="7" t="s">
        <v>4371</v>
      </c>
      <c r="C3874" s="39" t="n">
        <v>45849</v>
      </c>
      <c r="D3874" s="7" t="s">
        <v>301</v>
      </c>
      <c r="E3874" s="7" t="s">
        <v>157</v>
      </c>
      <c r="F3874" s="7" t="s">
        <v>209</v>
      </c>
      <c r="G3874" s="7" t="s">
        <v>502</v>
      </c>
      <c r="H3874" s="6" t="n">
        <v>0.95</v>
      </c>
      <c r="I3874" s="6" t="n">
        <v>0</v>
      </c>
      <c r="J3874" s="40" t="n">
        <f aca="false">H3874-I3874</f>
        <v>0.95</v>
      </c>
      <c r="K3874" s="41" t="n">
        <v>165</v>
      </c>
      <c r="L3874" s="42" t="n">
        <f aca="false">J3874*K3874</f>
        <v>156.75</v>
      </c>
      <c r="M3874" s="43" t="n">
        <f aca="false">H3874*73.58*(1+'Chart of Accounts'!$E$67)</f>
        <v>80.036645</v>
      </c>
    </row>
    <row r="3875" customFormat="false" ht="15" hidden="false" customHeight="false" outlineLevel="0" collapsed="false">
      <c r="B3875" s="7" t="s">
        <v>4372</v>
      </c>
      <c r="C3875" s="39" t="n">
        <v>45849</v>
      </c>
      <c r="D3875" s="7" t="s">
        <v>305</v>
      </c>
      <c r="E3875" s="7" t="s">
        <v>154</v>
      </c>
      <c r="F3875" s="7" t="s">
        <v>205</v>
      </c>
      <c r="G3875" s="7" t="s">
        <v>505</v>
      </c>
      <c r="H3875" s="6" t="n">
        <v>3.94</v>
      </c>
      <c r="I3875" s="6" t="n">
        <v>0</v>
      </c>
      <c r="J3875" s="40" t="n">
        <f aca="false">H3875-I3875</f>
        <v>3.94</v>
      </c>
      <c r="K3875" s="41" t="n">
        <v>26.5</v>
      </c>
      <c r="L3875" s="42" t="n">
        <f aca="false">J3875*K3875</f>
        <v>104.41</v>
      </c>
      <c r="M3875" s="43" t="n">
        <f aca="false">H3875*16.36*(1+'Chart of Accounts'!$E$67)</f>
        <v>73.804868</v>
      </c>
    </row>
    <row r="3876" customFormat="false" ht="15" hidden="false" customHeight="false" outlineLevel="0" collapsed="false">
      <c r="B3876" s="7" t="s">
        <v>4373</v>
      </c>
      <c r="C3876" s="39" t="n">
        <v>45849</v>
      </c>
      <c r="D3876" s="7" t="s">
        <v>307</v>
      </c>
      <c r="E3876" s="7" t="s">
        <v>157</v>
      </c>
      <c r="F3876" s="7" t="s">
        <v>264</v>
      </c>
      <c r="G3876" s="7" t="s">
        <v>502</v>
      </c>
      <c r="H3876" s="6" t="n">
        <v>1.03</v>
      </c>
      <c r="I3876" s="6" t="n">
        <v>0</v>
      </c>
      <c r="J3876" s="40" t="n">
        <f aca="false">H3876-I3876</f>
        <v>1.03</v>
      </c>
      <c r="K3876" s="41" t="n">
        <v>165</v>
      </c>
      <c r="L3876" s="42" t="n">
        <f aca="false">J3876*K3876</f>
        <v>169.95</v>
      </c>
      <c r="M3876" s="43" t="n">
        <f aca="false">H3876*55.55*(1+'Chart of Accounts'!$E$67)</f>
        <v>65.5128925</v>
      </c>
    </row>
    <row r="3877" customFormat="false" ht="15" hidden="false" customHeight="false" outlineLevel="0" collapsed="false">
      <c r="B3877" s="7" t="s">
        <v>4374</v>
      </c>
      <c r="C3877" s="39" t="n">
        <v>45849</v>
      </c>
      <c r="D3877" s="7" t="s">
        <v>309</v>
      </c>
      <c r="E3877" s="7" t="s">
        <v>159</v>
      </c>
      <c r="F3877" s="7" t="s">
        <v>252</v>
      </c>
      <c r="G3877" s="7" t="s">
        <v>502</v>
      </c>
      <c r="H3877" s="6" t="n">
        <v>1.05</v>
      </c>
      <c r="I3877" s="6" t="n">
        <v>0</v>
      </c>
      <c r="J3877" s="40" t="n">
        <f aca="false">H3877-I3877</f>
        <v>1.05</v>
      </c>
      <c r="K3877" s="41" t="n">
        <v>135</v>
      </c>
      <c r="L3877" s="42" t="n">
        <f aca="false">J3877*K3877</f>
        <v>141.75</v>
      </c>
      <c r="M3877" s="43" t="n">
        <f aca="false">H3877*57.54*(1+'Chart of Accounts'!$E$67)</f>
        <v>69.177465</v>
      </c>
    </row>
    <row r="3878" customFormat="false" ht="15" hidden="false" customHeight="false" outlineLevel="0" collapsed="false">
      <c r="B3878" s="7" t="s">
        <v>4375</v>
      </c>
      <c r="C3878" s="39" t="n">
        <v>45849</v>
      </c>
      <c r="D3878" s="7" t="s">
        <v>313</v>
      </c>
      <c r="E3878" s="7" t="s">
        <v>156</v>
      </c>
      <c r="F3878" s="7" t="s">
        <v>184</v>
      </c>
      <c r="G3878" s="7" t="s">
        <v>505</v>
      </c>
      <c r="H3878" s="6" t="n">
        <v>3.93</v>
      </c>
      <c r="I3878" s="6" t="n">
        <v>0</v>
      </c>
      <c r="J3878" s="40" t="n">
        <f aca="false">H3878-I3878</f>
        <v>3.93</v>
      </c>
      <c r="K3878" s="41" t="n">
        <v>34</v>
      </c>
      <c r="L3878" s="42" t="n">
        <f aca="false">J3878*K3878</f>
        <v>133.62</v>
      </c>
      <c r="M3878" s="43" t="n">
        <f aca="false">H3878*17.34*(1+'Chart of Accounts'!$E$67)</f>
        <v>78.027399</v>
      </c>
    </row>
    <row r="3879" customFormat="false" ht="15" hidden="false" customHeight="false" outlineLevel="0" collapsed="false">
      <c r="B3879" s="7" t="s">
        <v>4376</v>
      </c>
      <c r="C3879" s="39" t="n">
        <v>45849</v>
      </c>
      <c r="D3879" s="7" t="s">
        <v>319</v>
      </c>
      <c r="E3879" s="7" t="s">
        <v>157</v>
      </c>
      <c r="F3879" s="7" t="s">
        <v>234</v>
      </c>
      <c r="G3879" s="7" t="s">
        <v>502</v>
      </c>
      <c r="H3879" s="6" t="n">
        <v>1.08</v>
      </c>
      <c r="I3879" s="6" t="n">
        <v>0</v>
      </c>
      <c r="J3879" s="40" t="n">
        <f aca="false">H3879-I3879</f>
        <v>1.08</v>
      </c>
      <c r="K3879" s="41" t="n">
        <v>165</v>
      </c>
      <c r="L3879" s="42" t="n">
        <f aca="false">J3879*K3879</f>
        <v>178.2</v>
      </c>
      <c r="M3879" s="43" t="n">
        <f aca="false">H3879*89.53*(1+'Chart of Accounts'!$E$67)</f>
        <v>110.712798</v>
      </c>
    </row>
    <row r="3880" customFormat="false" ht="15" hidden="false" customHeight="false" outlineLevel="0" collapsed="false">
      <c r="B3880" s="7" t="s">
        <v>4377</v>
      </c>
      <c r="C3880" s="39" t="n">
        <v>45849</v>
      </c>
      <c r="D3880" s="7" t="s">
        <v>321</v>
      </c>
      <c r="E3880" s="7" t="s">
        <v>154</v>
      </c>
      <c r="F3880" s="7" t="s">
        <v>218</v>
      </c>
      <c r="G3880" s="7" t="s">
        <v>505</v>
      </c>
      <c r="H3880" s="6" t="n">
        <v>4.08</v>
      </c>
      <c r="I3880" s="6" t="n">
        <v>0</v>
      </c>
      <c r="J3880" s="40" t="n">
        <f aca="false">H3880-I3880</f>
        <v>4.08</v>
      </c>
      <c r="K3880" s="41" t="n">
        <v>26.5</v>
      </c>
      <c r="L3880" s="42" t="n">
        <f aca="false">J3880*K3880</f>
        <v>108.12</v>
      </c>
      <c r="M3880" s="43" t="n">
        <f aca="false">H3880*16.19*(1+'Chart of Accounts'!$E$67)</f>
        <v>75.633204</v>
      </c>
    </row>
    <row r="3881" customFormat="false" ht="15" hidden="false" customHeight="false" outlineLevel="0" collapsed="false">
      <c r="B3881" s="7" t="s">
        <v>4378</v>
      </c>
      <c r="C3881" s="39" t="n">
        <v>45849</v>
      </c>
      <c r="D3881" s="7" t="s">
        <v>323</v>
      </c>
      <c r="E3881" s="7" t="s">
        <v>159</v>
      </c>
      <c r="F3881" s="7" t="s">
        <v>266</v>
      </c>
      <c r="G3881" s="7" t="s">
        <v>502</v>
      </c>
      <c r="H3881" s="6" t="n">
        <v>1.04</v>
      </c>
      <c r="I3881" s="6" t="n">
        <v>0</v>
      </c>
      <c r="J3881" s="40" t="n">
        <f aca="false">H3881-I3881</f>
        <v>1.04</v>
      </c>
      <c r="K3881" s="41" t="n">
        <v>135</v>
      </c>
      <c r="L3881" s="42" t="n">
        <f aca="false">J3881*K3881</f>
        <v>140.4</v>
      </c>
      <c r="M3881" s="43" t="n">
        <f aca="false">H3881*75.18*(1+'Chart of Accounts'!$E$67)</f>
        <v>89.524344</v>
      </c>
    </row>
    <row r="3882" customFormat="false" ht="15" hidden="false" customHeight="false" outlineLevel="0" collapsed="false">
      <c r="B3882" s="7" t="s">
        <v>4379</v>
      </c>
      <c r="C3882" s="39" t="n">
        <v>45849</v>
      </c>
      <c r="D3882" s="7" t="s">
        <v>327</v>
      </c>
      <c r="E3882" s="7" t="s">
        <v>157</v>
      </c>
      <c r="F3882" s="7" t="s">
        <v>228</v>
      </c>
      <c r="G3882" s="7" t="s">
        <v>502</v>
      </c>
      <c r="H3882" s="6" t="n">
        <v>0.94</v>
      </c>
      <c r="I3882" s="6" t="n">
        <v>0.047</v>
      </c>
      <c r="J3882" s="40" t="n">
        <f aca="false">H3882-I3882</f>
        <v>0.893</v>
      </c>
      <c r="K3882" s="41" t="n">
        <v>165</v>
      </c>
      <c r="L3882" s="42" t="n">
        <f aca="false">J3882*K3882</f>
        <v>147.345</v>
      </c>
      <c r="M3882" s="43" t="n">
        <f aca="false">H3882*51.07*(1+'Chart of Accounts'!$E$67)</f>
        <v>54.966641</v>
      </c>
    </row>
    <row r="3883" customFormat="false" ht="15" hidden="false" customHeight="false" outlineLevel="0" collapsed="false">
      <c r="B3883" s="7" t="s">
        <v>4380</v>
      </c>
      <c r="C3883" s="39" t="n">
        <v>45849</v>
      </c>
      <c r="D3883" s="7" t="s">
        <v>329</v>
      </c>
      <c r="E3883" s="7" t="s">
        <v>156</v>
      </c>
      <c r="F3883" s="7" t="s">
        <v>220</v>
      </c>
      <c r="G3883" s="7" t="s">
        <v>505</v>
      </c>
      <c r="H3883" s="6" t="n">
        <v>4.32</v>
      </c>
      <c r="I3883" s="6" t="n">
        <v>0</v>
      </c>
      <c r="J3883" s="40" t="n">
        <f aca="false">H3883-I3883</f>
        <v>4.32</v>
      </c>
      <c r="K3883" s="41" t="n">
        <v>34</v>
      </c>
      <c r="L3883" s="42" t="n">
        <f aca="false">J3883*K3883</f>
        <v>146.88</v>
      </c>
      <c r="M3883" s="43" t="n">
        <f aca="false">H3883*16.43*(1+'Chart of Accounts'!$E$67)</f>
        <v>81.269352</v>
      </c>
    </row>
    <row r="3884" customFormat="false" ht="15" hidden="false" customHeight="false" outlineLevel="0" collapsed="false">
      <c r="B3884" s="7" t="s">
        <v>4381</v>
      </c>
      <c r="C3884" s="39" t="n">
        <v>45849</v>
      </c>
      <c r="D3884" s="7" t="s">
        <v>335</v>
      </c>
      <c r="E3884" s="7" t="s">
        <v>154</v>
      </c>
      <c r="F3884" s="7" t="s">
        <v>177</v>
      </c>
      <c r="G3884" s="7" t="s">
        <v>505</v>
      </c>
      <c r="H3884" s="6" t="n">
        <v>3.86</v>
      </c>
      <c r="I3884" s="6" t="n">
        <v>0</v>
      </c>
      <c r="J3884" s="40" t="n">
        <f aca="false">H3884-I3884</f>
        <v>3.86</v>
      </c>
      <c r="K3884" s="41" t="n">
        <v>26.5</v>
      </c>
      <c r="L3884" s="42" t="n">
        <f aca="false">J3884*K3884</f>
        <v>102.29</v>
      </c>
      <c r="M3884" s="43" t="n">
        <f aca="false">H3884*14.56*(1+'Chart of Accounts'!$E$67)</f>
        <v>64.350832</v>
      </c>
    </row>
    <row r="3885" customFormat="false" ht="15" hidden="false" customHeight="false" outlineLevel="0" collapsed="false">
      <c r="B3885" s="7" t="s">
        <v>4382</v>
      </c>
      <c r="C3885" s="39" t="n">
        <v>45849</v>
      </c>
      <c r="D3885" s="7" t="s">
        <v>339</v>
      </c>
      <c r="E3885" s="7" t="s">
        <v>154</v>
      </c>
      <c r="F3885" s="7" t="s">
        <v>242</v>
      </c>
      <c r="G3885" s="7" t="s">
        <v>505</v>
      </c>
      <c r="H3885" s="6" t="n">
        <v>3.45</v>
      </c>
      <c r="I3885" s="6" t="n">
        <v>0</v>
      </c>
      <c r="J3885" s="40" t="n">
        <f aca="false">H3885-I3885</f>
        <v>3.45</v>
      </c>
      <c r="K3885" s="41" t="n">
        <v>26.5</v>
      </c>
      <c r="L3885" s="42" t="n">
        <f aca="false">J3885*K3885</f>
        <v>91.425</v>
      </c>
      <c r="M3885" s="43" t="n">
        <f aca="false">H3885*17.99*(1+'Chart of Accounts'!$E$67)</f>
        <v>71.0649975</v>
      </c>
    </row>
    <row r="3886" customFormat="false" ht="15" hidden="false" customHeight="false" outlineLevel="0" collapsed="false">
      <c r="B3886" s="7" t="s">
        <v>4383</v>
      </c>
      <c r="C3886" s="39" t="n">
        <v>45849</v>
      </c>
      <c r="D3886" s="7" t="s">
        <v>347</v>
      </c>
      <c r="E3886" s="7" t="s">
        <v>154</v>
      </c>
      <c r="F3886" s="7" t="s">
        <v>238</v>
      </c>
      <c r="G3886" s="7" t="s">
        <v>505</v>
      </c>
      <c r="H3886" s="6" t="n">
        <v>4.7</v>
      </c>
      <c r="I3886" s="6" t="n">
        <v>0</v>
      </c>
      <c r="J3886" s="40" t="n">
        <f aca="false">H3886-I3886</f>
        <v>4.7</v>
      </c>
      <c r="K3886" s="41" t="n">
        <v>26.5</v>
      </c>
      <c r="L3886" s="42" t="n">
        <f aca="false">J3886*K3886</f>
        <v>124.55</v>
      </c>
      <c r="M3886" s="43" t="n">
        <f aca="false">H3886*15.85*(1+'Chart of Accounts'!$E$67)</f>
        <v>85.296775</v>
      </c>
    </row>
    <row r="3887" customFormat="false" ht="15" hidden="false" customHeight="false" outlineLevel="0" collapsed="false">
      <c r="B3887" s="7" t="s">
        <v>4384</v>
      </c>
      <c r="C3887" s="39" t="n">
        <v>45849</v>
      </c>
      <c r="D3887" s="7" t="s">
        <v>353</v>
      </c>
      <c r="E3887" s="7" t="s">
        <v>154</v>
      </c>
      <c r="F3887" s="7" t="s">
        <v>254</v>
      </c>
      <c r="G3887" s="7" t="s">
        <v>505</v>
      </c>
      <c r="H3887" s="6" t="n">
        <v>3.07</v>
      </c>
      <c r="I3887" s="6" t="n">
        <v>0</v>
      </c>
      <c r="J3887" s="40" t="n">
        <f aca="false">H3887-I3887</f>
        <v>3.07</v>
      </c>
      <c r="K3887" s="41" t="n">
        <v>26.5</v>
      </c>
      <c r="L3887" s="42" t="n">
        <f aca="false">J3887*K3887</f>
        <v>81.355</v>
      </c>
      <c r="M3887" s="43" t="n">
        <f aca="false">H3887*17.1*(1+'Chart of Accounts'!$E$67)</f>
        <v>60.109065</v>
      </c>
    </row>
    <row r="3888" customFormat="false" ht="15" hidden="false" customHeight="false" outlineLevel="0" collapsed="false">
      <c r="B3888" s="7" t="s">
        <v>4385</v>
      </c>
      <c r="C3888" s="39" t="n">
        <v>45849</v>
      </c>
      <c r="D3888" s="7" t="s">
        <v>355</v>
      </c>
      <c r="E3888" s="7" t="s">
        <v>154</v>
      </c>
      <c r="F3888" s="7" t="s">
        <v>201</v>
      </c>
      <c r="G3888" s="7" t="s">
        <v>505</v>
      </c>
      <c r="H3888" s="6" t="n">
        <v>3.59</v>
      </c>
      <c r="I3888" s="6" t="n">
        <v>0</v>
      </c>
      <c r="J3888" s="40" t="n">
        <f aca="false">H3888-I3888</f>
        <v>3.59</v>
      </c>
      <c r="K3888" s="41" t="n">
        <v>26.5</v>
      </c>
      <c r="L3888" s="42" t="n">
        <f aca="false">J3888*K3888</f>
        <v>95.135</v>
      </c>
      <c r="M3888" s="43" t="n">
        <f aca="false">H3888*15.19*(1+'Chart of Accounts'!$E$67)</f>
        <v>62.4392545</v>
      </c>
    </row>
    <row r="3889" customFormat="false" ht="15" hidden="false" customHeight="false" outlineLevel="0" collapsed="false">
      <c r="B3889" s="7" t="s">
        <v>4386</v>
      </c>
      <c r="C3889" s="39" t="n">
        <v>45849</v>
      </c>
      <c r="D3889" s="7" t="s">
        <v>357</v>
      </c>
      <c r="E3889" s="7" t="s">
        <v>154</v>
      </c>
      <c r="F3889" s="7" t="s">
        <v>207</v>
      </c>
      <c r="G3889" s="7" t="s">
        <v>505</v>
      </c>
      <c r="H3889" s="6" t="n">
        <v>3.33</v>
      </c>
      <c r="I3889" s="6" t="n">
        <v>0</v>
      </c>
      <c r="J3889" s="40" t="n">
        <f aca="false">H3889-I3889</f>
        <v>3.33</v>
      </c>
      <c r="K3889" s="41" t="n">
        <v>26.5</v>
      </c>
      <c r="L3889" s="42" t="n">
        <f aca="false">J3889*K3889</f>
        <v>88.245</v>
      </c>
      <c r="M3889" s="43" t="n">
        <f aca="false">H3889*16.65*(1+'Chart of Accounts'!$E$67)</f>
        <v>63.4839525</v>
      </c>
    </row>
    <row r="3890" customFormat="false" ht="15" hidden="false" customHeight="false" outlineLevel="0" collapsed="false">
      <c r="B3890" s="7" t="s">
        <v>4387</v>
      </c>
      <c r="C3890" s="39" t="n">
        <v>45849</v>
      </c>
      <c r="D3890" s="7" t="s">
        <v>359</v>
      </c>
      <c r="E3890" s="7" t="s">
        <v>156</v>
      </c>
      <c r="F3890" s="7" t="s">
        <v>214</v>
      </c>
      <c r="G3890" s="7" t="s">
        <v>505</v>
      </c>
      <c r="H3890" s="6" t="n">
        <v>3.98</v>
      </c>
      <c r="I3890" s="6" t="n">
        <v>0</v>
      </c>
      <c r="J3890" s="40" t="n">
        <f aca="false">H3890-I3890</f>
        <v>3.98</v>
      </c>
      <c r="K3890" s="41" t="n">
        <v>34</v>
      </c>
      <c r="L3890" s="42" t="n">
        <f aca="false">J3890*K3890</f>
        <v>135.32</v>
      </c>
      <c r="M3890" s="43" t="n">
        <f aca="false">H3890*15.67*(1+'Chart of Accounts'!$E$67)</f>
        <v>71.409757</v>
      </c>
    </row>
    <row r="3891" customFormat="false" ht="15" hidden="false" customHeight="false" outlineLevel="0" collapsed="false">
      <c r="B3891" s="7" t="s">
        <v>4388</v>
      </c>
      <c r="C3891" s="39" t="n">
        <v>45849</v>
      </c>
      <c r="D3891" s="7" t="s">
        <v>361</v>
      </c>
      <c r="E3891" s="7" t="s">
        <v>157</v>
      </c>
      <c r="F3891" s="7" t="s">
        <v>209</v>
      </c>
      <c r="G3891" s="7" t="s">
        <v>502</v>
      </c>
      <c r="H3891" s="6" t="n">
        <v>0.98</v>
      </c>
      <c r="I3891" s="6" t="n">
        <v>0</v>
      </c>
      <c r="J3891" s="40" t="n">
        <f aca="false">H3891-I3891</f>
        <v>0.98</v>
      </c>
      <c r="K3891" s="41" t="n">
        <v>165</v>
      </c>
      <c r="L3891" s="42" t="n">
        <f aca="false">J3891*K3891</f>
        <v>161.7</v>
      </c>
      <c r="M3891" s="43" t="n">
        <f aca="false">H3891*73.58*(1+'Chart of Accounts'!$E$67)</f>
        <v>82.564118</v>
      </c>
    </row>
    <row r="3892" customFormat="false" ht="15" hidden="false" customHeight="false" outlineLevel="0" collapsed="false">
      <c r="B3892" s="7" t="s">
        <v>4389</v>
      </c>
      <c r="C3892" s="39" t="n">
        <v>45849</v>
      </c>
      <c r="D3892" s="7" t="s">
        <v>365</v>
      </c>
      <c r="E3892" s="7" t="s">
        <v>154</v>
      </c>
      <c r="F3892" s="7" t="s">
        <v>194</v>
      </c>
      <c r="G3892" s="7" t="s">
        <v>505</v>
      </c>
      <c r="H3892" s="6" t="n">
        <v>3.65</v>
      </c>
      <c r="I3892" s="6" t="n">
        <v>0</v>
      </c>
      <c r="J3892" s="40" t="n">
        <f aca="false">H3892-I3892</f>
        <v>3.65</v>
      </c>
      <c r="K3892" s="41" t="n">
        <v>26.5</v>
      </c>
      <c r="L3892" s="42" t="n">
        <f aca="false">J3892*K3892</f>
        <v>96.725</v>
      </c>
      <c r="M3892" s="43" t="n">
        <f aca="false">H3892*16*(1+'Chart of Accounts'!$E$67)</f>
        <v>66.868</v>
      </c>
    </row>
    <row r="3893" customFormat="false" ht="15" hidden="false" customHeight="false" outlineLevel="0" collapsed="false">
      <c r="B3893" s="7" t="s">
        <v>4390</v>
      </c>
      <c r="C3893" s="39" t="n">
        <v>45849</v>
      </c>
      <c r="D3893" s="7" t="s">
        <v>371</v>
      </c>
      <c r="E3893" s="7" t="s">
        <v>154</v>
      </c>
      <c r="F3893" s="7" t="s">
        <v>232</v>
      </c>
      <c r="G3893" s="7" t="s">
        <v>505</v>
      </c>
      <c r="H3893" s="6" t="n">
        <v>4.89</v>
      </c>
      <c r="I3893" s="6" t="n">
        <v>0</v>
      </c>
      <c r="J3893" s="40" t="n">
        <f aca="false">H3893-I3893</f>
        <v>4.89</v>
      </c>
      <c r="K3893" s="41" t="n">
        <v>26.5</v>
      </c>
      <c r="L3893" s="42" t="n">
        <f aca="false">J3893*K3893</f>
        <v>129.585</v>
      </c>
      <c r="M3893" s="43" t="n">
        <f aca="false">H3893*16.17*(1+'Chart of Accounts'!$E$67)</f>
        <v>90.5366385</v>
      </c>
    </row>
    <row r="3894" customFormat="false" ht="15" hidden="false" customHeight="false" outlineLevel="0" collapsed="false">
      <c r="B3894" s="7" t="s">
        <v>4391</v>
      </c>
      <c r="C3894" s="39" t="n">
        <v>45849</v>
      </c>
      <c r="D3894" s="7" t="s">
        <v>379</v>
      </c>
      <c r="E3894" s="7" t="s">
        <v>156</v>
      </c>
      <c r="F3894" s="7" t="s">
        <v>224</v>
      </c>
      <c r="G3894" s="7" t="s">
        <v>505</v>
      </c>
      <c r="H3894" s="6" t="n">
        <v>4.82</v>
      </c>
      <c r="I3894" s="6" t="n">
        <v>0</v>
      </c>
      <c r="J3894" s="40" t="n">
        <f aca="false">H3894-I3894</f>
        <v>4.82</v>
      </c>
      <c r="K3894" s="41" t="n">
        <v>34</v>
      </c>
      <c r="L3894" s="42" t="n">
        <f aca="false">J3894*K3894</f>
        <v>163.88</v>
      </c>
      <c r="M3894" s="43" t="n">
        <f aca="false">H3894*14.93*(1+'Chart of Accounts'!$E$67)</f>
        <v>82.397177</v>
      </c>
    </row>
    <row r="3895" customFormat="false" ht="15" hidden="false" customHeight="false" outlineLevel="0" collapsed="false">
      <c r="B3895" s="7" t="s">
        <v>4392</v>
      </c>
      <c r="C3895" s="39" t="n">
        <v>45849</v>
      </c>
      <c r="D3895" s="7" t="s">
        <v>381</v>
      </c>
      <c r="E3895" s="7" t="s">
        <v>157</v>
      </c>
      <c r="F3895" s="7" t="s">
        <v>234</v>
      </c>
      <c r="G3895" s="7" t="s">
        <v>502</v>
      </c>
      <c r="H3895" s="6" t="n">
        <v>1.05</v>
      </c>
      <c r="I3895" s="6" t="n">
        <v>0.053</v>
      </c>
      <c r="J3895" s="40" t="n">
        <f aca="false">H3895-I3895</f>
        <v>0.997</v>
      </c>
      <c r="K3895" s="41" t="n">
        <v>165</v>
      </c>
      <c r="L3895" s="42" t="n">
        <f aca="false">J3895*K3895</f>
        <v>164.505</v>
      </c>
      <c r="M3895" s="43" t="n">
        <f aca="false">H3895*89.53*(1+'Chart of Accounts'!$E$67)</f>
        <v>107.6374425</v>
      </c>
    </row>
    <row r="3896" customFormat="false" ht="15" hidden="false" customHeight="false" outlineLevel="0" collapsed="false">
      <c r="B3896" s="7" t="s">
        <v>4393</v>
      </c>
      <c r="C3896" s="39" t="n">
        <v>45849</v>
      </c>
      <c r="D3896" s="7" t="s">
        <v>385</v>
      </c>
      <c r="E3896" s="7" t="s">
        <v>156</v>
      </c>
      <c r="F3896" s="7" t="s">
        <v>238</v>
      </c>
      <c r="G3896" s="7" t="s">
        <v>505</v>
      </c>
      <c r="H3896" s="6" t="n">
        <v>3.61</v>
      </c>
      <c r="I3896" s="6" t="n">
        <v>0</v>
      </c>
      <c r="J3896" s="40" t="n">
        <f aca="false">H3896-I3896</f>
        <v>3.61</v>
      </c>
      <c r="K3896" s="41" t="n">
        <v>34</v>
      </c>
      <c r="L3896" s="42" t="n">
        <f aca="false">J3896*K3896</f>
        <v>122.74</v>
      </c>
      <c r="M3896" s="43" t="n">
        <f aca="false">H3896*15.85*(1+'Chart of Accounts'!$E$67)</f>
        <v>65.5151825</v>
      </c>
    </row>
    <row r="3897" customFormat="false" ht="15" hidden="false" customHeight="false" outlineLevel="0" collapsed="false">
      <c r="B3897" s="7" t="s">
        <v>4394</v>
      </c>
      <c r="C3897" s="39" t="n">
        <v>45849</v>
      </c>
      <c r="D3897" s="7" t="s">
        <v>389</v>
      </c>
      <c r="E3897" s="7" t="s">
        <v>154</v>
      </c>
      <c r="F3897" s="7" t="s">
        <v>246</v>
      </c>
      <c r="G3897" s="7" t="s">
        <v>505</v>
      </c>
      <c r="H3897" s="6" t="n">
        <v>3.8</v>
      </c>
      <c r="I3897" s="6" t="n">
        <v>0</v>
      </c>
      <c r="J3897" s="40" t="n">
        <f aca="false">H3897-I3897</f>
        <v>3.8</v>
      </c>
      <c r="K3897" s="41" t="n">
        <v>26.5</v>
      </c>
      <c r="L3897" s="42" t="n">
        <f aca="false">J3897*K3897</f>
        <v>100.7</v>
      </c>
      <c r="M3897" s="43" t="n">
        <f aca="false">H3897*16.48*(1+'Chart of Accounts'!$E$67)</f>
        <v>71.70448</v>
      </c>
    </row>
    <row r="3898" customFormat="false" ht="15" hidden="false" customHeight="false" outlineLevel="0" collapsed="false">
      <c r="B3898" s="7" t="s">
        <v>4395</v>
      </c>
      <c r="C3898" s="39" t="n">
        <v>45849</v>
      </c>
      <c r="D3898" s="7" t="s">
        <v>391</v>
      </c>
      <c r="E3898" s="7" t="s">
        <v>156</v>
      </c>
      <c r="F3898" s="7" t="s">
        <v>222</v>
      </c>
      <c r="G3898" s="7" t="s">
        <v>505</v>
      </c>
      <c r="H3898" s="6" t="n">
        <v>4.32</v>
      </c>
      <c r="I3898" s="6" t="n">
        <v>0</v>
      </c>
      <c r="J3898" s="40" t="n">
        <f aca="false">H3898-I3898</f>
        <v>4.32</v>
      </c>
      <c r="K3898" s="41" t="n">
        <v>34</v>
      </c>
      <c r="L3898" s="42" t="n">
        <f aca="false">J3898*K3898</f>
        <v>146.88</v>
      </c>
      <c r="M3898" s="43" t="n">
        <f aca="false">H3898*17.84*(1+'Chart of Accounts'!$E$67)</f>
        <v>88.243776</v>
      </c>
    </row>
    <row r="3899" customFormat="false" ht="15" hidden="false" customHeight="false" outlineLevel="0" collapsed="false">
      <c r="B3899" s="7" t="s">
        <v>4396</v>
      </c>
      <c r="C3899" s="39" t="n">
        <v>45849</v>
      </c>
      <c r="D3899" s="7" t="s">
        <v>395</v>
      </c>
      <c r="E3899" s="7" t="s">
        <v>156</v>
      </c>
      <c r="F3899" s="7" t="s">
        <v>242</v>
      </c>
      <c r="G3899" s="7" t="s">
        <v>505</v>
      </c>
      <c r="H3899" s="6" t="n">
        <v>4.36</v>
      </c>
      <c r="I3899" s="6" t="n">
        <v>0</v>
      </c>
      <c r="J3899" s="40" t="n">
        <f aca="false">H3899-I3899</f>
        <v>4.36</v>
      </c>
      <c r="K3899" s="41" t="n">
        <v>34</v>
      </c>
      <c r="L3899" s="42" t="n">
        <f aca="false">J3899*K3899</f>
        <v>148.24</v>
      </c>
      <c r="M3899" s="43" t="n">
        <f aca="false">H3899*17.99*(1+'Chart of Accounts'!$E$67)</f>
        <v>89.809678</v>
      </c>
    </row>
    <row r="3900" customFormat="false" ht="15" hidden="false" customHeight="false" outlineLevel="0" collapsed="false">
      <c r="B3900" s="7" t="s">
        <v>4397</v>
      </c>
      <c r="C3900" s="39" t="n">
        <v>45849</v>
      </c>
      <c r="D3900" s="7" t="s">
        <v>397</v>
      </c>
      <c r="E3900" s="7" t="s">
        <v>159</v>
      </c>
      <c r="F3900" s="7" t="s">
        <v>203</v>
      </c>
      <c r="G3900" s="7" t="s">
        <v>502</v>
      </c>
      <c r="H3900" s="6" t="n">
        <v>1.03</v>
      </c>
      <c r="I3900" s="6" t="n">
        <v>0</v>
      </c>
      <c r="J3900" s="40" t="n">
        <f aca="false">H3900-I3900</f>
        <v>1.03</v>
      </c>
      <c r="K3900" s="41" t="n">
        <v>135</v>
      </c>
      <c r="L3900" s="42" t="n">
        <f aca="false">J3900*K3900</f>
        <v>139.05</v>
      </c>
      <c r="M3900" s="43" t="n">
        <f aca="false">H3900*49.43*(1+'Chart of Accounts'!$E$67)</f>
        <v>58.2952705</v>
      </c>
    </row>
    <row r="3901" customFormat="false" ht="15" hidden="false" customHeight="false" outlineLevel="0" collapsed="false">
      <c r="B3901" s="7" t="s">
        <v>4398</v>
      </c>
      <c r="C3901" s="39" t="n">
        <v>45849</v>
      </c>
      <c r="D3901" s="7" t="s">
        <v>399</v>
      </c>
      <c r="E3901" s="7" t="s">
        <v>154</v>
      </c>
      <c r="F3901" s="7" t="s">
        <v>214</v>
      </c>
      <c r="G3901" s="7" t="s">
        <v>505</v>
      </c>
      <c r="H3901" s="6" t="n">
        <v>3.02</v>
      </c>
      <c r="I3901" s="6" t="n">
        <v>0</v>
      </c>
      <c r="J3901" s="40" t="n">
        <f aca="false">H3901-I3901</f>
        <v>3.02</v>
      </c>
      <c r="K3901" s="41" t="n">
        <v>26.5</v>
      </c>
      <c r="L3901" s="42" t="n">
        <f aca="false">J3901*K3901</f>
        <v>80.03</v>
      </c>
      <c r="M3901" s="43" t="n">
        <f aca="false">H3901*15.67*(1+'Chart of Accounts'!$E$67)</f>
        <v>54.185293</v>
      </c>
    </row>
    <row r="3902" customFormat="false" ht="15" hidden="false" customHeight="false" outlineLevel="0" collapsed="false">
      <c r="B3902" s="7" t="s">
        <v>4399</v>
      </c>
      <c r="C3902" s="39" t="n">
        <v>45849</v>
      </c>
      <c r="D3902" s="7" t="s">
        <v>401</v>
      </c>
      <c r="E3902" s="7" t="s">
        <v>156</v>
      </c>
      <c r="F3902" s="7" t="s">
        <v>254</v>
      </c>
      <c r="G3902" s="7" t="s">
        <v>505</v>
      </c>
      <c r="H3902" s="6" t="n">
        <v>3.83</v>
      </c>
      <c r="I3902" s="6" t="n">
        <v>0</v>
      </c>
      <c r="J3902" s="40" t="n">
        <f aca="false">H3902-I3902</f>
        <v>3.83</v>
      </c>
      <c r="K3902" s="41" t="n">
        <v>34</v>
      </c>
      <c r="L3902" s="42" t="n">
        <f aca="false">J3902*K3902</f>
        <v>130.22</v>
      </c>
      <c r="M3902" s="43" t="n">
        <f aca="false">H3902*17.1*(1+'Chart of Accounts'!$E$67)</f>
        <v>74.989485</v>
      </c>
    </row>
    <row r="3903" customFormat="false" ht="15" hidden="false" customHeight="false" outlineLevel="0" collapsed="false">
      <c r="B3903" s="7" t="s">
        <v>4400</v>
      </c>
      <c r="C3903" s="39" t="n">
        <v>45849</v>
      </c>
      <c r="D3903" s="7" t="s">
        <v>407</v>
      </c>
      <c r="E3903" s="7" t="s">
        <v>159</v>
      </c>
      <c r="F3903" s="7" t="s">
        <v>260</v>
      </c>
      <c r="G3903" s="7" t="s">
        <v>502</v>
      </c>
      <c r="H3903" s="6" t="n">
        <v>0.96</v>
      </c>
      <c r="I3903" s="6" t="n">
        <v>0.067</v>
      </c>
      <c r="J3903" s="40" t="n">
        <f aca="false">H3903-I3903</f>
        <v>0.893</v>
      </c>
      <c r="K3903" s="41" t="n">
        <v>135</v>
      </c>
      <c r="L3903" s="42" t="n">
        <f aca="false">J3903*K3903</f>
        <v>120.555</v>
      </c>
      <c r="M3903" s="43" t="n">
        <f aca="false">H3903*79.8*(1+'Chart of Accounts'!$E$67)</f>
        <v>87.71616</v>
      </c>
    </row>
    <row r="3904" customFormat="false" ht="15" hidden="false" customHeight="false" outlineLevel="0" collapsed="false">
      <c r="B3904" s="7" t="s">
        <v>4401</v>
      </c>
      <c r="C3904" s="39" t="n">
        <v>45849</v>
      </c>
      <c r="D3904" s="7" t="s">
        <v>411</v>
      </c>
      <c r="E3904" s="7" t="s">
        <v>154</v>
      </c>
      <c r="F3904" s="7" t="s">
        <v>177</v>
      </c>
      <c r="G3904" s="7" t="s">
        <v>505</v>
      </c>
      <c r="H3904" s="6" t="n">
        <v>4.36</v>
      </c>
      <c r="I3904" s="6" t="n">
        <v>0</v>
      </c>
      <c r="J3904" s="40" t="n">
        <f aca="false">H3904-I3904</f>
        <v>4.36</v>
      </c>
      <c r="K3904" s="41" t="n">
        <v>26.5</v>
      </c>
      <c r="L3904" s="42" t="n">
        <f aca="false">J3904*K3904</f>
        <v>115.54</v>
      </c>
      <c r="M3904" s="43" t="n">
        <f aca="false">H3904*14.56*(1+'Chart of Accounts'!$E$67)</f>
        <v>72.686432</v>
      </c>
    </row>
    <row r="3905" customFormat="false" ht="15" hidden="false" customHeight="false" outlineLevel="0" collapsed="false">
      <c r="B3905" s="7" t="s">
        <v>4402</v>
      </c>
      <c r="C3905" s="39" t="n">
        <v>45850</v>
      </c>
      <c r="D3905" s="7" t="s">
        <v>288</v>
      </c>
      <c r="E3905" s="7" t="s">
        <v>156</v>
      </c>
      <c r="F3905" s="7" t="s">
        <v>214</v>
      </c>
      <c r="G3905" s="7" t="s">
        <v>505</v>
      </c>
      <c r="H3905" s="6" t="n">
        <v>3.71</v>
      </c>
      <c r="I3905" s="6" t="n">
        <v>0</v>
      </c>
      <c r="J3905" s="40" t="n">
        <f aca="false">H3905-I3905</f>
        <v>3.71</v>
      </c>
      <c r="K3905" s="41" t="n">
        <v>34</v>
      </c>
      <c r="L3905" s="42" t="n">
        <f aca="false">J3905*K3905</f>
        <v>126.14</v>
      </c>
      <c r="M3905" s="43" t="n">
        <f aca="false">H3905*15.67*(1+'Chart of Accounts'!$E$67)</f>
        <v>66.5653765</v>
      </c>
    </row>
    <row r="3906" customFormat="false" ht="15" hidden="false" customHeight="false" outlineLevel="0" collapsed="false">
      <c r="B3906" s="7" t="s">
        <v>4403</v>
      </c>
      <c r="C3906" s="39" t="n">
        <v>45850</v>
      </c>
      <c r="D3906" s="7" t="s">
        <v>321</v>
      </c>
      <c r="E3906" s="7" t="s">
        <v>154</v>
      </c>
      <c r="F3906" s="7" t="s">
        <v>218</v>
      </c>
      <c r="G3906" s="7" t="s">
        <v>505</v>
      </c>
      <c r="H3906" s="6" t="n">
        <v>3.6</v>
      </c>
      <c r="I3906" s="6" t="n">
        <v>0</v>
      </c>
      <c r="J3906" s="40" t="n">
        <f aca="false">H3906-I3906</f>
        <v>3.6</v>
      </c>
      <c r="K3906" s="41" t="n">
        <v>26.5</v>
      </c>
      <c r="L3906" s="42" t="n">
        <f aca="false">J3906*K3906</f>
        <v>95.4</v>
      </c>
      <c r="M3906" s="43" t="n">
        <f aca="false">H3906*16.19*(1+'Chart of Accounts'!$E$67)</f>
        <v>66.73518</v>
      </c>
    </row>
    <row r="3907" customFormat="false" ht="15" hidden="false" customHeight="false" outlineLevel="0" collapsed="false">
      <c r="B3907" s="7" t="s">
        <v>4404</v>
      </c>
      <c r="C3907" s="39" t="n">
        <v>45850</v>
      </c>
      <c r="D3907" s="7" t="s">
        <v>359</v>
      </c>
      <c r="E3907" s="7" t="s">
        <v>156</v>
      </c>
      <c r="F3907" s="7" t="s">
        <v>184</v>
      </c>
      <c r="G3907" s="7" t="s">
        <v>505</v>
      </c>
      <c r="H3907" s="6" t="n">
        <v>4.05</v>
      </c>
      <c r="I3907" s="6" t="n">
        <v>0</v>
      </c>
      <c r="J3907" s="40" t="n">
        <f aca="false">H3907-I3907</f>
        <v>4.05</v>
      </c>
      <c r="K3907" s="41" t="n">
        <v>34</v>
      </c>
      <c r="L3907" s="42" t="n">
        <f aca="false">J3907*K3907</f>
        <v>137.7</v>
      </c>
      <c r="M3907" s="43" t="n">
        <f aca="false">H3907*17.34*(1+'Chart of Accounts'!$E$67)</f>
        <v>80.409915</v>
      </c>
    </row>
    <row r="3908" customFormat="false" ht="15" hidden="false" customHeight="false" outlineLevel="0" collapsed="false">
      <c r="B3908" s="7" t="s">
        <v>4405</v>
      </c>
      <c r="C3908" s="39" t="n">
        <v>45850</v>
      </c>
      <c r="D3908" s="7" t="s">
        <v>391</v>
      </c>
      <c r="E3908" s="7" t="s">
        <v>156</v>
      </c>
      <c r="F3908" s="7" t="s">
        <v>222</v>
      </c>
      <c r="G3908" s="7" t="s">
        <v>505</v>
      </c>
      <c r="H3908" s="6" t="n">
        <v>3.66</v>
      </c>
      <c r="I3908" s="6" t="n">
        <v>0</v>
      </c>
      <c r="J3908" s="40" t="n">
        <f aca="false">H3908-I3908</f>
        <v>3.66</v>
      </c>
      <c r="K3908" s="41" t="n">
        <v>34</v>
      </c>
      <c r="L3908" s="42" t="n">
        <f aca="false">J3908*K3908</f>
        <v>124.44</v>
      </c>
      <c r="M3908" s="43" t="n">
        <f aca="false">H3908*17.84*(1+'Chart of Accounts'!$E$67)</f>
        <v>74.762088</v>
      </c>
    </row>
    <row r="3909" customFormat="false" ht="15" hidden="false" customHeight="false" outlineLevel="0" collapsed="false">
      <c r="B3909" s="7" t="s">
        <v>4406</v>
      </c>
      <c r="C3909" s="39" t="n">
        <v>45850</v>
      </c>
      <c r="D3909" s="7" t="s">
        <v>395</v>
      </c>
      <c r="E3909" s="7" t="s">
        <v>156</v>
      </c>
      <c r="F3909" s="7" t="s">
        <v>242</v>
      </c>
      <c r="G3909" s="7" t="s">
        <v>505</v>
      </c>
      <c r="H3909" s="6" t="n">
        <v>4.35</v>
      </c>
      <c r="I3909" s="6" t="n">
        <v>0</v>
      </c>
      <c r="J3909" s="40" t="n">
        <f aca="false">H3909-I3909</f>
        <v>4.35</v>
      </c>
      <c r="K3909" s="41" t="n">
        <v>34</v>
      </c>
      <c r="L3909" s="42" t="n">
        <f aca="false">J3909*K3909</f>
        <v>147.9</v>
      </c>
      <c r="M3909" s="43" t="n">
        <f aca="false">H3909*17.99*(1+'Chart of Accounts'!$E$67)</f>
        <v>89.6036925</v>
      </c>
    </row>
    <row r="3910" customFormat="false" ht="15" hidden="false" customHeight="false" outlineLevel="0" collapsed="false">
      <c r="B3910" s="7" t="s">
        <v>4407</v>
      </c>
      <c r="C3910" s="39" t="n">
        <v>45850</v>
      </c>
      <c r="D3910" s="7" t="s">
        <v>401</v>
      </c>
      <c r="E3910" s="7" t="s">
        <v>156</v>
      </c>
      <c r="F3910" s="7" t="s">
        <v>254</v>
      </c>
      <c r="G3910" s="7" t="s">
        <v>505</v>
      </c>
      <c r="H3910" s="6" t="n">
        <v>4.09</v>
      </c>
      <c r="I3910" s="6" t="n">
        <v>0</v>
      </c>
      <c r="J3910" s="40" t="n">
        <f aca="false">H3910-I3910</f>
        <v>4.09</v>
      </c>
      <c r="K3910" s="41" t="n">
        <v>34</v>
      </c>
      <c r="L3910" s="42" t="n">
        <f aca="false">J3910*K3910</f>
        <v>139.06</v>
      </c>
      <c r="M3910" s="43" t="n">
        <f aca="false">H3910*17.1*(1+'Chart of Accounts'!$E$67)</f>
        <v>80.080155</v>
      </c>
    </row>
    <row r="3911" customFormat="false" ht="15" hidden="false" customHeight="false" outlineLevel="0" collapsed="false">
      <c r="B3911" s="7" t="s">
        <v>4408</v>
      </c>
      <c r="C3911" s="39" t="n">
        <v>45851</v>
      </c>
      <c r="D3911" s="7" t="s">
        <v>288</v>
      </c>
      <c r="E3911" s="7" t="s">
        <v>156</v>
      </c>
      <c r="F3911" s="7" t="s">
        <v>224</v>
      </c>
      <c r="G3911" s="7" t="s">
        <v>505</v>
      </c>
      <c r="H3911" s="6" t="n">
        <v>4.15</v>
      </c>
      <c r="I3911" s="6" t="n">
        <v>0</v>
      </c>
      <c r="J3911" s="40" t="n">
        <f aca="false">H3911-I3911</f>
        <v>4.15</v>
      </c>
      <c r="K3911" s="41" t="n">
        <v>34</v>
      </c>
      <c r="L3911" s="42" t="n">
        <f aca="false">J3911*K3911</f>
        <v>141.1</v>
      </c>
      <c r="M3911" s="43" t="n">
        <f aca="false">H3911*14.93*(1+'Chart of Accounts'!$E$67)</f>
        <v>70.9436275</v>
      </c>
    </row>
    <row r="3912" customFormat="false" ht="15" hidden="false" customHeight="false" outlineLevel="0" collapsed="false">
      <c r="B3912" s="7" t="s">
        <v>4409</v>
      </c>
      <c r="C3912" s="39" t="n">
        <v>45851</v>
      </c>
      <c r="D3912" s="7" t="s">
        <v>321</v>
      </c>
      <c r="E3912" s="7" t="s">
        <v>154</v>
      </c>
      <c r="F3912" s="7" t="s">
        <v>218</v>
      </c>
      <c r="G3912" s="7" t="s">
        <v>505</v>
      </c>
      <c r="H3912" s="6" t="n">
        <v>4.11</v>
      </c>
      <c r="I3912" s="6" t="n">
        <v>0</v>
      </c>
      <c r="J3912" s="40" t="n">
        <f aca="false">H3912-I3912</f>
        <v>4.11</v>
      </c>
      <c r="K3912" s="41" t="n">
        <v>26.5</v>
      </c>
      <c r="L3912" s="42" t="n">
        <f aca="false">J3912*K3912</f>
        <v>108.915</v>
      </c>
      <c r="M3912" s="43" t="n">
        <f aca="false">H3912*16.19*(1+'Chart of Accounts'!$E$67)</f>
        <v>76.1893305</v>
      </c>
    </row>
    <row r="3913" customFormat="false" ht="15" hidden="false" customHeight="false" outlineLevel="0" collapsed="false">
      <c r="B3913" s="7" t="s">
        <v>4410</v>
      </c>
      <c r="C3913" s="39" t="n">
        <v>45851</v>
      </c>
      <c r="D3913" s="7" t="s">
        <v>359</v>
      </c>
      <c r="E3913" s="7" t="s">
        <v>156</v>
      </c>
      <c r="F3913" s="7" t="s">
        <v>214</v>
      </c>
      <c r="G3913" s="7" t="s">
        <v>505</v>
      </c>
      <c r="H3913" s="6" t="n">
        <v>3.96</v>
      </c>
      <c r="I3913" s="6" t="n">
        <v>0</v>
      </c>
      <c r="J3913" s="40" t="n">
        <f aca="false">H3913-I3913</f>
        <v>3.96</v>
      </c>
      <c r="K3913" s="41" t="n">
        <v>34</v>
      </c>
      <c r="L3913" s="42" t="n">
        <f aca="false">J3913*K3913</f>
        <v>134.64</v>
      </c>
      <c r="M3913" s="43" t="n">
        <f aca="false">H3913*15.67*(1+'Chart of Accounts'!$E$67)</f>
        <v>71.050914</v>
      </c>
    </row>
    <row r="3914" customFormat="false" ht="15" hidden="false" customHeight="false" outlineLevel="0" collapsed="false">
      <c r="B3914" s="7" t="s">
        <v>4411</v>
      </c>
      <c r="C3914" s="39" t="n">
        <v>45851</v>
      </c>
      <c r="D3914" s="7" t="s">
        <v>391</v>
      </c>
      <c r="E3914" s="7" t="s">
        <v>156</v>
      </c>
      <c r="F3914" s="7" t="s">
        <v>222</v>
      </c>
      <c r="G3914" s="7" t="s">
        <v>505</v>
      </c>
      <c r="H3914" s="6" t="n">
        <v>4.11</v>
      </c>
      <c r="I3914" s="6" t="n">
        <v>0</v>
      </c>
      <c r="J3914" s="40" t="n">
        <f aca="false">H3914-I3914</f>
        <v>4.11</v>
      </c>
      <c r="K3914" s="41" t="n">
        <v>34</v>
      </c>
      <c r="L3914" s="42" t="n">
        <f aca="false">J3914*K3914</f>
        <v>139.74</v>
      </c>
      <c r="M3914" s="43" t="n">
        <f aca="false">H3914*17.84*(1+'Chart of Accounts'!$E$67)</f>
        <v>83.954148</v>
      </c>
    </row>
    <row r="3915" customFormat="false" ht="15" hidden="false" customHeight="false" outlineLevel="0" collapsed="false">
      <c r="B3915" s="7" t="s">
        <v>4412</v>
      </c>
      <c r="C3915" s="39" t="n">
        <v>45851</v>
      </c>
      <c r="D3915" s="7" t="s">
        <v>395</v>
      </c>
      <c r="E3915" s="7" t="s">
        <v>156</v>
      </c>
      <c r="F3915" s="7" t="s">
        <v>242</v>
      </c>
      <c r="G3915" s="7" t="s">
        <v>505</v>
      </c>
      <c r="H3915" s="6" t="n">
        <v>4.4</v>
      </c>
      <c r="I3915" s="6" t="n">
        <v>0</v>
      </c>
      <c r="J3915" s="40" t="n">
        <f aca="false">H3915-I3915</f>
        <v>4.4</v>
      </c>
      <c r="K3915" s="41" t="n">
        <v>34</v>
      </c>
      <c r="L3915" s="42" t="n">
        <f aca="false">J3915*K3915</f>
        <v>149.6</v>
      </c>
      <c r="M3915" s="43" t="n">
        <f aca="false">H3915*17.99*(1+'Chart of Accounts'!$E$67)</f>
        <v>90.63362</v>
      </c>
    </row>
    <row r="3916" customFormat="false" ht="15" hidden="false" customHeight="false" outlineLevel="0" collapsed="false">
      <c r="B3916" s="7" t="s">
        <v>4413</v>
      </c>
      <c r="C3916" s="39" t="n">
        <v>45851</v>
      </c>
      <c r="D3916" s="7" t="s">
        <v>401</v>
      </c>
      <c r="E3916" s="7" t="s">
        <v>156</v>
      </c>
      <c r="F3916" s="7" t="s">
        <v>254</v>
      </c>
      <c r="G3916" s="7" t="s">
        <v>505</v>
      </c>
      <c r="H3916" s="6" t="n">
        <v>3.62</v>
      </c>
      <c r="I3916" s="6" t="n">
        <v>0</v>
      </c>
      <c r="J3916" s="40" t="n">
        <f aca="false">H3916-I3916</f>
        <v>3.62</v>
      </c>
      <c r="K3916" s="41" t="n">
        <v>34</v>
      </c>
      <c r="L3916" s="42" t="n">
        <f aca="false">J3916*K3916</f>
        <v>123.08</v>
      </c>
      <c r="M3916" s="43" t="n">
        <f aca="false">H3916*17.1*(1+'Chart of Accounts'!$E$67)</f>
        <v>70.87779</v>
      </c>
    </row>
    <row r="3917" customFormat="false" ht="15" hidden="false" customHeight="false" outlineLevel="0" collapsed="false">
      <c r="B3917" s="7" t="s">
        <v>4414</v>
      </c>
      <c r="C3917" s="39" t="n">
        <v>45852</v>
      </c>
      <c r="D3917" s="7" t="s">
        <v>280</v>
      </c>
      <c r="E3917" s="7" t="s">
        <v>157</v>
      </c>
      <c r="F3917" s="7" t="s">
        <v>187</v>
      </c>
      <c r="G3917" s="7" t="s">
        <v>502</v>
      </c>
      <c r="H3917" s="6" t="n">
        <v>0.99</v>
      </c>
      <c r="I3917" s="6" t="n">
        <v>0</v>
      </c>
      <c r="J3917" s="40" t="n">
        <f aca="false">H3917-I3917</f>
        <v>0.99</v>
      </c>
      <c r="K3917" s="41" t="n">
        <v>165</v>
      </c>
      <c r="L3917" s="42" t="n">
        <f aca="false">J3917*K3917</f>
        <v>163.35</v>
      </c>
      <c r="M3917" s="43" t="n">
        <f aca="false">H3917*66.48*(1+'Chart of Accounts'!$E$67)</f>
        <v>75.358404</v>
      </c>
    </row>
    <row r="3918" customFormat="false" ht="15" hidden="false" customHeight="false" outlineLevel="0" collapsed="false">
      <c r="B3918" s="7" t="s">
        <v>4415</v>
      </c>
      <c r="C3918" s="39" t="n">
        <v>45852</v>
      </c>
      <c r="D3918" s="7" t="s">
        <v>288</v>
      </c>
      <c r="E3918" s="7" t="s">
        <v>156</v>
      </c>
      <c r="F3918" s="7" t="s">
        <v>224</v>
      </c>
      <c r="G3918" s="7" t="s">
        <v>505</v>
      </c>
      <c r="H3918" s="6" t="n">
        <v>3.78</v>
      </c>
      <c r="I3918" s="6" t="n">
        <v>0</v>
      </c>
      <c r="J3918" s="40" t="n">
        <f aca="false">H3918-I3918</f>
        <v>3.78</v>
      </c>
      <c r="K3918" s="41" t="n">
        <v>34</v>
      </c>
      <c r="L3918" s="42" t="n">
        <f aca="false">J3918*K3918</f>
        <v>128.52</v>
      </c>
      <c r="M3918" s="43" t="n">
        <f aca="false">H3918*14.93*(1+'Chart of Accounts'!$E$67)</f>
        <v>64.618533</v>
      </c>
    </row>
    <row r="3919" customFormat="false" ht="15" hidden="false" customHeight="false" outlineLevel="0" collapsed="false">
      <c r="B3919" s="7" t="s">
        <v>4416</v>
      </c>
      <c r="C3919" s="39" t="n">
        <v>45852</v>
      </c>
      <c r="D3919" s="7" t="s">
        <v>291</v>
      </c>
      <c r="E3919" s="7" t="s">
        <v>154</v>
      </c>
      <c r="F3919" s="7" t="s">
        <v>194</v>
      </c>
      <c r="G3919" s="7" t="s">
        <v>505</v>
      </c>
      <c r="H3919" s="6" t="n">
        <v>4.58</v>
      </c>
      <c r="I3919" s="6" t="n">
        <v>0</v>
      </c>
      <c r="J3919" s="40" t="n">
        <f aca="false">H3919-I3919</f>
        <v>4.58</v>
      </c>
      <c r="K3919" s="41" t="n">
        <v>26.5</v>
      </c>
      <c r="L3919" s="42" t="n">
        <f aca="false">J3919*K3919</f>
        <v>121.37</v>
      </c>
      <c r="M3919" s="43" t="n">
        <f aca="false">H3919*16*(1+'Chart of Accounts'!$E$67)</f>
        <v>83.9056</v>
      </c>
    </row>
    <row r="3920" customFormat="false" ht="15" hidden="false" customHeight="false" outlineLevel="0" collapsed="false">
      <c r="B3920" s="7" t="s">
        <v>4417</v>
      </c>
      <c r="C3920" s="39" t="n">
        <v>45852</v>
      </c>
      <c r="D3920" s="7" t="s">
        <v>297</v>
      </c>
      <c r="E3920" s="7" t="s">
        <v>156</v>
      </c>
      <c r="F3920" s="7" t="s">
        <v>201</v>
      </c>
      <c r="G3920" s="7" t="s">
        <v>505</v>
      </c>
      <c r="H3920" s="6" t="n">
        <v>2.97</v>
      </c>
      <c r="I3920" s="6" t="n">
        <v>0</v>
      </c>
      <c r="J3920" s="40" t="n">
        <f aca="false">H3920-I3920</f>
        <v>2.97</v>
      </c>
      <c r="K3920" s="41" t="n">
        <v>34</v>
      </c>
      <c r="L3920" s="42" t="n">
        <f aca="false">J3920*K3920</f>
        <v>100.98</v>
      </c>
      <c r="M3920" s="43" t="n">
        <f aca="false">H3920*15.19*(1+'Chart of Accounts'!$E$67)</f>
        <v>51.6558735</v>
      </c>
    </row>
    <row r="3921" customFormat="false" ht="15" hidden="false" customHeight="false" outlineLevel="0" collapsed="false">
      <c r="B3921" s="7" t="s">
        <v>4418</v>
      </c>
      <c r="C3921" s="39" t="n">
        <v>45852</v>
      </c>
      <c r="D3921" s="7" t="s">
        <v>305</v>
      </c>
      <c r="E3921" s="7" t="s">
        <v>154</v>
      </c>
      <c r="F3921" s="7" t="s">
        <v>205</v>
      </c>
      <c r="G3921" s="7" t="s">
        <v>505</v>
      </c>
      <c r="H3921" s="6" t="n">
        <v>3.87</v>
      </c>
      <c r="I3921" s="6" t="n">
        <v>0.116</v>
      </c>
      <c r="J3921" s="40" t="n">
        <f aca="false">H3921-I3921</f>
        <v>3.754</v>
      </c>
      <c r="K3921" s="41" t="n">
        <v>26.5</v>
      </c>
      <c r="L3921" s="42" t="n">
        <f aca="false">J3921*K3921</f>
        <v>99.481</v>
      </c>
      <c r="M3921" s="43" t="n">
        <f aca="false">H3921*16.36*(1+'Chart of Accounts'!$E$67)</f>
        <v>72.493614</v>
      </c>
    </row>
    <row r="3922" customFormat="false" ht="15" hidden="false" customHeight="false" outlineLevel="0" collapsed="false">
      <c r="B3922" s="7" t="s">
        <v>4419</v>
      </c>
      <c r="C3922" s="39" t="n">
        <v>45852</v>
      </c>
      <c r="D3922" s="7" t="s">
        <v>307</v>
      </c>
      <c r="E3922" s="7" t="s">
        <v>157</v>
      </c>
      <c r="F3922" s="7" t="s">
        <v>264</v>
      </c>
      <c r="G3922" s="7" t="s">
        <v>502</v>
      </c>
      <c r="H3922" s="6" t="n">
        <v>1.01</v>
      </c>
      <c r="I3922" s="6" t="n">
        <v>0</v>
      </c>
      <c r="J3922" s="40" t="n">
        <f aca="false">H3922-I3922</f>
        <v>1.01</v>
      </c>
      <c r="K3922" s="41" t="n">
        <v>165</v>
      </c>
      <c r="L3922" s="42" t="n">
        <f aca="false">J3922*K3922</f>
        <v>166.65</v>
      </c>
      <c r="M3922" s="43" t="n">
        <f aca="false">H3922*55.55*(1+'Chart of Accounts'!$E$67)</f>
        <v>64.2407975</v>
      </c>
    </row>
    <row r="3923" customFormat="false" ht="15" hidden="false" customHeight="false" outlineLevel="0" collapsed="false">
      <c r="B3923" s="7" t="s">
        <v>4420</v>
      </c>
      <c r="C3923" s="39" t="n">
        <v>45852</v>
      </c>
      <c r="D3923" s="7" t="s">
        <v>309</v>
      </c>
      <c r="E3923" s="7" t="s">
        <v>159</v>
      </c>
      <c r="F3923" s="7" t="s">
        <v>252</v>
      </c>
      <c r="G3923" s="7" t="s">
        <v>502</v>
      </c>
      <c r="H3923" s="6" t="n">
        <v>1.01</v>
      </c>
      <c r="I3923" s="6" t="n">
        <v>0</v>
      </c>
      <c r="J3923" s="40" t="n">
        <f aca="false">H3923-I3923</f>
        <v>1.01</v>
      </c>
      <c r="K3923" s="41" t="n">
        <v>135</v>
      </c>
      <c r="L3923" s="42" t="n">
        <f aca="false">J3923*K3923</f>
        <v>136.35</v>
      </c>
      <c r="M3923" s="43" t="n">
        <f aca="false">H3923*57.54*(1+'Chart of Accounts'!$E$67)</f>
        <v>66.542133</v>
      </c>
    </row>
    <row r="3924" customFormat="false" ht="15" hidden="false" customHeight="false" outlineLevel="0" collapsed="false">
      <c r="B3924" s="7" t="s">
        <v>4421</v>
      </c>
      <c r="C3924" s="39" t="n">
        <v>45852</v>
      </c>
      <c r="D3924" s="7" t="s">
        <v>311</v>
      </c>
      <c r="E3924" s="7" t="s">
        <v>154</v>
      </c>
      <c r="F3924" s="7" t="s">
        <v>196</v>
      </c>
      <c r="G3924" s="7" t="s">
        <v>505</v>
      </c>
      <c r="H3924" s="6" t="n">
        <v>3.17</v>
      </c>
      <c r="I3924" s="6" t="n">
        <v>0</v>
      </c>
      <c r="J3924" s="40" t="n">
        <f aca="false">H3924-I3924</f>
        <v>3.17</v>
      </c>
      <c r="K3924" s="41" t="n">
        <v>26.5</v>
      </c>
      <c r="L3924" s="42" t="n">
        <f aca="false">J3924*K3924</f>
        <v>84.005</v>
      </c>
      <c r="M3924" s="43" t="n">
        <f aca="false">H3924*15.05*(1+'Chart of Accounts'!$E$67)</f>
        <v>54.6262325</v>
      </c>
    </row>
    <row r="3925" customFormat="false" ht="15" hidden="false" customHeight="false" outlineLevel="0" collapsed="false">
      <c r="B3925" s="7" t="s">
        <v>4422</v>
      </c>
      <c r="C3925" s="39" t="n">
        <v>45852</v>
      </c>
      <c r="D3925" s="7" t="s">
        <v>313</v>
      </c>
      <c r="E3925" s="7" t="s">
        <v>156</v>
      </c>
      <c r="F3925" s="7" t="s">
        <v>184</v>
      </c>
      <c r="G3925" s="7" t="s">
        <v>505</v>
      </c>
      <c r="H3925" s="6" t="n">
        <v>4.29</v>
      </c>
      <c r="I3925" s="6" t="n">
        <v>0</v>
      </c>
      <c r="J3925" s="40" t="n">
        <f aca="false">H3925-I3925</f>
        <v>4.29</v>
      </c>
      <c r="K3925" s="41" t="n">
        <v>34</v>
      </c>
      <c r="L3925" s="42" t="n">
        <f aca="false">J3925*K3925</f>
        <v>145.86</v>
      </c>
      <c r="M3925" s="43" t="n">
        <f aca="false">H3925*17.34*(1+'Chart of Accounts'!$E$67)</f>
        <v>85.174947</v>
      </c>
    </row>
    <row r="3926" customFormat="false" ht="15" hidden="false" customHeight="false" outlineLevel="0" collapsed="false">
      <c r="B3926" s="7" t="s">
        <v>4423</v>
      </c>
      <c r="C3926" s="39" t="n">
        <v>45852</v>
      </c>
      <c r="D3926" s="7" t="s">
        <v>317</v>
      </c>
      <c r="E3926" s="7" t="s">
        <v>156</v>
      </c>
      <c r="F3926" s="7" t="s">
        <v>207</v>
      </c>
      <c r="G3926" s="7" t="s">
        <v>505</v>
      </c>
      <c r="H3926" s="6" t="n">
        <v>2.88</v>
      </c>
      <c r="I3926" s="6" t="n">
        <v>0</v>
      </c>
      <c r="J3926" s="40" t="n">
        <f aca="false">H3926-I3926</f>
        <v>2.88</v>
      </c>
      <c r="K3926" s="41" t="n">
        <v>34</v>
      </c>
      <c r="L3926" s="42" t="n">
        <f aca="false">J3926*K3926</f>
        <v>97.92</v>
      </c>
      <c r="M3926" s="43" t="n">
        <f aca="false">H3926*16.65*(1+'Chart of Accounts'!$E$67)</f>
        <v>54.90504</v>
      </c>
    </row>
    <row r="3927" customFormat="false" ht="15" hidden="false" customHeight="false" outlineLevel="0" collapsed="false">
      <c r="B3927" s="7" t="s">
        <v>4424</v>
      </c>
      <c r="C3927" s="39" t="n">
        <v>45852</v>
      </c>
      <c r="D3927" s="7" t="s">
        <v>321</v>
      </c>
      <c r="E3927" s="7" t="s">
        <v>154</v>
      </c>
      <c r="F3927" s="7" t="s">
        <v>218</v>
      </c>
      <c r="G3927" s="7" t="s">
        <v>505</v>
      </c>
      <c r="H3927" s="6" t="n">
        <v>4.03</v>
      </c>
      <c r="I3927" s="6" t="n">
        <v>0</v>
      </c>
      <c r="J3927" s="40" t="n">
        <f aca="false">H3927-I3927</f>
        <v>4.03</v>
      </c>
      <c r="K3927" s="41" t="n">
        <v>26.5</v>
      </c>
      <c r="L3927" s="42" t="n">
        <f aca="false">J3927*K3927</f>
        <v>106.795</v>
      </c>
      <c r="M3927" s="43" t="n">
        <f aca="false">H3927*16.19*(1+'Chart of Accounts'!$E$67)</f>
        <v>74.7063265</v>
      </c>
    </row>
    <row r="3928" customFormat="false" ht="15" hidden="false" customHeight="false" outlineLevel="0" collapsed="false">
      <c r="B3928" s="7" t="s">
        <v>4425</v>
      </c>
      <c r="C3928" s="39" t="n">
        <v>45852</v>
      </c>
      <c r="D3928" s="7" t="s">
        <v>325</v>
      </c>
      <c r="E3928" s="7" t="s">
        <v>154</v>
      </c>
      <c r="F3928" s="7" t="s">
        <v>238</v>
      </c>
      <c r="G3928" s="7" t="s">
        <v>505</v>
      </c>
      <c r="H3928" s="6" t="n">
        <v>3.27</v>
      </c>
      <c r="I3928" s="6" t="n">
        <v>0.098</v>
      </c>
      <c r="J3928" s="40" t="n">
        <f aca="false">H3928-I3928</f>
        <v>3.172</v>
      </c>
      <c r="K3928" s="41" t="n">
        <v>26.5</v>
      </c>
      <c r="L3928" s="42" t="n">
        <f aca="false">J3928*K3928</f>
        <v>84.058</v>
      </c>
      <c r="M3928" s="43" t="n">
        <f aca="false">H3928*15.85*(1+'Chart of Accounts'!$E$67)</f>
        <v>59.3447775</v>
      </c>
    </row>
    <row r="3929" customFormat="false" ht="15" hidden="false" customHeight="false" outlineLevel="0" collapsed="false">
      <c r="B3929" s="7" t="s">
        <v>4426</v>
      </c>
      <c r="C3929" s="39" t="n">
        <v>45852</v>
      </c>
      <c r="D3929" s="7" t="s">
        <v>329</v>
      </c>
      <c r="E3929" s="7" t="s">
        <v>156</v>
      </c>
      <c r="F3929" s="7" t="s">
        <v>220</v>
      </c>
      <c r="G3929" s="7" t="s">
        <v>505</v>
      </c>
      <c r="H3929" s="6" t="n">
        <v>3.77</v>
      </c>
      <c r="I3929" s="6" t="n">
        <v>0</v>
      </c>
      <c r="J3929" s="40" t="n">
        <f aca="false">H3929-I3929</f>
        <v>3.77</v>
      </c>
      <c r="K3929" s="41" t="n">
        <v>34</v>
      </c>
      <c r="L3929" s="42" t="n">
        <f aca="false">J3929*K3929</f>
        <v>128.18</v>
      </c>
      <c r="M3929" s="43" t="n">
        <f aca="false">H3929*16.43*(1+'Chart of Accounts'!$E$67)</f>
        <v>70.9225595</v>
      </c>
    </row>
    <row r="3930" customFormat="false" ht="15" hidden="false" customHeight="false" outlineLevel="0" collapsed="false">
      <c r="B3930" s="7" t="s">
        <v>4427</v>
      </c>
      <c r="C3930" s="39" t="n">
        <v>45852</v>
      </c>
      <c r="D3930" s="7" t="s">
        <v>331</v>
      </c>
      <c r="E3930" s="7" t="s">
        <v>156</v>
      </c>
      <c r="F3930" s="7" t="s">
        <v>224</v>
      </c>
      <c r="G3930" s="7" t="s">
        <v>505</v>
      </c>
      <c r="H3930" s="6" t="n">
        <v>3.91</v>
      </c>
      <c r="I3930" s="6" t="n">
        <v>0</v>
      </c>
      <c r="J3930" s="40" t="n">
        <f aca="false">H3930-I3930</f>
        <v>3.91</v>
      </c>
      <c r="K3930" s="41" t="n">
        <v>34</v>
      </c>
      <c r="L3930" s="42" t="n">
        <f aca="false">J3930*K3930</f>
        <v>132.94</v>
      </c>
      <c r="M3930" s="43" t="n">
        <f aca="false">H3930*14.93*(1+'Chart of Accounts'!$E$67)</f>
        <v>66.8408635</v>
      </c>
    </row>
    <row r="3931" customFormat="false" ht="15" hidden="false" customHeight="false" outlineLevel="0" collapsed="false">
      <c r="B3931" s="7" t="s">
        <v>4428</v>
      </c>
      <c r="C3931" s="39" t="n">
        <v>45852</v>
      </c>
      <c r="D3931" s="7" t="s">
        <v>335</v>
      </c>
      <c r="E3931" s="7" t="s">
        <v>154</v>
      </c>
      <c r="F3931" s="7" t="s">
        <v>177</v>
      </c>
      <c r="G3931" s="7" t="s">
        <v>505</v>
      </c>
      <c r="H3931" s="6" t="n">
        <v>3.95</v>
      </c>
      <c r="I3931" s="6" t="n">
        <v>0</v>
      </c>
      <c r="J3931" s="40" t="n">
        <f aca="false">H3931-I3931</f>
        <v>3.95</v>
      </c>
      <c r="K3931" s="41" t="n">
        <v>26.5</v>
      </c>
      <c r="L3931" s="42" t="n">
        <f aca="false">J3931*K3931</f>
        <v>104.675</v>
      </c>
      <c r="M3931" s="43" t="n">
        <f aca="false">H3931*14.56*(1+'Chart of Accounts'!$E$67)</f>
        <v>65.85124</v>
      </c>
    </row>
    <row r="3932" customFormat="false" ht="15" hidden="false" customHeight="false" outlineLevel="0" collapsed="false">
      <c r="B3932" s="7" t="s">
        <v>4429</v>
      </c>
      <c r="C3932" s="39" t="n">
        <v>45852</v>
      </c>
      <c r="D3932" s="7" t="s">
        <v>337</v>
      </c>
      <c r="E3932" s="7" t="s">
        <v>154</v>
      </c>
      <c r="F3932" s="7" t="s">
        <v>232</v>
      </c>
      <c r="G3932" s="7" t="s">
        <v>505</v>
      </c>
      <c r="H3932" s="6" t="n">
        <v>3.1</v>
      </c>
      <c r="I3932" s="6" t="n">
        <v>0</v>
      </c>
      <c r="J3932" s="40" t="n">
        <f aca="false">H3932-I3932</f>
        <v>3.1</v>
      </c>
      <c r="K3932" s="41" t="n">
        <v>26.5</v>
      </c>
      <c r="L3932" s="42" t="n">
        <f aca="false">J3932*K3932</f>
        <v>82.15</v>
      </c>
      <c r="M3932" s="43" t="n">
        <f aca="false">H3932*16.17*(1+'Chart of Accounts'!$E$67)</f>
        <v>57.395415</v>
      </c>
    </row>
    <row r="3933" customFormat="false" ht="15" hidden="false" customHeight="false" outlineLevel="0" collapsed="false">
      <c r="B3933" s="7" t="s">
        <v>4430</v>
      </c>
      <c r="C3933" s="39" t="n">
        <v>45852</v>
      </c>
      <c r="D3933" s="7" t="s">
        <v>339</v>
      </c>
      <c r="E3933" s="7" t="s">
        <v>154</v>
      </c>
      <c r="F3933" s="7" t="s">
        <v>242</v>
      </c>
      <c r="G3933" s="7" t="s">
        <v>505</v>
      </c>
      <c r="H3933" s="6" t="n">
        <v>3.38</v>
      </c>
      <c r="I3933" s="6" t="n">
        <v>0</v>
      </c>
      <c r="J3933" s="40" t="n">
        <f aca="false">H3933-I3933</f>
        <v>3.38</v>
      </c>
      <c r="K3933" s="41" t="n">
        <v>26.5</v>
      </c>
      <c r="L3933" s="42" t="n">
        <f aca="false">J3933*K3933</f>
        <v>89.57</v>
      </c>
      <c r="M3933" s="43" t="n">
        <f aca="false">H3933*17.99*(1+'Chart of Accounts'!$E$67)</f>
        <v>69.623099</v>
      </c>
    </row>
    <row r="3934" customFormat="false" ht="15" hidden="false" customHeight="false" outlineLevel="0" collapsed="false">
      <c r="B3934" s="7" t="s">
        <v>4431</v>
      </c>
      <c r="C3934" s="39" t="n">
        <v>45852</v>
      </c>
      <c r="D3934" s="7" t="s">
        <v>341</v>
      </c>
      <c r="E3934" s="7" t="s">
        <v>156</v>
      </c>
      <c r="F3934" s="7" t="s">
        <v>222</v>
      </c>
      <c r="G3934" s="7" t="s">
        <v>505</v>
      </c>
      <c r="H3934" s="6" t="n">
        <v>3.17</v>
      </c>
      <c r="I3934" s="6" t="n">
        <v>0</v>
      </c>
      <c r="J3934" s="40" t="n">
        <f aca="false">H3934-I3934</f>
        <v>3.17</v>
      </c>
      <c r="K3934" s="41" t="n">
        <v>34</v>
      </c>
      <c r="L3934" s="42" t="n">
        <f aca="false">J3934*K3934</f>
        <v>107.78</v>
      </c>
      <c r="M3934" s="43" t="n">
        <f aca="false">H3934*17.84*(1+'Chart of Accounts'!$E$67)</f>
        <v>64.752956</v>
      </c>
    </row>
    <row r="3935" customFormat="false" ht="15" hidden="false" customHeight="false" outlineLevel="0" collapsed="false">
      <c r="B3935" s="7" t="s">
        <v>4432</v>
      </c>
      <c r="C3935" s="39" t="n">
        <v>45852</v>
      </c>
      <c r="D3935" s="7" t="s">
        <v>343</v>
      </c>
      <c r="E3935" s="7" t="s">
        <v>154</v>
      </c>
      <c r="F3935" s="7" t="s">
        <v>201</v>
      </c>
      <c r="G3935" s="7" t="s">
        <v>505</v>
      </c>
      <c r="H3935" s="6" t="n">
        <v>3.97</v>
      </c>
      <c r="I3935" s="6" t="n">
        <v>0</v>
      </c>
      <c r="J3935" s="40" t="n">
        <f aca="false">H3935-I3935</f>
        <v>3.97</v>
      </c>
      <c r="K3935" s="41" t="n">
        <v>26.5</v>
      </c>
      <c r="L3935" s="42" t="n">
        <f aca="false">J3935*K3935</f>
        <v>105.205</v>
      </c>
      <c r="M3935" s="43" t="n">
        <f aca="false">H3935*15.19*(1+'Chart of Accounts'!$E$67)</f>
        <v>69.0484235</v>
      </c>
    </row>
    <row r="3936" customFormat="false" ht="15" hidden="false" customHeight="false" outlineLevel="0" collapsed="false">
      <c r="B3936" s="7" t="s">
        <v>4433</v>
      </c>
      <c r="C3936" s="39" t="n">
        <v>45852</v>
      </c>
      <c r="D3936" s="7" t="s">
        <v>347</v>
      </c>
      <c r="E3936" s="7" t="s">
        <v>154</v>
      </c>
      <c r="F3936" s="7" t="s">
        <v>238</v>
      </c>
      <c r="G3936" s="7" t="s">
        <v>505</v>
      </c>
      <c r="H3936" s="6" t="n">
        <v>4.65</v>
      </c>
      <c r="I3936" s="6" t="n">
        <v>0</v>
      </c>
      <c r="J3936" s="40" t="n">
        <f aca="false">H3936-I3936</f>
        <v>4.65</v>
      </c>
      <c r="K3936" s="41" t="n">
        <v>26.5</v>
      </c>
      <c r="L3936" s="42" t="n">
        <f aca="false">J3936*K3936</f>
        <v>123.225</v>
      </c>
      <c r="M3936" s="43" t="n">
        <f aca="false">H3936*15.85*(1+'Chart of Accounts'!$E$67)</f>
        <v>84.3893625</v>
      </c>
    </row>
    <row r="3937" customFormat="false" ht="15" hidden="false" customHeight="false" outlineLevel="0" collapsed="false">
      <c r="B3937" s="7" t="s">
        <v>4434</v>
      </c>
      <c r="C3937" s="39" t="n">
        <v>45852</v>
      </c>
      <c r="D3937" s="7" t="s">
        <v>351</v>
      </c>
      <c r="E3937" s="7" t="s">
        <v>154</v>
      </c>
      <c r="F3937" s="7" t="s">
        <v>201</v>
      </c>
      <c r="G3937" s="7" t="s">
        <v>505</v>
      </c>
      <c r="H3937" s="6" t="n">
        <v>3.02</v>
      </c>
      <c r="I3937" s="6" t="n">
        <v>0.091</v>
      </c>
      <c r="J3937" s="40" t="n">
        <f aca="false">H3937-I3937</f>
        <v>2.929</v>
      </c>
      <c r="K3937" s="41" t="n">
        <v>26.5</v>
      </c>
      <c r="L3937" s="42" t="n">
        <f aca="false">J3937*K3937</f>
        <v>77.6185</v>
      </c>
      <c r="M3937" s="43" t="n">
        <f aca="false">H3937*15.19*(1+'Chart of Accounts'!$E$67)</f>
        <v>52.525501</v>
      </c>
    </row>
    <row r="3938" customFormat="false" ht="15" hidden="false" customHeight="false" outlineLevel="0" collapsed="false">
      <c r="B3938" s="7" t="s">
        <v>4435</v>
      </c>
      <c r="C3938" s="39" t="n">
        <v>45852</v>
      </c>
      <c r="D3938" s="7" t="s">
        <v>353</v>
      </c>
      <c r="E3938" s="7" t="s">
        <v>154</v>
      </c>
      <c r="F3938" s="7" t="s">
        <v>254</v>
      </c>
      <c r="G3938" s="7" t="s">
        <v>505</v>
      </c>
      <c r="H3938" s="6" t="n">
        <v>3.06</v>
      </c>
      <c r="I3938" s="6" t="n">
        <v>0.092</v>
      </c>
      <c r="J3938" s="40" t="n">
        <f aca="false">H3938-I3938</f>
        <v>2.968</v>
      </c>
      <c r="K3938" s="41" t="n">
        <v>26.5</v>
      </c>
      <c r="L3938" s="42" t="n">
        <f aca="false">J3938*K3938</f>
        <v>78.652</v>
      </c>
      <c r="M3938" s="43" t="n">
        <f aca="false">H3938*17.1*(1+'Chart of Accounts'!$E$67)</f>
        <v>59.91327</v>
      </c>
    </row>
    <row r="3939" customFormat="false" ht="15" hidden="false" customHeight="false" outlineLevel="0" collapsed="false">
      <c r="B3939" s="7" t="s">
        <v>4436</v>
      </c>
      <c r="C3939" s="39" t="n">
        <v>45852</v>
      </c>
      <c r="D3939" s="7" t="s">
        <v>355</v>
      </c>
      <c r="E3939" s="7" t="s">
        <v>154</v>
      </c>
      <c r="F3939" s="7" t="s">
        <v>201</v>
      </c>
      <c r="G3939" s="7" t="s">
        <v>505</v>
      </c>
      <c r="H3939" s="6" t="n">
        <v>3.61</v>
      </c>
      <c r="I3939" s="6" t="n">
        <v>0</v>
      </c>
      <c r="J3939" s="40" t="n">
        <f aca="false">H3939-I3939</f>
        <v>3.61</v>
      </c>
      <c r="K3939" s="41" t="n">
        <v>26.5</v>
      </c>
      <c r="L3939" s="42" t="n">
        <f aca="false">J3939*K3939</f>
        <v>95.665</v>
      </c>
      <c r="M3939" s="43" t="n">
        <f aca="false">H3939*15.19*(1+'Chart of Accounts'!$E$67)</f>
        <v>62.7871055</v>
      </c>
    </row>
    <row r="3940" customFormat="false" ht="15" hidden="false" customHeight="false" outlineLevel="0" collapsed="false">
      <c r="B3940" s="7" t="s">
        <v>4437</v>
      </c>
      <c r="C3940" s="39" t="n">
        <v>45852</v>
      </c>
      <c r="D3940" s="7" t="s">
        <v>357</v>
      </c>
      <c r="E3940" s="7" t="s">
        <v>154</v>
      </c>
      <c r="F3940" s="7" t="s">
        <v>207</v>
      </c>
      <c r="G3940" s="7" t="s">
        <v>505</v>
      </c>
      <c r="H3940" s="6" t="n">
        <v>3.06</v>
      </c>
      <c r="I3940" s="6" t="n">
        <v>0</v>
      </c>
      <c r="J3940" s="40" t="n">
        <f aca="false">H3940-I3940</f>
        <v>3.06</v>
      </c>
      <c r="K3940" s="41" t="n">
        <v>26.5</v>
      </c>
      <c r="L3940" s="42" t="n">
        <f aca="false">J3940*K3940</f>
        <v>81.09</v>
      </c>
      <c r="M3940" s="43" t="n">
        <f aca="false">H3940*16.65*(1+'Chart of Accounts'!$E$67)</f>
        <v>58.336605</v>
      </c>
    </row>
    <row r="3941" customFormat="false" ht="15" hidden="false" customHeight="false" outlineLevel="0" collapsed="false">
      <c r="B3941" s="7" t="s">
        <v>4438</v>
      </c>
      <c r="C3941" s="39" t="n">
        <v>45852</v>
      </c>
      <c r="D3941" s="7" t="s">
        <v>359</v>
      </c>
      <c r="E3941" s="7" t="s">
        <v>156</v>
      </c>
      <c r="F3941" s="7" t="s">
        <v>220</v>
      </c>
      <c r="G3941" s="7" t="s">
        <v>505</v>
      </c>
      <c r="H3941" s="6" t="n">
        <v>4.19</v>
      </c>
      <c r="I3941" s="6" t="n">
        <v>0</v>
      </c>
      <c r="J3941" s="40" t="n">
        <f aca="false">H3941-I3941</f>
        <v>4.19</v>
      </c>
      <c r="K3941" s="41" t="n">
        <v>34</v>
      </c>
      <c r="L3941" s="42" t="n">
        <f aca="false">J3941*K3941</f>
        <v>142.46</v>
      </c>
      <c r="M3941" s="43" t="n">
        <f aca="false">H3941*16.43*(1+'Chart of Accounts'!$E$67)</f>
        <v>78.8237465</v>
      </c>
    </row>
    <row r="3942" customFormat="false" ht="15" hidden="false" customHeight="false" outlineLevel="0" collapsed="false">
      <c r="B3942" s="7" t="s">
        <v>4439</v>
      </c>
      <c r="C3942" s="39" t="n">
        <v>45852</v>
      </c>
      <c r="D3942" s="7" t="s">
        <v>363</v>
      </c>
      <c r="E3942" s="7" t="s">
        <v>156</v>
      </c>
      <c r="F3942" s="7" t="s">
        <v>246</v>
      </c>
      <c r="G3942" s="7" t="s">
        <v>505</v>
      </c>
      <c r="H3942" s="6" t="n">
        <v>3.89</v>
      </c>
      <c r="I3942" s="6" t="n">
        <v>0</v>
      </c>
      <c r="J3942" s="40" t="n">
        <f aca="false">H3942-I3942</f>
        <v>3.89</v>
      </c>
      <c r="K3942" s="41" t="n">
        <v>34</v>
      </c>
      <c r="L3942" s="42" t="n">
        <f aca="false">J3942*K3942</f>
        <v>132.26</v>
      </c>
      <c r="M3942" s="43" t="n">
        <f aca="false">H3942*16.48*(1+'Chart of Accounts'!$E$67)</f>
        <v>73.402744</v>
      </c>
    </row>
    <row r="3943" customFormat="false" ht="15" hidden="false" customHeight="false" outlineLevel="0" collapsed="false">
      <c r="B3943" s="7" t="s">
        <v>4440</v>
      </c>
      <c r="C3943" s="39" t="n">
        <v>45852</v>
      </c>
      <c r="D3943" s="7" t="s">
        <v>365</v>
      </c>
      <c r="E3943" s="7" t="s">
        <v>154</v>
      </c>
      <c r="F3943" s="7" t="s">
        <v>194</v>
      </c>
      <c r="G3943" s="7" t="s">
        <v>505</v>
      </c>
      <c r="H3943" s="6" t="n">
        <v>4.26</v>
      </c>
      <c r="I3943" s="6" t="n">
        <v>0</v>
      </c>
      <c r="J3943" s="40" t="n">
        <f aca="false">H3943-I3943</f>
        <v>4.26</v>
      </c>
      <c r="K3943" s="41" t="n">
        <v>26.5</v>
      </c>
      <c r="L3943" s="42" t="n">
        <f aca="false">J3943*K3943</f>
        <v>112.89</v>
      </c>
      <c r="M3943" s="43" t="n">
        <f aca="false">H3943*16*(1+'Chart of Accounts'!$E$67)</f>
        <v>78.0432</v>
      </c>
    </row>
    <row r="3944" customFormat="false" ht="15" hidden="false" customHeight="false" outlineLevel="0" collapsed="false">
      <c r="B3944" s="7" t="s">
        <v>4441</v>
      </c>
      <c r="C3944" s="39" t="n">
        <v>45852</v>
      </c>
      <c r="D3944" s="7" t="s">
        <v>371</v>
      </c>
      <c r="E3944" s="7" t="s">
        <v>154</v>
      </c>
      <c r="F3944" s="7" t="s">
        <v>232</v>
      </c>
      <c r="G3944" s="7" t="s">
        <v>505</v>
      </c>
      <c r="H3944" s="6" t="n">
        <v>4.47</v>
      </c>
      <c r="I3944" s="6" t="n">
        <v>0</v>
      </c>
      <c r="J3944" s="40" t="n">
        <f aca="false">H3944-I3944</f>
        <v>4.47</v>
      </c>
      <c r="K3944" s="41" t="n">
        <v>26.5</v>
      </c>
      <c r="L3944" s="42" t="n">
        <f aca="false">J3944*K3944</f>
        <v>118.455</v>
      </c>
      <c r="M3944" s="43" t="n">
        <f aca="false">H3944*16.17*(1+'Chart of Accounts'!$E$67)</f>
        <v>82.7604855</v>
      </c>
    </row>
    <row r="3945" customFormat="false" ht="15" hidden="false" customHeight="false" outlineLevel="0" collapsed="false">
      <c r="B3945" s="7" t="s">
        <v>4442</v>
      </c>
      <c r="C3945" s="39" t="n">
        <v>45852</v>
      </c>
      <c r="D3945" s="7" t="s">
        <v>375</v>
      </c>
      <c r="E3945" s="7" t="s">
        <v>156</v>
      </c>
      <c r="F3945" s="7" t="s">
        <v>196</v>
      </c>
      <c r="G3945" s="7" t="s">
        <v>505</v>
      </c>
      <c r="H3945" s="6" t="n">
        <v>3.24</v>
      </c>
      <c r="I3945" s="6" t="n">
        <v>0</v>
      </c>
      <c r="J3945" s="40" t="n">
        <f aca="false">H3945-I3945</f>
        <v>3.24</v>
      </c>
      <c r="K3945" s="41" t="n">
        <v>34</v>
      </c>
      <c r="L3945" s="42" t="n">
        <f aca="false">J3945*K3945</f>
        <v>110.16</v>
      </c>
      <c r="M3945" s="43" t="n">
        <f aca="false">H3945*15.05*(1+'Chart of Accounts'!$E$67)</f>
        <v>55.83249</v>
      </c>
    </row>
    <row r="3946" customFormat="false" ht="15" hidden="false" customHeight="false" outlineLevel="0" collapsed="false">
      <c r="B3946" s="7" t="s">
        <v>4443</v>
      </c>
      <c r="C3946" s="39" t="n">
        <v>45852</v>
      </c>
      <c r="D3946" s="7" t="s">
        <v>377</v>
      </c>
      <c r="E3946" s="7" t="s">
        <v>154</v>
      </c>
      <c r="F3946" s="7" t="s">
        <v>214</v>
      </c>
      <c r="G3946" s="7" t="s">
        <v>505</v>
      </c>
      <c r="H3946" s="6" t="n">
        <v>4.03</v>
      </c>
      <c r="I3946" s="6" t="n">
        <v>0</v>
      </c>
      <c r="J3946" s="40" t="n">
        <f aca="false">H3946-I3946</f>
        <v>4.03</v>
      </c>
      <c r="K3946" s="41" t="n">
        <v>26.5</v>
      </c>
      <c r="L3946" s="42" t="n">
        <f aca="false">J3946*K3946</f>
        <v>106.795</v>
      </c>
      <c r="M3946" s="43" t="n">
        <f aca="false">H3946*15.67*(1+'Chart of Accounts'!$E$67)</f>
        <v>72.3068645</v>
      </c>
    </row>
    <row r="3947" customFormat="false" ht="15" hidden="false" customHeight="false" outlineLevel="0" collapsed="false">
      <c r="B3947" s="7" t="s">
        <v>4444</v>
      </c>
      <c r="C3947" s="39" t="n">
        <v>45852</v>
      </c>
      <c r="D3947" s="7" t="s">
        <v>379</v>
      </c>
      <c r="E3947" s="7" t="s">
        <v>156</v>
      </c>
      <c r="F3947" s="7" t="s">
        <v>224</v>
      </c>
      <c r="G3947" s="7" t="s">
        <v>505</v>
      </c>
      <c r="H3947" s="6" t="n">
        <v>4.72</v>
      </c>
      <c r="I3947" s="6" t="n">
        <v>0</v>
      </c>
      <c r="J3947" s="40" t="n">
        <f aca="false">H3947-I3947</f>
        <v>4.72</v>
      </c>
      <c r="K3947" s="41" t="n">
        <v>34</v>
      </c>
      <c r="L3947" s="42" t="n">
        <f aca="false">J3947*K3947</f>
        <v>160.48</v>
      </c>
      <c r="M3947" s="43" t="n">
        <f aca="false">H3947*14.93*(1+'Chart of Accounts'!$E$67)</f>
        <v>80.687692</v>
      </c>
    </row>
    <row r="3948" customFormat="false" ht="15" hidden="false" customHeight="false" outlineLevel="0" collapsed="false">
      <c r="B3948" s="7" t="s">
        <v>4445</v>
      </c>
      <c r="C3948" s="39" t="n">
        <v>45852</v>
      </c>
      <c r="D3948" s="7" t="s">
        <v>385</v>
      </c>
      <c r="E3948" s="7" t="s">
        <v>156</v>
      </c>
      <c r="F3948" s="7" t="s">
        <v>238</v>
      </c>
      <c r="G3948" s="7" t="s">
        <v>505</v>
      </c>
      <c r="H3948" s="6" t="n">
        <v>4.15</v>
      </c>
      <c r="I3948" s="6" t="n">
        <v>0</v>
      </c>
      <c r="J3948" s="40" t="n">
        <f aca="false">H3948-I3948</f>
        <v>4.15</v>
      </c>
      <c r="K3948" s="41" t="n">
        <v>34</v>
      </c>
      <c r="L3948" s="42" t="n">
        <f aca="false">J3948*K3948</f>
        <v>141.1</v>
      </c>
      <c r="M3948" s="43" t="n">
        <f aca="false">H3948*15.85*(1+'Chart of Accounts'!$E$67)</f>
        <v>75.3152375</v>
      </c>
    </row>
    <row r="3949" customFormat="false" ht="15" hidden="false" customHeight="false" outlineLevel="0" collapsed="false">
      <c r="B3949" s="7" t="s">
        <v>4446</v>
      </c>
      <c r="C3949" s="39" t="n">
        <v>45852</v>
      </c>
      <c r="D3949" s="7" t="s">
        <v>389</v>
      </c>
      <c r="E3949" s="7" t="s">
        <v>154</v>
      </c>
      <c r="F3949" s="7" t="s">
        <v>246</v>
      </c>
      <c r="G3949" s="7" t="s">
        <v>505</v>
      </c>
      <c r="H3949" s="6" t="n">
        <v>4.13</v>
      </c>
      <c r="I3949" s="6" t="n">
        <v>0</v>
      </c>
      <c r="J3949" s="40" t="n">
        <f aca="false">H3949-I3949</f>
        <v>4.13</v>
      </c>
      <c r="K3949" s="41" t="n">
        <v>26.5</v>
      </c>
      <c r="L3949" s="42" t="n">
        <f aca="false">J3949*K3949</f>
        <v>109.445</v>
      </c>
      <c r="M3949" s="43" t="n">
        <f aca="false">H3949*16.48*(1+'Chart of Accounts'!$E$67)</f>
        <v>77.931448</v>
      </c>
    </row>
    <row r="3950" customFormat="false" ht="15" hidden="false" customHeight="false" outlineLevel="0" collapsed="false">
      <c r="B3950" s="7" t="s">
        <v>4447</v>
      </c>
      <c r="C3950" s="39" t="n">
        <v>45852</v>
      </c>
      <c r="D3950" s="7" t="s">
        <v>391</v>
      </c>
      <c r="E3950" s="7" t="s">
        <v>156</v>
      </c>
      <c r="F3950" s="7" t="s">
        <v>222</v>
      </c>
      <c r="G3950" s="7" t="s">
        <v>505</v>
      </c>
      <c r="H3950" s="6" t="n">
        <v>4.2</v>
      </c>
      <c r="I3950" s="6" t="n">
        <v>0</v>
      </c>
      <c r="J3950" s="40" t="n">
        <f aca="false">H3950-I3950</f>
        <v>4.2</v>
      </c>
      <c r="K3950" s="41" t="n">
        <v>34</v>
      </c>
      <c r="L3950" s="42" t="n">
        <f aca="false">J3950*K3950</f>
        <v>142.8</v>
      </c>
      <c r="M3950" s="43" t="n">
        <f aca="false">H3950*17.84*(1+'Chart of Accounts'!$E$67)</f>
        <v>85.79256</v>
      </c>
    </row>
    <row r="3951" customFormat="false" ht="15" hidden="false" customHeight="false" outlineLevel="0" collapsed="false">
      <c r="B3951" s="7" t="s">
        <v>4448</v>
      </c>
      <c r="C3951" s="39" t="n">
        <v>45852</v>
      </c>
      <c r="D3951" s="7" t="s">
        <v>395</v>
      </c>
      <c r="E3951" s="7" t="s">
        <v>156</v>
      </c>
      <c r="F3951" s="7" t="s">
        <v>242</v>
      </c>
      <c r="G3951" s="7" t="s">
        <v>505</v>
      </c>
      <c r="H3951" s="6" t="n">
        <v>3.9</v>
      </c>
      <c r="I3951" s="6" t="n">
        <v>0</v>
      </c>
      <c r="J3951" s="40" t="n">
        <f aca="false">H3951-I3951</f>
        <v>3.9</v>
      </c>
      <c r="K3951" s="41" t="n">
        <v>34</v>
      </c>
      <c r="L3951" s="42" t="n">
        <f aca="false">J3951*K3951</f>
        <v>132.6</v>
      </c>
      <c r="M3951" s="43" t="n">
        <f aca="false">H3951*17.99*(1+'Chart of Accounts'!$E$67)</f>
        <v>80.334345</v>
      </c>
    </row>
    <row r="3952" customFormat="false" ht="15" hidden="false" customHeight="false" outlineLevel="0" collapsed="false">
      <c r="B3952" s="7" t="s">
        <v>4449</v>
      </c>
      <c r="C3952" s="39" t="n">
        <v>45852</v>
      </c>
      <c r="D3952" s="7" t="s">
        <v>399</v>
      </c>
      <c r="E3952" s="7" t="s">
        <v>154</v>
      </c>
      <c r="F3952" s="7" t="s">
        <v>242</v>
      </c>
      <c r="G3952" s="7" t="s">
        <v>505</v>
      </c>
      <c r="H3952" s="6" t="n">
        <v>3.46</v>
      </c>
      <c r="I3952" s="6" t="n">
        <v>0</v>
      </c>
      <c r="J3952" s="40" t="n">
        <f aca="false">H3952-I3952</f>
        <v>3.46</v>
      </c>
      <c r="K3952" s="41" t="n">
        <v>26.5</v>
      </c>
      <c r="L3952" s="42" t="n">
        <f aca="false">J3952*K3952</f>
        <v>91.69</v>
      </c>
      <c r="M3952" s="43" t="n">
        <f aca="false">H3952*17.99*(1+'Chart of Accounts'!$E$67)</f>
        <v>71.270983</v>
      </c>
    </row>
    <row r="3953" customFormat="false" ht="15" hidden="false" customHeight="false" outlineLevel="0" collapsed="false">
      <c r="B3953" s="7" t="s">
        <v>4450</v>
      </c>
      <c r="C3953" s="39" t="n">
        <v>45852</v>
      </c>
      <c r="D3953" s="7" t="s">
        <v>401</v>
      </c>
      <c r="E3953" s="7" t="s">
        <v>156</v>
      </c>
      <c r="F3953" s="7" t="s">
        <v>254</v>
      </c>
      <c r="G3953" s="7" t="s">
        <v>505</v>
      </c>
      <c r="H3953" s="6" t="n">
        <v>3.75</v>
      </c>
      <c r="I3953" s="6" t="n">
        <v>0</v>
      </c>
      <c r="J3953" s="40" t="n">
        <f aca="false">H3953-I3953</f>
        <v>3.75</v>
      </c>
      <c r="K3953" s="41" t="n">
        <v>34</v>
      </c>
      <c r="L3953" s="42" t="n">
        <f aca="false">J3953*K3953</f>
        <v>127.5</v>
      </c>
      <c r="M3953" s="43" t="n">
        <f aca="false">H3953*17.1*(1+'Chart of Accounts'!$E$67)</f>
        <v>73.423125</v>
      </c>
    </row>
    <row r="3954" customFormat="false" ht="15" hidden="false" customHeight="false" outlineLevel="0" collapsed="false">
      <c r="B3954" s="7" t="s">
        <v>4451</v>
      </c>
      <c r="C3954" s="39" t="n">
        <v>45852</v>
      </c>
      <c r="D3954" s="7" t="s">
        <v>409</v>
      </c>
      <c r="E3954" s="7" t="s">
        <v>154</v>
      </c>
      <c r="F3954" s="7" t="s">
        <v>214</v>
      </c>
      <c r="G3954" s="7" t="s">
        <v>505</v>
      </c>
      <c r="H3954" s="6" t="n">
        <v>3.63</v>
      </c>
      <c r="I3954" s="6" t="n">
        <v>0</v>
      </c>
      <c r="J3954" s="40" t="n">
        <f aca="false">H3954-I3954</f>
        <v>3.63</v>
      </c>
      <c r="K3954" s="41" t="n">
        <v>26.5</v>
      </c>
      <c r="L3954" s="42" t="n">
        <f aca="false">J3954*K3954</f>
        <v>96.195</v>
      </c>
      <c r="M3954" s="43" t="n">
        <f aca="false">H3954*15.67*(1+'Chart of Accounts'!$E$67)</f>
        <v>65.1300045</v>
      </c>
    </row>
    <row r="3955" customFormat="false" ht="15" hidden="false" customHeight="false" outlineLevel="0" collapsed="false">
      <c r="B3955" s="7" t="s">
        <v>4452</v>
      </c>
      <c r="C3955" s="39" t="n">
        <v>45852</v>
      </c>
      <c r="D3955" s="7" t="s">
        <v>411</v>
      </c>
      <c r="E3955" s="7" t="s">
        <v>154</v>
      </c>
      <c r="F3955" s="7" t="s">
        <v>177</v>
      </c>
      <c r="G3955" s="7" t="s">
        <v>505</v>
      </c>
      <c r="H3955" s="6" t="n">
        <v>5.12</v>
      </c>
      <c r="I3955" s="6" t="n">
        <v>0.154</v>
      </c>
      <c r="J3955" s="40" t="n">
        <f aca="false">H3955-I3955</f>
        <v>4.966</v>
      </c>
      <c r="K3955" s="41" t="n">
        <v>26.5</v>
      </c>
      <c r="L3955" s="42" t="n">
        <f aca="false">J3955*K3955</f>
        <v>131.599</v>
      </c>
      <c r="M3955" s="43" t="n">
        <f aca="false">H3955*14.56*(1+'Chart of Accounts'!$E$67)</f>
        <v>85.356544</v>
      </c>
    </row>
    <row r="3956" customFormat="false" ht="15" hidden="false" customHeight="false" outlineLevel="0" collapsed="false">
      <c r="B3956" s="7" t="s">
        <v>4453</v>
      </c>
      <c r="C3956" s="39" t="n">
        <v>45853</v>
      </c>
      <c r="D3956" s="7" t="s">
        <v>288</v>
      </c>
      <c r="E3956" s="7" t="s">
        <v>156</v>
      </c>
      <c r="F3956" s="7" t="s">
        <v>232</v>
      </c>
      <c r="G3956" s="7" t="s">
        <v>505</v>
      </c>
      <c r="H3956" s="6" t="n">
        <v>3.71</v>
      </c>
      <c r="I3956" s="6" t="n">
        <v>0</v>
      </c>
      <c r="J3956" s="40" t="n">
        <f aca="false">H3956-I3956</f>
        <v>3.71</v>
      </c>
      <c r="K3956" s="41" t="n">
        <v>34</v>
      </c>
      <c r="L3956" s="42" t="n">
        <f aca="false">J3956*K3956</f>
        <v>126.14</v>
      </c>
      <c r="M3956" s="43" t="n">
        <f aca="false">H3956*16.17*(1+'Chart of Accounts'!$E$67)</f>
        <v>68.6893515</v>
      </c>
    </row>
    <row r="3957" customFormat="false" ht="15" hidden="false" customHeight="false" outlineLevel="0" collapsed="false">
      <c r="B3957" s="7" t="s">
        <v>4454</v>
      </c>
      <c r="C3957" s="39" t="n">
        <v>45853</v>
      </c>
      <c r="D3957" s="7" t="s">
        <v>301</v>
      </c>
      <c r="E3957" s="7" t="s">
        <v>157</v>
      </c>
      <c r="F3957" s="7" t="s">
        <v>209</v>
      </c>
      <c r="G3957" s="7" t="s">
        <v>502</v>
      </c>
      <c r="H3957" s="6" t="n">
        <v>0.92</v>
      </c>
      <c r="I3957" s="6" t="n">
        <v>0</v>
      </c>
      <c r="J3957" s="40" t="n">
        <f aca="false">H3957-I3957</f>
        <v>0.92</v>
      </c>
      <c r="K3957" s="41" t="n">
        <v>165</v>
      </c>
      <c r="L3957" s="42" t="n">
        <f aca="false">J3957*K3957</f>
        <v>151.8</v>
      </c>
      <c r="M3957" s="43" t="n">
        <f aca="false">H3957*73.58*(1+'Chart of Accounts'!$E$67)</f>
        <v>77.509172</v>
      </c>
    </row>
    <row r="3958" customFormat="false" ht="15" hidden="false" customHeight="false" outlineLevel="0" collapsed="false">
      <c r="B3958" s="7" t="s">
        <v>4455</v>
      </c>
      <c r="C3958" s="39" t="n">
        <v>45853</v>
      </c>
      <c r="D3958" s="7" t="s">
        <v>313</v>
      </c>
      <c r="E3958" s="7" t="s">
        <v>156</v>
      </c>
      <c r="F3958" s="7" t="s">
        <v>184</v>
      </c>
      <c r="G3958" s="7" t="s">
        <v>505</v>
      </c>
      <c r="H3958" s="6" t="n">
        <v>3.76</v>
      </c>
      <c r="I3958" s="6" t="n">
        <v>0</v>
      </c>
      <c r="J3958" s="40" t="n">
        <f aca="false">H3958-I3958</f>
        <v>3.76</v>
      </c>
      <c r="K3958" s="41" t="n">
        <v>34</v>
      </c>
      <c r="L3958" s="42" t="n">
        <f aca="false">J3958*K3958</f>
        <v>127.84</v>
      </c>
      <c r="M3958" s="43" t="n">
        <f aca="false">H3958*17.34*(1+'Chart of Accounts'!$E$67)</f>
        <v>74.652168</v>
      </c>
    </row>
    <row r="3959" customFormat="false" ht="15" hidden="false" customHeight="false" outlineLevel="0" collapsed="false">
      <c r="B3959" s="7" t="s">
        <v>4456</v>
      </c>
      <c r="C3959" s="39" t="n">
        <v>45853</v>
      </c>
      <c r="D3959" s="7" t="s">
        <v>319</v>
      </c>
      <c r="E3959" s="7" t="s">
        <v>157</v>
      </c>
      <c r="F3959" s="7" t="s">
        <v>234</v>
      </c>
      <c r="G3959" s="7" t="s">
        <v>502</v>
      </c>
      <c r="H3959" s="6" t="n">
        <v>1.06</v>
      </c>
      <c r="I3959" s="6" t="n">
        <v>0</v>
      </c>
      <c r="J3959" s="40" t="n">
        <f aca="false">H3959-I3959</f>
        <v>1.06</v>
      </c>
      <c r="K3959" s="41" t="n">
        <v>165</v>
      </c>
      <c r="L3959" s="42" t="n">
        <f aca="false">J3959*K3959</f>
        <v>174.9</v>
      </c>
      <c r="M3959" s="43" t="n">
        <f aca="false">H3959*89.53*(1+'Chart of Accounts'!$E$67)</f>
        <v>108.662561</v>
      </c>
    </row>
    <row r="3960" customFormat="false" ht="15" hidden="false" customHeight="false" outlineLevel="0" collapsed="false">
      <c r="B3960" s="7" t="s">
        <v>4457</v>
      </c>
      <c r="C3960" s="39" t="n">
        <v>45853</v>
      </c>
      <c r="D3960" s="7" t="s">
        <v>321</v>
      </c>
      <c r="E3960" s="7" t="s">
        <v>154</v>
      </c>
      <c r="F3960" s="7" t="s">
        <v>218</v>
      </c>
      <c r="G3960" s="7" t="s">
        <v>505</v>
      </c>
      <c r="H3960" s="6" t="n">
        <v>4.39</v>
      </c>
      <c r="I3960" s="6" t="n">
        <v>0</v>
      </c>
      <c r="J3960" s="40" t="n">
        <f aca="false">H3960-I3960</f>
        <v>4.39</v>
      </c>
      <c r="K3960" s="41" t="n">
        <v>26.5</v>
      </c>
      <c r="L3960" s="42" t="n">
        <f aca="false">J3960*K3960</f>
        <v>116.335</v>
      </c>
      <c r="M3960" s="43" t="n">
        <f aca="false">H3960*16.19*(1+'Chart of Accounts'!$E$67)</f>
        <v>81.3798445</v>
      </c>
    </row>
    <row r="3961" customFormat="false" ht="15" hidden="false" customHeight="false" outlineLevel="0" collapsed="false">
      <c r="B3961" s="7" t="s">
        <v>4458</v>
      </c>
      <c r="C3961" s="39" t="n">
        <v>45853</v>
      </c>
      <c r="D3961" s="7" t="s">
        <v>323</v>
      </c>
      <c r="E3961" s="7" t="s">
        <v>159</v>
      </c>
      <c r="F3961" s="7" t="s">
        <v>266</v>
      </c>
      <c r="G3961" s="7" t="s">
        <v>502</v>
      </c>
      <c r="H3961" s="6" t="n">
        <v>1.02</v>
      </c>
      <c r="I3961" s="6" t="n">
        <v>0</v>
      </c>
      <c r="J3961" s="40" t="n">
        <f aca="false">H3961-I3961</f>
        <v>1.02</v>
      </c>
      <c r="K3961" s="41" t="n">
        <v>135</v>
      </c>
      <c r="L3961" s="42" t="n">
        <f aca="false">J3961*K3961</f>
        <v>137.7</v>
      </c>
      <c r="M3961" s="43" t="n">
        <f aca="false">H3961*75.18*(1+'Chart of Accounts'!$E$67)</f>
        <v>87.802722</v>
      </c>
    </row>
    <row r="3962" customFormat="false" ht="15" hidden="false" customHeight="false" outlineLevel="0" collapsed="false">
      <c r="B3962" s="7" t="s">
        <v>4459</v>
      </c>
      <c r="C3962" s="39" t="n">
        <v>45853</v>
      </c>
      <c r="D3962" s="7" t="s">
        <v>327</v>
      </c>
      <c r="E3962" s="7" t="s">
        <v>157</v>
      </c>
      <c r="F3962" s="7" t="s">
        <v>228</v>
      </c>
      <c r="G3962" s="7" t="s">
        <v>502</v>
      </c>
      <c r="H3962" s="6" t="n">
        <v>0.95</v>
      </c>
      <c r="I3962" s="6" t="n">
        <v>0</v>
      </c>
      <c r="J3962" s="40" t="n">
        <f aca="false">H3962-I3962</f>
        <v>0.95</v>
      </c>
      <c r="K3962" s="41" t="n">
        <v>165</v>
      </c>
      <c r="L3962" s="42" t="n">
        <f aca="false">J3962*K3962</f>
        <v>156.75</v>
      </c>
      <c r="M3962" s="43" t="n">
        <f aca="false">H3962*51.07*(1+'Chart of Accounts'!$E$67)</f>
        <v>55.5513925</v>
      </c>
    </row>
    <row r="3963" customFormat="false" ht="15" hidden="false" customHeight="false" outlineLevel="0" collapsed="false">
      <c r="B3963" s="7" t="s">
        <v>4460</v>
      </c>
      <c r="C3963" s="39" t="n">
        <v>45853</v>
      </c>
      <c r="D3963" s="7" t="s">
        <v>359</v>
      </c>
      <c r="E3963" s="7" t="s">
        <v>156</v>
      </c>
      <c r="F3963" s="7" t="s">
        <v>214</v>
      </c>
      <c r="G3963" s="7" t="s">
        <v>505</v>
      </c>
      <c r="H3963" s="6" t="n">
        <v>4.32</v>
      </c>
      <c r="I3963" s="6" t="n">
        <v>0</v>
      </c>
      <c r="J3963" s="40" t="n">
        <f aca="false">H3963-I3963</f>
        <v>4.32</v>
      </c>
      <c r="K3963" s="41" t="n">
        <v>34</v>
      </c>
      <c r="L3963" s="42" t="n">
        <f aca="false">J3963*K3963</f>
        <v>146.88</v>
      </c>
      <c r="M3963" s="43" t="n">
        <f aca="false">H3963*15.67*(1+'Chart of Accounts'!$E$67)</f>
        <v>77.510088</v>
      </c>
    </row>
    <row r="3964" customFormat="false" ht="15" hidden="false" customHeight="false" outlineLevel="0" collapsed="false">
      <c r="B3964" s="7" t="s">
        <v>4461</v>
      </c>
      <c r="C3964" s="39" t="n">
        <v>45853</v>
      </c>
      <c r="D3964" s="7" t="s">
        <v>361</v>
      </c>
      <c r="E3964" s="7" t="s">
        <v>157</v>
      </c>
      <c r="F3964" s="7" t="s">
        <v>209</v>
      </c>
      <c r="G3964" s="7" t="s">
        <v>502</v>
      </c>
      <c r="H3964" s="6" t="n">
        <v>0.95</v>
      </c>
      <c r="I3964" s="6" t="n">
        <v>0</v>
      </c>
      <c r="J3964" s="40" t="n">
        <f aca="false">H3964-I3964</f>
        <v>0.95</v>
      </c>
      <c r="K3964" s="41" t="n">
        <v>165</v>
      </c>
      <c r="L3964" s="42" t="n">
        <f aca="false">J3964*K3964</f>
        <v>156.75</v>
      </c>
      <c r="M3964" s="43" t="n">
        <f aca="false">H3964*73.58*(1+'Chart of Accounts'!$E$67)</f>
        <v>80.036645</v>
      </c>
    </row>
    <row r="3965" customFormat="false" ht="15" hidden="false" customHeight="false" outlineLevel="0" collapsed="false">
      <c r="B3965" s="7" t="s">
        <v>4462</v>
      </c>
      <c r="C3965" s="39" t="n">
        <v>45853</v>
      </c>
      <c r="D3965" s="7" t="s">
        <v>365</v>
      </c>
      <c r="E3965" s="7" t="s">
        <v>154</v>
      </c>
      <c r="F3965" s="7" t="s">
        <v>194</v>
      </c>
      <c r="G3965" s="7" t="s">
        <v>505</v>
      </c>
      <c r="H3965" s="6" t="n">
        <v>3.82</v>
      </c>
      <c r="I3965" s="6" t="n">
        <v>0</v>
      </c>
      <c r="J3965" s="40" t="n">
        <f aca="false">H3965-I3965</f>
        <v>3.82</v>
      </c>
      <c r="K3965" s="41" t="n">
        <v>26.5</v>
      </c>
      <c r="L3965" s="42" t="n">
        <f aca="false">J3965*K3965</f>
        <v>101.23</v>
      </c>
      <c r="M3965" s="43" t="n">
        <f aca="false">H3965*16*(1+'Chart of Accounts'!$E$67)</f>
        <v>69.9824</v>
      </c>
    </row>
    <row r="3966" customFormat="false" ht="15" hidden="false" customHeight="false" outlineLevel="0" collapsed="false">
      <c r="B3966" s="7" t="s">
        <v>4463</v>
      </c>
      <c r="C3966" s="39" t="n">
        <v>45853</v>
      </c>
      <c r="D3966" s="7" t="s">
        <v>381</v>
      </c>
      <c r="E3966" s="7" t="s">
        <v>157</v>
      </c>
      <c r="F3966" s="7" t="s">
        <v>234</v>
      </c>
      <c r="G3966" s="7" t="s">
        <v>502</v>
      </c>
      <c r="H3966" s="6" t="n">
        <v>1.03</v>
      </c>
      <c r="I3966" s="6" t="n">
        <v>0.052</v>
      </c>
      <c r="J3966" s="40" t="n">
        <f aca="false">H3966-I3966</f>
        <v>0.978</v>
      </c>
      <c r="K3966" s="41" t="n">
        <v>165</v>
      </c>
      <c r="L3966" s="42" t="n">
        <f aca="false">J3966*K3966</f>
        <v>161.37</v>
      </c>
      <c r="M3966" s="43" t="n">
        <f aca="false">H3966*89.53*(1+'Chart of Accounts'!$E$67)</f>
        <v>105.5872055</v>
      </c>
    </row>
    <row r="3967" customFormat="false" ht="15" hidden="false" customHeight="false" outlineLevel="0" collapsed="false">
      <c r="B3967" s="7" t="s">
        <v>4464</v>
      </c>
      <c r="C3967" s="39" t="n">
        <v>45853</v>
      </c>
      <c r="D3967" s="7" t="s">
        <v>389</v>
      </c>
      <c r="E3967" s="7" t="s">
        <v>154</v>
      </c>
      <c r="F3967" s="7" t="s">
        <v>246</v>
      </c>
      <c r="G3967" s="7" t="s">
        <v>505</v>
      </c>
      <c r="H3967" s="6" t="n">
        <v>4.3</v>
      </c>
      <c r="I3967" s="6" t="n">
        <v>0.129</v>
      </c>
      <c r="J3967" s="40" t="n">
        <f aca="false">H3967-I3967</f>
        <v>4.171</v>
      </c>
      <c r="K3967" s="41" t="n">
        <v>26.5</v>
      </c>
      <c r="L3967" s="42" t="n">
        <f aca="false">J3967*K3967</f>
        <v>110.5315</v>
      </c>
      <c r="M3967" s="43" t="n">
        <f aca="false">H3967*16.48*(1+'Chart of Accounts'!$E$67)</f>
        <v>81.13928</v>
      </c>
    </row>
    <row r="3968" customFormat="false" ht="15" hidden="false" customHeight="false" outlineLevel="0" collapsed="false">
      <c r="B3968" s="7" t="s">
        <v>4465</v>
      </c>
      <c r="C3968" s="39" t="n">
        <v>45853</v>
      </c>
      <c r="D3968" s="7" t="s">
        <v>391</v>
      </c>
      <c r="E3968" s="7" t="s">
        <v>156</v>
      </c>
      <c r="F3968" s="7" t="s">
        <v>222</v>
      </c>
      <c r="G3968" s="7" t="s">
        <v>505</v>
      </c>
      <c r="H3968" s="6" t="n">
        <v>4.06</v>
      </c>
      <c r="I3968" s="6" t="n">
        <v>0</v>
      </c>
      <c r="J3968" s="40" t="n">
        <f aca="false">H3968-I3968</f>
        <v>4.06</v>
      </c>
      <c r="K3968" s="41" t="n">
        <v>34</v>
      </c>
      <c r="L3968" s="42" t="n">
        <f aca="false">J3968*K3968</f>
        <v>138.04</v>
      </c>
      <c r="M3968" s="43" t="n">
        <f aca="false">H3968*17.84*(1+'Chart of Accounts'!$E$67)</f>
        <v>82.932808</v>
      </c>
    </row>
    <row r="3969" customFormat="false" ht="15" hidden="false" customHeight="false" outlineLevel="0" collapsed="false">
      <c r="B3969" s="7" t="s">
        <v>4466</v>
      </c>
      <c r="C3969" s="39" t="n">
        <v>45853</v>
      </c>
      <c r="D3969" s="7" t="s">
        <v>395</v>
      </c>
      <c r="E3969" s="7" t="s">
        <v>156</v>
      </c>
      <c r="F3969" s="7" t="s">
        <v>242</v>
      </c>
      <c r="G3969" s="7" t="s">
        <v>505</v>
      </c>
      <c r="H3969" s="6" t="n">
        <v>3.98</v>
      </c>
      <c r="I3969" s="6" t="n">
        <v>0</v>
      </c>
      <c r="J3969" s="40" t="n">
        <f aca="false">H3969-I3969</f>
        <v>3.98</v>
      </c>
      <c r="K3969" s="41" t="n">
        <v>34</v>
      </c>
      <c r="L3969" s="42" t="n">
        <f aca="false">J3969*K3969</f>
        <v>135.32</v>
      </c>
      <c r="M3969" s="43" t="n">
        <f aca="false">H3969*17.99*(1+'Chart of Accounts'!$E$67)</f>
        <v>81.982229</v>
      </c>
    </row>
    <row r="3970" customFormat="false" ht="15" hidden="false" customHeight="false" outlineLevel="0" collapsed="false">
      <c r="B3970" s="7" t="s">
        <v>4467</v>
      </c>
      <c r="C3970" s="39" t="n">
        <v>45853</v>
      </c>
      <c r="D3970" s="7" t="s">
        <v>397</v>
      </c>
      <c r="E3970" s="7" t="s">
        <v>159</v>
      </c>
      <c r="F3970" s="7" t="s">
        <v>203</v>
      </c>
      <c r="G3970" s="7" t="s">
        <v>502</v>
      </c>
      <c r="H3970" s="6" t="n">
        <v>0.95</v>
      </c>
      <c r="I3970" s="6" t="n">
        <v>0</v>
      </c>
      <c r="J3970" s="40" t="n">
        <f aca="false">H3970-I3970</f>
        <v>0.95</v>
      </c>
      <c r="K3970" s="41" t="n">
        <v>135</v>
      </c>
      <c r="L3970" s="42" t="n">
        <f aca="false">J3970*K3970</f>
        <v>128.25</v>
      </c>
      <c r="M3970" s="43" t="n">
        <f aca="false">H3970*49.43*(1+'Chart of Accounts'!$E$67)</f>
        <v>53.7674825</v>
      </c>
    </row>
    <row r="3971" customFormat="false" ht="15" hidden="false" customHeight="false" outlineLevel="0" collapsed="false">
      <c r="B3971" s="7" t="s">
        <v>4468</v>
      </c>
      <c r="C3971" s="39" t="n">
        <v>45853</v>
      </c>
      <c r="D3971" s="7" t="s">
        <v>401</v>
      </c>
      <c r="E3971" s="7" t="s">
        <v>156</v>
      </c>
      <c r="F3971" s="7" t="s">
        <v>254</v>
      </c>
      <c r="G3971" s="7" t="s">
        <v>505</v>
      </c>
      <c r="H3971" s="6" t="n">
        <v>4.01</v>
      </c>
      <c r="I3971" s="6" t="n">
        <v>0</v>
      </c>
      <c r="J3971" s="40" t="n">
        <f aca="false">H3971-I3971</f>
        <v>4.01</v>
      </c>
      <c r="K3971" s="41" t="n">
        <v>34</v>
      </c>
      <c r="L3971" s="42" t="n">
        <f aca="false">J3971*K3971</f>
        <v>136.34</v>
      </c>
      <c r="M3971" s="43" t="n">
        <f aca="false">H3971*17.1*(1+'Chart of Accounts'!$E$67)</f>
        <v>78.513795</v>
      </c>
    </row>
    <row r="3972" customFormat="false" ht="15" hidden="false" customHeight="false" outlineLevel="0" collapsed="false">
      <c r="B3972" s="7" t="s">
        <v>4469</v>
      </c>
      <c r="C3972" s="39" t="n">
        <v>45853</v>
      </c>
      <c r="D3972" s="7" t="s">
        <v>407</v>
      </c>
      <c r="E3972" s="7" t="s">
        <v>159</v>
      </c>
      <c r="F3972" s="7" t="s">
        <v>260</v>
      </c>
      <c r="G3972" s="7" t="s">
        <v>502</v>
      </c>
      <c r="H3972" s="6" t="n">
        <v>1.04</v>
      </c>
      <c r="I3972" s="6" t="n">
        <v>0</v>
      </c>
      <c r="J3972" s="40" t="n">
        <f aca="false">H3972-I3972</f>
        <v>1.04</v>
      </c>
      <c r="K3972" s="41" t="n">
        <v>135</v>
      </c>
      <c r="L3972" s="42" t="n">
        <f aca="false">J3972*K3972</f>
        <v>140.4</v>
      </c>
      <c r="M3972" s="43" t="n">
        <f aca="false">H3972*79.8*(1+'Chart of Accounts'!$E$67)</f>
        <v>95.02584</v>
      </c>
    </row>
    <row r="3973" customFormat="false" ht="15" hidden="false" customHeight="false" outlineLevel="0" collapsed="false">
      <c r="B3973" s="7" t="s">
        <v>4470</v>
      </c>
      <c r="C3973" s="39" t="n">
        <v>45854</v>
      </c>
      <c r="D3973" s="7" t="s">
        <v>280</v>
      </c>
      <c r="E3973" s="7" t="s">
        <v>157</v>
      </c>
      <c r="F3973" s="7" t="s">
        <v>187</v>
      </c>
      <c r="G3973" s="7" t="s">
        <v>502</v>
      </c>
      <c r="H3973" s="6" t="n">
        <v>0.95</v>
      </c>
      <c r="I3973" s="6" t="n">
        <v>0</v>
      </c>
      <c r="J3973" s="40" t="n">
        <f aca="false">H3973-I3973</f>
        <v>0.95</v>
      </c>
      <c r="K3973" s="41" t="n">
        <v>165</v>
      </c>
      <c r="L3973" s="42" t="n">
        <f aca="false">J3973*K3973</f>
        <v>156.75</v>
      </c>
      <c r="M3973" s="43" t="n">
        <f aca="false">H3973*66.48*(1+'Chart of Accounts'!$E$67)</f>
        <v>72.31362</v>
      </c>
    </row>
    <row r="3974" customFormat="false" ht="15" hidden="false" customHeight="false" outlineLevel="0" collapsed="false">
      <c r="B3974" s="7" t="s">
        <v>4471</v>
      </c>
      <c r="C3974" s="39" t="n">
        <v>45854</v>
      </c>
      <c r="D3974" s="7" t="s">
        <v>288</v>
      </c>
      <c r="E3974" s="7" t="s">
        <v>156</v>
      </c>
      <c r="F3974" s="7" t="s">
        <v>194</v>
      </c>
      <c r="G3974" s="7" t="s">
        <v>505</v>
      </c>
      <c r="H3974" s="6" t="n">
        <v>3.67</v>
      </c>
      <c r="I3974" s="6" t="n">
        <v>0</v>
      </c>
      <c r="J3974" s="40" t="n">
        <f aca="false">H3974-I3974</f>
        <v>3.67</v>
      </c>
      <c r="K3974" s="41" t="n">
        <v>34</v>
      </c>
      <c r="L3974" s="42" t="n">
        <f aca="false">J3974*K3974</f>
        <v>124.78</v>
      </c>
      <c r="M3974" s="43" t="n">
        <f aca="false">H3974*16*(1+'Chart of Accounts'!$E$67)</f>
        <v>67.2344</v>
      </c>
    </row>
    <row r="3975" customFormat="false" ht="15" hidden="false" customHeight="false" outlineLevel="0" collapsed="false">
      <c r="B3975" s="7" t="s">
        <v>4472</v>
      </c>
      <c r="C3975" s="39" t="n">
        <v>45854</v>
      </c>
      <c r="D3975" s="7" t="s">
        <v>291</v>
      </c>
      <c r="E3975" s="7" t="s">
        <v>154</v>
      </c>
      <c r="F3975" s="7" t="s">
        <v>194</v>
      </c>
      <c r="G3975" s="7" t="s">
        <v>505</v>
      </c>
      <c r="H3975" s="6" t="n">
        <v>5.05</v>
      </c>
      <c r="I3975" s="6" t="n">
        <v>0</v>
      </c>
      <c r="J3975" s="40" t="n">
        <f aca="false">H3975-I3975</f>
        <v>5.05</v>
      </c>
      <c r="K3975" s="41" t="n">
        <v>26.5</v>
      </c>
      <c r="L3975" s="42" t="n">
        <f aca="false">J3975*K3975</f>
        <v>133.825</v>
      </c>
      <c r="M3975" s="43" t="n">
        <f aca="false">H3975*16*(1+'Chart of Accounts'!$E$67)</f>
        <v>92.516</v>
      </c>
    </row>
    <row r="3976" customFormat="false" ht="15" hidden="false" customHeight="false" outlineLevel="0" collapsed="false">
      <c r="B3976" s="7" t="s">
        <v>4473</v>
      </c>
      <c r="C3976" s="39" t="n">
        <v>45854</v>
      </c>
      <c r="D3976" s="7" t="s">
        <v>305</v>
      </c>
      <c r="E3976" s="7" t="s">
        <v>154</v>
      </c>
      <c r="F3976" s="7" t="s">
        <v>205</v>
      </c>
      <c r="G3976" s="7" t="s">
        <v>505</v>
      </c>
      <c r="H3976" s="6" t="n">
        <v>3.62</v>
      </c>
      <c r="I3976" s="6" t="n">
        <v>0</v>
      </c>
      <c r="J3976" s="40" t="n">
        <f aca="false">H3976-I3976</f>
        <v>3.62</v>
      </c>
      <c r="K3976" s="41" t="n">
        <v>26.5</v>
      </c>
      <c r="L3976" s="42" t="n">
        <f aca="false">J3976*K3976</f>
        <v>95.93</v>
      </c>
      <c r="M3976" s="43" t="n">
        <f aca="false">H3976*16.36*(1+'Chart of Accounts'!$E$67)</f>
        <v>67.810564</v>
      </c>
    </row>
    <row r="3977" customFormat="false" ht="15" hidden="false" customHeight="false" outlineLevel="0" collapsed="false">
      <c r="B3977" s="7" t="s">
        <v>4474</v>
      </c>
      <c r="C3977" s="39" t="n">
        <v>45854</v>
      </c>
      <c r="D3977" s="7" t="s">
        <v>307</v>
      </c>
      <c r="E3977" s="7" t="s">
        <v>157</v>
      </c>
      <c r="F3977" s="7" t="s">
        <v>264</v>
      </c>
      <c r="G3977" s="7" t="s">
        <v>502</v>
      </c>
      <c r="H3977" s="6" t="n">
        <v>0.95</v>
      </c>
      <c r="I3977" s="6" t="n">
        <v>0.048</v>
      </c>
      <c r="J3977" s="40" t="n">
        <f aca="false">H3977-I3977</f>
        <v>0.902</v>
      </c>
      <c r="K3977" s="41" t="n">
        <v>165</v>
      </c>
      <c r="L3977" s="42" t="n">
        <f aca="false">J3977*K3977</f>
        <v>148.83</v>
      </c>
      <c r="M3977" s="43" t="n">
        <f aca="false">H3977*55.55*(1+'Chart of Accounts'!$E$67)</f>
        <v>60.4245125</v>
      </c>
    </row>
    <row r="3978" customFormat="false" ht="15" hidden="false" customHeight="false" outlineLevel="0" collapsed="false">
      <c r="B3978" s="7" t="s">
        <v>4475</v>
      </c>
      <c r="C3978" s="39" t="n">
        <v>45854</v>
      </c>
      <c r="D3978" s="7" t="s">
        <v>309</v>
      </c>
      <c r="E3978" s="7" t="s">
        <v>159</v>
      </c>
      <c r="F3978" s="7" t="s">
        <v>252</v>
      </c>
      <c r="G3978" s="7" t="s">
        <v>502</v>
      </c>
      <c r="H3978" s="6" t="n">
        <v>1.01</v>
      </c>
      <c r="I3978" s="6" t="n">
        <v>0.071</v>
      </c>
      <c r="J3978" s="40" t="n">
        <f aca="false">H3978-I3978</f>
        <v>0.939</v>
      </c>
      <c r="K3978" s="41" t="n">
        <v>135</v>
      </c>
      <c r="L3978" s="42" t="n">
        <f aca="false">J3978*K3978</f>
        <v>126.765</v>
      </c>
      <c r="M3978" s="43" t="n">
        <f aca="false">H3978*57.54*(1+'Chart of Accounts'!$E$67)</f>
        <v>66.542133</v>
      </c>
    </row>
    <row r="3979" customFormat="false" ht="15" hidden="false" customHeight="false" outlineLevel="0" collapsed="false">
      <c r="B3979" s="7" t="s">
        <v>4476</v>
      </c>
      <c r="C3979" s="39" t="n">
        <v>45854</v>
      </c>
      <c r="D3979" s="7" t="s">
        <v>313</v>
      </c>
      <c r="E3979" s="7" t="s">
        <v>156</v>
      </c>
      <c r="F3979" s="7" t="s">
        <v>184</v>
      </c>
      <c r="G3979" s="7" t="s">
        <v>505</v>
      </c>
      <c r="H3979" s="6" t="n">
        <v>3.66</v>
      </c>
      <c r="I3979" s="6" t="n">
        <v>0</v>
      </c>
      <c r="J3979" s="40" t="n">
        <f aca="false">H3979-I3979</f>
        <v>3.66</v>
      </c>
      <c r="K3979" s="41" t="n">
        <v>34</v>
      </c>
      <c r="L3979" s="42" t="n">
        <f aca="false">J3979*K3979</f>
        <v>124.44</v>
      </c>
      <c r="M3979" s="43" t="n">
        <f aca="false">H3979*17.34*(1+'Chart of Accounts'!$E$67)</f>
        <v>72.666738</v>
      </c>
    </row>
    <row r="3980" customFormat="false" ht="15" hidden="false" customHeight="false" outlineLevel="0" collapsed="false">
      <c r="B3980" s="7" t="s">
        <v>4477</v>
      </c>
      <c r="C3980" s="39" t="n">
        <v>45854</v>
      </c>
      <c r="D3980" s="7" t="s">
        <v>321</v>
      </c>
      <c r="E3980" s="7" t="s">
        <v>154</v>
      </c>
      <c r="F3980" s="7" t="s">
        <v>218</v>
      </c>
      <c r="G3980" s="7" t="s">
        <v>505</v>
      </c>
      <c r="H3980" s="6" t="n">
        <v>3.87</v>
      </c>
      <c r="I3980" s="6" t="n">
        <v>0.116</v>
      </c>
      <c r="J3980" s="40" t="n">
        <f aca="false">H3980-I3980</f>
        <v>3.754</v>
      </c>
      <c r="K3980" s="41" t="n">
        <v>26.5</v>
      </c>
      <c r="L3980" s="42" t="n">
        <f aca="false">J3980*K3980</f>
        <v>99.481</v>
      </c>
      <c r="M3980" s="43" t="n">
        <f aca="false">H3980*16.19*(1+'Chart of Accounts'!$E$67)</f>
        <v>71.7403185</v>
      </c>
    </row>
    <row r="3981" customFormat="false" ht="15" hidden="false" customHeight="false" outlineLevel="0" collapsed="false">
      <c r="B3981" s="7" t="s">
        <v>4478</v>
      </c>
      <c r="C3981" s="39" t="n">
        <v>45854</v>
      </c>
      <c r="D3981" s="7" t="s">
        <v>329</v>
      </c>
      <c r="E3981" s="7" t="s">
        <v>156</v>
      </c>
      <c r="F3981" s="7" t="s">
        <v>220</v>
      </c>
      <c r="G3981" s="7" t="s">
        <v>505</v>
      </c>
      <c r="H3981" s="6" t="n">
        <v>4.07</v>
      </c>
      <c r="I3981" s="6" t="n">
        <v>0</v>
      </c>
      <c r="J3981" s="40" t="n">
        <f aca="false">H3981-I3981</f>
        <v>4.07</v>
      </c>
      <c r="K3981" s="41" t="n">
        <v>34</v>
      </c>
      <c r="L3981" s="42" t="n">
        <f aca="false">J3981*K3981</f>
        <v>138.38</v>
      </c>
      <c r="M3981" s="43" t="n">
        <f aca="false">H3981*16.43*(1+'Chart of Accounts'!$E$67)</f>
        <v>76.5662645</v>
      </c>
    </row>
    <row r="3982" customFormat="false" ht="15" hidden="false" customHeight="false" outlineLevel="0" collapsed="false">
      <c r="B3982" s="7" t="s">
        <v>4479</v>
      </c>
      <c r="C3982" s="39" t="n">
        <v>45854</v>
      </c>
      <c r="D3982" s="7" t="s">
        <v>335</v>
      </c>
      <c r="E3982" s="7" t="s">
        <v>154</v>
      </c>
      <c r="F3982" s="7" t="s">
        <v>177</v>
      </c>
      <c r="G3982" s="7" t="s">
        <v>505</v>
      </c>
      <c r="H3982" s="6" t="n">
        <v>4.1</v>
      </c>
      <c r="I3982" s="6" t="n">
        <v>0</v>
      </c>
      <c r="J3982" s="40" t="n">
        <f aca="false">H3982-I3982</f>
        <v>4.1</v>
      </c>
      <c r="K3982" s="41" t="n">
        <v>26.5</v>
      </c>
      <c r="L3982" s="42" t="n">
        <f aca="false">J3982*K3982</f>
        <v>108.65</v>
      </c>
      <c r="M3982" s="43" t="n">
        <f aca="false">H3982*14.56*(1+'Chart of Accounts'!$E$67)</f>
        <v>68.35192</v>
      </c>
    </row>
    <row r="3983" customFormat="false" ht="15" hidden="false" customHeight="false" outlineLevel="0" collapsed="false">
      <c r="B3983" s="7" t="s">
        <v>4480</v>
      </c>
      <c r="C3983" s="39" t="n">
        <v>45854</v>
      </c>
      <c r="D3983" s="7" t="s">
        <v>339</v>
      </c>
      <c r="E3983" s="7" t="s">
        <v>154</v>
      </c>
      <c r="F3983" s="7" t="s">
        <v>242</v>
      </c>
      <c r="G3983" s="7" t="s">
        <v>505</v>
      </c>
      <c r="H3983" s="6" t="n">
        <v>3.41</v>
      </c>
      <c r="I3983" s="6" t="n">
        <v>0.102</v>
      </c>
      <c r="J3983" s="40" t="n">
        <f aca="false">H3983-I3983</f>
        <v>3.308</v>
      </c>
      <c r="K3983" s="41" t="n">
        <v>26.5</v>
      </c>
      <c r="L3983" s="42" t="n">
        <f aca="false">J3983*K3983</f>
        <v>87.662</v>
      </c>
      <c r="M3983" s="43" t="n">
        <f aca="false">H3983*17.99*(1+'Chart of Accounts'!$E$67)</f>
        <v>70.2410555</v>
      </c>
    </row>
    <row r="3984" customFormat="false" ht="15" hidden="false" customHeight="false" outlineLevel="0" collapsed="false">
      <c r="B3984" s="7" t="s">
        <v>4481</v>
      </c>
      <c r="C3984" s="39" t="n">
        <v>45854</v>
      </c>
      <c r="D3984" s="7" t="s">
        <v>347</v>
      </c>
      <c r="E3984" s="7" t="s">
        <v>154</v>
      </c>
      <c r="F3984" s="7" t="s">
        <v>238</v>
      </c>
      <c r="G3984" s="7" t="s">
        <v>505</v>
      </c>
      <c r="H3984" s="6" t="n">
        <v>5.06</v>
      </c>
      <c r="I3984" s="6" t="n">
        <v>0</v>
      </c>
      <c r="J3984" s="40" t="n">
        <f aca="false">H3984-I3984</f>
        <v>5.06</v>
      </c>
      <c r="K3984" s="41" t="n">
        <v>26.5</v>
      </c>
      <c r="L3984" s="42" t="n">
        <f aca="false">J3984*K3984</f>
        <v>134.09</v>
      </c>
      <c r="M3984" s="43" t="n">
        <f aca="false">H3984*15.85*(1+'Chart of Accounts'!$E$67)</f>
        <v>91.830145</v>
      </c>
    </row>
    <row r="3985" customFormat="false" ht="15" hidden="false" customHeight="false" outlineLevel="0" collapsed="false">
      <c r="B3985" s="7" t="s">
        <v>4482</v>
      </c>
      <c r="C3985" s="39" t="n">
        <v>45854</v>
      </c>
      <c r="D3985" s="7" t="s">
        <v>353</v>
      </c>
      <c r="E3985" s="7" t="s">
        <v>154</v>
      </c>
      <c r="F3985" s="7" t="s">
        <v>254</v>
      </c>
      <c r="G3985" s="7" t="s">
        <v>505</v>
      </c>
      <c r="H3985" s="6" t="n">
        <v>3.48</v>
      </c>
      <c r="I3985" s="6" t="n">
        <v>0</v>
      </c>
      <c r="J3985" s="40" t="n">
        <f aca="false">H3985-I3985</f>
        <v>3.48</v>
      </c>
      <c r="K3985" s="41" t="n">
        <v>26.5</v>
      </c>
      <c r="L3985" s="42" t="n">
        <f aca="false">J3985*K3985</f>
        <v>92.22</v>
      </c>
      <c r="M3985" s="43" t="n">
        <f aca="false">H3985*17.1*(1+'Chart of Accounts'!$E$67)</f>
        <v>68.13666</v>
      </c>
    </row>
    <row r="3986" customFormat="false" ht="15" hidden="false" customHeight="false" outlineLevel="0" collapsed="false">
      <c r="B3986" s="7" t="s">
        <v>4483</v>
      </c>
      <c r="C3986" s="39" t="n">
        <v>45854</v>
      </c>
      <c r="D3986" s="7" t="s">
        <v>355</v>
      </c>
      <c r="E3986" s="7" t="s">
        <v>154</v>
      </c>
      <c r="F3986" s="7" t="s">
        <v>201</v>
      </c>
      <c r="G3986" s="7" t="s">
        <v>505</v>
      </c>
      <c r="H3986" s="6" t="n">
        <v>3.46</v>
      </c>
      <c r="I3986" s="6" t="n">
        <v>0</v>
      </c>
      <c r="J3986" s="40" t="n">
        <f aca="false">H3986-I3986</f>
        <v>3.46</v>
      </c>
      <c r="K3986" s="41" t="n">
        <v>26.5</v>
      </c>
      <c r="L3986" s="42" t="n">
        <f aca="false">J3986*K3986</f>
        <v>91.69</v>
      </c>
      <c r="M3986" s="43" t="n">
        <f aca="false">H3986*15.19*(1+'Chart of Accounts'!$E$67)</f>
        <v>60.178223</v>
      </c>
    </row>
    <row r="3987" customFormat="false" ht="15" hidden="false" customHeight="false" outlineLevel="0" collapsed="false">
      <c r="B3987" s="7" t="s">
        <v>4484</v>
      </c>
      <c r="C3987" s="39" t="n">
        <v>45854</v>
      </c>
      <c r="D3987" s="7" t="s">
        <v>357</v>
      </c>
      <c r="E3987" s="7" t="s">
        <v>154</v>
      </c>
      <c r="F3987" s="7" t="s">
        <v>207</v>
      </c>
      <c r="G3987" s="7" t="s">
        <v>505</v>
      </c>
      <c r="H3987" s="6" t="n">
        <v>3.26</v>
      </c>
      <c r="I3987" s="6" t="n">
        <v>0</v>
      </c>
      <c r="J3987" s="40" t="n">
        <f aca="false">H3987-I3987</f>
        <v>3.26</v>
      </c>
      <c r="K3987" s="41" t="n">
        <v>26.5</v>
      </c>
      <c r="L3987" s="42" t="n">
        <f aca="false">J3987*K3987</f>
        <v>86.39</v>
      </c>
      <c r="M3987" s="43" t="n">
        <f aca="false">H3987*16.65*(1+'Chart of Accounts'!$E$67)</f>
        <v>62.149455</v>
      </c>
    </row>
    <row r="3988" customFormat="false" ht="15" hidden="false" customHeight="false" outlineLevel="0" collapsed="false">
      <c r="B3988" s="7" t="s">
        <v>4485</v>
      </c>
      <c r="C3988" s="39" t="n">
        <v>45854</v>
      </c>
      <c r="D3988" s="7" t="s">
        <v>359</v>
      </c>
      <c r="E3988" s="7" t="s">
        <v>156</v>
      </c>
      <c r="F3988" s="7" t="s">
        <v>244</v>
      </c>
      <c r="G3988" s="7" t="s">
        <v>505</v>
      </c>
      <c r="H3988" s="6" t="n">
        <v>4.25</v>
      </c>
      <c r="I3988" s="6" t="n">
        <v>0</v>
      </c>
      <c r="J3988" s="40" t="n">
        <f aca="false">H3988-I3988</f>
        <v>4.25</v>
      </c>
      <c r="K3988" s="41" t="n">
        <v>34</v>
      </c>
      <c r="L3988" s="42" t="n">
        <f aca="false">J3988*K3988</f>
        <v>144.5</v>
      </c>
      <c r="M3988" s="43" t="n">
        <f aca="false">H3988*16.39*(1+'Chart of Accounts'!$E$67)</f>
        <v>79.7578375</v>
      </c>
    </row>
    <row r="3989" customFormat="false" ht="15" hidden="false" customHeight="false" outlineLevel="0" collapsed="false">
      <c r="B3989" s="7" t="s">
        <v>4486</v>
      </c>
      <c r="C3989" s="39" t="n">
        <v>45854</v>
      </c>
      <c r="D3989" s="7" t="s">
        <v>365</v>
      </c>
      <c r="E3989" s="7" t="s">
        <v>154</v>
      </c>
      <c r="F3989" s="7" t="s">
        <v>194</v>
      </c>
      <c r="G3989" s="7" t="s">
        <v>505</v>
      </c>
      <c r="H3989" s="6" t="n">
        <v>3.75</v>
      </c>
      <c r="I3989" s="6" t="n">
        <v>0</v>
      </c>
      <c r="J3989" s="40" t="n">
        <f aca="false">H3989-I3989</f>
        <v>3.75</v>
      </c>
      <c r="K3989" s="41" t="n">
        <v>26.5</v>
      </c>
      <c r="L3989" s="42" t="n">
        <f aca="false">J3989*K3989</f>
        <v>99.375</v>
      </c>
      <c r="M3989" s="43" t="n">
        <f aca="false">H3989*16*(1+'Chart of Accounts'!$E$67)</f>
        <v>68.7</v>
      </c>
    </row>
    <row r="3990" customFormat="false" ht="15" hidden="false" customHeight="false" outlineLevel="0" collapsed="false">
      <c r="B3990" s="7" t="s">
        <v>4487</v>
      </c>
      <c r="C3990" s="39" t="n">
        <v>45854</v>
      </c>
      <c r="D3990" s="7" t="s">
        <v>371</v>
      </c>
      <c r="E3990" s="7" t="s">
        <v>154</v>
      </c>
      <c r="F3990" s="7" t="s">
        <v>232</v>
      </c>
      <c r="G3990" s="7" t="s">
        <v>505</v>
      </c>
      <c r="H3990" s="6" t="n">
        <v>5.01</v>
      </c>
      <c r="I3990" s="6" t="n">
        <v>0</v>
      </c>
      <c r="J3990" s="40" t="n">
        <f aca="false">H3990-I3990</f>
        <v>5.01</v>
      </c>
      <c r="K3990" s="41" t="n">
        <v>26.5</v>
      </c>
      <c r="L3990" s="42" t="n">
        <f aca="false">J3990*K3990</f>
        <v>132.765</v>
      </c>
      <c r="M3990" s="43" t="n">
        <f aca="false">H3990*16.17*(1+'Chart of Accounts'!$E$67)</f>
        <v>92.7583965</v>
      </c>
    </row>
    <row r="3991" customFormat="false" ht="15" hidden="false" customHeight="false" outlineLevel="0" collapsed="false">
      <c r="B3991" s="7" t="s">
        <v>4488</v>
      </c>
      <c r="C3991" s="39" t="n">
        <v>45854</v>
      </c>
      <c r="D3991" s="7" t="s">
        <v>379</v>
      </c>
      <c r="E3991" s="7" t="s">
        <v>156</v>
      </c>
      <c r="F3991" s="7" t="s">
        <v>224</v>
      </c>
      <c r="G3991" s="7" t="s">
        <v>505</v>
      </c>
      <c r="H3991" s="6" t="n">
        <v>4.21</v>
      </c>
      <c r="I3991" s="6" t="n">
        <v>0</v>
      </c>
      <c r="J3991" s="40" t="n">
        <f aca="false">H3991-I3991</f>
        <v>4.21</v>
      </c>
      <c r="K3991" s="41" t="n">
        <v>34</v>
      </c>
      <c r="L3991" s="42" t="n">
        <f aca="false">J3991*K3991</f>
        <v>143.14</v>
      </c>
      <c r="M3991" s="43" t="n">
        <f aca="false">H3991*14.93*(1+'Chart of Accounts'!$E$67)</f>
        <v>71.9693185</v>
      </c>
    </row>
    <row r="3992" customFormat="false" ht="15" hidden="false" customHeight="false" outlineLevel="0" collapsed="false">
      <c r="B3992" s="7" t="s">
        <v>4489</v>
      </c>
      <c r="C3992" s="39" t="n">
        <v>45854</v>
      </c>
      <c r="D3992" s="7" t="s">
        <v>385</v>
      </c>
      <c r="E3992" s="7" t="s">
        <v>156</v>
      </c>
      <c r="F3992" s="7" t="s">
        <v>238</v>
      </c>
      <c r="G3992" s="7" t="s">
        <v>505</v>
      </c>
      <c r="H3992" s="6" t="n">
        <v>3.72</v>
      </c>
      <c r="I3992" s="6" t="n">
        <v>0</v>
      </c>
      <c r="J3992" s="40" t="n">
        <f aca="false">H3992-I3992</f>
        <v>3.72</v>
      </c>
      <c r="K3992" s="41" t="n">
        <v>34</v>
      </c>
      <c r="L3992" s="42" t="n">
        <f aca="false">J3992*K3992</f>
        <v>126.48</v>
      </c>
      <c r="M3992" s="43" t="n">
        <f aca="false">H3992*15.85*(1+'Chart of Accounts'!$E$67)</f>
        <v>67.51149</v>
      </c>
    </row>
    <row r="3993" customFormat="false" ht="15" hidden="false" customHeight="false" outlineLevel="0" collapsed="false">
      <c r="B3993" s="7" t="s">
        <v>4490</v>
      </c>
      <c r="C3993" s="39" t="n">
        <v>45854</v>
      </c>
      <c r="D3993" s="7" t="s">
        <v>389</v>
      </c>
      <c r="E3993" s="7" t="s">
        <v>154</v>
      </c>
      <c r="F3993" s="7" t="s">
        <v>246</v>
      </c>
      <c r="G3993" s="7" t="s">
        <v>505</v>
      </c>
      <c r="H3993" s="6" t="n">
        <v>4.16</v>
      </c>
      <c r="I3993" s="6" t="n">
        <v>0.125</v>
      </c>
      <c r="J3993" s="40" t="n">
        <f aca="false">H3993-I3993</f>
        <v>4.035</v>
      </c>
      <c r="K3993" s="41" t="n">
        <v>26.5</v>
      </c>
      <c r="L3993" s="42" t="n">
        <f aca="false">J3993*K3993</f>
        <v>106.9275</v>
      </c>
      <c r="M3993" s="43" t="n">
        <f aca="false">H3993*16.48*(1+'Chart of Accounts'!$E$67)</f>
        <v>78.497536</v>
      </c>
    </row>
    <row r="3994" customFormat="false" ht="15" hidden="false" customHeight="false" outlineLevel="0" collapsed="false">
      <c r="B3994" s="7" t="s">
        <v>4491</v>
      </c>
      <c r="C3994" s="39" t="n">
        <v>45854</v>
      </c>
      <c r="D3994" s="7" t="s">
        <v>391</v>
      </c>
      <c r="E3994" s="7" t="s">
        <v>156</v>
      </c>
      <c r="F3994" s="7" t="s">
        <v>222</v>
      </c>
      <c r="G3994" s="7" t="s">
        <v>505</v>
      </c>
      <c r="H3994" s="6" t="n">
        <v>3.75</v>
      </c>
      <c r="I3994" s="6" t="n">
        <v>0</v>
      </c>
      <c r="J3994" s="40" t="n">
        <f aca="false">H3994-I3994</f>
        <v>3.75</v>
      </c>
      <c r="K3994" s="41" t="n">
        <v>34</v>
      </c>
      <c r="L3994" s="42" t="n">
        <f aca="false">J3994*K3994</f>
        <v>127.5</v>
      </c>
      <c r="M3994" s="43" t="n">
        <f aca="false">H3994*17.84*(1+'Chart of Accounts'!$E$67)</f>
        <v>76.6005</v>
      </c>
    </row>
    <row r="3995" customFormat="false" ht="15" hidden="false" customHeight="false" outlineLevel="0" collapsed="false">
      <c r="B3995" s="7" t="s">
        <v>4492</v>
      </c>
      <c r="C3995" s="39" t="n">
        <v>45854</v>
      </c>
      <c r="D3995" s="7" t="s">
        <v>393</v>
      </c>
      <c r="E3995" s="7" t="s">
        <v>157</v>
      </c>
      <c r="F3995" s="7" t="s">
        <v>203</v>
      </c>
      <c r="G3995" s="7" t="s">
        <v>502</v>
      </c>
      <c r="H3995" s="6" t="n">
        <v>0.93</v>
      </c>
      <c r="I3995" s="6" t="n">
        <v>0</v>
      </c>
      <c r="J3995" s="40" t="n">
        <f aca="false">H3995-I3995</f>
        <v>0.93</v>
      </c>
      <c r="K3995" s="41" t="n">
        <v>165</v>
      </c>
      <c r="L3995" s="42" t="n">
        <f aca="false">J3995*K3995</f>
        <v>153.45</v>
      </c>
      <c r="M3995" s="43" t="n">
        <f aca="false">H3995*49.43*(1+'Chart of Accounts'!$E$67)</f>
        <v>52.6355355</v>
      </c>
    </row>
    <row r="3996" customFormat="false" ht="15" hidden="false" customHeight="false" outlineLevel="0" collapsed="false">
      <c r="B3996" s="7" t="s">
        <v>4493</v>
      </c>
      <c r="C3996" s="39" t="n">
        <v>45854</v>
      </c>
      <c r="D3996" s="7" t="s">
        <v>395</v>
      </c>
      <c r="E3996" s="7" t="s">
        <v>156</v>
      </c>
      <c r="F3996" s="7" t="s">
        <v>242</v>
      </c>
      <c r="G3996" s="7" t="s">
        <v>505</v>
      </c>
      <c r="H3996" s="6" t="n">
        <v>4.08</v>
      </c>
      <c r="I3996" s="6" t="n">
        <v>0</v>
      </c>
      <c r="J3996" s="40" t="n">
        <f aca="false">H3996-I3996</f>
        <v>4.08</v>
      </c>
      <c r="K3996" s="41" t="n">
        <v>34</v>
      </c>
      <c r="L3996" s="42" t="n">
        <f aca="false">J3996*K3996</f>
        <v>138.72</v>
      </c>
      <c r="M3996" s="43" t="n">
        <f aca="false">H3996*17.99*(1+'Chart of Accounts'!$E$67)</f>
        <v>84.042084</v>
      </c>
    </row>
    <row r="3997" customFormat="false" ht="15" hidden="false" customHeight="false" outlineLevel="0" collapsed="false">
      <c r="B3997" s="7" t="s">
        <v>4494</v>
      </c>
      <c r="C3997" s="39" t="n">
        <v>45854</v>
      </c>
      <c r="D3997" s="7" t="s">
        <v>399</v>
      </c>
      <c r="E3997" s="7" t="s">
        <v>154</v>
      </c>
      <c r="F3997" s="7" t="s">
        <v>214</v>
      </c>
      <c r="G3997" s="7" t="s">
        <v>505</v>
      </c>
      <c r="H3997" s="6" t="n">
        <v>3.28</v>
      </c>
      <c r="I3997" s="6" t="n">
        <v>0</v>
      </c>
      <c r="J3997" s="40" t="n">
        <f aca="false">H3997-I3997</f>
        <v>3.28</v>
      </c>
      <c r="K3997" s="41" t="n">
        <v>26.5</v>
      </c>
      <c r="L3997" s="42" t="n">
        <f aca="false">J3997*K3997</f>
        <v>86.92</v>
      </c>
      <c r="M3997" s="43" t="n">
        <f aca="false">H3997*15.67*(1+'Chart of Accounts'!$E$67)</f>
        <v>58.850252</v>
      </c>
    </row>
    <row r="3998" customFormat="false" ht="15" hidden="false" customHeight="false" outlineLevel="0" collapsed="false">
      <c r="B3998" s="7" t="s">
        <v>4495</v>
      </c>
      <c r="C3998" s="39" t="n">
        <v>45854</v>
      </c>
      <c r="D3998" s="7" t="s">
        <v>401</v>
      </c>
      <c r="E3998" s="7" t="s">
        <v>156</v>
      </c>
      <c r="F3998" s="7" t="s">
        <v>254</v>
      </c>
      <c r="G3998" s="7" t="s">
        <v>505</v>
      </c>
      <c r="H3998" s="6" t="n">
        <v>4.12</v>
      </c>
      <c r="I3998" s="6" t="n">
        <v>0</v>
      </c>
      <c r="J3998" s="40" t="n">
        <f aca="false">H3998-I3998</f>
        <v>4.12</v>
      </c>
      <c r="K3998" s="41" t="n">
        <v>34</v>
      </c>
      <c r="L3998" s="42" t="n">
        <f aca="false">J3998*K3998</f>
        <v>140.08</v>
      </c>
      <c r="M3998" s="43" t="n">
        <f aca="false">H3998*17.1*(1+'Chart of Accounts'!$E$67)</f>
        <v>80.66754</v>
      </c>
    </row>
    <row r="3999" customFormat="false" ht="15" hidden="false" customHeight="false" outlineLevel="0" collapsed="false">
      <c r="B3999" s="7" t="s">
        <v>4496</v>
      </c>
      <c r="C3999" s="39" t="n">
        <v>45854</v>
      </c>
      <c r="D3999" s="7" t="s">
        <v>409</v>
      </c>
      <c r="E3999" s="7" t="s">
        <v>154</v>
      </c>
      <c r="F3999" s="7" t="s">
        <v>214</v>
      </c>
      <c r="G3999" s="7" t="s">
        <v>505</v>
      </c>
      <c r="H3999" s="6" t="n">
        <v>3.5</v>
      </c>
      <c r="I3999" s="6" t="n">
        <v>0.105</v>
      </c>
      <c r="J3999" s="40" t="n">
        <f aca="false">H3999-I3999</f>
        <v>3.395</v>
      </c>
      <c r="K3999" s="41" t="n">
        <v>26.5</v>
      </c>
      <c r="L3999" s="42" t="n">
        <f aca="false">J3999*K3999</f>
        <v>89.9675</v>
      </c>
      <c r="M3999" s="43" t="n">
        <f aca="false">H3999*15.67*(1+'Chart of Accounts'!$E$67)</f>
        <v>62.797525</v>
      </c>
    </row>
    <row r="4000" customFormat="false" ht="15" hidden="false" customHeight="false" outlineLevel="0" collapsed="false">
      <c r="B4000" s="7" t="s">
        <v>4497</v>
      </c>
      <c r="C4000" s="39" t="n">
        <v>45854</v>
      </c>
      <c r="D4000" s="7" t="s">
        <v>411</v>
      </c>
      <c r="E4000" s="7" t="s">
        <v>154</v>
      </c>
      <c r="F4000" s="7" t="s">
        <v>177</v>
      </c>
      <c r="G4000" s="7" t="s">
        <v>505</v>
      </c>
      <c r="H4000" s="6" t="n">
        <v>4.52</v>
      </c>
      <c r="I4000" s="6" t="n">
        <v>0</v>
      </c>
      <c r="J4000" s="40" t="n">
        <f aca="false">H4000-I4000</f>
        <v>4.52</v>
      </c>
      <c r="K4000" s="41" t="n">
        <v>26.5</v>
      </c>
      <c r="L4000" s="42" t="n">
        <f aca="false">J4000*K4000</f>
        <v>119.78</v>
      </c>
      <c r="M4000" s="43" t="n">
        <f aca="false">H4000*14.56*(1+'Chart of Accounts'!$E$67)</f>
        <v>75.353824</v>
      </c>
    </row>
    <row r="4001" customFormat="false" ht="15" hidden="false" customHeight="false" outlineLevel="0" collapsed="false">
      <c r="B4001" s="7" t="s">
        <v>4498</v>
      </c>
      <c r="C4001" s="39" t="n">
        <v>45855</v>
      </c>
      <c r="D4001" s="7" t="s">
        <v>288</v>
      </c>
      <c r="E4001" s="7" t="s">
        <v>156</v>
      </c>
      <c r="F4001" s="7" t="s">
        <v>242</v>
      </c>
      <c r="G4001" s="7" t="s">
        <v>505</v>
      </c>
      <c r="H4001" s="6" t="n">
        <v>4.25</v>
      </c>
      <c r="I4001" s="6" t="n">
        <v>0</v>
      </c>
      <c r="J4001" s="40" t="n">
        <f aca="false">H4001-I4001</f>
        <v>4.25</v>
      </c>
      <c r="K4001" s="41" t="n">
        <v>34</v>
      </c>
      <c r="L4001" s="42" t="n">
        <f aca="false">J4001*K4001</f>
        <v>144.5</v>
      </c>
      <c r="M4001" s="43" t="n">
        <f aca="false">H4001*17.99*(1+'Chart of Accounts'!$E$67)</f>
        <v>87.5438375</v>
      </c>
    </row>
    <row r="4002" customFormat="false" ht="15" hidden="false" customHeight="false" outlineLevel="0" collapsed="false">
      <c r="B4002" s="7" t="s">
        <v>4499</v>
      </c>
      <c r="C4002" s="39" t="n">
        <v>45855</v>
      </c>
      <c r="D4002" s="7" t="s">
        <v>297</v>
      </c>
      <c r="E4002" s="7" t="s">
        <v>156</v>
      </c>
      <c r="F4002" s="7" t="s">
        <v>201</v>
      </c>
      <c r="G4002" s="7" t="s">
        <v>505</v>
      </c>
      <c r="H4002" s="6" t="n">
        <v>3.15</v>
      </c>
      <c r="I4002" s="6" t="n">
        <v>0</v>
      </c>
      <c r="J4002" s="40" t="n">
        <f aca="false">H4002-I4002</f>
        <v>3.15</v>
      </c>
      <c r="K4002" s="41" t="n">
        <v>34</v>
      </c>
      <c r="L4002" s="42" t="n">
        <f aca="false">J4002*K4002</f>
        <v>107.1</v>
      </c>
      <c r="M4002" s="43" t="n">
        <f aca="false">H4002*15.19*(1+'Chart of Accounts'!$E$67)</f>
        <v>54.7865325</v>
      </c>
    </row>
    <row r="4003" customFormat="false" ht="15" hidden="false" customHeight="false" outlineLevel="0" collapsed="false">
      <c r="B4003" s="7" t="s">
        <v>4500</v>
      </c>
      <c r="C4003" s="39" t="n">
        <v>45855</v>
      </c>
      <c r="D4003" s="7" t="s">
        <v>311</v>
      </c>
      <c r="E4003" s="7" t="s">
        <v>154</v>
      </c>
      <c r="F4003" s="7" t="s">
        <v>196</v>
      </c>
      <c r="G4003" s="7" t="s">
        <v>505</v>
      </c>
      <c r="H4003" s="6" t="n">
        <v>3.25</v>
      </c>
      <c r="I4003" s="6" t="n">
        <v>0</v>
      </c>
      <c r="J4003" s="40" t="n">
        <f aca="false">H4003-I4003</f>
        <v>3.25</v>
      </c>
      <c r="K4003" s="41" t="n">
        <v>26.5</v>
      </c>
      <c r="L4003" s="42" t="n">
        <f aca="false">J4003*K4003</f>
        <v>86.125</v>
      </c>
      <c r="M4003" s="43" t="n">
        <f aca="false">H4003*15.05*(1+'Chart of Accounts'!$E$67)</f>
        <v>56.0048125</v>
      </c>
    </row>
    <row r="4004" customFormat="false" ht="15" hidden="false" customHeight="false" outlineLevel="0" collapsed="false">
      <c r="B4004" s="7" t="s">
        <v>4501</v>
      </c>
      <c r="C4004" s="39" t="n">
        <v>45855</v>
      </c>
      <c r="D4004" s="7" t="s">
        <v>313</v>
      </c>
      <c r="E4004" s="7" t="s">
        <v>156</v>
      </c>
      <c r="F4004" s="7" t="s">
        <v>184</v>
      </c>
      <c r="G4004" s="7" t="s">
        <v>505</v>
      </c>
      <c r="H4004" s="6" t="n">
        <v>4.14</v>
      </c>
      <c r="I4004" s="6" t="n">
        <v>0</v>
      </c>
      <c r="J4004" s="40" t="n">
        <f aca="false">H4004-I4004</f>
        <v>4.14</v>
      </c>
      <c r="K4004" s="41" t="n">
        <v>34</v>
      </c>
      <c r="L4004" s="42" t="n">
        <f aca="false">J4004*K4004</f>
        <v>140.76</v>
      </c>
      <c r="M4004" s="43" t="n">
        <f aca="false">H4004*17.34*(1+'Chart of Accounts'!$E$67)</f>
        <v>82.196802</v>
      </c>
    </row>
    <row r="4005" customFormat="false" ht="15" hidden="false" customHeight="false" outlineLevel="0" collapsed="false">
      <c r="B4005" s="7" t="s">
        <v>4502</v>
      </c>
      <c r="C4005" s="39" t="n">
        <v>45855</v>
      </c>
      <c r="D4005" s="7" t="s">
        <v>317</v>
      </c>
      <c r="E4005" s="7" t="s">
        <v>156</v>
      </c>
      <c r="F4005" s="7" t="s">
        <v>207</v>
      </c>
      <c r="G4005" s="7" t="s">
        <v>505</v>
      </c>
      <c r="H4005" s="6" t="n">
        <v>3.2</v>
      </c>
      <c r="I4005" s="6" t="n">
        <v>0</v>
      </c>
      <c r="J4005" s="40" t="n">
        <f aca="false">H4005-I4005</f>
        <v>3.2</v>
      </c>
      <c r="K4005" s="41" t="n">
        <v>34</v>
      </c>
      <c r="L4005" s="42" t="n">
        <f aca="false">J4005*K4005</f>
        <v>108.8</v>
      </c>
      <c r="M4005" s="43" t="n">
        <f aca="false">H4005*16.65*(1+'Chart of Accounts'!$E$67)</f>
        <v>61.0056</v>
      </c>
    </row>
    <row r="4006" customFormat="false" ht="15" hidden="false" customHeight="false" outlineLevel="0" collapsed="false">
      <c r="B4006" s="7" t="s">
        <v>4503</v>
      </c>
      <c r="C4006" s="39" t="n">
        <v>45855</v>
      </c>
      <c r="D4006" s="7" t="s">
        <v>321</v>
      </c>
      <c r="E4006" s="7" t="s">
        <v>154</v>
      </c>
      <c r="F4006" s="7" t="s">
        <v>218</v>
      </c>
      <c r="G4006" s="7" t="s">
        <v>505</v>
      </c>
      <c r="H4006" s="6" t="n">
        <v>3.98</v>
      </c>
      <c r="I4006" s="6" t="n">
        <v>0</v>
      </c>
      <c r="J4006" s="40" t="n">
        <f aca="false">H4006-I4006</f>
        <v>3.98</v>
      </c>
      <c r="K4006" s="41" t="n">
        <v>26.5</v>
      </c>
      <c r="L4006" s="42" t="n">
        <f aca="false">J4006*K4006</f>
        <v>105.47</v>
      </c>
      <c r="M4006" s="43" t="n">
        <f aca="false">H4006*16.19*(1+'Chart of Accounts'!$E$67)</f>
        <v>73.779449</v>
      </c>
    </row>
    <row r="4007" customFormat="false" ht="15" hidden="false" customHeight="false" outlineLevel="0" collapsed="false">
      <c r="B4007" s="7" t="s">
        <v>4504</v>
      </c>
      <c r="C4007" s="39" t="n">
        <v>45855</v>
      </c>
      <c r="D4007" s="7" t="s">
        <v>325</v>
      </c>
      <c r="E4007" s="7" t="s">
        <v>154</v>
      </c>
      <c r="F4007" s="7" t="s">
        <v>207</v>
      </c>
      <c r="G4007" s="7" t="s">
        <v>505</v>
      </c>
      <c r="H4007" s="6" t="n">
        <v>2.89</v>
      </c>
      <c r="I4007" s="6" t="n">
        <v>0</v>
      </c>
      <c r="J4007" s="40" t="n">
        <f aca="false">H4007-I4007</f>
        <v>2.89</v>
      </c>
      <c r="K4007" s="41" t="n">
        <v>26.5</v>
      </c>
      <c r="L4007" s="42" t="n">
        <f aca="false">J4007*K4007</f>
        <v>76.585</v>
      </c>
      <c r="M4007" s="43" t="n">
        <f aca="false">H4007*16.65*(1+'Chart of Accounts'!$E$67)</f>
        <v>55.0956825</v>
      </c>
    </row>
    <row r="4008" customFormat="false" ht="15" hidden="false" customHeight="false" outlineLevel="0" collapsed="false">
      <c r="B4008" s="7" t="s">
        <v>4505</v>
      </c>
      <c r="C4008" s="39" t="n">
        <v>45855</v>
      </c>
      <c r="D4008" s="7" t="s">
        <v>329</v>
      </c>
      <c r="E4008" s="7" t="s">
        <v>156</v>
      </c>
      <c r="F4008" s="7" t="s">
        <v>220</v>
      </c>
      <c r="G4008" s="7" t="s">
        <v>505</v>
      </c>
      <c r="H4008" s="6" t="n">
        <v>3.74</v>
      </c>
      <c r="I4008" s="6" t="n">
        <v>0</v>
      </c>
      <c r="J4008" s="40" t="n">
        <f aca="false">H4008-I4008</f>
        <v>3.74</v>
      </c>
      <c r="K4008" s="41" t="n">
        <v>34</v>
      </c>
      <c r="L4008" s="42" t="n">
        <f aca="false">J4008*K4008</f>
        <v>127.16</v>
      </c>
      <c r="M4008" s="43" t="n">
        <f aca="false">H4008*16.43*(1+'Chart of Accounts'!$E$67)</f>
        <v>70.358189</v>
      </c>
    </row>
    <row r="4009" customFormat="false" ht="15" hidden="false" customHeight="false" outlineLevel="0" collapsed="false">
      <c r="B4009" s="7" t="s">
        <v>4506</v>
      </c>
      <c r="C4009" s="39" t="n">
        <v>45855</v>
      </c>
      <c r="D4009" s="7" t="s">
        <v>331</v>
      </c>
      <c r="E4009" s="7" t="s">
        <v>156</v>
      </c>
      <c r="F4009" s="7" t="s">
        <v>224</v>
      </c>
      <c r="G4009" s="7" t="s">
        <v>505</v>
      </c>
      <c r="H4009" s="6" t="n">
        <v>4.3</v>
      </c>
      <c r="I4009" s="6" t="n">
        <v>0</v>
      </c>
      <c r="J4009" s="40" t="n">
        <f aca="false">H4009-I4009</f>
        <v>4.3</v>
      </c>
      <c r="K4009" s="41" t="n">
        <v>34</v>
      </c>
      <c r="L4009" s="42" t="n">
        <f aca="false">J4009*K4009</f>
        <v>146.2</v>
      </c>
      <c r="M4009" s="43" t="n">
        <f aca="false">H4009*14.93*(1+'Chart of Accounts'!$E$67)</f>
        <v>73.507855</v>
      </c>
    </row>
    <row r="4010" customFormat="false" ht="15" hidden="false" customHeight="false" outlineLevel="0" collapsed="false">
      <c r="B4010" s="7" t="s">
        <v>4507</v>
      </c>
      <c r="C4010" s="39" t="n">
        <v>45855</v>
      </c>
      <c r="D4010" s="7" t="s">
        <v>337</v>
      </c>
      <c r="E4010" s="7" t="s">
        <v>154</v>
      </c>
      <c r="F4010" s="7" t="s">
        <v>232</v>
      </c>
      <c r="G4010" s="7" t="s">
        <v>505</v>
      </c>
      <c r="H4010" s="6" t="n">
        <v>3.27</v>
      </c>
      <c r="I4010" s="6" t="n">
        <v>0</v>
      </c>
      <c r="J4010" s="40" t="n">
        <f aca="false">H4010-I4010</f>
        <v>3.27</v>
      </c>
      <c r="K4010" s="41" t="n">
        <v>26.5</v>
      </c>
      <c r="L4010" s="42" t="n">
        <f aca="false">J4010*K4010</f>
        <v>86.655</v>
      </c>
      <c r="M4010" s="43" t="n">
        <f aca="false">H4010*16.17*(1+'Chart of Accounts'!$E$67)</f>
        <v>60.5429055</v>
      </c>
    </row>
    <row r="4011" customFormat="false" ht="15" hidden="false" customHeight="false" outlineLevel="0" collapsed="false">
      <c r="B4011" s="7" t="s">
        <v>4508</v>
      </c>
      <c r="C4011" s="39" t="n">
        <v>45855</v>
      </c>
      <c r="D4011" s="7" t="s">
        <v>341</v>
      </c>
      <c r="E4011" s="7" t="s">
        <v>156</v>
      </c>
      <c r="F4011" s="7" t="s">
        <v>222</v>
      </c>
      <c r="G4011" s="7" t="s">
        <v>505</v>
      </c>
      <c r="H4011" s="6" t="n">
        <v>2.98</v>
      </c>
      <c r="I4011" s="6" t="n">
        <v>0</v>
      </c>
      <c r="J4011" s="40" t="n">
        <f aca="false">H4011-I4011</f>
        <v>2.98</v>
      </c>
      <c r="K4011" s="41" t="n">
        <v>34</v>
      </c>
      <c r="L4011" s="42" t="n">
        <f aca="false">J4011*K4011</f>
        <v>101.32</v>
      </c>
      <c r="M4011" s="43" t="n">
        <f aca="false">H4011*17.84*(1+'Chart of Accounts'!$E$67)</f>
        <v>60.871864</v>
      </c>
    </row>
    <row r="4012" customFormat="false" ht="15" hidden="false" customHeight="false" outlineLevel="0" collapsed="false">
      <c r="B4012" s="7" t="s">
        <v>4509</v>
      </c>
      <c r="C4012" s="39" t="n">
        <v>45855</v>
      </c>
      <c r="D4012" s="7" t="s">
        <v>343</v>
      </c>
      <c r="E4012" s="7" t="s">
        <v>154</v>
      </c>
      <c r="F4012" s="7" t="s">
        <v>201</v>
      </c>
      <c r="G4012" s="7" t="s">
        <v>505</v>
      </c>
      <c r="H4012" s="6" t="n">
        <v>3.91</v>
      </c>
      <c r="I4012" s="6" t="n">
        <v>0</v>
      </c>
      <c r="J4012" s="40" t="n">
        <f aca="false">H4012-I4012</f>
        <v>3.91</v>
      </c>
      <c r="K4012" s="41" t="n">
        <v>26.5</v>
      </c>
      <c r="L4012" s="42" t="n">
        <f aca="false">J4012*K4012</f>
        <v>103.615</v>
      </c>
      <c r="M4012" s="43" t="n">
        <f aca="false">H4012*15.19*(1+'Chart of Accounts'!$E$67)</f>
        <v>68.0048705</v>
      </c>
    </row>
    <row r="4013" customFormat="false" ht="15" hidden="false" customHeight="false" outlineLevel="0" collapsed="false">
      <c r="B4013" s="7" t="s">
        <v>4510</v>
      </c>
      <c r="C4013" s="39" t="n">
        <v>45855</v>
      </c>
      <c r="D4013" s="7" t="s">
        <v>351</v>
      </c>
      <c r="E4013" s="7" t="s">
        <v>154</v>
      </c>
      <c r="F4013" s="7" t="s">
        <v>201</v>
      </c>
      <c r="G4013" s="7" t="s">
        <v>505</v>
      </c>
      <c r="H4013" s="6" t="n">
        <v>2.93</v>
      </c>
      <c r="I4013" s="6" t="n">
        <v>0.088</v>
      </c>
      <c r="J4013" s="40" t="n">
        <f aca="false">H4013-I4013</f>
        <v>2.842</v>
      </c>
      <c r="K4013" s="41" t="n">
        <v>26.5</v>
      </c>
      <c r="L4013" s="42" t="n">
        <f aca="false">J4013*K4013</f>
        <v>75.313</v>
      </c>
      <c r="M4013" s="43" t="n">
        <f aca="false">H4013*15.19*(1+'Chart of Accounts'!$E$67)</f>
        <v>50.9601715</v>
      </c>
    </row>
    <row r="4014" customFormat="false" ht="15" hidden="false" customHeight="false" outlineLevel="0" collapsed="false">
      <c r="B4014" s="7" t="s">
        <v>4511</v>
      </c>
      <c r="C4014" s="39" t="n">
        <v>45855</v>
      </c>
      <c r="D4014" s="7" t="s">
        <v>359</v>
      </c>
      <c r="E4014" s="7" t="s">
        <v>156</v>
      </c>
      <c r="F4014" s="7" t="s">
        <v>205</v>
      </c>
      <c r="G4014" s="7" t="s">
        <v>505</v>
      </c>
      <c r="H4014" s="6" t="n">
        <v>3.89</v>
      </c>
      <c r="I4014" s="6" t="n">
        <v>0</v>
      </c>
      <c r="J4014" s="40" t="n">
        <f aca="false">H4014-I4014</f>
        <v>3.89</v>
      </c>
      <c r="K4014" s="41" t="n">
        <v>34</v>
      </c>
      <c r="L4014" s="42" t="n">
        <f aca="false">J4014*K4014</f>
        <v>132.26</v>
      </c>
      <c r="M4014" s="43" t="n">
        <f aca="false">H4014*16.36*(1+'Chart of Accounts'!$E$67)</f>
        <v>72.868258</v>
      </c>
    </row>
    <row r="4015" customFormat="false" ht="15" hidden="false" customHeight="false" outlineLevel="0" collapsed="false">
      <c r="B4015" s="7" t="s">
        <v>4512</v>
      </c>
      <c r="C4015" s="39" t="n">
        <v>45855</v>
      </c>
      <c r="D4015" s="7" t="s">
        <v>363</v>
      </c>
      <c r="E4015" s="7" t="s">
        <v>156</v>
      </c>
      <c r="F4015" s="7" t="s">
        <v>246</v>
      </c>
      <c r="G4015" s="7" t="s">
        <v>505</v>
      </c>
      <c r="H4015" s="6" t="n">
        <v>4.36</v>
      </c>
      <c r="I4015" s="6" t="n">
        <v>0</v>
      </c>
      <c r="J4015" s="40" t="n">
        <f aca="false">H4015-I4015</f>
        <v>4.36</v>
      </c>
      <c r="K4015" s="41" t="n">
        <v>34</v>
      </c>
      <c r="L4015" s="42" t="n">
        <f aca="false">J4015*K4015</f>
        <v>148.24</v>
      </c>
      <c r="M4015" s="43" t="n">
        <f aca="false">H4015*16.48*(1+'Chart of Accounts'!$E$67)</f>
        <v>82.271456</v>
      </c>
    </row>
    <row r="4016" customFormat="false" ht="15" hidden="false" customHeight="false" outlineLevel="0" collapsed="false">
      <c r="B4016" s="7" t="s">
        <v>4513</v>
      </c>
      <c r="C4016" s="39" t="n">
        <v>45855</v>
      </c>
      <c r="D4016" s="7" t="s">
        <v>365</v>
      </c>
      <c r="E4016" s="7" t="s">
        <v>154</v>
      </c>
      <c r="F4016" s="7" t="s">
        <v>194</v>
      </c>
      <c r="G4016" s="7" t="s">
        <v>505</v>
      </c>
      <c r="H4016" s="6" t="n">
        <v>3.98</v>
      </c>
      <c r="I4016" s="6" t="n">
        <v>0</v>
      </c>
      <c r="J4016" s="40" t="n">
        <f aca="false">H4016-I4016</f>
        <v>3.98</v>
      </c>
      <c r="K4016" s="41" t="n">
        <v>26.5</v>
      </c>
      <c r="L4016" s="42" t="n">
        <f aca="false">J4016*K4016</f>
        <v>105.47</v>
      </c>
      <c r="M4016" s="43" t="n">
        <f aca="false">H4016*16*(1+'Chart of Accounts'!$E$67)</f>
        <v>72.9136</v>
      </c>
    </row>
    <row r="4017" customFormat="false" ht="15" hidden="false" customHeight="false" outlineLevel="0" collapsed="false">
      <c r="B4017" s="7" t="s">
        <v>4514</v>
      </c>
      <c r="C4017" s="39" t="n">
        <v>45855</v>
      </c>
      <c r="D4017" s="7" t="s">
        <v>375</v>
      </c>
      <c r="E4017" s="7" t="s">
        <v>156</v>
      </c>
      <c r="F4017" s="7" t="s">
        <v>196</v>
      </c>
      <c r="G4017" s="7" t="s">
        <v>505</v>
      </c>
      <c r="H4017" s="6" t="n">
        <v>3</v>
      </c>
      <c r="I4017" s="6" t="n">
        <v>0</v>
      </c>
      <c r="J4017" s="40" t="n">
        <f aca="false">H4017-I4017</f>
        <v>3</v>
      </c>
      <c r="K4017" s="41" t="n">
        <v>34</v>
      </c>
      <c r="L4017" s="42" t="n">
        <f aca="false">J4017*K4017</f>
        <v>102</v>
      </c>
      <c r="M4017" s="43" t="n">
        <f aca="false">H4017*15.05*(1+'Chart of Accounts'!$E$67)</f>
        <v>51.69675</v>
      </c>
    </row>
    <row r="4018" customFormat="false" ht="15" hidden="false" customHeight="false" outlineLevel="0" collapsed="false">
      <c r="B4018" s="7" t="s">
        <v>4515</v>
      </c>
      <c r="C4018" s="39" t="n">
        <v>45855</v>
      </c>
      <c r="D4018" s="7" t="s">
        <v>377</v>
      </c>
      <c r="E4018" s="7" t="s">
        <v>154</v>
      </c>
      <c r="F4018" s="7" t="s">
        <v>214</v>
      </c>
      <c r="G4018" s="7" t="s">
        <v>505</v>
      </c>
      <c r="H4018" s="6" t="n">
        <v>4.28</v>
      </c>
      <c r="I4018" s="6" t="n">
        <v>0</v>
      </c>
      <c r="J4018" s="40" t="n">
        <f aca="false">H4018-I4018</f>
        <v>4.28</v>
      </c>
      <c r="K4018" s="41" t="n">
        <v>26.5</v>
      </c>
      <c r="L4018" s="42" t="n">
        <f aca="false">J4018*K4018</f>
        <v>113.42</v>
      </c>
      <c r="M4018" s="43" t="n">
        <f aca="false">H4018*15.67*(1+'Chart of Accounts'!$E$67)</f>
        <v>76.792402</v>
      </c>
    </row>
    <row r="4019" customFormat="false" ht="15" hidden="false" customHeight="false" outlineLevel="0" collapsed="false">
      <c r="B4019" s="7" t="s">
        <v>4516</v>
      </c>
      <c r="C4019" s="39" t="n">
        <v>45855</v>
      </c>
      <c r="D4019" s="7" t="s">
        <v>389</v>
      </c>
      <c r="E4019" s="7" t="s">
        <v>154</v>
      </c>
      <c r="F4019" s="7" t="s">
        <v>246</v>
      </c>
      <c r="G4019" s="7" t="s">
        <v>505</v>
      </c>
      <c r="H4019" s="6" t="n">
        <v>4.09</v>
      </c>
      <c r="I4019" s="6" t="n">
        <v>0</v>
      </c>
      <c r="J4019" s="40" t="n">
        <f aca="false">H4019-I4019</f>
        <v>4.09</v>
      </c>
      <c r="K4019" s="41" t="n">
        <v>26.5</v>
      </c>
      <c r="L4019" s="42" t="n">
        <f aca="false">J4019*K4019</f>
        <v>108.385</v>
      </c>
      <c r="M4019" s="43" t="n">
        <f aca="false">H4019*16.48*(1+'Chart of Accounts'!$E$67)</f>
        <v>77.176664</v>
      </c>
    </row>
    <row r="4020" customFormat="false" ht="15" hidden="false" customHeight="false" outlineLevel="0" collapsed="false">
      <c r="B4020" s="7" t="s">
        <v>4517</v>
      </c>
      <c r="C4020" s="39" t="n">
        <v>45855</v>
      </c>
      <c r="D4020" s="7" t="s">
        <v>391</v>
      </c>
      <c r="E4020" s="7" t="s">
        <v>156</v>
      </c>
      <c r="F4020" s="7" t="s">
        <v>222</v>
      </c>
      <c r="G4020" s="7" t="s">
        <v>505</v>
      </c>
      <c r="H4020" s="6" t="n">
        <v>4.28</v>
      </c>
      <c r="I4020" s="6" t="n">
        <v>0</v>
      </c>
      <c r="J4020" s="40" t="n">
        <f aca="false">H4020-I4020</f>
        <v>4.28</v>
      </c>
      <c r="K4020" s="41" t="n">
        <v>34</v>
      </c>
      <c r="L4020" s="42" t="n">
        <f aca="false">J4020*K4020</f>
        <v>145.52</v>
      </c>
      <c r="M4020" s="43" t="n">
        <f aca="false">H4020*17.84*(1+'Chart of Accounts'!$E$67)</f>
        <v>87.426704</v>
      </c>
    </row>
    <row r="4021" customFormat="false" ht="15" hidden="false" customHeight="false" outlineLevel="0" collapsed="false">
      <c r="B4021" s="7" t="s">
        <v>4518</v>
      </c>
      <c r="C4021" s="39" t="n">
        <v>45855</v>
      </c>
      <c r="D4021" s="7" t="s">
        <v>395</v>
      </c>
      <c r="E4021" s="7" t="s">
        <v>156</v>
      </c>
      <c r="F4021" s="7" t="s">
        <v>242</v>
      </c>
      <c r="G4021" s="7" t="s">
        <v>505</v>
      </c>
      <c r="H4021" s="6" t="n">
        <v>3.88</v>
      </c>
      <c r="I4021" s="6" t="n">
        <v>0</v>
      </c>
      <c r="J4021" s="40" t="n">
        <f aca="false">H4021-I4021</f>
        <v>3.88</v>
      </c>
      <c r="K4021" s="41" t="n">
        <v>34</v>
      </c>
      <c r="L4021" s="42" t="n">
        <f aca="false">J4021*K4021</f>
        <v>131.92</v>
      </c>
      <c r="M4021" s="43" t="n">
        <f aca="false">H4021*17.99*(1+'Chart of Accounts'!$E$67)</f>
        <v>79.922374</v>
      </c>
    </row>
    <row r="4022" customFormat="false" ht="15" hidden="false" customHeight="false" outlineLevel="0" collapsed="false">
      <c r="B4022" s="7" t="s">
        <v>4519</v>
      </c>
      <c r="C4022" s="39" t="n">
        <v>45855</v>
      </c>
      <c r="D4022" s="7" t="s">
        <v>401</v>
      </c>
      <c r="E4022" s="7" t="s">
        <v>156</v>
      </c>
      <c r="F4022" s="7" t="s">
        <v>254</v>
      </c>
      <c r="G4022" s="7" t="s">
        <v>505</v>
      </c>
      <c r="H4022" s="6" t="n">
        <v>4.16</v>
      </c>
      <c r="I4022" s="6" t="n">
        <v>0</v>
      </c>
      <c r="J4022" s="40" t="n">
        <f aca="false">H4022-I4022</f>
        <v>4.16</v>
      </c>
      <c r="K4022" s="41" t="n">
        <v>34</v>
      </c>
      <c r="L4022" s="42" t="n">
        <f aca="false">J4022*K4022</f>
        <v>141.44</v>
      </c>
      <c r="M4022" s="43" t="n">
        <f aca="false">H4022*17.1*(1+'Chart of Accounts'!$E$67)</f>
        <v>81.45072</v>
      </c>
    </row>
    <row r="4023" customFormat="false" ht="15" hidden="false" customHeight="false" outlineLevel="0" collapsed="false">
      <c r="B4023" s="7" t="s">
        <v>4520</v>
      </c>
      <c r="C4023" s="39" t="n">
        <v>45856</v>
      </c>
      <c r="D4023" s="7" t="s">
        <v>280</v>
      </c>
      <c r="E4023" s="7" t="s">
        <v>157</v>
      </c>
      <c r="F4023" s="7" t="s">
        <v>187</v>
      </c>
      <c r="G4023" s="7" t="s">
        <v>502</v>
      </c>
      <c r="H4023" s="6" t="n">
        <v>1</v>
      </c>
      <c r="I4023" s="6" t="n">
        <v>0</v>
      </c>
      <c r="J4023" s="40" t="n">
        <f aca="false">H4023-I4023</f>
        <v>1</v>
      </c>
      <c r="K4023" s="41" t="n">
        <v>165</v>
      </c>
      <c r="L4023" s="42" t="n">
        <f aca="false">J4023*K4023</f>
        <v>165</v>
      </c>
      <c r="M4023" s="43" t="n">
        <f aca="false">H4023*66.48*(1+'Chart of Accounts'!$E$67)</f>
        <v>76.1196</v>
      </c>
    </row>
    <row r="4024" customFormat="false" ht="15" hidden="false" customHeight="false" outlineLevel="0" collapsed="false">
      <c r="B4024" s="7" t="s">
        <v>4521</v>
      </c>
      <c r="C4024" s="39" t="n">
        <v>45856</v>
      </c>
      <c r="D4024" s="7" t="s">
        <v>288</v>
      </c>
      <c r="E4024" s="7" t="s">
        <v>156</v>
      </c>
      <c r="F4024" s="7" t="s">
        <v>205</v>
      </c>
      <c r="G4024" s="7" t="s">
        <v>505</v>
      </c>
      <c r="H4024" s="6" t="n">
        <v>3.99</v>
      </c>
      <c r="I4024" s="6" t="n">
        <v>0</v>
      </c>
      <c r="J4024" s="40" t="n">
        <f aca="false">H4024-I4024</f>
        <v>3.99</v>
      </c>
      <c r="K4024" s="41" t="n">
        <v>34</v>
      </c>
      <c r="L4024" s="42" t="n">
        <f aca="false">J4024*K4024</f>
        <v>135.66</v>
      </c>
      <c r="M4024" s="43" t="n">
        <f aca="false">H4024*16.36*(1+'Chart of Accounts'!$E$67)</f>
        <v>74.741478</v>
      </c>
    </row>
    <row r="4025" customFormat="false" ht="15" hidden="false" customHeight="false" outlineLevel="0" collapsed="false">
      <c r="B4025" s="7" t="s">
        <v>4522</v>
      </c>
      <c r="C4025" s="39" t="n">
        <v>45856</v>
      </c>
      <c r="D4025" s="7" t="s">
        <v>291</v>
      </c>
      <c r="E4025" s="7" t="s">
        <v>154</v>
      </c>
      <c r="F4025" s="7" t="s">
        <v>194</v>
      </c>
      <c r="G4025" s="7" t="s">
        <v>505</v>
      </c>
      <c r="H4025" s="6" t="n">
        <v>4.49</v>
      </c>
      <c r="I4025" s="6" t="n">
        <v>0</v>
      </c>
      <c r="J4025" s="40" t="n">
        <f aca="false">H4025-I4025</f>
        <v>4.49</v>
      </c>
      <c r="K4025" s="41" t="n">
        <v>26.5</v>
      </c>
      <c r="L4025" s="42" t="n">
        <f aca="false">J4025*K4025</f>
        <v>118.985</v>
      </c>
      <c r="M4025" s="43" t="n">
        <f aca="false">H4025*16*(1+'Chart of Accounts'!$E$67)</f>
        <v>82.2568</v>
      </c>
    </row>
    <row r="4026" customFormat="false" ht="15" hidden="false" customHeight="false" outlineLevel="0" collapsed="false">
      <c r="B4026" s="7" t="s">
        <v>4523</v>
      </c>
      <c r="C4026" s="39" t="n">
        <v>45856</v>
      </c>
      <c r="D4026" s="7" t="s">
        <v>301</v>
      </c>
      <c r="E4026" s="7" t="s">
        <v>157</v>
      </c>
      <c r="F4026" s="7" t="s">
        <v>209</v>
      </c>
      <c r="G4026" s="7" t="s">
        <v>502</v>
      </c>
      <c r="H4026" s="6" t="n">
        <v>1.02</v>
      </c>
      <c r="I4026" s="6" t="n">
        <v>0</v>
      </c>
      <c r="J4026" s="40" t="n">
        <f aca="false">H4026-I4026</f>
        <v>1.02</v>
      </c>
      <c r="K4026" s="41" t="n">
        <v>165</v>
      </c>
      <c r="L4026" s="42" t="n">
        <f aca="false">J4026*K4026</f>
        <v>168.3</v>
      </c>
      <c r="M4026" s="43" t="n">
        <f aca="false">H4026*73.58*(1+'Chart of Accounts'!$E$67)</f>
        <v>85.934082</v>
      </c>
    </row>
    <row r="4027" customFormat="false" ht="15" hidden="false" customHeight="false" outlineLevel="0" collapsed="false">
      <c r="B4027" s="7" t="s">
        <v>4524</v>
      </c>
      <c r="C4027" s="39" t="n">
        <v>45856</v>
      </c>
      <c r="D4027" s="7" t="s">
        <v>305</v>
      </c>
      <c r="E4027" s="7" t="s">
        <v>154</v>
      </c>
      <c r="F4027" s="7" t="s">
        <v>205</v>
      </c>
      <c r="G4027" s="7" t="s">
        <v>505</v>
      </c>
      <c r="H4027" s="6" t="n">
        <v>3.9</v>
      </c>
      <c r="I4027" s="6" t="n">
        <v>0.117</v>
      </c>
      <c r="J4027" s="40" t="n">
        <f aca="false">H4027-I4027</f>
        <v>3.783</v>
      </c>
      <c r="K4027" s="41" t="n">
        <v>26.5</v>
      </c>
      <c r="L4027" s="42" t="n">
        <f aca="false">J4027*K4027</f>
        <v>100.2495</v>
      </c>
      <c r="M4027" s="43" t="n">
        <f aca="false">H4027*16.36*(1+'Chart of Accounts'!$E$67)</f>
        <v>73.05558</v>
      </c>
    </row>
    <row r="4028" customFormat="false" ht="15" hidden="false" customHeight="false" outlineLevel="0" collapsed="false">
      <c r="B4028" s="7" t="s">
        <v>4525</v>
      </c>
      <c r="C4028" s="39" t="n">
        <v>45856</v>
      </c>
      <c r="D4028" s="7" t="s">
        <v>307</v>
      </c>
      <c r="E4028" s="7" t="s">
        <v>157</v>
      </c>
      <c r="F4028" s="7" t="s">
        <v>264</v>
      </c>
      <c r="G4028" s="7" t="s">
        <v>502</v>
      </c>
      <c r="H4028" s="6" t="n">
        <v>1.01</v>
      </c>
      <c r="I4028" s="6" t="n">
        <v>0.051</v>
      </c>
      <c r="J4028" s="40" t="n">
        <f aca="false">H4028-I4028</f>
        <v>0.959</v>
      </c>
      <c r="K4028" s="41" t="n">
        <v>165</v>
      </c>
      <c r="L4028" s="42" t="n">
        <f aca="false">J4028*K4028</f>
        <v>158.235</v>
      </c>
      <c r="M4028" s="43" t="n">
        <f aca="false">H4028*55.55*(1+'Chart of Accounts'!$E$67)</f>
        <v>64.2407975</v>
      </c>
    </row>
    <row r="4029" customFormat="false" ht="15" hidden="false" customHeight="false" outlineLevel="0" collapsed="false">
      <c r="B4029" s="7" t="s">
        <v>4526</v>
      </c>
      <c r="C4029" s="39" t="n">
        <v>45856</v>
      </c>
      <c r="D4029" s="7" t="s">
        <v>309</v>
      </c>
      <c r="E4029" s="7" t="s">
        <v>159</v>
      </c>
      <c r="F4029" s="7" t="s">
        <v>252</v>
      </c>
      <c r="G4029" s="7" t="s">
        <v>502</v>
      </c>
      <c r="H4029" s="6" t="n">
        <v>0.97</v>
      </c>
      <c r="I4029" s="6" t="n">
        <v>0</v>
      </c>
      <c r="J4029" s="40" t="n">
        <f aca="false">H4029-I4029</f>
        <v>0.97</v>
      </c>
      <c r="K4029" s="41" t="n">
        <v>135</v>
      </c>
      <c r="L4029" s="42" t="n">
        <f aca="false">J4029*K4029</f>
        <v>130.95</v>
      </c>
      <c r="M4029" s="43" t="n">
        <f aca="false">H4029*57.54*(1+'Chart of Accounts'!$E$67)</f>
        <v>63.906801</v>
      </c>
    </row>
    <row r="4030" customFormat="false" ht="15" hidden="false" customHeight="false" outlineLevel="0" collapsed="false">
      <c r="B4030" s="7" t="s">
        <v>4527</v>
      </c>
      <c r="C4030" s="39" t="n">
        <v>45856</v>
      </c>
      <c r="D4030" s="7" t="s">
        <v>313</v>
      </c>
      <c r="E4030" s="7" t="s">
        <v>156</v>
      </c>
      <c r="F4030" s="7" t="s">
        <v>184</v>
      </c>
      <c r="G4030" s="7" t="s">
        <v>505</v>
      </c>
      <c r="H4030" s="6" t="n">
        <v>4.15</v>
      </c>
      <c r="I4030" s="6" t="n">
        <v>0</v>
      </c>
      <c r="J4030" s="40" t="n">
        <f aca="false">H4030-I4030</f>
        <v>4.15</v>
      </c>
      <c r="K4030" s="41" t="n">
        <v>34</v>
      </c>
      <c r="L4030" s="42" t="n">
        <f aca="false">J4030*K4030</f>
        <v>141.1</v>
      </c>
      <c r="M4030" s="43" t="n">
        <f aca="false">H4030*17.34*(1+'Chart of Accounts'!$E$67)</f>
        <v>82.395345</v>
      </c>
    </row>
    <row r="4031" customFormat="false" ht="15" hidden="false" customHeight="false" outlineLevel="0" collapsed="false">
      <c r="B4031" s="7" t="s">
        <v>4528</v>
      </c>
      <c r="C4031" s="39" t="n">
        <v>45856</v>
      </c>
      <c r="D4031" s="7" t="s">
        <v>319</v>
      </c>
      <c r="E4031" s="7" t="s">
        <v>157</v>
      </c>
      <c r="F4031" s="7" t="s">
        <v>234</v>
      </c>
      <c r="G4031" s="7" t="s">
        <v>502</v>
      </c>
      <c r="H4031" s="6" t="n">
        <v>1.03</v>
      </c>
      <c r="I4031" s="6" t="n">
        <v>0</v>
      </c>
      <c r="J4031" s="40" t="n">
        <f aca="false">H4031-I4031</f>
        <v>1.03</v>
      </c>
      <c r="K4031" s="41" t="n">
        <v>165</v>
      </c>
      <c r="L4031" s="42" t="n">
        <f aca="false">J4031*K4031</f>
        <v>169.95</v>
      </c>
      <c r="M4031" s="43" t="n">
        <f aca="false">H4031*89.53*(1+'Chart of Accounts'!$E$67)</f>
        <v>105.5872055</v>
      </c>
    </row>
    <row r="4032" customFormat="false" ht="15" hidden="false" customHeight="false" outlineLevel="0" collapsed="false">
      <c r="B4032" s="7" t="s">
        <v>4529</v>
      </c>
      <c r="C4032" s="39" t="n">
        <v>45856</v>
      </c>
      <c r="D4032" s="7" t="s">
        <v>321</v>
      </c>
      <c r="E4032" s="7" t="s">
        <v>154</v>
      </c>
      <c r="F4032" s="7" t="s">
        <v>218</v>
      </c>
      <c r="G4032" s="7" t="s">
        <v>505</v>
      </c>
      <c r="H4032" s="6" t="n">
        <v>3.82</v>
      </c>
      <c r="I4032" s="6" t="n">
        <v>0</v>
      </c>
      <c r="J4032" s="40" t="n">
        <f aca="false">H4032-I4032</f>
        <v>3.82</v>
      </c>
      <c r="K4032" s="41" t="n">
        <v>26.5</v>
      </c>
      <c r="L4032" s="42" t="n">
        <f aca="false">J4032*K4032</f>
        <v>101.23</v>
      </c>
      <c r="M4032" s="43" t="n">
        <f aca="false">H4032*16.19*(1+'Chart of Accounts'!$E$67)</f>
        <v>70.813441</v>
      </c>
    </row>
    <row r="4033" customFormat="false" ht="15" hidden="false" customHeight="false" outlineLevel="0" collapsed="false">
      <c r="B4033" s="7" t="s">
        <v>4530</v>
      </c>
      <c r="C4033" s="39" t="n">
        <v>45856</v>
      </c>
      <c r="D4033" s="7" t="s">
        <v>323</v>
      </c>
      <c r="E4033" s="7" t="s">
        <v>159</v>
      </c>
      <c r="F4033" s="7" t="s">
        <v>266</v>
      </c>
      <c r="G4033" s="7" t="s">
        <v>502</v>
      </c>
      <c r="H4033" s="6" t="n">
        <v>1.04</v>
      </c>
      <c r="I4033" s="6" t="n">
        <v>0</v>
      </c>
      <c r="J4033" s="40" t="n">
        <f aca="false">H4033-I4033</f>
        <v>1.04</v>
      </c>
      <c r="K4033" s="41" t="n">
        <v>135</v>
      </c>
      <c r="L4033" s="42" t="n">
        <f aca="false">J4033*K4033</f>
        <v>140.4</v>
      </c>
      <c r="M4033" s="43" t="n">
        <f aca="false">H4033*75.18*(1+'Chart of Accounts'!$E$67)</f>
        <v>89.524344</v>
      </c>
    </row>
    <row r="4034" customFormat="false" ht="15" hidden="false" customHeight="false" outlineLevel="0" collapsed="false">
      <c r="B4034" s="7" t="s">
        <v>4531</v>
      </c>
      <c r="C4034" s="39" t="n">
        <v>45856</v>
      </c>
      <c r="D4034" s="7" t="s">
        <v>327</v>
      </c>
      <c r="E4034" s="7" t="s">
        <v>157</v>
      </c>
      <c r="F4034" s="7" t="s">
        <v>228</v>
      </c>
      <c r="G4034" s="7" t="s">
        <v>502</v>
      </c>
      <c r="H4034" s="6" t="n">
        <v>1.06</v>
      </c>
      <c r="I4034" s="6" t="n">
        <v>0</v>
      </c>
      <c r="J4034" s="40" t="n">
        <f aca="false">H4034-I4034</f>
        <v>1.06</v>
      </c>
      <c r="K4034" s="41" t="n">
        <v>165</v>
      </c>
      <c r="L4034" s="42" t="n">
        <f aca="false">J4034*K4034</f>
        <v>174.9</v>
      </c>
      <c r="M4034" s="43" t="n">
        <f aca="false">H4034*51.07*(1+'Chart of Accounts'!$E$67)</f>
        <v>61.983659</v>
      </c>
    </row>
    <row r="4035" customFormat="false" ht="15" hidden="false" customHeight="false" outlineLevel="0" collapsed="false">
      <c r="B4035" s="7" t="s">
        <v>4532</v>
      </c>
      <c r="C4035" s="39" t="n">
        <v>45856</v>
      </c>
      <c r="D4035" s="7" t="s">
        <v>329</v>
      </c>
      <c r="E4035" s="7" t="s">
        <v>156</v>
      </c>
      <c r="F4035" s="7" t="s">
        <v>220</v>
      </c>
      <c r="G4035" s="7" t="s">
        <v>505</v>
      </c>
      <c r="H4035" s="6" t="n">
        <v>4.17</v>
      </c>
      <c r="I4035" s="6" t="n">
        <v>0</v>
      </c>
      <c r="J4035" s="40" t="n">
        <f aca="false">H4035-I4035</f>
        <v>4.17</v>
      </c>
      <c r="K4035" s="41" t="n">
        <v>34</v>
      </c>
      <c r="L4035" s="42" t="n">
        <f aca="false">J4035*K4035</f>
        <v>141.78</v>
      </c>
      <c r="M4035" s="43" t="n">
        <f aca="false">H4035*16.43*(1+'Chart of Accounts'!$E$67)</f>
        <v>78.4474995</v>
      </c>
    </row>
    <row r="4036" customFormat="false" ht="15" hidden="false" customHeight="false" outlineLevel="0" collapsed="false">
      <c r="B4036" s="7" t="s">
        <v>4533</v>
      </c>
      <c r="C4036" s="39" t="n">
        <v>45856</v>
      </c>
      <c r="D4036" s="7" t="s">
        <v>335</v>
      </c>
      <c r="E4036" s="7" t="s">
        <v>154</v>
      </c>
      <c r="F4036" s="7" t="s">
        <v>177</v>
      </c>
      <c r="G4036" s="7" t="s">
        <v>505</v>
      </c>
      <c r="H4036" s="6" t="n">
        <v>3.8</v>
      </c>
      <c r="I4036" s="6" t="n">
        <v>0</v>
      </c>
      <c r="J4036" s="40" t="n">
        <f aca="false">H4036-I4036</f>
        <v>3.8</v>
      </c>
      <c r="K4036" s="41" t="n">
        <v>26.5</v>
      </c>
      <c r="L4036" s="42" t="n">
        <f aca="false">J4036*K4036</f>
        <v>100.7</v>
      </c>
      <c r="M4036" s="43" t="n">
        <f aca="false">H4036*14.56*(1+'Chart of Accounts'!$E$67)</f>
        <v>63.35056</v>
      </c>
    </row>
    <row r="4037" customFormat="false" ht="15" hidden="false" customHeight="false" outlineLevel="0" collapsed="false">
      <c r="B4037" s="7" t="s">
        <v>4534</v>
      </c>
      <c r="C4037" s="39" t="n">
        <v>45856</v>
      </c>
      <c r="D4037" s="7" t="s">
        <v>339</v>
      </c>
      <c r="E4037" s="7" t="s">
        <v>154</v>
      </c>
      <c r="F4037" s="7" t="s">
        <v>242</v>
      </c>
      <c r="G4037" s="7" t="s">
        <v>505</v>
      </c>
      <c r="H4037" s="6" t="n">
        <v>3.21</v>
      </c>
      <c r="I4037" s="6" t="n">
        <v>0</v>
      </c>
      <c r="J4037" s="40" t="n">
        <f aca="false">H4037-I4037</f>
        <v>3.21</v>
      </c>
      <c r="K4037" s="41" t="n">
        <v>26.5</v>
      </c>
      <c r="L4037" s="42" t="n">
        <f aca="false">J4037*K4037</f>
        <v>85.065</v>
      </c>
      <c r="M4037" s="43" t="n">
        <f aca="false">H4037*17.99*(1+'Chart of Accounts'!$E$67)</f>
        <v>66.1213455</v>
      </c>
    </row>
    <row r="4038" customFormat="false" ht="15" hidden="false" customHeight="false" outlineLevel="0" collapsed="false">
      <c r="B4038" s="7" t="s">
        <v>4535</v>
      </c>
      <c r="C4038" s="39" t="n">
        <v>45856</v>
      </c>
      <c r="D4038" s="7" t="s">
        <v>347</v>
      </c>
      <c r="E4038" s="7" t="s">
        <v>154</v>
      </c>
      <c r="F4038" s="7" t="s">
        <v>238</v>
      </c>
      <c r="G4038" s="7" t="s">
        <v>505</v>
      </c>
      <c r="H4038" s="6" t="n">
        <v>4.34</v>
      </c>
      <c r="I4038" s="6" t="n">
        <v>0</v>
      </c>
      <c r="J4038" s="40" t="n">
        <f aca="false">H4038-I4038</f>
        <v>4.34</v>
      </c>
      <c r="K4038" s="41" t="n">
        <v>26.5</v>
      </c>
      <c r="L4038" s="42" t="n">
        <f aca="false">J4038*K4038</f>
        <v>115.01</v>
      </c>
      <c r="M4038" s="43" t="n">
        <f aca="false">H4038*15.85*(1+'Chart of Accounts'!$E$67)</f>
        <v>78.763405</v>
      </c>
    </row>
    <row r="4039" customFormat="false" ht="15" hidden="false" customHeight="false" outlineLevel="0" collapsed="false">
      <c r="B4039" s="7" t="s">
        <v>4536</v>
      </c>
      <c r="C4039" s="39" t="n">
        <v>45856</v>
      </c>
      <c r="D4039" s="7" t="s">
        <v>353</v>
      </c>
      <c r="E4039" s="7" t="s">
        <v>154</v>
      </c>
      <c r="F4039" s="7" t="s">
        <v>254</v>
      </c>
      <c r="G4039" s="7" t="s">
        <v>505</v>
      </c>
      <c r="H4039" s="6" t="n">
        <v>3.31</v>
      </c>
      <c r="I4039" s="6" t="n">
        <v>0</v>
      </c>
      <c r="J4039" s="40" t="n">
        <f aca="false">H4039-I4039</f>
        <v>3.31</v>
      </c>
      <c r="K4039" s="41" t="n">
        <v>26.5</v>
      </c>
      <c r="L4039" s="42" t="n">
        <f aca="false">J4039*K4039</f>
        <v>87.715</v>
      </c>
      <c r="M4039" s="43" t="n">
        <f aca="false">H4039*17.1*(1+'Chart of Accounts'!$E$67)</f>
        <v>64.808145</v>
      </c>
    </row>
    <row r="4040" customFormat="false" ht="15" hidden="false" customHeight="false" outlineLevel="0" collapsed="false">
      <c r="B4040" s="7" t="s">
        <v>4537</v>
      </c>
      <c r="C4040" s="39" t="n">
        <v>45856</v>
      </c>
      <c r="D4040" s="7" t="s">
        <v>355</v>
      </c>
      <c r="E4040" s="7" t="s">
        <v>154</v>
      </c>
      <c r="F4040" s="7" t="s">
        <v>201</v>
      </c>
      <c r="G4040" s="7" t="s">
        <v>505</v>
      </c>
      <c r="H4040" s="6" t="n">
        <v>3.49</v>
      </c>
      <c r="I4040" s="6" t="n">
        <v>0</v>
      </c>
      <c r="J4040" s="40" t="n">
        <f aca="false">H4040-I4040</f>
        <v>3.49</v>
      </c>
      <c r="K4040" s="41" t="n">
        <v>26.5</v>
      </c>
      <c r="L4040" s="42" t="n">
        <f aca="false">J4040*K4040</f>
        <v>92.485</v>
      </c>
      <c r="M4040" s="43" t="n">
        <f aca="false">H4040*15.19*(1+'Chart of Accounts'!$E$67)</f>
        <v>60.6999995</v>
      </c>
    </row>
    <row r="4041" customFormat="false" ht="15" hidden="false" customHeight="false" outlineLevel="0" collapsed="false">
      <c r="B4041" s="7" t="s">
        <v>4538</v>
      </c>
      <c r="C4041" s="39" t="n">
        <v>45856</v>
      </c>
      <c r="D4041" s="7" t="s">
        <v>357</v>
      </c>
      <c r="E4041" s="7" t="s">
        <v>154</v>
      </c>
      <c r="F4041" s="7" t="s">
        <v>207</v>
      </c>
      <c r="G4041" s="7" t="s">
        <v>505</v>
      </c>
      <c r="H4041" s="6" t="n">
        <v>3.13</v>
      </c>
      <c r="I4041" s="6" t="n">
        <v>0</v>
      </c>
      <c r="J4041" s="40" t="n">
        <f aca="false">H4041-I4041</f>
        <v>3.13</v>
      </c>
      <c r="K4041" s="41" t="n">
        <v>26.5</v>
      </c>
      <c r="L4041" s="42" t="n">
        <f aca="false">J4041*K4041</f>
        <v>82.945</v>
      </c>
      <c r="M4041" s="43" t="n">
        <f aca="false">H4041*16.65*(1+'Chart of Accounts'!$E$67)</f>
        <v>59.6711025</v>
      </c>
    </row>
    <row r="4042" customFormat="false" ht="15" hidden="false" customHeight="false" outlineLevel="0" collapsed="false">
      <c r="B4042" s="7" t="s">
        <v>4539</v>
      </c>
      <c r="C4042" s="39" t="n">
        <v>45856</v>
      </c>
      <c r="D4042" s="7" t="s">
        <v>359</v>
      </c>
      <c r="E4042" s="7" t="s">
        <v>156</v>
      </c>
      <c r="F4042" s="7" t="s">
        <v>244</v>
      </c>
      <c r="G4042" s="7" t="s">
        <v>505</v>
      </c>
      <c r="H4042" s="6" t="n">
        <v>3.89</v>
      </c>
      <c r="I4042" s="6" t="n">
        <v>0</v>
      </c>
      <c r="J4042" s="40" t="n">
        <f aca="false">H4042-I4042</f>
        <v>3.89</v>
      </c>
      <c r="K4042" s="41" t="n">
        <v>34</v>
      </c>
      <c r="L4042" s="42" t="n">
        <f aca="false">J4042*K4042</f>
        <v>132.26</v>
      </c>
      <c r="M4042" s="43" t="n">
        <f aca="false">H4042*16.39*(1+'Chart of Accounts'!$E$67)</f>
        <v>73.0018795</v>
      </c>
    </row>
    <row r="4043" customFormat="false" ht="15" hidden="false" customHeight="false" outlineLevel="0" collapsed="false">
      <c r="B4043" s="7" t="s">
        <v>4540</v>
      </c>
      <c r="C4043" s="39" t="n">
        <v>45856</v>
      </c>
      <c r="D4043" s="7" t="s">
        <v>361</v>
      </c>
      <c r="E4043" s="7" t="s">
        <v>157</v>
      </c>
      <c r="F4043" s="7" t="s">
        <v>209</v>
      </c>
      <c r="G4043" s="7" t="s">
        <v>502</v>
      </c>
      <c r="H4043" s="6" t="n">
        <v>1.03</v>
      </c>
      <c r="I4043" s="6" t="n">
        <v>0</v>
      </c>
      <c r="J4043" s="40" t="n">
        <f aca="false">H4043-I4043</f>
        <v>1.03</v>
      </c>
      <c r="K4043" s="41" t="n">
        <v>165</v>
      </c>
      <c r="L4043" s="42" t="n">
        <f aca="false">J4043*K4043</f>
        <v>169.95</v>
      </c>
      <c r="M4043" s="43" t="n">
        <f aca="false">H4043*73.58*(1+'Chart of Accounts'!$E$67)</f>
        <v>86.776573</v>
      </c>
    </row>
    <row r="4044" customFormat="false" ht="15" hidden="false" customHeight="false" outlineLevel="0" collapsed="false">
      <c r="B4044" s="7" t="s">
        <v>4541</v>
      </c>
      <c r="C4044" s="39" t="n">
        <v>45856</v>
      </c>
      <c r="D4044" s="7" t="s">
        <v>365</v>
      </c>
      <c r="E4044" s="7" t="s">
        <v>154</v>
      </c>
      <c r="F4044" s="7" t="s">
        <v>194</v>
      </c>
      <c r="G4044" s="7" t="s">
        <v>505</v>
      </c>
      <c r="H4044" s="6" t="n">
        <v>3.99</v>
      </c>
      <c r="I4044" s="6" t="n">
        <v>0</v>
      </c>
      <c r="J4044" s="40" t="n">
        <f aca="false">H4044-I4044</f>
        <v>3.99</v>
      </c>
      <c r="K4044" s="41" t="n">
        <v>26.5</v>
      </c>
      <c r="L4044" s="42" t="n">
        <f aca="false">J4044*K4044</f>
        <v>105.735</v>
      </c>
      <c r="M4044" s="43" t="n">
        <f aca="false">H4044*16*(1+'Chart of Accounts'!$E$67)</f>
        <v>73.0968</v>
      </c>
    </row>
    <row r="4045" customFormat="false" ht="15" hidden="false" customHeight="false" outlineLevel="0" collapsed="false">
      <c r="B4045" s="7" t="s">
        <v>4542</v>
      </c>
      <c r="C4045" s="39" t="n">
        <v>45856</v>
      </c>
      <c r="D4045" s="7" t="s">
        <v>371</v>
      </c>
      <c r="E4045" s="7" t="s">
        <v>154</v>
      </c>
      <c r="F4045" s="7" t="s">
        <v>232</v>
      </c>
      <c r="G4045" s="7" t="s">
        <v>505</v>
      </c>
      <c r="H4045" s="6" t="n">
        <v>4.5</v>
      </c>
      <c r="I4045" s="6" t="n">
        <v>0</v>
      </c>
      <c r="J4045" s="40" t="n">
        <f aca="false">H4045-I4045</f>
        <v>4.5</v>
      </c>
      <c r="K4045" s="41" t="n">
        <v>26.5</v>
      </c>
      <c r="L4045" s="42" t="n">
        <f aca="false">J4045*K4045</f>
        <v>119.25</v>
      </c>
      <c r="M4045" s="43" t="n">
        <f aca="false">H4045*16.17*(1+'Chart of Accounts'!$E$67)</f>
        <v>83.315925</v>
      </c>
    </row>
    <row r="4046" customFormat="false" ht="15" hidden="false" customHeight="false" outlineLevel="0" collapsed="false">
      <c r="B4046" s="7" t="s">
        <v>4543</v>
      </c>
      <c r="C4046" s="39" t="n">
        <v>45856</v>
      </c>
      <c r="D4046" s="7" t="s">
        <v>379</v>
      </c>
      <c r="E4046" s="7" t="s">
        <v>156</v>
      </c>
      <c r="F4046" s="7" t="s">
        <v>224</v>
      </c>
      <c r="G4046" s="7" t="s">
        <v>505</v>
      </c>
      <c r="H4046" s="6" t="n">
        <v>4.7</v>
      </c>
      <c r="I4046" s="6" t="n">
        <v>0</v>
      </c>
      <c r="J4046" s="40" t="n">
        <f aca="false">H4046-I4046</f>
        <v>4.7</v>
      </c>
      <c r="K4046" s="41" t="n">
        <v>34</v>
      </c>
      <c r="L4046" s="42" t="n">
        <f aca="false">J4046*K4046</f>
        <v>159.8</v>
      </c>
      <c r="M4046" s="43" t="n">
        <f aca="false">H4046*14.93*(1+'Chart of Accounts'!$E$67)</f>
        <v>80.345795</v>
      </c>
    </row>
    <row r="4047" customFormat="false" ht="15" hidden="false" customHeight="false" outlineLevel="0" collapsed="false">
      <c r="B4047" s="7" t="s">
        <v>4544</v>
      </c>
      <c r="C4047" s="39" t="n">
        <v>45856</v>
      </c>
      <c r="D4047" s="7" t="s">
        <v>381</v>
      </c>
      <c r="E4047" s="7" t="s">
        <v>157</v>
      </c>
      <c r="F4047" s="7" t="s">
        <v>234</v>
      </c>
      <c r="G4047" s="7" t="s">
        <v>502</v>
      </c>
      <c r="H4047" s="6" t="n">
        <v>1.09</v>
      </c>
      <c r="I4047" s="6" t="n">
        <v>0.055</v>
      </c>
      <c r="J4047" s="40" t="n">
        <f aca="false">H4047-I4047</f>
        <v>1.035</v>
      </c>
      <c r="K4047" s="41" t="n">
        <v>165</v>
      </c>
      <c r="L4047" s="42" t="n">
        <f aca="false">J4047*K4047</f>
        <v>170.775</v>
      </c>
      <c r="M4047" s="43" t="n">
        <f aca="false">H4047*89.53*(1+'Chart of Accounts'!$E$67)</f>
        <v>111.7379165</v>
      </c>
    </row>
    <row r="4048" customFormat="false" ht="15" hidden="false" customHeight="false" outlineLevel="0" collapsed="false">
      <c r="B4048" s="7" t="s">
        <v>4545</v>
      </c>
      <c r="C4048" s="39" t="n">
        <v>45856</v>
      </c>
      <c r="D4048" s="7" t="s">
        <v>385</v>
      </c>
      <c r="E4048" s="7" t="s">
        <v>156</v>
      </c>
      <c r="F4048" s="7" t="s">
        <v>238</v>
      </c>
      <c r="G4048" s="7" t="s">
        <v>505</v>
      </c>
      <c r="H4048" s="6" t="n">
        <v>4.19</v>
      </c>
      <c r="I4048" s="6" t="n">
        <v>0</v>
      </c>
      <c r="J4048" s="40" t="n">
        <f aca="false">H4048-I4048</f>
        <v>4.19</v>
      </c>
      <c r="K4048" s="41" t="n">
        <v>34</v>
      </c>
      <c r="L4048" s="42" t="n">
        <f aca="false">J4048*K4048</f>
        <v>142.46</v>
      </c>
      <c r="M4048" s="43" t="n">
        <f aca="false">H4048*15.85*(1+'Chart of Accounts'!$E$67)</f>
        <v>76.0411675</v>
      </c>
    </row>
    <row r="4049" customFormat="false" ht="15" hidden="false" customHeight="false" outlineLevel="0" collapsed="false">
      <c r="B4049" s="7" t="s">
        <v>4546</v>
      </c>
      <c r="C4049" s="39" t="n">
        <v>45856</v>
      </c>
      <c r="D4049" s="7" t="s">
        <v>389</v>
      </c>
      <c r="E4049" s="7" t="s">
        <v>154</v>
      </c>
      <c r="F4049" s="7" t="s">
        <v>246</v>
      </c>
      <c r="G4049" s="7" t="s">
        <v>505</v>
      </c>
      <c r="H4049" s="6" t="n">
        <v>4.24</v>
      </c>
      <c r="I4049" s="6" t="n">
        <v>0</v>
      </c>
      <c r="J4049" s="40" t="n">
        <f aca="false">H4049-I4049</f>
        <v>4.24</v>
      </c>
      <c r="K4049" s="41" t="n">
        <v>26.5</v>
      </c>
      <c r="L4049" s="42" t="n">
        <f aca="false">J4049*K4049</f>
        <v>112.36</v>
      </c>
      <c r="M4049" s="43" t="n">
        <f aca="false">H4049*16.48*(1+'Chart of Accounts'!$E$67)</f>
        <v>80.007104</v>
      </c>
    </row>
    <row r="4050" customFormat="false" ht="15" hidden="false" customHeight="false" outlineLevel="0" collapsed="false">
      <c r="B4050" s="7" t="s">
        <v>4547</v>
      </c>
      <c r="C4050" s="39" t="n">
        <v>45856</v>
      </c>
      <c r="D4050" s="7" t="s">
        <v>391</v>
      </c>
      <c r="E4050" s="7" t="s">
        <v>156</v>
      </c>
      <c r="F4050" s="7" t="s">
        <v>222</v>
      </c>
      <c r="G4050" s="7" t="s">
        <v>505</v>
      </c>
      <c r="H4050" s="6" t="n">
        <v>3.94</v>
      </c>
      <c r="I4050" s="6" t="n">
        <v>0</v>
      </c>
      <c r="J4050" s="40" t="n">
        <f aca="false">H4050-I4050</f>
        <v>3.94</v>
      </c>
      <c r="K4050" s="41" t="n">
        <v>34</v>
      </c>
      <c r="L4050" s="42" t="n">
        <f aca="false">J4050*K4050</f>
        <v>133.96</v>
      </c>
      <c r="M4050" s="43" t="n">
        <f aca="false">H4050*17.84*(1+'Chart of Accounts'!$E$67)</f>
        <v>80.481592</v>
      </c>
    </row>
    <row r="4051" customFormat="false" ht="15" hidden="false" customHeight="false" outlineLevel="0" collapsed="false">
      <c r="B4051" s="7" t="s">
        <v>4548</v>
      </c>
      <c r="C4051" s="39" t="n">
        <v>45856</v>
      </c>
      <c r="D4051" s="7" t="s">
        <v>395</v>
      </c>
      <c r="E4051" s="7" t="s">
        <v>156</v>
      </c>
      <c r="F4051" s="7" t="s">
        <v>242</v>
      </c>
      <c r="G4051" s="7" t="s">
        <v>505</v>
      </c>
      <c r="H4051" s="6" t="n">
        <v>3.81</v>
      </c>
      <c r="I4051" s="6" t="n">
        <v>0</v>
      </c>
      <c r="J4051" s="40" t="n">
        <f aca="false">H4051-I4051</f>
        <v>3.81</v>
      </c>
      <c r="K4051" s="41" t="n">
        <v>34</v>
      </c>
      <c r="L4051" s="42" t="n">
        <f aca="false">J4051*K4051</f>
        <v>129.54</v>
      </c>
      <c r="M4051" s="43" t="n">
        <f aca="false">H4051*17.99*(1+'Chart of Accounts'!$E$67)</f>
        <v>78.4804755</v>
      </c>
    </row>
    <row r="4052" customFormat="false" ht="15" hidden="false" customHeight="false" outlineLevel="0" collapsed="false">
      <c r="B4052" s="7" t="s">
        <v>4549</v>
      </c>
      <c r="C4052" s="39" t="n">
        <v>45856</v>
      </c>
      <c r="D4052" s="7" t="s">
        <v>397</v>
      </c>
      <c r="E4052" s="7" t="s">
        <v>159</v>
      </c>
      <c r="F4052" s="7" t="s">
        <v>203</v>
      </c>
      <c r="G4052" s="7" t="s">
        <v>502</v>
      </c>
      <c r="H4052" s="6" t="n">
        <v>1.03</v>
      </c>
      <c r="I4052" s="6" t="n">
        <v>0.072</v>
      </c>
      <c r="J4052" s="40" t="n">
        <f aca="false">H4052-I4052</f>
        <v>0.958</v>
      </c>
      <c r="K4052" s="41" t="n">
        <v>135</v>
      </c>
      <c r="L4052" s="42" t="n">
        <f aca="false">J4052*K4052</f>
        <v>129.33</v>
      </c>
      <c r="M4052" s="43" t="n">
        <f aca="false">H4052*49.43*(1+'Chart of Accounts'!$E$67)</f>
        <v>58.2952705</v>
      </c>
    </row>
    <row r="4053" customFormat="false" ht="15" hidden="false" customHeight="false" outlineLevel="0" collapsed="false">
      <c r="B4053" s="7" t="s">
        <v>4550</v>
      </c>
      <c r="C4053" s="39" t="n">
        <v>45856</v>
      </c>
      <c r="D4053" s="7" t="s">
        <v>399</v>
      </c>
      <c r="E4053" s="7" t="s">
        <v>154</v>
      </c>
      <c r="F4053" s="7" t="s">
        <v>201</v>
      </c>
      <c r="G4053" s="7" t="s">
        <v>505</v>
      </c>
      <c r="H4053" s="6" t="n">
        <v>3.31</v>
      </c>
      <c r="I4053" s="6" t="n">
        <v>0</v>
      </c>
      <c r="J4053" s="40" t="n">
        <f aca="false">H4053-I4053</f>
        <v>3.31</v>
      </c>
      <c r="K4053" s="41" t="n">
        <v>26.5</v>
      </c>
      <c r="L4053" s="42" t="n">
        <f aca="false">J4053*K4053</f>
        <v>87.715</v>
      </c>
      <c r="M4053" s="43" t="n">
        <f aca="false">H4053*15.19*(1+'Chart of Accounts'!$E$67)</f>
        <v>57.5693405</v>
      </c>
    </row>
    <row r="4054" customFormat="false" ht="15" hidden="false" customHeight="false" outlineLevel="0" collapsed="false">
      <c r="B4054" s="7" t="s">
        <v>4551</v>
      </c>
      <c r="C4054" s="39" t="n">
        <v>45856</v>
      </c>
      <c r="D4054" s="7" t="s">
        <v>401</v>
      </c>
      <c r="E4054" s="7" t="s">
        <v>156</v>
      </c>
      <c r="F4054" s="7" t="s">
        <v>254</v>
      </c>
      <c r="G4054" s="7" t="s">
        <v>505</v>
      </c>
      <c r="H4054" s="6" t="n">
        <v>3.91</v>
      </c>
      <c r="I4054" s="6" t="n">
        <v>0</v>
      </c>
      <c r="J4054" s="40" t="n">
        <f aca="false">H4054-I4054</f>
        <v>3.91</v>
      </c>
      <c r="K4054" s="41" t="n">
        <v>34</v>
      </c>
      <c r="L4054" s="42" t="n">
        <f aca="false">J4054*K4054</f>
        <v>132.94</v>
      </c>
      <c r="M4054" s="43" t="n">
        <f aca="false">H4054*17.1*(1+'Chart of Accounts'!$E$67)</f>
        <v>76.555845</v>
      </c>
    </row>
    <row r="4055" customFormat="false" ht="15" hidden="false" customHeight="false" outlineLevel="0" collapsed="false">
      <c r="B4055" s="7" t="s">
        <v>4552</v>
      </c>
      <c r="C4055" s="39" t="n">
        <v>45856</v>
      </c>
      <c r="D4055" s="7" t="s">
        <v>407</v>
      </c>
      <c r="E4055" s="7" t="s">
        <v>159</v>
      </c>
      <c r="F4055" s="7" t="s">
        <v>260</v>
      </c>
      <c r="G4055" s="7" t="s">
        <v>502</v>
      </c>
      <c r="H4055" s="6" t="n">
        <v>0.96</v>
      </c>
      <c r="I4055" s="6" t="n">
        <v>0</v>
      </c>
      <c r="J4055" s="40" t="n">
        <f aca="false">H4055-I4055</f>
        <v>0.96</v>
      </c>
      <c r="K4055" s="41" t="n">
        <v>135</v>
      </c>
      <c r="L4055" s="42" t="n">
        <f aca="false">J4055*K4055</f>
        <v>129.6</v>
      </c>
      <c r="M4055" s="43" t="n">
        <f aca="false">H4055*79.8*(1+'Chart of Accounts'!$E$67)</f>
        <v>87.71616</v>
      </c>
    </row>
    <row r="4056" customFormat="false" ht="15" hidden="false" customHeight="false" outlineLevel="0" collapsed="false">
      <c r="B4056" s="7" t="s">
        <v>4553</v>
      </c>
      <c r="C4056" s="39" t="n">
        <v>45856</v>
      </c>
      <c r="D4056" s="7" t="s">
        <v>409</v>
      </c>
      <c r="E4056" s="7" t="s">
        <v>154</v>
      </c>
      <c r="F4056" s="7" t="s">
        <v>214</v>
      </c>
      <c r="G4056" s="7" t="s">
        <v>505</v>
      </c>
      <c r="H4056" s="6" t="n">
        <v>3.13</v>
      </c>
      <c r="I4056" s="6" t="n">
        <v>0</v>
      </c>
      <c r="J4056" s="40" t="n">
        <f aca="false">H4056-I4056</f>
        <v>3.13</v>
      </c>
      <c r="K4056" s="41" t="n">
        <v>26.5</v>
      </c>
      <c r="L4056" s="42" t="n">
        <f aca="false">J4056*K4056</f>
        <v>82.945</v>
      </c>
      <c r="M4056" s="43" t="n">
        <f aca="false">H4056*15.67*(1+'Chart of Accounts'!$E$67)</f>
        <v>56.1589295</v>
      </c>
    </row>
    <row r="4057" customFormat="false" ht="15" hidden="false" customHeight="false" outlineLevel="0" collapsed="false">
      <c r="B4057" s="7" t="s">
        <v>4554</v>
      </c>
      <c r="C4057" s="39" t="n">
        <v>45856</v>
      </c>
      <c r="D4057" s="7" t="s">
        <v>411</v>
      </c>
      <c r="E4057" s="7" t="s">
        <v>154</v>
      </c>
      <c r="F4057" s="7" t="s">
        <v>177</v>
      </c>
      <c r="G4057" s="7" t="s">
        <v>505</v>
      </c>
      <c r="H4057" s="6" t="n">
        <v>4.75</v>
      </c>
      <c r="I4057" s="6" t="n">
        <v>0.142</v>
      </c>
      <c r="J4057" s="40" t="n">
        <f aca="false">H4057-I4057</f>
        <v>4.608</v>
      </c>
      <c r="K4057" s="41" t="n">
        <v>26.5</v>
      </c>
      <c r="L4057" s="42" t="n">
        <f aca="false">J4057*K4057</f>
        <v>122.112</v>
      </c>
      <c r="M4057" s="43" t="n">
        <f aca="false">H4057*14.56*(1+'Chart of Accounts'!$E$67)</f>
        <v>79.1882</v>
      </c>
    </row>
    <row r="4058" customFormat="false" ht="15" hidden="false" customHeight="false" outlineLevel="0" collapsed="false">
      <c r="B4058" s="7" t="s">
        <v>4555</v>
      </c>
      <c r="C4058" s="39" t="n">
        <v>45857</v>
      </c>
      <c r="D4058" s="7" t="s">
        <v>288</v>
      </c>
      <c r="E4058" s="7" t="s">
        <v>156</v>
      </c>
      <c r="F4058" s="7" t="s">
        <v>244</v>
      </c>
      <c r="G4058" s="7" t="s">
        <v>505</v>
      </c>
      <c r="H4058" s="6" t="n">
        <v>3.64</v>
      </c>
      <c r="I4058" s="6" t="n">
        <v>0</v>
      </c>
      <c r="J4058" s="40" t="n">
        <f aca="false">H4058-I4058</f>
        <v>3.64</v>
      </c>
      <c r="K4058" s="41" t="n">
        <v>34</v>
      </c>
      <c r="L4058" s="42" t="n">
        <f aca="false">J4058*K4058</f>
        <v>123.76</v>
      </c>
      <c r="M4058" s="43" t="n">
        <f aca="false">H4058*16.39*(1+'Chart of Accounts'!$E$67)</f>
        <v>68.310242</v>
      </c>
    </row>
    <row r="4059" customFormat="false" ht="15" hidden="false" customHeight="false" outlineLevel="0" collapsed="false">
      <c r="B4059" s="7" t="s">
        <v>4556</v>
      </c>
      <c r="C4059" s="39" t="n">
        <v>45857</v>
      </c>
      <c r="D4059" s="7" t="s">
        <v>321</v>
      </c>
      <c r="E4059" s="7" t="s">
        <v>154</v>
      </c>
      <c r="F4059" s="7" t="s">
        <v>218</v>
      </c>
      <c r="G4059" s="7" t="s">
        <v>505</v>
      </c>
      <c r="H4059" s="6" t="n">
        <v>3.85</v>
      </c>
      <c r="I4059" s="6" t="n">
        <v>0</v>
      </c>
      <c r="J4059" s="40" t="n">
        <f aca="false">H4059-I4059</f>
        <v>3.85</v>
      </c>
      <c r="K4059" s="41" t="n">
        <v>26.5</v>
      </c>
      <c r="L4059" s="42" t="n">
        <f aca="false">J4059*K4059</f>
        <v>102.025</v>
      </c>
      <c r="M4059" s="43" t="n">
        <f aca="false">H4059*16.19*(1+'Chart of Accounts'!$E$67)</f>
        <v>71.3695675</v>
      </c>
    </row>
    <row r="4060" customFormat="false" ht="15" hidden="false" customHeight="false" outlineLevel="0" collapsed="false">
      <c r="B4060" s="7" t="s">
        <v>4557</v>
      </c>
      <c r="C4060" s="39" t="n">
        <v>45857</v>
      </c>
      <c r="D4060" s="7" t="s">
        <v>359</v>
      </c>
      <c r="E4060" s="7" t="s">
        <v>156</v>
      </c>
      <c r="F4060" s="7" t="s">
        <v>232</v>
      </c>
      <c r="G4060" s="7" t="s">
        <v>505</v>
      </c>
      <c r="H4060" s="6" t="n">
        <v>4.1</v>
      </c>
      <c r="I4060" s="6" t="n">
        <v>0</v>
      </c>
      <c r="J4060" s="40" t="n">
        <f aca="false">H4060-I4060</f>
        <v>4.1</v>
      </c>
      <c r="K4060" s="41" t="n">
        <v>34</v>
      </c>
      <c r="L4060" s="42" t="n">
        <f aca="false">J4060*K4060</f>
        <v>139.4</v>
      </c>
      <c r="M4060" s="43" t="n">
        <f aca="false">H4060*16.17*(1+'Chart of Accounts'!$E$67)</f>
        <v>75.910065</v>
      </c>
    </row>
    <row r="4061" customFormat="false" ht="15" hidden="false" customHeight="false" outlineLevel="0" collapsed="false">
      <c r="B4061" s="7" t="s">
        <v>4558</v>
      </c>
      <c r="C4061" s="39" t="n">
        <v>45857</v>
      </c>
      <c r="D4061" s="7" t="s">
        <v>391</v>
      </c>
      <c r="E4061" s="7" t="s">
        <v>156</v>
      </c>
      <c r="F4061" s="7" t="s">
        <v>222</v>
      </c>
      <c r="G4061" s="7" t="s">
        <v>505</v>
      </c>
      <c r="H4061" s="6" t="n">
        <v>4.09</v>
      </c>
      <c r="I4061" s="6" t="n">
        <v>0</v>
      </c>
      <c r="J4061" s="40" t="n">
        <f aca="false">H4061-I4061</f>
        <v>4.09</v>
      </c>
      <c r="K4061" s="41" t="n">
        <v>34</v>
      </c>
      <c r="L4061" s="42" t="n">
        <f aca="false">J4061*K4061</f>
        <v>139.06</v>
      </c>
      <c r="M4061" s="43" t="n">
        <f aca="false">H4061*17.84*(1+'Chart of Accounts'!$E$67)</f>
        <v>83.545612</v>
      </c>
    </row>
    <row r="4062" customFormat="false" ht="15" hidden="false" customHeight="false" outlineLevel="0" collapsed="false">
      <c r="B4062" s="7" t="s">
        <v>4559</v>
      </c>
      <c r="C4062" s="39" t="n">
        <v>45857</v>
      </c>
      <c r="D4062" s="7" t="s">
        <v>395</v>
      </c>
      <c r="E4062" s="7" t="s">
        <v>156</v>
      </c>
      <c r="F4062" s="7" t="s">
        <v>242</v>
      </c>
      <c r="G4062" s="7" t="s">
        <v>505</v>
      </c>
      <c r="H4062" s="6" t="n">
        <v>3.86</v>
      </c>
      <c r="I4062" s="6" t="n">
        <v>0</v>
      </c>
      <c r="J4062" s="40" t="n">
        <f aca="false">H4062-I4062</f>
        <v>3.86</v>
      </c>
      <c r="K4062" s="41" t="n">
        <v>34</v>
      </c>
      <c r="L4062" s="42" t="n">
        <f aca="false">J4062*K4062</f>
        <v>131.24</v>
      </c>
      <c r="M4062" s="43" t="n">
        <f aca="false">H4062*17.99*(1+'Chart of Accounts'!$E$67)</f>
        <v>79.510403</v>
      </c>
    </row>
    <row r="4063" customFormat="false" ht="15" hidden="false" customHeight="false" outlineLevel="0" collapsed="false">
      <c r="B4063" s="7" t="s">
        <v>4560</v>
      </c>
      <c r="C4063" s="39" t="n">
        <v>45857</v>
      </c>
      <c r="D4063" s="7" t="s">
        <v>401</v>
      </c>
      <c r="E4063" s="7" t="s">
        <v>156</v>
      </c>
      <c r="F4063" s="7" t="s">
        <v>254</v>
      </c>
      <c r="G4063" s="7" t="s">
        <v>505</v>
      </c>
      <c r="H4063" s="6" t="n">
        <v>4.01</v>
      </c>
      <c r="I4063" s="6" t="n">
        <v>0</v>
      </c>
      <c r="J4063" s="40" t="n">
        <f aca="false">H4063-I4063</f>
        <v>4.01</v>
      </c>
      <c r="K4063" s="41" t="n">
        <v>34</v>
      </c>
      <c r="L4063" s="42" t="n">
        <f aca="false">J4063*K4063</f>
        <v>136.34</v>
      </c>
      <c r="M4063" s="43" t="n">
        <f aca="false">H4063*17.1*(1+'Chart of Accounts'!$E$67)</f>
        <v>78.513795</v>
      </c>
    </row>
    <row r="4064" customFormat="false" ht="15" hidden="false" customHeight="false" outlineLevel="0" collapsed="false">
      <c r="B4064" s="7" t="s">
        <v>4561</v>
      </c>
      <c r="C4064" s="39" t="n">
        <v>45858</v>
      </c>
      <c r="D4064" s="7" t="s">
        <v>288</v>
      </c>
      <c r="E4064" s="7" t="s">
        <v>156</v>
      </c>
      <c r="F4064" s="7" t="s">
        <v>201</v>
      </c>
      <c r="G4064" s="7" t="s">
        <v>505</v>
      </c>
      <c r="H4064" s="6" t="n">
        <v>4</v>
      </c>
      <c r="I4064" s="6" t="n">
        <v>0</v>
      </c>
      <c r="J4064" s="40" t="n">
        <f aca="false">H4064-I4064</f>
        <v>4</v>
      </c>
      <c r="K4064" s="41" t="n">
        <v>34</v>
      </c>
      <c r="L4064" s="42" t="n">
        <f aca="false">J4064*K4064</f>
        <v>136</v>
      </c>
      <c r="M4064" s="43" t="n">
        <f aca="false">H4064*15.19*(1+'Chart of Accounts'!$E$67)</f>
        <v>69.5702</v>
      </c>
    </row>
    <row r="4065" customFormat="false" ht="15" hidden="false" customHeight="false" outlineLevel="0" collapsed="false">
      <c r="B4065" s="7" t="s">
        <v>4562</v>
      </c>
      <c r="C4065" s="39" t="n">
        <v>45858</v>
      </c>
      <c r="D4065" s="7" t="s">
        <v>321</v>
      </c>
      <c r="E4065" s="7" t="s">
        <v>154</v>
      </c>
      <c r="F4065" s="7" t="s">
        <v>218</v>
      </c>
      <c r="G4065" s="7" t="s">
        <v>505</v>
      </c>
      <c r="H4065" s="6" t="n">
        <v>4.02</v>
      </c>
      <c r="I4065" s="6" t="n">
        <v>0</v>
      </c>
      <c r="J4065" s="40" t="n">
        <f aca="false">H4065-I4065</f>
        <v>4.02</v>
      </c>
      <c r="K4065" s="41" t="n">
        <v>26.5</v>
      </c>
      <c r="L4065" s="42" t="n">
        <f aca="false">J4065*K4065</f>
        <v>106.53</v>
      </c>
      <c r="M4065" s="43" t="n">
        <f aca="false">H4065*16.19*(1+'Chart of Accounts'!$E$67)</f>
        <v>74.520951</v>
      </c>
    </row>
    <row r="4066" customFormat="false" ht="15" hidden="false" customHeight="false" outlineLevel="0" collapsed="false">
      <c r="B4066" s="7" t="s">
        <v>4563</v>
      </c>
      <c r="C4066" s="39" t="n">
        <v>45858</v>
      </c>
      <c r="D4066" s="7" t="s">
        <v>359</v>
      </c>
      <c r="E4066" s="7" t="s">
        <v>156</v>
      </c>
      <c r="F4066" s="7" t="s">
        <v>222</v>
      </c>
      <c r="G4066" s="7" t="s">
        <v>505</v>
      </c>
      <c r="H4066" s="6" t="n">
        <v>4.2</v>
      </c>
      <c r="I4066" s="6" t="n">
        <v>0</v>
      </c>
      <c r="J4066" s="40" t="n">
        <f aca="false">H4066-I4066</f>
        <v>4.2</v>
      </c>
      <c r="K4066" s="41" t="n">
        <v>34</v>
      </c>
      <c r="L4066" s="42" t="n">
        <f aca="false">J4066*K4066</f>
        <v>142.8</v>
      </c>
      <c r="M4066" s="43" t="n">
        <f aca="false">H4066*17.84*(1+'Chart of Accounts'!$E$67)</f>
        <v>85.79256</v>
      </c>
    </row>
    <row r="4067" customFormat="false" ht="15" hidden="false" customHeight="false" outlineLevel="0" collapsed="false">
      <c r="B4067" s="7" t="s">
        <v>4564</v>
      </c>
      <c r="C4067" s="39" t="n">
        <v>45858</v>
      </c>
      <c r="D4067" s="7" t="s">
        <v>391</v>
      </c>
      <c r="E4067" s="7" t="s">
        <v>156</v>
      </c>
      <c r="F4067" s="7" t="s">
        <v>222</v>
      </c>
      <c r="G4067" s="7" t="s">
        <v>505</v>
      </c>
      <c r="H4067" s="6" t="n">
        <v>3.87</v>
      </c>
      <c r="I4067" s="6" t="n">
        <v>0</v>
      </c>
      <c r="J4067" s="40" t="n">
        <f aca="false">H4067-I4067</f>
        <v>3.87</v>
      </c>
      <c r="K4067" s="41" t="n">
        <v>34</v>
      </c>
      <c r="L4067" s="42" t="n">
        <f aca="false">J4067*K4067</f>
        <v>131.58</v>
      </c>
      <c r="M4067" s="43" t="n">
        <f aca="false">H4067*17.84*(1+'Chart of Accounts'!$E$67)</f>
        <v>79.051716</v>
      </c>
    </row>
    <row r="4068" customFormat="false" ht="15" hidden="false" customHeight="false" outlineLevel="0" collapsed="false">
      <c r="B4068" s="7" t="s">
        <v>4565</v>
      </c>
      <c r="C4068" s="39" t="n">
        <v>45858</v>
      </c>
      <c r="D4068" s="7" t="s">
        <v>395</v>
      </c>
      <c r="E4068" s="7" t="s">
        <v>156</v>
      </c>
      <c r="F4068" s="7" t="s">
        <v>242</v>
      </c>
      <c r="G4068" s="7" t="s">
        <v>505</v>
      </c>
      <c r="H4068" s="6" t="n">
        <v>3.65</v>
      </c>
      <c r="I4068" s="6" t="n">
        <v>0</v>
      </c>
      <c r="J4068" s="40" t="n">
        <f aca="false">H4068-I4068</f>
        <v>3.65</v>
      </c>
      <c r="K4068" s="41" t="n">
        <v>34</v>
      </c>
      <c r="L4068" s="42" t="n">
        <f aca="false">J4068*K4068</f>
        <v>124.1</v>
      </c>
      <c r="M4068" s="43" t="n">
        <f aca="false">H4068*17.99*(1+'Chart of Accounts'!$E$67)</f>
        <v>75.1847075</v>
      </c>
    </row>
    <row r="4069" customFormat="false" ht="15" hidden="false" customHeight="false" outlineLevel="0" collapsed="false">
      <c r="B4069" s="7" t="s">
        <v>4566</v>
      </c>
      <c r="C4069" s="39" t="n">
        <v>45858</v>
      </c>
      <c r="D4069" s="7" t="s">
        <v>401</v>
      </c>
      <c r="E4069" s="7" t="s">
        <v>156</v>
      </c>
      <c r="F4069" s="7" t="s">
        <v>254</v>
      </c>
      <c r="G4069" s="7" t="s">
        <v>505</v>
      </c>
      <c r="H4069" s="6" t="n">
        <v>4.16</v>
      </c>
      <c r="I4069" s="6" t="n">
        <v>0</v>
      </c>
      <c r="J4069" s="40" t="n">
        <f aca="false">H4069-I4069</f>
        <v>4.16</v>
      </c>
      <c r="K4069" s="41" t="n">
        <v>34</v>
      </c>
      <c r="L4069" s="42" t="n">
        <f aca="false">J4069*K4069</f>
        <v>141.44</v>
      </c>
      <c r="M4069" s="43" t="n">
        <f aca="false">H4069*17.1*(1+'Chart of Accounts'!$E$67)</f>
        <v>81.45072</v>
      </c>
    </row>
    <row r="4070" customFormat="false" ht="15" hidden="false" customHeight="false" outlineLevel="0" collapsed="false">
      <c r="B4070" s="7" t="s">
        <v>4567</v>
      </c>
      <c r="C4070" s="39" t="n">
        <v>45859</v>
      </c>
      <c r="D4070" s="7" t="s">
        <v>280</v>
      </c>
      <c r="E4070" s="7" t="s">
        <v>157</v>
      </c>
      <c r="F4070" s="7" t="s">
        <v>187</v>
      </c>
      <c r="G4070" s="7" t="s">
        <v>502</v>
      </c>
      <c r="H4070" s="6" t="n">
        <v>0.94</v>
      </c>
      <c r="I4070" s="6" t="n">
        <v>0</v>
      </c>
      <c r="J4070" s="40" t="n">
        <f aca="false">H4070-I4070</f>
        <v>0.94</v>
      </c>
      <c r="K4070" s="41" t="n">
        <v>165</v>
      </c>
      <c r="L4070" s="42" t="n">
        <f aca="false">J4070*K4070</f>
        <v>155.1</v>
      </c>
      <c r="M4070" s="43" t="n">
        <f aca="false">H4070*66.48*(1+'Chart of Accounts'!$E$67)</f>
        <v>71.552424</v>
      </c>
    </row>
    <row r="4071" customFormat="false" ht="15" hidden="false" customHeight="false" outlineLevel="0" collapsed="false">
      <c r="B4071" s="7" t="s">
        <v>4568</v>
      </c>
      <c r="C4071" s="39" t="n">
        <v>45859</v>
      </c>
      <c r="D4071" s="7" t="s">
        <v>288</v>
      </c>
      <c r="E4071" s="7" t="s">
        <v>156</v>
      </c>
      <c r="F4071" s="7" t="s">
        <v>184</v>
      </c>
      <c r="G4071" s="7" t="s">
        <v>505</v>
      </c>
      <c r="H4071" s="6" t="n">
        <v>4.29</v>
      </c>
      <c r="I4071" s="6" t="n">
        <v>0</v>
      </c>
      <c r="J4071" s="40" t="n">
        <f aca="false">H4071-I4071</f>
        <v>4.29</v>
      </c>
      <c r="K4071" s="41" t="n">
        <v>34</v>
      </c>
      <c r="L4071" s="42" t="n">
        <f aca="false">J4071*K4071</f>
        <v>145.86</v>
      </c>
      <c r="M4071" s="43" t="n">
        <f aca="false">H4071*17.34*(1+'Chart of Accounts'!$E$67)</f>
        <v>85.174947</v>
      </c>
    </row>
    <row r="4072" customFormat="false" ht="15" hidden="false" customHeight="false" outlineLevel="0" collapsed="false">
      <c r="B4072" s="7" t="s">
        <v>4569</v>
      </c>
      <c r="C4072" s="39" t="n">
        <v>45859</v>
      </c>
      <c r="D4072" s="7" t="s">
        <v>291</v>
      </c>
      <c r="E4072" s="7" t="s">
        <v>154</v>
      </c>
      <c r="F4072" s="7" t="s">
        <v>194</v>
      </c>
      <c r="G4072" s="7" t="s">
        <v>505</v>
      </c>
      <c r="H4072" s="6" t="n">
        <v>4.72</v>
      </c>
      <c r="I4072" s="6" t="n">
        <v>0</v>
      </c>
      <c r="J4072" s="40" t="n">
        <f aca="false">H4072-I4072</f>
        <v>4.72</v>
      </c>
      <c r="K4072" s="41" t="n">
        <v>26.5</v>
      </c>
      <c r="L4072" s="42" t="n">
        <f aca="false">J4072*K4072</f>
        <v>125.08</v>
      </c>
      <c r="M4072" s="43" t="n">
        <f aca="false">H4072*16*(1+'Chart of Accounts'!$E$67)</f>
        <v>86.4704</v>
      </c>
    </row>
    <row r="4073" customFormat="false" ht="15" hidden="false" customHeight="false" outlineLevel="0" collapsed="false">
      <c r="B4073" s="7" t="s">
        <v>4570</v>
      </c>
      <c r="C4073" s="39" t="n">
        <v>45859</v>
      </c>
      <c r="D4073" s="7" t="s">
        <v>297</v>
      </c>
      <c r="E4073" s="7" t="s">
        <v>156</v>
      </c>
      <c r="F4073" s="7" t="s">
        <v>201</v>
      </c>
      <c r="G4073" s="7" t="s">
        <v>505</v>
      </c>
      <c r="H4073" s="6" t="n">
        <v>2.84</v>
      </c>
      <c r="I4073" s="6" t="n">
        <v>0</v>
      </c>
      <c r="J4073" s="40" t="n">
        <f aca="false">H4073-I4073</f>
        <v>2.84</v>
      </c>
      <c r="K4073" s="41" t="n">
        <v>34</v>
      </c>
      <c r="L4073" s="42" t="n">
        <f aca="false">J4073*K4073</f>
        <v>96.56</v>
      </c>
      <c r="M4073" s="43" t="n">
        <f aca="false">H4073*15.19*(1+'Chart of Accounts'!$E$67)</f>
        <v>49.394842</v>
      </c>
    </row>
    <row r="4074" customFormat="false" ht="15" hidden="false" customHeight="false" outlineLevel="0" collapsed="false">
      <c r="B4074" s="7" t="s">
        <v>4571</v>
      </c>
      <c r="C4074" s="39" t="n">
        <v>45859</v>
      </c>
      <c r="D4074" s="7" t="s">
        <v>305</v>
      </c>
      <c r="E4074" s="7" t="s">
        <v>154</v>
      </c>
      <c r="F4074" s="7" t="s">
        <v>205</v>
      </c>
      <c r="G4074" s="7" t="s">
        <v>505</v>
      </c>
      <c r="H4074" s="6" t="n">
        <v>3.79</v>
      </c>
      <c r="I4074" s="6" t="n">
        <v>0</v>
      </c>
      <c r="J4074" s="40" t="n">
        <f aca="false">H4074-I4074</f>
        <v>3.79</v>
      </c>
      <c r="K4074" s="41" t="n">
        <v>26.5</v>
      </c>
      <c r="L4074" s="42" t="n">
        <f aca="false">J4074*K4074</f>
        <v>100.435</v>
      </c>
      <c r="M4074" s="43" t="n">
        <f aca="false">H4074*16.36*(1+'Chart of Accounts'!$E$67)</f>
        <v>70.995038</v>
      </c>
    </row>
    <row r="4075" customFormat="false" ht="15" hidden="false" customHeight="false" outlineLevel="0" collapsed="false">
      <c r="B4075" s="7" t="s">
        <v>4572</v>
      </c>
      <c r="C4075" s="39" t="n">
        <v>45859</v>
      </c>
      <c r="D4075" s="7" t="s">
        <v>307</v>
      </c>
      <c r="E4075" s="7" t="s">
        <v>157</v>
      </c>
      <c r="F4075" s="7" t="s">
        <v>264</v>
      </c>
      <c r="G4075" s="7" t="s">
        <v>502</v>
      </c>
      <c r="H4075" s="6" t="n">
        <v>1</v>
      </c>
      <c r="I4075" s="6" t="n">
        <v>0</v>
      </c>
      <c r="J4075" s="40" t="n">
        <f aca="false">H4075-I4075</f>
        <v>1</v>
      </c>
      <c r="K4075" s="41" t="n">
        <v>165</v>
      </c>
      <c r="L4075" s="42" t="n">
        <f aca="false">J4075*K4075</f>
        <v>165</v>
      </c>
      <c r="M4075" s="43" t="n">
        <f aca="false">H4075*55.55*(1+'Chart of Accounts'!$E$67)</f>
        <v>63.60475</v>
      </c>
    </row>
    <row r="4076" customFormat="false" ht="15" hidden="false" customHeight="false" outlineLevel="0" collapsed="false">
      <c r="B4076" s="7" t="s">
        <v>4573</v>
      </c>
      <c r="C4076" s="39" t="n">
        <v>45859</v>
      </c>
      <c r="D4076" s="7" t="s">
        <v>311</v>
      </c>
      <c r="E4076" s="7" t="s">
        <v>154</v>
      </c>
      <c r="F4076" s="7" t="s">
        <v>196</v>
      </c>
      <c r="G4076" s="7" t="s">
        <v>505</v>
      </c>
      <c r="H4076" s="6" t="n">
        <v>3</v>
      </c>
      <c r="I4076" s="6" t="n">
        <v>0</v>
      </c>
      <c r="J4076" s="40" t="n">
        <f aca="false">H4076-I4076</f>
        <v>3</v>
      </c>
      <c r="K4076" s="41" t="n">
        <v>26.5</v>
      </c>
      <c r="L4076" s="42" t="n">
        <f aca="false">J4076*K4076</f>
        <v>79.5</v>
      </c>
      <c r="M4076" s="43" t="n">
        <f aca="false">H4076*15.05*(1+'Chart of Accounts'!$E$67)</f>
        <v>51.69675</v>
      </c>
    </row>
    <row r="4077" customFormat="false" ht="15" hidden="false" customHeight="false" outlineLevel="0" collapsed="false">
      <c r="B4077" s="7" t="s">
        <v>4574</v>
      </c>
      <c r="C4077" s="39" t="n">
        <v>45859</v>
      </c>
      <c r="D4077" s="7" t="s">
        <v>313</v>
      </c>
      <c r="E4077" s="7" t="s">
        <v>156</v>
      </c>
      <c r="F4077" s="7" t="s">
        <v>184</v>
      </c>
      <c r="G4077" s="7" t="s">
        <v>505</v>
      </c>
      <c r="H4077" s="6" t="n">
        <v>4.04</v>
      </c>
      <c r="I4077" s="6" t="n">
        <v>0</v>
      </c>
      <c r="J4077" s="40" t="n">
        <f aca="false">H4077-I4077</f>
        <v>4.04</v>
      </c>
      <c r="K4077" s="41" t="n">
        <v>34</v>
      </c>
      <c r="L4077" s="42" t="n">
        <f aca="false">J4077*K4077</f>
        <v>137.36</v>
      </c>
      <c r="M4077" s="43" t="n">
        <f aca="false">H4077*17.34*(1+'Chart of Accounts'!$E$67)</f>
        <v>80.211372</v>
      </c>
    </row>
    <row r="4078" customFormat="false" ht="15" hidden="false" customHeight="false" outlineLevel="0" collapsed="false">
      <c r="B4078" s="7" t="s">
        <v>4575</v>
      </c>
      <c r="C4078" s="39" t="n">
        <v>45859</v>
      </c>
      <c r="D4078" s="7" t="s">
        <v>317</v>
      </c>
      <c r="E4078" s="7" t="s">
        <v>156</v>
      </c>
      <c r="F4078" s="7" t="s">
        <v>207</v>
      </c>
      <c r="G4078" s="7" t="s">
        <v>505</v>
      </c>
      <c r="H4078" s="6" t="n">
        <v>2.83</v>
      </c>
      <c r="I4078" s="6" t="n">
        <v>0</v>
      </c>
      <c r="J4078" s="40" t="n">
        <f aca="false">H4078-I4078</f>
        <v>2.83</v>
      </c>
      <c r="K4078" s="41" t="n">
        <v>34</v>
      </c>
      <c r="L4078" s="42" t="n">
        <f aca="false">J4078*K4078</f>
        <v>96.22</v>
      </c>
      <c r="M4078" s="43" t="n">
        <f aca="false">H4078*16.65*(1+'Chart of Accounts'!$E$67)</f>
        <v>53.9518275</v>
      </c>
    </row>
    <row r="4079" customFormat="false" ht="15" hidden="false" customHeight="false" outlineLevel="0" collapsed="false">
      <c r="B4079" s="7" t="s">
        <v>4576</v>
      </c>
      <c r="C4079" s="39" t="n">
        <v>45859</v>
      </c>
      <c r="D4079" s="7" t="s">
        <v>321</v>
      </c>
      <c r="E4079" s="7" t="s">
        <v>154</v>
      </c>
      <c r="F4079" s="7" t="s">
        <v>218</v>
      </c>
      <c r="G4079" s="7" t="s">
        <v>505</v>
      </c>
      <c r="H4079" s="6" t="n">
        <v>4.16</v>
      </c>
      <c r="I4079" s="6" t="n">
        <v>0</v>
      </c>
      <c r="J4079" s="40" t="n">
        <f aca="false">H4079-I4079</f>
        <v>4.16</v>
      </c>
      <c r="K4079" s="41" t="n">
        <v>26.5</v>
      </c>
      <c r="L4079" s="42" t="n">
        <f aca="false">J4079*K4079</f>
        <v>110.24</v>
      </c>
      <c r="M4079" s="43" t="n">
        <f aca="false">H4079*16.19*(1+'Chart of Accounts'!$E$67)</f>
        <v>77.116208</v>
      </c>
    </row>
    <row r="4080" customFormat="false" ht="15" hidden="false" customHeight="false" outlineLevel="0" collapsed="false">
      <c r="B4080" s="7" t="s">
        <v>4577</v>
      </c>
      <c r="C4080" s="39" t="n">
        <v>45859</v>
      </c>
      <c r="D4080" s="7" t="s">
        <v>325</v>
      </c>
      <c r="E4080" s="7" t="s">
        <v>154</v>
      </c>
      <c r="F4080" s="7" t="s">
        <v>207</v>
      </c>
      <c r="G4080" s="7" t="s">
        <v>505</v>
      </c>
      <c r="H4080" s="6" t="n">
        <v>3.24</v>
      </c>
      <c r="I4080" s="6" t="n">
        <v>0</v>
      </c>
      <c r="J4080" s="40" t="n">
        <f aca="false">H4080-I4080</f>
        <v>3.24</v>
      </c>
      <c r="K4080" s="41" t="n">
        <v>26.5</v>
      </c>
      <c r="L4080" s="42" t="n">
        <f aca="false">J4080*K4080</f>
        <v>85.86</v>
      </c>
      <c r="M4080" s="43" t="n">
        <f aca="false">H4080*16.65*(1+'Chart of Accounts'!$E$67)</f>
        <v>61.76817</v>
      </c>
    </row>
    <row r="4081" customFormat="false" ht="15" hidden="false" customHeight="false" outlineLevel="0" collapsed="false">
      <c r="B4081" s="7" t="s">
        <v>4578</v>
      </c>
      <c r="C4081" s="39" t="n">
        <v>45859</v>
      </c>
      <c r="D4081" s="7" t="s">
        <v>329</v>
      </c>
      <c r="E4081" s="7" t="s">
        <v>156</v>
      </c>
      <c r="F4081" s="7" t="s">
        <v>220</v>
      </c>
      <c r="G4081" s="7" t="s">
        <v>505</v>
      </c>
      <c r="H4081" s="6" t="n">
        <v>3.61</v>
      </c>
      <c r="I4081" s="6" t="n">
        <v>0</v>
      </c>
      <c r="J4081" s="40" t="n">
        <f aca="false">H4081-I4081</f>
        <v>3.61</v>
      </c>
      <c r="K4081" s="41" t="n">
        <v>34</v>
      </c>
      <c r="L4081" s="42" t="n">
        <f aca="false">J4081*K4081</f>
        <v>122.74</v>
      </c>
      <c r="M4081" s="43" t="n">
        <f aca="false">H4081*16.43*(1+'Chart of Accounts'!$E$67)</f>
        <v>67.9125835</v>
      </c>
    </row>
    <row r="4082" customFormat="false" ht="15" hidden="false" customHeight="false" outlineLevel="0" collapsed="false">
      <c r="B4082" s="7" t="s">
        <v>4579</v>
      </c>
      <c r="C4082" s="39" t="n">
        <v>45859</v>
      </c>
      <c r="D4082" s="7" t="s">
        <v>331</v>
      </c>
      <c r="E4082" s="7" t="s">
        <v>156</v>
      </c>
      <c r="F4082" s="7" t="s">
        <v>224</v>
      </c>
      <c r="G4082" s="7" t="s">
        <v>505</v>
      </c>
      <c r="H4082" s="6" t="n">
        <v>3.81</v>
      </c>
      <c r="I4082" s="6" t="n">
        <v>0</v>
      </c>
      <c r="J4082" s="40" t="n">
        <f aca="false">H4082-I4082</f>
        <v>3.81</v>
      </c>
      <c r="K4082" s="41" t="n">
        <v>34</v>
      </c>
      <c r="L4082" s="42" t="n">
        <f aca="false">J4082*K4082</f>
        <v>129.54</v>
      </c>
      <c r="M4082" s="43" t="n">
        <f aca="false">H4082*14.93*(1+'Chart of Accounts'!$E$67)</f>
        <v>65.1313785</v>
      </c>
    </row>
    <row r="4083" customFormat="false" ht="15" hidden="false" customHeight="false" outlineLevel="0" collapsed="false">
      <c r="B4083" s="7" t="s">
        <v>4580</v>
      </c>
      <c r="C4083" s="39" t="n">
        <v>45859</v>
      </c>
      <c r="D4083" s="7" t="s">
        <v>335</v>
      </c>
      <c r="E4083" s="7" t="s">
        <v>154</v>
      </c>
      <c r="F4083" s="7" t="s">
        <v>177</v>
      </c>
      <c r="G4083" s="7" t="s">
        <v>505</v>
      </c>
      <c r="H4083" s="6" t="n">
        <v>4.27</v>
      </c>
      <c r="I4083" s="6" t="n">
        <v>0</v>
      </c>
      <c r="J4083" s="40" t="n">
        <f aca="false">H4083-I4083</f>
        <v>4.27</v>
      </c>
      <c r="K4083" s="41" t="n">
        <v>26.5</v>
      </c>
      <c r="L4083" s="42" t="n">
        <f aca="false">J4083*K4083</f>
        <v>113.155</v>
      </c>
      <c r="M4083" s="43" t="n">
        <f aca="false">H4083*14.56*(1+'Chart of Accounts'!$E$67)</f>
        <v>71.186024</v>
      </c>
    </row>
    <row r="4084" customFormat="false" ht="15" hidden="false" customHeight="false" outlineLevel="0" collapsed="false">
      <c r="B4084" s="7" t="s">
        <v>4581</v>
      </c>
      <c r="C4084" s="39" t="n">
        <v>45859</v>
      </c>
      <c r="D4084" s="7" t="s">
        <v>337</v>
      </c>
      <c r="E4084" s="7" t="s">
        <v>154</v>
      </c>
      <c r="F4084" s="7" t="s">
        <v>232</v>
      </c>
      <c r="G4084" s="7" t="s">
        <v>505</v>
      </c>
      <c r="H4084" s="6" t="n">
        <v>2.82</v>
      </c>
      <c r="I4084" s="6" t="n">
        <v>0</v>
      </c>
      <c r="J4084" s="40" t="n">
        <f aca="false">H4084-I4084</f>
        <v>2.82</v>
      </c>
      <c r="K4084" s="41" t="n">
        <v>26.5</v>
      </c>
      <c r="L4084" s="42" t="n">
        <f aca="false">J4084*K4084</f>
        <v>74.73</v>
      </c>
      <c r="M4084" s="43" t="n">
        <f aca="false">H4084*16.17*(1+'Chart of Accounts'!$E$67)</f>
        <v>52.211313</v>
      </c>
    </row>
    <row r="4085" customFormat="false" ht="15" hidden="false" customHeight="false" outlineLevel="0" collapsed="false">
      <c r="B4085" s="7" t="s">
        <v>4582</v>
      </c>
      <c r="C4085" s="39" t="n">
        <v>45859</v>
      </c>
      <c r="D4085" s="7" t="s">
        <v>339</v>
      </c>
      <c r="E4085" s="7" t="s">
        <v>154</v>
      </c>
      <c r="F4085" s="7" t="s">
        <v>242</v>
      </c>
      <c r="G4085" s="7" t="s">
        <v>505</v>
      </c>
      <c r="H4085" s="6" t="n">
        <v>3.43</v>
      </c>
      <c r="I4085" s="6" t="n">
        <v>0</v>
      </c>
      <c r="J4085" s="40" t="n">
        <f aca="false">H4085-I4085</f>
        <v>3.43</v>
      </c>
      <c r="K4085" s="41" t="n">
        <v>26.5</v>
      </c>
      <c r="L4085" s="42" t="n">
        <f aca="false">J4085*K4085</f>
        <v>90.895</v>
      </c>
      <c r="M4085" s="43" t="n">
        <f aca="false">H4085*17.99*(1+'Chart of Accounts'!$E$67)</f>
        <v>70.6530265</v>
      </c>
    </row>
    <row r="4086" customFormat="false" ht="15" hidden="false" customHeight="false" outlineLevel="0" collapsed="false">
      <c r="B4086" s="7" t="s">
        <v>4583</v>
      </c>
      <c r="C4086" s="39" t="n">
        <v>45859</v>
      </c>
      <c r="D4086" s="7" t="s">
        <v>341</v>
      </c>
      <c r="E4086" s="7" t="s">
        <v>156</v>
      </c>
      <c r="F4086" s="7" t="s">
        <v>222</v>
      </c>
      <c r="G4086" s="7" t="s">
        <v>505</v>
      </c>
      <c r="H4086" s="6" t="n">
        <v>3.28</v>
      </c>
      <c r="I4086" s="6" t="n">
        <v>0</v>
      </c>
      <c r="J4086" s="40" t="n">
        <f aca="false">H4086-I4086</f>
        <v>3.28</v>
      </c>
      <c r="K4086" s="41" t="n">
        <v>34</v>
      </c>
      <c r="L4086" s="42" t="n">
        <f aca="false">J4086*K4086</f>
        <v>111.52</v>
      </c>
      <c r="M4086" s="43" t="n">
        <f aca="false">H4086*17.84*(1+'Chart of Accounts'!$E$67)</f>
        <v>66.999904</v>
      </c>
    </row>
    <row r="4087" customFormat="false" ht="15" hidden="false" customHeight="false" outlineLevel="0" collapsed="false">
      <c r="B4087" s="7" t="s">
        <v>4584</v>
      </c>
      <c r="C4087" s="39" t="n">
        <v>45859</v>
      </c>
      <c r="D4087" s="7" t="s">
        <v>343</v>
      </c>
      <c r="E4087" s="7" t="s">
        <v>154</v>
      </c>
      <c r="F4087" s="7" t="s">
        <v>232</v>
      </c>
      <c r="G4087" s="7" t="s">
        <v>505</v>
      </c>
      <c r="H4087" s="6" t="n">
        <v>3.76</v>
      </c>
      <c r="I4087" s="6" t="n">
        <v>0</v>
      </c>
      <c r="J4087" s="40" t="n">
        <f aca="false">H4087-I4087</f>
        <v>3.76</v>
      </c>
      <c r="K4087" s="41" t="n">
        <v>26.5</v>
      </c>
      <c r="L4087" s="42" t="n">
        <f aca="false">J4087*K4087</f>
        <v>99.64</v>
      </c>
      <c r="M4087" s="43" t="n">
        <f aca="false">H4087*16.17*(1+'Chart of Accounts'!$E$67)</f>
        <v>69.615084</v>
      </c>
    </row>
    <row r="4088" customFormat="false" ht="15" hidden="false" customHeight="false" outlineLevel="0" collapsed="false">
      <c r="B4088" s="7" t="s">
        <v>4585</v>
      </c>
      <c r="C4088" s="39" t="n">
        <v>45859</v>
      </c>
      <c r="D4088" s="7" t="s">
        <v>347</v>
      </c>
      <c r="E4088" s="7" t="s">
        <v>154</v>
      </c>
      <c r="F4088" s="7" t="s">
        <v>238</v>
      </c>
      <c r="G4088" s="7" t="s">
        <v>505</v>
      </c>
      <c r="H4088" s="6" t="n">
        <v>4.89</v>
      </c>
      <c r="I4088" s="6" t="n">
        <v>0</v>
      </c>
      <c r="J4088" s="40" t="n">
        <f aca="false">H4088-I4088</f>
        <v>4.89</v>
      </c>
      <c r="K4088" s="41" t="n">
        <v>26.5</v>
      </c>
      <c r="L4088" s="42" t="n">
        <f aca="false">J4088*K4088</f>
        <v>129.585</v>
      </c>
      <c r="M4088" s="43" t="n">
        <f aca="false">H4088*15.85*(1+'Chart of Accounts'!$E$67)</f>
        <v>88.7449425</v>
      </c>
    </row>
    <row r="4089" customFormat="false" ht="15" hidden="false" customHeight="false" outlineLevel="0" collapsed="false">
      <c r="B4089" s="7" t="s">
        <v>4586</v>
      </c>
      <c r="C4089" s="39" t="n">
        <v>45859</v>
      </c>
      <c r="D4089" s="7" t="s">
        <v>351</v>
      </c>
      <c r="E4089" s="7" t="s">
        <v>154</v>
      </c>
      <c r="F4089" s="7" t="s">
        <v>201</v>
      </c>
      <c r="G4089" s="7" t="s">
        <v>505</v>
      </c>
      <c r="H4089" s="6" t="n">
        <v>3.04</v>
      </c>
      <c r="I4089" s="6" t="n">
        <v>0</v>
      </c>
      <c r="J4089" s="40" t="n">
        <f aca="false">H4089-I4089</f>
        <v>3.04</v>
      </c>
      <c r="K4089" s="41" t="n">
        <v>26.5</v>
      </c>
      <c r="L4089" s="42" t="n">
        <f aca="false">J4089*K4089</f>
        <v>80.56</v>
      </c>
      <c r="M4089" s="43" t="n">
        <f aca="false">H4089*15.19*(1+'Chart of Accounts'!$E$67)</f>
        <v>52.873352</v>
      </c>
    </row>
    <row r="4090" customFormat="false" ht="15" hidden="false" customHeight="false" outlineLevel="0" collapsed="false">
      <c r="B4090" s="7" t="s">
        <v>4587</v>
      </c>
      <c r="C4090" s="39" t="n">
        <v>45859</v>
      </c>
      <c r="D4090" s="7" t="s">
        <v>353</v>
      </c>
      <c r="E4090" s="7" t="s">
        <v>154</v>
      </c>
      <c r="F4090" s="7" t="s">
        <v>254</v>
      </c>
      <c r="G4090" s="7" t="s">
        <v>505</v>
      </c>
      <c r="H4090" s="6" t="n">
        <v>3.45</v>
      </c>
      <c r="I4090" s="6" t="n">
        <v>0</v>
      </c>
      <c r="J4090" s="40" t="n">
        <f aca="false">H4090-I4090</f>
        <v>3.45</v>
      </c>
      <c r="K4090" s="41" t="n">
        <v>26.5</v>
      </c>
      <c r="L4090" s="42" t="n">
        <f aca="false">J4090*K4090</f>
        <v>91.425</v>
      </c>
      <c r="M4090" s="43" t="n">
        <f aca="false">H4090*17.1*(1+'Chart of Accounts'!$E$67)</f>
        <v>67.549275</v>
      </c>
    </row>
    <row r="4091" customFormat="false" ht="15" hidden="false" customHeight="false" outlineLevel="0" collapsed="false">
      <c r="B4091" s="7" t="s">
        <v>4588</v>
      </c>
      <c r="C4091" s="39" t="n">
        <v>45859</v>
      </c>
      <c r="D4091" s="7" t="s">
        <v>355</v>
      </c>
      <c r="E4091" s="7" t="s">
        <v>154</v>
      </c>
      <c r="F4091" s="7" t="s">
        <v>201</v>
      </c>
      <c r="G4091" s="7" t="s">
        <v>505</v>
      </c>
      <c r="H4091" s="6" t="n">
        <v>3.24</v>
      </c>
      <c r="I4091" s="6" t="n">
        <v>0</v>
      </c>
      <c r="J4091" s="40" t="n">
        <f aca="false">H4091-I4091</f>
        <v>3.24</v>
      </c>
      <c r="K4091" s="41" t="n">
        <v>26.5</v>
      </c>
      <c r="L4091" s="42" t="n">
        <f aca="false">J4091*K4091</f>
        <v>85.86</v>
      </c>
      <c r="M4091" s="43" t="n">
        <f aca="false">H4091*15.19*(1+'Chart of Accounts'!$E$67)</f>
        <v>56.351862</v>
      </c>
    </row>
    <row r="4092" customFormat="false" ht="15" hidden="false" customHeight="false" outlineLevel="0" collapsed="false">
      <c r="B4092" s="7" t="s">
        <v>4589</v>
      </c>
      <c r="C4092" s="39" t="n">
        <v>45859</v>
      </c>
      <c r="D4092" s="7" t="s">
        <v>357</v>
      </c>
      <c r="E4092" s="7" t="s">
        <v>154</v>
      </c>
      <c r="F4092" s="7" t="s">
        <v>207</v>
      </c>
      <c r="G4092" s="7" t="s">
        <v>505</v>
      </c>
      <c r="H4092" s="6" t="n">
        <v>3.38</v>
      </c>
      <c r="I4092" s="6" t="n">
        <v>0</v>
      </c>
      <c r="J4092" s="40" t="n">
        <f aca="false">H4092-I4092</f>
        <v>3.38</v>
      </c>
      <c r="K4092" s="41" t="n">
        <v>26.5</v>
      </c>
      <c r="L4092" s="42" t="n">
        <f aca="false">J4092*K4092</f>
        <v>89.57</v>
      </c>
      <c r="M4092" s="43" t="n">
        <f aca="false">H4092*16.65*(1+'Chart of Accounts'!$E$67)</f>
        <v>64.437165</v>
      </c>
    </row>
    <row r="4093" customFormat="false" ht="15" hidden="false" customHeight="false" outlineLevel="0" collapsed="false">
      <c r="B4093" s="7" t="s">
        <v>4590</v>
      </c>
      <c r="C4093" s="39" t="n">
        <v>45859</v>
      </c>
      <c r="D4093" s="7" t="s">
        <v>359</v>
      </c>
      <c r="E4093" s="7" t="s">
        <v>156</v>
      </c>
      <c r="F4093" s="7" t="s">
        <v>207</v>
      </c>
      <c r="G4093" s="7" t="s">
        <v>505</v>
      </c>
      <c r="H4093" s="6" t="n">
        <v>4.01</v>
      </c>
      <c r="I4093" s="6" t="n">
        <v>0</v>
      </c>
      <c r="J4093" s="40" t="n">
        <f aca="false">H4093-I4093</f>
        <v>4.01</v>
      </c>
      <c r="K4093" s="41" t="n">
        <v>34</v>
      </c>
      <c r="L4093" s="42" t="n">
        <f aca="false">J4093*K4093</f>
        <v>136.34</v>
      </c>
      <c r="M4093" s="43" t="n">
        <f aca="false">H4093*16.65*(1+'Chart of Accounts'!$E$67)</f>
        <v>76.4476425</v>
      </c>
    </row>
    <row r="4094" customFormat="false" ht="15" hidden="false" customHeight="false" outlineLevel="0" collapsed="false">
      <c r="B4094" s="7" t="s">
        <v>4591</v>
      </c>
      <c r="C4094" s="39" t="n">
        <v>45859</v>
      </c>
      <c r="D4094" s="7" t="s">
        <v>363</v>
      </c>
      <c r="E4094" s="7" t="s">
        <v>156</v>
      </c>
      <c r="F4094" s="7" t="s">
        <v>246</v>
      </c>
      <c r="G4094" s="7" t="s">
        <v>505</v>
      </c>
      <c r="H4094" s="6" t="n">
        <v>4.29</v>
      </c>
      <c r="I4094" s="6" t="n">
        <v>0</v>
      </c>
      <c r="J4094" s="40" t="n">
        <f aca="false">H4094-I4094</f>
        <v>4.29</v>
      </c>
      <c r="K4094" s="41" t="n">
        <v>34</v>
      </c>
      <c r="L4094" s="42" t="n">
        <f aca="false">J4094*K4094</f>
        <v>145.86</v>
      </c>
      <c r="M4094" s="43" t="n">
        <f aca="false">H4094*16.48*(1+'Chart of Accounts'!$E$67)</f>
        <v>80.950584</v>
      </c>
    </row>
    <row r="4095" customFormat="false" ht="15" hidden="false" customHeight="false" outlineLevel="0" collapsed="false">
      <c r="B4095" s="7" t="s">
        <v>4592</v>
      </c>
      <c r="C4095" s="39" t="n">
        <v>45859</v>
      </c>
      <c r="D4095" s="7" t="s">
        <v>365</v>
      </c>
      <c r="E4095" s="7" t="s">
        <v>154</v>
      </c>
      <c r="F4095" s="7" t="s">
        <v>194</v>
      </c>
      <c r="G4095" s="7" t="s">
        <v>505</v>
      </c>
      <c r="H4095" s="6" t="n">
        <v>3.91</v>
      </c>
      <c r="I4095" s="6" t="n">
        <v>0</v>
      </c>
      <c r="J4095" s="40" t="n">
        <f aca="false">H4095-I4095</f>
        <v>3.91</v>
      </c>
      <c r="K4095" s="41" t="n">
        <v>26.5</v>
      </c>
      <c r="L4095" s="42" t="n">
        <f aca="false">J4095*K4095</f>
        <v>103.615</v>
      </c>
      <c r="M4095" s="43" t="n">
        <f aca="false">H4095*16*(1+'Chart of Accounts'!$E$67)</f>
        <v>71.6312</v>
      </c>
    </row>
    <row r="4096" customFormat="false" ht="15" hidden="false" customHeight="false" outlineLevel="0" collapsed="false">
      <c r="B4096" s="7" t="s">
        <v>4593</v>
      </c>
      <c r="C4096" s="39" t="n">
        <v>45859</v>
      </c>
      <c r="D4096" s="7" t="s">
        <v>371</v>
      </c>
      <c r="E4096" s="7" t="s">
        <v>154</v>
      </c>
      <c r="F4096" s="7" t="s">
        <v>232</v>
      </c>
      <c r="G4096" s="7" t="s">
        <v>505</v>
      </c>
      <c r="H4096" s="6" t="n">
        <v>4.76</v>
      </c>
      <c r="I4096" s="6" t="n">
        <v>0</v>
      </c>
      <c r="J4096" s="40" t="n">
        <f aca="false">H4096-I4096</f>
        <v>4.76</v>
      </c>
      <c r="K4096" s="41" t="n">
        <v>26.5</v>
      </c>
      <c r="L4096" s="42" t="n">
        <f aca="false">J4096*K4096</f>
        <v>126.14</v>
      </c>
      <c r="M4096" s="43" t="n">
        <f aca="false">H4096*16.17*(1+'Chart of Accounts'!$E$67)</f>
        <v>88.129734</v>
      </c>
    </row>
    <row r="4097" customFormat="false" ht="15" hidden="false" customHeight="false" outlineLevel="0" collapsed="false">
      <c r="B4097" s="7" t="s">
        <v>4594</v>
      </c>
      <c r="C4097" s="39" t="n">
        <v>45859</v>
      </c>
      <c r="D4097" s="7" t="s">
        <v>375</v>
      </c>
      <c r="E4097" s="7" t="s">
        <v>156</v>
      </c>
      <c r="F4097" s="7" t="s">
        <v>196</v>
      </c>
      <c r="G4097" s="7" t="s">
        <v>505</v>
      </c>
      <c r="H4097" s="6" t="n">
        <v>3.04</v>
      </c>
      <c r="I4097" s="6" t="n">
        <v>0</v>
      </c>
      <c r="J4097" s="40" t="n">
        <f aca="false">H4097-I4097</f>
        <v>3.04</v>
      </c>
      <c r="K4097" s="41" t="n">
        <v>34</v>
      </c>
      <c r="L4097" s="42" t="n">
        <f aca="false">J4097*K4097</f>
        <v>103.36</v>
      </c>
      <c r="M4097" s="43" t="n">
        <f aca="false">H4097*15.05*(1+'Chart of Accounts'!$E$67)</f>
        <v>52.38604</v>
      </c>
    </row>
    <row r="4098" customFormat="false" ht="15" hidden="false" customHeight="false" outlineLevel="0" collapsed="false">
      <c r="B4098" s="7" t="s">
        <v>4595</v>
      </c>
      <c r="C4098" s="39" t="n">
        <v>45859</v>
      </c>
      <c r="D4098" s="7" t="s">
        <v>377</v>
      </c>
      <c r="E4098" s="7" t="s">
        <v>154</v>
      </c>
      <c r="F4098" s="7" t="s">
        <v>214</v>
      </c>
      <c r="G4098" s="7" t="s">
        <v>505</v>
      </c>
      <c r="H4098" s="6" t="n">
        <v>4.29</v>
      </c>
      <c r="I4098" s="6" t="n">
        <v>0</v>
      </c>
      <c r="J4098" s="40" t="n">
        <f aca="false">H4098-I4098</f>
        <v>4.29</v>
      </c>
      <c r="K4098" s="41" t="n">
        <v>26.5</v>
      </c>
      <c r="L4098" s="42" t="n">
        <f aca="false">J4098*K4098</f>
        <v>113.685</v>
      </c>
      <c r="M4098" s="43" t="n">
        <f aca="false">H4098*15.67*(1+'Chart of Accounts'!$E$67)</f>
        <v>76.9718235</v>
      </c>
    </row>
    <row r="4099" customFormat="false" ht="15" hidden="false" customHeight="false" outlineLevel="0" collapsed="false">
      <c r="B4099" s="7" t="s">
        <v>4596</v>
      </c>
      <c r="C4099" s="39" t="n">
        <v>45859</v>
      </c>
      <c r="D4099" s="7" t="s">
        <v>379</v>
      </c>
      <c r="E4099" s="7" t="s">
        <v>156</v>
      </c>
      <c r="F4099" s="7" t="s">
        <v>224</v>
      </c>
      <c r="G4099" s="7" t="s">
        <v>505</v>
      </c>
      <c r="H4099" s="6" t="n">
        <v>5.03</v>
      </c>
      <c r="I4099" s="6" t="n">
        <v>0</v>
      </c>
      <c r="J4099" s="40" t="n">
        <f aca="false">H4099-I4099</f>
        <v>5.03</v>
      </c>
      <c r="K4099" s="41" t="n">
        <v>34</v>
      </c>
      <c r="L4099" s="42" t="n">
        <f aca="false">J4099*K4099</f>
        <v>171.02</v>
      </c>
      <c r="M4099" s="43" t="n">
        <f aca="false">H4099*14.93*(1+'Chart of Accounts'!$E$67)</f>
        <v>85.9870955</v>
      </c>
    </row>
    <row r="4100" customFormat="false" ht="15" hidden="false" customHeight="false" outlineLevel="0" collapsed="false">
      <c r="B4100" s="7" t="s">
        <v>4597</v>
      </c>
      <c r="C4100" s="39" t="n">
        <v>45859</v>
      </c>
      <c r="D4100" s="7" t="s">
        <v>385</v>
      </c>
      <c r="E4100" s="7" t="s">
        <v>156</v>
      </c>
      <c r="F4100" s="7" t="s">
        <v>238</v>
      </c>
      <c r="G4100" s="7" t="s">
        <v>505</v>
      </c>
      <c r="H4100" s="6" t="n">
        <v>4.29</v>
      </c>
      <c r="I4100" s="6" t="n">
        <v>0</v>
      </c>
      <c r="J4100" s="40" t="n">
        <f aca="false">H4100-I4100</f>
        <v>4.29</v>
      </c>
      <c r="K4100" s="41" t="n">
        <v>34</v>
      </c>
      <c r="L4100" s="42" t="n">
        <f aca="false">J4100*K4100</f>
        <v>145.86</v>
      </c>
      <c r="M4100" s="43" t="n">
        <f aca="false">H4100*15.85*(1+'Chart of Accounts'!$E$67)</f>
        <v>77.8559925</v>
      </c>
    </row>
    <row r="4101" customFormat="false" ht="15" hidden="false" customHeight="false" outlineLevel="0" collapsed="false">
      <c r="B4101" s="7" t="s">
        <v>4598</v>
      </c>
      <c r="C4101" s="39" t="n">
        <v>45859</v>
      </c>
      <c r="D4101" s="7" t="s">
        <v>389</v>
      </c>
      <c r="E4101" s="7" t="s">
        <v>154</v>
      </c>
      <c r="F4101" s="7" t="s">
        <v>246</v>
      </c>
      <c r="G4101" s="7" t="s">
        <v>505</v>
      </c>
      <c r="H4101" s="6" t="n">
        <v>3.84</v>
      </c>
      <c r="I4101" s="6" t="n">
        <v>0</v>
      </c>
      <c r="J4101" s="40" t="n">
        <f aca="false">H4101-I4101</f>
        <v>3.84</v>
      </c>
      <c r="K4101" s="41" t="n">
        <v>26.5</v>
      </c>
      <c r="L4101" s="42" t="n">
        <f aca="false">J4101*K4101</f>
        <v>101.76</v>
      </c>
      <c r="M4101" s="43" t="n">
        <f aca="false">H4101*16.48*(1+'Chart of Accounts'!$E$67)</f>
        <v>72.459264</v>
      </c>
    </row>
    <row r="4102" customFormat="false" ht="15" hidden="false" customHeight="false" outlineLevel="0" collapsed="false">
      <c r="B4102" s="7" t="s">
        <v>4599</v>
      </c>
      <c r="C4102" s="39" t="n">
        <v>45859</v>
      </c>
      <c r="D4102" s="7" t="s">
        <v>391</v>
      </c>
      <c r="E4102" s="7" t="s">
        <v>156</v>
      </c>
      <c r="F4102" s="7" t="s">
        <v>222</v>
      </c>
      <c r="G4102" s="7" t="s">
        <v>505</v>
      </c>
      <c r="H4102" s="6" t="n">
        <v>3.73</v>
      </c>
      <c r="I4102" s="6" t="n">
        <v>0</v>
      </c>
      <c r="J4102" s="40" t="n">
        <f aca="false">H4102-I4102</f>
        <v>3.73</v>
      </c>
      <c r="K4102" s="41" t="n">
        <v>34</v>
      </c>
      <c r="L4102" s="42" t="n">
        <f aca="false">J4102*K4102</f>
        <v>126.82</v>
      </c>
      <c r="M4102" s="43" t="n">
        <f aca="false">H4102*17.84*(1+'Chart of Accounts'!$E$67)</f>
        <v>76.191964</v>
      </c>
    </row>
    <row r="4103" customFormat="false" ht="15" hidden="false" customHeight="false" outlineLevel="0" collapsed="false">
      <c r="B4103" s="7" t="s">
        <v>4600</v>
      </c>
      <c r="C4103" s="39" t="n">
        <v>45859</v>
      </c>
      <c r="D4103" s="7" t="s">
        <v>395</v>
      </c>
      <c r="E4103" s="7" t="s">
        <v>156</v>
      </c>
      <c r="F4103" s="7" t="s">
        <v>242</v>
      </c>
      <c r="G4103" s="7" t="s">
        <v>505</v>
      </c>
      <c r="H4103" s="6" t="n">
        <v>3.75</v>
      </c>
      <c r="I4103" s="6" t="n">
        <v>0</v>
      </c>
      <c r="J4103" s="40" t="n">
        <f aca="false">H4103-I4103</f>
        <v>3.75</v>
      </c>
      <c r="K4103" s="41" t="n">
        <v>34</v>
      </c>
      <c r="L4103" s="42" t="n">
        <f aca="false">J4103*K4103</f>
        <v>127.5</v>
      </c>
      <c r="M4103" s="43" t="n">
        <f aca="false">H4103*17.99*(1+'Chart of Accounts'!$E$67)</f>
        <v>77.2445625</v>
      </c>
    </row>
    <row r="4104" customFormat="false" ht="15" hidden="false" customHeight="false" outlineLevel="0" collapsed="false">
      <c r="B4104" s="7" t="s">
        <v>4601</v>
      </c>
      <c r="C4104" s="39" t="n">
        <v>45859</v>
      </c>
      <c r="D4104" s="7" t="s">
        <v>399</v>
      </c>
      <c r="E4104" s="7" t="s">
        <v>154</v>
      </c>
      <c r="F4104" s="7" t="s">
        <v>177</v>
      </c>
      <c r="G4104" s="7" t="s">
        <v>505</v>
      </c>
      <c r="H4104" s="6" t="n">
        <v>3.05</v>
      </c>
      <c r="I4104" s="6" t="n">
        <v>0</v>
      </c>
      <c r="J4104" s="40" t="n">
        <f aca="false">H4104-I4104</f>
        <v>3.05</v>
      </c>
      <c r="K4104" s="41" t="n">
        <v>26.5</v>
      </c>
      <c r="L4104" s="42" t="n">
        <f aca="false">J4104*K4104</f>
        <v>80.825</v>
      </c>
      <c r="M4104" s="43" t="n">
        <f aca="false">H4104*14.56*(1+'Chart of Accounts'!$E$67)</f>
        <v>50.84716</v>
      </c>
    </row>
    <row r="4105" customFormat="false" ht="15" hidden="false" customHeight="false" outlineLevel="0" collapsed="false">
      <c r="B4105" s="7" t="s">
        <v>4602</v>
      </c>
      <c r="C4105" s="39" t="n">
        <v>45859</v>
      </c>
      <c r="D4105" s="7" t="s">
        <v>401</v>
      </c>
      <c r="E4105" s="7" t="s">
        <v>156</v>
      </c>
      <c r="F4105" s="7" t="s">
        <v>254</v>
      </c>
      <c r="G4105" s="7" t="s">
        <v>505</v>
      </c>
      <c r="H4105" s="6" t="n">
        <v>3.63</v>
      </c>
      <c r="I4105" s="6" t="n">
        <v>0</v>
      </c>
      <c r="J4105" s="40" t="n">
        <f aca="false">H4105-I4105</f>
        <v>3.63</v>
      </c>
      <c r="K4105" s="41" t="n">
        <v>34</v>
      </c>
      <c r="L4105" s="42" t="n">
        <f aca="false">J4105*K4105</f>
        <v>123.42</v>
      </c>
      <c r="M4105" s="43" t="n">
        <f aca="false">H4105*17.1*(1+'Chart of Accounts'!$E$67)</f>
        <v>71.073585</v>
      </c>
    </row>
    <row r="4106" customFormat="false" ht="15" hidden="false" customHeight="false" outlineLevel="0" collapsed="false">
      <c r="B4106" s="7" t="s">
        <v>4603</v>
      </c>
      <c r="C4106" s="39" t="n">
        <v>45859</v>
      </c>
      <c r="D4106" s="7" t="s">
        <v>409</v>
      </c>
      <c r="E4106" s="7" t="s">
        <v>154</v>
      </c>
      <c r="F4106" s="7" t="s">
        <v>214</v>
      </c>
      <c r="G4106" s="7" t="s">
        <v>505</v>
      </c>
      <c r="H4106" s="6" t="n">
        <v>3.3</v>
      </c>
      <c r="I4106" s="6" t="n">
        <v>0</v>
      </c>
      <c r="J4106" s="40" t="n">
        <f aca="false">H4106-I4106</f>
        <v>3.3</v>
      </c>
      <c r="K4106" s="41" t="n">
        <v>26.5</v>
      </c>
      <c r="L4106" s="42" t="n">
        <f aca="false">J4106*K4106</f>
        <v>87.45</v>
      </c>
      <c r="M4106" s="43" t="n">
        <f aca="false">H4106*15.67*(1+'Chart of Accounts'!$E$67)</f>
        <v>59.209095</v>
      </c>
    </row>
    <row r="4107" customFormat="false" ht="15" hidden="false" customHeight="false" outlineLevel="0" collapsed="false">
      <c r="B4107" s="7" t="s">
        <v>4604</v>
      </c>
      <c r="C4107" s="39" t="n">
        <v>45859</v>
      </c>
      <c r="D4107" s="7" t="s">
        <v>411</v>
      </c>
      <c r="E4107" s="7" t="s">
        <v>154</v>
      </c>
      <c r="F4107" s="7" t="s">
        <v>177</v>
      </c>
      <c r="G4107" s="7" t="s">
        <v>505</v>
      </c>
      <c r="H4107" s="6" t="n">
        <v>5.05</v>
      </c>
      <c r="I4107" s="6" t="n">
        <v>0</v>
      </c>
      <c r="J4107" s="40" t="n">
        <f aca="false">H4107-I4107</f>
        <v>5.05</v>
      </c>
      <c r="K4107" s="41" t="n">
        <v>26.5</v>
      </c>
      <c r="L4107" s="42" t="n">
        <f aca="false">J4107*K4107</f>
        <v>133.825</v>
      </c>
      <c r="M4107" s="43" t="n">
        <f aca="false">H4107*14.56*(1+'Chart of Accounts'!$E$67)</f>
        <v>84.18956</v>
      </c>
    </row>
    <row r="4108" customFormat="false" ht="15" hidden="false" customHeight="false" outlineLevel="0" collapsed="false">
      <c r="B4108" s="7" t="s">
        <v>4605</v>
      </c>
      <c r="C4108" s="39" t="n">
        <v>45860</v>
      </c>
      <c r="D4108" s="7" t="s">
        <v>288</v>
      </c>
      <c r="E4108" s="7" t="s">
        <v>156</v>
      </c>
      <c r="F4108" s="7" t="s">
        <v>244</v>
      </c>
      <c r="G4108" s="7" t="s">
        <v>505</v>
      </c>
      <c r="H4108" s="6" t="n">
        <v>4.36</v>
      </c>
      <c r="I4108" s="6" t="n">
        <v>0</v>
      </c>
      <c r="J4108" s="40" t="n">
        <f aca="false">H4108-I4108</f>
        <v>4.36</v>
      </c>
      <c r="K4108" s="41" t="n">
        <v>34</v>
      </c>
      <c r="L4108" s="42" t="n">
        <f aca="false">J4108*K4108</f>
        <v>148.24</v>
      </c>
      <c r="M4108" s="43" t="n">
        <f aca="false">H4108*16.39*(1+'Chart of Accounts'!$E$67)</f>
        <v>81.822158</v>
      </c>
    </row>
    <row r="4109" customFormat="false" ht="15" hidden="false" customHeight="false" outlineLevel="0" collapsed="false">
      <c r="B4109" s="7" t="s">
        <v>4606</v>
      </c>
      <c r="C4109" s="39" t="n">
        <v>45860</v>
      </c>
      <c r="D4109" s="7" t="s">
        <v>301</v>
      </c>
      <c r="E4109" s="7" t="s">
        <v>157</v>
      </c>
      <c r="F4109" s="7" t="s">
        <v>209</v>
      </c>
      <c r="G4109" s="7" t="s">
        <v>502</v>
      </c>
      <c r="H4109" s="6" t="n">
        <v>0.92</v>
      </c>
      <c r="I4109" s="6" t="n">
        <v>0</v>
      </c>
      <c r="J4109" s="40" t="n">
        <f aca="false">H4109-I4109</f>
        <v>0.92</v>
      </c>
      <c r="K4109" s="41" t="n">
        <v>165</v>
      </c>
      <c r="L4109" s="42" t="n">
        <f aca="false">J4109*K4109</f>
        <v>151.8</v>
      </c>
      <c r="M4109" s="43" t="n">
        <f aca="false">H4109*73.58*(1+'Chart of Accounts'!$E$67)</f>
        <v>77.509172</v>
      </c>
    </row>
    <row r="4110" customFormat="false" ht="15" hidden="false" customHeight="false" outlineLevel="0" collapsed="false">
      <c r="B4110" s="7" t="s">
        <v>4607</v>
      </c>
      <c r="C4110" s="39" t="n">
        <v>45860</v>
      </c>
      <c r="D4110" s="7" t="s">
        <v>313</v>
      </c>
      <c r="E4110" s="7" t="s">
        <v>156</v>
      </c>
      <c r="F4110" s="7" t="s">
        <v>184</v>
      </c>
      <c r="G4110" s="7" t="s">
        <v>505</v>
      </c>
      <c r="H4110" s="6" t="n">
        <v>4.31</v>
      </c>
      <c r="I4110" s="6" t="n">
        <v>0</v>
      </c>
      <c r="J4110" s="40" t="n">
        <f aca="false">H4110-I4110</f>
        <v>4.31</v>
      </c>
      <c r="K4110" s="41" t="n">
        <v>34</v>
      </c>
      <c r="L4110" s="42" t="n">
        <f aca="false">J4110*K4110</f>
        <v>146.54</v>
      </c>
      <c r="M4110" s="43" t="n">
        <f aca="false">H4110*17.34*(1+'Chart of Accounts'!$E$67)</f>
        <v>85.572033</v>
      </c>
    </row>
    <row r="4111" customFormat="false" ht="15" hidden="false" customHeight="false" outlineLevel="0" collapsed="false">
      <c r="B4111" s="7" t="s">
        <v>4608</v>
      </c>
      <c r="C4111" s="39" t="n">
        <v>45860</v>
      </c>
      <c r="D4111" s="7" t="s">
        <v>319</v>
      </c>
      <c r="E4111" s="7" t="s">
        <v>157</v>
      </c>
      <c r="F4111" s="7" t="s">
        <v>234</v>
      </c>
      <c r="G4111" s="7" t="s">
        <v>502</v>
      </c>
      <c r="H4111" s="6" t="n">
        <v>0.9</v>
      </c>
      <c r="I4111" s="6" t="n">
        <v>0.045</v>
      </c>
      <c r="J4111" s="40" t="n">
        <f aca="false">H4111-I4111</f>
        <v>0.855</v>
      </c>
      <c r="K4111" s="41" t="n">
        <v>165</v>
      </c>
      <c r="L4111" s="42" t="n">
        <f aca="false">J4111*K4111</f>
        <v>141.075</v>
      </c>
      <c r="M4111" s="43" t="n">
        <f aca="false">H4111*89.53*(1+'Chart of Accounts'!$E$67)</f>
        <v>92.260665</v>
      </c>
    </row>
    <row r="4112" customFormat="false" ht="15" hidden="false" customHeight="false" outlineLevel="0" collapsed="false">
      <c r="B4112" s="7" t="s">
        <v>4609</v>
      </c>
      <c r="C4112" s="39" t="n">
        <v>45860</v>
      </c>
      <c r="D4112" s="7" t="s">
        <v>321</v>
      </c>
      <c r="E4112" s="7" t="s">
        <v>154</v>
      </c>
      <c r="F4112" s="7" t="s">
        <v>218</v>
      </c>
      <c r="G4112" s="7" t="s">
        <v>505</v>
      </c>
      <c r="H4112" s="6" t="n">
        <v>4.15</v>
      </c>
      <c r="I4112" s="6" t="n">
        <v>0</v>
      </c>
      <c r="J4112" s="40" t="n">
        <f aca="false">H4112-I4112</f>
        <v>4.15</v>
      </c>
      <c r="K4112" s="41" t="n">
        <v>26.5</v>
      </c>
      <c r="L4112" s="42" t="n">
        <f aca="false">J4112*K4112</f>
        <v>109.975</v>
      </c>
      <c r="M4112" s="43" t="n">
        <f aca="false">H4112*16.19*(1+'Chart of Accounts'!$E$67)</f>
        <v>76.9308325</v>
      </c>
    </row>
    <row r="4113" customFormat="false" ht="15" hidden="false" customHeight="false" outlineLevel="0" collapsed="false">
      <c r="B4113" s="7" t="s">
        <v>4610</v>
      </c>
      <c r="C4113" s="39" t="n">
        <v>45860</v>
      </c>
      <c r="D4113" s="7" t="s">
        <v>323</v>
      </c>
      <c r="E4113" s="7" t="s">
        <v>159</v>
      </c>
      <c r="F4113" s="7" t="s">
        <v>266</v>
      </c>
      <c r="G4113" s="7" t="s">
        <v>502</v>
      </c>
      <c r="H4113" s="6" t="n">
        <v>0.98</v>
      </c>
      <c r="I4113" s="6" t="n">
        <v>0</v>
      </c>
      <c r="J4113" s="40" t="n">
        <f aca="false">H4113-I4113</f>
        <v>0.98</v>
      </c>
      <c r="K4113" s="41" t="n">
        <v>135</v>
      </c>
      <c r="L4113" s="42" t="n">
        <f aca="false">J4113*K4113</f>
        <v>132.3</v>
      </c>
      <c r="M4113" s="43" t="n">
        <f aca="false">H4113*75.18*(1+'Chart of Accounts'!$E$67)</f>
        <v>84.359478</v>
      </c>
    </row>
    <row r="4114" customFormat="false" ht="15" hidden="false" customHeight="false" outlineLevel="0" collapsed="false">
      <c r="B4114" s="7" t="s">
        <v>4611</v>
      </c>
      <c r="C4114" s="39" t="n">
        <v>45860</v>
      </c>
      <c r="D4114" s="7" t="s">
        <v>327</v>
      </c>
      <c r="E4114" s="7" t="s">
        <v>157</v>
      </c>
      <c r="F4114" s="7" t="s">
        <v>228</v>
      </c>
      <c r="G4114" s="7" t="s">
        <v>502</v>
      </c>
      <c r="H4114" s="6" t="n">
        <v>0.99</v>
      </c>
      <c r="I4114" s="6" t="n">
        <v>0.05</v>
      </c>
      <c r="J4114" s="40" t="n">
        <f aca="false">H4114-I4114</f>
        <v>0.94</v>
      </c>
      <c r="K4114" s="41" t="n">
        <v>165</v>
      </c>
      <c r="L4114" s="42" t="n">
        <f aca="false">J4114*K4114</f>
        <v>155.1</v>
      </c>
      <c r="M4114" s="43" t="n">
        <f aca="false">H4114*51.07*(1+'Chart of Accounts'!$E$67)</f>
        <v>57.8903985</v>
      </c>
    </row>
    <row r="4115" customFormat="false" ht="15" hidden="false" customHeight="false" outlineLevel="0" collapsed="false">
      <c r="B4115" s="7" t="s">
        <v>4612</v>
      </c>
      <c r="C4115" s="39" t="n">
        <v>45860</v>
      </c>
      <c r="D4115" s="7" t="s">
        <v>329</v>
      </c>
      <c r="E4115" s="7" t="s">
        <v>156</v>
      </c>
      <c r="F4115" s="7" t="s">
        <v>220</v>
      </c>
      <c r="G4115" s="7" t="s">
        <v>505</v>
      </c>
      <c r="H4115" s="6" t="n">
        <v>4.32</v>
      </c>
      <c r="I4115" s="6" t="n">
        <v>0</v>
      </c>
      <c r="J4115" s="40" t="n">
        <f aca="false">H4115-I4115</f>
        <v>4.32</v>
      </c>
      <c r="K4115" s="41" t="n">
        <v>34</v>
      </c>
      <c r="L4115" s="42" t="n">
        <f aca="false">J4115*K4115</f>
        <v>146.88</v>
      </c>
      <c r="M4115" s="43" t="n">
        <f aca="false">H4115*16.43*(1+'Chart of Accounts'!$E$67)</f>
        <v>81.269352</v>
      </c>
    </row>
    <row r="4116" customFormat="false" ht="15" hidden="false" customHeight="false" outlineLevel="0" collapsed="false">
      <c r="B4116" s="7" t="s">
        <v>4613</v>
      </c>
      <c r="C4116" s="39" t="n">
        <v>45860</v>
      </c>
      <c r="D4116" s="7" t="s">
        <v>359</v>
      </c>
      <c r="E4116" s="7" t="s">
        <v>156</v>
      </c>
      <c r="F4116" s="7" t="s">
        <v>244</v>
      </c>
      <c r="G4116" s="7" t="s">
        <v>505</v>
      </c>
      <c r="H4116" s="6" t="n">
        <v>4.3</v>
      </c>
      <c r="I4116" s="6" t="n">
        <v>0</v>
      </c>
      <c r="J4116" s="40" t="n">
        <f aca="false">H4116-I4116</f>
        <v>4.3</v>
      </c>
      <c r="K4116" s="41" t="n">
        <v>34</v>
      </c>
      <c r="L4116" s="42" t="n">
        <f aca="false">J4116*K4116</f>
        <v>146.2</v>
      </c>
      <c r="M4116" s="43" t="n">
        <f aca="false">H4116*16.39*(1+'Chart of Accounts'!$E$67)</f>
        <v>80.696165</v>
      </c>
    </row>
    <row r="4117" customFormat="false" ht="15" hidden="false" customHeight="false" outlineLevel="0" collapsed="false">
      <c r="B4117" s="7" t="s">
        <v>4614</v>
      </c>
      <c r="C4117" s="39" t="n">
        <v>45860</v>
      </c>
      <c r="D4117" s="7" t="s">
        <v>361</v>
      </c>
      <c r="E4117" s="7" t="s">
        <v>157</v>
      </c>
      <c r="F4117" s="7" t="s">
        <v>209</v>
      </c>
      <c r="G4117" s="7" t="s">
        <v>502</v>
      </c>
      <c r="H4117" s="6" t="n">
        <v>0.95</v>
      </c>
      <c r="I4117" s="6" t="n">
        <v>0</v>
      </c>
      <c r="J4117" s="40" t="n">
        <f aca="false">H4117-I4117</f>
        <v>0.95</v>
      </c>
      <c r="K4117" s="41" t="n">
        <v>165</v>
      </c>
      <c r="L4117" s="42" t="n">
        <f aca="false">J4117*K4117</f>
        <v>156.75</v>
      </c>
      <c r="M4117" s="43" t="n">
        <f aca="false">H4117*73.58*(1+'Chart of Accounts'!$E$67)</f>
        <v>80.036645</v>
      </c>
    </row>
    <row r="4118" customFormat="false" ht="15" hidden="false" customHeight="false" outlineLevel="0" collapsed="false">
      <c r="B4118" s="7" t="s">
        <v>4615</v>
      </c>
      <c r="C4118" s="39" t="n">
        <v>45860</v>
      </c>
      <c r="D4118" s="7" t="s">
        <v>365</v>
      </c>
      <c r="E4118" s="7" t="s">
        <v>154</v>
      </c>
      <c r="F4118" s="7" t="s">
        <v>194</v>
      </c>
      <c r="G4118" s="7" t="s">
        <v>505</v>
      </c>
      <c r="H4118" s="6" t="n">
        <v>3.75</v>
      </c>
      <c r="I4118" s="6" t="n">
        <v>0</v>
      </c>
      <c r="J4118" s="40" t="n">
        <f aca="false">H4118-I4118</f>
        <v>3.75</v>
      </c>
      <c r="K4118" s="41" t="n">
        <v>26.5</v>
      </c>
      <c r="L4118" s="42" t="n">
        <f aca="false">J4118*K4118</f>
        <v>99.375</v>
      </c>
      <c r="M4118" s="43" t="n">
        <f aca="false">H4118*16*(1+'Chart of Accounts'!$E$67)</f>
        <v>68.7</v>
      </c>
    </row>
    <row r="4119" customFormat="false" ht="15" hidden="false" customHeight="false" outlineLevel="0" collapsed="false">
      <c r="B4119" s="7" t="s">
        <v>4616</v>
      </c>
      <c r="C4119" s="39" t="n">
        <v>45860</v>
      </c>
      <c r="D4119" s="7" t="s">
        <v>369</v>
      </c>
      <c r="E4119" s="7" t="s">
        <v>159</v>
      </c>
      <c r="F4119" s="7" t="s">
        <v>258</v>
      </c>
      <c r="G4119" s="7" t="s">
        <v>502</v>
      </c>
      <c r="H4119" s="6" t="n">
        <v>1.1</v>
      </c>
      <c r="I4119" s="6" t="n">
        <v>0</v>
      </c>
      <c r="J4119" s="40" t="n">
        <f aca="false">H4119-I4119</f>
        <v>1.1</v>
      </c>
      <c r="K4119" s="41" t="n">
        <v>135</v>
      </c>
      <c r="L4119" s="42" t="n">
        <f aca="false">J4119*K4119</f>
        <v>148.5</v>
      </c>
      <c r="M4119" s="43" t="n">
        <f aca="false">H4119*61.61*(1+'Chart of Accounts'!$E$67)</f>
        <v>77.597795</v>
      </c>
    </row>
    <row r="4120" customFormat="false" ht="15" hidden="false" customHeight="false" outlineLevel="0" collapsed="false">
      <c r="B4120" s="7" t="s">
        <v>4617</v>
      </c>
      <c r="C4120" s="39" t="n">
        <v>45860</v>
      </c>
      <c r="D4120" s="7" t="s">
        <v>381</v>
      </c>
      <c r="E4120" s="7" t="s">
        <v>157</v>
      </c>
      <c r="F4120" s="7" t="s">
        <v>234</v>
      </c>
      <c r="G4120" s="7" t="s">
        <v>502</v>
      </c>
      <c r="H4120" s="6" t="n">
        <v>1.07</v>
      </c>
      <c r="I4120" s="6" t="n">
        <v>0</v>
      </c>
      <c r="J4120" s="40" t="n">
        <f aca="false">H4120-I4120</f>
        <v>1.07</v>
      </c>
      <c r="K4120" s="41" t="n">
        <v>165</v>
      </c>
      <c r="L4120" s="42" t="n">
        <f aca="false">J4120*K4120</f>
        <v>176.55</v>
      </c>
      <c r="M4120" s="43" t="n">
        <f aca="false">H4120*89.53*(1+'Chart of Accounts'!$E$67)</f>
        <v>109.6876795</v>
      </c>
    </row>
    <row r="4121" customFormat="false" ht="15" hidden="false" customHeight="false" outlineLevel="0" collapsed="false">
      <c r="B4121" s="7" t="s">
        <v>4618</v>
      </c>
      <c r="C4121" s="39" t="n">
        <v>45860</v>
      </c>
      <c r="D4121" s="7" t="s">
        <v>389</v>
      </c>
      <c r="E4121" s="7" t="s">
        <v>154</v>
      </c>
      <c r="F4121" s="7" t="s">
        <v>246</v>
      </c>
      <c r="G4121" s="7" t="s">
        <v>505</v>
      </c>
      <c r="H4121" s="6" t="n">
        <v>4.23</v>
      </c>
      <c r="I4121" s="6" t="n">
        <v>0</v>
      </c>
      <c r="J4121" s="40" t="n">
        <f aca="false">H4121-I4121</f>
        <v>4.23</v>
      </c>
      <c r="K4121" s="41" t="n">
        <v>26.5</v>
      </c>
      <c r="L4121" s="42" t="n">
        <f aca="false">J4121*K4121</f>
        <v>112.095</v>
      </c>
      <c r="M4121" s="43" t="n">
        <f aca="false">H4121*16.48*(1+'Chart of Accounts'!$E$67)</f>
        <v>79.818408</v>
      </c>
    </row>
    <row r="4122" customFormat="false" ht="15" hidden="false" customHeight="false" outlineLevel="0" collapsed="false">
      <c r="B4122" s="7" t="s">
        <v>4619</v>
      </c>
      <c r="C4122" s="39" t="n">
        <v>45860</v>
      </c>
      <c r="D4122" s="7" t="s">
        <v>391</v>
      </c>
      <c r="E4122" s="7" t="s">
        <v>156</v>
      </c>
      <c r="F4122" s="7" t="s">
        <v>222</v>
      </c>
      <c r="G4122" s="7" t="s">
        <v>505</v>
      </c>
      <c r="H4122" s="6" t="n">
        <v>3.83</v>
      </c>
      <c r="I4122" s="6" t="n">
        <v>0</v>
      </c>
      <c r="J4122" s="40" t="n">
        <f aca="false">H4122-I4122</f>
        <v>3.83</v>
      </c>
      <c r="K4122" s="41" t="n">
        <v>34</v>
      </c>
      <c r="L4122" s="42" t="n">
        <f aca="false">J4122*K4122</f>
        <v>130.22</v>
      </c>
      <c r="M4122" s="43" t="n">
        <f aca="false">H4122*17.84*(1+'Chart of Accounts'!$E$67)</f>
        <v>78.234644</v>
      </c>
    </row>
    <row r="4123" customFormat="false" ht="15" hidden="false" customHeight="false" outlineLevel="0" collapsed="false">
      <c r="B4123" s="7" t="s">
        <v>4620</v>
      </c>
      <c r="C4123" s="39" t="n">
        <v>45860</v>
      </c>
      <c r="D4123" s="7" t="s">
        <v>395</v>
      </c>
      <c r="E4123" s="7" t="s">
        <v>156</v>
      </c>
      <c r="F4123" s="7" t="s">
        <v>242</v>
      </c>
      <c r="G4123" s="7" t="s">
        <v>505</v>
      </c>
      <c r="H4123" s="6" t="n">
        <v>4.26</v>
      </c>
      <c r="I4123" s="6" t="n">
        <v>0</v>
      </c>
      <c r="J4123" s="40" t="n">
        <f aca="false">H4123-I4123</f>
        <v>4.26</v>
      </c>
      <c r="K4123" s="41" t="n">
        <v>34</v>
      </c>
      <c r="L4123" s="42" t="n">
        <f aca="false">J4123*K4123</f>
        <v>144.84</v>
      </c>
      <c r="M4123" s="43" t="n">
        <f aca="false">H4123*17.99*(1+'Chart of Accounts'!$E$67)</f>
        <v>87.749823</v>
      </c>
    </row>
    <row r="4124" customFormat="false" ht="15" hidden="false" customHeight="false" outlineLevel="0" collapsed="false">
      <c r="B4124" s="7" t="s">
        <v>4621</v>
      </c>
      <c r="C4124" s="39" t="n">
        <v>45860</v>
      </c>
      <c r="D4124" s="7" t="s">
        <v>397</v>
      </c>
      <c r="E4124" s="7" t="s">
        <v>159</v>
      </c>
      <c r="F4124" s="7" t="s">
        <v>203</v>
      </c>
      <c r="G4124" s="7" t="s">
        <v>502</v>
      </c>
      <c r="H4124" s="6" t="n">
        <v>1.08</v>
      </c>
      <c r="I4124" s="6" t="n">
        <v>0</v>
      </c>
      <c r="J4124" s="40" t="n">
        <f aca="false">H4124-I4124</f>
        <v>1.08</v>
      </c>
      <c r="K4124" s="41" t="n">
        <v>135</v>
      </c>
      <c r="L4124" s="42" t="n">
        <f aca="false">J4124*K4124</f>
        <v>145.8</v>
      </c>
      <c r="M4124" s="43" t="n">
        <f aca="false">H4124*49.43*(1+'Chart of Accounts'!$E$67)</f>
        <v>61.125138</v>
      </c>
    </row>
    <row r="4125" customFormat="false" ht="15" hidden="false" customHeight="false" outlineLevel="0" collapsed="false">
      <c r="B4125" s="7" t="s">
        <v>4622</v>
      </c>
      <c r="C4125" s="39" t="n">
        <v>45860</v>
      </c>
      <c r="D4125" s="7" t="s">
        <v>401</v>
      </c>
      <c r="E4125" s="7" t="s">
        <v>156</v>
      </c>
      <c r="F4125" s="7" t="s">
        <v>254</v>
      </c>
      <c r="G4125" s="7" t="s">
        <v>505</v>
      </c>
      <c r="H4125" s="6" t="n">
        <v>3.86</v>
      </c>
      <c r="I4125" s="6" t="n">
        <v>0</v>
      </c>
      <c r="J4125" s="40" t="n">
        <f aca="false">H4125-I4125</f>
        <v>3.86</v>
      </c>
      <c r="K4125" s="41" t="n">
        <v>34</v>
      </c>
      <c r="L4125" s="42" t="n">
        <f aca="false">J4125*K4125</f>
        <v>131.24</v>
      </c>
      <c r="M4125" s="43" t="n">
        <f aca="false">H4125*17.1*(1+'Chart of Accounts'!$E$67)</f>
        <v>75.57687</v>
      </c>
    </row>
    <row r="4126" customFormat="false" ht="15" hidden="false" customHeight="false" outlineLevel="0" collapsed="false">
      <c r="B4126" s="7" t="s">
        <v>4623</v>
      </c>
      <c r="C4126" s="39" t="n">
        <v>45860</v>
      </c>
      <c r="D4126" s="7" t="s">
        <v>407</v>
      </c>
      <c r="E4126" s="7" t="s">
        <v>159</v>
      </c>
      <c r="F4126" s="7" t="s">
        <v>260</v>
      </c>
      <c r="G4126" s="7" t="s">
        <v>502</v>
      </c>
      <c r="H4126" s="6" t="n">
        <v>1.02</v>
      </c>
      <c r="I4126" s="6" t="n">
        <v>0</v>
      </c>
      <c r="J4126" s="40" t="n">
        <f aca="false">H4126-I4126</f>
        <v>1.02</v>
      </c>
      <c r="K4126" s="41" t="n">
        <v>135</v>
      </c>
      <c r="L4126" s="42" t="n">
        <f aca="false">J4126*K4126</f>
        <v>137.7</v>
      </c>
      <c r="M4126" s="43" t="n">
        <f aca="false">H4126*79.8*(1+'Chart of Accounts'!$E$67)</f>
        <v>93.19842</v>
      </c>
    </row>
    <row r="4127" customFormat="false" ht="15" hidden="false" customHeight="false" outlineLevel="0" collapsed="false">
      <c r="B4127" s="7" t="s">
        <v>4624</v>
      </c>
      <c r="C4127" s="39" t="n">
        <v>45861</v>
      </c>
      <c r="D4127" s="7" t="s">
        <v>280</v>
      </c>
      <c r="E4127" s="7" t="s">
        <v>157</v>
      </c>
      <c r="F4127" s="7" t="s">
        <v>187</v>
      </c>
      <c r="G4127" s="7" t="s">
        <v>502</v>
      </c>
      <c r="H4127" s="6" t="n">
        <v>1.05</v>
      </c>
      <c r="I4127" s="6" t="n">
        <v>0</v>
      </c>
      <c r="J4127" s="40" t="n">
        <f aca="false">H4127-I4127</f>
        <v>1.05</v>
      </c>
      <c r="K4127" s="41" t="n">
        <v>165</v>
      </c>
      <c r="L4127" s="42" t="n">
        <f aca="false">J4127*K4127</f>
        <v>173.25</v>
      </c>
      <c r="M4127" s="43" t="n">
        <f aca="false">H4127*66.48*(1+'Chart of Accounts'!$E$67)</f>
        <v>79.92558</v>
      </c>
    </row>
    <row r="4128" customFormat="false" ht="15" hidden="false" customHeight="false" outlineLevel="0" collapsed="false">
      <c r="B4128" s="7" t="s">
        <v>4625</v>
      </c>
      <c r="C4128" s="39" t="n">
        <v>45861</v>
      </c>
      <c r="D4128" s="7" t="s">
        <v>288</v>
      </c>
      <c r="E4128" s="7" t="s">
        <v>156</v>
      </c>
      <c r="F4128" s="7" t="s">
        <v>238</v>
      </c>
      <c r="G4128" s="7" t="s">
        <v>505</v>
      </c>
      <c r="H4128" s="6" t="n">
        <v>4.31</v>
      </c>
      <c r="I4128" s="6" t="n">
        <v>0</v>
      </c>
      <c r="J4128" s="40" t="n">
        <f aca="false">H4128-I4128</f>
        <v>4.31</v>
      </c>
      <c r="K4128" s="41" t="n">
        <v>34</v>
      </c>
      <c r="L4128" s="42" t="n">
        <f aca="false">J4128*K4128</f>
        <v>146.54</v>
      </c>
      <c r="M4128" s="43" t="n">
        <f aca="false">H4128*15.85*(1+'Chart of Accounts'!$E$67)</f>
        <v>78.2189575</v>
      </c>
    </row>
    <row r="4129" customFormat="false" ht="15" hidden="false" customHeight="false" outlineLevel="0" collapsed="false">
      <c r="B4129" s="7" t="s">
        <v>4626</v>
      </c>
      <c r="C4129" s="39" t="n">
        <v>45861</v>
      </c>
      <c r="D4129" s="7" t="s">
        <v>291</v>
      </c>
      <c r="E4129" s="7" t="s">
        <v>154</v>
      </c>
      <c r="F4129" s="7" t="s">
        <v>194</v>
      </c>
      <c r="G4129" s="7" t="s">
        <v>505</v>
      </c>
      <c r="H4129" s="6" t="n">
        <v>4.6</v>
      </c>
      <c r="I4129" s="6" t="n">
        <v>0</v>
      </c>
      <c r="J4129" s="40" t="n">
        <f aca="false">H4129-I4129</f>
        <v>4.6</v>
      </c>
      <c r="K4129" s="41" t="n">
        <v>26.5</v>
      </c>
      <c r="L4129" s="42" t="n">
        <f aca="false">J4129*K4129</f>
        <v>121.9</v>
      </c>
      <c r="M4129" s="43" t="n">
        <f aca="false">H4129*16*(1+'Chart of Accounts'!$E$67)</f>
        <v>84.272</v>
      </c>
    </row>
    <row r="4130" customFormat="false" ht="15" hidden="false" customHeight="false" outlineLevel="0" collapsed="false">
      <c r="B4130" s="7" t="s">
        <v>4627</v>
      </c>
      <c r="C4130" s="39" t="n">
        <v>45861</v>
      </c>
      <c r="D4130" s="7" t="s">
        <v>305</v>
      </c>
      <c r="E4130" s="7" t="s">
        <v>154</v>
      </c>
      <c r="F4130" s="7" t="s">
        <v>205</v>
      </c>
      <c r="G4130" s="7" t="s">
        <v>505</v>
      </c>
      <c r="H4130" s="6" t="n">
        <v>3.87</v>
      </c>
      <c r="I4130" s="6" t="n">
        <v>0</v>
      </c>
      <c r="J4130" s="40" t="n">
        <f aca="false">H4130-I4130</f>
        <v>3.87</v>
      </c>
      <c r="K4130" s="41" t="n">
        <v>26.5</v>
      </c>
      <c r="L4130" s="42" t="n">
        <f aca="false">J4130*K4130</f>
        <v>102.555</v>
      </c>
      <c r="M4130" s="43" t="n">
        <f aca="false">H4130*16.36*(1+'Chart of Accounts'!$E$67)</f>
        <v>72.493614</v>
      </c>
    </row>
    <row r="4131" customFormat="false" ht="15" hidden="false" customHeight="false" outlineLevel="0" collapsed="false">
      <c r="B4131" s="7" t="s">
        <v>4628</v>
      </c>
      <c r="C4131" s="39" t="n">
        <v>45861</v>
      </c>
      <c r="D4131" s="7" t="s">
        <v>307</v>
      </c>
      <c r="E4131" s="7" t="s">
        <v>157</v>
      </c>
      <c r="F4131" s="7" t="s">
        <v>264</v>
      </c>
      <c r="G4131" s="7" t="s">
        <v>502</v>
      </c>
      <c r="H4131" s="6" t="n">
        <v>1.05</v>
      </c>
      <c r="I4131" s="6" t="n">
        <v>0</v>
      </c>
      <c r="J4131" s="40" t="n">
        <f aca="false">H4131-I4131</f>
        <v>1.05</v>
      </c>
      <c r="K4131" s="41" t="n">
        <v>165</v>
      </c>
      <c r="L4131" s="42" t="n">
        <f aca="false">J4131*K4131</f>
        <v>173.25</v>
      </c>
      <c r="M4131" s="43" t="n">
        <f aca="false">H4131*55.55*(1+'Chart of Accounts'!$E$67)</f>
        <v>66.7849875</v>
      </c>
    </row>
    <row r="4132" customFormat="false" ht="15" hidden="false" customHeight="false" outlineLevel="0" collapsed="false">
      <c r="B4132" s="7" t="s">
        <v>4629</v>
      </c>
      <c r="C4132" s="39" t="n">
        <v>45861</v>
      </c>
      <c r="D4132" s="7" t="s">
        <v>309</v>
      </c>
      <c r="E4132" s="7" t="s">
        <v>159</v>
      </c>
      <c r="F4132" s="7" t="s">
        <v>252</v>
      </c>
      <c r="G4132" s="7" t="s">
        <v>502</v>
      </c>
      <c r="H4132" s="6" t="n">
        <v>0.91</v>
      </c>
      <c r="I4132" s="6" t="n">
        <v>0</v>
      </c>
      <c r="J4132" s="40" t="n">
        <f aca="false">H4132-I4132</f>
        <v>0.91</v>
      </c>
      <c r="K4132" s="41" t="n">
        <v>135</v>
      </c>
      <c r="L4132" s="42" t="n">
        <f aca="false">J4132*K4132</f>
        <v>122.85</v>
      </c>
      <c r="M4132" s="43" t="n">
        <f aca="false">H4132*57.54*(1+'Chart of Accounts'!$E$67)</f>
        <v>59.953803</v>
      </c>
    </row>
    <row r="4133" customFormat="false" ht="15" hidden="false" customHeight="false" outlineLevel="0" collapsed="false">
      <c r="B4133" s="7" t="s">
        <v>4630</v>
      </c>
      <c r="C4133" s="39" t="n">
        <v>45861</v>
      </c>
      <c r="D4133" s="7" t="s">
        <v>313</v>
      </c>
      <c r="E4133" s="7" t="s">
        <v>156</v>
      </c>
      <c r="F4133" s="7" t="s">
        <v>184</v>
      </c>
      <c r="G4133" s="7" t="s">
        <v>505</v>
      </c>
      <c r="H4133" s="6" t="n">
        <v>4.1</v>
      </c>
      <c r="I4133" s="6" t="n">
        <v>0</v>
      </c>
      <c r="J4133" s="40" t="n">
        <f aca="false">H4133-I4133</f>
        <v>4.1</v>
      </c>
      <c r="K4133" s="41" t="n">
        <v>34</v>
      </c>
      <c r="L4133" s="42" t="n">
        <f aca="false">J4133*K4133</f>
        <v>139.4</v>
      </c>
      <c r="M4133" s="43" t="n">
        <f aca="false">H4133*17.34*(1+'Chart of Accounts'!$E$67)</f>
        <v>81.40263</v>
      </c>
    </row>
    <row r="4134" customFormat="false" ht="15" hidden="false" customHeight="false" outlineLevel="0" collapsed="false">
      <c r="B4134" s="7" t="s">
        <v>4631</v>
      </c>
      <c r="C4134" s="39" t="n">
        <v>45861</v>
      </c>
      <c r="D4134" s="7" t="s">
        <v>321</v>
      </c>
      <c r="E4134" s="7" t="s">
        <v>154</v>
      </c>
      <c r="F4134" s="7" t="s">
        <v>218</v>
      </c>
      <c r="G4134" s="7" t="s">
        <v>505</v>
      </c>
      <c r="H4134" s="6" t="n">
        <v>4.27</v>
      </c>
      <c r="I4134" s="6" t="n">
        <v>0</v>
      </c>
      <c r="J4134" s="40" t="n">
        <f aca="false">H4134-I4134</f>
        <v>4.27</v>
      </c>
      <c r="K4134" s="41" t="n">
        <v>26.5</v>
      </c>
      <c r="L4134" s="42" t="n">
        <f aca="false">J4134*K4134</f>
        <v>113.155</v>
      </c>
      <c r="M4134" s="43" t="n">
        <f aca="false">H4134*16.19*(1+'Chart of Accounts'!$E$67)</f>
        <v>79.1553385</v>
      </c>
    </row>
    <row r="4135" customFormat="false" ht="15" hidden="false" customHeight="false" outlineLevel="0" collapsed="false">
      <c r="B4135" s="7" t="s">
        <v>4632</v>
      </c>
      <c r="C4135" s="39" t="n">
        <v>45861</v>
      </c>
      <c r="D4135" s="7" t="s">
        <v>329</v>
      </c>
      <c r="E4135" s="7" t="s">
        <v>156</v>
      </c>
      <c r="F4135" s="7" t="s">
        <v>220</v>
      </c>
      <c r="G4135" s="7" t="s">
        <v>505</v>
      </c>
      <c r="H4135" s="6" t="n">
        <v>3.71</v>
      </c>
      <c r="I4135" s="6" t="n">
        <v>0</v>
      </c>
      <c r="J4135" s="40" t="n">
        <f aca="false">H4135-I4135</f>
        <v>3.71</v>
      </c>
      <c r="K4135" s="41" t="n">
        <v>34</v>
      </c>
      <c r="L4135" s="42" t="n">
        <f aca="false">J4135*K4135</f>
        <v>126.14</v>
      </c>
      <c r="M4135" s="43" t="n">
        <f aca="false">H4135*16.43*(1+'Chart of Accounts'!$E$67)</f>
        <v>69.7938185</v>
      </c>
    </row>
    <row r="4136" customFormat="false" ht="15" hidden="false" customHeight="false" outlineLevel="0" collapsed="false">
      <c r="B4136" s="7" t="s">
        <v>4633</v>
      </c>
      <c r="C4136" s="39" t="n">
        <v>45861</v>
      </c>
      <c r="D4136" s="7" t="s">
        <v>335</v>
      </c>
      <c r="E4136" s="7" t="s">
        <v>154</v>
      </c>
      <c r="F4136" s="7" t="s">
        <v>177</v>
      </c>
      <c r="G4136" s="7" t="s">
        <v>505</v>
      </c>
      <c r="H4136" s="6" t="n">
        <v>4.15</v>
      </c>
      <c r="I4136" s="6" t="n">
        <v>0</v>
      </c>
      <c r="J4136" s="40" t="n">
        <f aca="false">H4136-I4136</f>
        <v>4.15</v>
      </c>
      <c r="K4136" s="41" t="n">
        <v>26.5</v>
      </c>
      <c r="L4136" s="42" t="n">
        <f aca="false">J4136*K4136</f>
        <v>109.975</v>
      </c>
      <c r="M4136" s="43" t="n">
        <f aca="false">H4136*14.56*(1+'Chart of Accounts'!$E$67)</f>
        <v>69.18548</v>
      </c>
    </row>
    <row r="4137" customFormat="false" ht="15" hidden="false" customHeight="false" outlineLevel="0" collapsed="false">
      <c r="B4137" s="7" t="s">
        <v>4634</v>
      </c>
      <c r="C4137" s="39" t="n">
        <v>45861</v>
      </c>
      <c r="D4137" s="7" t="s">
        <v>339</v>
      </c>
      <c r="E4137" s="7" t="s">
        <v>154</v>
      </c>
      <c r="F4137" s="7" t="s">
        <v>242</v>
      </c>
      <c r="G4137" s="7" t="s">
        <v>505</v>
      </c>
      <c r="H4137" s="6" t="n">
        <v>3.07</v>
      </c>
      <c r="I4137" s="6" t="n">
        <v>0.092</v>
      </c>
      <c r="J4137" s="40" t="n">
        <f aca="false">H4137-I4137</f>
        <v>2.978</v>
      </c>
      <c r="K4137" s="41" t="n">
        <v>26.5</v>
      </c>
      <c r="L4137" s="42" t="n">
        <f aca="false">J4137*K4137</f>
        <v>78.917</v>
      </c>
      <c r="M4137" s="43" t="n">
        <f aca="false">H4137*17.99*(1+'Chart of Accounts'!$E$67)</f>
        <v>63.2375485</v>
      </c>
    </row>
    <row r="4138" customFormat="false" ht="15" hidden="false" customHeight="false" outlineLevel="0" collapsed="false">
      <c r="B4138" s="7" t="s">
        <v>4635</v>
      </c>
      <c r="C4138" s="39" t="n">
        <v>45861</v>
      </c>
      <c r="D4138" s="7" t="s">
        <v>353</v>
      </c>
      <c r="E4138" s="7" t="s">
        <v>154</v>
      </c>
      <c r="F4138" s="7" t="s">
        <v>254</v>
      </c>
      <c r="G4138" s="7" t="s">
        <v>505</v>
      </c>
      <c r="H4138" s="6" t="n">
        <v>3.44</v>
      </c>
      <c r="I4138" s="6" t="n">
        <v>0</v>
      </c>
      <c r="J4138" s="40" t="n">
        <f aca="false">H4138-I4138</f>
        <v>3.44</v>
      </c>
      <c r="K4138" s="41" t="n">
        <v>26.5</v>
      </c>
      <c r="L4138" s="42" t="n">
        <f aca="false">J4138*K4138</f>
        <v>91.16</v>
      </c>
      <c r="M4138" s="43" t="n">
        <f aca="false">H4138*17.1*(1+'Chart of Accounts'!$E$67)</f>
        <v>67.35348</v>
      </c>
    </row>
    <row r="4139" customFormat="false" ht="15" hidden="false" customHeight="false" outlineLevel="0" collapsed="false">
      <c r="B4139" s="7" t="s">
        <v>4636</v>
      </c>
      <c r="C4139" s="39" t="n">
        <v>45861</v>
      </c>
      <c r="D4139" s="7" t="s">
        <v>355</v>
      </c>
      <c r="E4139" s="7" t="s">
        <v>154</v>
      </c>
      <c r="F4139" s="7" t="s">
        <v>201</v>
      </c>
      <c r="G4139" s="7" t="s">
        <v>505</v>
      </c>
      <c r="H4139" s="6" t="n">
        <v>3.47</v>
      </c>
      <c r="I4139" s="6" t="n">
        <v>0.104</v>
      </c>
      <c r="J4139" s="40" t="n">
        <f aca="false">H4139-I4139</f>
        <v>3.366</v>
      </c>
      <c r="K4139" s="41" t="n">
        <v>26.5</v>
      </c>
      <c r="L4139" s="42" t="n">
        <f aca="false">J4139*K4139</f>
        <v>89.199</v>
      </c>
      <c r="M4139" s="43" t="n">
        <f aca="false">H4139*15.19*(1+'Chart of Accounts'!$E$67)</f>
        <v>60.3521485</v>
      </c>
    </row>
    <row r="4140" customFormat="false" ht="15" hidden="false" customHeight="false" outlineLevel="0" collapsed="false">
      <c r="B4140" s="7" t="s">
        <v>4637</v>
      </c>
      <c r="C4140" s="39" t="n">
        <v>45861</v>
      </c>
      <c r="D4140" s="7" t="s">
        <v>357</v>
      </c>
      <c r="E4140" s="7" t="s">
        <v>154</v>
      </c>
      <c r="F4140" s="7" t="s">
        <v>207</v>
      </c>
      <c r="G4140" s="7" t="s">
        <v>505</v>
      </c>
      <c r="H4140" s="6" t="n">
        <v>3.49</v>
      </c>
      <c r="I4140" s="6" t="n">
        <v>0</v>
      </c>
      <c r="J4140" s="40" t="n">
        <f aca="false">H4140-I4140</f>
        <v>3.49</v>
      </c>
      <c r="K4140" s="41" t="n">
        <v>26.5</v>
      </c>
      <c r="L4140" s="42" t="n">
        <f aca="false">J4140*K4140</f>
        <v>92.485</v>
      </c>
      <c r="M4140" s="43" t="n">
        <f aca="false">H4140*16.65*(1+'Chart of Accounts'!$E$67)</f>
        <v>66.5342325</v>
      </c>
    </row>
    <row r="4141" customFormat="false" ht="15" hidden="false" customHeight="false" outlineLevel="0" collapsed="false">
      <c r="B4141" s="7" t="s">
        <v>4638</v>
      </c>
      <c r="C4141" s="39" t="n">
        <v>45861</v>
      </c>
      <c r="D4141" s="7" t="s">
        <v>359</v>
      </c>
      <c r="E4141" s="7" t="s">
        <v>156</v>
      </c>
      <c r="F4141" s="7" t="s">
        <v>232</v>
      </c>
      <c r="G4141" s="7" t="s">
        <v>505</v>
      </c>
      <c r="H4141" s="6" t="n">
        <v>3.92</v>
      </c>
      <c r="I4141" s="6" t="n">
        <v>0</v>
      </c>
      <c r="J4141" s="40" t="n">
        <f aca="false">H4141-I4141</f>
        <v>3.92</v>
      </c>
      <c r="K4141" s="41" t="n">
        <v>34</v>
      </c>
      <c r="L4141" s="42" t="n">
        <f aca="false">J4141*K4141</f>
        <v>133.28</v>
      </c>
      <c r="M4141" s="43" t="n">
        <f aca="false">H4141*16.17*(1+'Chart of Accounts'!$E$67)</f>
        <v>72.577428</v>
      </c>
    </row>
    <row r="4142" customFormat="false" ht="15" hidden="false" customHeight="false" outlineLevel="0" collapsed="false">
      <c r="B4142" s="7" t="s">
        <v>4639</v>
      </c>
      <c r="C4142" s="39" t="n">
        <v>45861</v>
      </c>
      <c r="D4142" s="7" t="s">
        <v>365</v>
      </c>
      <c r="E4142" s="7" t="s">
        <v>154</v>
      </c>
      <c r="F4142" s="7" t="s">
        <v>194</v>
      </c>
      <c r="G4142" s="7" t="s">
        <v>505</v>
      </c>
      <c r="H4142" s="6" t="n">
        <v>3.88</v>
      </c>
      <c r="I4142" s="6" t="n">
        <v>0</v>
      </c>
      <c r="J4142" s="40" t="n">
        <f aca="false">H4142-I4142</f>
        <v>3.88</v>
      </c>
      <c r="K4142" s="41" t="n">
        <v>26.5</v>
      </c>
      <c r="L4142" s="42" t="n">
        <f aca="false">J4142*K4142</f>
        <v>102.82</v>
      </c>
      <c r="M4142" s="43" t="n">
        <f aca="false">H4142*16*(1+'Chart of Accounts'!$E$67)</f>
        <v>71.0816</v>
      </c>
    </row>
    <row r="4143" customFormat="false" ht="15" hidden="false" customHeight="false" outlineLevel="0" collapsed="false">
      <c r="B4143" s="7" t="s">
        <v>4640</v>
      </c>
      <c r="C4143" s="39" t="n">
        <v>45861</v>
      </c>
      <c r="D4143" s="7" t="s">
        <v>371</v>
      </c>
      <c r="E4143" s="7" t="s">
        <v>154</v>
      </c>
      <c r="F4143" s="7" t="s">
        <v>232</v>
      </c>
      <c r="G4143" s="7" t="s">
        <v>505</v>
      </c>
      <c r="H4143" s="6" t="n">
        <v>4.3</v>
      </c>
      <c r="I4143" s="6" t="n">
        <v>0</v>
      </c>
      <c r="J4143" s="40" t="n">
        <f aca="false">H4143-I4143</f>
        <v>4.3</v>
      </c>
      <c r="K4143" s="41" t="n">
        <v>26.5</v>
      </c>
      <c r="L4143" s="42" t="n">
        <f aca="false">J4143*K4143</f>
        <v>113.95</v>
      </c>
      <c r="M4143" s="43" t="n">
        <f aca="false">H4143*16.17*(1+'Chart of Accounts'!$E$67)</f>
        <v>79.612995</v>
      </c>
    </row>
    <row r="4144" customFormat="false" ht="15" hidden="false" customHeight="false" outlineLevel="0" collapsed="false">
      <c r="B4144" s="7" t="s">
        <v>4641</v>
      </c>
      <c r="C4144" s="39" t="n">
        <v>45861</v>
      </c>
      <c r="D4144" s="7" t="s">
        <v>379</v>
      </c>
      <c r="E4144" s="7" t="s">
        <v>156</v>
      </c>
      <c r="F4144" s="7" t="s">
        <v>224</v>
      </c>
      <c r="G4144" s="7" t="s">
        <v>505</v>
      </c>
      <c r="H4144" s="6" t="n">
        <v>4.98</v>
      </c>
      <c r="I4144" s="6" t="n">
        <v>0</v>
      </c>
      <c r="J4144" s="40" t="n">
        <f aca="false">H4144-I4144</f>
        <v>4.98</v>
      </c>
      <c r="K4144" s="41" t="n">
        <v>34</v>
      </c>
      <c r="L4144" s="42" t="n">
        <f aca="false">J4144*K4144</f>
        <v>169.32</v>
      </c>
      <c r="M4144" s="43" t="n">
        <f aca="false">H4144*14.93*(1+'Chart of Accounts'!$E$67)</f>
        <v>85.132353</v>
      </c>
    </row>
    <row r="4145" customFormat="false" ht="15" hidden="false" customHeight="false" outlineLevel="0" collapsed="false">
      <c r="B4145" s="7" t="s">
        <v>4642</v>
      </c>
      <c r="C4145" s="39" t="n">
        <v>45861</v>
      </c>
      <c r="D4145" s="7" t="s">
        <v>385</v>
      </c>
      <c r="E4145" s="7" t="s">
        <v>156</v>
      </c>
      <c r="F4145" s="7" t="s">
        <v>238</v>
      </c>
      <c r="G4145" s="7" t="s">
        <v>505</v>
      </c>
      <c r="H4145" s="6" t="n">
        <v>3.6</v>
      </c>
      <c r="I4145" s="6" t="n">
        <v>0</v>
      </c>
      <c r="J4145" s="40" t="n">
        <f aca="false">H4145-I4145</f>
        <v>3.6</v>
      </c>
      <c r="K4145" s="41" t="n">
        <v>34</v>
      </c>
      <c r="L4145" s="42" t="n">
        <f aca="false">J4145*K4145</f>
        <v>122.4</v>
      </c>
      <c r="M4145" s="43" t="n">
        <f aca="false">H4145*15.85*(1+'Chart of Accounts'!$E$67)</f>
        <v>65.3337</v>
      </c>
    </row>
    <row r="4146" customFormat="false" ht="15" hidden="false" customHeight="false" outlineLevel="0" collapsed="false">
      <c r="B4146" s="7" t="s">
        <v>4643</v>
      </c>
      <c r="C4146" s="39" t="n">
        <v>45861</v>
      </c>
      <c r="D4146" s="7" t="s">
        <v>389</v>
      </c>
      <c r="E4146" s="7" t="s">
        <v>154</v>
      </c>
      <c r="F4146" s="7" t="s">
        <v>246</v>
      </c>
      <c r="G4146" s="7" t="s">
        <v>505</v>
      </c>
      <c r="H4146" s="6" t="n">
        <v>3.69</v>
      </c>
      <c r="I4146" s="6" t="n">
        <v>0.111</v>
      </c>
      <c r="J4146" s="40" t="n">
        <f aca="false">H4146-I4146</f>
        <v>3.579</v>
      </c>
      <c r="K4146" s="41" t="n">
        <v>26.5</v>
      </c>
      <c r="L4146" s="42" t="n">
        <f aca="false">J4146*K4146</f>
        <v>94.8435</v>
      </c>
      <c r="M4146" s="43" t="n">
        <f aca="false">H4146*16.48*(1+'Chart of Accounts'!$E$67)</f>
        <v>69.628824</v>
      </c>
    </row>
    <row r="4147" customFormat="false" ht="15" hidden="false" customHeight="false" outlineLevel="0" collapsed="false">
      <c r="B4147" s="7" t="s">
        <v>4644</v>
      </c>
      <c r="C4147" s="39" t="n">
        <v>45861</v>
      </c>
      <c r="D4147" s="7" t="s">
        <v>391</v>
      </c>
      <c r="E4147" s="7" t="s">
        <v>156</v>
      </c>
      <c r="F4147" s="7" t="s">
        <v>222</v>
      </c>
      <c r="G4147" s="7" t="s">
        <v>505</v>
      </c>
      <c r="H4147" s="6" t="n">
        <v>4.36</v>
      </c>
      <c r="I4147" s="6" t="n">
        <v>0</v>
      </c>
      <c r="J4147" s="40" t="n">
        <f aca="false">H4147-I4147</f>
        <v>4.36</v>
      </c>
      <c r="K4147" s="41" t="n">
        <v>34</v>
      </c>
      <c r="L4147" s="42" t="n">
        <f aca="false">J4147*K4147</f>
        <v>148.24</v>
      </c>
      <c r="M4147" s="43" t="n">
        <f aca="false">H4147*17.84*(1+'Chart of Accounts'!$E$67)</f>
        <v>89.060848</v>
      </c>
    </row>
    <row r="4148" customFormat="false" ht="15" hidden="false" customHeight="false" outlineLevel="0" collapsed="false">
      <c r="B4148" s="7" t="s">
        <v>4645</v>
      </c>
      <c r="C4148" s="39" t="n">
        <v>45861</v>
      </c>
      <c r="D4148" s="7" t="s">
        <v>393</v>
      </c>
      <c r="E4148" s="7" t="s">
        <v>157</v>
      </c>
      <c r="F4148" s="7" t="s">
        <v>203</v>
      </c>
      <c r="G4148" s="7" t="s">
        <v>502</v>
      </c>
      <c r="H4148" s="6" t="n">
        <v>1.07</v>
      </c>
      <c r="I4148" s="6" t="n">
        <v>0.054</v>
      </c>
      <c r="J4148" s="40" t="n">
        <f aca="false">H4148-I4148</f>
        <v>1.016</v>
      </c>
      <c r="K4148" s="41" t="n">
        <v>165</v>
      </c>
      <c r="L4148" s="42" t="n">
        <f aca="false">J4148*K4148</f>
        <v>167.64</v>
      </c>
      <c r="M4148" s="43" t="n">
        <f aca="false">H4148*49.43*(1+'Chart of Accounts'!$E$67)</f>
        <v>60.5591645</v>
      </c>
    </row>
    <row r="4149" customFormat="false" ht="15" hidden="false" customHeight="false" outlineLevel="0" collapsed="false">
      <c r="B4149" s="7" t="s">
        <v>4646</v>
      </c>
      <c r="C4149" s="39" t="n">
        <v>45861</v>
      </c>
      <c r="D4149" s="7" t="s">
        <v>399</v>
      </c>
      <c r="E4149" s="7" t="s">
        <v>154</v>
      </c>
      <c r="F4149" s="7" t="s">
        <v>194</v>
      </c>
      <c r="G4149" s="7" t="s">
        <v>505</v>
      </c>
      <c r="H4149" s="6" t="n">
        <v>3.2</v>
      </c>
      <c r="I4149" s="6" t="n">
        <v>0.096</v>
      </c>
      <c r="J4149" s="40" t="n">
        <f aca="false">H4149-I4149</f>
        <v>3.104</v>
      </c>
      <c r="K4149" s="41" t="n">
        <v>26.5</v>
      </c>
      <c r="L4149" s="42" t="n">
        <f aca="false">J4149*K4149</f>
        <v>82.256</v>
      </c>
      <c r="M4149" s="43" t="n">
        <f aca="false">H4149*16*(1+'Chart of Accounts'!$E$67)</f>
        <v>58.624</v>
      </c>
    </row>
    <row r="4150" customFormat="false" ht="15" hidden="false" customHeight="false" outlineLevel="0" collapsed="false">
      <c r="B4150" s="7" t="s">
        <v>4647</v>
      </c>
      <c r="C4150" s="39" t="n">
        <v>45861</v>
      </c>
      <c r="D4150" s="7" t="s">
        <v>401</v>
      </c>
      <c r="E4150" s="7" t="s">
        <v>156</v>
      </c>
      <c r="F4150" s="7" t="s">
        <v>254</v>
      </c>
      <c r="G4150" s="7" t="s">
        <v>505</v>
      </c>
      <c r="H4150" s="6" t="n">
        <v>3.96</v>
      </c>
      <c r="I4150" s="6" t="n">
        <v>0</v>
      </c>
      <c r="J4150" s="40" t="n">
        <f aca="false">H4150-I4150</f>
        <v>3.96</v>
      </c>
      <c r="K4150" s="41" t="n">
        <v>34</v>
      </c>
      <c r="L4150" s="42" t="n">
        <f aca="false">J4150*K4150</f>
        <v>134.64</v>
      </c>
      <c r="M4150" s="43" t="n">
        <f aca="false">H4150*17.1*(1+'Chart of Accounts'!$E$67)</f>
        <v>77.53482</v>
      </c>
    </row>
    <row r="4151" customFormat="false" ht="15" hidden="false" customHeight="false" outlineLevel="0" collapsed="false">
      <c r="B4151" s="7" t="s">
        <v>4648</v>
      </c>
      <c r="C4151" s="39" t="n">
        <v>45861</v>
      </c>
      <c r="D4151" s="7" t="s">
        <v>411</v>
      </c>
      <c r="E4151" s="7" t="s">
        <v>154</v>
      </c>
      <c r="F4151" s="7" t="s">
        <v>177</v>
      </c>
      <c r="G4151" s="7" t="s">
        <v>505</v>
      </c>
      <c r="H4151" s="6" t="n">
        <v>4.48</v>
      </c>
      <c r="I4151" s="6" t="n">
        <v>0</v>
      </c>
      <c r="J4151" s="40" t="n">
        <f aca="false">H4151-I4151</f>
        <v>4.48</v>
      </c>
      <c r="K4151" s="41" t="n">
        <v>26.5</v>
      </c>
      <c r="L4151" s="42" t="n">
        <f aca="false">J4151*K4151</f>
        <v>118.72</v>
      </c>
      <c r="M4151" s="43" t="n">
        <f aca="false">H4151*14.56*(1+'Chart of Accounts'!$E$67)</f>
        <v>74.686976</v>
      </c>
    </row>
    <row r="4152" customFormat="false" ht="15" hidden="false" customHeight="false" outlineLevel="0" collapsed="false">
      <c r="B4152" s="7" t="s">
        <v>4649</v>
      </c>
      <c r="C4152" s="39" t="n">
        <v>45862</v>
      </c>
      <c r="D4152" s="7" t="s">
        <v>288</v>
      </c>
      <c r="E4152" s="7" t="s">
        <v>156</v>
      </c>
      <c r="F4152" s="7" t="s">
        <v>244</v>
      </c>
      <c r="G4152" s="7" t="s">
        <v>505</v>
      </c>
      <c r="H4152" s="6" t="n">
        <v>3.94</v>
      </c>
      <c r="I4152" s="6" t="n">
        <v>0</v>
      </c>
      <c r="J4152" s="40" t="n">
        <f aca="false">H4152-I4152</f>
        <v>3.94</v>
      </c>
      <c r="K4152" s="41" t="n">
        <v>34</v>
      </c>
      <c r="L4152" s="42" t="n">
        <f aca="false">J4152*K4152</f>
        <v>133.96</v>
      </c>
      <c r="M4152" s="43" t="n">
        <f aca="false">H4152*16.39*(1+'Chart of Accounts'!$E$67)</f>
        <v>73.940207</v>
      </c>
    </row>
    <row r="4153" customFormat="false" ht="15" hidden="false" customHeight="false" outlineLevel="0" collapsed="false">
      <c r="B4153" s="7" t="s">
        <v>4650</v>
      </c>
      <c r="C4153" s="39" t="n">
        <v>45862</v>
      </c>
      <c r="D4153" s="7" t="s">
        <v>297</v>
      </c>
      <c r="E4153" s="7" t="s">
        <v>156</v>
      </c>
      <c r="F4153" s="7" t="s">
        <v>201</v>
      </c>
      <c r="G4153" s="7" t="s">
        <v>505</v>
      </c>
      <c r="H4153" s="6" t="n">
        <v>3.06</v>
      </c>
      <c r="I4153" s="6" t="n">
        <v>0</v>
      </c>
      <c r="J4153" s="40" t="n">
        <f aca="false">H4153-I4153</f>
        <v>3.06</v>
      </c>
      <c r="K4153" s="41" t="n">
        <v>34</v>
      </c>
      <c r="L4153" s="42" t="n">
        <f aca="false">J4153*K4153</f>
        <v>104.04</v>
      </c>
      <c r="M4153" s="43" t="n">
        <f aca="false">H4153*15.19*(1+'Chart of Accounts'!$E$67)</f>
        <v>53.221203</v>
      </c>
    </row>
    <row r="4154" customFormat="false" ht="15" hidden="false" customHeight="false" outlineLevel="0" collapsed="false">
      <c r="B4154" s="7" t="s">
        <v>4651</v>
      </c>
      <c r="C4154" s="39" t="n">
        <v>45862</v>
      </c>
      <c r="D4154" s="7" t="s">
        <v>311</v>
      </c>
      <c r="E4154" s="7" t="s">
        <v>154</v>
      </c>
      <c r="F4154" s="7" t="s">
        <v>196</v>
      </c>
      <c r="G4154" s="7" t="s">
        <v>505</v>
      </c>
      <c r="H4154" s="6" t="n">
        <v>3</v>
      </c>
      <c r="I4154" s="6" t="n">
        <v>0</v>
      </c>
      <c r="J4154" s="40" t="n">
        <f aca="false">H4154-I4154</f>
        <v>3</v>
      </c>
      <c r="K4154" s="41" t="n">
        <v>26.5</v>
      </c>
      <c r="L4154" s="42" t="n">
        <f aca="false">J4154*K4154</f>
        <v>79.5</v>
      </c>
      <c r="M4154" s="43" t="n">
        <f aca="false">H4154*15.05*(1+'Chart of Accounts'!$E$67)</f>
        <v>51.69675</v>
      </c>
    </row>
    <row r="4155" customFormat="false" ht="15" hidden="false" customHeight="false" outlineLevel="0" collapsed="false">
      <c r="B4155" s="7" t="s">
        <v>4652</v>
      </c>
      <c r="C4155" s="39" t="n">
        <v>45862</v>
      </c>
      <c r="D4155" s="7" t="s">
        <v>313</v>
      </c>
      <c r="E4155" s="7" t="s">
        <v>156</v>
      </c>
      <c r="F4155" s="7" t="s">
        <v>184</v>
      </c>
      <c r="G4155" s="7" t="s">
        <v>505</v>
      </c>
      <c r="H4155" s="6" t="n">
        <v>3.98</v>
      </c>
      <c r="I4155" s="6" t="n">
        <v>0</v>
      </c>
      <c r="J4155" s="40" t="n">
        <f aca="false">H4155-I4155</f>
        <v>3.98</v>
      </c>
      <c r="K4155" s="41" t="n">
        <v>34</v>
      </c>
      <c r="L4155" s="42" t="n">
        <f aca="false">J4155*K4155</f>
        <v>135.32</v>
      </c>
      <c r="M4155" s="43" t="n">
        <f aca="false">H4155*17.34*(1+'Chart of Accounts'!$E$67)</f>
        <v>79.020114</v>
      </c>
    </row>
    <row r="4156" customFormat="false" ht="15" hidden="false" customHeight="false" outlineLevel="0" collapsed="false">
      <c r="B4156" s="7" t="s">
        <v>4653</v>
      </c>
      <c r="C4156" s="39" t="n">
        <v>45862</v>
      </c>
      <c r="D4156" s="7" t="s">
        <v>317</v>
      </c>
      <c r="E4156" s="7" t="s">
        <v>156</v>
      </c>
      <c r="F4156" s="7" t="s">
        <v>207</v>
      </c>
      <c r="G4156" s="7" t="s">
        <v>505</v>
      </c>
      <c r="H4156" s="6" t="n">
        <v>3.16</v>
      </c>
      <c r="I4156" s="6" t="n">
        <v>0</v>
      </c>
      <c r="J4156" s="40" t="n">
        <f aca="false">H4156-I4156</f>
        <v>3.16</v>
      </c>
      <c r="K4156" s="41" t="n">
        <v>34</v>
      </c>
      <c r="L4156" s="42" t="n">
        <f aca="false">J4156*K4156</f>
        <v>107.44</v>
      </c>
      <c r="M4156" s="43" t="n">
        <f aca="false">H4156*16.65*(1+'Chart of Accounts'!$E$67)</f>
        <v>60.24303</v>
      </c>
    </row>
    <row r="4157" customFormat="false" ht="15" hidden="false" customHeight="false" outlineLevel="0" collapsed="false">
      <c r="B4157" s="7" t="s">
        <v>4654</v>
      </c>
      <c r="C4157" s="39" t="n">
        <v>45862</v>
      </c>
      <c r="D4157" s="7" t="s">
        <v>321</v>
      </c>
      <c r="E4157" s="7" t="s">
        <v>154</v>
      </c>
      <c r="F4157" s="7" t="s">
        <v>218</v>
      </c>
      <c r="G4157" s="7" t="s">
        <v>505</v>
      </c>
      <c r="H4157" s="6" t="n">
        <v>4.3</v>
      </c>
      <c r="I4157" s="6" t="n">
        <v>0</v>
      </c>
      <c r="J4157" s="40" t="n">
        <f aca="false">H4157-I4157</f>
        <v>4.3</v>
      </c>
      <c r="K4157" s="41" t="n">
        <v>26.5</v>
      </c>
      <c r="L4157" s="42" t="n">
        <f aca="false">J4157*K4157</f>
        <v>113.95</v>
      </c>
      <c r="M4157" s="43" t="n">
        <f aca="false">H4157*16.19*(1+'Chart of Accounts'!$E$67)</f>
        <v>79.711465</v>
      </c>
    </row>
    <row r="4158" customFormat="false" ht="15" hidden="false" customHeight="false" outlineLevel="0" collapsed="false">
      <c r="B4158" s="7" t="s">
        <v>4655</v>
      </c>
      <c r="C4158" s="39" t="n">
        <v>45862</v>
      </c>
      <c r="D4158" s="7" t="s">
        <v>325</v>
      </c>
      <c r="E4158" s="7" t="s">
        <v>154</v>
      </c>
      <c r="F4158" s="7" t="s">
        <v>244</v>
      </c>
      <c r="G4158" s="7" t="s">
        <v>505</v>
      </c>
      <c r="H4158" s="6" t="n">
        <v>3.3</v>
      </c>
      <c r="I4158" s="6" t="n">
        <v>0</v>
      </c>
      <c r="J4158" s="40" t="n">
        <f aca="false">H4158-I4158</f>
        <v>3.3</v>
      </c>
      <c r="K4158" s="41" t="n">
        <v>26.5</v>
      </c>
      <c r="L4158" s="42" t="n">
        <f aca="false">J4158*K4158</f>
        <v>87.45</v>
      </c>
      <c r="M4158" s="43" t="n">
        <f aca="false">H4158*16.39*(1+'Chart of Accounts'!$E$67)</f>
        <v>61.929615</v>
      </c>
    </row>
    <row r="4159" customFormat="false" ht="15" hidden="false" customHeight="false" outlineLevel="0" collapsed="false">
      <c r="B4159" s="7" t="s">
        <v>4656</v>
      </c>
      <c r="C4159" s="39" t="n">
        <v>45862</v>
      </c>
      <c r="D4159" s="7" t="s">
        <v>329</v>
      </c>
      <c r="E4159" s="7" t="s">
        <v>156</v>
      </c>
      <c r="F4159" s="7" t="s">
        <v>220</v>
      </c>
      <c r="G4159" s="7" t="s">
        <v>505</v>
      </c>
      <c r="H4159" s="6" t="n">
        <v>3.67</v>
      </c>
      <c r="I4159" s="6" t="n">
        <v>0</v>
      </c>
      <c r="J4159" s="40" t="n">
        <f aca="false">H4159-I4159</f>
        <v>3.67</v>
      </c>
      <c r="K4159" s="41" t="n">
        <v>34</v>
      </c>
      <c r="L4159" s="42" t="n">
        <f aca="false">J4159*K4159</f>
        <v>124.78</v>
      </c>
      <c r="M4159" s="43" t="n">
        <f aca="false">H4159*16.43*(1+'Chart of Accounts'!$E$67)</f>
        <v>69.0413245</v>
      </c>
    </row>
    <row r="4160" customFormat="false" ht="15" hidden="false" customHeight="false" outlineLevel="0" collapsed="false">
      <c r="B4160" s="7" t="s">
        <v>4657</v>
      </c>
      <c r="C4160" s="39" t="n">
        <v>45862</v>
      </c>
      <c r="D4160" s="7" t="s">
        <v>331</v>
      </c>
      <c r="E4160" s="7" t="s">
        <v>156</v>
      </c>
      <c r="F4160" s="7" t="s">
        <v>224</v>
      </c>
      <c r="G4160" s="7" t="s">
        <v>505</v>
      </c>
      <c r="H4160" s="6" t="n">
        <v>3.8</v>
      </c>
      <c r="I4160" s="6" t="n">
        <v>0</v>
      </c>
      <c r="J4160" s="40" t="n">
        <f aca="false">H4160-I4160</f>
        <v>3.8</v>
      </c>
      <c r="K4160" s="41" t="n">
        <v>34</v>
      </c>
      <c r="L4160" s="42" t="n">
        <f aca="false">J4160*K4160</f>
        <v>129.2</v>
      </c>
      <c r="M4160" s="43" t="n">
        <f aca="false">H4160*14.93*(1+'Chart of Accounts'!$E$67)</f>
        <v>64.96043</v>
      </c>
    </row>
    <row r="4161" customFormat="false" ht="15" hidden="false" customHeight="false" outlineLevel="0" collapsed="false">
      <c r="B4161" s="7" t="s">
        <v>4658</v>
      </c>
      <c r="C4161" s="39" t="n">
        <v>45862</v>
      </c>
      <c r="D4161" s="7" t="s">
        <v>337</v>
      </c>
      <c r="E4161" s="7" t="s">
        <v>154</v>
      </c>
      <c r="F4161" s="7" t="s">
        <v>232</v>
      </c>
      <c r="G4161" s="7" t="s">
        <v>505</v>
      </c>
      <c r="H4161" s="6" t="n">
        <v>2.76</v>
      </c>
      <c r="I4161" s="6" t="n">
        <v>0</v>
      </c>
      <c r="J4161" s="40" t="n">
        <f aca="false">H4161-I4161</f>
        <v>2.76</v>
      </c>
      <c r="K4161" s="41" t="n">
        <v>26.5</v>
      </c>
      <c r="L4161" s="42" t="n">
        <f aca="false">J4161*K4161</f>
        <v>73.14</v>
      </c>
      <c r="M4161" s="43" t="n">
        <f aca="false">H4161*16.17*(1+'Chart of Accounts'!$E$67)</f>
        <v>51.100434</v>
      </c>
    </row>
    <row r="4162" customFormat="false" ht="15" hidden="false" customHeight="false" outlineLevel="0" collapsed="false">
      <c r="B4162" s="7" t="s">
        <v>4659</v>
      </c>
      <c r="C4162" s="39" t="n">
        <v>45862</v>
      </c>
      <c r="D4162" s="7" t="s">
        <v>341</v>
      </c>
      <c r="E4162" s="7" t="s">
        <v>156</v>
      </c>
      <c r="F4162" s="7" t="s">
        <v>222</v>
      </c>
      <c r="G4162" s="7" t="s">
        <v>505</v>
      </c>
      <c r="H4162" s="6" t="n">
        <v>3.06</v>
      </c>
      <c r="I4162" s="6" t="n">
        <v>0</v>
      </c>
      <c r="J4162" s="40" t="n">
        <f aca="false">H4162-I4162</f>
        <v>3.06</v>
      </c>
      <c r="K4162" s="41" t="n">
        <v>34</v>
      </c>
      <c r="L4162" s="42" t="n">
        <f aca="false">J4162*K4162</f>
        <v>104.04</v>
      </c>
      <c r="M4162" s="43" t="n">
        <f aca="false">H4162*17.84*(1+'Chart of Accounts'!$E$67)</f>
        <v>62.506008</v>
      </c>
    </row>
    <row r="4163" customFormat="false" ht="15" hidden="false" customHeight="false" outlineLevel="0" collapsed="false">
      <c r="B4163" s="7" t="s">
        <v>4660</v>
      </c>
      <c r="C4163" s="39" t="n">
        <v>45862</v>
      </c>
      <c r="D4163" s="7" t="s">
        <v>343</v>
      </c>
      <c r="E4163" s="7" t="s">
        <v>154</v>
      </c>
      <c r="F4163" s="7" t="s">
        <v>242</v>
      </c>
      <c r="G4163" s="7" t="s">
        <v>505</v>
      </c>
      <c r="H4163" s="6" t="n">
        <v>4.04</v>
      </c>
      <c r="I4163" s="6" t="n">
        <v>0</v>
      </c>
      <c r="J4163" s="40" t="n">
        <f aca="false">H4163-I4163</f>
        <v>4.04</v>
      </c>
      <c r="K4163" s="41" t="n">
        <v>26.5</v>
      </c>
      <c r="L4163" s="42" t="n">
        <f aca="false">J4163*K4163</f>
        <v>107.06</v>
      </c>
      <c r="M4163" s="43" t="n">
        <f aca="false">H4163*17.99*(1+'Chart of Accounts'!$E$67)</f>
        <v>83.218142</v>
      </c>
    </row>
    <row r="4164" customFormat="false" ht="15" hidden="false" customHeight="false" outlineLevel="0" collapsed="false">
      <c r="B4164" s="7" t="s">
        <v>4661</v>
      </c>
      <c r="C4164" s="39" t="n">
        <v>45862</v>
      </c>
      <c r="D4164" s="7" t="s">
        <v>359</v>
      </c>
      <c r="E4164" s="7" t="s">
        <v>156</v>
      </c>
      <c r="F4164" s="7" t="s">
        <v>177</v>
      </c>
      <c r="G4164" s="7" t="s">
        <v>505</v>
      </c>
      <c r="H4164" s="6" t="n">
        <v>4.07</v>
      </c>
      <c r="I4164" s="6" t="n">
        <v>0</v>
      </c>
      <c r="J4164" s="40" t="n">
        <f aca="false">H4164-I4164</f>
        <v>4.07</v>
      </c>
      <c r="K4164" s="41" t="n">
        <v>34</v>
      </c>
      <c r="L4164" s="42" t="n">
        <f aca="false">J4164*K4164</f>
        <v>138.38</v>
      </c>
      <c r="M4164" s="43" t="n">
        <f aca="false">H4164*14.56*(1+'Chart of Accounts'!$E$67)</f>
        <v>67.851784</v>
      </c>
    </row>
    <row r="4165" customFormat="false" ht="15" hidden="false" customHeight="false" outlineLevel="0" collapsed="false">
      <c r="B4165" s="7" t="s">
        <v>4662</v>
      </c>
      <c r="C4165" s="39" t="n">
        <v>45862</v>
      </c>
      <c r="D4165" s="7" t="s">
        <v>363</v>
      </c>
      <c r="E4165" s="7" t="s">
        <v>156</v>
      </c>
      <c r="F4165" s="7" t="s">
        <v>246</v>
      </c>
      <c r="G4165" s="7" t="s">
        <v>505</v>
      </c>
      <c r="H4165" s="6" t="n">
        <v>3.96</v>
      </c>
      <c r="I4165" s="6" t="n">
        <v>0</v>
      </c>
      <c r="J4165" s="40" t="n">
        <f aca="false">H4165-I4165</f>
        <v>3.96</v>
      </c>
      <c r="K4165" s="41" t="n">
        <v>34</v>
      </c>
      <c r="L4165" s="42" t="n">
        <f aca="false">J4165*K4165</f>
        <v>134.64</v>
      </c>
      <c r="M4165" s="43" t="n">
        <f aca="false">H4165*16.48*(1+'Chart of Accounts'!$E$67)</f>
        <v>74.723616</v>
      </c>
    </row>
    <row r="4166" customFormat="false" ht="15" hidden="false" customHeight="false" outlineLevel="0" collapsed="false">
      <c r="B4166" s="7" t="s">
        <v>4663</v>
      </c>
      <c r="C4166" s="39" t="n">
        <v>45862</v>
      </c>
      <c r="D4166" s="7" t="s">
        <v>365</v>
      </c>
      <c r="E4166" s="7" t="s">
        <v>154</v>
      </c>
      <c r="F4166" s="7" t="s">
        <v>194</v>
      </c>
      <c r="G4166" s="7" t="s">
        <v>505</v>
      </c>
      <c r="H4166" s="6" t="n">
        <v>4.16</v>
      </c>
      <c r="I4166" s="6" t="n">
        <v>0</v>
      </c>
      <c r="J4166" s="40" t="n">
        <f aca="false">H4166-I4166</f>
        <v>4.16</v>
      </c>
      <c r="K4166" s="41" t="n">
        <v>26.5</v>
      </c>
      <c r="L4166" s="42" t="n">
        <f aca="false">J4166*K4166</f>
        <v>110.24</v>
      </c>
      <c r="M4166" s="43" t="n">
        <f aca="false">H4166*16*(1+'Chart of Accounts'!$E$67)</f>
        <v>76.2112</v>
      </c>
    </row>
    <row r="4167" customFormat="false" ht="15" hidden="false" customHeight="false" outlineLevel="0" collapsed="false">
      <c r="B4167" s="7" t="s">
        <v>4664</v>
      </c>
      <c r="C4167" s="39" t="n">
        <v>45862</v>
      </c>
      <c r="D4167" s="7" t="s">
        <v>375</v>
      </c>
      <c r="E4167" s="7" t="s">
        <v>156</v>
      </c>
      <c r="F4167" s="7" t="s">
        <v>196</v>
      </c>
      <c r="G4167" s="7" t="s">
        <v>505</v>
      </c>
      <c r="H4167" s="6" t="n">
        <v>3.09</v>
      </c>
      <c r="I4167" s="6" t="n">
        <v>0</v>
      </c>
      <c r="J4167" s="40" t="n">
        <f aca="false">H4167-I4167</f>
        <v>3.09</v>
      </c>
      <c r="K4167" s="41" t="n">
        <v>34</v>
      </c>
      <c r="L4167" s="42" t="n">
        <f aca="false">J4167*K4167</f>
        <v>105.06</v>
      </c>
      <c r="M4167" s="43" t="n">
        <f aca="false">H4167*15.05*(1+'Chart of Accounts'!$E$67)</f>
        <v>53.2476525</v>
      </c>
    </row>
    <row r="4168" customFormat="false" ht="15" hidden="false" customHeight="false" outlineLevel="0" collapsed="false">
      <c r="B4168" s="7" t="s">
        <v>4665</v>
      </c>
      <c r="C4168" s="39" t="n">
        <v>45862</v>
      </c>
      <c r="D4168" s="7" t="s">
        <v>377</v>
      </c>
      <c r="E4168" s="7" t="s">
        <v>154</v>
      </c>
      <c r="F4168" s="7" t="s">
        <v>214</v>
      </c>
      <c r="G4168" s="7" t="s">
        <v>505</v>
      </c>
      <c r="H4168" s="6" t="n">
        <v>4.16</v>
      </c>
      <c r="I4168" s="6" t="n">
        <v>0</v>
      </c>
      <c r="J4168" s="40" t="n">
        <f aca="false">H4168-I4168</f>
        <v>4.16</v>
      </c>
      <c r="K4168" s="41" t="n">
        <v>26.5</v>
      </c>
      <c r="L4168" s="42" t="n">
        <f aca="false">J4168*K4168</f>
        <v>110.24</v>
      </c>
      <c r="M4168" s="43" t="n">
        <f aca="false">H4168*15.67*(1+'Chart of Accounts'!$E$67)</f>
        <v>74.639344</v>
      </c>
    </row>
    <row r="4169" customFormat="false" ht="15" hidden="false" customHeight="false" outlineLevel="0" collapsed="false">
      <c r="B4169" s="7" t="s">
        <v>4666</v>
      </c>
      <c r="C4169" s="39" t="n">
        <v>45862</v>
      </c>
      <c r="D4169" s="7" t="s">
        <v>389</v>
      </c>
      <c r="E4169" s="7" t="s">
        <v>154</v>
      </c>
      <c r="F4169" s="7" t="s">
        <v>246</v>
      </c>
      <c r="G4169" s="7" t="s">
        <v>505</v>
      </c>
      <c r="H4169" s="6" t="n">
        <v>3.83</v>
      </c>
      <c r="I4169" s="6" t="n">
        <v>0</v>
      </c>
      <c r="J4169" s="40" t="n">
        <f aca="false">H4169-I4169</f>
        <v>3.83</v>
      </c>
      <c r="K4169" s="41" t="n">
        <v>26.5</v>
      </c>
      <c r="L4169" s="42" t="n">
        <f aca="false">J4169*K4169</f>
        <v>101.495</v>
      </c>
      <c r="M4169" s="43" t="n">
        <f aca="false">H4169*16.48*(1+'Chart of Accounts'!$E$67)</f>
        <v>72.270568</v>
      </c>
    </row>
    <row r="4170" customFormat="false" ht="15" hidden="false" customHeight="false" outlineLevel="0" collapsed="false">
      <c r="B4170" s="7" t="s">
        <v>4667</v>
      </c>
      <c r="C4170" s="39" t="n">
        <v>45862</v>
      </c>
      <c r="D4170" s="7" t="s">
        <v>391</v>
      </c>
      <c r="E4170" s="7" t="s">
        <v>156</v>
      </c>
      <c r="F4170" s="7" t="s">
        <v>222</v>
      </c>
      <c r="G4170" s="7" t="s">
        <v>505</v>
      </c>
      <c r="H4170" s="6" t="n">
        <v>3.87</v>
      </c>
      <c r="I4170" s="6" t="n">
        <v>0</v>
      </c>
      <c r="J4170" s="40" t="n">
        <f aca="false">H4170-I4170</f>
        <v>3.87</v>
      </c>
      <c r="K4170" s="41" t="n">
        <v>34</v>
      </c>
      <c r="L4170" s="42" t="n">
        <f aca="false">J4170*K4170</f>
        <v>131.58</v>
      </c>
      <c r="M4170" s="43" t="n">
        <f aca="false">H4170*17.84*(1+'Chart of Accounts'!$E$67)</f>
        <v>79.051716</v>
      </c>
    </row>
    <row r="4171" customFormat="false" ht="15" hidden="false" customHeight="false" outlineLevel="0" collapsed="false">
      <c r="B4171" s="7" t="s">
        <v>4668</v>
      </c>
      <c r="C4171" s="39" t="n">
        <v>45862</v>
      </c>
      <c r="D4171" s="7" t="s">
        <v>395</v>
      </c>
      <c r="E4171" s="7" t="s">
        <v>156</v>
      </c>
      <c r="F4171" s="7" t="s">
        <v>242</v>
      </c>
      <c r="G4171" s="7" t="s">
        <v>505</v>
      </c>
      <c r="H4171" s="6" t="n">
        <v>4.27</v>
      </c>
      <c r="I4171" s="6" t="n">
        <v>0</v>
      </c>
      <c r="J4171" s="40" t="n">
        <f aca="false">H4171-I4171</f>
        <v>4.27</v>
      </c>
      <c r="K4171" s="41" t="n">
        <v>34</v>
      </c>
      <c r="L4171" s="42" t="n">
        <f aca="false">J4171*K4171</f>
        <v>145.18</v>
      </c>
      <c r="M4171" s="43" t="n">
        <f aca="false">H4171*17.99*(1+'Chart of Accounts'!$E$67)</f>
        <v>87.9558085</v>
      </c>
    </row>
    <row r="4172" customFormat="false" ht="15" hidden="false" customHeight="false" outlineLevel="0" collapsed="false">
      <c r="B4172" s="7" t="s">
        <v>4669</v>
      </c>
      <c r="C4172" s="39" t="n">
        <v>45862</v>
      </c>
      <c r="D4172" s="7" t="s">
        <v>401</v>
      </c>
      <c r="E4172" s="7" t="s">
        <v>156</v>
      </c>
      <c r="F4172" s="7" t="s">
        <v>254</v>
      </c>
      <c r="G4172" s="7" t="s">
        <v>505</v>
      </c>
      <c r="H4172" s="6" t="n">
        <v>3.6</v>
      </c>
      <c r="I4172" s="6" t="n">
        <v>0</v>
      </c>
      <c r="J4172" s="40" t="n">
        <f aca="false">H4172-I4172</f>
        <v>3.6</v>
      </c>
      <c r="K4172" s="41" t="n">
        <v>34</v>
      </c>
      <c r="L4172" s="42" t="n">
        <f aca="false">J4172*K4172</f>
        <v>122.4</v>
      </c>
      <c r="M4172" s="43" t="n">
        <f aca="false">H4172*17.1*(1+'Chart of Accounts'!$E$67)</f>
        <v>70.4862</v>
      </c>
    </row>
    <row r="4173" customFormat="false" ht="15" hidden="false" customHeight="false" outlineLevel="0" collapsed="false">
      <c r="B4173" s="7" t="s">
        <v>4670</v>
      </c>
      <c r="C4173" s="39" t="n">
        <v>45863</v>
      </c>
      <c r="D4173" s="7" t="s">
        <v>280</v>
      </c>
      <c r="E4173" s="7" t="s">
        <v>157</v>
      </c>
      <c r="F4173" s="7" t="s">
        <v>187</v>
      </c>
      <c r="G4173" s="7" t="s">
        <v>502</v>
      </c>
      <c r="H4173" s="6" t="n">
        <v>1.08</v>
      </c>
      <c r="I4173" s="6" t="n">
        <v>0.054</v>
      </c>
      <c r="J4173" s="40" t="n">
        <f aca="false">H4173-I4173</f>
        <v>1.026</v>
      </c>
      <c r="K4173" s="41" t="n">
        <v>165</v>
      </c>
      <c r="L4173" s="42" t="n">
        <f aca="false">J4173*K4173</f>
        <v>169.29</v>
      </c>
      <c r="M4173" s="43" t="n">
        <f aca="false">H4173*66.48*(1+'Chart of Accounts'!$E$67)</f>
        <v>82.209168</v>
      </c>
    </row>
    <row r="4174" customFormat="false" ht="15" hidden="false" customHeight="false" outlineLevel="0" collapsed="false">
      <c r="B4174" s="7" t="s">
        <v>4671</v>
      </c>
      <c r="C4174" s="39" t="n">
        <v>45863</v>
      </c>
      <c r="D4174" s="7" t="s">
        <v>288</v>
      </c>
      <c r="E4174" s="7" t="s">
        <v>156</v>
      </c>
      <c r="F4174" s="7" t="s">
        <v>244</v>
      </c>
      <c r="G4174" s="7" t="s">
        <v>505</v>
      </c>
      <c r="H4174" s="6" t="n">
        <v>3.75</v>
      </c>
      <c r="I4174" s="6" t="n">
        <v>0</v>
      </c>
      <c r="J4174" s="40" t="n">
        <f aca="false">H4174-I4174</f>
        <v>3.75</v>
      </c>
      <c r="K4174" s="41" t="n">
        <v>34</v>
      </c>
      <c r="L4174" s="42" t="n">
        <f aca="false">J4174*K4174</f>
        <v>127.5</v>
      </c>
      <c r="M4174" s="43" t="n">
        <f aca="false">H4174*16.39*(1+'Chart of Accounts'!$E$67)</f>
        <v>70.3745625</v>
      </c>
    </row>
    <row r="4175" customFormat="false" ht="15" hidden="false" customHeight="false" outlineLevel="0" collapsed="false">
      <c r="B4175" s="7" t="s">
        <v>4672</v>
      </c>
      <c r="C4175" s="39" t="n">
        <v>45863</v>
      </c>
      <c r="D4175" s="7" t="s">
        <v>291</v>
      </c>
      <c r="E4175" s="7" t="s">
        <v>154</v>
      </c>
      <c r="F4175" s="7" t="s">
        <v>194</v>
      </c>
      <c r="G4175" s="7" t="s">
        <v>505</v>
      </c>
      <c r="H4175" s="6" t="n">
        <v>4.62</v>
      </c>
      <c r="I4175" s="6" t="n">
        <v>0</v>
      </c>
      <c r="J4175" s="40" t="n">
        <f aca="false">H4175-I4175</f>
        <v>4.62</v>
      </c>
      <c r="K4175" s="41" t="n">
        <v>26.5</v>
      </c>
      <c r="L4175" s="42" t="n">
        <f aca="false">J4175*K4175</f>
        <v>122.43</v>
      </c>
      <c r="M4175" s="43" t="n">
        <f aca="false">H4175*16*(1+'Chart of Accounts'!$E$67)</f>
        <v>84.6384</v>
      </c>
    </row>
    <row r="4176" customFormat="false" ht="15" hidden="false" customHeight="false" outlineLevel="0" collapsed="false">
      <c r="B4176" s="7" t="s">
        <v>4673</v>
      </c>
      <c r="C4176" s="39" t="n">
        <v>45863</v>
      </c>
      <c r="D4176" s="7" t="s">
        <v>301</v>
      </c>
      <c r="E4176" s="7" t="s">
        <v>157</v>
      </c>
      <c r="F4176" s="7" t="s">
        <v>209</v>
      </c>
      <c r="G4176" s="7" t="s">
        <v>502</v>
      </c>
      <c r="H4176" s="6" t="n">
        <v>0.92</v>
      </c>
      <c r="I4176" s="6" t="n">
        <v>0</v>
      </c>
      <c r="J4176" s="40" t="n">
        <f aca="false">H4176-I4176</f>
        <v>0.92</v>
      </c>
      <c r="K4176" s="41" t="n">
        <v>165</v>
      </c>
      <c r="L4176" s="42" t="n">
        <f aca="false">J4176*K4176</f>
        <v>151.8</v>
      </c>
      <c r="M4176" s="43" t="n">
        <f aca="false">H4176*73.58*(1+'Chart of Accounts'!$E$67)</f>
        <v>77.509172</v>
      </c>
    </row>
    <row r="4177" customFormat="false" ht="15" hidden="false" customHeight="false" outlineLevel="0" collapsed="false">
      <c r="B4177" s="7" t="s">
        <v>4674</v>
      </c>
      <c r="C4177" s="39" t="n">
        <v>45863</v>
      </c>
      <c r="D4177" s="7" t="s">
        <v>305</v>
      </c>
      <c r="E4177" s="7" t="s">
        <v>154</v>
      </c>
      <c r="F4177" s="7" t="s">
        <v>205</v>
      </c>
      <c r="G4177" s="7" t="s">
        <v>505</v>
      </c>
      <c r="H4177" s="6" t="n">
        <v>4.36</v>
      </c>
      <c r="I4177" s="6" t="n">
        <v>0</v>
      </c>
      <c r="J4177" s="40" t="n">
        <f aca="false">H4177-I4177</f>
        <v>4.36</v>
      </c>
      <c r="K4177" s="41" t="n">
        <v>26.5</v>
      </c>
      <c r="L4177" s="42" t="n">
        <f aca="false">J4177*K4177</f>
        <v>115.54</v>
      </c>
      <c r="M4177" s="43" t="n">
        <f aca="false">H4177*16.36*(1+'Chart of Accounts'!$E$67)</f>
        <v>81.672392</v>
      </c>
    </row>
    <row r="4178" customFormat="false" ht="15" hidden="false" customHeight="false" outlineLevel="0" collapsed="false">
      <c r="B4178" s="7" t="s">
        <v>4675</v>
      </c>
      <c r="C4178" s="39" t="n">
        <v>45863</v>
      </c>
      <c r="D4178" s="7" t="s">
        <v>307</v>
      </c>
      <c r="E4178" s="7" t="s">
        <v>157</v>
      </c>
      <c r="F4178" s="7" t="s">
        <v>264</v>
      </c>
      <c r="G4178" s="7" t="s">
        <v>502</v>
      </c>
      <c r="H4178" s="6" t="n">
        <v>0.97</v>
      </c>
      <c r="I4178" s="6" t="n">
        <v>0.049</v>
      </c>
      <c r="J4178" s="40" t="n">
        <f aca="false">H4178-I4178</f>
        <v>0.921</v>
      </c>
      <c r="K4178" s="41" t="n">
        <v>165</v>
      </c>
      <c r="L4178" s="42" t="n">
        <f aca="false">J4178*K4178</f>
        <v>151.965</v>
      </c>
      <c r="M4178" s="43" t="n">
        <f aca="false">H4178*55.55*(1+'Chart of Accounts'!$E$67)</f>
        <v>61.6966075</v>
      </c>
    </row>
    <row r="4179" customFormat="false" ht="15" hidden="false" customHeight="false" outlineLevel="0" collapsed="false">
      <c r="B4179" s="7" t="s">
        <v>4676</v>
      </c>
      <c r="C4179" s="39" t="n">
        <v>45863</v>
      </c>
      <c r="D4179" s="7" t="s">
        <v>309</v>
      </c>
      <c r="E4179" s="7" t="s">
        <v>159</v>
      </c>
      <c r="F4179" s="7" t="s">
        <v>252</v>
      </c>
      <c r="G4179" s="7" t="s">
        <v>502</v>
      </c>
      <c r="H4179" s="6" t="n">
        <v>1.01</v>
      </c>
      <c r="I4179" s="6" t="n">
        <v>0</v>
      </c>
      <c r="J4179" s="40" t="n">
        <f aca="false">H4179-I4179</f>
        <v>1.01</v>
      </c>
      <c r="K4179" s="41" t="n">
        <v>135</v>
      </c>
      <c r="L4179" s="42" t="n">
        <f aca="false">J4179*K4179</f>
        <v>136.35</v>
      </c>
      <c r="M4179" s="43" t="n">
        <f aca="false">H4179*57.54*(1+'Chart of Accounts'!$E$67)</f>
        <v>66.542133</v>
      </c>
    </row>
    <row r="4180" customFormat="false" ht="15" hidden="false" customHeight="false" outlineLevel="0" collapsed="false">
      <c r="B4180" s="7" t="s">
        <v>4677</v>
      </c>
      <c r="C4180" s="39" t="n">
        <v>45863</v>
      </c>
      <c r="D4180" s="7" t="s">
        <v>313</v>
      </c>
      <c r="E4180" s="7" t="s">
        <v>156</v>
      </c>
      <c r="F4180" s="7" t="s">
        <v>184</v>
      </c>
      <c r="G4180" s="7" t="s">
        <v>505</v>
      </c>
      <c r="H4180" s="6" t="n">
        <v>3.69</v>
      </c>
      <c r="I4180" s="6" t="n">
        <v>0</v>
      </c>
      <c r="J4180" s="40" t="n">
        <f aca="false">H4180-I4180</f>
        <v>3.69</v>
      </c>
      <c r="K4180" s="41" t="n">
        <v>34</v>
      </c>
      <c r="L4180" s="42" t="n">
        <f aca="false">J4180*K4180</f>
        <v>125.46</v>
      </c>
      <c r="M4180" s="43" t="n">
        <f aca="false">H4180*17.34*(1+'Chart of Accounts'!$E$67)</f>
        <v>73.262367</v>
      </c>
    </row>
    <row r="4181" customFormat="false" ht="15" hidden="false" customHeight="false" outlineLevel="0" collapsed="false">
      <c r="B4181" s="7" t="s">
        <v>4678</v>
      </c>
      <c r="C4181" s="39" t="n">
        <v>45863</v>
      </c>
      <c r="D4181" s="7" t="s">
        <v>319</v>
      </c>
      <c r="E4181" s="7" t="s">
        <v>157</v>
      </c>
      <c r="F4181" s="7" t="s">
        <v>234</v>
      </c>
      <c r="G4181" s="7" t="s">
        <v>502</v>
      </c>
      <c r="H4181" s="6" t="n">
        <v>1.01</v>
      </c>
      <c r="I4181" s="6" t="n">
        <v>0.051</v>
      </c>
      <c r="J4181" s="40" t="n">
        <f aca="false">H4181-I4181</f>
        <v>0.959</v>
      </c>
      <c r="K4181" s="41" t="n">
        <v>165</v>
      </c>
      <c r="L4181" s="42" t="n">
        <f aca="false">J4181*K4181</f>
        <v>158.235</v>
      </c>
      <c r="M4181" s="43" t="n">
        <f aca="false">H4181*89.53*(1+'Chart of Accounts'!$E$67)</f>
        <v>103.5369685</v>
      </c>
    </row>
    <row r="4182" customFormat="false" ht="15" hidden="false" customHeight="false" outlineLevel="0" collapsed="false">
      <c r="B4182" s="7" t="s">
        <v>4679</v>
      </c>
      <c r="C4182" s="39" t="n">
        <v>45863</v>
      </c>
      <c r="D4182" s="7" t="s">
        <v>321</v>
      </c>
      <c r="E4182" s="7" t="s">
        <v>154</v>
      </c>
      <c r="F4182" s="7" t="s">
        <v>218</v>
      </c>
      <c r="G4182" s="7" t="s">
        <v>505</v>
      </c>
      <c r="H4182" s="6" t="n">
        <v>3.81</v>
      </c>
      <c r="I4182" s="6" t="n">
        <v>0</v>
      </c>
      <c r="J4182" s="40" t="n">
        <f aca="false">H4182-I4182</f>
        <v>3.81</v>
      </c>
      <c r="K4182" s="41" t="n">
        <v>26.5</v>
      </c>
      <c r="L4182" s="42" t="n">
        <f aca="false">J4182*K4182</f>
        <v>100.965</v>
      </c>
      <c r="M4182" s="43" t="n">
        <f aca="false">H4182*16.19*(1+'Chart of Accounts'!$E$67)</f>
        <v>70.6280655</v>
      </c>
    </row>
    <row r="4183" customFormat="false" ht="15" hidden="false" customHeight="false" outlineLevel="0" collapsed="false">
      <c r="B4183" s="7" t="s">
        <v>4680</v>
      </c>
      <c r="C4183" s="39" t="n">
        <v>45863</v>
      </c>
      <c r="D4183" s="7" t="s">
        <v>323</v>
      </c>
      <c r="E4183" s="7" t="s">
        <v>159</v>
      </c>
      <c r="F4183" s="7" t="s">
        <v>266</v>
      </c>
      <c r="G4183" s="7" t="s">
        <v>502</v>
      </c>
      <c r="H4183" s="6" t="n">
        <v>0.98</v>
      </c>
      <c r="I4183" s="6" t="n">
        <v>0</v>
      </c>
      <c r="J4183" s="40" t="n">
        <f aca="false">H4183-I4183</f>
        <v>0.98</v>
      </c>
      <c r="K4183" s="41" t="n">
        <v>135</v>
      </c>
      <c r="L4183" s="42" t="n">
        <f aca="false">J4183*K4183</f>
        <v>132.3</v>
      </c>
      <c r="M4183" s="43" t="n">
        <f aca="false">H4183*75.18*(1+'Chart of Accounts'!$E$67)</f>
        <v>84.359478</v>
      </c>
    </row>
    <row r="4184" customFormat="false" ht="15" hidden="false" customHeight="false" outlineLevel="0" collapsed="false">
      <c r="B4184" s="7" t="s">
        <v>4681</v>
      </c>
      <c r="C4184" s="39" t="n">
        <v>45863</v>
      </c>
      <c r="D4184" s="7" t="s">
        <v>327</v>
      </c>
      <c r="E4184" s="7" t="s">
        <v>157</v>
      </c>
      <c r="F4184" s="7" t="s">
        <v>228</v>
      </c>
      <c r="G4184" s="7" t="s">
        <v>502</v>
      </c>
      <c r="H4184" s="6" t="n">
        <v>1.08</v>
      </c>
      <c r="I4184" s="6" t="n">
        <v>0</v>
      </c>
      <c r="J4184" s="40" t="n">
        <f aca="false">H4184-I4184</f>
        <v>1.08</v>
      </c>
      <c r="K4184" s="41" t="n">
        <v>165</v>
      </c>
      <c r="L4184" s="42" t="n">
        <f aca="false">J4184*K4184</f>
        <v>178.2</v>
      </c>
      <c r="M4184" s="43" t="n">
        <f aca="false">H4184*51.07*(1+'Chart of Accounts'!$E$67)</f>
        <v>63.153162</v>
      </c>
    </row>
    <row r="4185" customFormat="false" ht="15" hidden="false" customHeight="false" outlineLevel="0" collapsed="false">
      <c r="B4185" s="7" t="s">
        <v>4682</v>
      </c>
      <c r="C4185" s="39" t="n">
        <v>45863</v>
      </c>
      <c r="D4185" s="7" t="s">
        <v>329</v>
      </c>
      <c r="E4185" s="7" t="s">
        <v>156</v>
      </c>
      <c r="F4185" s="7" t="s">
        <v>220</v>
      </c>
      <c r="G4185" s="7" t="s">
        <v>505</v>
      </c>
      <c r="H4185" s="6" t="n">
        <v>4.06</v>
      </c>
      <c r="I4185" s="6" t="n">
        <v>0</v>
      </c>
      <c r="J4185" s="40" t="n">
        <f aca="false">H4185-I4185</f>
        <v>4.06</v>
      </c>
      <c r="K4185" s="41" t="n">
        <v>34</v>
      </c>
      <c r="L4185" s="42" t="n">
        <f aca="false">J4185*K4185</f>
        <v>138.04</v>
      </c>
      <c r="M4185" s="43" t="n">
        <f aca="false">H4185*16.43*(1+'Chart of Accounts'!$E$67)</f>
        <v>76.378141</v>
      </c>
    </row>
    <row r="4186" customFormat="false" ht="15" hidden="false" customHeight="false" outlineLevel="0" collapsed="false">
      <c r="B4186" s="7" t="s">
        <v>4683</v>
      </c>
      <c r="C4186" s="39" t="n">
        <v>45863</v>
      </c>
      <c r="D4186" s="7" t="s">
        <v>335</v>
      </c>
      <c r="E4186" s="7" t="s">
        <v>154</v>
      </c>
      <c r="F4186" s="7" t="s">
        <v>177</v>
      </c>
      <c r="G4186" s="7" t="s">
        <v>505</v>
      </c>
      <c r="H4186" s="6" t="n">
        <v>4.4</v>
      </c>
      <c r="I4186" s="6" t="n">
        <v>0</v>
      </c>
      <c r="J4186" s="40" t="n">
        <f aca="false">H4186-I4186</f>
        <v>4.4</v>
      </c>
      <c r="K4186" s="41" t="n">
        <v>26.5</v>
      </c>
      <c r="L4186" s="42" t="n">
        <f aca="false">J4186*K4186</f>
        <v>116.6</v>
      </c>
      <c r="M4186" s="43" t="n">
        <f aca="false">H4186*14.56*(1+'Chart of Accounts'!$E$67)</f>
        <v>73.35328</v>
      </c>
    </row>
    <row r="4187" customFormat="false" ht="15" hidden="false" customHeight="false" outlineLevel="0" collapsed="false">
      <c r="B4187" s="7" t="s">
        <v>4684</v>
      </c>
      <c r="C4187" s="39" t="n">
        <v>45863</v>
      </c>
      <c r="D4187" s="7" t="s">
        <v>339</v>
      </c>
      <c r="E4187" s="7" t="s">
        <v>154</v>
      </c>
      <c r="F4187" s="7" t="s">
        <v>242</v>
      </c>
      <c r="G4187" s="7" t="s">
        <v>505</v>
      </c>
      <c r="H4187" s="6" t="n">
        <v>3.04</v>
      </c>
      <c r="I4187" s="6" t="n">
        <v>0</v>
      </c>
      <c r="J4187" s="40" t="n">
        <f aca="false">H4187-I4187</f>
        <v>3.04</v>
      </c>
      <c r="K4187" s="41" t="n">
        <v>26.5</v>
      </c>
      <c r="L4187" s="42" t="n">
        <f aca="false">J4187*K4187</f>
        <v>80.56</v>
      </c>
      <c r="M4187" s="43" t="n">
        <f aca="false">H4187*17.99*(1+'Chart of Accounts'!$E$67)</f>
        <v>62.619592</v>
      </c>
    </row>
    <row r="4188" customFormat="false" ht="15" hidden="false" customHeight="false" outlineLevel="0" collapsed="false">
      <c r="B4188" s="7" t="s">
        <v>4685</v>
      </c>
      <c r="C4188" s="39" t="n">
        <v>45863</v>
      </c>
      <c r="D4188" s="7" t="s">
        <v>347</v>
      </c>
      <c r="E4188" s="7" t="s">
        <v>154</v>
      </c>
      <c r="F4188" s="7" t="s">
        <v>238</v>
      </c>
      <c r="G4188" s="7" t="s">
        <v>505</v>
      </c>
      <c r="H4188" s="6" t="n">
        <v>4.59</v>
      </c>
      <c r="I4188" s="6" t="n">
        <v>0</v>
      </c>
      <c r="J4188" s="40" t="n">
        <f aca="false">H4188-I4188</f>
        <v>4.59</v>
      </c>
      <c r="K4188" s="41" t="n">
        <v>26.5</v>
      </c>
      <c r="L4188" s="42" t="n">
        <f aca="false">J4188*K4188</f>
        <v>121.635</v>
      </c>
      <c r="M4188" s="43" t="n">
        <f aca="false">H4188*15.85*(1+'Chart of Accounts'!$E$67)</f>
        <v>83.3004675</v>
      </c>
    </row>
    <row r="4189" customFormat="false" ht="15" hidden="false" customHeight="false" outlineLevel="0" collapsed="false">
      <c r="B4189" s="7" t="s">
        <v>4686</v>
      </c>
      <c r="C4189" s="39" t="n">
        <v>45863</v>
      </c>
      <c r="D4189" s="7" t="s">
        <v>353</v>
      </c>
      <c r="E4189" s="7" t="s">
        <v>154</v>
      </c>
      <c r="F4189" s="7" t="s">
        <v>254</v>
      </c>
      <c r="G4189" s="7" t="s">
        <v>505</v>
      </c>
      <c r="H4189" s="6" t="n">
        <v>3.1</v>
      </c>
      <c r="I4189" s="6" t="n">
        <v>0</v>
      </c>
      <c r="J4189" s="40" t="n">
        <f aca="false">H4189-I4189</f>
        <v>3.1</v>
      </c>
      <c r="K4189" s="41" t="n">
        <v>26.5</v>
      </c>
      <c r="L4189" s="42" t="n">
        <f aca="false">J4189*K4189</f>
        <v>82.15</v>
      </c>
      <c r="M4189" s="43" t="n">
        <f aca="false">H4189*17.1*(1+'Chart of Accounts'!$E$67)</f>
        <v>60.69645</v>
      </c>
    </row>
    <row r="4190" customFormat="false" ht="15" hidden="false" customHeight="false" outlineLevel="0" collapsed="false">
      <c r="B4190" s="7" t="s">
        <v>4687</v>
      </c>
      <c r="C4190" s="39" t="n">
        <v>45863</v>
      </c>
      <c r="D4190" s="7" t="s">
        <v>355</v>
      </c>
      <c r="E4190" s="7" t="s">
        <v>154</v>
      </c>
      <c r="F4190" s="7" t="s">
        <v>201</v>
      </c>
      <c r="G4190" s="7" t="s">
        <v>505</v>
      </c>
      <c r="H4190" s="6" t="n">
        <v>3.01</v>
      </c>
      <c r="I4190" s="6" t="n">
        <v>0</v>
      </c>
      <c r="J4190" s="40" t="n">
        <f aca="false">H4190-I4190</f>
        <v>3.01</v>
      </c>
      <c r="K4190" s="41" t="n">
        <v>26.5</v>
      </c>
      <c r="L4190" s="42" t="n">
        <f aca="false">J4190*K4190</f>
        <v>79.765</v>
      </c>
      <c r="M4190" s="43" t="n">
        <f aca="false">H4190*15.19*(1+'Chart of Accounts'!$E$67)</f>
        <v>52.3515755</v>
      </c>
    </row>
    <row r="4191" customFormat="false" ht="15" hidden="false" customHeight="false" outlineLevel="0" collapsed="false">
      <c r="B4191" s="7" t="s">
        <v>4688</v>
      </c>
      <c r="C4191" s="39" t="n">
        <v>45863</v>
      </c>
      <c r="D4191" s="7" t="s">
        <v>357</v>
      </c>
      <c r="E4191" s="7" t="s">
        <v>154</v>
      </c>
      <c r="F4191" s="7" t="s">
        <v>207</v>
      </c>
      <c r="G4191" s="7" t="s">
        <v>505</v>
      </c>
      <c r="H4191" s="6" t="n">
        <v>3.08</v>
      </c>
      <c r="I4191" s="6" t="n">
        <v>0</v>
      </c>
      <c r="J4191" s="40" t="n">
        <f aca="false">H4191-I4191</f>
        <v>3.08</v>
      </c>
      <c r="K4191" s="41" t="n">
        <v>26.5</v>
      </c>
      <c r="L4191" s="42" t="n">
        <f aca="false">J4191*K4191</f>
        <v>81.62</v>
      </c>
      <c r="M4191" s="43" t="n">
        <f aca="false">H4191*16.65*(1+'Chart of Accounts'!$E$67)</f>
        <v>58.71789</v>
      </c>
    </row>
    <row r="4192" customFormat="false" ht="15" hidden="false" customHeight="false" outlineLevel="0" collapsed="false">
      <c r="B4192" s="7" t="s">
        <v>4689</v>
      </c>
      <c r="C4192" s="39" t="n">
        <v>45863</v>
      </c>
      <c r="D4192" s="7" t="s">
        <v>359</v>
      </c>
      <c r="E4192" s="7" t="s">
        <v>156</v>
      </c>
      <c r="F4192" s="7" t="s">
        <v>201</v>
      </c>
      <c r="G4192" s="7" t="s">
        <v>505</v>
      </c>
      <c r="H4192" s="6" t="n">
        <v>3.61</v>
      </c>
      <c r="I4192" s="6" t="n">
        <v>0</v>
      </c>
      <c r="J4192" s="40" t="n">
        <f aca="false">H4192-I4192</f>
        <v>3.61</v>
      </c>
      <c r="K4192" s="41" t="n">
        <v>34</v>
      </c>
      <c r="L4192" s="42" t="n">
        <f aca="false">J4192*K4192</f>
        <v>122.74</v>
      </c>
      <c r="M4192" s="43" t="n">
        <f aca="false">H4192*15.19*(1+'Chart of Accounts'!$E$67)</f>
        <v>62.7871055</v>
      </c>
    </row>
    <row r="4193" customFormat="false" ht="15" hidden="false" customHeight="false" outlineLevel="0" collapsed="false">
      <c r="B4193" s="7" t="s">
        <v>4690</v>
      </c>
      <c r="C4193" s="39" t="n">
        <v>45863</v>
      </c>
      <c r="D4193" s="7" t="s">
        <v>361</v>
      </c>
      <c r="E4193" s="7" t="s">
        <v>157</v>
      </c>
      <c r="F4193" s="7" t="s">
        <v>209</v>
      </c>
      <c r="G4193" s="7" t="s">
        <v>502</v>
      </c>
      <c r="H4193" s="6" t="n">
        <v>0.95</v>
      </c>
      <c r="I4193" s="6" t="n">
        <v>0</v>
      </c>
      <c r="J4193" s="40" t="n">
        <f aca="false">H4193-I4193</f>
        <v>0.95</v>
      </c>
      <c r="K4193" s="41" t="n">
        <v>165</v>
      </c>
      <c r="L4193" s="42" t="n">
        <f aca="false">J4193*K4193</f>
        <v>156.75</v>
      </c>
      <c r="M4193" s="43" t="n">
        <f aca="false">H4193*73.58*(1+'Chart of Accounts'!$E$67)</f>
        <v>80.036645</v>
      </c>
    </row>
    <row r="4194" customFormat="false" ht="15" hidden="false" customHeight="false" outlineLevel="0" collapsed="false">
      <c r="B4194" s="7" t="s">
        <v>4691</v>
      </c>
      <c r="C4194" s="39" t="n">
        <v>45863</v>
      </c>
      <c r="D4194" s="7" t="s">
        <v>365</v>
      </c>
      <c r="E4194" s="7" t="s">
        <v>154</v>
      </c>
      <c r="F4194" s="7" t="s">
        <v>194</v>
      </c>
      <c r="G4194" s="7" t="s">
        <v>505</v>
      </c>
      <c r="H4194" s="6" t="n">
        <v>4.13</v>
      </c>
      <c r="I4194" s="6" t="n">
        <v>0</v>
      </c>
      <c r="J4194" s="40" t="n">
        <f aca="false">H4194-I4194</f>
        <v>4.13</v>
      </c>
      <c r="K4194" s="41" t="n">
        <v>26.5</v>
      </c>
      <c r="L4194" s="42" t="n">
        <f aca="false">J4194*K4194</f>
        <v>109.445</v>
      </c>
      <c r="M4194" s="43" t="n">
        <f aca="false">H4194*16*(1+'Chart of Accounts'!$E$67)</f>
        <v>75.6616</v>
      </c>
    </row>
    <row r="4195" customFormat="false" ht="15" hidden="false" customHeight="false" outlineLevel="0" collapsed="false">
      <c r="B4195" s="7" t="s">
        <v>4692</v>
      </c>
      <c r="C4195" s="39" t="n">
        <v>45863</v>
      </c>
      <c r="D4195" s="7" t="s">
        <v>369</v>
      </c>
      <c r="E4195" s="7" t="s">
        <v>159</v>
      </c>
      <c r="F4195" s="7" t="s">
        <v>258</v>
      </c>
      <c r="G4195" s="7" t="s">
        <v>502</v>
      </c>
      <c r="H4195" s="6" t="n">
        <v>0.93</v>
      </c>
      <c r="I4195" s="6" t="n">
        <v>0</v>
      </c>
      <c r="J4195" s="40" t="n">
        <f aca="false">H4195-I4195</f>
        <v>0.93</v>
      </c>
      <c r="K4195" s="41" t="n">
        <v>135</v>
      </c>
      <c r="L4195" s="42" t="n">
        <f aca="false">J4195*K4195</f>
        <v>125.55</v>
      </c>
      <c r="M4195" s="43" t="n">
        <f aca="false">H4195*61.61*(1+'Chart of Accounts'!$E$67)</f>
        <v>65.6054085</v>
      </c>
    </row>
    <row r="4196" customFormat="false" ht="15" hidden="false" customHeight="false" outlineLevel="0" collapsed="false">
      <c r="B4196" s="7" t="s">
        <v>4693</v>
      </c>
      <c r="C4196" s="39" t="n">
        <v>45863</v>
      </c>
      <c r="D4196" s="7" t="s">
        <v>371</v>
      </c>
      <c r="E4196" s="7" t="s">
        <v>154</v>
      </c>
      <c r="F4196" s="7" t="s">
        <v>232</v>
      </c>
      <c r="G4196" s="7" t="s">
        <v>505</v>
      </c>
      <c r="H4196" s="6" t="n">
        <v>5</v>
      </c>
      <c r="I4196" s="6" t="n">
        <v>0</v>
      </c>
      <c r="J4196" s="40" t="n">
        <f aca="false">H4196-I4196</f>
        <v>5</v>
      </c>
      <c r="K4196" s="41" t="n">
        <v>26.5</v>
      </c>
      <c r="L4196" s="42" t="n">
        <f aca="false">J4196*K4196</f>
        <v>132.5</v>
      </c>
      <c r="M4196" s="43" t="n">
        <f aca="false">H4196*16.17*(1+'Chart of Accounts'!$E$67)</f>
        <v>92.57325</v>
      </c>
    </row>
    <row r="4197" customFormat="false" ht="15" hidden="false" customHeight="false" outlineLevel="0" collapsed="false">
      <c r="B4197" s="7" t="s">
        <v>4694</v>
      </c>
      <c r="C4197" s="39" t="n">
        <v>45863</v>
      </c>
      <c r="D4197" s="7" t="s">
        <v>379</v>
      </c>
      <c r="E4197" s="7" t="s">
        <v>156</v>
      </c>
      <c r="F4197" s="7" t="s">
        <v>224</v>
      </c>
      <c r="G4197" s="7" t="s">
        <v>505</v>
      </c>
      <c r="H4197" s="6" t="n">
        <v>5</v>
      </c>
      <c r="I4197" s="6" t="n">
        <v>0</v>
      </c>
      <c r="J4197" s="40" t="n">
        <f aca="false">H4197-I4197</f>
        <v>5</v>
      </c>
      <c r="K4197" s="41" t="n">
        <v>34</v>
      </c>
      <c r="L4197" s="42" t="n">
        <f aca="false">J4197*K4197</f>
        <v>170</v>
      </c>
      <c r="M4197" s="43" t="n">
        <f aca="false">H4197*14.93*(1+'Chart of Accounts'!$E$67)</f>
        <v>85.47425</v>
      </c>
    </row>
    <row r="4198" customFormat="false" ht="15" hidden="false" customHeight="false" outlineLevel="0" collapsed="false">
      <c r="B4198" s="7" t="s">
        <v>4695</v>
      </c>
      <c r="C4198" s="39" t="n">
        <v>45863</v>
      </c>
      <c r="D4198" s="7" t="s">
        <v>381</v>
      </c>
      <c r="E4198" s="7" t="s">
        <v>157</v>
      </c>
      <c r="F4198" s="7" t="s">
        <v>234</v>
      </c>
      <c r="G4198" s="7" t="s">
        <v>502</v>
      </c>
      <c r="H4198" s="6" t="n">
        <v>1</v>
      </c>
      <c r="I4198" s="6" t="n">
        <v>0.05</v>
      </c>
      <c r="J4198" s="40" t="n">
        <f aca="false">H4198-I4198</f>
        <v>0.95</v>
      </c>
      <c r="K4198" s="41" t="n">
        <v>165</v>
      </c>
      <c r="L4198" s="42" t="n">
        <f aca="false">J4198*K4198</f>
        <v>156.75</v>
      </c>
      <c r="M4198" s="43" t="n">
        <f aca="false">H4198*89.53*(1+'Chart of Accounts'!$E$67)</f>
        <v>102.51185</v>
      </c>
    </row>
    <row r="4199" customFormat="false" ht="15" hidden="false" customHeight="false" outlineLevel="0" collapsed="false">
      <c r="B4199" s="7" t="s">
        <v>4696</v>
      </c>
      <c r="C4199" s="39" t="n">
        <v>45863</v>
      </c>
      <c r="D4199" s="7" t="s">
        <v>385</v>
      </c>
      <c r="E4199" s="7" t="s">
        <v>156</v>
      </c>
      <c r="F4199" s="7" t="s">
        <v>238</v>
      </c>
      <c r="G4199" s="7" t="s">
        <v>505</v>
      </c>
      <c r="H4199" s="6" t="n">
        <v>3.73</v>
      </c>
      <c r="I4199" s="6" t="n">
        <v>0</v>
      </c>
      <c r="J4199" s="40" t="n">
        <f aca="false">H4199-I4199</f>
        <v>3.73</v>
      </c>
      <c r="K4199" s="41" t="n">
        <v>34</v>
      </c>
      <c r="L4199" s="42" t="n">
        <f aca="false">J4199*K4199</f>
        <v>126.82</v>
      </c>
      <c r="M4199" s="43" t="n">
        <f aca="false">H4199*15.85*(1+'Chart of Accounts'!$E$67)</f>
        <v>67.6929725</v>
      </c>
    </row>
    <row r="4200" customFormat="false" ht="15" hidden="false" customHeight="false" outlineLevel="0" collapsed="false">
      <c r="B4200" s="7" t="s">
        <v>4697</v>
      </c>
      <c r="C4200" s="39" t="n">
        <v>45863</v>
      </c>
      <c r="D4200" s="7" t="s">
        <v>389</v>
      </c>
      <c r="E4200" s="7" t="s">
        <v>154</v>
      </c>
      <c r="F4200" s="7" t="s">
        <v>246</v>
      </c>
      <c r="G4200" s="7" t="s">
        <v>505</v>
      </c>
      <c r="H4200" s="6" t="n">
        <v>4.1</v>
      </c>
      <c r="I4200" s="6" t="n">
        <v>0</v>
      </c>
      <c r="J4200" s="40" t="n">
        <f aca="false">H4200-I4200</f>
        <v>4.1</v>
      </c>
      <c r="K4200" s="41" t="n">
        <v>26.5</v>
      </c>
      <c r="L4200" s="42" t="n">
        <f aca="false">J4200*K4200</f>
        <v>108.65</v>
      </c>
      <c r="M4200" s="43" t="n">
        <f aca="false">H4200*16.48*(1+'Chart of Accounts'!$E$67)</f>
        <v>77.36536</v>
      </c>
    </row>
    <row r="4201" customFormat="false" ht="15" hidden="false" customHeight="false" outlineLevel="0" collapsed="false">
      <c r="B4201" s="7" t="s">
        <v>4698</v>
      </c>
      <c r="C4201" s="39" t="n">
        <v>45863</v>
      </c>
      <c r="D4201" s="7" t="s">
        <v>391</v>
      </c>
      <c r="E4201" s="7" t="s">
        <v>156</v>
      </c>
      <c r="F4201" s="7" t="s">
        <v>222</v>
      </c>
      <c r="G4201" s="7" t="s">
        <v>505</v>
      </c>
      <c r="H4201" s="6" t="n">
        <v>3.93</v>
      </c>
      <c r="I4201" s="6" t="n">
        <v>0</v>
      </c>
      <c r="J4201" s="40" t="n">
        <f aca="false">H4201-I4201</f>
        <v>3.93</v>
      </c>
      <c r="K4201" s="41" t="n">
        <v>34</v>
      </c>
      <c r="L4201" s="42" t="n">
        <f aca="false">J4201*K4201</f>
        <v>133.62</v>
      </c>
      <c r="M4201" s="43" t="n">
        <f aca="false">H4201*17.84*(1+'Chart of Accounts'!$E$67)</f>
        <v>80.277324</v>
      </c>
    </row>
    <row r="4202" customFormat="false" ht="15" hidden="false" customHeight="false" outlineLevel="0" collapsed="false">
      <c r="B4202" s="7" t="s">
        <v>4699</v>
      </c>
      <c r="C4202" s="39" t="n">
        <v>45863</v>
      </c>
      <c r="D4202" s="7" t="s">
        <v>395</v>
      </c>
      <c r="E4202" s="7" t="s">
        <v>156</v>
      </c>
      <c r="F4202" s="7" t="s">
        <v>242</v>
      </c>
      <c r="G4202" s="7" t="s">
        <v>505</v>
      </c>
      <c r="H4202" s="6" t="n">
        <v>3.86</v>
      </c>
      <c r="I4202" s="6" t="n">
        <v>0</v>
      </c>
      <c r="J4202" s="40" t="n">
        <f aca="false">H4202-I4202</f>
        <v>3.86</v>
      </c>
      <c r="K4202" s="41" t="n">
        <v>34</v>
      </c>
      <c r="L4202" s="42" t="n">
        <f aca="false">J4202*K4202</f>
        <v>131.24</v>
      </c>
      <c r="M4202" s="43" t="n">
        <f aca="false">H4202*17.99*(1+'Chart of Accounts'!$E$67)</f>
        <v>79.510403</v>
      </c>
    </row>
    <row r="4203" customFormat="false" ht="15" hidden="false" customHeight="false" outlineLevel="0" collapsed="false">
      <c r="B4203" s="7" t="s">
        <v>4700</v>
      </c>
      <c r="C4203" s="39" t="n">
        <v>45863</v>
      </c>
      <c r="D4203" s="7" t="s">
        <v>397</v>
      </c>
      <c r="E4203" s="7" t="s">
        <v>159</v>
      </c>
      <c r="F4203" s="7" t="s">
        <v>203</v>
      </c>
      <c r="G4203" s="7" t="s">
        <v>502</v>
      </c>
      <c r="H4203" s="6" t="n">
        <v>1.05</v>
      </c>
      <c r="I4203" s="6" t="n">
        <v>0</v>
      </c>
      <c r="J4203" s="40" t="n">
        <f aca="false">H4203-I4203</f>
        <v>1.05</v>
      </c>
      <c r="K4203" s="41" t="n">
        <v>135</v>
      </c>
      <c r="L4203" s="42" t="n">
        <f aca="false">J4203*K4203</f>
        <v>141.75</v>
      </c>
      <c r="M4203" s="43" t="n">
        <f aca="false">H4203*49.43*(1+'Chart of Accounts'!$E$67)</f>
        <v>59.4272175</v>
      </c>
    </row>
    <row r="4204" customFormat="false" ht="15" hidden="false" customHeight="false" outlineLevel="0" collapsed="false">
      <c r="B4204" s="7" t="s">
        <v>4701</v>
      </c>
      <c r="C4204" s="39" t="n">
        <v>45863</v>
      </c>
      <c r="D4204" s="7" t="s">
        <v>399</v>
      </c>
      <c r="E4204" s="7" t="s">
        <v>154</v>
      </c>
      <c r="F4204" s="7" t="s">
        <v>201</v>
      </c>
      <c r="G4204" s="7" t="s">
        <v>505</v>
      </c>
      <c r="H4204" s="6" t="n">
        <v>3.56</v>
      </c>
      <c r="I4204" s="6" t="n">
        <v>0</v>
      </c>
      <c r="J4204" s="40" t="n">
        <f aca="false">H4204-I4204</f>
        <v>3.56</v>
      </c>
      <c r="K4204" s="41" t="n">
        <v>26.5</v>
      </c>
      <c r="L4204" s="42" t="n">
        <f aca="false">J4204*K4204</f>
        <v>94.34</v>
      </c>
      <c r="M4204" s="43" t="n">
        <f aca="false">H4204*15.19*(1+'Chart of Accounts'!$E$67)</f>
        <v>61.917478</v>
      </c>
    </row>
    <row r="4205" customFormat="false" ht="15" hidden="false" customHeight="false" outlineLevel="0" collapsed="false">
      <c r="B4205" s="7" t="s">
        <v>4702</v>
      </c>
      <c r="C4205" s="39" t="n">
        <v>45863</v>
      </c>
      <c r="D4205" s="7" t="s">
        <v>401</v>
      </c>
      <c r="E4205" s="7" t="s">
        <v>156</v>
      </c>
      <c r="F4205" s="7" t="s">
        <v>254</v>
      </c>
      <c r="G4205" s="7" t="s">
        <v>505</v>
      </c>
      <c r="H4205" s="6" t="n">
        <v>4.36</v>
      </c>
      <c r="I4205" s="6" t="n">
        <v>0</v>
      </c>
      <c r="J4205" s="40" t="n">
        <f aca="false">H4205-I4205</f>
        <v>4.36</v>
      </c>
      <c r="K4205" s="41" t="n">
        <v>34</v>
      </c>
      <c r="L4205" s="42" t="n">
        <f aca="false">J4205*K4205</f>
        <v>148.24</v>
      </c>
      <c r="M4205" s="43" t="n">
        <f aca="false">H4205*17.1*(1+'Chart of Accounts'!$E$67)</f>
        <v>85.36662</v>
      </c>
    </row>
    <row r="4206" customFormat="false" ht="15" hidden="false" customHeight="false" outlineLevel="0" collapsed="false">
      <c r="B4206" s="7" t="s">
        <v>4703</v>
      </c>
      <c r="C4206" s="39" t="n">
        <v>45863</v>
      </c>
      <c r="D4206" s="7" t="s">
        <v>407</v>
      </c>
      <c r="E4206" s="7" t="s">
        <v>159</v>
      </c>
      <c r="F4206" s="7" t="s">
        <v>260</v>
      </c>
      <c r="G4206" s="7" t="s">
        <v>502</v>
      </c>
      <c r="H4206" s="6" t="n">
        <v>1.07</v>
      </c>
      <c r="I4206" s="6" t="n">
        <v>0</v>
      </c>
      <c r="J4206" s="40" t="n">
        <f aca="false">H4206-I4206</f>
        <v>1.07</v>
      </c>
      <c r="K4206" s="41" t="n">
        <v>135</v>
      </c>
      <c r="L4206" s="42" t="n">
        <f aca="false">J4206*K4206</f>
        <v>144.45</v>
      </c>
      <c r="M4206" s="43" t="n">
        <f aca="false">H4206*79.8*(1+'Chart of Accounts'!$E$67)</f>
        <v>97.76697</v>
      </c>
    </row>
    <row r="4207" customFormat="false" ht="15" hidden="false" customHeight="false" outlineLevel="0" collapsed="false">
      <c r="B4207" s="7" t="s">
        <v>4704</v>
      </c>
      <c r="C4207" s="39" t="n">
        <v>45863</v>
      </c>
      <c r="D4207" s="7" t="s">
        <v>409</v>
      </c>
      <c r="E4207" s="7" t="s">
        <v>154</v>
      </c>
      <c r="F4207" s="7" t="s">
        <v>214</v>
      </c>
      <c r="G4207" s="7" t="s">
        <v>505</v>
      </c>
      <c r="H4207" s="6" t="n">
        <v>3.35</v>
      </c>
      <c r="I4207" s="6" t="n">
        <v>0.1</v>
      </c>
      <c r="J4207" s="40" t="n">
        <f aca="false">H4207-I4207</f>
        <v>3.25</v>
      </c>
      <c r="K4207" s="41" t="n">
        <v>26.5</v>
      </c>
      <c r="L4207" s="42" t="n">
        <f aca="false">J4207*K4207</f>
        <v>86.125</v>
      </c>
      <c r="M4207" s="43" t="n">
        <f aca="false">H4207*15.67*(1+'Chart of Accounts'!$E$67)</f>
        <v>60.1062025</v>
      </c>
    </row>
    <row r="4208" customFormat="false" ht="15" hidden="false" customHeight="false" outlineLevel="0" collapsed="false">
      <c r="B4208" s="7" t="s">
        <v>4705</v>
      </c>
      <c r="C4208" s="39" t="n">
        <v>45863</v>
      </c>
      <c r="D4208" s="7" t="s">
        <v>411</v>
      </c>
      <c r="E4208" s="7" t="s">
        <v>154</v>
      </c>
      <c r="F4208" s="7" t="s">
        <v>177</v>
      </c>
      <c r="G4208" s="7" t="s">
        <v>505</v>
      </c>
      <c r="H4208" s="6" t="n">
        <v>4.76</v>
      </c>
      <c r="I4208" s="6" t="n">
        <v>0</v>
      </c>
      <c r="J4208" s="40" t="n">
        <f aca="false">H4208-I4208</f>
        <v>4.76</v>
      </c>
      <c r="K4208" s="41" t="n">
        <v>26.5</v>
      </c>
      <c r="L4208" s="42" t="n">
        <f aca="false">J4208*K4208</f>
        <v>126.14</v>
      </c>
      <c r="M4208" s="43" t="n">
        <f aca="false">H4208*14.56*(1+'Chart of Accounts'!$E$67)</f>
        <v>79.354912</v>
      </c>
    </row>
    <row r="4209" customFormat="false" ht="15" hidden="false" customHeight="false" outlineLevel="0" collapsed="false">
      <c r="B4209" s="7" t="s">
        <v>4706</v>
      </c>
      <c r="C4209" s="39" t="n">
        <v>45864</v>
      </c>
      <c r="D4209" s="7" t="s">
        <v>288</v>
      </c>
      <c r="E4209" s="7" t="s">
        <v>156</v>
      </c>
      <c r="F4209" s="7" t="s">
        <v>184</v>
      </c>
      <c r="G4209" s="7" t="s">
        <v>505</v>
      </c>
      <c r="H4209" s="6" t="n">
        <v>4.16</v>
      </c>
      <c r="I4209" s="6" t="n">
        <v>0</v>
      </c>
      <c r="J4209" s="40" t="n">
        <f aca="false">H4209-I4209</f>
        <v>4.16</v>
      </c>
      <c r="K4209" s="41" t="n">
        <v>34</v>
      </c>
      <c r="L4209" s="42" t="n">
        <f aca="false">J4209*K4209</f>
        <v>141.44</v>
      </c>
      <c r="M4209" s="43" t="n">
        <f aca="false">H4209*17.34*(1+'Chart of Accounts'!$E$67)</f>
        <v>82.593888</v>
      </c>
    </row>
    <row r="4210" customFormat="false" ht="15" hidden="false" customHeight="false" outlineLevel="0" collapsed="false">
      <c r="B4210" s="7" t="s">
        <v>4707</v>
      </c>
      <c r="C4210" s="39" t="n">
        <v>45864</v>
      </c>
      <c r="D4210" s="7" t="s">
        <v>321</v>
      </c>
      <c r="E4210" s="7" t="s">
        <v>154</v>
      </c>
      <c r="F4210" s="7" t="s">
        <v>218</v>
      </c>
      <c r="G4210" s="7" t="s">
        <v>505</v>
      </c>
      <c r="H4210" s="6" t="n">
        <v>3.91</v>
      </c>
      <c r="I4210" s="6" t="n">
        <v>0</v>
      </c>
      <c r="J4210" s="40" t="n">
        <f aca="false">H4210-I4210</f>
        <v>3.91</v>
      </c>
      <c r="K4210" s="41" t="n">
        <v>26.5</v>
      </c>
      <c r="L4210" s="42" t="n">
        <f aca="false">J4210*K4210</f>
        <v>103.615</v>
      </c>
      <c r="M4210" s="43" t="n">
        <f aca="false">H4210*16.19*(1+'Chart of Accounts'!$E$67)</f>
        <v>72.4818205</v>
      </c>
    </row>
    <row r="4211" customFormat="false" ht="15" hidden="false" customHeight="false" outlineLevel="0" collapsed="false">
      <c r="B4211" s="7" t="s">
        <v>4708</v>
      </c>
      <c r="C4211" s="39" t="n">
        <v>45864</v>
      </c>
      <c r="D4211" s="7" t="s">
        <v>359</v>
      </c>
      <c r="E4211" s="7" t="s">
        <v>156</v>
      </c>
      <c r="F4211" s="7" t="s">
        <v>254</v>
      </c>
      <c r="G4211" s="7" t="s">
        <v>505</v>
      </c>
      <c r="H4211" s="6" t="n">
        <v>4.33</v>
      </c>
      <c r="I4211" s="6" t="n">
        <v>0</v>
      </c>
      <c r="J4211" s="40" t="n">
        <f aca="false">H4211-I4211</f>
        <v>4.33</v>
      </c>
      <c r="K4211" s="41" t="n">
        <v>34</v>
      </c>
      <c r="L4211" s="42" t="n">
        <f aca="false">J4211*K4211</f>
        <v>147.22</v>
      </c>
      <c r="M4211" s="43" t="n">
        <f aca="false">H4211*17.1*(1+'Chart of Accounts'!$E$67)</f>
        <v>84.779235</v>
      </c>
    </row>
    <row r="4212" customFormat="false" ht="15" hidden="false" customHeight="false" outlineLevel="0" collapsed="false">
      <c r="B4212" s="7" t="s">
        <v>4709</v>
      </c>
      <c r="C4212" s="39" t="n">
        <v>45864</v>
      </c>
      <c r="D4212" s="7" t="s">
        <v>391</v>
      </c>
      <c r="E4212" s="7" t="s">
        <v>156</v>
      </c>
      <c r="F4212" s="7" t="s">
        <v>222</v>
      </c>
      <c r="G4212" s="7" t="s">
        <v>505</v>
      </c>
      <c r="H4212" s="6" t="n">
        <v>4.34</v>
      </c>
      <c r="I4212" s="6" t="n">
        <v>0</v>
      </c>
      <c r="J4212" s="40" t="n">
        <f aca="false">H4212-I4212</f>
        <v>4.34</v>
      </c>
      <c r="K4212" s="41" t="n">
        <v>34</v>
      </c>
      <c r="L4212" s="42" t="n">
        <f aca="false">J4212*K4212</f>
        <v>147.56</v>
      </c>
      <c r="M4212" s="43" t="n">
        <f aca="false">H4212*17.84*(1+'Chart of Accounts'!$E$67)</f>
        <v>88.652312</v>
      </c>
    </row>
    <row r="4213" customFormat="false" ht="15" hidden="false" customHeight="false" outlineLevel="0" collapsed="false">
      <c r="B4213" s="7" t="s">
        <v>4710</v>
      </c>
      <c r="C4213" s="39" t="n">
        <v>45864</v>
      </c>
      <c r="D4213" s="7" t="s">
        <v>395</v>
      </c>
      <c r="E4213" s="7" t="s">
        <v>156</v>
      </c>
      <c r="F4213" s="7" t="s">
        <v>242</v>
      </c>
      <c r="G4213" s="7" t="s">
        <v>505</v>
      </c>
      <c r="H4213" s="6" t="n">
        <v>3.99</v>
      </c>
      <c r="I4213" s="6" t="n">
        <v>0</v>
      </c>
      <c r="J4213" s="40" t="n">
        <f aca="false">H4213-I4213</f>
        <v>3.99</v>
      </c>
      <c r="K4213" s="41" t="n">
        <v>34</v>
      </c>
      <c r="L4213" s="42" t="n">
        <f aca="false">J4213*K4213</f>
        <v>135.66</v>
      </c>
      <c r="M4213" s="43" t="n">
        <f aca="false">H4213*17.99*(1+'Chart of Accounts'!$E$67)</f>
        <v>82.1882145</v>
      </c>
    </row>
    <row r="4214" customFormat="false" ht="15" hidden="false" customHeight="false" outlineLevel="0" collapsed="false">
      <c r="B4214" s="7" t="s">
        <v>4711</v>
      </c>
      <c r="C4214" s="39" t="n">
        <v>45864</v>
      </c>
      <c r="D4214" s="7" t="s">
        <v>401</v>
      </c>
      <c r="E4214" s="7" t="s">
        <v>156</v>
      </c>
      <c r="F4214" s="7" t="s">
        <v>254</v>
      </c>
      <c r="G4214" s="7" t="s">
        <v>505</v>
      </c>
      <c r="H4214" s="6" t="n">
        <v>4.07</v>
      </c>
      <c r="I4214" s="6" t="n">
        <v>0</v>
      </c>
      <c r="J4214" s="40" t="n">
        <f aca="false">H4214-I4214</f>
        <v>4.07</v>
      </c>
      <c r="K4214" s="41" t="n">
        <v>34</v>
      </c>
      <c r="L4214" s="42" t="n">
        <f aca="false">J4214*K4214</f>
        <v>138.38</v>
      </c>
      <c r="M4214" s="43" t="n">
        <f aca="false">H4214*17.1*(1+'Chart of Accounts'!$E$67)</f>
        <v>79.688565</v>
      </c>
    </row>
    <row r="4215" customFormat="false" ht="15" hidden="false" customHeight="false" outlineLevel="0" collapsed="false">
      <c r="B4215" s="7" t="s">
        <v>4712</v>
      </c>
      <c r="C4215" s="39" t="n">
        <v>45865</v>
      </c>
      <c r="D4215" s="7" t="s">
        <v>288</v>
      </c>
      <c r="E4215" s="7" t="s">
        <v>156</v>
      </c>
      <c r="F4215" s="7" t="s">
        <v>201</v>
      </c>
      <c r="G4215" s="7" t="s">
        <v>505</v>
      </c>
      <c r="H4215" s="6" t="n">
        <v>4.08</v>
      </c>
      <c r="I4215" s="6" t="n">
        <v>0</v>
      </c>
      <c r="J4215" s="40" t="n">
        <f aca="false">H4215-I4215</f>
        <v>4.08</v>
      </c>
      <c r="K4215" s="41" t="n">
        <v>34</v>
      </c>
      <c r="L4215" s="42" t="n">
        <f aca="false">J4215*K4215</f>
        <v>138.72</v>
      </c>
      <c r="M4215" s="43" t="n">
        <f aca="false">H4215*15.19*(1+'Chart of Accounts'!$E$67)</f>
        <v>70.961604</v>
      </c>
    </row>
    <row r="4216" customFormat="false" ht="15" hidden="false" customHeight="false" outlineLevel="0" collapsed="false">
      <c r="B4216" s="7" t="s">
        <v>4713</v>
      </c>
      <c r="C4216" s="39" t="n">
        <v>45865</v>
      </c>
      <c r="D4216" s="7" t="s">
        <v>321</v>
      </c>
      <c r="E4216" s="7" t="s">
        <v>154</v>
      </c>
      <c r="F4216" s="7" t="s">
        <v>218</v>
      </c>
      <c r="G4216" s="7" t="s">
        <v>505</v>
      </c>
      <c r="H4216" s="6" t="n">
        <v>3.67</v>
      </c>
      <c r="I4216" s="6" t="n">
        <v>0</v>
      </c>
      <c r="J4216" s="40" t="n">
        <f aca="false">H4216-I4216</f>
        <v>3.67</v>
      </c>
      <c r="K4216" s="41" t="n">
        <v>26.5</v>
      </c>
      <c r="L4216" s="42" t="n">
        <f aca="false">J4216*K4216</f>
        <v>97.255</v>
      </c>
      <c r="M4216" s="43" t="n">
        <f aca="false">H4216*16.19*(1+'Chart of Accounts'!$E$67)</f>
        <v>68.0328085</v>
      </c>
    </row>
    <row r="4217" customFormat="false" ht="15" hidden="false" customHeight="false" outlineLevel="0" collapsed="false">
      <c r="B4217" s="7" t="s">
        <v>4714</v>
      </c>
      <c r="C4217" s="39" t="n">
        <v>45865</v>
      </c>
      <c r="D4217" s="7" t="s">
        <v>359</v>
      </c>
      <c r="E4217" s="7" t="s">
        <v>156</v>
      </c>
      <c r="F4217" s="7" t="s">
        <v>218</v>
      </c>
      <c r="G4217" s="7" t="s">
        <v>505</v>
      </c>
      <c r="H4217" s="6" t="n">
        <v>4.01</v>
      </c>
      <c r="I4217" s="6" t="n">
        <v>0</v>
      </c>
      <c r="J4217" s="40" t="n">
        <f aca="false">H4217-I4217</f>
        <v>4.01</v>
      </c>
      <c r="K4217" s="41" t="n">
        <v>34</v>
      </c>
      <c r="L4217" s="42" t="n">
        <f aca="false">J4217*K4217</f>
        <v>136.34</v>
      </c>
      <c r="M4217" s="43" t="n">
        <f aca="false">H4217*16.19*(1+'Chart of Accounts'!$E$67)</f>
        <v>74.3355755</v>
      </c>
    </row>
    <row r="4218" customFormat="false" ht="15" hidden="false" customHeight="false" outlineLevel="0" collapsed="false">
      <c r="B4218" s="7" t="s">
        <v>4715</v>
      </c>
      <c r="C4218" s="39" t="n">
        <v>45865</v>
      </c>
      <c r="D4218" s="7" t="s">
        <v>391</v>
      </c>
      <c r="E4218" s="7" t="s">
        <v>156</v>
      </c>
      <c r="F4218" s="7" t="s">
        <v>222</v>
      </c>
      <c r="G4218" s="7" t="s">
        <v>505</v>
      </c>
      <c r="H4218" s="6" t="n">
        <v>4.35</v>
      </c>
      <c r="I4218" s="6" t="n">
        <v>0</v>
      </c>
      <c r="J4218" s="40" t="n">
        <f aca="false">H4218-I4218</f>
        <v>4.35</v>
      </c>
      <c r="K4218" s="41" t="n">
        <v>34</v>
      </c>
      <c r="L4218" s="42" t="n">
        <f aca="false">J4218*K4218</f>
        <v>147.9</v>
      </c>
      <c r="M4218" s="43" t="n">
        <f aca="false">H4218*17.84*(1+'Chart of Accounts'!$E$67)</f>
        <v>88.85658</v>
      </c>
    </row>
    <row r="4219" customFormat="false" ht="15" hidden="false" customHeight="false" outlineLevel="0" collapsed="false">
      <c r="B4219" s="7" t="s">
        <v>4716</v>
      </c>
      <c r="C4219" s="39" t="n">
        <v>45865</v>
      </c>
      <c r="D4219" s="7" t="s">
        <v>395</v>
      </c>
      <c r="E4219" s="7" t="s">
        <v>156</v>
      </c>
      <c r="F4219" s="7" t="s">
        <v>242</v>
      </c>
      <c r="G4219" s="7" t="s">
        <v>505</v>
      </c>
      <c r="H4219" s="6" t="n">
        <v>3.78</v>
      </c>
      <c r="I4219" s="6" t="n">
        <v>0</v>
      </c>
      <c r="J4219" s="40" t="n">
        <f aca="false">H4219-I4219</f>
        <v>3.78</v>
      </c>
      <c r="K4219" s="41" t="n">
        <v>34</v>
      </c>
      <c r="L4219" s="42" t="n">
        <f aca="false">J4219*K4219</f>
        <v>128.52</v>
      </c>
      <c r="M4219" s="43" t="n">
        <f aca="false">H4219*17.99*(1+'Chart of Accounts'!$E$67)</f>
        <v>77.862519</v>
      </c>
    </row>
    <row r="4220" customFormat="false" ht="15" hidden="false" customHeight="false" outlineLevel="0" collapsed="false">
      <c r="B4220" s="7" t="s">
        <v>4717</v>
      </c>
      <c r="C4220" s="39" t="n">
        <v>45865</v>
      </c>
      <c r="D4220" s="7" t="s">
        <v>401</v>
      </c>
      <c r="E4220" s="7" t="s">
        <v>156</v>
      </c>
      <c r="F4220" s="7" t="s">
        <v>254</v>
      </c>
      <c r="G4220" s="7" t="s">
        <v>505</v>
      </c>
      <c r="H4220" s="6" t="n">
        <v>3.79</v>
      </c>
      <c r="I4220" s="6" t="n">
        <v>0</v>
      </c>
      <c r="J4220" s="40" t="n">
        <f aca="false">H4220-I4220</f>
        <v>3.79</v>
      </c>
      <c r="K4220" s="41" t="n">
        <v>34</v>
      </c>
      <c r="L4220" s="42" t="n">
        <f aca="false">J4220*K4220</f>
        <v>128.86</v>
      </c>
      <c r="M4220" s="43" t="n">
        <f aca="false">H4220*17.1*(1+'Chart of Accounts'!$E$67)</f>
        <v>74.206305</v>
      </c>
    </row>
    <row r="4221" customFormat="false" ht="15" hidden="false" customHeight="false" outlineLevel="0" collapsed="false">
      <c r="B4221" s="7" t="s">
        <v>4718</v>
      </c>
      <c r="C4221" s="39" t="n">
        <v>45866</v>
      </c>
      <c r="D4221" s="7" t="s">
        <v>280</v>
      </c>
      <c r="E4221" s="7" t="s">
        <v>157</v>
      </c>
      <c r="F4221" s="7" t="s">
        <v>187</v>
      </c>
      <c r="G4221" s="7" t="s">
        <v>502</v>
      </c>
      <c r="H4221" s="6" t="n">
        <v>0.94</v>
      </c>
      <c r="I4221" s="6" t="n">
        <v>0</v>
      </c>
      <c r="J4221" s="40" t="n">
        <f aca="false">H4221-I4221</f>
        <v>0.94</v>
      </c>
      <c r="K4221" s="41" t="n">
        <v>165</v>
      </c>
      <c r="L4221" s="42" t="n">
        <f aca="false">J4221*K4221</f>
        <v>155.1</v>
      </c>
      <c r="M4221" s="43" t="n">
        <f aca="false">H4221*66.48*(1+'Chart of Accounts'!$E$67)</f>
        <v>71.552424</v>
      </c>
    </row>
    <row r="4222" customFormat="false" ht="15" hidden="false" customHeight="false" outlineLevel="0" collapsed="false">
      <c r="B4222" s="7" t="s">
        <v>4719</v>
      </c>
      <c r="C4222" s="39" t="n">
        <v>45866</v>
      </c>
      <c r="D4222" s="7" t="s">
        <v>288</v>
      </c>
      <c r="E4222" s="7" t="s">
        <v>156</v>
      </c>
      <c r="F4222" s="7" t="s">
        <v>207</v>
      </c>
      <c r="G4222" s="7" t="s">
        <v>505</v>
      </c>
      <c r="H4222" s="6" t="n">
        <v>3.82</v>
      </c>
      <c r="I4222" s="6" t="n">
        <v>0</v>
      </c>
      <c r="J4222" s="40" t="n">
        <f aca="false">H4222-I4222</f>
        <v>3.82</v>
      </c>
      <c r="K4222" s="41" t="n">
        <v>34</v>
      </c>
      <c r="L4222" s="42" t="n">
        <f aca="false">J4222*K4222</f>
        <v>129.88</v>
      </c>
      <c r="M4222" s="43" t="n">
        <f aca="false">H4222*16.65*(1+'Chart of Accounts'!$E$67)</f>
        <v>72.825435</v>
      </c>
    </row>
    <row r="4223" customFormat="false" ht="15" hidden="false" customHeight="false" outlineLevel="0" collapsed="false">
      <c r="B4223" s="7" t="s">
        <v>4720</v>
      </c>
      <c r="C4223" s="39" t="n">
        <v>45866</v>
      </c>
      <c r="D4223" s="7" t="s">
        <v>291</v>
      </c>
      <c r="E4223" s="7" t="s">
        <v>154</v>
      </c>
      <c r="F4223" s="7" t="s">
        <v>194</v>
      </c>
      <c r="G4223" s="7" t="s">
        <v>505</v>
      </c>
      <c r="H4223" s="6" t="n">
        <v>5.03</v>
      </c>
      <c r="I4223" s="6" t="n">
        <v>0</v>
      </c>
      <c r="J4223" s="40" t="n">
        <f aca="false">H4223-I4223</f>
        <v>5.03</v>
      </c>
      <c r="K4223" s="41" t="n">
        <v>26.5</v>
      </c>
      <c r="L4223" s="42" t="n">
        <f aca="false">J4223*K4223</f>
        <v>133.295</v>
      </c>
      <c r="M4223" s="43" t="n">
        <f aca="false">H4223*16*(1+'Chart of Accounts'!$E$67)</f>
        <v>92.1496</v>
      </c>
    </row>
    <row r="4224" customFormat="false" ht="15" hidden="false" customHeight="false" outlineLevel="0" collapsed="false">
      <c r="B4224" s="7" t="s">
        <v>4721</v>
      </c>
      <c r="C4224" s="39" t="n">
        <v>45866</v>
      </c>
      <c r="D4224" s="7" t="s">
        <v>297</v>
      </c>
      <c r="E4224" s="7" t="s">
        <v>156</v>
      </c>
      <c r="F4224" s="7" t="s">
        <v>201</v>
      </c>
      <c r="G4224" s="7" t="s">
        <v>505</v>
      </c>
      <c r="H4224" s="6" t="n">
        <v>2.88</v>
      </c>
      <c r="I4224" s="6" t="n">
        <v>0</v>
      </c>
      <c r="J4224" s="40" t="n">
        <f aca="false">H4224-I4224</f>
        <v>2.88</v>
      </c>
      <c r="K4224" s="41" t="n">
        <v>34</v>
      </c>
      <c r="L4224" s="42" t="n">
        <f aca="false">J4224*K4224</f>
        <v>97.92</v>
      </c>
      <c r="M4224" s="43" t="n">
        <f aca="false">H4224*15.19*(1+'Chart of Accounts'!$E$67)</f>
        <v>50.090544</v>
      </c>
    </row>
    <row r="4225" customFormat="false" ht="15" hidden="false" customHeight="false" outlineLevel="0" collapsed="false">
      <c r="B4225" s="7" t="s">
        <v>4722</v>
      </c>
      <c r="C4225" s="39" t="n">
        <v>45866</v>
      </c>
      <c r="D4225" s="7" t="s">
        <v>305</v>
      </c>
      <c r="E4225" s="7" t="s">
        <v>154</v>
      </c>
      <c r="F4225" s="7" t="s">
        <v>205</v>
      </c>
      <c r="G4225" s="7" t="s">
        <v>505</v>
      </c>
      <c r="H4225" s="6" t="n">
        <v>4.03</v>
      </c>
      <c r="I4225" s="6" t="n">
        <v>0</v>
      </c>
      <c r="J4225" s="40" t="n">
        <f aca="false">H4225-I4225</f>
        <v>4.03</v>
      </c>
      <c r="K4225" s="41" t="n">
        <v>26.5</v>
      </c>
      <c r="L4225" s="42" t="n">
        <f aca="false">J4225*K4225</f>
        <v>106.795</v>
      </c>
      <c r="M4225" s="43" t="n">
        <f aca="false">H4225*16.36*(1+'Chart of Accounts'!$E$67)</f>
        <v>75.490766</v>
      </c>
    </row>
    <row r="4226" customFormat="false" ht="15" hidden="false" customHeight="false" outlineLevel="0" collapsed="false">
      <c r="B4226" s="7" t="s">
        <v>4723</v>
      </c>
      <c r="C4226" s="39" t="n">
        <v>45866</v>
      </c>
      <c r="D4226" s="7" t="s">
        <v>307</v>
      </c>
      <c r="E4226" s="7" t="s">
        <v>157</v>
      </c>
      <c r="F4226" s="7" t="s">
        <v>264</v>
      </c>
      <c r="G4226" s="7" t="s">
        <v>502</v>
      </c>
      <c r="H4226" s="6" t="n">
        <v>1.02</v>
      </c>
      <c r="I4226" s="6" t="n">
        <v>0</v>
      </c>
      <c r="J4226" s="40" t="n">
        <f aca="false">H4226-I4226</f>
        <v>1.02</v>
      </c>
      <c r="K4226" s="41" t="n">
        <v>165</v>
      </c>
      <c r="L4226" s="42" t="n">
        <f aca="false">J4226*K4226</f>
        <v>168.3</v>
      </c>
      <c r="M4226" s="43" t="n">
        <f aca="false">H4226*55.55*(1+'Chart of Accounts'!$E$67)</f>
        <v>64.876845</v>
      </c>
    </row>
    <row r="4227" customFormat="false" ht="15" hidden="false" customHeight="false" outlineLevel="0" collapsed="false">
      <c r="B4227" s="7" t="s">
        <v>4724</v>
      </c>
      <c r="C4227" s="39" t="n">
        <v>45866</v>
      </c>
      <c r="D4227" s="7" t="s">
        <v>309</v>
      </c>
      <c r="E4227" s="7" t="s">
        <v>159</v>
      </c>
      <c r="F4227" s="7" t="s">
        <v>252</v>
      </c>
      <c r="G4227" s="7" t="s">
        <v>502</v>
      </c>
      <c r="H4227" s="6" t="n">
        <v>1.08</v>
      </c>
      <c r="I4227" s="6" t="n">
        <v>0</v>
      </c>
      <c r="J4227" s="40" t="n">
        <f aca="false">H4227-I4227</f>
        <v>1.08</v>
      </c>
      <c r="K4227" s="41" t="n">
        <v>135</v>
      </c>
      <c r="L4227" s="42" t="n">
        <f aca="false">J4227*K4227</f>
        <v>145.8</v>
      </c>
      <c r="M4227" s="43" t="n">
        <f aca="false">H4227*57.54*(1+'Chart of Accounts'!$E$67)</f>
        <v>71.153964</v>
      </c>
    </row>
    <row r="4228" customFormat="false" ht="15" hidden="false" customHeight="false" outlineLevel="0" collapsed="false">
      <c r="B4228" s="7" t="s">
        <v>4725</v>
      </c>
      <c r="C4228" s="39" t="n">
        <v>45866</v>
      </c>
      <c r="D4228" s="7" t="s">
        <v>311</v>
      </c>
      <c r="E4228" s="7" t="s">
        <v>154</v>
      </c>
      <c r="F4228" s="7" t="s">
        <v>196</v>
      </c>
      <c r="G4228" s="7" t="s">
        <v>505</v>
      </c>
      <c r="H4228" s="6" t="n">
        <v>3.17</v>
      </c>
      <c r="I4228" s="6" t="n">
        <v>0</v>
      </c>
      <c r="J4228" s="40" t="n">
        <f aca="false">H4228-I4228</f>
        <v>3.17</v>
      </c>
      <c r="K4228" s="41" t="n">
        <v>26.5</v>
      </c>
      <c r="L4228" s="42" t="n">
        <f aca="false">J4228*K4228</f>
        <v>84.005</v>
      </c>
      <c r="M4228" s="43" t="n">
        <f aca="false">H4228*15.05*(1+'Chart of Accounts'!$E$67)</f>
        <v>54.6262325</v>
      </c>
    </row>
    <row r="4229" customFormat="false" ht="15" hidden="false" customHeight="false" outlineLevel="0" collapsed="false">
      <c r="B4229" s="7" t="s">
        <v>4726</v>
      </c>
      <c r="C4229" s="39" t="n">
        <v>45866</v>
      </c>
      <c r="D4229" s="7" t="s">
        <v>313</v>
      </c>
      <c r="E4229" s="7" t="s">
        <v>156</v>
      </c>
      <c r="F4229" s="7" t="s">
        <v>184</v>
      </c>
      <c r="G4229" s="7" t="s">
        <v>505</v>
      </c>
      <c r="H4229" s="6" t="n">
        <v>4.12</v>
      </c>
      <c r="I4229" s="6" t="n">
        <v>0</v>
      </c>
      <c r="J4229" s="40" t="n">
        <f aca="false">H4229-I4229</f>
        <v>4.12</v>
      </c>
      <c r="K4229" s="41" t="n">
        <v>34</v>
      </c>
      <c r="L4229" s="42" t="n">
        <f aca="false">J4229*K4229</f>
        <v>140.08</v>
      </c>
      <c r="M4229" s="43" t="n">
        <f aca="false">H4229*17.34*(1+'Chart of Accounts'!$E$67)</f>
        <v>81.799716</v>
      </c>
    </row>
    <row r="4230" customFormat="false" ht="15" hidden="false" customHeight="false" outlineLevel="0" collapsed="false">
      <c r="B4230" s="7" t="s">
        <v>4727</v>
      </c>
      <c r="C4230" s="39" t="n">
        <v>45866</v>
      </c>
      <c r="D4230" s="7" t="s">
        <v>317</v>
      </c>
      <c r="E4230" s="7" t="s">
        <v>156</v>
      </c>
      <c r="F4230" s="7" t="s">
        <v>207</v>
      </c>
      <c r="G4230" s="7" t="s">
        <v>505</v>
      </c>
      <c r="H4230" s="6" t="n">
        <v>2.99</v>
      </c>
      <c r="I4230" s="6" t="n">
        <v>0</v>
      </c>
      <c r="J4230" s="40" t="n">
        <f aca="false">H4230-I4230</f>
        <v>2.99</v>
      </c>
      <c r="K4230" s="41" t="n">
        <v>34</v>
      </c>
      <c r="L4230" s="42" t="n">
        <f aca="false">J4230*K4230</f>
        <v>101.66</v>
      </c>
      <c r="M4230" s="43" t="n">
        <f aca="false">H4230*16.65*(1+'Chart of Accounts'!$E$67)</f>
        <v>57.0021075</v>
      </c>
    </row>
    <row r="4231" customFormat="false" ht="15" hidden="false" customHeight="false" outlineLevel="0" collapsed="false">
      <c r="B4231" s="7" t="s">
        <v>4728</v>
      </c>
      <c r="C4231" s="39" t="n">
        <v>45866</v>
      </c>
      <c r="D4231" s="7" t="s">
        <v>321</v>
      </c>
      <c r="E4231" s="7" t="s">
        <v>154</v>
      </c>
      <c r="F4231" s="7" t="s">
        <v>218</v>
      </c>
      <c r="G4231" s="7" t="s">
        <v>505</v>
      </c>
      <c r="H4231" s="6" t="n">
        <v>4.03</v>
      </c>
      <c r="I4231" s="6" t="n">
        <v>0</v>
      </c>
      <c r="J4231" s="40" t="n">
        <f aca="false">H4231-I4231</f>
        <v>4.03</v>
      </c>
      <c r="K4231" s="41" t="n">
        <v>26.5</v>
      </c>
      <c r="L4231" s="42" t="n">
        <f aca="false">J4231*K4231</f>
        <v>106.795</v>
      </c>
      <c r="M4231" s="43" t="n">
        <f aca="false">H4231*16.19*(1+'Chart of Accounts'!$E$67)</f>
        <v>74.7063265</v>
      </c>
    </row>
    <row r="4232" customFormat="false" ht="15" hidden="false" customHeight="false" outlineLevel="0" collapsed="false">
      <c r="B4232" s="7" t="s">
        <v>4729</v>
      </c>
      <c r="C4232" s="39" t="n">
        <v>45866</v>
      </c>
      <c r="D4232" s="7" t="s">
        <v>325</v>
      </c>
      <c r="E4232" s="7" t="s">
        <v>154</v>
      </c>
      <c r="F4232" s="7" t="s">
        <v>254</v>
      </c>
      <c r="G4232" s="7" t="s">
        <v>505</v>
      </c>
      <c r="H4232" s="6" t="n">
        <v>2.85</v>
      </c>
      <c r="I4232" s="6" t="n">
        <v>0</v>
      </c>
      <c r="J4232" s="40" t="n">
        <f aca="false">H4232-I4232</f>
        <v>2.85</v>
      </c>
      <c r="K4232" s="41" t="n">
        <v>26.5</v>
      </c>
      <c r="L4232" s="42" t="n">
        <f aca="false">J4232*K4232</f>
        <v>75.525</v>
      </c>
      <c r="M4232" s="43" t="n">
        <f aca="false">H4232*17.1*(1+'Chart of Accounts'!$E$67)</f>
        <v>55.801575</v>
      </c>
    </row>
    <row r="4233" customFormat="false" ht="15" hidden="false" customHeight="false" outlineLevel="0" collapsed="false">
      <c r="B4233" s="7" t="s">
        <v>4730</v>
      </c>
      <c r="C4233" s="39" t="n">
        <v>45866</v>
      </c>
      <c r="D4233" s="7" t="s">
        <v>329</v>
      </c>
      <c r="E4233" s="7" t="s">
        <v>156</v>
      </c>
      <c r="F4233" s="7" t="s">
        <v>220</v>
      </c>
      <c r="G4233" s="7" t="s">
        <v>505</v>
      </c>
      <c r="H4233" s="6" t="n">
        <v>3.6</v>
      </c>
      <c r="I4233" s="6" t="n">
        <v>0</v>
      </c>
      <c r="J4233" s="40" t="n">
        <f aca="false">H4233-I4233</f>
        <v>3.6</v>
      </c>
      <c r="K4233" s="41" t="n">
        <v>34</v>
      </c>
      <c r="L4233" s="42" t="n">
        <f aca="false">J4233*K4233</f>
        <v>122.4</v>
      </c>
      <c r="M4233" s="43" t="n">
        <f aca="false">H4233*16.43*(1+'Chart of Accounts'!$E$67)</f>
        <v>67.72446</v>
      </c>
    </row>
    <row r="4234" customFormat="false" ht="15" hidden="false" customHeight="false" outlineLevel="0" collapsed="false">
      <c r="B4234" s="7" t="s">
        <v>4731</v>
      </c>
      <c r="C4234" s="39" t="n">
        <v>45866</v>
      </c>
      <c r="D4234" s="7" t="s">
        <v>331</v>
      </c>
      <c r="E4234" s="7" t="s">
        <v>156</v>
      </c>
      <c r="F4234" s="7" t="s">
        <v>224</v>
      </c>
      <c r="G4234" s="7" t="s">
        <v>505</v>
      </c>
      <c r="H4234" s="6" t="n">
        <v>4.34</v>
      </c>
      <c r="I4234" s="6" t="n">
        <v>0</v>
      </c>
      <c r="J4234" s="40" t="n">
        <f aca="false">H4234-I4234</f>
        <v>4.34</v>
      </c>
      <c r="K4234" s="41" t="n">
        <v>34</v>
      </c>
      <c r="L4234" s="42" t="n">
        <f aca="false">J4234*K4234</f>
        <v>147.56</v>
      </c>
      <c r="M4234" s="43" t="n">
        <f aca="false">H4234*14.93*(1+'Chart of Accounts'!$E$67)</f>
        <v>74.191649</v>
      </c>
    </row>
    <row r="4235" customFormat="false" ht="15" hidden="false" customHeight="false" outlineLevel="0" collapsed="false">
      <c r="B4235" s="7" t="s">
        <v>4732</v>
      </c>
      <c r="C4235" s="39" t="n">
        <v>45866</v>
      </c>
      <c r="D4235" s="7" t="s">
        <v>335</v>
      </c>
      <c r="E4235" s="7" t="s">
        <v>154</v>
      </c>
      <c r="F4235" s="7" t="s">
        <v>177</v>
      </c>
      <c r="G4235" s="7" t="s">
        <v>505</v>
      </c>
      <c r="H4235" s="6" t="n">
        <v>4.07</v>
      </c>
      <c r="I4235" s="6" t="n">
        <v>0</v>
      </c>
      <c r="J4235" s="40" t="n">
        <f aca="false">H4235-I4235</f>
        <v>4.07</v>
      </c>
      <c r="K4235" s="41" t="n">
        <v>26.5</v>
      </c>
      <c r="L4235" s="42" t="n">
        <f aca="false">J4235*K4235</f>
        <v>107.855</v>
      </c>
      <c r="M4235" s="43" t="n">
        <f aca="false">H4235*14.56*(1+'Chart of Accounts'!$E$67)</f>
        <v>67.851784</v>
      </c>
    </row>
    <row r="4236" customFormat="false" ht="15" hidden="false" customHeight="false" outlineLevel="0" collapsed="false">
      <c r="B4236" s="7" t="s">
        <v>4733</v>
      </c>
      <c r="C4236" s="39" t="n">
        <v>45866</v>
      </c>
      <c r="D4236" s="7" t="s">
        <v>337</v>
      </c>
      <c r="E4236" s="7" t="s">
        <v>154</v>
      </c>
      <c r="F4236" s="7" t="s">
        <v>232</v>
      </c>
      <c r="G4236" s="7" t="s">
        <v>505</v>
      </c>
      <c r="H4236" s="6" t="n">
        <v>2.82</v>
      </c>
      <c r="I4236" s="6" t="n">
        <v>0</v>
      </c>
      <c r="J4236" s="40" t="n">
        <f aca="false">H4236-I4236</f>
        <v>2.82</v>
      </c>
      <c r="K4236" s="41" t="n">
        <v>26.5</v>
      </c>
      <c r="L4236" s="42" t="n">
        <f aca="false">J4236*K4236</f>
        <v>74.73</v>
      </c>
      <c r="M4236" s="43" t="n">
        <f aca="false">H4236*16.17*(1+'Chart of Accounts'!$E$67)</f>
        <v>52.211313</v>
      </c>
    </row>
    <row r="4237" customFormat="false" ht="15" hidden="false" customHeight="false" outlineLevel="0" collapsed="false">
      <c r="B4237" s="7" t="s">
        <v>4734</v>
      </c>
      <c r="C4237" s="39" t="n">
        <v>45866</v>
      </c>
      <c r="D4237" s="7" t="s">
        <v>339</v>
      </c>
      <c r="E4237" s="7" t="s">
        <v>154</v>
      </c>
      <c r="F4237" s="7" t="s">
        <v>242</v>
      </c>
      <c r="G4237" s="7" t="s">
        <v>505</v>
      </c>
      <c r="H4237" s="6" t="n">
        <v>3.65</v>
      </c>
      <c r="I4237" s="6" t="n">
        <v>0</v>
      </c>
      <c r="J4237" s="40" t="n">
        <f aca="false">H4237-I4237</f>
        <v>3.65</v>
      </c>
      <c r="K4237" s="41" t="n">
        <v>26.5</v>
      </c>
      <c r="L4237" s="42" t="n">
        <f aca="false">J4237*K4237</f>
        <v>96.725</v>
      </c>
      <c r="M4237" s="43" t="n">
        <f aca="false">H4237*17.99*(1+'Chart of Accounts'!$E$67)</f>
        <v>75.1847075</v>
      </c>
    </row>
    <row r="4238" customFormat="false" ht="15" hidden="false" customHeight="false" outlineLevel="0" collapsed="false">
      <c r="B4238" s="7" t="s">
        <v>4735</v>
      </c>
      <c r="C4238" s="39" t="n">
        <v>45866</v>
      </c>
      <c r="D4238" s="7" t="s">
        <v>341</v>
      </c>
      <c r="E4238" s="7" t="s">
        <v>156</v>
      </c>
      <c r="F4238" s="7" t="s">
        <v>222</v>
      </c>
      <c r="G4238" s="7" t="s">
        <v>505</v>
      </c>
      <c r="H4238" s="6" t="n">
        <v>2.93</v>
      </c>
      <c r="I4238" s="6" t="n">
        <v>0</v>
      </c>
      <c r="J4238" s="40" t="n">
        <f aca="false">H4238-I4238</f>
        <v>2.93</v>
      </c>
      <c r="K4238" s="41" t="n">
        <v>34</v>
      </c>
      <c r="L4238" s="42" t="n">
        <f aca="false">J4238*K4238</f>
        <v>99.62</v>
      </c>
      <c r="M4238" s="43" t="n">
        <f aca="false">H4238*17.84*(1+'Chart of Accounts'!$E$67)</f>
        <v>59.850524</v>
      </c>
    </row>
    <row r="4239" customFormat="false" ht="15" hidden="false" customHeight="false" outlineLevel="0" collapsed="false">
      <c r="B4239" s="7" t="s">
        <v>4736</v>
      </c>
      <c r="C4239" s="39" t="n">
        <v>45866</v>
      </c>
      <c r="D4239" s="7" t="s">
        <v>343</v>
      </c>
      <c r="E4239" s="7" t="s">
        <v>154</v>
      </c>
      <c r="F4239" s="7" t="s">
        <v>184</v>
      </c>
      <c r="G4239" s="7" t="s">
        <v>505</v>
      </c>
      <c r="H4239" s="6" t="n">
        <v>3.89</v>
      </c>
      <c r="I4239" s="6" t="n">
        <v>0.117</v>
      </c>
      <c r="J4239" s="40" t="n">
        <f aca="false">H4239-I4239</f>
        <v>3.773</v>
      </c>
      <c r="K4239" s="41" t="n">
        <v>26.5</v>
      </c>
      <c r="L4239" s="42" t="n">
        <f aca="false">J4239*K4239</f>
        <v>99.9845</v>
      </c>
      <c r="M4239" s="43" t="n">
        <f aca="false">H4239*17.34*(1+'Chart of Accounts'!$E$67)</f>
        <v>77.233227</v>
      </c>
    </row>
    <row r="4240" customFormat="false" ht="15" hidden="false" customHeight="false" outlineLevel="0" collapsed="false">
      <c r="B4240" s="7" t="s">
        <v>4737</v>
      </c>
      <c r="C4240" s="39" t="n">
        <v>45866</v>
      </c>
      <c r="D4240" s="7" t="s">
        <v>347</v>
      </c>
      <c r="E4240" s="7" t="s">
        <v>154</v>
      </c>
      <c r="F4240" s="7" t="s">
        <v>238</v>
      </c>
      <c r="G4240" s="7" t="s">
        <v>505</v>
      </c>
      <c r="H4240" s="6" t="n">
        <v>4.27</v>
      </c>
      <c r="I4240" s="6" t="n">
        <v>0</v>
      </c>
      <c r="J4240" s="40" t="n">
        <f aca="false">H4240-I4240</f>
        <v>4.27</v>
      </c>
      <c r="K4240" s="41" t="n">
        <v>26.5</v>
      </c>
      <c r="L4240" s="42" t="n">
        <f aca="false">J4240*K4240</f>
        <v>113.155</v>
      </c>
      <c r="M4240" s="43" t="n">
        <f aca="false">H4240*15.85*(1+'Chart of Accounts'!$E$67)</f>
        <v>77.4930275</v>
      </c>
    </row>
    <row r="4241" customFormat="false" ht="15" hidden="false" customHeight="false" outlineLevel="0" collapsed="false">
      <c r="B4241" s="7" t="s">
        <v>4738</v>
      </c>
      <c r="C4241" s="39" t="n">
        <v>45866</v>
      </c>
      <c r="D4241" s="7" t="s">
        <v>351</v>
      </c>
      <c r="E4241" s="7" t="s">
        <v>154</v>
      </c>
      <c r="F4241" s="7" t="s">
        <v>201</v>
      </c>
      <c r="G4241" s="7" t="s">
        <v>505</v>
      </c>
      <c r="H4241" s="6" t="n">
        <v>2.78</v>
      </c>
      <c r="I4241" s="6" t="n">
        <v>0</v>
      </c>
      <c r="J4241" s="40" t="n">
        <f aca="false">H4241-I4241</f>
        <v>2.78</v>
      </c>
      <c r="K4241" s="41" t="n">
        <v>26.5</v>
      </c>
      <c r="L4241" s="42" t="n">
        <f aca="false">J4241*K4241</f>
        <v>73.67</v>
      </c>
      <c r="M4241" s="43" t="n">
        <f aca="false">H4241*15.19*(1+'Chart of Accounts'!$E$67)</f>
        <v>48.351289</v>
      </c>
    </row>
    <row r="4242" customFormat="false" ht="15" hidden="false" customHeight="false" outlineLevel="0" collapsed="false">
      <c r="B4242" s="7" t="s">
        <v>4739</v>
      </c>
      <c r="C4242" s="39" t="n">
        <v>45866</v>
      </c>
      <c r="D4242" s="7" t="s">
        <v>353</v>
      </c>
      <c r="E4242" s="7" t="s">
        <v>154</v>
      </c>
      <c r="F4242" s="7" t="s">
        <v>254</v>
      </c>
      <c r="G4242" s="7" t="s">
        <v>505</v>
      </c>
      <c r="H4242" s="6" t="n">
        <v>3.28</v>
      </c>
      <c r="I4242" s="6" t="n">
        <v>0</v>
      </c>
      <c r="J4242" s="40" t="n">
        <f aca="false">H4242-I4242</f>
        <v>3.28</v>
      </c>
      <c r="K4242" s="41" t="n">
        <v>26.5</v>
      </c>
      <c r="L4242" s="42" t="n">
        <f aca="false">J4242*K4242</f>
        <v>86.92</v>
      </c>
      <c r="M4242" s="43" t="n">
        <f aca="false">H4242*17.1*(1+'Chart of Accounts'!$E$67)</f>
        <v>64.22076</v>
      </c>
    </row>
    <row r="4243" customFormat="false" ht="15" hidden="false" customHeight="false" outlineLevel="0" collapsed="false">
      <c r="B4243" s="7" t="s">
        <v>4740</v>
      </c>
      <c r="C4243" s="39" t="n">
        <v>45866</v>
      </c>
      <c r="D4243" s="7" t="s">
        <v>355</v>
      </c>
      <c r="E4243" s="7" t="s">
        <v>154</v>
      </c>
      <c r="F4243" s="7" t="s">
        <v>201</v>
      </c>
      <c r="G4243" s="7" t="s">
        <v>505</v>
      </c>
      <c r="H4243" s="6" t="n">
        <v>3.04</v>
      </c>
      <c r="I4243" s="6" t="n">
        <v>0</v>
      </c>
      <c r="J4243" s="40" t="n">
        <f aca="false">H4243-I4243</f>
        <v>3.04</v>
      </c>
      <c r="K4243" s="41" t="n">
        <v>26.5</v>
      </c>
      <c r="L4243" s="42" t="n">
        <f aca="false">J4243*K4243</f>
        <v>80.56</v>
      </c>
      <c r="M4243" s="43" t="n">
        <f aca="false">H4243*15.19*(1+'Chart of Accounts'!$E$67)</f>
        <v>52.873352</v>
      </c>
    </row>
    <row r="4244" customFormat="false" ht="15" hidden="false" customHeight="false" outlineLevel="0" collapsed="false">
      <c r="B4244" s="7" t="s">
        <v>4741</v>
      </c>
      <c r="C4244" s="39" t="n">
        <v>45866</v>
      </c>
      <c r="D4244" s="7" t="s">
        <v>357</v>
      </c>
      <c r="E4244" s="7" t="s">
        <v>154</v>
      </c>
      <c r="F4244" s="7" t="s">
        <v>207</v>
      </c>
      <c r="G4244" s="7" t="s">
        <v>505</v>
      </c>
      <c r="H4244" s="6" t="n">
        <v>3.48</v>
      </c>
      <c r="I4244" s="6" t="n">
        <v>0</v>
      </c>
      <c r="J4244" s="40" t="n">
        <f aca="false">H4244-I4244</f>
        <v>3.48</v>
      </c>
      <c r="K4244" s="41" t="n">
        <v>26.5</v>
      </c>
      <c r="L4244" s="42" t="n">
        <f aca="false">J4244*K4244</f>
        <v>92.22</v>
      </c>
      <c r="M4244" s="43" t="n">
        <f aca="false">H4244*16.65*(1+'Chart of Accounts'!$E$67)</f>
        <v>66.34359</v>
      </c>
    </row>
    <row r="4245" customFormat="false" ht="15" hidden="false" customHeight="false" outlineLevel="0" collapsed="false">
      <c r="B4245" s="7" t="s">
        <v>4742</v>
      </c>
      <c r="C4245" s="39" t="n">
        <v>45866</v>
      </c>
      <c r="D4245" s="7" t="s">
        <v>359</v>
      </c>
      <c r="E4245" s="7" t="s">
        <v>156</v>
      </c>
      <c r="F4245" s="7" t="s">
        <v>218</v>
      </c>
      <c r="G4245" s="7" t="s">
        <v>505</v>
      </c>
      <c r="H4245" s="6" t="n">
        <v>3.78</v>
      </c>
      <c r="I4245" s="6" t="n">
        <v>0</v>
      </c>
      <c r="J4245" s="40" t="n">
        <f aca="false">H4245-I4245</f>
        <v>3.78</v>
      </c>
      <c r="K4245" s="41" t="n">
        <v>34</v>
      </c>
      <c r="L4245" s="42" t="n">
        <f aca="false">J4245*K4245</f>
        <v>128.52</v>
      </c>
      <c r="M4245" s="43" t="n">
        <f aca="false">H4245*16.19*(1+'Chart of Accounts'!$E$67)</f>
        <v>70.071939</v>
      </c>
    </row>
    <row r="4246" customFormat="false" ht="15" hidden="false" customHeight="false" outlineLevel="0" collapsed="false">
      <c r="B4246" s="7" t="s">
        <v>4743</v>
      </c>
      <c r="C4246" s="39" t="n">
        <v>45866</v>
      </c>
      <c r="D4246" s="7" t="s">
        <v>363</v>
      </c>
      <c r="E4246" s="7" t="s">
        <v>156</v>
      </c>
      <c r="F4246" s="7" t="s">
        <v>246</v>
      </c>
      <c r="G4246" s="7" t="s">
        <v>505</v>
      </c>
      <c r="H4246" s="6" t="n">
        <v>3.88</v>
      </c>
      <c r="I4246" s="6" t="n">
        <v>0</v>
      </c>
      <c r="J4246" s="40" t="n">
        <f aca="false">H4246-I4246</f>
        <v>3.88</v>
      </c>
      <c r="K4246" s="41" t="n">
        <v>34</v>
      </c>
      <c r="L4246" s="42" t="n">
        <f aca="false">J4246*K4246</f>
        <v>131.92</v>
      </c>
      <c r="M4246" s="43" t="n">
        <f aca="false">H4246*16.48*(1+'Chart of Accounts'!$E$67)</f>
        <v>73.214048</v>
      </c>
    </row>
    <row r="4247" customFormat="false" ht="15" hidden="false" customHeight="false" outlineLevel="0" collapsed="false">
      <c r="B4247" s="7" t="s">
        <v>4744</v>
      </c>
      <c r="C4247" s="39" t="n">
        <v>45866</v>
      </c>
      <c r="D4247" s="7" t="s">
        <v>365</v>
      </c>
      <c r="E4247" s="7" t="s">
        <v>154</v>
      </c>
      <c r="F4247" s="7" t="s">
        <v>194</v>
      </c>
      <c r="G4247" s="7" t="s">
        <v>505</v>
      </c>
      <c r="H4247" s="6" t="n">
        <v>4.07</v>
      </c>
      <c r="I4247" s="6" t="n">
        <v>0</v>
      </c>
      <c r="J4247" s="40" t="n">
        <f aca="false">H4247-I4247</f>
        <v>4.07</v>
      </c>
      <c r="K4247" s="41" t="n">
        <v>26.5</v>
      </c>
      <c r="L4247" s="42" t="n">
        <f aca="false">J4247*K4247</f>
        <v>107.855</v>
      </c>
      <c r="M4247" s="43" t="n">
        <f aca="false">H4247*16*(1+'Chart of Accounts'!$E$67)</f>
        <v>74.5624</v>
      </c>
    </row>
    <row r="4248" customFormat="false" ht="15" hidden="false" customHeight="false" outlineLevel="0" collapsed="false">
      <c r="B4248" s="7" t="s">
        <v>4745</v>
      </c>
      <c r="C4248" s="39" t="n">
        <v>45866</v>
      </c>
      <c r="D4248" s="7" t="s">
        <v>371</v>
      </c>
      <c r="E4248" s="7" t="s">
        <v>154</v>
      </c>
      <c r="F4248" s="7" t="s">
        <v>232</v>
      </c>
      <c r="G4248" s="7" t="s">
        <v>505</v>
      </c>
      <c r="H4248" s="6" t="n">
        <v>5.1</v>
      </c>
      <c r="I4248" s="6" t="n">
        <v>0</v>
      </c>
      <c r="J4248" s="40" t="n">
        <f aca="false">H4248-I4248</f>
        <v>5.1</v>
      </c>
      <c r="K4248" s="41" t="n">
        <v>26.5</v>
      </c>
      <c r="L4248" s="42" t="n">
        <f aca="false">J4248*K4248</f>
        <v>135.15</v>
      </c>
      <c r="M4248" s="43" t="n">
        <f aca="false">H4248*16.17*(1+'Chart of Accounts'!$E$67)</f>
        <v>94.424715</v>
      </c>
    </row>
    <row r="4249" customFormat="false" ht="15" hidden="false" customHeight="false" outlineLevel="0" collapsed="false">
      <c r="B4249" s="7" t="s">
        <v>4746</v>
      </c>
      <c r="C4249" s="39" t="n">
        <v>45866</v>
      </c>
      <c r="D4249" s="7" t="s">
        <v>375</v>
      </c>
      <c r="E4249" s="7" t="s">
        <v>156</v>
      </c>
      <c r="F4249" s="7" t="s">
        <v>196</v>
      </c>
      <c r="G4249" s="7" t="s">
        <v>505</v>
      </c>
      <c r="H4249" s="6" t="n">
        <v>2.71</v>
      </c>
      <c r="I4249" s="6" t="n">
        <v>0</v>
      </c>
      <c r="J4249" s="40" t="n">
        <f aca="false">H4249-I4249</f>
        <v>2.71</v>
      </c>
      <c r="K4249" s="41" t="n">
        <v>34</v>
      </c>
      <c r="L4249" s="42" t="n">
        <f aca="false">J4249*K4249</f>
        <v>92.14</v>
      </c>
      <c r="M4249" s="43" t="n">
        <f aca="false">H4249*15.05*(1+'Chart of Accounts'!$E$67)</f>
        <v>46.6993975</v>
      </c>
    </row>
    <row r="4250" customFormat="false" ht="15" hidden="false" customHeight="false" outlineLevel="0" collapsed="false">
      <c r="B4250" s="7" t="s">
        <v>4747</v>
      </c>
      <c r="C4250" s="39" t="n">
        <v>45866</v>
      </c>
      <c r="D4250" s="7" t="s">
        <v>377</v>
      </c>
      <c r="E4250" s="7" t="s">
        <v>154</v>
      </c>
      <c r="F4250" s="7" t="s">
        <v>214</v>
      </c>
      <c r="G4250" s="7" t="s">
        <v>505</v>
      </c>
      <c r="H4250" s="6" t="n">
        <v>4.09</v>
      </c>
      <c r="I4250" s="6" t="n">
        <v>0</v>
      </c>
      <c r="J4250" s="40" t="n">
        <f aca="false">H4250-I4250</f>
        <v>4.09</v>
      </c>
      <c r="K4250" s="41" t="n">
        <v>26.5</v>
      </c>
      <c r="L4250" s="42" t="n">
        <f aca="false">J4250*K4250</f>
        <v>108.385</v>
      </c>
      <c r="M4250" s="43" t="n">
        <f aca="false">H4250*15.67*(1+'Chart of Accounts'!$E$67)</f>
        <v>73.3833935</v>
      </c>
    </row>
    <row r="4251" customFormat="false" ht="15" hidden="false" customHeight="false" outlineLevel="0" collapsed="false">
      <c r="B4251" s="7" t="s">
        <v>4748</v>
      </c>
      <c r="C4251" s="39" t="n">
        <v>45866</v>
      </c>
      <c r="D4251" s="7" t="s">
        <v>379</v>
      </c>
      <c r="E4251" s="7" t="s">
        <v>156</v>
      </c>
      <c r="F4251" s="7" t="s">
        <v>224</v>
      </c>
      <c r="G4251" s="7" t="s">
        <v>505</v>
      </c>
      <c r="H4251" s="6" t="n">
        <v>4.32</v>
      </c>
      <c r="I4251" s="6" t="n">
        <v>0</v>
      </c>
      <c r="J4251" s="40" t="n">
        <f aca="false">H4251-I4251</f>
        <v>4.32</v>
      </c>
      <c r="K4251" s="41" t="n">
        <v>34</v>
      </c>
      <c r="L4251" s="42" t="n">
        <f aca="false">J4251*K4251</f>
        <v>146.88</v>
      </c>
      <c r="M4251" s="43" t="n">
        <f aca="false">H4251*14.93*(1+'Chart of Accounts'!$E$67)</f>
        <v>73.849752</v>
      </c>
    </row>
    <row r="4252" customFormat="false" ht="15" hidden="false" customHeight="false" outlineLevel="0" collapsed="false">
      <c r="B4252" s="7" t="s">
        <v>4749</v>
      </c>
      <c r="C4252" s="39" t="n">
        <v>45866</v>
      </c>
      <c r="D4252" s="7" t="s">
        <v>385</v>
      </c>
      <c r="E4252" s="7" t="s">
        <v>156</v>
      </c>
      <c r="F4252" s="7" t="s">
        <v>238</v>
      </c>
      <c r="G4252" s="7" t="s">
        <v>505</v>
      </c>
      <c r="H4252" s="6" t="n">
        <v>3.79</v>
      </c>
      <c r="I4252" s="6" t="n">
        <v>0</v>
      </c>
      <c r="J4252" s="40" t="n">
        <f aca="false">H4252-I4252</f>
        <v>3.79</v>
      </c>
      <c r="K4252" s="41" t="n">
        <v>34</v>
      </c>
      <c r="L4252" s="42" t="n">
        <f aca="false">J4252*K4252</f>
        <v>128.86</v>
      </c>
      <c r="M4252" s="43" t="n">
        <f aca="false">H4252*15.85*(1+'Chart of Accounts'!$E$67)</f>
        <v>68.7818675</v>
      </c>
    </row>
    <row r="4253" customFormat="false" ht="15" hidden="false" customHeight="false" outlineLevel="0" collapsed="false">
      <c r="B4253" s="7" t="s">
        <v>4750</v>
      </c>
      <c r="C4253" s="39" t="n">
        <v>45866</v>
      </c>
      <c r="D4253" s="7" t="s">
        <v>387</v>
      </c>
      <c r="E4253" s="7" t="s">
        <v>154</v>
      </c>
      <c r="F4253" s="7" t="s">
        <v>196</v>
      </c>
      <c r="G4253" s="7" t="s">
        <v>505</v>
      </c>
      <c r="H4253" s="6" t="n">
        <v>4.33</v>
      </c>
      <c r="I4253" s="6" t="n">
        <v>0.13</v>
      </c>
      <c r="J4253" s="40" t="n">
        <f aca="false">H4253-I4253</f>
        <v>4.2</v>
      </c>
      <c r="K4253" s="41" t="n">
        <v>26.5</v>
      </c>
      <c r="L4253" s="42" t="n">
        <f aca="false">J4253*K4253</f>
        <v>111.3</v>
      </c>
      <c r="M4253" s="43" t="n">
        <f aca="false">H4253*15.05*(1+'Chart of Accounts'!$E$67)</f>
        <v>74.6156425</v>
      </c>
    </row>
    <row r="4254" customFormat="false" ht="15" hidden="false" customHeight="false" outlineLevel="0" collapsed="false">
      <c r="B4254" s="7" t="s">
        <v>4751</v>
      </c>
      <c r="C4254" s="39" t="n">
        <v>45866</v>
      </c>
      <c r="D4254" s="7" t="s">
        <v>389</v>
      </c>
      <c r="E4254" s="7" t="s">
        <v>154</v>
      </c>
      <c r="F4254" s="7" t="s">
        <v>246</v>
      </c>
      <c r="G4254" s="7" t="s">
        <v>505</v>
      </c>
      <c r="H4254" s="6" t="n">
        <v>4.14</v>
      </c>
      <c r="I4254" s="6" t="n">
        <v>0</v>
      </c>
      <c r="J4254" s="40" t="n">
        <f aca="false">H4254-I4254</f>
        <v>4.14</v>
      </c>
      <c r="K4254" s="41" t="n">
        <v>26.5</v>
      </c>
      <c r="L4254" s="42" t="n">
        <f aca="false">J4254*K4254</f>
        <v>109.71</v>
      </c>
      <c r="M4254" s="43" t="n">
        <f aca="false">H4254*16.48*(1+'Chart of Accounts'!$E$67)</f>
        <v>78.120144</v>
      </c>
    </row>
    <row r="4255" customFormat="false" ht="15" hidden="false" customHeight="false" outlineLevel="0" collapsed="false">
      <c r="B4255" s="7" t="s">
        <v>4752</v>
      </c>
      <c r="C4255" s="39" t="n">
        <v>45866</v>
      </c>
      <c r="D4255" s="7" t="s">
        <v>391</v>
      </c>
      <c r="E4255" s="7" t="s">
        <v>156</v>
      </c>
      <c r="F4255" s="7" t="s">
        <v>222</v>
      </c>
      <c r="G4255" s="7" t="s">
        <v>505</v>
      </c>
      <c r="H4255" s="6" t="n">
        <v>4.28</v>
      </c>
      <c r="I4255" s="6" t="n">
        <v>0</v>
      </c>
      <c r="J4255" s="40" t="n">
        <f aca="false">H4255-I4255</f>
        <v>4.28</v>
      </c>
      <c r="K4255" s="41" t="n">
        <v>34</v>
      </c>
      <c r="L4255" s="42" t="n">
        <f aca="false">J4255*K4255</f>
        <v>145.52</v>
      </c>
      <c r="M4255" s="43" t="n">
        <f aca="false">H4255*17.84*(1+'Chart of Accounts'!$E$67)</f>
        <v>87.426704</v>
      </c>
    </row>
    <row r="4256" customFormat="false" ht="15" hidden="false" customHeight="false" outlineLevel="0" collapsed="false">
      <c r="B4256" s="7" t="s">
        <v>4753</v>
      </c>
      <c r="C4256" s="39" t="n">
        <v>45866</v>
      </c>
      <c r="D4256" s="7" t="s">
        <v>395</v>
      </c>
      <c r="E4256" s="7" t="s">
        <v>156</v>
      </c>
      <c r="F4256" s="7" t="s">
        <v>242</v>
      </c>
      <c r="G4256" s="7" t="s">
        <v>505</v>
      </c>
      <c r="H4256" s="6" t="n">
        <v>4.28</v>
      </c>
      <c r="I4256" s="6" t="n">
        <v>0</v>
      </c>
      <c r="J4256" s="40" t="n">
        <f aca="false">H4256-I4256</f>
        <v>4.28</v>
      </c>
      <c r="K4256" s="41" t="n">
        <v>34</v>
      </c>
      <c r="L4256" s="42" t="n">
        <f aca="false">J4256*K4256</f>
        <v>145.52</v>
      </c>
      <c r="M4256" s="43" t="n">
        <f aca="false">H4256*17.99*(1+'Chart of Accounts'!$E$67)</f>
        <v>88.161794</v>
      </c>
    </row>
    <row r="4257" customFormat="false" ht="15" hidden="false" customHeight="false" outlineLevel="0" collapsed="false">
      <c r="B4257" s="7" t="s">
        <v>4754</v>
      </c>
      <c r="C4257" s="39" t="n">
        <v>45866</v>
      </c>
      <c r="D4257" s="7" t="s">
        <v>399</v>
      </c>
      <c r="E4257" s="7" t="s">
        <v>154</v>
      </c>
      <c r="F4257" s="7" t="s">
        <v>232</v>
      </c>
      <c r="G4257" s="7" t="s">
        <v>505</v>
      </c>
      <c r="H4257" s="6" t="n">
        <v>3.1</v>
      </c>
      <c r="I4257" s="6" t="n">
        <v>0.093</v>
      </c>
      <c r="J4257" s="40" t="n">
        <f aca="false">H4257-I4257</f>
        <v>3.007</v>
      </c>
      <c r="K4257" s="41" t="n">
        <v>26.5</v>
      </c>
      <c r="L4257" s="42" t="n">
        <f aca="false">J4257*K4257</f>
        <v>79.6855</v>
      </c>
      <c r="M4257" s="43" t="n">
        <f aca="false">H4257*16.17*(1+'Chart of Accounts'!$E$67)</f>
        <v>57.395415</v>
      </c>
    </row>
    <row r="4258" customFormat="false" ht="15" hidden="false" customHeight="false" outlineLevel="0" collapsed="false">
      <c r="B4258" s="7" t="s">
        <v>4755</v>
      </c>
      <c r="C4258" s="39" t="n">
        <v>45866</v>
      </c>
      <c r="D4258" s="7" t="s">
        <v>401</v>
      </c>
      <c r="E4258" s="7" t="s">
        <v>156</v>
      </c>
      <c r="F4258" s="7" t="s">
        <v>254</v>
      </c>
      <c r="G4258" s="7" t="s">
        <v>505</v>
      </c>
      <c r="H4258" s="6" t="n">
        <v>4.21</v>
      </c>
      <c r="I4258" s="6" t="n">
        <v>0</v>
      </c>
      <c r="J4258" s="40" t="n">
        <f aca="false">H4258-I4258</f>
        <v>4.21</v>
      </c>
      <c r="K4258" s="41" t="n">
        <v>34</v>
      </c>
      <c r="L4258" s="42" t="n">
        <f aca="false">J4258*K4258</f>
        <v>143.14</v>
      </c>
      <c r="M4258" s="43" t="n">
        <f aca="false">H4258*17.1*(1+'Chart of Accounts'!$E$67)</f>
        <v>82.429695</v>
      </c>
    </row>
    <row r="4259" customFormat="false" ht="15" hidden="false" customHeight="false" outlineLevel="0" collapsed="false">
      <c r="B4259" s="7" t="s">
        <v>4756</v>
      </c>
      <c r="C4259" s="39" t="n">
        <v>45866</v>
      </c>
      <c r="D4259" s="7" t="s">
        <v>409</v>
      </c>
      <c r="E4259" s="7" t="s">
        <v>154</v>
      </c>
      <c r="F4259" s="7" t="s">
        <v>214</v>
      </c>
      <c r="G4259" s="7" t="s">
        <v>505</v>
      </c>
      <c r="H4259" s="6" t="n">
        <v>3.29</v>
      </c>
      <c r="I4259" s="6" t="n">
        <v>0</v>
      </c>
      <c r="J4259" s="40" t="n">
        <f aca="false">H4259-I4259</f>
        <v>3.29</v>
      </c>
      <c r="K4259" s="41" t="n">
        <v>26.5</v>
      </c>
      <c r="L4259" s="42" t="n">
        <f aca="false">J4259*K4259</f>
        <v>87.185</v>
      </c>
      <c r="M4259" s="43" t="n">
        <f aca="false">H4259*15.67*(1+'Chart of Accounts'!$E$67)</f>
        <v>59.0296735</v>
      </c>
    </row>
    <row r="4260" customFormat="false" ht="15" hidden="false" customHeight="false" outlineLevel="0" collapsed="false">
      <c r="B4260" s="7" t="s">
        <v>4757</v>
      </c>
      <c r="C4260" s="39" t="n">
        <v>45866</v>
      </c>
      <c r="D4260" s="7" t="s">
        <v>411</v>
      </c>
      <c r="E4260" s="7" t="s">
        <v>154</v>
      </c>
      <c r="F4260" s="7" t="s">
        <v>177</v>
      </c>
      <c r="G4260" s="7" t="s">
        <v>505</v>
      </c>
      <c r="H4260" s="6" t="n">
        <v>4.22</v>
      </c>
      <c r="I4260" s="6" t="n">
        <v>0</v>
      </c>
      <c r="J4260" s="40" t="n">
        <f aca="false">H4260-I4260</f>
        <v>4.22</v>
      </c>
      <c r="K4260" s="41" t="n">
        <v>26.5</v>
      </c>
      <c r="L4260" s="42" t="n">
        <f aca="false">J4260*K4260</f>
        <v>111.83</v>
      </c>
      <c r="M4260" s="43" t="n">
        <f aca="false">H4260*14.56*(1+'Chart of Accounts'!$E$67)</f>
        <v>70.352464</v>
      </c>
    </row>
    <row r="4261" customFormat="false" ht="15" hidden="false" customHeight="false" outlineLevel="0" collapsed="false">
      <c r="B4261" s="7" t="s">
        <v>4758</v>
      </c>
      <c r="C4261" s="39" t="n">
        <v>45867</v>
      </c>
      <c r="D4261" s="7" t="s">
        <v>288</v>
      </c>
      <c r="E4261" s="7" t="s">
        <v>156</v>
      </c>
      <c r="F4261" s="7" t="s">
        <v>201</v>
      </c>
      <c r="G4261" s="7" t="s">
        <v>505</v>
      </c>
      <c r="H4261" s="6" t="n">
        <v>3.95</v>
      </c>
      <c r="I4261" s="6" t="n">
        <v>0</v>
      </c>
      <c r="J4261" s="40" t="n">
        <f aca="false">H4261-I4261</f>
        <v>3.95</v>
      </c>
      <c r="K4261" s="41" t="n">
        <v>34</v>
      </c>
      <c r="L4261" s="42" t="n">
        <f aca="false">J4261*K4261</f>
        <v>134.3</v>
      </c>
      <c r="M4261" s="43" t="n">
        <f aca="false">H4261*15.19*(1+'Chart of Accounts'!$E$67)</f>
        <v>68.7005725</v>
      </c>
    </row>
    <row r="4262" customFormat="false" ht="15" hidden="false" customHeight="false" outlineLevel="0" collapsed="false">
      <c r="B4262" s="7" t="s">
        <v>4759</v>
      </c>
      <c r="C4262" s="39" t="n">
        <v>45867</v>
      </c>
      <c r="D4262" s="7" t="s">
        <v>301</v>
      </c>
      <c r="E4262" s="7" t="s">
        <v>157</v>
      </c>
      <c r="F4262" s="7" t="s">
        <v>209</v>
      </c>
      <c r="G4262" s="7" t="s">
        <v>502</v>
      </c>
      <c r="H4262" s="6" t="n">
        <v>1.02</v>
      </c>
      <c r="I4262" s="6" t="n">
        <v>0</v>
      </c>
      <c r="J4262" s="40" t="n">
        <f aca="false">H4262-I4262</f>
        <v>1.02</v>
      </c>
      <c r="K4262" s="41" t="n">
        <v>165</v>
      </c>
      <c r="L4262" s="42" t="n">
        <f aca="false">J4262*K4262</f>
        <v>168.3</v>
      </c>
      <c r="M4262" s="43" t="n">
        <f aca="false">H4262*73.58*(1+'Chart of Accounts'!$E$67)</f>
        <v>85.934082</v>
      </c>
    </row>
    <row r="4263" customFormat="false" ht="15" hidden="false" customHeight="false" outlineLevel="0" collapsed="false">
      <c r="B4263" s="7" t="s">
        <v>4760</v>
      </c>
      <c r="C4263" s="39" t="n">
        <v>45867</v>
      </c>
      <c r="D4263" s="7" t="s">
        <v>313</v>
      </c>
      <c r="E4263" s="7" t="s">
        <v>156</v>
      </c>
      <c r="F4263" s="7" t="s">
        <v>184</v>
      </c>
      <c r="G4263" s="7" t="s">
        <v>505</v>
      </c>
      <c r="H4263" s="6" t="n">
        <v>4.23</v>
      </c>
      <c r="I4263" s="6" t="n">
        <v>0</v>
      </c>
      <c r="J4263" s="40" t="n">
        <f aca="false">H4263-I4263</f>
        <v>4.23</v>
      </c>
      <c r="K4263" s="41" t="n">
        <v>34</v>
      </c>
      <c r="L4263" s="42" t="n">
        <f aca="false">J4263*K4263</f>
        <v>143.82</v>
      </c>
      <c r="M4263" s="43" t="n">
        <f aca="false">H4263*17.34*(1+'Chart of Accounts'!$E$67)</f>
        <v>83.983689</v>
      </c>
    </row>
    <row r="4264" customFormat="false" ht="15" hidden="false" customHeight="false" outlineLevel="0" collapsed="false">
      <c r="B4264" s="7" t="s">
        <v>4761</v>
      </c>
      <c r="C4264" s="39" t="n">
        <v>45867</v>
      </c>
      <c r="D4264" s="7" t="s">
        <v>319</v>
      </c>
      <c r="E4264" s="7" t="s">
        <v>157</v>
      </c>
      <c r="F4264" s="7" t="s">
        <v>234</v>
      </c>
      <c r="G4264" s="7" t="s">
        <v>502</v>
      </c>
      <c r="H4264" s="6" t="n">
        <v>0.98</v>
      </c>
      <c r="I4264" s="6" t="n">
        <v>0</v>
      </c>
      <c r="J4264" s="40" t="n">
        <f aca="false">H4264-I4264</f>
        <v>0.98</v>
      </c>
      <c r="K4264" s="41" t="n">
        <v>165</v>
      </c>
      <c r="L4264" s="42" t="n">
        <f aca="false">J4264*K4264</f>
        <v>161.7</v>
      </c>
      <c r="M4264" s="43" t="n">
        <f aca="false">H4264*89.53*(1+'Chart of Accounts'!$E$67)</f>
        <v>100.461613</v>
      </c>
    </row>
    <row r="4265" customFormat="false" ht="15" hidden="false" customHeight="false" outlineLevel="0" collapsed="false">
      <c r="B4265" s="7" t="s">
        <v>4762</v>
      </c>
      <c r="C4265" s="39" t="n">
        <v>45867</v>
      </c>
      <c r="D4265" s="7" t="s">
        <v>321</v>
      </c>
      <c r="E4265" s="7" t="s">
        <v>154</v>
      </c>
      <c r="F4265" s="7" t="s">
        <v>218</v>
      </c>
      <c r="G4265" s="7" t="s">
        <v>505</v>
      </c>
      <c r="H4265" s="6" t="n">
        <v>3.78</v>
      </c>
      <c r="I4265" s="6" t="n">
        <v>0</v>
      </c>
      <c r="J4265" s="40" t="n">
        <f aca="false">H4265-I4265</f>
        <v>3.78</v>
      </c>
      <c r="K4265" s="41" t="n">
        <v>26.5</v>
      </c>
      <c r="L4265" s="42" t="n">
        <f aca="false">J4265*K4265</f>
        <v>100.17</v>
      </c>
      <c r="M4265" s="43" t="n">
        <f aca="false">H4265*16.19*(1+'Chart of Accounts'!$E$67)</f>
        <v>70.071939</v>
      </c>
    </row>
    <row r="4266" customFormat="false" ht="15" hidden="false" customHeight="false" outlineLevel="0" collapsed="false">
      <c r="B4266" s="7" t="s">
        <v>4763</v>
      </c>
      <c r="C4266" s="39" t="n">
        <v>45867</v>
      </c>
      <c r="D4266" s="7" t="s">
        <v>323</v>
      </c>
      <c r="E4266" s="7" t="s">
        <v>159</v>
      </c>
      <c r="F4266" s="7" t="s">
        <v>266</v>
      </c>
      <c r="G4266" s="7" t="s">
        <v>502</v>
      </c>
      <c r="H4266" s="6" t="n">
        <v>0.9</v>
      </c>
      <c r="I4266" s="6" t="n">
        <v>0</v>
      </c>
      <c r="J4266" s="40" t="n">
        <f aca="false">H4266-I4266</f>
        <v>0.9</v>
      </c>
      <c r="K4266" s="41" t="n">
        <v>135</v>
      </c>
      <c r="L4266" s="42" t="n">
        <f aca="false">J4266*K4266</f>
        <v>121.5</v>
      </c>
      <c r="M4266" s="43" t="n">
        <f aca="false">H4266*75.18*(1+'Chart of Accounts'!$E$67)</f>
        <v>77.47299</v>
      </c>
    </row>
    <row r="4267" customFormat="false" ht="15" hidden="false" customHeight="false" outlineLevel="0" collapsed="false">
      <c r="B4267" s="7" t="s">
        <v>4764</v>
      </c>
      <c r="C4267" s="39" t="n">
        <v>45867</v>
      </c>
      <c r="D4267" s="7" t="s">
        <v>327</v>
      </c>
      <c r="E4267" s="7" t="s">
        <v>157</v>
      </c>
      <c r="F4267" s="7" t="s">
        <v>228</v>
      </c>
      <c r="G4267" s="7" t="s">
        <v>502</v>
      </c>
      <c r="H4267" s="6" t="n">
        <v>1.04</v>
      </c>
      <c r="I4267" s="6" t="n">
        <v>0</v>
      </c>
      <c r="J4267" s="40" t="n">
        <f aca="false">H4267-I4267</f>
        <v>1.04</v>
      </c>
      <c r="K4267" s="41" t="n">
        <v>165</v>
      </c>
      <c r="L4267" s="42" t="n">
        <f aca="false">J4267*K4267</f>
        <v>171.6</v>
      </c>
      <c r="M4267" s="43" t="n">
        <f aca="false">H4267*51.07*(1+'Chart of Accounts'!$E$67)</f>
        <v>60.814156</v>
      </c>
    </row>
    <row r="4268" customFormat="false" ht="15" hidden="false" customHeight="false" outlineLevel="0" collapsed="false">
      <c r="B4268" s="7" t="s">
        <v>4765</v>
      </c>
      <c r="C4268" s="39" t="n">
        <v>45867</v>
      </c>
      <c r="D4268" s="7" t="s">
        <v>329</v>
      </c>
      <c r="E4268" s="7" t="s">
        <v>156</v>
      </c>
      <c r="F4268" s="7" t="s">
        <v>220</v>
      </c>
      <c r="G4268" s="7" t="s">
        <v>505</v>
      </c>
      <c r="H4268" s="6" t="n">
        <v>3.91</v>
      </c>
      <c r="I4268" s="6" t="n">
        <v>0</v>
      </c>
      <c r="J4268" s="40" t="n">
        <f aca="false">H4268-I4268</f>
        <v>3.91</v>
      </c>
      <c r="K4268" s="41" t="n">
        <v>34</v>
      </c>
      <c r="L4268" s="42" t="n">
        <f aca="false">J4268*K4268</f>
        <v>132.94</v>
      </c>
      <c r="M4268" s="43" t="n">
        <f aca="false">H4268*16.43*(1+'Chart of Accounts'!$E$67)</f>
        <v>73.5562885</v>
      </c>
    </row>
    <row r="4269" customFormat="false" ht="15" hidden="false" customHeight="false" outlineLevel="0" collapsed="false">
      <c r="B4269" s="7" t="s">
        <v>4766</v>
      </c>
      <c r="C4269" s="39" t="n">
        <v>45867</v>
      </c>
      <c r="D4269" s="7" t="s">
        <v>359</v>
      </c>
      <c r="E4269" s="7" t="s">
        <v>156</v>
      </c>
      <c r="F4269" s="7" t="s">
        <v>238</v>
      </c>
      <c r="G4269" s="7" t="s">
        <v>505</v>
      </c>
      <c r="H4269" s="6" t="n">
        <v>3.99</v>
      </c>
      <c r="I4269" s="6" t="n">
        <v>0</v>
      </c>
      <c r="J4269" s="40" t="n">
        <f aca="false">H4269-I4269</f>
        <v>3.99</v>
      </c>
      <c r="K4269" s="41" t="n">
        <v>34</v>
      </c>
      <c r="L4269" s="42" t="n">
        <f aca="false">J4269*K4269</f>
        <v>135.66</v>
      </c>
      <c r="M4269" s="43" t="n">
        <f aca="false">H4269*15.85*(1+'Chart of Accounts'!$E$67)</f>
        <v>72.4115175</v>
      </c>
    </row>
    <row r="4270" customFormat="false" ht="15" hidden="false" customHeight="false" outlineLevel="0" collapsed="false">
      <c r="B4270" s="7" t="s">
        <v>4767</v>
      </c>
      <c r="C4270" s="39" t="n">
        <v>45867</v>
      </c>
      <c r="D4270" s="7" t="s">
        <v>361</v>
      </c>
      <c r="E4270" s="7" t="s">
        <v>157</v>
      </c>
      <c r="F4270" s="7" t="s">
        <v>209</v>
      </c>
      <c r="G4270" s="7" t="s">
        <v>502</v>
      </c>
      <c r="H4270" s="6" t="n">
        <v>0.95</v>
      </c>
      <c r="I4270" s="6" t="n">
        <v>0</v>
      </c>
      <c r="J4270" s="40" t="n">
        <f aca="false">H4270-I4270</f>
        <v>0.95</v>
      </c>
      <c r="K4270" s="41" t="n">
        <v>165</v>
      </c>
      <c r="L4270" s="42" t="n">
        <f aca="false">J4270*K4270</f>
        <v>156.75</v>
      </c>
      <c r="M4270" s="43" t="n">
        <f aca="false">H4270*73.58*(1+'Chart of Accounts'!$E$67)</f>
        <v>80.036645</v>
      </c>
    </row>
    <row r="4271" customFormat="false" ht="15" hidden="false" customHeight="false" outlineLevel="0" collapsed="false">
      <c r="B4271" s="7" t="s">
        <v>4768</v>
      </c>
      <c r="C4271" s="39" t="n">
        <v>45867</v>
      </c>
      <c r="D4271" s="7" t="s">
        <v>365</v>
      </c>
      <c r="E4271" s="7" t="s">
        <v>154</v>
      </c>
      <c r="F4271" s="7" t="s">
        <v>194</v>
      </c>
      <c r="G4271" s="7" t="s">
        <v>505</v>
      </c>
      <c r="H4271" s="6" t="n">
        <v>4.4</v>
      </c>
      <c r="I4271" s="6" t="n">
        <v>0</v>
      </c>
      <c r="J4271" s="40" t="n">
        <f aca="false">H4271-I4271</f>
        <v>4.4</v>
      </c>
      <c r="K4271" s="41" t="n">
        <v>26.5</v>
      </c>
      <c r="L4271" s="42" t="n">
        <f aca="false">J4271*K4271</f>
        <v>116.6</v>
      </c>
      <c r="M4271" s="43" t="n">
        <f aca="false">H4271*16*(1+'Chart of Accounts'!$E$67)</f>
        <v>80.608</v>
      </c>
    </row>
    <row r="4272" customFormat="false" ht="15" hidden="false" customHeight="false" outlineLevel="0" collapsed="false">
      <c r="B4272" s="7" t="s">
        <v>4769</v>
      </c>
      <c r="C4272" s="39" t="n">
        <v>45867</v>
      </c>
      <c r="D4272" s="7" t="s">
        <v>369</v>
      </c>
      <c r="E4272" s="7" t="s">
        <v>159</v>
      </c>
      <c r="F4272" s="7" t="s">
        <v>258</v>
      </c>
      <c r="G4272" s="7" t="s">
        <v>502</v>
      </c>
      <c r="H4272" s="6" t="n">
        <v>1.07</v>
      </c>
      <c r="I4272" s="6" t="n">
        <v>0</v>
      </c>
      <c r="J4272" s="40" t="n">
        <f aca="false">H4272-I4272</f>
        <v>1.07</v>
      </c>
      <c r="K4272" s="41" t="n">
        <v>135</v>
      </c>
      <c r="L4272" s="42" t="n">
        <f aca="false">J4272*K4272</f>
        <v>144.45</v>
      </c>
      <c r="M4272" s="43" t="n">
        <f aca="false">H4272*61.61*(1+'Chart of Accounts'!$E$67)</f>
        <v>75.4814915</v>
      </c>
    </row>
    <row r="4273" customFormat="false" ht="15" hidden="false" customHeight="false" outlineLevel="0" collapsed="false">
      <c r="B4273" s="7" t="s">
        <v>4770</v>
      </c>
      <c r="C4273" s="39" t="n">
        <v>45867</v>
      </c>
      <c r="D4273" s="7" t="s">
        <v>381</v>
      </c>
      <c r="E4273" s="7" t="s">
        <v>157</v>
      </c>
      <c r="F4273" s="7" t="s">
        <v>234</v>
      </c>
      <c r="G4273" s="7" t="s">
        <v>502</v>
      </c>
      <c r="H4273" s="6" t="n">
        <v>1.06</v>
      </c>
      <c r="I4273" s="6" t="n">
        <v>0</v>
      </c>
      <c r="J4273" s="40" t="n">
        <f aca="false">H4273-I4273</f>
        <v>1.06</v>
      </c>
      <c r="K4273" s="41" t="n">
        <v>165</v>
      </c>
      <c r="L4273" s="42" t="n">
        <f aca="false">J4273*K4273</f>
        <v>174.9</v>
      </c>
      <c r="M4273" s="43" t="n">
        <f aca="false">H4273*89.53*(1+'Chart of Accounts'!$E$67)</f>
        <v>108.662561</v>
      </c>
    </row>
    <row r="4274" customFormat="false" ht="15" hidden="false" customHeight="false" outlineLevel="0" collapsed="false">
      <c r="B4274" s="7" t="s">
        <v>4771</v>
      </c>
      <c r="C4274" s="39" t="n">
        <v>45867</v>
      </c>
      <c r="D4274" s="7" t="s">
        <v>383</v>
      </c>
      <c r="E4274" s="7" t="s">
        <v>157</v>
      </c>
      <c r="F4274" s="7" t="s">
        <v>230</v>
      </c>
      <c r="G4274" s="7" t="s">
        <v>502</v>
      </c>
      <c r="H4274" s="6" t="n">
        <v>0.97</v>
      </c>
      <c r="I4274" s="6" t="n">
        <v>0.049</v>
      </c>
      <c r="J4274" s="40" t="n">
        <f aca="false">H4274-I4274</f>
        <v>0.921</v>
      </c>
      <c r="K4274" s="41" t="n">
        <v>165</v>
      </c>
      <c r="L4274" s="42" t="n">
        <f aca="false">J4274*K4274</f>
        <v>151.965</v>
      </c>
      <c r="M4274" s="43" t="n">
        <f aca="false">H4274*48.78*(1+'Chart of Accounts'!$E$67)</f>
        <v>54.177507</v>
      </c>
    </row>
    <row r="4275" customFormat="false" ht="15" hidden="false" customHeight="false" outlineLevel="0" collapsed="false">
      <c r="B4275" s="7" t="s">
        <v>4772</v>
      </c>
      <c r="C4275" s="39" t="n">
        <v>45867</v>
      </c>
      <c r="D4275" s="7" t="s">
        <v>387</v>
      </c>
      <c r="E4275" s="7" t="s">
        <v>154</v>
      </c>
      <c r="F4275" s="7" t="s">
        <v>196</v>
      </c>
      <c r="G4275" s="7" t="s">
        <v>505</v>
      </c>
      <c r="H4275" s="6" t="n">
        <v>4.33</v>
      </c>
      <c r="I4275" s="6" t="n">
        <v>0</v>
      </c>
      <c r="J4275" s="40" t="n">
        <f aca="false">H4275-I4275</f>
        <v>4.33</v>
      </c>
      <c r="K4275" s="41" t="n">
        <v>26.5</v>
      </c>
      <c r="L4275" s="42" t="n">
        <f aca="false">J4275*K4275</f>
        <v>114.745</v>
      </c>
      <c r="M4275" s="43" t="n">
        <f aca="false">H4275*15.05*(1+'Chart of Accounts'!$E$67)</f>
        <v>74.6156425</v>
      </c>
    </row>
    <row r="4276" customFormat="false" ht="15" hidden="false" customHeight="false" outlineLevel="0" collapsed="false">
      <c r="B4276" s="7" t="s">
        <v>4773</v>
      </c>
      <c r="C4276" s="39" t="n">
        <v>45867</v>
      </c>
      <c r="D4276" s="7" t="s">
        <v>389</v>
      </c>
      <c r="E4276" s="7" t="s">
        <v>154</v>
      </c>
      <c r="F4276" s="7" t="s">
        <v>246</v>
      </c>
      <c r="G4276" s="7" t="s">
        <v>505</v>
      </c>
      <c r="H4276" s="6" t="n">
        <v>3.64</v>
      </c>
      <c r="I4276" s="6" t="n">
        <v>0</v>
      </c>
      <c r="J4276" s="40" t="n">
        <f aca="false">H4276-I4276</f>
        <v>3.64</v>
      </c>
      <c r="K4276" s="41" t="n">
        <v>26.5</v>
      </c>
      <c r="L4276" s="42" t="n">
        <f aca="false">J4276*K4276</f>
        <v>96.46</v>
      </c>
      <c r="M4276" s="43" t="n">
        <f aca="false">H4276*16.48*(1+'Chart of Accounts'!$E$67)</f>
        <v>68.685344</v>
      </c>
    </row>
    <row r="4277" customFormat="false" ht="15" hidden="false" customHeight="false" outlineLevel="0" collapsed="false">
      <c r="B4277" s="7" t="s">
        <v>4774</v>
      </c>
      <c r="C4277" s="39" t="n">
        <v>45867</v>
      </c>
      <c r="D4277" s="7" t="s">
        <v>391</v>
      </c>
      <c r="E4277" s="7" t="s">
        <v>156</v>
      </c>
      <c r="F4277" s="7" t="s">
        <v>222</v>
      </c>
      <c r="G4277" s="7" t="s">
        <v>505</v>
      </c>
      <c r="H4277" s="6" t="n">
        <v>3.96</v>
      </c>
      <c r="I4277" s="6" t="n">
        <v>0</v>
      </c>
      <c r="J4277" s="40" t="n">
        <f aca="false">H4277-I4277</f>
        <v>3.96</v>
      </c>
      <c r="K4277" s="41" t="n">
        <v>34</v>
      </c>
      <c r="L4277" s="42" t="n">
        <f aca="false">J4277*K4277</f>
        <v>134.64</v>
      </c>
      <c r="M4277" s="43" t="n">
        <f aca="false">H4277*17.84*(1+'Chart of Accounts'!$E$67)</f>
        <v>80.890128</v>
      </c>
    </row>
    <row r="4278" customFormat="false" ht="15" hidden="false" customHeight="false" outlineLevel="0" collapsed="false">
      <c r="B4278" s="7" t="s">
        <v>4775</v>
      </c>
      <c r="C4278" s="39" t="n">
        <v>45867</v>
      </c>
      <c r="D4278" s="7" t="s">
        <v>395</v>
      </c>
      <c r="E4278" s="7" t="s">
        <v>156</v>
      </c>
      <c r="F4278" s="7" t="s">
        <v>242</v>
      </c>
      <c r="G4278" s="7" t="s">
        <v>505</v>
      </c>
      <c r="H4278" s="6" t="n">
        <v>3.82</v>
      </c>
      <c r="I4278" s="6" t="n">
        <v>0</v>
      </c>
      <c r="J4278" s="40" t="n">
        <f aca="false">H4278-I4278</f>
        <v>3.82</v>
      </c>
      <c r="K4278" s="41" t="n">
        <v>34</v>
      </c>
      <c r="L4278" s="42" t="n">
        <f aca="false">J4278*K4278</f>
        <v>129.88</v>
      </c>
      <c r="M4278" s="43" t="n">
        <f aca="false">H4278*17.99*(1+'Chart of Accounts'!$E$67)</f>
        <v>78.686461</v>
      </c>
    </row>
    <row r="4279" customFormat="false" ht="15" hidden="false" customHeight="false" outlineLevel="0" collapsed="false">
      <c r="B4279" s="7" t="s">
        <v>4776</v>
      </c>
      <c r="C4279" s="39" t="n">
        <v>45867</v>
      </c>
      <c r="D4279" s="7" t="s">
        <v>397</v>
      </c>
      <c r="E4279" s="7" t="s">
        <v>159</v>
      </c>
      <c r="F4279" s="7" t="s">
        <v>203</v>
      </c>
      <c r="G4279" s="7" t="s">
        <v>502</v>
      </c>
      <c r="H4279" s="6" t="n">
        <v>0.96</v>
      </c>
      <c r="I4279" s="6" t="n">
        <v>0</v>
      </c>
      <c r="J4279" s="40" t="n">
        <f aca="false">H4279-I4279</f>
        <v>0.96</v>
      </c>
      <c r="K4279" s="41" t="n">
        <v>135</v>
      </c>
      <c r="L4279" s="42" t="n">
        <f aca="false">J4279*K4279</f>
        <v>129.6</v>
      </c>
      <c r="M4279" s="43" t="n">
        <f aca="false">H4279*49.43*(1+'Chart of Accounts'!$E$67)</f>
        <v>54.333456</v>
      </c>
    </row>
    <row r="4280" customFormat="false" ht="15" hidden="false" customHeight="false" outlineLevel="0" collapsed="false">
      <c r="B4280" s="7" t="s">
        <v>4777</v>
      </c>
      <c r="C4280" s="39" t="n">
        <v>45867</v>
      </c>
      <c r="D4280" s="7" t="s">
        <v>401</v>
      </c>
      <c r="E4280" s="7" t="s">
        <v>156</v>
      </c>
      <c r="F4280" s="7" t="s">
        <v>254</v>
      </c>
      <c r="G4280" s="7" t="s">
        <v>505</v>
      </c>
      <c r="H4280" s="6" t="n">
        <v>3.67</v>
      </c>
      <c r="I4280" s="6" t="n">
        <v>0</v>
      </c>
      <c r="J4280" s="40" t="n">
        <f aca="false">H4280-I4280</f>
        <v>3.67</v>
      </c>
      <c r="K4280" s="41" t="n">
        <v>34</v>
      </c>
      <c r="L4280" s="42" t="n">
        <f aca="false">J4280*K4280</f>
        <v>124.78</v>
      </c>
      <c r="M4280" s="43" t="n">
        <f aca="false">H4280*17.1*(1+'Chart of Accounts'!$E$67)</f>
        <v>71.856765</v>
      </c>
    </row>
    <row r="4281" customFormat="false" ht="15" hidden="false" customHeight="false" outlineLevel="0" collapsed="false">
      <c r="B4281" s="7" t="s">
        <v>4778</v>
      </c>
      <c r="C4281" s="39" t="n">
        <v>45867</v>
      </c>
      <c r="D4281" s="7" t="s">
        <v>407</v>
      </c>
      <c r="E4281" s="7" t="s">
        <v>159</v>
      </c>
      <c r="F4281" s="7" t="s">
        <v>260</v>
      </c>
      <c r="G4281" s="7" t="s">
        <v>502</v>
      </c>
      <c r="H4281" s="6" t="n">
        <v>1.06</v>
      </c>
      <c r="I4281" s="6" t="n">
        <v>0</v>
      </c>
      <c r="J4281" s="40" t="n">
        <f aca="false">H4281-I4281</f>
        <v>1.06</v>
      </c>
      <c r="K4281" s="41" t="n">
        <v>135</v>
      </c>
      <c r="L4281" s="42" t="n">
        <f aca="false">J4281*K4281</f>
        <v>143.1</v>
      </c>
      <c r="M4281" s="43" t="n">
        <f aca="false">H4281*79.8*(1+'Chart of Accounts'!$E$67)</f>
        <v>96.85326</v>
      </c>
    </row>
    <row r="4282" customFormat="false" ht="15" hidden="false" customHeight="false" outlineLevel="0" collapsed="false">
      <c r="B4282" s="7" t="s">
        <v>4779</v>
      </c>
      <c r="C4282" s="39" t="n">
        <v>45868</v>
      </c>
      <c r="D4282" s="7" t="s">
        <v>280</v>
      </c>
      <c r="E4282" s="7" t="s">
        <v>157</v>
      </c>
      <c r="F4282" s="7" t="s">
        <v>187</v>
      </c>
      <c r="G4282" s="7" t="s">
        <v>502</v>
      </c>
      <c r="H4282" s="6" t="n">
        <v>0.94</v>
      </c>
      <c r="I4282" s="6" t="n">
        <v>0</v>
      </c>
      <c r="J4282" s="40" t="n">
        <f aca="false">H4282-I4282</f>
        <v>0.94</v>
      </c>
      <c r="K4282" s="41" t="n">
        <v>165</v>
      </c>
      <c r="L4282" s="42" t="n">
        <f aca="false">J4282*K4282</f>
        <v>155.1</v>
      </c>
      <c r="M4282" s="43" t="n">
        <f aca="false">H4282*66.48*(1+'Chart of Accounts'!$E$67)</f>
        <v>71.552424</v>
      </c>
    </row>
    <row r="4283" customFormat="false" ht="15" hidden="false" customHeight="false" outlineLevel="0" collapsed="false">
      <c r="B4283" s="7" t="s">
        <v>4780</v>
      </c>
      <c r="C4283" s="39" t="n">
        <v>45868</v>
      </c>
      <c r="D4283" s="7" t="s">
        <v>288</v>
      </c>
      <c r="E4283" s="7" t="s">
        <v>156</v>
      </c>
      <c r="F4283" s="7" t="s">
        <v>207</v>
      </c>
      <c r="G4283" s="7" t="s">
        <v>505</v>
      </c>
      <c r="H4283" s="6" t="n">
        <v>4.32</v>
      </c>
      <c r="I4283" s="6" t="n">
        <v>0</v>
      </c>
      <c r="J4283" s="40" t="n">
        <f aca="false">H4283-I4283</f>
        <v>4.32</v>
      </c>
      <c r="K4283" s="41" t="n">
        <v>34</v>
      </c>
      <c r="L4283" s="42" t="n">
        <f aca="false">J4283*K4283</f>
        <v>146.88</v>
      </c>
      <c r="M4283" s="43" t="n">
        <f aca="false">H4283*16.65*(1+'Chart of Accounts'!$E$67)</f>
        <v>82.35756</v>
      </c>
    </row>
    <row r="4284" customFormat="false" ht="15" hidden="false" customHeight="false" outlineLevel="0" collapsed="false">
      <c r="B4284" s="7" t="s">
        <v>4781</v>
      </c>
      <c r="C4284" s="39" t="n">
        <v>45868</v>
      </c>
      <c r="D4284" s="7" t="s">
        <v>291</v>
      </c>
      <c r="E4284" s="7" t="s">
        <v>154</v>
      </c>
      <c r="F4284" s="7" t="s">
        <v>194</v>
      </c>
      <c r="G4284" s="7" t="s">
        <v>505</v>
      </c>
      <c r="H4284" s="6" t="n">
        <v>4.27</v>
      </c>
      <c r="I4284" s="6" t="n">
        <v>0</v>
      </c>
      <c r="J4284" s="40" t="n">
        <f aca="false">H4284-I4284</f>
        <v>4.27</v>
      </c>
      <c r="K4284" s="41" t="n">
        <v>26.5</v>
      </c>
      <c r="L4284" s="42" t="n">
        <f aca="false">J4284*K4284</f>
        <v>113.155</v>
      </c>
      <c r="M4284" s="43" t="n">
        <f aca="false">H4284*16*(1+'Chart of Accounts'!$E$67)</f>
        <v>78.2264</v>
      </c>
    </row>
    <row r="4285" customFormat="false" ht="15" hidden="false" customHeight="false" outlineLevel="0" collapsed="false">
      <c r="B4285" s="7" t="s">
        <v>4782</v>
      </c>
      <c r="C4285" s="39" t="n">
        <v>45868</v>
      </c>
      <c r="D4285" s="7" t="s">
        <v>305</v>
      </c>
      <c r="E4285" s="7" t="s">
        <v>154</v>
      </c>
      <c r="F4285" s="7" t="s">
        <v>205</v>
      </c>
      <c r="G4285" s="7" t="s">
        <v>505</v>
      </c>
      <c r="H4285" s="6" t="n">
        <v>4.23</v>
      </c>
      <c r="I4285" s="6" t="n">
        <v>0</v>
      </c>
      <c r="J4285" s="40" t="n">
        <f aca="false">H4285-I4285</f>
        <v>4.23</v>
      </c>
      <c r="K4285" s="41" t="n">
        <v>26.5</v>
      </c>
      <c r="L4285" s="42" t="n">
        <f aca="false">J4285*K4285</f>
        <v>112.095</v>
      </c>
      <c r="M4285" s="43" t="n">
        <f aca="false">H4285*16.36*(1+'Chart of Accounts'!$E$67)</f>
        <v>79.237206</v>
      </c>
    </row>
    <row r="4286" customFormat="false" ht="15" hidden="false" customHeight="false" outlineLevel="0" collapsed="false">
      <c r="B4286" s="7" t="s">
        <v>4783</v>
      </c>
      <c r="C4286" s="39" t="n">
        <v>45868</v>
      </c>
      <c r="D4286" s="7" t="s">
        <v>307</v>
      </c>
      <c r="E4286" s="7" t="s">
        <v>157</v>
      </c>
      <c r="F4286" s="7" t="s">
        <v>264</v>
      </c>
      <c r="G4286" s="7" t="s">
        <v>502</v>
      </c>
      <c r="H4286" s="6" t="n">
        <v>1.01</v>
      </c>
      <c r="I4286" s="6" t="n">
        <v>0</v>
      </c>
      <c r="J4286" s="40" t="n">
        <f aca="false">H4286-I4286</f>
        <v>1.01</v>
      </c>
      <c r="K4286" s="41" t="n">
        <v>165</v>
      </c>
      <c r="L4286" s="42" t="n">
        <f aca="false">J4286*K4286</f>
        <v>166.65</v>
      </c>
      <c r="M4286" s="43" t="n">
        <f aca="false">H4286*55.55*(1+'Chart of Accounts'!$E$67)</f>
        <v>64.2407975</v>
      </c>
    </row>
    <row r="4287" customFormat="false" ht="15" hidden="false" customHeight="false" outlineLevel="0" collapsed="false">
      <c r="B4287" s="7" t="s">
        <v>4784</v>
      </c>
      <c r="C4287" s="39" t="n">
        <v>45868</v>
      </c>
      <c r="D4287" s="7" t="s">
        <v>309</v>
      </c>
      <c r="E4287" s="7" t="s">
        <v>159</v>
      </c>
      <c r="F4287" s="7" t="s">
        <v>252</v>
      </c>
      <c r="G4287" s="7" t="s">
        <v>502</v>
      </c>
      <c r="H4287" s="6" t="n">
        <v>1.01</v>
      </c>
      <c r="I4287" s="6" t="n">
        <v>0</v>
      </c>
      <c r="J4287" s="40" t="n">
        <f aca="false">H4287-I4287</f>
        <v>1.01</v>
      </c>
      <c r="K4287" s="41" t="n">
        <v>135</v>
      </c>
      <c r="L4287" s="42" t="n">
        <f aca="false">J4287*K4287</f>
        <v>136.35</v>
      </c>
      <c r="M4287" s="43" t="n">
        <f aca="false">H4287*57.54*(1+'Chart of Accounts'!$E$67)</f>
        <v>66.542133</v>
      </c>
    </row>
    <row r="4288" customFormat="false" ht="15" hidden="false" customHeight="false" outlineLevel="0" collapsed="false">
      <c r="B4288" s="7" t="s">
        <v>4785</v>
      </c>
      <c r="C4288" s="39" t="n">
        <v>45868</v>
      </c>
      <c r="D4288" s="7" t="s">
        <v>313</v>
      </c>
      <c r="E4288" s="7" t="s">
        <v>156</v>
      </c>
      <c r="F4288" s="7" t="s">
        <v>184</v>
      </c>
      <c r="G4288" s="7" t="s">
        <v>505</v>
      </c>
      <c r="H4288" s="6" t="n">
        <v>3.86</v>
      </c>
      <c r="I4288" s="6" t="n">
        <v>0</v>
      </c>
      <c r="J4288" s="40" t="n">
        <f aca="false">H4288-I4288</f>
        <v>3.86</v>
      </c>
      <c r="K4288" s="41" t="n">
        <v>34</v>
      </c>
      <c r="L4288" s="42" t="n">
        <f aca="false">J4288*K4288</f>
        <v>131.24</v>
      </c>
      <c r="M4288" s="43" t="n">
        <f aca="false">H4288*17.34*(1+'Chart of Accounts'!$E$67)</f>
        <v>76.637598</v>
      </c>
    </row>
    <row r="4289" customFormat="false" ht="15" hidden="false" customHeight="false" outlineLevel="0" collapsed="false">
      <c r="B4289" s="7" t="s">
        <v>4786</v>
      </c>
      <c r="C4289" s="39" t="n">
        <v>45868</v>
      </c>
      <c r="D4289" s="7" t="s">
        <v>321</v>
      </c>
      <c r="E4289" s="7" t="s">
        <v>154</v>
      </c>
      <c r="F4289" s="7" t="s">
        <v>218</v>
      </c>
      <c r="G4289" s="7" t="s">
        <v>505</v>
      </c>
      <c r="H4289" s="6" t="n">
        <v>4.25</v>
      </c>
      <c r="I4289" s="6" t="n">
        <v>0</v>
      </c>
      <c r="J4289" s="40" t="n">
        <f aca="false">H4289-I4289</f>
        <v>4.25</v>
      </c>
      <c r="K4289" s="41" t="n">
        <v>26.5</v>
      </c>
      <c r="L4289" s="42" t="n">
        <f aca="false">J4289*K4289</f>
        <v>112.625</v>
      </c>
      <c r="M4289" s="43" t="n">
        <f aca="false">H4289*16.19*(1+'Chart of Accounts'!$E$67)</f>
        <v>78.7845875</v>
      </c>
    </row>
    <row r="4290" customFormat="false" ht="15" hidden="false" customHeight="false" outlineLevel="0" collapsed="false">
      <c r="B4290" s="7" t="s">
        <v>4787</v>
      </c>
      <c r="C4290" s="39" t="n">
        <v>45868</v>
      </c>
      <c r="D4290" s="7" t="s">
        <v>329</v>
      </c>
      <c r="E4290" s="7" t="s">
        <v>156</v>
      </c>
      <c r="F4290" s="7" t="s">
        <v>220</v>
      </c>
      <c r="G4290" s="7" t="s">
        <v>505</v>
      </c>
      <c r="H4290" s="6" t="n">
        <v>3.92</v>
      </c>
      <c r="I4290" s="6" t="n">
        <v>0</v>
      </c>
      <c r="J4290" s="40" t="n">
        <f aca="false">H4290-I4290</f>
        <v>3.92</v>
      </c>
      <c r="K4290" s="41" t="n">
        <v>34</v>
      </c>
      <c r="L4290" s="42" t="n">
        <f aca="false">J4290*K4290</f>
        <v>133.28</v>
      </c>
      <c r="M4290" s="43" t="n">
        <f aca="false">H4290*16.43*(1+'Chart of Accounts'!$E$67)</f>
        <v>73.744412</v>
      </c>
    </row>
    <row r="4291" customFormat="false" ht="15" hidden="false" customHeight="false" outlineLevel="0" collapsed="false">
      <c r="B4291" s="7" t="s">
        <v>4788</v>
      </c>
      <c r="C4291" s="39" t="n">
        <v>45868</v>
      </c>
      <c r="D4291" s="7" t="s">
        <v>335</v>
      </c>
      <c r="E4291" s="7" t="s">
        <v>154</v>
      </c>
      <c r="F4291" s="7" t="s">
        <v>177</v>
      </c>
      <c r="G4291" s="7" t="s">
        <v>505</v>
      </c>
      <c r="H4291" s="6" t="n">
        <v>4.28</v>
      </c>
      <c r="I4291" s="6" t="n">
        <v>0</v>
      </c>
      <c r="J4291" s="40" t="n">
        <f aca="false">H4291-I4291</f>
        <v>4.28</v>
      </c>
      <c r="K4291" s="41" t="n">
        <v>26.5</v>
      </c>
      <c r="L4291" s="42" t="n">
        <f aca="false">J4291*K4291</f>
        <v>113.42</v>
      </c>
      <c r="M4291" s="43" t="n">
        <f aca="false">H4291*14.56*(1+'Chart of Accounts'!$E$67)</f>
        <v>71.352736</v>
      </c>
    </row>
    <row r="4292" customFormat="false" ht="15" hidden="false" customHeight="false" outlineLevel="0" collapsed="false">
      <c r="B4292" s="7" t="s">
        <v>4789</v>
      </c>
      <c r="C4292" s="39" t="n">
        <v>45868</v>
      </c>
      <c r="D4292" s="7" t="s">
        <v>339</v>
      </c>
      <c r="E4292" s="7" t="s">
        <v>154</v>
      </c>
      <c r="F4292" s="7" t="s">
        <v>242</v>
      </c>
      <c r="G4292" s="7" t="s">
        <v>505</v>
      </c>
      <c r="H4292" s="6" t="n">
        <v>3.24</v>
      </c>
      <c r="I4292" s="6" t="n">
        <v>0</v>
      </c>
      <c r="J4292" s="40" t="n">
        <f aca="false">H4292-I4292</f>
        <v>3.24</v>
      </c>
      <c r="K4292" s="41" t="n">
        <v>26.5</v>
      </c>
      <c r="L4292" s="42" t="n">
        <f aca="false">J4292*K4292</f>
        <v>85.86</v>
      </c>
      <c r="M4292" s="43" t="n">
        <f aca="false">H4292*17.99*(1+'Chart of Accounts'!$E$67)</f>
        <v>66.739302</v>
      </c>
    </row>
    <row r="4293" customFormat="false" ht="15" hidden="false" customHeight="false" outlineLevel="0" collapsed="false">
      <c r="B4293" s="7" t="s">
        <v>4790</v>
      </c>
      <c r="C4293" s="39" t="n">
        <v>45868</v>
      </c>
      <c r="D4293" s="7" t="s">
        <v>347</v>
      </c>
      <c r="E4293" s="7" t="s">
        <v>154</v>
      </c>
      <c r="F4293" s="7" t="s">
        <v>238</v>
      </c>
      <c r="G4293" s="7" t="s">
        <v>505</v>
      </c>
      <c r="H4293" s="6" t="n">
        <v>4.62</v>
      </c>
      <c r="I4293" s="6" t="n">
        <v>0</v>
      </c>
      <c r="J4293" s="40" t="n">
        <f aca="false">H4293-I4293</f>
        <v>4.62</v>
      </c>
      <c r="K4293" s="41" t="n">
        <v>26.5</v>
      </c>
      <c r="L4293" s="42" t="n">
        <f aca="false">J4293*K4293</f>
        <v>122.43</v>
      </c>
      <c r="M4293" s="43" t="n">
        <f aca="false">H4293*15.85*(1+'Chart of Accounts'!$E$67)</f>
        <v>83.844915</v>
      </c>
    </row>
    <row r="4294" customFormat="false" ht="15" hidden="false" customHeight="false" outlineLevel="0" collapsed="false">
      <c r="B4294" s="7" t="s">
        <v>4791</v>
      </c>
      <c r="C4294" s="39" t="n">
        <v>45868</v>
      </c>
      <c r="D4294" s="7" t="s">
        <v>353</v>
      </c>
      <c r="E4294" s="7" t="s">
        <v>154</v>
      </c>
      <c r="F4294" s="7" t="s">
        <v>254</v>
      </c>
      <c r="G4294" s="7" t="s">
        <v>505</v>
      </c>
      <c r="H4294" s="6" t="n">
        <v>3.11</v>
      </c>
      <c r="I4294" s="6" t="n">
        <v>0.093</v>
      </c>
      <c r="J4294" s="40" t="n">
        <f aca="false">H4294-I4294</f>
        <v>3.017</v>
      </c>
      <c r="K4294" s="41" t="n">
        <v>26.5</v>
      </c>
      <c r="L4294" s="42" t="n">
        <f aca="false">J4294*K4294</f>
        <v>79.9505</v>
      </c>
      <c r="M4294" s="43" t="n">
        <f aca="false">H4294*17.1*(1+'Chart of Accounts'!$E$67)</f>
        <v>60.892245</v>
      </c>
    </row>
    <row r="4295" customFormat="false" ht="15" hidden="false" customHeight="false" outlineLevel="0" collapsed="false">
      <c r="B4295" s="7" t="s">
        <v>4792</v>
      </c>
      <c r="C4295" s="39" t="n">
        <v>45868</v>
      </c>
      <c r="D4295" s="7" t="s">
        <v>355</v>
      </c>
      <c r="E4295" s="7" t="s">
        <v>154</v>
      </c>
      <c r="F4295" s="7" t="s">
        <v>201</v>
      </c>
      <c r="G4295" s="7" t="s">
        <v>505</v>
      </c>
      <c r="H4295" s="6" t="n">
        <v>3.66</v>
      </c>
      <c r="I4295" s="6" t="n">
        <v>0</v>
      </c>
      <c r="J4295" s="40" t="n">
        <f aca="false">H4295-I4295</f>
        <v>3.66</v>
      </c>
      <c r="K4295" s="41" t="n">
        <v>26.5</v>
      </c>
      <c r="L4295" s="42" t="n">
        <f aca="false">J4295*K4295</f>
        <v>96.99</v>
      </c>
      <c r="M4295" s="43" t="n">
        <f aca="false">H4295*15.19*(1+'Chart of Accounts'!$E$67)</f>
        <v>63.656733</v>
      </c>
    </row>
    <row r="4296" customFormat="false" ht="15" hidden="false" customHeight="false" outlineLevel="0" collapsed="false">
      <c r="B4296" s="7" t="s">
        <v>4793</v>
      </c>
      <c r="C4296" s="39" t="n">
        <v>45868</v>
      </c>
      <c r="D4296" s="7" t="s">
        <v>357</v>
      </c>
      <c r="E4296" s="7" t="s">
        <v>154</v>
      </c>
      <c r="F4296" s="7" t="s">
        <v>207</v>
      </c>
      <c r="G4296" s="7" t="s">
        <v>505</v>
      </c>
      <c r="H4296" s="6" t="n">
        <v>3.35</v>
      </c>
      <c r="I4296" s="6" t="n">
        <v>0</v>
      </c>
      <c r="J4296" s="40" t="n">
        <f aca="false">H4296-I4296</f>
        <v>3.35</v>
      </c>
      <c r="K4296" s="41" t="n">
        <v>26.5</v>
      </c>
      <c r="L4296" s="42" t="n">
        <f aca="false">J4296*K4296</f>
        <v>88.775</v>
      </c>
      <c r="M4296" s="43" t="n">
        <f aca="false">H4296*16.65*(1+'Chart of Accounts'!$E$67)</f>
        <v>63.8652375</v>
      </c>
    </row>
    <row r="4297" customFormat="false" ht="15" hidden="false" customHeight="false" outlineLevel="0" collapsed="false">
      <c r="B4297" s="7" t="s">
        <v>4794</v>
      </c>
      <c r="C4297" s="39" t="n">
        <v>45868</v>
      </c>
      <c r="D4297" s="7" t="s">
        <v>359</v>
      </c>
      <c r="E4297" s="7" t="s">
        <v>156</v>
      </c>
      <c r="F4297" s="7" t="s">
        <v>246</v>
      </c>
      <c r="G4297" s="7" t="s">
        <v>505</v>
      </c>
      <c r="H4297" s="6" t="n">
        <v>4.04</v>
      </c>
      <c r="I4297" s="6" t="n">
        <v>0</v>
      </c>
      <c r="J4297" s="40" t="n">
        <f aca="false">H4297-I4297</f>
        <v>4.04</v>
      </c>
      <c r="K4297" s="41" t="n">
        <v>34</v>
      </c>
      <c r="L4297" s="42" t="n">
        <f aca="false">J4297*K4297</f>
        <v>137.36</v>
      </c>
      <c r="M4297" s="43" t="n">
        <f aca="false">H4297*16.48*(1+'Chart of Accounts'!$E$67)</f>
        <v>76.233184</v>
      </c>
    </row>
    <row r="4298" customFormat="false" ht="15" hidden="false" customHeight="false" outlineLevel="0" collapsed="false">
      <c r="B4298" s="7" t="s">
        <v>4795</v>
      </c>
      <c r="C4298" s="39" t="n">
        <v>45868</v>
      </c>
      <c r="D4298" s="7" t="s">
        <v>365</v>
      </c>
      <c r="E4298" s="7" t="s">
        <v>154</v>
      </c>
      <c r="F4298" s="7" t="s">
        <v>194</v>
      </c>
      <c r="G4298" s="7" t="s">
        <v>505</v>
      </c>
      <c r="H4298" s="6" t="n">
        <v>4.12</v>
      </c>
      <c r="I4298" s="6" t="n">
        <v>0</v>
      </c>
      <c r="J4298" s="40" t="n">
        <f aca="false">H4298-I4298</f>
        <v>4.12</v>
      </c>
      <c r="K4298" s="41" t="n">
        <v>26.5</v>
      </c>
      <c r="L4298" s="42" t="n">
        <f aca="false">J4298*K4298</f>
        <v>109.18</v>
      </c>
      <c r="M4298" s="43" t="n">
        <f aca="false">H4298*16*(1+'Chart of Accounts'!$E$67)</f>
        <v>75.4784</v>
      </c>
    </row>
    <row r="4299" customFormat="false" ht="15" hidden="false" customHeight="false" outlineLevel="0" collapsed="false">
      <c r="B4299" s="7" t="s">
        <v>4796</v>
      </c>
      <c r="C4299" s="39" t="n">
        <v>45868</v>
      </c>
      <c r="D4299" s="7" t="s">
        <v>371</v>
      </c>
      <c r="E4299" s="7" t="s">
        <v>154</v>
      </c>
      <c r="F4299" s="7" t="s">
        <v>232</v>
      </c>
      <c r="G4299" s="7" t="s">
        <v>505</v>
      </c>
      <c r="H4299" s="6" t="n">
        <v>4.74</v>
      </c>
      <c r="I4299" s="6" t="n">
        <v>0</v>
      </c>
      <c r="J4299" s="40" t="n">
        <f aca="false">H4299-I4299</f>
        <v>4.74</v>
      </c>
      <c r="K4299" s="41" t="n">
        <v>26.5</v>
      </c>
      <c r="L4299" s="42" t="n">
        <f aca="false">J4299*K4299</f>
        <v>125.61</v>
      </c>
      <c r="M4299" s="43" t="n">
        <f aca="false">H4299*16.17*(1+'Chart of Accounts'!$E$67)</f>
        <v>87.759441</v>
      </c>
    </row>
    <row r="4300" customFormat="false" ht="15" hidden="false" customHeight="false" outlineLevel="0" collapsed="false">
      <c r="B4300" s="7" t="s">
        <v>4797</v>
      </c>
      <c r="C4300" s="39" t="n">
        <v>45868</v>
      </c>
      <c r="D4300" s="7" t="s">
        <v>379</v>
      </c>
      <c r="E4300" s="7" t="s">
        <v>156</v>
      </c>
      <c r="F4300" s="7" t="s">
        <v>224</v>
      </c>
      <c r="G4300" s="7" t="s">
        <v>505</v>
      </c>
      <c r="H4300" s="6" t="n">
        <v>4.43</v>
      </c>
      <c r="I4300" s="6" t="n">
        <v>0</v>
      </c>
      <c r="J4300" s="40" t="n">
        <f aca="false">H4300-I4300</f>
        <v>4.43</v>
      </c>
      <c r="K4300" s="41" t="n">
        <v>34</v>
      </c>
      <c r="L4300" s="42" t="n">
        <f aca="false">J4300*K4300</f>
        <v>150.62</v>
      </c>
      <c r="M4300" s="43" t="n">
        <f aca="false">H4300*14.93*(1+'Chart of Accounts'!$E$67)</f>
        <v>75.7301855</v>
      </c>
    </row>
    <row r="4301" customFormat="false" ht="15" hidden="false" customHeight="false" outlineLevel="0" collapsed="false">
      <c r="B4301" s="7" t="s">
        <v>4798</v>
      </c>
      <c r="C4301" s="39" t="n">
        <v>45868</v>
      </c>
      <c r="D4301" s="7" t="s">
        <v>385</v>
      </c>
      <c r="E4301" s="7" t="s">
        <v>156</v>
      </c>
      <c r="F4301" s="7" t="s">
        <v>238</v>
      </c>
      <c r="G4301" s="7" t="s">
        <v>505</v>
      </c>
      <c r="H4301" s="6" t="n">
        <v>4.29</v>
      </c>
      <c r="I4301" s="6" t="n">
        <v>0</v>
      </c>
      <c r="J4301" s="40" t="n">
        <f aca="false">H4301-I4301</f>
        <v>4.29</v>
      </c>
      <c r="K4301" s="41" t="n">
        <v>34</v>
      </c>
      <c r="L4301" s="42" t="n">
        <f aca="false">J4301*K4301</f>
        <v>145.86</v>
      </c>
      <c r="M4301" s="43" t="n">
        <f aca="false">H4301*15.85*(1+'Chart of Accounts'!$E$67)</f>
        <v>77.8559925</v>
      </c>
    </row>
    <row r="4302" customFormat="false" ht="15" hidden="false" customHeight="false" outlineLevel="0" collapsed="false">
      <c r="B4302" s="7" t="s">
        <v>4799</v>
      </c>
      <c r="C4302" s="39" t="n">
        <v>45868</v>
      </c>
      <c r="D4302" s="7" t="s">
        <v>387</v>
      </c>
      <c r="E4302" s="7" t="s">
        <v>154</v>
      </c>
      <c r="F4302" s="7" t="s">
        <v>196</v>
      </c>
      <c r="G4302" s="7" t="s">
        <v>505</v>
      </c>
      <c r="H4302" s="6" t="n">
        <v>3.66</v>
      </c>
      <c r="I4302" s="6" t="n">
        <v>0</v>
      </c>
      <c r="J4302" s="40" t="n">
        <f aca="false">H4302-I4302</f>
        <v>3.66</v>
      </c>
      <c r="K4302" s="41" t="n">
        <v>26.5</v>
      </c>
      <c r="L4302" s="42" t="n">
        <f aca="false">J4302*K4302</f>
        <v>96.99</v>
      </c>
      <c r="M4302" s="43" t="n">
        <f aca="false">H4302*15.05*(1+'Chart of Accounts'!$E$67)</f>
        <v>63.070035</v>
      </c>
    </row>
    <row r="4303" customFormat="false" ht="15" hidden="false" customHeight="false" outlineLevel="0" collapsed="false">
      <c r="B4303" s="7" t="s">
        <v>4800</v>
      </c>
      <c r="C4303" s="39" t="n">
        <v>45868</v>
      </c>
      <c r="D4303" s="7" t="s">
        <v>389</v>
      </c>
      <c r="E4303" s="7" t="s">
        <v>154</v>
      </c>
      <c r="F4303" s="7" t="s">
        <v>246</v>
      </c>
      <c r="G4303" s="7" t="s">
        <v>505</v>
      </c>
      <c r="H4303" s="6" t="n">
        <v>3.69</v>
      </c>
      <c r="I4303" s="6" t="n">
        <v>0</v>
      </c>
      <c r="J4303" s="40" t="n">
        <f aca="false">H4303-I4303</f>
        <v>3.69</v>
      </c>
      <c r="K4303" s="41" t="n">
        <v>26.5</v>
      </c>
      <c r="L4303" s="42" t="n">
        <f aca="false">J4303*K4303</f>
        <v>97.785</v>
      </c>
      <c r="M4303" s="43" t="n">
        <f aca="false">H4303*16.48*(1+'Chart of Accounts'!$E$67)</f>
        <v>69.628824</v>
      </c>
    </row>
    <row r="4304" customFormat="false" ht="15" hidden="false" customHeight="false" outlineLevel="0" collapsed="false">
      <c r="B4304" s="7" t="s">
        <v>4801</v>
      </c>
      <c r="C4304" s="39" t="n">
        <v>45868</v>
      </c>
      <c r="D4304" s="7" t="s">
        <v>395</v>
      </c>
      <c r="E4304" s="7" t="s">
        <v>156</v>
      </c>
      <c r="F4304" s="7" t="s">
        <v>242</v>
      </c>
      <c r="G4304" s="7" t="s">
        <v>505</v>
      </c>
      <c r="H4304" s="6" t="n">
        <v>4.22</v>
      </c>
      <c r="I4304" s="6" t="n">
        <v>0</v>
      </c>
      <c r="J4304" s="40" t="n">
        <f aca="false">H4304-I4304</f>
        <v>4.22</v>
      </c>
      <c r="K4304" s="41" t="n">
        <v>34</v>
      </c>
      <c r="L4304" s="42" t="n">
        <f aca="false">J4304*K4304</f>
        <v>143.48</v>
      </c>
      <c r="M4304" s="43" t="n">
        <f aca="false">H4304*17.99*(1+'Chart of Accounts'!$E$67)</f>
        <v>86.925881</v>
      </c>
    </row>
    <row r="4305" customFormat="false" ht="15" hidden="false" customHeight="false" outlineLevel="0" collapsed="false">
      <c r="B4305" s="7" t="s">
        <v>4802</v>
      </c>
      <c r="C4305" s="39" t="n">
        <v>45868</v>
      </c>
      <c r="D4305" s="7" t="s">
        <v>399</v>
      </c>
      <c r="E4305" s="7" t="s">
        <v>154</v>
      </c>
      <c r="F4305" s="7" t="s">
        <v>201</v>
      </c>
      <c r="G4305" s="7" t="s">
        <v>505</v>
      </c>
      <c r="H4305" s="6" t="n">
        <v>3.39</v>
      </c>
      <c r="I4305" s="6" t="n">
        <v>0</v>
      </c>
      <c r="J4305" s="40" t="n">
        <f aca="false">H4305-I4305</f>
        <v>3.39</v>
      </c>
      <c r="K4305" s="41" t="n">
        <v>26.5</v>
      </c>
      <c r="L4305" s="42" t="n">
        <f aca="false">J4305*K4305</f>
        <v>89.835</v>
      </c>
      <c r="M4305" s="43" t="n">
        <f aca="false">H4305*15.19*(1+'Chart of Accounts'!$E$67)</f>
        <v>58.9607445</v>
      </c>
    </row>
    <row r="4306" customFormat="false" ht="15" hidden="false" customHeight="false" outlineLevel="0" collapsed="false">
      <c r="B4306" s="7" t="s">
        <v>4803</v>
      </c>
      <c r="C4306" s="39" t="n">
        <v>45868</v>
      </c>
      <c r="D4306" s="7" t="s">
        <v>401</v>
      </c>
      <c r="E4306" s="7" t="s">
        <v>156</v>
      </c>
      <c r="F4306" s="7" t="s">
        <v>254</v>
      </c>
      <c r="G4306" s="7" t="s">
        <v>505</v>
      </c>
      <c r="H4306" s="6" t="n">
        <v>3.84</v>
      </c>
      <c r="I4306" s="6" t="n">
        <v>0</v>
      </c>
      <c r="J4306" s="40" t="n">
        <f aca="false">H4306-I4306</f>
        <v>3.84</v>
      </c>
      <c r="K4306" s="41" t="n">
        <v>34</v>
      </c>
      <c r="L4306" s="42" t="n">
        <f aca="false">J4306*K4306</f>
        <v>130.56</v>
      </c>
      <c r="M4306" s="43" t="n">
        <f aca="false">H4306*17.1*(1+'Chart of Accounts'!$E$67)</f>
        <v>75.18528</v>
      </c>
    </row>
    <row r="4307" customFormat="false" ht="15" hidden="false" customHeight="false" outlineLevel="0" collapsed="false">
      <c r="B4307" s="7" t="s">
        <v>4804</v>
      </c>
      <c r="C4307" s="39" t="n">
        <v>45868</v>
      </c>
      <c r="D4307" s="7" t="s">
        <v>409</v>
      </c>
      <c r="E4307" s="7" t="s">
        <v>154</v>
      </c>
      <c r="F4307" s="7" t="s">
        <v>214</v>
      </c>
      <c r="G4307" s="7" t="s">
        <v>505</v>
      </c>
      <c r="H4307" s="6" t="n">
        <v>3.15</v>
      </c>
      <c r="I4307" s="6" t="n">
        <v>0</v>
      </c>
      <c r="J4307" s="40" t="n">
        <f aca="false">H4307-I4307</f>
        <v>3.15</v>
      </c>
      <c r="K4307" s="41" t="n">
        <v>26.5</v>
      </c>
      <c r="L4307" s="42" t="n">
        <f aca="false">J4307*K4307</f>
        <v>83.475</v>
      </c>
      <c r="M4307" s="43" t="n">
        <f aca="false">H4307*15.67*(1+'Chart of Accounts'!$E$67)</f>
        <v>56.5177725</v>
      </c>
    </row>
    <row r="4308" customFormat="false" ht="15" hidden="false" customHeight="false" outlineLevel="0" collapsed="false">
      <c r="B4308" s="7" t="s">
        <v>4805</v>
      </c>
      <c r="C4308" s="39" t="n">
        <v>45868</v>
      </c>
      <c r="D4308" s="7" t="s">
        <v>411</v>
      </c>
      <c r="E4308" s="7" t="s">
        <v>154</v>
      </c>
      <c r="F4308" s="7" t="s">
        <v>177</v>
      </c>
      <c r="G4308" s="7" t="s">
        <v>505</v>
      </c>
      <c r="H4308" s="6" t="n">
        <v>4.64</v>
      </c>
      <c r="I4308" s="6" t="n">
        <v>0</v>
      </c>
      <c r="J4308" s="40" t="n">
        <f aca="false">H4308-I4308</f>
        <v>4.64</v>
      </c>
      <c r="K4308" s="41" t="n">
        <v>26.5</v>
      </c>
      <c r="L4308" s="42" t="n">
        <f aca="false">J4308*K4308</f>
        <v>122.96</v>
      </c>
      <c r="M4308" s="43" t="n">
        <f aca="false">H4308*14.56*(1+'Chart of Accounts'!$E$67)</f>
        <v>77.354368</v>
      </c>
    </row>
    <row r="4309" customFormat="false" ht="15" hidden="false" customHeight="false" outlineLevel="0" collapsed="false">
      <c r="B4309" s="7" t="s">
        <v>4806</v>
      </c>
      <c r="C4309" s="39" t="n">
        <v>45869</v>
      </c>
      <c r="D4309" s="7" t="s">
        <v>288</v>
      </c>
      <c r="E4309" s="7" t="s">
        <v>156</v>
      </c>
      <c r="F4309" s="7" t="s">
        <v>184</v>
      </c>
      <c r="G4309" s="7" t="s">
        <v>505</v>
      </c>
      <c r="H4309" s="6" t="n">
        <v>3.97</v>
      </c>
      <c r="I4309" s="6" t="n">
        <v>0</v>
      </c>
      <c r="J4309" s="40" t="n">
        <f aca="false">H4309-I4309</f>
        <v>3.97</v>
      </c>
      <c r="K4309" s="41" t="n">
        <v>34</v>
      </c>
      <c r="L4309" s="42" t="n">
        <f aca="false">J4309*K4309</f>
        <v>134.98</v>
      </c>
      <c r="M4309" s="43" t="n">
        <f aca="false">H4309*17.34*(1+'Chart of Accounts'!$E$67)</f>
        <v>78.821571</v>
      </c>
    </row>
    <row r="4310" customFormat="false" ht="15" hidden="false" customHeight="false" outlineLevel="0" collapsed="false">
      <c r="B4310" s="7" t="s">
        <v>4807</v>
      </c>
      <c r="C4310" s="39" t="n">
        <v>45869</v>
      </c>
      <c r="D4310" s="7" t="s">
        <v>297</v>
      </c>
      <c r="E4310" s="7" t="s">
        <v>156</v>
      </c>
      <c r="F4310" s="7" t="s">
        <v>201</v>
      </c>
      <c r="G4310" s="7" t="s">
        <v>505</v>
      </c>
      <c r="H4310" s="6" t="n">
        <v>2.79</v>
      </c>
      <c r="I4310" s="6" t="n">
        <v>0</v>
      </c>
      <c r="J4310" s="40" t="n">
        <f aca="false">H4310-I4310</f>
        <v>2.79</v>
      </c>
      <c r="K4310" s="41" t="n">
        <v>34</v>
      </c>
      <c r="L4310" s="42" t="n">
        <f aca="false">J4310*K4310</f>
        <v>94.86</v>
      </c>
      <c r="M4310" s="43" t="n">
        <f aca="false">H4310*15.19*(1+'Chart of Accounts'!$E$67)</f>
        <v>48.5252145</v>
      </c>
    </row>
    <row r="4311" customFormat="false" ht="15" hidden="false" customHeight="false" outlineLevel="0" collapsed="false">
      <c r="B4311" s="7" t="s">
        <v>4808</v>
      </c>
      <c r="C4311" s="39" t="n">
        <v>45869</v>
      </c>
      <c r="D4311" s="7" t="s">
        <v>311</v>
      </c>
      <c r="E4311" s="7" t="s">
        <v>154</v>
      </c>
      <c r="F4311" s="7" t="s">
        <v>196</v>
      </c>
      <c r="G4311" s="7" t="s">
        <v>505</v>
      </c>
      <c r="H4311" s="6" t="n">
        <v>2.92</v>
      </c>
      <c r="I4311" s="6" t="n">
        <v>0</v>
      </c>
      <c r="J4311" s="40" t="n">
        <f aca="false">H4311-I4311</f>
        <v>2.92</v>
      </c>
      <c r="K4311" s="41" t="n">
        <v>26.5</v>
      </c>
      <c r="L4311" s="42" t="n">
        <f aca="false">J4311*K4311</f>
        <v>77.38</v>
      </c>
      <c r="M4311" s="43" t="n">
        <f aca="false">H4311*15.05*(1+'Chart of Accounts'!$E$67)</f>
        <v>50.31817</v>
      </c>
    </row>
    <row r="4312" customFormat="false" ht="15" hidden="false" customHeight="false" outlineLevel="0" collapsed="false">
      <c r="B4312" s="7" t="s">
        <v>4809</v>
      </c>
      <c r="C4312" s="39" t="n">
        <v>45869</v>
      </c>
      <c r="D4312" s="7" t="s">
        <v>313</v>
      </c>
      <c r="E4312" s="7" t="s">
        <v>156</v>
      </c>
      <c r="F4312" s="7" t="s">
        <v>184</v>
      </c>
      <c r="G4312" s="7" t="s">
        <v>505</v>
      </c>
      <c r="H4312" s="6" t="n">
        <v>4.31</v>
      </c>
      <c r="I4312" s="6" t="n">
        <v>0</v>
      </c>
      <c r="J4312" s="40" t="n">
        <f aca="false">H4312-I4312</f>
        <v>4.31</v>
      </c>
      <c r="K4312" s="41" t="n">
        <v>34</v>
      </c>
      <c r="L4312" s="42" t="n">
        <f aca="false">J4312*K4312</f>
        <v>146.54</v>
      </c>
      <c r="M4312" s="43" t="n">
        <f aca="false">H4312*17.34*(1+'Chart of Accounts'!$E$67)</f>
        <v>85.572033</v>
      </c>
    </row>
    <row r="4313" customFormat="false" ht="15" hidden="false" customHeight="false" outlineLevel="0" collapsed="false">
      <c r="B4313" s="7" t="s">
        <v>4810</v>
      </c>
      <c r="C4313" s="39" t="n">
        <v>45869</v>
      </c>
      <c r="D4313" s="7" t="s">
        <v>317</v>
      </c>
      <c r="E4313" s="7" t="s">
        <v>156</v>
      </c>
      <c r="F4313" s="7" t="s">
        <v>207</v>
      </c>
      <c r="G4313" s="7" t="s">
        <v>505</v>
      </c>
      <c r="H4313" s="6" t="n">
        <v>2.88</v>
      </c>
      <c r="I4313" s="6" t="n">
        <v>0</v>
      </c>
      <c r="J4313" s="40" t="n">
        <f aca="false">H4313-I4313</f>
        <v>2.88</v>
      </c>
      <c r="K4313" s="41" t="n">
        <v>34</v>
      </c>
      <c r="L4313" s="42" t="n">
        <f aca="false">J4313*K4313</f>
        <v>97.92</v>
      </c>
      <c r="M4313" s="43" t="n">
        <f aca="false">H4313*16.65*(1+'Chart of Accounts'!$E$67)</f>
        <v>54.90504</v>
      </c>
    </row>
    <row r="4314" customFormat="false" ht="15" hidden="false" customHeight="false" outlineLevel="0" collapsed="false">
      <c r="B4314" s="7" t="s">
        <v>4811</v>
      </c>
      <c r="C4314" s="39" t="n">
        <v>45869</v>
      </c>
      <c r="D4314" s="7" t="s">
        <v>321</v>
      </c>
      <c r="E4314" s="7" t="s">
        <v>154</v>
      </c>
      <c r="F4314" s="7" t="s">
        <v>218</v>
      </c>
      <c r="G4314" s="7" t="s">
        <v>505</v>
      </c>
      <c r="H4314" s="6" t="n">
        <v>3.63</v>
      </c>
      <c r="I4314" s="6" t="n">
        <v>0</v>
      </c>
      <c r="J4314" s="40" t="n">
        <f aca="false">H4314-I4314</f>
        <v>3.63</v>
      </c>
      <c r="K4314" s="41" t="n">
        <v>26.5</v>
      </c>
      <c r="L4314" s="42" t="n">
        <f aca="false">J4314*K4314</f>
        <v>96.195</v>
      </c>
      <c r="M4314" s="43" t="n">
        <f aca="false">H4314*16.19*(1+'Chart of Accounts'!$E$67)</f>
        <v>67.2913065</v>
      </c>
    </row>
    <row r="4315" customFormat="false" ht="15" hidden="false" customHeight="false" outlineLevel="0" collapsed="false">
      <c r="B4315" s="7" t="s">
        <v>4812</v>
      </c>
      <c r="C4315" s="39" t="n">
        <v>45869</v>
      </c>
      <c r="D4315" s="7" t="s">
        <v>325</v>
      </c>
      <c r="E4315" s="7" t="s">
        <v>154</v>
      </c>
      <c r="F4315" s="7" t="s">
        <v>220</v>
      </c>
      <c r="G4315" s="7" t="s">
        <v>505</v>
      </c>
      <c r="H4315" s="6" t="n">
        <v>2.74</v>
      </c>
      <c r="I4315" s="6" t="n">
        <v>0</v>
      </c>
      <c r="J4315" s="40" t="n">
        <f aca="false">H4315-I4315</f>
        <v>2.74</v>
      </c>
      <c r="K4315" s="41" t="n">
        <v>26.5</v>
      </c>
      <c r="L4315" s="42" t="n">
        <f aca="false">J4315*K4315</f>
        <v>72.61</v>
      </c>
      <c r="M4315" s="43" t="n">
        <f aca="false">H4315*16.43*(1+'Chart of Accounts'!$E$67)</f>
        <v>51.545839</v>
      </c>
    </row>
    <row r="4316" customFormat="false" ht="15" hidden="false" customHeight="false" outlineLevel="0" collapsed="false">
      <c r="B4316" s="7" t="s">
        <v>4813</v>
      </c>
      <c r="C4316" s="39" t="n">
        <v>45869</v>
      </c>
      <c r="D4316" s="7" t="s">
        <v>329</v>
      </c>
      <c r="E4316" s="7" t="s">
        <v>156</v>
      </c>
      <c r="F4316" s="7" t="s">
        <v>220</v>
      </c>
      <c r="G4316" s="7" t="s">
        <v>505</v>
      </c>
      <c r="H4316" s="6" t="n">
        <v>3.73</v>
      </c>
      <c r="I4316" s="6" t="n">
        <v>0</v>
      </c>
      <c r="J4316" s="40" t="n">
        <f aca="false">H4316-I4316</f>
        <v>3.73</v>
      </c>
      <c r="K4316" s="41" t="n">
        <v>34</v>
      </c>
      <c r="L4316" s="42" t="n">
        <f aca="false">J4316*K4316</f>
        <v>126.82</v>
      </c>
      <c r="M4316" s="43" t="n">
        <f aca="false">H4316*16.43*(1+'Chart of Accounts'!$E$67)</f>
        <v>70.1700655</v>
      </c>
    </row>
    <row r="4317" customFormat="false" ht="15" hidden="false" customHeight="false" outlineLevel="0" collapsed="false">
      <c r="B4317" s="7" t="s">
        <v>4814</v>
      </c>
      <c r="C4317" s="39" t="n">
        <v>45869</v>
      </c>
      <c r="D4317" s="7" t="s">
        <v>331</v>
      </c>
      <c r="E4317" s="7" t="s">
        <v>156</v>
      </c>
      <c r="F4317" s="7" t="s">
        <v>224</v>
      </c>
      <c r="G4317" s="7" t="s">
        <v>505</v>
      </c>
      <c r="H4317" s="6" t="n">
        <v>4.17</v>
      </c>
      <c r="I4317" s="6" t="n">
        <v>0</v>
      </c>
      <c r="J4317" s="40" t="n">
        <f aca="false">H4317-I4317</f>
        <v>4.17</v>
      </c>
      <c r="K4317" s="41" t="n">
        <v>34</v>
      </c>
      <c r="L4317" s="42" t="n">
        <f aca="false">J4317*K4317</f>
        <v>141.78</v>
      </c>
      <c r="M4317" s="43" t="n">
        <f aca="false">H4317*14.93*(1+'Chart of Accounts'!$E$67)</f>
        <v>71.2855245</v>
      </c>
    </row>
    <row r="4318" customFormat="false" ht="15" hidden="false" customHeight="false" outlineLevel="0" collapsed="false">
      <c r="B4318" s="7" t="s">
        <v>4815</v>
      </c>
      <c r="C4318" s="39" t="n">
        <v>45869</v>
      </c>
      <c r="D4318" s="7" t="s">
        <v>337</v>
      </c>
      <c r="E4318" s="7" t="s">
        <v>154</v>
      </c>
      <c r="F4318" s="7" t="s">
        <v>232</v>
      </c>
      <c r="G4318" s="7" t="s">
        <v>505</v>
      </c>
      <c r="H4318" s="6" t="n">
        <v>2.83</v>
      </c>
      <c r="I4318" s="6" t="n">
        <v>0.085</v>
      </c>
      <c r="J4318" s="40" t="n">
        <f aca="false">H4318-I4318</f>
        <v>2.745</v>
      </c>
      <c r="K4318" s="41" t="n">
        <v>26.5</v>
      </c>
      <c r="L4318" s="42" t="n">
        <f aca="false">J4318*K4318</f>
        <v>72.7425</v>
      </c>
      <c r="M4318" s="43" t="n">
        <f aca="false">H4318*16.17*(1+'Chart of Accounts'!$E$67)</f>
        <v>52.3964595</v>
      </c>
    </row>
    <row r="4319" customFormat="false" ht="15" hidden="false" customHeight="false" outlineLevel="0" collapsed="false">
      <c r="B4319" s="7" t="s">
        <v>4816</v>
      </c>
      <c r="C4319" s="39" t="n">
        <v>45869</v>
      </c>
      <c r="D4319" s="7" t="s">
        <v>341</v>
      </c>
      <c r="E4319" s="7" t="s">
        <v>156</v>
      </c>
      <c r="F4319" s="7" t="s">
        <v>222</v>
      </c>
      <c r="G4319" s="7" t="s">
        <v>505</v>
      </c>
      <c r="H4319" s="6" t="n">
        <v>2.94</v>
      </c>
      <c r="I4319" s="6" t="n">
        <v>0</v>
      </c>
      <c r="J4319" s="40" t="n">
        <f aca="false">H4319-I4319</f>
        <v>2.94</v>
      </c>
      <c r="K4319" s="41" t="n">
        <v>34</v>
      </c>
      <c r="L4319" s="42" t="n">
        <f aca="false">J4319*K4319</f>
        <v>99.96</v>
      </c>
      <c r="M4319" s="43" t="n">
        <f aca="false">H4319*17.84*(1+'Chart of Accounts'!$E$67)</f>
        <v>60.054792</v>
      </c>
    </row>
    <row r="4320" customFormat="false" ht="15" hidden="false" customHeight="false" outlineLevel="0" collapsed="false">
      <c r="B4320" s="7" t="s">
        <v>4817</v>
      </c>
      <c r="C4320" s="39" t="n">
        <v>45869</v>
      </c>
      <c r="D4320" s="7" t="s">
        <v>343</v>
      </c>
      <c r="E4320" s="7" t="s">
        <v>154</v>
      </c>
      <c r="F4320" s="7" t="s">
        <v>184</v>
      </c>
      <c r="G4320" s="7" t="s">
        <v>505</v>
      </c>
      <c r="H4320" s="6" t="n">
        <v>4.1</v>
      </c>
      <c r="I4320" s="6" t="n">
        <v>0</v>
      </c>
      <c r="J4320" s="40" t="n">
        <f aca="false">H4320-I4320</f>
        <v>4.1</v>
      </c>
      <c r="K4320" s="41" t="n">
        <v>26.5</v>
      </c>
      <c r="L4320" s="42" t="n">
        <f aca="false">J4320*K4320</f>
        <v>108.65</v>
      </c>
      <c r="M4320" s="43" t="n">
        <f aca="false">H4320*17.34*(1+'Chart of Accounts'!$E$67)</f>
        <v>81.40263</v>
      </c>
    </row>
    <row r="4321" customFormat="false" ht="15" hidden="false" customHeight="false" outlineLevel="0" collapsed="false">
      <c r="B4321" s="7" t="s">
        <v>4818</v>
      </c>
      <c r="C4321" s="39" t="n">
        <v>45869</v>
      </c>
      <c r="D4321" s="7" t="s">
        <v>351</v>
      </c>
      <c r="E4321" s="7" t="s">
        <v>154</v>
      </c>
      <c r="F4321" s="7" t="s">
        <v>201</v>
      </c>
      <c r="G4321" s="7" t="s">
        <v>505</v>
      </c>
      <c r="H4321" s="6" t="n">
        <v>3.05</v>
      </c>
      <c r="I4321" s="6" t="n">
        <v>0</v>
      </c>
      <c r="J4321" s="40" t="n">
        <f aca="false">H4321-I4321</f>
        <v>3.05</v>
      </c>
      <c r="K4321" s="41" t="n">
        <v>26.5</v>
      </c>
      <c r="L4321" s="42" t="n">
        <f aca="false">J4321*K4321</f>
        <v>80.825</v>
      </c>
      <c r="M4321" s="43" t="n">
        <f aca="false">H4321*15.19*(1+'Chart of Accounts'!$E$67)</f>
        <v>53.0472775</v>
      </c>
    </row>
    <row r="4322" customFormat="false" ht="15" hidden="false" customHeight="false" outlineLevel="0" collapsed="false">
      <c r="B4322" s="7" t="s">
        <v>4819</v>
      </c>
      <c r="C4322" s="39" t="n">
        <v>45869</v>
      </c>
      <c r="D4322" s="7" t="s">
        <v>359</v>
      </c>
      <c r="E4322" s="7" t="s">
        <v>156</v>
      </c>
      <c r="F4322" s="7" t="s">
        <v>254</v>
      </c>
      <c r="G4322" s="7" t="s">
        <v>505</v>
      </c>
      <c r="H4322" s="6" t="n">
        <v>3.95</v>
      </c>
      <c r="I4322" s="6" t="n">
        <v>0</v>
      </c>
      <c r="J4322" s="40" t="n">
        <f aca="false">H4322-I4322</f>
        <v>3.95</v>
      </c>
      <c r="K4322" s="41" t="n">
        <v>34</v>
      </c>
      <c r="L4322" s="42" t="n">
        <f aca="false">J4322*K4322</f>
        <v>134.3</v>
      </c>
      <c r="M4322" s="43" t="n">
        <f aca="false">H4322*17.1*(1+'Chart of Accounts'!$E$67)</f>
        <v>77.339025</v>
      </c>
    </row>
    <row r="4323" customFormat="false" ht="15" hidden="false" customHeight="false" outlineLevel="0" collapsed="false">
      <c r="B4323" s="7" t="s">
        <v>4820</v>
      </c>
      <c r="C4323" s="39" t="n">
        <v>45869</v>
      </c>
      <c r="D4323" s="7" t="s">
        <v>363</v>
      </c>
      <c r="E4323" s="7" t="s">
        <v>156</v>
      </c>
      <c r="F4323" s="7" t="s">
        <v>246</v>
      </c>
      <c r="G4323" s="7" t="s">
        <v>505</v>
      </c>
      <c r="H4323" s="6" t="n">
        <v>4.05</v>
      </c>
      <c r="I4323" s="6" t="n">
        <v>0</v>
      </c>
      <c r="J4323" s="40" t="n">
        <f aca="false">H4323-I4323</f>
        <v>4.05</v>
      </c>
      <c r="K4323" s="41" t="n">
        <v>34</v>
      </c>
      <c r="L4323" s="42" t="n">
        <f aca="false">J4323*K4323</f>
        <v>137.7</v>
      </c>
      <c r="M4323" s="43" t="n">
        <f aca="false">H4323*16.48*(1+'Chart of Accounts'!$E$67)</f>
        <v>76.42188</v>
      </c>
    </row>
    <row r="4324" customFormat="false" ht="15" hidden="false" customHeight="false" outlineLevel="0" collapsed="false">
      <c r="B4324" s="7" t="s">
        <v>4821</v>
      </c>
      <c r="C4324" s="39" t="n">
        <v>45869</v>
      </c>
      <c r="D4324" s="7" t="s">
        <v>365</v>
      </c>
      <c r="E4324" s="7" t="s">
        <v>154</v>
      </c>
      <c r="F4324" s="7" t="s">
        <v>194</v>
      </c>
      <c r="G4324" s="7" t="s">
        <v>505</v>
      </c>
      <c r="H4324" s="6" t="n">
        <v>4.35</v>
      </c>
      <c r="I4324" s="6" t="n">
        <v>0</v>
      </c>
      <c r="J4324" s="40" t="n">
        <f aca="false">H4324-I4324</f>
        <v>4.35</v>
      </c>
      <c r="K4324" s="41" t="n">
        <v>26.5</v>
      </c>
      <c r="L4324" s="42" t="n">
        <f aca="false">J4324*K4324</f>
        <v>115.275</v>
      </c>
      <c r="M4324" s="43" t="n">
        <f aca="false">H4324*16*(1+'Chart of Accounts'!$E$67)</f>
        <v>79.692</v>
      </c>
    </row>
    <row r="4325" customFormat="false" ht="15" hidden="false" customHeight="false" outlineLevel="0" collapsed="false">
      <c r="B4325" s="7" t="s">
        <v>4822</v>
      </c>
      <c r="C4325" s="39" t="n">
        <v>45869</v>
      </c>
      <c r="D4325" s="7" t="s">
        <v>375</v>
      </c>
      <c r="E4325" s="7" t="s">
        <v>156</v>
      </c>
      <c r="F4325" s="7" t="s">
        <v>196</v>
      </c>
      <c r="G4325" s="7" t="s">
        <v>505</v>
      </c>
      <c r="H4325" s="6" t="n">
        <v>2.96</v>
      </c>
      <c r="I4325" s="6" t="n">
        <v>0</v>
      </c>
      <c r="J4325" s="40" t="n">
        <f aca="false">H4325-I4325</f>
        <v>2.96</v>
      </c>
      <c r="K4325" s="41" t="n">
        <v>34</v>
      </c>
      <c r="L4325" s="42" t="n">
        <f aca="false">J4325*K4325</f>
        <v>100.64</v>
      </c>
      <c r="M4325" s="43" t="n">
        <f aca="false">H4325*15.05*(1+'Chart of Accounts'!$E$67)</f>
        <v>51.00746</v>
      </c>
    </row>
    <row r="4326" customFormat="false" ht="15" hidden="false" customHeight="false" outlineLevel="0" collapsed="false">
      <c r="B4326" s="7" t="s">
        <v>4823</v>
      </c>
      <c r="C4326" s="39" t="n">
        <v>45869</v>
      </c>
      <c r="D4326" s="7" t="s">
        <v>377</v>
      </c>
      <c r="E4326" s="7" t="s">
        <v>154</v>
      </c>
      <c r="F4326" s="7" t="s">
        <v>214</v>
      </c>
      <c r="G4326" s="7" t="s">
        <v>505</v>
      </c>
      <c r="H4326" s="6" t="n">
        <v>3.71</v>
      </c>
      <c r="I4326" s="6" t="n">
        <v>0.111</v>
      </c>
      <c r="J4326" s="40" t="n">
        <f aca="false">H4326-I4326</f>
        <v>3.599</v>
      </c>
      <c r="K4326" s="41" t="n">
        <v>26.5</v>
      </c>
      <c r="L4326" s="42" t="n">
        <f aca="false">J4326*K4326</f>
        <v>95.3735</v>
      </c>
      <c r="M4326" s="43" t="n">
        <f aca="false">H4326*15.67*(1+'Chart of Accounts'!$E$67)</f>
        <v>66.5653765</v>
      </c>
    </row>
    <row r="4327" customFormat="false" ht="15" hidden="false" customHeight="false" outlineLevel="0" collapsed="false">
      <c r="B4327" s="7" t="s">
        <v>4824</v>
      </c>
      <c r="C4327" s="39" t="n">
        <v>45869</v>
      </c>
      <c r="D4327" s="7" t="s">
        <v>387</v>
      </c>
      <c r="E4327" s="7" t="s">
        <v>154</v>
      </c>
      <c r="F4327" s="7" t="s">
        <v>196</v>
      </c>
      <c r="G4327" s="7" t="s">
        <v>505</v>
      </c>
      <c r="H4327" s="6" t="n">
        <v>3.91</v>
      </c>
      <c r="I4327" s="6" t="n">
        <v>0.117</v>
      </c>
      <c r="J4327" s="40" t="n">
        <f aca="false">H4327-I4327</f>
        <v>3.793</v>
      </c>
      <c r="K4327" s="41" t="n">
        <v>26.5</v>
      </c>
      <c r="L4327" s="42" t="n">
        <f aca="false">J4327*K4327</f>
        <v>100.5145</v>
      </c>
      <c r="M4327" s="43" t="n">
        <f aca="false">H4327*15.05*(1+'Chart of Accounts'!$E$67)</f>
        <v>67.3780975</v>
      </c>
    </row>
    <row r="4328" customFormat="false" ht="15" hidden="false" customHeight="false" outlineLevel="0" collapsed="false">
      <c r="B4328" s="7" t="s">
        <v>4825</v>
      </c>
      <c r="C4328" s="39" t="n">
        <v>45869</v>
      </c>
      <c r="D4328" s="7" t="s">
        <v>389</v>
      </c>
      <c r="E4328" s="7" t="s">
        <v>154</v>
      </c>
      <c r="F4328" s="7" t="s">
        <v>246</v>
      </c>
      <c r="G4328" s="7" t="s">
        <v>505</v>
      </c>
      <c r="H4328" s="6" t="n">
        <v>3.84</v>
      </c>
      <c r="I4328" s="6" t="n">
        <v>0</v>
      </c>
      <c r="J4328" s="40" t="n">
        <f aca="false">H4328-I4328</f>
        <v>3.84</v>
      </c>
      <c r="K4328" s="41" t="n">
        <v>26.5</v>
      </c>
      <c r="L4328" s="42" t="n">
        <f aca="false">J4328*K4328</f>
        <v>101.76</v>
      </c>
      <c r="M4328" s="43" t="n">
        <f aca="false">H4328*16.48*(1+'Chart of Accounts'!$E$67)</f>
        <v>72.459264</v>
      </c>
    </row>
    <row r="4329" customFormat="false" ht="15" hidden="false" customHeight="false" outlineLevel="0" collapsed="false">
      <c r="B4329" s="7" t="s">
        <v>4826</v>
      </c>
      <c r="C4329" s="39" t="n">
        <v>45869</v>
      </c>
      <c r="D4329" s="7" t="s">
        <v>391</v>
      </c>
      <c r="E4329" s="7" t="s">
        <v>156</v>
      </c>
      <c r="F4329" s="7" t="s">
        <v>222</v>
      </c>
      <c r="G4329" s="7" t="s">
        <v>505</v>
      </c>
      <c r="H4329" s="6" t="n">
        <v>4.06</v>
      </c>
      <c r="I4329" s="6" t="n">
        <v>0</v>
      </c>
      <c r="J4329" s="40" t="n">
        <f aca="false">H4329-I4329</f>
        <v>4.06</v>
      </c>
      <c r="K4329" s="41" t="n">
        <v>34</v>
      </c>
      <c r="L4329" s="42" t="n">
        <f aca="false">J4329*K4329</f>
        <v>138.04</v>
      </c>
      <c r="M4329" s="43" t="n">
        <f aca="false">H4329*17.84*(1+'Chart of Accounts'!$E$67)</f>
        <v>82.932808</v>
      </c>
    </row>
    <row r="4330" customFormat="false" ht="15" hidden="false" customHeight="false" outlineLevel="0" collapsed="false">
      <c r="B4330" s="7" t="s">
        <v>4827</v>
      </c>
      <c r="C4330" s="39" t="n">
        <v>45869</v>
      </c>
      <c r="D4330" s="7" t="s">
        <v>395</v>
      </c>
      <c r="E4330" s="7" t="s">
        <v>156</v>
      </c>
      <c r="F4330" s="7" t="s">
        <v>242</v>
      </c>
      <c r="G4330" s="7" t="s">
        <v>505</v>
      </c>
      <c r="H4330" s="6" t="n">
        <v>3.72</v>
      </c>
      <c r="I4330" s="6" t="n">
        <v>0</v>
      </c>
      <c r="J4330" s="40" t="n">
        <f aca="false">H4330-I4330</f>
        <v>3.72</v>
      </c>
      <c r="K4330" s="41" t="n">
        <v>34</v>
      </c>
      <c r="L4330" s="42" t="n">
        <f aca="false">J4330*K4330</f>
        <v>126.48</v>
      </c>
      <c r="M4330" s="43" t="n">
        <f aca="false">H4330*17.99*(1+'Chart of Accounts'!$E$67)</f>
        <v>76.626606</v>
      </c>
    </row>
    <row r="4331" customFormat="false" ht="15" hidden="false" customHeight="false" outlineLevel="0" collapsed="false">
      <c r="B4331" s="7" t="s">
        <v>4828</v>
      </c>
      <c r="C4331" s="39" t="n">
        <v>45870</v>
      </c>
      <c r="D4331" s="7" t="s">
        <v>280</v>
      </c>
      <c r="E4331" s="7" t="s">
        <v>157</v>
      </c>
      <c r="F4331" s="7" t="s">
        <v>187</v>
      </c>
      <c r="G4331" s="7" t="s">
        <v>502</v>
      </c>
      <c r="H4331" s="6" t="n">
        <v>0.93</v>
      </c>
      <c r="I4331" s="6" t="n">
        <v>0</v>
      </c>
      <c r="J4331" s="40" t="n">
        <f aca="false">H4331-I4331</f>
        <v>0.93</v>
      </c>
      <c r="K4331" s="41" t="n">
        <v>165</v>
      </c>
      <c r="L4331" s="42" t="n">
        <f aca="false">J4331*K4331</f>
        <v>153.45</v>
      </c>
      <c r="M4331" s="43" t="n">
        <f aca="false">H4331*66.48*(1+'Chart of Accounts'!$E$67)</f>
        <v>70.791228</v>
      </c>
    </row>
    <row r="4332" customFormat="false" ht="15" hidden="false" customHeight="false" outlineLevel="0" collapsed="false">
      <c r="B4332" s="7" t="s">
        <v>4829</v>
      </c>
      <c r="C4332" s="39" t="n">
        <v>45870</v>
      </c>
      <c r="D4332" s="7" t="s">
        <v>288</v>
      </c>
      <c r="E4332" s="7" t="s">
        <v>156</v>
      </c>
      <c r="F4332" s="7" t="s">
        <v>205</v>
      </c>
      <c r="G4332" s="7" t="s">
        <v>505</v>
      </c>
      <c r="H4332" s="6" t="n">
        <v>4.23</v>
      </c>
      <c r="I4332" s="6" t="n">
        <v>0</v>
      </c>
      <c r="J4332" s="40" t="n">
        <f aca="false">H4332-I4332</f>
        <v>4.23</v>
      </c>
      <c r="K4332" s="41" t="n">
        <v>34</v>
      </c>
      <c r="L4332" s="42" t="n">
        <f aca="false">J4332*K4332</f>
        <v>143.82</v>
      </c>
      <c r="M4332" s="43" t="n">
        <f aca="false">H4332*16.36*(1+'Chart of Accounts'!$E$67)</f>
        <v>79.237206</v>
      </c>
    </row>
    <row r="4333" customFormat="false" ht="15" hidden="false" customHeight="false" outlineLevel="0" collapsed="false">
      <c r="B4333" s="7" t="s">
        <v>4830</v>
      </c>
      <c r="C4333" s="39" t="n">
        <v>45870</v>
      </c>
      <c r="D4333" s="7" t="s">
        <v>291</v>
      </c>
      <c r="E4333" s="7" t="s">
        <v>154</v>
      </c>
      <c r="F4333" s="7" t="s">
        <v>194</v>
      </c>
      <c r="G4333" s="7" t="s">
        <v>505</v>
      </c>
      <c r="H4333" s="6" t="n">
        <v>4.66</v>
      </c>
      <c r="I4333" s="6" t="n">
        <v>0</v>
      </c>
      <c r="J4333" s="40" t="n">
        <f aca="false">H4333-I4333</f>
        <v>4.66</v>
      </c>
      <c r="K4333" s="41" t="n">
        <v>26.5</v>
      </c>
      <c r="L4333" s="42" t="n">
        <f aca="false">J4333*K4333</f>
        <v>123.49</v>
      </c>
      <c r="M4333" s="43" t="n">
        <f aca="false">H4333*16*(1+'Chart of Accounts'!$E$67)</f>
        <v>85.3712</v>
      </c>
    </row>
    <row r="4334" customFormat="false" ht="15" hidden="false" customHeight="false" outlineLevel="0" collapsed="false">
      <c r="B4334" s="7" t="s">
        <v>4831</v>
      </c>
      <c r="C4334" s="39" t="n">
        <v>45870</v>
      </c>
      <c r="D4334" s="7" t="s">
        <v>301</v>
      </c>
      <c r="E4334" s="7" t="s">
        <v>157</v>
      </c>
      <c r="F4334" s="7" t="s">
        <v>209</v>
      </c>
      <c r="G4334" s="7" t="s">
        <v>502</v>
      </c>
      <c r="H4334" s="6" t="n">
        <v>1.08</v>
      </c>
      <c r="I4334" s="6" t="n">
        <v>0</v>
      </c>
      <c r="J4334" s="40" t="n">
        <f aca="false">H4334-I4334</f>
        <v>1.08</v>
      </c>
      <c r="K4334" s="41" t="n">
        <v>165</v>
      </c>
      <c r="L4334" s="42" t="n">
        <f aca="false">J4334*K4334</f>
        <v>178.2</v>
      </c>
      <c r="M4334" s="43" t="n">
        <f aca="false">H4334*73.58*(1+'Chart of Accounts'!$E$67)</f>
        <v>90.989028</v>
      </c>
    </row>
    <row r="4335" customFormat="false" ht="15" hidden="false" customHeight="false" outlineLevel="0" collapsed="false">
      <c r="B4335" s="7" t="s">
        <v>4832</v>
      </c>
      <c r="C4335" s="39" t="n">
        <v>45870</v>
      </c>
      <c r="D4335" s="7" t="s">
        <v>305</v>
      </c>
      <c r="E4335" s="7" t="s">
        <v>154</v>
      </c>
      <c r="F4335" s="7" t="s">
        <v>205</v>
      </c>
      <c r="G4335" s="7" t="s">
        <v>505</v>
      </c>
      <c r="H4335" s="6" t="n">
        <v>4.28</v>
      </c>
      <c r="I4335" s="6" t="n">
        <v>0</v>
      </c>
      <c r="J4335" s="40" t="n">
        <f aca="false">H4335-I4335</f>
        <v>4.28</v>
      </c>
      <c r="K4335" s="41" t="n">
        <v>26.5</v>
      </c>
      <c r="L4335" s="42" t="n">
        <f aca="false">J4335*K4335</f>
        <v>113.42</v>
      </c>
      <c r="M4335" s="43" t="n">
        <f aca="false">H4335*16.36*(1+'Chart of Accounts'!$E$67)</f>
        <v>80.173816</v>
      </c>
    </row>
    <row r="4336" customFormat="false" ht="15" hidden="false" customHeight="false" outlineLevel="0" collapsed="false">
      <c r="B4336" s="7" t="s">
        <v>4833</v>
      </c>
      <c r="C4336" s="39" t="n">
        <v>45870</v>
      </c>
      <c r="D4336" s="7" t="s">
        <v>307</v>
      </c>
      <c r="E4336" s="7" t="s">
        <v>157</v>
      </c>
      <c r="F4336" s="7" t="s">
        <v>264</v>
      </c>
      <c r="G4336" s="7" t="s">
        <v>502</v>
      </c>
      <c r="H4336" s="6" t="n">
        <v>1.01</v>
      </c>
      <c r="I4336" s="6" t="n">
        <v>0</v>
      </c>
      <c r="J4336" s="40" t="n">
        <f aca="false">H4336-I4336</f>
        <v>1.01</v>
      </c>
      <c r="K4336" s="41" t="n">
        <v>165</v>
      </c>
      <c r="L4336" s="42" t="n">
        <f aca="false">J4336*K4336</f>
        <v>166.65</v>
      </c>
      <c r="M4336" s="43" t="n">
        <f aca="false">H4336*55.55*(1+'Chart of Accounts'!$E$67)</f>
        <v>64.2407975</v>
      </c>
    </row>
    <row r="4337" customFormat="false" ht="15" hidden="false" customHeight="false" outlineLevel="0" collapsed="false">
      <c r="B4337" s="7" t="s">
        <v>4834</v>
      </c>
      <c r="C4337" s="39" t="n">
        <v>45870</v>
      </c>
      <c r="D4337" s="7" t="s">
        <v>309</v>
      </c>
      <c r="E4337" s="7" t="s">
        <v>159</v>
      </c>
      <c r="F4337" s="7" t="s">
        <v>252</v>
      </c>
      <c r="G4337" s="7" t="s">
        <v>502</v>
      </c>
      <c r="H4337" s="6" t="n">
        <v>0.97</v>
      </c>
      <c r="I4337" s="6" t="n">
        <v>0</v>
      </c>
      <c r="J4337" s="40" t="n">
        <f aca="false">H4337-I4337</f>
        <v>0.97</v>
      </c>
      <c r="K4337" s="41" t="n">
        <v>135</v>
      </c>
      <c r="L4337" s="42" t="n">
        <f aca="false">J4337*K4337</f>
        <v>130.95</v>
      </c>
      <c r="M4337" s="43" t="n">
        <f aca="false">H4337*57.54*(1+'Chart of Accounts'!$E$67)</f>
        <v>63.906801</v>
      </c>
    </row>
    <row r="4338" customFormat="false" ht="15" hidden="false" customHeight="false" outlineLevel="0" collapsed="false">
      <c r="B4338" s="7" t="s">
        <v>4835</v>
      </c>
      <c r="C4338" s="39" t="n">
        <v>45870</v>
      </c>
      <c r="D4338" s="7" t="s">
        <v>313</v>
      </c>
      <c r="E4338" s="7" t="s">
        <v>156</v>
      </c>
      <c r="F4338" s="7" t="s">
        <v>184</v>
      </c>
      <c r="G4338" s="7" t="s">
        <v>505</v>
      </c>
      <c r="H4338" s="6" t="n">
        <v>4.13</v>
      </c>
      <c r="I4338" s="6" t="n">
        <v>0</v>
      </c>
      <c r="J4338" s="40" t="n">
        <f aca="false">H4338-I4338</f>
        <v>4.13</v>
      </c>
      <c r="K4338" s="41" t="n">
        <v>34</v>
      </c>
      <c r="L4338" s="42" t="n">
        <f aca="false">J4338*K4338</f>
        <v>140.42</v>
      </c>
      <c r="M4338" s="43" t="n">
        <f aca="false">H4338*17.34*(1+'Chart of Accounts'!$E$67)</f>
        <v>81.998259</v>
      </c>
    </row>
    <row r="4339" customFormat="false" ht="15" hidden="false" customHeight="false" outlineLevel="0" collapsed="false">
      <c r="B4339" s="7" t="s">
        <v>4836</v>
      </c>
      <c r="C4339" s="39" t="n">
        <v>45870</v>
      </c>
      <c r="D4339" s="7" t="s">
        <v>319</v>
      </c>
      <c r="E4339" s="7" t="s">
        <v>157</v>
      </c>
      <c r="F4339" s="7" t="s">
        <v>234</v>
      </c>
      <c r="G4339" s="7" t="s">
        <v>502</v>
      </c>
      <c r="H4339" s="6" t="n">
        <v>1.04</v>
      </c>
      <c r="I4339" s="6" t="n">
        <v>0</v>
      </c>
      <c r="J4339" s="40" t="n">
        <f aca="false">H4339-I4339</f>
        <v>1.04</v>
      </c>
      <c r="K4339" s="41" t="n">
        <v>165</v>
      </c>
      <c r="L4339" s="42" t="n">
        <f aca="false">J4339*K4339</f>
        <v>171.6</v>
      </c>
      <c r="M4339" s="43" t="n">
        <f aca="false">H4339*89.53*(1+'Chart of Accounts'!$E$67)</f>
        <v>106.612324</v>
      </c>
    </row>
    <row r="4340" customFormat="false" ht="15" hidden="false" customHeight="false" outlineLevel="0" collapsed="false">
      <c r="B4340" s="7" t="s">
        <v>4837</v>
      </c>
      <c r="C4340" s="39" t="n">
        <v>45870</v>
      </c>
      <c r="D4340" s="7" t="s">
        <v>321</v>
      </c>
      <c r="E4340" s="7" t="s">
        <v>154</v>
      </c>
      <c r="F4340" s="7" t="s">
        <v>218</v>
      </c>
      <c r="G4340" s="7" t="s">
        <v>505</v>
      </c>
      <c r="H4340" s="6" t="n">
        <v>3.8</v>
      </c>
      <c r="I4340" s="6" t="n">
        <v>0</v>
      </c>
      <c r="J4340" s="40" t="n">
        <f aca="false">H4340-I4340</f>
        <v>3.8</v>
      </c>
      <c r="K4340" s="41" t="n">
        <v>26.5</v>
      </c>
      <c r="L4340" s="42" t="n">
        <f aca="false">J4340*K4340</f>
        <v>100.7</v>
      </c>
      <c r="M4340" s="43" t="n">
        <f aca="false">H4340*16.19*(1+'Chart of Accounts'!$E$67)</f>
        <v>70.44269</v>
      </c>
    </row>
    <row r="4341" customFormat="false" ht="15" hidden="false" customHeight="false" outlineLevel="0" collapsed="false">
      <c r="B4341" s="7" t="s">
        <v>4838</v>
      </c>
      <c r="C4341" s="39" t="n">
        <v>45870</v>
      </c>
      <c r="D4341" s="7" t="s">
        <v>323</v>
      </c>
      <c r="E4341" s="7" t="s">
        <v>159</v>
      </c>
      <c r="F4341" s="7" t="s">
        <v>266</v>
      </c>
      <c r="G4341" s="7" t="s">
        <v>502</v>
      </c>
      <c r="H4341" s="6" t="n">
        <v>0.95</v>
      </c>
      <c r="I4341" s="6" t="n">
        <v>0</v>
      </c>
      <c r="J4341" s="40" t="n">
        <f aca="false">H4341-I4341</f>
        <v>0.95</v>
      </c>
      <c r="K4341" s="41" t="n">
        <v>135</v>
      </c>
      <c r="L4341" s="42" t="n">
        <f aca="false">J4341*K4341</f>
        <v>128.25</v>
      </c>
      <c r="M4341" s="43" t="n">
        <f aca="false">H4341*75.18*(1+'Chart of Accounts'!$E$67)</f>
        <v>81.777045</v>
      </c>
    </row>
    <row r="4342" customFormat="false" ht="15" hidden="false" customHeight="false" outlineLevel="0" collapsed="false">
      <c r="B4342" s="7" t="s">
        <v>4839</v>
      </c>
      <c r="C4342" s="39" t="n">
        <v>45870</v>
      </c>
      <c r="D4342" s="7" t="s">
        <v>327</v>
      </c>
      <c r="E4342" s="7" t="s">
        <v>157</v>
      </c>
      <c r="F4342" s="7" t="s">
        <v>228</v>
      </c>
      <c r="G4342" s="7" t="s">
        <v>502</v>
      </c>
      <c r="H4342" s="6" t="n">
        <v>1.09</v>
      </c>
      <c r="I4342" s="6" t="n">
        <v>0.055</v>
      </c>
      <c r="J4342" s="40" t="n">
        <f aca="false">H4342-I4342</f>
        <v>1.035</v>
      </c>
      <c r="K4342" s="41" t="n">
        <v>165</v>
      </c>
      <c r="L4342" s="42" t="n">
        <f aca="false">J4342*K4342</f>
        <v>170.775</v>
      </c>
      <c r="M4342" s="43" t="n">
        <f aca="false">H4342*51.07*(1+'Chart of Accounts'!$E$67)</f>
        <v>63.7379135</v>
      </c>
    </row>
    <row r="4343" customFormat="false" ht="15" hidden="false" customHeight="false" outlineLevel="0" collapsed="false">
      <c r="B4343" s="7" t="s">
        <v>4840</v>
      </c>
      <c r="C4343" s="39" t="n">
        <v>45870</v>
      </c>
      <c r="D4343" s="7" t="s">
        <v>329</v>
      </c>
      <c r="E4343" s="7" t="s">
        <v>156</v>
      </c>
      <c r="F4343" s="7" t="s">
        <v>220</v>
      </c>
      <c r="G4343" s="7" t="s">
        <v>505</v>
      </c>
      <c r="H4343" s="6" t="n">
        <v>4.07</v>
      </c>
      <c r="I4343" s="6" t="n">
        <v>0</v>
      </c>
      <c r="J4343" s="40" t="n">
        <f aca="false">H4343-I4343</f>
        <v>4.07</v>
      </c>
      <c r="K4343" s="41" t="n">
        <v>34</v>
      </c>
      <c r="L4343" s="42" t="n">
        <f aca="false">J4343*K4343</f>
        <v>138.38</v>
      </c>
      <c r="M4343" s="43" t="n">
        <f aca="false">H4343*16.43*(1+'Chart of Accounts'!$E$67)</f>
        <v>76.5662645</v>
      </c>
    </row>
    <row r="4344" customFormat="false" ht="15" hidden="false" customHeight="false" outlineLevel="0" collapsed="false">
      <c r="B4344" s="7" t="s">
        <v>4841</v>
      </c>
      <c r="C4344" s="39" t="n">
        <v>45870</v>
      </c>
      <c r="D4344" s="7" t="s">
        <v>335</v>
      </c>
      <c r="E4344" s="7" t="s">
        <v>154</v>
      </c>
      <c r="F4344" s="7" t="s">
        <v>177</v>
      </c>
      <c r="G4344" s="7" t="s">
        <v>505</v>
      </c>
      <c r="H4344" s="6" t="n">
        <v>4.26</v>
      </c>
      <c r="I4344" s="6" t="n">
        <v>0</v>
      </c>
      <c r="J4344" s="40" t="n">
        <f aca="false">H4344-I4344</f>
        <v>4.26</v>
      </c>
      <c r="K4344" s="41" t="n">
        <v>26.5</v>
      </c>
      <c r="L4344" s="42" t="n">
        <f aca="false">J4344*K4344</f>
        <v>112.89</v>
      </c>
      <c r="M4344" s="43" t="n">
        <f aca="false">H4344*14.56*(1+'Chart of Accounts'!$E$67)</f>
        <v>71.019312</v>
      </c>
    </row>
    <row r="4345" customFormat="false" ht="15" hidden="false" customHeight="false" outlineLevel="0" collapsed="false">
      <c r="B4345" s="7" t="s">
        <v>4842</v>
      </c>
      <c r="C4345" s="39" t="n">
        <v>45870</v>
      </c>
      <c r="D4345" s="7" t="s">
        <v>339</v>
      </c>
      <c r="E4345" s="7" t="s">
        <v>154</v>
      </c>
      <c r="F4345" s="7" t="s">
        <v>242</v>
      </c>
      <c r="G4345" s="7" t="s">
        <v>505</v>
      </c>
      <c r="H4345" s="6" t="n">
        <v>3.15</v>
      </c>
      <c r="I4345" s="6" t="n">
        <v>0</v>
      </c>
      <c r="J4345" s="40" t="n">
        <f aca="false">H4345-I4345</f>
        <v>3.15</v>
      </c>
      <c r="K4345" s="41" t="n">
        <v>26.5</v>
      </c>
      <c r="L4345" s="42" t="n">
        <f aca="false">J4345*K4345</f>
        <v>83.475</v>
      </c>
      <c r="M4345" s="43" t="n">
        <f aca="false">H4345*17.99*(1+'Chart of Accounts'!$E$67)</f>
        <v>64.8854325</v>
      </c>
    </row>
    <row r="4346" customFormat="false" ht="15" hidden="false" customHeight="false" outlineLevel="0" collapsed="false">
      <c r="B4346" s="7" t="s">
        <v>4843</v>
      </c>
      <c r="C4346" s="39" t="n">
        <v>45870</v>
      </c>
      <c r="D4346" s="7" t="s">
        <v>347</v>
      </c>
      <c r="E4346" s="7" t="s">
        <v>154</v>
      </c>
      <c r="F4346" s="7" t="s">
        <v>238</v>
      </c>
      <c r="G4346" s="7" t="s">
        <v>505</v>
      </c>
      <c r="H4346" s="6" t="n">
        <v>4.34</v>
      </c>
      <c r="I4346" s="6" t="n">
        <v>0</v>
      </c>
      <c r="J4346" s="40" t="n">
        <f aca="false">H4346-I4346</f>
        <v>4.34</v>
      </c>
      <c r="K4346" s="41" t="n">
        <v>26.5</v>
      </c>
      <c r="L4346" s="42" t="n">
        <f aca="false">J4346*K4346</f>
        <v>115.01</v>
      </c>
      <c r="M4346" s="43" t="n">
        <f aca="false">H4346*15.85*(1+'Chart of Accounts'!$E$67)</f>
        <v>78.763405</v>
      </c>
    </row>
    <row r="4347" customFormat="false" ht="15" hidden="false" customHeight="false" outlineLevel="0" collapsed="false">
      <c r="B4347" s="7" t="s">
        <v>4844</v>
      </c>
      <c r="C4347" s="39" t="n">
        <v>45870</v>
      </c>
      <c r="D4347" s="7" t="s">
        <v>353</v>
      </c>
      <c r="E4347" s="7" t="s">
        <v>154</v>
      </c>
      <c r="F4347" s="7" t="s">
        <v>254</v>
      </c>
      <c r="G4347" s="7" t="s">
        <v>505</v>
      </c>
      <c r="H4347" s="6" t="n">
        <v>3.24</v>
      </c>
      <c r="I4347" s="6" t="n">
        <v>0</v>
      </c>
      <c r="J4347" s="40" t="n">
        <f aca="false">H4347-I4347</f>
        <v>3.24</v>
      </c>
      <c r="K4347" s="41" t="n">
        <v>26.5</v>
      </c>
      <c r="L4347" s="42" t="n">
        <f aca="false">J4347*K4347</f>
        <v>85.86</v>
      </c>
      <c r="M4347" s="43" t="n">
        <f aca="false">H4347*17.1*(1+'Chart of Accounts'!$E$67)</f>
        <v>63.43758</v>
      </c>
    </row>
    <row r="4348" customFormat="false" ht="15" hidden="false" customHeight="false" outlineLevel="0" collapsed="false">
      <c r="B4348" s="7" t="s">
        <v>4845</v>
      </c>
      <c r="C4348" s="39" t="n">
        <v>45870</v>
      </c>
      <c r="D4348" s="7" t="s">
        <v>355</v>
      </c>
      <c r="E4348" s="7" t="s">
        <v>154</v>
      </c>
      <c r="F4348" s="7" t="s">
        <v>201</v>
      </c>
      <c r="G4348" s="7" t="s">
        <v>505</v>
      </c>
      <c r="H4348" s="6" t="n">
        <v>3.22</v>
      </c>
      <c r="I4348" s="6" t="n">
        <v>0</v>
      </c>
      <c r="J4348" s="40" t="n">
        <f aca="false">H4348-I4348</f>
        <v>3.22</v>
      </c>
      <c r="K4348" s="41" t="n">
        <v>26.5</v>
      </c>
      <c r="L4348" s="42" t="n">
        <f aca="false">J4348*K4348</f>
        <v>85.33</v>
      </c>
      <c r="M4348" s="43" t="n">
        <f aca="false">H4348*15.19*(1+'Chart of Accounts'!$E$67)</f>
        <v>56.004011</v>
      </c>
    </row>
    <row r="4349" customFormat="false" ht="15" hidden="false" customHeight="false" outlineLevel="0" collapsed="false">
      <c r="B4349" s="7" t="s">
        <v>4846</v>
      </c>
      <c r="C4349" s="39" t="n">
        <v>45870</v>
      </c>
      <c r="D4349" s="7" t="s">
        <v>357</v>
      </c>
      <c r="E4349" s="7" t="s">
        <v>154</v>
      </c>
      <c r="F4349" s="7" t="s">
        <v>207</v>
      </c>
      <c r="G4349" s="7" t="s">
        <v>505</v>
      </c>
      <c r="H4349" s="6" t="n">
        <v>3.32</v>
      </c>
      <c r="I4349" s="6" t="n">
        <v>0.1</v>
      </c>
      <c r="J4349" s="40" t="n">
        <f aca="false">H4349-I4349</f>
        <v>3.22</v>
      </c>
      <c r="K4349" s="41" t="n">
        <v>26.5</v>
      </c>
      <c r="L4349" s="42" t="n">
        <f aca="false">J4349*K4349</f>
        <v>85.33</v>
      </c>
      <c r="M4349" s="43" t="n">
        <f aca="false">H4349*16.65*(1+'Chart of Accounts'!$E$67)</f>
        <v>63.29331</v>
      </c>
    </row>
    <row r="4350" customFormat="false" ht="15" hidden="false" customHeight="false" outlineLevel="0" collapsed="false">
      <c r="B4350" s="7" t="s">
        <v>4847</v>
      </c>
      <c r="C4350" s="39" t="n">
        <v>45870</v>
      </c>
      <c r="D4350" s="7" t="s">
        <v>359</v>
      </c>
      <c r="E4350" s="7" t="s">
        <v>156</v>
      </c>
      <c r="F4350" s="7" t="s">
        <v>238</v>
      </c>
      <c r="G4350" s="7" t="s">
        <v>505</v>
      </c>
      <c r="H4350" s="6" t="n">
        <v>3.85</v>
      </c>
      <c r="I4350" s="6" t="n">
        <v>0</v>
      </c>
      <c r="J4350" s="40" t="n">
        <f aca="false">H4350-I4350</f>
        <v>3.85</v>
      </c>
      <c r="K4350" s="41" t="n">
        <v>34</v>
      </c>
      <c r="L4350" s="42" t="n">
        <f aca="false">J4350*K4350</f>
        <v>130.9</v>
      </c>
      <c r="M4350" s="43" t="n">
        <f aca="false">H4350*15.85*(1+'Chart of Accounts'!$E$67)</f>
        <v>69.8707625</v>
      </c>
    </row>
    <row r="4351" customFormat="false" ht="15" hidden="false" customHeight="false" outlineLevel="0" collapsed="false">
      <c r="B4351" s="7" t="s">
        <v>4848</v>
      </c>
      <c r="C4351" s="39" t="n">
        <v>45870</v>
      </c>
      <c r="D4351" s="7" t="s">
        <v>361</v>
      </c>
      <c r="E4351" s="7" t="s">
        <v>157</v>
      </c>
      <c r="F4351" s="7" t="s">
        <v>209</v>
      </c>
      <c r="G4351" s="7" t="s">
        <v>502</v>
      </c>
      <c r="H4351" s="6" t="n">
        <v>0.99</v>
      </c>
      <c r="I4351" s="6" t="n">
        <v>0</v>
      </c>
      <c r="J4351" s="40" t="n">
        <f aca="false">H4351-I4351</f>
        <v>0.99</v>
      </c>
      <c r="K4351" s="41" t="n">
        <v>165</v>
      </c>
      <c r="L4351" s="42" t="n">
        <f aca="false">J4351*K4351</f>
        <v>163.35</v>
      </c>
      <c r="M4351" s="43" t="n">
        <f aca="false">H4351*73.58*(1+'Chart of Accounts'!$E$67)</f>
        <v>83.406609</v>
      </c>
    </row>
    <row r="4352" customFormat="false" ht="15" hidden="false" customHeight="false" outlineLevel="0" collapsed="false">
      <c r="B4352" s="7" t="s">
        <v>4849</v>
      </c>
      <c r="C4352" s="39" t="n">
        <v>45870</v>
      </c>
      <c r="D4352" s="7" t="s">
        <v>365</v>
      </c>
      <c r="E4352" s="7" t="s">
        <v>154</v>
      </c>
      <c r="F4352" s="7" t="s">
        <v>194</v>
      </c>
      <c r="G4352" s="7" t="s">
        <v>505</v>
      </c>
      <c r="H4352" s="6" t="n">
        <v>3.87</v>
      </c>
      <c r="I4352" s="6" t="n">
        <v>0</v>
      </c>
      <c r="J4352" s="40" t="n">
        <f aca="false">H4352-I4352</f>
        <v>3.87</v>
      </c>
      <c r="K4352" s="41" t="n">
        <v>26.5</v>
      </c>
      <c r="L4352" s="42" t="n">
        <f aca="false">J4352*K4352</f>
        <v>102.555</v>
      </c>
      <c r="M4352" s="43" t="n">
        <f aca="false">H4352*16*(1+'Chart of Accounts'!$E$67)</f>
        <v>70.8984</v>
      </c>
    </row>
    <row r="4353" customFormat="false" ht="15" hidden="false" customHeight="false" outlineLevel="0" collapsed="false">
      <c r="B4353" s="7" t="s">
        <v>4850</v>
      </c>
      <c r="C4353" s="39" t="n">
        <v>45870</v>
      </c>
      <c r="D4353" s="7" t="s">
        <v>369</v>
      </c>
      <c r="E4353" s="7" t="s">
        <v>159</v>
      </c>
      <c r="F4353" s="7" t="s">
        <v>258</v>
      </c>
      <c r="G4353" s="7" t="s">
        <v>502</v>
      </c>
      <c r="H4353" s="6" t="n">
        <v>1</v>
      </c>
      <c r="I4353" s="6" t="n">
        <v>0</v>
      </c>
      <c r="J4353" s="40" t="n">
        <f aca="false">H4353-I4353</f>
        <v>1</v>
      </c>
      <c r="K4353" s="41" t="n">
        <v>135</v>
      </c>
      <c r="L4353" s="42" t="n">
        <f aca="false">J4353*K4353</f>
        <v>135</v>
      </c>
      <c r="M4353" s="43" t="n">
        <f aca="false">H4353*61.61*(1+'Chart of Accounts'!$E$67)</f>
        <v>70.54345</v>
      </c>
    </row>
    <row r="4354" customFormat="false" ht="15" hidden="false" customHeight="false" outlineLevel="0" collapsed="false">
      <c r="B4354" s="7" t="s">
        <v>4851</v>
      </c>
      <c r="C4354" s="39" t="n">
        <v>45870</v>
      </c>
      <c r="D4354" s="7" t="s">
        <v>371</v>
      </c>
      <c r="E4354" s="7" t="s">
        <v>154</v>
      </c>
      <c r="F4354" s="7" t="s">
        <v>232</v>
      </c>
      <c r="G4354" s="7" t="s">
        <v>505</v>
      </c>
      <c r="H4354" s="6" t="n">
        <v>4.57</v>
      </c>
      <c r="I4354" s="6" t="n">
        <v>0</v>
      </c>
      <c r="J4354" s="40" t="n">
        <f aca="false">H4354-I4354</f>
        <v>4.57</v>
      </c>
      <c r="K4354" s="41" t="n">
        <v>26.5</v>
      </c>
      <c r="L4354" s="42" t="n">
        <f aca="false">J4354*K4354</f>
        <v>121.105</v>
      </c>
      <c r="M4354" s="43" t="n">
        <f aca="false">H4354*16.17*(1+'Chart of Accounts'!$E$67)</f>
        <v>84.6119505</v>
      </c>
    </row>
    <row r="4355" customFormat="false" ht="15" hidden="false" customHeight="false" outlineLevel="0" collapsed="false">
      <c r="B4355" s="7" t="s">
        <v>4852</v>
      </c>
      <c r="C4355" s="39" t="n">
        <v>45870</v>
      </c>
      <c r="D4355" s="7" t="s">
        <v>379</v>
      </c>
      <c r="E4355" s="7" t="s">
        <v>156</v>
      </c>
      <c r="F4355" s="7" t="s">
        <v>224</v>
      </c>
      <c r="G4355" s="7" t="s">
        <v>505</v>
      </c>
      <c r="H4355" s="6" t="n">
        <v>4.42</v>
      </c>
      <c r="I4355" s="6" t="n">
        <v>0</v>
      </c>
      <c r="J4355" s="40" t="n">
        <f aca="false">H4355-I4355</f>
        <v>4.42</v>
      </c>
      <c r="K4355" s="41" t="n">
        <v>34</v>
      </c>
      <c r="L4355" s="42" t="n">
        <f aca="false">J4355*K4355</f>
        <v>150.28</v>
      </c>
      <c r="M4355" s="43" t="n">
        <f aca="false">H4355*14.93*(1+'Chart of Accounts'!$E$67)</f>
        <v>75.559237</v>
      </c>
    </row>
    <row r="4356" customFormat="false" ht="15" hidden="false" customHeight="false" outlineLevel="0" collapsed="false">
      <c r="B4356" s="7" t="s">
        <v>4853</v>
      </c>
      <c r="C4356" s="39" t="n">
        <v>45870</v>
      </c>
      <c r="D4356" s="7" t="s">
        <v>381</v>
      </c>
      <c r="E4356" s="7" t="s">
        <v>157</v>
      </c>
      <c r="F4356" s="7" t="s">
        <v>234</v>
      </c>
      <c r="G4356" s="7" t="s">
        <v>502</v>
      </c>
      <c r="H4356" s="6" t="n">
        <v>0.97</v>
      </c>
      <c r="I4356" s="6" t="n">
        <v>0</v>
      </c>
      <c r="J4356" s="40" t="n">
        <f aca="false">H4356-I4356</f>
        <v>0.97</v>
      </c>
      <c r="K4356" s="41" t="n">
        <v>165</v>
      </c>
      <c r="L4356" s="42" t="n">
        <f aca="false">J4356*K4356</f>
        <v>160.05</v>
      </c>
      <c r="M4356" s="43" t="n">
        <f aca="false">H4356*89.53*(1+'Chart of Accounts'!$E$67)</f>
        <v>99.4364945</v>
      </c>
    </row>
    <row r="4357" customFormat="false" ht="15" hidden="false" customHeight="false" outlineLevel="0" collapsed="false">
      <c r="B4357" s="7" t="s">
        <v>4854</v>
      </c>
      <c r="C4357" s="39" t="n">
        <v>45870</v>
      </c>
      <c r="D4357" s="7" t="s">
        <v>383</v>
      </c>
      <c r="E4357" s="7" t="s">
        <v>157</v>
      </c>
      <c r="F4357" s="7" t="s">
        <v>230</v>
      </c>
      <c r="G4357" s="7" t="s">
        <v>502</v>
      </c>
      <c r="H4357" s="6" t="n">
        <v>1.07</v>
      </c>
      <c r="I4357" s="6" t="n">
        <v>0.054</v>
      </c>
      <c r="J4357" s="40" t="n">
        <f aca="false">H4357-I4357</f>
        <v>1.016</v>
      </c>
      <c r="K4357" s="41" t="n">
        <v>165</v>
      </c>
      <c r="L4357" s="42" t="n">
        <f aca="false">J4357*K4357</f>
        <v>167.64</v>
      </c>
      <c r="M4357" s="43" t="n">
        <f aca="false">H4357*48.78*(1+'Chart of Accounts'!$E$67)</f>
        <v>59.762817</v>
      </c>
    </row>
    <row r="4358" customFormat="false" ht="15" hidden="false" customHeight="false" outlineLevel="0" collapsed="false">
      <c r="B4358" s="7" t="s">
        <v>4855</v>
      </c>
      <c r="C4358" s="39" t="n">
        <v>45870</v>
      </c>
      <c r="D4358" s="7" t="s">
        <v>385</v>
      </c>
      <c r="E4358" s="7" t="s">
        <v>156</v>
      </c>
      <c r="F4358" s="7" t="s">
        <v>238</v>
      </c>
      <c r="G4358" s="7" t="s">
        <v>505</v>
      </c>
      <c r="H4358" s="6" t="n">
        <v>4.19</v>
      </c>
      <c r="I4358" s="6" t="n">
        <v>0</v>
      </c>
      <c r="J4358" s="40" t="n">
        <f aca="false">H4358-I4358</f>
        <v>4.19</v>
      </c>
      <c r="K4358" s="41" t="n">
        <v>34</v>
      </c>
      <c r="L4358" s="42" t="n">
        <f aca="false">J4358*K4358</f>
        <v>142.46</v>
      </c>
      <c r="M4358" s="43" t="n">
        <f aca="false">H4358*15.85*(1+'Chart of Accounts'!$E$67)</f>
        <v>76.0411675</v>
      </c>
    </row>
    <row r="4359" customFormat="false" ht="15" hidden="false" customHeight="false" outlineLevel="0" collapsed="false">
      <c r="B4359" s="7" t="s">
        <v>4856</v>
      </c>
      <c r="C4359" s="39" t="n">
        <v>45870</v>
      </c>
      <c r="D4359" s="7" t="s">
        <v>387</v>
      </c>
      <c r="E4359" s="7" t="s">
        <v>154</v>
      </c>
      <c r="F4359" s="7" t="s">
        <v>196</v>
      </c>
      <c r="G4359" s="7" t="s">
        <v>505</v>
      </c>
      <c r="H4359" s="6" t="n">
        <v>4.32</v>
      </c>
      <c r="I4359" s="6" t="n">
        <v>0</v>
      </c>
      <c r="J4359" s="40" t="n">
        <f aca="false">H4359-I4359</f>
        <v>4.32</v>
      </c>
      <c r="K4359" s="41" t="n">
        <v>26.5</v>
      </c>
      <c r="L4359" s="42" t="n">
        <f aca="false">J4359*K4359</f>
        <v>114.48</v>
      </c>
      <c r="M4359" s="43" t="n">
        <f aca="false">H4359*15.05*(1+'Chart of Accounts'!$E$67)</f>
        <v>74.44332</v>
      </c>
    </row>
    <row r="4360" customFormat="false" ht="15" hidden="false" customHeight="false" outlineLevel="0" collapsed="false">
      <c r="B4360" s="7" t="s">
        <v>4857</v>
      </c>
      <c r="C4360" s="39" t="n">
        <v>45870</v>
      </c>
      <c r="D4360" s="7" t="s">
        <v>389</v>
      </c>
      <c r="E4360" s="7" t="s">
        <v>154</v>
      </c>
      <c r="F4360" s="7" t="s">
        <v>246</v>
      </c>
      <c r="G4360" s="7" t="s">
        <v>505</v>
      </c>
      <c r="H4360" s="6" t="n">
        <v>4.16</v>
      </c>
      <c r="I4360" s="6" t="n">
        <v>0.125</v>
      </c>
      <c r="J4360" s="40" t="n">
        <f aca="false">H4360-I4360</f>
        <v>4.035</v>
      </c>
      <c r="K4360" s="41" t="n">
        <v>26.5</v>
      </c>
      <c r="L4360" s="42" t="n">
        <f aca="false">J4360*K4360</f>
        <v>106.9275</v>
      </c>
      <c r="M4360" s="43" t="n">
        <f aca="false">H4360*16.48*(1+'Chart of Accounts'!$E$67)</f>
        <v>78.497536</v>
      </c>
    </row>
    <row r="4361" customFormat="false" ht="15" hidden="false" customHeight="false" outlineLevel="0" collapsed="false">
      <c r="B4361" s="7" t="s">
        <v>4858</v>
      </c>
      <c r="C4361" s="39" t="n">
        <v>45870</v>
      </c>
      <c r="D4361" s="7" t="s">
        <v>391</v>
      </c>
      <c r="E4361" s="7" t="s">
        <v>156</v>
      </c>
      <c r="F4361" s="7" t="s">
        <v>222</v>
      </c>
      <c r="G4361" s="7" t="s">
        <v>505</v>
      </c>
      <c r="H4361" s="6" t="n">
        <v>3.98</v>
      </c>
      <c r="I4361" s="6" t="n">
        <v>0</v>
      </c>
      <c r="J4361" s="40" t="n">
        <f aca="false">H4361-I4361</f>
        <v>3.98</v>
      </c>
      <c r="K4361" s="41" t="n">
        <v>34</v>
      </c>
      <c r="L4361" s="42" t="n">
        <f aca="false">J4361*K4361</f>
        <v>135.32</v>
      </c>
      <c r="M4361" s="43" t="n">
        <f aca="false">H4361*17.84*(1+'Chart of Accounts'!$E$67)</f>
        <v>81.298664</v>
      </c>
    </row>
    <row r="4362" customFormat="false" ht="15" hidden="false" customHeight="false" outlineLevel="0" collapsed="false">
      <c r="B4362" s="7" t="s">
        <v>4859</v>
      </c>
      <c r="C4362" s="39" t="n">
        <v>45870</v>
      </c>
      <c r="D4362" s="7" t="s">
        <v>395</v>
      </c>
      <c r="E4362" s="7" t="s">
        <v>156</v>
      </c>
      <c r="F4362" s="7" t="s">
        <v>242</v>
      </c>
      <c r="G4362" s="7" t="s">
        <v>505</v>
      </c>
      <c r="H4362" s="6" t="n">
        <v>4.27</v>
      </c>
      <c r="I4362" s="6" t="n">
        <v>0</v>
      </c>
      <c r="J4362" s="40" t="n">
        <f aca="false">H4362-I4362</f>
        <v>4.27</v>
      </c>
      <c r="K4362" s="41" t="n">
        <v>34</v>
      </c>
      <c r="L4362" s="42" t="n">
        <f aca="false">J4362*K4362</f>
        <v>145.18</v>
      </c>
      <c r="M4362" s="43" t="n">
        <f aca="false">H4362*17.99*(1+'Chart of Accounts'!$E$67)</f>
        <v>87.9558085</v>
      </c>
    </row>
    <row r="4363" customFormat="false" ht="15" hidden="false" customHeight="false" outlineLevel="0" collapsed="false">
      <c r="B4363" s="7" t="s">
        <v>4860</v>
      </c>
      <c r="C4363" s="39" t="n">
        <v>45870</v>
      </c>
      <c r="D4363" s="7" t="s">
        <v>397</v>
      </c>
      <c r="E4363" s="7" t="s">
        <v>159</v>
      </c>
      <c r="F4363" s="7" t="s">
        <v>203</v>
      </c>
      <c r="G4363" s="7" t="s">
        <v>502</v>
      </c>
      <c r="H4363" s="6" t="n">
        <v>1.04</v>
      </c>
      <c r="I4363" s="6" t="n">
        <v>0.073</v>
      </c>
      <c r="J4363" s="40" t="n">
        <f aca="false">H4363-I4363</f>
        <v>0.967</v>
      </c>
      <c r="K4363" s="41" t="n">
        <v>135</v>
      </c>
      <c r="L4363" s="42" t="n">
        <f aca="false">J4363*K4363</f>
        <v>130.545</v>
      </c>
      <c r="M4363" s="43" t="n">
        <f aca="false">H4363*49.43*(1+'Chart of Accounts'!$E$67)</f>
        <v>58.861244</v>
      </c>
    </row>
    <row r="4364" customFormat="false" ht="15" hidden="false" customHeight="false" outlineLevel="0" collapsed="false">
      <c r="B4364" s="7" t="s">
        <v>4861</v>
      </c>
      <c r="C4364" s="39" t="n">
        <v>45870</v>
      </c>
      <c r="D4364" s="7" t="s">
        <v>399</v>
      </c>
      <c r="E4364" s="7" t="s">
        <v>154</v>
      </c>
      <c r="F4364" s="7" t="s">
        <v>196</v>
      </c>
      <c r="G4364" s="7" t="s">
        <v>505</v>
      </c>
      <c r="H4364" s="6" t="n">
        <v>3.11</v>
      </c>
      <c r="I4364" s="6" t="n">
        <v>0.093</v>
      </c>
      <c r="J4364" s="40" t="n">
        <f aca="false">H4364-I4364</f>
        <v>3.017</v>
      </c>
      <c r="K4364" s="41" t="n">
        <v>26.5</v>
      </c>
      <c r="L4364" s="42" t="n">
        <f aca="false">J4364*K4364</f>
        <v>79.9505</v>
      </c>
      <c r="M4364" s="43" t="n">
        <f aca="false">H4364*15.05*(1+'Chart of Accounts'!$E$67)</f>
        <v>53.5922975</v>
      </c>
    </row>
    <row r="4365" customFormat="false" ht="15" hidden="false" customHeight="false" outlineLevel="0" collapsed="false">
      <c r="B4365" s="7" t="s">
        <v>4862</v>
      </c>
      <c r="C4365" s="39" t="n">
        <v>45870</v>
      </c>
      <c r="D4365" s="7" t="s">
        <v>401</v>
      </c>
      <c r="E4365" s="7" t="s">
        <v>156</v>
      </c>
      <c r="F4365" s="7" t="s">
        <v>254</v>
      </c>
      <c r="G4365" s="7" t="s">
        <v>505</v>
      </c>
      <c r="H4365" s="6" t="n">
        <v>4.07</v>
      </c>
      <c r="I4365" s="6" t="n">
        <v>0</v>
      </c>
      <c r="J4365" s="40" t="n">
        <f aca="false">H4365-I4365</f>
        <v>4.07</v>
      </c>
      <c r="K4365" s="41" t="n">
        <v>34</v>
      </c>
      <c r="L4365" s="42" t="n">
        <f aca="false">J4365*K4365</f>
        <v>138.38</v>
      </c>
      <c r="M4365" s="43" t="n">
        <f aca="false">H4365*17.1*(1+'Chart of Accounts'!$E$67)</f>
        <v>79.688565</v>
      </c>
    </row>
    <row r="4366" customFormat="false" ht="15" hidden="false" customHeight="false" outlineLevel="0" collapsed="false">
      <c r="B4366" s="7" t="s">
        <v>4863</v>
      </c>
      <c r="C4366" s="39" t="n">
        <v>45870</v>
      </c>
      <c r="D4366" s="7" t="s">
        <v>407</v>
      </c>
      <c r="E4366" s="7" t="s">
        <v>159</v>
      </c>
      <c r="F4366" s="7" t="s">
        <v>260</v>
      </c>
      <c r="G4366" s="7" t="s">
        <v>502</v>
      </c>
      <c r="H4366" s="6" t="n">
        <v>1.06</v>
      </c>
      <c r="I4366" s="6" t="n">
        <v>0</v>
      </c>
      <c r="J4366" s="40" t="n">
        <f aca="false">H4366-I4366</f>
        <v>1.06</v>
      </c>
      <c r="K4366" s="41" t="n">
        <v>135</v>
      </c>
      <c r="L4366" s="42" t="n">
        <f aca="false">J4366*K4366</f>
        <v>143.1</v>
      </c>
      <c r="M4366" s="43" t="n">
        <f aca="false">H4366*79.8*(1+'Chart of Accounts'!$E$67)</f>
        <v>96.85326</v>
      </c>
    </row>
    <row r="4367" customFormat="false" ht="15" hidden="false" customHeight="false" outlineLevel="0" collapsed="false">
      <c r="B4367" s="7" t="s">
        <v>4864</v>
      </c>
      <c r="C4367" s="39" t="n">
        <v>45870</v>
      </c>
      <c r="D4367" s="7" t="s">
        <v>409</v>
      </c>
      <c r="E4367" s="7" t="s">
        <v>154</v>
      </c>
      <c r="F4367" s="7" t="s">
        <v>214</v>
      </c>
      <c r="G4367" s="7" t="s">
        <v>505</v>
      </c>
      <c r="H4367" s="6" t="n">
        <v>3.26</v>
      </c>
      <c r="I4367" s="6" t="n">
        <v>0.098</v>
      </c>
      <c r="J4367" s="40" t="n">
        <f aca="false">H4367-I4367</f>
        <v>3.162</v>
      </c>
      <c r="K4367" s="41" t="n">
        <v>26.5</v>
      </c>
      <c r="L4367" s="42" t="n">
        <f aca="false">J4367*K4367</f>
        <v>83.793</v>
      </c>
      <c r="M4367" s="43" t="n">
        <f aca="false">H4367*15.67*(1+'Chart of Accounts'!$E$67)</f>
        <v>58.491409</v>
      </c>
    </row>
    <row r="4368" customFormat="false" ht="15" hidden="false" customHeight="false" outlineLevel="0" collapsed="false">
      <c r="B4368" s="7" t="s">
        <v>4865</v>
      </c>
      <c r="C4368" s="39" t="n">
        <v>45870</v>
      </c>
      <c r="D4368" s="7" t="s">
        <v>411</v>
      </c>
      <c r="E4368" s="7" t="s">
        <v>154</v>
      </c>
      <c r="F4368" s="7" t="s">
        <v>177</v>
      </c>
      <c r="G4368" s="7" t="s">
        <v>505</v>
      </c>
      <c r="H4368" s="6" t="n">
        <v>4.75</v>
      </c>
      <c r="I4368" s="6" t="n">
        <v>0</v>
      </c>
      <c r="J4368" s="40" t="n">
        <f aca="false">H4368-I4368</f>
        <v>4.75</v>
      </c>
      <c r="K4368" s="41" t="n">
        <v>26.5</v>
      </c>
      <c r="L4368" s="42" t="n">
        <f aca="false">J4368*K4368</f>
        <v>125.875</v>
      </c>
      <c r="M4368" s="43" t="n">
        <f aca="false">H4368*14.56*(1+'Chart of Accounts'!$E$67)</f>
        <v>79.1882</v>
      </c>
    </row>
    <row r="4369" customFormat="false" ht="15" hidden="false" customHeight="false" outlineLevel="0" collapsed="false">
      <c r="B4369" s="7" t="s">
        <v>4866</v>
      </c>
      <c r="C4369" s="39" t="n">
        <v>45871</v>
      </c>
      <c r="D4369" s="7" t="s">
        <v>288</v>
      </c>
      <c r="E4369" s="7" t="s">
        <v>156</v>
      </c>
      <c r="F4369" s="7" t="s">
        <v>194</v>
      </c>
      <c r="G4369" s="7" t="s">
        <v>505</v>
      </c>
      <c r="H4369" s="6" t="n">
        <v>4.27</v>
      </c>
      <c r="I4369" s="6" t="n">
        <v>0</v>
      </c>
      <c r="J4369" s="40" t="n">
        <f aca="false">H4369-I4369</f>
        <v>4.27</v>
      </c>
      <c r="K4369" s="41" t="n">
        <v>34</v>
      </c>
      <c r="L4369" s="42" t="n">
        <f aca="false">J4369*K4369</f>
        <v>145.18</v>
      </c>
      <c r="M4369" s="43" t="n">
        <f aca="false">H4369*16*(1+'Chart of Accounts'!$E$67)</f>
        <v>78.2264</v>
      </c>
    </row>
    <row r="4370" customFormat="false" ht="15" hidden="false" customHeight="false" outlineLevel="0" collapsed="false">
      <c r="B4370" s="7" t="s">
        <v>4867</v>
      </c>
      <c r="C4370" s="39" t="n">
        <v>45871</v>
      </c>
      <c r="D4370" s="7" t="s">
        <v>321</v>
      </c>
      <c r="E4370" s="7" t="s">
        <v>154</v>
      </c>
      <c r="F4370" s="7" t="s">
        <v>218</v>
      </c>
      <c r="G4370" s="7" t="s">
        <v>505</v>
      </c>
      <c r="H4370" s="6" t="n">
        <v>4.28</v>
      </c>
      <c r="I4370" s="6" t="n">
        <v>0</v>
      </c>
      <c r="J4370" s="40" t="n">
        <f aca="false">H4370-I4370</f>
        <v>4.28</v>
      </c>
      <c r="K4370" s="41" t="n">
        <v>26.5</v>
      </c>
      <c r="L4370" s="42" t="n">
        <f aca="false">J4370*K4370</f>
        <v>113.42</v>
      </c>
      <c r="M4370" s="43" t="n">
        <f aca="false">H4370*16.19*(1+'Chart of Accounts'!$E$67)</f>
        <v>79.340714</v>
      </c>
    </row>
    <row r="4371" customFormat="false" ht="15" hidden="false" customHeight="false" outlineLevel="0" collapsed="false">
      <c r="B4371" s="7" t="s">
        <v>4868</v>
      </c>
      <c r="C4371" s="39" t="n">
        <v>45871</v>
      </c>
      <c r="D4371" s="7" t="s">
        <v>359</v>
      </c>
      <c r="E4371" s="7" t="s">
        <v>156</v>
      </c>
      <c r="F4371" s="7" t="s">
        <v>214</v>
      </c>
      <c r="G4371" s="7" t="s">
        <v>505</v>
      </c>
      <c r="H4371" s="6" t="n">
        <v>4.01</v>
      </c>
      <c r="I4371" s="6" t="n">
        <v>0</v>
      </c>
      <c r="J4371" s="40" t="n">
        <f aca="false">H4371-I4371</f>
        <v>4.01</v>
      </c>
      <c r="K4371" s="41" t="n">
        <v>34</v>
      </c>
      <c r="L4371" s="42" t="n">
        <f aca="false">J4371*K4371</f>
        <v>136.34</v>
      </c>
      <c r="M4371" s="43" t="n">
        <f aca="false">H4371*15.67*(1+'Chart of Accounts'!$E$67)</f>
        <v>71.9480215</v>
      </c>
    </row>
    <row r="4372" customFormat="false" ht="15" hidden="false" customHeight="false" outlineLevel="0" collapsed="false">
      <c r="B4372" s="7" t="s">
        <v>4869</v>
      </c>
      <c r="C4372" s="39" t="n">
        <v>45871</v>
      </c>
      <c r="D4372" s="7" t="s">
        <v>387</v>
      </c>
      <c r="E4372" s="7" t="s">
        <v>154</v>
      </c>
      <c r="F4372" s="7" t="s">
        <v>196</v>
      </c>
      <c r="G4372" s="7" t="s">
        <v>505</v>
      </c>
      <c r="H4372" s="6" t="n">
        <v>3.63</v>
      </c>
      <c r="I4372" s="6" t="n">
        <v>0</v>
      </c>
      <c r="J4372" s="40" t="n">
        <f aca="false">H4372-I4372</f>
        <v>3.63</v>
      </c>
      <c r="K4372" s="41" t="n">
        <v>26.5</v>
      </c>
      <c r="L4372" s="42" t="n">
        <f aca="false">J4372*K4372</f>
        <v>96.195</v>
      </c>
      <c r="M4372" s="43" t="n">
        <f aca="false">H4372*15.05*(1+'Chart of Accounts'!$E$67)</f>
        <v>62.5530675</v>
      </c>
    </row>
    <row r="4373" customFormat="false" ht="15" hidden="false" customHeight="false" outlineLevel="0" collapsed="false">
      <c r="B4373" s="7" t="s">
        <v>4870</v>
      </c>
      <c r="C4373" s="39" t="n">
        <v>45871</v>
      </c>
      <c r="D4373" s="7" t="s">
        <v>391</v>
      </c>
      <c r="E4373" s="7" t="s">
        <v>156</v>
      </c>
      <c r="F4373" s="7" t="s">
        <v>222</v>
      </c>
      <c r="G4373" s="7" t="s">
        <v>505</v>
      </c>
      <c r="H4373" s="6" t="n">
        <v>4.16</v>
      </c>
      <c r="I4373" s="6" t="n">
        <v>0</v>
      </c>
      <c r="J4373" s="40" t="n">
        <f aca="false">H4373-I4373</f>
        <v>4.16</v>
      </c>
      <c r="K4373" s="41" t="n">
        <v>34</v>
      </c>
      <c r="L4373" s="42" t="n">
        <f aca="false">J4373*K4373</f>
        <v>141.44</v>
      </c>
      <c r="M4373" s="43" t="n">
        <f aca="false">H4373*17.84*(1+'Chart of Accounts'!$E$67)</f>
        <v>84.975488</v>
      </c>
    </row>
    <row r="4374" customFormat="false" ht="15" hidden="false" customHeight="false" outlineLevel="0" collapsed="false">
      <c r="B4374" s="7" t="s">
        <v>4871</v>
      </c>
      <c r="C4374" s="39" t="n">
        <v>45871</v>
      </c>
      <c r="D4374" s="7" t="s">
        <v>395</v>
      </c>
      <c r="E4374" s="7" t="s">
        <v>156</v>
      </c>
      <c r="F4374" s="7" t="s">
        <v>242</v>
      </c>
      <c r="G4374" s="7" t="s">
        <v>505</v>
      </c>
      <c r="H4374" s="6" t="n">
        <v>4.01</v>
      </c>
      <c r="I4374" s="6" t="n">
        <v>0</v>
      </c>
      <c r="J4374" s="40" t="n">
        <f aca="false">H4374-I4374</f>
        <v>4.01</v>
      </c>
      <c r="K4374" s="41" t="n">
        <v>34</v>
      </c>
      <c r="L4374" s="42" t="n">
        <f aca="false">J4374*K4374</f>
        <v>136.34</v>
      </c>
      <c r="M4374" s="43" t="n">
        <f aca="false">H4374*17.99*(1+'Chart of Accounts'!$E$67)</f>
        <v>82.6001855</v>
      </c>
    </row>
    <row r="4375" customFormat="false" ht="15" hidden="false" customHeight="false" outlineLevel="0" collapsed="false">
      <c r="B4375" s="7" t="s">
        <v>4872</v>
      </c>
      <c r="C4375" s="39" t="n">
        <v>45871</v>
      </c>
      <c r="D4375" s="7" t="s">
        <v>401</v>
      </c>
      <c r="E4375" s="7" t="s">
        <v>156</v>
      </c>
      <c r="F4375" s="7" t="s">
        <v>254</v>
      </c>
      <c r="G4375" s="7" t="s">
        <v>505</v>
      </c>
      <c r="H4375" s="6" t="n">
        <v>3.92</v>
      </c>
      <c r="I4375" s="6" t="n">
        <v>0</v>
      </c>
      <c r="J4375" s="40" t="n">
        <f aca="false">H4375-I4375</f>
        <v>3.92</v>
      </c>
      <c r="K4375" s="41" t="n">
        <v>34</v>
      </c>
      <c r="L4375" s="42" t="n">
        <f aca="false">J4375*K4375</f>
        <v>133.28</v>
      </c>
      <c r="M4375" s="43" t="n">
        <f aca="false">H4375*17.1*(1+'Chart of Accounts'!$E$67)</f>
        <v>76.75164</v>
      </c>
    </row>
    <row r="4376" customFormat="false" ht="15" hidden="false" customHeight="false" outlineLevel="0" collapsed="false">
      <c r="B4376" s="7" t="s">
        <v>4873</v>
      </c>
      <c r="C4376" s="39" t="n">
        <v>45872</v>
      </c>
      <c r="D4376" s="7" t="s">
        <v>288</v>
      </c>
      <c r="E4376" s="7" t="s">
        <v>156</v>
      </c>
      <c r="F4376" s="7" t="s">
        <v>222</v>
      </c>
      <c r="G4376" s="7" t="s">
        <v>505</v>
      </c>
      <c r="H4376" s="6" t="n">
        <v>4.39</v>
      </c>
      <c r="I4376" s="6" t="n">
        <v>0</v>
      </c>
      <c r="J4376" s="40" t="n">
        <f aca="false">H4376-I4376</f>
        <v>4.39</v>
      </c>
      <c r="K4376" s="41" t="n">
        <v>34</v>
      </c>
      <c r="L4376" s="42" t="n">
        <f aca="false">J4376*K4376</f>
        <v>149.26</v>
      </c>
      <c r="M4376" s="43" t="n">
        <f aca="false">H4376*17.84*(1+'Chart of Accounts'!$E$67)</f>
        <v>89.673652</v>
      </c>
    </row>
    <row r="4377" customFormat="false" ht="15" hidden="false" customHeight="false" outlineLevel="0" collapsed="false">
      <c r="B4377" s="7" t="s">
        <v>4874</v>
      </c>
      <c r="C4377" s="39" t="n">
        <v>45872</v>
      </c>
      <c r="D4377" s="7" t="s">
        <v>321</v>
      </c>
      <c r="E4377" s="7" t="s">
        <v>154</v>
      </c>
      <c r="F4377" s="7" t="s">
        <v>218</v>
      </c>
      <c r="G4377" s="7" t="s">
        <v>505</v>
      </c>
      <c r="H4377" s="6" t="n">
        <v>3.97</v>
      </c>
      <c r="I4377" s="6" t="n">
        <v>0.119</v>
      </c>
      <c r="J4377" s="40" t="n">
        <f aca="false">H4377-I4377</f>
        <v>3.851</v>
      </c>
      <c r="K4377" s="41" t="n">
        <v>26.5</v>
      </c>
      <c r="L4377" s="42" t="n">
        <f aca="false">J4377*K4377</f>
        <v>102.0515</v>
      </c>
      <c r="M4377" s="43" t="n">
        <f aca="false">H4377*16.19*(1+'Chart of Accounts'!$E$67)</f>
        <v>73.5940735</v>
      </c>
    </row>
    <row r="4378" customFormat="false" ht="15" hidden="false" customHeight="false" outlineLevel="0" collapsed="false">
      <c r="B4378" s="7" t="s">
        <v>4875</v>
      </c>
      <c r="C4378" s="39" t="n">
        <v>45872</v>
      </c>
      <c r="D4378" s="7" t="s">
        <v>359</v>
      </c>
      <c r="E4378" s="7" t="s">
        <v>156</v>
      </c>
      <c r="F4378" s="7" t="s">
        <v>201</v>
      </c>
      <c r="G4378" s="7" t="s">
        <v>505</v>
      </c>
      <c r="H4378" s="6" t="n">
        <v>3.65</v>
      </c>
      <c r="I4378" s="6" t="n">
        <v>0</v>
      </c>
      <c r="J4378" s="40" t="n">
        <f aca="false">H4378-I4378</f>
        <v>3.65</v>
      </c>
      <c r="K4378" s="41" t="n">
        <v>34</v>
      </c>
      <c r="L4378" s="42" t="n">
        <f aca="false">J4378*K4378</f>
        <v>124.1</v>
      </c>
      <c r="M4378" s="43" t="n">
        <f aca="false">H4378*15.19*(1+'Chart of Accounts'!$E$67)</f>
        <v>63.4828075</v>
      </c>
    </row>
    <row r="4379" customFormat="false" ht="15" hidden="false" customHeight="false" outlineLevel="0" collapsed="false">
      <c r="B4379" s="7" t="s">
        <v>4876</v>
      </c>
      <c r="C4379" s="39" t="n">
        <v>45872</v>
      </c>
      <c r="D4379" s="7" t="s">
        <v>387</v>
      </c>
      <c r="E4379" s="7" t="s">
        <v>154</v>
      </c>
      <c r="F4379" s="7" t="s">
        <v>196</v>
      </c>
      <c r="G4379" s="7" t="s">
        <v>505</v>
      </c>
      <c r="H4379" s="6" t="n">
        <v>3.96</v>
      </c>
      <c r="I4379" s="6" t="n">
        <v>0.119</v>
      </c>
      <c r="J4379" s="40" t="n">
        <f aca="false">H4379-I4379</f>
        <v>3.841</v>
      </c>
      <c r="K4379" s="41" t="n">
        <v>26.5</v>
      </c>
      <c r="L4379" s="42" t="n">
        <f aca="false">J4379*K4379</f>
        <v>101.7865</v>
      </c>
      <c r="M4379" s="43" t="n">
        <f aca="false">H4379*15.05*(1+'Chart of Accounts'!$E$67)</f>
        <v>68.23971</v>
      </c>
    </row>
    <row r="4380" customFormat="false" ht="15" hidden="false" customHeight="false" outlineLevel="0" collapsed="false">
      <c r="B4380" s="7" t="s">
        <v>4877</v>
      </c>
      <c r="C4380" s="39" t="n">
        <v>45872</v>
      </c>
      <c r="D4380" s="7" t="s">
        <v>391</v>
      </c>
      <c r="E4380" s="7" t="s">
        <v>156</v>
      </c>
      <c r="F4380" s="7" t="s">
        <v>222</v>
      </c>
      <c r="G4380" s="7" t="s">
        <v>505</v>
      </c>
      <c r="H4380" s="6" t="n">
        <v>4.22</v>
      </c>
      <c r="I4380" s="6" t="n">
        <v>0</v>
      </c>
      <c r="J4380" s="40" t="n">
        <f aca="false">H4380-I4380</f>
        <v>4.22</v>
      </c>
      <c r="K4380" s="41" t="n">
        <v>34</v>
      </c>
      <c r="L4380" s="42" t="n">
        <f aca="false">J4380*K4380</f>
        <v>143.48</v>
      </c>
      <c r="M4380" s="43" t="n">
        <f aca="false">H4380*17.84*(1+'Chart of Accounts'!$E$67)</f>
        <v>86.201096</v>
      </c>
    </row>
    <row r="4381" customFormat="false" ht="15" hidden="false" customHeight="false" outlineLevel="0" collapsed="false">
      <c r="B4381" s="7" t="s">
        <v>4878</v>
      </c>
      <c r="C4381" s="39" t="n">
        <v>45872</v>
      </c>
      <c r="D4381" s="7" t="s">
        <v>395</v>
      </c>
      <c r="E4381" s="7" t="s">
        <v>156</v>
      </c>
      <c r="F4381" s="7" t="s">
        <v>242</v>
      </c>
      <c r="G4381" s="7" t="s">
        <v>505</v>
      </c>
      <c r="H4381" s="6" t="n">
        <v>4.17</v>
      </c>
      <c r="I4381" s="6" t="n">
        <v>0</v>
      </c>
      <c r="J4381" s="40" t="n">
        <f aca="false">H4381-I4381</f>
        <v>4.17</v>
      </c>
      <c r="K4381" s="41" t="n">
        <v>34</v>
      </c>
      <c r="L4381" s="42" t="n">
        <f aca="false">J4381*K4381</f>
        <v>141.78</v>
      </c>
      <c r="M4381" s="43" t="n">
        <f aca="false">H4381*17.99*(1+'Chart of Accounts'!$E$67)</f>
        <v>85.8959535</v>
      </c>
    </row>
    <row r="4382" customFormat="false" ht="15" hidden="false" customHeight="false" outlineLevel="0" collapsed="false">
      <c r="B4382" s="7" t="s">
        <v>4879</v>
      </c>
      <c r="C4382" s="39" t="n">
        <v>45872</v>
      </c>
      <c r="D4382" s="7" t="s">
        <v>401</v>
      </c>
      <c r="E4382" s="7" t="s">
        <v>156</v>
      </c>
      <c r="F4382" s="7" t="s">
        <v>254</v>
      </c>
      <c r="G4382" s="7" t="s">
        <v>505</v>
      </c>
      <c r="H4382" s="6" t="n">
        <v>4.12</v>
      </c>
      <c r="I4382" s="6" t="n">
        <v>0</v>
      </c>
      <c r="J4382" s="40" t="n">
        <f aca="false">H4382-I4382</f>
        <v>4.12</v>
      </c>
      <c r="K4382" s="41" t="n">
        <v>34</v>
      </c>
      <c r="L4382" s="42" t="n">
        <f aca="false">J4382*K4382</f>
        <v>140.08</v>
      </c>
      <c r="M4382" s="43" t="n">
        <f aca="false">H4382*17.1*(1+'Chart of Accounts'!$E$67)</f>
        <v>80.66754</v>
      </c>
    </row>
    <row r="4383" customFormat="false" ht="15" hidden="false" customHeight="false" outlineLevel="0" collapsed="false">
      <c r="B4383" s="7" t="s">
        <v>4880</v>
      </c>
      <c r="C4383" s="39" t="n">
        <v>45873</v>
      </c>
      <c r="D4383" s="7" t="s">
        <v>280</v>
      </c>
      <c r="E4383" s="7" t="s">
        <v>157</v>
      </c>
      <c r="F4383" s="7" t="s">
        <v>187</v>
      </c>
      <c r="G4383" s="7" t="s">
        <v>502</v>
      </c>
      <c r="H4383" s="6" t="n">
        <v>1.02</v>
      </c>
      <c r="I4383" s="6" t="n">
        <v>0</v>
      </c>
      <c r="J4383" s="40" t="n">
        <f aca="false">H4383-I4383</f>
        <v>1.02</v>
      </c>
      <c r="K4383" s="41" t="n">
        <v>165</v>
      </c>
      <c r="L4383" s="42" t="n">
        <f aca="false">J4383*K4383</f>
        <v>168.3</v>
      </c>
      <c r="M4383" s="43" t="n">
        <f aca="false">H4383*66.48*(1+'Chart of Accounts'!$E$67)</f>
        <v>77.641992</v>
      </c>
    </row>
    <row r="4384" customFormat="false" ht="15" hidden="false" customHeight="false" outlineLevel="0" collapsed="false">
      <c r="B4384" s="7" t="s">
        <v>4881</v>
      </c>
      <c r="C4384" s="39" t="n">
        <v>45873</v>
      </c>
      <c r="D4384" s="7" t="s">
        <v>288</v>
      </c>
      <c r="E4384" s="7" t="s">
        <v>156</v>
      </c>
      <c r="F4384" s="7" t="s">
        <v>205</v>
      </c>
      <c r="G4384" s="7" t="s">
        <v>505</v>
      </c>
      <c r="H4384" s="6" t="n">
        <v>3.98</v>
      </c>
      <c r="I4384" s="6" t="n">
        <v>0</v>
      </c>
      <c r="J4384" s="40" t="n">
        <f aca="false">H4384-I4384</f>
        <v>3.98</v>
      </c>
      <c r="K4384" s="41" t="n">
        <v>34</v>
      </c>
      <c r="L4384" s="42" t="n">
        <f aca="false">J4384*K4384</f>
        <v>135.32</v>
      </c>
      <c r="M4384" s="43" t="n">
        <f aca="false">H4384*16.36*(1+'Chart of Accounts'!$E$67)</f>
        <v>74.554156</v>
      </c>
    </row>
    <row r="4385" customFormat="false" ht="15" hidden="false" customHeight="false" outlineLevel="0" collapsed="false">
      <c r="B4385" s="7" t="s">
        <v>4882</v>
      </c>
      <c r="C4385" s="39" t="n">
        <v>45873</v>
      </c>
      <c r="D4385" s="7" t="s">
        <v>291</v>
      </c>
      <c r="E4385" s="7" t="s">
        <v>154</v>
      </c>
      <c r="F4385" s="7" t="s">
        <v>194</v>
      </c>
      <c r="G4385" s="7" t="s">
        <v>505</v>
      </c>
      <c r="H4385" s="6" t="n">
        <v>4.52</v>
      </c>
      <c r="I4385" s="6" t="n">
        <v>0</v>
      </c>
      <c r="J4385" s="40" t="n">
        <f aca="false">H4385-I4385</f>
        <v>4.52</v>
      </c>
      <c r="K4385" s="41" t="n">
        <v>26.5</v>
      </c>
      <c r="L4385" s="42" t="n">
        <f aca="false">J4385*K4385</f>
        <v>119.78</v>
      </c>
      <c r="M4385" s="43" t="n">
        <f aca="false">H4385*16*(1+'Chart of Accounts'!$E$67)</f>
        <v>82.8064</v>
      </c>
    </row>
    <row r="4386" customFormat="false" ht="15" hidden="false" customHeight="false" outlineLevel="0" collapsed="false">
      <c r="B4386" s="7" t="s">
        <v>4883</v>
      </c>
      <c r="C4386" s="39" t="n">
        <v>45873</v>
      </c>
      <c r="D4386" s="7" t="s">
        <v>295</v>
      </c>
      <c r="E4386" s="7" t="s">
        <v>154</v>
      </c>
      <c r="F4386" s="7" t="s">
        <v>214</v>
      </c>
      <c r="G4386" s="7" t="s">
        <v>505</v>
      </c>
      <c r="H4386" s="6" t="n">
        <v>4.24</v>
      </c>
      <c r="I4386" s="6" t="n">
        <v>0</v>
      </c>
      <c r="J4386" s="40" t="n">
        <f aca="false">H4386-I4386</f>
        <v>4.24</v>
      </c>
      <c r="K4386" s="41" t="n">
        <v>26.5</v>
      </c>
      <c r="L4386" s="42" t="n">
        <f aca="false">J4386*K4386</f>
        <v>112.36</v>
      </c>
      <c r="M4386" s="43" t="n">
        <f aca="false">H4386*15.67*(1+'Chart of Accounts'!$E$67)</f>
        <v>76.074716</v>
      </c>
    </row>
    <row r="4387" customFormat="false" ht="15" hidden="false" customHeight="false" outlineLevel="0" collapsed="false">
      <c r="B4387" s="7" t="s">
        <v>4884</v>
      </c>
      <c r="C4387" s="39" t="n">
        <v>45873</v>
      </c>
      <c r="D4387" s="7" t="s">
        <v>297</v>
      </c>
      <c r="E4387" s="7" t="s">
        <v>156</v>
      </c>
      <c r="F4387" s="7" t="s">
        <v>201</v>
      </c>
      <c r="G4387" s="7" t="s">
        <v>505</v>
      </c>
      <c r="H4387" s="6" t="n">
        <v>2.98</v>
      </c>
      <c r="I4387" s="6" t="n">
        <v>0</v>
      </c>
      <c r="J4387" s="40" t="n">
        <f aca="false">H4387-I4387</f>
        <v>2.98</v>
      </c>
      <c r="K4387" s="41" t="n">
        <v>34</v>
      </c>
      <c r="L4387" s="42" t="n">
        <f aca="false">J4387*K4387</f>
        <v>101.32</v>
      </c>
      <c r="M4387" s="43" t="n">
        <f aca="false">H4387*15.19*(1+'Chart of Accounts'!$E$67)</f>
        <v>51.829799</v>
      </c>
    </row>
    <row r="4388" customFormat="false" ht="15" hidden="false" customHeight="false" outlineLevel="0" collapsed="false">
      <c r="B4388" s="7" t="s">
        <v>4885</v>
      </c>
      <c r="C4388" s="39" t="n">
        <v>45873</v>
      </c>
      <c r="D4388" s="7" t="s">
        <v>305</v>
      </c>
      <c r="E4388" s="7" t="s">
        <v>154</v>
      </c>
      <c r="F4388" s="7" t="s">
        <v>205</v>
      </c>
      <c r="G4388" s="7" t="s">
        <v>505</v>
      </c>
      <c r="H4388" s="6" t="n">
        <v>4.29</v>
      </c>
      <c r="I4388" s="6" t="n">
        <v>0</v>
      </c>
      <c r="J4388" s="40" t="n">
        <f aca="false">H4388-I4388</f>
        <v>4.29</v>
      </c>
      <c r="K4388" s="41" t="n">
        <v>26.5</v>
      </c>
      <c r="L4388" s="42" t="n">
        <f aca="false">J4388*K4388</f>
        <v>113.685</v>
      </c>
      <c r="M4388" s="43" t="n">
        <f aca="false">H4388*16.36*(1+'Chart of Accounts'!$E$67)</f>
        <v>80.361138</v>
      </c>
    </row>
    <row r="4389" customFormat="false" ht="15" hidden="false" customHeight="false" outlineLevel="0" collapsed="false">
      <c r="B4389" s="7" t="s">
        <v>4886</v>
      </c>
      <c r="C4389" s="39" t="n">
        <v>45873</v>
      </c>
      <c r="D4389" s="7" t="s">
        <v>307</v>
      </c>
      <c r="E4389" s="7" t="s">
        <v>157</v>
      </c>
      <c r="F4389" s="7" t="s">
        <v>264</v>
      </c>
      <c r="G4389" s="7" t="s">
        <v>502</v>
      </c>
      <c r="H4389" s="6" t="n">
        <v>1.05</v>
      </c>
      <c r="I4389" s="6" t="n">
        <v>0</v>
      </c>
      <c r="J4389" s="40" t="n">
        <f aca="false">H4389-I4389</f>
        <v>1.05</v>
      </c>
      <c r="K4389" s="41" t="n">
        <v>165</v>
      </c>
      <c r="L4389" s="42" t="n">
        <f aca="false">J4389*K4389</f>
        <v>173.25</v>
      </c>
      <c r="M4389" s="43" t="n">
        <f aca="false">H4389*55.55*(1+'Chart of Accounts'!$E$67)</f>
        <v>66.7849875</v>
      </c>
    </row>
    <row r="4390" customFormat="false" ht="15" hidden="false" customHeight="false" outlineLevel="0" collapsed="false">
      <c r="B4390" s="7" t="s">
        <v>4887</v>
      </c>
      <c r="C4390" s="39" t="n">
        <v>45873</v>
      </c>
      <c r="D4390" s="7" t="s">
        <v>309</v>
      </c>
      <c r="E4390" s="7" t="s">
        <v>159</v>
      </c>
      <c r="F4390" s="7" t="s">
        <v>252</v>
      </c>
      <c r="G4390" s="7" t="s">
        <v>502</v>
      </c>
      <c r="H4390" s="6" t="n">
        <v>1.09</v>
      </c>
      <c r="I4390" s="6" t="n">
        <v>0</v>
      </c>
      <c r="J4390" s="40" t="n">
        <f aca="false">H4390-I4390</f>
        <v>1.09</v>
      </c>
      <c r="K4390" s="41" t="n">
        <v>135</v>
      </c>
      <c r="L4390" s="42" t="n">
        <f aca="false">J4390*K4390</f>
        <v>147.15</v>
      </c>
      <c r="M4390" s="43" t="n">
        <f aca="false">H4390*57.54*(1+'Chart of Accounts'!$E$67)</f>
        <v>71.812797</v>
      </c>
    </row>
    <row r="4391" customFormat="false" ht="15" hidden="false" customHeight="false" outlineLevel="0" collapsed="false">
      <c r="B4391" s="7" t="s">
        <v>4888</v>
      </c>
      <c r="C4391" s="39" t="n">
        <v>45873</v>
      </c>
      <c r="D4391" s="7" t="s">
        <v>311</v>
      </c>
      <c r="E4391" s="7" t="s">
        <v>154</v>
      </c>
      <c r="F4391" s="7" t="s">
        <v>196</v>
      </c>
      <c r="G4391" s="7" t="s">
        <v>505</v>
      </c>
      <c r="H4391" s="6" t="n">
        <v>2.81</v>
      </c>
      <c r="I4391" s="6" t="n">
        <v>0</v>
      </c>
      <c r="J4391" s="40" t="n">
        <f aca="false">H4391-I4391</f>
        <v>2.81</v>
      </c>
      <c r="K4391" s="41" t="n">
        <v>26.5</v>
      </c>
      <c r="L4391" s="42" t="n">
        <f aca="false">J4391*K4391</f>
        <v>74.465</v>
      </c>
      <c r="M4391" s="43" t="n">
        <f aca="false">H4391*15.05*(1+'Chart of Accounts'!$E$67)</f>
        <v>48.4226225</v>
      </c>
    </row>
    <row r="4392" customFormat="false" ht="15" hidden="false" customHeight="false" outlineLevel="0" collapsed="false">
      <c r="B4392" s="7" t="s">
        <v>4889</v>
      </c>
      <c r="C4392" s="39" t="n">
        <v>45873</v>
      </c>
      <c r="D4392" s="7" t="s">
        <v>313</v>
      </c>
      <c r="E4392" s="7" t="s">
        <v>156</v>
      </c>
      <c r="F4392" s="7" t="s">
        <v>184</v>
      </c>
      <c r="G4392" s="7" t="s">
        <v>505</v>
      </c>
      <c r="H4392" s="6" t="n">
        <v>3.8</v>
      </c>
      <c r="I4392" s="6" t="n">
        <v>0</v>
      </c>
      <c r="J4392" s="40" t="n">
        <f aca="false">H4392-I4392</f>
        <v>3.8</v>
      </c>
      <c r="K4392" s="41" t="n">
        <v>34</v>
      </c>
      <c r="L4392" s="42" t="n">
        <f aca="false">J4392*K4392</f>
        <v>129.2</v>
      </c>
      <c r="M4392" s="43" t="n">
        <f aca="false">H4392*17.34*(1+'Chart of Accounts'!$E$67)</f>
        <v>75.44634</v>
      </c>
    </row>
    <row r="4393" customFormat="false" ht="15" hidden="false" customHeight="false" outlineLevel="0" collapsed="false">
      <c r="B4393" s="7" t="s">
        <v>4890</v>
      </c>
      <c r="C4393" s="39" t="n">
        <v>45873</v>
      </c>
      <c r="D4393" s="7" t="s">
        <v>317</v>
      </c>
      <c r="E4393" s="7" t="s">
        <v>156</v>
      </c>
      <c r="F4393" s="7" t="s">
        <v>207</v>
      </c>
      <c r="G4393" s="7" t="s">
        <v>505</v>
      </c>
      <c r="H4393" s="6" t="n">
        <v>2.9</v>
      </c>
      <c r="I4393" s="6" t="n">
        <v>0</v>
      </c>
      <c r="J4393" s="40" t="n">
        <f aca="false">H4393-I4393</f>
        <v>2.9</v>
      </c>
      <c r="K4393" s="41" t="n">
        <v>34</v>
      </c>
      <c r="L4393" s="42" t="n">
        <f aca="false">J4393*K4393</f>
        <v>98.6</v>
      </c>
      <c r="M4393" s="43" t="n">
        <f aca="false">H4393*16.65*(1+'Chart of Accounts'!$E$67)</f>
        <v>55.286325</v>
      </c>
    </row>
    <row r="4394" customFormat="false" ht="15" hidden="false" customHeight="false" outlineLevel="0" collapsed="false">
      <c r="B4394" s="7" t="s">
        <v>4891</v>
      </c>
      <c r="C4394" s="39" t="n">
        <v>45873</v>
      </c>
      <c r="D4394" s="7" t="s">
        <v>321</v>
      </c>
      <c r="E4394" s="7" t="s">
        <v>154</v>
      </c>
      <c r="F4394" s="7" t="s">
        <v>218</v>
      </c>
      <c r="G4394" s="7" t="s">
        <v>505</v>
      </c>
      <c r="H4394" s="6" t="n">
        <v>4.01</v>
      </c>
      <c r="I4394" s="6" t="n">
        <v>0</v>
      </c>
      <c r="J4394" s="40" t="n">
        <f aca="false">H4394-I4394</f>
        <v>4.01</v>
      </c>
      <c r="K4394" s="41" t="n">
        <v>26.5</v>
      </c>
      <c r="L4394" s="42" t="n">
        <f aca="false">J4394*K4394</f>
        <v>106.265</v>
      </c>
      <c r="M4394" s="43" t="n">
        <f aca="false">H4394*16.19*(1+'Chart of Accounts'!$E$67)</f>
        <v>74.3355755</v>
      </c>
    </row>
    <row r="4395" customFormat="false" ht="15" hidden="false" customHeight="false" outlineLevel="0" collapsed="false">
      <c r="B4395" s="7" t="s">
        <v>4892</v>
      </c>
      <c r="C4395" s="39" t="n">
        <v>45873</v>
      </c>
      <c r="D4395" s="7" t="s">
        <v>325</v>
      </c>
      <c r="E4395" s="7" t="s">
        <v>154</v>
      </c>
      <c r="F4395" s="7" t="s">
        <v>184</v>
      </c>
      <c r="G4395" s="7" t="s">
        <v>505</v>
      </c>
      <c r="H4395" s="6" t="n">
        <v>2.82</v>
      </c>
      <c r="I4395" s="6" t="n">
        <v>0</v>
      </c>
      <c r="J4395" s="40" t="n">
        <f aca="false">H4395-I4395</f>
        <v>2.82</v>
      </c>
      <c r="K4395" s="41" t="n">
        <v>26.5</v>
      </c>
      <c r="L4395" s="42" t="n">
        <f aca="false">J4395*K4395</f>
        <v>74.73</v>
      </c>
      <c r="M4395" s="43" t="n">
        <f aca="false">H4395*17.34*(1+'Chart of Accounts'!$E$67)</f>
        <v>55.989126</v>
      </c>
    </row>
    <row r="4396" customFormat="false" ht="15" hidden="false" customHeight="false" outlineLevel="0" collapsed="false">
      <c r="B4396" s="7" t="s">
        <v>4893</v>
      </c>
      <c r="C4396" s="39" t="n">
        <v>45873</v>
      </c>
      <c r="D4396" s="7" t="s">
        <v>329</v>
      </c>
      <c r="E4396" s="7" t="s">
        <v>156</v>
      </c>
      <c r="F4396" s="7" t="s">
        <v>220</v>
      </c>
      <c r="G4396" s="7" t="s">
        <v>505</v>
      </c>
      <c r="H4396" s="6" t="n">
        <v>4.11</v>
      </c>
      <c r="I4396" s="6" t="n">
        <v>0</v>
      </c>
      <c r="J4396" s="40" t="n">
        <f aca="false">H4396-I4396</f>
        <v>4.11</v>
      </c>
      <c r="K4396" s="41" t="n">
        <v>34</v>
      </c>
      <c r="L4396" s="42" t="n">
        <f aca="false">J4396*K4396</f>
        <v>139.74</v>
      </c>
      <c r="M4396" s="43" t="n">
        <f aca="false">H4396*16.43*(1+'Chart of Accounts'!$E$67)</f>
        <v>77.3187585</v>
      </c>
    </row>
    <row r="4397" customFormat="false" ht="15" hidden="false" customHeight="false" outlineLevel="0" collapsed="false">
      <c r="B4397" s="7" t="s">
        <v>4894</v>
      </c>
      <c r="C4397" s="39" t="n">
        <v>45873</v>
      </c>
      <c r="D4397" s="7" t="s">
        <v>335</v>
      </c>
      <c r="E4397" s="7" t="s">
        <v>154</v>
      </c>
      <c r="F4397" s="7" t="s">
        <v>177</v>
      </c>
      <c r="G4397" s="7" t="s">
        <v>505</v>
      </c>
      <c r="H4397" s="6" t="n">
        <v>4.22</v>
      </c>
      <c r="I4397" s="6" t="n">
        <v>0</v>
      </c>
      <c r="J4397" s="40" t="n">
        <f aca="false">H4397-I4397</f>
        <v>4.22</v>
      </c>
      <c r="K4397" s="41" t="n">
        <v>26.5</v>
      </c>
      <c r="L4397" s="42" t="n">
        <f aca="false">J4397*K4397</f>
        <v>111.83</v>
      </c>
      <c r="M4397" s="43" t="n">
        <f aca="false">H4397*14.56*(1+'Chart of Accounts'!$E$67)</f>
        <v>70.352464</v>
      </c>
    </row>
    <row r="4398" customFormat="false" ht="15" hidden="false" customHeight="false" outlineLevel="0" collapsed="false">
      <c r="B4398" s="7" t="s">
        <v>4895</v>
      </c>
      <c r="C4398" s="39" t="n">
        <v>45873</v>
      </c>
      <c r="D4398" s="7" t="s">
        <v>337</v>
      </c>
      <c r="E4398" s="7" t="s">
        <v>154</v>
      </c>
      <c r="F4398" s="7" t="s">
        <v>232</v>
      </c>
      <c r="G4398" s="7" t="s">
        <v>505</v>
      </c>
      <c r="H4398" s="6" t="n">
        <v>2.79</v>
      </c>
      <c r="I4398" s="6" t="n">
        <v>0</v>
      </c>
      <c r="J4398" s="40" t="n">
        <f aca="false">H4398-I4398</f>
        <v>2.79</v>
      </c>
      <c r="K4398" s="41" t="n">
        <v>26.5</v>
      </c>
      <c r="L4398" s="42" t="n">
        <f aca="false">J4398*K4398</f>
        <v>73.935</v>
      </c>
      <c r="M4398" s="43" t="n">
        <f aca="false">H4398*16.17*(1+'Chart of Accounts'!$E$67)</f>
        <v>51.6558735</v>
      </c>
    </row>
    <row r="4399" customFormat="false" ht="15" hidden="false" customHeight="false" outlineLevel="0" collapsed="false">
      <c r="B4399" s="7" t="s">
        <v>4896</v>
      </c>
      <c r="C4399" s="39" t="n">
        <v>45873</v>
      </c>
      <c r="D4399" s="7" t="s">
        <v>339</v>
      </c>
      <c r="E4399" s="7" t="s">
        <v>154</v>
      </c>
      <c r="F4399" s="7" t="s">
        <v>242</v>
      </c>
      <c r="G4399" s="7" t="s">
        <v>505</v>
      </c>
      <c r="H4399" s="6" t="n">
        <v>3.5</v>
      </c>
      <c r="I4399" s="6" t="n">
        <v>0</v>
      </c>
      <c r="J4399" s="40" t="n">
        <f aca="false">H4399-I4399</f>
        <v>3.5</v>
      </c>
      <c r="K4399" s="41" t="n">
        <v>26.5</v>
      </c>
      <c r="L4399" s="42" t="n">
        <f aca="false">J4399*K4399</f>
        <v>92.75</v>
      </c>
      <c r="M4399" s="43" t="n">
        <f aca="false">H4399*17.99*(1+'Chart of Accounts'!$E$67)</f>
        <v>72.094925</v>
      </c>
    </row>
    <row r="4400" customFormat="false" ht="15" hidden="false" customHeight="false" outlineLevel="0" collapsed="false">
      <c r="B4400" s="7" t="s">
        <v>4897</v>
      </c>
      <c r="C4400" s="39" t="n">
        <v>45873</v>
      </c>
      <c r="D4400" s="7" t="s">
        <v>341</v>
      </c>
      <c r="E4400" s="7" t="s">
        <v>156</v>
      </c>
      <c r="F4400" s="7" t="s">
        <v>222</v>
      </c>
      <c r="G4400" s="7" t="s">
        <v>505</v>
      </c>
      <c r="H4400" s="6" t="n">
        <v>3.02</v>
      </c>
      <c r="I4400" s="6" t="n">
        <v>0</v>
      </c>
      <c r="J4400" s="40" t="n">
        <f aca="false">H4400-I4400</f>
        <v>3.02</v>
      </c>
      <c r="K4400" s="41" t="n">
        <v>34</v>
      </c>
      <c r="L4400" s="42" t="n">
        <f aca="false">J4400*K4400</f>
        <v>102.68</v>
      </c>
      <c r="M4400" s="43" t="n">
        <f aca="false">H4400*17.84*(1+'Chart of Accounts'!$E$67)</f>
        <v>61.688936</v>
      </c>
    </row>
    <row r="4401" customFormat="false" ht="15" hidden="false" customHeight="false" outlineLevel="0" collapsed="false">
      <c r="B4401" s="7" t="s">
        <v>4898</v>
      </c>
      <c r="C4401" s="39" t="n">
        <v>45873</v>
      </c>
      <c r="D4401" s="7" t="s">
        <v>343</v>
      </c>
      <c r="E4401" s="7" t="s">
        <v>154</v>
      </c>
      <c r="F4401" s="7" t="s">
        <v>184</v>
      </c>
      <c r="G4401" s="7" t="s">
        <v>505</v>
      </c>
      <c r="H4401" s="6" t="n">
        <v>3.76</v>
      </c>
      <c r="I4401" s="6" t="n">
        <v>0</v>
      </c>
      <c r="J4401" s="40" t="n">
        <f aca="false">H4401-I4401</f>
        <v>3.76</v>
      </c>
      <c r="K4401" s="41" t="n">
        <v>26.5</v>
      </c>
      <c r="L4401" s="42" t="n">
        <f aca="false">J4401*K4401</f>
        <v>99.64</v>
      </c>
      <c r="M4401" s="43" t="n">
        <f aca="false">H4401*17.34*(1+'Chart of Accounts'!$E$67)</f>
        <v>74.652168</v>
      </c>
    </row>
    <row r="4402" customFormat="false" ht="15" hidden="false" customHeight="false" outlineLevel="0" collapsed="false">
      <c r="B4402" s="7" t="s">
        <v>4899</v>
      </c>
      <c r="C4402" s="39" t="n">
        <v>45873</v>
      </c>
      <c r="D4402" s="7" t="s">
        <v>347</v>
      </c>
      <c r="E4402" s="7" t="s">
        <v>154</v>
      </c>
      <c r="F4402" s="7" t="s">
        <v>238</v>
      </c>
      <c r="G4402" s="7" t="s">
        <v>505</v>
      </c>
      <c r="H4402" s="6" t="n">
        <v>4.87</v>
      </c>
      <c r="I4402" s="6" t="n">
        <v>0</v>
      </c>
      <c r="J4402" s="40" t="n">
        <f aca="false">H4402-I4402</f>
        <v>4.87</v>
      </c>
      <c r="K4402" s="41" t="n">
        <v>26.5</v>
      </c>
      <c r="L4402" s="42" t="n">
        <f aca="false">J4402*K4402</f>
        <v>129.055</v>
      </c>
      <c r="M4402" s="43" t="n">
        <f aca="false">H4402*15.85*(1+'Chart of Accounts'!$E$67)</f>
        <v>88.3819775</v>
      </c>
    </row>
    <row r="4403" customFormat="false" ht="15" hidden="false" customHeight="false" outlineLevel="0" collapsed="false">
      <c r="B4403" s="7" t="s">
        <v>4900</v>
      </c>
      <c r="C4403" s="39" t="n">
        <v>45873</v>
      </c>
      <c r="D4403" s="7" t="s">
        <v>351</v>
      </c>
      <c r="E4403" s="7" t="s">
        <v>154</v>
      </c>
      <c r="F4403" s="7" t="s">
        <v>201</v>
      </c>
      <c r="G4403" s="7" t="s">
        <v>505</v>
      </c>
      <c r="H4403" s="6" t="n">
        <v>3.15</v>
      </c>
      <c r="I4403" s="6" t="n">
        <v>0</v>
      </c>
      <c r="J4403" s="40" t="n">
        <f aca="false">H4403-I4403</f>
        <v>3.15</v>
      </c>
      <c r="K4403" s="41" t="n">
        <v>26.5</v>
      </c>
      <c r="L4403" s="42" t="n">
        <f aca="false">J4403*K4403</f>
        <v>83.475</v>
      </c>
      <c r="M4403" s="43" t="n">
        <f aca="false">H4403*15.19*(1+'Chart of Accounts'!$E$67)</f>
        <v>54.7865325</v>
      </c>
    </row>
    <row r="4404" customFormat="false" ht="15" hidden="false" customHeight="false" outlineLevel="0" collapsed="false">
      <c r="B4404" s="7" t="s">
        <v>4901</v>
      </c>
      <c r="C4404" s="39" t="n">
        <v>45873</v>
      </c>
      <c r="D4404" s="7" t="s">
        <v>353</v>
      </c>
      <c r="E4404" s="7" t="s">
        <v>154</v>
      </c>
      <c r="F4404" s="7" t="s">
        <v>254</v>
      </c>
      <c r="G4404" s="7" t="s">
        <v>505</v>
      </c>
      <c r="H4404" s="6" t="n">
        <v>3.27</v>
      </c>
      <c r="I4404" s="6" t="n">
        <v>0</v>
      </c>
      <c r="J4404" s="40" t="n">
        <f aca="false">H4404-I4404</f>
        <v>3.27</v>
      </c>
      <c r="K4404" s="41" t="n">
        <v>26.5</v>
      </c>
      <c r="L4404" s="42" t="n">
        <f aca="false">J4404*K4404</f>
        <v>86.655</v>
      </c>
      <c r="M4404" s="43" t="n">
        <f aca="false">H4404*17.1*(1+'Chart of Accounts'!$E$67)</f>
        <v>64.024965</v>
      </c>
    </row>
    <row r="4405" customFormat="false" ht="15" hidden="false" customHeight="false" outlineLevel="0" collapsed="false">
      <c r="B4405" s="7" t="s">
        <v>4902</v>
      </c>
      <c r="C4405" s="39" t="n">
        <v>45873</v>
      </c>
      <c r="D4405" s="7" t="s">
        <v>355</v>
      </c>
      <c r="E4405" s="7" t="s">
        <v>154</v>
      </c>
      <c r="F4405" s="7" t="s">
        <v>201</v>
      </c>
      <c r="G4405" s="7" t="s">
        <v>505</v>
      </c>
      <c r="H4405" s="6" t="n">
        <v>3.32</v>
      </c>
      <c r="I4405" s="6" t="n">
        <v>0</v>
      </c>
      <c r="J4405" s="40" t="n">
        <f aca="false">H4405-I4405</f>
        <v>3.32</v>
      </c>
      <c r="K4405" s="41" t="n">
        <v>26.5</v>
      </c>
      <c r="L4405" s="42" t="n">
        <f aca="false">J4405*K4405</f>
        <v>87.98</v>
      </c>
      <c r="M4405" s="43" t="n">
        <f aca="false">H4405*15.19*(1+'Chart of Accounts'!$E$67)</f>
        <v>57.743266</v>
      </c>
    </row>
    <row r="4406" customFormat="false" ht="15" hidden="false" customHeight="false" outlineLevel="0" collapsed="false">
      <c r="B4406" s="7" t="s">
        <v>4903</v>
      </c>
      <c r="C4406" s="39" t="n">
        <v>45873</v>
      </c>
      <c r="D4406" s="7" t="s">
        <v>357</v>
      </c>
      <c r="E4406" s="7" t="s">
        <v>154</v>
      </c>
      <c r="F4406" s="7" t="s">
        <v>207</v>
      </c>
      <c r="G4406" s="7" t="s">
        <v>505</v>
      </c>
      <c r="H4406" s="6" t="n">
        <v>3.61</v>
      </c>
      <c r="I4406" s="6" t="n">
        <v>0</v>
      </c>
      <c r="J4406" s="40" t="n">
        <f aca="false">H4406-I4406</f>
        <v>3.61</v>
      </c>
      <c r="K4406" s="41" t="n">
        <v>26.5</v>
      </c>
      <c r="L4406" s="42" t="n">
        <f aca="false">J4406*K4406</f>
        <v>95.665</v>
      </c>
      <c r="M4406" s="43" t="n">
        <f aca="false">H4406*16.65*(1+'Chart of Accounts'!$E$67)</f>
        <v>68.8219425</v>
      </c>
    </row>
    <row r="4407" customFormat="false" ht="15" hidden="false" customHeight="false" outlineLevel="0" collapsed="false">
      <c r="B4407" s="7" t="s">
        <v>4904</v>
      </c>
      <c r="C4407" s="39" t="n">
        <v>45873</v>
      </c>
      <c r="D4407" s="7" t="s">
        <v>359</v>
      </c>
      <c r="E4407" s="7" t="s">
        <v>156</v>
      </c>
      <c r="F4407" s="7" t="s">
        <v>242</v>
      </c>
      <c r="G4407" s="7" t="s">
        <v>505</v>
      </c>
      <c r="H4407" s="6" t="n">
        <v>3.85</v>
      </c>
      <c r="I4407" s="6" t="n">
        <v>0</v>
      </c>
      <c r="J4407" s="40" t="n">
        <f aca="false">H4407-I4407</f>
        <v>3.85</v>
      </c>
      <c r="K4407" s="41" t="n">
        <v>34</v>
      </c>
      <c r="L4407" s="42" t="n">
        <f aca="false">J4407*K4407</f>
        <v>130.9</v>
      </c>
      <c r="M4407" s="43" t="n">
        <f aca="false">H4407*17.99*(1+'Chart of Accounts'!$E$67)</f>
        <v>79.3044175</v>
      </c>
    </row>
    <row r="4408" customFormat="false" ht="15" hidden="false" customHeight="false" outlineLevel="0" collapsed="false">
      <c r="B4408" s="7" t="s">
        <v>4905</v>
      </c>
      <c r="C4408" s="39" t="n">
        <v>45873</v>
      </c>
      <c r="D4408" s="7" t="s">
        <v>363</v>
      </c>
      <c r="E4408" s="7" t="s">
        <v>156</v>
      </c>
      <c r="F4408" s="7" t="s">
        <v>246</v>
      </c>
      <c r="G4408" s="7" t="s">
        <v>505</v>
      </c>
      <c r="H4408" s="6" t="n">
        <v>4.31</v>
      </c>
      <c r="I4408" s="6" t="n">
        <v>0</v>
      </c>
      <c r="J4408" s="40" t="n">
        <f aca="false">H4408-I4408</f>
        <v>4.31</v>
      </c>
      <c r="K4408" s="41" t="n">
        <v>34</v>
      </c>
      <c r="L4408" s="42" t="n">
        <f aca="false">J4408*K4408</f>
        <v>146.54</v>
      </c>
      <c r="M4408" s="43" t="n">
        <f aca="false">H4408*16.48*(1+'Chart of Accounts'!$E$67)</f>
        <v>81.327976</v>
      </c>
    </row>
    <row r="4409" customFormat="false" ht="15" hidden="false" customHeight="false" outlineLevel="0" collapsed="false">
      <c r="B4409" s="7" t="s">
        <v>4906</v>
      </c>
      <c r="C4409" s="39" t="n">
        <v>45873</v>
      </c>
      <c r="D4409" s="7" t="s">
        <v>365</v>
      </c>
      <c r="E4409" s="7" t="s">
        <v>154</v>
      </c>
      <c r="F4409" s="7" t="s">
        <v>194</v>
      </c>
      <c r="G4409" s="7" t="s">
        <v>505</v>
      </c>
      <c r="H4409" s="6" t="n">
        <v>4.13</v>
      </c>
      <c r="I4409" s="6" t="n">
        <v>0</v>
      </c>
      <c r="J4409" s="40" t="n">
        <f aca="false">H4409-I4409</f>
        <v>4.13</v>
      </c>
      <c r="K4409" s="41" t="n">
        <v>26.5</v>
      </c>
      <c r="L4409" s="42" t="n">
        <f aca="false">J4409*K4409</f>
        <v>109.445</v>
      </c>
      <c r="M4409" s="43" t="n">
        <f aca="false">H4409*16*(1+'Chart of Accounts'!$E$67)</f>
        <v>75.6616</v>
      </c>
    </row>
    <row r="4410" customFormat="false" ht="15" hidden="false" customHeight="false" outlineLevel="0" collapsed="false">
      <c r="B4410" s="7" t="s">
        <v>4907</v>
      </c>
      <c r="C4410" s="39" t="n">
        <v>45873</v>
      </c>
      <c r="D4410" s="7" t="s">
        <v>371</v>
      </c>
      <c r="E4410" s="7" t="s">
        <v>154</v>
      </c>
      <c r="F4410" s="7" t="s">
        <v>232</v>
      </c>
      <c r="G4410" s="7" t="s">
        <v>505</v>
      </c>
      <c r="H4410" s="6" t="n">
        <v>4.2</v>
      </c>
      <c r="I4410" s="6" t="n">
        <v>0</v>
      </c>
      <c r="J4410" s="40" t="n">
        <f aca="false">H4410-I4410</f>
        <v>4.2</v>
      </c>
      <c r="K4410" s="41" t="n">
        <v>26.5</v>
      </c>
      <c r="L4410" s="42" t="n">
        <f aca="false">J4410*K4410</f>
        <v>111.3</v>
      </c>
      <c r="M4410" s="43" t="n">
        <f aca="false">H4410*16.17*(1+'Chart of Accounts'!$E$67)</f>
        <v>77.76153</v>
      </c>
    </row>
    <row r="4411" customFormat="false" ht="15" hidden="false" customHeight="false" outlineLevel="0" collapsed="false">
      <c r="B4411" s="7" t="s">
        <v>4908</v>
      </c>
      <c r="C4411" s="39" t="n">
        <v>45873</v>
      </c>
      <c r="D4411" s="7" t="s">
        <v>375</v>
      </c>
      <c r="E4411" s="7" t="s">
        <v>156</v>
      </c>
      <c r="F4411" s="7" t="s">
        <v>196</v>
      </c>
      <c r="G4411" s="7" t="s">
        <v>505</v>
      </c>
      <c r="H4411" s="6" t="n">
        <v>3.19</v>
      </c>
      <c r="I4411" s="6" t="n">
        <v>0</v>
      </c>
      <c r="J4411" s="40" t="n">
        <f aca="false">H4411-I4411</f>
        <v>3.19</v>
      </c>
      <c r="K4411" s="41" t="n">
        <v>34</v>
      </c>
      <c r="L4411" s="42" t="n">
        <f aca="false">J4411*K4411</f>
        <v>108.46</v>
      </c>
      <c r="M4411" s="43" t="n">
        <f aca="false">H4411*15.05*(1+'Chart of Accounts'!$E$67)</f>
        <v>54.9708775</v>
      </c>
    </row>
    <row r="4412" customFormat="false" ht="15" hidden="false" customHeight="false" outlineLevel="0" collapsed="false">
      <c r="B4412" s="7" t="s">
        <v>4909</v>
      </c>
      <c r="C4412" s="39" t="n">
        <v>45873</v>
      </c>
      <c r="D4412" s="7" t="s">
        <v>377</v>
      </c>
      <c r="E4412" s="7" t="s">
        <v>154</v>
      </c>
      <c r="F4412" s="7" t="s">
        <v>214</v>
      </c>
      <c r="G4412" s="7" t="s">
        <v>505</v>
      </c>
      <c r="H4412" s="6" t="n">
        <v>3.64</v>
      </c>
      <c r="I4412" s="6" t="n">
        <v>0</v>
      </c>
      <c r="J4412" s="40" t="n">
        <f aca="false">H4412-I4412</f>
        <v>3.64</v>
      </c>
      <c r="K4412" s="41" t="n">
        <v>26.5</v>
      </c>
      <c r="L4412" s="42" t="n">
        <f aca="false">J4412*K4412</f>
        <v>96.46</v>
      </c>
      <c r="M4412" s="43" t="n">
        <f aca="false">H4412*15.67*(1+'Chart of Accounts'!$E$67)</f>
        <v>65.309426</v>
      </c>
    </row>
    <row r="4413" customFormat="false" ht="15" hidden="false" customHeight="false" outlineLevel="0" collapsed="false">
      <c r="B4413" s="7" t="s">
        <v>4910</v>
      </c>
      <c r="C4413" s="39" t="n">
        <v>45873</v>
      </c>
      <c r="D4413" s="7" t="s">
        <v>379</v>
      </c>
      <c r="E4413" s="7" t="s">
        <v>156</v>
      </c>
      <c r="F4413" s="7" t="s">
        <v>224</v>
      </c>
      <c r="G4413" s="7" t="s">
        <v>505</v>
      </c>
      <c r="H4413" s="6" t="n">
        <v>4.7</v>
      </c>
      <c r="I4413" s="6" t="n">
        <v>0</v>
      </c>
      <c r="J4413" s="40" t="n">
        <f aca="false">H4413-I4413</f>
        <v>4.7</v>
      </c>
      <c r="K4413" s="41" t="n">
        <v>34</v>
      </c>
      <c r="L4413" s="42" t="n">
        <f aca="false">J4413*K4413</f>
        <v>159.8</v>
      </c>
      <c r="M4413" s="43" t="n">
        <f aca="false">H4413*14.93*(1+'Chart of Accounts'!$E$67)</f>
        <v>80.345795</v>
      </c>
    </row>
    <row r="4414" customFormat="false" ht="15" hidden="false" customHeight="false" outlineLevel="0" collapsed="false">
      <c r="B4414" s="7" t="s">
        <v>4911</v>
      </c>
      <c r="C4414" s="39" t="n">
        <v>45873</v>
      </c>
      <c r="D4414" s="7" t="s">
        <v>385</v>
      </c>
      <c r="E4414" s="7" t="s">
        <v>156</v>
      </c>
      <c r="F4414" s="7" t="s">
        <v>238</v>
      </c>
      <c r="G4414" s="7" t="s">
        <v>505</v>
      </c>
      <c r="H4414" s="6" t="n">
        <v>3.61</v>
      </c>
      <c r="I4414" s="6" t="n">
        <v>0</v>
      </c>
      <c r="J4414" s="40" t="n">
        <f aca="false">H4414-I4414</f>
        <v>3.61</v>
      </c>
      <c r="K4414" s="41" t="n">
        <v>34</v>
      </c>
      <c r="L4414" s="42" t="n">
        <f aca="false">J4414*K4414</f>
        <v>122.74</v>
      </c>
      <c r="M4414" s="43" t="n">
        <f aca="false">H4414*15.85*(1+'Chart of Accounts'!$E$67)</f>
        <v>65.5151825</v>
      </c>
    </row>
    <row r="4415" customFormat="false" ht="15" hidden="false" customHeight="false" outlineLevel="0" collapsed="false">
      <c r="B4415" s="7" t="s">
        <v>4912</v>
      </c>
      <c r="C4415" s="39" t="n">
        <v>45873</v>
      </c>
      <c r="D4415" s="7" t="s">
        <v>387</v>
      </c>
      <c r="E4415" s="7" t="s">
        <v>154</v>
      </c>
      <c r="F4415" s="7" t="s">
        <v>196</v>
      </c>
      <c r="G4415" s="7" t="s">
        <v>505</v>
      </c>
      <c r="H4415" s="6" t="n">
        <v>4.21</v>
      </c>
      <c r="I4415" s="6" t="n">
        <v>0</v>
      </c>
      <c r="J4415" s="40" t="n">
        <f aca="false">H4415-I4415</f>
        <v>4.21</v>
      </c>
      <c r="K4415" s="41" t="n">
        <v>26.5</v>
      </c>
      <c r="L4415" s="42" t="n">
        <f aca="false">J4415*K4415</f>
        <v>111.565</v>
      </c>
      <c r="M4415" s="43" t="n">
        <f aca="false">H4415*15.05*(1+'Chart of Accounts'!$E$67)</f>
        <v>72.5477725</v>
      </c>
    </row>
    <row r="4416" customFormat="false" ht="15" hidden="false" customHeight="false" outlineLevel="0" collapsed="false">
      <c r="B4416" s="7" t="s">
        <v>4913</v>
      </c>
      <c r="C4416" s="39" t="n">
        <v>45873</v>
      </c>
      <c r="D4416" s="7" t="s">
        <v>389</v>
      </c>
      <c r="E4416" s="7" t="s">
        <v>154</v>
      </c>
      <c r="F4416" s="7" t="s">
        <v>246</v>
      </c>
      <c r="G4416" s="7" t="s">
        <v>505</v>
      </c>
      <c r="H4416" s="6" t="n">
        <v>4.13</v>
      </c>
      <c r="I4416" s="6" t="n">
        <v>0</v>
      </c>
      <c r="J4416" s="40" t="n">
        <f aca="false">H4416-I4416</f>
        <v>4.13</v>
      </c>
      <c r="K4416" s="41" t="n">
        <v>26.5</v>
      </c>
      <c r="L4416" s="42" t="n">
        <f aca="false">J4416*K4416</f>
        <v>109.445</v>
      </c>
      <c r="M4416" s="43" t="n">
        <f aca="false">H4416*16.48*(1+'Chart of Accounts'!$E$67)</f>
        <v>77.931448</v>
      </c>
    </row>
    <row r="4417" customFormat="false" ht="15" hidden="false" customHeight="false" outlineLevel="0" collapsed="false">
      <c r="B4417" s="7" t="s">
        <v>4914</v>
      </c>
      <c r="C4417" s="39" t="n">
        <v>45873</v>
      </c>
      <c r="D4417" s="7" t="s">
        <v>391</v>
      </c>
      <c r="E4417" s="7" t="s">
        <v>156</v>
      </c>
      <c r="F4417" s="7" t="s">
        <v>222</v>
      </c>
      <c r="G4417" s="7" t="s">
        <v>505</v>
      </c>
      <c r="H4417" s="6" t="n">
        <v>4.03</v>
      </c>
      <c r="I4417" s="6" t="n">
        <v>0</v>
      </c>
      <c r="J4417" s="40" t="n">
        <f aca="false">H4417-I4417</f>
        <v>4.03</v>
      </c>
      <c r="K4417" s="41" t="n">
        <v>34</v>
      </c>
      <c r="L4417" s="42" t="n">
        <f aca="false">J4417*K4417</f>
        <v>137.02</v>
      </c>
      <c r="M4417" s="43" t="n">
        <f aca="false">H4417*17.84*(1+'Chart of Accounts'!$E$67)</f>
        <v>82.320004</v>
      </c>
    </row>
    <row r="4418" customFormat="false" ht="15" hidden="false" customHeight="false" outlineLevel="0" collapsed="false">
      <c r="B4418" s="7" t="s">
        <v>4915</v>
      </c>
      <c r="C4418" s="39" t="n">
        <v>45873</v>
      </c>
      <c r="D4418" s="7" t="s">
        <v>395</v>
      </c>
      <c r="E4418" s="7" t="s">
        <v>156</v>
      </c>
      <c r="F4418" s="7" t="s">
        <v>242</v>
      </c>
      <c r="G4418" s="7" t="s">
        <v>505</v>
      </c>
      <c r="H4418" s="6" t="n">
        <v>4.28</v>
      </c>
      <c r="I4418" s="6" t="n">
        <v>0</v>
      </c>
      <c r="J4418" s="40" t="n">
        <f aca="false">H4418-I4418</f>
        <v>4.28</v>
      </c>
      <c r="K4418" s="41" t="n">
        <v>34</v>
      </c>
      <c r="L4418" s="42" t="n">
        <f aca="false">J4418*K4418</f>
        <v>145.52</v>
      </c>
      <c r="M4418" s="43" t="n">
        <f aca="false">H4418*17.99*(1+'Chart of Accounts'!$E$67)</f>
        <v>88.161794</v>
      </c>
    </row>
    <row r="4419" customFormat="false" ht="15" hidden="false" customHeight="false" outlineLevel="0" collapsed="false">
      <c r="B4419" s="7" t="s">
        <v>4916</v>
      </c>
      <c r="C4419" s="39" t="n">
        <v>45873</v>
      </c>
      <c r="D4419" s="7" t="s">
        <v>399</v>
      </c>
      <c r="E4419" s="7" t="s">
        <v>154</v>
      </c>
      <c r="F4419" s="7" t="s">
        <v>207</v>
      </c>
      <c r="G4419" s="7" t="s">
        <v>505</v>
      </c>
      <c r="H4419" s="6" t="n">
        <v>3.48</v>
      </c>
      <c r="I4419" s="6" t="n">
        <v>0.104</v>
      </c>
      <c r="J4419" s="40" t="n">
        <f aca="false">H4419-I4419</f>
        <v>3.376</v>
      </c>
      <c r="K4419" s="41" t="n">
        <v>26.5</v>
      </c>
      <c r="L4419" s="42" t="n">
        <f aca="false">J4419*K4419</f>
        <v>89.464</v>
      </c>
      <c r="M4419" s="43" t="n">
        <f aca="false">H4419*16.65*(1+'Chart of Accounts'!$E$67)</f>
        <v>66.34359</v>
      </c>
    </row>
    <row r="4420" customFormat="false" ht="15" hidden="false" customHeight="false" outlineLevel="0" collapsed="false">
      <c r="B4420" s="7" t="s">
        <v>4917</v>
      </c>
      <c r="C4420" s="39" t="n">
        <v>45873</v>
      </c>
      <c r="D4420" s="7" t="s">
        <v>401</v>
      </c>
      <c r="E4420" s="7" t="s">
        <v>156</v>
      </c>
      <c r="F4420" s="7" t="s">
        <v>254</v>
      </c>
      <c r="G4420" s="7" t="s">
        <v>505</v>
      </c>
      <c r="H4420" s="6" t="n">
        <v>3.94</v>
      </c>
      <c r="I4420" s="6" t="n">
        <v>0</v>
      </c>
      <c r="J4420" s="40" t="n">
        <f aca="false">H4420-I4420</f>
        <v>3.94</v>
      </c>
      <c r="K4420" s="41" t="n">
        <v>34</v>
      </c>
      <c r="L4420" s="42" t="n">
        <f aca="false">J4420*K4420</f>
        <v>133.96</v>
      </c>
      <c r="M4420" s="43" t="n">
        <f aca="false">H4420*17.1*(1+'Chart of Accounts'!$E$67)</f>
        <v>77.14323</v>
      </c>
    </row>
    <row r="4421" customFormat="false" ht="15" hidden="false" customHeight="false" outlineLevel="0" collapsed="false">
      <c r="B4421" s="7" t="s">
        <v>4918</v>
      </c>
      <c r="C4421" s="39" t="n">
        <v>45873</v>
      </c>
      <c r="D4421" s="7" t="s">
        <v>409</v>
      </c>
      <c r="E4421" s="7" t="s">
        <v>154</v>
      </c>
      <c r="F4421" s="7" t="s">
        <v>214</v>
      </c>
      <c r="G4421" s="7" t="s">
        <v>505</v>
      </c>
      <c r="H4421" s="6" t="n">
        <v>3.32</v>
      </c>
      <c r="I4421" s="6" t="n">
        <v>0</v>
      </c>
      <c r="J4421" s="40" t="n">
        <f aca="false">H4421-I4421</f>
        <v>3.32</v>
      </c>
      <c r="K4421" s="41" t="n">
        <v>26.5</v>
      </c>
      <c r="L4421" s="42" t="n">
        <f aca="false">J4421*K4421</f>
        <v>87.98</v>
      </c>
      <c r="M4421" s="43" t="n">
        <f aca="false">H4421*15.67*(1+'Chart of Accounts'!$E$67)</f>
        <v>59.567938</v>
      </c>
    </row>
    <row r="4422" customFormat="false" ht="15" hidden="false" customHeight="false" outlineLevel="0" collapsed="false">
      <c r="B4422" s="7" t="s">
        <v>4919</v>
      </c>
      <c r="C4422" s="39" t="n">
        <v>45873</v>
      </c>
      <c r="D4422" s="7" t="s">
        <v>411</v>
      </c>
      <c r="E4422" s="7" t="s">
        <v>154</v>
      </c>
      <c r="F4422" s="7" t="s">
        <v>177</v>
      </c>
      <c r="G4422" s="7" t="s">
        <v>505</v>
      </c>
      <c r="H4422" s="6" t="n">
        <v>4.88</v>
      </c>
      <c r="I4422" s="6" t="n">
        <v>0</v>
      </c>
      <c r="J4422" s="40" t="n">
        <f aca="false">H4422-I4422</f>
        <v>4.88</v>
      </c>
      <c r="K4422" s="41" t="n">
        <v>26.5</v>
      </c>
      <c r="L4422" s="42" t="n">
        <f aca="false">J4422*K4422</f>
        <v>129.32</v>
      </c>
      <c r="M4422" s="43" t="n">
        <f aca="false">H4422*14.56*(1+'Chart of Accounts'!$E$67)</f>
        <v>81.355456</v>
      </c>
    </row>
    <row r="4423" customFormat="false" ht="15" hidden="false" customHeight="false" outlineLevel="0" collapsed="false">
      <c r="B4423" s="7" t="s">
        <v>4920</v>
      </c>
      <c r="C4423" s="39" t="n">
        <v>45874</v>
      </c>
      <c r="D4423" s="7" t="s">
        <v>288</v>
      </c>
      <c r="E4423" s="7" t="s">
        <v>156</v>
      </c>
      <c r="F4423" s="7" t="s">
        <v>238</v>
      </c>
      <c r="G4423" s="7" t="s">
        <v>505</v>
      </c>
      <c r="H4423" s="6" t="n">
        <v>3.81</v>
      </c>
      <c r="I4423" s="6" t="n">
        <v>0</v>
      </c>
      <c r="J4423" s="40" t="n">
        <f aca="false">H4423-I4423</f>
        <v>3.81</v>
      </c>
      <c r="K4423" s="41" t="n">
        <v>34</v>
      </c>
      <c r="L4423" s="42" t="n">
        <f aca="false">J4423*K4423</f>
        <v>129.54</v>
      </c>
      <c r="M4423" s="43" t="n">
        <f aca="false">H4423*15.85*(1+'Chart of Accounts'!$E$67)</f>
        <v>69.1448325</v>
      </c>
    </row>
    <row r="4424" customFormat="false" ht="15" hidden="false" customHeight="false" outlineLevel="0" collapsed="false">
      <c r="B4424" s="7" t="s">
        <v>4921</v>
      </c>
      <c r="C4424" s="39" t="n">
        <v>45874</v>
      </c>
      <c r="D4424" s="7" t="s">
        <v>301</v>
      </c>
      <c r="E4424" s="7" t="s">
        <v>157</v>
      </c>
      <c r="F4424" s="7" t="s">
        <v>209</v>
      </c>
      <c r="G4424" s="7" t="s">
        <v>502</v>
      </c>
      <c r="H4424" s="6" t="n">
        <v>0.93</v>
      </c>
      <c r="I4424" s="6" t="n">
        <v>0</v>
      </c>
      <c r="J4424" s="40" t="n">
        <f aca="false">H4424-I4424</f>
        <v>0.93</v>
      </c>
      <c r="K4424" s="41" t="n">
        <v>165</v>
      </c>
      <c r="L4424" s="42" t="n">
        <f aca="false">J4424*K4424</f>
        <v>153.45</v>
      </c>
      <c r="M4424" s="43" t="n">
        <f aca="false">H4424*73.58*(1+'Chart of Accounts'!$E$67)</f>
        <v>78.351663</v>
      </c>
    </row>
    <row r="4425" customFormat="false" ht="15" hidden="false" customHeight="false" outlineLevel="0" collapsed="false">
      <c r="B4425" s="7" t="s">
        <v>4922</v>
      </c>
      <c r="C4425" s="39" t="n">
        <v>45874</v>
      </c>
      <c r="D4425" s="7" t="s">
        <v>313</v>
      </c>
      <c r="E4425" s="7" t="s">
        <v>156</v>
      </c>
      <c r="F4425" s="7" t="s">
        <v>184</v>
      </c>
      <c r="G4425" s="7" t="s">
        <v>505</v>
      </c>
      <c r="H4425" s="6" t="n">
        <v>3.85</v>
      </c>
      <c r="I4425" s="6" t="n">
        <v>0</v>
      </c>
      <c r="J4425" s="40" t="n">
        <f aca="false">H4425-I4425</f>
        <v>3.85</v>
      </c>
      <c r="K4425" s="41" t="n">
        <v>34</v>
      </c>
      <c r="L4425" s="42" t="n">
        <f aca="false">J4425*K4425</f>
        <v>130.9</v>
      </c>
      <c r="M4425" s="43" t="n">
        <f aca="false">H4425*17.34*(1+'Chart of Accounts'!$E$67)</f>
        <v>76.439055</v>
      </c>
    </row>
    <row r="4426" customFormat="false" ht="15" hidden="false" customHeight="false" outlineLevel="0" collapsed="false">
      <c r="B4426" s="7" t="s">
        <v>4923</v>
      </c>
      <c r="C4426" s="39" t="n">
        <v>45874</v>
      </c>
      <c r="D4426" s="7" t="s">
        <v>319</v>
      </c>
      <c r="E4426" s="7" t="s">
        <v>157</v>
      </c>
      <c r="F4426" s="7" t="s">
        <v>234</v>
      </c>
      <c r="G4426" s="7" t="s">
        <v>502</v>
      </c>
      <c r="H4426" s="6" t="n">
        <v>0.91</v>
      </c>
      <c r="I4426" s="6" t="n">
        <v>0</v>
      </c>
      <c r="J4426" s="40" t="n">
        <f aca="false">H4426-I4426</f>
        <v>0.91</v>
      </c>
      <c r="K4426" s="41" t="n">
        <v>165</v>
      </c>
      <c r="L4426" s="42" t="n">
        <f aca="false">J4426*K4426</f>
        <v>150.15</v>
      </c>
      <c r="M4426" s="43" t="n">
        <f aca="false">H4426*89.53*(1+'Chart of Accounts'!$E$67)</f>
        <v>93.2857835</v>
      </c>
    </row>
    <row r="4427" customFormat="false" ht="15" hidden="false" customHeight="false" outlineLevel="0" collapsed="false">
      <c r="B4427" s="7" t="s">
        <v>4924</v>
      </c>
      <c r="C4427" s="39" t="n">
        <v>45874</v>
      </c>
      <c r="D4427" s="7" t="s">
        <v>323</v>
      </c>
      <c r="E4427" s="7" t="s">
        <v>159</v>
      </c>
      <c r="F4427" s="7" t="s">
        <v>266</v>
      </c>
      <c r="G4427" s="7" t="s">
        <v>502</v>
      </c>
      <c r="H4427" s="6" t="n">
        <v>0.91</v>
      </c>
      <c r="I4427" s="6" t="n">
        <v>0</v>
      </c>
      <c r="J4427" s="40" t="n">
        <f aca="false">H4427-I4427</f>
        <v>0.91</v>
      </c>
      <c r="K4427" s="41" t="n">
        <v>135</v>
      </c>
      <c r="L4427" s="42" t="n">
        <f aca="false">J4427*K4427</f>
        <v>122.85</v>
      </c>
      <c r="M4427" s="43" t="n">
        <f aca="false">H4427*75.18*(1+'Chart of Accounts'!$E$67)</f>
        <v>78.333801</v>
      </c>
    </row>
    <row r="4428" customFormat="false" ht="15" hidden="false" customHeight="false" outlineLevel="0" collapsed="false">
      <c r="B4428" s="7" t="s">
        <v>4925</v>
      </c>
      <c r="C4428" s="39" t="n">
        <v>45874</v>
      </c>
      <c r="D4428" s="7" t="s">
        <v>327</v>
      </c>
      <c r="E4428" s="7" t="s">
        <v>157</v>
      </c>
      <c r="F4428" s="7" t="s">
        <v>228</v>
      </c>
      <c r="G4428" s="7" t="s">
        <v>502</v>
      </c>
      <c r="H4428" s="6" t="n">
        <v>0.95</v>
      </c>
      <c r="I4428" s="6" t="n">
        <v>0</v>
      </c>
      <c r="J4428" s="40" t="n">
        <f aca="false">H4428-I4428</f>
        <v>0.95</v>
      </c>
      <c r="K4428" s="41" t="n">
        <v>165</v>
      </c>
      <c r="L4428" s="42" t="n">
        <f aca="false">J4428*K4428</f>
        <v>156.75</v>
      </c>
      <c r="M4428" s="43" t="n">
        <f aca="false">H4428*51.07*(1+'Chart of Accounts'!$E$67)</f>
        <v>55.5513925</v>
      </c>
    </row>
    <row r="4429" customFormat="false" ht="15" hidden="false" customHeight="false" outlineLevel="0" collapsed="false">
      <c r="B4429" s="7" t="s">
        <v>4926</v>
      </c>
      <c r="C4429" s="39" t="n">
        <v>45874</v>
      </c>
      <c r="D4429" s="7" t="s">
        <v>329</v>
      </c>
      <c r="E4429" s="7" t="s">
        <v>156</v>
      </c>
      <c r="F4429" s="7" t="s">
        <v>220</v>
      </c>
      <c r="G4429" s="7" t="s">
        <v>505</v>
      </c>
      <c r="H4429" s="6" t="n">
        <v>3.87</v>
      </c>
      <c r="I4429" s="6" t="n">
        <v>0</v>
      </c>
      <c r="J4429" s="40" t="n">
        <f aca="false">H4429-I4429</f>
        <v>3.87</v>
      </c>
      <c r="K4429" s="41" t="n">
        <v>34</v>
      </c>
      <c r="L4429" s="42" t="n">
        <f aca="false">J4429*K4429</f>
        <v>131.58</v>
      </c>
      <c r="M4429" s="43" t="n">
        <f aca="false">H4429*16.43*(1+'Chart of Accounts'!$E$67)</f>
        <v>72.8037945</v>
      </c>
    </row>
    <row r="4430" customFormat="false" ht="15" hidden="false" customHeight="false" outlineLevel="0" collapsed="false">
      <c r="B4430" s="7" t="s">
        <v>4927</v>
      </c>
      <c r="C4430" s="39" t="n">
        <v>45874</v>
      </c>
      <c r="D4430" s="7" t="s">
        <v>359</v>
      </c>
      <c r="E4430" s="7" t="s">
        <v>156</v>
      </c>
      <c r="F4430" s="7" t="s">
        <v>244</v>
      </c>
      <c r="G4430" s="7" t="s">
        <v>505</v>
      </c>
      <c r="H4430" s="6" t="n">
        <v>4.03</v>
      </c>
      <c r="I4430" s="6" t="n">
        <v>0</v>
      </c>
      <c r="J4430" s="40" t="n">
        <f aca="false">H4430-I4430</f>
        <v>4.03</v>
      </c>
      <c r="K4430" s="41" t="n">
        <v>34</v>
      </c>
      <c r="L4430" s="42" t="n">
        <f aca="false">J4430*K4430</f>
        <v>137.02</v>
      </c>
      <c r="M4430" s="43" t="n">
        <f aca="false">H4430*16.39*(1+'Chart of Accounts'!$E$67)</f>
        <v>75.6291965</v>
      </c>
    </row>
    <row r="4431" customFormat="false" ht="15" hidden="false" customHeight="false" outlineLevel="0" collapsed="false">
      <c r="B4431" s="7" t="s">
        <v>4928</v>
      </c>
      <c r="C4431" s="39" t="n">
        <v>45874</v>
      </c>
      <c r="D4431" s="7" t="s">
        <v>361</v>
      </c>
      <c r="E4431" s="7" t="s">
        <v>157</v>
      </c>
      <c r="F4431" s="7" t="s">
        <v>209</v>
      </c>
      <c r="G4431" s="7" t="s">
        <v>502</v>
      </c>
      <c r="H4431" s="6" t="n">
        <v>0.96</v>
      </c>
      <c r="I4431" s="6" t="n">
        <v>0</v>
      </c>
      <c r="J4431" s="40" t="n">
        <f aca="false">H4431-I4431</f>
        <v>0.96</v>
      </c>
      <c r="K4431" s="41" t="n">
        <v>165</v>
      </c>
      <c r="L4431" s="42" t="n">
        <f aca="false">J4431*K4431</f>
        <v>158.4</v>
      </c>
      <c r="M4431" s="43" t="n">
        <f aca="false">H4431*73.58*(1+'Chart of Accounts'!$E$67)</f>
        <v>80.879136</v>
      </c>
    </row>
    <row r="4432" customFormat="false" ht="15" hidden="false" customHeight="false" outlineLevel="0" collapsed="false">
      <c r="B4432" s="7" t="s">
        <v>4929</v>
      </c>
      <c r="C4432" s="39" t="n">
        <v>45874</v>
      </c>
      <c r="D4432" s="7" t="s">
        <v>365</v>
      </c>
      <c r="E4432" s="7" t="s">
        <v>154</v>
      </c>
      <c r="F4432" s="7" t="s">
        <v>194</v>
      </c>
      <c r="G4432" s="7" t="s">
        <v>505</v>
      </c>
      <c r="H4432" s="6" t="n">
        <v>3.88</v>
      </c>
      <c r="I4432" s="6" t="n">
        <v>0</v>
      </c>
      <c r="J4432" s="40" t="n">
        <f aca="false">H4432-I4432</f>
        <v>3.88</v>
      </c>
      <c r="K4432" s="41" t="n">
        <v>26.5</v>
      </c>
      <c r="L4432" s="42" t="n">
        <f aca="false">J4432*K4432</f>
        <v>102.82</v>
      </c>
      <c r="M4432" s="43" t="n">
        <f aca="false">H4432*16*(1+'Chart of Accounts'!$E$67)</f>
        <v>71.0816</v>
      </c>
    </row>
    <row r="4433" customFormat="false" ht="15" hidden="false" customHeight="false" outlineLevel="0" collapsed="false">
      <c r="B4433" s="7" t="s">
        <v>4930</v>
      </c>
      <c r="C4433" s="39" t="n">
        <v>45874</v>
      </c>
      <c r="D4433" s="7" t="s">
        <v>369</v>
      </c>
      <c r="E4433" s="7" t="s">
        <v>159</v>
      </c>
      <c r="F4433" s="7" t="s">
        <v>258</v>
      </c>
      <c r="G4433" s="7" t="s">
        <v>502</v>
      </c>
      <c r="H4433" s="6" t="n">
        <v>1.09</v>
      </c>
      <c r="I4433" s="6" t="n">
        <v>0</v>
      </c>
      <c r="J4433" s="40" t="n">
        <f aca="false">H4433-I4433</f>
        <v>1.09</v>
      </c>
      <c r="K4433" s="41" t="n">
        <v>135</v>
      </c>
      <c r="L4433" s="42" t="n">
        <f aca="false">J4433*K4433</f>
        <v>147.15</v>
      </c>
      <c r="M4433" s="43" t="n">
        <f aca="false">H4433*61.61*(1+'Chart of Accounts'!$E$67)</f>
        <v>76.8923605</v>
      </c>
    </row>
    <row r="4434" customFormat="false" ht="15" hidden="false" customHeight="false" outlineLevel="0" collapsed="false">
      <c r="B4434" s="7" t="s">
        <v>4931</v>
      </c>
      <c r="C4434" s="39" t="n">
        <v>45874</v>
      </c>
      <c r="D4434" s="7" t="s">
        <v>381</v>
      </c>
      <c r="E4434" s="7" t="s">
        <v>157</v>
      </c>
      <c r="F4434" s="7" t="s">
        <v>234</v>
      </c>
      <c r="G4434" s="7" t="s">
        <v>502</v>
      </c>
      <c r="H4434" s="6" t="n">
        <v>1.02</v>
      </c>
      <c r="I4434" s="6" t="n">
        <v>0</v>
      </c>
      <c r="J4434" s="40" t="n">
        <f aca="false">H4434-I4434</f>
        <v>1.02</v>
      </c>
      <c r="K4434" s="41" t="n">
        <v>165</v>
      </c>
      <c r="L4434" s="42" t="n">
        <f aca="false">J4434*K4434</f>
        <v>168.3</v>
      </c>
      <c r="M4434" s="43" t="n">
        <f aca="false">H4434*89.53*(1+'Chart of Accounts'!$E$67)</f>
        <v>104.562087</v>
      </c>
    </row>
    <row r="4435" customFormat="false" ht="15" hidden="false" customHeight="false" outlineLevel="0" collapsed="false">
      <c r="B4435" s="7" t="s">
        <v>4932</v>
      </c>
      <c r="C4435" s="39" t="n">
        <v>45874</v>
      </c>
      <c r="D4435" s="7" t="s">
        <v>383</v>
      </c>
      <c r="E4435" s="7" t="s">
        <v>157</v>
      </c>
      <c r="F4435" s="7" t="s">
        <v>230</v>
      </c>
      <c r="G4435" s="7" t="s">
        <v>502</v>
      </c>
      <c r="H4435" s="6" t="n">
        <v>1.1</v>
      </c>
      <c r="I4435" s="6" t="n">
        <v>0</v>
      </c>
      <c r="J4435" s="40" t="n">
        <f aca="false">H4435-I4435</f>
        <v>1.1</v>
      </c>
      <c r="K4435" s="41" t="n">
        <v>165</v>
      </c>
      <c r="L4435" s="42" t="n">
        <f aca="false">J4435*K4435</f>
        <v>181.5</v>
      </c>
      <c r="M4435" s="43" t="n">
        <f aca="false">H4435*48.78*(1+'Chart of Accounts'!$E$67)</f>
        <v>61.43841</v>
      </c>
    </row>
    <row r="4436" customFormat="false" ht="15" hidden="false" customHeight="false" outlineLevel="0" collapsed="false">
      <c r="B4436" s="7" t="s">
        <v>4933</v>
      </c>
      <c r="C4436" s="39" t="n">
        <v>45874</v>
      </c>
      <c r="D4436" s="7" t="s">
        <v>387</v>
      </c>
      <c r="E4436" s="7" t="s">
        <v>154</v>
      </c>
      <c r="F4436" s="7" t="s">
        <v>196</v>
      </c>
      <c r="G4436" s="7" t="s">
        <v>505</v>
      </c>
      <c r="H4436" s="6" t="n">
        <v>4.02</v>
      </c>
      <c r="I4436" s="6" t="n">
        <v>0</v>
      </c>
      <c r="J4436" s="40" t="n">
        <f aca="false">H4436-I4436</f>
        <v>4.02</v>
      </c>
      <c r="K4436" s="41" t="n">
        <v>26.5</v>
      </c>
      <c r="L4436" s="42" t="n">
        <f aca="false">J4436*K4436</f>
        <v>106.53</v>
      </c>
      <c r="M4436" s="43" t="n">
        <f aca="false">H4436*15.05*(1+'Chart of Accounts'!$E$67)</f>
        <v>69.273645</v>
      </c>
    </row>
    <row r="4437" customFormat="false" ht="15" hidden="false" customHeight="false" outlineLevel="0" collapsed="false">
      <c r="B4437" s="7" t="s">
        <v>4934</v>
      </c>
      <c r="C4437" s="39" t="n">
        <v>45874</v>
      </c>
      <c r="D4437" s="7" t="s">
        <v>389</v>
      </c>
      <c r="E4437" s="7" t="s">
        <v>154</v>
      </c>
      <c r="F4437" s="7" t="s">
        <v>246</v>
      </c>
      <c r="G4437" s="7" t="s">
        <v>505</v>
      </c>
      <c r="H4437" s="6" t="n">
        <v>4.39</v>
      </c>
      <c r="I4437" s="6" t="n">
        <v>0</v>
      </c>
      <c r="J4437" s="40" t="n">
        <f aca="false">H4437-I4437</f>
        <v>4.39</v>
      </c>
      <c r="K4437" s="41" t="n">
        <v>26.5</v>
      </c>
      <c r="L4437" s="42" t="n">
        <f aca="false">J4437*K4437</f>
        <v>116.335</v>
      </c>
      <c r="M4437" s="43" t="n">
        <f aca="false">H4437*16.48*(1+'Chart of Accounts'!$E$67)</f>
        <v>82.837544</v>
      </c>
    </row>
    <row r="4438" customFormat="false" ht="15" hidden="false" customHeight="false" outlineLevel="0" collapsed="false">
      <c r="B4438" s="7" t="s">
        <v>4935</v>
      </c>
      <c r="C4438" s="39" t="n">
        <v>45874</v>
      </c>
      <c r="D4438" s="7" t="s">
        <v>391</v>
      </c>
      <c r="E4438" s="7" t="s">
        <v>156</v>
      </c>
      <c r="F4438" s="7" t="s">
        <v>222</v>
      </c>
      <c r="G4438" s="7" t="s">
        <v>505</v>
      </c>
      <c r="H4438" s="6" t="n">
        <v>3.87</v>
      </c>
      <c r="I4438" s="6" t="n">
        <v>0</v>
      </c>
      <c r="J4438" s="40" t="n">
        <f aca="false">H4438-I4438</f>
        <v>3.87</v>
      </c>
      <c r="K4438" s="41" t="n">
        <v>34</v>
      </c>
      <c r="L4438" s="42" t="n">
        <f aca="false">J4438*K4438</f>
        <v>131.58</v>
      </c>
      <c r="M4438" s="43" t="n">
        <f aca="false">H4438*17.84*(1+'Chart of Accounts'!$E$67)</f>
        <v>79.051716</v>
      </c>
    </row>
    <row r="4439" customFormat="false" ht="15" hidden="false" customHeight="false" outlineLevel="0" collapsed="false">
      <c r="B4439" s="7" t="s">
        <v>4936</v>
      </c>
      <c r="C4439" s="39" t="n">
        <v>45874</v>
      </c>
      <c r="D4439" s="7" t="s">
        <v>395</v>
      </c>
      <c r="E4439" s="7" t="s">
        <v>156</v>
      </c>
      <c r="F4439" s="7" t="s">
        <v>242</v>
      </c>
      <c r="G4439" s="7" t="s">
        <v>505</v>
      </c>
      <c r="H4439" s="6" t="n">
        <v>3.68</v>
      </c>
      <c r="I4439" s="6" t="n">
        <v>0</v>
      </c>
      <c r="J4439" s="40" t="n">
        <f aca="false">H4439-I4439</f>
        <v>3.68</v>
      </c>
      <c r="K4439" s="41" t="n">
        <v>34</v>
      </c>
      <c r="L4439" s="42" t="n">
        <f aca="false">J4439*K4439</f>
        <v>125.12</v>
      </c>
      <c r="M4439" s="43" t="n">
        <f aca="false">H4439*17.99*(1+'Chart of Accounts'!$E$67)</f>
        <v>75.802664</v>
      </c>
    </row>
    <row r="4440" customFormat="false" ht="15" hidden="false" customHeight="false" outlineLevel="0" collapsed="false">
      <c r="B4440" s="7" t="s">
        <v>4937</v>
      </c>
      <c r="C4440" s="39" t="n">
        <v>45874</v>
      </c>
      <c r="D4440" s="7" t="s">
        <v>397</v>
      </c>
      <c r="E4440" s="7" t="s">
        <v>159</v>
      </c>
      <c r="F4440" s="7" t="s">
        <v>203</v>
      </c>
      <c r="G4440" s="7" t="s">
        <v>502</v>
      </c>
      <c r="H4440" s="6" t="n">
        <v>0.94</v>
      </c>
      <c r="I4440" s="6" t="n">
        <v>0</v>
      </c>
      <c r="J4440" s="40" t="n">
        <f aca="false">H4440-I4440</f>
        <v>0.94</v>
      </c>
      <c r="K4440" s="41" t="n">
        <v>135</v>
      </c>
      <c r="L4440" s="42" t="n">
        <f aca="false">J4440*K4440</f>
        <v>126.9</v>
      </c>
      <c r="M4440" s="43" t="n">
        <f aca="false">H4440*49.43*(1+'Chart of Accounts'!$E$67)</f>
        <v>53.201509</v>
      </c>
    </row>
    <row r="4441" customFormat="false" ht="15" hidden="false" customHeight="false" outlineLevel="0" collapsed="false">
      <c r="B4441" s="7" t="s">
        <v>4938</v>
      </c>
      <c r="C4441" s="39" t="n">
        <v>45874</v>
      </c>
      <c r="D4441" s="7" t="s">
        <v>401</v>
      </c>
      <c r="E4441" s="7" t="s">
        <v>156</v>
      </c>
      <c r="F4441" s="7" t="s">
        <v>254</v>
      </c>
      <c r="G4441" s="7" t="s">
        <v>505</v>
      </c>
      <c r="H4441" s="6" t="n">
        <v>4.22</v>
      </c>
      <c r="I4441" s="6" t="n">
        <v>0</v>
      </c>
      <c r="J4441" s="40" t="n">
        <f aca="false">H4441-I4441</f>
        <v>4.22</v>
      </c>
      <c r="K4441" s="41" t="n">
        <v>34</v>
      </c>
      <c r="L4441" s="42" t="n">
        <f aca="false">J4441*K4441</f>
        <v>143.48</v>
      </c>
      <c r="M4441" s="43" t="n">
        <f aca="false">H4441*17.1*(1+'Chart of Accounts'!$E$67)</f>
        <v>82.62549</v>
      </c>
    </row>
    <row r="4442" customFormat="false" ht="15" hidden="false" customHeight="false" outlineLevel="0" collapsed="false">
      <c r="B4442" s="7" t="s">
        <v>4939</v>
      </c>
      <c r="C4442" s="39" t="n">
        <v>45874</v>
      </c>
      <c r="D4442" s="7" t="s">
        <v>407</v>
      </c>
      <c r="E4442" s="7" t="s">
        <v>159</v>
      </c>
      <c r="F4442" s="7" t="s">
        <v>260</v>
      </c>
      <c r="G4442" s="7" t="s">
        <v>502</v>
      </c>
      <c r="H4442" s="6" t="n">
        <v>1.1</v>
      </c>
      <c r="I4442" s="6" t="n">
        <v>0</v>
      </c>
      <c r="J4442" s="40" t="n">
        <f aca="false">H4442-I4442</f>
        <v>1.1</v>
      </c>
      <c r="K4442" s="41" t="n">
        <v>135</v>
      </c>
      <c r="L4442" s="42" t="n">
        <f aca="false">J4442*K4442</f>
        <v>148.5</v>
      </c>
      <c r="M4442" s="43" t="n">
        <f aca="false">H4442*79.8*(1+'Chart of Accounts'!$E$67)</f>
        <v>100.5081</v>
      </c>
    </row>
    <row r="4443" customFormat="false" ht="15" hidden="false" customHeight="false" outlineLevel="0" collapsed="false">
      <c r="B4443" s="7" t="s">
        <v>4940</v>
      </c>
      <c r="C4443" s="39" t="n">
        <v>45875</v>
      </c>
      <c r="D4443" s="7" t="s">
        <v>280</v>
      </c>
      <c r="E4443" s="7" t="s">
        <v>157</v>
      </c>
      <c r="F4443" s="7" t="s">
        <v>187</v>
      </c>
      <c r="G4443" s="7" t="s">
        <v>502</v>
      </c>
      <c r="H4443" s="6" t="n">
        <v>1.08</v>
      </c>
      <c r="I4443" s="6" t="n">
        <v>0</v>
      </c>
      <c r="J4443" s="40" t="n">
        <f aca="false">H4443-I4443</f>
        <v>1.08</v>
      </c>
      <c r="K4443" s="41" t="n">
        <v>165</v>
      </c>
      <c r="L4443" s="42" t="n">
        <f aca="false">J4443*K4443</f>
        <v>178.2</v>
      </c>
      <c r="M4443" s="43" t="n">
        <f aca="false">H4443*66.48*(1+'Chart of Accounts'!$E$67)</f>
        <v>82.209168</v>
      </c>
    </row>
    <row r="4444" customFormat="false" ht="15" hidden="false" customHeight="false" outlineLevel="0" collapsed="false">
      <c r="B4444" s="7" t="s">
        <v>4941</v>
      </c>
      <c r="C4444" s="39" t="n">
        <v>45875</v>
      </c>
      <c r="D4444" s="7" t="s">
        <v>288</v>
      </c>
      <c r="E4444" s="7" t="s">
        <v>156</v>
      </c>
      <c r="F4444" s="7" t="s">
        <v>207</v>
      </c>
      <c r="G4444" s="7" t="s">
        <v>505</v>
      </c>
      <c r="H4444" s="6" t="n">
        <v>3.91</v>
      </c>
      <c r="I4444" s="6" t="n">
        <v>0</v>
      </c>
      <c r="J4444" s="40" t="n">
        <f aca="false">H4444-I4444</f>
        <v>3.91</v>
      </c>
      <c r="K4444" s="41" t="n">
        <v>34</v>
      </c>
      <c r="L4444" s="42" t="n">
        <f aca="false">J4444*K4444</f>
        <v>132.94</v>
      </c>
      <c r="M4444" s="43" t="n">
        <f aca="false">H4444*16.65*(1+'Chart of Accounts'!$E$67)</f>
        <v>74.5412175</v>
      </c>
    </row>
    <row r="4445" customFormat="false" ht="15" hidden="false" customHeight="false" outlineLevel="0" collapsed="false">
      <c r="B4445" s="7" t="s">
        <v>4942</v>
      </c>
      <c r="C4445" s="39" t="n">
        <v>45875</v>
      </c>
      <c r="D4445" s="7" t="s">
        <v>291</v>
      </c>
      <c r="E4445" s="7" t="s">
        <v>154</v>
      </c>
      <c r="F4445" s="7" t="s">
        <v>194</v>
      </c>
      <c r="G4445" s="7" t="s">
        <v>505</v>
      </c>
      <c r="H4445" s="6" t="n">
        <v>4.23</v>
      </c>
      <c r="I4445" s="6" t="n">
        <v>0</v>
      </c>
      <c r="J4445" s="40" t="n">
        <f aca="false">H4445-I4445</f>
        <v>4.23</v>
      </c>
      <c r="K4445" s="41" t="n">
        <v>26.5</v>
      </c>
      <c r="L4445" s="42" t="n">
        <f aca="false">J4445*K4445</f>
        <v>112.095</v>
      </c>
      <c r="M4445" s="43" t="n">
        <f aca="false">H4445*16*(1+'Chart of Accounts'!$E$67)</f>
        <v>77.4936</v>
      </c>
    </row>
    <row r="4446" customFormat="false" ht="15" hidden="false" customHeight="false" outlineLevel="0" collapsed="false">
      <c r="B4446" s="7" t="s">
        <v>4943</v>
      </c>
      <c r="C4446" s="39" t="n">
        <v>45875</v>
      </c>
      <c r="D4446" s="7" t="s">
        <v>295</v>
      </c>
      <c r="E4446" s="7" t="s">
        <v>154</v>
      </c>
      <c r="F4446" s="7" t="s">
        <v>214</v>
      </c>
      <c r="G4446" s="7" t="s">
        <v>505</v>
      </c>
      <c r="H4446" s="6" t="n">
        <v>3.61</v>
      </c>
      <c r="I4446" s="6" t="n">
        <v>0</v>
      </c>
      <c r="J4446" s="40" t="n">
        <f aca="false">H4446-I4446</f>
        <v>3.61</v>
      </c>
      <c r="K4446" s="41" t="n">
        <v>26.5</v>
      </c>
      <c r="L4446" s="42" t="n">
        <f aca="false">J4446*K4446</f>
        <v>95.665</v>
      </c>
      <c r="M4446" s="43" t="n">
        <f aca="false">H4446*15.67*(1+'Chart of Accounts'!$E$67)</f>
        <v>64.7711615</v>
      </c>
    </row>
    <row r="4447" customFormat="false" ht="15" hidden="false" customHeight="false" outlineLevel="0" collapsed="false">
      <c r="B4447" s="7" t="s">
        <v>4944</v>
      </c>
      <c r="C4447" s="39" t="n">
        <v>45875</v>
      </c>
      <c r="D4447" s="7" t="s">
        <v>305</v>
      </c>
      <c r="E4447" s="7" t="s">
        <v>154</v>
      </c>
      <c r="F4447" s="7" t="s">
        <v>205</v>
      </c>
      <c r="G4447" s="7" t="s">
        <v>505</v>
      </c>
      <c r="H4447" s="6" t="n">
        <v>3.87</v>
      </c>
      <c r="I4447" s="6" t="n">
        <v>0.116</v>
      </c>
      <c r="J4447" s="40" t="n">
        <f aca="false">H4447-I4447</f>
        <v>3.754</v>
      </c>
      <c r="K4447" s="41" t="n">
        <v>26.5</v>
      </c>
      <c r="L4447" s="42" t="n">
        <f aca="false">J4447*K4447</f>
        <v>99.481</v>
      </c>
      <c r="M4447" s="43" t="n">
        <f aca="false">H4447*16.36*(1+'Chart of Accounts'!$E$67)</f>
        <v>72.493614</v>
      </c>
    </row>
    <row r="4448" customFormat="false" ht="15" hidden="false" customHeight="false" outlineLevel="0" collapsed="false">
      <c r="B4448" s="7" t="s">
        <v>4945</v>
      </c>
      <c r="C4448" s="39" t="n">
        <v>45875</v>
      </c>
      <c r="D4448" s="7" t="s">
        <v>307</v>
      </c>
      <c r="E4448" s="7" t="s">
        <v>157</v>
      </c>
      <c r="F4448" s="7" t="s">
        <v>264</v>
      </c>
      <c r="G4448" s="7" t="s">
        <v>502</v>
      </c>
      <c r="H4448" s="6" t="n">
        <v>0.96</v>
      </c>
      <c r="I4448" s="6" t="n">
        <v>0.048</v>
      </c>
      <c r="J4448" s="40" t="n">
        <f aca="false">H4448-I4448</f>
        <v>0.912</v>
      </c>
      <c r="K4448" s="41" t="n">
        <v>165</v>
      </c>
      <c r="L4448" s="42" t="n">
        <f aca="false">J4448*K4448</f>
        <v>150.48</v>
      </c>
      <c r="M4448" s="43" t="n">
        <f aca="false">H4448*55.55*(1+'Chart of Accounts'!$E$67)</f>
        <v>61.06056</v>
      </c>
    </row>
    <row r="4449" customFormat="false" ht="15" hidden="false" customHeight="false" outlineLevel="0" collapsed="false">
      <c r="B4449" s="7" t="s">
        <v>4946</v>
      </c>
      <c r="C4449" s="39" t="n">
        <v>45875</v>
      </c>
      <c r="D4449" s="7" t="s">
        <v>309</v>
      </c>
      <c r="E4449" s="7" t="s">
        <v>159</v>
      </c>
      <c r="F4449" s="7" t="s">
        <v>252</v>
      </c>
      <c r="G4449" s="7" t="s">
        <v>502</v>
      </c>
      <c r="H4449" s="6" t="n">
        <v>0.92</v>
      </c>
      <c r="I4449" s="6" t="n">
        <v>0</v>
      </c>
      <c r="J4449" s="40" t="n">
        <f aca="false">H4449-I4449</f>
        <v>0.92</v>
      </c>
      <c r="K4449" s="41" t="n">
        <v>135</v>
      </c>
      <c r="L4449" s="42" t="n">
        <f aca="false">J4449*K4449</f>
        <v>124.2</v>
      </c>
      <c r="M4449" s="43" t="n">
        <f aca="false">H4449*57.54*(1+'Chart of Accounts'!$E$67)</f>
        <v>60.612636</v>
      </c>
    </row>
    <row r="4450" customFormat="false" ht="15" hidden="false" customHeight="false" outlineLevel="0" collapsed="false">
      <c r="B4450" s="7" t="s">
        <v>4947</v>
      </c>
      <c r="C4450" s="39" t="n">
        <v>45875</v>
      </c>
      <c r="D4450" s="7" t="s">
        <v>313</v>
      </c>
      <c r="E4450" s="7" t="s">
        <v>156</v>
      </c>
      <c r="F4450" s="7" t="s">
        <v>184</v>
      </c>
      <c r="G4450" s="7" t="s">
        <v>505</v>
      </c>
      <c r="H4450" s="6" t="n">
        <v>4.07</v>
      </c>
      <c r="I4450" s="6" t="n">
        <v>0</v>
      </c>
      <c r="J4450" s="40" t="n">
        <f aca="false">H4450-I4450</f>
        <v>4.07</v>
      </c>
      <c r="K4450" s="41" t="n">
        <v>34</v>
      </c>
      <c r="L4450" s="42" t="n">
        <f aca="false">J4450*K4450</f>
        <v>138.38</v>
      </c>
      <c r="M4450" s="43" t="n">
        <f aca="false">H4450*17.34*(1+'Chart of Accounts'!$E$67)</f>
        <v>80.807001</v>
      </c>
    </row>
    <row r="4451" customFormat="false" ht="15" hidden="false" customHeight="false" outlineLevel="0" collapsed="false">
      <c r="B4451" s="7" t="s">
        <v>4948</v>
      </c>
      <c r="C4451" s="39" t="n">
        <v>45875</v>
      </c>
      <c r="D4451" s="7" t="s">
        <v>315</v>
      </c>
      <c r="E4451" s="7" t="s">
        <v>159</v>
      </c>
      <c r="F4451" s="7" t="s">
        <v>216</v>
      </c>
      <c r="G4451" s="7" t="s">
        <v>502</v>
      </c>
      <c r="H4451" s="6" t="n">
        <v>1.01</v>
      </c>
      <c r="I4451" s="6" t="n">
        <v>0.071</v>
      </c>
      <c r="J4451" s="40" t="n">
        <f aca="false">H4451-I4451</f>
        <v>0.939</v>
      </c>
      <c r="K4451" s="41" t="n">
        <v>135</v>
      </c>
      <c r="L4451" s="42" t="n">
        <f aca="false">J4451*K4451</f>
        <v>126.765</v>
      </c>
      <c r="M4451" s="43" t="n">
        <f aca="false">H4451*61.79*(1+'Chart of Accounts'!$E$67)</f>
        <v>71.4570455</v>
      </c>
    </row>
    <row r="4452" customFormat="false" ht="15" hidden="false" customHeight="false" outlineLevel="0" collapsed="false">
      <c r="B4452" s="7" t="s">
        <v>4949</v>
      </c>
      <c r="C4452" s="39" t="n">
        <v>45875</v>
      </c>
      <c r="D4452" s="7" t="s">
        <v>321</v>
      </c>
      <c r="E4452" s="7" t="s">
        <v>154</v>
      </c>
      <c r="F4452" s="7" t="s">
        <v>218</v>
      </c>
      <c r="G4452" s="7" t="s">
        <v>505</v>
      </c>
      <c r="H4452" s="6" t="n">
        <v>4.25</v>
      </c>
      <c r="I4452" s="6" t="n">
        <v>0</v>
      </c>
      <c r="J4452" s="40" t="n">
        <f aca="false">H4452-I4452</f>
        <v>4.25</v>
      </c>
      <c r="K4452" s="41" t="n">
        <v>26.5</v>
      </c>
      <c r="L4452" s="42" t="n">
        <f aca="false">J4452*K4452</f>
        <v>112.625</v>
      </c>
      <c r="M4452" s="43" t="n">
        <f aca="false">H4452*16.19*(1+'Chart of Accounts'!$E$67)</f>
        <v>78.7845875</v>
      </c>
    </row>
    <row r="4453" customFormat="false" ht="15" hidden="false" customHeight="false" outlineLevel="0" collapsed="false">
      <c r="B4453" s="7" t="s">
        <v>4950</v>
      </c>
      <c r="C4453" s="39" t="n">
        <v>45875</v>
      </c>
      <c r="D4453" s="7" t="s">
        <v>329</v>
      </c>
      <c r="E4453" s="7" t="s">
        <v>156</v>
      </c>
      <c r="F4453" s="7" t="s">
        <v>220</v>
      </c>
      <c r="G4453" s="7" t="s">
        <v>505</v>
      </c>
      <c r="H4453" s="6" t="n">
        <v>3.8</v>
      </c>
      <c r="I4453" s="6" t="n">
        <v>0</v>
      </c>
      <c r="J4453" s="40" t="n">
        <f aca="false">H4453-I4453</f>
        <v>3.8</v>
      </c>
      <c r="K4453" s="41" t="n">
        <v>34</v>
      </c>
      <c r="L4453" s="42" t="n">
        <f aca="false">J4453*K4453</f>
        <v>129.2</v>
      </c>
      <c r="M4453" s="43" t="n">
        <f aca="false">H4453*16.43*(1+'Chart of Accounts'!$E$67)</f>
        <v>71.48693</v>
      </c>
    </row>
    <row r="4454" customFormat="false" ht="15" hidden="false" customHeight="false" outlineLevel="0" collapsed="false">
      <c r="B4454" s="7" t="s">
        <v>4951</v>
      </c>
      <c r="C4454" s="39" t="n">
        <v>45875</v>
      </c>
      <c r="D4454" s="7" t="s">
        <v>335</v>
      </c>
      <c r="E4454" s="7" t="s">
        <v>154</v>
      </c>
      <c r="F4454" s="7" t="s">
        <v>177</v>
      </c>
      <c r="G4454" s="7" t="s">
        <v>505</v>
      </c>
      <c r="H4454" s="6" t="n">
        <v>3.63</v>
      </c>
      <c r="I4454" s="6" t="n">
        <v>0</v>
      </c>
      <c r="J4454" s="40" t="n">
        <f aca="false">H4454-I4454</f>
        <v>3.63</v>
      </c>
      <c r="K4454" s="41" t="n">
        <v>26.5</v>
      </c>
      <c r="L4454" s="42" t="n">
        <f aca="false">J4454*K4454</f>
        <v>96.195</v>
      </c>
      <c r="M4454" s="43" t="n">
        <f aca="false">H4454*14.56*(1+'Chart of Accounts'!$E$67)</f>
        <v>60.516456</v>
      </c>
    </row>
    <row r="4455" customFormat="false" ht="15" hidden="false" customHeight="false" outlineLevel="0" collapsed="false">
      <c r="B4455" s="7" t="s">
        <v>4952</v>
      </c>
      <c r="C4455" s="39" t="n">
        <v>45875</v>
      </c>
      <c r="D4455" s="7" t="s">
        <v>339</v>
      </c>
      <c r="E4455" s="7" t="s">
        <v>154</v>
      </c>
      <c r="F4455" s="7" t="s">
        <v>242</v>
      </c>
      <c r="G4455" s="7" t="s">
        <v>505</v>
      </c>
      <c r="H4455" s="6" t="n">
        <v>3.44</v>
      </c>
      <c r="I4455" s="6" t="n">
        <v>0</v>
      </c>
      <c r="J4455" s="40" t="n">
        <f aca="false">H4455-I4455</f>
        <v>3.44</v>
      </c>
      <c r="K4455" s="41" t="n">
        <v>26.5</v>
      </c>
      <c r="L4455" s="42" t="n">
        <f aca="false">J4455*K4455</f>
        <v>91.16</v>
      </c>
      <c r="M4455" s="43" t="n">
        <f aca="false">H4455*17.99*(1+'Chart of Accounts'!$E$67)</f>
        <v>70.859012</v>
      </c>
    </row>
    <row r="4456" customFormat="false" ht="15" hidden="false" customHeight="false" outlineLevel="0" collapsed="false">
      <c r="B4456" s="7" t="s">
        <v>4953</v>
      </c>
      <c r="C4456" s="39" t="n">
        <v>45875</v>
      </c>
      <c r="D4456" s="7" t="s">
        <v>347</v>
      </c>
      <c r="E4456" s="7" t="s">
        <v>154</v>
      </c>
      <c r="F4456" s="7" t="s">
        <v>238</v>
      </c>
      <c r="G4456" s="7" t="s">
        <v>505</v>
      </c>
      <c r="H4456" s="6" t="n">
        <v>4.96</v>
      </c>
      <c r="I4456" s="6" t="n">
        <v>0</v>
      </c>
      <c r="J4456" s="40" t="n">
        <f aca="false">H4456-I4456</f>
        <v>4.96</v>
      </c>
      <c r="K4456" s="41" t="n">
        <v>26.5</v>
      </c>
      <c r="L4456" s="42" t="n">
        <f aca="false">J4456*K4456</f>
        <v>131.44</v>
      </c>
      <c r="M4456" s="43" t="n">
        <f aca="false">H4456*15.85*(1+'Chart of Accounts'!$E$67)</f>
        <v>90.01532</v>
      </c>
    </row>
    <row r="4457" customFormat="false" ht="15" hidden="false" customHeight="false" outlineLevel="0" collapsed="false">
      <c r="B4457" s="7" t="s">
        <v>4954</v>
      </c>
      <c r="C4457" s="39" t="n">
        <v>45875</v>
      </c>
      <c r="D4457" s="7" t="s">
        <v>353</v>
      </c>
      <c r="E4457" s="7" t="s">
        <v>154</v>
      </c>
      <c r="F4457" s="7" t="s">
        <v>254</v>
      </c>
      <c r="G4457" s="7" t="s">
        <v>505</v>
      </c>
      <c r="H4457" s="6" t="n">
        <v>3.57</v>
      </c>
      <c r="I4457" s="6" t="n">
        <v>0</v>
      </c>
      <c r="J4457" s="40" t="n">
        <f aca="false">H4457-I4457</f>
        <v>3.57</v>
      </c>
      <c r="K4457" s="41" t="n">
        <v>26.5</v>
      </c>
      <c r="L4457" s="42" t="n">
        <f aca="false">J4457*K4457</f>
        <v>94.605</v>
      </c>
      <c r="M4457" s="43" t="n">
        <f aca="false">H4457*17.1*(1+'Chart of Accounts'!$E$67)</f>
        <v>69.898815</v>
      </c>
    </row>
    <row r="4458" customFormat="false" ht="15" hidden="false" customHeight="false" outlineLevel="0" collapsed="false">
      <c r="B4458" s="7" t="s">
        <v>4955</v>
      </c>
      <c r="C4458" s="39" t="n">
        <v>45875</v>
      </c>
      <c r="D4458" s="7" t="s">
        <v>355</v>
      </c>
      <c r="E4458" s="7" t="s">
        <v>154</v>
      </c>
      <c r="F4458" s="7" t="s">
        <v>201</v>
      </c>
      <c r="G4458" s="7" t="s">
        <v>505</v>
      </c>
      <c r="H4458" s="6" t="n">
        <v>3.24</v>
      </c>
      <c r="I4458" s="6" t="n">
        <v>0</v>
      </c>
      <c r="J4458" s="40" t="n">
        <f aca="false">H4458-I4458</f>
        <v>3.24</v>
      </c>
      <c r="K4458" s="41" t="n">
        <v>26.5</v>
      </c>
      <c r="L4458" s="42" t="n">
        <f aca="false">J4458*K4458</f>
        <v>85.86</v>
      </c>
      <c r="M4458" s="43" t="n">
        <f aca="false">H4458*15.19*(1+'Chart of Accounts'!$E$67)</f>
        <v>56.351862</v>
      </c>
    </row>
    <row r="4459" customFormat="false" ht="15" hidden="false" customHeight="false" outlineLevel="0" collapsed="false">
      <c r="B4459" s="7" t="s">
        <v>4956</v>
      </c>
      <c r="C4459" s="39" t="n">
        <v>45875</v>
      </c>
      <c r="D4459" s="7" t="s">
        <v>357</v>
      </c>
      <c r="E4459" s="7" t="s">
        <v>154</v>
      </c>
      <c r="F4459" s="7" t="s">
        <v>207</v>
      </c>
      <c r="G4459" s="7" t="s">
        <v>505</v>
      </c>
      <c r="H4459" s="6" t="n">
        <v>3.27</v>
      </c>
      <c r="I4459" s="6" t="n">
        <v>0</v>
      </c>
      <c r="J4459" s="40" t="n">
        <f aca="false">H4459-I4459</f>
        <v>3.27</v>
      </c>
      <c r="K4459" s="41" t="n">
        <v>26.5</v>
      </c>
      <c r="L4459" s="42" t="n">
        <f aca="false">J4459*K4459</f>
        <v>86.655</v>
      </c>
      <c r="M4459" s="43" t="n">
        <f aca="false">H4459*16.65*(1+'Chart of Accounts'!$E$67)</f>
        <v>62.3400975</v>
      </c>
    </row>
    <row r="4460" customFormat="false" ht="15" hidden="false" customHeight="false" outlineLevel="0" collapsed="false">
      <c r="B4460" s="7" t="s">
        <v>4957</v>
      </c>
      <c r="C4460" s="39" t="n">
        <v>45875</v>
      </c>
      <c r="D4460" s="7" t="s">
        <v>359</v>
      </c>
      <c r="E4460" s="7" t="s">
        <v>156</v>
      </c>
      <c r="F4460" s="7" t="s">
        <v>201</v>
      </c>
      <c r="G4460" s="7" t="s">
        <v>505</v>
      </c>
      <c r="H4460" s="6" t="n">
        <v>3.75</v>
      </c>
      <c r="I4460" s="6" t="n">
        <v>0</v>
      </c>
      <c r="J4460" s="40" t="n">
        <f aca="false">H4460-I4460</f>
        <v>3.75</v>
      </c>
      <c r="K4460" s="41" t="n">
        <v>34</v>
      </c>
      <c r="L4460" s="42" t="n">
        <f aca="false">J4460*K4460</f>
        <v>127.5</v>
      </c>
      <c r="M4460" s="43" t="n">
        <f aca="false">H4460*15.19*(1+'Chart of Accounts'!$E$67)</f>
        <v>65.2220625</v>
      </c>
    </row>
    <row r="4461" customFormat="false" ht="15" hidden="false" customHeight="false" outlineLevel="0" collapsed="false">
      <c r="B4461" s="7" t="s">
        <v>4958</v>
      </c>
      <c r="C4461" s="39" t="n">
        <v>45875</v>
      </c>
      <c r="D4461" s="7" t="s">
        <v>365</v>
      </c>
      <c r="E4461" s="7" t="s">
        <v>154</v>
      </c>
      <c r="F4461" s="7" t="s">
        <v>194</v>
      </c>
      <c r="G4461" s="7" t="s">
        <v>505</v>
      </c>
      <c r="H4461" s="6" t="n">
        <v>4.08</v>
      </c>
      <c r="I4461" s="6" t="n">
        <v>0</v>
      </c>
      <c r="J4461" s="40" t="n">
        <f aca="false">H4461-I4461</f>
        <v>4.08</v>
      </c>
      <c r="K4461" s="41" t="n">
        <v>26.5</v>
      </c>
      <c r="L4461" s="42" t="n">
        <f aca="false">J4461*K4461</f>
        <v>108.12</v>
      </c>
      <c r="M4461" s="43" t="n">
        <f aca="false">H4461*16*(1+'Chart of Accounts'!$E$67)</f>
        <v>74.7456</v>
      </c>
    </row>
    <row r="4462" customFormat="false" ht="15" hidden="false" customHeight="false" outlineLevel="0" collapsed="false">
      <c r="B4462" s="7" t="s">
        <v>4959</v>
      </c>
      <c r="C4462" s="39" t="n">
        <v>45875</v>
      </c>
      <c r="D4462" s="7" t="s">
        <v>371</v>
      </c>
      <c r="E4462" s="7" t="s">
        <v>154</v>
      </c>
      <c r="F4462" s="7" t="s">
        <v>232</v>
      </c>
      <c r="G4462" s="7" t="s">
        <v>505</v>
      </c>
      <c r="H4462" s="6" t="n">
        <v>4.29</v>
      </c>
      <c r="I4462" s="6" t="n">
        <v>0</v>
      </c>
      <c r="J4462" s="40" t="n">
        <f aca="false">H4462-I4462</f>
        <v>4.29</v>
      </c>
      <c r="K4462" s="41" t="n">
        <v>26.5</v>
      </c>
      <c r="L4462" s="42" t="n">
        <f aca="false">J4462*K4462</f>
        <v>113.685</v>
      </c>
      <c r="M4462" s="43" t="n">
        <f aca="false">H4462*16.17*(1+'Chart of Accounts'!$E$67)</f>
        <v>79.4278485</v>
      </c>
    </row>
    <row r="4463" customFormat="false" ht="15" hidden="false" customHeight="false" outlineLevel="0" collapsed="false">
      <c r="B4463" s="7" t="s">
        <v>4960</v>
      </c>
      <c r="C4463" s="39" t="n">
        <v>45875</v>
      </c>
      <c r="D4463" s="7" t="s">
        <v>379</v>
      </c>
      <c r="E4463" s="7" t="s">
        <v>156</v>
      </c>
      <c r="F4463" s="7" t="s">
        <v>224</v>
      </c>
      <c r="G4463" s="7" t="s">
        <v>505</v>
      </c>
      <c r="H4463" s="6" t="n">
        <v>5.03</v>
      </c>
      <c r="I4463" s="6" t="n">
        <v>0</v>
      </c>
      <c r="J4463" s="40" t="n">
        <f aca="false">H4463-I4463</f>
        <v>5.03</v>
      </c>
      <c r="K4463" s="41" t="n">
        <v>34</v>
      </c>
      <c r="L4463" s="42" t="n">
        <f aca="false">J4463*K4463</f>
        <v>171.02</v>
      </c>
      <c r="M4463" s="43" t="n">
        <f aca="false">H4463*14.93*(1+'Chart of Accounts'!$E$67)</f>
        <v>85.9870955</v>
      </c>
    </row>
    <row r="4464" customFormat="false" ht="15" hidden="false" customHeight="false" outlineLevel="0" collapsed="false">
      <c r="B4464" s="7" t="s">
        <v>4961</v>
      </c>
      <c r="C4464" s="39" t="n">
        <v>45875</v>
      </c>
      <c r="D4464" s="7" t="s">
        <v>385</v>
      </c>
      <c r="E4464" s="7" t="s">
        <v>156</v>
      </c>
      <c r="F4464" s="7" t="s">
        <v>238</v>
      </c>
      <c r="G4464" s="7" t="s">
        <v>505</v>
      </c>
      <c r="H4464" s="6" t="n">
        <v>4.24</v>
      </c>
      <c r="I4464" s="6" t="n">
        <v>0</v>
      </c>
      <c r="J4464" s="40" t="n">
        <f aca="false">H4464-I4464</f>
        <v>4.24</v>
      </c>
      <c r="K4464" s="41" t="n">
        <v>34</v>
      </c>
      <c r="L4464" s="42" t="n">
        <f aca="false">J4464*K4464</f>
        <v>144.16</v>
      </c>
      <c r="M4464" s="43" t="n">
        <f aca="false">H4464*15.85*(1+'Chart of Accounts'!$E$67)</f>
        <v>76.94858</v>
      </c>
    </row>
    <row r="4465" customFormat="false" ht="15" hidden="false" customHeight="false" outlineLevel="0" collapsed="false">
      <c r="B4465" s="7" t="s">
        <v>4962</v>
      </c>
      <c r="C4465" s="39" t="n">
        <v>45875</v>
      </c>
      <c r="D4465" s="7" t="s">
        <v>387</v>
      </c>
      <c r="E4465" s="7" t="s">
        <v>154</v>
      </c>
      <c r="F4465" s="7" t="s">
        <v>196</v>
      </c>
      <c r="G4465" s="7" t="s">
        <v>505</v>
      </c>
      <c r="H4465" s="6" t="n">
        <v>4.27</v>
      </c>
      <c r="I4465" s="6" t="n">
        <v>0</v>
      </c>
      <c r="J4465" s="40" t="n">
        <f aca="false">H4465-I4465</f>
        <v>4.27</v>
      </c>
      <c r="K4465" s="41" t="n">
        <v>26.5</v>
      </c>
      <c r="L4465" s="42" t="n">
        <f aca="false">J4465*K4465</f>
        <v>113.155</v>
      </c>
      <c r="M4465" s="43" t="n">
        <f aca="false">H4465*15.05*(1+'Chart of Accounts'!$E$67)</f>
        <v>73.5817075</v>
      </c>
    </row>
    <row r="4466" customFormat="false" ht="15" hidden="false" customHeight="false" outlineLevel="0" collapsed="false">
      <c r="B4466" s="7" t="s">
        <v>4963</v>
      </c>
      <c r="C4466" s="39" t="n">
        <v>45875</v>
      </c>
      <c r="D4466" s="7" t="s">
        <v>389</v>
      </c>
      <c r="E4466" s="7" t="s">
        <v>154</v>
      </c>
      <c r="F4466" s="7" t="s">
        <v>246</v>
      </c>
      <c r="G4466" s="7" t="s">
        <v>505</v>
      </c>
      <c r="H4466" s="6" t="n">
        <v>4.29</v>
      </c>
      <c r="I4466" s="6" t="n">
        <v>0</v>
      </c>
      <c r="J4466" s="40" t="n">
        <f aca="false">H4466-I4466</f>
        <v>4.29</v>
      </c>
      <c r="K4466" s="41" t="n">
        <v>26.5</v>
      </c>
      <c r="L4466" s="42" t="n">
        <f aca="false">J4466*K4466</f>
        <v>113.685</v>
      </c>
      <c r="M4466" s="43" t="n">
        <f aca="false">H4466*16.48*(1+'Chart of Accounts'!$E$67)</f>
        <v>80.950584</v>
      </c>
    </row>
    <row r="4467" customFormat="false" ht="15" hidden="false" customHeight="false" outlineLevel="0" collapsed="false">
      <c r="B4467" s="7" t="s">
        <v>4964</v>
      </c>
      <c r="C4467" s="39" t="n">
        <v>45875</v>
      </c>
      <c r="D4467" s="7" t="s">
        <v>391</v>
      </c>
      <c r="E4467" s="7" t="s">
        <v>156</v>
      </c>
      <c r="F4467" s="7" t="s">
        <v>222</v>
      </c>
      <c r="G4467" s="7" t="s">
        <v>505</v>
      </c>
      <c r="H4467" s="6" t="n">
        <v>4.06</v>
      </c>
      <c r="I4467" s="6" t="n">
        <v>0</v>
      </c>
      <c r="J4467" s="40" t="n">
        <f aca="false">H4467-I4467</f>
        <v>4.06</v>
      </c>
      <c r="K4467" s="41" t="n">
        <v>34</v>
      </c>
      <c r="L4467" s="42" t="n">
        <f aca="false">J4467*K4467</f>
        <v>138.04</v>
      </c>
      <c r="M4467" s="43" t="n">
        <f aca="false">H4467*17.84*(1+'Chart of Accounts'!$E$67)</f>
        <v>82.932808</v>
      </c>
    </row>
    <row r="4468" customFormat="false" ht="15" hidden="false" customHeight="false" outlineLevel="0" collapsed="false">
      <c r="B4468" s="7" t="s">
        <v>4965</v>
      </c>
      <c r="C4468" s="39" t="n">
        <v>45875</v>
      </c>
      <c r="D4468" s="7" t="s">
        <v>393</v>
      </c>
      <c r="E4468" s="7" t="s">
        <v>157</v>
      </c>
      <c r="F4468" s="7" t="s">
        <v>203</v>
      </c>
      <c r="G4468" s="7" t="s">
        <v>502</v>
      </c>
      <c r="H4468" s="6" t="n">
        <v>1.01</v>
      </c>
      <c r="I4468" s="6" t="n">
        <v>0</v>
      </c>
      <c r="J4468" s="40" t="n">
        <f aca="false">H4468-I4468</f>
        <v>1.01</v>
      </c>
      <c r="K4468" s="41" t="n">
        <v>165</v>
      </c>
      <c r="L4468" s="42" t="n">
        <f aca="false">J4468*K4468</f>
        <v>166.65</v>
      </c>
      <c r="M4468" s="43" t="n">
        <f aca="false">H4468*49.43*(1+'Chart of Accounts'!$E$67)</f>
        <v>57.1633235</v>
      </c>
    </row>
    <row r="4469" customFormat="false" ht="15" hidden="false" customHeight="false" outlineLevel="0" collapsed="false">
      <c r="B4469" s="7" t="s">
        <v>4966</v>
      </c>
      <c r="C4469" s="39" t="n">
        <v>45875</v>
      </c>
      <c r="D4469" s="7" t="s">
        <v>395</v>
      </c>
      <c r="E4469" s="7" t="s">
        <v>156</v>
      </c>
      <c r="F4469" s="7" t="s">
        <v>242</v>
      </c>
      <c r="G4469" s="7" t="s">
        <v>505</v>
      </c>
      <c r="H4469" s="6" t="n">
        <v>4.2</v>
      </c>
      <c r="I4469" s="6" t="n">
        <v>0</v>
      </c>
      <c r="J4469" s="40" t="n">
        <f aca="false">H4469-I4469</f>
        <v>4.2</v>
      </c>
      <c r="K4469" s="41" t="n">
        <v>34</v>
      </c>
      <c r="L4469" s="42" t="n">
        <f aca="false">J4469*K4469</f>
        <v>142.8</v>
      </c>
      <c r="M4469" s="43" t="n">
        <f aca="false">H4469*17.99*(1+'Chart of Accounts'!$E$67)</f>
        <v>86.51391</v>
      </c>
    </row>
    <row r="4470" customFormat="false" ht="15" hidden="false" customHeight="false" outlineLevel="0" collapsed="false">
      <c r="B4470" s="7" t="s">
        <v>4967</v>
      </c>
      <c r="C4470" s="39" t="n">
        <v>45875</v>
      </c>
      <c r="D4470" s="7" t="s">
        <v>399</v>
      </c>
      <c r="E4470" s="7" t="s">
        <v>154</v>
      </c>
      <c r="F4470" s="7" t="s">
        <v>218</v>
      </c>
      <c r="G4470" s="7" t="s">
        <v>505</v>
      </c>
      <c r="H4470" s="6" t="n">
        <v>3.28</v>
      </c>
      <c r="I4470" s="6" t="n">
        <v>0</v>
      </c>
      <c r="J4470" s="40" t="n">
        <f aca="false">H4470-I4470</f>
        <v>3.28</v>
      </c>
      <c r="K4470" s="41" t="n">
        <v>26.5</v>
      </c>
      <c r="L4470" s="42" t="n">
        <f aca="false">J4470*K4470</f>
        <v>86.92</v>
      </c>
      <c r="M4470" s="43" t="n">
        <f aca="false">H4470*16.19*(1+'Chart of Accounts'!$E$67)</f>
        <v>60.803164</v>
      </c>
    </row>
    <row r="4471" customFormat="false" ht="15" hidden="false" customHeight="false" outlineLevel="0" collapsed="false">
      <c r="B4471" s="7" t="s">
        <v>4968</v>
      </c>
      <c r="C4471" s="39" t="n">
        <v>45875</v>
      </c>
      <c r="D4471" s="7" t="s">
        <v>401</v>
      </c>
      <c r="E4471" s="7" t="s">
        <v>156</v>
      </c>
      <c r="F4471" s="7" t="s">
        <v>254</v>
      </c>
      <c r="G4471" s="7" t="s">
        <v>505</v>
      </c>
      <c r="H4471" s="6" t="n">
        <v>3.71</v>
      </c>
      <c r="I4471" s="6" t="n">
        <v>0</v>
      </c>
      <c r="J4471" s="40" t="n">
        <f aca="false">H4471-I4471</f>
        <v>3.71</v>
      </c>
      <c r="K4471" s="41" t="n">
        <v>34</v>
      </c>
      <c r="L4471" s="42" t="n">
        <f aca="false">J4471*K4471</f>
        <v>126.14</v>
      </c>
      <c r="M4471" s="43" t="n">
        <f aca="false">H4471*17.1*(1+'Chart of Accounts'!$E$67)</f>
        <v>72.639945</v>
      </c>
    </row>
    <row r="4472" customFormat="false" ht="15" hidden="false" customHeight="false" outlineLevel="0" collapsed="false">
      <c r="B4472" s="7" t="s">
        <v>4969</v>
      </c>
      <c r="C4472" s="39" t="n">
        <v>45875</v>
      </c>
      <c r="D4472" s="7" t="s">
        <v>409</v>
      </c>
      <c r="E4472" s="7" t="s">
        <v>154</v>
      </c>
      <c r="F4472" s="7" t="s">
        <v>214</v>
      </c>
      <c r="G4472" s="7" t="s">
        <v>505</v>
      </c>
      <c r="H4472" s="6" t="n">
        <v>3</v>
      </c>
      <c r="I4472" s="6" t="n">
        <v>0.09</v>
      </c>
      <c r="J4472" s="40" t="n">
        <f aca="false">H4472-I4472</f>
        <v>2.91</v>
      </c>
      <c r="K4472" s="41" t="n">
        <v>26.5</v>
      </c>
      <c r="L4472" s="42" t="n">
        <f aca="false">J4472*K4472</f>
        <v>77.115</v>
      </c>
      <c r="M4472" s="43" t="n">
        <f aca="false">H4472*15.67*(1+'Chart of Accounts'!$E$67)</f>
        <v>53.82645</v>
      </c>
    </row>
    <row r="4473" customFormat="false" ht="15" hidden="false" customHeight="false" outlineLevel="0" collapsed="false">
      <c r="B4473" s="7" t="s">
        <v>4970</v>
      </c>
      <c r="C4473" s="39" t="n">
        <v>45875</v>
      </c>
      <c r="D4473" s="7" t="s">
        <v>411</v>
      </c>
      <c r="E4473" s="7" t="s">
        <v>154</v>
      </c>
      <c r="F4473" s="7" t="s">
        <v>177</v>
      </c>
      <c r="G4473" s="7" t="s">
        <v>505</v>
      </c>
      <c r="H4473" s="6" t="n">
        <v>4.96</v>
      </c>
      <c r="I4473" s="6" t="n">
        <v>0.149</v>
      </c>
      <c r="J4473" s="40" t="n">
        <f aca="false">H4473-I4473</f>
        <v>4.811</v>
      </c>
      <c r="K4473" s="41" t="n">
        <v>26.5</v>
      </c>
      <c r="L4473" s="42" t="n">
        <f aca="false">J4473*K4473</f>
        <v>127.4915</v>
      </c>
      <c r="M4473" s="43" t="n">
        <f aca="false">H4473*14.56*(1+'Chart of Accounts'!$E$67)</f>
        <v>82.689152</v>
      </c>
    </row>
    <row r="4474" customFormat="false" ht="15" hidden="false" customHeight="false" outlineLevel="0" collapsed="false">
      <c r="B4474" s="7" t="s">
        <v>4971</v>
      </c>
      <c r="C4474" s="39" t="n">
        <v>45876</v>
      </c>
      <c r="D4474" s="7" t="s">
        <v>288</v>
      </c>
      <c r="E4474" s="7" t="s">
        <v>156</v>
      </c>
      <c r="F4474" s="7" t="s">
        <v>214</v>
      </c>
      <c r="G4474" s="7" t="s">
        <v>505</v>
      </c>
      <c r="H4474" s="6" t="n">
        <v>3.73</v>
      </c>
      <c r="I4474" s="6" t="n">
        <v>0</v>
      </c>
      <c r="J4474" s="40" t="n">
        <f aca="false">H4474-I4474</f>
        <v>3.73</v>
      </c>
      <c r="K4474" s="41" t="n">
        <v>34</v>
      </c>
      <c r="L4474" s="42" t="n">
        <f aca="false">J4474*K4474</f>
        <v>126.82</v>
      </c>
      <c r="M4474" s="43" t="n">
        <f aca="false">H4474*15.67*(1+'Chart of Accounts'!$E$67)</f>
        <v>66.9242195</v>
      </c>
    </row>
    <row r="4475" customFormat="false" ht="15" hidden="false" customHeight="false" outlineLevel="0" collapsed="false">
      <c r="B4475" s="7" t="s">
        <v>4972</v>
      </c>
      <c r="C4475" s="39" t="n">
        <v>45876</v>
      </c>
      <c r="D4475" s="7" t="s">
        <v>297</v>
      </c>
      <c r="E4475" s="7" t="s">
        <v>156</v>
      </c>
      <c r="F4475" s="7" t="s">
        <v>201</v>
      </c>
      <c r="G4475" s="7" t="s">
        <v>505</v>
      </c>
      <c r="H4475" s="6" t="n">
        <v>2.8</v>
      </c>
      <c r="I4475" s="6" t="n">
        <v>0</v>
      </c>
      <c r="J4475" s="40" t="n">
        <f aca="false">H4475-I4475</f>
        <v>2.8</v>
      </c>
      <c r="K4475" s="41" t="n">
        <v>34</v>
      </c>
      <c r="L4475" s="42" t="n">
        <f aca="false">J4475*K4475</f>
        <v>95.2</v>
      </c>
      <c r="M4475" s="43" t="n">
        <f aca="false">H4475*15.19*(1+'Chart of Accounts'!$E$67)</f>
        <v>48.69914</v>
      </c>
    </row>
    <row r="4476" customFormat="false" ht="15" hidden="false" customHeight="false" outlineLevel="0" collapsed="false">
      <c r="B4476" s="7" t="s">
        <v>4973</v>
      </c>
      <c r="C4476" s="39" t="n">
        <v>45876</v>
      </c>
      <c r="D4476" s="7" t="s">
        <v>311</v>
      </c>
      <c r="E4476" s="7" t="s">
        <v>154</v>
      </c>
      <c r="F4476" s="7" t="s">
        <v>196</v>
      </c>
      <c r="G4476" s="7" t="s">
        <v>505</v>
      </c>
      <c r="H4476" s="6" t="n">
        <v>3.22</v>
      </c>
      <c r="I4476" s="6" t="n">
        <v>0.097</v>
      </c>
      <c r="J4476" s="40" t="n">
        <f aca="false">H4476-I4476</f>
        <v>3.123</v>
      </c>
      <c r="K4476" s="41" t="n">
        <v>26.5</v>
      </c>
      <c r="L4476" s="42" t="n">
        <f aca="false">J4476*K4476</f>
        <v>82.7595</v>
      </c>
      <c r="M4476" s="43" t="n">
        <f aca="false">H4476*15.05*(1+'Chart of Accounts'!$E$67)</f>
        <v>55.487845</v>
      </c>
    </row>
    <row r="4477" customFormat="false" ht="15" hidden="false" customHeight="false" outlineLevel="0" collapsed="false">
      <c r="B4477" s="7" t="s">
        <v>4974</v>
      </c>
      <c r="C4477" s="39" t="n">
        <v>45876</v>
      </c>
      <c r="D4477" s="7" t="s">
        <v>313</v>
      </c>
      <c r="E4477" s="7" t="s">
        <v>156</v>
      </c>
      <c r="F4477" s="7" t="s">
        <v>184</v>
      </c>
      <c r="G4477" s="7" t="s">
        <v>505</v>
      </c>
      <c r="H4477" s="6" t="n">
        <v>3.77</v>
      </c>
      <c r="I4477" s="6" t="n">
        <v>0</v>
      </c>
      <c r="J4477" s="40" t="n">
        <f aca="false">H4477-I4477</f>
        <v>3.77</v>
      </c>
      <c r="K4477" s="41" t="n">
        <v>34</v>
      </c>
      <c r="L4477" s="42" t="n">
        <f aca="false">J4477*K4477</f>
        <v>128.18</v>
      </c>
      <c r="M4477" s="43" t="n">
        <f aca="false">H4477*17.34*(1+'Chart of Accounts'!$E$67)</f>
        <v>74.850711</v>
      </c>
    </row>
    <row r="4478" customFormat="false" ht="15" hidden="false" customHeight="false" outlineLevel="0" collapsed="false">
      <c r="B4478" s="7" t="s">
        <v>4975</v>
      </c>
      <c r="C4478" s="39" t="n">
        <v>45876</v>
      </c>
      <c r="D4478" s="7" t="s">
        <v>317</v>
      </c>
      <c r="E4478" s="7" t="s">
        <v>156</v>
      </c>
      <c r="F4478" s="7" t="s">
        <v>207</v>
      </c>
      <c r="G4478" s="7" t="s">
        <v>505</v>
      </c>
      <c r="H4478" s="6" t="n">
        <v>3.27</v>
      </c>
      <c r="I4478" s="6" t="n">
        <v>0</v>
      </c>
      <c r="J4478" s="40" t="n">
        <f aca="false">H4478-I4478</f>
        <v>3.27</v>
      </c>
      <c r="K4478" s="41" t="n">
        <v>34</v>
      </c>
      <c r="L4478" s="42" t="n">
        <f aca="false">J4478*K4478</f>
        <v>111.18</v>
      </c>
      <c r="M4478" s="43" t="n">
        <f aca="false">H4478*16.65*(1+'Chart of Accounts'!$E$67)</f>
        <v>62.3400975</v>
      </c>
    </row>
    <row r="4479" customFormat="false" ht="15" hidden="false" customHeight="false" outlineLevel="0" collapsed="false">
      <c r="B4479" s="7" t="s">
        <v>4976</v>
      </c>
      <c r="C4479" s="39" t="n">
        <v>45876</v>
      </c>
      <c r="D4479" s="7" t="s">
        <v>325</v>
      </c>
      <c r="E4479" s="7" t="s">
        <v>154</v>
      </c>
      <c r="F4479" s="7" t="s">
        <v>207</v>
      </c>
      <c r="G4479" s="7" t="s">
        <v>505</v>
      </c>
      <c r="H4479" s="6" t="n">
        <v>3.23</v>
      </c>
      <c r="I4479" s="6" t="n">
        <v>0</v>
      </c>
      <c r="J4479" s="40" t="n">
        <f aca="false">H4479-I4479</f>
        <v>3.23</v>
      </c>
      <c r="K4479" s="41" t="n">
        <v>26.5</v>
      </c>
      <c r="L4479" s="42" t="n">
        <f aca="false">J4479*K4479</f>
        <v>85.595</v>
      </c>
      <c r="M4479" s="43" t="n">
        <f aca="false">H4479*16.65*(1+'Chart of Accounts'!$E$67)</f>
        <v>61.5775275</v>
      </c>
    </row>
    <row r="4480" customFormat="false" ht="15" hidden="false" customHeight="false" outlineLevel="0" collapsed="false">
      <c r="B4480" s="7" t="s">
        <v>4977</v>
      </c>
      <c r="C4480" s="39" t="n">
        <v>45876</v>
      </c>
      <c r="D4480" s="7" t="s">
        <v>329</v>
      </c>
      <c r="E4480" s="7" t="s">
        <v>156</v>
      </c>
      <c r="F4480" s="7" t="s">
        <v>220</v>
      </c>
      <c r="G4480" s="7" t="s">
        <v>505</v>
      </c>
      <c r="H4480" s="6" t="n">
        <v>3.79</v>
      </c>
      <c r="I4480" s="6" t="n">
        <v>0</v>
      </c>
      <c r="J4480" s="40" t="n">
        <f aca="false">H4480-I4480</f>
        <v>3.79</v>
      </c>
      <c r="K4480" s="41" t="n">
        <v>34</v>
      </c>
      <c r="L4480" s="42" t="n">
        <f aca="false">J4480*K4480</f>
        <v>128.86</v>
      </c>
      <c r="M4480" s="43" t="n">
        <f aca="false">H4480*16.43*(1+'Chart of Accounts'!$E$67)</f>
        <v>71.2988065</v>
      </c>
    </row>
    <row r="4481" customFormat="false" ht="15" hidden="false" customHeight="false" outlineLevel="0" collapsed="false">
      <c r="B4481" s="7" t="s">
        <v>4978</v>
      </c>
      <c r="C4481" s="39" t="n">
        <v>45876</v>
      </c>
      <c r="D4481" s="7" t="s">
        <v>331</v>
      </c>
      <c r="E4481" s="7" t="s">
        <v>156</v>
      </c>
      <c r="F4481" s="7" t="s">
        <v>224</v>
      </c>
      <c r="G4481" s="7" t="s">
        <v>505</v>
      </c>
      <c r="H4481" s="6" t="n">
        <v>3.91</v>
      </c>
      <c r="I4481" s="6" t="n">
        <v>0</v>
      </c>
      <c r="J4481" s="40" t="n">
        <f aca="false">H4481-I4481</f>
        <v>3.91</v>
      </c>
      <c r="K4481" s="41" t="n">
        <v>34</v>
      </c>
      <c r="L4481" s="42" t="n">
        <f aca="false">J4481*K4481</f>
        <v>132.94</v>
      </c>
      <c r="M4481" s="43" t="n">
        <f aca="false">H4481*14.93*(1+'Chart of Accounts'!$E$67)</f>
        <v>66.8408635</v>
      </c>
    </row>
    <row r="4482" customFormat="false" ht="15" hidden="false" customHeight="false" outlineLevel="0" collapsed="false">
      <c r="B4482" s="7" t="s">
        <v>4979</v>
      </c>
      <c r="C4482" s="39" t="n">
        <v>45876</v>
      </c>
      <c r="D4482" s="7" t="s">
        <v>337</v>
      </c>
      <c r="E4482" s="7" t="s">
        <v>154</v>
      </c>
      <c r="F4482" s="7" t="s">
        <v>232</v>
      </c>
      <c r="G4482" s="7" t="s">
        <v>505</v>
      </c>
      <c r="H4482" s="6" t="n">
        <v>2.78</v>
      </c>
      <c r="I4482" s="6" t="n">
        <v>0</v>
      </c>
      <c r="J4482" s="40" t="n">
        <f aca="false">H4482-I4482</f>
        <v>2.78</v>
      </c>
      <c r="K4482" s="41" t="n">
        <v>26.5</v>
      </c>
      <c r="L4482" s="42" t="n">
        <f aca="false">J4482*K4482</f>
        <v>73.67</v>
      </c>
      <c r="M4482" s="43" t="n">
        <f aca="false">H4482*16.17*(1+'Chart of Accounts'!$E$67)</f>
        <v>51.470727</v>
      </c>
    </row>
    <row r="4483" customFormat="false" ht="15" hidden="false" customHeight="false" outlineLevel="0" collapsed="false">
      <c r="B4483" s="7" t="s">
        <v>4980</v>
      </c>
      <c r="C4483" s="39" t="n">
        <v>45876</v>
      </c>
      <c r="D4483" s="7" t="s">
        <v>341</v>
      </c>
      <c r="E4483" s="7" t="s">
        <v>156</v>
      </c>
      <c r="F4483" s="7" t="s">
        <v>222</v>
      </c>
      <c r="G4483" s="7" t="s">
        <v>505</v>
      </c>
      <c r="H4483" s="6" t="n">
        <v>3.05</v>
      </c>
      <c r="I4483" s="6" t="n">
        <v>0</v>
      </c>
      <c r="J4483" s="40" t="n">
        <f aca="false">H4483-I4483</f>
        <v>3.05</v>
      </c>
      <c r="K4483" s="41" t="n">
        <v>34</v>
      </c>
      <c r="L4483" s="42" t="n">
        <f aca="false">J4483*K4483</f>
        <v>103.7</v>
      </c>
      <c r="M4483" s="43" t="n">
        <f aca="false">H4483*17.84*(1+'Chart of Accounts'!$E$67)</f>
        <v>62.30174</v>
      </c>
    </row>
    <row r="4484" customFormat="false" ht="15" hidden="false" customHeight="false" outlineLevel="0" collapsed="false">
      <c r="B4484" s="7" t="s">
        <v>4981</v>
      </c>
      <c r="C4484" s="39" t="n">
        <v>45876</v>
      </c>
      <c r="D4484" s="7" t="s">
        <v>343</v>
      </c>
      <c r="E4484" s="7" t="s">
        <v>154</v>
      </c>
      <c r="F4484" s="7" t="s">
        <v>218</v>
      </c>
      <c r="G4484" s="7" t="s">
        <v>505</v>
      </c>
      <c r="H4484" s="6" t="n">
        <v>4.31</v>
      </c>
      <c r="I4484" s="6" t="n">
        <v>0</v>
      </c>
      <c r="J4484" s="40" t="n">
        <f aca="false">H4484-I4484</f>
        <v>4.31</v>
      </c>
      <c r="K4484" s="41" t="n">
        <v>26.5</v>
      </c>
      <c r="L4484" s="42" t="n">
        <f aca="false">J4484*K4484</f>
        <v>114.215</v>
      </c>
      <c r="M4484" s="43" t="n">
        <f aca="false">H4484*16.19*(1+'Chart of Accounts'!$E$67)</f>
        <v>79.8968405</v>
      </c>
    </row>
    <row r="4485" customFormat="false" ht="15" hidden="false" customHeight="false" outlineLevel="0" collapsed="false">
      <c r="B4485" s="7" t="s">
        <v>4982</v>
      </c>
      <c r="C4485" s="39" t="n">
        <v>45876</v>
      </c>
      <c r="D4485" s="7" t="s">
        <v>351</v>
      </c>
      <c r="E4485" s="7" t="s">
        <v>154</v>
      </c>
      <c r="F4485" s="7" t="s">
        <v>201</v>
      </c>
      <c r="G4485" s="7" t="s">
        <v>505</v>
      </c>
      <c r="H4485" s="6" t="n">
        <v>3</v>
      </c>
      <c r="I4485" s="6" t="n">
        <v>0</v>
      </c>
      <c r="J4485" s="40" t="n">
        <f aca="false">H4485-I4485</f>
        <v>3</v>
      </c>
      <c r="K4485" s="41" t="n">
        <v>26.5</v>
      </c>
      <c r="L4485" s="42" t="n">
        <f aca="false">J4485*K4485</f>
        <v>79.5</v>
      </c>
      <c r="M4485" s="43" t="n">
        <f aca="false">H4485*15.19*(1+'Chart of Accounts'!$E$67)</f>
        <v>52.17765</v>
      </c>
    </row>
    <row r="4486" customFormat="false" ht="15" hidden="false" customHeight="false" outlineLevel="0" collapsed="false">
      <c r="B4486" s="7" t="s">
        <v>4983</v>
      </c>
      <c r="C4486" s="39" t="n">
        <v>45876</v>
      </c>
      <c r="D4486" s="7" t="s">
        <v>359</v>
      </c>
      <c r="E4486" s="7" t="s">
        <v>156</v>
      </c>
      <c r="F4486" s="7" t="s">
        <v>201</v>
      </c>
      <c r="G4486" s="7" t="s">
        <v>505</v>
      </c>
      <c r="H4486" s="6" t="n">
        <v>3.75</v>
      </c>
      <c r="I4486" s="6" t="n">
        <v>0</v>
      </c>
      <c r="J4486" s="40" t="n">
        <f aca="false">H4486-I4486</f>
        <v>3.75</v>
      </c>
      <c r="K4486" s="41" t="n">
        <v>34</v>
      </c>
      <c r="L4486" s="42" t="n">
        <f aca="false">J4486*K4486</f>
        <v>127.5</v>
      </c>
      <c r="M4486" s="43" t="n">
        <f aca="false">H4486*15.19*(1+'Chart of Accounts'!$E$67)</f>
        <v>65.2220625</v>
      </c>
    </row>
    <row r="4487" customFormat="false" ht="15" hidden="false" customHeight="false" outlineLevel="0" collapsed="false">
      <c r="B4487" s="7" t="s">
        <v>4984</v>
      </c>
      <c r="C4487" s="39" t="n">
        <v>45876</v>
      </c>
      <c r="D4487" s="7" t="s">
        <v>363</v>
      </c>
      <c r="E4487" s="7" t="s">
        <v>156</v>
      </c>
      <c r="F4487" s="7" t="s">
        <v>246</v>
      </c>
      <c r="G4487" s="7" t="s">
        <v>505</v>
      </c>
      <c r="H4487" s="6" t="n">
        <v>4.25</v>
      </c>
      <c r="I4487" s="6" t="n">
        <v>0</v>
      </c>
      <c r="J4487" s="40" t="n">
        <f aca="false">H4487-I4487</f>
        <v>4.25</v>
      </c>
      <c r="K4487" s="41" t="n">
        <v>34</v>
      </c>
      <c r="L4487" s="42" t="n">
        <f aca="false">J4487*K4487</f>
        <v>144.5</v>
      </c>
      <c r="M4487" s="43" t="n">
        <f aca="false">H4487*16.48*(1+'Chart of Accounts'!$E$67)</f>
        <v>80.1958</v>
      </c>
    </row>
    <row r="4488" customFormat="false" ht="15" hidden="false" customHeight="false" outlineLevel="0" collapsed="false">
      <c r="B4488" s="7" t="s">
        <v>4985</v>
      </c>
      <c r="C4488" s="39" t="n">
        <v>45876</v>
      </c>
      <c r="D4488" s="7" t="s">
        <v>365</v>
      </c>
      <c r="E4488" s="7" t="s">
        <v>154</v>
      </c>
      <c r="F4488" s="7" t="s">
        <v>194</v>
      </c>
      <c r="G4488" s="7" t="s">
        <v>505</v>
      </c>
      <c r="H4488" s="6" t="n">
        <v>3.8</v>
      </c>
      <c r="I4488" s="6" t="n">
        <v>0</v>
      </c>
      <c r="J4488" s="40" t="n">
        <f aca="false">H4488-I4488</f>
        <v>3.8</v>
      </c>
      <c r="K4488" s="41" t="n">
        <v>26.5</v>
      </c>
      <c r="L4488" s="42" t="n">
        <f aca="false">J4488*K4488</f>
        <v>100.7</v>
      </c>
      <c r="M4488" s="43" t="n">
        <f aca="false">H4488*16*(1+'Chart of Accounts'!$E$67)</f>
        <v>69.616</v>
      </c>
    </row>
    <row r="4489" customFormat="false" ht="15" hidden="false" customHeight="false" outlineLevel="0" collapsed="false">
      <c r="B4489" s="7" t="s">
        <v>4986</v>
      </c>
      <c r="C4489" s="39" t="n">
        <v>45876</v>
      </c>
      <c r="D4489" s="7" t="s">
        <v>375</v>
      </c>
      <c r="E4489" s="7" t="s">
        <v>156</v>
      </c>
      <c r="F4489" s="7" t="s">
        <v>196</v>
      </c>
      <c r="G4489" s="7" t="s">
        <v>505</v>
      </c>
      <c r="H4489" s="6" t="n">
        <v>2.85</v>
      </c>
      <c r="I4489" s="6" t="n">
        <v>0</v>
      </c>
      <c r="J4489" s="40" t="n">
        <f aca="false">H4489-I4489</f>
        <v>2.85</v>
      </c>
      <c r="K4489" s="41" t="n">
        <v>34</v>
      </c>
      <c r="L4489" s="42" t="n">
        <f aca="false">J4489*K4489</f>
        <v>96.9</v>
      </c>
      <c r="M4489" s="43" t="n">
        <f aca="false">H4489*15.05*(1+'Chart of Accounts'!$E$67)</f>
        <v>49.1119125</v>
      </c>
    </row>
    <row r="4490" customFormat="false" ht="15" hidden="false" customHeight="false" outlineLevel="0" collapsed="false">
      <c r="B4490" s="7" t="s">
        <v>4987</v>
      </c>
      <c r="C4490" s="39" t="n">
        <v>45876</v>
      </c>
      <c r="D4490" s="7" t="s">
        <v>377</v>
      </c>
      <c r="E4490" s="7" t="s">
        <v>154</v>
      </c>
      <c r="F4490" s="7" t="s">
        <v>214</v>
      </c>
      <c r="G4490" s="7" t="s">
        <v>505</v>
      </c>
      <c r="H4490" s="6" t="n">
        <v>3.92</v>
      </c>
      <c r="I4490" s="6" t="n">
        <v>0</v>
      </c>
      <c r="J4490" s="40" t="n">
        <f aca="false">H4490-I4490</f>
        <v>3.92</v>
      </c>
      <c r="K4490" s="41" t="n">
        <v>26.5</v>
      </c>
      <c r="L4490" s="42" t="n">
        <f aca="false">J4490*K4490</f>
        <v>103.88</v>
      </c>
      <c r="M4490" s="43" t="n">
        <f aca="false">H4490*15.67*(1+'Chart of Accounts'!$E$67)</f>
        <v>70.333228</v>
      </c>
    </row>
    <row r="4491" customFormat="false" ht="15" hidden="false" customHeight="false" outlineLevel="0" collapsed="false">
      <c r="B4491" s="7" t="s">
        <v>4988</v>
      </c>
      <c r="C4491" s="39" t="n">
        <v>45876</v>
      </c>
      <c r="D4491" s="7" t="s">
        <v>389</v>
      </c>
      <c r="E4491" s="7" t="s">
        <v>154</v>
      </c>
      <c r="F4491" s="7" t="s">
        <v>246</v>
      </c>
      <c r="G4491" s="7" t="s">
        <v>505</v>
      </c>
      <c r="H4491" s="6" t="n">
        <v>4.17</v>
      </c>
      <c r="I4491" s="6" t="n">
        <v>0.125</v>
      </c>
      <c r="J4491" s="40" t="n">
        <f aca="false">H4491-I4491</f>
        <v>4.045</v>
      </c>
      <c r="K4491" s="41" t="n">
        <v>26.5</v>
      </c>
      <c r="L4491" s="42" t="n">
        <f aca="false">J4491*K4491</f>
        <v>107.1925</v>
      </c>
      <c r="M4491" s="43" t="n">
        <f aca="false">H4491*16.48*(1+'Chart of Accounts'!$E$67)</f>
        <v>78.686232</v>
      </c>
    </row>
    <row r="4492" customFormat="false" ht="15" hidden="false" customHeight="false" outlineLevel="0" collapsed="false">
      <c r="B4492" s="7" t="s">
        <v>4989</v>
      </c>
      <c r="C4492" s="39" t="n">
        <v>45876</v>
      </c>
      <c r="D4492" s="7" t="s">
        <v>391</v>
      </c>
      <c r="E4492" s="7" t="s">
        <v>156</v>
      </c>
      <c r="F4492" s="7" t="s">
        <v>222</v>
      </c>
      <c r="G4492" s="7" t="s">
        <v>505</v>
      </c>
      <c r="H4492" s="6" t="n">
        <v>3.69</v>
      </c>
      <c r="I4492" s="6" t="n">
        <v>0</v>
      </c>
      <c r="J4492" s="40" t="n">
        <f aca="false">H4492-I4492</f>
        <v>3.69</v>
      </c>
      <c r="K4492" s="41" t="n">
        <v>34</v>
      </c>
      <c r="L4492" s="42" t="n">
        <f aca="false">J4492*K4492</f>
        <v>125.46</v>
      </c>
      <c r="M4492" s="43" t="n">
        <f aca="false">H4492*17.84*(1+'Chart of Accounts'!$E$67)</f>
        <v>75.374892</v>
      </c>
    </row>
    <row r="4493" customFormat="false" ht="15" hidden="false" customHeight="false" outlineLevel="0" collapsed="false">
      <c r="B4493" s="7" t="s">
        <v>4990</v>
      </c>
      <c r="C4493" s="39" t="n">
        <v>45876</v>
      </c>
      <c r="D4493" s="7" t="s">
        <v>395</v>
      </c>
      <c r="E4493" s="7" t="s">
        <v>156</v>
      </c>
      <c r="F4493" s="7" t="s">
        <v>242</v>
      </c>
      <c r="G4493" s="7" t="s">
        <v>505</v>
      </c>
      <c r="H4493" s="6" t="n">
        <v>4.18</v>
      </c>
      <c r="I4493" s="6" t="n">
        <v>0</v>
      </c>
      <c r="J4493" s="40" t="n">
        <f aca="false">H4493-I4493</f>
        <v>4.18</v>
      </c>
      <c r="K4493" s="41" t="n">
        <v>34</v>
      </c>
      <c r="L4493" s="42" t="n">
        <f aca="false">J4493*K4493</f>
        <v>142.12</v>
      </c>
      <c r="M4493" s="43" t="n">
        <f aca="false">H4493*17.99*(1+'Chart of Accounts'!$E$67)</f>
        <v>86.101939</v>
      </c>
    </row>
    <row r="4494" customFormat="false" ht="15" hidden="false" customHeight="false" outlineLevel="0" collapsed="false">
      <c r="B4494" s="7" t="s">
        <v>4991</v>
      </c>
      <c r="C4494" s="39" t="n">
        <v>45876</v>
      </c>
      <c r="D4494" s="7" t="s">
        <v>401</v>
      </c>
      <c r="E4494" s="7" t="s">
        <v>156</v>
      </c>
      <c r="F4494" s="7" t="s">
        <v>254</v>
      </c>
      <c r="G4494" s="7" t="s">
        <v>505</v>
      </c>
      <c r="H4494" s="6" t="n">
        <v>3.86</v>
      </c>
      <c r="I4494" s="6" t="n">
        <v>0</v>
      </c>
      <c r="J4494" s="40" t="n">
        <f aca="false">H4494-I4494</f>
        <v>3.86</v>
      </c>
      <c r="K4494" s="41" t="n">
        <v>34</v>
      </c>
      <c r="L4494" s="42" t="n">
        <f aca="false">J4494*K4494</f>
        <v>131.24</v>
      </c>
      <c r="M4494" s="43" t="n">
        <f aca="false">H4494*17.1*(1+'Chart of Accounts'!$E$67)</f>
        <v>75.57687</v>
      </c>
    </row>
    <row r="4495" customFormat="false" ht="15" hidden="false" customHeight="false" outlineLevel="0" collapsed="false">
      <c r="B4495" s="7" t="s">
        <v>4992</v>
      </c>
      <c r="C4495" s="39" t="n">
        <v>45877</v>
      </c>
      <c r="D4495" s="7" t="s">
        <v>280</v>
      </c>
      <c r="E4495" s="7" t="s">
        <v>157</v>
      </c>
      <c r="F4495" s="7" t="s">
        <v>187</v>
      </c>
      <c r="G4495" s="7" t="s">
        <v>502</v>
      </c>
      <c r="H4495" s="6" t="n">
        <v>1.04</v>
      </c>
      <c r="I4495" s="6" t="n">
        <v>0</v>
      </c>
      <c r="J4495" s="40" t="n">
        <f aca="false">H4495-I4495</f>
        <v>1.04</v>
      </c>
      <c r="K4495" s="41" t="n">
        <v>165</v>
      </c>
      <c r="L4495" s="42" t="n">
        <f aca="false">J4495*K4495</f>
        <v>171.6</v>
      </c>
      <c r="M4495" s="43" t="n">
        <f aca="false">H4495*66.48*(1+'Chart of Accounts'!$E$67)</f>
        <v>79.164384</v>
      </c>
    </row>
    <row r="4496" customFormat="false" ht="15" hidden="false" customHeight="false" outlineLevel="0" collapsed="false">
      <c r="B4496" s="7" t="s">
        <v>4993</v>
      </c>
      <c r="C4496" s="39" t="n">
        <v>45877</v>
      </c>
      <c r="D4496" s="7" t="s">
        <v>288</v>
      </c>
      <c r="E4496" s="7" t="s">
        <v>156</v>
      </c>
      <c r="F4496" s="7" t="s">
        <v>224</v>
      </c>
      <c r="G4496" s="7" t="s">
        <v>505</v>
      </c>
      <c r="H4496" s="6" t="n">
        <v>4.11</v>
      </c>
      <c r="I4496" s="6" t="n">
        <v>0</v>
      </c>
      <c r="J4496" s="40" t="n">
        <f aca="false">H4496-I4496</f>
        <v>4.11</v>
      </c>
      <c r="K4496" s="41" t="n">
        <v>34</v>
      </c>
      <c r="L4496" s="42" t="n">
        <f aca="false">J4496*K4496</f>
        <v>139.74</v>
      </c>
      <c r="M4496" s="43" t="n">
        <f aca="false">H4496*14.93*(1+'Chart of Accounts'!$E$67)</f>
        <v>70.2598335</v>
      </c>
    </row>
    <row r="4497" customFormat="false" ht="15" hidden="false" customHeight="false" outlineLevel="0" collapsed="false">
      <c r="B4497" s="7" t="s">
        <v>4994</v>
      </c>
      <c r="C4497" s="39" t="n">
        <v>45877</v>
      </c>
      <c r="D4497" s="7" t="s">
        <v>291</v>
      </c>
      <c r="E4497" s="7" t="s">
        <v>154</v>
      </c>
      <c r="F4497" s="7" t="s">
        <v>194</v>
      </c>
      <c r="G4497" s="7" t="s">
        <v>505</v>
      </c>
      <c r="H4497" s="6" t="n">
        <v>4.82</v>
      </c>
      <c r="I4497" s="6" t="n">
        <v>0</v>
      </c>
      <c r="J4497" s="40" t="n">
        <f aca="false">H4497-I4497</f>
        <v>4.82</v>
      </c>
      <c r="K4497" s="41" t="n">
        <v>26.5</v>
      </c>
      <c r="L4497" s="42" t="n">
        <f aca="false">J4497*K4497</f>
        <v>127.73</v>
      </c>
      <c r="M4497" s="43" t="n">
        <f aca="false">H4497*16*(1+'Chart of Accounts'!$E$67)</f>
        <v>88.3024</v>
      </c>
    </row>
    <row r="4498" customFormat="false" ht="15" hidden="false" customHeight="false" outlineLevel="0" collapsed="false">
      <c r="B4498" s="7" t="s">
        <v>4995</v>
      </c>
      <c r="C4498" s="39" t="n">
        <v>45877</v>
      </c>
      <c r="D4498" s="7" t="s">
        <v>295</v>
      </c>
      <c r="E4498" s="7" t="s">
        <v>154</v>
      </c>
      <c r="F4498" s="7" t="s">
        <v>214</v>
      </c>
      <c r="G4498" s="7" t="s">
        <v>505</v>
      </c>
      <c r="H4498" s="6" t="n">
        <v>3.99</v>
      </c>
      <c r="I4498" s="6" t="n">
        <v>0.12</v>
      </c>
      <c r="J4498" s="40" t="n">
        <f aca="false">H4498-I4498</f>
        <v>3.87</v>
      </c>
      <c r="K4498" s="41" t="n">
        <v>26.5</v>
      </c>
      <c r="L4498" s="42" t="n">
        <f aca="false">J4498*K4498</f>
        <v>102.555</v>
      </c>
      <c r="M4498" s="43" t="n">
        <f aca="false">H4498*15.67*(1+'Chart of Accounts'!$E$67)</f>
        <v>71.5891785</v>
      </c>
    </row>
    <row r="4499" customFormat="false" ht="15" hidden="false" customHeight="false" outlineLevel="0" collapsed="false">
      <c r="B4499" s="7" t="s">
        <v>4996</v>
      </c>
      <c r="C4499" s="39" t="n">
        <v>45877</v>
      </c>
      <c r="D4499" s="7" t="s">
        <v>301</v>
      </c>
      <c r="E4499" s="7" t="s">
        <v>157</v>
      </c>
      <c r="F4499" s="7" t="s">
        <v>209</v>
      </c>
      <c r="G4499" s="7" t="s">
        <v>502</v>
      </c>
      <c r="H4499" s="6" t="n">
        <v>0.9</v>
      </c>
      <c r="I4499" s="6" t="n">
        <v>0.045</v>
      </c>
      <c r="J4499" s="40" t="n">
        <f aca="false">H4499-I4499</f>
        <v>0.855</v>
      </c>
      <c r="K4499" s="41" t="n">
        <v>165</v>
      </c>
      <c r="L4499" s="42" t="n">
        <f aca="false">J4499*K4499</f>
        <v>141.075</v>
      </c>
      <c r="M4499" s="43" t="n">
        <f aca="false">H4499*73.58*(1+'Chart of Accounts'!$E$67)</f>
        <v>75.82419</v>
      </c>
    </row>
    <row r="4500" customFormat="false" ht="15" hidden="false" customHeight="false" outlineLevel="0" collapsed="false">
      <c r="B4500" s="7" t="s">
        <v>4997</v>
      </c>
      <c r="C4500" s="39" t="n">
        <v>45877</v>
      </c>
      <c r="D4500" s="7" t="s">
        <v>305</v>
      </c>
      <c r="E4500" s="7" t="s">
        <v>154</v>
      </c>
      <c r="F4500" s="7" t="s">
        <v>205</v>
      </c>
      <c r="G4500" s="7" t="s">
        <v>505</v>
      </c>
      <c r="H4500" s="6" t="n">
        <v>4.31</v>
      </c>
      <c r="I4500" s="6" t="n">
        <v>0</v>
      </c>
      <c r="J4500" s="40" t="n">
        <f aca="false">H4500-I4500</f>
        <v>4.31</v>
      </c>
      <c r="K4500" s="41" t="n">
        <v>26.5</v>
      </c>
      <c r="L4500" s="42" t="n">
        <f aca="false">J4500*K4500</f>
        <v>114.215</v>
      </c>
      <c r="M4500" s="43" t="n">
        <f aca="false">H4500*16.36*(1+'Chart of Accounts'!$E$67)</f>
        <v>80.735782</v>
      </c>
    </row>
    <row r="4501" customFormat="false" ht="15" hidden="false" customHeight="false" outlineLevel="0" collapsed="false">
      <c r="B4501" s="7" t="s">
        <v>4998</v>
      </c>
      <c r="C4501" s="39" t="n">
        <v>45877</v>
      </c>
      <c r="D4501" s="7" t="s">
        <v>307</v>
      </c>
      <c r="E4501" s="7" t="s">
        <v>157</v>
      </c>
      <c r="F4501" s="7" t="s">
        <v>264</v>
      </c>
      <c r="G4501" s="7" t="s">
        <v>502</v>
      </c>
      <c r="H4501" s="6" t="n">
        <v>0.96</v>
      </c>
      <c r="I4501" s="6" t="n">
        <v>0</v>
      </c>
      <c r="J4501" s="40" t="n">
        <f aca="false">H4501-I4501</f>
        <v>0.96</v>
      </c>
      <c r="K4501" s="41" t="n">
        <v>165</v>
      </c>
      <c r="L4501" s="42" t="n">
        <f aca="false">J4501*K4501</f>
        <v>158.4</v>
      </c>
      <c r="M4501" s="43" t="n">
        <f aca="false">H4501*55.55*(1+'Chart of Accounts'!$E$67)</f>
        <v>61.06056</v>
      </c>
    </row>
    <row r="4502" customFormat="false" ht="15" hidden="false" customHeight="false" outlineLevel="0" collapsed="false">
      <c r="B4502" s="7" t="s">
        <v>4999</v>
      </c>
      <c r="C4502" s="39" t="n">
        <v>45877</v>
      </c>
      <c r="D4502" s="7" t="s">
        <v>309</v>
      </c>
      <c r="E4502" s="7" t="s">
        <v>159</v>
      </c>
      <c r="F4502" s="7" t="s">
        <v>252</v>
      </c>
      <c r="G4502" s="7" t="s">
        <v>502</v>
      </c>
      <c r="H4502" s="6" t="n">
        <v>0.93</v>
      </c>
      <c r="I4502" s="6" t="n">
        <v>0</v>
      </c>
      <c r="J4502" s="40" t="n">
        <f aca="false">H4502-I4502</f>
        <v>0.93</v>
      </c>
      <c r="K4502" s="41" t="n">
        <v>135</v>
      </c>
      <c r="L4502" s="42" t="n">
        <f aca="false">J4502*K4502</f>
        <v>125.55</v>
      </c>
      <c r="M4502" s="43" t="n">
        <f aca="false">H4502*57.54*(1+'Chart of Accounts'!$E$67)</f>
        <v>61.271469</v>
      </c>
    </row>
    <row r="4503" customFormat="false" ht="15" hidden="false" customHeight="false" outlineLevel="0" collapsed="false">
      <c r="B4503" s="7" t="s">
        <v>5000</v>
      </c>
      <c r="C4503" s="39" t="n">
        <v>45877</v>
      </c>
      <c r="D4503" s="7" t="s">
        <v>313</v>
      </c>
      <c r="E4503" s="7" t="s">
        <v>156</v>
      </c>
      <c r="F4503" s="7" t="s">
        <v>184</v>
      </c>
      <c r="G4503" s="7" t="s">
        <v>505</v>
      </c>
      <c r="H4503" s="6" t="n">
        <v>3.61</v>
      </c>
      <c r="I4503" s="6" t="n">
        <v>0</v>
      </c>
      <c r="J4503" s="40" t="n">
        <f aca="false">H4503-I4503</f>
        <v>3.61</v>
      </c>
      <c r="K4503" s="41" t="n">
        <v>34</v>
      </c>
      <c r="L4503" s="42" t="n">
        <f aca="false">J4503*K4503</f>
        <v>122.74</v>
      </c>
      <c r="M4503" s="43" t="n">
        <f aca="false">H4503*17.34*(1+'Chart of Accounts'!$E$67)</f>
        <v>71.674023</v>
      </c>
    </row>
    <row r="4504" customFormat="false" ht="15" hidden="false" customHeight="false" outlineLevel="0" collapsed="false">
      <c r="B4504" s="7" t="s">
        <v>5001</v>
      </c>
      <c r="C4504" s="39" t="n">
        <v>45877</v>
      </c>
      <c r="D4504" s="7" t="s">
        <v>315</v>
      </c>
      <c r="E4504" s="7" t="s">
        <v>159</v>
      </c>
      <c r="F4504" s="7" t="s">
        <v>216</v>
      </c>
      <c r="G4504" s="7" t="s">
        <v>502</v>
      </c>
      <c r="H4504" s="6" t="n">
        <v>1.02</v>
      </c>
      <c r="I4504" s="6" t="n">
        <v>0</v>
      </c>
      <c r="J4504" s="40" t="n">
        <f aca="false">H4504-I4504</f>
        <v>1.02</v>
      </c>
      <c r="K4504" s="41" t="n">
        <v>135</v>
      </c>
      <c r="L4504" s="42" t="n">
        <f aca="false">J4504*K4504</f>
        <v>137.7</v>
      </c>
      <c r="M4504" s="43" t="n">
        <f aca="false">H4504*61.79*(1+'Chart of Accounts'!$E$67)</f>
        <v>72.164541</v>
      </c>
    </row>
    <row r="4505" customFormat="false" ht="15" hidden="false" customHeight="false" outlineLevel="0" collapsed="false">
      <c r="B4505" s="7" t="s">
        <v>5002</v>
      </c>
      <c r="C4505" s="39" t="n">
        <v>45877</v>
      </c>
      <c r="D4505" s="7" t="s">
        <v>319</v>
      </c>
      <c r="E4505" s="7" t="s">
        <v>157</v>
      </c>
      <c r="F4505" s="7" t="s">
        <v>234</v>
      </c>
      <c r="G4505" s="7" t="s">
        <v>502</v>
      </c>
      <c r="H4505" s="6" t="n">
        <v>0.99</v>
      </c>
      <c r="I4505" s="6" t="n">
        <v>0</v>
      </c>
      <c r="J4505" s="40" t="n">
        <f aca="false">H4505-I4505</f>
        <v>0.99</v>
      </c>
      <c r="K4505" s="41" t="n">
        <v>165</v>
      </c>
      <c r="L4505" s="42" t="n">
        <f aca="false">J4505*K4505</f>
        <v>163.35</v>
      </c>
      <c r="M4505" s="43" t="n">
        <f aca="false">H4505*89.53*(1+'Chart of Accounts'!$E$67)</f>
        <v>101.4867315</v>
      </c>
    </row>
    <row r="4506" customFormat="false" ht="15" hidden="false" customHeight="false" outlineLevel="0" collapsed="false">
      <c r="B4506" s="7" t="s">
        <v>5003</v>
      </c>
      <c r="C4506" s="39" t="n">
        <v>45877</v>
      </c>
      <c r="D4506" s="7" t="s">
        <v>321</v>
      </c>
      <c r="E4506" s="7" t="s">
        <v>154</v>
      </c>
      <c r="F4506" s="7" t="s">
        <v>218</v>
      </c>
      <c r="G4506" s="7" t="s">
        <v>505</v>
      </c>
      <c r="H4506" s="6" t="n">
        <v>3.98</v>
      </c>
      <c r="I4506" s="6" t="n">
        <v>0</v>
      </c>
      <c r="J4506" s="40" t="n">
        <f aca="false">H4506-I4506</f>
        <v>3.98</v>
      </c>
      <c r="K4506" s="41" t="n">
        <v>26.5</v>
      </c>
      <c r="L4506" s="42" t="n">
        <f aca="false">J4506*K4506</f>
        <v>105.47</v>
      </c>
      <c r="M4506" s="43" t="n">
        <f aca="false">H4506*16.19*(1+'Chart of Accounts'!$E$67)</f>
        <v>73.779449</v>
      </c>
    </row>
    <row r="4507" customFormat="false" ht="15" hidden="false" customHeight="false" outlineLevel="0" collapsed="false">
      <c r="B4507" s="7" t="s">
        <v>5004</v>
      </c>
      <c r="C4507" s="39" t="n">
        <v>45877</v>
      </c>
      <c r="D4507" s="7" t="s">
        <v>323</v>
      </c>
      <c r="E4507" s="7" t="s">
        <v>159</v>
      </c>
      <c r="F4507" s="7" t="s">
        <v>266</v>
      </c>
      <c r="G4507" s="7" t="s">
        <v>502</v>
      </c>
      <c r="H4507" s="6" t="n">
        <v>0.94</v>
      </c>
      <c r="I4507" s="6" t="n">
        <v>0.066</v>
      </c>
      <c r="J4507" s="40" t="n">
        <f aca="false">H4507-I4507</f>
        <v>0.874</v>
      </c>
      <c r="K4507" s="41" t="n">
        <v>135</v>
      </c>
      <c r="L4507" s="42" t="n">
        <f aca="false">J4507*K4507</f>
        <v>117.99</v>
      </c>
      <c r="M4507" s="43" t="n">
        <f aca="false">H4507*75.18*(1+'Chart of Accounts'!$E$67)</f>
        <v>80.916234</v>
      </c>
    </row>
    <row r="4508" customFormat="false" ht="15" hidden="false" customHeight="false" outlineLevel="0" collapsed="false">
      <c r="B4508" s="7" t="s">
        <v>5005</v>
      </c>
      <c r="C4508" s="39" t="n">
        <v>45877</v>
      </c>
      <c r="D4508" s="7" t="s">
        <v>327</v>
      </c>
      <c r="E4508" s="7" t="s">
        <v>157</v>
      </c>
      <c r="F4508" s="7" t="s">
        <v>228</v>
      </c>
      <c r="G4508" s="7" t="s">
        <v>502</v>
      </c>
      <c r="H4508" s="6" t="n">
        <v>0.95</v>
      </c>
      <c r="I4508" s="6" t="n">
        <v>0</v>
      </c>
      <c r="J4508" s="40" t="n">
        <f aca="false">H4508-I4508</f>
        <v>0.95</v>
      </c>
      <c r="K4508" s="41" t="n">
        <v>165</v>
      </c>
      <c r="L4508" s="42" t="n">
        <f aca="false">J4508*K4508</f>
        <v>156.75</v>
      </c>
      <c r="M4508" s="43" t="n">
        <f aca="false">H4508*51.07*(1+'Chart of Accounts'!$E$67)</f>
        <v>55.5513925</v>
      </c>
    </row>
    <row r="4509" customFormat="false" ht="15" hidden="false" customHeight="false" outlineLevel="0" collapsed="false">
      <c r="B4509" s="7" t="s">
        <v>5006</v>
      </c>
      <c r="C4509" s="39" t="n">
        <v>45877</v>
      </c>
      <c r="D4509" s="7" t="s">
        <v>329</v>
      </c>
      <c r="E4509" s="7" t="s">
        <v>156</v>
      </c>
      <c r="F4509" s="7" t="s">
        <v>220</v>
      </c>
      <c r="G4509" s="7" t="s">
        <v>505</v>
      </c>
      <c r="H4509" s="6" t="n">
        <v>4.36</v>
      </c>
      <c r="I4509" s="6" t="n">
        <v>0</v>
      </c>
      <c r="J4509" s="40" t="n">
        <f aca="false">H4509-I4509</f>
        <v>4.36</v>
      </c>
      <c r="K4509" s="41" t="n">
        <v>34</v>
      </c>
      <c r="L4509" s="42" t="n">
        <f aca="false">J4509*K4509</f>
        <v>148.24</v>
      </c>
      <c r="M4509" s="43" t="n">
        <f aca="false">H4509*16.43*(1+'Chart of Accounts'!$E$67)</f>
        <v>82.021846</v>
      </c>
    </row>
    <row r="4510" customFormat="false" ht="15" hidden="false" customHeight="false" outlineLevel="0" collapsed="false">
      <c r="B4510" s="7" t="s">
        <v>5007</v>
      </c>
      <c r="C4510" s="39" t="n">
        <v>45877</v>
      </c>
      <c r="D4510" s="7" t="s">
        <v>335</v>
      </c>
      <c r="E4510" s="7" t="s">
        <v>154</v>
      </c>
      <c r="F4510" s="7" t="s">
        <v>177</v>
      </c>
      <c r="G4510" s="7" t="s">
        <v>505</v>
      </c>
      <c r="H4510" s="6" t="n">
        <v>3.69</v>
      </c>
      <c r="I4510" s="6" t="n">
        <v>0</v>
      </c>
      <c r="J4510" s="40" t="n">
        <f aca="false">H4510-I4510</f>
        <v>3.69</v>
      </c>
      <c r="K4510" s="41" t="n">
        <v>26.5</v>
      </c>
      <c r="L4510" s="42" t="n">
        <f aca="false">J4510*K4510</f>
        <v>97.785</v>
      </c>
      <c r="M4510" s="43" t="n">
        <f aca="false">H4510*14.56*(1+'Chart of Accounts'!$E$67)</f>
        <v>61.516728</v>
      </c>
    </row>
    <row r="4511" customFormat="false" ht="15" hidden="false" customHeight="false" outlineLevel="0" collapsed="false">
      <c r="B4511" s="7" t="s">
        <v>5008</v>
      </c>
      <c r="C4511" s="39" t="n">
        <v>45877</v>
      </c>
      <c r="D4511" s="7" t="s">
        <v>339</v>
      </c>
      <c r="E4511" s="7" t="s">
        <v>154</v>
      </c>
      <c r="F4511" s="7" t="s">
        <v>242</v>
      </c>
      <c r="G4511" s="7" t="s">
        <v>505</v>
      </c>
      <c r="H4511" s="6" t="n">
        <v>3.46</v>
      </c>
      <c r="I4511" s="6" t="n">
        <v>0</v>
      </c>
      <c r="J4511" s="40" t="n">
        <f aca="false">H4511-I4511</f>
        <v>3.46</v>
      </c>
      <c r="K4511" s="41" t="n">
        <v>26.5</v>
      </c>
      <c r="L4511" s="42" t="n">
        <f aca="false">J4511*K4511</f>
        <v>91.69</v>
      </c>
      <c r="M4511" s="43" t="n">
        <f aca="false">H4511*17.99*(1+'Chart of Accounts'!$E$67)</f>
        <v>71.270983</v>
      </c>
    </row>
    <row r="4512" customFormat="false" ht="15" hidden="false" customHeight="false" outlineLevel="0" collapsed="false">
      <c r="B4512" s="7" t="s">
        <v>5009</v>
      </c>
      <c r="C4512" s="39" t="n">
        <v>45877</v>
      </c>
      <c r="D4512" s="7" t="s">
        <v>347</v>
      </c>
      <c r="E4512" s="7" t="s">
        <v>154</v>
      </c>
      <c r="F4512" s="7" t="s">
        <v>238</v>
      </c>
      <c r="G4512" s="7" t="s">
        <v>505</v>
      </c>
      <c r="H4512" s="6" t="n">
        <v>4.95</v>
      </c>
      <c r="I4512" s="6" t="n">
        <v>0.148</v>
      </c>
      <c r="J4512" s="40" t="n">
        <f aca="false">H4512-I4512</f>
        <v>4.802</v>
      </c>
      <c r="K4512" s="41" t="n">
        <v>26.5</v>
      </c>
      <c r="L4512" s="42" t="n">
        <f aca="false">J4512*K4512</f>
        <v>127.253</v>
      </c>
      <c r="M4512" s="43" t="n">
        <f aca="false">H4512*15.85*(1+'Chart of Accounts'!$E$67)</f>
        <v>89.8338375</v>
      </c>
    </row>
    <row r="4513" customFormat="false" ht="15" hidden="false" customHeight="false" outlineLevel="0" collapsed="false">
      <c r="B4513" s="7" t="s">
        <v>5010</v>
      </c>
      <c r="C4513" s="39" t="n">
        <v>45877</v>
      </c>
      <c r="D4513" s="7" t="s">
        <v>353</v>
      </c>
      <c r="E4513" s="7" t="s">
        <v>154</v>
      </c>
      <c r="F4513" s="7" t="s">
        <v>254</v>
      </c>
      <c r="G4513" s="7" t="s">
        <v>505</v>
      </c>
      <c r="H4513" s="6" t="n">
        <v>3.38</v>
      </c>
      <c r="I4513" s="6" t="n">
        <v>0</v>
      </c>
      <c r="J4513" s="40" t="n">
        <f aca="false">H4513-I4513</f>
        <v>3.38</v>
      </c>
      <c r="K4513" s="41" t="n">
        <v>26.5</v>
      </c>
      <c r="L4513" s="42" t="n">
        <f aca="false">J4513*K4513</f>
        <v>89.57</v>
      </c>
      <c r="M4513" s="43" t="n">
        <f aca="false">H4513*17.1*(1+'Chart of Accounts'!$E$67)</f>
        <v>66.17871</v>
      </c>
    </row>
    <row r="4514" customFormat="false" ht="15" hidden="false" customHeight="false" outlineLevel="0" collapsed="false">
      <c r="B4514" s="7" t="s">
        <v>5011</v>
      </c>
      <c r="C4514" s="39" t="n">
        <v>45877</v>
      </c>
      <c r="D4514" s="7" t="s">
        <v>355</v>
      </c>
      <c r="E4514" s="7" t="s">
        <v>154</v>
      </c>
      <c r="F4514" s="7" t="s">
        <v>201</v>
      </c>
      <c r="G4514" s="7" t="s">
        <v>505</v>
      </c>
      <c r="H4514" s="6" t="n">
        <v>3.19</v>
      </c>
      <c r="I4514" s="6" t="n">
        <v>0</v>
      </c>
      <c r="J4514" s="40" t="n">
        <f aca="false">H4514-I4514</f>
        <v>3.19</v>
      </c>
      <c r="K4514" s="41" t="n">
        <v>26.5</v>
      </c>
      <c r="L4514" s="42" t="n">
        <f aca="false">J4514*K4514</f>
        <v>84.535</v>
      </c>
      <c r="M4514" s="43" t="n">
        <f aca="false">H4514*15.19*(1+'Chart of Accounts'!$E$67)</f>
        <v>55.4822345</v>
      </c>
    </row>
    <row r="4515" customFormat="false" ht="15" hidden="false" customHeight="false" outlineLevel="0" collapsed="false">
      <c r="B4515" s="7" t="s">
        <v>5012</v>
      </c>
      <c r="C4515" s="39" t="n">
        <v>45877</v>
      </c>
      <c r="D4515" s="7" t="s">
        <v>357</v>
      </c>
      <c r="E4515" s="7" t="s">
        <v>154</v>
      </c>
      <c r="F4515" s="7" t="s">
        <v>207</v>
      </c>
      <c r="G4515" s="7" t="s">
        <v>505</v>
      </c>
      <c r="H4515" s="6" t="n">
        <v>3.45</v>
      </c>
      <c r="I4515" s="6" t="n">
        <v>0</v>
      </c>
      <c r="J4515" s="40" t="n">
        <f aca="false">H4515-I4515</f>
        <v>3.45</v>
      </c>
      <c r="K4515" s="41" t="n">
        <v>26.5</v>
      </c>
      <c r="L4515" s="42" t="n">
        <f aca="false">J4515*K4515</f>
        <v>91.425</v>
      </c>
      <c r="M4515" s="43" t="n">
        <f aca="false">H4515*16.65*(1+'Chart of Accounts'!$E$67)</f>
        <v>65.7716625</v>
      </c>
    </row>
    <row r="4516" customFormat="false" ht="15" hidden="false" customHeight="false" outlineLevel="0" collapsed="false">
      <c r="B4516" s="7" t="s">
        <v>5013</v>
      </c>
      <c r="C4516" s="39" t="n">
        <v>45877</v>
      </c>
      <c r="D4516" s="7" t="s">
        <v>359</v>
      </c>
      <c r="E4516" s="7" t="s">
        <v>156</v>
      </c>
      <c r="F4516" s="7" t="s">
        <v>205</v>
      </c>
      <c r="G4516" s="7" t="s">
        <v>505</v>
      </c>
      <c r="H4516" s="6" t="n">
        <v>4.24</v>
      </c>
      <c r="I4516" s="6" t="n">
        <v>0</v>
      </c>
      <c r="J4516" s="40" t="n">
        <f aca="false">H4516-I4516</f>
        <v>4.24</v>
      </c>
      <c r="K4516" s="41" t="n">
        <v>34</v>
      </c>
      <c r="L4516" s="42" t="n">
        <f aca="false">J4516*K4516</f>
        <v>144.16</v>
      </c>
      <c r="M4516" s="43" t="n">
        <f aca="false">H4516*16.36*(1+'Chart of Accounts'!$E$67)</f>
        <v>79.424528</v>
      </c>
    </row>
    <row r="4517" customFormat="false" ht="15" hidden="false" customHeight="false" outlineLevel="0" collapsed="false">
      <c r="B4517" s="7" t="s">
        <v>5014</v>
      </c>
      <c r="C4517" s="39" t="n">
        <v>45877</v>
      </c>
      <c r="D4517" s="7" t="s">
        <v>365</v>
      </c>
      <c r="E4517" s="7" t="s">
        <v>154</v>
      </c>
      <c r="F4517" s="7" t="s">
        <v>194</v>
      </c>
      <c r="G4517" s="7" t="s">
        <v>505</v>
      </c>
      <c r="H4517" s="6" t="n">
        <v>3.86</v>
      </c>
      <c r="I4517" s="6" t="n">
        <v>0</v>
      </c>
      <c r="J4517" s="40" t="n">
        <f aca="false">H4517-I4517</f>
        <v>3.86</v>
      </c>
      <c r="K4517" s="41" t="n">
        <v>26.5</v>
      </c>
      <c r="L4517" s="42" t="n">
        <f aca="false">J4517*K4517</f>
        <v>102.29</v>
      </c>
      <c r="M4517" s="43" t="n">
        <f aca="false">H4517*16*(1+'Chart of Accounts'!$E$67)</f>
        <v>70.7152</v>
      </c>
    </row>
    <row r="4518" customFormat="false" ht="15" hidden="false" customHeight="false" outlineLevel="0" collapsed="false">
      <c r="B4518" s="7" t="s">
        <v>5015</v>
      </c>
      <c r="C4518" s="39" t="n">
        <v>45877</v>
      </c>
      <c r="D4518" s="7" t="s">
        <v>371</v>
      </c>
      <c r="E4518" s="7" t="s">
        <v>154</v>
      </c>
      <c r="F4518" s="7" t="s">
        <v>232</v>
      </c>
      <c r="G4518" s="7" t="s">
        <v>505</v>
      </c>
      <c r="H4518" s="6" t="n">
        <v>4.37</v>
      </c>
      <c r="I4518" s="6" t="n">
        <v>0</v>
      </c>
      <c r="J4518" s="40" t="n">
        <f aca="false">H4518-I4518</f>
        <v>4.37</v>
      </c>
      <c r="K4518" s="41" t="n">
        <v>26.5</v>
      </c>
      <c r="L4518" s="42" t="n">
        <f aca="false">J4518*K4518</f>
        <v>115.805</v>
      </c>
      <c r="M4518" s="43" t="n">
        <f aca="false">H4518*16.17*(1+'Chart of Accounts'!$E$67)</f>
        <v>80.9090205</v>
      </c>
    </row>
    <row r="4519" customFormat="false" ht="15" hidden="false" customHeight="false" outlineLevel="0" collapsed="false">
      <c r="B4519" s="7" t="s">
        <v>5016</v>
      </c>
      <c r="C4519" s="39" t="n">
        <v>45877</v>
      </c>
      <c r="D4519" s="7" t="s">
        <v>379</v>
      </c>
      <c r="E4519" s="7" t="s">
        <v>156</v>
      </c>
      <c r="F4519" s="7" t="s">
        <v>224</v>
      </c>
      <c r="G4519" s="7" t="s">
        <v>505</v>
      </c>
      <c r="H4519" s="6" t="n">
        <v>4.6</v>
      </c>
      <c r="I4519" s="6" t="n">
        <v>0</v>
      </c>
      <c r="J4519" s="40" t="n">
        <f aca="false">H4519-I4519</f>
        <v>4.6</v>
      </c>
      <c r="K4519" s="41" t="n">
        <v>34</v>
      </c>
      <c r="L4519" s="42" t="n">
        <f aca="false">J4519*K4519</f>
        <v>156.4</v>
      </c>
      <c r="M4519" s="43" t="n">
        <f aca="false">H4519*14.93*(1+'Chart of Accounts'!$E$67)</f>
        <v>78.63631</v>
      </c>
    </row>
    <row r="4520" customFormat="false" ht="15" hidden="false" customHeight="false" outlineLevel="0" collapsed="false">
      <c r="B4520" s="7" t="s">
        <v>5017</v>
      </c>
      <c r="C4520" s="39" t="n">
        <v>45877</v>
      </c>
      <c r="D4520" s="7" t="s">
        <v>381</v>
      </c>
      <c r="E4520" s="7" t="s">
        <v>157</v>
      </c>
      <c r="F4520" s="7" t="s">
        <v>234</v>
      </c>
      <c r="G4520" s="7" t="s">
        <v>502</v>
      </c>
      <c r="H4520" s="6" t="n">
        <v>0.94</v>
      </c>
      <c r="I4520" s="6" t="n">
        <v>0</v>
      </c>
      <c r="J4520" s="40" t="n">
        <f aca="false">H4520-I4520</f>
        <v>0.94</v>
      </c>
      <c r="K4520" s="41" t="n">
        <v>165</v>
      </c>
      <c r="L4520" s="42" t="n">
        <f aca="false">J4520*K4520</f>
        <v>155.1</v>
      </c>
      <c r="M4520" s="43" t="n">
        <f aca="false">H4520*89.53*(1+'Chart of Accounts'!$E$67)</f>
        <v>96.361139</v>
      </c>
    </row>
    <row r="4521" customFormat="false" ht="15" hidden="false" customHeight="false" outlineLevel="0" collapsed="false">
      <c r="B4521" s="7" t="s">
        <v>5018</v>
      </c>
      <c r="C4521" s="39" t="n">
        <v>45877</v>
      </c>
      <c r="D4521" s="7" t="s">
        <v>383</v>
      </c>
      <c r="E4521" s="7" t="s">
        <v>157</v>
      </c>
      <c r="F4521" s="7" t="s">
        <v>230</v>
      </c>
      <c r="G4521" s="7" t="s">
        <v>502</v>
      </c>
      <c r="H4521" s="6" t="n">
        <v>1.02</v>
      </c>
      <c r="I4521" s="6" t="n">
        <v>0.051</v>
      </c>
      <c r="J4521" s="40" t="n">
        <f aca="false">H4521-I4521</f>
        <v>0.969</v>
      </c>
      <c r="K4521" s="41" t="n">
        <v>165</v>
      </c>
      <c r="L4521" s="42" t="n">
        <f aca="false">J4521*K4521</f>
        <v>159.885</v>
      </c>
      <c r="M4521" s="43" t="n">
        <f aca="false">H4521*48.78*(1+'Chart of Accounts'!$E$67)</f>
        <v>56.970162</v>
      </c>
    </row>
    <row r="4522" customFormat="false" ht="15" hidden="false" customHeight="false" outlineLevel="0" collapsed="false">
      <c r="B4522" s="7" t="s">
        <v>5019</v>
      </c>
      <c r="C4522" s="39" t="n">
        <v>45877</v>
      </c>
      <c r="D4522" s="7" t="s">
        <v>385</v>
      </c>
      <c r="E4522" s="7" t="s">
        <v>156</v>
      </c>
      <c r="F4522" s="7" t="s">
        <v>238</v>
      </c>
      <c r="G4522" s="7" t="s">
        <v>505</v>
      </c>
      <c r="H4522" s="6" t="n">
        <v>3.98</v>
      </c>
      <c r="I4522" s="6" t="n">
        <v>0</v>
      </c>
      <c r="J4522" s="40" t="n">
        <f aca="false">H4522-I4522</f>
        <v>3.98</v>
      </c>
      <c r="K4522" s="41" t="n">
        <v>34</v>
      </c>
      <c r="L4522" s="42" t="n">
        <f aca="false">J4522*K4522</f>
        <v>135.32</v>
      </c>
      <c r="M4522" s="43" t="n">
        <f aca="false">H4522*15.85*(1+'Chart of Accounts'!$E$67)</f>
        <v>72.230035</v>
      </c>
    </row>
    <row r="4523" customFormat="false" ht="15" hidden="false" customHeight="false" outlineLevel="0" collapsed="false">
      <c r="B4523" s="7" t="s">
        <v>5020</v>
      </c>
      <c r="C4523" s="39" t="n">
        <v>45877</v>
      </c>
      <c r="D4523" s="7" t="s">
        <v>387</v>
      </c>
      <c r="E4523" s="7" t="s">
        <v>154</v>
      </c>
      <c r="F4523" s="7" t="s">
        <v>196</v>
      </c>
      <c r="G4523" s="7" t="s">
        <v>505</v>
      </c>
      <c r="H4523" s="6" t="n">
        <v>3.64</v>
      </c>
      <c r="I4523" s="6" t="n">
        <v>0</v>
      </c>
      <c r="J4523" s="40" t="n">
        <f aca="false">H4523-I4523</f>
        <v>3.64</v>
      </c>
      <c r="K4523" s="41" t="n">
        <v>26.5</v>
      </c>
      <c r="L4523" s="42" t="n">
        <f aca="false">J4523*K4523</f>
        <v>96.46</v>
      </c>
      <c r="M4523" s="43" t="n">
        <f aca="false">H4523*15.05*(1+'Chart of Accounts'!$E$67)</f>
        <v>62.72539</v>
      </c>
    </row>
    <row r="4524" customFormat="false" ht="15" hidden="false" customHeight="false" outlineLevel="0" collapsed="false">
      <c r="B4524" s="7" t="s">
        <v>5021</v>
      </c>
      <c r="C4524" s="39" t="n">
        <v>45877</v>
      </c>
      <c r="D4524" s="7" t="s">
        <v>389</v>
      </c>
      <c r="E4524" s="7" t="s">
        <v>154</v>
      </c>
      <c r="F4524" s="7" t="s">
        <v>246</v>
      </c>
      <c r="G4524" s="7" t="s">
        <v>505</v>
      </c>
      <c r="H4524" s="6" t="n">
        <v>3.79</v>
      </c>
      <c r="I4524" s="6" t="n">
        <v>0</v>
      </c>
      <c r="J4524" s="40" t="n">
        <f aca="false">H4524-I4524</f>
        <v>3.79</v>
      </c>
      <c r="K4524" s="41" t="n">
        <v>26.5</v>
      </c>
      <c r="L4524" s="42" t="n">
        <f aca="false">J4524*K4524</f>
        <v>100.435</v>
      </c>
      <c r="M4524" s="43" t="n">
        <f aca="false">H4524*16.48*(1+'Chart of Accounts'!$E$67)</f>
        <v>71.515784</v>
      </c>
    </row>
    <row r="4525" customFormat="false" ht="15" hidden="false" customHeight="false" outlineLevel="0" collapsed="false">
      <c r="B4525" s="7" t="s">
        <v>5022</v>
      </c>
      <c r="C4525" s="39" t="n">
        <v>45877</v>
      </c>
      <c r="D4525" s="7" t="s">
        <v>395</v>
      </c>
      <c r="E4525" s="7" t="s">
        <v>156</v>
      </c>
      <c r="F4525" s="7" t="s">
        <v>242</v>
      </c>
      <c r="G4525" s="7" t="s">
        <v>505</v>
      </c>
      <c r="H4525" s="6" t="n">
        <v>3.68</v>
      </c>
      <c r="I4525" s="6" t="n">
        <v>0</v>
      </c>
      <c r="J4525" s="40" t="n">
        <f aca="false">H4525-I4525</f>
        <v>3.68</v>
      </c>
      <c r="K4525" s="41" t="n">
        <v>34</v>
      </c>
      <c r="L4525" s="42" t="n">
        <f aca="false">J4525*K4525</f>
        <v>125.12</v>
      </c>
      <c r="M4525" s="43" t="n">
        <f aca="false">H4525*17.99*(1+'Chart of Accounts'!$E$67)</f>
        <v>75.802664</v>
      </c>
    </row>
    <row r="4526" customFormat="false" ht="15" hidden="false" customHeight="false" outlineLevel="0" collapsed="false">
      <c r="B4526" s="7" t="s">
        <v>5023</v>
      </c>
      <c r="C4526" s="39" t="n">
        <v>45877</v>
      </c>
      <c r="D4526" s="7" t="s">
        <v>397</v>
      </c>
      <c r="E4526" s="7" t="s">
        <v>159</v>
      </c>
      <c r="F4526" s="7" t="s">
        <v>203</v>
      </c>
      <c r="G4526" s="7" t="s">
        <v>502</v>
      </c>
      <c r="H4526" s="6" t="n">
        <v>1.07</v>
      </c>
      <c r="I4526" s="6" t="n">
        <v>0</v>
      </c>
      <c r="J4526" s="40" t="n">
        <f aca="false">H4526-I4526</f>
        <v>1.07</v>
      </c>
      <c r="K4526" s="41" t="n">
        <v>135</v>
      </c>
      <c r="L4526" s="42" t="n">
        <f aca="false">J4526*K4526</f>
        <v>144.45</v>
      </c>
      <c r="M4526" s="43" t="n">
        <f aca="false">H4526*49.43*(1+'Chart of Accounts'!$E$67)</f>
        <v>60.5591645</v>
      </c>
    </row>
    <row r="4527" customFormat="false" ht="15" hidden="false" customHeight="false" outlineLevel="0" collapsed="false">
      <c r="B4527" s="7" t="s">
        <v>5024</v>
      </c>
      <c r="C4527" s="39" t="n">
        <v>45877</v>
      </c>
      <c r="D4527" s="7" t="s">
        <v>399</v>
      </c>
      <c r="E4527" s="7" t="s">
        <v>154</v>
      </c>
      <c r="F4527" s="7" t="s">
        <v>254</v>
      </c>
      <c r="G4527" s="7" t="s">
        <v>505</v>
      </c>
      <c r="H4527" s="6" t="n">
        <v>3.66</v>
      </c>
      <c r="I4527" s="6" t="n">
        <v>0</v>
      </c>
      <c r="J4527" s="40" t="n">
        <f aca="false">H4527-I4527</f>
        <v>3.66</v>
      </c>
      <c r="K4527" s="41" t="n">
        <v>26.5</v>
      </c>
      <c r="L4527" s="42" t="n">
        <f aca="false">J4527*K4527</f>
        <v>96.99</v>
      </c>
      <c r="M4527" s="43" t="n">
        <f aca="false">H4527*17.1*(1+'Chart of Accounts'!$E$67)</f>
        <v>71.66097</v>
      </c>
    </row>
    <row r="4528" customFormat="false" ht="15" hidden="false" customHeight="false" outlineLevel="0" collapsed="false">
      <c r="B4528" s="7" t="s">
        <v>5025</v>
      </c>
      <c r="C4528" s="39" t="n">
        <v>45877</v>
      </c>
      <c r="D4528" s="7" t="s">
        <v>401</v>
      </c>
      <c r="E4528" s="7" t="s">
        <v>156</v>
      </c>
      <c r="F4528" s="7" t="s">
        <v>254</v>
      </c>
      <c r="G4528" s="7" t="s">
        <v>505</v>
      </c>
      <c r="H4528" s="6" t="n">
        <v>3.71</v>
      </c>
      <c r="I4528" s="6" t="n">
        <v>0</v>
      </c>
      <c r="J4528" s="40" t="n">
        <f aca="false">H4528-I4528</f>
        <v>3.71</v>
      </c>
      <c r="K4528" s="41" t="n">
        <v>34</v>
      </c>
      <c r="L4528" s="42" t="n">
        <f aca="false">J4528*K4528</f>
        <v>126.14</v>
      </c>
      <c r="M4528" s="43" t="n">
        <f aca="false">H4528*17.1*(1+'Chart of Accounts'!$E$67)</f>
        <v>72.639945</v>
      </c>
    </row>
    <row r="4529" customFormat="false" ht="15" hidden="false" customHeight="false" outlineLevel="0" collapsed="false">
      <c r="B4529" s="7" t="s">
        <v>5026</v>
      </c>
      <c r="C4529" s="39" t="n">
        <v>45877</v>
      </c>
      <c r="D4529" s="7" t="s">
        <v>407</v>
      </c>
      <c r="E4529" s="7" t="s">
        <v>159</v>
      </c>
      <c r="F4529" s="7" t="s">
        <v>260</v>
      </c>
      <c r="G4529" s="7" t="s">
        <v>502</v>
      </c>
      <c r="H4529" s="6" t="n">
        <v>0.92</v>
      </c>
      <c r="I4529" s="6" t="n">
        <v>0</v>
      </c>
      <c r="J4529" s="40" t="n">
        <f aca="false">H4529-I4529</f>
        <v>0.92</v>
      </c>
      <c r="K4529" s="41" t="n">
        <v>135</v>
      </c>
      <c r="L4529" s="42" t="n">
        <f aca="false">J4529*K4529</f>
        <v>124.2</v>
      </c>
      <c r="M4529" s="43" t="n">
        <f aca="false">H4529*79.8*(1+'Chart of Accounts'!$E$67)</f>
        <v>84.06132</v>
      </c>
    </row>
    <row r="4530" customFormat="false" ht="15" hidden="false" customHeight="false" outlineLevel="0" collapsed="false">
      <c r="B4530" s="7" t="s">
        <v>5027</v>
      </c>
      <c r="C4530" s="39" t="n">
        <v>45877</v>
      </c>
      <c r="D4530" s="7" t="s">
        <v>409</v>
      </c>
      <c r="E4530" s="7" t="s">
        <v>154</v>
      </c>
      <c r="F4530" s="7" t="s">
        <v>214</v>
      </c>
      <c r="G4530" s="7" t="s">
        <v>505</v>
      </c>
      <c r="H4530" s="6" t="n">
        <v>3.27</v>
      </c>
      <c r="I4530" s="6" t="n">
        <v>0</v>
      </c>
      <c r="J4530" s="40" t="n">
        <f aca="false">H4530-I4530</f>
        <v>3.27</v>
      </c>
      <c r="K4530" s="41" t="n">
        <v>26.5</v>
      </c>
      <c r="L4530" s="42" t="n">
        <f aca="false">J4530*K4530</f>
        <v>86.655</v>
      </c>
      <c r="M4530" s="43" t="n">
        <f aca="false">H4530*15.67*(1+'Chart of Accounts'!$E$67)</f>
        <v>58.6708305</v>
      </c>
    </row>
    <row r="4531" customFormat="false" ht="15" hidden="false" customHeight="false" outlineLevel="0" collapsed="false">
      <c r="B4531" s="7" t="s">
        <v>5028</v>
      </c>
      <c r="C4531" s="39" t="n">
        <v>45877</v>
      </c>
      <c r="D4531" s="7" t="s">
        <v>411</v>
      </c>
      <c r="E4531" s="7" t="s">
        <v>154</v>
      </c>
      <c r="F4531" s="7" t="s">
        <v>177</v>
      </c>
      <c r="G4531" s="7" t="s">
        <v>505</v>
      </c>
      <c r="H4531" s="6" t="n">
        <v>5.03</v>
      </c>
      <c r="I4531" s="6" t="n">
        <v>0.151</v>
      </c>
      <c r="J4531" s="40" t="n">
        <f aca="false">H4531-I4531</f>
        <v>4.879</v>
      </c>
      <c r="K4531" s="41" t="n">
        <v>26.5</v>
      </c>
      <c r="L4531" s="42" t="n">
        <f aca="false">J4531*K4531</f>
        <v>129.2935</v>
      </c>
      <c r="M4531" s="43" t="n">
        <f aca="false">H4531*14.56*(1+'Chart of Accounts'!$E$67)</f>
        <v>83.856136</v>
      </c>
    </row>
    <row r="4532" customFormat="false" ht="15" hidden="false" customHeight="false" outlineLevel="0" collapsed="false">
      <c r="B4532" s="7" t="s">
        <v>5029</v>
      </c>
      <c r="C4532" s="39" t="n">
        <v>45878</v>
      </c>
      <c r="D4532" s="7" t="s">
        <v>288</v>
      </c>
      <c r="E4532" s="7" t="s">
        <v>156</v>
      </c>
      <c r="F4532" s="7" t="s">
        <v>194</v>
      </c>
      <c r="G4532" s="7" t="s">
        <v>505</v>
      </c>
      <c r="H4532" s="6" t="n">
        <v>4.34</v>
      </c>
      <c r="I4532" s="6" t="n">
        <v>0</v>
      </c>
      <c r="J4532" s="40" t="n">
        <f aca="false">H4532-I4532</f>
        <v>4.34</v>
      </c>
      <c r="K4532" s="41" t="n">
        <v>34</v>
      </c>
      <c r="L4532" s="42" t="n">
        <f aca="false">J4532*K4532</f>
        <v>147.56</v>
      </c>
      <c r="M4532" s="43" t="n">
        <f aca="false">H4532*16*(1+'Chart of Accounts'!$E$67)</f>
        <v>79.5088</v>
      </c>
    </row>
    <row r="4533" customFormat="false" ht="15" hidden="false" customHeight="false" outlineLevel="0" collapsed="false">
      <c r="B4533" s="7" t="s">
        <v>5030</v>
      </c>
      <c r="C4533" s="39" t="n">
        <v>45878</v>
      </c>
      <c r="D4533" s="7" t="s">
        <v>321</v>
      </c>
      <c r="E4533" s="7" t="s">
        <v>154</v>
      </c>
      <c r="F4533" s="7" t="s">
        <v>218</v>
      </c>
      <c r="G4533" s="7" t="s">
        <v>505</v>
      </c>
      <c r="H4533" s="6" t="n">
        <v>4.23</v>
      </c>
      <c r="I4533" s="6" t="n">
        <v>0</v>
      </c>
      <c r="J4533" s="40" t="n">
        <f aca="false">H4533-I4533</f>
        <v>4.23</v>
      </c>
      <c r="K4533" s="41" t="n">
        <v>26.5</v>
      </c>
      <c r="L4533" s="42" t="n">
        <f aca="false">J4533*K4533</f>
        <v>112.095</v>
      </c>
      <c r="M4533" s="43" t="n">
        <f aca="false">H4533*16.19*(1+'Chart of Accounts'!$E$67)</f>
        <v>78.4138365</v>
      </c>
    </row>
    <row r="4534" customFormat="false" ht="15" hidden="false" customHeight="false" outlineLevel="0" collapsed="false">
      <c r="B4534" s="7" t="s">
        <v>5031</v>
      </c>
      <c r="C4534" s="39" t="n">
        <v>45878</v>
      </c>
      <c r="D4534" s="7" t="s">
        <v>359</v>
      </c>
      <c r="E4534" s="7" t="s">
        <v>156</v>
      </c>
      <c r="F4534" s="7" t="s">
        <v>218</v>
      </c>
      <c r="G4534" s="7" t="s">
        <v>505</v>
      </c>
      <c r="H4534" s="6" t="n">
        <v>4.21</v>
      </c>
      <c r="I4534" s="6" t="n">
        <v>0</v>
      </c>
      <c r="J4534" s="40" t="n">
        <f aca="false">H4534-I4534</f>
        <v>4.21</v>
      </c>
      <c r="K4534" s="41" t="n">
        <v>34</v>
      </c>
      <c r="L4534" s="42" t="n">
        <f aca="false">J4534*K4534</f>
        <v>143.14</v>
      </c>
      <c r="M4534" s="43" t="n">
        <f aca="false">H4534*16.19*(1+'Chart of Accounts'!$E$67)</f>
        <v>78.0430855</v>
      </c>
    </row>
    <row r="4535" customFormat="false" ht="15" hidden="false" customHeight="false" outlineLevel="0" collapsed="false">
      <c r="B4535" s="7" t="s">
        <v>5032</v>
      </c>
      <c r="C4535" s="39" t="n">
        <v>45878</v>
      </c>
      <c r="D4535" s="7" t="s">
        <v>387</v>
      </c>
      <c r="E4535" s="7" t="s">
        <v>154</v>
      </c>
      <c r="F4535" s="7" t="s">
        <v>196</v>
      </c>
      <c r="G4535" s="7" t="s">
        <v>505</v>
      </c>
      <c r="H4535" s="6" t="n">
        <v>4.13</v>
      </c>
      <c r="I4535" s="6" t="n">
        <v>0.124</v>
      </c>
      <c r="J4535" s="40" t="n">
        <f aca="false">H4535-I4535</f>
        <v>4.006</v>
      </c>
      <c r="K4535" s="41" t="n">
        <v>26.5</v>
      </c>
      <c r="L4535" s="42" t="n">
        <f aca="false">J4535*K4535</f>
        <v>106.159</v>
      </c>
      <c r="M4535" s="43" t="n">
        <f aca="false">H4535*15.05*(1+'Chart of Accounts'!$E$67)</f>
        <v>71.1691925</v>
      </c>
    </row>
    <row r="4536" customFormat="false" ht="15" hidden="false" customHeight="false" outlineLevel="0" collapsed="false">
      <c r="B4536" s="7" t="s">
        <v>5033</v>
      </c>
      <c r="C4536" s="39" t="n">
        <v>45878</v>
      </c>
      <c r="D4536" s="7" t="s">
        <v>391</v>
      </c>
      <c r="E4536" s="7" t="s">
        <v>156</v>
      </c>
      <c r="F4536" s="7" t="s">
        <v>222</v>
      </c>
      <c r="G4536" s="7" t="s">
        <v>505</v>
      </c>
      <c r="H4536" s="6" t="n">
        <v>4.27</v>
      </c>
      <c r="I4536" s="6" t="n">
        <v>0</v>
      </c>
      <c r="J4536" s="40" t="n">
        <f aca="false">H4536-I4536</f>
        <v>4.27</v>
      </c>
      <c r="K4536" s="41" t="n">
        <v>34</v>
      </c>
      <c r="L4536" s="42" t="n">
        <f aca="false">J4536*K4536</f>
        <v>145.18</v>
      </c>
      <c r="M4536" s="43" t="n">
        <f aca="false">H4536*17.84*(1+'Chart of Accounts'!$E$67)</f>
        <v>87.222436</v>
      </c>
    </row>
    <row r="4537" customFormat="false" ht="15" hidden="false" customHeight="false" outlineLevel="0" collapsed="false">
      <c r="B4537" s="7" t="s">
        <v>5034</v>
      </c>
      <c r="C4537" s="39" t="n">
        <v>45878</v>
      </c>
      <c r="D4537" s="7" t="s">
        <v>395</v>
      </c>
      <c r="E4537" s="7" t="s">
        <v>156</v>
      </c>
      <c r="F4537" s="7" t="s">
        <v>242</v>
      </c>
      <c r="G4537" s="7" t="s">
        <v>505</v>
      </c>
      <c r="H4537" s="6" t="n">
        <v>3.93</v>
      </c>
      <c r="I4537" s="6" t="n">
        <v>0</v>
      </c>
      <c r="J4537" s="40" t="n">
        <f aca="false">H4537-I4537</f>
        <v>3.93</v>
      </c>
      <c r="K4537" s="41" t="n">
        <v>34</v>
      </c>
      <c r="L4537" s="42" t="n">
        <f aca="false">J4537*K4537</f>
        <v>133.62</v>
      </c>
      <c r="M4537" s="43" t="n">
        <f aca="false">H4537*17.99*(1+'Chart of Accounts'!$E$67)</f>
        <v>80.9523015</v>
      </c>
    </row>
    <row r="4538" customFormat="false" ht="15" hidden="false" customHeight="false" outlineLevel="0" collapsed="false">
      <c r="B4538" s="7" t="s">
        <v>5035</v>
      </c>
      <c r="C4538" s="39" t="n">
        <v>45878</v>
      </c>
      <c r="D4538" s="7" t="s">
        <v>401</v>
      </c>
      <c r="E4538" s="7" t="s">
        <v>156</v>
      </c>
      <c r="F4538" s="7" t="s">
        <v>254</v>
      </c>
      <c r="G4538" s="7" t="s">
        <v>505</v>
      </c>
      <c r="H4538" s="6" t="n">
        <v>4.07</v>
      </c>
      <c r="I4538" s="6" t="n">
        <v>0</v>
      </c>
      <c r="J4538" s="40" t="n">
        <f aca="false">H4538-I4538</f>
        <v>4.07</v>
      </c>
      <c r="K4538" s="41" t="n">
        <v>34</v>
      </c>
      <c r="L4538" s="42" t="n">
        <f aca="false">J4538*K4538</f>
        <v>138.38</v>
      </c>
      <c r="M4538" s="43" t="n">
        <f aca="false">H4538*17.1*(1+'Chart of Accounts'!$E$67)</f>
        <v>79.688565</v>
      </c>
    </row>
    <row r="4539" customFormat="false" ht="15" hidden="false" customHeight="false" outlineLevel="0" collapsed="false">
      <c r="B4539" s="7" t="s">
        <v>5036</v>
      </c>
      <c r="C4539" s="39" t="n">
        <v>45879</v>
      </c>
      <c r="D4539" s="7" t="s">
        <v>288</v>
      </c>
      <c r="E4539" s="7" t="s">
        <v>156</v>
      </c>
      <c r="F4539" s="7" t="s">
        <v>224</v>
      </c>
      <c r="G4539" s="7" t="s">
        <v>505</v>
      </c>
      <c r="H4539" s="6" t="n">
        <v>3.94</v>
      </c>
      <c r="I4539" s="6" t="n">
        <v>0</v>
      </c>
      <c r="J4539" s="40" t="n">
        <f aca="false">H4539-I4539</f>
        <v>3.94</v>
      </c>
      <c r="K4539" s="41" t="n">
        <v>34</v>
      </c>
      <c r="L4539" s="42" t="n">
        <f aca="false">J4539*K4539</f>
        <v>133.96</v>
      </c>
      <c r="M4539" s="43" t="n">
        <f aca="false">H4539*14.93*(1+'Chart of Accounts'!$E$67)</f>
        <v>67.353709</v>
      </c>
    </row>
    <row r="4540" customFormat="false" ht="15" hidden="false" customHeight="false" outlineLevel="0" collapsed="false">
      <c r="B4540" s="7" t="s">
        <v>5037</v>
      </c>
      <c r="C4540" s="39" t="n">
        <v>45879</v>
      </c>
      <c r="D4540" s="7" t="s">
        <v>321</v>
      </c>
      <c r="E4540" s="7" t="s">
        <v>154</v>
      </c>
      <c r="F4540" s="7" t="s">
        <v>218</v>
      </c>
      <c r="G4540" s="7" t="s">
        <v>505</v>
      </c>
      <c r="H4540" s="6" t="n">
        <v>4.05</v>
      </c>
      <c r="I4540" s="6" t="n">
        <v>0</v>
      </c>
      <c r="J4540" s="40" t="n">
        <f aca="false">H4540-I4540</f>
        <v>4.05</v>
      </c>
      <c r="K4540" s="41" t="n">
        <v>26.5</v>
      </c>
      <c r="L4540" s="42" t="n">
        <f aca="false">J4540*K4540</f>
        <v>107.325</v>
      </c>
      <c r="M4540" s="43" t="n">
        <f aca="false">H4540*16.19*(1+'Chart of Accounts'!$E$67)</f>
        <v>75.0770775</v>
      </c>
    </row>
    <row r="4541" customFormat="false" ht="15" hidden="false" customHeight="false" outlineLevel="0" collapsed="false">
      <c r="B4541" s="7" t="s">
        <v>5038</v>
      </c>
      <c r="C4541" s="39" t="n">
        <v>45879</v>
      </c>
      <c r="D4541" s="7" t="s">
        <v>359</v>
      </c>
      <c r="E4541" s="7" t="s">
        <v>156</v>
      </c>
      <c r="F4541" s="7" t="s">
        <v>218</v>
      </c>
      <c r="G4541" s="7" t="s">
        <v>505</v>
      </c>
      <c r="H4541" s="6" t="n">
        <v>4.38</v>
      </c>
      <c r="I4541" s="6" t="n">
        <v>0</v>
      </c>
      <c r="J4541" s="40" t="n">
        <f aca="false">H4541-I4541</f>
        <v>4.38</v>
      </c>
      <c r="K4541" s="41" t="n">
        <v>34</v>
      </c>
      <c r="L4541" s="42" t="n">
        <f aca="false">J4541*K4541</f>
        <v>148.92</v>
      </c>
      <c r="M4541" s="43" t="n">
        <f aca="false">H4541*16.19*(1+'Chart of Accounts'!$E$67)</f>
        <v>81.194469</v>
      </c>
    </row>
    <row r="4542" customFormat="false" ht="15" hidden="false" customHeight="false" outlineLevel="0" collapsed="false">
      <c r="B4542" s="7" t="s">
        <v>5039</v>
      </c>
      <c r="C4542" s="39" t="n">
        <v>45879</v>
      </c>
      <c r="D4542" s="7" t="s">
        <v>387</v>
      </c>
      <c r="E4542" s="7" t="s">
        <v>154</v>
      </c>
      <c r="F4542" s="7" t="s">
        <v>196</v>
      </c>
      <c r="G4542" s="7" t="s">
        <v>505</v>
      </c>
      <c r="H4542" s="6" t="n">
        <v>4.26</v>
      </c>
      <c r="I4542" s="6" t="n">
        <v>0.128</v>
      </c>
      <c r="J4542" s="40" t="n">
        <f aca="false">H4542-I4542</f>
        <v>4.132</v>
      </c>
      <c r="K4542" s="41" t="n">
        <v>26.5</v>
      </c>
      <c r="L4542" s="42" t="n">
        <f aca="false">J4542*K4542</f>
        <v>109.498</v>
      </c>
      <c r="M4542" s="43" t="n">
        <f aca="false">H4542*15.05*(1+'Chart of Accounts'!$E$67)</f>
        <v>73.409385</v>
      </c>
    </row>
    <row r="4543" customFormat="false" ht="15" hidden="false" customHeight="false" outlineLevel="0" collapsed="false">
      <c r="B4543" s="7" t="s">
        <v>5040</v>
      </c>
      <c r="C4543" s="39" t="n">
        <v>45879</v>
      </c>
      <c r="D4543" s="7" t="s">
        <v>391</v>
      </c>
      <c r="E4543" s="7" t="s">
        <v>156</v>
      </c>
      <c r="F4543" s="7" t="s">
        <v>222</v>
      </c>
      <c r="G4543" s="7" t="s">
        <v>505</v>
      </c>
      <c r="H4543" s="6" t="n">
        <v>3.74</v>
      </c>
      <c r="I4543" s="6" t="n">
        <v>0</v>
      </c>
      <c r="J4543" s="40" t="n">
        <f aca="false">H4543-I4543</f>
        <v>3.74</v>
      </c>
      <c r="K4543" s="41" t="n">
        <v>34</v>
      </c>
      <c r="L4543" s="42" t="n">
        <f aca="false">J4543*K4543</f>
        <v>127.16</v>
      </c>
      <c r="M4543" s="43" t="n">
        <f aca="false">H4543*17.84*(1+'Chart of Accounts'!$E$67)</f>
        <v>76.396232</v>
      </c>
    </row>
    <row r="4544" customFormat="false" ht="15" hidden="false" customHeight="false" outlineLevel="0" collapsed="false">
      <c r="B4544" s="7" t="s">
        <v>5041</v>
      </c>
      <c r="C4544" s="39" t="n">
        <v>45879</v>
      </c>
      <c r="D4544" s="7" t="s">
        <v>395</v>
      </c>
      <c r="E4544" s="7" t="s">
        <v>156</v>
      </c>
      <c r="F4544" s="7" t="s">
        <v>242</v>
      </c>
      <c r="G4544" s="7" t="s">
        <v>505</v>
      </c>
      <c r="H4544" s="6" t="n">
        <v>3.84</v>
      </c>
      <c r="I4544" s="6" t="n">
        <v>0</v>
      </c>
      <c r="J4544" s="40" t="n">
        <f aca="false">H4544-I4544</f>
        <v>3.84</v>
      </c>
      <c r="K4544" s="41" t="n">
        <v>34</v>
      </c>
      <c r="L4544" s="42" t="n">
        <f aca="false">J4544*K4544</f>
        <v>130.56</v>
      </c>
      <c r="M4544" s="43" t="n">
        <f aca="false">H4544*17.99*(1+'Chart of Accounts'!$E$67)</f>
        <v>79.098432</v>
      </c>
    </row>
    <row r="4545" customFormat="false" ht="15" hidden="false" customHeight="false" outlineLevel="0" collapsed="false">
      <c r="B4545" s="7" t="s">
        <v>5042</v>
      </c>
      <c r="C4545" s="39" t="n">
        <v>45879</v>
      </c>
      <c r="D4545" s="7" t="s">
        <v>401</v>
      </c>
      <c r="E4545" s="7" t="s">
        <v>156</v>
      </c>
      <c r="F4545" s="7" t="s">
        <v>254</v>
      </c>
      <c r="G4545" s="7" t="s">
        <v>505</v>
      </c>
      <c r="H4545" s="6" t="n">
        <v>4.09</v>
      </c>
      <c r="I4545" s="6" t="n">
        <v>0</v>
      </c>
      <c r="J4545" s="40" t="n">
        <f aca="false">H4545-I4545</f>
        <v>4.09</v>
      </c>
      <c r="K4545" s="41" t="n">
        <v>34</v>
      </c>
      <c r="L4545" s="42" t="n">
        <f aca="false">J4545*K4545</f>
        <v>139.06</v>
      </c>
      <c r="M4545" s="43" t="n">
        <f aca="false">H4545*17.1*(1+'Chart of Accounts'!$E$67)</f>
        <v>80.080155</v>
      </c>
    </row>
    <row r="4546" customFormat="false" ht="15" hidden="false" customHeight="false" outlineLevel="0" collapsed="false">
      <c r="B4546" s="7" t="s">
        <v>5043</v>
      </c>
      <c r="C4546" s="39" t="n">
        <v>45880</v>
      </c>
      <c r="D4546" s="7" t="s">
        <v>280</v>
      </c>
      <c r="E4546" s="7" t="s">
        <v>157</v>
      </c>
      <c r="F4546" s="7" t="s">
        <v>187</v>
      </c>
      <c r="G4546" s="7" t="s">
        <v>502</v>
      </c>
      <c r="H4546" s="6" t="n">
        <v>1.04</v>
      </c>
      <c r="I4546" s="6" t="n">
        <v>0</v>
      </c>
      <c r="J4546" s="40" t="n">
        <f aca="false">H4546-I4546</f>
        <v>1.04</v>
      </c>
      <c r="K4546" s="41" t="n">
        <v>165</v>
      </c>
      <c r="L4546" s="42" t="n">
        <f aca="false">J4546*K4546</f>
        <v>171.6</v>
      </c>
      <c r="M4546" s="43" t="n">
        <f aca="false">H4546*66.48*(1+'Chart of Accounts'!$E$67)</f>
        <v>79.164384</v>
      </c>
    </row>
    <row r="4547" customFormat="false" ht="15" hidden="false" customHeight="false" outlineLevel="0" collapsed="false">
      <c r="B4547" s="7" t="s">
        <v>5044</v>
      </c>
      <c r="C4547" s="39" t="n">
        <v>45880</v>
      </c>
      <c r="D4547" s="7" t="s">
        <v>288</v>
      </c>
      <c r="E4547" s="7" t="s">
        <v>156</v>
      </c>
      <c r="F4547" s="7" t="s">
        <v>238</v>
      </c>
      <c r="G4547" s="7" t="s">
        <v>505</v>
      </c>
      <c r="H4547" s="6" t="n">
        <v>4.21</v>
      </c>
      <c r="I4547" s="6" t="n">
        <v>0</v>
      </c>
      <c r="J4547" s="40" t="n">
        <f aca="false">H4547-I4547</f>
        <v>4.21</v>
      </c>
      <c r="K4547" s="41" t="n">
        <v>34</v>
      </c>
      <c r="L4547" s="42" t="n">
        <f aca="false">J4547*K4547</f>
        <v>143.14</v>
      </c>
      <c r="M4547" s="43" t="n">
        <f aca="false">H4547*15.85*(1+'Chart of Accounts'!$E$67)</f>
        <v>76.4041325</v>
      </c>
    </row>
    <row r="4548" customFormat="false" ht="15" hidden="false" customHeight="false" outlineLevel="0" collapsed="false">
      <c r="B4548" s="7" t="s">
        <v>5045</v>
      </c>
      <c r="C4548" s="39" t="n">
        <v>45880</v>
      </c>
      <c r="D4548" s="7" t="s">
        <v>291</v>
      </c>
      <c r="E4548" s="7" t="s">
        <v>154</v>
      </c>
      <c r="F4548" s="7" t="s">
        <v>194</v>
      </c>
      <c r="G4548" s="7" t="s">
        <v>505</v>
      </c>
      <c r="H4548" s="6" t="n">
        <v>4.26</v>
      </c>
      <c r="I4548" s="6" t="n">
        <v>0</v>
      </c>
      <c r="J4548" s="40" t="n">
        <f aca="false">H4548-I4548</f>
        <v>4.26</v>
      </c>
      <c r="K4548" s="41" t="n">
        <v>26.5</v>
      </c>
      <c r="L4548" s="42" t="n">
        <f aca="false">J4548*K4548</f>
        <v>112.89</v>
      </c>
      <c r="M4548" s="43" t="n">
        <f aca="false">H4548*16*(1+'Chart of Accounts'!$E$67)</f>
        <v>78.0432</v>
      </c>
    </row>
    <row r="4549" customFormat="false" ht="15" hidden="false" customHeight="false" outlineLevel="0" collapsed="false">
      <c r="B4549" s="7" t="s">
        <v>5046</v>
      </c>
      <c r="C4549" s="39" t="n">
        <v>45880</v>
      </c>
      <c r="D4549" s="7" t="s">
        <v>295</v>
      </c>
      <c r="E4549" s="7" t="s">
        <v>154</v>
      </c>
      <c r="F4549" s="7" t="s">
        <v>214</v>
      </c>
      <c r="G4549" s="7" t="s">
        <v>505</v>
      </c>
      <c r="H4549" s="6" t="n">
        <v>3.61</v>
      </c>
      <c r="I4549" s="6" t="n">
        <v>0</v>
      </c>
      <c r="J4549" s="40" t="n">
        <f aca="false">H4549-I4549</f>
        <v>3.61</v>
      </c>
      <c r="K4549" s="41" t="n">
        <v>26.5</v>
      </c>
      <c r="L4549" s="42" t="n">
        <f aca="false">J4549*K4549</f>
        <v>95.665</v>
      </c>
      <c r="M4549" s="43" t="n">
        <f aca="false">H4549*15.67*(1+'Chart of Accounts'!$E$67)</f>
        <v>64.7711615</v>
      </c>
    </row>
    <row r="4550" customFormat="false" ht="15" hidden="false" customHeight="false" outlineLevel="0" collapsed="false">
      <c r="B4550" s="7" t="s">
        <v>5047</v>
      </c>
      <c r="C4550" s="39" t="n">
        <v>45880</v>
      </c>
      <c r="D4550" s="7" t="s">
        <v>297</v>
      </c>
      <c r="E4550" s="7" t="s">
        <v>156</v>
      </c>
      <c r="F4550" s="7" t="s">
        <v>201</v>
      </c>
      <c r="G4550" s="7" t="s">
        <v>505</v>
      </c>
      <c r="H4550" s="6" t="n">
        <v>3.11</v>
      </c>
      <c r="I4550" s="6" t="n">
        <v>0</v>
      </c>
      <c r="J4550" s="40" t="n">
        <f aca="false">H4550-I4550</f>
        <v>3.11</v>
      </c>
      <c r="K4550" s="41" t="n">
        <v>34</v>
      </c>
      <c r="L4550" s="42" t="n">
        <f aca="false">J4550*K4550</f>
        <v>105.74</v>
      </c>
      <c r="M4550" s="43" t="n">
        <f aca="false">H4550*15.19*(1+'Chart of Accounts'!$E$67)</f>
        <v>54.0908305</v>
      </c>
    </row>
    <row r="4551" customFormat="false" ht="15" hidden="false" customHeight="false" outlineLevel="0" collapsed="false">
      <c r="B4551" s="7" t="s">
        <v>5048</v>
      </c>
      <c r="C4551" s="39" t="n">
        <v>45880</v>
      </c>
      <c r="D4551" s="7" t="s">
        <v>305</v>
      </c>
      <c r="E4551" s="7" t="s">
        <v>154</v>
      </c>
      <c r="F4551" s="7" t="s">
        <v>205</v>
      </c>
      <c r="G4551" s="7" t="s">
        <v>505</v>
      </c>
      <c r="H4551" s="6" t="n">
        <v>4.21</v>
      </c>
      <c r="I4551" s="6" t="n">
        <v>0</v>
      </c>
      <c r="J4551" s="40" t="n">
        <f aca="false">H4551-I4551</f>
        <v>4.21</v>
      </c>
      <c r="K4551" s="41" t="n">
        <v>26.5</v>
      </c>
      <c r="L4551" s="42" t="n">
        <f aca="false">J4551*K4551</f>
        <v>111.565</v>
      </c>
      <c r="M4551" s="43" t="n">
        <f aca="false">H4551*16.36*(1+'Chart of Accounts'!$E$67)</f>
        <v>78.862562</v>
      </c>
    </row>
    <row r="4552" customFormat="false" ht="15" hidden="false" customHeight="false" outlineLevel="0" collapsed="false">
      <c r="B4552" s="7" t="s">
        <v>5049</v>
      </c>
      <c r="C4552" s="39" t="n">
        <v>45880</v>
      </c>
      <c r="D4552" s="7" t="s">
        <v>307</v>
      </c>
      <c r="E4552" s="7" t="s">
        <v>157</v>
      </c>
      <c r="F4552" s="7" t="s">
        <v>264</v>
      </c>
      <c r="G4552" s="7" t="s">
        <v>502</v>
      </c>
      <c r="H4552" s="6" t="n">
        <v>0.92</v>
      </c>
      <c r="I4552" s="6" t="n">
        <v>0</v>
      </c>
      <c r="J4552" s="40" t="n">
        <f aca="false">H4552-I4552</f>
        <v>0.92</v>
      </c>
      <c r="K4552" s="41" t="n">
        <v>165</v>
      </c>
      <c r="L4552" s="42" t="n">
        <f aca="false">J4552*K4552</f>
        <v>151.8</v>
      </c>
      <c r="M4552" s="43" t="n">
        <f aca="false">H4552*55.55*(1+'Chart of Accounts'!$E$67)</f>
        <v>58.51637</v>
      </c>
    </row>
    <row r="4553" customFormat="false" ht="15" hidden="false" customHeight="false" outlineLevel="0" collapsed="false">
      <c r="B4553" s="7" t="s">
        <v>5050</v>
      </c>
      <c r="C4553" s="39" t="n">
        <v>45880</v>
      </c>
      <c r="D4553" s="7" t="s">
        <v>309</v>
      </c>
      <c r="E4553" s="7" t="s">
        <v>159</v>
      </c>
      <c r="F4553" s="7" t="s">
        <v>252</v>
      </c>
      <c r="G4553" s="7" t="s">
        <v>502</v>
      </c>
      <c r="H4553" s="6" t="n">
        <v>0.95</v>
      </c>
      <c r="I4553" s="6" t="n">
        <v>0</v>
      </c>
      <c r="J4553" s="40" t="n">
        <f aca="false">H4553-I4553</f>
        <v>0.95</v>
      </c>
      <c r="K4553" s="41" t="n">
        <v>135</v>
      </c>
      <c r="L4553" s="42" t="n">
        <f aca="false">J4553*K4553</f>
        <v>128.25</v>
      </c>
      <c r="M4553" s="43" t="n">
        <f aca="false">H4553*57.54*(1+'Chart of Accounts'!$E$67)</f>
        <v>62.589135</v>
      </c>
    </row>
    <row r="4554" customFormat="false" ht="15" hidden="false" customHeight="false" outlineLevel="0" collapsed="false">
      <c r="B4554" s="7" t="s">
        <v>5051</v>
      </c>
      <c r="C4554" s="39" t="n">
        <v>45880</v>
      </c>
      <c r="D4554" s="7" t="s">
        <v>311</v>
      </c>
      <c r="E4554" s="7" t="s">
        <v>154</v>
      </c>
      <c r="F4554" s="7" t="s">
        <v>196</v>
      </c>
      <c r="G4554" s="7" t="s">
        <v>505</v>
      </c>
      <c r="H4554" s="6" t="n">
        <v>3.11</v>
      </c>
      <c r="I4554" s="6" t="n">
        <v>0</v>
      </c>
      <c r="J4554" s="40" t="n">
        <f aca="false">H4554-I4554</f>
        <v>3.11</v>
      </c>
      <c r="K4554" s="41" t="n">
        <v>26.5</v>
      </c>
      <c r="L4554" s="42" t="n">
        <f aca="false">J4554*K4554</f>
        <v>82.415</v>
      </c>
      <c r="M4554" s="43" t="n">
        <f aca="false">H4554*15.05*(1+'Chart of Accounts'!$E$67)</f>
        <v>53.5922975</v>
      </c>
    </row>
    <row r="4555" customFormat="false" ht="15" hidden="false" customHeight="false" outlineLevel="0" collapsed="false">
      <c r="B4555" s="7" t="s">
        <v>5052</v>
      </c>
      <c r="C4555" s="39" t="n">
        <v>45880</v>
      </c>
      <c r="D4555" s="7" t="s">
        <v>313</v>
      </c>
      <c r="E4555" s="7" t="s">
        <v>156</v>
      </c>
      <c r="F4555" s="7" t="s">
        <v>184</v>
      </c>
      <c r="G4555" s="7" t="s">
        <v>505</v>
      </c>
      <c r="H4555" s="6" t="n">
        <v>4.32</v>
      </c>
      <c r="I4555" s="6" t="n">
        <v>0</v>
      </c>
      <c r="J4555" s="40" t="n">
        <f aca="false">H4555-I4555</f>
        <v>4.32</v>
      </c>
      <c r="K4555" s="41" t="n">
        <v>34</v>
      </c>
      <c r="L4555" s="42" t="n">
        <f aca="false">J4555*K4555</f>
        <v>146.88</v>
      </c>
      <c r="M4555" s="43" t="n">
        <f aca="false">H4555*17.34*(1+'Chart of Accounts'!$E$67)</f>
        <v>85.770576</v>
      </c>
    </row>
    <row r="4556" customFormat="false" ht="15" hidden="false" customHeight="false" outlineLevel="0" collapsed="false">
      <c r="B4556" s="7" t="s">
        <v>5053</v>
      </c>
      <c r="C4556" s="39" t="n">
        <v>45880</v>
      </c>
      <c r="D4556" s="7" t="s">
        <v>315</v>
      </c>
      <c r="E4556" s="7" t="s">
        <v>159</v>
      </c>
      <c r="F4556" s="7" t="s">
        <v>216</v>
      </c>
      <c r="G4556" s="7" t="s">
        <v>502</v>
      </c>
      <c r="H4556" s="6" t="n">
        <v>1.08</v>
      </c>
      <c r="I4556" s="6" t="n">
        <v>0</v>
      </c>
      <c r="J4556" s="40" t="n">
        <f aca="false">H4556-I4556</f>
        <v>1.08</v>
      </c>
      <c r="K4556" s="41" t="n">
        <v>135</v>
      </c>
      <c r="L4556" s="42" t="n">
        <f aca="false">J4556*K4556</f>
        <v>145.8</v>
      </c>
      <c r="M4556" s="43" t="n">
        <f aca="false">H4556*61.79*(1+'Chart of Accounts'!$E$67)</f>
        <v>76.409514</v>
      </c>
    </row>
    <row r="4557" customFormat="false" ht="15" hidden="false" customHeight="false" outlineLevel="0" collapsed="false">
      <c r="B4557" s="7" t="s">
        <v>5054</v>
      </c>
      <c r="C4557" s="39" t="n">
        <v>45880</v>
      </c>
      <c r="D4557" s="7" t="s">
        <v>317</v>
      </c>
      <c r="E4557" s="7" t="s">
        <v>156</v>
      </c>
      <c r="F4557" s="7" t="s">
        <v>207</v>
      </c>
      <c r="G4557" s="7" t="s">
        <v>505</v>
      </c>
      <c r="H4557" s="6" t="n">
        <v>3.02</v>
      </c>
      <c r="I4557" s="6" t="n">
        <v>0</v>
      </c>
      <c r="J4557" s="40" t="n">
        <f aca="false">H4557-I4557</f>
        <v>3.02</v>
      </c>
      <c r="K4557" s="41" t="n">
        <v>34</v>
      </c>
      <c r="L4557" s="42" t="n">
        <f aca="false">J4557*K4557</f>
        <v>102.68</v>
      </c>
      <c r="M4557" s="43" t="n">
        <f aca="false">H4557*16.65*(1+'Chart of Accounts'!$E$67)</f>
        <v>57.574035</v>
      </c>
    </row>
    <row r="4558" customFormat="false" ht="15" hidden="false" customHeight="false" outlineLevel="0" collapsed="false">
      <c r="B4558" s="7" t="s">
        <v>5055</v>
      </c>
      <c r="C4558" s="39" t="n">
        <v>45880</v>
      </c>
      <c r="D4558" s="7" t="s">
        <v>321</v>
      </c>
      <c r="E4558" s="7" t="s">
        <v>154</v>
      </c>
      <c r="F4558" s="7" t="s">
        <v>218</v>
      </c>
      <c r="G4558" s="7" t="s">
        <v>505</v>
      </c>
      <c r="H4558" s="6" t="n">
        <v>3.94</v>
      </c>
      <c r="I4558" s="6" t="n">
        <v>0</v>
      </c>
      <c r="J4558" s="40" t="n">
        <f aca="false">H4558-I4558</f>
        <v>3.94</v>
      </c>
      <c r="K4558" s="41" t="n">
        <v>26.5</v>
      </c>
      <c r="L4558" s="42" t="n">
        <f aca="false">J4558*K4558</f>
        <v>104.41</v>
      </c>
      <c r="M4558" s="43" t="n">
        <f aca="false">H4558*16.19*(1+'Chart of Accounts'!$E$67)</f>
        <v>73.037947</v>
      </c>
    </row>
    <row r="4559" customFormat="false" ht="15" hidden="false" customHeight="false" outlineLevel="0" collapsed="false">
      <c r="B4559" s="7" t="s">
        <v>5056</v>
      </c>
      <c r="C4559" s="39" t="n">
        <v>45880</v>
      </c>
      <c r="D4559" s="7" t="s">
        <v>325</v>
      </c>
      <c r="E4559" s="7" t="s">
        <v>154</v>
      </c>
      <c r="F4559" s="7" t="s">
        <v>207</v>
      </c>
      <c r="G4559" s="7" t="s">
        <v>505</v>
      </c>
      <c r="H4559" s="6" t="n">
        <v>2.87</v>
      </c>
      <c r="I4559" s="6" t="n">
        <v>0</v>
      </c>
      <c r="J4559" s="40" t="n">
        <f aca="false">H4559-I4559</f>
        <v>2.87</v>
      </c>
      <c r="K4559" s="41" t="n">
        <v>26.5</v>
      </c>
      <c r="L4559" s="42" t="n">
        <f aca="false">J4559*K4559</f>
        <v>76.055</v>
      </c>
      <c r="M4559" s="43" t="n">
        <f aca="false">H4559*16.65*(1+'Chart of Accounts'!$E$67)</f>
        <v>54.7143975</v>
      </c>
    </row>
    <row r="4560" customFormat="false" ht="15" hidden="false" customHeight="false" outlineLevel="0" collapsed="false">
      <c r="B4560" s="7" t="s">
        <v>5057</v>
      </c>
      <c r="C4560" s="39" t="n">
        <v>45880</v>
      </c>
      <c r="D4560" s="7" t="s">
        <v>329</v>
      </c>
      <c r="E4560" s="7" t="s">
        <v>156</v>
      </c>
      <c r="F4560" s="7" t="s">
        <v>220</v>
      </c>
      <c r="G4560" s="7" t="s">
        <v>505</v>
      </c>
      <c r="H4560" s="6" t="n">
        <v>4.24</v>
      </c>
      <c r="I4560" s="6" t="n">
        <v>0</v>
      </c>
      <c r="J4560" s="40" t="n">
        <f aca="false">H4560-I4560</f>
        <v>4.24</v>
      </c>
      <c r="K4560" s="41" t="n">
        <v>34</v>
      </c>
      <c r="L4560" s="42" t="n">
        <f aca="false">J4560*K4560</f>
        <v>144.16</v>
      </c>
      <c r="M4560" s="43" t="n">
        <f aca="false">H4560*16.43*(1+'Chart of Accounts'!$E$67)</f>
        <v>79.764364</v>
      </c>
    </row>
    <row r="4561" customFormat="false" ht="15" hidden="false" customHeight="false" outlineLevel="0" collapsed="false">
      <c r="B4561" s="7" t="s">
        <v>5058</v>
      </c>
      <c r="C4561" s="39" t="n">
        <v>45880</v>
      </c>
      <c r="D4561" s="7" t="s">
        <v>331</v>
      </c>
      <c r="E4561" s="7" t="s">
        <v>156</v>
      </c>
      <c r="F4561" s="7" t="s">
        <v>224</v>
      </c>
      <c r="G4561" s="7" t="s">
        <v>505</v>
      </c>
      <c r="H4561" s="6" t="n">
        <v>3.84</v>
      </c>
      <c r="I4561" s="6" t="n">
        <v>0</v>
      </c>
      <c r="J4561" s="40" t="n">
        <f aca="false">H4561-I4561</f>
        <v>3.84</v>
      </c>
      <c r="K4561" s="41" t="n">
        <v>34</v>
      </c>
      <c r="L4561" s="42" t="n">
        <f aca="false">J4561*K4561</f>
        <v>130.56</v>
      </c>
      <c r="M4561" s="43" t="n">
        <f aca="false">H4561*14.93*(1+'Chart of Accounts'!$E$67)</f>
        <v>65.644224</v>
      </c>
    </row>
    <row r="4562" customFormat="false" ht="15" hidden="false" customHeight="false" outlineLevel="0" collapsed="false">
      <c r="B4562" s="7" t="s">
        <v>5059</v>
      </c>
      <c r="C4562" s="39" t="n">
        <v>45880</v>
      </c>
      <c r="D4562" s="7" t="s">
        <v>335</v>
      </c>
      <c r="E4562" s="7" t="s">
        <v>154</v>
      </c>
      <c r="F4562" s="7" t="s">
        <v>177</v>
      </c>
      <c r="G4562" s="7" t="s">
        <v>505</v>
      </c>
      <c r="H4562" s="6" t="n">
        <v>3.67</v>
      </c>
      <c r="I4562" s="6" t="n">
        <v>0</v>
      </c>
      <c r="J4562" s="40" t="n">
        <f aca="false">H4562-I4562</f>
        <v>3.67</v>
      </c>
      <c r="K4562" s="41" t="n">
        <v>26.5</v>
      </c>
      <c r="L4562" s="42" t="n">
        <f aca="false">J4562*K4562</f>
        <v>97.255</v>
      </c>
      <c r="M4562" s="43" t="n">
        <f aca="false">H4562*14.56*(1+'Chart of Accounts'!$E$67)</f>
        <v>61.183304</v>
      </c>
    </row>
    <row r="4563" customFormat="false" ht="15" hidden="false" customHeight="false" outlineLevel="0" collapsed="false">
      <c r="B4563" s="7" t="s">
        <v>5060</v>
      </c>
      <c r="C4563" s="39" t="n">
        <v>45880</v>
      </c>
      <c r="D4563" s="7" t="s">
        <v>337</v>
      </c>
      <c r="E4563" s="7" t="s">
        <v>154</v>
      </c>
      <c r="F4563" s="7" t="s">
        <v>232</v>
      </c>
      <c r="G4563" s="7" t="s">
        <v>505</v>
      </c>
      <c r="H4563" s="6" t="n">
        <v>2.78</v>
      </c>
      <c r="I4563" s="6" t="n">
        <v>0</v>
      </c>
      <c r="J4563" s="40" t="n">
        <f aca="false">H4563-I4563</f>
        <v>2.78</v>
      </c>
      <c r="K4563" s="41" t="n">
        <v>26.5</v>
      </c>
      <c r="L4563" s="42" t="n">
        <f aca="false">J4563*K4563</f>
        <v>73.67</v>
      </c>
      <c r="M4563" s="43" t="n">
        <f aca="false">H4563*16.17*(1+'Chart of Accounts'!$E$67)</f>
        <v>51.470727</v>
      </c>
    </row>
    <row r="4564" customFormat="false" ht="15" hidden="false" customHeight="false" outlineLevel="0" collapsed="false">
      <c r="B4564" s="7" t="s">
        <v>5061</v>
      </c>
      <c r="C4564" s="39" t="n">
        <v>45880</v>
      </c>
      <c r="D4564" s="7" t="s">
        <v>339</v>
      </c>
      <c r="E4564" s="7" t="s">
        <v>154</v>
      </c>
      <c r="F4564" s="7" t="s">
        <v>242</v>
      </c>
      <c r="G4564" s="7" t="s">
        <v>505</v>
      </c>
      <c r="H4564" s="6" t="n">
        <v>3.36</v>
      </c>
      <c r="I4564" s="6" t="n">
        <v>0</v>
      </c>
      <c r="J4564" s="40" t="n">
        <f aca="false">H4564-I4564</f>
        <v>3.36</v>
      </c>
      <c r="K4564" s="41" t="n">
        <v>26.5</v>
      </c>
      <c r="L4564" s="42" t="n">
        <f aca="false">J4564*K4564</f>
        <v>89.04</v>
      </c>
      <c r="M4564" s="43" t="n">
        <f aca="false">H4564*17.99*(1+'Chart of Accounts'!$E$67)</f>
        <v>69.211128</v>
      </c>
    </row>
    <row r="4565" customFormat="false" ht="15" hidden="false" customHeight="false" outlineLevel="0" collapsed="false">
      <c r="B4565" s="7" t="s">
        <v>5062</v>
      </c>
      <c r="C4565" s="39" t="n">
        <v>45880</v>
      </c>
      <c r="D4565" s="7" t="s">
        <v>341</v>
      </c>
      <c r="E4565" s="7" t="s">
        <v>156</v>
      </c>
      <c r="F4565" s="7" t="s">
        <v>222</v>
      </c>
      <c r="G4565" s="7" t="s">
        <v>505</v>
      </c>
      <c r="H4565" s="6" t="n">
        <v>2.94</v>
      </c>
      <c r="I4565" s="6" t="n">
        <v>0</v>
      </c>
      <c r="J4565" s="40" t="n">
        <f aca="false">H4565-I4565</f>
        <v>2.94</v>
      </c>
      <c r="K4565" s="41" t="n">
        <v>34</v>
      </c>
      <c r="L4565" s="42" t="n">
        <f aca="false">J4565*K4565</f>
        <v>99.96</v>
      </c>
      <c r="M4565" s="43" t="n">
        <f aca="false">H4565*17.84*(1+'Chart of Accounts'!$E$67)</f>
        <v>60.054792</v>
      </c>
    </row>
    <row r="4566" customFormat="false" ht="15" hidden="false" customHeight="false" outlineLevel="0" collapsed="false">
      <c r="B4566" s="7" t="s">
        <v>5063</v>
      </c>
      <c r="C4566" s="39" t="n">
        <v>45880</v>
      </c>
      <c r="D4566" s="7" t="s">
        <v>343</v>
      </c>
      <c r="E4566" s="7" t="s">
        <v>154</v>
      </c>
      <c r="F4566" s="7" t="s">
        <v>205</v>
      </c>
      <c r="G4566" s="7" t="s">
        <v>505</v>
      </c>
      <c r="H4566" s="6" t="n">
        <v>4.25</v>
      </c>
      <c r="I4566" s="6" t="n">
        <v>0</v>
      </c>
      <c r="J4566" s="40" t="n">
        <f aca="false">H4566-I4566</f>
        <v>4.25</v>
      </c>
      <c r="K4566" s="41" t="n">
        <v>26.5</v>
      </c>
      <c r="L4566" s="42" t="n">
        <f aca="false">J4566*K4566</f>
        <v>112.625</v>
      </c>
      <c r="M4566" s="43" t="n">
        <f aca="false">H4566*16.36*(1+'Chart of Accounts'!$E$67)</f>
        <v>79.61185</v>
      </c>
    </row>
    <row r="4567" customFormat="false" ht="15" hidden="false" customHeight="false" outlineLevel="0" collapsed="false">
      <c r="B4567" s="7" t="s">
        <v>5064</v>
      </c>
      <c r="C4567" s="39" t="n">
        <v>45880</v>
      </c>
      <c r="D4567" s="7" t="s">
        <v>347</v>
      </c>
      <c r="E4567" s="7" t="s">
        <v>154</v>
      </c>
      <c r="F4567" s="7" t="s">
        <v>238</v>
      </c>
      <c r="G4567" s="7" t="s">
        <v>505</v>
      </c>
      <c r="H4567" s="6" t="n">
        <v>4.42</v>
      </c>
      <c r="I4567" s="6" t="n">
        <v>0</v>
      </c>
      <c r="J4567" s="40" t="n">
        <f aca="false">H4567-I4567</f>
        <v>4.42</v>
      </c>
      <c r="K4567" s="41" t="n">
        <v>26.5</v>
      </c>
      <c r="L4567" s="42" t="n">
        <f aca="false">J4567*K4567</f>
        <v>117.13</v>
      </c>
      <c r="M4567" s="43" t="n">
        <f aca="false">H4567*15.85*(1+'Chart of Accounts'!$E$67)</f>
        <v>80.215265</v>
      </c>
    </row>
    <row r="4568" customFormat="false" ht="15" hidden="false" customHeight="false" outlineLevel="0" collapsed="false">
      <c r="B4568" s="7" t="s">
        <v>5065</v>
      </c>
      <c r="C4568" s="39" t="n">
        <v>45880</v>
      </c>
      <c r="D4568" s="7" t="s">
        <v>351</v>
      </c>
      <c r="E4568" s="7" t="s">
        <v>154</v>
      </c>
      <c r="F4568" s="7" t="s">
        <v>201</v>
      </c>
      <c r="G4568" s="7" t="s">
        <v>505</v>
      </c>
      <c r="H4568" s="6" t="n">
        <v>3.01</v>
      </c>
      <c r="I4568" s="6" t="n">
        <v>0</v>
      </c>
      <c r="J4568" s="40" t="n">
        <f aca="false">H4568-I4568</f>
        <v>3.01</v>
      </c>
      <c r="K4568" s="41" t="n">
        <v>26.5</v>
      </c>
      <c r="L4568" s="42" t="n">
        <f aca="false">J4568*K4568</f>
        <v>79.765</v>
      </c>
      <c r="M4568" s="43" t="n">
        <f aca="false">H4568*15.19*(1+'Chart of Accounts'!$E$67)</f>
        <v>52.3515755</v>
      </c>
    </row>
    <row r="4569" customFormat="false" ht="15" hidden="false" customHeight="false" outlineLevel="0" collapsed="false">
      <c r="B4569" s="7" t="s">
        <v>5066</v>
      </c>
      <c r="C4569" s="39" t="n">
        <v>45880</v>
      </c>
      <c r="D4569" s="7" t="s">
        <v>353</v>
      </c>
      <c r="E4569" s="7" t="s">
        <v>154</v>
      </c>
      <c r="F4569" s="7" t="s">
        <v>254</v>
      </c>
      <c r="G4569" s="7" t="s">
        <v>505</v>
      </c>
      <c r="H4569" s="6" t="n">
        <v>3.16</v>
      </c>
      <c r="I4569" s="6" t="n">
        <v>0</v>
      </c>
      <c r="J4569" s="40" t="n">
        <f aca="false">H4569-I4569</f>
        <v>3.16</v>
      </c>
      <c r="K4569" s="41" t="n">
        <v>26.5</v>
      </c>
      <c r="L4569" s="42" t="n">
        <f aca="false">J4569*K4569</f>
        <v>83.74</v>
      </c>
      <c r="M4569" s="43" t="n">
        <f aca="false">H4569*17.1*(1+'Chart of Accounts'!$E$67)</f>
        <v>61.87122</v>
      </c>
    </row>
    <row r="4570" customFormat="false" ht="15" hidden="false" customHeight="false" outlineLevel="0" collapsed="false">
      <c r="B4570" s="7" t="s">
        <v>5067</v>
      </c>
      <c r="C4570" s="39" t="n">
        <v>45880</v>
      </c>
      <c r="D4570" s="7" t="s">
        <v>355</v>
      </c>
      <c r="E4570" s="7" t="s">
        <v>154</v>
      </c>
      <c r="F4570" s="7" t="s">
        <v>201</v>
      </c>
      <c r="G4570" s="7" t="s">
        <v>505</v>
      </c>
      <c r="H4570" s="6" t="n">
        <v>3.36</v>
      </c>
      <c r="I4570" s="6" t="n">
        <v>0</v>
      </c>
      <c r="J4570" s="40" t="n">
        <f aca="false">H4570-I4570</f>
        <v>3.36</v>
      </c>
      <c r="K4570" s="41" t="n">
        <v>26.5</v>
      </c>
      <c r="L4570" s="42" t="n">
        <f aca="false">J4570*K4570</f>
        <v>89.04</v>
      </c>
      <c r="M4570" s="43" t="n">
        <f aca="false">H4570*15.19*(1+'Chart of Accounts'!$E$67)</f>
        <v>58.438968</v>
      </c>
    </row>
    <row r="4571" customFormat="false" ht="15" hidden="false" customHeight="false" outlineLevel="0" collapsed="false">
      <c r="B4571" s="7" t="s">
        <v>5068</v>
      </c>
      <c r="C4571" s="39" t="n">
        <v>45880</v>
      </c>
      <c r="D4571" s="7" t="s">
        <v>357</v>
      </c>
      <c r="E4571" s="7" t="s">
        <v>154</v>
      </c>
      <c r="F4571" s="7" t="s">
        <v>207</v>
      </c>
      <c r="G4571" s="7" t="s">
        <v>505</v>
      </c>
      <c r="H4571" s="6" t="n">
        <v>3.09</v>
      </c>
      <c r="I4571" s="6" t="n">
        <v>0</v>
      </c>
      <c r="J4571" s="40" t="n">
        <f aca="false">H4571-I4571</f>
        <v>3.09</v>
      </c>
      <c r="K4571" s="41" t="n">
        <v>26.5</v>
      </c>
      <c r="L4571" s="42" t="n">
        <f aca="false">J4571*K4571</f>
        <v>81.885</v>
      </c>
      <c r="M4571" s="43" t="n">
        <f aca="false">H4571*16.65*(1+'Chart of Accounts'!$E$67)</f>
        <v>58.9085325</v>
      </c>
    </row>
    <row r="4572" customFormat="false" ht="15" hidden="false" customHeight="false" outlineLevel="0" collapsed="false">
      <c r="B4572" s="7" t="s">
        <v>5069</v>
      </c>
      <c r="C4572" s="39" t="n">
        <v>45880</v>
      </c>
      <c r="D4572" s="7" t="s">
        <v>359</v>
      </c>
      <c r="E4572" s="7" t="s">
        <v>156</v>
      </c>
      <c r="F4572" s="7" t="s">
        <v>214</v>
      </c>
      <c r="G4572" s="7" t="s">
        <v>505</v>
      </c>
      <c r="H4572" s="6" t="n">
        <v>4.28</v>
      </c>
      <c r="I4572" s="6" t="n">
        <v>0</v>
      </c>
      <c r="J4572" s="40" t="n">
        <f aca="false">H4572-I4572</f>
        <v>4.28</v>
      </c>
      <c r="K4572" s="41" t="n">
        <v>34</v>
      </c>
      <c r="L4572" s="42" t="n">
        <f aca="false">J4572*K4572</f>
        <v>145.52</v>
      </c>
      <c r="M4572" s="43" t="n">
        <f aca="false">H4572*15.67*(1+'Chart of Accounts'!$E$67)</f>
        <v>76.792402</v>
      </c>
    </row>
    <row r="4573" customFormat="false" ht="15" hidden="false" customHeight="false" outlineLevel="0" collapsed="false">
      <c r="B4573" s="7" t="s">
        <v>5070</v>
      </c>
      <c r="C4573" s="39" t="n">
        <v>45880</v>
      </c>
      <c r="D4573" s="7" t="s">
        <v>363</v>
      </c>
      <c r="E4573" s="7" t="s">
        <v>156</v>
      </c>
      <c r="F4573" s="7" t="s">
        <v>246</v>
      </c>
      <c r="G4573" s="7" t="s">
        <v>505</v>
      </c>
      <c r="H4573" s="6" t="n">
        <v>3.67</v>
      </c>
      <c r="I4573" s="6" t="n">
        <v>0</v>
      </c>
      <c r="J4573" s="40" t="n">
        <f aca="false">H4573-I4573</f>
        <v>3.67</v>
      </c>
      <c r="K4573" s="41" t="n">
        <v>34</v>
      </c>
      <c r="L4573" s="42" t="n">
        <f aca="false">J4573*K4573</f>
        <v>124.78</v>
      </c>
      <c r="M4573" s="43" t="n">
        <f aca="false">H4573*16.48*(1+'Chart of Accounts'!$E$67)</f>
        <v>69.251432</v>
      </c>
    </row>
    <row r="4574" customFormat="false" ht="15" hidden="false" customHeight="false" outlineLevel="0" collapsed="false">
      <c r="B4574" s="7" t="s">
        <v>5071</v>
      </c>
      <c r="C4574" s="39" t="n">
        <v>45880</v>
      </c>
      <c r="D4574" s="7" t="s">
        <v>365</v>
      </c>
      <c r="E4574" s="7" t="s">
        <v>154</v>
      </c>
      <c r="F4574" s="7" t="s">
        <v>194</v>
      </c>
      <c r="G4574" s="7" t="s">
        <v>505</v>
      </c>
      <c r="H4574" s="6" t="n">
        <v>3.94</v>
      </c>
      <c r="I4574" s="6" t="n">
        <v>0.118</v>
      </c>
      <c r="J4574" s="40" t="n">
        <f aca="false">H4574-I4574</f>
        <v>3.822</v>
      </c>
      <c r="K4574" s="41" t="n">
        <v>26.5</v>
      </c>
      <c r="L4574" s="42" t="n">
        <f aca="false">J4574*K4574</f>
        <v>101.283</v>
      </c>
      <c r="M4574" s="43" t="n">
        <f aca="false">H4574*16*(1+'Chart of Accounts'!$E$67)</f>
        <v>72.1808</v>
      </c>
    </row>
    <row r="4575" customFormat="false" ht="15" hidden="false" customHeight="false" outlineLevel="0" collapsed="false">
      <c r="B4575" s="7" t="s">
        <v>5072</v>
      </c>
      <c r="C4575" s="39" t="n">
        <v>45880</v>
      </c>
      <c r="D4575" s="7" t="s">
        <v>371</v>
      </c>
      <c r="E4575" s="7" t="s">
        <v>154</v>
      </c>
      <c r="F4575" s="7" t="s">
        <v>232</v>
      </c>
      <c r="G4575" s="7" t="s">
        <v>505</v>
      </c>
      <c r="H4575" s="6" t="n">
        <v>4.91</v>
      </c>
      <c r="I4575" s="6" t="n">
        <v>0</v>
      </c>
      <c r="J4575" s="40" t="n">
        <f aca="false">H4575-I4575</f>
        <v>4.91</v>
      </c>
      <c r="K4575" s="41" t="n">
        <v>26.5</v>
      </c>
      <c r="L4575" s="42" t="n">
        <f aca="false">J4575*K4575</f>
        <v>130.115</v>
      </c>
      <c r="M4575" s="43" t="n">
        <f aca="false">H4575*16.17*(1+'Chart of Accounts'!$E$67)</f>
        <v>90.9069315</v>
      </c>
    </row>
    <row r="4576" customFormat="false" ht="15" hidden="false" customHeight="false" outlineLevel="0" collapsed="false">
      <c r="B4576" s="7" t="s">
        <v>5073</v>
      </c>
      <c r="C4576" s="39" t="n">
        <v>45880</v>
      </c>
      <c r="D4576" s="7" t="s">
        <v>375</v>
      </c>
      <c r="E4576" s="7" t="s">
        <v>156</v>
      </c>
      <c r="F4576" s="7" t="s">
        <v>196</v>
      </c>
      <c r="G4576" s="7" t="s">
        <v>505</v>
      </c>
      <c r="H4576" s="6" t="n">
        <v>3.3</v>
      </c>
      <c r="I4576" s="6" t="n">
        <v>0</v>
      </c>
      <c r="J4576" s="40" t="n">
        <f aca="false">H4576-I4576</f>
        <v>3.3</v>
      </c>
      <c r="K4576" s="41" t="n">
        <v>34</v>
      </c>
      <c r="L4576" s="42" t="n">
        <f aca="false">J4576*K4576</f>
        <v>112.2</v>
      </c>
      <c r="M4576" s="43" t="n">
        <f aca="false">H4576*15.05*(1+'Chart of Accounts'!$E$67)</f>
        <v>56.866425</v>
      </c>
    </row>
    <row r="4577" customFormat="false" ht="15" hidden="false" customHeight="false" outlineLevel="0" collapsed="false">
      <c r="B4577" s="7" t="s">
        <v>5074</v>
      </c>
      <c r="C4577" s="39" t="n">
        <v>45880</v>
      </c>
      <c r="D4577" s="7" t="s">
        <v>377</v>
      </c>
      <c r="E4577" s="7" t="s">
        <v>154</v>
      </c>
      <c r="F4577" s="7" t="s">
        <v>214</v>
      </c>
      <c r="G4577" s="7" t="s">
        <v>505</v>
      </c>
      <c r="H4577" s="6" t="n">
        <v>3.61</v>
      </c>
      <c r="I4577" s="6" t="n">
        <v>0</v>
      </c>
      <c r="J4577" s="40" t="n">
        <f aca="false">H4577-I4577</f>
        <v>3.61</v>
      </c>
      <c r="K4577" s="41" t="n">
        <v>26.5</v>
      </c>
      <c r="L4577" s="42" t="n">
        <f aca="false">J4577*K4577</f>
        <v>95.665</v>
      </c>
      <c r="M4577" s="43" t="n">
        <f aca="false">H4577*15.67*(1+'Chart of Accounts'!$E$67)</f>
        <v>64.7711615</v>
      </c>
    </row>
    <row r="4578" customFormat="false" ht="15" hidden="false" customHeight="false" outlineLevel="0" collapsed="false">
      <c r="B4578" s="7" t="s">
        <v>5075</v>
      </c>
      <c r="C4578" s="39" t="n">
        <v>45880</v>
      </c>
      <c r="D4578" s="7" t="s">
        <v>379</v>
      </c>
      <c r="E4578" s="7" t="s">
        <v>156</v>
      </c>
      <c r="F4578" s="7" t="s">
        <v>224</v>
      </c>
      <c r="G4578" s="7" t="s">
        <v>505</v>
      </c>
      <c r="H4578" s="6" t="n">
        <v>4.22</v>
      </c>
      <c r="I4578" s="6" t="n">
        <v>0</v>
      </c>
      <c r="J4578" s="40" t="n">
        <f aca="false">H4578-I4578</f>
        <v>4.22</v>
      </c>
      <c r="K4578" s="41" t="n">
        <v>34</v>
      </c>
      <c r="L4578" s="42" t="n">
        <f aca="false">J4578*K4578</f>
        <v>143.48</v>
      </c>
      <c r="M4578" s="43" t="n">
        <f aca="false">H4578*14.93*(1+'Chart of Accounts'!$E$67)</f>
        <v>72.140267</v>
      </c>
    </row>
    <row r="4579" customFormat="false" ht="15" hidden="false" customHeight="false" outlineLevel="0" collapsed="false">
      <c r="B4579" s="7" t="s">
        <v>5076</v>
      </c>
      <c r="C4579" s="39" t="n">
        <v>45880</v>
      </c>
      <c r="D4579" s="7" t="s">
        <v>385</v>
      </c>
      <c r="E4579" s="7" t="s">
        <v>156</v>
      </c>
      <c r="F4579" s="7" t="s">
        <v>238</v>
      </c>
      <c r="G4579" s="7" t="s">
        <v>505</v>
      </c>
      <c r="H4579" s="6" t="n">
        <v>3.86</v>
      </c>
      <c r="I4579" s="6" t="n">
        <v>0</v>
      </c>
      <c r="J4579" s="40" t="n">
        <f aca="false">H4579-I4579</f>
        <v>3.86</v>
      </c>
      <c r="K4579" s="41" t="n">
        <v>34</v>
      </c>
      <c r="L4579" s="42" t="n">
        <f aca="false">J4579*K4579</f>
        <v>131.24</v>
      </c>
      <c r="M4579" s="43" t="n">
        <f aca="false">H4579*15.85*(1+'Chart of Accounts'!$E$67)</f>
        <v>70.052245</v>
      </c>
    </row>
    <row r="4580" customFormat="false" ht="15" hidden="false" customHeight="false" outlineLevel="0" collapsed="false">
      <c r="B4580" s="7" t="s">
        <v>5077</v>
      </c>
      <c r="C4580" s="39" t="n">
        <v>45880</v>
      </c>
      <c r="D4580" s="7" t="s">
        <v>387</v>
      </c>
      <c r="E4580" s="7" t="s">
        <v>154</v>
      </c>
      <c r="F4580" s="7" t="s">
        <v>196</v>
      </c>
      <c r="G4580" s="7" t="s">
        <v>505</v>
      </c>
      <c r="H4580" s="6" t="n">
        <v>4.07</v>
      </c>
      <c r="I4580" s="6" t="n">
        <v>0</v>
      </c>
      <c r="J4580" s="40" t="n">
        <f aca="false">H4580-I4580</f>
        <v>4.07</v>
      </c>
      <c r="K4580" s="41" t="n">
        <v>26.5</v>
      </c>
      <c r="L4580" s="42" t="n">
        <f aca="false">J4580*K4580</f>
        <v>107.855</v>
      </c>
      <c r="M4580" s="43" t="n">
        <f aca="false">H4580*15.05*(1+'Chart of Accounts'!$E$67)</f>
        <v>70.1352575</v>
      </c>
    </row>
    <row r="4581" customFormat="false" ht="15" hidden="false" customHeight="false" outlineLevel="0" collapsed="false">
      <c r="B4581" s="7" t="s">
        <v>5078</v>
      </c>
      <c r="C4581" s="39" t="n">
        <v>45880</v>
      </c>
      <c r="D4581" s="7" t="s">
        <v>389</v>
      </c>
      <c r="E4581" s="7" t="s">
        <v>154</v>
      </c>
      <c r="F4581" s="7" t="s">
        <v>246</v>
      </c>
      <c r="G4581" s="7" t="s">
        <v>505</v>
      </c>
      <c r="H4581" s="6" t="n">
        <v>4.36</v>
      </c>
      <c r="I4581" s="6" t="n">
        <v>0</v>
      </c>
      <c r="J4581" s="40" t="n">
        <f aca="false">H4581-I4581</f>
        <v>4.36</v>
      </c>
      <c r="K4581" s="41" t="n">
        <v>26.5</v>
      </c>
      <c r="L4581" s="42" t="n">
        <f aca="false">J4581*K4581</f>
        <v>115.54</v>
      </c>
      <c r="M4581" s="43" t="n">
        <f aca="false">H4581*16.48*(1+'Chart of Accounts'!$E$67)</f>
        <v>82.271456</v>
      </c>
    </row>
    <row r="4582" customFormat="false" ht="15" hidden="false" customHeight="false" outlineLevel="0" collapsed="false">
      <c r="B4582" s="7" t="s">
        <v>5079</v>
      </c>
      <c r="C4582" s="39" t="n">
        <v>45880</v>
      </c>
      <c r="D4582" s="7" t="s">
        <v>391</v>
      </c>
      <c r="E4582" s="7" t="s">
        <v>156</v>
      </c>
      <c r="F4582" s="7" t="s">
        <v>222</v>
      </c>
      <c r="G4582" s="7" t="s">
        <v>505</v>
      </c>
      <c r="H4582" s="6" t="n">
        <v>4.03</v>
      </c>
      <c r="I4582" s="6" t="n">
        <v>0</v>
      </c>
      <c r="J4582" s="40" t="n">
        <f aca="false">H4582-I4582</f>
        <v>4.03</v>
      </c>
      <c r="K4582" s="41" t="n">
        <v>34</v>
      </c>
      <c r="L4582" s="42" t="n">
        <f aca="false">J4582*K4582</f>
        <v>137.02</v>
      </c>
      <c r="M4582" s="43" t="n">
        <f aca="false">H4582*17.84*(1+'Chart of Accounts'!$E$67)</f>
        <v>82.320004</v>
      </c>
    </row>
    <row r="4583" customFormat="false" ht="15" hidden="false" customHeight="false" outlineLevel="0" collapsed="false">
      <c r="B4583" s="7" t="s">
        <v>5080</v>
      </c>
      <c r="C4583" s="39" t="n">
        <v>45880</v>
      </c>
      <c r="D4583" s="7" t="s">
        <v>395</v>
      </c>
      <c r="E4583" s="7" t="s">
        <v>156</v>
      </c>
      <c r="F4583" s="7" t="s">
        <v>242</v>
      </c>
      <c r="G4583" s="7" t="s">
        <v>505</v>
      </c>
      <c r="H4583" s="6" t="n">
        <v>4.2</v>
      </c>
      <c r="I4583" s="6" t="n">
        <v>0</v>
      </c>
      <c r="J4583" s="40" t="n">
        <f aca="false">H4583-I4583</f>
        <v>4.2</v>
      </c>
      <c r="K4583" s="41" t="n">
        <v>34</v>
      </c>
      <c r="L4583" s="42" t="n">
        <f aca="false">J4583*K4583</f>
        <v>142.8</v>
      </c>
      <c r="M4583" s="43" t="n">
        <f aca="false">H4583*17.99*(1+'Chart of Accounts'!$E$67)</f>
        <v>86.51391</v>
      </c>
    </row>
    <row r="4584" customFormat="false" ht="15" hidden="false" customHeight="false" outlineLevel="0" collapsed="false">
      <c r="B4584" s="7" t="s">
        <v>5081</v>
      </c>
      <c r="C4584" s="39" t="n">
        <v>45880</v>
      </c>
      <c r="D4584" s="7" t="s">
        <v>399</v>
      </c>
      <c r="E4584" s="7" t="s">
        <v>154</v>
      </c>
      <c r="F4584" s="7" t="s">
        <v>196</v>
      </c>
      <c r="G4584" s="7" t="s">
        <v>505</v>
      </c>
      <c r="H4584" s="6" t="n">
        <v>3.66</v>
      </c>
      <c r="I4584" s="6" t="n">
        <v>0</v>
      </c>
      <c r="J4584" s="40" t="n">
        <f aca="false">H4584-I4584</f>
        <v>3.66</v>
      </c>
      <c r="K4584" s="41" t="n">
        <v>26.5</v>
      </c>
      <c r="L4584" s="42" t="n">
        <f aca="false">J4584*K4584</f>
        <v>96.99</v>
      </c>
      <c r="M4584" s="43" t="n">
        <f aca="false">H4584*15.05*(1+'Chart of Accounts'!$E$67)</f>
        <v>63.070035</v>
      </c>
    </row>
    <row r="4585" customFormat="false" ht="15" hidden="false" customHeight="false" outlineLevel="0" collapsed="false">
      <c r="B4585" s="7" t="s">
        <v>5082</v>
      </c>
      <c r="C4585" s="39" t="n">
        <v>45880</v>
      </c>
      <c r="D4585" s="7" t="s">
        <v>401</v>
      </c>
      <c r="E4585" s="7" t="s">
        <v>156</v>
      </c>
      <c r="F4585" s="7" t="s">
        <v>254</v>
      </c>
      <c r="G4585" s="7" t="s">
        <v>505</v>
      </c>
      <c r="H4585" s="6" t="n">
        <v>4</v>
      </c>
      <c r="I4585" s="6" t="n">
        <v>0</v>
      </c>
      <c r="J4585" s="40" t="n">
        <f aca="false">H4585-I4585</f>
        <v>4</v>
      </c>
      <c r="K4585" s="41" t="n">
        <v>34</v>
      </c>
      <c r="L4585" s="42" t="n">
        <f aca="false">J4585*K4585</f>
        <v>136</v>
      </c>
      <c r="M4585" s="43" t="n">
        <f aca="false">H4585*17.1*(1+'Chart of Accounts'!$E$67)</f>
        <v>78.318</v>
      </c>
    </row>
    <row r="4586" customFormat="false" ht="15" hidden="false" customHeight="false" outlineLevel="0" collapsed="false">
      <c r="B4586" s="7" t="s">
        <v>5083</v>
      </c>
      <c r="C4586" s="39" t="n">
        <v>45880</v>
      </c>
      <c r="D4586" s="7" t="s">
        <v>403</v>
      </c>
      <c r="E4586" s="7" t="s">
        <v>156</v>
      </c>
      <c r="F4586" s="7" t="s">
        <v>184</v>
      </c>
      <c r="G4586" s="7" t="s">
        <v>505</v>
      </c>
      <c r="H4586" s="6" t="n">
        <v>3.73</v>
      </c>
      <c r="I4586" s="6" t="n">
        <v>0</v>
      </c>
      <c r="J4586" s="40" t="n">
        <f aca="false">H4586-I4586</f>
        <v>3.73</v>
      </c>
      <c r="K4586" s="41" t="n">
        <v>34</v>
      </c>
      <c r="L4586" s="42" t="n">
        <f aca="false">J4586*K4586</f>
        <v>126.82</v>
      </c>
      <c r="M4586" s="43" t="n">
        <f aca="false">H4586*17.34*(1+'Chart of Accounts'!$E$67)</f>
        <v>74.056539</v>
      </c>
    </row>
    <row r="4587" customFormat="false" ht="15" hidden="false" customHeight="false" outlineLevel="0" collapsed="false">
      <c r="B4587" s="7" t="s">
        <v>5084</v>
      </c>
      <c r="C4587" s="39" t="n">
        <v>45880</v>
      </c>
      <c r="D4587" s="7" t="s">
        <v>409</v>
      </c>
      <c r="E4587" s="7" t="s">
        <v>154</v>
      </c>
      <c r="F4587" s="7" t="s">
        <v>214</v>
      </c>
      <c r="G4587" s="7" t="s">
        <v>505</v>
      </c>
      <c r="H4587" s="6" t="n">
        <v>3.45</v>
      </c>
      <c r="I4587" s="6" t="n">
        <v>0</v>
      </c>
      <c r="J4587" s="40" t="n">
        <f aca="false">H4587-I4587</f>
        <v>3.45</v>
      </c>
      <c r="K4587" s="41" t="n">
        <v>26.5</v>
      </c>
      <c r="L4587" s="42" t="n">
        <f aca="false">J4587*K4587</f>
        <v>91.425</v>
      </c>
      <c r="M4587" s="43" t="n">
        <f aca="false">H4587*15.67*(1+'Chart of Accounts'!$E$67)</f>
        <v>61.9004175</v>
      </c>
    </row>
    <row r="4588" customFormat="false" ht="15" hidden="false" customHeight="false" outlineLevel="0" collapsed="false">
      <c r="B4588" s="7" t="s">
        <v>5085</v>
      </c>
      <c r="C4588" s="39" t="n">
        <v>45880</v>
      </c>
      <c r="D4588" s="7" t="s">
        <v>411</v>
      </c>
      <c r="E4588" s="7" t="s">
        <v>154</v>
      </c>
      <c r="F4588" s="7" t="s">
        <v>177</v>
      </c>
      <c r="G4588" s="7" t="s">
        <v>505</v>
      </c>
      <c r="H4588" s="6" t="n">
        <v>4.69</v>
      </c>
      <c r="I4588" s="6" t="n">
        <v>0</v>
      </c>
      <c r="J4588" s="40" t="n">
        <f aca="false">H4588-I4588</f>
        <v>4.69</v>
      </c>
      <c r="K4588" s="41" t="n">
        <v>26.5</v>
      </c>
      <c r="L4588" s="42" t="n">
        <f aca="false">J4588*K4588</f>
        <v>124.285</v>
      </c>
      <c r="M4588" s="43" t="n">
        <f aca="false">H4588*14.56*(1+'Chart of Accounts'!$E$67)</f>
        <v>78.187928</v>
      </c>
    </row>
    <row r="4589" customFormat="false" ht="15" hidden="false" customHeight="false" outlineLevel="0" collapsed="false">
      <c r="B4589" s="7" t="s">
        <v>5086</v>
      </c>
      <c r="C4589" s="39" t="n">
        <v>45881</v>
      </c>
      <c r="D4589" s="7" t="s">
        <v>288</v>
      </c>
      <c r="E4589" s="7" t="s">
        <v>156</v>
      </c>
      <c r="F4589" s="7" t="s">
        <v>184</v>
      </c>
      <c r="G4589" s="7" t="s">
        <v>505</v>
      </c>
      <c r="H4589" s="6" t="n">
        <v>4.26</v>
      </c>
      <c r="I4589" s="6" t="n">
        <v>0</v>
      </c>
      <c r="J4589" s="40" t="n">
        <f aca="false">H4589-I4589</f>
        <v>4.26</v>
      </c>
      <c r="K4589" s="41" t="n">
        <v>34</v>
      </c>
      <c r="L4589" s="42" t="n">
        <f aca="false">J4589*K4589</f>
        <v>144.84</v>
      </c>
      <c r="M4589" s="43" t="n">
        <f aca="false">H4589*17.34*(1+'Chart of Accounts'!$E$67)</f>
        <v>84.579318</v>
      </c>
    </row>
    <row r="4590" customFormat="false" ht="15" hidden="false" customHeight="false" outlineLevel="0" collapsed="false">
      <c r="B4590" s="7" t="s">
        <v>5087</v>
      </c>
      <c r="C4590" s="39" t="n">
        <v>45881</v>
      </c>
      <c r="D4590" s="7" t="s">
        <v>301</v>
      </c>
      <c r="E4590" s="7" t="s">
        <v>157</v>
      </c>
      <c r="F4590" s="7" t="s">
        <v>209</v>
      </c>
      <c r="G4590" s="7" t="s">
        <v>502</v>
      </c>
      <c r="H4590" s="6" t="n">
        <v>0.99</v>
      </c>
      <c r="I4590" s="6" t="n">
        <v>0</v>
      </c>
      <c r="J4590" s="40" t="n">
        <f aca="false">H4590-I4590</f>
        <v>0.99</v>
      </c>
      <c r="K4590" s="41" t="n">
        <v>165</v>
      </c>
      <c r="L4590" s="42" t="n">
        <f aca="false">J4590*K4590</f>
        <v>163.35</v>
      </c>
      <c r="M4590" s="43" t="n">
        <f aca="false">H4590*73.58*(1+'Chart of Accounts'!$E$67)</f>
        <v>83.406609</v>
      </c>
    </row>
    <row r="4591" customFormat="false" ht="15" hidden="false" customHeight="false" outlineLevel="0" collapsed="false">
      <c r="B4591" s="7" t="s">
        <v>5088</v>
      </c>
      <c r="C4591" s="39" t="n">
        <v>45881</v>
      </c>
      <c r="D4591" s="7" t="s">
        <v>313</v>
      </c>
      <c r="E4591" s="7" t="s">
        <v>156</v>
      </c>
      <c r="F4591" s="7" t="s">
        <v>184</v>
      </c>
      <c r="G4591" s="7" t="s">
        <v>505</v>
      </c>
      <c r="H4591" s="6" t="n">
        <v>3.64</v>
      </c>
      <c r="I4591" s="6" t="n">
        <v>0</v>
      </c>
      <c r="J4591" s="40" t="n">
        <f aca="false">H4591-I4591</f>
        <v>3.64</v>
      </c>
      <c r="K4591" s="41" t="n">
        <v>34</v>
      </c>
      <c r="L4591" s="42" t="n">
        <f aca="false">J4591*K4591</f>
        <v>123.76</v>
      </c>
      <c r="M4591" s="43" t="n">
        <f aca="false">H4591*17.34*(1+'Chart of Accounts'!$E$67)</f>
        <v>72.269652</v>
      </c>
    </row>
    <row r="4592" customFormat="false" ht="15" hidden="false" customHeight="false" outlineLevel="0" collapsed="false">
      <c r="B4592" s="7" t="s">
        <v>5089</v>
      </c>
      <c r="C4592" s="39" t="n">
        <v>45881</v>
      </c>
      <c r="D4592" s="7" t="s">
        <v>319</v>
      </c>
      <c r="E4592" s="7" t="s">
        <v>157</v>
      </c>
      <c r="F4592" s="7" t="s">
        <v>234</v>
      </c>
      <c r="G4592" s="7" t="s">
        <v>502</v>
      </c>
      <c r="H4592" s="6" t="n">
        <v>1.08</v>
      </c>
      <c r="I4592" s="6" t="n">
        <v>0</v>
      </c>
      <c r="J4592" s="40" t="n">
        <f aca="false">H4592-I4592</f>
        <v>1.08</v>
      </c>
      <c r="K4592" s="41" t="n">
        <v>165</v>
      </c>
      <c r="L4592" s="42" t="n">
        <f aca="false">J4592*K4592</f>
        <v>178.2</v>
      </c>
      <c r="M4592" s="43" t="n">
        <f aca="false">H4592*89.53*(1+'Chart of Accounts'!$E$67)</f>
        <v>110.712798</v>
      </c>
    </row>
    <row r="4593" customFormat="false" ht="15" hidden="false" customHeight="false" outlineLevel="0" collapsed="false">
      <c r="B4593" s="7" t="s">
        <v>5090</v>
      </c>
      <c r="C4593" s="39" t="n">
        <v>45881</v>
      </c>
      <c r="D4593" s="7" t="s">
        <v>321</v>
      </c>
      <c r="E4593" s="7" t="s">
        <v>154</v>
      </c>
      <c r="F4593" s="7" t="s">
        <v>218</v>
      </c>
      <c r="G4593" s="7" t="s">
        <v>505</v>
      </c>
      <c r="H4593" s="6" t="n">
        <v>3.67</v>
      </c>
      <c r="I4593" s="6" t="n">
        <v>0</v>
      </c>
      <c r="J4593" s="40" t="n">
        <f aca="false">H4593-I4593</f>
        <v>3.67</v>
      </c>
      <c r="K4593" s="41" t="n">
        <v>26.5</v>
      </c>
      <c r="L4593" s="42" t="n">
        <f aca="false">J4593*K4593</f>
        <v>97.255</v>
      </c>
      <c r="M4593" s="43" t="n">
        <f aca="false">H4593*16.19*(1+'Chart of Accounts'!$E$67)</f>
        <v>68.0328085</v>
      </c>
    </row>
    <row r="4594" customFormat="false" ht="15" hidden="false" customHeight="false" outlineLevel="0" collapsed="false">
      <c r="B4594" s="7" t="s">
        <v>5091</v>
      </c>
      <c r="C4594" s="39" t="n">
        <v>45881</v>
      </c>
      <c r="D4594" s="7" t="s">
        <v>323</v>
      </c>
      <c r="E4594" s="7" t="s">
        <v>159</v>
      </c>
      <c r="F4594" s="7" t="s">
        <v>266</v>
      </c>
      <c r="G4594" s="7" t="s">
        <v>502</v>
      </c>
      <c r="H4594" s="6" t="n">
        <v>0.93</v>
      </c>
      <c r="I4594" s="6" t="n">
        <v>0.065</v>
      </c>
      <c r="J4594" s="40" t="n">
        <f aca="false">H4594-I4594</f>
        <v>0.865</v>
      </c>
      <c r="K4594" s="41" t="n">
        <v>135</v>
      </c>
      <c r="L4594" s="42" t="n">
        <f aca="false">J4594*K4594</f>
        <v>116.775</v>
      </c>
      <c r="M4594" s="43" t="n">
        <f aca="false">H4594*75.18*(1+'Chart of Accounts'!$E$67)</f>
        <v>80.055423</v>
      </c>
    </row>
    <row r="4595" customFormat="false" ht="15" hidden="false" customHeight="false" outlineLevel="0" collapsed="false">
      <c r="B4595" s="7" t="s">
        <v>5092</v>
      </c>
      <c r="C4595" s="39" t="n">
        <v>45881</v>
      </c>
      <c r="D4595" s="7" t="s">
        <v>327</v>
      </c>
      <c r="E4595" s="7" t="s">
        <v>157</v>
      </c>
      <c r="F4595" s="7" t="s">
        <v>228</v>
      </c>
      <c r="G4595" s="7" t="s">
        <v>502</v>
      </c>
      <c r="H4595" s="6" t="n">
        <v>0.98</v>
      </c>
      <c r="I4595" s="6" t="n">
        <v>0</v>
      </c>
      <c r="J4595" s="40" t="n">
        <f aca="false">H4595-I4595</f>
        <v>0.98</v>
      </c>
      <c r="K4595" s="41" t="n">
        <v>165</v>
      </c>
      <c r="L4595" s="42" t="n">
        <f aca="false">J4595*K4595</f>
        <v>161.7</v>
      </c>
      <c r="M4595" s="43" t="n">
        <f aca="false">H4595*51.07*(1+'Chart of Accounts'!$E$67)</f>
        <v>57.305647</v>
      </c>
    </row>
    <row r="4596" customFormat="false" ht="15" hidden="false" customHeight="false" outlineLevel="0" collapsed="false">
      <c r="B4596" s="7" t="s">
        <v>5093</v>
      </c>
      <c r="C4596" s="39" t="n">
        <v>45881</v>
      </c>
      <c r="D4596" s="7" t="s">
        <v>329</v>
      </c>
      <c r="E4596" s="7" t="s">
        <v>156</v>
      </c>
      <c r="F4596" s="7" t="s">
        <v>220</v>
      </c>
      <c r="G4596" s="7" t="s">
        <v>505</v>
      </c>
      <c r="H4596" s="6" t="n">
        <v>4.39</v>
      </c>
      <c r="I4596" s="6" t="n">
        <v>0</v>
      </c>
      <c r="J4596" s="40" t="n">
        <f aca="false">H4596-I4596</f>
        <v>4.39</v>
      </c>
      <c r="K4596" s="41" t="n">
        <v>34</v>
      </c>
      <c r="L4596" s="42" t="n">
        <f aca="false">J4596*K4596</f>
        <v>149.26</v>
      </c>
      <c r="M4596" s="43" t="n">
        <f aca="false">H4596*16.43*(1+'Chart of Accounts'!$E$67)</f>
        <v>82.5862165</v>
      </c>
    </row>
    <row r="4597" customFormat="false" ht="15" hidden="false" customHeight="false" outlineLevel="0" collapsed="false">
      <c r="B4597" s="7" t="s">
        <v>5094</v>
      </c>
      <c r="C4597" s="39" t="n">
        <v>45881</v>
      </c>
      <c r="D4597" s="7" t="s">
        <v>359</v>
      </c>
      <c r="E4597" s="7" t="s">
        <v>156</v>
      </c>
      <c r="F4597" s="7" t="s">
        <v>232</v>
      </c>
      <c r="G4597" s="7" t="s">
        <v>505</v>
      </c>
      <c r="H4597" s="6" t="n">
        <v>3.85</v>
      </c>
      <c r="I4597" s="6" t="n">
        <v>0</v>
      </c>
      <c r="J4597" s="40" t="n">
        <f aca="false">H4597-I4597</f>
        <v>3.85</v>
      </c>
      <c r="K4597" s="41" t="n">
        <v>34</v>
      </c>
      <c r="L4597" s="42" t="n">
        <f aca="false">J4597*K4597</f>
        <v>130.9</v>
      </c>
      <c r="M4597" s="43" t="n">
        <f aca="false">H4597*16.17*(1+'Chart of Accounts'!$E$67)</f>
        <v>71.2814025</v>
      </c>
    </row>
    <row r="4598" customFormat="false" ht="15" hidden="false" customHeight="false" outlineLevel="0" collapsed="false">
      <c r="B4598" s="7" t="s">
        <v>5095</v>
      </c>
      <c r="C4598" s="39" t="n">
        <v>45881</v>
      </c>
      <c r="D4598" s="7" t="s">
        <v>361</v>
      </c>
      <c r="E4598" s="7" t="s">
        <v>157</v>
      </c>
      <c r="F4598" s="7" t="s">
        <v>209</v>
      </c>
      <c r="G4598" s="7" t="s">
        <v>502</v>
      </c>
      <c r="H4598" s="6" t="n">
        <v>1.01</v>
      </c>
      <c r="I4598" s="6" t="n">
        <v>0</v>
      </c>
      <c r="J4598" s="40" t="n">
        <f aca="false">H4598-I4598</f>
        <v>1.01</v>
      </c>
      <c r="K4598" s="41" t="n">
        <v>165</v>
      </c>
      <c r="L4598" s="42" t="n">
        <f aca="false">J4598*K4598</f>
        <v>166.65</v>
      </c>
      <c r="M4598" s="43" t="n">
        <f aca="false">H4598*73.58*(1+'Chart of Accounts'!$E$67)</f>
        <v>85.091591</v>
      </c>
    </row>
    <row r="4599" customFormat="false" ht="15" hidden="false" customHeight="false" outlineLevel="0" collapsed="false">
      <c r="B4599" s="7" t="s">
        <v>5096</v>
      </c>
      <c r="C4599" s="39" t="n">
        <v>45881</v>
      </c>
      <c r="D4599" s="7" t="s">
        <v>365</v>
      </c>
      <c r="E4599" s="7" t="s">
        <v>154</v>
      </c>
      <c r="F4599" s="7" t="s">
        <v>194</v>
      </c>
      <c r="G4599" s="7" t="s">
        <v>505</v>
      </c>
      <c r="H4599" s="6" t="n">
        <v>3.93</v>
      </c>
      <c r="I4599" s="6" t="n">
        <v>0</v>
      </c>
      <c r="J4599" s="40" t="n">
        <f aca="false">H4599-I4599</f>
        <v>3.93</v>
      </c>
      <c r="K4599" s="41" t="n">
        <v>26.5</v>
      </c>
      <c r="L4599" s="42" t="n">
        <f aca="false">J4599*K4599</f>
        <v>104.145</v>
      </c>
      <c r="M4599" s="43" t="n">
        <f aca="false">H4599*16*(1+'Chart of Accounts'!$E$67)</f>
        <v>71.9976</v>
      </c>
    </row>
    <row r="4600" customFormat="false" ht="15" hidden="false" customHeight="false" outlineLevel="0" collapsed="false">
      <c r="B4600" s="7" t="s">
        <v>5097</v>
      </c>
      <c r="C4600" s="39" t="n">
        <v>45881</v>
      </c>
      <c r="D4600" s="7" t="s">
        <v>369</v>
      </c>
      <c r="E4600" s="7" t="s">
        <v>159</v>
      </c>
      <c r="F4600" s="7" t="s">
        <v>258</v>
      </c>
      <c r="G4600" s="7" t="s">
        <v>502</v>
      </c>
      <c r="H4600" s="6" t="n">
        <v>1.02</v>
      </c>
      <c r="I4600" s="6" t="n">
        <v>0</v>
      </c>
      <c r="J4600" s="40" t="n">
        <f aca="false">H4600-I4600</f>
        <v>1.02</v>
      </c>
      <c r="K4600" s="41" t="n">
        <v>135</v>
      </c>
      <c r="L4600" s="42" t="n">
        <f aca="false">J4600*K4600</f>
        <v>137.7</v>
      </c>
      <c r="M4600" s="43" t="n">
        <f aca="false">H4600*61.61*(1+'Chart of Accounts'!$E$67)</f>
        <v>71.954319</v>
      </c>
    </row>
    <row r="4601" customFormat="false" ht="15" hidden="false" customHeight="false" outlineLevel="0" collapsed="false">
      <c r="B4601" s="7" t="s">
        <v>5098</v>
      </c>
      <c r="C4601" s="39" t="n">
        <v>45881</v>
      </c>
      <c r="D4601" s="7" t="s">
        <v>381</v>
      </c>
      <c r="E4601" s="7" t="s">
        <v>157</v>
      </c>
      <c r="F4601" s="7" t="s">
        <v>234</v>
      </c>
      <c r="G4601" s="7" t="s">
        <v>502</v>
      </c>
      <c r="H4601" s="6" t="n">
        <v>1.1</v>
      </c>
      <c r="I4601" s="6" t="n">
        <v>0</v>
      </c>
      <c r="J4601" s="40" t="n">
        <f aca="false">H4601-I4601</f>
        <v>1.1</v>
      </c>
      <c r="K4601" s="41" t="n">
        <v>165</v>
      </c>
      <c r="L4601" s="42" t="n">
        <f aca="false">J4601*K4601</f>
        <v>181.5</v>
      </c>
      <c r="M4601" s="43" t="n">
        <f aca="false">H4601*89.53*(1+'Chart of Accounts'!$E$67)</f>
        <v>112.763035</v>
      </c>
    </row>
    <row r="4602" customFormat="false" ht="15" hidden="false" customHeight="false" outlineLevel="0" collapsed="false">
      <c r="B4602" s="7" t="s">
        <v>5099</v>
      </c>
      <c r="C4602" s="39" t="n">
        <v>45881</v>
      </c>
      <c r="D4602" s="7" t="s">
        <v>383</v>
      </c>
      <c r="E4602" s="7" t="s">
        <v>157</v>
      </c>
      <c r="F4602" s="7" t="s">
        <v>230</v>
      </c>
      <c r="G4602" s="7" t="s">
        <v>502</v>
      </c>
      <c r="H4602" s="6" t="n">
        <v>1.09</v>
      </c>
      <c r="I4602" s="6" t="n">
        <v>0</v>
      </c>
      <c r="J4602" s="40" t="n">
        <f aca="false">H4602-I4602</f>
        <v>1.09</v>
      </c>
      <c r="K4602" s="41" t="n">
        <v>165</v>
      </c>
      <c r="L4602" s="42" t="n">
        <f aca="false">J4602*K4602</f>
        <v>179.85</v>
      </c>
      <c r="M4602" s="43" t="n">
        <f aca="false">H4602*48.78*(1+'Chart of Accounts'!$E$67)</f>
        <v>60.879879</v>
      </c>
    </row>
    <row r="4603" customFormat="false" ht="15" hidden="false" customHeight="false" outlineLevel="0" collapsed="false">
      <c r="B4603" s="7" t="s">
        <v>5100</v>
      </c>
      <c r="C4603" s="39" t="n">
        <v>45881</v>
      </c>
      <c r="D4603" s="7" t="s">
        <v>387</v>
      </c>
      <c r="E4603" s="7" t="s">
        <v>154</v>
      </c>
      <c r="F4603" s="7" t="s">
        <v>196</v>
      </c>
      <c r="G4603" s="7" t="s">
        <v>505</v>
      </c>
      <c r="H4603" s="6" t="n">
        <v>3.7</v>
      </c>
      <c r="I4603" s="6" t="n">
        <v>0</v>
      </c>
      <c r="J4603" s="40" t="n">
        <f aca="false">H4603-I4603</f>
        <v>3.7</v>
      </c>
      <c r="K4603" s="41" t="n">
        <v>26.5</v>
      </c>
      <c r="L4603" s="42" t="n">
        <f aca="false">J4603*K4603</f>
        <v>98.05</v>
      </c>
      <c r="M4603" s="43" t="n">
        <f aca="false">H4603*15.05*(1+'Chart of Accounts'!$E$67)</f>
        <v>63.759325</v>
      </c>
    </row>
    <row r="4604" customFormat="false" ht="15" hidden="false" customHeight="false" outlineLevel="0" collapsed="false">
      <c r="B4604" s="7" t="s">
        <v>5101</v>
      </c>
      <c r="C4604" s="39" t="n">
        <v>45881</v>
      </c>
      <c r="D4604" s="7" t="s">
        <v>389</v>
      </c>
      <c r="E4604" s="7" t="s">
        <v>154</v>
      </c>
      <c r="F4604" s="7" t="s">
        <v>246</v>
      </c>
      <c r="G4604" s="7" t="s">
        <v>505</v>
      </c>
      <c r="H4604" s="6" t="n">
        <v>4.34</v>
      </c>
      <c r="I4604" s="6" t="n">
        <v>0</v>
      </c>
      <c r="J4604" s="40" t="n">
        <f aca="false">H4604-I4604</f>
        <v>4.34</v>
      </c>
      <c r="K4604" s="41" t="n">
        <v>26.5</v>
      </c>
      <c r="L4604" s="42" t="n">
        <f aca="false">J4604*K4604</f>
        <v>115.01</v>
      </c>
      <c r="M4604" s="43" t="n">
        <f aca="false">H4604*16.48*(1+'Chart of Accounts'!$E$67)</f>
        <v>81.894064</v>
      </c>
    </row>
    <row r="4605" customFormat="false" ht="15" hidden="false" customHeight="false" outlineLevel="0" collapsed="false">
      <c r="B4605" s="7" t="s">
        <v>5102</v>
      </c>
      <c r="C4605" s="39" t="n">
        <v>45881</v>
      </c>
      <c r="D4605" s="7" t="s">
        <v>391</v>
      </c>
      <c r="E4605" s="7" t="s">
        <v>156</v>
      </c>
      <c r="F4605" s="7" t="s">
        <v>222</v>
      </c>
      <c r="G4605" s="7" t="s">
        <v>505</v>
      </c>
      <c r="H4605" s="6" t="n">
        <v>4.02</v>
      </c>
      <c r="I4605" s="6" t="n">
        <v>0</v>
      </c>
      <c r="J4605" s="40" t="n">
        <f aca="false">H4605-I4605</f>
        <v>4.02</v>
      </c>
      <c r="K4605" s="41" t="n">
        <v>34</v>
      </c>
      <c r="L4605" s="42" t="n">
        <f aca="false">J4605*K4605</f>
        <v>136.68</v>
      </c>
      <c r="M4605" s="43" t="n">
        <f aca="false">H4605*17.84*(1+'Chart of Accounts'!$E$67)</f>
        <v>82.115736</v>
      </c>
    </row>
    <row r="4606" customFormat="false" ht="15" hidden="false" customHeight="false" outlineLevel="0" collapsed="false">
      <c r="B4606" s="7" t="s">
        <v>5103</v>
      </c>
      <c r="C4606" s="39" t="n">
        <v>45881</v>
      </c>
      <c r="D4606" s="7" t="s">
        <v>395</v>
      </c>
      <c r="E4606" s="7" t="s">
        <v>156</v>
      </c>
      <c r="F4606" s="7" t="s">
        <v>242</v>
      </c>
      <c r="G4606" s="7" t="s">
        <v>505</v>
      </c>
      <c r="H4606" s="6" t="n">
        <v>4.19</v>
      </c>
      <c r="I4606" s="6" t="n">
        <v>0</v>
      </c>
      <c r="J4606" s="40" t="n">
        <f aca="false">H4606-I4606</f>
        <v>4.19</v>
      </c>
      <c r="K4606" s="41" t="n">
        <v>34</v>
      </c>
      <c r="L4606" s="42" t="n">
        <f aca="false">J4606*K4606</f>
        <v>142.46</v>
      </c>
      <c r="M4606" s="43" t="n">
        <f aca="false">H4606*17.99*(1+'Chart of Accounts'!$E$67)</f>
        <v>86.3079245</v>
      </c>
    </row>
    <row r="4607" customFormat="false" ht="15" hidden="false" customHeight="false" outlineLevel="0" collapsed="false">
      <c r="B4607" s="7" t="s">
        <v>5104</v>
      </c>
      <c r="C4607" s="39" t="n">
        <v>45881</v>
      </c>
      <c r="D4607" s="7" t="s">
        <v>397</v>
      </c>
      <c r="E4607" s="7" t="s">
        <v>159</v>
      </c>
      <c r="F4607" s="7" t="s">
        <v>203</v>
      </c>
      <c r="G4607" s="7" t="s">
        <v>502</v>
      </c>
      <c r="H4607" s="6" t="n">
        <v>1.09</v>
      </c>
      <c r="I4607" s="6" t="n">
        <v>0</v>
      </c>
      <c r="J4607" s="40" t="n">
        <f aca="false">H4607-I4607</f>
        <v>1.09</v>
      </c>
      <c r="K4607" s="41" t="n">
        <v>135</v>
      </c>
      <c r="L4607" s="42" t="n">
        <f aca="false">J4607*K4607</f>
        <v>147.15</v>
      </c>
      <c r="M4607" s="43" t="n">
        <f aca="false">H4607*49.43*(1+'Chart of Accounts'!$E$67)</f>
        <v>61.6911115</v>
      </c>
    </row>
    <row r="4608" customFormat="false" ht="15" hidden="false" customHeight="false" outlineLevel="0" collapsed="false">
      <c r="B4608" s="7" t="s">
        <v>5105</v>
      </c>
      <c r="C4608" s="39" t="n">
        <v>45881</v>
      </c>
      <c r="D4608" s="7" t="s">
        <v>401</v>
      </c>
      <c r="E4608" s="7" t="s">
        <v>156</v>
      </c>
      <c r="F4608" s="7" t="s">
        <v>254</v>
      </c>
      <c r="G4608" s="7" t="s">
        <v>505</v>
      </c>
      <c r="H4608" s="6" t="n">
        <v>3.98</v>
      </c>
      <c r="I4608" s="6" t="n">
        <v>0</v>
      </c>
      <c r="J4608" s="40" t="n">
        <f aca="false">H4608-I4608</f>
        <v>3.98</v>
      </c>
      <c r="K4608" s="41" t="n">
        <v>34</v>
      </c>
      <c r="L4608" s="42" t="n">
        <f aca="false">J4608*K4608</f>
        <v>135.32</v>
      </c>
      <c r="M4608" s="43" t="n">
        <f aca="false">H4608*17.1*(1+'Chart of Accounts'!$E$67)</f>
        <v>77.92641</v>
      </c>
    </row>
    <row r="4609" customFormat="false" ht="15" hidden="false" customHeight="false" outlineLevel="0" collapsed="false">
      <c r="B4609" s="7" t="s">
        <v>5106</v>
      </c>
      <c r="C4609" s="39" t="n">
        <v>45881</v>
      </c>
      <c r="D4609" s="7" t="s">
        <v>407</v>
      </c>
      <c r="E4609" s="7" t="s">
        <v>159</v>
      </c>
      <c r="F4609" s="7" t="s">
        <v>260</v>
      </c>
      <c r="G4609" s="7" t="s">
        <v>502</v>
      </c>
      <c r="H4609" s="6" t="n">
        <v>0.94</v>
      </c>
      <c r="I4609" s="6" t="n">
        <v>0</v>
      </c>
      <c r="J4609" s="40" t="n">
        <f aca="false">H4609-I4609</f>
        <v>0.94</v>
      </c>
      <c r="K4609" s="41" t="n">
        <v>135</v>
      </c>
      <c r="L4609" s="42" t="n">
        <f aca="false">J4609*K4609</f>
        <v>126.9</v>
      </c>
      <c r="M4609" s="43" t="n">
        <f aca="false">H4609*79.8*(1+'Chart of Accounts'!$E$67)</f>
        <v>85.88874</v>
      </c>
    </row>
    <row r="4610" customFormat="false" ht="15" hidden="false" customHeight="false" outlineLevel="0" collapsed="false">
      <c r="B4610" s="7" t="s">
        <v>5107</v>
      </c>
      <c r="C4610" s="39" t="n">
        <v>45882</v>
      </c>
      <c r="D4610" s="7" t="s">
        <v>280</v>
      </c>
      <c r="E4610" s="7" t="s">
        <v>157</v>
      </c>
      <c r="F4610" s="7" t="s">
        <v>187</v>
      </c>
      <c r="G4610" s="7" t="s">
        <v>502</v>
      </c>
      <c r="H4610" s="6" t="n">
        <v>1.03</v>
      </c>
      <c r="I4610" s="6" t="n">
        <v>0</v>
      </c>
      <c r="J4610" s="40" t="n">
        <f aca="false">H4610-I4610</f>
        <v>1.03</v>
      </c>
      <c r="K4610" s="41" t="n">
        <v>165</v>
      </c>
      <c r="L4610" s="42" t="n">
        <f aca="false">J4610*K4610</f>
        <v>169.95</v>
      </c>
      <c r="M4610" s="43" t="n">
        <f aca="false">H4610*66.48*(1+'Chart of Accounts'!$E$67)</f>
        <v>78.403188</v>
      </c>
    </row>
    <row r="4611" customFormat="false" ht="15" hidden="false" customHeight="false" outlineLevel="0" collapsed="false">
      <c r="B4611" s="7" t="s">
        <v>5108</v>
      </c>
      <c r="C4611" s="39" t="n">
        <v>45882</v>
      </c>
      <c r="D4611" s="7" t="s">
        <v>288</v>
      </c>
      <c r="E4611" s="7" t="s">
        <v>156</v>
      </c>
      <c r="F4611" s="7" t="s">
        <v>232</v>
      </c>
      <c r="G4611" s="7" t="s">
        <v>505</v>
      </c>
      <c r="H4611" s="6" t="n">
        <v>4.14</v>
      </c>
      <c r="I4611" s="6" t="n">
        <v>0</v>
      </c>
      <c r="J4611" s="40" t="n">
        <f aca="false">H4611-I4611</f>
        <v>4.14</v>
      </c>
      <c r="K4611" s="41" t="n">
        <v>34</v>
      </c>
      <c r="L4611" s="42" t="n">
        <f aca="false">J4611*K4611</f>
        <v>140.76</v>
      </c>
      <c r="M4611" s="43" t="n">
        <f aca="false">H4611*16.17*(1+'Chart of Accounts'!$E$67)</f>
        <v>76.650651</v>
      </c>
    </row>
    <row r="4612" customFormat="false" ht="15" hidden="false" customHeight="false" outlineLevel="0" collapsed="false">
      <c r="B4612" s="7" t="s">
        <v>5109</v>
      </c>
      <c r="C4612" s="39" t="n">
        <v>45882</v>
      </c>
      <c r="D4612" s="7" t="s">
        <v>291</v>
      </c>
      <c r="E4612" s="7" t="s">
        <v>154</v>
      </c>
      <c r="F4612" s="7" t="s">
        <v>194</v>
      </c>
      <c r="G4612" s="7" t="s">
        <v>505</v>
      </c>
      <c r="H4612" s="6" t="n">
        <v>4.48</v>
      </c>
      <c r="I4612" s="6" t="n">
        <v>0</v>
      </c>
      <c r="J4612" s="40" t="n">
        <f aca="false">H4612-I4612</f>
        <v>4.48</v>
      </c>
      <c r="K4612" s="41" t="n">
        <v>26.5</v>
      </c>
      <c r="L4612" s="42" t="n">
        <f aca="false">J4612*K4612</f>
        <v>118.72</v>
      </c>
      <c r="M4612" s="43" t="n">
        <f aca="false">H4612*16*(1+'Chart of Accounts'!$E$67)</f>
        <v>82.0736</v>
      </c>
    </row>
    <row r="4613" customFormat="false" ht="15" hidden="false" customHeight="false" outlineLevel="0" collapsed="false">
      <c r="B4613" s="7" t="s">
        <v>5110</v>
      </c>
      <c r="C4613" s="39" t="n">
        <v>45882</v>
      </c>
      <c r="D4613" s="7" t="s">
        <v>295</v>
      </c>
      <c r="E4613" s="7" t="s">
        <v>154</v>
      </c>
      <c r="F4613" s="7" t="s">
        <v>214</v>
      </c>
      <c r="G4613" s="7" t="s">
        <v>505</v>
      </c>
      <c r="H4613" s="6" t="n">
        <v>4.14</v>
      </c>
      <c r="I4613" s="6" t="n">
        <v>0</v>
      </c>
      <c r="J4613" s="40" t="n">
        <f aca="false">H4613-I4613</f>
        <v>4.14</v>
      </c>
      <c r="K4613" s="41" t="n">
        <v>26.5</v>
      </c>
      <c r="L4613" s="42" t="n">
        <f aca="false">J4613*K4613</f>
        <v>109.71</v>
      </c>
      <c r="M4613" s="43" t="n">
        <f aca="false">H4613*15.67*(1+'Chart of Accounts'!$E$67)</f>
        <v>74.280501</v>
      </c>
    </row>
    <row r="4614" customFormat="false" ht="15" hidden="false" customHeight="false" outlineLevel="0" collapsed="false">
      <c r="B4614" s="7" t="s">
        <v>5111</v>
      </c>
      <c r="C4614" s="39" t="n">
        <v>45882</v>
      </c>
      <c r="D4614" s="7" t="s">
        <v>305</v>
      </c>
      <c r="E4614" s="7" t="s">
        <v>154</v>
      </c>
      <c r="F4614" s="7" t="s">
        <v>205</v>
      </c>
      <c r="G4614" s="7" t="s">
        <v>505</v>
      </c>
      <c r="H4614" s="6" t="n">
        <v>3.73</v>
      </c>
      <c r="I4614" s="6" t="n">
        <v>0</v>
      </c>
      <c r="J4614" s="40" t="n">
        <f aca="false">H4614-I4614</f>
        <v>3.73</v>
      </c>
      <c r="K4614" s="41" t="n">
        <v>26.5</v>
      </c>
      <c r="L4614" s="42" t="n">
        <f aca="false">J4614*K4614</f>
        <v>98.845</v>
      </c>
      <c r="M4614" s="43" t="n">
        <f aca="false">H4614*16.36*(1+'Chart of Accounts'!$E$67)</f>
        <v>69.871106</v>
      </c>
    </row>
    <row r="4615" customFormat="false" ht="15" hidden="false" customHeight="false" outlineLevel="0" collapsed="false">
      <c r="B4615" s="7" t="s">
        <v>5112</v>
      </c>
      <c r="C4615" s="39" t="n">
        <v>45882</v>
      </c>
      <c r="D4615" s="7" t="s">
        <v>307</v>
      </c>
      <c r="E4615" s="7" t="s">
        <v>157</v>
      </c>
      <c r="F4615" s="7" t="s">
        <v>264</v>
      </c>
      <c r="G4615" s="7" t="s">
        <v>502</v>
      </c>
      <c r="H4615" s="6" t="n">
        <v>1.04</v>
      </c>
      <c r="I4615" s="6" t="n">
        <v>0</v>
      </c>
      <c r="J4615" s="40" t="n">
        <f aca="false">H4615-I4615</f>
        <v>1.04</v>
      </c>
      <c r="K4615" s="41" t="n">
        <v>165</v>
      </c>
      <c r="L4615" s="42" t="n">
        <f aca="false">J4615*K4615</f>
        <v>171.6</v>
      </c>
      <c r="M4615" s="43" t="n">
        <f aca="false">H4615*55.55*(1+'Chart of Accounts'!$E$67)</f>
        <v>66.14894</v>
      </c>
    </row>
    <row r="4616" customFormat="false" ht="15" hidden="false" customHeight="false" outlineLevel="0" collapsed="false">
      <c r="B4616" s="7" t="s">
        <v>5113</v>
      </c>
      <c r="C4616" s="39" t="n">
        <v>45882</v>
      </c>
      <c r="D4616" s="7" t="s">
        <v>309</v>
      </c>
      <c r="E4616" s="7" t="s">
        <v>159</v>
      </c>
      <c r="F4616" s="7" t="s">
        <v>252</v>
      </c>
      <c r="G4616" s="7" t="s">
        <v>502</v>
      </c>
      <c r="H4616" s="6" t="n">
        <v>1.01</v>
      </c>
      <c r="I4616" s="6" t="n">
        <v>0</v>
      </c>
      <c r="J4616" s="40" t="n">
        <f aca="false">H4616-I4616</f>
        <v>1.01</v>
      </c>
      <c r="K4616" s="41" t="n">
        <v>135</v>
      </c>
      <c r="L4616" s="42" t="n">
        <f aca="false">J4616*K4616</f>
        <v>136.35</v>
      </c>
      <c r="M4616" s="43" t="n">
        <f aca="false">H4616*57.54*(1+'Chart of Accounts'!$E$67)</f>
        <v>66.542133</v>
      </c>
    </row>
    <row r="4617" customFormat="false" ht="15" hidden="false" customHeight="false" outlineLevel="0" collapsed="false">
      <c r="B4617" s="7" t="s">
        <v>5114</v>
      </c>
      <c r="C4617" s="39" t="n">
        <v>45882</v>
      </c>
      <c r="D4617" s="7" t="s">
        <v>313</v>
      </c>
      <c r="E4617" s="7" t="s">
        <v>156</v>
      </c>
      <c r="F4617" s="7" t="s">
        <v>184</v>
      </c>
      <c r="G4617" s="7" t="s">
        <v>505</v>
      </c>
      <c r="H4617" s="6" t="n">
        <v>4.22</v>
      </c>
      <c r="I4617" s="6" t="n">
        <v>0</v>
      </c>
      <c r="J4617" s="40" t="n">
        <f aca="false">H4617-I4617</f>
        <v>4.22</v>
      </c>
      <c r="K4617" s="41" t="n">
        <v>34</v>
      </c>
      <c r="L4617" s="42" t="n">
        <f aca="false">J4617*K4617</f>
        <v>143.48</v>
      </c>
      <c r="M4617" s="43" t="n">
        <f aca="false">H4617*17.34*(1+'Chart of Accounts'!$E$67)</f>
        <v>83.785146</v>
      </c>
    </row>
    <row r="4618" customFormat="false" ht="15" hidden="false" customHeight="false" outlineLevel="0" collapsed="false">
      <c r="B4618" s="7" t="s">
        <v>5115</v>
      </c>
      <c r="C4618" s="39" t="n">
        <v>45882</v>
      </c>
      <c r="D4618" s="7" t="s">
        <v>315</v>
      </c>
      <c r="E4618" s="7" t="s">
        <v>159</v>
      </c>
      <c r="F4618" s="7" t="s">
        <v>216</v>
      </c>
      <c r="G4618" s="7" t="s">
        <v>502</v>
      </c>
      <c r="H4618" s="6" t="n">
        <v>1.06</v>
      </c>
      <c r="I4618" s="6" t="n">
        <v>0</v>
      </c>
      <c r="J4618" s="40" t="n">
        <f aca="false">H4618-I4618</f>
        <v>1.06</v>
      </c>
      <c r="K4618" s="41" t="n">
        <v>135</v>
      </c>
      <c r="L4618" s="42" t="n">
        <f aca="false">J4618*K4618</f>
        <v>143.1</v>
      </c>
      <c r="M4618" s="43" t="n">
        <f aca="false">H4618*61.79*(1+'Chart of Accounts'!$E$67)</f>
        <v>74.994523</v>
      </c>
    </row>
    <row r="4619" customFormat="false" ht="15" hidden="false" customHeight="false" outlineLevel="0" collapsed="false">
      <c r="B4619" s="7" t="s">
        <v>5116</v>
      </c>
      <c r="C4619" s="39" t="n">
        <v>45882</v>
      </c>
      <c r="D4619" s="7" t="s">
        <v>321</v>
      </c>
      <c r="E4619" s="7" t="s">
        <v>154</v>
      </c>
      <c r="F4619" s="7" t="s">
        <v>218</v>
      </c>
      <c r="G4619" s="7" t="s">
        <v>505</v>
      </c>
      <c r="H4619" s="6" t="n">
        <v>3.91</v>
      </c>
      <c r="I4619" s="6" t="n">
        <v>0</v>
      </c>
      <c r="J4619" s="40" t="n">
        <f aca="false">H4619-I4619</f>
        <v>3.91</v>
      </c>
      <c r="K4619" s="41" t="n">
        <v>26.5</v>
      </c>
      <c r="L4619" s="42" t="n">
        <f aca="false">J4619*K4619</f>
        <v>103.615</v>
      </c>
      <c r="M4619" s="43" t="n">
        <f aca="false">H4619*16.19*(1+'Chart of Accounts'!$E$67)</f>
        <v>72.4818205</v>
      </c>
    </row>
    <row r="4620" customFormat="false" ht="15" hidden="false" customHeight="false" outlineLevel="0" collapsed="false">
      <c r="B4620" s="7" t="s">
        <v>5117</v>
      </c>
      <c r="C4620" s="39" t="n">
        <v>45882</v>
      </c>
      <c r="D4620" s="7" t="s">
        <v>329</v>
      </c>
      <c r="E4620" s="7" t="s">
        <v>156</v>
      </c>
      <c r="F4620" s="7" t="s">
        <v>220</v>
      </c>
      <c r="G4620" s="7" t="s">
        <v>505</v>
      </c>
      <c r="H4620" s="6" t="n">
        <v>4.21</v>
      </c>
      <c r="I4620" s="6" t="n">
        <v>0</v>
      </c>
      <c r="J4620" s="40" t="n">
        <f aca="false">H4620-I4620</f>
        <v>4.21</v>
      </c>
      <c r="K4620" s="41" t="n">
        <v>34</v>
      </c>
      <c r="L4620" s="42" t="n">
        <f aca="false">J4620*K4620</f>
        <v>143.14</v>
      </c>
      <c r="M4620" s="43" t="n">
        <f aca="false">H4620*16.43*(1+'Chart of Accounts'!$E$67)</f>
        <v>79.1999935</v>
      </c>
    </row>
    <row r="4621" customFormat="false" ht="15" hidden="false" customHeight="false" outlineLevel="0" collapsed="false">
      <c r="B4621" s="7" t="s">
        <v>5118</v>
      </c>
      <c r="C4621" s="39" t="n">
        <v>45882</v>
      </c>
      <c r="D4621" s="7" t="s">
        <v>335</v>
      </c>
      <c r="E4621" s="7" t="s">
        <v>154</v>
      </c>
      <c r="F4621" s="7" t="s">
        <v>177</v>
      </c>
      <c r="G4621" s="7" t="s">
        <v>505</v>
      </c>
      <c r="H4621" s="6" t="n">
        <v>3.92</v>
      </c>
      <c r="I4621" s="6" t="n">
        <v>0</v>
      </c>
      <c r="J4621" s="40" t="n">
        <f aca="false">H4621-I4621</f>
        <v>3.92</v>
      </c>
      <c r="K4621" s="41" t="n">
        <v>26.5</v>
      </c>
      <c r="L4621" s="42" t="n">
        <f aca="false">J4621*K4621</f>
        <v>103.88</v>
      </c>
      <c r="M4621" s="43" t="n">
        <f aca="false">H4621*14.56*(1+'Chart of Accounts'!$E$67)</f>
        <v>65.351104</v>
      </c>
    </row>
    <row r="4622" customFormat="false" ht="15" hidden="false" customHeight="false" outlineLevel="0" collapsed="false">
      <c r="B4622" s="7" t="s">
        <v>5119</v>
      </c>
      <c r="C4622" s="39" t="n">
        <v>45882</v>
      </c>
      <c r="D4622" s="7" t="s">
        <v>339</v>
      </c>
      <c r="E4622" s="7" t="s">
        <v>154</v>
      </c>
      <c r="F4622" s="7" t="s">
        <v>242</v>
      </c>
      <c r="G4622" s="7" t="s">
        <v>505</v>
      </c>
      <c r="H4622" s="6" t="n">
        <v>3.23</v>
      </c>
      <c r="I4622" s="6" t="n">
        <v>0</v>
      </c>
      <c r="J4622" s="40" t="n">
        <f aca="false">H4622-I4622</f>
        <v>3.23</v>
      </c>
      <c r="K4622" s="41" t="n">
        <v>26.5</v>
      </c>
      <c r="L4622" s="42" t="n">
        <f aca="false">J4622*K4622</f>
        <v>85.595</v>
      </c>
      <c r="M4622" s="43" t="n">
        <f aca="false">H4622*17.99*(1+'Chart of Accounts'!$E$67)</f>
        <v>66.5333165</v>
      </c>
    </row>
    <row r="4623" customFormat="false" ht="15" hidden="false" customHeight="false" outlineLevel="0" collapsed="false">
      <c r="B4623" s="7" t="s">
        <v>5120</v>
      </c>
      <c r="C4623" s="39" t="n">
        <v>45882</v>
      </c>
      <c r="D4623" s="7" t="s">
        <v>347</v>
      </c>
      <c r="E4623" s="7" t="s">
        <v>154</v>
      </c>
      <c r="F4623" s="7" t="s">
        <v>238</v>
      </c>
      <c r="G4623" s="7" t="s">
        <v>505</v>
      </c>
      <c r="H4623" s="6" t="n">
        <v>5.1</v>
      </c>
      <c r="I4623" s="6" t="n">
        <v>0.153</v>
      </c>
      <c r="J4623" s="40" t="n">
        <f aca="false">H4623-I4623</f>
        <v>4.947</v>
      </c>
      <c r="K4623" s="41" t="n">
        <v>26.5</v>
      </c>
      <c r="L4623" s="42" t="n">
        <f aca="false">J4623*K4623</f>
        <v>131.0955</v>
      </c>
      <c r="M4623" s="43" t="n">
        <f aca="false">H4623*15.85*(1+'Chart of Accounts'!$E$67)</f>
        <v>92.556075</v>
      </c>
    </row>
    <row r="4624" customFormat="false" ht="15" hidden="false" customHeight="false" outlineLevel="0" collapsed="false">
      <c r="B4624" s="7" t="s">
        <v>5121</v>
      </c>
      <c r="C4624" s="39" t="n">
        <v>45882</v>
      </c>
      <c r="D4624" s="7" t="s">
        <v>353</v>
      </c>
      <c r="E4624" s="7" t="s">
        <v>154</v>
      </c>
      <c r="F4624" s="7" t="s">
        <v>254</v>
      </c>
      <c r="G4624" s="7" t="s">
        <v>505</v>
      </c>
      <c r="H4624" s="6" t="n">
        <v>3.06</v>
      </c>
      <c r="I4624" s="6" t="n">
        <v>0</v>
      </c>
      <c r="J4624" s="40" t="n">
        <f aca="false">H4624-I4624</f>
        <v>3.06</v>
      </c>
      <c r="K4624" s="41" t="n">
        <v>26.5</v>
      </c>
      <c r="L4624" s="42" t="n">
        <f aca="false">J4624*K4624</f>
        <v>81.09</v>
      </c>
      <c r="M4624" s="43" t="n">
        <f aca="false">H4624*17.1*(1+'Chart of Accounts'!$E$67)</f>
        <v>59.91327</v>
      </c>
    </row>
    <row r="4625" customFormat="false" ht="15" hidden="false" customHeight="false" outlineLevel="0" collapsed="false">
      <c r="B4625" s="7" t="s">
        <v>5122</v>
      </c>
      <c r="C4625" s="39" t="n">
        <v>45882</v>
      </c>
      <c r="D4625" s="7" t="s">
        <v>355</v>
      </c>
      <c r="E4625" s="7" t="s">
        <v>154</v>
      </c>
      <c r="F4625" s="7" t="s">
        <v>201</v>
      </c>
      <c r="G4625" s="7" t="s">
        <v>505</v>
      </c>
      <c r="H4625" s="6" t="n">
        <v>3.19</v>
      </c>
      <c r="I4625" s="6" t="n">
        <v>0</v>
      </c>
      <c r="J4625" s="40" t="n">
        <f aca="false">H4625-I4625</f>
        <v>3.19</v>
      </c>
      <c r="K4625" s="41" t="n">
        <v>26.5</v>
      </c>
      <c r="L4625" s="42" t="n">
        <f aca="false">J4625*K4625</f>
        <v>84.535</v>
      </c>
      <c r="M4625" s="43" t="n">
        <f aca="false">H4625*15.19*(1+'Chart of Accounts'!$E$67)</f>
        <v>55.4822345</v>
      </c>
    </row>
    <row r="4626" customFormat="false" ht="15" hidden="false" customHeight="false" outlineLevel="0" collapsed="false">
      <c r="B4626" s="7" t="s">
        <v>5123</v>
      </c>
      <c r="C4626" s="39" t="n">
        <v>45882</v>
      </c>
      <c r="D4626" s="7" t="s">
        <v>357</v>
      </c>
      <c r="E4626" s="7" t="s">
        <v>154</v>
      </c>
      <c r="F4626" s="7" t="s">
        <v>207</v>
      </c>
      <c r="G4626" s="7" t="s">
        <v>505</v>
      </c>
      <c r="H4626" s="6" t="n">
        <v>3.54</v>
      </c>
      <c r="I4626" s="6" t="n">
        <v>0</v>
      </c>
      <c r="J4626" s="40" t="n">
        <f aca="false">H4626-I4626</f>
        <v>3.54</v>
      </c>
      <c r="K4626" s="41" t="n">
        <v>26.5</v>
      </c>
      <c r="L4626" s="42" t="n">
        <f aca="false">J4626*K4626</f>
        <v>93.81</v>
      </c>
      <c r="M4626" s="43" t="n">
        <f aca="false">H4626*16.65*(1+'Chart of Accounts'!$E$67)</f>
        <v>67.487445</v>
      </c>
    </row>
    <row r="4627" customFormat="false" ht="15" hidden="false" customHeight="false" outlineLevel="0" collapsed="false">
      <c r="B4627" s="7" t="s">
        <v>5124</v>
      </c>
      <c r="C4627" s="39" t="n">
        <v>45882</v>
      </c>
      <c r="D4627" s="7" t="s">
        <v>359</v>
      </c>
      <c r="E4627" s="7" t="s">
        <v>156</v>
      </c>
      <c r="F4627" s="7" t="s">
        <v>224</v>
      </c>
      <c r="G4627" s="7" t="s">
        <v>505</v>
      </c>
      <c r="H4627" s="6" t="n">
        <v>4.22</v>
      </c>
      <c r="I4627" s="6" t="n">
        <v>0</v>
      </c>
      <c r="J4627" s="40" t="n">
        <f aca="false">H4627-I4627</f>
        <v>4.22</v>
      </c>
      <c r="K4627" s="41" t="n">
        <v>34</v>
      </c>
      <c r="L4627" s="42" t="n">
        <f aca="false">J4627*K4627</f>
        <v>143.48</v>
      </c>
      <c r="M4627" s="43" t="n">
        <f aca="false">H4627*14.93*(1+'Chart of Accounts'!$E$67)</f>
        <v>72.140267</v>
      </c>
    </row>
    <row r="4628" customFormat="false" ht="15" hidden="false" customHeight="false" outlineLevel="0" collapsed="false">
      <c r="B4628" s="7" t="s">
        <v>5125</v>
      </c>
      <c r="C4628" s="39" t="n">
        <v>45882</v>
      </c>
      <c r="D4628" s="7" t="s">
        <v>365</v>
      </c>
      <c r="E4628" s="7" t="s">
        <v>154</v>
      </c>
      <c r="F4628" s="7" t="s">
        <v>194</v>
      </c>
      <c r="G4628" s="7" t="s">
        <v>505</v>
      </c>
      <c r="H4628" s="6" t="n">
        <v>4.16</v>
      </c>
      <c r="I4628" s="6" t="n">
        <v>0</v>
      </c>
      <c r="J4628" s="40" t="n">
        <f aca="false">H4628-I4628</f>
        <v>4.16</v>
      </c>
      <c r="K4628" s="41" t="n">
        <v>26.5</v>
      </c>
      <c r="L4628" s="42" t="n">
        <f aca="false">J4628*K4628</f>
        <v>110.24</v>
      </c>
      <c r="M4628" s="43" t="n">
        <f aca="false">H4628*16*(1+'Chart of Accounts'!$E$67)</f>
        <v>76.2112</v>
      </c>
    </row>
    <row r="4629" customFormat="false" ht="15" hidden="false" customHeight="false" outlineLevel="0" collapsed="false">
      <c r="B4629" s="7" t="s">
        <v>5126</v>
      </c>
      <c r="C4629" s="39" t="n">
        <v>45882</v>
      </c>
      <c r="D4629" s="7" t="s">
        <v>371</v>
      </c>
      <c r="E4629" s="7" t="s">
        <v>154</v>
      </c>
      <c r="F4629" s="7" t="s">
        <v>232</v>
      </c>
      <c r="G4629" s="7" t="s">
        <v>505</v>
      </c>
      <c r="H4629" s="6" t="n">
        <v>4.46</v>
      </c>
      <c r="I4629" s="6" t="n">
        <v>0.134</v>
      </c>
      <c r="J4629" s="40" t="n">
        <f aca="false">H4629-I4629</f>
        <v>4.326</v>
      </c>
      <c r="K4629" s="41" t="n">
        <v>26.5</v>
      </c>
      <c r="L4629" s="42" t="n">
        <f aca="false">J4629*K4629</f>
        <v>114.639</v>
      </c>
      <c r="M4629" s="43" t="n">
        <f aca="false">H4629*16.17*(1+'Chart of Accounts'!$E$67)</f>
        <v>82.575339</v>
      </c>
    </row>
    <row r="4630" customFormat="false" ht="15" hidden="false" customHeight="false" outlineLevel="0" collapsed="false">
      <c r="B4630" s="7" t="s">
        <v>5127</v>
      </c>
      <c r="C4630" s="39" t="n">
        <v>45882</v>
      </c>
      <c r="D4630" s="7" t="s">
        <v>379</v>
      </c>
      <c r="E4630" s="7" t="s">
        <v>156</v>
      </c>
      <c r="F4630" s="7" t="s">
        <v>224</v>
      </c>
      <c r="G4630" s="7" t="s">
        <v>505</v>
      </c>
      <c r="H4630" s="6" t="n">
        <v>4.77</v>
      </c>
      <c r="I4630" s="6" t="n">
        <v>0</v>
      </c>
      <c r="J4630" s="40" t="n">
        <f aca="false">H4630-I4630</f>
        <v>4.77</v>
      </c>
      <c r="K4630" s="41" t="n">
        <v>34</v>
      </c>
      <c r="L4630" s="42" t="n">
        <f aca="false">J4630*K4630</f>
        <v>162.18</v>
      </c>
      <c r="M4630" s="43" t="n">
        <f aca="false">H4630*14.93*(1+'Chart of Accounts'!$E$67)</f>
        <v>81.5424345</v>
      </c>
    </row>
    <row r="4631" customFormat="false" ht="15" hidden="false" customHeight="false" outlineLevel="0" collapsed="false">
      <c r="B4631" s="7" t="s">
        <v>5128</v>
      </c>
      <c r="C4631" s="39" t="n">
        <v>45882</v>
      </c>
      <c r="D4631" s="7" t="s">
        <v>385</v>
      </c>
      <c r="E4631" s="7" t="s">
        <v>156</v>
      </c>
      <c r="F4631" s="7" t="s">
        <v>238</v>
      </c>
      <c r="G4631" s="7" t="s">
        <v>505</v>
      </c>
      <c r="H4631" s="6" t="n">
        <v>3.87</v>
      </c>
      <c r="I4631" s="6" t="n">
        <v>0</v>
      </c>
      <c r="J4631" s="40" t="n">
        <f aca="false">H4631-I4631</f>
        <v>3.87</v>
      </c>
      <c r="K4631" s="41" t="n">
        <v>34</v>
      </c>
      <c r="L4631" s="42" t="n">
        <f aca="false">J4631*K4631</f>
        <v>131.58</v>
      </c>
      <c r="M4631" s="43" t="n">
        <f aca="false">H4631*15.85*(1+'Chart of Accounts'!$E$67)</f>
        <v>70.2337275</v>
      </c>
    </row>
    <row r="4632" customFormat="false" ht="15" hidden="false" customHeight="false" outlineLevel="0" collapsed="false">
      <c r="B4632" s="7" t="s">
        <v>5129</v>
      </c>
      <c r="C4632" s="39" t="n">
        <v>45882</v>
      </c>
      <c r="D4632" s="7" t="s">
        <v>387</v>
      </c>
      <c r="E4632" s="7" t="s">
        <v>154</v>
      </c>
      <c r="F4632" s="7" t="s">
        <v>196</v>
      </c>
      <c r="G4632" s="7" t="s">
        <v>505</v>
      </c>
      <c r="H4632" s="6" t="n">
        <v>4.39</v>
      </c>
      <c r="I4632" s="6" t="n">
        <v>0</v>
      </c>
      <c r="J4632" s="40" t="n">
        <f aca="false">H4632-I4632</f>
        <v>4.39</v>
      </c>
      <c r="K4632" s="41" t="n">
        <v>26.5</v>
      </c>
      <c r="L4632" s="42" t="n">
        <f aca="false">J4632*K4632</f>
        <v>116.335</v>
      </c>
      <c r="M4632" s="43" t="n">
        <f aca="false">H4632*15.05*(1+'Chart of Accounts'!$E$67)</f>
        <v>75.6495775</v>
      </c>
    </row>
    <row r="4633" customFormat="false" ht="15" hidden="false" customHeight="false" outlineLevel="0" collapsed="false">
      <c r="B4633" s="7" t="s">
        <v>5130</v>
      </c>
      <c r="C4633" s="39" t="n">
        <v>45882</v>
      </c>
      <c r="D4633" s="7" t="s">
        <v>389</v>
      </c>
      <c r="E4633" s="7" t="s">
        <v>154</v>
      </c>
      <c r="F4633" s="7" t="s">
        <v>246</v>
      </c>
      <c r="G4633" s="7" t="s">
        <v>505</v>
      </c>
      <c r="H4633" s="6" t="n">
        <v>3.77</v>
      </c>
      <c r="I4633" s="6" t="n">
        <v>0</v>
      </c>
      <c r="J4633" s="40" t="n">
        <f aca="false">H4633-I4633</f>
        <v>3.77</v>
      </c>
      <c r="K4633" s="41" t="n">
        <v>26.5</v>
      </c>
      <c r="L4633" s="42" t="n">
        <f aca="false">J4633*K4633</f>
        <v>99.905</v>
      </c>
      <c r="M4633" s="43" t="n">
        <f aca="false">H4633*16.48*(1+'Chart of Accounts'!$E$67)</f>
        <v>71.138392</v>
      </c>
    </row>
    <row r="4634" customFormat="false" ht="15" hidden="false" customHeight="false" outlineLevel="0" collapsed="false">
      <c r="B4634" s="7" t="s">
        <v>5131</v>
      </c>
      <c r="C4634" s="39" t="n">
        <v>45882</v>
      </c>
      <c r="D4634" s="7" t="s">
        <v>391</v>
      </c>
      <c r="E4634" s="7" t="s">
        <v>156</v>
      </c>
      <c r="F4634" s="7" t="s">
        <v>222</v>
      </c>
      <c r="G4634" s="7" t="s">
        <v>505</v>
      </c>
      <c r="H4634" s="6" t="n">
        <v>3.76</v>
      </c>
      <c r="I4634" s="6" t="n">
        <v>0</v>
      </c>
      <c r="J4634" s="40" t="n">
        <f aca="false">H4634-I4634</f>
        <v>3.76</v>
      </c>
      <c r="K4634" s="41" t="n">
        <v>34</v>
      </c>
      <c r="L4634" s="42" t="n">
        <f aca="false">J4634*K4634</f>
        <v>127.84</v>
      </c>
      <c r="M4634" s="43" t="n">
        <f aca="false">H4634*17.84*(1+'Chart of Accounts'!$E$67)</f>
        <v>76.804768</v>
      </c>
    </row>
    <row r="4635" customFormat="false" ht="15" hidden="false" customHeight="false" outlineLevel="0" collapsed="false">
      <c r="B4635" s="7" t="s">
        <v>5132</v>
      </c>
      <c r="C4635" s="39" t="n">
        <v>45882</v>
      </c>
      <c r="D4635" s="7" t="s">
        <v>393</v>
      </c>
      <c r="E4635" s="7" t="s">
        <v>157</v>
      </c>
      <c r="F4635" s="7" t="s">
        <v>203</v>
      </c>
      <c r="G4635" s="7" t="s">
        <v>502</v>
      </c>
      <c r="H4635" s="6" t="n">
        <v>1.08</v>
      </c>
      <c r="I4635" s="6" t="n">
        <v>0</v>
      </c>
      <c r="J4635" s="40" t="n">
        <f aca="false">H4635-I4635</f>
        <v>1.08</v>
      </c>
      <c r="K4635" s="41" t="n">
        <v>165</v>
      </c>
      <c r="L4635" s="42" t="n">
        <f aca="false">J4635*K4635</f>
        <v>178.2</v>
      </c>
      <c r="M4635" s="43" t="n">
        <f aca="false">H4635*49.43*(1+'Chart of Accounts'!$E$67)</f>
        <v>61.125138</v>
      </c>
    </row>
    <row r="4636" customFormat="false" ht="15" hidden="false" customHeight="false" outlineLevel="0" collapsed="false">
      <c r="B4636" s="7" t="s">
        <v>5133</v>
      </c>
      <c r="C4636" s="39" t="n">
        <v>45882</v>
      </c>
      <c r="D4636" s="7" t="s">
        <v>395</v>
      </c>
      <c r="E4636" s="7" t="s">
        <v>156</v>
      </c>
      <c r="F4636" s="7" t="s">
        <v>242</v>
      </c>
      <c r="G4636" s="7" t="s">
        <v>505</v>
      </c>
      <c r="H4636" s="6" t="n">
        <v>4.25</v>
      </c>
      <c r="I4636" s="6" t="n">
        <v>0</v>
      </c>
      <c r="J4636" s="40" t="n">
        <f aca="false">H4636-I4636</f>
        <v>4.25</v>
      </c>
      <c r="K4636" s="41" t="n">
        <v>34</v>
      </c>
      <c r="L4636" s="42" t="n">
        <f aca="false">J4636*K4636</f>
        <v>144.5</v>
      </c>
      <c r="M4636" s="43" t="n">
        <f aca="false">H4636*17.99*(1+'Chart of Accounts'!$E$67)</f>
        <v>87.5438375</v>
      </c>
    </row>
    <row r="4637" customFormat="false" ht="15" hidden="false" customHeight="false" outlineLevel="0" collapsed="false">
      <c r="B4637" s="7" t="s">
        <v>5134</v>
      </c>
      <c r="C4637" s="39" t="n">
        <v>45882</v>
      </c>
      <c r="D4637" s="7" t="s">
        <v>399</v>
      </c>
      <c r="E4637" s="7" t="s">
        <v>154</v>
      </c>
      <c r="F4637" s="7" t="s">
        <v>240</v>
      </c>
      <c r="G4637" s="7" t="s">
        <v>505</v>
      </c>
      <c r="H4637" s="6" t="n">
        <v>3.47</v>
      </c>
      <c r="I4637" s="6" t="n">
        <v>0</v>
      </c>
      <c r="J4637" s="40" t="n">
        <f aca="false">H4637-I4637</f>
        <v>3.47</v>
      </c>
      <c r="K4637" s="41" t="n">
        <v>26.5</v>
      </c>
      <c r="L4637" s="42" t="n">
        <f aca="false">J4637*K4637</f>
        <v>91.955</v>
      </c>
      <c r="M4637" s="43" t="n">
        <f aca="false">H4637*16.96*(1+'Chart of Accounts'!$E$67)</f>
        <v>67.384624</v>
      </c>
    </row>
    <row r="4638" customFormat="false" ht="15" hidden="false" customHeight="false" outlineLevel="0" collapsed="false">
      <c r="B4638" s="7" t="s">
        <v>5135</v>
      </c>
      <c r="C4638" s="39" t="n">
        <v>45882</v>
      </c>
      <c r="D4638" s="7" t="s">
        <v>401</v>
      </c>
      <c r="E4638" s="7" t="s">
        <v>156</v>
      </c>
      <c r="F4638" s="7" t="s">
        <v>254</v>
      </c>
      <c r="G4638" s="7" t="s">
        <v>505</v>
      </c>
      <c r="H4638" s="6" t="n">
        <v>4.23</v>
      </c>
      <c r="I4638" s="6" t="n">
        <v>0</v>
      </c>
      <c r="J4638" s="40" t="n">
        <f aca="false">H4638-I4638</f>
        <v>4.23</v>
      </c>
      <c r="K4638" s="41" t="n">
        <v>34</v>
      </c>
      <c r="L4638" s="42" t="n">
        <f aca="false">J4638*K4638</f>
        <v>143.82</v>
      </c>
      <c r="M4638" s="43" t="n">
        <f aca="false">H4638*17.1*(1+'Chart of Accounts'!$E$67)</f>
        <v>82.821285</v>
      </c>
    </row>
    <row r="4639" customFormat="false" ht="15" hidden="false" customHeight="false" outlineLevel="0" collapsed="false">
      <c r="B4639" s="7" t="s">
        <v>5136</v>
      </c>
      <c r="C4639" s="39" t="n">
        <v>45882</v>
      </c>
      <c r="D4639" s="7" t="s">
        <v>403</v>
      </c>
      <c r="E4639" s="7" t="s">
        <v>156</v>
      </c>
      <c r="F4639" s="7" t="s">
        <v>184</v>
      </c>
      <c r="G4639" s="7" t="s">
        <v>505</v>
      </c>
      <c r="H4639" s="6" t="n">
        <v>3.76</v>
      </c>
      <c r="I4639" s="6" t="n">
        <v>0</v>
      </c>
      <c r="J4639" s="40" t="n">
        <f aca="false">H4639-I4639</f>
        <v>3.76</v>
      </c>
      <c r="K4639" s="41" t="n">
        <v>34</v>
      </c>
      <c r="L4639" s="42" t="n">
        <f aca="false">J4639*K4639</f>
        <v>127.84</v>
      </c>
      <c r="M4639" s="43" t="n">
        <f aca="false">H4639*17.34*(1+'Chart of Accounts'!$E$67)</f>
        <v>74.652168</v>
      </c>
    </row>
    <row r="4640" customFormat="false" ht="15" hidden="false" customHeight="false" outlineLevel="0" collapsed="false">
      <c r="B4640" s="7" t="s">
        <v>5137</v>
      </c>
      <c r="C4640" s="39" t="n">
        <v>45882</v>
      </c>
      <c r="D4640" s="7" t="s">
        <v>409</v>
      </c>
      <c r="E4640" s="7" t="s">
        <v>154</v>
      </c>
      <c r="F4640" s="7" t="s">
        <v>214</v>
      </c>
      <c r="G4640" s="7" t="s">
        <v>505</v>
      </c>
      <c r="H4640" s="6" t="n">
        <v>3.13</v>
      </c>
      <c r="I4640" s="6" t="n">
        <v>0</v>
      </c>
      <c r="J4640" s="40" t="n">
        <f aca="false">H4640-I4640</f>
        <v>3.13</v>
      </c>
      <c r="K4640" s="41" t="n">
        <v>26.5</v>
      </c>
      <c r="L4640" s="42" t="n">
        <f aca="false">J4640*K4640</f>
        <v>82.945</v>
      </c>
      <c r="M4640" s="43" t="n">
        <f aca="false">H4640*15.67*(1+'Chart of Accounts'!$E$67)</f>
        <v>56.1589295</v>
      </c>
    </row>
    <row r="4641" customFormat="false" ht="15" hidden="false" customHeight="false" outlineLevel="0" collapsed="false">
      <c r="B4641" s="7" t="s">
        <v>5138</v>
      </c>
      <c r="C4641" s="39" t="n">
        <v>45882</v>
      </c>
      <c r="D4641" s="7" t="s">
        <v>411</v>
      </c>
      <c r="E4641" s="7" t="s">
        <v>154</v>
      </c>
      <c r="F4641" s="7" t="s">
        <v>177</v>
      </c>
      <c r="G4641" s="7" t="s">
        <v>505</v>
      </c>
      <c r="H4641" s="6" t="n">
        <v>4.5</v>
      </c>
      <c r="I4641" s="6" t="n">
        <v>0</v>
      </c>
      <c r="J4641" s="40" t="n">
        <f aca="false">H4641-I4641</f>
        <v>4.5</v>
      </c>
      <c r="K4641" s="41" t="n">
        <v>26.5</v>
      </c>
      <c r="L4641" s="42" t="n">
        <f aca="false">J4641*K4641</f>
        <v>119.25</v>
      </c>
      <c r="M4641" s="43" t="n">
        <f aca="false">H4641*14.56*(1+'Chart of Accounts'!$E$67)</f>
        <v>75.0204</v>
      </c>
    </row>
    <row r="4642" customFormat="false" ht="15" hidden="false" customHeight="false" outlineLevel="0" collapsed="false">
      <c r="B4642" s="7" t="s">
        <v>5139</v>
      </c>
      <c r="C4642" s="39" t="n">
        <v>45883</v>
      </c>
      <c r="D4642" s="7" t="s">
        <v>288</v>
      </c>
      <c r="E4642" s="7" t="s">
        <v>156</v>
      </c>
      <c r="F4642" s="7" t="s">
        <v>194</v>
      </c>
      <c r="G4642" s="7" t="s">
        <v>505</v>
      </c>
      <c r="H4642" s="6" t="n">
        <v>4.28</v>
      </c>
      <c r="I4642" s="6" t="n">
        <v>0</v>
      </c>
      <c r="J4642" s="40" t="n">
        <f aca="false">H4642-I4642</f>
        <v>4.28</v>
      </c>
      <c r="K4642" s="41" t="n">
        <v>34</v>
      </c>
      <c r="L4642" s="42" t="n">
        <f aca="false">J4642*K4642</f>
        <v>145.52</v>
      </c>
      <c r="M4642" s="43" t="n">
        <f aca="false">H4642*16*(1+'Chart of Accounts'!$E$67)</f>
        <v>78.4096</v>
      </c>
    </row>
    <row r="4643" customFormat="false" ht="15" hidden="false" customHeight="false" outlineLevel="0" collapsed="false">
      <c r="B4643" s="7" t="s">
        <v>5140</v>
      </c>
      <c r="C4643" s="39" t="n">
        <v>45883</v>
      </c>
      <c r="D4643" s="7" t="s">
        <v>297</v>
      </c>
      <c r="E4643" s="7" t="s">
        <v>156</v>
      </c>
      <c r="F4643" s="7" t="s">
        <v>201</v>
      </c>
      <c r="G4643" s="7" t="s">
        <v>505</v>
      </c>
      <c r="H4643" s="6" t="n">
        <v>3.07</v>
      </c>
      <c r="I4643" s="6" t="n">
        <v>0</v>
      </c>
      <c r="J4643" s="40" t="n">
        <f aca="false">H4643-I4643</f>
        <v>3.07</v>
      </c>
      <c r="K4643" s="41" t="n">
        <v>34</v>
      </c>
      <c r="L4643" s="42" t="n">
        <f aca="false">J4643*K4643</f>
        <v>104.38</v>
      </c>
      <c r="M4643" s="43" t="n">
        <f aca="false">H4643*15.19*(1+'Chart of Accounts'!$E$67)</f>
        <v>53.3951285</v>
      </c>
    </row>
    <row r="4644" customFormat="false" ht="15" hidden="false" customHeight="false" outlineLevel="0" collapsed="false">
      <c r="B4644" s="7" t="s">
        <v>5141</v>
      </c>
      <c r="C4644" s="39" t="n">
        <v>45883</v>
      </c>
      <c r="D4644" s="7" t="s">
        <v>311</v>
      </c>
      <c r="E4644" s="7" t="s">
        <v>154</v>
      </c>
      <c r="F4644" s="7" t="s">
        <v>196</v>
      </c>
      <c r="G4644" s="7" t="s">
        <v>505</v>
      </c>
      <c r="H4644" s="6" t="n">
        <v>2.9</v>
      </c>
      <c r="I4644" s="6" t="n">
        <v>0</v>
      </c>
      <c r="J4644" s="40" t="n">
        <f aca="false">H4644-I4644</f>
        <v>2.9</v>
      </c>
      <c r="K4644" s="41" t="n">
        <v>26.5</v>
      </c>
      <c r="L4644" s="42" t="n">
        <f aca="false">J4644*K4644</f>
        <v>76.85</v>
      </c>
      <c r="M4644" s="43" t="n">
        <f aca="false">H4644*15.05*(1+'Chart of Accounts'!$E$67)</f>
        <v>49.973525</v>
      </c>
    </row>
    <row r="4645" customFormat="false" ht="15" hidden="false" customHeight="false" outlineLevel="0" collapsed="false">
      <c r="B4645" s="7" t="s">
        <v>5142</v>
      </c>
      <c r="C4645" s="39" t="n">
        <v>45883</v>
      </c>
      <c r="D4645" s="7" t="s">
        <v>313</v>
      </c>
      <c r="E4645" s="7" t="s">
        <v>156</v>
      </c>
      <c r="F4645" s="7" t="s">
        <v>184</v>
      </c>
      <c r="G4645" s="7" t="s">
        <v>505</v>
      </c>
      <c r="H4645" s="6" t="n">
        <v>4</v>
      </c>
      <c r="I4645" s="6" t="n">
        <v>0</v>
      </c>
      <c r="J4645" s="40" t="n">
        <f aca="false">H4645-I4645</f>
        <v>4</v>
      </c>
      <c r="K4645" s="41" t="n">
        <v>34</v>
      </c>
      <c r="L4645" s="42" t="n">
        <f aca="false">J4645*K4645</f>
        <v>136</v>
      </c>
      <c r="M4645" s="43" t="n">
        <f aca="false">H4645*17.34*(1+'Chart of Accounts'!$E$67)</f>
        <v>79.4172</v>
      </c>
    </row>
    <row r="4646" customFormat="false" ht="15" hidden="false" customHeight="false" outlineLevel="0" collapsed="false">
      <c r="B4646" s="7" t="s">
        <v>5143</v>
      </c>
      <c r="C4646" s="39" t="n">
        <v>45883</v>
      </c>
      <c r="D4646" s="7" t="s">
        <v>317</v>
      </c>
      <c r="E4646" s="7" t="s">
        <v>156</v>
      </c>
      <c r="F4646" s="7" t="s">
        <v>207</v>
      </c>
      <c r="G4646" s="7" t="s">
        <v>505</v>
      </c>
      <c r="H4646" s="6" t="n">
        <v>3.22</v>
      </c>
      <c r="I4646" s="6" t="n">
        <v>0</v>
      </c>
      <c r="J4646" s="40" t="n">
        <f aca="false">H4646-I4646</f>
        <v>3.22</v>
      </c>
      <c r="K4646" s="41" t="n">
        <v>34</v>
      </c>
      <c r="L4646" s="42" t="n">
        <f aca="false">J4646*K4646</f>
        <v>109.48</v>
      </c>
      <c r="M4646" s="43" t="n">
        <f aca="false">H4646*16.65*(1+'Chart of Accounts'!$E$67)</f>
        <v>61.386885</v>
      </c>
    </row>
    <row r="4647" customFormat="false" ht="15" hidden="false" customHeight="false" outlineLevel="0" collapsed="false">
      <c r="B4647" s="7" t="s">
        <v>5144</v>
      </c>
      <c r="C4647" s="39" t="n">
        <v>45883</v>
      </c>
      <c r="D4647" s="7" t="s">
        <v>321</v>
      </c>
      <c r="E4647" s="7" t="s">
        <v>154</v>
      </c>
      <c r="F4647" s="7" t="s">
        <v>218</v>
      </c>
      <c r="G4647" s="7" t="s">
        <v>505</v>
      </c>
      <c r="H4647" s="6" t="n">
        <v>3.75</v>
      </c>
      <c r="I4647" s="6" t="n">
        <v>0</v>
      </c>
      <c r="J4647" s="40" t="n">
        <f aca="false">H4647-I4647</f>
        <v>3.75</v>
      </c>
      <c r="K4647" s="41" t="n">
        <v>26.5</v>
      </c>
      <c r="L4647" s="42" t="n">
        <f aca="false">J4647*K4647</f>
        <v>99.375</v>
      </c>
      <c r="M4647" s="43" t="n">
        <f aca="false">H4647*16.19*(1+'Chart of Accounts'!$E$67)</f>
        <v>69.5158125</v>
      </c>
    </row>
    <row r="4648" customFormat="false" ht="15" hidden="false" customHeight="false" outlineLevel="0" collapsed="false">
      <c r="B4648" s="7" t="s">
        <v>5145</v>
      </c>
      <c r="C4648" s="39" t="n">
        <v>45883</v>
      </c>
      <c r="D4648" s="7" t="s">
        <v>325</v>
      </c>
      <c r="E4648" s="7" t="s">
        <v>154</v>
      </c>
      <c r="F4648" s="7" t="s">
        <v>238</v>
      </c>
      <c r="G4648" s="7" t="s">
        <v>505</v>
      </c>
      <c r="H4648" s="6" t="n">
        <v>2.72</v>
      </c>
      <c r="I4648" s="6" t="n">
        <v>0.082</v>
      </c>
      <c r="J4648" s="40" t="n">
        <f aca="false">H4648-I4648</f>
        <v>2.638</v>
      </c>
      <c r="K4648" s="41" t="n">
        <v>26.5</v>
      </c>
      <c r="L4648" s="42" t="n">
        <f aca="false">J4648*K4648</f>
        <v>69.907</v>
      </c>
      <c r="M4648" s="43" t="n">
        <f aca="false">H4648*15.85*(1+'Chart of Accounts'!$E$67)</f>
        <v>49.36324</v>
      </c>
    </row>
    <row r="4649" customFormat="false" ht="15" hidden="false" customHeight="false" outlineLevel="0" collapsed="false">
      <c r="B4649" s="7" t="s">
        <v>5146</v>
      </c>
      <c r="C4649" s="39" t="n">
        <v>45883</v>
      </c>
      <c r="D4649" s="7" t="s">
        <v>329</v>
      </c>
      <c r="E4649" s="7" t="s">
        <v>156</v>
      </c>
      <c r="F4649" s="7" t="s">
        <v>220</v>
      </c>
      <c r="G4649" s="7" t="s">
        <v>505</v>
      </c>
      <c r="H4649" s="6" t="n">
        <v>3.7</v>
      </c>
      <c r="I4649" s="6" t="n">
        <v>0</v>
      </c>
      <c r="J4649" s="40" t="n">
        <f aca="false">H4649-I4649</f>
        <v>3.7</v>
      </c>
      <c r="K4649" s="41" t="n">
        <v>34</v>
      </c>
      <c r="L4649" s="42" t="n">
        <f aca="false">J4649*K4649</f>
        <v>125.8</v>
      </c>
      <c r="M4649" s="43" t="n">
        <f aca="false">H4649*16.43*(1+'Chart of Accounts'!$E$67)</f>
        <v>69.605695</v>
      </c>
    </row>
    <row r="4650" customFormat="false" ht="15" hidden="false" customHeight="false" outlineLevel="0" collapsed="false">
      <c r="B4650" s="7" t="s">
        <v>5147</v>
      </c>
      <c r="C4650" s="39" t="n">
        <v>45883</v>
      </c>
      <c r="D4650" s="7" t="s">
        <v>331</v>
      </c>
      <c r="E4650" s="7" t="s">
        <v>156</v>
      </c>
      <c r="F4650" s="7" t="s">
        <v>224</v>
      </c>
      <c r="G4650" s="7" t="s">
        <v>505</v>
      </c>
      <c r="H4650" s="6" t="n">
        <v>3.8</v>
      </c>
      <c r="I4650" s="6" t="n">
        <v>0</v>
      </c>
      <c r="J4650" s="40" t="n">
        <f aca="false">H4650-I4650</f>
        <v>3.8</v>
      </c>
      <c r="K4650" s="41" t="n">
        <v>34</v>
      </c>
      <c r="L4650" s="42" t="n">
        <f aca="false">J4650*K4650</f>
        <v>129.2</v>
      </c>
      <c r="M4650" s="43" t="n">
        <f aca="false">H4650*14.93*(1+'Chart of Accounts'!$E$67)</f>
        <v>64.96043</v>
      </c>
    </row>
    <row r="4651" customFormat="false" ht="15" hidden="false" customHeight="false" outlineLevel="0" collapsed="false">
      <c r="B4651" s="7" t="s">
        <v>5148</v>
      </c>
      <c r="C4651" s="39" t="n">
        <v>45883</v>
      </c>
      <c r="D4651" s="7" t="s">
        <v>337</v>
      </c>
      <c r="E4651" s="7" t="s">
        <v>154</v>
      </c>
      <c r="F4651" s="7" t="s">
        <v>232</v>
      </c>
      <c r="G4651" s="7" t="s">
        <v>505</v>
      </c>
      <c r="H4651" s="6" t="n">
        <v>3.12</v>
      </c>
      <c r="I4651" s="6" t="n">
        <v>0</v>
      </c>
      <c r="J4651" s="40" t="n">
        <f aca="false">H4651-I4651</f>
        <v>3.12</v>
      </c>
      <c r="K4651" s="41" t="n">
        <v>26.5</v>
      </c>
      <c r="L4651" s="42" t="n">
        <f aca="false">J4651*K4651</f>
        <v>82.68</v>
      </c>
      <c r="M4651" s="43" t="n">
        <f aca="false">H4651*16.17*(1+'Chart of Accounts'!$E$67)</f>
        <v>57.765708</v>
      </c>
    </row>
    <row r="4652" customFormat="false" ht="15" hidden="false" customHeight="false" outlineLevel="0" collapsed="false">
      <c r="B4652" s="7" t="s">
        <v>5149</v>
      </c>
      <c r="C4652" s="39" t="n">
        <v>45883</v>
      </c>
      <c r="D4652" s="7" t="s">
        <v>341</v>
      </c>
      <c r="E4652" s="7" t="s">
        <v>156</v>
      </c>
      <c r="F4652" s="7" t="s">
        <v>222</v>
      </c>
      <c r="G4652" s="7" t="s">
        <v>505</v>
      </c>
      <c r="H4652" s="6" t="n">
        <v>3.29</v>
      </c>
      <c r="I4652" s="6" t="n">
        <v>0</v>
      </c>
      <c r="J4652" s="40" t="n">
        <f aca="false">H4652-I4652</f>
        <v>3.29</v>
      </c>
      <c r="K4652" s="41" t="n">
        <v>34</v>
      </c>
      <c r="L4652" s="42" t="n">
        <f aca="false">J4652*K4652</f>
        <v>111.86</v>
      </c>
      <c r="M4652" s="43" t="n">
        <f aca="false">H4652*17.84*(1+'Chart of Accounts'!$E$67)</f>
        <v>67.204172</v>
      </c>
    </row>
    <row r="4653" customFormat="false" ht="15" hidden="false" customHeight="false" outlineLevel="0" collapsed="false">
      <c r="B4653" s="7" t="s">
        <v>5150</v>
      </c>
      <c r="C4653" s="39" t="n">
        <v>45883</v>
      </c>
      <c r="D4653" s="7" t="s">
        <v>351</v>
      </c>
      <c r="E4653" s="7" t="s">
        <v>154</v>
      </c>
      <c r="F4653" s="7" t="s">
        <v>201</v>
      </c>
      <c r="G4653" s="7" t="s">
        <v>505</v>
      </c>
      <c r="H4653" s="6" t="n">
        <v>3.11</v>
      </c>
      <c r="I4653" s="6" t="n">
        <v>0</v>
      </c>
      <c r="J4653" s="40" t="n">
        <f aca="false">H4653-I4653</f>
        <v>3.11</v>
      </c>
      <c r="K4653" s="41" t="n">
        <v>26.5</v>
      </c>
      <c r="L4653" s="42" t="n">
        <f aca="false">J4653*K4653</f>
        <v>82.415</v>
      </c>
      <c r="M4653" s="43" t="n">
        <f aca="false">H4653*15.19*(1+'Chart of Accounts'!$E$67)</f>
        <v>54.0908305</v>
      </c>
    </row>
    <row r="4654" customFormat="false" ht="15" hidden="false" customHeight="false" outlineLevel="0" collapsed="false">
      <c r="B4654" s="7" t="s">
        <v>5151</v>
      </c>
      <c r="C4654" s="39" t="n">
        <v>45883</v>
      </c>
      <c r="D4654" s="7" t="s">
        <v>359</v>
      </c>
      <c r="E4654" s="7" t="s">
        <v>156</v>
      </c>
      <c r="F4654" s="7" t="s">
        <v>194</v>
      </c>
      <c r="G4654" s="7" t="s">
        <v>505</v>
      </c>
      <c r="H4654" s="6" t="n">
        <v>3.88</v>
      </c>
      <c r="I4654" s="6" t="n">
        <v>0</v>
      </c>
      <c r="J4654" s="40" t="n">
        <f aca="false">H4654-I4654</f>
        <v>3.88</v>
      </c>
      <c r="K4654" s="41" t="n">
        <v>34</v>
      </c>
      <c r="L4654" s="42" t="n">
        <f aca="false">J4654*K4654</f>
        <v>131.92</v>
      </c>
      <c r="M4654" s="43" t="n">
        <f aca="false">H4654*16*(1+'Chart of Accounts'!$E$67)</f>
        <v>71.0816</v>
      </c>
    </row>
    <row r="4655" customFormat="false" ht="15" hidden="false" customHeight="false" outlineLevel="0" collapsed="false">
      <c r="B4655" s="7" t="s">
        <v>5152</v>
      </c>
      <c r="C4655" s="39" t="n">
        <v>45883</v>
      </c>
      <c r="D4655" s="7" t="s">
        <v>363</v>
      </c>
      <c r="E4655" s="7" t="s">
        <v>156</v>
      </c>
      <c r="F4655" s="7" t="s">
        <v>246</v>
      </c>
      <c r="G4655" s="7" t="s">
        <v>505</v>
      </c>
      <c r="H4655" s="6" t="n">
        <v>3.66</v>
      </c>
      <c r="I4655" s="6" t="n">
        <v>0</v>
      </c>
      <c r="J4655" s="40" t="n">
        <f aca="false">H4655-I4655</f>
        <v>3.66</v>
      </c>
      <c r="K4655" s="41" t="n">
        <v>34</v>
      </c>
      <c r="L4655" s="42" t="n">
        <f aca="false">J4655*K4655</f>
        <v>124.44</v>
      </c>
      <c r="M4655" s="43" t="n">
        <f aca="false">H4655*16.48*(1+'Chart of Accounts'!$E$67)</f>
        <v>69.062736</v>
      </c>
    </row>
    <row r="4656" customFormat="false" ht="15" hidden="false" customHeight="false" outlineLevel="0" collapsed="false">
      <c r="B4656" s="7" t="s">
        <v>5153</v>
      </c>
      <c r="C4656" s="39" t="n">
        <v>45883</v>
      </c>
      <c r="D4656" s="7" t="s">
        <v>365</v>
      </c>
      <c r="E4656" s="7" t="s">
        <v>154</v>
      </c>
      <c r="F4656" s="7" t="s">
        <v>194</v>
      </c>
      <c r="G4656" s="7" t="s">
        <v>505</v>
      </c>
      <c r="H4656" s="6" t="n">
        <v>4.22</v>
      </c>
      <c r="I4656" s="6" t="n">
        <v>0</v>
      </c>
      <c r="J4656" s="40" t="n">
        <f aca="false">H4656-I4656</f>
        <v>4.22</v>
      </c>
      <c r="K4656" s="41" t="n">
        <v>26.5</v>
      </c>
      <c r="L4656" s="42" t="n">
        <f aca="false">J4656*K4656</f>
        <v>111.83</v>
      </c>
      <c r="M4656" s="43" t="n">
        <f aca="false">H4656*16*(1+'Chart of Accounts'!$E$67)</f>
        <v>77.3104</v>
      </c>
    </row>
    <row r="4657" customFormat="false" ht="15" hidden="false" customHeight="false" outlineLevel="0" collapsed="false">
      <c r="B4657" s="7" t="s">
        <v>5154</v>
      </c>
      <c r="C4657" s="39" t="n">
        <v>45883</v>
      </c>
      <c r="D4657" s="7" t="s">
        <v>375</v>
      </c>
      <c r="E4657" s="7" t="s">
        <v>156</v>
      </c>
      <c r="F4657" s="7" t="s">
        <v>196</v>
      </c>
      <c r="G4657" s="7" t="s">
        <v>505</v>
      </c>
      <c r="H4657" s="6" t="n">
        <v>2.84</v>
      </c>
      <c r="I4657" s="6" t="n">
        <v>0</v>
      </c>
      <c r="J4657" s="40" t="n">
        <f aca="false">H4657-I4657</f>
        <v>2.84</v>
      </c>
      <c r="K4657" s="41" t="n">
        <v>34</v>
      </c>
      <c r="L4657" s="42" t="n">
        <f aca="false">J4657*K4657</f>
        <v>96.56</v>
      </c>
      <c r="M4657" s="43" t="n">
        <f aca="false">H4657*15.05*(1+'Chart of Accounts'!$E$67)</f>
        <v>48.93959</v>
      </c>
    </row>
    <row r="4658" customFormat="false" ht="15" hidden="false" customHeight="false" outlineLevel="0" collapsed="false">
      <c r="B4658" s="7" t="s">
        <v>5155</v>
      </c>
      <c r="C4658" s="39" t="n">
        <v>45883</v>
      </c>
      <c r="D4658" s="7" t="s">
        <v>377</v>
      </c>
      <c r="E4658" s="7" t="s">
        <v>154</v>
      </c>
      <c r="F4658" s="7" t="s">
        <v>214</v>
      </c>
      <c r="G4658" s="7" t="s">
        <v>505</v>
      </c>
      <c r="H4658" s="6" t="n">
        <v>4.27</v>
      </c>
      <c r="I4658" s="6" t="n">
        <v>0</v>
      </c>
      <c r="J4658" s="40" t="n">
        <f aca="false">H4658-I4658</f>
        <v>4.27</v>
      </c>
      <c r="K4658" s="41" t="n">
        <v>26.5</v>
      </c>
      <c r="L4658" s="42" t="n">
        <f aca="false">J4658*K4658</f>
        <v>113.155</v>
      </c>
      <c r="M4658" s="43" t="n">
        <f aca="false">H4658*15.67*(1+'Chart of Accounts'!$E$67)</f>
        <v>76.6129805</v>
      </c>
    </row>
    <row r="4659" customFormat="false" ht="15" hidden="false" customHeight="false" outlineLevel="0" collapsed="false">
      <c r="B4659" s="7" t="s">
        <v>5156</v>
      </c>
      <c r="C4659" s="39" t="n">
        <v>45883</v>
      </c>
      <c r="D4659" s="7" t="s">
        <v>387</v>
      </c>
      <c r="E4659" s="7" t="s">
        <v>154</v>
      </c>
      <c r="F4659" s="7" t="s">
        <v>196</v>
      </c>
      <c r="G4659" s="7" t="s">
        <v>505</v>
      </c>
      <c r="H4659" s="6" t="n">
        <v>3.93</v>
      </c>
      <c r="I4659" s="6" t="n">
        <v>0</v>
      </c>
      <c r="J4659" s="40" t="n">
        <f aca="false">H4659-I4659</f>
        <v>3.93</v>
      </c>
      <c r="K4659" s="41" t="n">
        <v>26.5</v>
      </c>
      <c r="L4659" s="42" t="n">
        <f aca="false">J4659*K4659</f>
        <v>104.145</v>
      </c>
      <c r="M4659" s="43" t="n">
        <f aca="false">H4659*15.05*(1+'Chart of Accounts'!$E$67)</f>
        <v>67.7227425</v>
      </c>
    </row>
    <row r="4660" customFormat="false" ht="15" hidden="false" customHeight="false" outlineLevel="0" collapsed="false">
      <c r="B4660" s="7" t="s">
        <v>5157</v>
      </c>
      <c r="C4660" s="39" t="n">
        <v>45883</v>
      </c>
      <c r="D4660" s="7" t="s">
        <v>389</v>
      </c>
      <c r="E4660" s="7" t="s">
        <v>154</v>
      </c>
      <c r="F4660" s="7" t="s">
        <v>246</v>
      </c>
      <c r="G4660" s="7" t="s">
        <v>505</v>
      </c>
      <c r="H4660" s="6" t="n">
        <v>4.35</v>
      </c>
      <c r="I4660" s="6" t="n">
        <v>0</v>
      </c>
      <c r="J4660" s="40" t="n">
        <f aca="false">H4660-I4660</f>
        <v>4.35</v>
      </c>
      <c r="K4660" s="41" t="n">
        <v>26.5</v>
      </c>
      <c r="L4660" s="42" t="n">
        <f aca="false">J4660*K4660</f>
        <v>115.275</v>
      </c>
      <c r="M4660" s="43" t="n">
        <f aca="false">H4660*16.48*(1+'Chart of Accounts'!$E$67)</f>
        <v>82.08276</v>
      </c>
    </row>
    <row r="4661" customFormat="false" ht="15" hidden="false" customHeight="false" outlineLevel="0" collapsed="false">
      <c r="B4661" s="7" t="s">
        <v>5158</v>
      </c>
      <c r="C4661" s="39" t="n">
        <v>45883</v>
      </c>
      <c r="D4661" s="7" t="s">
        <v>391</v>
      </c>
      <c r="E4661" s="7" t="s">
        <v>156</v>
      </c>
      <c r="F4661" s="7" t="s">
        <v>222</v>
      </c>
      <c r="G4661" s="7" t="s">
        <v>505</v>
      </c>
      <c r="H4661" s="6" t="n">
        <v>3.66</v>
      </c>
      <c r="I4661" s="6" t="n">
        <v>0</v>
      </c>
      <c r="J4661" s="40" t="n">
        <f aca="false">H4661-I4661</f>
        <v>3.66</v>
      </c>
      <c r="K4661" s="41" t="n">
        <v>34</v>
      </c>
      <c r="L4661" s="42" t="n">
        <f aca="false">J4661*K4661</f>
        <v>124.44</v>
      </c>
      <c r="M4661" s="43" t="n">
        <f aca="false">H4661*17.84*(1+'Chart of Accounts'!$E$67)</f>
        <v>74.762088</v>
      </c>
    </row>
    <row r="4662" customFormat="false" ht="15" hidden="false" customHeight="false" outlineLevel="0" collapsed="false">
      <c r="B4662" s="7" t="s">
        <v>5159</v>
      </c>
      <c r="C4662" s="39" t="n">
        <v>45883</v>
      </c>
      <c r="D4662" s="7" t="s">
        <v>395</v>
      </c>
      <c r="E4662" s="7" t="s">
        <v>156</v>
      </c>
      <c r="F4662" s="7" t="s">
        <v>242</v>
      </c>
      <c r="G4662" s="7" t="s">
        <v>505</v>
      </c>
      <c r="H4662" s="6" t="n">
        <v>3.93</v>
      </c>
      <c r="I4662" s="6" t="n">
        <v>0</v>
      </c>
      <c r="J4662" s="40" t="n">
        <f aca="false">H4662-I4662</f>
        <v>3.93</v>
      </c>
      <c r="K4662" s="41" t="n">
        <v>34</v>
      </c>
      <c r="L4662" s="42" t="n">
        <f aca="false">J4662*K4662</f>
        <v>133.62</v>
      </c>
      <c r="M4662" s="43" t="n">
        <f aca="false">H4662*17.99*(1+'Chart of Accounts'!$E$67)</f>
        <v>80.9523015</v>
      </c>
    </row>
    <row r="4663" customFormat="false" ht="15" hidden="false" customHeight="false" outlineLevel="0" collapsed="false">
      <c r="B4663" s="7" t="s">
        <v>5160</v>
      </c>
      <c r="C4663" s="39" t="n">
        <v>45883</v>
      </c>
      <c r="D4663" s="7" t="s">
        <v>401</v>
      </c>
      <c r="E4663" s="7" t="s">
        <v>156</v>
      </c>
      <c r="F4663" s="7" t="s">
        <v>254</v>
      </c>
      <c r="G4663" s="7" t="s">
        <v>505</v>
      </c>
      <c r="H4663" s="6" t="n">
        <v>4.16</v>
      </c>
      <c r="I4663" s="6" t="n">
        <v>0</v>
      </c>
      <c r="J4663" s="40" t="n">
        <f aca="false">H4663-I4663</f>
        <v>4.16</v>
      </c>
      <c r="K4663" s="41" t="n">
        <v>34</v>
      </c>
      <c r="L4663" s="42" t="n">
        <f aca="false">J4663*K4663</f>
        <v>141.44</v>
      </c>
      <c r="M4663" s="43" t="n">
        <f aca="false">H4663*17.1*(1+'Chart of Accounts'!$E$67)</f>
        <v>81.45072</v>
      </c>
    </row>
    <row r="4664" customFormat="false" ht="15" hidden="false" customHeight="false" outlineLevel="0" collapsed="false">
      <c r="B4664" s="7" t="s">
        <v>5161</v>
      </c>
      <c r="C4664" s="39" t="n">
        <v>45884</v>
      </c>
      <c r="D4664" s="7" t="s">
        <v>280</v>
      </c>
      <c r="E4664" s="7" t="s">
        <v>157</v>
      </c>
      <c r="F4664" s="7" t="s">
        <v>187</v>
      </c>
      <c r="G4664" s="7" t="s">
        <v>502</v>
      </c>
      <c r="H4664" s="6" t="n">
        <v>1</v>
      </c>
      <c r="I4664" s="6" t="n">
        <v>0</v>
      </c>
      <c r="J4664" s="40" t="n">
        <f aca="false">H4664-I4664</f>
        <v>1</v>
      </c>
      <c r="K4664" s="41" t="n">
        <v>165</v>
      </c>
      <c r="L4664" s="42" t="n">
        <f aca="false">J4664*K4664</f>
        <v>165</v>
      </c>
      <c r="M4664" s="43" t="n">
        <f aca="false">H4664*66.48*(1+'Chart of Accounts'!$E$67)</f>
        <v>76.1196</v>
      </c>
    </row>
    <row r="4665" customFormat="false" ht="15" hidden="false" customHeight="false" outlineLevel="0" collapsed="false">
      <c r="B4665" s="7" t="s">
        <v>5162</v>
      </c>
      <c r="C4665" s="39" t="n">
        <v>45884</v>
      </c>
      <c r="D4665" s="7" t="s">
        <v>288</v>
      </c>
      <c r="E4665" s="7" t="s">
        <v>156</v>
      </c>
      <c r="F4665" s="7" t="s">
        <v>222</v>
      </c>
      <c r="G4665" s="7" t="s">
        <v>505</v>
      </c>
      <c r="H4665" s="6" t="n">
        <v>4.26</v>
      </c>
      <c r="I4665" s="6" t="n">
        <v>0</v>
      </c>
      <c r="J4665" s="40" t="n">
        <f aca="false">H4665-I4665</f>
        <v>4.26</v>
      </c>
      <c r="K4665" s="41" t="n">
        <v>34</v>
      </c>
      <c r="L4665" s="42" t="n">
        <f aca="false">J4665*K4665</f>
        <v>144.84</v>
      </c>
      <c r="M4665" s="43" t="n">
        <f aca="false">H4665*17.84*(1+'Chart of Accounts'!$E$67)</f>
        <v>87.018168</v>
      </c>
    </row>
    <row r="4666" customFormat="false" ht="15" hidden="false" customHeight="false" outlineLevel="0" collapsed="false">
      <c r="B4666" s="7" t="s">
        <v>5163</v>
      </c>
      <c r="C4666" s="39" t="n">
        <v>45884</v>
      </c>
      <c r="D4666" s="7" t="s">
        <v>291</v>
      </c>
      <c r="E4666" s="7" t="s">
        <v>154</v>
      </c>
      <c r="F4666" s="7" t="s">
        <v>194</v>
      </c>
      <c r="G4666" s="7" t="s">
        <v>505</v>
      </c>
      <c r="H4666" s="6" t="n">
        <v>5.07</v>
      </c>
      <c r="I4666" s="6" t="n">
        <v>0</v>
      </c>
      <c r="J4666" s="40" t="n">
        <f aca="false">H4666-I4666</f>
        <v>5.07</v>
      </c>
      <c r="K4666" s="41" t="n">
        <v>26.5</v>
      </c>
      <c r="L4666" s="42" t="n">
        <f aca="false">J4666*K4666</f>
        <v>134.355</v>
      </c>
      <c r="M4666" s="43" t="n">
        <f aca="false">H4666*16*(1+'Chart of Accounts'!$E$67)</f>
        <v>92.8824</v>
      </c>
    </row>
    <row r="4667" customFormat="false" ht="15" hidden="false" customHeight="false" outlineLevel="0" collapsed="false">
      <c r="B4667" s="7" t="s">
        <v>5164</v>
      </c>
      <c r="C4667" s="39" t="n">
        <v>45884</v>
      </c>
      <c r="D4667" s="7" t="s">
        <v>295</v>
      </c>
      <c r="E4667" s="7" t="s">
        <v>154</v>
      </c>
      <c r="F4667" s="7" t="s">
        <v>214</v>
      </c>
      <c r="G4667" s="7" t="s">
        <v>505</v>
      </c>
      <c r="H4667" s="6" t="n">
        <v>4.2</v>
      </c>
      <c r="I4667" s="6" t="n">
        <v>0.126</v>
      </c>
      <c r="J4667" s="40" t="n">
        <f aca="false">H4667-I4667</f>
        <v>4.074</v>
      </c>
      <c r="K4667" s="41" t="n">
        <v>26.5</v>
      </c>
      <c r="L4667" s="42" t="n">
        <f aca="false">J4667*K4667</f>
        <v>107.961</v>
      </c>
      <c r="M4667" s="43" t="n">
        <f aca="false">H4667*15.67*(1+'Chart of Accounts'!$E$67)</f>
        <v>75.35703</v>
      </c>
    </row>
    <row r="4668" customFormat="false" ht="15" hidden="false" customHeight="false" outlineLevel="0" collapsed="false">
      <c r="B4668" s="7" t="s">
        <v>5165</v>
      </c>
      <c r="C4668" s="39" t="n">
        <v>45884</v>
      </c>
      <c r="D4668" s="7" t="s">
        <v>301</v>
      </c>
      <c r="E4668" s="7" t="s">
        <v>157</v>
      </c>
      <c r="F4668" s="7" t="s">
        <v>209</v>
      </c>
      <c r="G4668" s="7" t="s">
        <v>502</v>
      </c>
      <c r="H4668" s="6" t="n">
        <v>1.05</v>
      </c>
      <c r="I4668" s="6" t="n">
        <v>0</v>
      </c>
      <c r="J4668" s="40" t="n">
        <f aca="false">H4668-I4668</f>
        <v>1.05</v>
      </c>
      <c r="K4668" s="41" t="n">
        <v>165</v>
      </c>
      <c r="L4668" s="42" t="n">
        <f aca="false">J4668*K4668</f>
        <v>173.25</v>
      </c>
      <c r="M4668" s="43" t="n">
        <f aca="false">H4668*73.58*(1+'Chart of Accounts'!$E$67)</f>
        <v>88.461555</v>
      </c>
    </row>
    <row r="4669" customFormat="false" ht="15" hidden="false" customHeight="false" outlineLevel="0" collapsed="false">
      <c r="B4669" s="7" t="s">
        <v>5166</v>
      </c>
      <c r="C4669" s="39" t="n">
        <v>45884</v>
      </c>
      <c r="D4669" s="7" t="s">
        <v>305</v>
      </c>
      <c r="E4669" s="7" t="s">
        <v>154</v>
      </c>
      <c r="F4669" s="7" t="s">
        <v>205</v>
      </c>
      <c r="G4669" s="7" t="s">
        <v>505</v>
      </c>
      <c r="H4669" s="6" t="n">
        <v>4.35</v>
      </c>
      <c r="I4669" s="6" t="n">
        <v>0</v>
      </c>
      <c r="J4669" s="40" t="n">
        <f aca="false">H4669-I4669</f>
        <v>4.35</v>
      </c>
      <c r="K4669" s="41" t="n">
        <v>26.5</v>
      </c>
      <c r="L4669" s="42" t="n">
        <f aca="false">J4669*K4669</f>
        <v>115.275</v>
      </c>
      <c r="M4669" s="43" t="n">
        <f aca="false">H4669*16.36*(1+'Chart of Accounts'!$E$67)</f>
        <v>81.48507</v>
      </c>
    </row>
    <row r="4670" customFormat="false" ht="15" hidden="false" customHeight="false" outlineLevel="0" collapsed="false">
      <c r="B4670" s="7" t="s">
        <v>5167</v>
      </c>
      <c r="C4670" s="39" t="n">
        <v>45884</v>
      </c>
      <c r="D4670" s="7" t="s">
        <v>307</v>
      </c>
      <c r="E4670" s="7" t="s">
        <v>157</v>
      </c>
      <c r="F4670" s="7" t="s">
        <v>264</v>
      </c>
      <c r="G4670" s="7" t="s">
        <v>502</v>
      </c>
      <c r="H4670" s="6" t="n">
        <v>0.91</v>
      </c>
      <c r="I4670" s="6" t="n">
        <v>0</v>
      </c>
      <c r="J4670" s="40" t="n">
        <f aca="false">H4670-I4670</f>
        <v>0.91</v>
      </c>
      <c r="K4670" s="41" t="n">
        <v>165</v>
      </c>
      <c r="L4670" s="42" t="n">
        <f aca="false">J4670*K4670</f>
        <v>150.15</v>
      </c>
      <c r="M4670" s="43" t="n">
        <f aca="false">H4670*55.55*(1+'Chart of Accounts'!$E$67)</f>
        <v>57.8803225</v>
      </c>
    </row>
    <row r="4671" customFormat="false" ht="15" hidden="false" customHeight="false" outlineLevel="0" collapsed="false">
      <c r="B4671" s="7" t="s">
        <v>5168</v>
      </c>
      <c r="C4671" s="39" t="n">
        <v>45884</v>
      </c>
      <c r="D4671" s="7" t="s">
        <v>309</v>
      </c>
      <c r="E4671" s="7" t="s">
        <v>159</v>
      </c>
      <c r="F4671" s="7" t="s">
        <v>252</v>
      </c>
      <c r="G4671" s="7" t="s">
        <v>502</v>
      </c>
      <c r="H4671" s="6" t="n">
        <v>0.98</v>
      </c>
      <c r="I4671" s="6" t="n">
        <v>0</v>
      </c>
      <c r="J4671" s="40" t="n">
        <f aca="false">H4671-I4671</f>
        <v>0.98</v>
      </c>
      <c r="K4671" s="41" t="n">
        <v>135</v>
      </c>
      <c r="L4671" s="42" t="n">
        <f aca="false">J4671*K4671</f>
        <v>132.3</v>
      </c>
      <c r="M4671" s="43" t="n">
        <f aca="false">H4671*57.54*(1+'Chart of Accounts'!$E$67)</f>
        <v>64.565634</v>
      </c>
    </row>
    <row r="4672" customFormat="false" ht="15" hidden="false" customHeight="false" outlineLevel="0" collapsed="false">
      <c r="B4672" s="7" t="s">
        <v>5169</v>
      </c>
      <c r="C4672" s="39" t="n">
        <v>45884</v>
      </c>
      <c r="D4672" s="7" t="s">
        <v>313</v>
      </c>
      <c r="E4672" s="7" t="s">
        <v>156</v>
      </c>
      <c r="F4672" s="7" t="s">
        <v>184</v>
      </c>
      <c r="G4672" s="7" t="s">
        <v>505</v>
      </c>
      <c r="H4672" s="6" t="n">
        <v>4.21</v>
      </c>
      <c r="I4672" s="6" t="n">
        <v>0</v>
      </c>
      <c r="J4672" s="40" t="n">
        <f aca="false">H4672-I4672</f>
        <v>4.21</v>
      </c>
      <c r="K4672" s="41" t="n">
        <v>34</v>
      </c>
      <c r="L4672" s="42" t="n">
        <f aca="false">J4672*K4672</f>
        <v>143.14</v>
      </c>
      <c r="M4672" s="43" t="n">
        <f aca="false">H4672*17.34*(1+'Chart of Accounts'!$E$67)</f>
        <v>83.586603</v>
      </c>
    </row>
    <row r="4673" customFormat="false" ht="15" hidden="false" customHeight="false" outlineLevel="0" collapsed="false">
      <c r="B4673" s="7" t="s">
        <v>5170</v>
      </c>
      <c r="C4673" s="39" t="n">
        <v>45884</v>
      </c>
      <c r="D4673" s="7" t="s">
        <v>315</v>
      </c>
      <c r="E4673" s="7" t="s">
        <v>159</v>
      </c>
      <c r="F4673" s="7" t="s">
        <v>216</v>
      </c>
      <c r="G4673" s="7" t="s">
        <v>502</v>
      </c>
      <c r="H4673" s="6" t="n">
        <v>0.91</v>
      </c>
      <c r="I4673" s="6" t="n">
        <v>0</v>
      </c>
      <c r="J4673" s="40" t="n">
        <f aca="false">H4673-I4673</f>
        <v>0.91</v>
      </c>
      <c r="K4673" s="41" t="n">
        <v>135</v>
      </c>
      <c r="L4673" s="42" t="n">
        <f aca="false">J4673*K4673</f>
        <v>122.85</v>
      </c>
      <c r="M4673" s="43" t="n">
        <f aca="false">H4673*61.79*(1+'Chart of Accounts'!$E$67)</f>
        <v>64.3820905</v>
      </c>
    </row>
    <row r="4674" customFormat="false" ht="15" hidden="false" customHeight="false" outlineLevel="0" collapsed="false">
      <c r="B4674" s="7" t="s">
        <v>5171</v>
      </c>
      <c r="C4674" s="39" t="n">
        <v>45884</v>
      </c>
      <c r="D4674" s="7" t="s">
        <v>319</v>
      </c>
      <c r="E4674" s="7" t="s">
        <v>157</v>
      </c>
      <c r="F4674" s="7" t="s">
        <v>234</v>
      </c>
      <c r="G4674" s="7" t="s">
        <v>502</v>
      </c>
      <c r="H4674" s="6" t="n">
        <v>1.09</v>
      </c>
      <c r="I4674" s="6" t="n">
        <v>0</v>
      </c>
      <c r="J4674" s="40" t="n">
        <f aca="false">H4674-I4674</f>
        <v>1.09</v>
      </c>
      <c r="K4674" s="41" t="n">
        <v>165</v>
      </c>
      <c r="L4674" s="42" t="n">
        <f aca="false">J4674*K4674</f>
        <v>179.85</v>
      </c>
      <c r="M4674" s="43" t="n">
        <f aca="false">H4674*89.53*(1+'Chart of Accounts'!$E$67)</f>
        <v>111.7379165</v>
      </c>
    </row>
    <row r="4675" customFormat="false" ht="15" hidden="false" customHeight="false" outlineLevel="0" collapsed="false">
      <c r="B4675" s="7" t="s">
        <v>5172</v>
      </c>
      <c r="C4675" s="39" t="n">
        <v>45884</v>
      </c>
      <c r="D4675" s="7" t="s">
        <v>321</v>
      </c>
      <c r="E4675" s="7" t="s">
        <v>154</v>
      </c>
      <c r="F4675" s="7" t="s">
        <v>218</v>
      </c>
      <c r="G4675" s="7" t="s">
        <v>505</v>
      </c>
      <c r="H4675" s="6" t="n">
        <v>3.87</v>
      </c>
      <c r="I4675" s="6" t="n">
        <v>0</v>
      </c>
      <c r="J4675" s="40" t="n">
        <f aca="false">H4675-I4675</f>
        <v>3.87</v>
      </c>
      <c r="K4675" s="41" t="n">
        <v>26.5</v>
      </c>
      <c r="L4675" s="42" t="n">
        <f aca="false">J4675*K4675</f>
        <v>102.555</v>
      </c>
      <c r="M4675" s="43" t="n">
        <f aca="false">H4675*16.19*(1+'Chart of Accounts'!$E$67)</f>
        <v>71.7403185</v>
      </c>
    </row>
    <row r="4676" customFormat="false" ht="15" hidden="false" customHeight="false" outlineLevel="0" collapsed="false">
      <c r="B4676" s="7" t="s">
        <v>5173</v>
      </c>
      <c r="C4676" s="39" t="n">
        <v>45884</v>
      </c>
      <c r="D4676" s="7" t="s">
        <v>323</v>
      </c>
      <c r="E4676" s="7" t="s">
        <v>159</v>
      </c>
      <c r="F4676" s="7" t="s">
        <v>266</v>
      </c>
      <c r="G4676" s="7" t="s">
        <v>502</v>
      </c>
      <c r="H4676" s="6" t="n">
        <v>1.01</v>
      </c>
      <c r="I4676" s="6" t="n">
        <v>0.071</v>
      </c>
      <c r="J4676" s="40" t="n">
        <f aca="false">H4676-I4676</f>
        <v>0.939</v>
      </c>
      <c r="K4676" s="41" t="n">
        <v>135</v>
      </c>
      <c r="L4676" s="42" t="n">
        <f aca="false">J4676*K4676</f>
        <v>126.765</v>
      </c>
      <c r="M4676" s="43" t="n">
        <f aca="false">H4676*75.18*(1+'Chart of Accounts'!$E$67)</f>
        <v>86.941911</v>
      </c>
    </row>
    <row r="4677" customFormat="false" ht="15" hidden="false" customHeight="false" outlineLevel="0" collapsed="false">
      <c r="B4677" s="7" t="s">
        <v>5174</v>
      </c>
      <c r="C4677" s="39" t="n">
        <v>45884</v>
      </c>
      <c r="D4677" s="7" t="s">
        <v>327</v>
      </c>
      <c r="E4677" s="7" t="s">
        <v>157</v>
      </c>
      <c r="F4677" s="7" t="s">
        <v>228</v>
      </c>
      <c r="G4677" s="7" t="s">
        <v>502</v>
      </c>
      <c r="H4677" s="6" t="n">
        <v>1.03</v>
      </c>
      <c r="I4677" s="6" t="n">
        <v>0</v>
      </c>
      <c r="J4677" s="40" t="n">
        <f aca="false">H4677-I4677</f>
        <v>1.03</v>
      </c>
      <c r="K4677" s="41" t="n">
        <v>165</v>
      </c>
      <c r="L4677" s="42" t="n">
        <f aca="false">J4677*K4677</f>
        <v>169.95</v>
      </c>
      <c r="M4677" s="43" t="n">
        <f aca="false">H4677*51.07*(1+'Chart of Accounts'!$E$67)</f>
        <v>60.2294045</v>
      </c>
    </row>
    <row r="4678" customFormat="false" ht="15" hidden="false" customHeight="false" outlineLevel="0" collapsed="false">
      <c r="B4678" s="7" t="s">
        <v>5175</v>
      </c>
      <c r="C4678" s="39" t="n">
        <v>45884</v>
      </c>
      <c r="D4678" s="7" t="s">
        <v>329</v>
      </c>
      <c r="E4678" s="7" t="s">
        <v>156</v>
      </c>
      <c r="F4678" s="7" t="s">
        <v>220</v>
      </c>
      <c r="G4678" s="7" t="s">
        <v>505</v>
      </c>
      <c r="H4678" s="6" t="n">
        <v>4.12</v>
      </c>
      <c r="I4678" s="6" t="n">
        <v>0</v>
      </c>
      <c r="J4678" s="40" t="n">
        <f aca="false">H4678-I4678</f>
        <v>4.12</v>
      </c>
      <c r="K4678" s="41" t="n">
        <v>34</v>
      </c>
      <c r="L4678" s="42" t="n">
        <f aca="false">J4678*K4678</f>
        <v>140.08</v>
      </c>
      <c r="M4678" s="43" t="n">
        <f aca="false">H4678*16.43*(1+'Chart of Accounts'!$E$67)</f>
        <v>77.506882</v>
      </c>
    </row>
    <row r="4679" customFormat="false" ht="15" hidden="false" customHeight="false" outlineLevel="0" collapsed="false">
      <c r="B4679" s="7" t="s">
        <v>5176</v>
      </c>
      <c r="C4679" s="39" t="n">
        <v>45884</v>
      </c>
      <c r="D4679" s="7" t="s">
        <v>335</v>
      </c>
      <c r="E4679" s="7" t="s">
        <v>154</v>
      </c>
      <c r="F4679" s="7" t="s">
        <v>177</v>
      </c>
      <c r="G4679" s="7" t="s">
        <v>505</v>
      </c>
      <c r="H4679" s="6" t="n">
        <v>4.02</v>
      </c>
      <c r="I4679" s="6" t="n">
        <v>0</v>
      </c>
      <c r="J4679" s="40" t="n">
        <f aca="false">H4679-I4679</f>
        <v>4.02</v>
      </c>
      <c r="K4679" s="41" t="n">
        <v>26.5</v>
      </c>
      <c r="L4679" s="42" t="n">
        <f aca="false">J4679*K4679</f>
        <v>106.53</v>
      </c>
      <c r="M4679" s="43" t="n">
        <f aca="false">H4679*14.56*(1+'Chart of Accounts'!$E$67)</f>
        <v>67.018224</v>
      </c>
    </row>
    <row r="4680" customFormat="false" ht="15" hidden="false" customHeight="false" outlineLevel="0" collapsed="false">
      <c r="B4680" s="7" t="s">
        <v>5177</v>
      </c>
      <c r="C4680" s="39" t="n">
        <v>45884</v>
      </c>
      <c r="D4680" s="7" t="s">
        <v>339</v>
      </c>
      <c r="E4680" s="7" t="s">
        <v>154</v>
      </c>
      <c r="F4680" s="7" t="s">
        <v>242</v>
      </c>
      <c r="G4680" s="7" t="s">
        <v>505</v>
      </c>
      <c r="H4680" s="6" t="n">
        <v>3.03</v>
      </c>
      <c r="I4680" s="6" t="n">
        <v>0</v>
      </c>
      <c r="J4680" s="40" t="n">
        <f aca="false">H4680-I4680</f>
        <v>3.03</v>
      </c>
      <c r="K4680" s="41" t="n">
        <v>26.5</v>
      </c>
      <c r="L4680" s="42" t="n">
        <f aca="false">J4680*K4680</f>
        <v>80.295</v>
      </c>
      <c r="M4680" s="43" t="n">
        <f aca="false">H4680*17.99*(1+'Chart of Accounts'!$E$67)</f>
        <v>62.4136065</v>
      </c>
    </row>
    <row r="4681" customFormat="false" ht="15" hidden="false" customHeight="false" outlineLevel="0" collapsed="false">
      <c r="B4681" s="7" t="s">
        <v>5178</v>
      </c>
      <c r="C4681" s="39" t="n">
        <v>45884</v>
      </c>
      <c r="D4681" s="7" t="s">
        <v>347</v>
      </c>
      <c r="E4681" s="7" t="s">
        <v>154</v>
      </c>
      <c r="F4681" s="7" t="s">
        <v>238</v>
      </c>
      <c r="G4681" s="7" t="s">
        <v>505</v>
      </c>
      <c r="H4681" s="6" t="n">
        <v>4.2</v>
      </c>
      <c r="I4681" s="6" t="n">
        <v>0</v>
      </c>
      <c r="J4681" s="40" t="n">
        <f aca="false">H4681-I4681</f>
        <v>4.2</v>
      </c>
      <c r="K4681" s="41" t="n">
        <v>26.5</v>
      </c>
      <c r="L4681" s="42" t="n">
        <f aca="false">J4681*K4681</f>
        <v>111.3</v>
      </c>
      <c r="M4681" s="43" t="n">
        <f aca="false">H4681*15.85*(1+'Chart of Accounts'!$E$67)</f>
        <v>76.22265</v>
      </c>
    </row>
    <row r="4682" customFormat="false" ht="15" hidden="false" customHeight="false" outlineLevel="0" collapsed="false">
      <c r="B4682" s="7" t="s">
        <v>5179</v>
      </c>
      <c r="C4682" s="39" t="n">
        <v>45884</v>
      </c>
      <c r="D4682" s="7" t="s">
        <v>353</v>
      </c>
      <c r="E4682" s="7" t="s">
        <v>154</v>
      </c>
      <c r="F4682" s="7" t="s">
        <v>254</v>
      </c>
      <c r="G4682" s="7" t="s">
        <v>505</v>
      </c>
      <c r="H4682" s="6" t="n">
        <v>3.13</v>
      </c>
      <c r="I4682" s="6" t="n">
        <v>0</v>
      </c>
      <c r="J4682" s="40" t="n">
        <f aca="false">H4682-I4682</f>
        <v>3.13</v>
      </c>
      <c r="K4682" s="41" t="n">
        <v>26.5</v>
      </c>
      <c r="L4682" s="42" t="n">
        <f aca="false">J4682*K4682</f>
        <v>82.945</v>
      </c>
      <c r="M4682" s="43" t="n">
        <f aca="false">H4682*17.1*(1+'Chart of Accounts'!$E$67)</f>
        <v>61.283835</v>
      </c>
    </row>
    <row r="4683" customFormat="false" ht="15" hidden="false" customHeight="false" outlineLevel="0" collapsed="false">
      <c r="B4683" s="7" t="s">
        <v>5180</v>
      </c>
      <c r="C4683" s="39" t="n">
        <v>45884</v>
      </c>
      <c r="D4683" s="7" t="s">
        <v>355</v>
      </c>
      <c r="E4683" s="7" t="s">
        <v>154</v>
      </c>
      <c r="F4683" s="7" t="s">
        <v>201</v>
      </c>
      <c r="G4683" s="7" t="s">
        <v>505</v>
      </c>
      <c r="H4683" s="6" t="n">
        <v>3.44</v>
      </c>
      <c r="I4683" s="6" t="n">
        <v>0</v>
      </c>
      <c r="J4683" s="40" t="n">
        <f aca="false">H4683-I4683</f>
        <v>3.44</v>
      </c>
      <c r="K4683" s="41" t="n">
        <v>26.5</v>
      </c>
      <c r="L4683" s="42" t="n">
        <f aca="false">J4683*K4683</f>
        <v>91.16</v>
      </c>
      <c r="M4683" s="43" t="n">
        <f aca="false">H4683*15.19*(1+'Chart of Accounts'!$E$67)</f>
        <v>59.830372</v>
      </c>
    </row>
    <row r="4684" customFormat="false" ht="15" hidden="false" customHeight="false" outlineLevel="0" collapsed="false">
      <c r="B4684" s="7" t="s">
        <v>5181</v>
      </c>
      <c r="C4684" s="39" t="n">
        <v>45884</v>
      </c>
      <c r="D4684" s="7" t="s">
        <v>357</v>
      </c>
      <c r="E4684" s="7" t="s">
        <v>154</v>
      </c>
      <c r="F4684" s="7" t="s">
        <v>207</v>
      </c>
      <c r="G4684" s="7" t="s">
        <v>505</v>
      </c>
      <c r="H4684" s="6" t="n">
        <v>3.09</v>
      </c>
      <c r="I4684" s="6" t="n">
        <v>0</v>
      </c>
      <c r="J4684" s="40" t="n">
        <f aca="false">H4684-I4684</f>
        <v>3.09</v>
      </c>
      <c r="K4684" s="41" t="n">
        <v>26.5</v>
      </c>
      <c r="L4684" s="42" t="n">
        <f aca="false">J4684*K4684</f>
        <v>81.885</v>
      </c>
      <c r="M4684" s="43" t="n">
        <f aca="false">H4684*16.65*(1+'Chart of Accounts'!$E$67)</f>
        <v>58.9085325</v>
      </c>
    </row>
    <row r="4685" customFormat="false" ht="15" hidden="false" customHeight="false" outlineLevel="0" collapsed="false">
      <c r="B4685" s="7" t="s">
        <v>5182</v>
      </c>
      <c r="C4685" s="39" t="n">
        <v>45884</v>
      </c>
      <c r="D4685" s="7" t="s">
        <v>359</v>
      </c>
      <c r="E4685" s="7" t="s">
        <v>156</v>
      </c>
      <c r="F4685" s="7" t="s">
        <v>184</v>
      </c>
      <c r="G4685" s="7" t="s">
        <v>505</v>
      </c>
      <c r="H4685" s="6" t="n">
        <v>3.9</v>
      </c>
      <c r="I4685" s="6" t="n">
        <v>0</v>
      </c>
      <c r="J4685" s="40" t="n">
        <f aca="false">H4685-I4685</f>
        <v>3.9</v>
      </c>
      <c r="K4685" s="41" t="n">
        <v>34</v>
      </c>
      <c r="L4685" s="42" t="n">
        <f aca="false">J4685*K4685</f>
        <v>132.6</v>
      </c>
      <c r="M4685" s="43" t="n">
        <f aca="false">H4685*17.34*(1+'Chart of Accounts'!$E$67)</f>
        <v>77.43177</v>
      </c>
    </row>
    <row r="4686" customFormat="false" ht="15" hidden="false" customHeight="false" outlineLevel="0" collapsed="false">
      <c r="B4686" s="7" t="s">
        <v>5183</v>
      </c>
      <c r="C4686" s="39" t="n">
        <v>45884</v>
      </c>
      <c r="D4686" s="7" t="s">
        <v>361</v>
      </c>
      <c r="E4686" s="7" t="s">
        <v>157</v>
      </c>
      <c r="F4686" s="7" t="s">
        <v>209</v>
      </c>
      <c r="G4686" s="7" t="s">
        <v>502</v>
      </c>
      <c r="H4686" s="6" t="n">
        <v>0.97</v>
      </c>
      <c r="I4686" s="6" t="n">
        <v>0.049</v>
      </c>
      <c r="J4686" s="40" t="n">
        <f aca="false">H4686-I4686</f>
        <v>0.921</v>
      </c>
      <c r="K4686" s="41" t="n">
        <v>165</v>
      </c>
      <c r="L4686" s="42" t="n">
        <f aca="false">J4686*K4686</f>
        <v>151.965</v>
      </c>
      <c r="M4686" s="43" t="n">
        <f aca="false">H4686*73.58*(1+'Chart of Accounts'!$E$67)</f>
        <v>81.721627</v>
      </c>
    </row>
    <row r="4687" customFormat="false" ht="15" hidden="false" customHeight="false" outlineLevel="0" collapsed="false">
      <c r="B4687" s="7" t="s">
        <v>5184</v>
      </c>
      <c r="C4687" s="39" t="n">
        <v>45884</v>
      </c>
      <c r="D4687" s="7" t="s">
        <v>365</v>
      </c>
      <c r="E4687" s="7" t="s">
        <v>154</v>
      </c>
      <c r="F4687" s="7" t="s">
        <v>194</v>
      </c>
      <c r="G4687" s="7" t="s">
        <v>505</v>
      </c>
      <c r="H4687" s="6" t="n">
        <v>4.26</v>
      </c>
      <c r="I4687" s="6" t="n">
        <v>0</v>
      </c>
      <c r="J4687" s="40" t="n">
        <f aca="false">H4687-I4687</f>
        <v>4.26</v>
      </c>
      <c r="K4687" s="41" t="n">
        <v>26.5</v>
      </c>
      <c r="L4687" s="42" t="n">
        <f aca="false">J4687*K4687</f>
        <v>112.89</v>
      </c>
      <c r="M4687" s="43" t="n">
        <f aca="false">H4687*16*(1+'Chart of Accounts'!$E$67)</f>
        <v>78.0432</v>
      </c>
    </row>
    <row r="4688" customFormat="false" ht="15" hidden="false" customHeight="false" outlineLevel="0" collapsed="false">
      <c r="B4688" s="7" t="s">
        <v>5185</v>
      </c>
      <c r="C4688" s="39" t="n">
        <v>45884</v>
      </c>
      <c r="D4688" s="7" t="s">
        <v>369</v>
      </c>
      <c r="E4688" s="7" t="s">
        <v>159</v>
      </c>
      <c r="F4688" s="7" t="s">
        <v>258</v>
      </c>
      <c r="G4688" s="7" t="s">
        <v>502</v>
      </c>
      <c r="H4688" s="6" t="n">
        <v>1.02</v>
      </c>
      <c r="I4688" s="6" t="n">
        <v>0</v>
      </c>
      <c r="J4688" s="40" t="n">
        <f aca="false">H4688-I4688</f>
        <v>1.02</v>
      </c>
      <c r="K4688" s="41" t="n">
        <v>135</v>
      </c>
      <c r="L4688" s="42" t="n">
        <f aca="false">J4688*K4688</f>
        <v>137.7</v>
      </c>
      <c r="M4688" s="43" t="n">
        <f aca="false">H4688*61.61*(1+'Chart of Accounts'!$E$67)</f>
        <v>71.954319</v>
      </c>
    </row>
    <row r="4689" customFormat="false" ht="15" hidden="false" customHeight="false" outlineLevel="0" collapsed="false">
      <c r="B4689" s="7" t="s">
        <v>5186</v>
      </c>
      <c r="C4689" s="39" t="n">
        <v>45884</v>
      </c>
      <c r="D4689" s="7" t="s">
        <v>371</v>
      </c>
      <c r="E4689" s="7" t="s">
        <v>154</v>
      </c>
      <c r="F4689" s="7" t="s">
        <v>232</v>
      </c>
      <c r="G4689" s="7" t="s">
        <v>505</v>
      </c>
      <c r="H4689" s="6" t="n">
        <v>4.74</v>
      </c>
      <c r="I4689" s="6" t="n">
        <v>0</v>
      </c>
      <c r="J4689" s="40" t="n">
        <f aca="false">H4689-I4689</f>
        <v>4.74</v>
      </c>
      <c r="K4689" s="41" t="n">
        <v>26.5</v>
      </c>
      <c r="L4689" s="42" t="n">
        <f aca="false">J4689*K4689</f>
        <v>125.61</v>
      </c>
      <c r="M4689" s="43" t="n">
        <f aca="false">H4689*16.17*(1+'Chart of Accounts'!$E$67)</f>
        <v>87.759441</v>
      </c>
    </row>
    <row r="4690" customFormat="false" ht="15" hidden="false" customHeight="false" outlineLevel="0" collapsed="false">
      <c r="B4690" s="7" t="s">
        <v>5187</v>
      </c>
      <c r="C4690" s="39" t="n">
        <v>45884</v>
      </c>
      <c r="D4690" s="7" t="s">
        <v>379</v>
      </c>
      <c r="E4690" s="7" t="s">
        <v>156</v>
      </c>
      <c r="F4690" s="7" t="s">
        <v>224</v>
      </c>
      <c r="G4690" s="7" t="s">
        <v>505</v>
      </c>
      <c r="H4690" s="6" t="n">
        <v>4.62</v>
      </c>
      <c r="I4690" s="6" t="n">
        <v>0</v>
      </c>
      <c r="J4690" s="40" t="n">
        <f aca="false">H4690-I4690</f>
        <v>4.62</v>
      </c>
      <c r="K4690" s="41" t="n">
        <v>34</v>
      </c>
      <c r="L4690" s="42" t="n">
        <f aca="false">J4690*K4690</f>
        <v>157.08</v>
      </c>
      <c r="M4690" s="43" t="n">
        <f aca="false">H4690*14.93*(1+'Chart of Accounts'!$E$67)</f>
        <v>78.978207</v>
      </c>
    </row>
    <row r="4691" customFormat="false" ht="15" hidden="false" customHeight="false" outlineLevel="0" collapsed="false">
      <c r="B4691" s="7" t="s">
        <v>5188</v>
      </c>
      <c r="C4691" s="39" t="n">
        <v>45884</v>
      </c>
      <c r="D4691" s="7" t="s">
        <v>381</v>
      </c>
      <c r="E4691" s="7" t="s">
        <v>157</v>
      </c>
      <c r="F4691" s="7" t="s">
        <v>234</v>
      </c>
      <c r="G4691" s="7" t="s">
        <v>502</v>
      </c>
      <c r="H4691" s="6" t="n">
        <v>0.98</v>
      </c>
      <c r="I4691" s="6" t="n">
        <v>0</v>
      </c>
      <c r="J4691" s="40" t="n">
        <f aca="false">H4691-I4691</f>
        <v>0.98</v>
      </c>
      <c r="K4691" s="41" t="n">
        <v>165</v>
      </c>
      <c r="L4691" s="42" t="n">
        <f aca="false">J4691*K4691</f>
        <v>161.7</v>
      </c>
      <c r="M4691" s="43" t="n">
        <f aca="false">H4691*89.53*(1+'Chart of Accounts'!$E$67)</f>
        <v>100.461613</v>
      </c>
    </row>
    <row r="4692" customFormat="false" ht="15" hidden="false" customHeight="false" outlineLevel="0" collapsed="false">
      <c r="B4692" s="7" t="s">
        <v>5189</v>
      </c>
      <c r="C4692" s="39" t="n">
        <v>45884</v>
      </c>
      <c r="D4692" s="7" t="s">
        <v>383</v>
      </c>
      <c r="E4692" s="7" t="s">
        <v>157</v>
      </c>
      <c r="F4692" s="7" t="s">
        <v>230</v>
      </c>
      <c r="G4692" s="7" t="s">
        <v>502</v>
      </c>
      <c r="H4692" s="6" t="n">
        <v>1.09</v>
      </c>
      <c r="I4692" s="6" t="n">
        <v>0</v>
      </c>
      <c r="J4692" s="40" t="n">
        <f aca="false">H4692-I4692</f>
        <v>1.09</v>
      </c>
      <c r="K4692" s="41" t="n">
        <v>165</v>
      </c>
      <c r="L4692" s="42" t="n">
        <f aca="false">J4692*K4692</f>
        <v>179.85</v>
      </c>
      <c r="M4692" s="43" t="n">
        <f aca="false">H4692*48.78*(1+'Chart of Accounts'!$E$67)</f>
        <v>60.879879</v>
      </c>
    </row>
    <row r="4693" customFormat="false" ht="15" hidden="false" customHeight="false" outlineLevel="0" collapsed="false">
      <c r="B4693" s="7" t="s">
        <v>5190</v>
      </c>
      <c r="C4693" s="39" t="n">
        <v>45884</v>
      </c>
      <c r="D4693" s="7" t="s">
        <v>385</v>
      </c>
      <c r="E4693" s="7" t="s">
        <v>156</v>
      </c>
      <c r="F4693" s="7" t="s">
        <v>238</v>
      </c>
      <c r="G4693" s="7" t="s">
        <v>505</v>
      </c>
      <c r="H4693" s="6" t="n">
        <v>4.25</v>
      </c>
      <c r="I4693" s="6" t="n">
        <v>0</v>
      </c>
      <c r="J4693" s="40" t="n">
        <f aca="false">H4693-I4693</f>
        <v>4.25</v>
      </c>
      <c r="K4693" s="41" t="n">
        <v>34</v>
      </c>
      <c r="L4693" s="42" t="n">
        <f aca="false">J4693*K4693</f>
        <v>144.5</v>
      </c>
      <c r="M4693" s="43" t="n">
        <f aca="false">H4693*15.85*(1+'Chart of Accounts'!$E$67)</f>
        <v>77.1300625</v>
      </c>
    </row>
    <row r="4694" customFormat="false" ht="15" hidden="false" customHeight="false" outlineLevel="0" collapsed="false">
      <c r="B4694" s="7" t="s">
        <v>5191</v>
      </c>
      <c r="C4694" s="39" t="n">
        <v>45884</v>
      </c>
      <c r="D4694" s="7" t="s">
        <v>387</v>
      </c>
      <c r="E4694" s="7" t="s">
        <v>154</v>
      </c>
      <c r="F4694" s="7" t="s">
        <v>196</v>
      </c>
      <c r="G4694" s="7" t="s">
        <v>505</v>
      </c>
      <c r="H4694" s="6" t="n">
        <v>4.26</v>
      </c>
      <c r="I4694" s="6" t="n">
        <v>0</v>
      </c>
      <c r="J4694" s="40" t="n">
        <f aca="false">H4694-I4694</f>
        <v>4.26</v>
      </c>
      <c r="K4694" s="41" t="n">
        <v>26.5</v>
      </c>
      <c r="L4694" s="42" t="n">
        <f aca="false">J4694*K4694</f>
        <v>112.89</v>
      </c>
      <c r="M4694" s="43" t="n">
        <f aca="false">H4694*15.05*(1+'Chart of Accounts'!$E$67)</f>
        <v>73.409385</v>
      </c>
    </row>
    <row r="4695" customFormat="false" ht="15" hidden="false" customHeight="false" outlineLevel="0" collapsed="false">
      <c r="B4695" s="7" t="s">
        <v>5192</v>
      </c>
      <c r="C4695" s="39" t="n">
        <v>45884</v>
      </c>
      <c r="D4695" s="7" t="s">
        <v>389</v>
      </c>
      <c r="E4695" s="7" t="s">
        <v>154</v>
      </c>
      <c r="F4695" s="7" t="s">
        <v>246</v>
      </c>
      <c r="G4695" s="7" t="s">
        <v>505</v>
      </c>
      <c r="H4695" s="6" t="n">
        <v>4.2</v>
      </c>
      <c r="I4695" s="6" t="n">
        <v>0</v>
      </c>
      <c r="J4695" s="40" t="n">
        <f aca="false">H4695-I4695</f>
        <v>4.2</v>
      </c>
      <c r="K4695" s="41" t="n">
        <v>26.5</v>
      </c>
      <c r="L4695" s="42" t="n">
        <f aca="false">J4695*K4695</f>
        <v>111.3</v>
      </c>
      <c r="M4695" s="43" t="n">
        <f aca="false">H4695*16.48*(1+'Chart of Accounts'!$E$67)</f>
        <v>79.25232</v>
      </c>
    </row>
    <row r="4696" customFormat="false" ht="15" hidden="false" customHeight="false" outlineLevel="0" collapsed="false">
      <c r="B4696" s="7" t="s">
        <v>5193</v>
      </c>
      <c r="C4696" s="39" t="n">
        <v>45884</v>
      </c>
      <c r="D4696" s="7" t="s">
        <v>391</v>
      </c>
      <c r="E4696" s="7" t="s">
        <v>156</v>
      </c>
      <c r="F4696" s="7" t="s">
        <v>222</v>
      </c>
      <c r="G4696" s="7" t="s">
        <v>505</v>
      </c>
      <c r="H4696" s="6" t="n">
        <v>4.28</v>
      </c>
      <c r="I4696" s="6" t="n">
        <v>0</v>
      </c>
      <c r="J4696" s="40" t="n">
        <f aca="false">H4696-I4696</f>
        <v>4.28</v>
      </c>
      <c r="K4696" s="41" t="n">
        <v>34</v>
      </c>
      <c r="L4696" s="42" t="n">
        <f aca="false">J4696*K4696</f>
        <v>145.52</v>
      </c>
      <c r="M4696" s="43" t="n">
        <f aca="false">H4696*17.84*(1+'Chart of Accounts'!$E$67)</f>
        <v>87.426704</v>
      </c>
    </row>
    <row r="4697" customFormat="false" ht="15" hidden="false" customHeight="false" outlineLevel="0" collapsed="false">
      <c r="B4697" s="7" t="s">
        <v>5194</v>
      </c>
      <c r="C4697" s="39" t="n">
        <v>45884</v>
      </c>
      <c r="D4697" s="7" t="s">
        <v>395</v>
      </c>
      <c r="E4697" s="7" t="s">
        <v>156</v>
      </c>
      <c r="F4697" s="7" t="s">
        <v>242</v>
      </c>
      <c r="G4697" s="7" t="s">
        <v>505</v>
      </c>
      <c r="H4697" s="6" t="n">
        <v>3.72</v>
      </c>
      <c r="I4697" s="6" t="n">
        <v>0</v>
      </c>
      <c r="J4697" s="40" t="n">
        <f aca="false">H4697-I4697</f>
        <v>3.72</v>
      </c>
      <c r="K4697" s="41" t="n">
        <v>34</v>
      </c>
      <c r="L4697" s="42" t="n">
        <f aca="false">J4697*K4697</f>
        <v>126.48</v>
      </c>
      <c r="M4697" s="43" t="n">
        <f aca="false">H4697*17.99*(1+'Chart of Accounts'!$E$67)</f>
        <v>76.626606</v>
      </c>
    </row>
    <row r="4698" customFormat="false" ht="15" hidden="false" customHeight="false" outlineLevel="0" collapsed="false">
      <c r="B4698" s="7" t="s">
        <v>5195</v>
      </c>
      <c r="C4698" s="39" t="n">
        <v>45884</v>
      </c>
      <c r="D4698" s="7" t="s">
        <v>397</v>
      </c>
      <c r="E4698" s="7" t="s">
        <v>159</v>
      </c>
      <c r="F4698" s="7" t="s">
        <v>203</v>
      </c>
      <c r="G4698" s="7" t="s">
        <v>502</v>
      </c>
      <c r="H4698" s="6" t="n">
        <v>1.03</v>
      </c>
      <c r="I4698" s="6" t="n">
        <v>0.072</v>
      </c>
      <c r="J4698" s="40" t="n">
        <f aca="false">H4698-I4698</f>
        <v>0.958</v>
      </c>
      <c r="K4698" s="41" t="n">
        <v>135</v>
      </c>
      <c r="L4698" s="42" t="n">
        <f aca="false">J4698*K4698</f>
        <v>129.33</v>
      </c>
      <c r="M4698" s="43" t="n">
        <f aca="false">H4698*49.43*(1+'Chart of Accounts'!$E$67)</f>
        <v>58.2952705</v>
      </c>
    </row>
    <row r="4699" customFormat="false" ht="15" hidden="false" customHeight="false" outlineLevel="0" collapsed="false">
      <c r="B4699" s="7" t="s">
        <v>5196</v>
      </c>
      <c r="C4699" s="39" t="n">
        <v>45884</v>
      </c>
      <c r="D4699" s="7" t="s">
        <v>399</v>
      </c>
      <c r="E4699" s="7" t="s">
        <v>154</v>
      </c>
      <c r="F4699" s="7" t="s">
        <v>244</v>
      </c>
      <c r="G4699" s="7" t="s">
        <v>505</v>
      </c>
      <c r="H4699" s="6" t="n">
        <v>3.38</v>
      </c>
      <c r="I4699" s="6" t="n">
        <v>0</v>
      </c>
      <c r="J4699" s="40" t="n">
        <f aca="false">H4699-I4699</f>
        <v>3.38</v>
      </c>
      <c r="K4699" s="41" t="n">
        <v>26.5</v>
      </c>
      <c r="L4699" s="42" t="n">
        <f aca="false">J4699*K4699</f>
        <v>89.57</v>
      </c>
      <c r="M4699" s="43" t="n">
        <f aca="false">H4699*16.39*(1+'Chart of Accounts'!$E$67)</f>
        <v>63.430939</v>
      </c>
    </row>
    <row r="4700" customFormat="false" ht="15" hidden="false" customHeight="false" outlineLevel="0" collapsed="false">
      <c r="B4700" s="7" t="s">
        <v>5197</v>
      </c>
      <c r="C4700" s="39" t="n">
        <v>45884</v>
      </c>
      <c r="D4700" s="7" t="s">
        <v>401</v>
      </c>
      <c r="E4700" s="7" t="s">
        <v>156</v>
      </c>
      <c r="F4700" s="7" t="s">
        <v>254</v>
      </c>
      <c r="G4700" s="7" t="s">
        <v>505</v>
      </c>
      <c r="H4700" s="6" t="n">
        <v>4.06</v>
      </c>
      <c r="I4700" s="6" t="n">
        <v>0</v>
      </c>
      <c r="J4700" s="40" t="n">
        <f aca="false">H4700-I4700</f>
        <v>4.06</v>
      </c>
      <c r="K4700" s="41" t="n">
        <v>34</v>
      </c>
      <c r="L4700" s="42" t="n">
        <f aca="false">J4700*K4700</f>
        <v>138.04</v>
      </c>
      <c r="M4700" s="43" t="n">
        <f aca="false">H4700*17.1*(1+'Chart of Accounts'!$E$67)</f>
        <v>79.49277</v>
      </c>
    </row>
    <row r="4701" customFormat="false" ht="15" hidden="false" customHeight="false" outlineLevel="0" collapsed="false">
      <c r="B4701" s="7" t="s">
        <v>5198</v>
      </c>
      <c r="C4701" s="39" t="n">
        <v>45884</v>
      </c>
      <c r="D4701" s="7" t="s">
        <v>403</v>
      </c>
      <c r="E4701" s="7" t="s">
        <v>156</v>
      </c>
      <c r="F4701" s="7" t="s">
        <v>184</v>
      </c>
      <c r="G4701" s="7" t="s">
        <v>505</v>
      </c>
      <c r="H4701" s="6" t="n">
        <v>4.36</v>
      </c>
      <c r="I4701" s="6" t="n">
        <v>0</v>
      </c>
      <c r="J4701" s="40" t="n">
        <f aca="false">H4701-I4701</f>
        <v>4.36</v>
      </c>
      <c r="K4701" s="41" t="n">
        <v>34</v>
      </c>
      <c r="L4701" s="42" t="n">
        <f aca="false">J4701*K4701</f>
        <v>148.24</v>
      </c>
      <c r="M4701" s="43" t="n">
        <f aca="false">H4701*17.34*(1+'Chart of Accounts'!$E$67)</f>
        <v>86.564748</v>
      </c>
    </row>
    <row r="4702" customFormat="false" ht="15" hidden="false" customHeight="false" outlineLevel="0" collapsed="false">
      <c r="B4702" s="7" t="s">
        <v>5199</v>
      </c>
      <c r="C4702" s="39" t="n">
        <v>45884</v>
      </c>
      <c r="D4702" s="7" t="s">
        <v>407</v>
      </c>
      <c r="E4702" s="7" t="s">
        <v>159</v>
      </c>
      <c r="F4702" s="7" t="s">
        <v>260</v>
      </c>
      <c r="G4702" s="7" t="s">
        <v>502</v>
      </c>
      <c r="H4702" s="6" t="n">
        <v>1.07</v>
      </c>
      <c r="I4702" s="6" t="n">
        <v>0</v>
      </c>
      <c r="J4702" s="40" t="n">
        <f aca="false">H4702-I4702</f>
        <v>1.07</v>
      </c>
      <c r="K4702" s="41" t="n">
        <v>135</v>
      </c>
      <c r="L4702" s="42" t="n">
        <f aca="false">J4702*K4702</f>
        <v>144.45</v>
      </c>
      <c r="M4702" s="43" t="n">
        <f aca="false">H4702*79.8*(1+'Chart of Accounts'!$E$67)</f>
        <v>97.76697</v>
      </c>
    </row>
    <row r="4703" customFormat="false" ht="15" hidden="false" customHeight="false" outlineLevel="0" collapsed="false">
      <c r="B4703" s="7" t="s">
        <v>5200</v>
      </c>
      <c r="C4703" s="39" t="n">
        <v>45884</v>
      </c>
      <c r="D4703" s="7" t="s">
        <v>409</v>
      </c>
      <c r="E4703" s="7" t="s">
        <v>154</v>
      </c>
      <c r="F4703" s="7" t="s">
        <v>214</v>
      </c>
      <c r="G4703" s="7" t="s">
        <v>505</v>
      </c>
      <c r="H4703" s="6" t="n">
        <v>3.52</v>
      </c>
      <c r="I4703" s="6" t="n">
        <v>0</v>
      </c>
      <c r="J4703" s="40" t="n">
        <f aca="false">H4703-I4703</f>
        <v>3.52</v>
      </c>
      <c r="K4703" s="41" t="n">
        <v>26.5</v>
      </c>
      <c r="L4703" s="42" t="n">
        <f aca="false">J4703*K4703</f>
        <v>93.28</v>
      </c>
      <c r="M4703" s="43" t="n">
        <f aca="false">H4703*15.67*(1+'Chart of Accounts'!$E$67)</f>
        <v>63.156368</v>
      </c>
    </row>
    <row r="4704" customFormat="false" ht="15" hidden="false" customHeight="false" outlineLevel="0" collapsed="false">
      <c r="B4704" s="7" t="s">
        <v>5201</v>
      </c>
      <c r="C4704" s="39" t="n">
        <v>45884</v>
      </c>
      <c r="D4704" s="7" t="s">
        <v>411</v>
      </c>
      <c r="E4704" s="7" t="s">
        <v>154</v>
      </c>
      <c r="F4704" s="7" t="s">
        <v>177</v>
      </c>
      <c r="G4704" s="7" t="s">
        <v>505</v>
      </c>
      <c r="H4704" s="6" t="n">
        <v>4.73</v>
      </c>
      <c r="I4704" s="6" t="n">
        <v>0.142</v>
      </c>
      <c r="J4704" s="40" t="n">
        <f aca="false">H4704-I4704</f>
        <v>4.588</v>
      </c>
      <c r="K4704" s="41" t="n">
        <v>26.5</v>
      </c>
      <c r="L4704" s="42" t="n">
        <f aca="false">J4704*K4704</f>
        <v>121.582</v>
      </c>
      <c r="M4704" s="43" t="n">
        <f aca="false">H4704*14.56*(1+'Chart of Accounts'!$E$67)</f>
        <v>78.854776</v>
      </c>
    </row>
    <row r="4705" customFormat="false" ht="15" hidden="false" customHeight="false" outlineLevel="0" collapsed="false">
      <c r="B4705" s="7" t="s">
        <v>5202</v>
      </c>
      <c r="C4705" s="39" t="n">
        <v>45885</v>
      </c>
      <c r="D4705" s="7" t="s">
        <v>321</v>
      </c>
      <c r="E4705" s="7" t="s">
        <v>154</v>
      </c>
      <c r="F4705" s="7" t="s">
        <v>218</v>
      </c>
      <c r="G4705" s="7" t="s">
        <v>505</v>
      </c>
      <c r="H4705" s="6" t="n">
        <v>3.98</v>
      </c>
      <c r="I4705" s="6" t="n">
        <v>0.119</v>
      </c>
      <c r="J4705" s="40" t="n">
        <f aca="false">H4705-I4705</f>
        <v>3.861</v>
      </c>
      <c r="K4705" s="41" t="n">
        <v>26.5</v>
      </c>
      <c r="L4705" s="42" t="n">
        <f aca="false">J4705*K4705</f>
        <v>102.3165</v>
      </c>
      <c r="M4705" s="43" t="n">
        <f aca="false">H4705*16.19*(1+'Chart of Accounts'!$E$67)</f>
        <v>73.779449</v>
      </c>
    </row>
    <row r="4706" customFormat="false" ht="15" hidden="false" customHeight="false" outlineLevel="0" collapsed="false">
      <c r="B4706" s="7" t="s">
        <v>5203</v>
      </c>
      <c r="C4706" s="39" t="n">
        <v>45885</v>
      </c>
      <c r="D4706" s="7" t="s">
        <v>359</v>
      </c>
      <c r="E4706" s="7" t="s">
        <v>156</v>
      </c>
      <c r="F4706" s="7" t="s">
        <v>177</v>
      </c>
      <c r="G4706" s="7" t="s">
        <v>505</v>
      </c>
      <c r="H4706" s="6" t="n">
        <v>4.21</v>
      </c>
      <c r="I4706" s="6" t="n">
        <v>0</v>
      </c>
      <c r="J4706" s="40" t="n">
        <f aca="false">H4706-I4706</f>
        <v>4.21</v>
      </c>
      <c r="K4706" s="41" t="n">
        <v>34</v>
      </c>
      <c r="L4706" s="42" t="n">
        <f aca="false">J4706*K4706</f>
        <v>143.14</v>
      </c>
      <c r="M4706" s="43" t="n">
        <f aca="false">H4706*14.56*(1+'Chart of Accounts'!$E$67)</f>
        <v>70.185752</v>
      </c>
    </row>
    <row r="4707" customFormat="false" ht="15" hidden="false" customHeight="false" outlineLevel="0" collapsed="false">
      <c r="B4707" s="7" t="s">
        <v>5204</v>
      </c>
      <c r="C4707" s="39" t="n">
        <v>45885</v>
      </c>
      <c r="D4707" s="7" t="s">
        <v>387</v>
      </c>
      <c r="E4707" s="7" t="s">
        <v>154</v>
      </c>
      <c r="F4707" s="7" t="s">
        <v>196</v>
      </c>
      <c r="G4707" s="7" t="s">
        <v>505</v>
      </c>
      <c r="H4707" s="6" t="n">
        <v>3.74</v>
      </c>
      <c r="I4707" s="6" t="n">
        <v>0</v>
      </c>
      <c r="J4707" s="40" t="n">
        <f aca="false">H4707-I4707</f>
        <v>3.74</v>
      </c>
      <c r="K4707" s="41" t="n">
        <v>26.5</v>
      </c>
      <c r="L4707" s="42" t="n">
        <f aca="false">J4707*K4707</f>
        <v>99.11</v>
      </c>
      <c r="M4707" s="43" t="n">
        <f aca="false">H4707*15.05*(1+'Chart of Accounts'!$E$67)</f>
        <v>64.448615</v>
      </c>
    </row>
    <row r="4708" customFormat="false" ht="15" hidden="false" customHeight="false" outlineLevel="0" collapsed="false">
      <c r="B4708" s="7" t="s">
        <v>5205</v>
      </c>
      <c r="C4708" s="39" t="n">
        <v>45885</v>
      </c>
      <c r="D4708" s="7" t="s">
        <v>391</v>
      </c>
      <c r="E4708" s="7" t="s">
        <v>156</v>
      </c>
      <c r="F4708" s="7" t="s">
        <v>222</v>
      </c>
      <c r="G4708" s="7" t="s">
        <v>505</v>
      </c>
      <c r="H4708" s="6" t="n">
        <v>4.4</v>
      </c>
      <c r="I4708" s="6" t="n">
        <v>0</v>
      </c>
      <c r="J4708" s="40" t="n">
        <f aca="false">H4708-I4708</f>
        <v>4.4</v>
      </c>
      <c r="K4708" s="41" t="n">
        <v>34</v>
      </c>
      <c r="L4708" s="42" t="n">
        <f aca="false">J4708*K4708</f>
        <v>149.6</v>
      </c>
      <c r="M4708" s="43" t="n">
        <f aca="false">H4708*17.84*(1+'Chart of Accounts'!$E$67)</f>
        <v>89.87792</v>
      </c>
    </row>
    <row r="4709" customFormat="false" ht="15" hidden="false" customHeight="false" outlineLevel="0" collapsed="false">
      <c r="B4709" s="7" t="s">
        <v>5206</v>
      </c>
      <c r="C4709" s="39" t="n">
        <v>45885</v>
      </c>
      <c r="D4709" s="7" t="s">
        <v>395</v>
      </c>
      <c r="E4709" s="7" t="s">
        <v>156</v>
      </c>
      <c r="F4709" s="7" t="s">
        <v>242</v>
      </c>
      <c r="G4709" s="7" t="s">
        <v>505</v>
      </c>
      <c r="H4709" s="6" t="n">
        <v>3.86</v>
      </c>
      <c r="I4709" s="6" t="n">
        <v>0</v>
      </c>
      <c r="J4709" s="40" t="n">
        <f aca="false">H4709-I4709</f>
        <v>3.86</v>
      </c>
      <c r="K4709" s="41" t="n">
        <v>34</v>
      </c>
      <c r="L4709" s="42" t="n">
        <f aca="false">J4709*K4709</f>
        <v>131.24</v>
      </c>
      <c r="M4709" s="43" t="n">
        <f aca="false">H4709*17.99*(1+'Chart of Accounts'!$E$67)</f>
        <v>79.510403</v>
      </c>
    </row>
    <row r="4710" customFormat="false" ht="15" hidden="false" customHeight="false" outlineLevel="0" collapsed="false">
      <c r="B4710" s="7" t="s">
        <v>5207</v>
      </c>
      <c r="C4710" s="39" t="n">
        <v>45885</v>
      </c>
      <c r="D4710" s="7" t="s">
        <v>401</v>
      </c>
      <c r="E4710" s="7" t="s">
        <v>156</v>
      </c>
      <c r="F4710" s="7" t="s">
        <v>254</v>
      </c>
      <c r="G4710" s="7" t="s">
        <v>505</v>
      </c>
      <c r="H4710" s="6" t="n">
        <v>4.12</v>
      </c>
      <c r="I4710" s="6" t="n">
        <v>0</v>
      </c>
      <c r="J4710" s="40" t="n">
        <f aca="false">H4710-I4710</f>
        <v>4.12</v>
      </c>
      <c r="K4710" s="41" t="n">
        <v>34</v>
      </c>
      <c r="L4710" s="42" t="n">
        <f aca="false">J4710*K4710</f>
        <v>140.08</v>
      </c>
      <c r="M4710" s="43" t="n">
        <f aca="false">H4710*17.1*(1+'Chart of Accounts'!$E$67)</f>
        <v>80.66754</v>
      </c>
    </row>
    <row r="4711" customFormat="false" ht="15" hidden="false" customHeight="false" outlineLevel="0" collapsed="false">
      <c r="B4711" s="7" t="s">
        <v>5208</v>
      </c>
      <c r="C4711" s="39" t="n">
        <v>45886</v>
      </c>
      <c r="D4711" s="7" t="s">
        <v>288</v>
      </c>
      <c r="E4711" s="7" t="s">
        <v>156</v>
      </c>
      <c r="F4711" s="7" t="s">
        <v>177</v>
      </c>
      <c r="G4711" s="7" t="s">
        <v>505</v>
      </c>
      <c r="H4711" s="6" t="n">
        <v>4.13</v>
      </c>
      <c r="I4711" s="6" t="n">
        <v>0</v>
      </c>
      <c r="J4711" s="40" t="n">
        <f aca="false">H4711-I4711</f>
        <v>4.13</v>
      </c>
      <c r="K4711" s="41" t="n">
        <v>34</v>
      </c>
      <c r="L4711" s="42" t="n">
        <f aca="false">J4711*K4711</f>
        <v>140.42</v>
      </c>
      <c r="M4711" s="43" t="n">
        <f aca="false">H4711*14.56*(1+'Chart of Accounts'!$E$67)</f>
        <v>68.852056</v>
      </c>
    </row>
    <row r="4712" customFormat="false" ht="15" hidden="false" customHeight="false" outlineLevel="0" collapsed="false">
      <c r="B4712" s="7" t="s">
        <v>5209</v>
      </c>
      <c r="C4712" s="39" t="n">
        <v>45886</v>
      </c>
      <c r="D4712" s="7" t="s">
        <v>321</v>
      </c>
      <c r="E4712" s="7" t="s">
        <v>154</v>
      </c>
      <c r="F4712" s="7" t="s">
        <v>218</v>
      </c>
      <c r="G4712" s="7" t="s">
        <v>505</v>
      </c>
      <c r="H4712" s="6" t="n">
        <v>4.38</v>
      </c>
      <c r="I4712" s="6" t="n">
        <v>0</v>
      </c>
      <c r="J4712" s="40" t="n">
        <f aca="false">H4712-I4712</f>
        <v>4.38</v>
      </c>
      <c r="K4712" s="41" t="n">
        <v>26.5</v>
      </c>
      <c r="L4712" s="42" t="n">
        <f aca="false">J4712*K4712</f>
        <v>116.07</v>
      </c>
      <c r="M4712" s="43" t="n">
        <f aca="false">H4712*16.19*(1+'Chart of Accounts'!$E$67)</f>
        <v>81.194469</v>
      </c>
    </row>
    <row r="4713" customFormat="false" ht="15" hidden="false" customHeight="false" outlineLevel="0" collapsed="false">
      <c r="B4713" s="7" t="s">
        <v>5210</v>
      </c>
      <c r="C4713" s="39" t="n">
        <v>45886</v>
      </c>
      <c r="D4713" s="7" t="s">
        <v>359</v>
      </c>
      <c r="E4713" s="7" t="s">
        <v>156</v>
      </c>
      <c r="F4713" s="7" t="s">
        <v>196</v>
      </c>
      <c r="G4713" s="7" t="s">
        <v>505</v>
      </c>
      <c r="H4713" s="6" t="n">
        <v>4.37</v>
      </c>
      <c r="I4713" s="6" t="n">
        <v>0</v>
      </c>
      <c r="J4713" s="40" t="n">
        <f aca="false">H4713-I4713</f>
        <v>4.37</v>
      </c>
      <c r="K4713" s="41" t="n">
        <v>34</v>
      </c>
      <c r="L4713" s="42" t="n">
        <f aca="false">J4713*K4713</f>
        <v>148.58</v>
      </c>
      <c r="M4713" s="43" t="n">
        <f aca="false">H4713*15.05*(1+'Chart of Accounts'!$E$67)</f>
        <v>75.3049325</v>
      </c>
    </row>
    <row r="4714" customFormat="false" ht="15" hidden="false" customHeight="false" outlineLevel="0" collapsed="false">
      <c r="B4714" s="7" t="s">
        <v>5211</v>
      </c>
      <c r="C4714" s="39" t="n">
        <v>45886</v>
      </c>
      <c r="D4714" s="7" t="s">
        <v>387</v>
      </c>
      <c r="E4714" s="7" t="s">
        <v>154</v>
      </c>
      <c r="F4714" s="7" t="s">
        <v>196</v>
      </c>
      <c r="G4714" s="7" t="s">
        <v>505</v>
      </c>
      <c r="H4714" s="6" t="n">
        <v>4.32</v>
      </c>
      <c r="I4714" s="6" t="n">
        <v>0</v>
      </c>
      <c r="J4714" s="40" t="n">
        <f aca="false">H4714-I4714</f>
        <v>4.32</v>
      </c>
      <c r="K4714" s="41" t="n">
        <v>26.5</v>
      </c>
      <c r="L4714" s="42" t="n">
        <f aca="false">J4714*K4714</f>
        <v>114.48</v>
      </c>
      <c r="M4714" s="43" t="n">
        <f aca="false">H4714*15.05*(1+'Chart of Accounts'!$E$67)</f>
        <v>74.44332</v>
      </c>
    </row>
    <row r="4715" customFormat="false" ht="15" hidden="false" customHeight="false" outlineLevel="0" collapsed="false">
      <c r="B4715" s="7" t="s">
        <v>5212</v>
      </c>
      <c r="C4715" s="39" t="n">
        <v>45886</v>
      </c>
      <c r="D4715" s="7" t="s">
        <v>391</v>
      </c>
      <c r="E4715" s="7" t="s">
        <v>156</v>
      </c>
      <c r="F4715" s="7" t="s">
        <v>222</v>
      </c>
      <c r="G4715" s="7" t="s">
        <v>505</v>
      </c>
      <c r="H4715" s="6" t="n">
        <v>3.62</v>
      </c>
      <c r="I4715" s="6" t="n">
        <v>0</v>
      </c>
      <c r="J4715" s="40" t="n">
        <f aca="false">H4715-I4715</f>
        <v>3.62</v>
      </c>
      <c r="K4715" s="41" t="n">
        <v>34</v>
      </c>
      <c r="L4715" s="42" t="n">
        <f aca="false">J4715*K4715</f>
        <v>123.08</v>
      </c>
      <c r="M4715" s="43" t="n">
        <f aca="false">H4715*17.84*(1+'Chart of Accounts'!$E$67)</f>
        <v>73.945016</v>
      </c>
    </row>
    <row r="4716" customFormat="false" ht="15" hidden="false" customHeight="false" outlineLevel="0" collapsed="false">
      <c r="B4716" s="7" t="s">
        <v>5213</v>
      </c>
      <c r="C4716" s="39" t="n">
        <v>45886</v>
      </c>
      <c r="D4716" s="7" t="s">
        <v>395</v>
      </c>
      <c r="E4716" s="7" t="s">
        <v>156</v>
      </c>
      <c r="F4716" s="7" t="s">
        <v>242</v>
      </c>
      <c r="G4716" s="7" t="s">
        <v>505</v>
      </c>
      <c r="H4716" s="6" t="n">
        <v>3.92</v>
      </c>
      <c r="I4716" s="6" t="n">
        <v>0</v>
      </c>
      <c r="J4716" s="40" t="n">
        <f aca="false">H4716-I4716</f>
        <v>3.92</v>
      </c>
      <c r="K4716" s="41" t="n">
        <v>34</v>
      </c>
      <c r="L4716" s="42" t="n">
        <f aca="false">J4716*K4716</f>
        <v>133.28</v>
      </c>
      <c r="M4716" s="43" t="n">
        <f aca="false">H4716*17.99*(1+'Chart of Accounts'!$E$67)</f>
        <v>80.746316</v>
      </c>
    </row>
    <row r="4717" customFormat="false" ht="15" hidden="false" customHeight="false" outlineLevel="0" collapsed="false">
      <c r="B4717" s="7" t="s">
        <v>5214</v>
      </c>
      <c r="C4717" s="39" t="n">
        <v>45886</v>
      </c>
      <c r="D4717" s="7" t="s">
        <v>401</v>
      </c>
      <c r="E4717" s="7" t="s">
        <v>156</v>
      </c>
      <c r="F4717" s="7" t="s">
        <v>254</v>
      </c>
      <c r="G4717" s="7" t="s">
        <v>505</v>
      </c>
      <c r="H4717" s="6" t="n">
        <v>3.72</v>
      </c>
      <c r="I4717" s="6" t="n">
        <v>0</v>
      </c>
      <c r="J4717" s="40" t="n">
        <f aca="false">H4717-I4717</f>
        <v>3.72</v>
      </c>
      <c r="K4717" s="41" t="n">
        <v>34</v>
      </c>
      <c r="L4717" s="42" t="n">
        <f aca="false">J4717*K4717</f>
        <v>126.48</v>
      </c>
      <c r="M4717" s="43" t="n">
        <f aca="false">H4717*17.1*(1+'Chart of Accounts'!$E$67)</f>
        <v>72.83574</v>
      </c>
    </row>
    <row r="4718" customFormat="false" ht="15" hidden="false" customHeight="false" outlineLevel="0" collapsed="false">
      <c r="B4718" s="7" t="s">
        <v>5215</v>
      </c>
      <c r="C4718" s="39" t="n">
        <v>45887</v>
      </c>
      <c r="D4718" s="7" t="s">
        <v>280</v>
      </c>
      <c r="E4718" s="7" t="s">
        <v>157</v>
      </c>
      <c r="F4718" s="7" t="s">
        <v>187</v>
      </c>
      <c r="G4718" s="7" t="s">
        <v>502</v>
      </c>
      <c r="H4718" s="6" t="n">
        <v>1.01</v>
      </c>
      <c r="I4718" s="6" t="n">
        <v>0</v>
      </c>
      <c r="J4718" s="40" t="n">
        <f aca="false">H4718-I4718</f>
        <v>1.01</v>
      </c>
      <c r="K4718" s="41" t="n">
        <v>165</v>
      </c>
      <c r="L4718" s="42" t="n">
        <f aca="false">J4718*K4718</f>
        <v>166.65</v>
      </c>
      <c r="M4718" s="43" t="n">
        <f aca="false">H4718*66.48*(1+'Chart of Accounts'!$E$67)</f>
        <v>76.880796</v>
      </c>
    </row>
    <row r="4719" customFormat="false" ht="15" hidden="false" customHeight="false" outlineLevel="0" collapsed="false">
      <c r="B4719" s="7" t="s">
        <v>5216</v>
      </c>
      <c r="C4719" s="39" t="n">
        <v>45887</v>
      </c>
      <c r="D4719" s="7" t="s">
        <v>288</v>
      </c>
      <c r="E4719" s="7" t="s">
        <v>156</v>
      </c>
      <c r="F4719" s="7" t="s">
        <v>207</v>
      </c>
      <c r="G4719" s="7" t="s">
        <v>505</v>
      </c>
      <c r="H4719" s="6" t="n">
        <v>4.1</v>
      </c>
      <c r="I4719" s="6" t="n">
        <v>0</v>
      </c>
      <c r="J4719" s="40" t="n">
        <f aca="false">H4719-I4719</f>
        <v>4.1</v>
      </c>
      <c r="K4719" s="41" t="n">
        <v>34</v>
      </c>
      <c r="L4719" s="42" t="n">
        <f aca="false">J4719*K4719</f>
        <v>139.4</v>
      </c>
      <c r="M4719" s="43" t="n">
        <f aca="false">H4719*16.65*(1+'Chart of Accounts'!$E$67)</f>
        <v>78.163425</v>
      </c>
    </row>
    <row r="4720" customFormat="false" ht="15" hidden="false" customHeight="false" outlineLevel="0" collapsed="false">
      <c r="B4720" s="7" t="s">
        <v>5217</v>
      </c>
      <c r="C4720" s="39" t="n">
        <v>45887</v>
      </c>
      <c r="D4720" s="7" t="s">
        <v>291</v>
      </c>
      <c r="E4720" s="7" t="s">
        <v>154</v>
      </c>
      <c r="F4720" s="7" t="s">
        <v>194</v>
      </c>
      <c r="G4720" s="7" t="s">
        <v>505</v>
      </c>
      <c r="H4720" s="6" t="n">
        <v>4.65</v>
      </c>
      <c r="I4720" s="6" t="n">
        <v>0</v>
      </c>
      <c r="J4720" s="40" t="n">
        <f aca="false">H4720-I4720</f>
        <v>4.65</v>
      </c>
      <c r="K4720" s="41" t="n">
        <v>26.5</v>
      </c>
      <c r="L4720" s="42" t="n">
        <f aca="false">J4720*K4720</f>
        <v>123.225</v>
      </c>
      <c r="M4720" s="43" t="n">
        <f aca="false">H4720*16*(1+'Chart of Accounts'!$E$67)</f>
        <v>85.188</v>
      </c>
    </row>
    <row r="4721" customFormat="false" ht="15" hidden="false" customHeight="false" outlineLevel="0" collapsed="false">
      <c r="B4721" s="7" t="s">
        <v>5218</v>
      </c>
      <c r="C4721" s="39" t="n">
        <v>45887</v>
      </c>
      <c r="D4721" s="7" t="s">
        <v>295</v>
      </c>
      <c r="E4721" s="7" t="s">
        <v>154</v>
      </c>
      <c r="F4721" s="7" t="s">
        <v>214</v>
      </c>
      <c r="G4721" s="7" t="s">
        <v>505</v>
      </c>
      <c r="H4721" s="6" t="n">
        <v>4.15</v>
      </c>
      <c r="I4721" s="6" t="n">
        <v>0</v>
      </c>
      <c r="J4721" s="40" t="n">
        <f aca="false">H4721-I4721</f>
        <v>4.15</v>
      </c>
      <c r="K4721" s="41" t="n">
        <v>26.5</v>
      </c>
      <c r="L4721" s="42" t="n">
        <f aca="false">J4721*K4721</f>
        <v>109.975</v>
      </c>
      <c r="M4721" s="43" t="n">
        <f aca="false">H4721*15.67*(1+'Chart of Accounts'!$E$67)</f>
        <v>74.4599225</v>
      </c>
    </row>
    <row r="4722" customFormat="false" ht="15" hidden="false" customHeight="false" outlineLevel="0" collapsed="false">
      <c r="B4722" s="7" t="s">
        <v>5219</v>
      </c>
      <c r="C4722" s="39" t="n">
        <v>45887</v>
      </c>
      <c r="D4722" s="7" t="s">
        <v>297</v>
      </c>
      <c r="E4722" s="7" t="s">
        <v>156</v>
      </c>
      <c r="F4722" s="7" t="s">
        <v>201</v>
      </c>
      <c r="G4722" s="7" t="s">
        <v>505</v>
      </c>
      <c r="H4722" s="6" t="n">
        <v>3.02</v>
      </c>
      <c r="I4722" s="6" t="n">
        <v>0</v>
      </c>
      <c r="J4722" s="40" t="n">
        <f aca="false">H4722-I4722</f>
        <v>3.02</v>
      </c>
      <c r="K4722" s="41" t="n">
        <v>34</v>
      </c>
      <c r="L4722" s="42" t="n">
        <f aca="false">J4722*K4722</f>
        <v>102.68</v>
      </c>
      <c r="M4722" s="43" t="n">
        <f aca="false">H4722*15.19*(1+'Chart of Accounts'!$E$67)</f>
        <v>52.525501</v>
      </c>
    </row>
    <row r="4723" customFormat="false" ht="15" hidden="false" customHeight="false" outlineLevel="0" collapsed="false">
      <c r="B4723" s="7" t="s">
        <v>5220</v>
      </c>
      <c r="C4723" s="39" t="n">
        <v>45887</v>
      </c>
      <c r="D4723" s="7" t="s">
        <v>305</v>
      </c>
      <c r="E4723" s="7" t="s">
        <v>154</v>
      </c>
      <c r="F4723" s="7" t="s">
        <v>205</v>
      </c>
      <c r="G4723" s="7" t="s">
        <v>505</v>
      </c>
      <c r="H4723" s="6" t="n">
        <v>4.2</v>
      </c>
      <c r="I4723" s="6" t="n">
        <v>0</v>
      </c>
      <c r="J4723" s="40" t="n">
        <f aca="false">H4723-I4723</f>
        <v>4.2</v>
      </c>
      <c r="K4723" s="41" t="n">
        <v>26.5</v>
      </c>
      <c r="L4723" s="42" t="n">
        <f aca="false">J4723*K4723</f>
        <v>111.3</v>
      </c>
      <c r="M4723" s="43" t="n">
        <f aca="false">H4723*16.36*(1+'Chart of Accounts'!$E$67)</f>
        <v>78.67524</v>
      </c>
    </row>
    <row r="4724" customFormat="false" ht="15" hidden="false" customHeight="false" outlineLevel="0" collapsed="false">
      <c r="B4724" s="7" t="s">
        <v>5221</v>
      </c>
      <c r="C4724" s="39" t="n">
        <v>45887</v>
      </c>
      <c r="D4724" s="7" t="s">
        <v>307</v>
      </c>
      <c r="E4724" s="7" t="s">
        <v>157</v>
      </c>
      <c r="F4724" s="7" t="s">
        <v>264</v>
      </c>
      <c r="G4724" s="7" t="s">
        <v>502</v>
      </c>
      <c r="H4724" s="6" t="n">
        <v>0.95</v>
      </c>
      <c r="I4724" s="6" t="n">
        <v>0</v>
      </c>
      <c r="J4724" s="40" t="n">
        <f aca="false">H4724-I4724</f>
        <v>0.95</v>
      </c>
      <c r="K4724" s="41" t="n">
        <v>165</v>
      </c>
      <c r="L4724" s="42" t="n">
        <f aca="false">J4724*K4724</f>
        <v>156.75</v>
      </c>
      <c r="M4724" s="43" t="n">
        <f aca="false">H4724*55.55*(1+'Chart of Accounts'!$E$67)</f>
        <v>60.4245125</v>
      </c>
    </row>
    <row r="4725" customFormat="false" ht="15" hidden="false" customHeight="false" outlineLevel="0" collapsed="false">
      <c r="B4725" s="7" t="s">
        <v>5222</v>
      </c>
      <c r="C4725" s="39" t="n">
        <v>45887</v>
      </c>
      <c r="D4725" s="7" t="s">
        <v>309</v>
      </c>
      <c r="E4725" s="7" t="s">
        <v>159</v>
      </c>
      <c r="F4725" s="7" t="s">
        <v>252</v>
      </c>
      <c r="G4725" s="7" t="s">
        <v>502</v>
      </c>
      <c r="H4725" s="6" t="n">
        <v>1.06</v>
      </c>
      <c r="I4725" s="6" t="n">
        <v>0</v>
      </c>
      <c r="J4725" s="40" t="n">
        <f aca="false">H4725-I4725</f>
        <v>1.06</v>
      </c>
      <c r="K4725" s="41" t="n">
        <v>135</v>
      </c>
      <c r="L4725" s="42" t="n">
        <f aca="false">J4725*K4725</f>
        <v>143.1</v>
      </c>
      <c r="M4725" s="43" t="n">
        <f aca="false">H4725*57.54*(1+'Chart of Accounts'!$E$67)</f>
        <v>69.836298</v>
      </c>
    </row>
    <row r="4726" customFormat="false" ht="15" hidden="false" customHeight="false" outlineLevel="0" collapsed="false">
      <c r="B4726" s="7" t="s">
        <v>5223</v>
      </c>
      <c r="C4726" s="39" t="n">
        <v>45887</v>
      </c>
      <c r="D4726" s="7" t="s">
        <v>311</v>
      </c>
      <c r="E4726" s="7" t="s">
        <v>154</v>
      </c>
      <c r="F4726" s="7" t="s">
        <v>196</v>
      </c>
      <c r="G4726" s="7" t="s">
        <v>505</v>
      </c>
      <c r="H4726" s="6" t="n">
        <v>3.08</v>
      </c>
      <c r="I4726" s="6" t="n">
        <v>0.092</v>
      </c>
      <c r="J4726" s="40" t="n">
        <f aca="false">H4726-I4726</f>
        <v>2.988</v>
      </c>
      <c r="K4726" s="41" t="n">
        <v>26.5</v>
      </c>
      <c r="L4726" s="42" t="n">
        <f aca="false">J4726*K4726</f>
        <v>79.182</v>
      </c>
      <c r="M4726" s="43" t="n">
        <f aca="false">H4726*15.05*(1+'Chart of Accounts'!$E$67)</f>
        <v>53.07533</v>
      </c>
    </row>
    <row r="4727" customFormat="false" ht="15" hidden="false" customHeight="false" outlineLevel="0" collapsed="false">
      <c r="B4727" s="7" t="s">
        <v>5224</v>
      </c>
      <c r="C4727" s="39" t="n">
        <v>45887</v>
      </c>
      <c r="D4727" s="7" t="s">
        <v>313</v>
      </c>
      <c r="E4727" s="7" t="s">
        <v>156</v>
      </c>
      <c r="F4727" s="7" t="s">
        <v>184</v>
      </c>
      <c r="G4727" s="7" t="s">
        <v>505</v>
      </c>
      <c r="H4727" s="6" t="n">
        <v>4.37</v>
      </c>
      <c r="I4727" s="6" t="n">
        <v>0</v>
      </c>
      <c r="J4727" s="40" t="n">
        <f aca="false">H4727-I4727</f>
        <v>4.37</v>
      </c>
      <c r="K4727" s="41" t="n">
        <v>34</v>
      </c>
      <c r="L4727" s="42" t="n">
        <f aca="false">J4727*K4727</f>
        <v>148.58</v>
      </c>
      <c r="M4727" s="43" t="n">
        <f aca="false">H4727*17.34*(1+'Chart of Accounts'!$E$67)</f>
        <v>86.763291</v>
      </c>
    </row>
    <row r="4728" customFormat="false" ht="15" hidden="false" customHeight="false" outlineLevel="0" collapsed="false">
      <c r="B4728" s="7" t="s">
        <v>5225</v>
      </c>
      <c r="C4728" s="39" t="n">
        <v>45887</v>
      </c>
      <c r="D4728" s="7" t="s">
        <v>315</v>
      </c>
      <c r="E4728" s="7" t="s">
        <v>159</v>
      </c>
      <c r="F4728" s="7" t="s">
        <v>216</v>
      </c>
      <c r="G4728" s="7" t="s">
        <v>502</v>
      </c>
      <c r="H4728" s="6" t="n">
        <v>0.9</v>
      </c>
      <c r="I4728" s="6" t="n">
        <v>0</v>
      </c>
      <c r="J4728" s="40" t="n">
        <f aca="false">H4728-I4728</f>
        <v>0.9</v>
      </c>
      <c r="K4728" s="41" t="n">
        <v>135</v>
      </c>
      <c r="L4728" s="42" t="n">
        <f aca="false">J4728*K4728</f>
        <v>121.5</v>
      </c>
      <c r="M4728" s="43" t="n">
        <f aca="false">H4728*61.79*(1+'Chart of Accounts'!$E$67)</f>
        <v>63.674595</v>
      </c>
    </row>
    <row r="4729" customFormat="false" ht="15" hidden="false" customHeight="false" outlineLevel="0" collapsed="false">
      <c r="B4729" s="7" t="s">
        <v>5226</v>
      </c>
      <c r="C4729" s="39" t="n">
        <v>45887</v>
      </c>
      <c r="D4729" s="7" t="s">
        <v>317</v>
      </c>
      <c r="E4729" s="7" t="s">
        <v>156</v>
      </c>
      <c r="F4729" s="7" t="s">
        <v>207</v>
      </c>
      <c r="G4729" s="7" t="s">
        <v>505</v>
      </c>
      <c r="H4729" s="6" t="n">
        <v>2.93</v>
      </c>
      <c r="I4729" s="6" t="n">
        <v>0</v>
      </c>
      <c r="J4729" s="40" t="n">
        <f aca="false">H4729-I4729</f>
        <v>2.93</v>
      </c>
      <c r="K4729" s="41" t="n">
        <v>34</v>
      </c>
      <c r="L4729" s="42" t="n">
        <f aca="false">J4729*K4729</f>
        <v>99.62</v>
      </c>
      <c r="M4729" s="43" t="n">
        <f aca="false">H4729*16.65*(1+'Chart of Accounts'!$E$67)</f>
        <v>55.8582525</v>
      </c>
    </row>
    <row r="4730" customFormat="false" ht="15" hidden="false" customHeight="false" outlineLevel="0" collapsed="false">
      <c r="B4730" s="7" t="s">
        <v>5227</v>
      </c>
      <c r="C4730" s="39" t="n">
        <v>45887</v>
      </c>
      <c r="D4730" s="7" t="s">
        <v>321</v>
      </c>
      <c r="E4730" s="7" t="s">
        <v>154</v>
      </c>
      <c r="F4730" s="7" t="s">
        <v>218</v>
      </c>
      <c r="G4730" s="7" t="s">
        <v>505</v>
      </c>
      <c r="H4730" s="6" t="n">
        <v>3.64</v>
      </c>
      <c r="I4730" s="6" t="n">
        <v>0</v>
      </c>
      <c r="J4730" s="40" t="n">
        <f aca="false">H4730-I4730</f>
        <v>3.64</v>
      </c>
      <c r="K4730" s="41" t="n">
        <v>26.5</v>
      </c>
      <c r="L4730" s="42" t="n">
        <f aca="false">J4730*K4730</f>
        <v>96.46</v>
      </c>
      <c r="M4730" s="43" t="n">
        <f aca="false">H4730*16.19*(1+'Chart of Accounts'!$E$67)</f>
        <v>67.476682</v>
      </c>
    </row>
    <row r="4731" customFormat="false" ht="15" hidden="false" customHeight="false" outlineLevel="0" collapsed="false">
      <c r="B4731" s="7" t="s">
        <v>5228</v>
      </c>
      <c r="C4731" s="39" t="n">
        <v>45887</v>
      </c>
      <c r="D4731" s="7" t="s">
        <v>325</v>
      </c>
      <c r="E4731" s="7" t="s">
        <v>154</v>
      </c>
      <c r="F4731" s="7" t="s">
        <v>207</v>
      </c>
      <c r="G4731" s="7" t="s">
        <v>505</v>
      </c>
      <c r="H4731" s="6" t="n">
        <v>3</v>
      </c>
      <c r="I4731" s="6" t="n">
        <v>0</v>
      </c>
      <c r="J4731" s="40" t="n">
        <f aca="false">H4731-I4731</f>
        <v>3</v>
      </c>
      <c r="K4731" s="41" t="n">
        <v>26.5</v>
      </c>
      <c r="L4731" s="42" t="n">
        <f aca="false">J4731*K4731</f>
        <v>79.5</v>
      </c>
      <c r="M4731" s="43" t="n">
        <f aca="false">H4731*16.65*(1+'Chart of Accounts'!$E$67)</f>
        <v>57.19275</v>
      </c>
    </row>
    <row r="4732" customFormat="false" ht="15" hidden="false" customHeight="false" outlineLevel="0" collapsed="false">
      <c r="B4732" s="7" t="s">
        <v>5229</v>
      </c>
      <c r="C4732" s="39" t="n">
        <v>45887</v>
      </c>
      <c r="D4732" s="7" t="s">
        <v>329</v>
      </c>
      <c r="E4732" s="7" t="s">
        <v>156</v>
      </c>
      <c r="F4732" s="7" t="s">
        <v>220</v>
      </c>
      <c r="G4732" s="7" t="s">
        <v>505</v>
      </c>
      <c r="H4732" s="6" t="n">
        <v>3.87</v>
      </c>
      <c r="I4732" s="6" t="n">
        <v>0</v>
      </c>
      <c r="J4732" s="40" t="n">
        <f aca="false">H4732-I4732</f>
        <v>3.87</v>
      </c>
      <c r="K4732" s="41" t="n">
        <v>34</v>
      </c>
      <c r="L4732" s="42" t="n">
        <f aca="false">J4732*K4732</f>
        <v>131.58</v>
      </c>
      <c r="M4732" s="43" t="n">
        <f aca="false">H4732*16.43*(1+'Chart of Accounts'!$E$67)</f>
        <v>72.8037945</v>
      </c>
    </row>
    <row r="4733" customFormat="false" ht="15" hidden="false" customHeight="false" outlineLevel="0" collapsed="false">
      <c r="B4733" s="7" t="s">
        <v>5230</v>
      </c>
      <c r="C4733" s="39" t="n">
        <v>45887</v>
      </c>
      <c r="D4733" s="7" t="s">
        <v>331</v>
      </c>
      <c r="E4733" s="7" t="s">
        <v>156</v>
      </c>
      <c r="F4733" s="7" t="s">
        <v>224</v>
      </c>
      <c r="G4733" s="7" t="s">
        <v>505</v>
      </c>
      <c r="H4733" s="6" t="n">
        <v>3.64</v>
      </c>
      <c r="I4733" s="6" t="n">
        <v>0</v>
      </c>
      <c r="J4733" s="40" t="n">
        <f aca="false">H4733-I4733</f>
        <v>3.64</v>
      </c>
      <c r="K4733" s="41" t="n">
        <v>34</v>
      </c>
      <c r="L4733" s="42" t="n">
        <f aca="false">J4733*K4733</f>
        <v>123.76</v>
      </c>
      <c r="M4733" s="43" t="n">
        <f aca="false">H4733*14.93*(1+'Chart of Accounts'!$E$67)</f>
        <v>62.225254</v>
      </c>
    </row>
    <row r="4734" customFormat="false" ht="15" hidden="false" customHeight="false" outlineLevel="0" collapsed="false">
      <c r="B4734" s="7" t="s">
        <v>5231</v>
      </c>
      <c r="C4734" s="39" t="n">
        <v>45887</v>
      </c>
      <c r="D4734" s="7" t="s">
        <v>335</v>
      </c>
      <c r="E4734" s="7" t="s">
        <v>154</v>
      </c>
      <c r="F4734" s="7" t="s">
        <v>177</v>
      </c>
      <c r="G4734" s="7" t="s">
        <v>505</v>
      </c>
      <c r="H4734" s="6" t="n">
        <v>4.09</v>
      </c>
      <c r="I4734" s="6" t="n">
        <v>0</v>
      </c>
      <c r="J4734" s="40" t="n">
        <f aca="false">H4734-I4734</f>
        <v>4.09</v>
      </c>
      <c r="K4734" s="41" t="n">
        <v>26.5</v>
      </c>
      <c r="L4734" s="42" t="n">
        <f aca="false">J4734*K4734</f>
        <v>108.385</v>
      </c>
      <c r="M4734" s="43" t="n">
        <f aca="false">H4734*14.56*(1+'Chart of Accounts'!$E$67)</f>
        <v>68.185208</v>
      </c>
    </row>
    <row r="4735" customFormat="false" ht="15" hidden="false" customHeight="false" outlineLevel="0" collapsed="false">
      <c r="B4735" s="7" t="s">
        <v>5232</v>
      </c>
      <c r="C4735" s="39" t="n">
        <v>45887</v>
      </c>
      <c r="D4735" s="7" t="s">
        <v>337</v>
      </c>
      <c r="E4735" s="7" t="s">
        <v>154</v>
      </c>
      <c r="F4735" s="7" t="s">
        <v>232</v>
      </c>
      <c r="G4735" s="7" t="s">
        <v>505</v>
      </c>
      <c r="H4735" s="6" t="n">
        <v>3.06</v>
      </c>
      <c r="I4735" s="6" t="n">
        <v>0</v>
      </c>
      <c r="J4735" s="40" t="n">
        <f aca="false">H4735-I4735</f>
        <v>3.06</v>
      </c>
      <c r="K4735" s="41" t="n">
        <v>26.5</v>
      </c>
      <c r="L4735" s="42" t="n">
        <f aca="false">J4735*K4735</f>
        <v>81.09</v>
      </c>
      <c r="M4735" s="43" t="n">
        <f aca="false">H4735*16.17*(1+'Chart of Accounts'!$E$67)</f>
        <v>56.654829</v>
      </c>
    </row>
    <row r="4736" customFormat="false" ht="15" hidden="false" customHeight="false" outlineLevel="0" collapsed="false">
      <c r="B4736" s="7" t="s">
        <v>5233</v>
      </c>
      <c r="C4736" s="39" t="n">
        <v>45887</v>
      </c>
      <c r="D4736" s="7" t="s">
        <v>339</v>
      </c>
      <c r="E4736" s="7" t="s">
        <v>154</v>
      </c>
      <c r="F4736" s="7" t="s">
        <v>242</v>
      </c>
      <c r="G4736" s="7" t="s">
        <v>505</v>
      </c>
      <c r="H4736" s="6" t="n">
        <v>3.3</v>
      </c>
      <c r="I4736" s="6" t="n">
        <v>0</v>
      </c>
      <c r="J4736" s="40" t="n">
        <f aca="false">H4736-I4736</f>
        <v>3.3</v>
      </c>
      <c r="K4736" s="41" t="n">
        <v>26.5</v>
      </c>
      <c r="L4736" s="42" t="n">
        <f aca="false">J4736*K4736</f>
        <v>87.45</v>
      </c>
      <c r="M4736" s="43" t="n">
        <f aca="false">H4736*17.99*(1+'Chart of Accounts'!$E$67)</f>
        <v>67.975215</v>
      </c>
    </row>
    <row r="4737" customFormat="false" ht="15" hidden="false" customHeight="false" outlineLevel="0" collapsed="false">
      <c r="B4737" s="7" t="s">
        <v>5234</v>
      </c>
      <c r="C4737" s="39" t="n">
        <v>45887</v>
      </c>
      <c r="D4737" s="7" t="s">
        <v>341</v>
      </c>
      <c r="E4737" s="7" t="s">
        <v>156</v>
      </c>
      <c r="F4737" s="7" t="s">
        <v>222</v>
      </c>
      <c r="G4737" s="7" t="s">
        <v>505</v>
      </c>
      <c r="H4737" s="6" t="n">
        <v>3.01</v>
      </c>
      <c r="I4737" s="6" t="n">
        <v>0</v>
      </c>
      <c r="J4737" s="40" t="n">
        <f aca="false">H4737-I4737</f>
        <v>3.01</v>
      </c>
      <c r="K4737" s="41" t="n">
        <v>34</v>
      </c>
      <c r="L4737" s="42" t="n">
        <f aca="false">J4737*K4737</f>
        <v>102.34</v>
      </c>
      <c r="M4737" s="43" t="n">
        <f aca="false">H4737*17.84*(1+'Chart of Accounts'!$E$67)</f>
        <v>61.484668</v>
      </c>
    </row>
    <row r="4738" customFormat="false" ht="15" hidden="false" customHeight="false" outlineLevel="0" collapsed="false">
      <c r="B4738" s="7" t="s">
        <v>5235</v>
      </c>
      <c r="C4738" s="39" t="n">
        <v>45887</v>
      </c>
      <c r="D4738" s="7" t="s">
        <v>343</v>
      </c>
      <c r="E4738" s="7" t="s">
        <v>154</v>
      </c>
      <c r="F4738" s="7" t="s">
        <v>184</v>
      </c>
      <c r="G4738" s="7" t="s">
        <v>505</v>
      </c>
      <c r="H4738" s="6" t="n">
        <v>4.11</v>
      </c>
      <c r="I4738" s="6" t="n">
        <v>0</v>
      </c>
      <c r="J4738" s="40" t="n">
        <f aca="false">H4738-I4738</f>
        <v>4.11</v>
      </c>
      <c r="K4738" s="41" t="n">
        <v>26.5</v>
      </c>
      <c r="L4738" s="42" t="n">
        <f aca="false">J4738*K4738</f>
        <v>108.915</v>
      </c>
      <c r="M4738" s="43" t="n">
        <f aca="false">H4738*17.34*(1+'Chart of Accounts'!$E$67)</f>
        <v>81.601173</v>
      </c>
    </row>
    <row r="4739" customFormat="false" ht="15" hidden="false" customHeight="false" outlineLevel="0" collapsed="false">
      <c r="B4739" s="7" t="s">
        <v>5236</v>
      </c>
      <c r="C4739" s="39" t="n">
        <v>45887</v>
      </c>
      <c r="D4739" s="7" t="s">
        <v>347</v>
      </c>
      <c r="E4739" s="7" t="s">
        <v>154</v>
      </c>
      <c r="F4739" s="7" t="s">
        <v>238</v>
      </c>
      <c r="G4739" s="7" t="s">
        <v>505</v>
      </c>
      <c r="H4739" s="6" t="n">
        <v>4.41</v>
      </c>
      <c r="I4739" s="6" t="n">
        <v>0.132</v>
      </c>
      <c r="J4739" s="40" t="n">
        <f aca="false">H4739-I4739</f>
        <v>4.278</v>
      </c>
      <c r="K4739" s="41" t="n">
        <v>26.5</v>
      </c>
      <c r="L4739" s="42" t="n">
        <f aca="false">J4739*K4739</f>
        <v>113.367</v>
      </c>
      <c r="M4739" s="43" t="n">
        <f aca="false">H4739*15.85*(1+'Chart of Accounts'!$E$67)</f>
        <v>80.0337825</v>
      </c>
    </row>
    <row r="4740" customFormat="false" ht="15" hidden="false" customHeight="false" outlineLevel="0" collapsed="false">
      <c r="B4740" s="7" t="s">
        <v>5237</v>
      </c>
      <c r="C4740" s="39" t="n">
        <v>45887</v>
      </c>
      <c r="D4740" s="7" t="s">
        <v>351</v>
      </c>
      <c r="E4740" s="7" t="s">
        <v>154</v>
      </c>
      <c r="F4740" s="7" t="s">
        <v>201</v>
      </c>
      <c r="G4740" s="7" t="s">
        <v>505</v>
      </c>
      <c r="H4740" s="6" t="n">
        <v>3</v>
      </c>
      <c r="I4740" s="6" t="n">
        <v>0</v>
      </c>
      <c r="J4740" s="40" t="n">
        <f aca="false">H4740-I4740</f>
        <v>3</v>
      </c>
      <c r="K4740" s="41" t="n">
        <v>26.5</v>
      </c>
      <c r="L4740" s="42" t="n">
        <f aca="false">J4740*K4740</f>
        <v>79.5</v>
      </c>
      <c r="M4740" s="43" t="n">
        <f aca="false">H4740*15.19*(1+'Chart of Accounts'!$E$67)</f>
        <v>52.17765</v>
      </c>
    </row>
    <row r="4741" customFormat="false" ht="15" hidden="false" customHeight="false" outlineLevel="0" collapsed="false">
      <c r="B4741" s="7" t="s">
        <v>5238</v>
      </c>
      <c r="C4741" s="39" t="n">
        <v>45887</v>
      </c>
      <c r="D4741" s="7" t="s">
        <v>353</v>
      </c>
      <c r="E4741" s="7" t="s">
        <v>154</v>
      </c>
      <c r="F4741" s="7" t="s">
        <v>254</v>
      </c>
      <c r="G4741" s="7" t="s">
        <v>505</v>
      </c>
      <c r="H4741" s="6" t="n">
        <v>3.11</v>
      </c>
      <c r="I4741" s="6" t="n">
        <v>0</v>
      </c>
      <c r="J4741" s="40" t="n">
        <f aca="false">H4741-I4741</f>
        <v>3.11</v>
      </c>
      <c r="K4741" s="41" t="n">
        <v>26.5</v>
      </c>
      <c r="L4741" s="42" t="n">
        <f aca="false">J4741*K4741</f>
        <v>82.415</v>
      </c>
      <c r="M4741" s="43" t="n">
        <f aca="false">H4741*17.1*(1+'Chart of Accounts'!$E$67)</f>
        <v>60.892245</v>
      </c>
    </row>
    <row r="4742" customFormat="false" ht="15" hidden="false" customHeight="false" outlineLevel="0" collapsed="false">
      <c r="B4742" s="7" t="s">
        <v>5239</v>
      </c>
      <c r="C4742" s="39" t="n">
        <v>45887</v>
      </c>
      <c r="D4742" s="7" t="s">
        <v>355</v>
      </c>
      <c r="E4742" s="7" t="s">
        <v>154</v>
      </c>
      <c r="F4742" s="7" t="s">
        <v>201</v>
      </c>
      <c r="G4742" s="7" t="s">
        <v>505</v>
      </c>
      <c r="H4742" s="6" t="n">
        <v>3.09</v>
      </c>
      <c r="I4742" s="6" t="n">
        <v>0</v>
      </c>
      <c r="J4742" s="40" t="n">
        <f aca="false">H4742-I4742</f>
        <v>3.09</v>
      </c>
      <c r="K4742" s="41" t="n">
        <v>26.5</v>
      </c>
      <c r="L4742" s="42" t="n">
        <f aca="false">J4742*K4742</f>
        <v>81.885</v>
      </c>
      <c r="M4742" s="43" t="n">
        <f aca="false">H4742*15.19*(1+'Chart of Accounts'!$E$67)</f>
        <v>53.7429795</v>
      </c>
    </row>
    <row r="4743" customFormat="false" ht="15" hidden="false" customHeight="false" outlineLevel="0" collapsed="false">
      <c r="B4743" s="7" t="s">
        <v>5240</v>
      </c>
      <c r="C4743" s="39" t="n">
        <v>45887</v>
      </c>
      <c r="D4743" s="7" t="s">
        <v>357</v>
      </c>
      <c r="E4743" s="7" t="s">
        <v>154</v>
      </c>
      <c r="F4743" s="7" t="s">
        <v>207</v>
      </c>
      <c r="G4743" s="7" t="s">
        <v>505</v>
      </c>
      <c r="H4743" s="6" t="n">
        <v>3.45</v>
      </c>
      <c r="I4743" s="6" t="n">
        <v>0</v>
      </c>
      <c r="J4743" s="40" t="n">
        <f aca="false">H4743-I4743</f>
        <v>3.45</v>
      </c>
      <c r="K4743" s="41" t="n">
        <v>26.5</v>
      </c>
      <c r="L4743" s="42" t="n">
        <f aca="false">J4743*K4743</f>
        <v>91.425</v>
      </c>
      <c r="M4743" s="43" t="n">
        <f aca="false">H4743*16.65*(1+'Chart of Accounts'!$E$67)</f>
        <v>65.7716625</v>
      </c>
    </row>
    <row r="4744" customFormat="false" ht="15" hidden="false" customHeight="false" outlineLevel="0" collapsed="false">
      <c r="B4744" s="7" t="s">
        <v>5241</v>
      </c>
      <c r="C4744" s="39" t="n">
        <v>45887</v>
      </c>
      <c r="D4744" s="7" t="s">
        <v>359</v>
      </c>
      <c r="E4744" s="7" t="s">
        <v>156</v>
      </c>
      <c r="F4744" s="7" t="s">
        <v>242</v>
      </c>
      <c r="G4744" s="7" t="s">
        <v>505</v>
      </c>
      <c r="H4744" s="6" t="n">
        <v>4.04</v>
      </c>
      <c r="I4744" s="6" t="n">
        <v>0</v>
      </c>
      <c r="J4744" s="40" t="n">
        <f aca="false">H4744-I4744</f>
        <v>4.04</v>
      </c>
      <c r="K4744" s="41" t="n">
        <v>34</v>
      </c>
      <c r="L4744" s="42" t="n">
        <f aca="false">J4744*K4744</f>
        <v>137.36</v>
      </c>
      <c r="M4744" s="43" t="n">
        <f aca="false">H4744*17.99*(1+'Chart of Accounts'!$E$67)</f>
        <v>83.218142</v>
      </c>
    </row>
    <row r="4745" customFormat="false" ht="15" hidden="false" customHeight="false" outlineLevel="0" collapsed="false">
      <c r="B4745" s="7" t="s">
        <v>5242</v>
      </c>
      <c r="C4745" s="39" t="n">
        <v>45887</v>
      </c>
      <c r="D4745" s="7" t="s">
        <v>363</v>
      </c>
      <c r="E4745" s="7" t="s">
        <v>156</v>
      </c>
      <c r="F4745" s="7" t="s">
        <v>246</v>
      </c>
      <c r="G4745" s="7" t="s">
        <v>505</v>
      </c>
      <c r="H4745" s="6" t="n">
        <v>4.26</v>
      </c>
      <c r="I4745" s="6" t="n">
        <v>0</v>
      </c>
      <c r="J4745" s="40" t="n">
        <f aca="false">H4745-I4745</f>
        <v>4.26</v>
      </c>
      <c r="K4745" s="41" t="n">
        <v>34</v>
      </c>
      <c r="L4745" s="42" t="n">
        <f aca="false">J4745*K4745</f>
        <v>144.84</v>
      </c>
      <c r="M4745" s="43" t="n">
        <f aca="false">H4745*16.48*(1+'Chart of Accounts'!$E$67)</f>
        <v>80.384496</v>
      </c>
    </row>
    <row r="4746" customFormat="false" ht="15" hidden="false" customHeight="false" outlineLevel="0" collapsed="false">
      <c r="B4746" s="7" t="s">
        <v>5243</v>
      </c>
      <c r="C4746" s="39" t="n">
        <v>45887</v>
      </c>
      <c r="D4746" s="7" t="s">
        <v>365</v>
      </c>
      <c r="E4746" s="7" t="s">
        <v>154</v>
      </c>
      <c r="F4746" s="7" t="s">
        <v>194</v>
      </c>
      <c r="G4746" s="7" t="s">
        <v>505</v>
      </c>
      <c r="H4746" s="6" t="n">
        <v>4.39</v>
      </c>
      <c r="I4746" s="6" t="n">
        <v>0</v>
      </c>
      <c r="J4746" s="40" t="n">
        <f aca="false">H4746-I4746</f>
        <v>4.39</v>
      </c>
      <c r="K4746" s="41" t="n">
        <v>26.5</v>
      </c>
      <c r="L4746" s="42" t="n">
        <f aca="false">J4746*K4746</f>
        <v>116.335</v>
      </c>
      <c r="M4746" s="43" t="n">
        <f aca="false">H4746*16*(1+'Chart of Accounts'!$E$67)</f>
        <v>80.4248</v>
      </c>
    </row>
    <row r="4747" customFormat="false" ht="15" hidden="false" customHeight="false" outlineLevel="0" collapsed="false">
      <c r="B4747" s="7" t="s">
        <v>5244</v>
      </c>
      <c r="C4747" s="39" t="n">
        <v>45887</v>
      </c>
      <c r="D4747" s="7" t="s">
        <v>371</v>
      </c>
      <c r="E4747" s="7" t="s">
        <v>154</v>
      </c>
      <c r="F4747" s="7" t="s">
        <v>232</v>
      </c>
      <c r="G4747" s="7" t="s">
        <v>505</v>
      </c>
      <c r="H4747" s="6" t="n">
        <v>4.26</v>
      </c>
      <c r="I4747" s="6" t="n">
        <v>0.128</v>
      </c>
      <c r="J4747" s="40" t="n">
        <f aca="false">H4747-I4747</f>
        <v>4.132</v>
      </c>
      <c r="K4747" s="41" t="n">
        <v>26.5</v>
      </c>
      <c r="L4747" s="42" t="n">
        <f aca="false">J4747*K4747</f>
        <v>109.498</v>
      </c>
      <c r="M4747" s="43" t="n">
        <f aca="false">H4747*16.17*(1+'Chart of Accounts'!$E$67)</f>
        <v>78.872409</v>
      </c>
    </row>
    <row r="4748" customFormat="false" ht="15" hidden="false" customHeight="false" outlineLevel="0" collapsed="false">
      <c r="B4748" s="7" t="s">
        <v>5245</v>
      </c>
      <c r="C4748" s="39" t="n">
        <v>45887</v>
      </c>
      <c r="D4748" s="7" t="s">
        <v>375</v>
      </c>
      <c r="E4748" s="7" t="s">
        <v>156</v>
      </c>
      <c r="F4748" s="7" t="s">
        <v>196</v>
      </c>
      <c r="G4748" s="7" t="s">
        <v>505</v>
      </c>
      <c r="H4748" s="6" t="n">
        <v>3.26</v>
      </c>
      <c r="I4748" s="6" t="n">
        <v>0</v>
      </c>
      <c r="J4748" s="40" t="n">
        <f aca="false">H4748-I4748</f>
        <v>3.26</v>
      </c>
      <c r="K4748" s="41" t="n">
        <v>34</v>
      </c>
      <c r="L4748" s="42" t="n">
        <f aca="false">J4748*K4748</f>
        <v>110.84</v>
      </c>
      <c r="M4748" s="43" t="n">
        <f aca="false">H4748*15.05*(1+'Chart of Accounts'!$E$67)</f>
        <v>56.177135</v>
      </c>
    </row>
    <row r="4749" customFormat="false" ht="15" hidden="false" customHeight="false" outlineLevel="0" collapsed="false">
      <c r="B4749" s="7" t="s">
        <v>5246</v>
      </c>
      <c r="C4749" s="39" t="n">
        <v>45887</v>
      </c>
      <c r="D4749" s="7" t="s">
        <v>377</v>
      </c>
      <c r="E4749" s="7" t="s">
        <v>154</v>
      </c>
      <c r="F4749" s="7" t="s">
        <v>214</v>
      </c>
      <c r="G4749" s="7" t="s">
        <v>505</v>
      </c>
      <c r="H4749" s="6" t="n">
        <v>4.38</v>
      </c>
      <c r="I4749" s="6" t="n">
        <v>0</v>
      </c>
      <c r="J4749" s="40" t="n">
        <f aca="false">H4749-I4749</f>
        <v>4.38</v>
      </c>
      <c r="K4749" s="41" t="n">
        <v>26.5</v>
      </c>
      <c r="L4749" s="42" t="n">
        <f aca="false">J4749*K4749</f>
        <v>116.07</v>
      </c>
      <c r="M4749" s="43" t="n">
        <f aca="false">H4749*15.67*(1+'Chart of Accounts'!$E$67)</f>
        <v>78.586617</v>
      </c>
    </row>
    <row r="4750" customFormat="false" ht="15" hidden="false" customHeight="false" outlineLevel="0" collapsed="false">
      <c r="B4750" s="7" t="s">
        <v>5247</v>
      </c>
      <c r="C4750" s="39" t="n">
        <v>45887</v>
      </c>
      <c r="D4750" s="7" t="s">
        <v>379</v>
      </c>
      <c r="E4750" s="7" t="s">
        <v>156</v>
      </c>
      <c r="F4750" s="7" t="s">
        <v>224</v>
      </c>
      <c r="G4750" s="7" t="s">
        <v>505</v>
      </c>
      <c r="H4750" s="6" t="n">
        <v>4.28</v>
      </c>
      <c r="I4750" s="6" t="n">
        <v>0</v>
      </c>
      <c r="J4750" s="40" t="n">
        <f aca="false">H4750-I4750</f>
        <v>4.28</v>
      </c>
      <c r="K4750" s="41" t="n">
        <v>34</v>
      </c>
      <c r="L4750" s="42" t="n">
        <f aca="false">J4750*K4750</f>
        <v>145.52</v>
      </c>
      <c r="M4750" s="43" t="n">
        <f aca="false">H4750*14.93*(1+'Chart of Accounts'!$E$67)</f>
        <v>73.165958</v>
      </c>
    </row>
    <row r="4751" customFormat="false" ht="15" hidden="false" customHeight="false" outlineLevel="0" collapsed="false">
      <c r="B4751" s="7" t="s">
        <v>5248</v>
      </c>
      <c r="C4751" s="39" t="n">
        <v>45887</v>
      </c>
      <c r="D4751" s="7" t="s">
        <v>385</v>
      </c>
      <c r="E4751" s="7" t="s">
        <v>156</v>
      </c>
      <c r="F4751" s="7" t="s">
        <v>238</v>
      </c>
      <c r="G4751" s="7" t="s">
        <v>505</v>
      </c>
      <c r="H4751" s="6" t="n">
        <v>3.89</v>
      </c>
      <c r="I4751" s="6" t="n">
        <v>0</v>
      </c>
      <c r="J4751" s="40" t="n">
        <f aca="false">H4751-I4751</f>
        <v>3.89</v>
      </c>
      <c r="K4751" s="41" t="n">
        <v>34</v>
      </c>
      <c r="L4751" s="42" t="n">
        <f aca="false">J4751*K4751</f>
        <v>132.26</v>
      </c>
      <c r="M4751" s="43" t="n">
        <f aca="false">H4751*15.85*(1+'Chart of Accounts'!$E$67)</f>
        <v>70.5966925</v>
      </c>
    </row>
    <row r="4752" customFormat="false" ht="15" hidden="false" customHeight="false" outlineLevel="0" collapsed="false">
      <c r="B4752" s="7" t="s">
        <v>5249</v>
      </c>
      <c r="C4752" s="39" t="n">
        <v>45887</v>
      </c>
      <c r="D4752" s="7" t="s">
        <v>387</v>
      </c>
      <c r="E4752" s="7" t="s">
        <v>154</v>
      </c>
      <c r="F4752" s="7" t="s">
        <v>196</v>
      </c>
      <c r="G4752" s="7" t="s">
        <v>505</v>
      </c>
      <c r="H4752" s="6" t="n">
        <v>4.33</v>
      </c>
      <c r="I4752" s="6" t="n">
        <v>0</v>
      </c>
      <c r="J4752" s="40" t="n">
        <f aca="false">H4752-I4752</f>
        <v>4.33</v>
      </c>
      <c r="K4752" s="41" t="n">
        <v>26.5</v>
      </c>
      <c r="L4752" s="42" t="n">
        <f aca="false">J4752*K4752</f>
        <v>114.745</v>
      </c>
      <c r="M4752" s="43" t="n">
        <f aca="false">H4752*15.05*(1+'Chart of Accounts'!$E$67)</f>
        <v>74.6156425</v>
      </c>
    </row>
    <row r="4753" customFormat="false" ht="15" hidden="false" customHeight="false" outlineLevel="0" collapsed="false">
      <c r="B4753" s="7" t="s">
        <v>5250</v>
      </c>
      <c r="C4753" s="39" t="n">
        <v>45887</v>
      </c>
      <c r="D4753" s="7" t="s">
        <v>389</v>
      </c>
      <c r="E4753" s="7" t="s">
        <v>154</v>
      </c>
      <c r="F4753" s="7" t="s">
        <v>246</v>
      </c>
      <c r="G4753" s="7" t="s">
        <v>505</v>
      </c>
      <c r="H4753" s="6" t="n">
        <v>4.34</v>
      </c>
      <c r="I4753" s="6" t="n">
        <v>0</v>
      </c>
      <c r="J4753" s="40" t="n">
        <f aca="false">H4753-I4753</f>
        <v>4.34</v>
      </c>
      <c r="K4753" s="41" t="n">
        <v>26.5</v>
      </c>
      <c r="L4753" s="42" t="n">
        <f aca="false">J4753*K4753</f>
        <v>115.01</v>
      </c>
      <c r="M4753" s="43" t="n">
        <f aca="false">H4753*16.48*(1+'Chart of Accounts'!$E$67)</f>
        <v>81.894064</v>
      </c>
    </row>
    <row r="4754" customFormat="false" ht="15" hidden="false" customHeight="false" outlineLevel="0" collapsed="false">
      <c r="B4754" s="7" t="s">
        <v>5251</v>
      </c>
      <c r="C4754" s="39" t="n">
        <v>45887</v>
      </c>
      <c r="D4754" s="7" t="s">
        <v>391</v>
      </c>
      <c r="E4754" s="7" t="s">
        <v>156</v>
      </c>
      <c r="F4754" s="7" t="s">
        <v>222</v>
      </c>
      <c r="G4754" s="7" t="s">
        <v>505</v>
      </c>
      <c r="H4754" s="6" t="n">
        <v>4.4</v>
      </c>
      <c r="I4754" s="6" t="n">
        <v>0</v>
      </c>
      <c r="J4754" s="40" t="n">
        <f aca="false">H4754-I4754</f>
        <v>4.4</v>
      </c>
      <c r="K4754" s="41" t="n">
        <v>34</v>
      </c>
      <c r="L4754" s="42" t="n">
        <f aca="false">J4754*K4754</f>
        <v>149.6</v>
      </c>
      <c r="M4754" s="43" t="n">
        <f aca="false">H4754*17.84*(1+'Chart of Accounts'!$E$67)</f>
        <v>89.87792</v>
      </c>
    </row>
    <row r="4755" customFormat="false" ht="15" hidden="false" customHeight="false" outlineLevel="0" collapsed="false">
      <c r="B4755" s="7" t="s">
        <v>5252</v>
      </c>
      <c r="C4755" s="39" t="n">
        <v>45887</v>
      </c>
      <c r="D4755" s="7" t="s">
        <v>395</v>
      </c>
      <c r="E4755" s="7" t="s">
        <v>156</v>
      </c>
      <c r="F4755" s="7" t="s">
        <v>242</v>
      </c>
      <c r="G4755" s="7" t="s">
        <v>505</v>
      </c>
      <c r="H4755" s="6" t="n">
        <v>3.66</v>
      </c>
      <c r="I4755" s="6" t="n">
        <v>0</v>
      </c>
      <c r="J4755" s="40" t="n">
        <f aca="false">H4755-I4755</f>
        <v>3.66</v>
      </c>
      <c r="K4755" s="41" t="n">
        <v>34</v>
      </c>
      <c r="L4755" s="42" t="n">
        <f aca="false">J4755*K4755</f>
        <v>124.44</v>
      </c>
      <c r="M4755" s="43" t="n">
        <f aca="false">H4755*17.99*(1+'Chart of Accounts'!$E$67)</f>
        <v>75.390693</v>
      </c>
    </row>
    <row r="4756" customFormat="false" ht="15" hidden="false" customHeight="false" outlineLevel="0" collapsed="false">
      <c r="B4756" s="7" t="s">
        <v>5253</v>
      </c>
      <c r="C4756" s="39" t="n">
        <v>45887</v>
      </c>
      <c r="D4756" s="7" t="s">
        <v>399</v>
      </c>
      <c r="E4756" s="7" t="s">
        <v>154</v>
      </c>
      <c r="F4756" s="7" t="s">
        <v>244</v>
      </c>
      <c r="G4756" s="7" t="s">
        <v>505</v>
      </c>
      <c r="H4756" s="6" t="n">
        <v>3.15</v>
      </c>
      <c r="I4756" s="6" t="n">
        <v>0</v>
      </c>
      <c r="J4756" s="40" t="n">
        <f aca="false">H4756-I4756</f>
        <v>3.15</v>
      </c>
      <c r="K4756" s="41" t="n">
        <v>26.5</v>
      </c>
      <c r="L4756" s="42" t="n">
        <f aca="false">J4756*K4756</f>
        <v>83.475</v>
      </c>
      <c r="M4756" s="43" t="n">
        <f aca="false">H4756*16.39*(1+'Chart of Accounts'!$E$67)</f>
        <v>59.1146325</v>
      </c>
    </row>
    <row r="4757" customFormat="false" ht="15" hidden="false" customHeight="false" outlineLevel="0" collapsed="false">
      <c r="B4757" s="7" t="s">
        <v>5254</v>
      </c>
      <c r="C4757" s="39" t="n">
        <v>45887</v>
      </c>
      <c r="D4757" s="7" t="s">
        <v>401</v>
      </c>
      <c r="E4757" s="7" t="s">
        <v>156</v>
      </c>
      <c r="F4757" s="7" t="s">
        <v>254</v>
      </c>
      <c r="G4757" s="7" t="s">
        <v>505</v>
      </c>
      <c r="H4757" s="6" t="n">
        <v>3.85</v>
      </c>
      <c r="I4757" s="6" t="n">
        <v>0</v>
      </c>
      <c r="J4757" s="40" t="n">
        <f aca="false">H4757-I4757</f>
        <v>3.85</v>
      </c>
      <c r="K4757" s="41" t="n">
        <v>34</v>
      </c>
      <c r="L4757" s="42" t="n">
        <f aca="false">J4757*K4757</f>
        <v>130.9</v>
      </c>
      <c r="M4757" s="43" t="n">
        <f aca="false">H4757*17.1*(1+'Chart of Accounts'!$E$67)</f>
        <v>75.381075</v>
      </c>
    </row>
    <row r="4758" customFormat="false" ht="15" hidden="false" customHeight="false" outlineLevel="0" collapsed="false">
      <c r="B4758" s="7" t="s">
        <v>5255</v>
      </c>
      <c r="C4758" s="39" t="n">
        <v>45887</v>
      </c>
      <c r="D4758" s="7" t="s">
        <v>403</v>
      </c>
      <c r="E4758" s="7" t="s">
        <v>156</v>
      </c>
      <c r="F4758" s="7" t="s">
        <v>184</v>
      </c>
      <c r="G4758" s="7" t="s">
        <v>505</v>
      </c>
      <c r="H4758" s="6" t="n">
        <v>4.38</v>
      </c>
      <c r="I4758" s="6" t="n">
        <v>0</v>
      </c>
      <c r="J4758" s="40" t="n">
        <f aca="false">H4758-I4758</f>
        <v>4.38</v>
      </c>
      <c r="K4758" s="41" t="n">
        <v>34</v>
      </c>
      <c r="L4758" s="42" t="n">
        <f aca="false">J4758*K4758</f>
        <v>148.92</v>
      </c>
      <c r="M4758" s="43" t="n">
        <f aca="false">H4758*17.34*(1+'Chart of Accounts'!$E$67)</f>
        <v>86.961834</v>
      </c>
    </row>
    <row r="4759" customFormat="false" ht="15" hidden="false" customHeight="false" outlineLevel="0" collapsed="false">
      <c r="B4759" s="7" t="s">
        <v>5256</v>
      </c>
      <c r="C4759" s="39" t="n">
        <v>45887</v>
      </c>
      <c r="D4759" s="7" t="s">
        <v>409</v>
      </c>
      <c r="E4759" s="7" t="s">
        <v>154</v>
      </c>
      <c r="F4759" s="7" t="s">
        <v>214</v>
      </c>
      <c r="G4759" s="7" t="s">
        <v>505</v>
      </c>
      <c r="H4759" s="6" t="n">
        <v>3.3</v>
      </c>
      <c r="I4759" s="6" t="n">
        <v>0</v>
      </c>
      <c r="J4759" s="40" t="n">
        <f aca="false">H4759-I4759</f>
        <v>3.3</v>
      </c>
      <c r="K4759" s="41" t="n">
        <v>26.5</v>
      </c>
      <c r="L4759" s="42" t="n">
        <f aca="false">J4759*K4759</f>
        <v>87.45</v>
      </c>
      <c r="M4759" s="43" t="n">
        <f aca="false">H4759*15.67*(1+'Chart of Accounts'!$E$67)</f>
        <v>59.209095</v>
      </c>
    </row>
    <row r="4760" customFormat="false" ht="15" hidden="false" customHeight="false" outlineLevel="0" collapsed="false">
      <c r="B4760" s="7" t="s">
        <v>5257</v>
      </c>
      <c r="C4760" s="39" t="n">
        <v>45887</v>
      </c>
      <c r="D4760" s="7" t="s">
        <v>411</v>
      </c>
      <c r="E4760" s="7" t="s">
        <v>154</v>
      </c>
      <c r="F4760" s="7" t="s">
        <v>177</v>
      </c>
      <c r="G4760" s="7" t="s">
        <v>505</v>
      </c>
      <c r="H4760" s="6" t="n">
        <v>4.49</v>
      </c>
      <c r="I4760" s="6" t="n">
        <v>0</v>
      </c>
      <c r="J4760" s="40" t="n">
        <f aca="false">H4760-I4760</f>
        <v>4.49</v>
      </c>
      <c r="K4760" s="41" t="n">
        <v>26.5</v>
      </c>
      <c r="L4760" s="42" t="n">
        <f aca="false">J4760*K4760</f>
        <v>118.985</v>
      </c>
      <c r="M4760" s="43" t="n">
        <f aca="false">H4760*14.56*(1+'Chart of Accounts'!$E$67)</f>
        <v>74.853688</v>
      </c>
    </row>
    <row r="4761" customFormat="false" ht="15" hidden="false" customHeight="false" outlineLevel="0" collapsed="false">
      <c r="B4761" s="7" t="s">
        <v>5258</v>
      </c>
      <c r="C4761" s="39" t="n">
        <v>45888</v>
      </c>
      <c r="D4761" s="7" t="s">
        <v>288</v>
      </c>
      <c r="E4761" s="7" t="s">
        <v>156</v>
      </c>
      <c r="F4761" s="7" t="s">
        <v>184</v>
      </c>
      <c r="G4761" s="7" t="s">
        <v>505</v>
      </c>
      <c r="H4761" s="6" t="n">
        <v>3.73</v>
      </c>
      <c r="I4761" s="6" t="n">
        <v>0</v>
      </c>
      <c r="J4761" s="40" t="n">
        <f aca="false">H4761-I4761</f>
        <v>3.73</v>
      </c>
      <c r="K4761" s="41" t="n">
        <v>34</v>
      </c>
      <c r="L4761" s="42" t="n">
        <f aca="false">J4761*K4761</f>
        <v>126.82</v>
      </c>
      <c r="M4761" s="43" t="n">
        <f aca="false">H4761*17.34*(1+'Chart of Accounts'!$E$67)</f>
        <v>74.056539</v>
      </c>
    </row>
    <row r="4762" customFormat="false" ht="15" hidden="false" customHeight="false" outlineLevel="0" collapsed="false">
      <c r="B4762" s="7" t="s">
        <v>5259</v>
      </c>
      <c r="C4762" s="39" t="n">
        <v>45888</v>
      </c>
      <c r="D4762" s="7" t="s">
        <v>301</v>
      </c>
      <c r="E4762" s="7" t="s">
        <v>157</v>
      </c>
      <c r="F4762" s="7" t="s">
        <v>209</v>
      </c>
      <c r="G4762" s="7" t="s">
        <v>502</v>
      </c>
      <c r="H4762" s="6" t="n">
        <v>0.98</v>
      </c>
      <c r="I4762" s="6" t="n">
        <v>0</v>
      </c>
      <c r="J4762" s="40" t="n">
        <f aca="false">H4762-I4762</f>
        <v>0.98</v>
      </c>
      <c r="K4762" s="41" t="n">
        <v>165</v>
      </c>
      <c r="L4762" s="42" t="n">
        <f aca="false">J4762*K4762</f>
        <v>161.7</v>
      </c>
      <c r="M4762" s="43" t="n">
        <f aca="false">H4762*73.58*(1+'Chart of Accounts'!$E$67)</f>
        <v>82.564118</v>
      </c>
    </row>
    <row r="4763" customFormat="false" ht="15" hidden="false" customHeight="false" outlineLevel="0" collapsed="false">
      <c r="B4763" s="7" t="s">
        <v>5260</v>
      </c>
      <c r="C4763" s="39" t="n">
        <v>45888</v>
      </c>
      <c r="D4763" s="7" t="s">
        <v>313</v>
      </c>
      <c r="E4763" s="7" t="s">
        <v>156</v>
      </c>
      <c r="F4763" s="7" t="s">
        <v>184</v>
      </c>
      <c r="G4763" s="7" t="s">
        <v>505</v>
      </c>
      <c r="H4763" s="6" t="n">
        <v>3.68</v>
      </c>
      <c r="I4763" s="6" t="n">
        <v>0</v>
      </c>
      <c r="J4763" s="40" t="n">
        <f aca="false">H4763-I4763</f>
        <v>3.68</v>
      </c>
      <c r="K4763" s="41" t="n">
        <v>34</v>
      </c>
      <c r="L4763" s="42" t="n">
        <f aca="false">J4763*K4763</f>
        <v>125.12</v>
      </c>
      <c r="M4763" s="43" t="n">
        <f aca="false">H4763*17.34*(1+'Chart of Accounts'!$E$67)</f>
        <v>73.063824</v>
      </c>
    </row>
    <row r="4764" customFormat="false" ht="15" hidden="false" customHeight="false" outlineLevel="0" collapsed="false">
      <c r="B4764" s="7" t="s">
        <v>5261</v>
      </c>
      <c r="C4764" s="39" t="n">
        <v>45888</v>
      </c>
      <c r="D4764" s="7" t="s">
        <v>319</v>
      </c>
      <c r="E4764" s="7" t="s">
        <v>157</v>
      </c>
      <c r="F4764" s="7" t="s">
        <v>234</v>
      </c>
      <c r="G4764" s="7" t="s">
        <v>502</v>
      </c>
      <c r="H4764" s="6" t="n">
        <v>0.95</v>
      </c>
      <c r="I4764" s="6" t="n">
        <v>0</v>
      </c>
      <c r="J4764" s="40" t="n">
        <f aca="false">H4764-I4764</f>
        <v>0.95</v>
      </c>
      <c r="K4764" s="41" t="n">
        <v>165</v>
      </c>
      <c r="L4764" s="42" t="n">
        <f aca="false">J4764*K4764</f>
        <v>156.75</v>
      </c>
      <c r="M4764" s="43" t="n">
        <f aca="false">H4764*89.53*(1+'Chart of Accounts'!$E$67)</f>
        <v>97.3862575</v>
      </c>
    </row>
    <row r="4765" customFormat="false" ht="15" hidden="false" customHeight="false" outlineLevel="0" collapsed="false">
      <c r="B4765" s="7" t="s">
        <v>5262</v>
      </c>
      <c r="C4765" s="39" t="n">
        <v>45888</v>
      </c>
      <c r="D4765" s="7" t="s">
        <v>321</v>
      </c>
      <c r="E4765" s="7" t="s">
        <v>154</v>
      </c>
      <c r="F4765" s="7" t="s">
        <v>218</v>
      </c>
      <c r="G4765" s="7" t="s">
        <v>505</v>
      </c>
      <c r="H4765" s="6" t="n">
        <v>3.68</v>
      </c>
      <c r="I4765" s="6" t="n">
        <v>0.11</v>
      </c>
      <c r="J4765" s="40" t="n">
        <f aca="false">H4765-I4765</f>
        <v>3.57</v>
      </c>
      <c r="K4765" s="41" t="n">
        <v>26.5</v>
      </c>
      <c r="L4765" s="42" t="n">
        <f aca="false">J4765*K4765</f>
        <v>94.605</v>
      </c>
      <c r="M4765" s="43" t="n">
        <f aca="false">H4765*16.19*(1+'Chart of Accounts'!$E$67)</f>
        <v>68.218184</v>
      </c>
    </row>
    <row r="4766" customFormat="false" ht="15" hidden="false" customHeight="false" outlineLevel="0" collapsed="false">
      <c r="B4766" s="7" t="s">
        <v>5263</v>
      </c>
      <c r="C4766" s="39" t="n">
        <v>45888</v>
      </c>
      <c r="D4766" s="7" t="s">
        <v>323</v>
      </c>
      <c r="E4766" s="7" t="s">
        <v>159</v>
      </c>
      <c r="F4766" s="7" t="s">
        <v>266</v>
      </c>
      <c r="G4766" s="7" t="s">
        <v>502</v>
      </c>
      <c r="H4766" s="6" t="n">
        <v>0.93</v>
      </c>
      <c r="I4766" s="6" t="n">
        <v>0</v>
      </c>
      <c r="J4766" s="40" t="n">
        <f aca="false">H4766-I4766</f>
        <v>0.93</v>
      </c>
      <c r="K4766" s="41" t="n">
        <v>135</v>
      </c>
      <c r="L4766" s="42" t="n">
        <f aca="false">J4766*K4766</f>
        <v>125.55</v>
      </c>
      <c r="M4766" s="43" t="n">
        <f aca="false">H4766*75.18*(1+'Chart of Accounts'!$E$67)</f>
        <v>80.055423</v>
      </c>
    </row>
    <row r="4767" customFormat="false" ht="15" hidden="false" customHeight="false" outlineLevel="0" collapsed="false">
      <c r="B4767" s="7" t="s">
        <v>5264</v>
      </c>
      <c r="C4767" s="39" t="n">
        <v>45888</v>
      </c>
      <c r="D4767" s="7" t="s">
        <v>327</v>
      </c>
      <c r="E4767" s="7" t="s">
        <v>157</v>
      </c>
      <c r="F4767" s="7" t="s">
        <v>228</v>
      </c>
      <c r="G4767" s="7" t="s">
        <v>502</v>
      </c>
      <c r="H4767" s="6" t="n">
        <v>1.03</v>
      </c>
      <c r="I4767" s="6" t="n">
        <v>0</v>
      </c>
      <c r="J4767" s="40" t="n">
        <f aca="false">H4767-I4767</f>
        <v>1.03</v>
      </c>
      <c r="K4767" s="41" t="n">
        <v>165</v>
      </c>
      <c r="L4767" s="42" t="n">
        <f aca="false">J4767*K4767</f>
        <v>169.95</v>
      </c>
      <c r="M4767" s="43" t="n">
        <f aca="false">H4767*51.07*(1+'Chart of Accounts'!$E$67)</f>
        <v>60.2294045</v>
      </c>
    </row>
    <row r="4768" customFormat="false" ht="15" hidden="false" customHeight="false" outlineLevel="0" collapsed="false">
      <c r="B4768" s="7" t="s">
        <v>5265</v>
      </c>
      <c r="C4768" s="39" t="n">
        <v>45888</v>
      </c>
      <c r="D4768" s="7" t="s">
        <v>329</v>
      </c>
      <c r="E4768" s="7" t="s">
        <v>156</v>
      </c>
      <c r="F4768" s="7" t="s">
        <v>220</v>
      </c>
      <c r="G4768" s="7" t="s">
        <v>505</v>
      </c>
      <c r="H4768" s="6" t="n">
        <v>3.61</v>
      </c>
      <c r="I4768" s="6" t="n">
        <v>0</v>
      </c>
      <c r="J4768" s="40" t="n">
        <f aca="false">H4768-I4768</f>
        <v>3.61</v>
      </c>
      <c r="K4768" s="41" t="n">
        <v>34</v>
      </c>
      <c r="L4768" s="42" t="n">
        <f aca="false">J4768*K4768</f>
        <v>122.74</v>
      </c>
      <c r="M4768" s="43" t="n">
        <f aca="false">H4768*16.43*(1+'Chart of Accounts'!$E$67)</f>
        <v>67.9125835</v>
      </c>
    </row>
    <row r="4769" customFormat="false" ht="15" hidden="false" customHeight="false" outlineLevel="0" collapsed="false">
      <c r="B4769" s="7" t="s">
        <v>5266</v>
      </c>
      <c r="C4769" s="39" t="n">
        <v>45888</v>
      </c>
      <c r="D4769" s="7" t="s">
        <v>359</v>
      </c>
      <c r="E4769" s="7" t="s">
        <v>156</v>
      </c>
      <c r="F4769" s="7" t="s">
        <v>246</v>
      </c>
      <c r="G4769" s="7" t="s">
        <v>505</v>
      </c>
      <c r="H4769" s="6" t="n">
        <v>3.99</v>
      </c>
      <c r="I4769" s="6" t="n">
        <v>0</v>
      </c>
      <c r="J4769" s="40" t="n">
        <f aca="false">H4769-I4769</f>
        <v>3.99</v>
      </c>
      <c r="K4769" s="41" t="n">
        <v>34</v>
      </c>
      <c r="L4769" s="42" t="n">
        <f aca="false">J4769*K4769</f>
        <v>135.66</v>
      </c>
      <c r="M4769" s="43" t="n">
        <f aca="false">H4769*16.48*(1+'Chart of Accounts'!$E$67)</f>
        <v>75.289704</v>
      </c>
    </row>
    <row r="4770" customFormat="false" ht="15" hidden="false" customHeight="false" outlineLevel="0" collapsed="false">
      <c r="B4770" s="7" t="s">
        <v>5267</v>
      </c>
      <c r="C4770" s="39" t="n">
        <v>45888</v>
      </c>
      <c r="D4770" s="7" t="s">
        <v>361</v>
      </c>
      <c r="E4770" s="7" t="s">
        <v>157</v>
      </c>
      <c r="F4770" s="7" t="s">
        <v>209</v>
      </c>
      <c r="G4770" s="7" t="s">
        <v>502</v>
      </c>
      <c r="H4770" s="6" t="n">
        <v>0.92</v>
      </c>
      <c r="I4770" s="6" t="n">
        <v>0</v>
      </c>
      <c r="J4770" s="40" t="n">
        <f aca="false">H4770-I4770</f>
        <v>0.92</v>
      </c>
      <c r="K4770" s="41" t="n">
        <v>165</v>
      </c>
      <c r="L4770" s="42" t="n">
        <f aca="false">J4770*K4770</f>
        <v>151.8</v>
      </c>
      <c r="M4770" s="43" t="n">
        <f aca="false">H4770*73.58*(1+'Chart of Accounts'!$E$67)</f>
        <v>77.509172</v>
      </c>
    </row>
    <row r="4771" customFormat="false" ht="15" hidden="false" customHeight="false" outlineLevel="0" collapsed="false">
      <c r="B4771" s="7" t="s">
        <v>5268</v>
      </c>
      <c r="C4771" s="39" t="n">
        <v>45888</v>
      </c>
      <c r="D4771" s="7" t="s">
        <v>365</v>
      </c>
      <c r="E4771" s="7" t="s">
        <v>154</v>
      </c>
      <c r="F4771" s="7" t="s">
        <v>194</v>
      </c>
      <c r="G4771" s="7" t="s">
        <v>505</v>
      </c>
      <c r="H4771" s="6" t="n">
        <v>4.38</v>
      </c>
      <c r="I4771" s="6" t="n">
        <v>0</v>
      </c>
      <c r="J4771" s="40" t="n">
        <f aca="false">H4771-I4771</f>
        <v>4.38</v>
      </c>
      <c r="K4771" s="41" t="n">
        <v>26.5</v>
      </c>
      <c r="L4771" s="42" t="n">
        <f aca="false">J4771*K4771</f>
        <v>116.07</v>
      </c>
      <c r="M4771" s="43" t="n">
        <f aca="false">H4771*16*(1+'Chart of Accounts'!$E$67)</f>
        <v>80.2416</v>
      </c>
    </row>
    <row r="4772" customFormat="false" ht="15" hidden="false" customHeight="false" outlineLevel="0" collapsed="false">
      <c r="B4772" s="7" t="s">
        <v>5269</v>
      </c>
      <c r="C4772" s="39" t="n">
        <v>45888</v>
      </c>
      <c r="D4772" s="7" t="s">
        <v>369</v>
      </c>
      <c r="E4772" s="7" t="s">
        <v>159</v>
      </c>
      <c r="F4772" s="7" t="s">
        <v>258</v>
      </c>
      <c r="G4772" s="7" t="s">
        <v>502</v>
      </c>
      <c r="H4772" s="6" t="n">
        <v>1.05</v>
      </c>
      <c r="I4772" s="6" t="n">
        <v>0</v>
      </c>
      <c r="J4772" s="40" t="n">
        <f aca="false">H4772-I4772</f>
        <v>1.05</v>
      </c>
      <c r="K4772" s="41" t="n">
        <v>135</v>
      </c>
      <c r="L4772" s="42" t="n">
        <f aca="false">J4772*K4772</f>
        <v>141.75</v>
      </c>
      <c r="M4772" s="43" t="n">
        <f aca="false">H4772*61.61*(1+'Chart of Accounts'!$E$67)</f>
        <v>74.0706225</v>
      </c>
    </row>
    <row r="4773" customFormat="false" ht="15" hidden="false" customHeight="false" outlineLevel="0" collapsed="false">
      <c r="B4773" s="7" t="s">
        <v>5270</v>
      </c>
      <c r="C4773" s="39" t="n">
        <v>45888</v>
      </c>
      <c r="D4773" s="7" t="s">
        <v>381</v>
      </c>
      <c r="E4773" s="7" t="s">
        <v>157</v>
      </c>
      <c r="F4773" s="7" t="s">
        <v>234</v>
      </c>
      <c r="G4773" s="7" t="s">
        <v>502</v>
      </c>
      <c r="H4773" s="6" t="n">
        <v>1.02</v>
      </c>
      <c r="I4773" s="6" t="n">
        <v>0</v>
      </c>
      <c r="J4773" s="40" t="n">
        <f aca="false">H4773-I4773</f>
        <v>1.02</v>
      </c>
      <c r="K4773" s="41" t="n">
        <v>165</v>
      </c>
      <c r="L4773" s="42" t="n">
        <f aca="false">J4773*K4773</f>
        <v>168.3</v>
      </c>
      <c r="M4773" s="43" t="n">
        <f aca="false">H4773*89.53*(1+'Chart of Accounts'!$E$67)</f>
        <v>104.562087</v>
      </c>
    </row>
    <row r="4774" customFormat="false" ht="15" hidden="false" customHeight="false" outlineLevel="0" collapsed="false">
      <c r="B4774" s="7" t="s">
        <v>5271</v>
      </c>
      <c r="C4774" s="39" t="n">
        <v>45888</v>
      </c>
      <c r="D4774" s="7" t="s">
        <v>383</v>
      </c>
      <c r="E4774" s="7" t="s">
        <v>157</v>
      </c>
      <c r="F4774" s="7" t="s">
        <v>230</v>
      </c>
      <c r="G4774" s="7" t="s">
        <v>502</v>
      </c>
      <c r="H4774" s="6" t="n">
        <v>1.07</v>
      </c>
      <c r="I4774" s="6" t="n">
        <v>0</v>
      </c>
      <c r="J4774" s="40" t="n">
        <f aca="false">H4774-I4774</f>
        <v>1.07</v>
      </c>
      <c r="K4774" s="41" t="n">
        <v>165</v>
      </c>
      <c r="L4774" s="42" t="n">
        <f aca="false">J4774*K4774</f>
        <v>176.55</v>
      </c>
      <c r="M4774" s="43" t="n">
        <f aca="false">H4774*48.78*(1+'Chart of Accounts'!$E$67)</f>
        <v>59.762817</v>
      </c>
    </row>
    <row r="4775" customFormat="false" ht="15" hidden="false" customHeight="false" outlineLevel="0" collapsed="false">
      <c r="B4775" s="7" t="s">
        <v>5272</v>
      </c>
      <c r="C4775" s="39" t="n">
        <v>45888</v>
      </c>
      <c r="D4775" s="7" t="s">
        <v>387</v>
      </c>
      <c r="E4775" s="7" t="s">
        <v>154</v>
      </c>
      <c r="F4775" s="7" t="s">
        <v>196</v>
      </c>
      <c r="G4775" s="7" t="s">
        <v>505</v>
      </c>
      <c r="H4775" s="6" t="n">
        <v>4.3</v>
      </c>
      <c r="I4775" s="6" t="n">
        <v>0</v>
      </c>
      <c r="J4775" s="40" t="n">
        <f aca="false">H4775-I4775</f>
        <v>4.3</v>
      </c>
      <c r="K4775" s="41" t="n">
        <v>26.5</v>
      </c>
      <c r="L4775" s="42" t="n">
        <f aca="false">J4775*K4775</f>
        <v>113.95</v>
      </c>
      <c r="M4775" s="43" t="n">
        <f aca="false">H4775*15.05*(1+'Chart of Accounts'!$E$67)</f>
        <v>74.098675</v>
      </c>
    </row>
    <row r="4776" customFormat="false" ht="15" hidden="false" customHeight="false" outlineLevel="0" collapsed="false">
      <c r="B4776" s="7" t="s">
        <v>5273</v>
      </c>
      <c r="C4776" s="39" t="n">
        <v>45888</v>
      </c>
      <c r="D4776" s="7" t="s">
        <v>389</v>
      </c>
      <c r="E4776" s="7" t="s">
        <v>154</v>
      </c>
      <c r="F4776" s="7" t="s">
        <v>246</v>
      </c>
      <c r="G4776" s="7" t="s">
        <v>505</v>
      </c>
      <c r="H4776" s="6" t="n">
        <v>4.15</v>
      </c>
      <c r="I4776" s="6" t="n">
        <v>0.124</v>
      </c>
      <c r="J4776" s="40" t="n">
        <f aca="false">H4776-I4776</f>
        <v>4.026</v>
      </c>
      <c r="K4776" s="41" t="n">
        <v>26.5</v>
      </c>
      <c r="L4776" s="42" t="n">
        <f aca="false">J4776*K4776</f>
        <v>106.689</v>
      </c>
      <c r="M4776" s="43" t="n">
        <f aca="false">H4776*16.48*(1+'Chart of Accounts'!$E$67)</f>
        <v>78.30884</v>
      </c>
    </row>
    <row r="4777" customFormat="false" ht="15" hidden="false" customHeight="false" outlineLevel="0" collapsed="false">
      <c r="B4777" s="7" t="s">
        <v>5274</v>
      </c>
      <c r="C4777" s="39" t="n">
        <v>45888</v>
      </c>
      <c r="D4777" s="7" t="s">
        <v>391</v>
      </c>
      <c r="E4777" s="7" t="s">
        <v>156</v>
      </c>
      <c r="F4777" s="7" t="s">
        <v>222</v>
      </c>
      <c r="G4777" s="7" t="s">
        <v>505</v>
      </c>
      <c r="H4777" s="6" t="n">
        <v>3.78</v>
      </c>
      <c r="I4777" s="6" t="n">
        <v>0</v>
      </c>
      <c r="J4777" s="40" t="n">
        <f aca="false">H4777-I4777</f>
        <v>3.78</v>
      </c>
      <c r="K4777" s="41" t="n">
        <v>34</v>
      </c>
      <c r="L4777" s="42" t="n">
        <f aca="false">J4777*K4777</f>
        <v>128.52</v>
      </c>
      <c r="M4777" s="43" t="n">
        <f aca="false">H4777*17.84*(1+'Chart of Accounts'!$E$67)</f>
        <v>77.213304</v>
      </c>
    </row>
    <row r="4778" customFormat="false" ht="15" hidden="false" customHeight="false" outlineLevel="0" collapsed="false">
      <c r="B4778" s="7" t="s">
        <v>5275</v>
      </c>
      <c r="C4778" s="39" t="n">
        <v>45888</v>
      </c>
      <c r="D4778" s="7" t="s">
        <v>395</v>
      </c>
      <c r="E4778" s="7" t="s">
        <v>156</v>
      </c>
      <c r="F4778" s="7" t="s">
        <v>242</v>
      </c>
      <c r="G4778" s="7" t="s">
        <v>505</v>
      </c>
      <c r="H4778" s="6" t="n">
        <v>3.62</v>
      </c>
      <c r="I4778" s="6" t="n">
        <v>0</v>
      </c>
      <c r="J4778" s="40" t="n">
        <f aca="false">H4778-I4778</f>
        <v>3.62</v>
      </c>
      <c r="K4778" s="41" t="n">
        <v>34</v>
      </c>
      <c r="L4778" s="42" t="n">
        <f aca="false">J4778*K4778</f>
        <v>123.08</v>
      </c>
      <c r="M4778" s="43" t="n">
        <f aca="false">H4778*17.99*(1+'Chart of Accounts'!$E$67)</f>
        <v>74.566751</v>
      </c>
    </row>
    <row r="4779" customFormat="false" ht="15" hidden="false" customHeight="false" outlineLevel="0" collapsed="false">
      <c r="B4779" s="7" t="s">
        <v>5276</v>
      </c>
      <c r="C4779" s="39" t="n">
        <v>45888</v>
      </c>
      <c r="D4779" s="7" t="s">
        <v>397</v>
      </c>
      <c r="E4779" s="7" t="s">
        <v>159</v>
      </c>
      <c r="F4779" s="7" t="s">
        <v>203</v>
      </c>
      <c r="G4779" s="7" t="s">
        <v>502</v>
      </c>
      <c r="H4779" s="6" t="n">
        <v>1.04</v>
      </c>
      <c r="I4779" s="6" t="n">
        <v>0</v>
      </c>
      <c r="J4779" s="40" t="n">
        <f aca="false">H4779-I4779</f>
        <v>1.04</v>
      </c>
      <c r="K4779" s="41" t="n">
        <v>135</v>
      </c>
      <c r="L4779" s="42" t="n">
        <f aca="false">J4779*K4779</f>
        <v>140.4</v>
      </c>
      <c r="M4779" s="43" t="n">
        <f aca="false">H4779*49.43*(1+'Chart of Accounts'!$E$67)</f>
        <v>58.861244</v>
      </c>
    </row>
    <row r="4780" customFormat="false" ht="15" hidden="false" customHeight="false" outlineLevel="0" collapsed="false">
      <c r="B4780" s="7" t="s">
        <v>5277</v>
      </c>
      <c r="C4780" s="39" t="n">
        <v>45888</v>
      </c>
      <c r="D4780" s="7" t="s">
        <v>401</v>
      </c>
      <c r="E4780" s="7" t="s">
        <v>156</v>
      </c>
      <c r="F4780" s="7" t="s">
        <v>254</v>
      </c>
      <c r="G4780" s="7" t="s">
        <v>505</v>
      </c>
      <c r="H4780" s="6" t="n">
        <v>4.4</v>
      </c>
      <c r="I4780" s="6" t="n">
        <v>0</v>
      </c>
      <c r="J4780" s="40" t="n">
        <f aca="false">H4780-I4780</f>
        <v>4.4</v>
      </c>
      <c r="K4780" s="41" t="n">
        <v>34</v>
      </c>
      <c r="L4780" s="42" t="n">
        <f aca="false">J4780*K4780</f>
        <v>149.6</v>
      </c>
      <c r="M4780" s="43" t="n">
        <f aca="false">H4780*17.1*(1+'Chart of Accounts'!$E$67)</f>
        <v>86.1498</v>
      </c>
    </row>
    <row r="4781" customFormat="false" ht="15" hidden="false" customHeight="false" outlineLevel="0" collapsed="false">
      <c r="B4781" s="7" t="s">
        <v>5278</v>
      </c>
      <c r="C4781" s="39" t="n">
        <v>45888</v>
      </c>
      <c r="D4781" s="7" t="s">
        <v>407</v>
      </c>
      <c r="E4781" s="7" t="s">
        <v>159</v>
      </c>
      <c r="F4781" s="7" t="s">
        <v>260</v>
      </c>
      <c r="G4781" s="7" t="s">
        <v>502</v>
      </c>
      <c r="H4781" s="6" t="n">
        <v>0.98</v>
      </c>
      <c r="I4781" s="6" t="n">
        <v>0</v>
      </c>
      <c r="J4781" s="40" t="n">
        <f aca="false">H4781-I4781</f>
        <v>0.98</v>
      </c>
      <c r="K4781" s="41" t="n">
        <v>135</v>
      </c>
      <c r="L4781" s="42" t="n">
        <f aca="false">J4781*K4781</f>
        <v>132.3</v>
      </c>
      <c r="M4781" s="43" t="n">
        <f aca="false">H4781*79.8*(1+'Chart of Accounts'!$E$67)</f>
        <v>89.54358</v>
      </c>
    </row>
    <row r="4782" customFormat="false" ht="15" hidden="false" customHeight="false" outlineLevel="0" collapsed="false">
      <c r="B4782" s="7" t="s">
        <v>5279</v>
      </c>
      <c r="C4782" s="39" t="n">
        <v>45889</v>
      </c>
      <c r="D4782" s="7" t="s">
        <v>280</v>
      </c>
      <c r="E4782" s="7" t="s">
        <v>157</v>
      </c>
      <c r="F4782" s="7" t="s">
        <v>187</v>
      </c>
      <c r="G4782" s="7" t="s">
        <v>502</v>
      </c>
      <c r="H4782" s="6" t="n">
        <v>0.98</v>
      </c>
      <c r="I4782" s="6" t="n">
        <v>0.049</v>
      </c>
      <c r="J4782" s="40" t="n">
        <f aca="false">H4782-I4782</f>
        <v>0.931</v>
      </c>
      <c r="K4782" s="41" t="n">
        <v>165</v>
      </c>
      <c r="L4782" s="42" t="n">
        <f aca="false">J4782*K4782</f>
        <v>153.615</v>
      </c>
      <c r="M4782" s="43" t="n">
        <f aca="false">H4782*66.48*(1+'Chart of Accounts'!$E$67)</f>
        <v>74.597208</v>
      </c>
    </row>
    <row r="4783" customFormat="false" ht="15" hidden="false" customHeight="false" outlineLevel="0" collapsed="false">
      <c r="B4783" s="7" t="s">
        <v>5280</v>
      </c>
      <c r="C4783" s="39" t="n">
        <v>45889</v>
      </c>
      <c r="D4783" s="7" t="s">
        <v>288</v>
      </c>
      <c r="E4783" s="7" t="s">
        <v>156</v>
      </c>
      <c r="F4783" s="7" t="s">
        <v>177</v>
      </c>
      <c r="G4783" s="7" t="s">
        <v>505</v>
      </c>
      <c r="H4783" s="6" t="n">
        <v>4.23</v>
      </c>
      <c r="I4783" s="6" t="n">
        <v>0</v>
      </c>
      <c r="J4783" s="40" t="n">
        <f aca="false">H4783-I4783</f>
        <v>4.23</v>
      </c>
      <c r="K4783" s="41" t="n">
        <v>34</v>
      </c>
      <c r="L4783" s="42" t="n">
        <f aca="false">J4783*K4783</f>
        <v>143.82</v>
      </c>
      <c r="M4783" s="43" t="n">
        <f aca="false">H4783*14.56*(1+'Chart of Accounts'!$E$67)</f>
        <v>70.519176</v>
      </c>
    </row>
    <row r="4784" customFormat="false" ht="15" hidden="false" customHeight="false" outlineLevel="0" collapsed="false">
      <c r="B4784" s="7" t="s">
        <v>5281</v>
      </c>
      <c r="C4784" s="39" t="n">
        <v>45889</v>
      </c>
      <c r="D4784" s="7" t="s">
        <v>291</v>
      </c>
      <c r="E4784" s="7" t="s">
        <v>154</v>
      </c>
      <c r="F4784" s="7" t="s">
        <v>194</v>
      </c>
      <c r="G4784" s="7" t="s">
        <v>505</v>
      </c>
      <c r="H4784" s="6" t="n">
        <v>4.33</v>
      </c>
      <c r="I4784" s="6" t="n">
        <v>0</v>
      </c>
      <c r="J4784" s="40" t="n">
        <f aca="false">H4784-I4784</f>
        <v>4.33</v>
      </c>
      <c r="K4784" s="41" t="n">
        <v>26.5</v>
      </c>
      <c r="L4784" s="42" t="n">
        <f aca="false">J4784*K4784</f>
        <v>114.745</v>
      </c>
      <c r="M4784" s="43" t="n">
        <f aca="false">H4784*16*(1+'Chart of Accounts'!$E$67)</f>
        <v>79.3256</v>
      </c>
    </row>
    <row r="4785" customFormat="false" ht="15" hidden="false" customHeight="false" outlineLevel="0" collapsed="false">
      <c r="B4785" s="7" t="s">
        <v>5282</v>
      </c>
      <c r="C4785" s="39" t="n">
        <v>45889</v>
      </c>
      <c r="D4785" s="7" t="s">
        <v>295</v>
      </c>
      <c r="E4785" s="7" t="s">
        <v>154</v>
      </c>
      <c r="F4785" s="7" t="s">
        <v>214</v>
      </c>
      <c r="G4785" s="7" t="s">
        <v>505</v>
      </c>
      <c r="H4785" s="6" t="n">
        <v>3.78</v>
      </c>
      <c r="I4785" s="6" t="n">
        <v>0</v>
      </c>
      <c r="J4785" s="40" t="n">
        <f aca="false">H4785-I4785</f>
        <v>3.78</v>
      </c>
      <c r="K4785" s="41" t="n">
        <v>26.5</v>
      </c>
      <c r="L4785" s="42" t="n">
        <f aca="false">J4785*K4785</f>
        <v>100.17</v>
      </c>
      <c r="M4785" s="43" t="n">
        <f aca="false">H4785*15.67*(1+'Chart of Accounts'!$E$67)</f>
        <v>67.821327</v>
      </c>
    </row>
    <row r="4786" customFormat="false" ht="15" hidden="false" customHeight="false" outlineLevel="0" collapsed="false">
      <c r="B4786" s="7" t="s">
        <v>5283</v>
      </c>
      <c r="C4786" s="39" t="n">
        <v>45889</v>
      </c>
      <c r="D4786" s="7" t="s">
        <v>305</v>
      </c>
      <c r="E4786" s="7" t="s">
        <v>154</v>
      </c>
      <c r="F4786" s="7" t="s">
        <v>205</v>
      </c>
      <c r="G4786" s="7" t="s">
        <v>505</v>
      </c>
      <c r="H4786" s="6" t="n">
        <v>3.67</v>
      </c>
      <c r="I4786" s="6" t="n">
        <v>0</v>
      </c>
      <c r="J4786" s="40" t="n">
        <f aca="false">H4786-I4786</f>
        <v>3.67</v>
      </c>
      <c r="K4786" s="41" t="n">
        <v>26.5</v>
      </c>
      <c r="L4786" s="42" t="n">
        <f aca="false">J4786*K4786</f>
        <v>97.255</v>
      </c>
      <c r="M4786" s="43" t="n">
        <f aca="false">H4786*16.36*(1+'Chart of Accounts'!$E$67)</f>
        <v>68.747174</v>
      </c>
    </row>
    <row r="4787" customFormat="false" ht="15" hidden="false" customHeight="false" outlineLevel="0" collapsed="false">
      <c r="B4787" s="7" t="s">
        <v>5284</v>
      </c>
      <c r="C4787" s="39" t="n">
        <v>45889</v>
      </c>
      <c r="D4787" s="7" t="s">
        <v>307</v>
      </c>
      <c r="E4787" s="7" t="s">
        <v>157</v>
      </c>
      <c r="F4787" s="7" t="s">
        <v>264</v>
      </c>
      <c r="G4787" s="7" t="s">
        <v>502</v>
      </c>
      <c r="H4787" s="6" t="n">
        <v>0.97</v>
      </c>
      <c r="I4787" s="6" t="n">
        <v>0</v>
      </c>
      <c r="J4787" s="40" t="n">
        <f aca="false">H4787-I4787</f>
        <v>0.97</v>
      </c>
      <c r="K4787" s="41" t="n">
        <v>165</v>
      </c>
      <c r="L4787" s="42" t="n">
        <f aca="false">J4787*K4787</f>
        <v>160.05</v>
      </c>
      <c r="M4787" s="43" t="n">
        <f aca="false">H4787*55.55*(1+'Chart of Accounts'!$E$67)</f>
        <v>61.6966075</v>
      </c>
    </row>
    <row r="4788" customFormat="false" ht="15" hidden="false" customHeight="false" outlineLevel="0" collapsed="false">
      <c r="B4788" s="7" t="s">
        <v>5285</v>
      </c>
      <c r="C4788" s="39" t="n">
        <v>45889</v>
      </c>
      <c r="D4788" s="7" t="s">
        <v>309</v>
      </c>
      <c r="E4788" s="7" t="s">
        <v>159</v>
      </c>
      <c r="F4788" s="7" t="s">
        <v>252</v>
      </c>
      <c r="G4788" s="7" t="s">
        <v>502</v>
      </c>
      <c r="H4788" s="6" t="n">
        <v>0.99</v>
      </c>
      <c r="I4788" s="6" t="n">
        <v>0</v>
      </c>
      <c r="J4788" s="40" t="n">
        <f aca="false">H4788-I4788</f>
        <v>0.99</v>
      </c>
      <c r="K4788" s="41" t="n">
        <v>135</v>
      </c>
      <c r="L4788" s="42" t="n">
        <f aca="false">J4788*K4788</f>
        <v>133.65</v>
      </c>
      <c r="M4788" s="43" t="n">
        <f aca="false">H4788*57.54*(1+'Chart of Accounts'!$E$67)</f>
        <v>65.224467</v>
      </c>
    </row>
    <row r="4789" customFormat="false" ht="15" hidden="false" customHeight="false" outlineLevel="0" collapsed="false">
      <c r="B4789" s="7" t="s">
        <v>5286</v>
      </c>
      <c r="C4789" s="39" t="n">
        <v>45889</v>
      </c>
      <c r="D4789" s="7" t="s">
        <v>313</v>
      </c>
      <c r="E4789" s="7" t="s">
        <v>156</v>
      </c>
      <c r="F4789" s="7" t="s">
        <v>184</v>
      </c>
      <c r="G4789" s="7" t="s">
        <v>505</v>
      </c>
      <c r="H4789" s="6" t="n">
        <v>4.06</v>
      </c>
      <c r="I4789" s="6" t="n">
        <v>0</v>
      </c>
      <c r="J4789" s="40" t="n">
        <f aca="false">H4789-I4789</f>
        <v>4.06</v>
      </c>
      <c r="K4789" s="41" t="n">
        <v>34</v>
      </c>
      <c r="L4789" s="42" t="n">
        <f aca="false">J4789*K4789</f>
        <v>138.04</v>
      </c>
      <c r="M4789" s="43" t="n">
        <f aca="false">H4789*17.34*(1+'Chart of Accounts'!$E$67)</f>
        <v>80.608458</v>
      </c>
    </row>
    <row r="4790" customFormat="false" ht="15" hidden="false" customHeight="false" outlineLevel="0" collapsed="false">
      <c r="B4790" s="7" t="s">
        <v>5287</v>
      </c>
      <c r="C4790" s="39" t="n">
        <v>45889</v>
      </c>
      <c r="D4790" s="7" t="s">
        <v>315</v>
      </c>
      <c r="E4790" s="7" t="s">
        <v>159</v>
      </c>
      <c r="F4790" s="7" t="s">
        <v>216</v>
      </c>
      <c r="G4790" s="7" t="s">
        <v>502</v>
      </c>
      <c r="H4790" s="6" t="n">
        <v>1.05</v>
      </c>
      <c r="I4790" s="6" t="n">
        <v>0</v>
      </c>
      <c r="J4790" s="40" t="n">
        <f aca="false">H4790-I4790</f>
        <v>1.05</v>
      </c>
      <c r="K4790" s="41" t="n">
        <v>135</v>
      </c>
      <c r="L4790" s="42" t="n">
        <f aca="false">J4790*K4790</f>
        <v>141.75</v>
      </c>
      <c r="M4790" s="43" t="n">
        <f aca="false">H4790*61.79*(1+'Chart of Accounts'!$E$67)</f>
        <v>74.2870275</v>
      </c>
    </row>
    <row r="4791" customFormat="false" ht="15" hidden="false" customHeight="false" outlineLevel="0" collapsed="false">
      <c r="B4791" s="7" t="s">
        <v>5288</v>
      </c>
      <c r="C4791" s="39" t="n">
        <v>45889</v>
      </c>
      <c r="D4791" s="7" t="s">
        <v>321</v>
      </c>
      <c r="E4791" s="7" t="s">
        <v>154</v>
      </c>
      <c r="F4791" s="7" t="s">
        <v>218</v>
      </c>
      <c r="G4791" s="7" t="s">
        <v>505</v>
      </c>
      <c r="H4791" s="6" t="n">
        <v>3.71</v>
      </c>
      <c r="I4791" s="6" t="n">
        <v>0</v>
      </c>
      <c r="J4791" s="40" t="n">
        <f aca="false">H4791-I4791</f>
        <v>3.71</v>
      </c>
      <c r="K4791" s="41" t="n">
        <v>26.5</v>
      </c>
      <c r="L4791" s="42" t="n">
        <f aca="false">J4791*K4791</f>
        <v>98.315</v>
      </c>
      <c r="M4791" s="43" t="n">
        <f aca="false">H4791*16.19*(1+'Chart of Accounts'!$E$67)</f>
        <v>68.7743105</v>
      </c>
    </row>
    <row r="4792" customFormat="false" ht="15" hidden="false" customHeight="false" outlineLevel="0" collapsed="false">
      <c r="B4792" s="7" t="s">
        <v>5289</v>
      </c>
      <c r="C4792" s="39" t="n">
        <v>45889</v>
      </c>
      <c r="D4792" s="7" t="s">
        <v>329</v>
      </c>
      <c r="E4792" s="7" t="s">
        <v>156</v>
      </c>
      <c r="F4792" s="7" t="s">
        <v>220</v>
      </c>
      <c r="G4792" s="7" t="s">
        <v>505</v>
      </c>
      <c r="H4792" s="6" t="n">
        <v>4.2</v>
      </c>
      <c r="I4792" s="6" t="n">
        <v>0</v>
      </c>
      <c r="J4792" s="40" t="n">
        <f aca="false">H4792-I4792</f>
        <v>4.2</v>
      </c>
      <c r="K4792" s="41" t="n">
        <v>34</v>
      </c>
      <c r="L4792" s="42" t="n">
        <f aca="false">J4792*K4792</f>
        <v>142.8</v>
      </c>
      <c r="M4792" s="43" t="n">
        <f aca="false">H4792*16.43*(1+'Chart of Accounts'!$E$67)</f>
        <v>79.01187</v>
      </c>
    </row>
    <row r="4793" customFormat="false" ht="15" hidden="false" customHeight="false" outlineLevel="0" collapsed="false">
      <c r="B4793" s="7" t="s">
        <v>5290</v>
      </c>
      <c r="C4793" s="39" t="n">
        <v>45889</v>
      </c>
      <c r="D4793" s="7" t="s">
        <v>335</v>
      </c>
      <c r="E4793" s="7" t="s">
        <v>154</v>
      </c>
      <c r="F4793" s="7" t="s">
        <v>177</v>
      </c>
      <c r="G4793" s="7" t="s">
        <v>505</v>
      </c>
      <c r="H4793" s="6" t="n">
        <v>4.03</v>
      </c>
      <c r="I4793" s="6" t="n">
        <v>0</v>
      </c>
      <c r="J4793" s="40" t="n">
        <f aca="false">H4793-I4793</f>
        <v>4.03</v>
      </c>
      <c r="K4793" s="41" t="n">
        <v>26.5</v>
      </c>
      <c r="L4793" s="42" t="n">
        <f aca="false">J4793*K4793</f>
        <v>106.795</v>
      </c>
      <c r="M4793" s="43" t="n">
        <f aca="false">H4793*14.56*(1+'Chart of Accounts'!$E$67)</f>
        <v>67.184936</v>
      </c>
    </row>
    <row r="4794" customFormat="false" ht="15" hidden="false" customHeight="false" outlineLevel="0" collapsed="false">
      <c r="B4794" s="7" t="s">
        <v>5291</v>
      </c>
      <c r="C4794" s="39" t="n">
        <v>45889</v>
      </c>
      <c r="D4794" s="7" t="s">
        <v>339</v>
      </c>
      <c r="E4794" s="7" t="s">
        <v>154</v>
      </c>
      <c r="F4794" s="7" t="s">
        <v>242</v>
      </c>
      <c r="G4794" s="7" t="s">
        <v>505</v>
      </c>
      <c r="H4794" s="6" t="n">
        <v>3.42</v>
      </c>
      <c r="I4794" s="6" t="n">
        <v>0</v>
      </c>
      <c r="J4794" s="40" t="n">
        <f aca="false">H4794-I4794</f>
        <v>3.42</v>
      </c>
      <c r="K4794" s="41" t="n">
        <v>26.5</v>
      </c>
      <c r="L4794" s="42" t="n">
        <f aca="false">J4794*K4794</f>
        <v>90.63</v>
      </c>
      <c r="M4794" s="43" t="n">
        <f aca="false">H4794*17.99*(1+'Chart of Accounts'!$E$67)</f>
        <v>70.447041</v>
      </c>
    </row>
    <row r="4795" customFormat="false" ht="15" hidden="false" customHeight="false" outlineLevel="0" collapsed="false">
      <c r="B4795" s="7" t="s">
        <v>5292</v>
      </c>
      <c r="C4795" s="39" t="n">
        <v>45889</v>
      </c>
      <c r="D4795" s="7" t="s">
        <v>347</v>
      </c>
      <c r="E4795" s="7" t="s">
        <v>154</v>
      </c>
      <c r="F4795" s="7" t="s">
        <v>238</v>
      </c>
      <c r="G4795" s="7" t="s">
        <v>505</v>
      </c>
      <c r="H4795" s="6" t="n">
        <v>5.01</v>
      </c>
      <c r="I4795" s="6" t="n">
        <v>0.15</v>
      </c>
      <c r="J4795" s="40" t="n">
        <f aca="false">H4795-I4795</f>
        <v>4.86</v>
      </c>
      <c r="K4795" s="41" t="n">
        <v>26.5</v>
      </c>
      <c r="L4795" s="42" t="n">
        <f aca="false">J4795*K4795</f>
        <v>128.79</v>
      </c>
      <c r="M4795" s="43" t="n">
        <f aca="false">H4795*15.85*(1+'Chart of Accounts'!$E$67)</f>
        <v>90.9227325</v>
      </c>
    </row>
    <row r="4796" customFormat="false" ht="15" hidden="false" customHeight="false" outlineLevel="0" collapsed="false">
      <c r="B4796" s="7" t="s">
        <v>5293</v>
      </c>
      <c r="C4796" s="39" t="n">
        <v>45889</v>
      </c>
      <c r="D4796" s="7" t="s">
        <v>353</v>
      </c>
      <c r="E4796" s="7" t="s">
        <v>154</v>
      </c>
      <c r="F4796" s="7" t="s">
        <v>254</v>
      </c>
      <c r="G4796" s="7" t="s">
        <v>505</v>
      </c>
      <c r="H4796" s="6" t="n">
        <v>3.61</v>
      </c>
      <c r="I4796" s="6" t="n">
        <v>0</v>
      </c>
      <c r="J4796" s="40" t="n">
        <f aca="false">H4796-I4796</f>
        <v>3.61</v>
      </c>
      <c r="K4796" s="41" t="n">
        <v>26.5</v>
      </c>
      <c r="L4796" s="42" t="n">
        <f aca="false">J4796*K4796</f>
        <v>95.665</v>
      </c>
      <c r="M4796" s="43" t="n">
        <f aca="false">H4796*17.1*(1+'Chart of Accounts'!$E$67)</f>
        <v>70.681995</v>
      </c>
    </row>
    <row r="4797" customFormat="false" ht="15" hidden="false" customHeight="false" outlineLevel="0" collapsed="false">
      <c r="B4797" s="7" t="s">
        <v>5294</v>
      </c>
      <c r="C4797" s="39" t="n">
        <v>45889</v>
      </c>
      <c r="D4797" s="7" t="s">
        <v>355</v>
      </c>
      <c r="E4797" s="7" t="s">
        <v>154</v>
      </c>
      <c r="F4797" s="7" t="s">
        <v>201</v>
      </c>
      <c r="G4797" s="7" t="s">
        <v>505</v>
      </c>
      <c r="H4797" s="6" t="n">
        <v>3.63</v>
      </c>
      <c r="I4797" s="6" t="n">
        <v>0</v>
      </c>
      <c r="J4797" s="40" t="n">
        <f aca="false">H4797-I4797</f>
        <v>3.63</v>
      </c>
      <c r="K4797" s="41" t="n">
        <v>26.5</v>
      </c>
      <c r="L4797" s="42" t="n">
        <f aca="false">J4797*K4797</f>
        <v>96.195</v>
      </c>
      <c r="M4797" s="43" t="n">
        <f aca="false">H4797*15.19*(1+'Chart of Accounts'!$E$67)</f>
        <v>63.1349565</v>
      </c>
    </row>
    <row r="4798" customFormat="false" ht="15" hidden="false" customHeight="false" outlineLevel="0" collapsed="false">
      <c r="B4798" s="7" t="s">
        <v>5295</v>
      </c>
      <c r="C4798" s="39" t="n">
        <v>45889</v>
      </c>
      <c r="D4798" s="7" t="s">
        <v>357</v>
      </c>
      <c r="E4798" s="7" t="s">
        <v>154</v>
      </c>
      <c r="F4798" s="7" t="s">
        <v>207</v>
      </c>
      <c r="G4798" s="7" t="s">
        <v>505</v>
      </c>
      <c r="H4798" s="6" t="n">
        <v>3.56</v>
      </c>
      <c r="I4798" s="6" t="n">
        <v>0</v>
      </c>
      <c r="J4798" s="40" t="n">
        <f aca="false">H4798-I4798</f>
        <v>3.56</v>
      </c>
      <c r="K4798" s="41" t="n">
        <v>26.5</v>
      </c>
      <c r="L4798" s="42" t="n">
        <f aca="false">J4798*K4798</f>
        <v>94.34</v>
      </c>
      <c r="M4798" s="43" t="n">
        <f aca="false">H4798*16.65*(1+'Chart of Accounts'!$E$67)</f>
        <v>67.86873</v>
      </c>
    </row>
    <row r="4799" customFormat="false" ht="15" hidden="false" customHeight="false" outlineLevel="0" collapsed="false">
      <c r="B4799" s="7" t="s">
        <v>5296</v>
      </c>
      <c r="C4799" s="39" t="n">
        <v>45889</v>
      </c>
      <c r="D4799" s="7" t="s">
        <v>359</v>
      </c>
      <c r="E4799" s="7" t="s">
        <v>156</v>
      </c>
      <c r="F4799" s="7" t="s">
        <v>220</v>
      </c>
      <c r="G4799" s="7" t="s">
        <v>505</v>
      </c>
      <c r="H4799" s="6" t="n">
        <v>4.17</v>
      </c>
      <c r="I4799" s="6" t="n">
        <v>0</v>
      </c>
      <c r="J4799" s="40" t="n">
        <f aca="false">H4799-I4799</f>
        <v>4.17</v>
      </c>
      <c r="K4799" s="41" t="n">
        <v>34</v>
      </c>
      <c r="L4799" s="42" t="n">
        <f aca="false">J4799*K4799</f>
        <v>141.78</v>
      </c>
      <c r="M4799" s="43" t="n">
        <f aca="false">H4799*16.43*(1+'Chart of Accounts'!$E$67)</f>
        <v>78.4474995</v>
      </c>
    </row>
    <row r="4800" customFormat="false" ht="15" hidden="false" customHeight="false" outlineLevel="0" collapsed="false">
      <c r="B4800" s="7" t="s">
        <v>5297</v>
      </c>
      <c r="C4800" s="39" t="n">
        <v>45889</v>
      </c>
      <c r="D4800" s="7" t="s">
        <v>365</v>
      </c>
      <c r="E4800" s="7" t="s">
        <v>154</v>
      </c>
      <c r="F4800" s="7" t="s">
        <v>194</v>
      </c>
      <c r="G4800" s="7" t="s">
        <v>505</v>
      </c>
      <c r="H4800" s="6" t="n">
        <v>3.84</v>
      </c>
      <c r="I4800" s="6" t="n">
        <v>0</v>
      </c>
      <c r="J4800" s="40" t="n">
        <f aca="false">H4800-I4800</f>
        <v>3.84</v>
      </c>
      <c r="K4800" s="41" t="n">
        <v>26.5</v>
      </c>
      <c r="L4800" s="42" t="n">
        <f aca="false">J4800*K4800</f>
        <v>101.76</v>
      </c>
      <c r="M4800" s="43" t="n">
        <f aca="false">H4800*16*(1+'Chart of Accounts'!$E$67)</f>
        <v>70.3488</v>
      </c>
    </row>
    <row r="4801" customFormat="false" ht="15" hidden="false" customHeight="false" outlineLevel="0" collapsed="false">
      <c r="B4801" s="7" t="s">
        <v>5298</v>
      </c>
      <c r="C4801" s="39" t="n">
        <v>45889</v>
      </c>
      <c r="D4801" s="7" t="s">
        <v>371</v>
      </c>
      <c r="E4801" s="7" t="s">
        <v>154</v>
      </c>
      <c r="F4801" s="7" t="s">
        <v>232</v>
      </c>
      <c r="G4801" s="7" t="s">
        <v>505</v>
      </c>
      <c r="H4801" s="6" t="n">
        <v>4.77</v>
      </c>
      <c r="I4801" s="6" t="n">
        <v>0.143</v>
      </c>
      <c r="J4801" s="40" t="n">
        <f aca="false">H4801-I4801</f>
        <v>4.627</v>
      </c>
      <c r="K4801" s="41" t="n">
        <v>26.5</v>
      </c>
      <c r="L4801" s="42" t="n">
        <f aca="false">J4801*K4801</f>
        <v>122.6155</v>
      </c>
      <c r="M4801" s="43" t="n">
        <f aca="false">H4801*16.17*(1+'Chart of Accounts'!$E$67)</f>
        <v>88.3148805</v>
      </c>
    </row>
    <row r="4802" customFormat="false" ht="15" hidden="false" customHeight="false" outlineLevel="0" collapsed="false">
      <c r="B4802" s="7" t="s">
        <v>5299</v>
      </c>
      <c r="C4802" s="39" t="n">
        <v>45889</v>
      </c>
      <c r="D4802" s="7" t="s">
        <v>379</v>
      </c>
      <c r="E4802" s="7" t="s">
        <v>156</v>
      </c>
      <c r="F4802" s="7" t="s">
        <v>224</v>
      </c>
      <c r="G4802" s="7" t="s">
        <v>505</v>
      </c>
      <c r="H4802" s="6" t="n">
        <v>4.28</v>
      </c>
      <c r="I4802" s="6" t="n">
        <v>0</v>
      </c>
      <c r="J4802" s="40" t="n">
        <f aca="false">H4802-I4802</f>
        <v>4.28</v>
      </c>
      <c r="K4802" s="41" t="n">
        <v>34</v>
      </c>
      <c r="L4802" s="42" t="n">
        <f aca="false">J4802*K4802</f>
        <v>145.52</v>
      </c>
      <c r="M4802" s="43" t="n">
        <f aca="false">H4802*14.93*(1+'Chart of Accounts'!$E$67)</f>
        <v>73.165958</v>
      </c>
    </row>
    <row r="4803" customFormat="false" ht="15" hidden="false" customHeight="false" outlineLevel="0" collapsed="false">
      <c r="B4803" s="7" t="s">
        <v>5300</v>
      </c>
      <c r="C4803" s="39" t="n">
        <v>45889</v>
      </c>
      <c r="D4803" s="7" t="s">
        <v>385</v>
      </c>
      <c r="E4803" s="7" t="s">
        <v>156</v>
      </c>
      <c r="F4803" s="7" t="s">
        <v>238</v>
      </c>
      <c r="G4803" s="7" t="s">
        <v>505</v>
      </c>
      <c r="H4803" s="6" t="n">
        <v>4.01</v>
      </c>
      <c r="I4803" s="6" t="n">
        <v>0</v>
      </c>
      <c r="J4803" s="40" t="n">
        <f aca="false">H4803-I4803</f>
        <v>4.01</v>
      </c>
      <c r="K4803" s="41" t="n">
        <v>34</v>
      </c>
      <c r="L4803" s="42" t="n">
        <f aca="false">J4803*K4803</f>
        <v>136.34</v>
      </c>
      <c r="M4803" s="43" t="n">
        <f aca="false">H4803*15.85*(1+'Chart of Accounts'!$E$67)</f>
        <v>72.7744825</v>
      </c>
    </row>
    <row r="4804" customFormat="false" ht="15" hidden="false" customHeight="false" outlineLevel="0" collapsed="false">
      <c r="B4804" s="7" t="s">
        <v>5301</v>
      </c>
      <c r="C4804" s="39" t="n">
        <v>45889</v>
      </c>
      <c r="D4804" s="7" t="s">
        <v>387</v>
      </c>
      <c r="E4804" s="7" t="s">
        <v>154</v>
      </c>
      <c r="F4804" s="7" t="s">
        <v>196</v>
      </c>
      <c r="G4804" s="7" t="s">
        <v>505</v>
      </c>
      <c r="H4804" s="6" t="n">
        <v>3.63</v>
      </c>
      <c r="I4804" s="6" t="n">
        <v>0.109</v>
      </c>
      <c r="J4804" s="40" t="n">
        <f aca="false">H4804-I4804</f>
        <v>3.521</v>
      </c>
      <c r="K4804" s="41" t="n">
        <v>26.5</v>
      </c>
      <c r="L4804" s="42" t="n">
        <f aca="false">J4804*K4804</f>
        <v>93.3065</v>
      </c>
      <c r="M4804" s="43" t="n">
        <f aca="false">H4804*15.05*(1+'Chart of Accounts'!$E$67)</f>
        <v>62.5530675</v>
      </c>
    </row>
    <row r="4805" customFormat="false" ht="15" hidden="false" customHeight="false" outlineLevel="0" collapsed="false">
      <c r="B4805" s="7" t="s">
        <v>5302</v>
      </c>
      <c r="C4805" s="39" t="n">
        <v>45889</v>
      </c>
      <c r="D4805" s="7" t="s">
        <v>389</v>
      </c>
      <c r="E4805" s="7" t="s">
        <v>154</v>
      </c>
      <c r="F4805" s="7" t="s">
        <v>246</v>
      </c>
      <c r="G4805" s="7" t="s">
        <v>505</v>
      </c>
      <c r="H4805" s="6" t="n">
        <v>4.34</v>
      </c>
      <c r="I4805" s="6" t="n">
        <v>0</v>
      </c>
      <c r="J4805" s="40" t="n">
        <f aca="false">H4805-I4805</f>
        <v>4.34</v>
      </c>
      <c r="K4805" s="41" t="n">
        <v>26.5</v>
      </c>
      <c r="L4805" s="42" t="n">
        <f aca="false">J4805*K4805</f>
        <v>115.01</v>
      </c>
      <c r="M4805" s="43" t="n">
        <f aca="false">H4805*16.48*(1+'Chart of Accounts'!$E$67)</f>
        <v>81.894064</v>
      </c>
    </row>
    <row r="4806" customFormat="false" ht="15" hidden="false" customHeight="false" outlineLevel="0" collapsed="false">
      <c r="B4806" s="7" t="s">
        <v>5303</v>
      </c>
      <c r="C4806" s="39" t="n">
        <v>45889</v>
      </c>
      <c r="D4806" s="7" t="s">
        <v>391</v>
      </c>
      <c r="E4806" s="7" t="s">
        <v>156</v>
      </c>
      <c r="F4806" s="7" t="s">
        <v>222</v>
      </c>
      <c r="G4806" s="7" t="s">
        <v>505</v>
      </c>
      <c r="H4806" s="6" t="n">
        <v>3.96</v>
      </c>
      <c r="I4806" s="6" t="n">
        <v>0</v>
      </c>
      <c r="J4806" s="40" t="n">
        <f aca="false">H4806-I4806</f>
        <v>3.96</v>
      </c>
      <c r="K4806" s="41" t="n">
        <v>34</v>
      </c>
      <c r="L4806" s="42" t="n">
        <f aca="false">J4806*K4806</f>
        <v>134.64</v>
      </c>
      <c r="M4806" s="43" t="n">
        <f aca="false">H4806*17.84*(1+'Chart of Accounts'!$E$67)</f>
        <v>80.890128</v>
      </c>
    </row>
    <row r="4807" customFormat="false" ht="15" hidden="false" customHeight="false" outlineLevel="0" collapsed="false">
      <c r="B4807" s="7" t="s">
        <v>5304</v>
      </c>
      <c r="C4807" s="39" t="n">
        <v>45889</v>
      </c>
      <c r="D4807" s="7" t="s">
        <v>393</v>
      </c>
      <c r="E4807" s="7" t="s">
        <v>157</v>
      </c>
      <c r="F4807" s="7" t="s">
        <v>203</v>
      </c>
      <c r="G4807" s="7" t="s">
        <v>502</v>
      </c>
      <c r="H4807" s="6" t="n">
        <v>1.09</v>
      </c>
      <c r="I4807" s="6" t="n">
        <v>0</v>
      </c>
      <c r="J4807" s="40" t="n">
        <f aca="false">H4807-I4807</f>
        <v>1.09</v>
      </c>
      <c r="K4807" s="41" t="n">
        <v>165</v>
      </c>
      <c r="L4807" s="42" t="n">
        <f aca="false">J4807*K4807</f>
        <v>179.85</v>
      </c>
      <c r="M4807" s="43" t="n">
        <f aca="false">H4807*49.43*(1+'Chart of Accounts'!$E$67)</f>
        <v>61.6911115</v>
      </c>
    </row>
    <row r="4808" customFormat="false" ht="15" hidden="false" customHeight="false" outlineLevel="0" collapsed="false">
      <c r="B4808" s="7" t="s">
        <v>5305</v>
      </c>
      <c r="C4808" s="39" t="n">
        <v>45889</v>
      </c>
      <c r="D4808" s="7" t="s">
        <v>395</v>
      </c>
      <c r="E4808" s="7" t="s">
        <v>156</v>
      </c>
      <c r="F4808" s="7" t="s">
        <v>242</v>
      </c>
      <c r="G4808" s="7" t="s">
        <v>505</v>
      </c>
      <c r="H4808" s="6" t="n">
        <v>3.96</v>
      </c>
      <c r="I4808" s="6" t="n">
        <v>0</v>
      </c>
      <c r="J4808" s="40" t="n">
        <f aca="false">H4808-I4808</f>
        <v>3.96</v>
      </c>
      <c r="K4808" s="41" t="n">
        <v>34</v>
      </c>
      <c r="L4808" s="42" t="n">
        <f aca="false">J4808*K4808</f>
        <v>134.64</v>
      </c>
      <c r="M4808" s="43" t="n">
        <f aca="false">H4808*17.99*(1+'Chart of Accounts'!$E$67)</f>
        <v>81.570258</v>
      </c>
    </row>
    <row r="4809" customFormat="false" ht="15" hidden="false" customHeight="false" outlineLevel="0" collapsed="false">
      <c r="B4809" s="7" t="s">
        <v>5306</v>
      </c>
      <c r="C4809" s="39" t="n">
        <v>45889</v>
      </c>
      <c r="D4809" s="7" t="s">
        <v>399</v>
      </c>
      <c r="E4809" s="7" t="s">
        <v>154</v>
      </c>
      <c r="F4809" s="7" t="s">
        <v>240</v>
      </c>
      <c r="G4809" s="7" t="s">
        <v>505</v>
      </c>
      <c r="H4809" s="6" t="n">
        <v>3.41</v>
      </c>
      <c r="I4809" s="6" t="n">
        <v>0</v>
      </c>
      <c r="J4809" s="40" t="n">
        <f aca="false">H4809-I4809</f>
        <v>3.41</v>
      </c>
      <c r="K4809" s="41" t="n">
        <v>26.5</v>
      </c>
      <c r="L4809" s="42" t="n">
        <f aca="false">J4809*K4809</f>
        <v>90.365</v>
      </c>
      <c r="M4809" s="43" t="n">
        <f aca="false">H4809*16.96*(1+'Chart of Accounts'!$E$67)</f>
        <v>66.219472</v>
      </c>
    </row>
    <row r="4810" customFormat="false" ht="15" hidden="false" customHeight="false" outlineLevel="0" collapsed="false">
      <c r="B4810" s="7" t="s">
        <v>5307</v>
      </c>
      <c r="C4810" s="39" t="n">
        <v>45889</v>
      </c>
      <c r="D4810" s="7" t="s">
        <v>401</v>
      </c>
      <c r="E4810" s="7" t="s">
        <v>156</v>
      </c>
      <c r="F4810" s="7" t="s">
        <v>254</v>
      </c>
      <c r="G4810" s="7" t="s">
        <v>505</v>
      </c>
      <c r="H4810" s="6" t="n">
        <v>4.03</v>
      </c>
      <c r="I4810" s="6" t="n">
        <v>0</v>
      </c>
      <c r="J4810" s="40" t="n">
        <f aca="false">H4810-I4810</f>
        <v>4.03</v>
      </c>
      <c r="K4810" s="41" t="n">
        <v>34</v>
      </c>
      <c r="L4810" s="42" t="n">
        <f aca="false">J4810*K4810</f>
        <v>137.02</v>
      </c>
      <c r="M4810" s="43" t="n">
        <f aca="false">H4810*17.1*(1+'Chart of Accounts'!$E$67)</f>
        <v>78.905385</v>
      </c>
    </row>
    <row r="4811" customFormat="false" ht="15" hidden="false" customHeight="false" outlineLevel="0" collapsed="false">
      <c r="B4811" s="7" t="s">
        <v>5308</v>
      </c>
      <c r="C4811" s="39" t="n">
        <v>45889</v>
      </c>
      <c r="D4811" s="7" t="s">
        <v>403</v>
      </c>
      <c r="E4811" s="7" t="s">
        <v>156</v>
      </c>
      <c r="F4811" s="7" t="s">
        <v>184</v>
      </c>
      <c r="G4811" s="7" t="s">
        <v>505</v>
      </c>
      <c r="H4811" s="6" t="n">
        <v>4.1</v>
      </c>
      <c r="I4811" s="6" t="n">
        <v>0</v>
      </c>
      <c r="J4811" s="40" t="n">
        <f aca="false">H4811-I4811</f>
        <v>4.1</v>
      </c>
      <c r="K4811" s="41" t="n">
        <v>34</v>
      </c>
      <c r="L4811" s="42" t="n">
        <f aca="false">J4811*K4811</f>
        <v>139.4</v>
      </c>
      <c r="M4811" s="43" t="n">
        <f aca="false">H4811*17.34*(1+'Chart of Accounts'!$E$67)</f>
        <v>81.40263</v>
      </c>
    </row>
    <row r="4812" customFormat="false" ht="15" hidden="false" customHeight="false" outlineLevel="0" collapsed="false">
      <c r="B4812" s="7" t="s">
        <v>5309</v>
      </c>
      <c r="C4812" s="39" t="n">
        <v>45889</v>
      </c>
      <c r="D4812" s="7" t="s">
        <v>409</v>
      </c>
      <c r="E4812" s="7" t="s">
        <v>154</v>
      </c>
      <c r="F4812" s="7" t="s">
        <v>214</v>
      </c>
      <c r="G4812" s="7" t="s">
        <v>505</v>
      </c>
      <c r="H4812" s="6" t="n">
        <v>3.48</v>
      </c>
      <c r="I4812" s="6" t="n">
        <v>0</v>
      </c>
      <c r="J4812" s="40" t="n">
        <f aca="false">H4812-I4812</f>
        <v>3.48</v>
      </c>
      <c r="K4812" s="41" t="n">
        <v>26.5</v>
      </c>
      <c r="L4812" s="42" t="n">
        <f aca="false">J4812*K4812</f>
        <v>92.22</v>
      </c>
      <c r="M4812" s="43" t="n">
        <f aca="false">H4812*15.67*(1+'Chart of Accounts'!$E$67)</f>
        <v>62.438682</v>
      </c>
    </row>
    <row r="4813" customFormat="false" ht="15" hidden="false" customHeight="false" outlineLevel="0" collapsed="false">
      <c r="B4813" s="7" t="s">
        <v>5310</v>
      </c>
      <c r="C4813" s="39" t="n">
        <v>45889</v>
      </c>
      <c r="D4813" s="7" t="s">
        <v>411</v>
      </c>
      <c r="E4813" s="7" t="s">
        <v>154</v>
      </c>
      <c r="F4813" s="7" t="s">
        <v>177</v>
      </c>
      <c r="G4813" s="7" t="s">
        <v>505</v>
      </c>
      <c r="H4813" s="6" t="n">
        <v>4.5</v>
      </c>
      <c r="I4813" s="6" t="n">
        <v>0</v>
      </c>
      <c r="J4813" s="40" t="n">
        <f aca="false">H4813-I4813</f>
        <v>4.5</v>
      </c>
      <c r="K4813" s="41" t="n">
        <v>26.5</v>
      </c>
      <c r="L4813" s="42" t="n">
        <f aca="false">J4813*K4813</f>
        <v>119.25</v>
      </c>
      <c r="M4813" s="43" t="n">
        <f aca="false">H4813*14.56*(1+'Chart of Accounts'!$E$67)</f>
        <v>75.0204</v>
      </c>
    </row>
    <row r="4814" customFormat="false" ht="15" hidden="false" customHeight="false" outlineLevel="0" collapsed="false">
      <c r="B4814" s="7" t="s">
        <v>5311</v>
      </c>
      <c r="C4814" s="39" t="n">
        <v>45890</v>
      </c>
      <c r="D4814" s="7" t="s">
        <v>288</v>
      </c>
      <c r="E4814" s="7" t="s">
        <v>156</v>
      </c>
      <c r="F4814" s="7" t="s">
        <v>246</v>
      </c>
      <c r="G4814" s="7" t="s">
        <v>505</v>
      </c>
      <c r="H4814" s="6" t="n">
        <v>4.2</v>
      </c>
      <c r="I4814" s="6" t="n">
        <v>0</v>
      </c>
      <c r="J4814" s="40" t="n">
        <f aca="false">H4814-I4814</f>
        <v>4.2</v>
      </c>
      <c r="K4814" s="41" t="n">
        <v>34</v>
      </c>
      <c r="L4814" s="42" t="n">
        <f aca="false">J4814*K4814</f>
        <v>142.8</v>
      </c>
      <c r="M4814" s="43" t="n">
        <f aca="false">H4814*16.48*(1+'Chart of Accounts'!$E$67)</f>
        <v>79.25232</v>
      </c>
    </row>
    <row r="4815" customFormat="false" ht="15" hidden="false" customHeight="false" outlineLevel="0" collapsed="false">
      <c r="B4815" s="7" t="s">
        <v>5312</v>
      </c>
      <c r="C4815" s="39" t="n">
        <v>45890</v>
      </c>
      <c r="D4815" s="7" t="s">
        <v>297</v>
      </c>
      <c r="E4815" s="7" t="s">
        <v>156</v>
      </c>
      <c r="F4815" s="7" t="s">
        <v>201</v>
      </c>
      <c r="G4815" s="7" t="s">
        <v>505</v>
      </c>
      <c r="H4815" s="6" t="n">
        <v>3.01</v>
      </c>
      <c r="I4815" s="6" t="n">
        <v>0</v>
      </c>
      <c r="J4815" s="40" t="n">
        <f aca="false">H4815-I4815</f>
        <v>3.01</v>
      </c>
      <c r="K4815" s="41" t="n">
        <v>34</v>
      </c>
      <c r="L4815" s="42" t="n">
        <f aca="false">J4815*K4815</f>
        <v>102.34</v>
      </c>
      <c r="M4815" s="43" t="n">
        <f aca="false">H4815*15.19*(1+'Chart of Accounts'!$E$67)</f>
        <v>52.3515755</v>
      </c>
    </row>
    <row r="4816" customFormat="false" ht="15" hidden="false" customHeight="false" outlineLevel="0" collapsed="false">
      <c r="B4816" s="7" t="s">
        <v>5313</v>
      </c>
      <c r="C4816" s="39" t="n">
        <v>45890</v>
      </c>
      <c r="D4816" s="7" t="s">
        <v>311</v>
      </c>
      <c r="E4816" s="7" t="s">
        <v>154</v>
      </c>
      <c r="F4816" s="7" t="s">
        <v>196</v>
      </c>
      <c r="G4816" s="7" t="s">
        <v>505</v>
      </c>
      <c r="H4816" s="6" t="n">
        <v>3.08</v>
      </c>
      <c r="I4816" s="6" t="n">
        <v>0.092</v>
      </c>
      <c r="J4816" s="40" t="n">
        <f aca="false">H4816-I4816</f>
        <v>2.988</v>
      </c>
      <c r="K4816" s="41" t="n">
        <v>26.5</v>
      </c>
      <c r="L4816" s="42" t="n">
        <f aca="false">J4816*K4816</f>
        <v>79.182</v>
      </c>
      <c r="M4816" s="43" t="n">
        <f aca="false">H4816*15.05*(1+'Chart of Accounts'!$E$67)</f>
        <v>53.07533</v>
      </c>
    </row>
    <row r="4817" customFormat="false" ht="15" hidden="false" customHeight="false" outlineLevel="0" collapsed="false">
      <c r="B4817" s="7" t="s">
        <v>5314</v>
      </c>
      <c r="C4817" s="39" t="n">
        <v>45890</v>
      </c>
      <c r="D4817" s="7" t="s">
        <v>313</v>
      </c>
      <c r="E4817" s="7" t="s">
        <v>156</v>
      </c>
      <c r="F4817" s="7" t="s">
        <v>184</v>
      </c>
      <c r="G4817" s="7" t="s">
        <v>505</v>
      </c>
      <c r="H4817" s="6" t="n">
        <v>3.82</v>
      </c>
      <c r="I4817" s="6" t="n">
        <v>0</v>
      </c>
      <c r="J4817" s="40" t="n">
        <f aca="false">H4817-I4817</f>
        <v>3.82</v>
      </c>
      <c r="K4817" s="41" t="n">
        <v>34</v>
      </c>
      <c r="L4817" s="42" t="n">
        <f aca="false">J4817*K4817</f>
        <v>129.88</v>
      </c>
      <c r="M4817" s="43" t="n">
        <f aca="false">H4817*17.34*(1+'Chart of Accounts'!$E$67)</f>
        <v>75.843426</v>
      </c>
    </row>
    <row r="4818" customFormat="false" ht="15" hidden="false" customHeight="false" outlineLevel="0" collapsed="false">
      <c r="B4818" s="7" t="s">
        <v>5315</v>
      </c>
      <c r="C4818" s="39" t="n">
        <v>45890</v>
      </c>
      <c r="D4818" s="7" t="s">
        <v>317</v>
      </c>
      <c r="E4818" s="7" t="s">
        <v>156</v>
      </c>
      <c r="F4818" s="7" t="s">
        <v>207</v>
      </c>
      <c r="G4818" s="7" t="s">
        <v>505</v>
      </c>
      <c r="H4818" s="6" t="n">
        <v>2.92</v>
      </c>
      <c r="I4818" s="6" t="n">
        <v>0</v>
      </c>
      <c r="J4818" s="40" t="n">
        <f aca="false">H4818-I4818</f>
        <v>2.92</v>
      </c>
      <c r="K4818" s="41" t="n">
        <v>34</v>
      </c>
      <c r="L4818" s="42" t="n">
        <f aca="false">J4818*K4818</f>
        <v>99.28</v>
      </c>
      <c r="M4818" s="43" t="n">
        <f aca="false">H4818*16.65*(1+'Chart of Accounts'!$E$67)</f>
        <v>55.66761</v>
      </c>
    </row>
    <row r="4819" customFormat="false" ht="15" hidden="false" customHeight="false" outlineLevel="0" collapsed="false">
      <c r="B4819" s="7" t="s">
        <v>5316</v>
      </c>
      <c r="C4819" s="39" t="n">
        <v>45890</v>
      </c>
      <c r="D4819" s="7" t="s">
        <v>321</v>
      </c>
      <c r="E4819" s="7" t="s">
        <v>154</v>
      </c>
      <c r="F4819" s="7" t="s">
        <v>218</v>
      </c>
      <c r="G4819" s="7" t="s">
        <v>505</v>
      </c>
      <c r="H4819" s="6" t="n">
        <v>4.1</v>
      </c>
      <c r="I4819" s="6" t="n">
        <v>0</v>
      </c>
      <c r="J4819" s="40" t="n">
        <f aca="false">H4819-I4819</f>
        <v>4.1</v>
      </c>
      <c r="K4819" s="41" t="n">
        <v>26.5</v>
      </c>
      <c r="L4819" s="42" t="n">
        <f aca="false">J4819*K4819</f>
        <v>108.65</v>
      </c>
      <c r="M4819" s="43" t="n">
        <f aca="false">H4819*16.19*(1+'Chart of Accounts'!$E$67)</f>
        <v>76.003955</v>
      </c>
    </row>
    <row r="4820" customFormat="false" ht="15" hidden="false" customHeight="false" outlineLevel="0" collapsed="false">
      <c r="B4820" s="7" t="s">
        <v>5317</v>
      </c>
      <c r="C4820" s="39" t="n">
        <v>45890</v>
      </c>
      <c r="D4820" s="7" t="s">
        <v>325</v>
      </c>
      <c r="E4820" s="7" t="s">
        <v>154</v>
      </c>
      <c r="F4820" s="7" t="s">
        <v>218</v>
      </c>
      <c r="G4820" s="7" t="s">
        <v>505</v>
      </c>
      <c r="H4820" s="6" t="n">
        <v>2.72</v>
      </c>
      <c r="I4820" s="6" t="n">
        <v>0</v>
      </c>
      <c r="J4820" s="40" t="n">
        <f aca="false">H4820-I4820</f>
        <v>2.72</v>
      </c>
      <c r="K4820" s="41" t="n">
        <v>26.5</v>
      </c>
      <c r="L4820" s="42" t="n">
        <f aca="false">J4820*K4820</f>
        <v>72.08</v>
      </c>
      <c r="M4820" s="43" t="n">
        <f aca="false">H4820*16.19*(1+'Chart of Accounts'!$E$67)</f>
        <v>50.422136</v>
      </c>
    </row>
    <row r="4821" customFormat="false" ht="15" hidden="false" customHeight="false" outlineLevel="0" collapsed="false">
      <c r="B4821" s="7" t="s">
        <v>5318</v>
      </c>
      <c r="C4821" s="39" t="n">
        <v>45890</v>
      </c>
      <c r="D4821" s="7" t="s">
        <v>329</v>
      </c>
      <c r="E4821" s="7" t="s">
        <v>156</v>
      </c>
      <c r="F4821" s="7" t="s">
        <v>220</v>
      </c>
      <c r="G4821" s="7" t="s">
        <v>505</v>
      </c>
      <c r="H4821" s="6" t="n">
        <v>3.74</v>
      </c>
      <c r="I4821" s="6" t="n">
        <v>0</v>
      </c>
      <c r="J4821" s="40" t="n">
        <f aca="false">H4821-I4821</f>
        <v>3.74</v>
      </c>
      <c r="K4821" s="41" t="n">
        <v>34</v>
      </c>
      <c r="L4821" s="42" t="n">
        <f aca="false">J4821*K4821</f>
        <v>127.16</v>
      </c>
      <c r="M4821" s="43" t="n">
        <f aca="false">H4821*16.43*(1+'Chart of Accounts'!$E$67)</f>
        <v>70.358189</v>
      </c>
    </row>
    <row r="4822" customFormat="false" ht="15" hidden="false" customHeight="false" outlineLevel="0" collapsed="false">
      <c r="B4822" s="7" t="s">
        <v>5319</v>
      </c>
      <c r="C4822" s="39" t="n">
        <v>45890</v>
      </c>
      <c r="D4822" s="7" t="s">
        <v>331</v>
      </c>
      <c r="E4822" s="7" t="s">
        <v>156</v>
      </c>
      <c r="F4822" s="7" t="s">
        <v>224</v>
      </c>
      <c r="G4822" s="7" t="s">
        <v>505</v>
      </c>
      <c r="H4822" s="6" t="n">
        <v>3.81</v>
      </c>
      <c r="I4822" s="6" t="n">
        <v>0</v>
      </c>
      <c r="J4822" s="40" t="n">
        <f aca="false">H4822-I4822</f>
        <v>3.81</v>
      </c>
      <c r="K4822" s="41" t="n">
        <v>34</v>
      </c>
      <c r="L4822" s="42" t="n">
        <f aca="false">J4822*K4822</f>
        <v>129.54</v>
      </c>
      <c r="M4822" s="43" t="n">
        <f aca="false">H4822*14.93*(1+'Chart of Accounts'!$E$67)</f>
        <v>65.1313785</v>
      </c>
    </row>
    <row r="4823" customFormat="false" ht="15" hidden="false" customHeight="false" outlineLevel="0" collapsed="false">
      <c r="B4823" s="7" t="s">
        <v>5320</v>
      </c>
      <c r="C4823" s="39" t="n">
        <v>45890</v>
      </c>
      <c r="D4823" s="7" t="s">
        <v>341</v>
      </c>
      <c r="E4823" s="7" t="s">
        <v>156</v>
      </c>
      <c r="F4823" s="7" t="s">
        <v>222</v>
      </c>
      <c r="G4823" s="7" t="s">
        <v>505</v>
      </c>
      <c r="H4823" s="6" t="n">
        <v>2.98</v>
      </c>
      <c r="I4823" s="6" t="n">
        <v>0</v>
      </c>
      <c r="J4823" s="40" t="n">
        <f aca="false">H4823-I4823</f>
        <v>2.98</v>
      </c>
      <c r="K4823" s="41" t="n">
        <v>34</v>
      </c>
      <c r="L4823" s="42" t="n">
        <f aca="false">J4823*K4823</f>
        <v>101.32</v>
      </c>
      <c r="M4823" s="43" t="n">
        <f aca="false">H4823*17.84*(1+'Chart of Accounts'!$E$67)</f>
        <v>60.871864</v>
      </c>
    </row>
    <row r="4824" customFormat="false" ht="15" hidden="false" customHeight="false" outlineLevel="0" collapsed="false">
      <c r="B4824" s="7" t="s">
        <v>5321</v>
      </c>
      <c r="C4824" s="39" t="n">
        <v>45890</v>
      </c>
      <c r="D4824" s="7" t="s">
        <v>343</v>
      </c>
      <c r="E4824" s="7" t="s">
        <v>154</v>
      </c>
      <c r="F4824" s="7" t="s">
        <v>205</v>
      </c>
      <c r="G4824" s="7" t="s">
        <v>505</v>
      </c>
      <c r="H4824" s="6" t="n">
        <v>4.26</v>
      </c>
      <c r="I4824" s="6" t="n">
        <v>0</v>
      </c>
      <c r="J4824" s="40" t="n">
        <f aca="false">H4824-I4824</f>
        <v>4.26</v>
      </c>
      <c r="K4824" s="41" t="n">
        <v>26.5</v>
      </c>
      <c r="L4824" s="42" t="n">
        <f aca="false">J4824*K4824</f>
        <v>112.89</v>
      </c>
      <c r="M4824" s="43" t="n">
        <f aca="false">H4824*16.36*(1+'Chart of Accounts'!$E$67)</f>
        <v>79.799172</v>
      </c>
    </row>
    <row r="4825" customFormat="false" ht="15" hidden="false" customHeight="false" outlineLevel="0" collapsed="false">
      <c r="B4825" s="7" t="s">
        <v>5322</v>
      </c>
      <c r="C4825" s="39" t="n">
        <v>45890</v>
      </c>
      <c r="D4825" s="7" t="s">
        <v>351</v>
      </c>
      <c r="E4825" s="7" t="s">
        <v>154</v>
      </c>
      <c r="F4825" s="7" t="s">
        <v>201</v>
      </c>
      <c r="G4825" s="7" t="s">
        <v>505</v>
      </c>
      <c r="H4825" s="6" t="n">
        <v>3.08</v>
      </c>
      <c r="I4825" s="6" t="n">
        <v>0</v>
      </c>
      <c r="J4825" s="40" t="n">
        <f aca="false">H4825-I4825</f>
        <v>3.08</v>
      </c>
      <c r="K4825" s="41" t="n">
        <v>26.5</v>
      </c>
      <c r="L4825" s="42" t="n">
        <f aca="false">J4825*K4825</f>
        <v>81.62</v>
      </c>
      <c r="M4825" s="43" t="n">
        <f aca="false">H4825*15.19*(1+'Chart of Accounts'!$E$67)</f>
        <v>53.569054</v>
      </c>
    </row>
    <row r="4826" customFormat="false" ht="15" hidden="false" customHeight="false" outlineLevel="0" collapsed="false">
      <c r="B4826" s="7" t="s">
        <v>5323</v>
      </c>
      <c r="C4826" s="39" t="n">
        <v>45890</v>
      </c>
      <c r="D4826" s="7" t="s">
        <v>359</v>
      </c>
      <c r="E4826" s="7" t="s">
        <v>156</v>
      </c>
      <c r="F4826" s="7" t="s">
        <v>232</v>
      </c>
      <c r="G4826" s="7" t="s">
        <v>505</v>
      </c>
      <c r="H4826" s="6" t="n">
        <v>4.06</v>
      </c>
      <c r="I4826" s="6" t="n">
        <v>0</v>
      </c>
      <c r="J4826" s="40" t="n">
        <f aca="false">H4826-I4826</f>
        <v>4.06</v>
      </c>
      <c r="K4826" s="41" t="n">
        <v>34</v>
      </c>
      <c r="L4826" s="42" t="n">
        <f aca="false">J4826*K4826</f>
        <v>138.04</v>
      </c>
      <c r="M4826" s="43" t="n">
        <f aca="false">H4826*16.17*(1+'Chart of Accounts'!$E$67)</f>
        <v>75.169479</v>
      </c>
    </row>
    <row r="4827" customFormat="false" ht="15" hidden="false" customHeight="false" outlineLevel="0" collapsed="false">
      <c r="B4827" s="7" t="s">
        <v>5324</v>
      </c>
      <c r="C4827" s="39" t="n">
        <v>45890</v>
      </c>
      <c r="D4827" s="7" t="s">
        <v>363</v>
      </c>
      <c r="E4827" s="7" t="s">
        <v>156</v>
      </c>
      <c r="F4827" s="7" t="s">
        <v>246</v>
      </c>
      <c r="G4827" s="7" t="s">
        <v>505</v>
      </c>
      <c r="H4827" s="6" t="n">
        <v>3.78</v>
      </c>
      <c r="I4827" s="6" t="n">
        <v>0</v>
      </c>
      <c r="J4827" s="40" t="n">
        <f aca="false">H4827-I4827</f>
        <v>3.78</v>
      </c>
      <c r="K4827" s="41" t="n">
        <v>34</v>
      </c>
      <c r="L4827" s="42" t="n">
        <f aca="false">J4827*K4827</f>
        <v>128.52</v>
      </c>
      <c r="M4827" s="43" t="n">
        <f aca="false">H4827*16.48*(1+'Chart of Accounts'!$E$67)</f>
        <v>71.327088</v>
      </c>
    </row>
    <row r="4828" customFormat="false" ht="15" hidden="false" customHeight="false" outlineLevel="0" collapsed="false">
      <c r="B4828" s="7" t="s">
        <v>5325</v>
      </c>
      <c r="C4828" s="39" t="n">
        <v>45890</v>
      </c>
      <c r="D4828" s="7" t="s">
        <v>365</v>
      </c>
      <c r="E4828" s="7" t="s">
        <v>154</v>
      </c>
      <c r="F4828" s="7" t="s">
        <v>194</v>
      </c>
      <c r="G4828" s="7" t="s">
        <v>505</v>
      </c>
      <c r="H4828" s="6" t="n">
        <v>4.32</v>
      </c>
      <c r="I4828" s="6" t="n">
        <v>0.13</v>
      </c>
      <c r="J4828" s="40" t="n">
        <f aca="false">H4828-I4828</f>
        <v>4.19</v>
      </c>
      <c r="K4828" s="41" t="n">
        <v>26.5</v>
      </c>
      <c r="L4828" s="42" t="n">
        <f aca="false">J4828*K4828</f>
        <v>111.035</v>
      </c>
      <c r="M4828" s="43" t="n">
        <f aca="false">H4828*16*(1+'Chart of Accounts'!$E$67)</f>
        <v>79.1424</v>
      </c>
    </row>
    <row r="4829" customFormat="false" ht="15" hidden="false" customHeight="false" outlineLevel="0" collapsed="false">
      <c r="B4829" s="7" t="s">
        <v>5326</v>
      </c>
      <c r="C4829" s="39" t="n">
        <v>45890</v>
      </c>
      <c r="D4829" s="7" t="s">
        <v>375</v>
      </c>
      <c r="E4829" s="7" t="s">
        <v>156</v>
      </c>
      <c r="F4829" s="7" t="s">
        <v>196</v>
      </c>
      <c r="G4829" s="7" t="s">
        <v>505</v>
      </c>
      <c r="H4829" s="6" t="n">
        <v>2.94</v>
      </c>
      <c r="I4829" s="6" t="n">
        <v>0</v>
      </c>
      <c r="J4829" s="40" t="n">
        <f aca="false">H4829-I4829</f>
        <v>2.94</v>
      </c>
      <c r="K4829" s="41" t="n">
        <v>34</v>
      </c>
      <c r="L4829" s="42" t="n">
        <f aca="false">J4829*K4829</f>
        <v>99.96</v>
      </c>
      <c r="M4829" s="43" t="n">
        <f aca="false">H4829*15.05*(1+'Chart of Accounts'!$E$67)</f>
        <v>50.662815</v>
      </c>
    </row>
    <row r="4830" customFormat="false" ht="15" hidden="false" customHeight="false" outlineLevel="0" collapsed="false">
      <c r="B4830" s="7" t="s">
        <v>5327</v>
      </c>
      <c r="C4830" s="39" t="n">
        <v>45890</v>
      </c>
      <c r="D4830" s="7" t="s">
        <v>377</v>
      </c>
      <c r="E4830" s="7" t="s">
        <v>154</v>
      </c>
      <c r="F4830" s="7" t="s">
        <v>214</v>
      </c>
      <c r="G4830" s="7" t="s">
        <v>505</v>
      </c>
      <c r="H4830" s="6" t="n">
        <v>4.33</v>
      </c>
      <c r="I4830" s="6" t="n">
        <v>0</v>
      </c>
      <c r="J4830" s="40" t="n">
        <f aca="false">H4830-I4830</f>
        <v>4.33</v>
      </c>
      <c r="K4830" s="41" t="n">
        <v>26.5</v>
      </c>
      <c r="L4830" s="42" t="n">
        <f aca="false">J4830*K4830</f>
        <v>114.745</v>
      </c>
      <c r="M4830" s="43" t="n">
        <f aca="false">H4830*15.67*(1+'Chart of Accounts'!$E$67)</f>
        <v>77.6895095</v>
      </c>
    </row>
    <row r="4831" customFormat="false" ht="15" hidden="false" customHeight="false" outlineLevel="0" collapsed="false">
      <c r="B4831" s="7" t="s">
        <v>5328</v>
      </c>
      <c r="C4831" s="39" t="n">
        <v>45890</v>
      </c>
      <c r="D4831" s="7" t="s">
        <v>387</v>
      </c>
      <c r="E4831" s="7" t="s">
        <v>154</v>
      </c>
      <c r="F4831" s="7" t="s">
        <v>196</v>
      </c>
      <c r="G4831" s="7" t="s">
        <v>505</v>
      </c>
      <c r="H4831" s="6" t="n">
        <v>4.18</v>
      </c>
      <c r="I4831" s="6" t="n">
        <v>0</v>
      </c>
      <c r="J4831" s="40" t="n">
        <f aca="false">H4831-I4831</f>
        <v>4.18</v>
      </c>
      <c r="K4831" s="41" t="n">
        <v>26.5</v>
      </c>
      <c r="L4831" s="42" t="n">
        <f aca="false">J4831*K4831</f>
        <v>110.77</v>
      </c>
      <c r="M4831" s="43" t="n">
        <f aca="false">H4831*15.05*(1+'Chart of Accounts'!$E$67)</f>
        <v>72.030805</v>
      </c>
    </row>
    <row r="4832" customFormat="false" ht="15" hidden="false" customHeight="false" outlineLevel="0" collapsed="false">
      <c r="B4832" s="7" t="s">
        <v>5329</v>
      </c>
      <c r="C4832" s="39" t="n">
        <v>45890</v>
      </c>
      <c r="D4832" s="7" t="s">
        <v>389</v>
      </c>
      <c r="E4832" s="7" t="s">
        <v>154</v>
      </c>
      <c r="F4832" s="7" t="s">
        <v>246</v>
      </c>
      <c r="G4832" s="7" t="s">
        <v>505</v>
      </c>
      <c r="H4832" s="6" t="n">
        <v>4.36</v>
      </c>
      <c r="I4832" s="6" t="n">
        <v>0</v>
      </c>
      <c r="J4832" s="40" t="n">
        <f aca="false">H4832-I4832</f>
        <v>4.36</v>
      </c>
      <c r="K4832" s="41" t="n">
        <v>26.5</v>
      </c>
      <c r="L4832" s="42" t="n">
        <f aca="false">J4832*K4832</f>
        <v>115.54</v>
      </c>
      <c r="M4832" s="43" t="n">
        <f aca="false">H4832*16.48*(1+'Chart of Accounts'!$E$67)</f>
        <v>82.271456</v>
      </c>
    </row>
    <row r="4833" customFormat="false" ht="15" hidden="false" customHeight="false" outlineLevel="0" collapsed="false">
      <c r="B4833" s="7" t="s">
        <v>5330</v>
      </c>
      <c r="C4833" s="39" t="n">
        <v>45890</v>
      </c>
      <c r="D4833" s="7" t="s">
        <v>391</v>
      </c>
      <c r="E4833" s="7" t="s">
        <v>156</v>
      </c>
      <c r="F4833" s="7" t="s">
        <v>222</v>
      </c>
      <c r="G4833" s="7" t="s">
        <v>505</v>
      </c>
      <c r="H4833" s="6" t="n">
        <v>3.74</v>
      </c>
      <c r="I4833" s="6" t="n">
        <v>0</v>
      </c>
      <c r="J4833" s="40" t="n">
        <f aca="false">H4833-I4833</f>
        <v>3.74</v>
      </c>
      <c r="K4833" s="41" t="n">
        <v>34</v>
      </c>
      <c r="L4833" s="42" t="n">
        <f aca="false">J4833*K4833</f>
        <v>127.16</v>
      </c>
      <c r="M4833" s="43" t="n">
        <f aca="false">H4833*17.84*(1+'Chart of Accounts'!$E$67)</f>
        <v>76.396232</v>
      </c>
    </row>
    <row r="4834" customFormat="false" ht="15" hidden="false" customHeight="false" outlineLevel="0" collapsed="false">
      <c r="B4834" s="7" t="s">
        <v>5331</v>
      </c>
      <c r="C4834" s="39" t="n">
        <v>45890</v>
      </c>
      <c r="D4834" s="7" t="s">
        <v>395</v>
      </c>
      <c r="E4834" s="7" t="s">
        <v>156</v>
      </c>
      <c r="F4834" s="7" t="s">
        <v>242</v>
      </c>
      <c r="G4834" s="7" t="s">
        <v>505</v>
      </c>
      <c r="H4834" s="6" t="n">
        <v>4.16</v>
      </c>
      <c r="I4834" s="6" t="n">
        <v>0</v>
      </c>
      <c r="J4834" s="40" t="n">
        <f aca="false">H4834-I4834</f>
        <v>4.16</v>
      </c>
      <c r="K4834" s="41" t="n">
        <v>34</v>
      </c>
      <c r="L4834" s="42" t="n">
        <f aca="false">J4834*K4834</f>
        <v>141.44</v>
      </c>
      <c r="M4834" s="43" t="n">
        <f aca="false">H4834*17.99*(1+'Chart of Accounts'!$E$67)</f>
        <v>85.689968</v>
      </c>
    </row>
    <row r="4835" customFormat="false" ht="15" hidden="false" customHeight="false" outlineLevel="0" collapsed="false">
      <c r="B4835" s="7" t="s">
        <v>5332</v>
      </c>
      <c r="C4835" s="39" t="n">
        <v>45890</v>
      </c>
      <c r="D4835" s="7" t="s">
        <v>401</v>
      </c>
      <c r="E4835" s="7" t="s">
        <v>156</v>
      </c>
      <c r="F4835" s="7" t="s">
        <v>254</v>
      </c>
      <c r="G4835" s="7" t="s">
        <v>505</v>
      </c>
      <c r="H4835" s="6" t="n">
        <v>4.15</v>
      </c>
      <c r="I4835" s="6" t="n">
        <v>0</v>
      </c>
      <c r="J4835" s="40" t="n">
        <f aca="false">H4835-I4835</f>
        <v>4.15</v>
      </c>
      <c r="K4835" s="41" t="n">
        <v>34</v>
      </c>
      <c r="L4835" s="42" t="n">
        <f aca="false">J4835*K4835</f>
        <v>141.1</v>
      </c>
      <c r="M4835" s="43" t="n">
        <f aca="false">H4835*17.1*(1+'Chart of Accounts'!$E$67)</f>
        <v>81.254925</v>
      </c>
    </row>
    <row r="4836" customFormat="false" ht="15" hidden="false" customHeight="false" outlineLevel="0" collapsed="false">
      <c r="B4836" s="7" t="s">
        <v>5333</v>
      </c>
      <c r="C4836" s="39" t="n">
        <v>45891</v>
      </c>
      <c r="D4836" s="7" t="s">
        <v>280</v>
      </c>
      <c r="E4836" s="7" t="s">
        <v>157</v>
      </c>
      <c r="F4836" s="7" t="s">
        <v>187</v>
      </c>
      <c r="G4836" s="7" t="s">
        <v>502</v>
      </c>
      <c r="H4836" s="6" t="n">
        <v>1.09</v>
      </c>
      <c r="I4836" s="6" t="n">
        <v>0</v>
      </c>
      <c r="J4836" s="40" t="n">
        <f aca="false">H4836-I4836</f>
        <v>1.09</v>
      </c>
      <c r="K4836" s="41" t="n">
        <v>165</v>
      </c>
      <c r="L4836" s="42" t="n">
        <f aca="false">J4836*K4836</f>
        <v>179.85</v>
      </c>
      <c r="M4836" s="43" t="n">
        <f aca="false">H4836*66.48*(1+'Chart of Accounts'!$E$67)</f>
        <v>82.970364</v>
      </c>
    </row>
    <row r="4837" customFormat="false" ht="15" hidden="false" customHeight="false" outlineLevel="0" collapsed="false">
      <c r="B4837" s="7" t="s">
        <v>5334</v>
      </c>
      <c r="C4837" s="39" t="n">
        <v>45891</v>
      </c>
      <c r="D4837" s="7" t="s">
        <v>288</v>
      </c>
      <c r="E4837" s="7" t="s">
        <v>156</v>
      </c>
      <c r="F4837" s="7" t="s">
        <v>242</v>
      </c>
      <c r="G4837" s="7" t="s">
        <v>505</v>
      </c>
      <c r="H4837" s="6" t="n">
        <v>3.9</v>
      </c>
      <c r="I4837" s="6" t="n">
        <v>0</v>
      </c>
      <c r="J4837" s="40" t="n">
        <f aca="false">H4837-I4837</f>
        <v>3.9</v>
      </c>
      <c r="K4837" s="41" t="n">
        <v>34</v>
      </c>
      <c r="L4837" s="42" t="n">
        <f aca="false">J4837*K4837</f>
        <v>132.6</v>
      </c>
      <c r="M4837" s="43" t="n">
        <f aca="false">H4837*17.99*(1+'Chart of Accounts'!$E$67)</f>
        <v>80.334345</v>
      </c>
    </row>
    <row r="4838" customFormat="false" ht="15" hidden="false" customHeight="false" outlineLevel="0" collapsed="false">
      <c r="B4838" s="7" t="s">
        <v>5335</v>
      </c>
      <c r="C4838" s="39" t="n">
        <v>45891</v>
      </c>
      <c r="D4838" s="7" t="s">
        <v>291</v>
      </c>
      <c r="E4838" s="7" t="s">
        <v>154</v>
      </c>
      <c r="F4838" s="7" t="s">
        <v>194</v>
      </c>
      <c r="G4838" s="7" t="s">
        <v>505</v>
      </c>
      <c r="H4838" s="6" t="n">
        <v>5.09</v>
      </c>
      <c r="I4838" s="6" t="n">
        <v>0</v>
      </c>
      <c r="J4838" s="40" t="n">
        <f aca="false">H4838-I4838</f>
        <v>5.09</v>
      </c>
      <c r="K4838" s="41" t="n">
        <v>26.5</v>
      </c>
      <c r="L4838" s="42" t="n">
        <f aca="false">J4838*K4838</f>
        <v>134.885</v>
      </c>
      <c r="M4838" s="43" t="n">
        <f aca="false">H4838*16*(1+'Chart of Accounts'!$E$67)</f>
        <v>93.2488</v>
      </c>
    </row>
    <row r="4839" customFormat="false" ht="15" hidden="false" customHeight="false" outlineLevel="0" collapsed="false">
      <c r="B4839" s="7" t="s">
        <v>5336</v>
      </c>
      <c r="C4839" s="39" t="n">
        <v>45891</v>
      </c>
      <c r="D4839" s="7" t="s">
        <v>295</v>
      </c>
      <c r="E4839" s="7" t="s">
        <v>154</v>
      </c>
      <c r="F4839" s="7" t="s">
        <v>214</v>
      </c>
      <c r="G4839" s="7" t="s">
        <v>505</v>
      </c>
      <c r="H4839" s="6" t="n">
        <v>3.61</v>
      </c>
      <c r="I4839" s="6" t="n">
        <v>0</v>
      </c>
      <c r="J4839" s="40" t="n">
        <f aca="false">H4839-I4839</f>
        <v>3.61</v>
      </c>
      <c r="K4839" s="41" t="n">
        <v>26.5</v>
      </c>
      <c r="L4839" s="42" t="n">
        <f aca="false">J4839*K4839</f>
        <v>95.665</v>
      </c>
      <c r="M4839" s="43" t="n">
        <f aca="false">H4839*15.67*(1+'Chart of Accounts'!$E$67)</f>
        <v>64.7711615</v>
      </c>
    </row>
    <row r="4840" customFormat="false" ht="15" hidden="false" customHeight="false" outlineLevel="0" collapsed="false">
      <c r="B4840" s="7" t="s">
        <v>5337</v>
      </c>
      <c r="C4840" s="39" t="n">
        <v>45891</v>
      </c>
      <c r="D4840" s="7" t="s">
        <v>301</v>
      </c>
      <c r="E4840" s="7" t="s">
        <v>157</v>
      </c>
      <c r="F4840" s="7" t="s">
        <v>209</v>
      </c>
      <c r="G4840" s="7" t="s">
        <v>502</v>
      </c>
      <c r="H4840" s="6" t="n">
        <v>1.04</v>
      </c>
      <c r="I4840" s="6" t="n">
        <v>0</v>
      </c>
      <c r="J4840" s="40" t="n">
        <f aca="false">H4840-I4840</f>
        <v>1.04</v>
      </c>
      <c r="K4840" s="41" t="n">
        <v>165</v>
      </c>
      <c r="L4840" s="42" t="n">
        <f aca="false">J4840*K4840</f>
        <v>171.6</v>
      </c>
      <c r="M4840" s="43" t="n">
        <f aca="false">H4840*73.58*(1+'Chart of Accounts'!$E$67)</f>
        <v>87.619064</v>
      </c>
    </row>
    <row r="4841" customFormat="false" ht="15" hidden="false" customHeight="false" outlineLevel="0" collapsed="false">
      <c r="B4841" s="7" t="s">
        <v>5338</v>
      </c>
      <c r="C4841" s="39" t="n">
        <v>45891</v>
      </c>
      <c r="D4841" s="7" t="s">
        <v>305</v>
      </c>
      <c r="E4841" s="7" t="s">
        <v>154</v>
      </c>
      <c r="F4841" s="7" t="s">
        <v>205</v>
      </c>
      <c r="G4841" s="7" t="s">
        <v>505</v>
      </c>
      <c r="H4841" s="6" t="n">
        <v>3.76</v>
      </c>
      <c r="I4841" s="6" t="n">
        <v>0.113</v>
      </c>
      <c r="J4841" s="40" t="n">
        <f aca="false">H4841-I4841</f>
        <v>3.647</v>
      </c>
      <c r="K4841" s="41" t="n">
        <v>26.5</v>
      </c>
      <c r="L4841" s="42" t="n">
        <f aca="false">J4841*K4841</f>
        <v>96.6455</v>
      </c>
      <c r="M4841" s="43" t="n">
        <f aca="false">H4841*16.36*(1+'Chart of Accounts'!$E$67)</f>
        <v>70.433072</v>
      </c>
    </row>
    <row r="4842" customFormat="false" ht="15" hidden="false" customHeight="false" outlineLevel="0" collapsed="false">
      <c r="B4842" s="7" t="s">
        <v>5339</v>
      </c>
      <c r="C4842" s="39" t="n">
        <v>45891</v>
      </c>
      <c r="D4842" s="7" t="s">
        <v>307</v>
      </c>
      <c r="E4842" s="7" t="s">
        <v>157</v>
      </c>
      <c r="F4842" s="7" t="s">
        <v>264</v>
      </c>
      <c r="G4842" s="7" t="s">
        <v>502</v>
      </c>
      <c r="H4842" s="6" t="n">
        <v>1.04</v>
      </c>
      <c r="I4842" s="6" t="n">
        <v>0</v>
      </c>
      <c r="J4842" s="40" t="n">
        <f aca="false">H4842-I4842</f>
        <v>1.04</v>
      </c>
      <c r="K4842" s="41" t="n">
        <v>165</v>
      </c>
      <c r="L4842" s="42" t="n">
        <f aca="false">J4842*K4842</f>
        <v>171.6</v>
      </c>
      <c r="M4842" s="43" t="n">
        <f aca="false">H4842*55.55*(1+'Chart of Accounts'!$E$67)</f>
        <v>66.14894</v>
      </c>
    </row>
    <row r="4843" customFormat="false" ht="15" hidden="false" customHeight="false" outlineLevel="0" collapsed="false">
      <c r="B4843" s="7" t="s">
        <v>5340</v>
      </c>
      <c r="C4843" s="39" t="n">
        <v>45891</v>
      </c>
      <c r="D4843" s="7" t="s">
        <v>309</v>
      </c>
      <c r="E4843" s="7" t="s">
        <v>159</v>
      </c>
      <c r="F4843" s="7" t="s">
        <v>252</v>
      </c>
      <c r="G4843" s="7" t="s">
        <v>502</v>
      </c>
      <c r="H4843" s="6" t="n">
        <v>1.09</v>
      </c>
      <c r="I4843" s="6" t="n">
        <v>0</v>
      </c>
      <c r="J4843" s="40" t="n">
        <f aca="false">H4843-I4843</f>
        <v>1.09</v>
      </c>
      <c r="K4843" s="41" t="n">
        <v>135</v>
      </c>
      <c r="L4843" s="42" t="n">
        <f aca="false">J4843*K4843</f>
        <v>147.15</v>
      </c>
      <c r="M4843" s="43" t="n">
        <f aca="false">H4843*57.54*(1+'Chart of Accounts'!$E$67)</f>
        <v>71.812797</v>
      </c>
    </row>
    <row r="4844" customFormat="false" ht="15" hidden="false" customHeight="false" outlineLevel="0" collapsed="false">
      <c r="B4844" s="7" t="s">
        <v>5341</v>
      </c>
      <c r="C4844" s="39" t="n">
        <v>45891</v>
      </c>
      <c r="D4844" s="7" t="s">
        <v>313</v>
      </c>
      <c r="E4844" s="7" t="s">
        <v>156</v>
      </c>
      <c r="F4844" s="7" t="s">
        <v>184</v>
      </c>
      <c r="G4844" s="7" t="s">
        <v>505</v>
      </c>
      <c r="H4844" s="6" t="n">
        <v>3.99</v>
      </c>
      <c r="I4844" s="6" t="n">
        <v>0</v>
      </c>
      <c r="J4844" s="40" t="n">
        <f aca="false">H4844-I4844</f>
        <v>3.99</v>
      </c>
      <c r="K4844" s="41" t="n">
        <v>34</v>
      </c>
      <c r="L4844" s="42" t="n">
        <f aca="false">J4844*K4844</f>
        <v>135.66</v>
      </c>
      <c r="M4844" s="43" t="n">
        <f aca="false">H4844*17.34*(1+'Chart of Accounts'!$E$67)</f>
        <v>79.218657</v>
      </c>
    </row>
    <row r="4845" customFormat="false" ht="15" hidden="false" customHeight="false" outlineLevel="0" collapsed="false">
      <c r="B4845" s="7" t="s">
        <v>5342</v>
      </c>
      <c r="C4845" s="39" t="n">
        <v>45891</v>
      </c>
      <c r="D4845" s="7" t="s">
        <v>315</v>
      </c>
      <c r="E4845" s="7" t="s">
        <v>159</v>
      </c>
      <c r="F4845" s="7" t="s">
        <v>216</v>
      </c>
      <c r="G4845" s="7" t="s">
        <v>502</v>
      </c>
      <c r="H4845" s="6" t="n">
        <v>1.04</v>
      </c>
      <c r="I4845" s="6" t="n">
        <v>0</v>
      </c>
      <c r="J4845" s="40" t="n">
        <f aca="false">H4845-I4845</f>
        <v>1.04</v>
      </c>
      <c r="K4845" s="41" t="n">
        <v>135</v>
      </c>
      <c r="L4845" s="42" t="n">
        <f aca="false">J4845*K4845</f>
        <v>140.4</v>
      </c>
      <c r="M4845" s="43" t="n">
        <f aca="false">H4845*61.79*(1+'Chart of Accounts'!$E$67)</f>
        <v>73.579532</v>
      </c>
    </row>
    <row r="4846" customFormat="false" ht="15" hidden="false" customHeight="false" outlineLevel="0" collapsed="false">
      <c r="B4846" s="7" t="s">
        <v>5343</v>
      </c>
      <c r="C4846" s="39" t="n">
        <v>45891</v>
      </c>
      <c r="D4846" s="7" t="s">
        <v>319</v>
      </c>
      <c r="E4846" s="7" t="s">
        <v>157</v>
      </c>
      <c r="F4846" s="7" t="s">
        <v>234</v>
      </c>
      <c r="G4846" s="7" t="s">
        <v>502</v>
      </c>
      <c r="H4846" s="6" t="n">
        <v>0.91</v>
      </c>
      <c r="I4846" s="6" t="n">
        <v>0</v>
      </c>
      <c r="J4846" s="40" t="n">
        <f aca="false">H4846-I4846</f>
        <v>0.91</v>
      </c>
      <c r="K4846" s="41" t="n">
        <v>165</v>
      </c>
      <c r="L4846" s="42" t="n">
        <f aca="false">J4846*K4846</f>
        <v>150.15</v>
      </c>
      <c r="M4846" s="43" t="n">
        <f aca="false">H4846*89.53*(1+'Chart of Accounts'!$E$67)</f>
        <v>93.2857835</v>
      </c>
    </row>
    <row r="4847" customFormat="false" ht="15" hidden="false" customHeight="false" outlineLevel="0" collapsed="false">
      <c r="B4847" s="7" t="s">
        <v>5344</v>
      </c>
      <c r="C4847" s="39" t="n">
        <v>45891</v>
      </c>
      <c r="D4847" s="7" t="s">
        <v>321</v>
      </c>
      <c r="E4847" s="7" t="s">
        <v>154</v>
      </c>
      <c r="F4847" s="7" t="s">
        <v>218</v>
      </c>
      <c r="G4847" s="7" t="s">
        <v>505</v>
      </c>
      <c r="H4847" s="6" t="n">
        <v>3.85</v>
      </c>
      <c r="I4847" s="6" t="n">
        <v>0</v>
      </c>
      <c r="J4847" s="40" t="n">
        <f aca="false">H4847-I4847</f>
        <v>3.85</v>
      </c>
      <c r="K4847" s="41" t="n">
        <v>26.5</v>
      </c>
      <c r="L4847" s="42" t="n">
        <f aca="false">J4847*K4847</f>
        <v>102.025</v>
      </c>
      <c r="M4847" s="43" t="n">
        <f aca="false">H4847*16.19*(1+'Chart of Accounts'!$E$67)</f>
        <v>71.3695675</v>
      </c>
    </row>
    <row r="4848" customFormat="false" ht="15" hidden="false" customHeight="false" outlineLevel="0" collapsed="false">
      <c r="B4848" s="7" t="s">
        <v>5345</v>
      </c>
      <c r="C4848" s="39" t="n">
        <v>45891</v>
      </c>
      <c r="D4848" s="7" t="s">
        <v>323</v>
      </c>
      <c r="E4848" s="7" t="s">
        <v>159</v>
      </c>
      <c r="F4848" s="7" t="s">
        <v>266</v>
      </c>
      <c r="G4848" s="7" t="s">
        <v>502</v>
      </c>
      <c r="H4848" s="6" t="n">
        <v>0.97</v>
      </c>
      <c r="I4848" s="6" t="n">
        <v>0.068</v>
      </c>
      <c r="J4848" s="40" t="n">
        <f aca="false">H4848-I4848</f>
        <v>0.902</v>
      </c>
      <c r="K4848" s="41" t="n">
        <v>135</v>
      </c>
      <c r="L4848" s="42" t="n">
        <f aca="false">J4848*K4848</f>
        <v>121.77</v>
      </c>
      <c r="M4848" s="43" t="n">
        <f aca="false">H4848*75.18*(1+'Chart of Accounts'!$E$67)</f>
        <v>83.498667</v>
      </c>
    </row>
    <row r="4849" customFormat="false" ht="15" hidden="false" customHeight="false" outlineLevel="0" collapsed="false">
      <c r="B4849" s="7" t="s">
        <v>5346</v>
      </c>
      <c r="C4849" s="39" t="n">
        <v>45891</v>
      </c>
      <c r="D4849" s="7" t="s">
        <v>327</v>
      </c>
      <c r="E4849" s="7" t="s">
        <v>157</v>
      </c>
      <c r="F4849" s="7" t="s">
        <v>228</v>
      </c>
      <c r="G4849" s="7" t="s">
        <v>502</v>
      </c>
      <c r="H4849" s="6" t="n">
        <v>1.05</v>
      </c>
      <c r="I4849" s="6" t="n">
        <v>0</v>
      </c>
      <c r="J4849" s="40" t="n">
        <f aca="false">H4849-I4849</f>
        <v>1.05</v>
      </c>
      <c r="K4849" s="41" t="n">
        <v>165</v>
      </c>
      <c r="L4849" s="42" t="n">
        <f aca="false">J4849*K4849</f>
        <v>173.25</v>
      </c>
      <c r="M4849" s="43" t="n">
        <f aca="false">H4849*51.07*(1+'Chart of Accounts'!$E$67)</f>
        <v>61.3989075</v>
      </c>
    </row>
    <row r="4850" customFormat="false" ht="15" hidden="false" customHeight="false" outlineLevel="0" collapsed="false">
      <c r="B4850" s="7" t="s">
        <v>5347</v>
      </c>
      <c r="C4850" s="39" t="n">
        <v>45891</v>
      </c>
      <c r="D4850" s="7" t="s">
        <v>329</v>
      </c>
      <c r="E4850" s="7" t="s">
        <v>156</v>
      </c>
      <c r="F4850" s="7" t="s">
        <v>220</v>
      </c>
      <c r="G4850" s="7" t="s">
        <v>505</v>
      </c>
      <c r="H4850" s="6" t="n">
        <v>4.25</v>
      </c>
      <c r="I4850" s="6" t="n">
        <v>0</v>
      </c>
      <c r="J4850" s="40" t="n">
        <f aca="false">H4850-I4850</f>
        <v>4.25</v>
      </c>
      <c r="K4850" s="41" t="n">
        <v>34</v>
      </c>
      <c r="L4850" s="42" t="n">
        <f aca="false">J4850*K4850</f>
        <v>144.5</v>
      </c>
      <c r="M4850" s="43" t="n">
        <f aca="false">H4850*16.43*(1+'Chart of Accounts'!$E$67)</f>
        <v>79.9524875</v>
      </c>
    </row>
    <row r="4851" customFormat="false" ht="15" hidden="false" customHeight="false" outlineLevel="0" collapsed="false">
      <c r="B4851" s="7" t="s">
        <v>5348</v>
      </c>
      <c r="C4851" s="39" t="n">
        <v>45891</v>
      </c>
      <c r="D4851" s="7" t="s">
        <v>335</v>
      </c>
      <c r="E4851" s="7" t="s">
        <v>154</v>
      </c>
      <c r="F4851" s="7" t="s">
        <v>177</v>
      </c>
      <c r="G4851" s="7" t="s">
        <v>505</v>
      </c>
      <c r="H4851" s="6" t="n">
        <v>4.02</v>
      </c>
      <c r="I4851" s="6" t="n">
        <v>0</v>
      </c>
      <c r="J4851" s="40" t="n">
        <f aca="false">H4851-I4851</f>
        <v>4.02</v>
      </c>
      <c r="K4851" s="41" t="n">
        <v>26.5</v>
      </c>
      <c r="L4851" s="42" t="n">
        <f aca="false">J4851*K4851</f>
        <v>106.53</v>
      </c>
      <c r="M4851" s="43" t="n">
        <f aca="false">H4851*14.56*(1+'Chart of Accounts'!$E$67)</f>
        <v>67.018224</v>
      </c>
    </row>
    <row r="4852" customFormat="false" ht="15" hidden="false" customHeight="false" outlineLevel="0" collapsed="false">
      <c r="B4852" s="7" t="s">
        <v>5349</v>
      </c>
      <c r="C4852" s="39" t="n">
        <v>45891</v>
      </c>
      <c r="D4852" s="7" t="s">
        <v>339</v>
      </c>
      <c r="E4852" s="7" t="s">
        <v>154</v>
      </c>
      <c r="F4852" s="7" t="s">
        <v>242</v>
      </c>
      <c r="G4852" s="7" t="s">
        <v>505</v>
      </c>
      <c r="H4852" s="6" t="n">
        <v>3.57</v>
      </c>
      <c r="I4852" s="6" t="n">
        <v>0</v>
      </c>
      <c r="J4852" s="40" t="n">
        <f aca="false">H4852-I4852</f>
        <v>3.57</v>
      </c>
      <c r="K4852" s="41" t="n">
        <v>26.5</v>
      </c>
      <c r="L4852" s="42" t="n">
        <f aca="false">J4852*K4852</f>
        <v>94.605</v>
      </c>
      <c r="M4852" s="43" t="n">
        <f aca="false">H4852*17.99*(1+'Chart of Accounts'!$E$67)</f>
        <v>73.5368235</v>
      </c>
    </row>
    <row r="4853" customFormat="false" ht="15" hidden="false" customHeight="false" outlineLevel="0" collapsed="false">
      <c r="B4853" s="7" t="s">
        <v>5350</v>
      </c>
      <c r="C4853" s="39" t="n">
        <v>45891</v>
      </c>
      <c r="D4853" s="7" t="s">
        <v>347</v>
      </c>
      <c r="E4853" s="7" t="s">
        <v>154</v>
      </c>
      <c r="F4853" s="7" t="s">
        <v>238</v>
      </c>
      <c r="G4853" s="7" t="s">
        <v>505</v>
      </c>
      <c r="H4853" s="6" t="n">
        <v>4.45</v>
      </c>
      <c r="I4853" s="6" t="n">
        <v>0</v>
      </c>
      <c r="J4853" s="40" t="n">
        <f aca="false">H4853-I4853</f>
        <v>4.45</v>
      </c>
      <c r="K4853" s="41" t="n">
        <v>26.5</v>
      </c>
      <c r="L4853" s="42" t="n">
        <f aca="false">J4853*K4853</f>
        <v>117.925</v>
      </c>
      <c r="M4853" s="43" t="n">
        <f aca="false">H4853*15.85*(1+'Chart of Accounts'!$E$67)</f>
        <v>80.7597125</v>
      </c>
    </row>
    <row r="4854" customFormat="false" ht="15" hidden="false" customHeight="false" outlineLevel="0" collapsed="false">
      <c r="B4854" s="7" t="s">
        <v>5351</v>
      </c>
      <c r="C4854" s="39" t="n">
        <v>45891</v>
      </c>
      <c r="D4854" s="7" t="s">
        <v>353</v>
      </c>
      <c r="E4854" s="7" t="s">
        <v>154</v>
      </c>
      <c r="F4854" s="7" t="s">
        <v>254</v>
      </c>
      <c r="G4854" s="7" t="s">
        <v>505</v>
      </c>
      <c r="H4854" s="6" t="n">
        <v>3.43</v>
      </c>
      <c r="I4854" s="6" t="n">
        <v>0</v>
      </c>
      <c r="J4854" s="40" t="n">
        <f aca="false">H4854-I4854</f>
        <v>3.43</v>
      </c>
      <c r="K4854" s="41" t="n">
        <v>26.5</v>
      </c>
      <c r="L4854" s="42" t="n">
        <f aca="false">J4854*K4854</f>
        <v>90.895</v>
      </c>
      <c r="M4854" s="43" t="n">
        <f aca="false">H4854*17.1*(1+'Chart of Accounts'!$E$67)</f>
        <v>67.157685</v>
      </c>
    </row>
    <row r="4855" customFormat="false" ht="15" hidden="false" customHeight="false" outlineLevel="0" collapsed="false">
      <c r="B4855" s="7" t="s">
        <v>5352</v>
      </c>
      <c r="C4855" s="39" t="n">
        <v>45891</v>
      </c>
      <c r="D4855" s="7" t="s">
        <v>355</v>
      </c>
      <c r="E4855" s="7" t="s">
        <v>154</v>
      </c>
      <c r="F4855" s="7" t="s">
        <v>201</v>
      </c>
      <c r="G4855" s="7" t="s">
        <v>505</v>
      </c>
      <c r="H4855" s="6" t="n">
        <v>3.53</v>
      </c>
      <c r="I4855" s="6" t="n">
        <v>0</v>
      </c>
      <c r="J4855" s="40" t="n">
        <f aca="false">H4855-I4855</f>
        <v>3.53</v>
      </c>
      <c r="K4855" s="41" t="n">
        <v>26.5</v>
      </c>
      <c r="L4855" s="42" t="n">
        <f aca="false">J4855*K4855</f>
        <v>93.545</v>
      </c>
      <c r="M4855" s="43" t="n">
        <f aca="false">H4855*15.19*(1+'Chart of Accounts'!$E$67)</f>
        <v>61.3957015</v>
      </c>
    </row>
    <row r="4856" customFormat="false" ht="15" hidden="false" customHeight="false" outlineLevel="0" collapsed="false">
      <c r="B4856" s="7" t="s">
        <v>5353</v>
      </c>
      <c r="C4856" s="39" t="n">
        <v>45891</v>
      </c>
      <c r="D4856" s="7" t="s">
        <v>357</v>
      </c>
      <c r="E4856" s="7" t="s">
        <v>154</v>
      </c>
      <c r="F4856" s="7" t="s">
        <v>207</v>
      </c>
      <c r="G4856" s="7" t="s">
        <v>505</v>
      </c>
      <c r="H4856" s="6" t="n">
        <v>3.3</v>
      </c>
      <c r="I4856" s="6" t="n">
        <v>0</v>
      </c>
      <c r="J4856" s="40" t="n">
        <f aca="false">H4856-I4856</f>
        <v>3.3</v>
      </c>
      <c r="K4856" s="41" t="n">
        <v>26.5</v>
      </c>
      <c r="L4856" s="42" t="n">
        <f aca="false">J4856*K4856</f>
        <v>87.45</v>
      </c>
      <c r="M4856" s="43" t="n">
        <f aca="false">H4856*16.65*(1+'Chart of Accounts'!$E$67)</f>
        <v>62.912025</v>
      </c>
    </row>
    <row r="4857" customFormat="false" ht="15" hidden="false" customHeight="false" outlineLevel="0" collapsed="false">
      <c r="B4857" s="7" t="s">
        <v>5354</v>
      </c>
      <c r="C4857" s="39" t="n">
        <v>45891</v>
      </c>
      <c r="D4857" s="7" t="s">
        <v>359</v>
      </c>
      <c r="E4857" s="7" t="s">
        <v>156</v>
      </c>
      <c r="F4857" s="7" t="s">
        <v>242</v>
      </c>
      <c r="G4857" s="7" t="s">
        <v>505</v>
      </c>
      <c r="H4857" s="6" t="n">
        <v>3.7</v>
      </c>
      <c r="I4857" s="6" t="n">
        <v>0</v>
      </c>
      <c r="J4857" s="40" t="n">
        <f aca="false">H4857-I4857</f>
        <v>3.7</v>
      </c>
      <c r="K4857" s="41" t="n">
        <v>34</v>
      </c>
      <c r="L4857" s="42" t="n">
        <f aca="false">J4857*K4857</f>
        <v>125.8</v>
      </c>
      <c r="M4857" s="43" t="n">
        <f aca="false">H4857*17.99*(1+'Chart of Accounts'!$E$67)</f>
        <v>76.214635</v>
      </c>
    </row>
    <row r="4858" customFormat="false" ht="15" hidden="false" customHeight="false" outlineLevel="0" collapsed="false">
      <c r="B4858" s="7" t="s">
        <v>5355</v>
      </c>
      <c r="C4858" s="39" t="n">
        <v>45891</v>
      </c>
      <c r="D4858" s="7" t="s">
        <v>361</v>
      </c>
      <c r="E4858" s="7" t="s">
        <v>157</v>
      </c>
      <c r="F4858" s="7" t="s">
        <v>209</v>
      </c>
      <c r="G4858" s="7" t="s">
        <v>502</v>
      </c>
      <c r="H4858" s="6" t="n">
        <v>1.02</v>
      </c>
      <c r="I4858" s="6" t="n">
        <v>0</v>
      </c>
      <c r="J4858" s="40" t="n">
        <f aca="false">H4858-I4858</f>
        <v>1.02</v>
      </c>
      <c r="K4858" s="41" t="n">
        <v>165</v>
      </c>
      <c r="L4858" s="42" t="n">
        <f aca="false">J4858*K4858</f>
        <v>168.3</v>
      </c>
      <c r="M4858" s="43" t="n">
        <f aca="false">H4858*73.58*(1+'Chart of Accounts'!$E$67)</f>
        <v>85.934082</v>
      </c>
    </row>
    <row r="4859" customFormat="false" ht="15" hidden="false" customHeight="false" outlineLevel="0" collapsed="false">
      <c r="B4859" s="7" t="s">
        <v>5356</v>
      </c>
      <c r="C4859" s="39" t="n">
        <v>45891</v>
      </c>
      <c r="D4859" s="7" t="s">
        <v>365</v>
      </c>
      <c r="E4859" s="7" t="s">
        <v>154</v>
      </c>
      <c r="F4859" s="7" t="s">
        <v>194</v>
      </c>
      <c r="G4859" s="7" t="s">
        <v>505</v>
      </c>
      <c r="H4859" s="6" t="n">
        <v>3.61</v>
      </c>
      <c r="I4859" s="6" t="n">
        <v>0</v>
      </c>
      <c r="J4859" s="40" t="n">
        <f aca="false">H4859-I4859</f>
        <v>3.61</v>
      </c>
      <c r="K4859" s="41" t="n">
        <v>26.5</v>
      </c>
      <c r="L4859" s="42" t="n">
        <f aca="false">J4859*K4859</f>
        <v>95.665</v>
      </c>
      <c r="M4859" s="43" t="n">
        <f aca="false">H4859*16*(1+'Chart of Accounts'!$E$67)</f>
        <v>66.1352</v>
      </c>
    </row>
    <row r="4860" customFormat="false" ht="15" hidden="false" customHeight="false" outlineLevel="0" collapsed="false">
      <c r="B4860" s="7" t="s">
        <v>5357</v>
      </c>
      <c r="C4860" s="39" t="n">
        <v>45891</v>
      </c>
      <c r="D4860" s="7" t="s">
        <v>369</v>
      </c>
      <c r="E4860" s="7" t="s">
        <v>159</v>
      </c>
      <c r="F4860" s="7" t="s">
        <v>258</v>
      </c>
      <c r="G4860" s="7" t="s">
        <v>502</v>
      </c>
      <c r="H4860" s="6" t="n">
        <v>1</v>
      </c>
      <c r="I4860" s="6" t="n">
        <v>0</v>
      </c>
      <c r="J4860" s="40" t="n">
        <f aca="false">H4860-I4860</f>
        <v>1</v>
      </c>
      <c r="K4860" s="41" t="n">
        <v>135</v>
      </c>
      <c r="L4860" s="42" t="n">
        <f aca="false">J4860*K4860</f>
        <v>135</v>
      </c>
      <c r="M4860" s="43" t="n">
        <f aca="false">H4860*61.61*(1+'Chart of Accounts'!$E$67)</f>
        <v>70.54345</v>
      </c>
    </row>
    <row r="4861" customFormat="false" ht="15" hidden="false" customHeight="false" outlineLevel="0" collapsed="false">
      <c r="B4861" s="7" t="s">
        <v>5358</v>
      </c>
      <c r="C4861" s="39" t="n">
        <v>45891</v>
      </c>
      <c r="D4861" s="7" t="s">
        <v>371</v>
      </c>
      <c r="E4861" s="7" t="s">
        <v>154</v>
      </c>
      <c r="F4861" s="7" t="s">
        <v>232</v>
      </c>
      <c r="G4861" s="7" t="s">
        <v>505</v>
      </c>
      <c r="H4861" s="6" t="n">
        <v>4.58</v>
      </c>
      <c r="I4861" s="6" t="n">
        <v>0</v>
      </c>
      <c r="J4861" s="40" t="n">
        <f aca="false">H4861-I4861</f>
        <v>4.58</v>
      </c>
      <c r="K4861" s="41" t="n">
        <v>26.5</v>
      </c>
      <c r="L4861" s="42" t="n">
        <f aca="false">J4861*K4861</f>
        <v>121.37</v>
      </c>
      <c r="M4861" s="43" t="n">
        <f aca="false">H4861*16.17*(1+'Chart of Accounts'!$E$67)</f>
        <v>84.797097</v>
      </c>
    </row>
    <row r="4862" customFormat="false" ht="15" hidden="false" customHeight="false" outlineLevel="0" collapsed="false">
      <c r="B4862" s="7" t="s">
        <v>5359</v>
      </c>
      <c r="C4862" s="39" t="n">
        <v>45891</v>
      </c>
      <c r="D4862" s="7" t="s">
        <v>379</v>
      </c>
      <c r="E4862" s="7" t="s">
        <v>156</v>
      </c>
      <c r="F4862" s="7" t="s">
        <v>224</v>
      </c>
      <c r="G4862" s="7" t="s">
        <v>505</v>
      </c>
      <c r="H4862" s="6" t="n">
        <v>4.72</v>
      </c>
      <c r="I4862" s="6" t="n">
        <v>0</v>
      </c>
      <c r="J4862" s="40" t="n">
        <f aca="false">H4862-I4862</f>
        <v>4.72</v>
      </c>
      <c r="K4862" s="41" t="n">
        <v>34</v>
      </c>
      <c r="L4862" s="42" t="n">
        <f aca="false">J4862*K4862</f>
        <v>160.48</v>
      </c>
      <c r="M4862" s="43" t="n">
        <f aca="false">H4862*14.93*(1+'Chart of Accounts'!$E$67)</f>
        <v>80.687692</v>
      </c>
    </row>
    <row r="4863" customFormat="false" ht="15" hidden="false" customHeight="false" outlineLevel="0" collapsed="false">
      <c r="B4863" s="7" t="s">
        <v>5360</v>
      </c>
      <c r="C4863" s="39" t="n">
        <v>45891</v>
      </c>
      <c r="D4863" s="7" t="s">
        <v>381</v>
      </c>
      <c r="E4863" s="7" t="s">
        <v>157</v>
      </c>
      <c r="F4863" s="7" t="s">
        <v>234</v>
      </c>
      <c r="G4863" s="7" t="s">
        <v>502</v>
      </c>
      <c r="H4863" s="6" t="n">
        <v>0.98</v>
      </c>
      <c r="I4863" s="6" t="n">
        <v>0</v>
      </c>
      <c r="J4863" s="40" t="n">
        <f aca="false">H4863-I4863</f>
        <v>0.98</v>
      </c>
      <c r="K4863" s="41" t="n">
        <v>165</v>
      </c>
      <c r="L4863" s="42" t="n">
        <f aca="false">J4863*K4863</f>
        <v>161.7</v>
      </c>
      <c r="M4863" s="43" t="n">
        <f aca="false">H4863*89.53*(1+'Chart of Accounts'!$E$67)</f>
        <v>100.461613</v>
      </c>
    </row>
    <row r="4864" customFormat="false" ht="15" hidden="false" customHeight="false" outlineLevel="0" collapsed="false">
      <c r="B4864" s="7" t="s">
        <v>5361</v>
      </c>
      <c r="C4864" s="39" t="n">
        <v>45891</v>
      </c>
      <c r="D4864" s="7" t="s">
        <v>383</v>
      </c>
      <c r="E4864" s="7" t="s">
        <v>157</v>
      </c>
      <c r="F4864" s="7" t="s">
        <v>230</v>
      </c>
      <c r="G4864" s="7" t="s">
        <v>502</v>
      </c>
      <c r="H4864" s="6" t="n">
        <v>1.02</v>
      </c>
      <c r="I4864" s="6" t="n">
        <v>0</v>
      </c>
      <c r="J4864" s="40" t="n">
        <f aca="false">H4864-I4864</f>
        <v>1.02</v>
      </c>
      <c r="K4864" s="41" t="n">
        <v>165</v>
      </c>
      <c r="L4864" s="42" t="n">
        <f aca="false">J4864*K4864</f>
        <v>168.3</v>
      </c>
      <c r="M4864" s="43" t="n">
        <f aca="false">H4864*48.78*(1+'Chart of Accounts'!$E$67)</f>
        <v>56.970162</v>
      </c>
    </row>
    <row r="4865" customFormat="false" ht="15" hidden="false" customHeight="false" outlineLevel="0" collapsed="false">
      <c r="B4865" s="7" t="s">
        <v>5362</v>
      </c>
      <c r="C4865" s="39" t="n">
        <v>45891</v>
      </c>
      <c r="D4865" s="7" t="s">
        <v>385</v>
      </c>
      <c r="E4865" s="7" t="s">
        <v>156</v>
      </c>
      <c r="F4865" s="7" t="s">
        <v>238</v>
      </c>
      <c r="G4865" s="7" t="s">
        <v>505</v>
      </c>
      <c r="H4865" s="6" t="n">
        <v>4.03</v>
      </c>
      <c r="I4865" s="6" t="n">
        <v>0</v>
      </c>
      <c r="J4865" s="40" t="n">
        <f aca="false">H4865-I4865</f>
        <v>4.03</v>
      </c>
      <c r="K4865" s="41" t="n">
        <v>34</v>
      </c>
      <c r="L4865" s="42" t="n">
        <f aca="false">J4865*K4865</f>
        <v>137.02</v>
      </c>
      <c r="M4865" s="43" t="n">
        <f aca="false">H4865*15.85*(1+'Chart of Accounts'!$E$67)</f>
        <v>73.1374475</v>
      </c>
    </row>
    <row r="4866" customFormat="false" ht="15" hidden="false" customHeight="false" outlineLevel="0" collapsed="false">
      <c r="B4866" s="7" t="s">
        <v>5363</v>
      </c>
      <c r="C4866" s="39" t="n">
        <v>45891</v>
      </c>
      <c r="D4866" s="7" t="s">
        <v>387</v>
      </c>
      <c r="E4866" s="7" t="s">
        <v>154</v>
      </c>
      <c r="F4866" s="7" t="s">
        <v>196</v>
      </c>
      <c r="G4866" s="7" t="s">
        <v>505</v>
      </c>
      <c r="H4866" s="6" t="n">
        <v>3.71</v>
      </c>
      <c r="I4866" s="6" t="n">
        <v>0</v>
      </c>
      <c r="J4866" s="40" t="n">
        <f aca="false">H4866-I4866</f>
        <v>3.71</v>
      </c>
      <c r="K4866" s="41" t="n">
        <v>26.5</v>
      </c>
      <c r="L4866" s="42" t="n">
        <f aca="false">J4866*K4866</f>
        <v>98.315</v>
      </c>
      <c r="M4866" s="43" t="n">
        <f aca="false">H4866*15.05*(1+'Chart of Accounts'!$E$67)</f>
        <v>63.9316475</v>
      </c>
    </row>
    <row r="4867" customFormat="false" ht="15" hidden="false" customHeight="false" outlineLevel="0" collapsed="false">
      <c r="B4867" s="7" t="s">
        <v>5364</v>
      </c>
      <c r="C4867" s="39" t="n">
        <v>45891</v>
      </c>
      <c r="D4867" s="7" t="s">
        <v>389</v>
      </c>
      <c r="E4867" s="7" t="s">
        <v>154</v>
      </c>
      <c r="F4867" s="7" t="s">
        <v>246</v>
      </c>
      <c r="G4867" s="7" t="s">
        <v>505</v>
      </c>
      <c r="H4867" s="6" t="n">
        <v>4.39</v>
      </c>
      <c r="I4867" s="6" t="n">
        <v>0</v>
      </c>
      <c r="J4867" s="40" t="n">
        <f aca="false">H4867-I4867</f>
        <v>4.39</v>
      </c>
      <c r="K4867" s="41" t="n">
        <v>26.5</v>
      </c>
      <c r="L4867" s="42" t="n">
        <f aca="false">J4867*K4867</f>
        <v>116.335</v>
      </c>
      <c r="M4867" s="43" t="n">
        <f aca="false">H4867*16.48*(1+'Chart of Accounts'!$E$67)</f>
        <v>82.837544</v>
      </c>
    </row>
    <row r="4868" customFormat="false" ht="15" hidden="false" customHeight="false" outlineLevel="0" collapsed="false">
      <c r="B4868" s="7" t="s">
        <v>5365</v>
      </c>
      <c r="C4868" s="39" t="n">
        <v>45891</v>
      </c>
      <c r="D4868" s="7" t="s">
        <v>391</v>
      </c>
      <c r="E4868" s="7" t="s">
        <v>156</v>
      </c>
      <c r="F4868" s="7" t="s">
        <v>222</v>
      </c>
      <c r="G4868" s="7" t="s">
        <v>505</v>
      </c>
      <c r="H4868" s="6" t="n">
        <v>4.11</v>
      </c>
      <c r="I4868" s="6" t="n">
        <v>0</v>
      </c>
      <c r="J4868" s="40" t="n">
        <f aca="false">H4868-I4868</f>
        <v>4.11</v>
      </c>
      <c r="K4868" s="41" t="n">
        <v>34</v>
      </c>
      <c r="L4868" s="42" t="n">
        <f aca="false">J4868*K4868</f>
        <v>139.74</v>
      </c>
      <c r="M4868" s="43" t="n">
        <f aca="false">H4868*17.84*(1+'Chart of Accounts'!$E$67)</f>
        <v>83.954148</v>
      </c>
    </row>
    <row r="4869" customFormat="false" ht="15" hidden="false" customHeight="false" outlineLevel="0" collapsed="false">
      <c r="B4869" s="7" t="s">
        <v>5366</v>
      </c>
      <c r="C4869" s="39" t="n">
        <v>45891</v>
      </c>
      <c r="D4869" s="7" t="s">
        <v>395</v>
      </c>
      <c r="E4869" s="7" t="s">
        <v>156</v>
      </c>
      <c r="F4869" s="7" t="s">
        <v>242</v>
      </c>
      <c r="G4869" s="7" t="s">
        <v>505</v>
      </c>
      <c r="H4869" s="6" t="n">
        <v>3.89</v>
      </c>
      <c r="I4869" s="6" t="n">
        <v>0</v>
      </c>
      <c r="J4869" s="40" t="n">
        <f aca="false">H4869-I4869</f>
        <v>3.89</v>
      </c>
      <c r="K4869" s="41" t="n">
        <v>34</v>
      </c>
      <c r="L4869" s="42" t="n">
        <f aca="false">J4869*K4869</f>
        <v>132.26</v>
      </c>
      <c r="M4869" s="43" t="n">
        <f aca="false">H4869*17.99*(1+'Chart of Accounts'!$E$67)</f>
        <v>80.1283595</v>
      </c>
    </row>
    <row r="4870" customFormat="false" ht="15" hidden="false" customHeight="false" outlineLevel="0" collapsed="false">
      <c r="B4870" s="7" t="s">
        <v>5367</v>
      </c>
      <c r="C4870" s="39" t="n">
        <v>45891</v>
      </c>
      <c r="D4870" s="7" t="s">
        <v>397</v>
      </c>
      <c r="E4870" s="7" t="s">
        <v>159</v>
      </c>
      <c r="F4870" s="7" t="s">
        <v>203</v>
      </c>
      <c r="G4870" s="7" t="s">
        <v>502</v>
      </c>
      <c r="H4870" s="6" t="n">
        <v>1.07</v>
      </c>
      <c r="I4870" s="6" t="n">
        <v>0</v>
      </c>
      <c r="J4870" s="40" t="n">
        <f aca="false">H4870-I4870</f>
        <v>1.07</v>
      </c>
      <c r="K4870" s="41" t="n">
        <v>135</v>
      </c>
      <c r="L4870" s="42" t="n">
        <f aca="false">J4870*K4870</f>
        <v>144.45</v>
      </c>
      <c r="M4870" s="43" t="n">
        <f aca="false">H4870*49.43*(1+'Chart of Accounts'!$E$67)</f>
        <v>60.5591645</v>
      </c>
    </row>
    <row r="4871" customFormat="false" ht="15" hidden="false" customHeight="false" outlineLevel="0" collapsed="false">
      <c r="B4871" s="7" t="s">
        <v>5368</v>
      </c>
      <c r="C4871" s="39" t="n">
        <v>45891</v>
      </c>
      <c r="D4871" s="7" t="s">
        <v>399</v>
      </c>
      <c r="E4871" s="7" t="s">
        <v>154</v>
      </c>
      <c r="F4871" s="7" t="s">
        <v>196</v>
      </c>
      <c r="G4871" s="7" t="s">
        <v>505</v>
      </c>
      <c r="H4871" s="6" t="n">
        <v>3.2</v>
      </c>
      <c r="I4871" s="6" t="n">
        <v>0</v>
      </c>
      <c r="J4871" s="40" t="n">
        <f aca="false">H4871-I4871</f>
        <v>3.2</v>
      </c>
      <c r="K4871" s="41" t="n">
        <v>26.5</v>
      </c>
      <c r="L4871" s="42" t="n">
        <f aca="false">J4871*K4871</f>
        <v>84.8</v>
      </c>
      <c r="M4871" s="43" t="n">
        <f aca="false">H4871*15.05*(1+'Chart of Accounts'!$E$67)</f>
        <v>55.1432</v>
      </c>
    </row>
    <row r="4872" customFormat="false" ht="15" hidden="false" customHeight="false" outlineLevel="0" collapsed="false">
      <c r="B4872" s="7" t="s">
        <v>5369</v>
      </c>
      <c r="C4872" s="39" t="n">
        <v>45891</v>
      </c>
      <c r="D4872" s="7" t="s">
        <v>401</v>
      </c>
      <c r="E4872" s="7" t="s">
        <v>156</v>
      </c>
      <c r="F4872" s="7" t="s">
        <v>254</v>
      </c>
      <c r="G4872" s="7" t="s">
        <v>505</v>
      </c>
      <c r="H4872" s="6" t="n">
        <v>4.25</v>
      </c>
      <c r="I4872" s="6" t="n">
        <v>0</v>
      </c>
      <c r="J4872" s="40" t="n">
        <f aca="false">H4872-I4872</f>
        <v>4.25</v>
      </c>
      <c r="K4872" s="41" t="n">
        <v>34</v>
      </c>
      <c r="L4872" s="42" t="n">
        <f aca="false">J4872*K4872</f>
        <v>144.5</v>
      </c>
      <c r="M4872" s="43" t="n">
        <f aca="false">H4872*17.1*(1+'Chart of Accounts'!$E$67)</f>
        <v>83.212875</v>
      </c>
    </row>
    <row r="4873" customFormat="false" ht="15" hidden="false" customHeight="false" outlineLevel="0" collapsed="false">
      <c r="B4873" s="7" t="s">
        <v>5370</v>
      </c>
      <c r="C4873" s="39" t="n">
        <v>45891</v>
      </c>
      <c r="D4873" s="7" t="s">
        <v>403</v>
      </c>
      <c r="E4873" s="7" t="s">
        <v>156</v>
      </c>
      <c r="F4873" s="7" t="s">
        <v>184</v>
      </c>
      <c r="G4873" s="7" t="s">
        <v>505</v>
      </c>
      <c r="H4873" s="6" t="n">
        <v>3.71</v>
      </c>
      <c r="I4873" s="6" t="n">
        <v>0</v>
      </c>
      <c r="J4873" s="40" t="n">
        <f aca="false">H4873-I4873</f>
        <v>3.71</v>
      </c>
      <c r="K4873" s="41" t="n">
        <v>34</v>
      </c>
      <c r="L4873" s="42" t="n">
        <f aca="false">J4873*K4873</f>
        <v>126.14</v>
      </c>
      <c r="M4873" s="43" t="n">
        <f aca="false">H4873*17.34*(1+'Chart of Accounts'!$E$67)</f>
        <v>73.659453</v>
      </c>
    </row>
    <row r="4874" customFormat="false" ht="15" hidden="false" customHeight="false" outlineLevel="0" collapsed="false">
      <c r="B4874" s="7" t="s">
        <v>5371</v>
      </c>
      <c r="C4874" s="39" t="n">
        <v>45891</v>
      </c>
      <c r="D4874" s="7" t="s">
        <v>407</v>
      </c>
      <c r="E4874" s="7" t="s">
        <v>159</v>
      </c>
      <c r="F4874" s="7" t="s">
        <v>260</v>
      </c>
      <c r="G4874" s="7" t="s">
        <v>502</v>
      </c>
      <c r="H4874" s="6" t="n">
        <v>0.91</v>
      </c>
      <c r="I4874" s="6" t="n">
        <v>0</v>
      </c>
      <c r="J4874" s="40" t="n">
        <f aca="false">H4874-I4874</f>
        <v>0.91</v>
      </c>
      <c r="K4874" s="41" t="n">
        <v>135</v>
      </c>
      <c r="L4874" s="42" t="n">
        <f aca="false">J4874*K4874</f>
        <v>122.85</v>
      </c>
      <c r="M4874" s="43" t="n">
        <f aca="false">H4874*79.8*(1+'Chart of Accounts'!$E$67)</f>
        <v>83.14761</v>
      </c>
    </row>
    <row r="4875" customFormat="false" ht="15" hidden="false" customHeight="false" outlineLevel="0" collapsed="false">
      <c r="B4875" s="7" t="s">
        <v>5372</v>
      </c>
      <c r="C4875" s="39" t="n">
        <v>45891</v>
      </c>
      <c r="D4875" s="7" t="s">
        <v>409</v>
      </c>
      <c r="E4875" s="7" t="s">
        <v>154</v>
      </c>
      <c r="F4875" s="7" t="s">
        <v>214</v>
      </c>
      <c r="G4875" s="7" t="s">
        <v>505</v>
      </c>
      <c r="H4875" s="6" t="n">
        <v>3.15</v>
      </c>
      <c r="I4875" s="6" t="n">
        <v>0</v>
      </c>
      <c r="J4875" s="40" t="n">
        <f aca="false">H4875-I4875</f>
        <v>3.15</v>
      </c>
      <c r="K4875" s="41" t="n">
        <v>26.5</v>
      </c>
      <c r="L4875" s="42" t="n">
        <f aca="false">J4875*K4875</f>
        <v>83.475</v>
      </c>
      <c r="M4875" s="43" t="n">
        <f aca="false">H4875*15.67*(1+'Chart of Accounts'!$E$67)</f>
        <v>56.5177725</v>
      </c>
    </row>
    <row r="4876" customFormat="false" ht="15" hidden="false" customHeight="false" outlineLevel="0" collapsed="false">
      <c r="B4876" s="7" t="s">
        <v>5373</v>
      </c>
      <c r="C4876" s="39" t="n">
        <v>45891</v>
      </c>
      <c r="D4876" s="7" t="s">
        <v>411</v>
      </c>
      <c r="E4876" s="7" t="s">
        <v>154</v>
      </c>
      <c r="F4876" s="7" t="s">
        <v>177</v>
      </c>
      <c r="G4876" s="7" t="s">
        <v>505</v>
      </c>
      <c r="H4876" s="6" t="n">
        <v>5.09</v>
      </c>
      <c r="I4876" s="6" t="n">
        <v>0</v>
      </c>
      <c r="J4876" s="40" t="n">
        <f aca="false">H4876-I4876</f>
        <v>5.09</v>
      </c>
      <c r="K4876" s="41" t="n">
        <v>26.5</v>
      </c>
      <c r="L4876" s="42" t="n">
        <f aca="false">J4876*K4876</f>
        <v>134.885</v>
      </c>
      <c r="M4876" s="43" t="n">
        <f aca="false">H4876*14.56*(1+'Chart of Accounts'!$E$67)</f>
        <v>84.856408</v>
      </c>
    </row>
    <row r="4877" customFormat="false" ht="15" hidden="false" customHeight="false" outlineLevel="0" collapsed="false">
      <c r="B4877" s="7" t="s">
        <v>5374</v>
      </c>
      <c r="C4877" s="39" t="n">
        <v>45892</v>
      </c>
      <c r="D4877" s="7" t="s">
        <v>288</v>
      </c>
      <c r="E4877" s="7" t="s">
        <v>156</v>
      </c>
      <c r="F4877" s="7" t="s">
        <v>222</v>
      </c>
      <c r="G4877" s="7" t="s">
        <v>505</v>
      </c>
      <c r="H4877" s="6" t="n">
        <v>4.31</v>
      </c>
      <c r="I4877" s="6" t="n">
        <v>0</v>
      </c>
      <c r="J4877" s="40" t="n">
        <f aca="false">H4877-I4877</f>
        <v>4.31</v>
      </c>
      <c r="K4877" s="41" t="n">
        <v>34</v>
      </c>
      <c r="L4877" s="42" t="n">
        <f aca="false">J4877*K4877</f>
        <v>146.54</v>
      </c>
      <c r="M4877" s="43" t="n">
        <f aca="false">H4877*17.84*(1+'Chart of Accounts'!$E$67)</f>
        <v>88.039508</v>
      </c>
    </row>
    <row r="4878" customFormat="false" ht="15" hidden="false" customHeight="false" outlineLevel="0" collapsed="false">
      <c r="B4878" s="7" t="s">
        <v>5375</v>
      </c>
      <c r="C4878" s="39" t="n">
        <v>45892</v>
      </c>
      <c r="D4878" s="7" t="s">
        <v>359</v>
      </c>
      <c r="E4878" s="7" t="s">
        <v>156</v>
      </c>
      <c r="F4878" s="7" t="s">
        <v>238</v>
      </c>
      <c r="G4878" s="7" t="s">
        <v>505</v>
      </c>
      <c r="H4878" s="6" t="n">
        <v>3.98</v>
      </c>
      <c r="I4878" s="6" t="n">
        <v>0</v>
      </c>
      <c r="J4878" s="40" t="n">
        <f aca="false">H4878-I4878</f>
        <v>3.98</v>
      </c>
      <c r="K4878" s="41" t="n">
        <v>34</v>
      </c>
      <c r="L4878" s="42" t="n">
        <f aca="false">J4878*K4878</f>
        <v>135.32</v>
      </c>
      <c r="M4878" s="43" t="n">
        <f aca="false">H4878*15.85*(1+'Chart of Accounts'!$E$67)</f>
        <v>72.230035</v>
      </c>
    </row>
    <row r="4879" customFormat="false" ht="15" hidden="false" customHeight="false" outlineLevel="0" collapsed="false">
      <c r="B4879" s="7" t="s">
        <v>5376</v>
      </c>
      <c r="C4879" s="39" t="n">
        <v>45892</v>
      </c>
      <c r="D4879" s="7" t="s">
        <v>387</v>
      </c>
      <c r="E4879" s="7" t="s">
        <v>154</v>
      </c>
      <c r="F4879" s="7" t="s">
        <v>196</v>
      </c>
      <c r="G4879" s="7" t="s">
        <v>505</v>
      </c>
      <c r="H4879" s="6" t="n">
        <v>3.75</v>
      </c>
      <c r="I4879" s="6" t="n">
        <v>0</v>
      </c>
      <c r="J4879" s="40" t="n">
        <f aca="false">H4879-I4879</f>
        <v>3.75</v>
      </c>
      <c r="K4879" s="41" t="n">
        <v>26.5</v>
      </c>
      <c r="L4879" s="42" t="n">
        <f aca="false">J4879*K4879</f>
        <v>99.375</v>
      </c>
      <c r="M4879" s="43" t="n">
        <f aca="false">H4879*15.05*(1+'Chart of Accounts'!$E$67)</f>
        <v>64.6209375</v>
      </c>
    </row>
    <row r="4880" customFormat="false" ht="15" hidden="false" customHeight="false" outlineLevel="0" collapsed="false">
      <c r="B4880" s="7" t="s">
        <v>5377</v>
      </c>
      <c r="C4880" s="39" t="n">
        <v>45892</v>
      </c>
      <c r="D4880" s="7" t="s">
        <v>391</v>
      </c>
      <c r="E4880" s="7" t="s">
        <v>156</v>
      </c>
      <c r="F4880" s="7" t="s">
        <v>222</v>
      </c>
      <c r="G4880" s="7" t="s">
        <v>505</v>
      </c>
      <c r="H4880" s="6" t="n">
        <v>4.28</v>
      </c>
      <c r="I4880" s="6" t="n">
        <v>0</v>
      </c>
      <c r="J4880" s="40" t="n">
        <f aca="false">H4880-I4880</f>
        <v>4.28</v>
      </c>
      <c r="K4880" s="41" t="n">
        <v>34</v>
      </c>
      <c r="L4880" s="42" t="n">
        <f aca="false">J4880*K4880</f>
        <v>145.52</v>
      </c>
      <c r="M4880" s="43" t="n">
        <f aca="false">H4880*17.84*(1+'Chart of Accounts'!$E$67)</f>
        <v>87.426704</v>
      </c>
    </row>
    <row r="4881" customFormat="false" ht="15" hidden="false" customHeight="false" outlineLevel="0" collapsed="false">
      <c r="B4881" s="7" t="s">
        <v>5378</v>
      </c>
      <c r="C4881" s="39" t="n">
        <v>45892</v>
      </c>
      <c r="D4881" s="7" t="s">
        <v>395</v>
      </c>
      <c r="E4881" s="7" t="s">
        <v>156</v>
      </c>
      <c r="F4881" s="7" t="s">
        <v>242</v>
      </c>
      <c r="G4881" s="7" t="s">
        <v>505</v>
      </c>
      <c r="H4881" s="6" t="n">
        <v>4.07</v>
      </c>
      <c r="I4881" s="6" t="n">
        <v>0</v>
      </c>
      <c r="J4881" s="40" t="n">
        <f aca="false">H4881-I4881</f>
        <v>4.07</v>
      </c>
      <c r="K4881" s="41" t="n">
        <v>34</v>
      </c>
      <c r="L4881" s="42" t="n">
        <f aca="false">J4881*K4881</f>
        <v>138.38</v>
      </c>
      <c r="M4881" s="43" t="n">
        <f aca="false">H4881*17.99*(1+'Chart of Accounts'!$E$67)</f>
        <v>83.8360985</v>
      </c>
    </row>
    <row r="4882" customFormat="false" ht="15" hidden="false" customHeight="false" outlineLevel="0" collapsed="false">
      <c r="B4882" s="7" t="s">
        <v>5379</v>
      </c>
      <c r="C4882" s="39" t="n">
        <v>45892</v>
      </c>
      <c r="D4882" s="7" t="s">
        <v>401</v>
      </c>
      <c r="E4882" s="7" t="s">
        <v>156</v>
      </c>
      <c r="F4882" s="7" t="s">
        <v>254</v>
      </c>
      <c r="G4882" s="7" t="s">
        <v>505</v>
      </c>
      <c r="H4882" s="6" t="n">
        <v>4</v>
      </c>
      <c r="I4882" s="6" t="n">
        <v>0</v>
      </c>
      <c r="J4882" s="40" t="n">
        <f aca="false">H4882-I4882</f>
        <v>4</v>
      </c>
      <c r="K4882" s="41" t="n">
        <v>34</v>
      </c>
      <c r="L4882" s="42" t="n">
        <f aca="false">J4882*K4882</f>
        <v>136</v>
      </c>
      <c r="M4882" s="43" t="n">
        <f aca="false">H4882*17.1*(1+'Chart of Accounts'!$E$67)</f>
        <v>78.318</v>
      </c>
    </row>
    <row r="4883" customFormat="false" ht="15" hidden="false" customHeight="false" outlineLevel="0" collapsed="false">
      <c r="B4883" s="7" t="s">
        <v>5380</v>
      </c>
      <c r="C4883" s="39" t="n">
        <v>45893</v>
      </c>
      <c r="D4883" s="7" t="s">
        <v>288</v>
      </c>
      <c r="E4883" s="7" t="s">
        <v>156</v>
      </c>
      <c r="F4883" s="7" t="s">
        <v>240</v>
      </c>
      <c r="G4883" s="7" t="s">
        <v>505</v>
      </c>
      <c r="H4883" s="6" t="n">
        <v>3.78</v>
      </c>
      <c r="I4883" s="6" t="n">
        <v>0</v>
      </c>
      <c r="J4883" s="40" t="n">
        <f aca="false">H4883-I4883</f>
        <v>3.78</v>
      </c>
      <c r="K4883" s="41" t="n">
        <v>34</v>
      </c>
      <c r="L4883" s="42" t="n">
        <f aca="false">J4883*K4883</f>
        <v>128.52</v>
      </c>
      <c r="M4883" s="43" t="n">
        <f aca="false">H4883*16.96*(1+'Chart of Accounts'!$E$67)</f>
        <v>73.404576</v>
      </c>
    </row>
    <row r="4884" customFormat="false" ht="15" hidden="false" customHeight="false" outlineLevel="0" collapsed="false">
      <c r="B4884" s="7" t="s">
        <v>5381</v>
      </c>
      <c r="C4884" s="39" t="n">
        <v>45893</v>
      </c>
      <c r="D4884" s="7" t="s">
        <v>321</v>
      </c>
      <c r="E4884" s="7" t="s">
        <v>154</v>
      </c>
      <c r="F4884" s="7" t="s">
        <v>218</v>
      </c>
      <c r="G4884" s="7" t="s">
        <v>505</v>
      </c>
      <c r="H4884" s="6" t="n">
        <v>3.83</v>
      </c>
      <c r="I4884" s="6" t="n">
        <v>0</v>
      </c>
      <c r="J4884" s="40" t="n">
        <f aca="false">H4884-I4884</f>
        <v>3.83</v>
      </c>
      <c r="K4884" s="41" t="n">
        <v>26.5</v>
      </c>
      <c r="L4884" s="42" t="n">
        <f aca="false">J4884*K4884</f>
        <v>101.495</v>
      </c>
      <c r="M4884" s="43" t="n">
        <f aca="false">H4884*16.19*(1+'Chart of Accounts'!$E$67)</f>
        <v>70.9988165</v>
      </c>
    </row>
    <row r="4885" customFormat="false" ht="15" hidden="false" customHeight="false" outlineLevel="0" collapsed="false">
      <c r="B4885" s="7" t="s">
        <v>5382</v>
      </c>
      <c r="C4885" s="39" t="n">
        <v>45893</v>
      </c>
      <c r="D4885" s="7" t="s">
        <v>359</v>
      </c>
      <c r="E4885" s="7" t="s">
        <v>156</v>
      </c>
      <c r="F4885" s="7" t="s">
        <v>205</v>
      </c>
      <c r="G4885" s="7" t="s">
        <v>505</v>
      </c>
      <c r="H4885" s="6" t="n">
        <v>3.7</v>
      </c>
      <c r="I4885" s="6" t="n">
        <v>0</v>
      </c>
      <c r="J4885" s="40" t="n">
        <f aca="false">H4885-I4885</f>
        <v>3.7</v>
      </c>
      <c r="K4885" s="41" t="n">
        <v>34</v>
      </c>
      <c r="L4885" s="42" t="n">
        <f aca="false">J4885*K4885</f>
        <v>125.8</v>
      </c>
      <c r="M4885" s="43" t="n">
        <f aca="false">H4885*16.36*(1+'Chart of Accounts'!$E$67)</f>
        <v>69.30914</v>
      </c>
    </row>
    <row r="4886" customFormat="false" ht="15" hidden="false" customHeight="false" outlineLevel="0" collapsed="false">
      <c r="B4886" s="7" t="s">
        <v>5383</v>
      </c>
      <c r="C4886" s="39" t="n">
        <v>45893</v>
      </c>
      <c r="D4886" s="7" t="s">
        <v>387</v>
      </c>
      <c r="E4886" s="7" t="s">
        <v>154</v>
      </c>
      <c r="F4886" s="7" t="s">
        <v>196</v>
      </c>
      <c r="G4886" s="7" t="s">
        <v>505</v>
      </c>
      <c r="H4886" s="6" t="n">
        <v>3.83</v>
      </c>
      <c r="I4886" s="6" t="n">
        <v>0.115</v>
      </c>
      <c r="J4886" s="40" t="n">
        <f aca="false">H4886-I4886</f>
        <v>3.715</v>
      </c>
      <c r="K4886" s="41" t="n">
        <v>26.5</v>
      </c>
      <c r="L4886" s="42" t="n">
        <f aca="false">J4886*K4886</f>
        <v>98.4475</v>
      </c>
      <c r="M4886" s="43" t="n">
        <f aca="false">H4886*15.05*(1+'Chart of Accounts'!$E$67)</f>
        <v>65.9995175</v>
      </c>
    </row>
    <row r="4887" customFormat="false" ht="15" hidden="false" customHeight="false" outlineLevel="0" collapsed="false">
      <c r="B4887" s="7" t="s">
        <v>5384</v>
      </c>
      <c r="C4887" s="39" t="n">
        <v>45893</v>
      </c>
      <c r="D4887" s="7" t="s">
        <v>391</v>
      </c>
      <c r="E4887" s="7" t="s">
        <v>156</v>
      </c>
      <c r="F4887" s="7" t="s">
        <v>222</v>
      </c>
      <c r="G4887" s="7" t="s">
        <v>505</v>
      </c>
      <c r="H4887" s="6" t="n">
        <v>3.77</v>
      </c>
      <c r="I4887" s="6" t="n">
        <v>0</v>
      </c>
      <c r="J4887" s="40" t="n">
        <f aca="false">H4887-I4887</f>
        <v>3.77</v>
      </c>
      <c r="K4887" s="41" t="n">
        <v>34</v>
      </c>
      <c r="L4887" s="42" t="n">
        <f aca="false">J4887*K4887</f>
        <v>128.18</v>
      </c>
      <c r="M4887" s="43" t="n">
        <f aca="false">H4887*17.84*(1+'Chart of Accounts'!$E$67)</f>
        <v>77.009036</v>
      </c>
    </row>
    <row r="4888" customFormat="false" ht="15" hidden="false" customHeight="false" outlineLevel="0" collapsed="false">
      <c r="B4888" s="7" t="s">
        <v>5385</v>
      </c>
      <c r="C4888" s="39" t="n">
        <v>45893</v>
      </c>
      <c r="D4888" s="7" t="s">
        <v>395</v>
      </c>
      <c r="E4888" s="7" t="s">
        <v>156</v>
      </c>
      <c r="F4888" s="7" t="s">
        <v>242</v>
      </c>
      <c r="G4888" s="7" t="s">
        <v>505</v>
      </c>
      <c r="H4888" s="6" t="n">
        <v>4.25</v>
      </c>
      <c r="I4888" s="6" t="n">
        <v>0</v>
      </c>
      <c r="J4888" s="40" t="n">
        <f aca="false">H4888-I4888</f>
        <v>4.25</v>
      </c>
      <c r="K4888" s="41" t="n">
        <v>34</v>
      </c>
      <c r="L4888" s="42" t="n">
        <f aca="false">J4888*K4888</f>
        <v>144.5</v>
      </c>
      <c r="M4888" s="43" t="n">
        <f aca="false">H4888*17.99*(1+'Chart of Accounts'!$E$67)</f>
        <v>87.5438375</v>
      </c>
    </row>
    <row r="4889" customFormat="false" ht="15" hidden="false" customHeight="false" outlineLevel="0" collapsed="false">
      <c r="B4889" s="7" t="s">
        <v>5386</v>
      </c>
      <c r="C4889" s="39" t="n">
        <v>45893</v>
      </c>
      <c r="D4889" s="7" t="s">
        <v>401</v>
      </c>
      <c r="E4889" s="7" t="s">
        <v>156</v>
      </c>
      <c r="F4889" s="7" t="s">
        <v>254</v>
      </c>
      <c r="G4889" s="7" t="s">
        <v>505</v>
      </c>
      <c r="H4889" s="6" t="n">
        <v>4.27</v>
      </c>
      <c r="I4889" s="6" t="n">
        <v>0</v>
      </c>
      <c r="J4889" s="40" t="n">
        <f aca="false">H4889-I4889</f>
        <v>4.27</v>
      </c>
      <c r="K4889" s="41" t="n">
        <v>34</v>
      </c>
      <c r="L4889" s="42" t="n">
        <f aca="false">J4889*K4889</f>
        <v>145.18</v>
      </c>
      <c r="M4889" s="43" t="n">
        <f aca="false">H4889*17.1*(1+'Chart of Accounts'!$E$67)</f>
        <v>83.604465</v>
      </c>
    </row>
    <row r="4890" customFormat="false" ht="15" hidden="false" customHeight="false" outlineLevel="0" collapsed="false">
      <c r="B4890" s="7" t="s">
        <v>5387</v>
      </c>
      <c r="C4890" s="39" t="n">
        <v>45894</v>
      </c>
      <c r="D4890" s="7" t="s">
        <v>288</v>
      </c>
      <c r="E4890" s="7" t="s">
        <v>156</v>
      </c>
      <c r="F4890" s="7" t="s">
        <v>220</v>
      </c>
      <c r="G4890" s="7" t="s">
        <v>505</v>
      </c>
      <c r="H4890" s="6" t="n">
        <v>4.3</v>
      </c>
      <c r="I4890" s="6" t="n">
        <v>0</v>
      </c>
      <c r="J4890" s="40" t="n">
        <f aca="false">H4890-I4890</f>
        <v>4.3</v>
      </c>
      <c r="K4890" s="41" t="n">
        <v>34</v>
      </c>
      <c r="L4890" s="42" t="n">
        <f aca="false">J4890*K4890</f>
        <v>146.2</v>
      </c>
      <c r="M4890" s="43" t="n">
        <f aca="false">H4890*16.43*(1+'Chart of Accounts'!$E$67)</f>
        <v>80.893105</v>
      </c>
    </row>
    <row r="4891" customFormat="false" ht="15" hidden="false" customHeight="false" outlineLevel="0" collapsed="false">
      <c r="B4891" s="7" t="s">
        <v>5388</v>
      </c>
      <c r="C4891" s="39" t="n">
        <v>45894</v>
      </c>
      <c r="D4891" s="7" t="s">
        <v>291</v>
      </c>
      <c r="E4891" s="7" t="s">
        <v>154</v>
      </c>
      <c r="F4891" s="7" t="s">
        <v>194</v>
      </c>
      <c r="G4891" s="7" t="s">
        <v>505</v>
      </c>
      <c r="H4891" s="6" t="n">
        <v>4.26</v>
      </c>
      <c r="I4891" s="6" t="n">
        <v>0</v>
      </c>
      <c r="J4891" s="40" t="n">
        <f aca="false">H4891-I4891</f>
        <v>4.26</v>
      </c>
      <c r="K4891" s="41" t="n">
        <v>26.5</v>
      </c>
      <c r="L4891" s="42" t="n">
        <f aca="false">J4891*K4891</f>
        <v>112.89</v>
      </c>
      <c r="M4891" s="43" t="n">
        <f aca="false">H4891*16*(1+'Chart of Accounts'!$E$67)</f>
        <v>78.0432</v>
      </c>
    </row>
    <row r="4892" customFormat="false" ht="15" hidden="false" customHeight="false" outlineLevel="0" collapsed="false">
      <c r="B4892" s="7" t="s">
        <v>5389</v>
      </c>
      <c r="C4892" s="39" t="n">
        <v>45894</v>
      </c>
      <c r="D4892" s="7" t="s">
        <v>295</v>
      </c>
      <c r="E4892" s="7" t="s">
        <v>154</v>
      </c>
      <c r="F4892" s="7" t="s">
        <v>214</v>
      </c>
      <c r="G4892" s="7" t="s">
        <v>505</v>
      </c>
      <c r="H4892" s="6" t="n">
        <v>4.02</v>
      </c>
      <c r="I4892" s="6" t="n">
        <v>0</v>
      </c>
      <c r="J4892" s="40" t="n">
        <f aca="false">H4892-I4892</f>
        <v>4.02</v>
      </c>
      <c r="K4892" s="41" t="n">
        <v>26.5</v>
      </c>
      <c r="L4892" s="42" t="n">
        <f aca="false">J4892*K4892</f>
        <v>106.53</v>
      </c>
      <c r="M4892" s="43" t="n">
        <f aca="false">H4892*15.67*(1+'Chart of Accounts'!$E$67)</f>
        <v>72.127443</v>
      </c>
    </row>
    <row r="4893" customFormat="false" ht="15" hidden="false" customHeight="false" outlineLevel="0" collapsed="false">
      <c r="B4893" s="7" t="s">
        <v>5390</v>
      </c>
      <c r="C4893" s="39" t="n">
        <v>45894</v>
      </c>
      <c r="D4893" s="7" t="s">
        <v>297</v>
      </c>
      <c r="E4893" s="7" t="s">
        <v>156</v>
      </c>
      <c r="F4893" s="7" t="s">
        <v>201</v>
      </c>
      <c r="G4893" s="7" t="s">
        <v>505</v>
      </c>
      <c r="H4893" s="6" t="n">
        <v>2.82</v>
      </c>
      <c r="I4893" s="6" t="n">
        <v>0</v>
      </c>
      <c r="J4893" s="40" t="n">
        <f aca="false">H4893-I4893</f>
        <v>2.82</v>
      </c>
      <c r="K4893" s="41" t="n">
        <v>34</v>
      </c>
      <c r="L4893" s="42" t="n">
        <f aca="false">J4893*K4893</f>
        <v>95.88</v>
      </c>
      <c r="M4893" s="43" t="n">
        <f aca="false">H4893*15.19*(1+'Chart of Accounts'!$E$67)</f>
        <v>49.046991</v>
      </c>
    </row>
    <row r="4894" customFormat="false" ht="15" hidden="false" customHeight="false" outlineLevel="0" collapsed="false">
      <c r="B4894" s="7" t="s">
        <v>5391</v>
      </c>
      <c r="C4894" s="39" t="n">
        <v>45894</v>
      </c>
      <c r="D4894" s="7" t="s">
        <v>305</v>
      </c>
      <c r="E4894" s="7" t="s">
        <v>154</v>
      </c>
      <c r="F4894" s="7" t="s">
        <v>205</v>
      </c>
      <c r="G4894" s="7" t="s">
        <v>505</v>
      </c>
      <c r="H4894" s="6" t="n">
        <v>4.03</v>
      </c>
      <c r="I4894" s="6" t="n">
        <v>0</v>
      </c>
      <c r="J4894" s="40" t="n">
        <f aca="false">H4894-I4894</f>
        <v>4.03</v>
      </c>
      <c r="K4894" s="41" t="n">
        <v>26.5</v>
      </c>
      <c r="L4894" s="42" t="n">
        <f aca="false">J4894*K4894</f>
        <v>106.795</v>
      </c>
      <c r="M4894" s="43" t="n">
        <f aca="false">H4894*16.36*(1+'Chart of Accounts'!$E$67)</f>
        <v>75.490766</v>
      </c>
    </row>
    <row r="4895" customFormat="false" ht="15" hidden="false" customHeight="false" outlineLevel="0" collapsed="false">
      <c r="B4895" s="7" t="s">
        <v>5392</v>
      </c>
      <c r="C4895" s="39" t="n">
        <v>45894</v>
      </c>
      <c r="D4895" s="7" t="s">
        <v>307</v>
      </c>
      <c r="E4895" s="7" t="s">
        <v>157</v>
      </c>
      <c r="F4895" s="7" t="s">
        <v>264</v>
      </c>
      <c r="G4895" s="7" t="s">
        <v>502</v>
      </c>
      <c r="H4895" s="6" t="n">
        <v>1.04</v>
      </c>
      <c r="I4895" s="6" t="n">
        <v>0</v>
      </c>
      <c r="J4895" s="40" t="n">
        <f aca="false">H4895-I4895</f>
        <v>1.04</v>
      </c>
      <c r="K4895" s="41" t="n">
        <v>165</v>
      </c>
      <c r="L4895" s="42" t="n">
        <f aca="false">J4895*K4895</f>
        <v>171.6</v>
      </c>
      <c r="M4895" s="43" t="n">
        <f aca="false">H4895*55.55*(1+'Chart of Accounts'!$E$67)</f>
        <v>66.14894</v>
      </c>
    </row>
    <row r="4896" customFormat="false" ht="15" hidden="false" customHeight="false" outlineLevel="0" collapsed="false">
      <c r="B4896" s="7" t="s">
        <v>5393</v>
      </c>
      <c r="C4896" s="39" t="n">
        <v>45894</v>
      </c>
      <c r="D4896" s="7" t="s">
        <v>309</v>
      </c>
      <c r="E4896" s="7" t="s">
        <v>159</v>
      </c>
      <c r="F4896" s="7" t="s">
        <v>252</v>
      </c>
      <c r="G4896" s="7" t="s">
        <v>502</v>
      </c>
      <c r="H4896" s="6" t="n">
        <v>0.94</v>
      </c>
      <c r="I4896" s="6" t="n">
        <v>0</v>
      </c>
      <c r="J4896" s="40" t="n">
        <f aca="false">H4896-I4896</f>
        <v>0.94</v>
      </c>
      <c r="K4896" s="41" t="n">
        <v>135</v>
      </c>
      <c r="L4896" s="42" t="n">
        <f aca="false">J4896*K4896</f>
        <v>126.9</v>
      </c>
      <c r="M4896" s="43" t="n">
        <f aca="false">H4896*57.54*(1+'Chart of Accounts'!$E$67)</f>
        <v>61.930302</v>
      </c>
    </row>
    <row r="4897" customFormat="false" ht="15" hidden="false" customHeight="false" outlineLevel="0" collapsed="false">
      <c r="B4897" s="7" t="s">
        <v>5394</v>
      </c>
      <c r="C4897" s="39" t="n">
        <v>45894</v>
      </c>
      <c r="D4897" s="7" t="s">
        <v>311</v>
      </c>
      <c r="E4897" s="7" t="s">
        <v>154</v>
      </c>
      <c r="F4897" s="7" t="s">
        <v>196</v>
      </c>
      <c r="G4897" s="7" t="s">
        <v>505</v>
      </c>
      <c r="H4897" s="6" t="n">
        <v>2.86</v>
      </c>
      <c r="I4897" s="6" t="n">
        <v>0</v>
      </c>
      <c r="J4897" s="40" t="n">
        <f aca="false">H4897-I4897</f>
        <v>2.86</v>
      </c>
      <c r="K4897" s="41" t="n">
        <v>26.5</v>
      </c>
      <c r="L4897" s="42" t="n">
        <f aca="false">J4897*K4897</f>
        <v>75.79</v>
      </c>
      <c r="M4897" s="43" t="n">
        <f aca="false">H4897*15.05*(1+'Chart of Accounts'!$E$67)</f>
        <v>49.284235</v>
      </c>
    </row>
    <row r="4898" customFormat="false" ht="15" hidden="false" customHeight="false" outlineLevel="0" collapsed="false">
      <c r="B4898" s="7" t="s">
        <v>5395</v>
      </c>
      <c r="C4898" s="39" t="n">
        <v>45894</v>
      </c>
      <c r="D4898" s="7" t="s">
        <v>313</v>
      </c>
      <c r="E4898" s="7" t="s">
        <v>156</v>
      </c>
      <c r="F4898" s="7" t="s">
        <v>184</v>
      </c>
      <c r="G4898" s="7" t="s">
        <v>505</v>
      </c>
      <c r="H4898" s="6" t="n">
        <v>3.81</v>
      </c>
      <c r="I4898" s="6" t="n">
        <v>0</v>
      </c>
      <c r="J4898" s="40" t="n">
        <f aca="false">H4898-I4898</f>
        <v>3.81</v>
      </c>
      <c r="K4898" s="41" t="n">
        <v>34</v>
      </c>
      <c r="L4898" s="42" t="n">
        <f aca="false">J4898*K4898</f>
        <v>129.54</v>
      </c>
      <c r="M4898" s="43" t="n">
        <f aca="false">H4898*17.34*(1+'Chart of Accounts'!$E$67)</f>
        <v>75.644883</v>
      </c>
    </row>
    <row r="4899" customFormat="false" ht="15" hidden="false" customHeight="false" outlineLevel="0" collapsed="false">
      <c r="B4899" s="7" t="s">
        <v>5396</v>
      </c>
      <c r="C4899" s="39" t="n">
        <v>45894</v>
      </c>
      <c r="D4899" s="7" t="s">
        <v>315</v>
      </c>
      <c r="E4899" s="7" t="s">
        <v>159</v>
      </c>
      <c r="F4899" s="7" t="s">
        <v>216</v>
      </c>
      <c r="G4899" s="7" t="s">
        <v>502</v>
      </c>
      <c r="H4899" s="6" t="n">
        <v>1.01</v>
      </c>
      <c r="I4899" s="6" t="n">
        <v>0.071</v>
      </c>
      <c r="J4899" s="40" t="n">
        <f aca="false">H4899-I4899</f>
        <v>0.939</v>
      </c>
      <c r="K4899" s="41" t="n">
        <v>135</v>
      </c>
      <c r="L4899" s="42" t="n">
        <f aca="false">J4899*K4899</f>
        <v>126.765</v>
      </c>
      <c r="M4899" s="43" t="n">
        <f aca="false">H4899*61.79*(1+'Chart of Accounts'!$E$67)</f>
        <v>71.4570455</v>
      </c>
    </row>
    <row r="4900" customFormat="false" ht="15" hidden="false" customHeight="false" outlineLevel="0" collapsed="false">
      <c r="B4900" s="7" t="s">
        <v>5397</v>
      </c>
      <c r="C4900" s="39" t="n">
        <v>45894</v>
      </c>
      <c r="D4900" s="7" t="s">
        <v>317</v>
      </c>
      <c r="E4900" s="7" t="s">
        <v>156</v>
      </c>
      <c r="F4900" s="7" t="s">
        <v>207</v>
      </c>
      <c r="G4900" s="7" t="s">
        <v>505</v>
      </c>
      <c r="H4900" s="6" t="n">
        <v>2.75</v>
      </c>
      <c r="I4900" s="6" t="n">
        <v>0</v>
      </c>
      <c r="J4900" s="40" t="n">
        <f aca="false">H4900-I4900</f>
        <v>2.75</v>
      </c>
      <c r="K4900" s="41" t="n">
        <v>34</v>
      </c>
      <c r="L4900" s="42" t="n">
        <f aca="false">J4900*K4900</f>
        <v>93.5</v>
      </c>
      <c r="M4900" s="43" t="n">
        <f aca="false">H4900*16.65*(1+'Chart of Accounts'!$E$67)</f>
        <v>52.4266875</v>
      </c>
    </row>
    <row r="4901" customFormat="false" ht="15" hidden="false" customHeight="false" outlineLevel="0" collapsed="false">
      <c r="B4901" s="7" t="s">
        <v>5398</v>
      </c>
      <c r="C4901" s="39" t="n">
        <v>45894</v>
      </c>
      <c r="D4901" s="7" t="s">
        <v>321</v>
      </c>
      <c r="E4901" s="7" t="s">
        <v>154</v>
      </c>
      <c r="F4901" s="7" t="s">
        <v>218</v>
      </c>
      <c r="G4901" s="7" t="s">
        <v>505</v>
      </c>
      <c r="H4901" s="6" t="n">
        <v>4.19</v>
      </c>
      <c r="I4901" s="6" t="n">
        <v>0</v>
      </c>
      <c r="J4901" s="40" t="n">
        <f aca="false">H4901-I4901</f>
        <v>4.19</v>
      </c>
      <c r="K4901" s="41" t="n">
        <v>26.5</v>
      </c>
      <c r="L4901" s="42" t="n">
        <f aca="false">J4901*K4901</f>
        <v>111.035</v>
      </c>
      <c r="M4901" s="43" t="n">
        <f aca="false">H4901*16.19*(1+'Chart of Accounts'!$E$67)</f>
        <v>77.6723345</v>
      </c>
    </row>
    <row r="4902" customFormat="false" ht="15" hidden="false" customHeight="false" outlineLevel="0" collapsed="false">
      <c r="B4902" s="7" t="s">
        <v>5399</v>
      </c>
      <c r="C4902" s="39" t="n">
        <v>45894</v>
      </c>
      <c r="D4902" s="7" t="s">
        <v>325</v>
      </c>
      <c r="E4902" s="7" t="s">
        <v>154</v>
      </c>
      <c r="F4902" s="7" t="s">
        <v>184</v>
      </c>
      <c r="G4902" s="7" t="s">
        <v>505</v>
      </c>
      <c r="H4902" s="6" t="n">
        <v>2.84</v>
      </c>
      <c r="I4902" s="6" t="n">
        <v>0</v>
      </c>
      <c r="J4902" s="40" t="n">
        <f aca="false">H4902-I4902</f>
        <v>2.84</v>
      </c>
      <c r="K4902" s="41" t="n">
        <v>26.5</v>
      </c>
      <c r="L4902" s="42" t="n">
        <f aca="false">J4902*K4902</f>
        <v>75.26</v>
      </c>
      <c r="M4902" s="43" t="n">
        <f aca="false">H4902*17.34*(1+'Chart of Accounts'!$E$67)</f>
        <v>56.386212</v>
      </c>
    </row>
    <row r="4903" customFormat="false" ht="15" hidden="false" customHeight="false" outlineLevel="0" collapsed="false">
      <c r="B4903" s="7" t="s">
        <v>5400</v>
      </c>
      <c r="C4903" s="39" t="n">
        <v>45894</v>
      </c>
      <c r="D4903" s="7" t="s">
        <v>329</v>
      </c>
      <c r="E4903" s="7" t="s">
        <v>156</v>
      </c>
      <c r="F4903" s="7" t="s">
        <v>220</v>
      </c>
      <c r="G4903" s="7" t="s">
        <v>505</v>
      </c>
      <c r="H4903" s="6" t="n">
        <v>3.75</v>
      </c>
      <c r="I4903" s="6" t="n">
        <v>0</v>
      </c>
      <c r="J4903" s="40" t="n">
        <f aca="false">H4903-I4903</f>
        <v>3.75</v>
      </c>
      <c r="K4903" s="41" t="n">
        <v>34</v>
      </c>
      <c r="L4903" s="42" t="n">
        <f aca="false">J4903*K4903</f>
        <v>127.5</v>
      </c>
      <c r="M4903" s="43" t="n">
        <f aca="false">H4903*16.43*(1+'Chart of Accounts'!$E$67)</f>
        <v>70.5463125</v>
      </c>
    </row>
    <row r="4904" customFormat="false" ht="15" hidden="false" customHeight="false" outlineLevel="0" collapsed="false">
      <c r="B4904" s="7" t="s">
        <v>5401</v>
      </c>
      <c r="C4904" s="39" t="n">
        <v>45894</v>
      </c>
      <c r="D4904" s="7" t="s">
        <v>331</v>
      </c>
      <c r="E4904" s="7" t="s">
        <v>156</v>
      </c>
      <c r="F4904" s="7" t="s">
        <v>224</v>
      </c>
      <c r="G4904" s="7" t="s">
        <v>505</v>
      </c>
      <c r="H4904" s="6" t="n">
        <v>3.98</v>
      </c>
      <c r="I4904" s="6" t="n">
        <v>0</v>
      </c>
      <c r="J4904" s="40" t="n">
        <f aca="false">H4904-I4904</f>
        <v>3.98</v>
      </c>
      <c r="K4904" s="41" t="n">
        <v>34</v>
      </c>
      <c r="L4904" s="42" t="n">
        <f aca="false">J4904*K4904</f>
        <v>135.32</v>
      </c>
      <c r="M4904" s="43" t="n">
        <f aca="false">H4904*14.93*(1+'Chart of Accounts'!$E$67)</f>
        <v>68.037503</v>
      </c>
    </row>
    <row r="4905" customFormat="false" ht="15" hidden="false" customHeight="false" outlineLevel="0" collapsed="false">
      <c r="B4905" s="7" t="s">
        <v>5402</v>
      </c>
      <c r="C4905" s="39" t="n">
        <v>45894</v>
      </c>
      <c r="D4905" s="7" t="s">
        <v>335</v>
      </c>
      <c r="E4905" s="7" t="s">
        <v>154</v>
      </c>
      <c r="F4905" s="7" t="s">
        <v>177</v>
      </c>
      <c r="G4905" s="7" t="s">
        <v>505</v>
      </c>
      <c r="H4905" s="6" t="n">
        <v>3.76</v>
      </c>
      <c r="I4905" s="6" t="n">
        <v>0</v>
      </c>
      <c r="J4905" s="40" t="n">
        <f aca="false">H4905-I4905</f>
        <v>3.76</v>
      </c>
      <c r="K4905" s="41" t="n">
        <v>26.5</v>
      </c>
      <c r="L4905" s="42" t="n">
        <f aca="false">J4905*K4905</f>
        <v>99.64</v>
      </c>
      <c r="M4905" s="43" t="n">
        <f aca="false">H4905*14.56*(1+'Chart of Accounts'!$E$67)</f>
        <v>62.683712</v>
      </c>
    </row>
    <row r="4906" customFormat="false" ht="15" hidden="false" customHeight="false" outlineLevel="0" collapsed="false">
      <c r="B4906" s="7" t="s">
        <v>5403</v>
      </c>
      <c r="C4906" s="39" t="n">
        <v>45894</v>
      </c>
      <c r="D4906" s="7" t="s">
        <v>339</v>
      </c>
      <c r="E4906" s="7" t="s">
        <v>154</v>
      </c>
      <c r="F4906" s="7" t="s">
        <v>242</v>
      </c>
      <c r="G4906" s="7" t="s">
        <v>505</v>
      </c>
      <c r="H4906" s="6" t="n">
        <v>3.62</v>
      </c>
      <c r="I4906" s="6" t="n">
        <v>0</v>
      </c>
      <c r="J4906" s="40" t="n">
        <f aca="false">H4906-I4906</f>
        <v>3.62</v>
      </c>
      <c r="K4906" s="41" t="n">
        <v>26.5</v>
      </c>
      <c r="L4906" s="42" t="n">
        <f aca="false">J4906*K4906</f>
        <v>95.93</v>
      </c>
      <c r="M4906" s="43" t="n">
        <f aca="false">H4906*17.99*(1+'Chart of Accounts'!$E$67)</f>
        <v>74.566751</v>
      </c>
    </row>
    <row r="4907" customFormat="false" ht="15" hidden="false" customHeight="false" outlineLevel="0" collapsed="false">
      <c r="B4907" s="7" t="s">
        <v>5404</v>
      </c>
      <c r="C4907" s="39" t="n">
        <v>45894</v>
      </c>
      <c r="D4907" s="7" t="s">
        <v>341</v>
      </c>
      <c r="E4907" s="7" t="s">
        <v>156</v>
      </c>
      <c r="F4907" s="7" t="s">
        <v>222</v>
      </c>
      <c r="G4907" s="7" t="s">
        <v>505</v>
      </c>
      <c r="H4907" s="6" t="n">
        <v>3.27</v>
      </c>
      <c r="I4907" s="6" t="n">
        <v>0</v>
      </c>
      <c r="J4907" s="40" t="n">
        <f aca="false">H4907-I4907</f>
        <v>3.27</v>
      </c>
      <c r="K4907" s="41" t="n">
        <v>34</v>
      </c>
      <c r="L4907" s="42" t="n">
        <f aca="false">J4907*K4907</f>
        <v>111.18</v>
      </c>
      <c r="M4907" s="43" t="n">
        <f aca="false">H4907*17.84*(1+'Chart of Accounts'!$E$67)</f>
        <v>66.795636</v>
      </c>
    </row>
    <row r="4908" customFormat="false" ht="15" hidden="false" customHeight="false" outlineLevel="0" collapsed="false">
      <c r="B4908" s="7" t="s">
        <v>5405</v>
      </c>
      <c r="C4908" s="39" t="n">
        <v>45894</v>
      </c>
      <c r="D4908" s="7" t="s">
        <v>343</v>
      </c>
      <c r="E4908" s="7" t="s">
        <v>154</v>
      </c>
      <c r="F4908" s="7" t="s">
        <v>254</v>
      </c>
      <c r="G4908" s="7" t="s">
        <v>505</v>
      </c>
      <c r="H4908" s="6" t="n">
        <v>3.74</v>
      </c>
      <c r="I4908" s="6" t="n">
        <v>0</v>
      </c>
      <c r="J4908" s="40" t="n">
        <f aca="false">H4908-I4908</f>
        <v>3.74</v>
      </c>
      <c r="K4908" s="41" t="n">
        <v>26.5</v>
      </c>
      <c r="L4908" s="42" t="n">
        <f aca="false">J4908*K4908</f>
        <v>99.11</v>
      </c>
      <c r="M4908" s="43" t="n">
        <f aca="false">H4908*17.1*(1+'Chart of Accounts'!$E$67)</f>
        <v>73.22733</v>
      </c>
    </row>
    <row r="4909" customFormat="false" ht="15" hidden="false" customHeight="false" outlineLevel="0" collapsed="false">
      <c r="B4909" s="7" t="s">
        <v>5406</v>
      </c>
      <c r="C4909" s="39" t="n">
        <v>45894</v>
      </c>
      <c r="D4909" s="7" t="s">
        <v>347</v>
      </c>
      <c r="E4909" s="7" t="s">
        <v>154</v>
      </c>
      <c r="F4909" s="7" t="s">
        <v>238</v>
      </c>
      <c r="G4909" s="7" t="s">
        <v>505</v>
      </c>
      <c r="H4909" s="6" t="n">
        <v>4.4</v>
      </c>
      <c r="I4909" s="6" t="n">
        <v>0</v>
      </c>
      <c r="J4909" s="40" t="n">
        <f aca="false">H4909-I4909</f>
        <v>4.4</v>
      </c>
      <c r="K4909" s="41" t="n">
        <v>26.5</v>
      </c>
      <c r="L4909" s="42" t="n">
        <f aca="false">J4909*K4909</f>
        <v>116.6</v>
      </c>
      <c r="M4909" s="43" t="n">
        <f aca="false">H4909*15.85*(1+'Chart of Accounts'!$E$67)</f>
        <v>79.8523</v>
      </c>
    </row>
    <row r="4910" customFormat="false" ht="15" hidden="false" customHeight="false" outlineLevel="0" collapsed="false">
      <c r="B4910" s="7" t="s">
        <v>5407</v>
      </c>
      <c r="C4910" s="39" t="n">
        <v>45894</v>
      </c>
      <c r="D4910" s="7" t="s">
        <v>351</v>
      </c>
      <c r="E4910" s="7" t="s">
        <v>154</v>
      </c>
      <c r="F4910" s="7" t="s">
        <v>201</v>
      </c>
      <c r="G4910" s="7" t="s">
        <v>505</v>
      </c>
      <c r="H4910" s="6" t="n">
        <v>2.76</v>
      </c>
      <c r="I4910" s="6" t="n">
        <v>0</v>
      </c>
      <c r="J4910" s="40" t="n">
        <f aca="false">H4910-I4910</f>
        <v>2.76</v>
      </c>
      <c r="K4910" s="41" t="n">
        <v>26.5</v>
      </c>
      <c r="L4910" s="42" t="n">
        <f aca="false">J4910*K4910</f>
        <v>73.14</v>
      </c>
      <c r="M4910" s="43" t="n">
        <f aca="false">H4910*15.19*(1+'Chart of Accounts'!$E$67)</f>
        <v>48.003438</v>
      </c>
    </row>
    <row r="4911" customFormat="false" ht="15" hidden="false" customHeight="false" outlineLevel="0" collapsed="false">
      <c r="B4911" s="7" t="s">
        <v>5408</v>
      </c>
      <c r="C4911" s="39" t="n">
        <v>45894</v>
      </c>
      <c r="D4911" s="7" t="s">
        <v>353</v>
      </c>
      <c r="E4911" s="7" t="s">
        <v>154</v>
      </c>
      <c r="F4911" s="7" t="s">
        <v>254</v>
      </c>
      <c r="G4911" s="7" t="s">
        <v>505</v>
      </c>
      <c r="H4911" s="6" t="n">
        <v>3.57</v>
      </c>
      <c r="I4911" s="6" t="n">
        <v>0</v>
      </c>
      <c r="J4911" s="40" t="n">
        <f aca="false">H4911-I4911</f>
        <v>3.57</v>
      </c>
      <c r="K4911" s="41" t="n">
        <v>26.5</v>
      </c>
      <c r="L4911" s="42" t="n">
        <f aca="false">J4911*K4911</f>
        <v>94.605</v>
      </c>
      <c r="M4911" s="43" t="n">
        <f aca="false">H4911*17.1*(1+'Chart of Accounts'!$E$67)</f>
        <v>69.898815</v>
      </c>
    </row>
    <row r="4912" customFormat="false" ht="15" hidden="false" customHeight="false" outlineLevel="0" collapsed="false">
      <c r="B4912" s="7" t="s">
        <v>5409</v>
      </c>
      <c r="C4912" s="39" t="n">
        <v>45894</v>
      </c>
      <c r="D4912" s="7" t="s">
        <v>355</v>
      </c>
      <c r="E4912" s="7" t="s">
        <v>154</v>
      </c>
      <c r="F4912" s="7" t="s">
        <v>201</v>
      </c>
      <c r="G4912" s="7" t="s">
        <v>505</v>
      </c>
      <c r="H4912" s="6" t="n">
        <v>3.37</v>
      </c>
      <c r="I4912" s="6" t="n">
        <v>0</v>
      </c>
      <c r="J4912" s="40" t="n">
        <f aca="false">H4912-I4912</f>
        <v>3.37</v>
      </c>
      <c r="K4912" s="41" t="n">
        <v>26.5</v>
      </c>
      <c r="L4912" s="42" t="n">
        <f aca="false">J4912*K4912</f>
        <v>89.305</v>
      </c>
      <c r="M4912" s="43" t="n">
        <f aca="false">H4912*15.19*(1+'Chart of Accounts'!$E$67)</f>
        <v>58.6128935</v>
      </c>
    </row>
    <row r="4913" customFormat="false" ht="15" hidden="false" customHeight="false" outlineLevel="0" collapsed="false">
      <c r="B4913" s="7" t="s">
        <v>5410</v>
      </c>
      <c r="C4913" s="39" t="n">
        <v>45894</v>
      </c>
      <c r="D4913" s="7" t="s">
        <v>357</v>
      </c>
      <c r="E4913" s="7" t="s">
        <v>154</v>
      </c>
      <c r="F4913" s="7" t="s">
        <v>207</v>
      </c>
      <c r="G4913" s="7" t="s">
        <v>505</v>
      </c>
      <c r="H4913" s="6" t="n">
        <v>3.22</v>
      </c>
      <c r="I4913" s="6" t="n">
        <v>0</v>
      </c>
      <c r="J4913" s="40" t="n">
        <f aca="false">H4913-I4913</f>
        <v>3.22</v>
      </c>
      <c r="K4913" s="41" t="n">
        <v>26.5</v>
      </c>
      <c r="L4913" s="42" t="n">
        <f aca="false">J4913*K4913</f>
        <v>85.33</v>
      </c>
      <c r="M4913" s="43" t="n">
        <f aca="false">H4913*16.65*(1+'Chart of Accounts'!$E$67)</f>
        <v>61.386885</v>
      </c>
    </row>
    <row r="4914" customFormat="false" ht="15" hidden="false" customHeight="false" outlineLevel="0" collapsed="false">
      <c r="B4914" s="7" t="s">
        <v>5411</v>
      </c>
      <c r="C4914" s="39" t="n">
        <v>45894</v>
      </c>
      <c r="D4914" s="7" t="s">
        <v>359</v>
      </c>
      <c r="E4914" s="7" t="s">
        <v>156</v>
      </c>
      <c r="F4914" s="7" t="s">
        <v>246</v>
      </c>
      <c r="G4914" s="7" t="s">
        <v>505</v>
      </c>
      <c r="H4914" s="6" t="n">
        <v>4.23</v>
      </c>
      <c r="I4914" s="6" t="n">
        <v>0</v>
      </c>
      <c r="J4914" s="40" t="n">
        <f aca="false">H4914-I4914</f>
        <v>4.23</v>
      </c>
      <c r="K4914" s="41" t="n">
        <v>34</v>
      </c>
      <c r="L4914" s="42" t="n">
        <f aca="false">J4914*K4914</f>
        <v>143.82</v>
      </c>
      <c r="M4914" s="43" t="n">
        <f aca="false">H4914*16.48*(1+'Chart of Accounts'!$E$67)</f>
        <v>79.818408</v>
      </c>
    </row>
    <row r="4915" customFormat="false" ht="15" hidden="false" customHeight="false" outlineLevel="0" collapsed="false">
      <c r="B4915" s="7" t="s">
        <v>5412</v>
      </c>
      <c r="C4915" s="39" t="n">
        <v>45894</v>
      </c>
      <c r="D4915" s="7" t="s">
        <v>363</v>
      </c>
      <c r="E4915" s="7" t="s">
        <v>156</v>
      </c>
      <c r="F4915" s="7" t="s">
        <v>246</v>
      </c>
      <c r="G4915" s="7" t="s">
        <v>505</v>
      </c>
      <c r="H4915" s="6" t="n">
        <v>4.04</v>
      </c>
      <c r="I4915" s="6" t="n">
        <v>0</v>
      </c>
      <c r="J4915" s="40" t="n">
        <f aca="false">H4915-I4915</f>
        <v>4.04</v>
      </c>
      <c r="K4915" s="41" t="n">
        <v>34</v>
      </c>
      <c r="L4915" s="42" t="n">
        <f aca="false">J4915*K4915</f>
        <v>137.36</v>
      </c>
      <c r="M4915" s="43" t="n">
        <f aca="false">H4915*16.48*(1+'Chart of Accounts'!$E$67)</f>
        <v>76.233184</v>
      </c>
    </row>
    <row r="4916" customFormat="false" ht="15" hidden="false" customHeight="false" outlineLevel="0" collapsed="false">
      <c r="B4916" s="7" t="s">
        <v>5413</v>
      </c>
      <c r="C4916" s="39" t="n">
        <v>45894</v>
      </c>
      <c r="D4916" s="7" t="s">
        <v>365</v>
      </c>
      <c r="E4916" s="7" t="s">
        <v>154</v>
      </c>
      <c r="F4916" s="7" t="s">
        <v>194</v>
      </c>
      <c r="G4916" s="7" t="s">
        <v>505</v>
      </c>
      <c r="H4916" s="6" t="n">
        <v>3.99</v>
      </c>
      <c r="I4916" s="6" t="n">
        <v>0</v>
      </c>
      <c r="J4916" s="40" t="n">
        <f aca="false">H4916-I4916</f>
        <v>3.99</v>
      </c>
      <c r="K4916" s="41" t="n">
        <v>26.5</v>
      </c>
      <c r="L4916" s="42" t="n">
        <f aca="false">J4916*K4916</f>
        <v>105.735</v>
      </c>
      <c r="M4916" s="43" t="n">
        <f aca="false">H4916*16*(1+'Chart of Accounts'!$E$67)</f>
        <v>73.0968</v>
      </c>
    </row>
    <row r="4917" customFormat="false" ht="15" hidden="false" customHeight="false" outlineLevel="0" collapsed="false">
      <c r="B4917" s="7" t="s">
        <v>5414</v>
      </c>
      <c r="C4917" s="39" t="n">
        <v>45894</v>
      </c>
      <c r="D4917" s="7" t="s">
        <v>371</v>
      </c>
      <c r="E4917" s="7" t="s">
        <v>154</v>
      </c>
      <c r="F4917" s="7" t="s">
        <v>232</v>
      </c>
      <c r="G4917" s="7" t="s">
        <v>505</v>
      </c>
      <c r="H4917" s="6" t="n">
        <v>5.02</v>
      </c>
      <c r="I4917" s="6" t="n">
        <v>0</v>
      </c>
      <c r="J4917" s="40" t="n">
        <f aca="false">H4917-I4917</f>
        <v>5.02</v>
      </c>
      <c r="K4917" s="41" t="n">
        <v>26.5</v>
      </c>
      <c r="L4917" s="42" t="n">
        <f aca="false">J4917*K4917</f>
        <v>133.03</v>
      </c>
      <c r="M4917" s="43" t="n">
        <f aca="false">H4917*16.17*(1+'Chart of Accounts'!$E$67)</f>
        <v>92.943543</v>
      </c>
    </row>
    <row r="4918" customFormat="false" ht="15" hidden="false" customHeight="false" outlineLevel="0" collapsed="false">
      <c r="B4918" s="7" t="s">
        <v>5415</v>
      </c>
      <c r="C4918" s="39" t="n">
        <v>45894</v>
      </c>
      <c r="D4918" s="7" t="s">
        <v>375</v>
      </c>
      <c r="E4918" s="7" t="s">
        <v>156</v>
      </c>
      <c r="F4918" s="7" t="s">
        <v>196</v>
      </c>
      <c r="G4918" s="7" t="s">
        <v>505</v>
      </c>
      <c r="H4918" s="6" t="n">
        <v>2.87</v>
      </c>
      <c r="I4918" s="6" t="n">
        <v>0</v>
      </c>
      <c r="J4918" s="40" t="n">
        <f aca="false">H4918-I4918</f>
        <v>2.87</v>
      </c>
      <c r="K4918" s="41" t="n">
        <v>34</v>
      </c>
      <c r="L4918" s="42" t="n">
        <f aca="false">J4918*K4918</f>
        <v>97.58</v>
      </c>
      <c r="M4918" s="43" t="n">
        <f aca="false">H4918*15.05*(1+'Chart of Accounts'!$E$67)</f>
        <v>49.4565575</v>
      </c>
    </row>
    <row r="4919" customFormat="false" ht="15" hidden="false" customHeight="false" outlineLevel="0" collapsed="false">
      <c r="B4919" s="7" t="s">
        <v>5416</v>
      </c>
      <c r="C4919" s="39" t="n">
        <v>45894</v>
      </c>
      <c r="D4919" s="7" t="s">
        <v>377</v>
      </c>
      <c r="E4919" s="7" t="s">
        <v>154</v>
      </c>
      <c r="F4919" s="7" t="s">
        <v>214</v>
      </c>
      <c r="G4919" s="7" t="s">
        <v>505</v>
      </c>
      <c r="H4919" s="6" t="n">
        <v>3.81</v>
      </c>
      <c r="I4919" s="6" t="n">
        <v>0</v>
      </c>
      <c r="J4919" s="40" t="n">
        <f aca="false">H4919-I4919</f>
        <v>3.81</v>
      </c>
      <c r="K4919" s="41" t="n">
        <v>26.5</v>
      </c>
      <c r="L4919" s="42" t="n">
        <f aca="false">J4919*K4919</f>
        <v>100.965</v>
      </c>
      <c r="M4919" s="43" t="n">
        <f aca="false">H4919*15.67*(1+'Chart of Accounts'!$E$67)</f>
        <v>68.3595915</v>
      </c>
    </row>
    <row r="4920" customFormat="false" ht="15" hidden="false" customHeight="false" outlineLevel="0" collapsed="false">
      <c r="B4920" s="7" t="s">
        <v>5417</v>
      </c>
      <c r="C4920" s="39" t="n">
        <v>45894</v>
      </c>
      <c r="D4920" s="7" t="s">
        <v>379</v>
      </c>
      <c r="E4920" s="7" t="s">
        <v>156</v>
      </c>
      <c r="F4920" s="7" t="s">
        <v>224</v>
      </c>
      <c r="G4920" s="7" t="s">
        <v>505</v>
      </c>
      <c r="H4920" s="6" t="n">
        <v>4.92</v>
      </c>
      <c r="I4920" s="6" t="n">
        <v>0</v>
      </c>
      <c r="J4920" s="40" t="n">
        <f aca="false">H4920-I4920</f>
        <v>4.92</v>
      </c>
      <c r="K4920" s="41" t="n">
        <v>34</v>
      </c>
      <c r="L4920" s="42" t="n">
        <f aca="false">J4920*K4920</f>
        <v>167.28</v>
      </c>
      <c r="M4920" s="43" t="n">
        <f aca="false">H4920*14.93*(1+'Chart of Accounts'!$E$67)</f>
        <v>84.106662</v>
      </c>
    </row>
    <row r="4921" customFormat="false" ht="15" hidden="false" customHeight="false" outlineLevel="0" collapsed="false">
      <c r="B4921" s="7" t="s">
        <v>5418</v>
      </c>
      <c r="C4921" s="39" t="n">
        <v>45894</v>
      </c>
      <c r="D4921" s="7" t="s">
        <v>385</v>
      </c>
      <c r="E4921" s="7" t="s">
        <v>156</v>
      </c>
      <c r="F4921" s="7" t="s">
        <v>238</v>
      </c>
      <c r="G4921" s="7" t="s">
        <v>505</v>
      </c>
      <c r="H4921" s="6" t="n">
        <v>3.74</v>
      </c>
      <c r="I4921" s="6" t="n">
        <v>0</v>
      </c>
      <c r="J4921" s="40" t="n">
        <f aca="false">H4921-I4921</f>
        <v>3.74</v>
      </c>
      <c r="K4921" s="41" t="n">
        <v>34</v>
      </c>
      <c r="L4921" s="42" t="n">
        <f aca="false">J4921*K4921</f>
        <v>127.16</v>
      </c>
      <c r="M4921" s="43" t="n">
        <f aca="false">H4921*15.85*(1+'Chart of Accounts'!$E$67)</f>
        <v>67.874455</v>
      </c>
    </row>
    <row r="4922" customFormat="false" ht="15" hidden="false" customHeight="false" outlineLevel="0" collapsed="false">
      <c r="B4922" s="7" t="s">
        <v>5419</v>
      </c>
      <c r="C4922" s="39" t="n">
        <v>45894</v>
      </c>
      <c r="D4922" s="7" t="s">
        <v>387</v>
      </c>
      <c r="E4922" s="7" t="s">
        <v>154</v>
      </c>
      <c r="F4922" s="7" t="s">
        <v>196</v>
      </c>
      <c r="G4922" s="7" t="s">
        <v>505</v>
      </c>
      <c r="H4922" s="6" t="n">
        <v>4.29</v>
      </c>
      <c r="I4922" s="6" t="n">
        <v>0</v>
      </c>
      <c r="J4922" s="40" t="n">
        <f aca="false">H4922-I4922</f>
        <v>4.29</v>
      </c>
      <c r="K4922" s="41" t="n">
        <v>26.5</v>
      </c>
      <c r="L4922" s="42" t="n">
        <f aca="false">J4922*K4922</f>
        <v>113.685</v>
      </c>
      <c r="M4922" s="43" t="n">
        <f aca="false">H4922*15.05*(1+'Chart of Accounts'!$E$67)</f>
        <v>73.9263525</v>
      </c>
    </row>
    <row r="4923" customFormat="false" ht="15" hidden="false" customHeight="false" outlineLevel="0" collapsed="false">
      <c r="B4923" s="7" t="s">
        <v>5420</v>
      </c>
      <c r="C4923" s="39" t="n">
        <v>45894</v>
      </c>
      <c r="D4923" s="7" t="s">
        <v>389</v>
      </c>
      <c r="E4923" s="7" t="s">
        <v>154</v>
      </c>
      <c r="F4923" s="7" t="s">
        <v>246</v>
      </c>
      <c r="G4923" s="7" t="s">
        <v>505</v>
      </c>
      <c r="H4923" s="6" t="n">
        <v>3.74</v>
      </c>
      <c r="I4923" s="6" t="n">
        <v>0.112</v>
      </c>
      <c r="J4923" s="40" t="n">
        <f aca="false">H4923-I4923</f>
        <v>3.628</v>
      </c>
      <c r="K4923" s="41" t="n">
        <v>26.5</v>
      </c>
      <c r="L4923" s="42" t="n">
        <f aca="false">J4923*K4923</f>
        <v>96.142</v>
      </c>
      <c r="M4923" s="43" t="n">
        <f aca="false">H4923*16.48*(1+'Chart of Accounts'!$E$67)</f>
        <v>70.572304</v>
      </c>
    </row>
    <row r="4924" customFormat="false" ht="15" hidden="false" customHeight="false" outlineLevel="0" collapsed="false">
      <c r="B4924" s="7" t="s">
        <v>5421</v>
      </c>
      <c r="C4924" s="39" t="n">
        <v>45894</v>
      </c>
      <c r="D4924" s="7" t="s">
        <v>391</v>
      </c>
      <c r="E4924" s="7" t="s">
        <v>156</v>
      </c>
      <c r="F4924" s="7" t="s">
        <v>222</v>
      </c>
      <c r="G4924" s="7" t="s">
        <v>505</v>
      </c>
      <c r="H4924" s="6" t="n">
        <v>3.8</v>
      </c>
      <c r="I4924" s="6" t="n">
        <v>0</v>
      </c>
      <c r="J4924" s="40" t="n">
        <f aca="false">H4924-I4924</f>
        <v>3.8</v>
      </c>
      <c r="K4924" s="41" t="n">
        <v>34</v>
      </c>
      <c r="L4924" s="42" t="n">
        <f aca="false">J4924*K4924</f>
        <v>129.2</v>
      </c>
      <c r="M4924" s="43" t="n">
        <f aca="false">H4924*17.84*(1+'Chart of Accounts'!$E$67)</f>
        <v>77.62184</v>
      </c>
    </row>
    <row r="4925" customFormat="false" ht="15" hidden="false" customHeight="false" outlineLevel="0" collapsed="false">
      <c r="B4925" s="7" t="s">
        <v>5422</v>
      </c>
      <c r="C4925" s="39" t="n">
        <v>45894</v>
      </c>
      <c r="D4925" s="7" t="s">
        <v>395</v>
      </c>
      <c r="E4925" s="7" t="s">
        <v>156</v>
      </c>
      <c r="F4925" s="7" t="s">
        <v>242</v>
      </c>
      <c r="G4925" s="7" t="s">
        <v>505</v>
      </c>
      <c r="H4925" s="6" t="n">
        <v>4.02</v>
      </c>
      <c r="I4925" s="6" t="n">
        <v>0</v>
      </c>
      <c r="J4925" s="40" t="n">
        <f aca="false">H4925-I4925</f>
        <v>4.02</v>
      </c>
      <c r="K4925" s="41" t="n">
        <v>34</v>
      </c>
      <c r="L4925" s="42" t="n">
        <f aca="false">J4925*K4925</f>
        <v>136.68</v>
      </c>
      <c r="M4925" s="43" t="n">
        <f aca="false">H4925*17.99*(1+'Chart of Accounts'!$E$67)</f>
        <v>82.806171</v>
      </c>
    </row>
    <row r="4926" customFormat="false" ht="15" hidden="false" customHeight="false" outlineLevel="0" collapsed="false">
      <c r="B4926" s="7" t="s">
        <v>5423</v>
      </c>
      <c r="C4926" s="39" t="n">
        <v>45894</v>
      </c>
      <c r="D4926" s="7" t="s">
        <v>399</v>
      </c>
      <c r="E4926" s="7" t="s">
        <v>154</v>
      </c>
      <c r="F4926" s="7" t="s">
        <v>222</v>
      </c>
      <c r="G4926" s="7" t="s">
        <v>505</v>
      </c>
      <c r="H4926" s="6" t="n">
        <v>3.33</v>
      </c>
      <c r="I4926" s="6" t="n">
        <v>0.1</v>
      </c>
      <c r="J4926" s="40" t="n">
        <f aca="false">H4926-I4926</f>
        <v>3.23</v>
      </c>
      <c r="K4926" s="41" t="n">
        <v>26.5</v>
      </c>
      <c r="L4926" s="42" t="n">
        <f aca="false">J4926*K4926</f>
        <v>85.595</v>
      </c>
      <c r="M4926" s="43" t="n">
        <f aca="false">H4926*17.84*(1+'Chart of Accounts'!$E$67)</f>
        <v>68.021244</v>
      </c>
    </row>
    <row r="4927" customFormat="false" ht="15" hidden="false" customHeight="false" outlineLevel="0" collapsed="false">
      <c r="B4927" s="7" t="s">
        <v>5424</v>
      </c>
      <c r="C4927" s="39" t="n">
        <v>45894</v>
      </c>
      <c r="D4927" s="7" t="s">
        <v>401</v>
      </c>
      <c r="E4927" s="7" t="s">
        <v>156</v>
      </c>
      <c r="F4927" s="7" t="s">
        <v>254</v>
      </c>
      <c r="G4927" s="7" t="s">
        <v>505</v>
      </c>
      <c r="H4927" s="6" t="n">
        <v>4.36</v>
      </c>
      <c r="I4927" s="6" t="n">
        <v>0</v>
      </c>
      <c r="J4927" s="40" t="n">
        <f aca="false">H4927-I4927</f>
        <v>4.36</v>
      </c>
      <c r="K4927" s="41" t="n">
        <v>34</v>
      </c>
      <c r="L4927" s="42" t="n">
        <f aca="false">J4927*K4927</f>
        <v>148.24</v>
      </c>
      <c r="M4927" s="43" t="n">
        <f aca="false">H4927*17.1*(1+'Chart of Accounts'!$E$67)</f>
        <v>85.36662</v>
      </c>
    </row>
    <row r="4928" customFormat="false" ht="15" hidden="false" customHeight="false" outlineLevel="0" collapsed="false">
      <c r="B4928" s="7" t="s">
        <v>5425</v>
      </c>
      <c r="C4928" s="39" t="n">
        <v>45894</v>
      </c>
      <c r="D4928" s="7" t="s">
        <v>403</v>
      </c>
      <c r="E4928" s="7" t="s">
        <v>156</v>
      </c>
      <c r="F4928" s="7" t="s">
        <v>184</v>
      </c>
      <c r="G4928" s="7" t="s">
        <v>505</v>
      </c>
      <c r="H4928" s="6" t="n">
        <v>3.7</v>
      </c>
      <c r="I4928" s="6" t="n">
        <v>0</v>
      </c>
      <c r="J4928" s="40" t="n">
        <f aca="false">H4928-I4928</f>
        <v>3.7</v>
      </c>
      <c r="K4928" s="41" t="n">
        <v>34</v>
      </c>
      <c r="L4928" s="42" t="n">
        <f aca="false">J4928*K4928</f>
        <v>125.8</v>
      </c>
      <c r="M4928" s="43" t="n">
        <f aca="false">H4928*17.34*(1+'Chart of Accounts'!$E$67)</f>
        <v>73.46091</v>
      </c>
    </row>
    <row r="4929" customFormat="false" ht="15" hidden="false" customHeight="false" outlineLevel="0" collapsed="false">
      <c r="B4929" s="7" t="s">
        <v>5426</v>
      </c>
      <c r="C4929" s="39" t="n">
        <v>45894</v>
      </c>
      <c r="D4929" s="7" t="s">
        <v>409</v>
      </c>
      <c r="E4929" s="7" t="s">
        <v>154</v>
      </c>
      <c r="F4929" s="7" t="s">
        <v>214</v>
      </c>
      <c r="G4929" s="7" t="s">
        <v>505</v>
      </c>
      <c r="H4929" s="6" t="n">
        <v>3.65</v>
      </c>
      <c r="I4929" s="6" t="n">
        <v>0</v>
      </c>
      <c r="J4929" s="40" t="n">
        <f aca="false">H4929-I4929</f>
        <v>3.65</v>
      </c>
      <c r="K4929" s="41" t="n">
        <v>26.5</v>
      </c>
      <c r="L4929" s="42" t="n">
        <f aca="false">J4929*K4929</f>
        <v>96.725</v>
      </c>
      <c r="M4929" s="43" t="n">
        <f aca="false">H4929*15.67*(1+'Chart of Accounts'!$E$67)</f>
        <v>65.4888475</v>
      </c>
    </row>
    <row r="4930" customFormat="false" ht="15" hidden="false" customHeight="false" outlineLevel="0" collapsed="false">
      <c r="B4930" s="7" t="s">
        <v>5427</v>
      </c>
      <c r="C4930" s="39" t="n">
        <v>45894</v>
      </c>
      <c r="D4930" s="7" t="s">
        <v>411</v>
      </c>
      <c r="E4930" s="7" t="s">
        <v>154</v>
      </c>
      <c r="F4930" s="7" t="s">
        <v>177</v>
      </c>
      <c r="G4930" s="7" t="s">
        <v>505</v>
      </c>
      <c r="H4930" s="6" t="n">
        <v>4.88</v>
      </c>
      <c r="I4930" s="6" t="n">
        <v>0.146</v>
      </c>
      <c r="J4930" s="40" t="n">
        <f aca="false">H4930-I4930</f>
        <v>4.734</v>
      </c>
      <c r="K4930" s="41" t="n">
        <v>26.5</v>
      </c>
      <c r="L4930" s="42" t="n">
        <f aca="false">J4930*K4930</f>
        <v>125.451</v>
      </c>
      <c r="M4930" s="43" t="n">
        <f aca="false">H4930*14.56*(1+'Chart of Accounts'!$E$67)</f>
        <v>81.355456</v>
      </c>
    </row>
    <row r="4931" customFormat="false" ht="15" hidden="false" customHeight="false" outlineLevel="0" collapsed="false">
      <c r="B4931" s="7" t="s">
        <v>5428</v>
      </c>
      <c r="C4931" s="39" t="n">
        <v>45895</v>
      </c>
      <c r="D4931" s="7" t="s">
        <v>288</v>
      </c>
      <c r="E4931" s="7" t="s">
        <v>156</v>
      </c>
      <c r="F4931" s="7" t="s">
        <v>184</v>
      </c>
      <c r="G4931" s="7" t="s">
        <v>505</v>
      </c>
      <c r="H4931" s="6" t="n">
        <v>3.75</v>
      </c>
      <c r="I4931" s="6" t="n">
        <v>0</v>
      </c>
      <c r="J4931" s="40" t="n">
        <f aca="false">H4931-I4931</f>
        <v>3.75</v>
      </c>
      <c r="K4931" s="41" t="n">
        <v>34</v>
      </c>
      <c r="L4931" s="42" t="n">
        <f aca="false">J4931*K4931</f>
        <v>127.5</v>
      </c>
      <c r="M4931" s="43" t="n">
        <f aca="false">H4931*17.34*(1+'Chart of Accounts'!$E$67)</f>
        <v>74.453625</v>
      </c>
    </row>
    <row r="4932" customFormat="false" ht="15" hidden="false" customHeight="false" outlineLevel="0" collapsed="false">
      <c r="B4932" s="7" t="s">
        <v>5429</v>
      </c>
      <c r="C4932" s="39" t="n">
        <v>45895</v>
      </c>
      <c r="D4932" s="7" t="s">
        <v>301</v>
      </c>
      <c r="E4932" s="7" t="s">
        <v>157</v>
      </c>
      <c r="F4932" s="7" t="s">
        <v>209</v>
      </c>
      <c r="G4932" s="7" t="s">
        <v>502</v>
      </c>
      <c r="H4932" s="6" t="n">
        <v>1.01</v>
      </c>
      <c r="I4932" s="6" t="n">
        <v>0</v>
      </c>
      <c r="J4932" s="40" t="n">
        <f aca="false">H4932-I4932</f>
        <v>1.01</v>
      </c>
      <c r="K4932" s="41" t="n">
        <v>165</v>
      </c>
      <c r="L4932" s="42" t="n">
        <f aca="false">J4932*K4932</f>
        <v>166.65</v>
      </c>
      <c r="M4932" s="43" t="n">
        <f aca="false">H4932*73.58*(1+'Chart of Accounts'!$E$67)</f>
        <v>85.091591</v>
      </c>
    </row>
    <row r="4933" customFormat="false" ht="15" hidden="false" customHeight="false" outlineLevel="0" collapsed="false">
      <c r="B4933" s="7" t="s">
        <v>5430</v>
      </c>
      <c r="C4933" s="39" t="n">
        <v>45895</v>
      </c>
      <c r="D4933" s="7" t="s">
        <v>313</v>
      </c>
      <c r="E4933" s="7" t="s">
        <v>156</v>
      </c>
      <c r="F4933" s="7" t="s">
        <v>184</v>
      </c>
      <c r="G4933" s="7" t="s">
        <v>505</v>
      </c>
      <c r="H4933" s="6" t="n">
        <v>4.31</v>
      </c>
      <c r="I4933" s="6" t="n">
        <v>0</v>
      </c>
      <c r="J4933" s="40" t="n">
        <f aca="false">H4933-I4933</f>
        <v>4.31</v>
      </c>
      <c r="K4933" s="41" t="n">
        <v>34</v>
      </c>
      <c r="L4933" s="42" t="n">
        <f aca="false">J4933*K4933</f>
        <v>146.54</v>
      </c>
      <c r="M4933" s="43" t="n">
        <f aca="false">H4933*17.34*(1+'Chart of Accounts'!$E$67)</f>
        <v>85.572033</v>
      </c>
    </row>
    <row r="4934" customFormat="false" ht="15" hidden="false" customHeight="false" outlineLevel="0" collapsed="false">
      <c r="B4934" s="7" t="s">
        <v>5431</v>
      </c>
      <c r="C4934" s="39" t="n">
        <v>45895</v>
      </c>
      <c r="D4934" s="7" t="s">
        <v>319</v>
      </c>
      <c r="E4934" s="7" t="s">
        <v>157</v>
      </c>
      <c r="F4934" s="7" t="s">
        <v>234</v>
      </c>
      <c r="G4934" s="7" t="s">
        <v>502</v>
      </c>
      <c r="H4934" s="6" t="n">
        <v>1.01</v>
      </c>
      <c r="I4934" s="6" t="n">
        <v>0</v>
      </c>
      <c r="J4934" s="40" t="n">
        <f aca="false">H4934-I4934</f>
        <v>1.01</v>
      </c>
      <c r="K4934" s="41" t="n">
        <v>165</v>
      </c>
      <c r="L4934" s="42" t="n">
        <f aca="false">J4934*K4934</f>
        <v>166.65</v>
      </c>
      <c r="M4934" s="43" t="n">
        <f aca="false">H4934*89.53*(1+'Chart of Accounts'!$E$67)</f>
        <v>103.5369685</v>
      </c>
    </row>
    <row r="4935" customFormat="false" ht="15" hidden="false" customHeight="false" outlineLevel="0" collapsed="false">
      <c r="B4935" s="7" t="s">
        <v>5432</v>
      </c>
      <c r="C4935" s="39" t="n">
        <v>45895</v>
      </c>
      <c r="D4935" s="7" t="s">
        <v>321</v>
      </c>
      <c r="E4935" s="7" t="s">
        <v>154</v>
      </c>
      <c r="F4935" s="7" t="s">
        <v>218</v>
      </c>
      <c r="G4935" s="7" t="s">
        <v>505</v>
      </c>
      <c r="H4935" s="6" t="n">
        <v>4.19</v>
      </c>
      <c r="I4935" s="6" t="n">
        <v>0</v>
      </c>
      <c r="J4935" s="40" t="n">
        <f aca="false">H4935-I4935</f>
        <v>4.19</v>
      </c>
      <c r="K4935" s="41" t="n">
        <v>26.5</v>
      </c>
      <c r="L4935" s="42" t="n">
        <f aca="false">J4935*K4935</f>
        <v>111.035</v>
      </c>
      <c r="M4935" s="43" t="n">
        <f aca="false">H4935*16.19*(1+'Chart of Accounts'!$E$67)</f>
        <v>77.6723345</v>
      </c>
    </row>
    <row r="4936" customFormat="false" ht="15" hidden="false" customHeight="false" outlineLevel="0" collapsed="false">
      <c r="B4936" s="7" t="s">
        <v>5433</v>
      </c>
      <c r="C4936" s="39" t="n">
        <v>45895</v>
      </c>
      <c r="D4936" s="7" t="s">
        <v>323</v>
      </c>
      <c r="E4936" s="7" t="s">
        <v>159</v>
      </c>
      <c r="F4936" s="7" t="s">
        <v>266</v>
      </c>
      <c r="G4936" s="7" t="s">
        <v>502</v>
      </c>
      <c r="H4936" s="6" t="n">
        <v>1</v>
      </c>
      <c r="I4936" s="6" t="n">
        <v>0</v>
      </c>
      <c r="J4936" s="40" t="n">
        <f aca="false">H4936-I4936</f>
        <v>1</v>
      </c>
      <c r="K4936" s="41" t="n">
        <v>135</v>
      </c>
      <c r="L4936" s="42" t="n">
        <f aca="false">J4936*K4936</f>
        <v>135</v>
      </c>
      <c r="M4936" s="43" t="n">
        <f aca="false">H4936*75.18*(1+'Chart of Accounts'!$E$67)</f>
        <v>86.0811</v>
      </c>
    </row>
    <row r="4937" customFormat="false" ht="15" hidden="false" customHeight="false" outlineLevel="0" collapsed="false">
      <c r="B4937" s="7" t="s">
        <v>5434</v>
      </c>
      <c r="C4937" s="39" t="n">
        <v>45895</v>
      </c>
      <c r="D4937" s="7" t="s">
        <v>327</v>
      </c>
      <c r="E4937" s="7" t="s">
        <v>157</v>
      </c>
      <c r="F4937" s="7" t="s">
        <v>228</v>
      </c>
      <c r="G4937" s="7" t="s">
        <v>502</v>
      </c>
      <c r="H4937" s="6" t="n">
        <v>0.98</v>
      </c>
      <c r="I4937" s="6" t="n">
        <v>0</v>
      </c>
      <c r="J4937" s="40" t="n">
        <f aca="false">H4937-I4937</f>
        <v>0.98</v>
      </c>
      <c r="K4937" s="41" t="n">
        <v>165</v>
      </c>
      <c r="L4937" s="42" t="n">
        <f aca="false">J4937*K4937</f>
        <v>161.7</v>
      </c>
      <c r="M4937" s="43" t="n">
        <f aca="false">H4937*51.07*(1+'Chart of Accounts'!$E$67)</f>
        <v>57.305647</v>
      </c>
    </row>
    <row r="4938" customFormat="false" ht="15" hidden="false" customHeight="false" outlineLevel="0" collapsed="false">
      <c r="B4938" s="7" t="s">
        <v>5435</v>
      </c>
      <c r="C4938" s="39" t="n">
        <v>45895</v>
      </c>
      <c r="D4938" s="7" t="s">
        <v>329</v>
      </c>
      <c r="E4938" s="7" t="s">
        <v>156</v>
      </c>
      <c r="F4938" s="7" t="s">
        <v>220</v>
      </c>
      <c r="G4938" s="7" t="s">
        <v>505</v>
      </c>
      <c r="H4938" s="6" t="n">
        <v>4.2</v>
      </c>
      <c r="I4938" s="6" t="n">
        <v>0</v>
      </c>
      <c r="J4938" s="40" t="n">
        <f aca="false">H4938-I4938</f>
        <v>4.2</v>
      </c>
      <c r="K4938" s="41" t="n">
        <v>34</v>
      </c>
      <c r="L4938" s="42" t="n">
        <f aca="false">J4938*K4938</f>
        <v>142.8</v>
      </c>
      <c r="M4938" s="43" t="n">
        <f aca="false">H4938*16.43*(1+'Chart of Accounts'!$E$67)</f>
        <v>79.01187</v>
      </c>
    </row>
    <row r="4939" customFormat="false" ht="15" hidden="false" customHeight="false" outlineLevel="0" collapsed="false">
      <c r="B4939" s="7" t="s">
        <v>5436</v>
      </c>
      <c r="C4939" s="39" t="n">
        <v>45895</v>
      </c>
      <c r="D4939" s="7" t="s">
        <v>359</v>
      </c>
      <c r="E4939" s="7" t="s">
        <v>156</v>
      </c>
      <c r="F4939" s="7" t="s">
        <v>220</v>
      </c>
      <c r="G4939" s="7" t="s">
        <v>505</v>
      </c>
      <c r="H4939" s="6" t="n">
        <v>3.76</v>
      </c>
      <c r="I4939" s="6" t="n">
        <v>0</v>
      </c>
      <c r="J4939" s="40" t="n">
        <f aca="false">H4939-I4939</f>
        <v>3.76</v>
      </c>
      <c r="K4939" s="41" t="n">
        <v>34</v>
      </c>
      <c r="L4939" s="42" t="n">
        <f aca="false">J4939*K4939</f>
        <v>127.84</v>
      </c>
      <c r="M4939" s="43" t="n">
        <f aca="false">H4939*16.43*(1+'Chart of Accounts'!$E$67)</f>
        <v>70.734436</v>
      </c>
    </row>
    <row r="4940" customFormat="false" ht="15" hidden="false" customHeight="false" outlineLevel="0" collapsed="false">
      <c r="B4940" s="7" t="s">
        <v>5437</v>
      </c>
      <c r="C4940" s="39" t="n">
        <v>45895</v>
      </c>
      <c r="D4940" s="7" t="s">
        <v>361</v>
      </c>
      <c r="E4940" s="7" t="s">
        <v>157</v>
      </c>
      <c r="F4940" s="7" t="s">
        <v>209</v>
      </c>
      <c r="G4940" s="7" t="s">
        <v>502</v>
      </c>
      <c r="H4940" s="6" t="n">
        <v>0.98</v>
      </c>
      <c r="I4940" s="6" t="n">
        <v>0</v>
      </c>
      <c r="J4940" s="40" t="n">
        <f aca="false">H4940-I4940</f>
        <v>0.98</v>
      </c>
      <c r="K4940" s="41" t="n">
        <v>165</v>
      </c>
      <c r="L4940" s="42" t="n">
        <f aca="false">J4940*K4940</f>
        <v>161.7</v>
      </c>
      <c r="M4940" s="43" t="n">
        <f aca="false">H4940*73.58*(1+'Chart of Accounts'!$E$67)</f>
        <v>82.564118</v>
      </c>
    </row>
    <row r="4941" customFormat="false" ht="15" hidden="false" customHeight="false" outlineLevel="0" collapsed="false">
      <c r="B4941" s="7" t="s">
        <v>5438</v>
      </c>
      <c r="C4941" s="39" t="n">
        <v>45895</v>
      </c>
      <c r="D4941" s="7" t="s">
        <v>365</v>
      </c>
      <c r="E4941" s="7" t="s">
        <v>154</v>
      </c>
      <c r="F4941" s="7" t="s">
        <v>194</v>
      </c>
      <c r="G4941" s="7" t="s">
        <v>505</v>
      </c>
      <c r="H4941" s="6" t="n">
        <v>4.24</v>
      </c>
      <c r="I4941" s="6" t="n">
        <v>0</v>
      </c>
      <c r="J4941" s="40" t="n">
        <f aca="false">H4941-I4941</f>
        <v>4.24</v>
      </c>
      <c r="K4941" s="41" t="n">
        <v>26.5</v>
      </c>
      <c r="L4941" s="42" t="n">
        <f aca="false">J4941*K4941</f>
        <v>112.36</v>
      </c>
      <c r="M4941" s="43" t="n">
        <f aca="false">H4941*16*(1+'Chart of Accounts'!$E$67)</f>
        <v>77.6768</v>
      </c>
    </row>
    <row r="4942" customFormat="false" ht="15" hidden="false" customHeight="false" outlineLevel="0" collapsed="false">
      <c r="B4942" s="7" t="s">
        <v>5439</v>
      </c>
      <c r="C4942" s="39" t="n">
        <v>45895</v>
      </c>
      <c r="D4942" s="7" t="s">
        <v>369</v>
      </c>
      <c r="E4942" s="7" t="s">
        <v>159</v>
      </c>
      <c r="F4942" s="7" t="s">
        <v>258</v>
      </c>
      <c r="G4942" s="7" t="s">
        <v>502</v>
      </c>
      <c r="H4942" s="6" t="n">
        <v>0.97</v>
      </c>
      <c r="I4942" s="6" t="n">
        <v>0</v>
      </c>
      <c r="J4942" s="40" t="n">
        <f aca="false">H4942-I4942</f>
        <v>0.97</v>
      </c>
      <c r="K4942" s="41" t="n">
        <v>135</v>
      </c>
      <c r="L4942" s="42" t="n">
        <f aca="false">J4942*K4942</f>
        <v>130.95</v>
      </c>
      <c r="M4942" s="43" t="n">
        <f aca="false">H4942*61.61*(1+'Chart of Accounts'!$E$67)</f>
        <v>68.4271465</v>
      </c>
    </row>
    <row r="4943" customFormat="false" ht="15" hidden="false" customHeight="false" outlineLevel="0" collapsed="false">
      <c r="B4943" s="7" t="s">
        <v>5440</v>
      </c>
      <c r="C4943" s="39" t="n">
        <v>45895</v>
      </c>
      <c r="D4943" s="7" t="s">
        <v>381</v>
      </c>
      <c r="E4943" s="7" t="s">
        <v>157</v>
      </c>
      <c r="F4943" s="7" t="s">
        <v>234</v>
      </c>
      <c r="G4943" s="7" t="s">
        <v>502</v>
      </c>
      <c r="H4943" s="6" t="n">
        <v>1.07</v>
      </c>
      <c r="I4943" s="6" t="n">
        <v>0</v>
      </c>
      <c r="J4943" s="40" t="n">
        <f aca="false">H4943-I4943</f>
        <v>1.07</v>
      </c>
      <c r="K4943" s="41" t="n">
        <v>165</v>
      </c>
      <c r="L4943" s="42" t="n">
        <f aca="false">J4943*K4943</f>
        <v>176.55</v>
      </c>
      <c r="M4943" s="43" t="n">
        <f aca="false">H4943*89.53*(1+'Chart of Accounts'!$E$67)</f>
        <v>109.6876795</v>
      </c>
    </row>
    <row r="4944" customFormat="false" ht="15" hidden="false" customHeight="false" outlineLevel="0" collapsed="false">
      <c r="B4944" s="7" t="s">
        <v>5441</v>
      </c>
      <c r="C4944" s="39" t="n">
        <v>45895</v>
      </c>
      <c r="D4944" s="7" t="s">
        <v>383</v>
      </c>
      <c r="E4944" s="7" t="s">
        <v>157</v>
      </c>
      <c r="F4944" s="7" t="s">
        <v>230</v>
      </c>
      <c r="G4944" s="7" t="s">
        <v>502</v>
      </c>
      <c r="H4944" s="6" t="n">
        <v>0.92</v>
      </c>
      <c r="I4944" s="6" t="n">
        <v>0</v>
      </c>
      <c r="J4944" s="40" t="n">
        <f aca="false">H4944-I4944</f>
        <v>0.92</v>
      </c>
      <c r="K4944" s="41" t="n">
        <v>165</v>
      </c>
      <c r="L4944" s="42" t="n">
        <f aca="false">J4944*K4944</f>
        <v>151.8</v>
      </c>
      <c r="M4944" s="43" t="n">
        <f aca="false">H4944*48.78*(1+'Chart of Accounts'!$E$67)</f>
        <v>51.384852</v>
      </c>
    </row>
    <row r="4945" customFormat="false" ht="15" hidden="false" customHeight="false" outlineLevel="0" collapsed="false">
      <c r="B4945" s="7" t="s">
        <v>5442</v>
      </c>
      <c r="C4945" s="39" t="n">
        <v>45895</v>
      </c>
      <c r="D4945" s="7" t="s">
        <v>387</v>
      </c>
      <c r="E4945" s="7" t="s">
        <v>154</v>
      </c>
      <c r="F4945" s="7" t="s">
        <v>196</v>
      </c>
      <c r="G4945" s="7" t="s">
        <v>505</v>
      </c>
      <c r="H4945" s="6" t="n">
        <v>3.73</v>
      </c>
      <c r="I4945" s="6" t="n">
        <v>0</v>
      </c>
      <c r="J4945" s="40" t="n">
        <f aca="false">H4945-I4945</f>
        <v>3.73</v>
      </c>
      <c r="K4945" s="41" t="n">
        <v>26.5</v>
      </c>
      <c r="L4945" s="42" t="n">
        <f aca="false">J4945*K4945</f>
        <v>98.845</v>
      </c>
      <c r="M4945" s="43" t="n">
        <f aca="false">H4945*15.05*(1+'Chart of Accounts'!$E$67)</f>
        <v>64.2762925</v>
      </c>
    </row>
    <row r="4946" customFormat="false" ht="15" hidden="false" customHeight="false" outlineLevel="0" collapsed="false">
      <c r="B4946" s="7" t="s">
        <v>5443</v>
      </c>
      <c r="C4946" s="39" t="n">
        <v>45895</v>
      </c>
      <c r="D4946" s="7" t="s">
        <v>389</v>
      </c>
      <c r="E4946" s="7" t="s">
        <v>154</v>
      </c>
      <c r="F4946" s="7" t="s">
        <v>246</v>
      </c>
      <c r="G4946" s="7" t="s">
        <v>505</v>
      </c>
      <c r="H4946" s="6" t="n">
        <v>4.2</v>
      </c>
      <c r="I4946" s="6" t="n">
        <v>0.126</v>
      </c>
      <c r="J4946" s="40" t="n">
        <f aca="false">H4946-I4946</f>
        <v>4.074</v>
      </c>
      <c r="K4946" s="41" t="n">
        <v>26.5</v>
      </c>
      <c r="L4946" s="42" t="n">
        <f aca="false">J4946*K4946</f>
        <v>107.961</v>
      </c>
      <c r="M4946" s="43" t="n">
        <f aca="false">H4946*16.48*(1+'Chart of Accounts'!$E$67)</f>
        <v>79.25232</v>
      </c>
    </row>
    <row r="4947" customFormat="false" ht="15" hidden="false" customHeight="false" outlineLevel="0" collapsed="false">
      <c r="B4947" s="7" t="s">
        <v>5444</v>
      </c>
      <c r="C4947" s="39" t="n">
        <v>45895</v>
      </c>
      <c r="D4947" s="7" t="s">
        <v>391</v>
      </c>
      <c r="E4947" s="7" t="s">
        <v>156</v>
      </c>
      <c r="F4947" s="7" t="s">
        <v>222</v>
      </c>
      <c r="G4947" s="7" t="s">
        <v>505</v>
      </c>
      <c r="H4947" s="6" t="n">
        <v>3.76</v>
      </c>
      <c r="I4947" s="6" t="n">
        <v>0</v>
      </c>
      <c r="J4947" s="40" t="n">
        <f aca="false">H4947-I4947</f>
        <v>3.76</v>
      </c>
      <c r="K4947" s="41" t="n">
        <v>34</v>
      </c>
      <c r="L4947" s="42" t="n">
        <f aca="false">J4947*K4947</f>
        <v>127.84</v>
      </c>
      <c r="M4947" s="43" t="n">
        <f aca="false">H4947*17.84*(1+'Chart of Accounts'!$E$67)</f>
        <v>76.804768</v>
      </c>
    </row>
    <row r="4948" customFormat="false" ht="15" hidden="false" customHeight="false" outlineLevel="0" collapsed="false">
      <c r="B4948" s="7" t="s">
        <v>5445</v>
      </c>
      <c r="C4948" s="39" t="n">
        <v>45895</v>
      </c>
      <c r="D4948" s="7" t="s">
        <v>395</v>
      </c>
      <c r="E4948" s="7" t="s">
        <v>156</v>
      </c>
      <c r="F4948" s="7" t="s">
        <v>242</v>
      </c>
      <c r="G4948" s="7" t="s">
        <v>505</v>
      </c>
      <c r="H4948" s="6" t="n">
        <v>4.01</v>
      </c>
      <c r="I4948" s="6" t="n">
        <v>0</v>
      </c>
      <c r="J4948" s="40" t="n">
        <f aca="false">H4948-I4948</f>
        <v>4.01</v>
      </c>
      <c r="K4948" s="41" t="n">
        <v>34</v>
      </c>
      <c r="L4948" s="42" t="n">
        <f aca="false">J4948*K4948</f>
        <v>136.34</v>
      </c>
      <c r="M4948" s="43" t="n">
        <f aca="false">H4948*17.99*(1+'Chart of Accounts'!$E$67)</f>
        <v>82.6001855</v>
      </c>
    </row>
    <row r="4949" customFormat="false" ht="15" hidden="false" customHeight="false" outlineLevel="0" collapsed="false">
      <c r="B4949" s="7" t="s">
        <v>5446</v>
      </c>
      <c r="C4949" s="39" t="n">
        <v>45895</v>
      </c>
      <c r="D4949" s="7" t="s">
        <v>397</v>
      </c>
      <c r="E4949" s="7" t="s">
        <v>159</v>
      </c>
      <c r="F4949" s="7" t="s">
        <v>203</v>
      </c>
      <c r="G4949" s="7" t="s">
        <v>502</v>
      </c>
      <c r="H4949" s="6" t="n">
        <v>1.08</v>
      </c>
      <c r="I4949" s="6" t="n">
        <v>0</v>
      </c>
      <c r="J4949" s="40" t="n">
        <f aca="false">H4949-I4949</f>
        <v>1.08</v>
      </c>
      <c r="K4949" s="41" t="n">
        <v>135</v>
      </c>
      <c r="L4949" s="42" t="n">
        <f aca="false">J4949*K4949</f>
        <v>145.8</v>
      </c>
      <c r="M4949" s="43" t="n">
        <f aca="false">H4949*49.43*(1+'Chart of Accounts'!$E$67)</f>
        <v>61.125138</v>
      </c>
    </row>
    <row r="4950" customFormat="false" ht="15" hidden="false" customHeight="false" outlineLevel="0" collapsed="false">
      <c r="B4950" s="7" t="s">
        <v>5447</v>
      </c>
      <c r="C4950" s="39" t="n">
        <v>45895</v>
      </c>
      <c r="D4950" s="7" t="s">
        <v>401</v>
      </c>
      <c r="E4950" s="7" t="s">
        <v>156</v>
      </c>
      <c r="F4950" s="7" t="s">
        <v>254</v>
      </c>
      <c r="G4950" s="7" t="s">
        <v>505</v>
      </c>
      <c r="H4950" s="6" t="n">
        <v>3.67</v>
      </c>
      <c r="I4950" s="6" t="n">
        <v>0</v>
      </c>
      <c r="J4950" s="40" t="n">
        <f aca="false">H4950-I4950</f>
        <v>3.67</v>
      </c>
      <c r="K4950" s="41" t="n">
        <v>34</v>
      </c>
      <c r="L4950" s="42" t="n">
        <f aca="false">J4950*K4950</f>
        <v>124.78</v>
      </c>
      <c r="M4950" s="43" t="n">
        <f aca="false">H4950*17.1*(1+'Chart of Accounts'!$E$67)</f>
        <v>71.856765</v>
      </c>
    </row>
    <row r="4951" customFormat="false" ht="15" hidden="false" customHeight="false" outlineLevel="0" collapsed="false">
      <c r="B4951" s="7" t="s">
        <v>5448</v>
      </c>
      <c r="C4951" s="39" t="n">
        <v>45895</v>
      </c>
      <c r="D4951" s="7" t="s">
        <v>407</v>
      </c>
      <c r="E4951" s="7" t="s">
        <v>159</v>
      </c>
      <c r="F4951" s="7" t="s">
        <v>260</v>
      </c>
      <c r="G4951" s="7" t="s">
        <v>502</v>
      </c>
      <c r="H4951" s="6" t="n">
        <v>1.02</v>
      </c>
      <c r="I4951" s="6" t="n">
        <v>0</v>
      </c>
      <c r="J4951" s="40" t="n">
        <f aca="false">H4951-I4951</f>
        <v>1.02</v>
      </c>
      <c r="K4951" s="41" t="n">
        <v>135</v>
      </c>
      <c r="L4951" s="42" t="n">
        <f aca="false">J4951*K4951</f>
        <v>137.7</v>
      </c>
      <c r="M4951" s="43" t="n">
        <f aca="false">H4951*79.8*(1+'Chart of Accounts'!$E$67)</f>
        <v>93.19842</v>
      </c>
    </row>
    <row r="4952" customFormat="false" ht="15" hidden="false" customHeight="false" outlineLevel="0" collapsed="false">
      <c r="B4952" s="7" t="s">
        <v>5449</v>
      </c>
      <c r="C4952" s="39" t="n">
        <v>45896</v>
      </c>
      <c r="D4952" s="7" t="s">
        <v>288</v>
      </c>
      <c r="E4952" s="7" t="s">
        <v>156</v>
      </c>
      <c r="F4952" s="7" t="s">
        <v>196</v>
      </c>
      <c r="G4952" s="7" t="s">
        <v>505</v>
      </c>
      <c r="H4952" s="6" t="n">
        <v>4.11</v>
      </c>
      <c r="I4952" s="6" t="n">
        <v>0</v>
      </c>
      <c r="J4952" s="40" t="n">
        <f aca="false">H4952-I4952</f>
        <v>4.11</v>
      </c>
      <c r="K4952" s="41" t="n">
        <v>34</v>
      </c>
      <c r="L4952" s="42" t="n">
        <f aca="false">J4952*K4952</f>
        <v>139.74</v>
      </c>
      <c r="M4952" s="43" t="n">
        <f aca="false">H4952*15.05*(1+'Chart of Accounts'!$E$67)</f>
        <v>70.8245475</v>
      </c>
    </row>
    <row r="4953" customFormat="false" ht="15" hidden="false" customHeight="false" outlineLevel="0" collapsed="false">
      <c r="B4953" s="7" t="s">
        <v>5450</v>
      </c>
      <c r="C4953" s="39" t="n">
        <v>45896</v>
      </c>
      <c r="D4953" s="7" t="s">
        <v>291</v>
      </c>
      <c r="E4953" s="7" t="s">
        <v>154</v>
      </c>
      <c r="F4953" s="7" t="s">
        <v>194</v>
      </c>
      <c r="G4953" s="7" t="s">
        <v>505</v>
      </c>
      <c r="H4953" s="6" t="n">
        <v>4.31</v>
      </c>
      <c r="I4953" s="6" t="n">
        <v>0</v>
      </c>
      <c r="J4953" s="40" t="n">
        <f aca="false">H4953-I4953</f>
        <v>4.31</v>
      </c>
      <c r="K4953" s="41" t="n">
        <v>26.5</v>
      </c>
      <c r="L4953" s="42" t="n">
        <f aca="false">J4953*K4953</f>
        <v>114.215</v>
      </c>
      <c r="M4953" s="43" t="n">
        <f aca="false">H4953*16*(1+'Chart of Accounts'!$E$67)</f>
        <v>78.9592</v>
      </c>
    </row>
    <row r="4954" customFormat="false" ht="15" hidden="false" customHeight="false" outlineLevel="0" collapsed="false">
      <c r="B4954" s="7" t="s">
        <v>5451</v>
      </c>
      <c r="C4954" s="39" t="n">
        <v>45896</v>
      </c>
      <c r="D4954" s="7" t="s">
        <v>295</v>
      </c>
      <c r="E4954" s="7" t="s">
        <v>154</v>
      </c>
      <c r="F4954" s="7" t="s">
        <v>214</v>
      </c>
      <c r="G4954" s="7" t="s">
        <v>505</v>
      </c>
      <c r="H4954" s="6" t="n">
        <v>3.97</v>
      </c>
      <c r="I4954" s="6" t="n">
        <v>0</v>
      </c>
      <c r="J4954" s="40" t="n">
        <f aca="false">H4954-I4954</f>
        <v>3.97</v>
      </c>
      <c r="K4954" s="41" t="n">
        <v>26.5</v>
      </c>
      <c r="L4954" s="42" t="n">
        <f aca="false">J4954*K4954</f>
        <v>105.205</v>
      </c>
      <c r="M4954" s="43" t="n">
        <f aca="false">H4954*15.67*(1+'Chart of Accounts'!$E$67)</f>
        <v>71.2303355</v>
      </c>
    </row>
    <row r="4955" customFormat="false" ht="15" hidden="false" customHeight="false" outlineLevel="0" collapsed="false">
      <c r="B4955" s="7" t="s">
        <v>5452</v>
      </c>
      <c r="C4955" s="39" t="n">
        <v>45896</v>
      </c>
      <c r="D4955" s="7" t="s">
        <v>305</v>
      </c>
      <c r="E4955" s="7" t="s">
        <v>154</v>
      </c>
      <c r="F4955" s="7" t="s">
        <v>205</v>
      </c>
      <c r="G4955" s="7" t="s">
        <v>505</v>
      </c>
      <c r="H4955" s="6" t="n">
        <v>3.64</v>
      </c>
      <c r="I4955" s="6" t="n">
        <v>0</v>
      </c>
      <c r="J4955" s="40" t="n">
        <f aca="false">H4955-I4955</f>
        <v>3.64</v>
      </c>
      <c r="K4955" s="41" t="n">
        <v>26.5</v>
      </c>
      <c r="L4955" s="42" t="n">
        <f aca="false">J4955*K4955</f>
        <v>96.46</v>
      </c>
      <c r="M4955" s="43" t="n">
        <f aca="false">H4955*16.36*(1+'Chart of Accounts'!$E$67)</f>
        <v>68.185208</v>
      </c>
    </row>
    <row r="4956" customFormat="false" ht="15" hidden="false" customHeight="false" outlineLevel="0" collapsed="false">
      <c r="B4956" s="7" t="s">
        <v>5453</v>
      </c>
      <c r="C4956" s="39" t="n">
        <v>45896</v>
      </c>
      <c r="D4956" s="7" t="s">
        <v>307</v>
      </c>
      <c r="E4956" s="7" t="s">
        <v>157</v>
      </c>
      <c r="F4956" s="7" t="s">
        <v>264</v>
      </c>
      <c r="G4956" s="7" t="s">
        <v>502</v>
      </c>
      <c r="H4956" s="6" t="n">
        <v>0.92</v>
      </c>
      <c r="I4956" s="6" t="n">
        <v>0</v>
      </c>
      <c r="J4956" s="40" t="n">
        <f aca="false">H4956-I4956</f>
        <v>0.92</v>
      </c>
      <c r="K4956" s="41" t="n">
        <v>165</v>
      </c>
      <c r="L4956" s="42" t="n">
        <f aca="false">J4956*K4956</f>
        <v>151.8</v>
      </c>
      <c r="M4956" s="43" t="n">
        <f aca="false">H4956*55.55*(1+'Chart of Accounts'!$E$67)</f>
        <v>58.51637</v>
      </c>
    </row>
    <row r="4957" customFormat="false" ht="15" hidden="false" customHeight="false" outlineLevel="0" collapsed="false">
      <c r="B4957" s="7" t="s">
        <v>5454</v>
      </c>
      <c r="C4957" s="39" t="n">
        <v>45896</v>
      </c>
      <c r="D4957" s="7" t="s">
        <v>309</v>
      </c>
      <c r="E4957" s="7" t="s">
        <v>159</v>
      </c>
      <c r="F4957" s="7" t="s">
        <v>252</v>
      </c>
      <c r="G4957" s="7" t="s">
        <v>502</v>
      </c>
      <c r="H4957" s="6" t="n">
        <v>0.93</v>
      </c>
      <c r="I4957" s="6" t="n">
        <v>0.065</v>
      </c>
      <c r="J4957" s="40" t="n">
        <f aca="false">H4957-I4957</f>
        <v>0.865</v>
      </c>
      <c r="K4957" s="41" t="n">
        <v>135</v>
      </c>
      <c r="L4957" s="42" t="n">
        <f aca="false">J4957*K4957</f>
        <v>116.775</v>
      </c>
      <c r="M4957" s="43" t="n">
        <f aca="false">H4957*57.54*(1+'Chart of Accounts'!$E$67)</f>
        <v>61.271469</v>
      </c>
    </row>
    <row r="4958" customFormat="false" ht="15" hidden="false" customHeight="false" outlineLevel="0" collapsed="false">
      <c r="B4958" s="7" t="s">
        <v>5455</v>
      </c>
      <c r="C4958" s="39" t="n">
        <v>45896</v>
      </c>
      <c r="D4958" s="7" t="s">
        <v>313</v>
      </c>
      <c r="E4958" s="7" t="s">
        <v>156</v>
      </c>
      <c r="F4958" s="7" t="s">
        <v>184</v>
      </c>
      <c r="G4958" s="7" t="s">
        <v>505</v>
      </c>
      <c r="H4958" s="6" t="n">
        <v>4.18</v>
      </c>
      <c r="I4958" s="6" t="n">
        <v>0</v>
      </c>
      <c r="J4958" s="40" t="n">
        <f aca="false">H4958-I4958</f>
        <v>4.18</v>
      </c>
      <c r="K4958" s="41" t="n">
        <v>34</v>
      </c>
      <c r="L4958" s="42" t="n">
        <f aca="false">J4958*K4958</f>
        <v>142.12</v>
      </c>
      <c r="M4958" s="43" t="n">
        <f aca="false">H4958*17.34*(1+'Chart of Accounts'!$E$67)</f>
        <v>82.990974</v>
      </c>
    </row>
    <row r="4959" customFormat="false" ht="15" hidden="false" customHeight="false" outlineLevel="0" collapsed="false">
      <c r="B4959" s="7" t="s">
        <v>5456</v>
      </c>
      <c r="C4959" s="39" t="n">
        <v>45896</v>
      </c>
      <c r="D4959" s="7" t="s">
        <v>315</v>
      </c>
      <c r="E4959" s="7" t="s">
        <v>159</v>
      </c>
      <c r="F4959" s="7" t="s">
        <v>216</v>
      </c>
      <c r="G4959" s="7" t="s">
        <v>502</v>
      </c>
      <c r="H4959" s="6" t="n">
        <v>1.03</v>
      </c>
      <c r="I4959" s="6" t="n">
        <v>0</v>
      </c>
      <c r="J4959" s="40" t="n">
        <f aca="false">H4959-I4959</f>
        <v>1.03</v>
      </c>
      <c r="K4959" s="41" t="n">
        <v>135</v>
      </c>
      <c r="L4959" s="42" t="n">
        <f aca="false">J4959*K4959</f>
        <v>139.05</v>
      </c>
      <c r="M4959" s="43" t="n">
        <f aca="false">H4959*61.79*(1+'Chart of Accounts'!$E$67)</f>
        <v>72.8720365</v>
      </c>
    </row>
    <row r="4960" customFormat="false" ht="15" hidden="false" customHeight="false" outlineLevel="0" collapsed="false">
      <c r="B4960" s="7" t="s">
        <v>5457</v>
      </c>
      <c r="C4960" s="39" t="n">
        <v>45896</v>
      </c>
      <c r="D4960" s="7" t="s">
        <v>321</v>
      </c>
      <c r="E4960" s="7" t="s">
        <v>154</v>
      </c>
      <c r="F4960" s="7" t="s">
        <v>218</v>
      </c>
      <c r="G4960" s="7" t="s">
        <v>505</v>
      </c>
      <c r="H4960" s="6" t="n">
        <v>4.35</v>
      </c>
      <c r="I4960" s="6" t="n">
        <v>0</v>
      </c>
      <c r="J4960" s="40" t="n">
        <f aca="false">H4960-I4960</f>
        <v>4.35</v>
      </c>
      <c r="K4960" s="41" t="n">
        <v>26.5</v>
      </c>
      <c r="L4960" s="42" t="n">
        <f aca="false">J4960*K4960</f>
        <v>115.275</v>
      </c>
      <c r="M4960" s="43" t="n">
        <f aca="false">H4960*16.19*(1+'Chart of Accounts'!$E$67)</f>
        <v>80.6383425</v>
      </c>
    </row>
    <row r="4961" customFormat="false" ht="15" hidden="false" customHeight="false" outlineLevel="0" collapsed="false">
      <c r="B4961" s="7" t="s">
        <v>5458</v>
      </c>
      <c r="C4961" s="39" t="n">
        <v>45896</v>
      </c>
      <c r="D4961" s="7" t="s">
        <v>329</v>
      </c>
      <c r="E4961" s="7" t="s">
        <v>156</v>
      </c>
      <c r="F4961" s="7" t="s">
        <v>220</v>
      </c>
      <c r="G4961" s="7" t="s">
        <v>505</v>
      </c>
      <c r="H4961" s="6" t="n">
        <v>4.18</v>
      </c>
      <c r="I4961" s="6" t="n">
        <v>0</v>
      </c>
      <c r="J4961" s="40" t="n">
        <f aca="false">H4961-I4961</f>
        <v>4.18</v>
      </c>
      <c r="K4961" s="41" t="n">
        <v>34</v>
      </c>
      <c r="L4961" s="42" t="n">
        <f aca="false">J4961*K4961</f>
        <v>142.12</v>
      </c>
      <c r="M4961" s="43" t="n">
        <f aca="false">H4961*16.43*(1+'Chart of Accounts'!$E$67)</f>
        <v>78.635623</v>
      </c>
    </row>
    <row r="4962" customFormat="false" ht="15" hidden="false" customHeight="false" outlineLevel="0" collapsed="false">
      <c r="B4962" s="7" t="s">
        <v>5459</v>
      </c>
      <c r="C4962" s="39" t="n">
        <v>45896</v>
      </c>
      <c r="D4962" s="7" t="s">
        <v>335</v>
      </c>
      <c r="E4962" s="7" t="s">
        <v>154</v>
      </c>
      <c r="F4962" s="7" t="s">
        <v>177</v>
      </c>
      <c r="G4962" s="7" t="s">
        <v>505</v>
      </c>
      <c r="H4962" s="6" t="n">
        <v>3.95</v>
      </c>
      <c r="I4962" s="6" t="n">
        <v>0</v>
      </c>
      <c r="J4962" s="40" t="n">
        <f aca="false">H4962-I4962</f>
        <v>3.95</v>
      </c>
      <c r="K4962" s="41" t="n">
        <v>26.5</v>
      </c>
      <c r="L4962" s="42" t="n">
        <f aca="false">J4962*K4962</f>
        <v>104.675</v>
      </c>
      <c r="M4962" s="43" t="n">
        <f aca="false">H4962*14.56*(1+'Chart of Accounts'!$E$67)</f>
        <v>65.85124</v>
      </c>
    </row>
    <row r="4963" customFormat="false" ht="15" hidden="false" customHeight="false" outlineLevel="0" collapsed="false">
      <c r="B4963" s="7" t="s">
        <v>5460</v>
      </c>
      <c r="C4963" s="39" t="n">
        <v>45896</v>
      </c>
      <c r="D4963" s="7" t="s">
        <v>339</v>
      </c>
      <c r="E4963" s="7" t="s">
        <v>154</v>
      </c>
      <c r="F4963" s="7" t="s">
        <v>242</v>
      </c>
      <c r="G4963" s="7" t="s">
        <v>505</v>
      </c>
      <c r="H4963" s="6" t="n">
        <v>3.44</v>
      </c>
      <c r="I4963" s="6" t="n">
        <v>0</v>
      </c>
      <c r="J4963" s="40" t="n">
        <f aca="false">H4963-I4963</f>
        <v>3.44</v>
      </c>
      <c r="K4963" s="41" t="n">
        <v>26.5</v>
      </c>
      <c r="L4963" s="42" t="n">
        <f aca="false">J4963*K4963</f>
        <v>91.16</v>
      </c>
      <c r="M4963" s="43" t="n">
        <f aca="false">H4963*17.99*(1+'Chart of Accounts'!$E$67)</f>
        <v>70.859012</v>
      </c>
    </row>
    <row r="4964" customFormat="false" ht="15" hidden="false" customHeight="false" outlineLevel="0" collapsed="false">
      <c r="B4964" s="7" t="s">
        <v>5461</v>
      </c>
      <c r="C4964" s="39" t="n">
        <v>45896</v>
      </c>
      <c r="D4964" s="7" t="s">
        <v>347</v>
      </c>
      <c r="E4964" s="7" t="s">
        <v>154</v>
      </c>
      <c r="F4964" s="7" t="s">
        <v>238</v>
      </c>
      <c r="G4964" s="7" t="s">
        <v>505</v>
      </c>
      <c r="H4964" s="6" t="n">
        <v>4.96</v>
      </c>
      <c r="I4964" s="6" t="n">
        <v>0.149</v>
      </c>
      <c r="J4964" s="40" t="n">
        <f aca="false">H4964-I4964</f>
        <v>4.811</v>
      </c>
      <c r="K4964" s="41" t="n">
        <v>26.5</v>
      </c>
      <c r="L4964" s="42" t="n">
        <f aca="false">J4964*K4964</f>
        <v>127.4915</v>
      </c>
      <c r="M4964" s="43" t="n">
        <f aca="false">H4964*15.85*(1+'Chart of Accounts'!$E$67)</f>
        <v>90.01532</v>
      </c>
    </row>
    <row r="4965" customFormat="false" ht="15" hidden="false" customHeight="false" outlineLevel="0" collapsed="false">
      <c r="B4965" s="7" t="s">
        <v>5462</v>
      </c>
      <c r="C4965" s="39" t="n">
        <v>45896</v>
      </c>
      <c r="D4965" s="7" t="s">
        <v>353</v>
      </c>
      <c r="E4965" s="7" t="s">
        <v>154</v>
      </c>
      <c r="F4965" s="7" t="s">
        <v>254</v>
      </c>
      <c r="G4965" s="7" t="s">
        <v>505</v>
      </c>
      <c r="H4965" s="6" t="n">
        <v>3.51</v>
      </c>
      <c r="I4965" s="6" t="n">
        <v>0.105</v>
      </c>
      <c r="J4965" s="40" t="n">
        <f aca="false">H4965-I4965</f>
        <v>3.405</v>
      </c>
      <c r="K4965" s="41" t="n">
        <v>26.5</v>
      </c>
      <c r="L4965" s="42" t="n">
        <f aca="false">J4965*K4965</f>
        <v>90.2325</v>
      </c>
      <c r="M4965" s="43" t="n">
        <f aca="false">H4965*17.1*(1+'Chart of Accounts'!$E$67)</f>
        <v>68.724045</v>
      </c>
    </row>
    <row r="4966" customFormat="false" ht="15" hidden="false" customHeight="false" outlineLevel="0" collapsed="false">
      <c r="B4966" s="7" t="s">
        <v>5463</v>
      </c>
      <c r="C4966" s="39" t="n">
        <v>45896</v>
      </c>
      <c r="D4966" s="7" t="s">
        <v>355</v>
      </c>
      <c r="E4966" s="7" t="s">
        <v>154</v>
      </c>
      <c r="F4966" s="7" t="s">
        <v>201</v>
      </c>
      <c r="G4966" s="7" t="s">
        <v>505</v>
      </c>
      <c r="H4966" s="6" t="n">
        <v>3.19</v>
      </c>
      <c r="I4966" s="6" t="n">
        <v>0</v>
      </c>
      <c r="J4966" s="40" t="n">
        <f aca="false">H4966-I4966</f>
        <v>3.19</v>
      </c>
      <c r="K4966" s="41" t="n">
        <v>26.5</v>
      </c>
      <c r="L4966" s="42" t="n">
        <f aca="false">J4966*K4966</f>
        <v>84.535</v>
      </c>
      <c r="M4966" s="43" t="n">
        <f aca="false">H4966*15.19*(1+'Chart of Accounts'!$E$67)</f>
        <v>55.4822345</v>
      </c>
    </row>
    <row r="4967" customFormat="false" ht="15" hidden="false" customHeight="false" outlineLevel="0" collapsed="false">
      <c r="B4967" s="7" t="s">
        <v>5464</v>
      </c>
      <c r="C4967" s="39" t="n">
        <v>45896</v>
      </c>
      <c r="D4967" s="7" t="s">
        <v>357</v>
      </c>
      <c r="E4967" s="7" t="s">
        <v>154</v>
      </c>
      <c r="F4967" s="7" t="s">
        <v>207</v>
      </c>
      <c r="G4967" s="7" t="s">
        <v>505</v>
      </c>
      <c r="H4967" s="6" t="n">
        <v>3.42</v>
      </c>
      <c r="I4967" s="6" t="n">
        <v>0</v>
      </c>
      <c r="J4967" s="40" t="n">
        <f aca="false">H4967-I4967</f>
        <v>3.42</v>
      </c>
      <c r="K4967" s="41" t="n">
        <v>26.5</v>
      </c>
      <c r="L4967" s="42" t="n">
        <f aca="false">J4967*K4967</f>
        <v>90.63</v>
      </c>
      <c r="M4967" s="43" t="n">
        <f aca="false">H4967*16.65*(1+'Chart of Accounts'!$E$67)</f>
        <v>65.199735</v>
      </c>
    </row>
    <row r="4968" customFormat="false" ht="15" hidden="false" customHeight="false" outlineLevel="0" collapsed="false">
      <c r="B4968" s="7" t="s">
        <v>5465</v>
      </c>
      <c r="C4968" s="39" t="n">
        <v>45896</v>
      </c>
      <c r="D4968" s="7" t="s">
        <v>359</v>
      </c>
      <c r="E4968" s="7" t="s">
        <v>156</v>
      </c>
      <c r="F4968" s="7" t="s">
        <v>201</v>
      </c>
      <c r="G4968" s="7" t="s">
        <v>505</v>
      </c>
      <c r="H4968" s="6" t="n">
        <v>3.61</v>
      </c>
      <c r="I4968" s="6" t="n">
        <v>0</v>
      </c>
      <c r="J4968" s="40" t="n">
        <f aca="false">H4968-I4968</f>
        <v>3.61</v>
      </c>
      <c r="K4968" s="41" t="n">
        <v>34</v>
      </c>
      <c r="L4968" s="42" t="n">
        <f aca="false">J4968*K4968</f>
        <v>122.74</v>
      </c>
      <c r="M4968" s="43" t="n">
        <f aca="false">H4968*15.19*(1+'Chart of Accounts'!$E$67)</f>
        <v>62.7871055</v>
      </c>
    </row>
    <row r="4969" customFormat="false" ht="15" hidden="false" customHeight="false" outlineLevel="0" collapsed="false">
      <c r="B4969" s="7" t="s">
        <v>5466</v>
      </c>
      <c r="C4969" s="39" t="n">
        <v>45896</v>
      </c>
      <c r="D4969" s="7" t="s">
        <v>365</v>
      </c>
      <c r="E4969" s="7" t="s">
        <v>154</v>
      </c>
      <c r="F4969" s="7" t="s">
        <v>194</v>
      </c>
      <c r="G4969" s="7" t="s">
        <v>505</v>
      </c>
      <c r="H4969" s="6" t="n">
        <v>3.83</v>
      </c>
      <c r="I4969" s="6" t="n">
        <v>0</v>
      </c>
      <c r="J4969" s="40" t="n">
        <f aca="false">H4969-I4969</f>
        <v>3.83</v>
      </c>
      <c r="K4969" s="41" t="n">
        <v>26.5</v>
      </c>
      <c r="L4969" s="42" t="n">
        <f aca="false">J4969*K4969</f>
        <v>101.495</v>
      </c>
      <c r="M4969" s="43" t="n">
        <f aca="false">H4969*16*(1+'Chart of Accounts'!$E$67)</f>
        <v>70.1656</v>
      </c>
    </row>
    <row r="4970" customFormat="false" ht="15" hidden="false" customHeight="false" outlineLevel="0" collapsed="false">
      <c r="B4970" s="7" t="s">
        <v>5467</v>
      </c>
      <c r="C4970" s="39" t="n">
        <v>45896</v>
      </c>
      <c r="D4970" s="7" t="s">
        <v>371</v>
      </c>
      <c r="E4970" s="7" t="s">
        <v>154</v>
      </c>
      <c r="F4970" s="7" t="s">
        <v>232</v>
      </c>
      <c r="G4970" s="7" t="s">
        <v>505</v>
      </c>
      <c r="H4970" s="6" t="n">
        <v>4.75</v>
      </c>
      <c r="I4970" s="6" t="n">
        <v>0</v>
      </c>
      <c r="J4970" s="40" t="n">
        <f aca="false">H4970-I4970</f>
        <v>4.75</v>
      </c>
      <c r="K4970" s="41" t="n">
        <v>26.5</v>
      </c>
      <c r="L4970" s="42" t="n">
        <f aca="false">J4970*K4970</f>
        <v>125.875</v>
      </c>
      <c r="M4970" s="43" t="n">
        <f aca="false">H4970*16.17*(1+'Chart of Accounts'!$E$67)</f>
        <v>87.9445875</v>
      </c>
    </row>
    <row r="4971" customFormat="false" ht="15" hidden="false" customHeight="false" outlineLevel="0" collapsed="false">
      <c r="B4971" s="7" t="s">
        <v>5468</v>
      </c>
      <c r="C4971" s="39" t="n">
        <v>45896</v>
      </c>
      <c r="D4971" s="7" t="s">
        <v>379</v>
      </c>
      <c r="E4971" s="7" t="s">
        <v>156</v>
      </c>
      <c r="F4971" s="7" t="s">
        <v>224</v>
      </c>
      <c r="G4971" s="7" t="s">
        <v>505</v>
      </c>
      <c r="H4971" s="6" t="n">
        <v>5.1</v>
      </c>
      <c r="I4971" s="6" t="n">
        <v>0</v>
      </c>
      <c r="J4971" s="40" t="n">
        <f aca="false">H4971-I4971</f>
        <v>5.1</v>
      </c>
      <c r="K4971" s="41" t="n">
        <v>34</v>
      </c>
      <c r="L4971" s="42" t="n">
        <f aca="false">J4971*K4971</f>
        <v>173.4</v>
      </c>
      <c r="M4971" s="43" t="n">
        <f aca="false">H4971*14.93*(1+'Chart of Accounts'!$E$67)</f>
        <v>87.183735</v>
      </c>
    </row>
    <row r="4972" customFormat="false" ht="15" hidden="false" customHeight="false" outlineLevel="0" collapsed="false">
      <c r="B4972" s="7" t="s">
        <v>5469</v>
      </c>
      <c r="C4972" s="39" t="n">
        <v>45896</v>
      </c>
      <c r="D4972" s="7" t="s">
        <v>385</v>
      </c>
      <c r="E4972" s="7" t="s">
        <v>156</v>
      </c>
      <c r="F4972" s="7" t="s">
        <v>238</v>
      </c>
      <c r="G4972" s="7" t="s">
        <v>505</v>
      </c>
      <c r="H4972" s="6" t="n">
        <v>3.65</v>
      </c>
      <c r="I4972" s="6" t="n">
        <v>0</v>
      </c>
      <c r="J4972" s="40" t="n">
        <f aca="false">H4972-I4972</f>
        <v>3.65</v>
      </c>
      <c r="K4972" s="41" t="n">
        <v>34</v>
      </c>
      <c r="L4972" s="42" t="n">
        <f aca="false">J4972*K4972</f>
        <v>124.1</v>
      </c>
      <c r="M4972" s="43" t="n">
        <f aca="false">H4972*15.85*(1+'Chart of Accounts'!$E$67)</f>
        <v>66.2411125</v>
      </c>
    </row>
    <row r="4973" customFormat="false" ht="15" hidden="false" customHeight="false" outlineLevel="0" collapsed="false">
      <c r="B4973" s="7" t="s">
        <v>5470</v>
      </c>
      <c r="C4973" s="39" t="n">
        <v>45896</v>
      </c>
      <c r="D4973" s="7" t="s">
        <v>387</v>
      </c>
      <c r="E4973" s="7" t="s">
        <v>154</v>
      </c>
      <c r="F4973" s="7" t="s">
        <v>196</v>
      </c>
      <c r="G4973" s="7" t="s">
        <v>505</v>
      </c>
      <c r="H4973" s="6" t="n">
        <v>4.24</v>
      </c>
      <c r="I4973" s="6" t="n">
        <v>0</v>
      </c>
      <c r="J4973" s="40" t="n">
        <f aca="false">H4973-I4973</f>
        <v>4.24</v>
      </c>
      <c r="K4973" s="41" t="n">
        <v>26.5</v>
      </c>
      <c r="L4973" s="42" t="n">
        <f aca="false">J4973*K4973</f>
        <v>112.36</v>
      </c>
      <c r="M4973" s="43" t="n">
        <f aca="false">H4973*15.05*(1+'Chart of Accounts'!$E$67)</f>
        <v>73.06474</v>
      </c>
    </row>
    <row r="4974" customFormat="false" ht="15" hidden="false" customHeight="false" outlineLevel="0" collapsed="false">
      <c r="B4974" s="7" t="s">
        <v>5471</v>
      </c>
      <c r="C4974" s="39" t="n">
        <v>45896</v>
      </c>
      <c r="D4974" s="7" t="s">
        <v>389</v>
      </c>
      <c r="E4974" s="7" t="s">
        <v>154</v>
      </c>
      <c r="F4974" s="7" t="s">
        <v>246</v>
      </c>
      <c r="G4974" s="7" t="s">
        <v>505</v>
      </c>
      <c r="H4974" s="6" t="n">
        <v>4.08</v>
      </c>
      <c r="I4974" s="6" t="n">
        <v>0</v>
      </c>
      <c r="J4974" s="40" t="n">
        <f aca="false">H4974-I4974</f>
        <v>4.08</v>
      </c>
      <c r="K4974" s="41" t="n">
        <v>26.5</v>
      </c>
      <c r="L4974" s="42" t="n">
        <f aca="false">J4974*K4974</f>
        <v>108.12</v>
      </c>
      <c r="M4974" s="43" t="n">
        <f aca="false">H4974*16.48*(1+'Chart of Accounts'!$E$67)</f>
        <v>76.987968</v>
      </c>
    </row>
    <row r="4975" customFormat="false" ht="15" hidden="false" customHeight="false" outlineLevel="0" collapsed="false">
      <c r="B4975" s="7" t="s">
        <v>5472</v>
      </c>
      <c r="C4975" s="39" t="n">
        <v>45896</v>
      </c>
      <c r="D4975" s="7" t="s">
        <v>393</v>
      </c>
      <c r="E4975" s="7" t="s">
        <v>157</v>
      </c>
      <c r="F4975" s="7" t="s">
        <v>203</v>
      </c>
      <c r="G4975" s="7" t="s">
        <v>502</v>
      </c>
      <c r="H4975" s="6" t="n">
        <v>0.95</v>
      </c>
      <c r="I4975" s="6" t="n">
        <v>0.048</v>
      </c>
      <c r="J4975" s="40" t="n">
        <f aca="false">H4975-I4975</f>
        <v>0.902</v>
      </c>
      <c r="K4975" s="41" t="n">
        <v>165</v>
      </c>
      <c r="L4975" s="42" t="n">
        <f aca="false">J4975*K4975</f>
        <v>148.83</v>
      </c>
      <c r="M4975" s="43" t="n">
        <f aca="false">H4975*49.43*(1+'Chart of Accounts'!$E$67)</f>
        <v>53.7674825</v>
      </c>
    </row>
    <row r="4976" customFormat="false" ht="15" hidden="false" customHeight="false" outlineLevel="0" collapsed="false">
      <c r="B4976" s="7" t="s">
        <v>5473</v>
      </c>
      <c r="C4976" s="39" t="n">
        <v>45896</v>
      </c>
      <c r="D4976" s="7" t="s">
        <v>395</v>
      </c>
      <c r="E4976" s="7" t="s">
        <v>156</v>
      </c>
      <c r="F4976" s="7" t="s">
        <v>242</v>
      </c>
      <c r="G4976" s="7" t="s">
        <v>505</v>
      </c>
      <c r="H4976" s="6" t="n">
        <v>3.75</v>
      </c>
      <c r="I4976" s="6" t="n">
        <v>0</v>
      </c>
      <c r="J4976" s="40" t="n">
        <f aca="false">H4976-I4976</f>
        <v>3.75</v>
      </c>
      <c r="K4976" s="41" t="n">
        <v>34</v>
      </c>
      <c r="L4976" s="42" t="n">
        <f aca="false">J4976*K4976</f>
        <v>127.5</v>
      </c>
      <c r="M4976" s="43" t="n">
        <f aca="false">H4976*17.99*(1+'Chart of Accounts'!$E$67)</f>
        <v>77.2445625</v>
      </c>
    </row>
    <row r="4977" customFormat="false" ht="15" hidden="false" customHeight="false" outlineLevel="0" collapsed="false">
      <c r="B4977" s="7" t="s">
        <v>5474</v>
      </c>
      <c r="C4977" s="39" t="n">
        <v>45896</v>
      </c>
      <c r="D4977" s="7" t="s">
        <v>399</v>
      </c>
      <c r="E4977" s="7" t="s">
        <v>154</v>
      </c>
      <c r="F4977" s="7" t="s">
        <v>201</v>
      </c>
      <c r="G4977" s="7" t="s">
        <v>505</v>
      </c>
      <c r="H4977" s="6" t="n">
        <v>3.36</v>
      </c>
      <c r="I4977" s="6" t="n">
        <v>0</v>
      </c>
      <c r="J4977" s="40" t="n">
        <f aca="false">H4977-I4977</f>
        <v>3.36</v>
      </c>
      <c r="K4977" s="41" t="n">
        <v>26.5</v>
      </c>
      <c r="L4977" s="42" t="n">
        <f aca="false">J4977*K4977</f>
        <v>89.04</v>
      </c>
      <c r="M4977" s="43" t="n">
        <f aca="false">H4977*15.19*(1+'Chart of Accounts'!$E$67)</f>
        <v>58.438968</v>
      </c>
    </row>
    <row r="4978" customFormat="false" ht="15" hidden="false" customHeight="false" outlineLevel="0" collapsed="false">
      <c r="B4978" s="7" t="s">
        <v>5475</v>
      </c>
      <c r="C4978" s="39" t="n">
        <v>45896</v>
      </c>
      <c r="D4978" s="7" t="s">
        <v>401</v>
      </c>
      <c r="E4978" s="7" t="s">
        <v>156</v>
      </c>
      <c r="F4978" s="7" t="s">
        <v>254</v>
      </c>
      <c r="G4978" s="7" t="s">
        <v>505</v>
      </c>
      <c r="H4978" s="6" t="n">
        <v>3.62</v>
      </c>
      <c r="I4978" s="6" t="n">
        <v>0</v>
      </c>
      <c r="J4978" s="40" t="n">
        <f aca="false">H4978-I4978</f>
        <v>3.62</v>
      </c>
      <c r="K4978" s="41" t="n">
        <v>34</v>
      </c>
      <c r="L4978" s="42" t="n">
        <f aca="false">J4978*K4978</f>
        <v>123.08</v>
      </c>
      <c r="M4978" s="43" t="n">
        <f aca="false">H4978*17.1*(1+'Chart of Accounts'!$E$67)</f>
        <v>70.87779</v>
      </c>
    </row>
    <row r="4979" customFormat="false" ht="15" hidden="false" customHeight="false" outlineLevel="0" collapsed="false">
      <c r="B4979" s="7" t="s">
        <v>5476</v>
      </c>
      <c r="C4979" s="39" t="n">
        <v>45896</v>
      </c>
      <c r="D4979" s="7" t="s">
        <v>403</v>
      </c>
      <c r="E4979" s="7" t="s">
        <v>156</v>
      </c>
      <c r="F4979" s="7" t="s">
        <v>184</v>
      </c>
      <c r="G4979" s="7" t="s">
        <v>505</v>
      </c>
      <c r="H4979" s="6" t="n">
        <v>4.22</v>
      </c>
      <c r="I4979" s="6" t="n">
        <v>0</v>
      </c>
      <c r="J4979" s="40" t="n">
        <f aca="false">H4979-I4979</f>
        <v>4.22</v>
      </c>
      <c r="K4979" s="41" t="n">
        <v>34</v>
      </c>
      <c r="L4979" s="42" t="n">
        <f aca="false">J4979*K4979</f>
        <v>143.48</v>
      </c>
      <c r="M4979" s="43" t="n">
        <f aca="false">H4979*17.34*(1+'Chart of Accounts'!$E$67)</f>
        <v>83.785146</v>
      </c>
    </row>
    <row r="4980" customFormat="false" ht="15" hidden="false" customHeight="false" outlineLevel="0" collapsed="false">
      <c r="B4980" s="7" t="s">
        <v>5477</v>
      </c>
      <c r="C4980" s="39" t="n">
        <v>45896</v>
      </c>
      <c r="D4980" s="7" t="s">
        <v>409</v>
      </c>
      <c r="E4980" s="7" t="s">
        <v>154</v>
      </c>
      <c r="F4980" s="7" t="s">
        <v>214</v>
      </c>
      <c r="G4980" s="7" t="s">
        <v>505</v>
      </c>
      <c r="H4980" s="6" t="n">
        <v>3.62</v>
      </c>
      <c r="I4980" s="6" t="n">
        <v>0</v>
      </c>
      <c r="J4980" s="40" t="n">
        <f aca="false">H4980-I4980</f>
        <v>3.62</v>
      </c>
      <c r="K4980" s="41" t="n">
        <v>26.5</v>
      </c>
      <c r="L4980" s="42" t="n">
        <f aca="false">J4980*K4980</f>
        <v>95.93</v>
      </c>
      <c r="M4980" s="43" t="n">
        <f aca="false">H4980*15.67*(1+'Chart of Accounts'!$E$67)</f>
        <v>64.950583</v>
      </c>
    </row>
    <row r="4981" customFormat="false" ht="15" hidden="false" customHeight="false" outlineLevel="0" collapsed="false">
      <c r="B4981" s="7" t="s">
        <v>5478</v>
      </c>
      <c r="C4981" s="39" t="n">
        <v>45896</v>
      </c>
      <c r="D4981" s="7" t="s">
        <v>411</v>
      </c>
      <c r="E4981" s="7" t="s">
        <v>154</v>
      </c>
      <c r="F4981" s="7" t="s">
        <v>177</v>
      </c>
      <c r="G4981" s="7" t="s">
        <v>505</v>
      </c>
      <c r="H4981" s="6" t="n">
        <v>4.35</v>
      </c>
      <c r="I4981" s="6" t="n">
        <v>0</v>
      </c>
      <c r="J4981" s="40" t="n">
        <f aca="false">H4981-I4981</f>
        <v>4.35</v>
      </c>
      <c r="K4981" s="41" t="n">
        <v>26.5</v>
      </c>
      <c r="L4981" s="42" t="n">
        <f aca="false">J4981*K4981</f>
        <v>115.275</v>
      </c>
      <c r="M4981" s="43" t="n">
        <f aca="false">H4981*14.56*(1+'Chart of Accounts'!$E$67)</f>
        <v>72.51972</v>
      </c>
    </row>
    <row r="4982" customFormat="false" ht="15" hidden="false" customHeight="false" outlineLevel="0" collapsed="false">
      <c r="B4982" s="7" t="s">
        <v>5479</v>
      </c>
      <c r="C4982" s="39" t="n">
        <v>45897</v>
      </c>
      <c r="D4982" s="7" t="s">
        <v>288</v>
      </c>
      <c r="E4982" s="7" t="s">
        <v>156</v>
      </c>
      <c r="F4982" s="7" t="s">
        <v>184</v>
      </c>
      <c r="G4982" s="7" t="s">
        <v>505</v>
      </c>
      <c r="H4982" s="6" t="n">
        <v>3.65</v>
      </c>
      <c r="I4982" s="6" t="n">
        <v>0</v>
      </c>
      <c r="J4982" s="40" t="n">
        <f aca="false">H4982-I4982</f>
        <v>3.65</v>
      </c>
      <c r="K4982" s="41" t="n">
        <v>34</v>
      </c>
      <c r="L4982" s="42" t="n">
        <f aca="false">J4982*K4982</f>
        <v>124.1</v>
      </c>
      <c r="M4982" s="43" t="n">
        <f aca="false">H4982*17.34*(1+'Chart of Accounts'!$E$67)</f>
        <v>72.468195</v>
      </c>
    </row>
    <row r="4983" customFormat="false" ht="15" hidden="false" customHeight="false" outlineLevel="0" collapsed="false">
      <c r="B4983" s="7" t="s">
        <v>5480</v>
      </c>
      <c r="C4983" s="39" t="n">
        <v>45897</v>
      </c>
      <c r="D4983" s="7" t="s">
        <v>297</v>
      </c>
      <c r="E4983" s="7" t="s">
        <v>156</v>
      </c>
      <c r="F4983" s="7" t="s">
        <v>201</v>
      </c>
      <c r="G4983" s="7" t="s">
        <v>505</v>
      </c>
      <c r="H4983" s="6" t="n">
        <v>3.13</v>
      </c>
      <c r="I4983" s="6" t="n">
        <v>0</v>
      </c>
      <c r="J4983" s="40" t="n">
        <f aca="false">H4983-I4983</f>
        <v>3.13</v>
      </c>
      <c r="K4983" s="41" t="n">
        <v>34</v>
      </c>
      <c r="L4983" s="42" t="n">
        <f aca="false">J4983*K4983</f>
        <v>106.42</v>
      </c>
      <c r="M4983" s="43" t="n">
        <f aca="false">H4983*15.19*(1+'Chart of Accounts'!$E$67)</f>
        <v>54.4386815</v>
      </c>
    </row>
    <row r="4984" customFormat="false" ht="15" hidden="false" customHeight="false" outlineLevel="0" collapsed="false">
      <c r="B4984" s="7" t="s">
        <v>5481</v>
      </c>
      <c r="C4984" s="39" t="n">
        <v>45897</v>
      </c>
      <c r="D4984" s="7" t="s">
        <v>311</v>
      </c>
      <c r="E4984" s="7" t="s">
        <v>154</v>
      </c>
      <c r="F4984" s="7" t="s">
        <v>196</v>
      </c>
      <c r="G4984" s="7" t="s">
        <v>505</v>
      </c>
      <c r="H4984" s="6" t="n">
        <v>3.05</v>
      </c>
      <c r="I4984" s="6" t="n">
        <v>0.091</v>
      </c>
      <c r="J4984" s="40" t="n">
        <f aca="false">H4984-I4984</f>
        <v>2.959</v>
      </c>
      <c r="K4984" s="41" t="n">
        <v>26.5</v>
      </c>
      <c r="L4984" s="42" t="n">
        <f aca="false">J4984*K4984</f>
        <v>78.4135</v>
      </c>
      <c r="M4984" s="43" t="n">
        <f aca="false">H4984*15.05*(1+'Chart of Accounts'!$E$67)</f>
        <v>52.5583625</v>
      </c>
    </row>
    <row r="4985" customFormat="false" ht="15" hidden="false" customHeight="false" outlineLevel="0" collapsed="false">
      <c r="B4985" s="7" t="s">
        <v>5482</v>
      </c>
      <c r="C4985" s="39" t="n">
        <v>45897</v>
      </c>
      <c r="D4985" s="7" t="s">
        <v>313</v>
      </c>
      <c r="E4985" s="7" t="s">
        <v>156</v>
      </c>
      <c r="F4985" s="7" t="s">
        <v>184</v>
      </c>
      <c r="G4985" s="7" t="s">
        <v>505</v>
      </c>
      <c r="H4985" s="6" t="n">
        <v>4.29</v>
      </c>
      <c r="I4985" s="6" t="n">
        <v>0</v>
      </c>
      <c r="J4985" s="40" t="n">
        <f aca="false">H4985-I4985</f>
        <v>4.29</v>
      </c>
      <c r="K4985" s="41" t="n">
        <v>34</v>
      </c>
      <c r="L4985" s="42" t="n">
        <f aca="false">J4985*K4985</f>
        <v>145.86</v>
      </c>
      <c r="M4985" s="43" t="n">
        <f aca="false">H4985*17.34*(1+'Chart of Accounts'!$E$67)</f>
        <v>85.174947</v>
      </c>
    </row>
    <row r="4986" customFormat="false" ht="15" hidden="false" customHeight="false" outlineLevel="0" collapsed="false">
      <c r="B4986" s="7" t="s">
        <v>5483</v>
      </c>
      <c r="C4986" s="39" t="n">
        <v>45897</v>
      </c>
      <c r="D4986" s="7" t="s">
        <v>317</v>
      </c>
      <c r="E4986" s="7" t="s">
        <v>156</v>
      </c>
      <c r="F4986" s="7" t="s">
        <v>205</v>
      </c>
      <c r="G4986" s="7" t="s">
        <v>505</v>
      </c>
      <c r="H4986" s="6" t="n">
        <v>2.76</v>
      </c>
      <c r="I4986" s="6" t="n">
        <v>0</v>
      </c>
      <c r="J4986" s="40" t="n">
        <f aca="false">H4986-I4986</f>
        <v>2.76</v>
      </c>
      <c r="K4986" s="41" t="n">
        <v>34</v>
      </c>
      <c r="L4986" s="42" t="n">
        <f aca="false">J4986*K4986</f>
        <v>93.84</v>
      </c>
      <c r="M4986" s="43" t="n">
        <f aca="false">H4986*16.36*(1+'Chart of Accounts'!$E$67)</f>
        <v>51.700872</v>
      </c>
    </row>
    <row r="4987" customFormat="false" ht="15" hidden="false" customHeight="false" outlineLevel="0" collapsed="false">
      <c r="B4987" s="7" t="s">
        <v>5484</v>
      </c>
      <c r="C4987" s="39" t="n">
        <v>45897</v>
      </c>
      <c r="D4987" s="7" t="s">
        <v>321</v>
      </c>
      <c r="E4987" s="7" t="s">
        <v>154</v>
      </c>
      <c r="F4987" s="7" t="s">
        <v>218</v>
      </c>
      <c r="G4987" s="7" t="s">
        <v>505</v>
      </c>
      <c r="H4987" s="6" t="n">
        <v>4.15</v>
      </c>
      <c r="I4987" s="6" t="n">
        <v>0</v>
      </c>
      <c r="J4987" s="40" t="n">
        <f aca="false">H4987-I4987</f>
        <v>4.15</v>
      </c>
      <c r="K4987" s="41" t="n">
        <v>26.5</v>
      </c>
      <c r="L4987" s="42" t="n">
        <f aca="false">J4987*K4987</f>
        <v>109.975</v>
      </c>
      <c r="M4987" s="43" t="n">
        <f aca="false">H4987*16.19*(1+'Chart of Accounts'!$E$67)</f>
        <v>76.9308325</v>
      </c>
    </row>
    <row r="4988" customFormat="false" ht="15" hidden="false" customHeight="false" outlineLevel="0" collapsed="false">
      <c r="B4988" s="7" t="s">
        <v>5485</v>
      </c>
      <c r="C4988" s="39" t="n">
        <v>45897</v>
      </c>
      <c r="D4988" s="7" t="s">
        <v>325</v>
      </c>
      <c r="E4988" s="7" t="s">
        <v>154</v>
      </c>
      <c r="F4988" s="7" t="s">
        <v>218</v>
      </c>
      <c r="G4988" s="7" t="s">
        <v>505</v>
      </c>
      <c r="H4988" s="6" t="n">
        <v>3.13</v>
      </c>
      <c r="I4988" s="6" t="n">
        <v>0.094</v>
      </c>
      <c r="J4988" s="40" t="n">
        <f aca="false">H4988-I4988</f>
        <v>3.036</v>
      </c>
      <c r="K4988" s="41" t="n">
        <v>26.5</v>
      </c>
      <c r="L4988" s="42" t="n">
        <f aca="false">J4988*K4988</f>
        <v>80.454</v>
      </c>
      <c r="M4988" s="43" t="n">
        <f aca="false">H4988*16.19*(1+'Chart of Accounts'!$E$67)</f>
        <v>58.0225315</v>
      </c>
    </row>
    <row r="4989" customFormat="false" ht="15" hidden="false" customHeight="false" outlineLevel="0" collapsed="false">
      <c r="B4989" s="7" t="s">
        <v>5486</v>
      </c>
      <c r="C4989" s="39" t="n">
        <v>45897</v>
      </c>
      <c r="D4989" s="7" t="s">
        <v>329</v>
      </c>
      <c r="E4989" s="7" t="s">
        <v>156</v>
      </c>
      <c r="F4989" s="7" t="s">
        <v>220</v>
      </c>
      <c r="G4989" s="7" t="s">
        <v>505</v>
      </c>
      <c r="H4989" s="6" t="n">
        <v>3.61</v>
      </c>
      <c r="I4989" s="6" t="n">
        <v>0</v>
      </c>
      <c r="J4989" s="40" t="n">
        <f aca="false">H4989-I4989</f>
        <v>3.61</v>
      </c>
      <c r="K4989" s="41" t="n">
        <v>34</v>
      </c>
      <c r="L4989" s="42" t="n">
        <f aca="false">J4989*K4989</f>
        <v>122.74</v>
      </c>
      <c r="M4989" s="43" t="n">
        <f aca="false">H4989*16.43*(1+'Chart of Accounts'!$E$67)</f>
        <v>67.9125835</v>
      </c>
    </row>
    <row r="4990" customFormat="false" ht="15" hidden="false" customHeight="false" outlineLevel="0" collapsed="false">
      <c r="B4990" s="7" t="s">
        <v>5487</v>
      </c>
      <c r="C4990" s="39" t="n">
        <v>45897</v>
      </c>
      <c r="D4990" s="7" t="s">
        <v>331</v>
      </c>
      <c r="E4990" s="7" t="s">
        <v>156</v>
      </c>
      <c r="F4990" s="7" t="s">
        <v>224</v>
      </c>
      <c r="G4990" s="7" t="s">
        <v>505</v>
      </c>
      <c r="H4990" s="6" t="n">
        <v>4.37</v>
      </c>
      <c r="I4990" s="6" t="n">
        <v>0</v>
      </c>
      <c r="J4990" s="40" t="n">
        <f aca="false">H4990-I4990</f>
        <v>4.37</v>
      </c>
      <c r="K4990" s="41" t="n">
        <v>34</v>
      </c>
      <c r="L4990" s="42" t="n">
        <f aca="false">J4990*K4990</f>
        <v>148.58</v>
      </c>
      <c r="M4990" s="43" t="n">
        <f aca="false">H4990*14.93*(1+'Chart of Accounts'!$E$67)</f>
        <v>74.7044945</v>
      </c>
    </row>
    <row r="4991" customFormat="false" ht="15" hidden="false" customHeight="false" outlineLevel="0" collapsed="false">
      <c r="B4991" s="7" t="s">
        <v>5488</v>
      </c>
      <c r="C4991" s="39" t="n">
        <v>45897</v>
      </c>
      <c r="D4991" s="7" t="s">
        <v>341</v>
      </c>
      <c r="E4991" s="7" t="s">
        <v>156</v>
      </c>
      <c r="F4991" s="7" t="s">
        <v>222</v>
      </c>
      <c r="G4991" s="7" t="s">
        <v>505</v>
      </c>
      <c r="H4991" s="6" t="n">
        <v>2.97</v>
      </c>
      <c r="I4991" s="6" t="n">
        <v>0</v>
      </c>
      <c r="J4991" s="40" t="n">
        <f aca="false">H4991-I4991</f>
        <v>2.97</v>
      </c>
      <c r="K4991" s="41" t="n">
        <v>34</v>
      </c>
      <c r="L4991" s="42" t="n">
        <f aca="false">J4991*K4991</f>
        <v>100.98</v>
      </c>
      <c r="M4991" s="43" t="n">
        <f aca="false">H4991*17.84*(1+'Chart of Accounts'!$E$67)</f>
        <v>60.667596</v>
      </c>
    </row>
    <row r="4992" customFormat="false" ht="15" hidden="false" customHeight="false" outlineLevel="0" collapsed="false">
      <c r="B4992" s="7" t="s">
        <v>5489</v>
      </c>
      <c r="C4992" s="39" t="n">
        <v>45897</v>
      </c>
      <c r="D4992" s="7" t="s">
        <v>343</v>
      </c>
      <c r="E4992" s="7" t="s">
        <v>154</v>
      </c>
      <c r="F4992" s="7" t="s">
        <v>232</v>
      </c>
      <c r="G4992" s="7" t="s">
        <v>505</v>
      </c>
      <c r="H4992" s="6" t="n">
        <v>4.1</v>
      </c>
      <c r="I4992" s="6" t="n">
        <v>0</v>
      </c>
      <c r="J4992" s="40" t="n">
        <f aca="false">H4992-I4992</f>
        <v>4.1</v>
      </c>
      <c r="K4992" s="41" t="n">
        <v>26.5</v>
      </c>
      <c r="L4992" s="42" t="n">
        <f aca="false">J4992*K4992</f>
        <v>108.65</v>
      </c>
      <c r="M4992" s="43" t="n">
        <f aca="false">H4992*16.17*(1+'Chart of Accounts'!$E$67)</f>
        <v>75.910065</v>
      </c>
    </row>
    <row r="4993" customFormat="false" ht="15" hidden="false" customHeight="false" outlineLevel="0" collapsed="false">
      <c r="B4993" s="7" t="s">
        <v>5490</v>
      </c>
      <c r="C4993" s="39" t="n">
        <v>45897</v>
      </c>
      <c r="D4993" s="7" t="s">
        <v>351</v>
      </c>
      <c r="E4993" s="7" t="s">
        <v>154</v>
      </c>
      <c r="F4993" s="7" t="s">
        <v>201</v>
      </c>
      <c r="G4993" s="7" t="s">
        <v>505</v>
      </c>
      <c r="H4993" s="6" t="n">
        <v>2.96</v>
      </c>
      <c r="I4993" s="6" t="n">
        <v>0</v>
      </c>
      <c r="J4993" s="40" t="n">
        <f aca="false">H4993-I4993</f>
        <v>2.96</v>
      </c>
      <c r="K4993" s="41" t="n">
        <v>26.5</v>
      </c>
      <c r="L4993" s="42" t="n">
        <f aca="false">J4993*K4993</f>
        <v>78.44</v>
      </c>
      <c r="M4993" s="43" t="n">
        <f aca="false">H4993*15.19*(1+'Chart of Accounts'!$E$67)</f>
        <v>51.481948</v>
      </c>
    </row>
    <row r="4994" customFormat="false" ht="15" hidden="false" customHeight="false" outlineLevel="0" collapsed="false">
      <c r="B4994" s="7" t="s">
        <v>5491</v>
      </c>
      <c r="C4994" s="39" t="n">
        <v>45897</v>
      </c>
      <c r="D4994" s="7" t="s">
        <v>359</v>
      </c>
      <c r="E4994" s="7" t="s">
        <v>156</v>
      </c>
      <c r="F4994" s="7" t="s">
        <v>220</v>
      </c>
      <c r="G4994" s="7" t="s">
        <v>505</v>
      </c>
      <c r="H4994" s="6" t="n">
        <v>3.98</v>
      </c>
      <c r="I4994" s="6" t="n">
        <v>0</v>
      </c>
      <c r="J4994" s="40" t="n">
        <f aca="false">H4994-I4994</f>
        <v>3.98</v>
      </c>
      <c r="K4994" s="41" t="n">
        <v>34</v>
      </c>
      <c r="L4994" s="42" t="n">
        <f aca="false">J4994*K4994</f>
        <v>135.32</v>
      </c>
      <c r="M4994" s="43" t="n">
        <f aca="false">H4994*16.43*(1+'Chart of Accounts'!$E$67)</f>
        <v>74.873153</v>
      </c>
    </row>
    <row r="4995" customFormat="false" ht="15" hidden="false" customHeight="false" outlineLevel="0" collapsed="false">
      <c r="B4995" s="7" t="s">
        <v>5492</v>
      </c>
      <c r="C4995" s="39" t="n">
        <v>45897</v>
      </c>
      <c r="D4995" s="7" t="s">
        <v>363</v>
      </c>
      <c r="E4995" s="7" t="s">
        <v>156</v>
      </c>
      <c r="F4995" s="7" t="s">
        <v>246</v>
      </c>
      <c r="G4995" s="7" t="s">
        <v>505</v>
      </c>
      <c r="H4995" s="6" t="n">
        <v>3.6</v>
      </c>
      <c r="I4995" s="6" t="n">
        <v>0</v>
      </c>
      <c r="J4995" s="40" t="n">
        <f aca="false">H4995-I4995</f>
        <v>3.6</v>
      </c>
      <c r="K4995" s="41" t="n">
        <v>34</v>
      </c>
      <c r="L4995" s="42" t="n">
        <f aca="false">J4995*K4995</f>
        <v>122.4</v>
      </c>
      <c r="M4995" s="43" t="n">
        <f aca="false">H4995*16.48*(1+'Chart of Accounts'!$E$67)</f>
        <v>67.93056</v>
      </c>
    </row>
    <row r="4996" customFormat="false" ht="15" hidden="false" customHeight="false" outlineLevel="0" collapsed="false">
      <c r="B4996" s="7" t="s">
        <v>5493</v>
      </c>
      <c r="C4996" s="39" t="n">
        <v>45897</v>
      </c>
      <c r="D4996" s="7" t="s">
        <v>365</v>
      </c>
      <c r="E4996" s="7" t="s">
        <v>154</v>
      </c>
      <c r="F4996" s="7" t="s">
        <v>194</v>
      </c>
      <c r="G4996" s="7" t="s">
        <v>505</v>
      </c>
      <c r="H4996" s="6" t="n">
        <v>3.69</v>
      </c>
      <c r="I4996" s="6" t="n">
        <v>0.111</v>
      </c>
      <c r="J4996" s="40" t="n">
        <f aca="false">H4996-I4996</f>
        <v>3.579</v>
      </c>
      <c r="K4996" s="41" t="n">
        <v>26.5</v>
      </c>
      <c r="L4996" s="42" t="n">
        <f aca="false">J4996*K4996</f>
        <v>94.8435</v>
      </c>
      <c r="M4996" s="43" t="n">
        <f aca="false">H4996*16*(1+'Chart of Accounts'!$E$67)</f>
        <v>67.6008</v>
      </c>
    </row>
    <row r="4997" customFormat="false" ht="15" hidden="false" customHeight="false" outlineLevel="0" collapsed="false">
      <c r="B4997" s="7" t="s">
        <v>5494</v>
      </c>
      <c r="C4997" s="39" t="n">
        <v>45897</v>
      </c>
      <c r="D4997" s="7" t="s">
        <v>375</v>
      </c>
      <c r="E4997" s="7" t="s">
        <v>156</v>
      </c>
      <c r="F4997" s="7" t="s">
        <v>196</v>
      </c>
      <c r="G4997" s="7" t="s">
        <v>505</v>
      </c>
      <c r="H4997" s="6" t="n">
        <v>2.82</v>
      </c>
      <c r="I4997" s="6" t="n">
        <v>0</v>
      </c>
      <c r="J4997" s="40" t="n">
        <f aca="false">H4997-I4997</f>
        <v>2.82</v>
      </c>
      <c r="K4997" s="41" t="n">
        <v>34</v>
      </c>
      <c r="L4997" s="42" t="n">
        <f aca="false">J4997*K4997</f>
        <v>95.88</v>
      </c>
      <c r="M4997" s="43" t="n">
        <f aca="false">H4997*15.05*(1+'Chart of Accounts'!$E$67)</f>
        <v>48.594945</v>
      </c>
    </row>
    <row r="4998" customFormat="false" ht="15" hidden="false" customHeight="false" outlineLevel="0" collapsed="false">
      <c r="B4998" s="7" t="s">
        <v>5495</v>
      </c>
      <c r="C4998" s="39" t="n">
        <v>45897</v>
      </c>
      <c r="D4998" s="7" t="s">
        <v>377</v>
      </c>
      <c r="E4998" s="7" t="s">
        <v>154</v>
      </c>
      <c r="F4998" s="7" t="s">
        <v>214</v>
      </c>
      <c r="G4998" s="7" t="s">
        <v>505</v>
      </c>
      <c r="H4998" s="6" t="n">
        <v>3.93</v>
      </c>
      <c r="I4998" s="6" t="n">
        <v>0</v>
      </c>
      <c r="J4998" s="40" t="n">
        <f aca="false">H4998-I4998</f>
        <v>3.93</v>
      </c>
      <c r="K4998" s="41" t="n">
        <v>26.5</v>
      </c>
      <c r="L4998" s="42" t="n">
        <f aca="false">J4998*K4998</f>
        <v>104.145</v>
      </c>
      <c r="M4998" s="43" t="n">
        <f aca="false">H4998*15.67*(1+'Chart of Accounts'!$E$67)</f>
        <v>70.5126495</v>
      </c>
    </row>
    <row r="4999" customFormat="false" ht="15" hidden="false" customHeight="false" outlineLevel="0" collapsed="false">
      <c r="B4999" s="7" t="s">
        <v>5496</v>
      </c>
      <c r="C4999" s="39" t="n">
        <v>45897</v>
      </c>
      <c r="D4999" s="7" t="s">
        <v>387</v>
      </c>
      <c r="E4999" s="7" t="s">
        <v>154</v>
      </c>
      <c r="F4999" s="7" t="s">
        <v>196</v>
      </c>
      <c r="G4999" s="7" t="s">
        <v>505</v>
      </c>
      <c r="H4999" s="6" t="n">
        <v>3.82</v>
      </c>
      <c r="I4999" s="6" t="n">
        <v>0</v>
      </c>
      <c r="J4999" s="40" t="n">
        <f aca="false">H4999-I4999</f>
        <v>3.82</v>
      </c>
      <c r="K4999" s="41" t="n">
        <v>26.5</v>
      </c>
      <c r="L4999" s="42" t="n">
        <f aca="false">J4999*K4999</f>
        <v>101.23</v>
      </c>
      <c r="M4999" s="43" t="n">
        <f aca="false">H4999*15.05*(1+'Chart of Accounts'!$E$67)</f>
        <v>65.827195</v>
      </c>
    </row>
    <row r="5000" customFormat="false" ht="15" hidden="false" customHeight="false" outlineLevel="0" collapsed="false">
      <c r="B5000" s="7" t="s">
        <v>5497</v>
      </c>
      <c r="C5000" s="39" t="n">
        <v>45897</v>
      </c>
      <c r="D5000" s="7" t="s">
        <v>389</v>
      </c>
      <c r="E5000" s="7" t="s">
        <v>154</v>
      </c>
      <c r="F5000" s="7" t="s">
        <v>246</v>
      </c>
      <c r="G5000" s="7" t="s">
        <v>505</v>
      </c>
      <c r="H5000" s="6" t="n">
        <v>3.94</v>
      </c>
      <c r="I5000" s="6" t="n">
        <v>0.118</v>
      </c>
      <c r="J5000" s="40" t="n">
        <f aca="false">H5000-I5000</f>
        <v>3.822</v>
      </c>
      <c r="K5000" s="41" t="n">
        <v>26.5</v>
      </c>
      <c r="L5000" s="42" t="n">
        <f aca="false">J5000*K5000</f>
        <v>101.283</v>
      </c>
      <c r="M5000" s="43" t="n">
        <f aca="false">H5000*16.48*(1+'Chart of Accounts'!$E$67)</f>
        <v>74.346224</v>
      </c>
    </row>
    <row r="5001" customFormat="false" ht="15" hidden="false" customHeight="false" outlineLevel="0" collapsed="false">
      <c r="B5001" s="7" t="s">
        <v>5498</v>
      </c>
      <c r="C5001" s="39" t="n">
        <v>45897</v>
      </c>
      <c r="D5001" s="7" t="s">
        <v>391</v>
      </c>
      <c r="E5001" s="7" t="s">
        <v>156</v>
      </c>
      <c r="F5001" s="7" t="s">
        <v>222</v>
      </c>
      <c r="G5001" s="7" t="s">
        <v>505</v>
      </c>
      <c r="H5001" s="6" t="n">
        <v>3.68</v>
      </c>
      <c r="I5001" s="6" t="n">
        <v>0</v>
      </c>
      <c r="J5001" s="40" t="n">
        <f aca="false">H5001-I5001</f>
        <v>3.68</v>
      </c>
      <c r="K5001" s="41" t="n">
        <v>34</v>
      </c>
      <c r="L5001" s="42" t="n">
        <f aca="false">J5001*K5001</f>
        <v>125.12</v>
      </c>
      <c r="M5001" s="43" t="n">
        <f aca="false">H5001*17.84*(1+'Chart of Accounts'!$E$67)</f>
        <v>75.170624</v>
      </c>
    </row>
    <row r="5002" customFormat="false" ht="15" hidden="false" customHeight="false" outlineLevel="0" collapsed="false">
      <c r="B5002" s="7" t="s">
        <v>5499</v>
      </c>
      <c r="C5002" s="39" t="n">
        <v>45897</v>
      </c>
      <c r="D5002" s="7" t="s">
        <v>395</v>
      </c>
      <c r="E5002" s="7" t="s">
        <v>156</v>
      </c>
      <c r="F5002" s="7" t="s">
        <v>242</v>
      </c>
      <c r="G5002" s="7" t="s">
        <v>505</v>
      </c>
      <c r="H5002" s="6" t="n">
        <v>3.69</v>
      </c>
      <c r="I5002" s="6" t="n">
        <v>0</v>
      </c>
      <c r="J5002" s="40" t="n">
        <f aca="false">H5002-I5002</f>
        <v>3.69</v>
      </c>
      <c r="K5002" s="41" t="n">
        <v>34</v>
      </c>
      <c r="L5002" s="42" t="n">
        <f aca="false">J5002*K5002</f>
        <v>125.46</v>
      </c>
      <c r="M5002" s="43" t="n">
        <f aca="false">H5002*17.99*(1+'Chart of Accounts'!$E$67)</f>
        <v>76.0086495</v>
      </c>
    </row>
    <row r="5003" customFormat="false" ht="15" hidden="false" customHeight="false" outlineLevel="0" collapsed="false">
      <c r="B5003" s="7" t="s">
        <v>5500</v>
      </c>
      <c r="C5003" s="39" t="n">
        <v>45897</v>
      </c>
      <c r="D5003" s="7" t="s">
        <v>401</v>
      </c>
      <c r="E5003" s="7" t="s">
        <v>156</v>
      </c>
      <c r="F5003" s="7" t="s">
        <v>254</v>
      </c>
      <c r="G5003" s="7" t="s">
        <v>505</v>
      </c>
      <c r="H5003" s="6" t="n">
        <v>3.69</v>
      </c>
      <c r="I5003" s="6" t="n">
        <v>0</v>
      </c>
      <c r="J5003" s="40" t="n">
        <f aca="false">H5003-I5003</f>
        <v>3.69</v>
      </c>
      <c r="K5003" s="41" t="n">
        <v>34</v>
      </c>
      <c r="L5003" s="42" t="n">
        <f aca="false">J5003*K5003</f>
        <v>125.46</v>
      </c>
      <c r="M5003" s="43" t="n">
        <f aca="false">H5003*17.1*(1+'Chart of Accounts'!$E$67)</f>
        <v>72.248355</v>
      </c>
    </row>
    <row r="5004" customFormat="false" ht="15" hidden="false" customHeight="false" outlineLevel="0" collapsed="false">
      <c r="B5004" s="7" t="s">
        <v>5501</v>
      </c>
      <c r="C5004" s="39" t="n">
        <v>45898</v>
      </c>
      <c r="D5004" s="7" t="s">
        <v>288</v>
      </c>
      <c r="E5004" s="7" t="s">
        <v>156</v>
      </c>
      <c r="F5004" s="7" t="s">
        <v>240</v>
      </c>
      <c r="G5004" s="7" t="s">
        <v>505</v>
      </c>
      <c r="H5004" s="6" t="n">
        <v>3.67</v>
      </c>
      <c r="I5004" s="6" t="n">
        <v>0</v>
      </c>
      <c r="J5004" s="40" t="n">
        <f aca="false">H5004-I5004</f>
        <v>3.67</v>
      </c>
      <c r="K5004" s="41" t="n">
        <v>34</v>
      </c>
      <c r="L5004" s="42" t="n">
        <f aca="false">J5004*K5004</f>
        <v>124.78</v>
      </c>
      <c r="M5004" s="43" t="n">
        <f aca="false">H5004*16.96*(1+'Chart of Accounts'!$E$67)</f>
        <v>71.268464</v>
      </c>
    </row>
    <row r="5005" customFormat="false" ht="15" hidden="false" customHeight="false" outlineLevel="0" collapsed="false">
      <c r="B5005" s="7" t="s">
        <v>5502</v>
      </c>
      <c r="C5005" s="39" t="n">
        <v>45898</v>
      </c>
      <c r="D5005" s="7" t="s">
        <v>291</v>
      </c>
      <c r="E5005" s="7" t="s">
        <v>154</v>
      </c>
      <c r="F5005" s="7" t="s">
        <v>194</v>
      </c>
      <c r="G5005" s="7" t="s">
        <v>505</v>
      </c>
      <c r="H5005" s="6" t="n">
        <v>4.43</v>
      </c>
      <c r="I5005" s="6" t="n">
        <v>0</v>
      </c>
      <c r="J5005" s="40" t="n">
        <f aca="false">H5005-I5005</f>
        <v>4.43</v>
      </c>
      <c r="K5005" s="41" t="n">
        <v>26.5</v>
      </c>
      <c r="L5005" s="42" t="n">
        <f aca="false">J5005*K5005</f>
        <v>117.395</v>
      </c>
      <c r="M5005" s="43" t="n">
        <f aca="false">H5005*16*(1+'Chart of Accounts'!$E$67)</f>
        <v>81.1576</v>
      </c>
    </row>
    <row r="5006" customFormat="false" ht="15" hidden="false" customHeight="false" outlineLevel="0" collapsed="false">
      <c r="B5006" s="7" t="s">
        <v>5503</v>
      </c>
      <c r="C5006" s="39" t="n">
        <v>45898</v>
      </c>
      <c r="D5006" s="7" t="s">
        <v>295</v>
      </c>
      <c r="E5006" s="7" t="s">
        <v>154</v>
      </c>
      <c r="F5006" s="7" t="s">
        <v>214</v>
      </c>
      <c r="G5006" s="7" t="s">
        <v>505</v>
      </c>
      <c r="H5006" s="6" t="n">
        <v>3.66</v>
      </c>
      <c r="I5006" s="6" t="n">
        <v>0</v>
      </c>
      <c r="J5006" s="40" t="n">
        <f aca="false">H5006-I5006</f>
        <v>3.66</v>
      </c>
      <c r="K5006" s="41" t="n">
        <v>26.5</v>
      </c>
      <c r="L5006" s="42" t="n">
        <f aca="false">J5006*K5006</f>
        <v>96.99</v>
      </c>
      <c r="M5006" s="43" t="n">
        <f aca="false">H5006*15.67*(1+'Chart of Accounts'!$E$67)</f>
        <v>65.668269</v>
      </c>
    </row>
    <row r="5007" customFormat="false" ht="15" hidden="false" customHeight="false" outlineLevel="0" collapsed="false">
      <c r="B5007" s="7" t="s">
        <v>5504</v>
      </c>
      <c r="C5007" s="39" t="n">
        <v>45898</v>
      </c>
      <c r="D5007" s="7" t="s">
        <v>301</v>
      </c>
      <c r="E5007" s="7" t="s">
        <v>157</v>
      </c>
      <c r="F5007" s="7" t="s">
        <v>209</v>
      </c>
      <c r="G5007" s="7" t="s">
        <v>502</v>
      </c>
      <c r="H5007" s="6" t="n">
        <v>0.97</v>
      </c>
      <c r="I5007" s="6" t="n">
        <v>0</v>
      </c>
      <c r="J5007" s="40" t="n">
        <f aca="false">H5007-I5007</f>
        <v>0.97</v>
      </c>
      <c r="K5007" s="41" t="n">
        <v>165</v>
      </c>
      <c r="L5007" s="42" t="n">
        <f aca="false">J5007*K5007</f>
        <v>160.05</v>
      </c>
      <c r="M5007" s="43" t="n">
        <f aca="false">H5007*73.58*(1+'Chart of Accounts'!$E$67)</f>
        <v>81.721627</v>
      </c>
    </row>
    <row r="5008" customFormat="false" ht="15" hidden="false" customHeight="false" outlineLevel="0" collapsed="false">
      <c r="B5008" s="7" t="s">
        <v>5505</v>
      </c>
      <c r="C5008" s="39" t="n">
        <v>45898</v>
      </c>
      <c r="D5008" s="7" t="s">
        <v>305</v>
      </c>
      <c r="E5008" s="7" t="s">
        <v>154</v>
      </c>
      <c r="F5008" s="7" t="s">
        <v>205</v>
      </c>
      <c r="G5008" s="7" t="s">
        <v>505</v>
      </c>
      <c r="H5008" s="6" t="n">
        <v>3.84</v>
      </c>
      <c r="I5008" s="6" t="n">
        <v>0</v>
      </c>
      <c r="J5008" s="40" t="n">
        <f aca="false">H5008-I5008</f>
        <v>3.84</v>
      </c>
      <c r="K5008" s="41" t="n">
        <v>26.5</v>
      </c>
      <c r="L5008" s="42" t="n">
        <f aca="false">J5008*K5008</f>
        <v>101.76</v>
      </c>
      <c r="M5008" s="43" t="n">
        <f aca="false">H5008*16.36*(1+'Chart of Accounts'!$E$67)</f>
        <v>71.931648</v>
      </c>
    </row>
    <row r="5009" customFormat="false" ht="15" hidden="false" customHeight="false" outlineLevel="0" collapsed="false">
      <c r="B5009" s="7" t="s">
        <v>5506</v>
      </c>
      <c r="C5009" s="39" t="n">
        <v>45898</v>
      </c>
      <c r="D5009" s="7" t="s">
        <v>309</v>
      </c>
      <c r="E5009" s="7" t="s">
        <v>159</v>
      </c>
      <c r="F5009" s="7" t="s">
        <v>252</v>
      </c>
      <c r="G5009" s="7" t="s">
        <v>502</v>
      </c>
      <c r="H5009" s="6" t="n">
        <v>0.99</v>
      </c>
      <c r="I5009" s="6" t="n">
        <v>0</v>
      </c>
      <c r="J5009" s="40" t="n">
        <f aca="false">H5009-I5009</f>
        <v>0.99</v>
      </c>
      <c r="K5009" s="41" t="n">
        <v>135</v>
      </c>
      <c r="L5009" s="42" t="n">
        <f aca="false">J5009*K5009</f>
        <v>133.65</v>
      </c>
      <c r="M5009" s="43" t="n">
        <f aca="false">H5009*57.54*(1+'Chart of Accounts'!$E$67)</f>
        <v>65.224467</v>
      </c>
    </row>
    <row r="5010" customFormat="false" ht="15" hidden="false" customHeight="false" outlineLevel="0" collapsed="false">
      <c r="B5010" s="7" t="s">
        <v>5507</v>
      </c>
      <c r="C5010" s="39" t="n">
        <v>45898</v>
      </c>
      <c r="D5010" s="7" t="s">
        <v>313</v>
      </c>
      <c r="E5010" s="7" t="s">
        <v>156</v>
      </c>
      <c r="F5010" s="7" t="s">
        <v>184</v>
      </c>
      <c r="G5010" s="7" t="s">
        <v>505</v>
      </c>
      <c r="H5010" s="6" t="n">
        <v>4.14</v>
      </c>
      <c r="I5010" s="6" t="n">
        <v>0</v>
      </c>
      <c r="J5010" s="40" t="n">
        <f aca="false">H5010-I5010</f>
        <v>4.14</v>
      </c>
      <c r="K5010" s="41" t="n">
        <v>34</v>
      </c>
      <c r="L5010" s="42" t="n">
        <f aca="false">J5010*K5010</f>
        <v>140.76</v>
      </c>
      <c r="M5010" s="43" t="n">
        <f aca="false">H5010*17.34*(1+'Chart of Accounts'!$E$67)</f>
        <v>82.196802</v>
      </c>
    </row>
    <row r="5011" customFormat="false" ht="15" hidden="false" customHeight="false" outlineLevel="0" collapsed="false">
      <c r="B5011" s="7" t="s">
        <v>5508</v>
      </c>
      <c r="C5011" s="39" t="n">
        <v>45898</v>
      </c>
      <c r="D5011" s="7" t="s">
        <v>315</v>
      </c>
      <c r="E5011" s="7" t="s">
        <v>159</v>
      </c>
      <c r="F5011" s="7" t="s">
        <v>216</v>
      </c>
      <c r="G5011" s="7" t="s">
        <v>502</v>
      </c>
      <c r="H5011" s="6" t="n">
        <v>1.02</v>
      </c>
      <c r="I5011" s="6" t="n">
        <v>0</v>
      </c>
      <c r="J5011" s="40" t="n">
        <f aca="false">H5011-I5011</f>
        <v>1.02</v>
      </c>
      <c r="K5011" s="41" t="n">
        <v>135</v>
      </c>
      <c r="L5011" s="42" t="n">
        <f aca="false">J5011*K5011</f>
        <v>137.7</v>
      </c>
      <c r="M5011" s="43" t="n">
        <f aca="false">H5011*61.79*(1+'Chart of Accounts'!$E$67)</f>
        <v>72.164541</v>
      </c>
    </row>
    <row r="5012" customFormat="false" ht="15" hidden="false" customHeight="false" outlineLevel="0" collapsed="false">
      <c r="B5012" s="7" t="s">
        <v>5509</v>
      </c>
      <c r="C5012" s="39" t="n">
        <v>45898</v>
      </c>
      <c r="D5012" s="7" t="s">
        <v>319</v>
      </c>
      <c r="E5012" s="7" t="s">
        <v>157</v>
      </c>
      <c r="F5012" s="7" t="s">
        <v>234</v>
      </c>
      <c r="G5012" s="7" t="s">
        <v>502</v>
      </c>
      <c r="H5012" s="6" t="n">
        <v>1.01</v>
      </c>
      <c r="I5012" s="6" t="n">
        <v>0</v>
      </c>
      <c r="J5012" s="40" t="n">
        <f aca="false">H5012-I5012</f>
        <v>1.01</v>
      </c>
      <c r="K5012" s="41" t="n">
        <v>165</v>
      </c>
      <c r="L5012" s="42" t="n">
        <f aca="false">J5012*K5012</f>
        <v>166.65</v>
      </c>
      <c r="M5012" s="43" t="n">
        <f aca="false">H5012*89.53*(1+'Chart of Accounts'!$E$67)</f>
        <v>103.5369685</v>
      </c>
    </row>
    <row r="5013" customFormat="false" ht="15" hidden="false" customHeight="false" outlineLevel="0" collapsed="false">
      <c r="B5013" s="7" t="s">
        <v>5510</v>
      </c>
      <c r="C5013" s="39" t="n">
        <v>45898</v>
      </c>
      <c r="D5013" s="7" t="s">
        <v>321</v>
      </c>
      <c r="E5013" s="7" t="s">
        <v>154</v>
      </c>
      <c r="F5013" s="7" t="s">
        <v>218</v>
      </c>
      <c r="G5013" s="7" t="s">
        <v>505</v>
      </c>
      <c r="H5013" s="6" t="n">
        <v>4.24</v>
      </c>
      <c r="I5013" s="6" t="n">
        <v>0</v>
      </c>
      <c r="J5013" s="40" t="n">
        <f aca="false">H5013-I5013</f>
        <v>4.24</v>
      </c>
      <c r="K5013" s="41" t="n">
        <v>26.5</v>
      </c>
      <c r="L5013" s="42" t="n">
        <f aca="false">J5013*K5013</f>
        <v>112.36</v>
      </c>
      <c r="M5013" s="43" t="n">
        <f aca="false">H5013*16.19*(1+'Chart of Accounts'!$E$67)</f>
        <v>78.599212</v>
      </c>
    </row>
    <row r="5014" customFormat="false" ht="15" hidden="false" customHeight="false" outlineLevel="0" collapsed="false">
      <c r="B5014" s="7" t="s">
        <v>5511</v>
      </c>
      <c r="C5014" s="39" t="n">
        <v>45898</v>
      </c>
      <c r="D5014" s="7" t="s">
        <v>323</v>
      </c>
      <c r="E5014" s="7" t="s">
        <v>159</v>
      </c>
      <c r="F5014" s="7" t="s">
        <v>266</v>
      </c>
      <c r="G5014" s="7" t="s">
        <v>502</v>
      </c>
      <c r="H5014" s="6" t="n">
        <v>0.93</v>
      </c>
      <c r="I5014" s="6" t="n">
        <v>0</v>
      </c>
      <c r="J5014" s="40" t="n">
        <f aca="false">H5014-I5014</f>
        <v>0.93</v>
      </c>
      <c r="K5014" s="41" t="n">
        <v>135</v>
      </c>
      <c r="L5014" s="42" t="n">
        <f aca="false">J5014*K5014</f>
        <v>125.55</v>
      </c>
      <c r="M5014" s="43" t="n">
        <f aca="false">H5014*75.18*(1+'Chart of Accounts'!$E$67)</f>
        <v>80.055423</v>
      </c>
    </row>
    <row r="5015" customFormat="false" ht="15" hidden="false" customHeight="false" outlineLevel="0" collapsed="false">
      <c r="B5015" s="7" t="s">
        <v>5512</v>
      </c>
      <c r="C5015" s="39" t="n">
        <v>45898</v>
      </c>
      <c r="D5015" s="7" t="s">
        <v>327</v>
      </c>
      <c r="E5015" s="7" t="s">
        <v>157</v>
      </c>
      <c r="F5015" s="7" t="s">
        <v>228</v>
      </c>
      <c r="G5015" s="7" t="s">
        <v>502</v>
      </c>
      <c r="H5015" s="6" t="n">
        <v>1.08</v>
      </c>
      <c r="I5015" s="6" t="n">
        <v>0</v>
      </c>
      <c r="J5015" s="40" t="n">
        <f aca="false">H5015-I5015</f>
        <v>1.08</v>
      </c>
      <c r="K5015" s="41" t="n">
        <v>165</v>
      </c>
      <c r="L5015" s="42" t="n">
        <f aca="false">J5015*K5015</f>
        <v>178.2</v>
      </c>
      <c r="M5015" s="43" t="n">
        <f aca="false">H5015*51.07*(1+'Chart of Accounts'!$E$67)</f>
        <v>63.153162</v>
      </c>
    </row>
    <row r="5016" customFormat="false" ht="15" hidden="false" customHeight="false" outlineLevel="0" collapsed="false">
      <c r="B5016" s="7" t="s">
        <v>5513</v>
      </c>
      <c r="C5016" s="39" t="n">
        <v>45898</v>
      </c>
      <c r="D5016" s="7" t="s">
        <v>329</v>
      </c>
      <c r="E5016" s="7" t="s">
        <v>156</v>
      </c>
      <c r="F5016" s="7" t="s">
        <v>220</v>
      </c>
      <c r="G5016" s="7" t="s">
        <v>505</v>
      </c>
      <c r="H5016" s="6" t="n">
        <v>3.95</v>
      </c>
      <c r="I5016" s="6" t="n">
        <v>0</v>
      </c>
      <c r="J5016" s="40" t="n">
        <f aca="false">H5016-I5016</f>
        <v>3.95</v>
      </c>
      <c r="K5016" s="41" t="n">
        <v>34</v>
      </c>
      <c r="L5016" s="42" t="n">
        <f aca="false">J5016*K5016</f>
        <v>134.3</v>
      </c>
      <c r="M5016" s="43" t="n">
        <f aca="false">H5016*16.43*(1+'Chart of Accounts'!$E$67)</f>
        <v>74.3087825</v>
      </c>
    </row>
    <row r="5017" customFormat="false" ht="15" hidden="false" customHeight="false" outlineLevel="0" collapsed="false">
      <c r="B5017" s="7" t="s">
        <v>5514</v>
      </c>
      <c r="C5017" s="39" t="n">
        <v>45898</v>
      </c>
      <c r="D5017" s="7" t="s">
        <v>335</v>
      </c>
      <c r="E5017" s="7" t="s">
        <v>154</v>
      </c>
      <c r="F5017" s="7" t="s">
        <v>177</v>
      </c>
      <c r="G5017" s="7" t="s">
        <v>505</v>
      </c>
      <c r="H5017" s="6" t="n">
        <v>3.65</v>
      </c>
      <c r="I5017" s="6" t="n">
        <v>0.11</v>
      </c>
      <c r="J5017" s="40" t="n">
        <f aca="false">H5017-I5017</f>
        <v>3.54</v>
      </c>
      <c r="K5017" s="41" t="n">
        <v>26.5</v>
      </c>
      <c r="L5017" s="42" t="n">
        <f aca="false">J5017*K5017</f>
        <v>93.81</v>
      </c>
      <c r="M5017" s="43" t="n">
        <f aca="false">H5017*14.56*(1+'Chart of Accounts'!$E$67)</f>
        <v>60.84988</v>
      </c>
    </row>
    <row r="5018" customFormat="false" ht="15" hidden="false" customHeight="false" outlineLevel="0" collapsed="false">
      <c r="B5018" s="7" t="s">
        <v>5515</v>
      </c>
      <c r="C5018" s="39" t="n">
        <v>45898</v>
      </c>
      <c r="D5018" s="7" t="s">
        <v>347</v>
      </c>
      <c r="E5018" s="7" t="s">
        <v>154</v>
      </c>
      <c r="F5018" s="7" t="s">
        <v>238</v>
      </c>
      <c r="G5018" s="7" t="s">
        <v>505</v>
      </c>
      <c r="H5018" s="6" t="n">
        <v>5.11</v>
      </c>
      <c r="I5018" s="6" t="n">
        <v>0</v>
      </c>
      <c r="J5018" s="40" t="n">
        <f aca="false">H5018-I5018</f>
        <v>5.11</v>
      </c>
      <c r="K5018" s="41" t="n">
        <v>26.5</v>
      </c>
      <c r="L5018" s="42" t="n">
        <f aca="false">J5018*K5018</f>
        <v>135.415</v>
      </c>
      <c r="M5018" s="43" t="n">
        <f aca="false">H5018*15.85*(1+'Chart of Accounts'!$E$67)</f>
        <v>92.7375575</v>
      </c>
    </row>
    <row r="5019" customFormat="false" ht="15" hidden="false" customHeight="false" outlineLevel="0" collapsed="false">
      <c r="B5019" s="7" t="s">
        <v>5516</v>
      </c>
      <c r="C5019" s="39" t="n">
        <v>45898</v>
      </c>
      <c r="D5019" s="7" t="s">
        <v>353</v>
      </c>
      <c r="E5019" s="7" t="s">
        <v>154</v>
      </c>
      <c r="F5019" s="7" t="s">
        <v>254</v>
      </c>
      <c r="G5019" s="7" t="s">
        <v>505</v>
      </c>
      <c r="H5019" s="6" t="n">
        <v>3.21</v>
      </c>
      <c r="I5019" s="6" t="n">
        <v>0</v>
      </c>
      <c r="J5019" s="40" t="n">
        <f aca="false">H5019-I5019</f>
        <v>3.21</v>
      </c>
      <c r="K5019" s="41" t="n">
        <v>26.5</v>
      </c>
      <c r="L5019" s="42" t="n">
        <f aca="false">J5019*K5019</f>
        <v>85.065</v>
      </c>
      <c r="M5019" s="43" t="n">
        <f aca="false">H5019*17.1*(1+'Chart of Accounts'!$E$67)</f>
        <v>62.850195</v>
      </c>
    </row>
    <row r="5020" customFormat="false" ht="15" hidden="false" customHeight="false" outlineLevel="0" collapsed="false">
      <c r="B5020" s="7" t="s">
        <v>5517</v>
      </c>
      <c r="C5020" s="39" t="n">
        <v>45898</v>
      </c>
      <c r="D5020" s="7" t="s">
        <v>355</v>
      </c>
      <c r="E5020" s="7" t="s">
        <v>154</v>
      </c>
      <c r="F5020" s="7" t="s">
        <v>201</v>
      </c>
      <c r="G5020" s="7" t="s">
        <v>505</v>
      </c>
      <c r="H5020" s="6" t="n">
        <v>3.5</v>
      </c>
      <c r="I5020" s="6" t="n">
        <v>0.105</v>
      </c>
      <c r="J5020" s="40" t="n">
        <f aca="false">H5020-I5020</f>
        <v>3.395</v>
      </c>
      <c r="K5020" s="41" t="n">
        <v>26.5</v>
      </c>
      <c r="L5020" s="42" t="n">
        <f aca="false">J5020*K5020</f>
        <v>89.9675</v>
      </c>
      <c r="M5020" s="43" t="n">
        <f aca="false">H5020*15.19*(1+'Chart of Accounts'!$E$67)</f>
        <v>60.873925</v>
      </c>
    </row>
    <row r="5021" customFormat="false" ht="15" hidden="false" customHeight="false" outlineLevel="0" collapsed="false">
      <c r="B5021" s="7" t="s">
        <v>5518</v>
      </c>
      <c r="C5021" s="39" t="n">
        <v>45898</v>
      </c>
      <c r="D5021" s="7" t="s">
        <v>357</v>
      </c>
      <c r="E5021" s="7" t="s">
        <v>154</v>
      </c>
      <c r="F5021" s="7" t="s">
        <v>196</v>
      </c>
      <c r="G5021" s="7" t="s">
        <v>505</v>
      </c>
      <c r="H5021" s="6" t="n">
        <v>3.39</v>
      </c>
      <c r="I5021" s="6" t="n">
        <v>0</v>
      </c>
      <c r="J5021" s="40" t="n">
        <f aca="false">H5021-I5021</f>
        <v>3.39</v>
      </c>
      <c r="K5021" s="41" t="n">
        <v>26.5</v>
      </c>
      <c r="L5021" s="42" t="n">
        <f aca="false">J5021*K5021</f>
        <v>89.835</v>
      </c>
      <c r="M5021" s="43" t="n">
        <f aca="false">H5021*15.05*(1+'Chart of Accounts'!$E$67)</f>
        <v>58.4173275</v>
      </c>
    </row>
    <row r="5022" customFormat="false" ht="15" hidden="false" customHeight="false" outlineLevel="0" collapsed="false">
      <c r="B5022" s="7" t="s">
        <v>5519</v>
      </c>
      <c r="C5022" s="39" t="n">
        <v>45898</v>
      </c>
      <c r="D5022" s="7" t="s">
        <v>359</v>
      </c>
      <c r="E5022" s="7" t="s">
        <v>156</v>
      </c>
      <c r="F5022" s="7" t="s">
        <v>220</v>
      </c>
      <c r="G5022" s="7" t="s">
        <v>505</v>
      </c>
      <c r="H5022" s="6" t="n">
        <v>3.63</v>
      </c>
      <c r="I5022" s="6" t="n">
        <v>0</v>
      </c>
      <c r="J5022" s="40" t="n">
        <f aca="false">H5022-I5022</f>
        <v>3.63</v>
      </c>
      <c r="K5022" s="41" t="n">
        <v>34</v>
      </c>
      <c r="L5022" s="42" t="n">
        <f aca="false">J5022*K5022</f>
        <v>123.42</v>
      </c>
      <c r="M5022" s="43" t="n">
        <f aca="false">H5022*16.43*(1+'Chart of Accounts'!$E$67)</f>
        <v>68.2888305</v>
      </c>
    </row>
    <row r="5023" customFormat="false" ht="15" hidden="false" customHeight="false" outlineLevel="0" collapsed="false">
      <c r="B5023" s="7" t="s">
        <v>5520</v>
      </c>
      <c r="C5023" s="39" t="n">
        <v>45898</v>
      </c>
      <c r="D5023" s="7" t="s">
        <v>361</v>
      </c>
      <c r="E5023" s="7" t="s">
        <v>157</v>
      </c>
      <c r="F5023" s="7" t="s">
        <v>209</v>
      </c>
      <c r="G5023" s="7" t="s">
        <v>502</v>
      </c>
      <c r="H5023" s="6" t="n">
        <v>1.01</v>
      </c>
      <c r="I5023" s="6" t="n">
        <v>0.051</v>
      </c>
      <c r="J5023" s="40" t="n">
        <f aca="false">H5023-I5023</f>
        <v>0.959</v>
      </c>
      <c r="K5023" s="41" t="n">
        <v>165</v>
      </c>
      <c r="L5023" s="42" t="n">
        <f aca="false">J5023*K5023</f>
        <v>158.235</v>
      </c>
      <c r="M5023" s="43" t="n">
        <f aca="false">H5023*73.58*(1+'Chart of Accounts'!$E$67)</f>
        <v>85.091591</v>
      </c>
    </row>
    <row r="5024" customFormat="false" ht="15" hidden="false" customHeight="false" outlineLevel="0" collapsed="false">
      <c r="B5024" s="7" t="s">
        <v>5521</v>
      </c>
      <c r="C5024" s="39" t="n">
        <v>45898</v>
      </c>
      <c r="D5024" s="7" t="s">
        <v>365</v>
      </c>
      <c r="E5024" s="7" t="s">
        <v>154</v>
      </c>
      <c r="F5024" s="7" t="s">
        <v>194</v>
      </c>
      <c r="G5024" s="7" t="s">
        <v>505</v>
      </c>
      <c r="H5024" s="6" t="n">
        <v>4.17</v>
      </c>
      <c r="I5024" s="6" t="n">
        <v>0</v>
      </c>
      <c r="J5024" s="40" t="n">
        <f aca="false">H5024-I5024</f>
        <v>4.17</v>
      </c>
      <c r="K5024" s="41" t="n">
        <v>26.5</v>
      </c>
      <c r="L5024" s="42" t="n">
        <f aca="false">J5024*K5024</f>
        <v>110.505</v>
      </c>
      <c r="M5024" s="43" t="n">
        <f aca="false">H5024*16*(1+'Chart of Accounts'!$E$67)</f>
        <v>76.3944</v>
      </c>
    </row>
    <row r="5025" customFormat="false" ht="15" hidden="false" customHeight="false" outlineLevel="0" collapsed="false">
      <c r="B5025" s="7" t="s">
        <v>5522</v>
      </c>
      <c r="C5025" s="39" t="n">
        <v>45898</v>
      </c>
      <c r="D5025" s="7" t="s">
        <v>369</v>
      </c>
      <c r="E5025" s="7" t="s">
        <v>159</v>
      </c>
      <c r="F5025" s="7" t="s">
        <v>258</v>
      </c>
      <c r="G5025" s="7" t="s">
        <v>502</v>
      </c>
      <c r="H5025" s="6" t="n">
        <v>1.03</v>
      </c>
      <c r="I5025" s="6" t="n">
        <v>0.072</v>
      </c>
      <c r="J5025" s="40" t="n">
        <f aca="false">H5025-I5025</f>
        <v>0.958</v>
      </c>
      <c r="K5025" s="41" t="n">
        <v>135</v>
      </c>
      <c r="L5025" s="42" t="n">
        <f aca="false">J5025*K5025</f>
        <v>129.33</v>
      </c>
      <c r="M5025" s="43" t="n">
        <f aca="false">H5025*61.61*(1+'Chart of Accounts'!$E$67)</f>
        <v>72.6597535</v>
      </c>
    </row>
    <row r="5026" customFormat="false" ht="15" hidden="false" customHeight="false" outlineLevel="0" collapsed="false">
      <c r="B5026" s="7" t="s">
        <v>5523</v>
      </c>
      <c r="C5026" s="39" t="n">
        <v>45898</v>
      </c>
      <c r="D5026" s="7" t="s">
        <v>371</v>
      </c>
      <c r="E5026" s="7" t="s">
        <v>154</v>
      </c>
      <c r="F5026" s="7" t="s">
        <v>232</v>
      </c>
      <c r="G5026" s="7" t="s">
        <v>505</v>
      </c>
      <c r="H5026" s="6" t="n">
        <v>4.43</v>
      </c>
      <c r="I5026" s="6" t="n">
        <v>0.133</v>
      </c>
      <c r="J5026" s="40" t="n">
        <f aca="false">H5026-I5026</f>
        <v>4.297</v>
      </c>
      <c r="K5026" s="41" t="n">
        <v>26.5</v>
      </c>
      <c r="L5026" s="42" t="n">
        <f aca="false">J5026*K5026</f>
        <v>113.8705</v>
      </c>
      <c r="M5026" s="43" t="n">
        <f aca="false">H5026*16.17*(1+'Chart of Accounts'!$E$67)</f>
        <v>82.0198995</v>
      </c>
    </row>
    <row r="5027" customFormat="false" ht="15" hidden="false" customHeight="false" outlineLevel="0" collapsed="false">
      <c r="B5027" s="7" t="s">
        <v>5524</v>
      </c>
      <c r="C5027" s="39" t="n">
        <v>45898</v>
      </c>
      <c r="D5027" s="7" t="s">
        <v>379</v>
      </c>
      <c r="E5027" s="7" t="s">
        <v>156</v>
      </c>
      <c r="F5027" s="7" t="s">
        <v>224</v>
      </c>
      <c r="G5027" s="7" t="s">
        <v>505</v>
      </c>
      <c r="H5027" s="6" t="n">
        <v>4.93</v>
      </c>
      <c r="I5027" s="6" t="n">
        <v>0</v>
      </c>
      <c r="J5027" s="40" t="n">
        <f aca="false">H5027-I5027</f>
        <v>4.93</v>
      </c>
      <c r="K5027" s="41" t="n">
        <v>34</v>
      </c>
      <c r="L5027" s="42" t="n">
        <f aca="false">J5027*K5027</f>
        <v>167.62</v>
      </c>
      <c r="M5027" s="43" t="n">
        <f aca="false">H5027*14.93*(1+'Chart of Accounts'!$E$67)</f>
        <v>84.2776105</v>
      </c>
    </row>
    <row r="5028" customFormat="false" ht="15" hidden="false" customHeight="false" outlineLevel="0" collapsed="false">
      <c r="B5028" s="7" t="s">
        <v>5525</v>
      </c>
      <c r="C5028" s="39" t="n">
        <v>45898</v>
      </c>
      <c r="D5028" s="7" t="s">
        <v>381</v>
      </c>
      <c r="E5028" s="7" t="s">
        <v>157</v>
      </c>
      <c r="F5028" s="7" t="s">
        <v>234</v>
      </c>
      <c r="G5028" s="7" t="s">
        <v>502</v>
      </c>
      <c r="H5028" s="6" t="n">
        <v>1</v>
      </c>
      <c r="I5028" s="6" t="n">
        <v>0</v>
      </c>
      <c r="J5028" s="40" t="n">
        <f aca="false">H5028-I5028</f>
        <v>1</v>
      </c>
      <c r="K5028" s="41" t="n">
        <v>165</v>
      </c>
      <c r="L5028" s="42" t="n">
        <f aca="false">J5028*K5028</f>
        <v>165</v>
      </c>
      <c r="M5028" s="43" t="n">
        <f aca="false">H5028*89.53*(1+'Chart of Accounts'!$E$67)</f>
        <v>102.51185</v>
      </c>
    </row>
    <row r="5029" customFormat="false" ht="15" hidden="false" customHeight="false" outlineLevel="0" collapsed="false">
      <c r="B5029" s="7" t="s">
        <v>5526</v>
      </c>
      <c r="C5029" s="39" t="n">
        <v>45898</v>
      </c>
      <c r="D5029" s="7" t="s">
        <v>383</v>
      </c>
      <c r="E5029" s="7" t="s">
        <v>157</v>
      </c>
      <c r="F5029" s="7" t="s">
        <v>230</v>
      </c>
      <c r="G5029" s="7" t="s">
        <v>502</v>
      </c>
      <c r="H5029" s="6" t="n">
        <v>1.07</v>
      </c>
      <c r="I5029" s="6" t="n">
        <v>0</v>
      </c>
      <c r="J5029" s="40" t="n">
        <f aca="false">H5029-I5029</f>
        <v>1.07</v>
      </c>
      <c r="K5029" s="41" t="n">
        <v>165</v>
      </c>
      <c r="L5029" s="42" t="n">
        <f aca="false">J5029*K5029</f>
        <v>176.55</v>
      </c>
      <c r="M5029" s="43" t="n">
        <f aca="false">H5029*48.78*(1+'Chart of Accounts'!$E$67)</f>
        <v>59.762817</v>
      </c>
    </row>
    <row r="5030" customFormat="false" ht="15" hidden="false" customHeight="false" outlineLevel="0" collapsed="false">
      <c r="B5030" s="7" t="s">
        <v>5527</v>
      </c>
      <c r="C5030" s="39" t="n">
        <v>45898</v>
      </c>
      <c r="D5030" s="7" t="s">
        <v>385</v>
      </c>
      <c r="E5030" s="7" t="s">
        <v>156</v>
      </c>
      <c r="F5030" s="7" t="s">
        <v>238</v>
      </c>
      <c r="G5030" s="7" t="s">
        <v>505</v>
      </c>
      <c r="H5030" s="6" t="n">
        <v>3.92</v>
      </c>
      <c r="I5030" s="6" t="n">
        <v>0</v>
      </c>
      <c r="J5030" s="40" t="n">
        <f aca="false">H5030-I5030</f>
        <v>3.92</v>
      </c>
      <c r="K5030" s="41" t="n">
        <v>34</v>
      </c>
      <c r="L5030" s="42" t="n">
        <f aca="false">J5030*K5030</f>
        <v>133.28</v>
      </c>
      <c r="M5030" s="43" t="n">
        <f aca="false">H5030*15.85*(1+'Chart of Accounts'!$E$67)</f>
        <v>71.14114</v>
      </c>
    </row>
    <row r="5031" customFormat="false" ht="15" hidden="false" customHeight="false" outlineLevel="0" collapsed="false">
      <c r="B5031" s="7" t="s">
        <v>5528</v>
      </c>
      <c r="C5031" s="39" t="n">
        <v>45898</v>
      </c>
      <c r="D5031" s="7" t="s">
        <v>387</v>
      </c>
      <c r="E5031" s="7" t="s">
        <v>154</v>
      </c>
      <c r="F5031" s="7" t="s">
        <v>196</v>
      </c>
      <c r="G5031" s="7" t="s">
        <v>505</v>
      </c>
      <c r="H5031" s="6" t="n">
        <v>4.11</v>
      </c>
      <c r="I5031" s="6" t="n">
        <v>0</v>
      </c>
      <c r="J5031" s="40" t="n">
        <f aca="false">H5031-I5031</f>
        <v>4.11</v>
      </c>
      <c r="K5031" s="41" t="n">
        <v>26.5</v>
      </c>
      <c r="L5031" s="42" t="n">
        <f aca="false">J5031*K5031</f>
        <v>108.915</v>
      </c>
      <c r="M5031" s="43" t="n">
        <f aca="false">H5031*15.05*(1+'Chart of Accounts'!$E$67)</f>
        <v>70.8245475</v>
      </c>
    </row>
    <row r="5032" customFormat="false" ht="15" hidden="false" customHeight="false" outlineLevel="0" collapsed="false">
      <c r="B5032" s="7" t="s">
        <v>5529</v>
      </c>
      <c r="C5032" s="39" t="n">
        <v>45898</v>
      </c>
      <c r="D5032" s="7" t="s">
        <v>389</v>
      </c>
      <c r="E5032" s="7" t="s">
        <v>154</v>
      </c>
      <c r="F5032" s="7" t="s">
        <v>246</v>
      </c>
      <c r="G5032" s="7" t="s">
        <v>505</v>
      </c>
      <c r="H5032" s="6" t="n">
        <v>4.07</v>
      </c>
      <c r="I5032" s="6" t="n">
        <v>0</v>
      </c>
      <c r="J5032" s="40" t="n">
        <f aca="false">H5032-I5032</f>
        <v>4.07</v>
      </c>
      <c r="K5032" s="41" t="n">
        <v>26.5</v>
      </c>
      <c r="L5032" s="42" t="n">
        <f aca="false">J5032*K5032</f>
        <v>107.855</v>
      </c>
      <c r="M5032" s="43" t="n">
        <f aca="false">H5032*16.48*(1+'Chart of Accounts'!$E$67)</f>
        <v>76.799272</v>
      </c>
    </row>
    <row r="5033" customFormat="false" ht="15" hidden="false" customHeight="false" outlineLevel="0" collapsed="false">
      <c r="B5033" s="7" t="s">
        <v>5530</v>
      </c>
      <c r="C5033" s="39" t="n">
        <v>45898</v>
      </c>
      <c r="D5033" s="7" t="s">
        <v>391</v>
      </c>
      <c r="E5033" s="7" t="s">
        <v>156</v>
      </c>
      <c r="F5033" s="7" t="s">
        <v>222</v>
      </c>
      <c r="G5033" s="7" t="s">
        <v>505</v>
      </c>
      <c r="H5033" s="6" t="n">
        <v>3.91</v>
      </c>
      <c r="I5033" s="6" t="n">
        <v>0</v>
      </c>
      <c r="J5033" s="40" t="n">
        <f aca="false">H5033-I5033</f>
        <v>3.91</v>
      </c>
      <c r="K5033" s="41" t="n">
        <v>34</v>
      </c>
      <c r="L5033" s="42" t="n">
        <f aca="false">J5033*K5033</f>
        <v>132.94</v>
      </c>
      <c r="M5033" s="43" t="n">
        <f aca="false">H5033*17.84*(1+'Chart of Accounts'!$E$67)</f>
        <v>79.868788</v>
      </c>
    </row>
    <row r="5034" customFormat="false" ht="15" hidden="false" customHeight="false" outlineLevel="0" collapsed="false">
      <c r="B5034" s="7" t="s">
        <v>5531</v>
      </c>
      <c r="C5034" s="39" t="n">
        <v>45898</v>
      </c>
      <c r="D5034" s="7" t="s">
        <v>395</v>
      </c>
      <c r="E5034" s="7" t="s">
        <v>156</v>
      </c>
      <c r="F5034" s="7" t="s">
        <v>242</v>
      </c>
      <c r="G5034" s="7" t="s">
        <v>505</v>
      </c>
      <c r="H5034" s="6" t="n">
        <v>3.93</v>
      </c>
      <c r="I5034" s="6" t="n">
        <v>0</v>
      </c>
      <c r="J5034" s="40" t="n">
        <f aca="false">H5034-I5034</f>
        <v>3.93</v>
      </c>
      <c r="K5034" s="41" t="n">
        <v>34</v>
      </c>
      <c r="L5034" s="42" t="n">
        <f aca="false">J5034*K5034</f>
        <v>133.62</v>
      </c>
      <c r="M5034" s="43" t="n">
        <f aca="false">H5034*17.99*(1+'Chart of Accounts'!$E$67)</f>
        <v>80.9523015</v>
      </c>
    </row>
    <row r="5035" customFormat="false" ht="15" hidden="false" customHeight="false" outlineLevel="0" collapsed="false">
      <c r="B5035" s="7" t="s">
        <v>5532</v>
      </c>
      <c r="C5035" s="39" t="n">
        <v>45898</v>
      </c>
      <c r="D5035" s="7" t="s">
        <v>397</v>
      </c>
      <c r="E5035" s="7" t="s">
        <v>159</v>
      </c>
      <c r="F5035" s="7" t="s">
        <v>203</v>
      </c>
      <c r="G5035" s="7" t="s">
        <v>502</v>
      </c>
      <c r="H5035" s="6" t="n">
        <v>0.94</v>
      </c>
      <c r="I5035" s="6" t="n">
        <v>0.066</v>
      </c>
      <c r="J5035" s="40" t="n">
        <f aca="false">H5035-I5035</f>
        <v>0.874</v>
      </c>
      <c r="K5035" s="41" t="n">
        <v>135</v>
      </c>
      <c r="L5035" s="42" t="n">
        <f aca="false">J5035*K5035</f>
        <v>117.99</v>
      </c>
      <c r="M5035" s="43" t="n">
        <f aca="false">H5035*49.43*(1+'Chart of Accounts'!$E$67)</f>
        <v>53.201509</v>
      </c>
    </row>
    <row r="5036" customFormat="false" ht="15" hidden="false" customHeight="false" outlineLevel="0" collapsed="false">
      <c r="B5036" s="7" t="s">
        <v>5533</v>
      </c>
      <c r="C5036" s="39" t="n">
        <v>45898</v>
      </c>
      <c r="D5036" s="7" t="s">
        <v>399</v>
      </c>
      <c r="E5036" s="7" t="s">
        <v>154</v>
      </c>
      <c r="F5036" s="7" t="s">
        <v>218</v>
      </c>
      <c r="G5036" s="7" t="s">
        <v>505</v>
      </c>
      <c r="H5036" s="6" t="n">
        <v>3.32</v>
      </c>
      <c r="I5036" s="6" t="n">
        <v>0</v>
      </c>
      <c r="J5036" s="40" t="n">
        <f aca="false">H5036-I5036</f>
        <v>3.32</v>
      </c>
      <c r="K5036" s="41" t="n">
        <v>26.5</v>
      </c>
      <c r="L5036" s="42" t="n">
        <f aca="false">J5036*K5036</f>
        <v>87.98</v>
      </c>
      <c r="M5036" s="43" t="n">
        <f aca="false">H5036*16.19*(1+'Chart of Accounts'!$E$67)</f>
        <v>61.544666</v>
      </c>
    </row>
    <row r="5037" customFormat="false" ht="15" hidden="false" customHeight="false" outlineLevel="0" collapsed="false">
      <c r="B5037" s="7" t="s">
        <v>5534</v>
      </c>
      <c r="C5037" s="39" t="n">
        <v>45898</v>
      </c>
      <c r="D5037" s="7" t="s">
        <v>401</v>
      </c>
      <c r="E5037" s="7" t="s">
        <v>156</v>
      </c>
      <c r="F5037" s="7" t="s">
        <v>254</v>
      </c>
      <c r="G5037" s="7" t="s">
        <v>505</v>
      </c>
      <c r="H5037" s="6" t="n">
        <v>4.21</v>
      </c>
      <c r="I5037" s="6" t="n">
        <v>0</v>
      </c>
      <c r="J5037" s="40" t="n">
        <f aca="false">H5037-I5037</f>
        <v>4.21</v>
      </c>
      <c r="K5037" s="41" t="n">
        <v>34</v>
      </c>
      <c r="L5037" s="42" t="n">
        <f aca="false">J5037*K5037</f>
        <v>143.14</v>
      </c>
      <c r="M5037" s="43" t="n">
        <f aca="false">H5037*17.1*(1+'Chart of Accounts'!$E$67)</f>
        <v>82.429695</v>
      </c>
    </row>
    <row r="5038" customFormat="false" ht="15" hidden="false" customHeight="false" outlineLevel="0" collapsed="false">
      <c r="B5038" s="7" t="s">
        <v>5535</v>
      </c>
      <c r="C5038" s="39" t="n">
        <v>45898</v>
      </c>
      <c r="D5038" s="7" t="s">
        <v>403</v>
      </c>
      <c r="E5038" s="7" t="s">
        <v>156</v>
      </c>
      <c r="F5038" s="7" t="s">
        <v>184</v>
      </c>
      <c r="G5038" s="7" t="s">
        <v>505</v>
      </c>
      <c r="H5038" s="6" t="n">
        <v>4.15</v>
      </c>
      <c r="I5038" s="6" t="n">
        <v>0</v>
      </c>
      <c r="J5038" s="40" t="n">
        <f aca="false">H5038-I5038</f>
        <v>4.15</v>
      </c>
      <c r="K5038" s="41" t="n">
        <v>34</v>
      </c>
      <c r="L5038" s="42" t="n">
        <f aca="false">J5038*K5038</f>
        <v>141.1</v>
      </c>
      <c r="M5038" s="43" t="n">
        <f aca="false">H5038*17.34*(1+'Chart of Accounts'!$E$67)</f>
        <v>82.395345</v>
      </c>
    </row>
    <row r="5039" customFormat="false" ht="15" hidden="false" customHeight="false" outlineLevel="0" collapsed="false">
      <c r="B5039" s="7" t="s">
        <v>5536</v>
      </c>
      <c r="C5039" s="39" t="n">
        <v>45898</v>
      </c>
      <c r="D5039" s="7" t="s">
        <v>407</v>
      </c>
      <c r="E5039" s="7" t="s">
        <v>159</v>
      </c>
      <c r="F5039" s="7" t="s">
        <v>260</v>
      </c>
      <c r="G5039" s="7" t="s">
        <v>502</v>
      </c>
      <c r="H5039" s="6" t="n">
        <v>0.96</v>
      </c>
      <c r="I5039" s="6" t="n">
        <v>0.067</v>
      </c>
      <c r="J5039" s="40" t="n">
        <f aca="false">H5039-I5039</f>
        <v>0.893</v>
      </c>
      <c r="K5039" s="41" t="n">
        <v>135</v>
      </c>
      <c r="L5039" s="42" t="n">
        <f aca="false">J5039*K5039</f>
        <v>120.555</v>
      </c>
      <c r="M5039" s="43" t="n">
        <f aca="false">H5039*79.8*(1+'Chart of Accounts'!$E$67)</f>
        <v>87.71616</v>
      </c>
    </row>
    <row r="5040" customFormat="false" ht="15" hidden="false" customHeight="false" outlineLevel="0" collapsed="false">
      <c r="B5040" s="7" t="s">
        <v>5537</v>
      </c>
      <c r="C5040" s="39" t="n">
        <v>45898</v>
      </c>
      <c r="D5040" s="7" t="s">
        <v>409</v>
      </c>
      <c r="E5040" s="7" t="s">
        <v>154</v>
      </c>
      <c r="F5040" s="7" t="s">
        <v>214</v>
      </c>
      <c r="G5040" s="7" t="s">
        <v>505</v>
      </c>
      <c r="H5040" s="6" t="n">
        <v>3.41</v>
      </c>
      <c r="I5040" s="6" t="n">
        <v>0.102</v>
      </c>
      <c r="J5040" s="40" t="n">
        <f aca="false">H5040-I5040</f>
        <v>3.308</v>
      </c>
      <c r="K5040" s="41" t="n">
        <v>26.5</v>
      </c>
      <c r="L5040" s="42" t="n">
        <f aca="false">J5040*K5040</f>
        <v>87.662</v>
      </c>
      <c r="M5040" s="43" t="n">
        <f aca="false">H5040*15.67*(1+'Chart of Accounts'!$E$67)</f>
        <v>61.1827315</v>
      </c>
    </row>
    <row r="5041" customFormat="false" ht="15" hidden="false" customHeight="false" outlineLevel="0" collapsed="false">
      <c r="B5041" s="7" t="s">
        <v>5538</v>
      </c>
      <c r="C5041" s="39" t="n">
        <v>45898</v>
      </c>
      <c r="D5041" s="7" t="s">
        <v>411</v>
      </c>
      <c r="E5041" s="7" t="s">
        <v>154</v>
      </c>
      <c r="F5041" s="7" t="s">
        <v>177</v>
      </c>
      <c r="G5041" s="7" t="s">
        <v>505</v>
      </c>
      <c r="H5041" s="6" t="n">
        <v>4.97</v>
      </c>
      <c r="I5041" s="6" t="n">
        <v>0</v>
      </c>
      <c r="J5041" s="40" t="n">
        <f aca="false">H5041-I5041</f>
        <v>4.97</v>
      </c>
      <c r="K5041" s="41" t="n">
        <v>26.5</v>
      </c>
      <c r="L5041" s="42" t="n">
        <f aca="false">J5041*K5041</f>
        <v>131.705</v>
      </c>
      <c r="M5041" s="43" t="n">
        <f aca="false">H5041*14.56*(1+'Chart of Accounts'!$E$67)</f>
        <v>82.855864</v>
      </c>
    </row>
    <row r="5042" customFormat="false" ht="15" hidden="false" customHeight="false" outlineLevel="0" collapsed="false">
      <c r="B5042" s="7" t="s">
        <v>5539</v>
      </c>
      <c r="C5042" s="39" t="n">
        <v>45899</v>
      </c>
      <c r="D5042" s="7" t="s">
        <v>288</v>
      </c>
      <c r="E5042" s="7" t="s">
        <v>156</v>
      </c>
      <c r="F5042" s="7" t="s">
        <v>201</v>
      </c>
      <c r="G5042" s="7" t="s">
        <v>505</v>
      </c>
      <c r="H5042" s="6" t="n">
        <v>4.28</v>
      </c>
      <c r="I5042" s="6" t="n">
        <v>0</v>
      </c>
      <c r="J5042" s="40" t="n">
        <f aca="false">H5042-I5042</f>
        <v>4.28</v>
      </c>
      <c r="K5042" s="41" t="n">
        <v>34</v>
      </c>
      <c r="L5042" s="42" t="n">
        <f aca="false">J5042*K5042</f>
        <v>145.52</v>
      </c>
      <c r="M5042" s="43" t="n">
        <f aca="false">H5042*15.19*(1+'Chart of Accounts'!$E$67)</f>
        <v>74.440114</v>
      </c>
    </row>
    <row r="5043" customFormat="false" ht="15" hidden="false" customHeight="false" outlineLevel="0" collapsed="false">
      <c r="B5043" s="7" t="s">
        <v>5540</v>
      </c>
      <c r="C5043" s="39" t="n">
        <v>45899</v>
      </c>
      <c r="D5043" s="7" t="s">
        <v>321</v>
      </c>
      <c r="E5043" s="7" t="s">
        <v>154</v>
      </c>
      <c r="F5043" s="7" t="s">
        <v>218</v>
      </c>
      <c r="G5043" s="7" t="s">
        <v>505</v>
      </c>
      <c r="H5043" s="6" t="n">
        <v>3.97</v>
      </c>
      <c r="I5043" s="6" t="n">
        <v>0</v>
      </c>
      <c r="J5043" s="40" t="n">
        <f aca="false">H5043-I5043</f>
        <v>3.97</v>
      </c>
      <c r="K5043" s="41" t="n">
        <v>26.5</v>
      </c>
      <c r="L5043" s="42" t="n">
        <f aca="false">J5043*K5043</f>
        <v>105.205</v>
      </c>
      <c r="M5043" s="43" t="n">
        <f aca="false">H5043*16.19*(1+'Chart of Accounts'!$E$67)</f>
        <v>73.5940735</v>
      </c>
    </row>
    <row r="5044" customFormat="false" ht="15" hidden="false" customHeight="false" outlineLevel="0" collapsed="false">
      <c r="B5044" s="7" t="s">
        <v>5541</v>
      </c>
      <c r="C5044" s="39" t="n">
        <v>45899</v>
      </c>
      <c r="D5044" s="7" t="s">
        <v>359</v>
      </c>
      <c r="E5044" s="7" t="s">
        <v>156</v>
      </c>
      <c r="F5044" s="7" t="s">
        <v>194</v>
      </c>
      <c r="G5044" s="7" t="s">
        <v>505</v>
      </c>
      <c r="H5044" s="6" t="n">
        <v>4.03</v>
      </c>
      <c r="I5044" s="6" t="n">
        <v>0</v>
      </c>
      <c r="J5044" s="40" t="n">
        <f aca="false">H5044-I5044</f>
        <v>4.03</v>
      </c>
      <c r="K5044" s="41" t="n">
        <v>34</v>
      </c>
      <c r="L5044" s="42" t="n">
        <f aca="false">J5044*K5044</f>
        <v>137.02</v>
      </c>
      <c r="M5044" s="43" t="n">
        <f aca="false">H5044*16*(1+'Chart of Accounts'!$E$67)</f>
        <v>73.8296</v>
      </c>
    </row>
    <row r="5045" customFormat="false" ht="15" hidden="false" customHeight="false" outlineLevel="0" collapsed="false">
      <c r="B5045" s="7" t="s">
        <v>5542</v>
      </c>
      <c r="C5045" s="39" t="n">
        <v>45899</v>
      </c>
      <c r="D5045" s="7" t="s">
        <v>387</v>
      </c>
      <c r="E5045" s="7" t="s">
        <v>154</v>
      </c>
      <c r="F5045" s="7" t="s">
        <v>196</v>
      </c>
      <c r="G5045" s="7" t="s">
        <v>505</v>
      </c>
      <c r="H5045" s="6" t="n">
        <v>4.27</v>
      </c>
      <c r="I5045" s="6" t="n">
        <v>0</v>
      </c>
      <c r="J5045" s="40" t="n">
        <f aca="false">H5045-I5045</f>
        <v>4.27</v>
      </c>
      <c r="K5045" s="41" t="n">
        <v>26.5</v>
      </c>
      <c r="L5045" s="42" t="n">
        <f aca="false">J5045*K5045</f>
        <v>113.155</v>
      </c>
      <c r="M5045" s="43" t="n">
        <f aca="false">H5045*15.05*(1+'Chart of Accounts'!$E$67)</f>
        <v>73.5817075</v>
      </c>
    </row>
    <row r="5046" customFormat="false" ht="15" hidden="false" customHeight="false" outlineLevel="0" collapsed="false">
      <c r="B5046" s="7" t="s">
        <v>5543</v>
      </c>
      <c r="C5046" s="39" t="n">
        <v>45899</v>
      </c>
      <c r="D5046" s="7" t="s">
        <v>391</v>
      </c>
      <c r="E5046" s="7" t="s">
        <v>156</v>
      </c>
      <c r="F5046" s="7" t="s">
        <v>222</v>
      </c>
      <c r="G5046" s="7" t="s">
        <v>505</v>
      </c>
      <c r="H5046" s="6" t="n">
        <v>4.1</v>
      </c>
      <c r="I5046" s="6" t="n">
        <v>0</v>
      </c>
      <c r="J5046" s="40" t="n">
        <f aca="false">H5046-I5046</f>
        <v>4.1</v>
      </c>
      <c r="K5046" s="41" t="n">
        <v>34</v>
      </c>
      <c r="L5046" s="42" t="n">
        <f aca="false">J5046*K5046</f>
        <v>139.4</v>
      </c>
      <c r="M5046" s="43" t="n">
        <f aca="false">H5046*17.84*(1+'Chart of Accounts'!$E$67)</f>
        <v>83.74988</v>
      </c>
    </row>
    <row r="5047" customFormat="false" ht="15" hidden="false" customHeight="false" outlineLevel="0" collapsed="false">
      <c r="B5047" s="7" t="s">
        <v>5544</v>
      </c>
      <c r="C5047" s="39" t="n">
        <v>45899</v>
      </c>
      <c r="D5047" s="7" t="s">
        <v>395</v>
      </c>
      <c r="E5047" s="7" t="s">
        <v>156</v>
      </c>
      <c r="F5047" s="7" t="s">
        <v>242</v>
      </c>
      <c r="G5047" s="7" t="s">
        <v>505</v>
      </c>
      <c r="H5047" s="6" t="n">
        <v>4.28</v>
      </c>
      <c r="I5047" s="6" t="n">
        <v>0</v>
      </c>
      <c r="J5047" s="40" t="n">
        <f aca="false">H5047-I5047</f>
        <v>4.28</v>
      </c>
      <c r="K5047" s="41" t="n">
        <v>34</v>
      </c>
      <c r="L5047" s="42" t="n">
        <f aca="false">J5047*K5047</f>
        <v>145.52</v>
      </c>
      <c r="M5047" s="43" t="n">
        <f aca="false">H5047*17.99*(1+'Chart of Accounts'!$E$67)</f>
        <v>88.161794</v>
      </c>
    </row>
    <row r="5048" customFormat="false" ht="15" hidden="false" customHeight="false" outlineLevel="0" collapsed="false">
      <c r="B5048" s="7" t="s">
        <v>5545</v>
      </c>
      <c r="C5048" s="39" t="n">
        <v>45899</v>
      </c>
      <c r="D5048" s="7" t="s">
        <v>401</v>
      </c>
      <c r="E5048" s="7" t="s">
        <v>156</v>
      </c>
      <c r="F5048" s="7" t="s">
        <v>254</v>
      </c>
      <c r="G5048" s="7" t="s">
        <v>505</v>
      </c>
      <c r="H5048" s="6" t="n">
        <v>4.38</v>
      </c>
      <c r="I5048" s="6" t="n">
        <v>0</v>
      </c>
      <c r="J5048" s="40" t="n">
        <f aca="false">H5048-I5048</f>
        <v>4.38</v>
      </c>
      <c r="K5048" s="41" t="n">
        <v>34</v>
      </c>
      <c r="L5048" s="42" t="n">
        <f aca="false">J5048*K5048</f>
        <v>148.92</v>
      </c>
      <c r="M5048" s="43" t="n">
        <f aca="false">H5048*17.1*(1+'Chart of Accounts'!$E$67)</f>
        <v>85.75821</v>
      </c>
    </row>
    <row r="5049" customFormat="false" ht="15" hidden="false" customHeight="false" outlineLevel="0" collapsed="false">
      <c r="B5049" s="7" t="s">
        <v>5546</v>
      </c>
      <c r="C5049" s="39" t="n">
        <v>45900</v>
      </c>
      <c r="D5049" s="7" t="s">
        <v>288</v>
      </c>
      <c r="E5049" s="7" t="s">
        <v>156</v>
      </c>
      <c r="F5049" s="7" t="s">
        <v>246</v>
      </c>
      <c r="G5049" s="7" t="s">
        <v>505</v>
      </c>
      <c r="H5049" s="6" t="n">
        <v>4.16</v>
      </c>
      <c r="I5049" s="6" t="n">
        <v>0</v>
      </c>
      <c r="J5049" s="40" t="n">
        <f aca="false">H5049-I5049</f>
        <v>4.16</v>
      </c>
      <c r="K5049" s="41" t="n">
        <v>34</v>
      </c>
      <c r="L5049" s="42" t="n">
        <f aca="false">J5049*K5049</f>
        <v>141.44</v>
      </c>
      <c r="M5049" s="43" t="n">
        <f aca="false">H5049*16.48*(1+'Chart of Accounts'!$E$67)</f>
        <v>78.497536</v>
      </c>
    </row>
    <row r="5050" customFormat="false" ht="15" hidden="false" customHeight="false" outlineLevel="0" collapsed="false">
      <c r="B5050" s="7" t="s">
        <v>5547</v>
      </c>
      <c r="C5050" s="39" t="n">
        <v>45900</v>
      </c>
      <c r="D5050" s="7" t="s">
        <v>321</v>
      </c>
      <c r="E5050" s="7" t="s">
        <v>154</v>
      </c>
      <c r="F5050" s="7" t="s">
        <v>218</v>
      </c>
      <c r="G5050" s="7" t="s">
        <v>505</v>
      </c>
      <c r="H5050" s="6" t="n">
        <v>4.31</v>
      </c>
      <c r="I5050" s="6" t="n">
        <v>0</v>
      </c>
      <c r="J5050" s="40" t="n">
        <f aca="false">H5050-I5050</f>
        <v>4.31</v>
      </c>
      <c r="K5050" s="41" t="n">
        <v>26.5</v>
      </c>
      <c r="L5050" s="42" t="n">
        <f aca="false">J5050*K5050</f>
        <v>114.215</v>
      </c>
      <c r="M5050" s="43" t="n">
        <f aca="false">H5050*16.19*(1+'Chart of Accounts'!$E$67)</f>
        <v>79.8968405</v>
      </c>
    </row>
    <row r="5051" customFormat="false" ht="15" hidden="false" customHeight="false" outlineLevel="0" collapsed="false">
      <c r="B5051" s="7" t="s">
        <v>5548</v>
      </c>
      <c r="C5051" s="39" t="n">
        <v>45900</v>
      </c>
      <c r="D5051" s="7" t="s">
        <v>359</v>
      </c>
      <c r="E5051" s="7" t="s">
        <v>156</v>
      </c>
      <c r="F5051" s="7" t="s">
        <v>242</v>
      </c>
      <c r="G5051" s="7" t="s">
        <v>505</v>
      </c>
      <c r="H5051" s="6" t="n">
        <v>3.72</v>
      </c>
      <c r="I5051" s="6" t="n">
        <v>0</v>
      </c>
      <c r="J5051" s="40" t="n">
        <f aca="false">H5051-I5051</f>
        <v>3.72</v>
      </c>
      <c r="K5051" s="41" t="n">
        <v>34</v>
      </c>
      <c r="L5051" s="42" t="n">
        <f aca="false">J5051*K5051</f>
        <v>126.48</v>
      </c>
      <c r="M5051" s="43" t="n">
        <f aca="false">H5051*17.99*(1+'Chart of Accounts'!$E$67)</f>
        <v>76.626606</v>
      </c>
    </row>
    <row r="5052" customFormat="false" ht="15" hidden="false" customHeight="false" outlineLevel="0" collapsed="false">
      <c r="B5052" s="7" t="s">
        <v>5549</v>
      </c>
      <c r="C5052" s="39" t="n">
        <v>45900</v>
      </c>
      <c r="D5052" s="7" t="s">
        <v>387</v>
      </c>
      <c r="E5052" s="7" t="s">
        <v>154</v>
      </c>
      <c r="F5052" s="7" t="s">
        <v>196</v>
      </c>
      <c r="G5052" s="7" t="s">
        <v>505</v>
      </c>
      <c r="H5052" s="6" t="n">
        <v>4.18</v>
      </c>
      <c r="I5052" s="6" t="n">
        <v>0</v>
      </c>
      <c r="J5052" s="40" t="n">
        <f aca="false">H5052-I5052</f>
        <v>4.18</v>
      </c>
      <c r="K5052" s="41" t="n">
        <v>26.5</v>
      </c>
      <c r="L5052" s="42" t="n">
        <f aca="false">J5052*K5052</f>
        <v>110.77</v>
      </c>
      <c r="M5052" s="43" t="n">
        <f aca="false">H5052*15.05*(1+'Chart of Accounts'!$E$67)</f>
        <v>72.030805</v>
      </c>
    </row>
    <row r="5053" customFormat="false" ht="15" hidden="false" customHeight="false" outlineLevel="0" collapsed="false">
      <c r="B5053" s="7" t="s">
        <v>5550</v>
      </c>
      <c r="C5053" s="39" t="n">
        <v>45900</v>
      </c>
      <c r="D5053" s="7" t="s">
        <v>391</v>
      </c>
      <c r="E5053" s="7" t="s">
        <v>156</v>
      </c>
      <c r="F5053" s="7" t="s">
        <v>222</v>
      </c>
      <c r="G5053" s="7" t="s">
        <v>505</v>
      </c>
      <c r="H5053" s="6" t="n">
        <v>4.37</v>
      </c>
      <c r="I5053" s="6" t="n">
        <v>0</v>
      </c>
      <c r="J5053" s="40" t="n">
        <f aca="false">H5053-I5053</f>
        <v>4.37</v>
      </c>
      <c r="K5053" s="41" t="n">
        <v>34</v>
      </c>
      <c r="L5053" s="42" t="n">
        <f aca="false">J5053*K5053</f>
        <v>148.58</v>
      </c>
      <c r="M5053" s="43" t="n">
        <f aca="false">H5053*17.84*(1+'Chart of Accounts'!$E$67)</f>
        <v>89.265116</v>
      </c>
    </row>
    <row r="5054" customFormat="false" ht="15" hidden="false" customHeight="false" outlineLevel="0" collapsed="false">
      <c r="B5054" s="7" t="s">
        <v>5551</v>
      </c>
      <c r="C5054" s="39" t="n">
        <v>45900</v>
      </c>
      <c r="D5054" s="7" t="s">
        <v>395</v>
      </c>
      <c r="E5054" s="7" t="s">
        <v>156</v>
      </c>
      <c r="F5054" s="7" t="s">
        <v>242</v>
      </c>
      <c r="G5054" s="7" t="s">
        <v>505</v>
      </c>
      <c r="H5054" s="6" t="n">
        <v>4.25</v>
      </c>
      <c r="I5054" s="6" t="n">
        <v>0</v>
      </c>
      <c r="J5054" s="40" t="n">
        <f aca="false">H5054-I5054</f>
        <v>4.25</v>
      </c>
      <c r="K5054" s="41" t="n">
        <v>34</v>
      </c>
      <c r="L5054" s="42" t="n">
        <f aca="false">J5054*K5054</f>
        <v>144.5</v>
      </c>
      <c r="M5054" s="43" t="n">
        <f aca="false">H5054*17.99*(1+'Chart of Accounts'!$E$67)</f>
        <v>87.5438375</v>
      </c>
    </row>
    <row r="5055" customFormat="false" ht="15" hidden="false" customHeight="false" outlineLevel="0" collapsed="false">
      <c r="B5055" s="7" t="s">
        <v>5552</v>
      </c>
      <c r="C5055" s="39" t="n">
        <v>45900</v>
      </c>
      <c r="D5055" s="7" t="s">
        <v>401</v>
      </c>
      <c r="E5055" s="7" t="s">
        <v>156</v>
      </c>
      <c r="F5055" s="7" t="s">
        <v>254</v>
      </c>
      <c r="G5055" s="7" t="s">
        <v>505</v>
      </c>
      <c r="H5055" s="6" t="n">
        <v>4.34</v>
      </c>
      <c r="I5055" s="6" t="n">
        <v>0</v>
      </c>
      <c r="J5055" s="40" t="n">
        <f aca="false">H5055-I5055</f>
        <v>4.34</v>
      </c>
      <c r="K5055" s="41" t="n">
        <v>34</v>
      </c>
      <c r="L5055" s="42" t="n">
        <f aca="false">J5055*K5055</f>
        <v>147.56</v>
      </c>
      <c r="M5055" s="43" t="n">
        <f aca="false">H5055*17.1*(1+'Chart of Accounts'!$E$67)</f>
        <v>84.97503</v>
      </c>
    </row>
    <row r="5056" customFormat="false" ht="15" hidden="false" customHeight="false" outlineLevel="0" collapsed="false">
      <c r="B5056" s="7" t="s">
        <v>5553</v>
      </c>
      <c r="C5056" s="39" t="n">
        <v>45901</v>
      </c>
      <c r="D5056" s="7" t="s">
        <v>288</v>
      </c>
      <c r="E5056" s="7" t="s">
        <v>156</v>
      </c>
      <c r="F5056" s="7" t="s">
        <v>242</v>
      </c>
      <c r="G5056" s="7" t="s">
        <v>505</v>
      </c>
      <c r="H5056" s="6" t="n">
        <v>3.71</v>
      </c>
      <c r="I5056" s="6" t="n">
        <v>0</v>
      </c>
      <c r="J5056" s="40" t="n">
        <f aca="false">H5056-I5056</f>
        <v>3.71</v>
      </c>
      <c r="K5056" s="41" t="n">
        <v>34</v>
      </c>
      <c r="L5056" s="42" t="n">
        <f aca="false">J5056*K5056</f>
        <v>126.14</v>
      </c>
      <c r="M5056" s="43" t="n">
        <f aca="false">H5056*17.99*(1+'Chart of Accounts'!$E$67)</f>
        <v>76.4206205</v>
      </c>
    </row>
    <row r="5057" customFormat="false" ht="15" hidden="false" customHeight="false" outlineLevel="0" collapsed="false">
      <c r="B5057" s="7" t="s">
        <v>5554</v>
      </c>
      <c r="C5057" s="39" t="n">
        <v>45901</v>
      </c>
      <c r="D5057" s="7" t="s">
        <v>291</v>
      </c>
      <c r="E5057" s="7" t="s">
        <v>154</v>
      </c>
      <c r="F5057" s="7" t="s">
        <v>194</v>
      </c>
      <c r="G5057" s="7" t="s">
        <v>505</v>
      </c>
      <c r="H5057" s="6" t="n">
        <v>5.02</v>
      </c>
      <c r="I5057" s="6" t="n">
        <v>0</v>
      </c>
      <c r="J5057" s="40" t="n">
        <f aca="false">H5057-I5057</f>
        <v>5.02</v>
      </c>
      <c r="K5057" s="41" t="n">
        <v>26.5</v>
      </c>
      <c r="L5057" s="42" t="n">
        <f aca="false">J5057*K5057</f>
        <v>133.03</v>
      </c>
      <c r="M5057" s="43" t="n">
        <f aca="false">H5057*16*(1+'Chart of Accounts'!$E$67)</f>
        <v>91.9664</v>
      </c>
    </row>
    <row r="5058" customFormat="false" ht="15" hidden="false" customHeight="false" outlineLevel="0" collapsed="false">
      <c r="B5058" s="7" t="s">
        <v>5555</v>
      </c>
      <c r="C5058" s="39" t="n">
        <v>45901</v>
      </c>
      <c r="D5058" s="7" t="s">
        <v>295</v>
      </c>
      <c r="E5058" s="7" t="s">
        <v>154</v>
      </c>
      <c r="F5058" s="7" t="s">
        <v>214</v>
      </c>
      <c r="G5058" s="7" t="s">
        <v>505</v>
      </c>
      <c r="H5058" s="6" t="n">
        <v>3.79</v>
      </c>
      <c r="I5058" s="6" t="n">
        <v>0</v>
      </c>
      <c r="J5058" s="40" t="n">
        <f aca="false">H5058-I5058</f>
        <v>3.79</v>
      </c>
      <c r="K5058" s="41" t="n">
        <v>26.5</v>
      </c>
      <c r="L5058" s="42" t="n">
        <f aca="false">J5058*K5058</f>
        <v>100.435</v>
      </c>
      <c r="M5058" s="43" t="n">
        <f aca="false">H5058*15.67*(1+'Chart of Accounts'!$E$67)</f>
        <v>68.0007485</v>
      </c>
    </row>
    <row r="5059" customFormat="false" ht="15" hidden="false" customHeight="false" outlineLevel="0" collapsed="false">
      <c r="B5059" s="7" t="s">
        <v>5556</v>
      </c>
      <c r="C5059" s="39" t="n">
        <v>45901</v>
      </c>
      <c r="D5059" s="7" t="s">
        <v>297</v>
      </c>
      <c r="E5059" s="7" t="s">
        <v>156</v>
      </c>
      <c r="F5059" s="7" t="s">
        <v>201</v>
      </c>
      <c r="G5059" s="7" t="s">
        <v>505</v>
      </c>
      <c r="H5059" s="6" t="n">
        <v>2.92</v>
      </c>
      <c r="I5059" s="6" t="n">
        <v>0</v>
      </c>
      <c r="J5059" s="40" t="n">
        <f aca="false">H5059-I5059</f>
        <v>2.92</v>
      </c>
      <c r="K5059" s="41" t="n">
        <v>34</v>
      </c>
      <c r="L5059" s="42" t="n">
        <f aca="false">J5059*K5059</f>
        <v>99.28</v>
      </c>
      <c r="M5059" s="43" t="n">
        <f aca="false">H5059*15.19*(1+'Chart of Accounts'!$E$67)</f>
        <v>50.786246</v>
      </c>
    </row>
    <row r="5060" customFormat="false" ht="15" hidden="false" customHeight="false" outlineLevel="0" collapsed="false">
      <c r="B5060" s="7" t="s">
        <v>5557</v>
      </c>
      <c r="C5060" s="39" t="n">
        <v>45901</v>
      </c>
      <c r="D5060" s="7" t="s">
        <v>305</v>
      </c>
      <c r="E5060" s="7" t="s">
        <v>154</v>
      </c>
      <c r="F5060" s="7" t="s">
        <v>205</v>
      </c>
      <c r="G5060" s="7" t="s">
        <v>505</v>
      </c>
      <c r="H5060" s="6" t="n">
        <v>3.65</v>
      </c>
      <c r="I5060" s="6" t="n">
        <v>0</v>
      </c>
      <c r="J5060" s="40" t="n">
        <f aca="false">H5060-I5060</f>
        <v>3.65</v>
      </c>
      <c r="K5060" s="41" t="n">
        <v>26.5</v>
      </c>
      <c r="L5060" s="42" t="n">
        <f aca="false">J5060*K5060</f>
        <v>96.725</v>
      </c>
      <c r="M5060" s="43" t="n">
        <f aca="false">H5060*16.36*(1+'Chart of Accounts'!$E$67)</f>
        <v>68.37253</v>
      </c>
    </row>
    <row r="5061" customFormat="false" ht="15" hidden="false" customHeight="false" outlineLevel="0" collapsed="false">
      <c r="B5061" s="7" t="s">
        <v>5558</v>
      </c>
      <c r="C5061" s="39" t="n">
        <v>45901</v>
      </c>
      <c r="D5061" s="7" t="s">
        <v>307</v>
      </c>
      <c r="E5061" s="7" t="s">
        <v>157</v>
      </c>
      <c r="F5061" s="7" t="s">
        <v>264</v>
      </c>
      <c r="G5061" s="7" t="s">
        <v>502</v>
      </c>
      <c r="H5061" s="6" t="n">
        <v>0.98</v>
      </c>
      <c r="I5061" s="6" t="n">
        <v>0</v>
      </c>
      <c r="J5061" s="40" t="n">
        <f aca="false">H5061-I5061</f>
        <v>0.98</v>
      </c>
      <c r="K5061" s="41" t="n">
        <v>165</v>
      </c>
      <c r="L5061" s="42" t="n">
        <f aca="false">J5061*K5061</f>
        <v>161.7</v>
      </c>
      <c r="M5061" s="43" t="n">
        <f aca="false">H5061*55.55*(1+'Chart of Accounts'!$E$67)</f>
        <v>62.332655</v>
      </c>
    </row>
    <row r="5062" customFormat="false" ht="15" hidden="false" customHeight="false" outlineLevel="0" collapsed="false">
      <c r="B5062" s="7" t="s">
        <v>5559</v>
      </c>
      <c r="C5062" s="39" t="n">
        <v>45901</v>
      </c>
      <c r="D5062" s="7" t="s">
        <v>309</v>
      </c>
      <c r="E5062" s="7" t="s">
        <v>159</v>
      </c>
      <c r="F5062" s="7" t="s">
        <v>252</v>
      </c>
      <c r="G5062" s="7" t="s">
        <v>502</v>
      </c>
      <c r="H5062" s="6" t="n">
        <v>1.07</v>
      </c>
      <c r="I5062" s="6" t="n">
        <v>0</v>
      </c>
      <c r="J5062" s="40" t="n">
        <f aca="false">H5062-I5062</f>
        <v>1.07</v>
      </c>
      <c r="K5062" s="41" t="n">
        <v>135</v>
      </c>
      <c r="L5062" s="42" t="n">
        <f aca="false">J5062*K5062</f>
        <v>144.45</v>
      </c>
      <c r="M5062" s="43" t="n">
        <f aca="false">H5062*57.54*(1+'Chart of Accounts'!$E$67)</f>
        <v>70.495131</v>
      </c>
    </row>
    <row r="5063" customFormat="false" ht="15" hidden="false" customHeight="false" outlineLevel="0" collapsed="false">
      <c r="B5063" s="7" t="s">
        <v>5560</v>
      </c>
      <c r="C5063" s="39" t="n">
        <v>45901</v>
      </c>
      <c r="D5063" s="7" t="s">
        <v>311</v>
      </c>
      <c r="E5063" s="7" t="s">
        <v>154</v>
      </c>
      <c r="F5063" s="7" t="s">
        <v>196</v>
      </c>
      <c r="G5063" s="7" t="s">
        <v>505</v>
      </c>
      <c r="H5063" s="6" t="n">
        <v>3.04</v>
      </c>
      <c r="I5063" s="6" t="n">
        <v>0</v>
      </c>
      <c r="J5063" s="40" t="n">
        <f aca="false">H5063-I5063</f>
        <v>3.04</v>
      </c>
      <c r="K5063" s="41" t="n">
        <v>26.5</v>
      </c>
      <c r="L5063" s="42" t="n">
        <f aca="false">J5063*K5063</f>
        <v>80.56</v>
      </c>
      <c r="M5063" s="43" t="n">
        <f aca="false">H5063*15.05*(1+'Chart of Accounts'!$E$67)</f>
        <v>52.38604</v>
      </c>
    </row>
    <row r="5064" customFormat="false" ht="15" hidden="false" customHeight="false" outlineLevel="0" collapsed="false">
      <c r="B5064" s="7" t="s">
        <v>5561</v>
      </c>
      <c r="C5064" s="39" t="n">
        <v>45901</v>
      </c>
      <c r="D5064" s="7" t="s">
        <v>313</v>
      </c>
      <c r="E5064" s="7" t="s">
        <v>156</v>
      </c>
      <c r="F5064" s="7" t="s">
        <v>184</v>
      </c>
      <c r="G5064" s="7" t="s">
        <v>505</v>
      </c>
      <c r="H5064" s="6" t="n">
        <v>4.21</v>
      </c>
      <c r="I5064" s="6" t="n">
        <v>0</v>
      </c>
      <c r="J5064" s="40" t="n">
        <f aca="false">H5064-I5064</f>
        <v>4.21</v>
      </c>
      <c r="K5064" s="41" t="n">
        <v>34</v>
      </c>
      <c r="L5064" s="42" t="n">
        <f aca="false">J5064*K5064</f>
        <v>143.14</v>
      </c>
      <c r="M5064" s="43" t="n">
        <f aca="false">H5064*17.34*(1+'Chart of Accounts'!$E$67)</f>
        <v>83.586603</v>
      </c>
    </row>
    <row r="5065" customFormat="false" ht="15" hidden="false" customHeight="false" outlineLevel="0" collapsed="false">
      <c r="B5065" s="7" t="s">
        <v>5562</v>
      </c>
      <c r="C5065" s="39" t="n">
        <v>45901</v>
      </c>
      <c r="D5065" s="7" t="s">
        <v>315</v>
      </c>
      <c r="E5065" s="7" t="s">
        <v>159</v>
      </c>
      <c r="F5065" s="7" t="s">
        <v>216</v>
      </c>
      <c r="G5065" s="7" t="s">
        <v>502</v>
      </c>
      <c r="H5065" s="6" t="n">
        <v>1</v>
      </c>
      <c r="I5065" s="6" t="n">
        <v>0</v>
      </c>
      <c r="J5065" s="40" t="n">
        <f aca="false">H5065-I5065</f>
        <v>1</v>
      </c>
      <c r="K5065" s="41" t="n">
        <v>135</v>
      </c>
      <c r="L5065" s="42" t="n">
        <f aca="false">J5065*K5065</f>
        <v>135</v>
      </c>
      <c r="M5065" s="43" t="n">
        <f aca="false">H5065*61.79*(1+'Chart of Accounts'!$E$67)</f>
        <v>70.74955</v>
      </c>
    </row>
    <row r="5066" customFormat="false" ht="15" hidden="false" customHeight="false" outlineLevel="0" collapsed="false">
      <c r="B5066" s="7" t="s">
        <v>5563</v>
      </c>
      <c r="C5066" s="39" t="n">
        <v>45901</v>
      </c>
      <c r="D5066" s="7" t="s">
        <v>317</v>
      </c>
      <c r="E5066" s="7" t="s">
        <v>156</v>
      </c>
      <c r="F5066" s="7" t="s">
        <v>240</v>
      </c>
      <c r="G5066" s="7" t="s">
        <v>505</v>
      </c>
      <c r="H5066" s="6" t="n">
        <v>2.86</v>
      </c>
      <c r="I5066" s="6" t="n">
        <v>0</v>
      </c>
      <c r="J5066" s="40" t="n">
        <f aca="false">H5066-I5066</f>
        <v>2.86</v>
      </c>
      <c r="K5066" s="41" t="n">
        <v>34</v>
      </c>
      <c r="L5066" s="42" t="n">
        <f aca="false">J5066*K5066</f>
        <v>97.24</v>
      </c>
      <c r="M5066" s="43" t="n">
        <f aca="false">H5066*16.96*(1+'Chart of Accounts'!$E$67)</f>
        <v>55.538912</v>
      </c>
    </row>
    <row r="5067" customFormat="false" ht="15" hidden="false" customHeight="false" outlineLevel="0" collapsed="false">
      <c r="B5067" s="7" t="s">
        <v>5564</v>
      </c>
      <c r="C5067" s="39" t="n">
        <v>45901</v>
      </c>
      <c r="D5067" s="7" t="s">
        <v>321</v>
      </c>
      <c r="E5067" s="7" t="s">
        <v>154</v>
      </c>
      <c r="F5067" s="7" t="s">
        <v>218</v>
      </c>
      <c r="G5067" s="7" t="s">
        <v>505</v>
      </c>
      <c r="H5067" s="6" t="n">
        <v>4</v>
      </c>
      <c r="I5067" s="6" t="n">
        <v>0</v>
      </c>
      <c r="J5067" s="40" t="n">
        <f aca="false">H5067-I5067</f>
        <v>4</v>
      </c>
      <c r="K5067" s="41" t="n">
        <v>26.5</v>
      </c>
      <c r="L5067" s="42" t="n">
        <f aca="false">J5067*K5067</f>
        <v>106</v>
      </c>
      <c r="M5067" s="43" t="n">
        <f aca="false">H5067*16.19*(1+'Chart of Accounts'!$E$67)</f>
        <v>74.1502</v>
      </c>
    </row>
    <row r="5068" customFormat="false" ht="15" hidden="false" customHeight="false" outlineLevel="0" collapsed="false">
      <c r="B5068" s="7" t="s">
        <v>5565</v>
      </c>
      <c r="C5068" s="39" t="n">
        <v>45901</v>
      </c>
      <c r="D5068" s="7" t="s">
        <v>325</v>
      </c>
      <c r="E5068" s="7" t="s">
        <v>154</v>
      </c>
      <c r="F5068" s="7" t="s">
        <v>244</v>
      </c>
      <c r="G5068" s="7" t="s">
        <v>505</v>
      </c>
      <c r="H5068" s="6" t="n">
        <v>3.05</v>
      </c>
      <c r="I5068" s="6" t="n">
        <v>0</v>
      </c>
      <c r="J5068" s="40" t="n">
        <f aca="false">H5068-I5068</f>
        <v>3.05</v>
      </c>
      <c r="K5068" s="41" t="n">
        <v>26.5</v>
      </c>
      <c r="L5068" s="42" t="n">
        <f aca="false">J5068*K5068</f>
        <v>80.825</v>
      </c>
      <c r="M5068" s="43" t="n">
        <f aca="false">H5068*16.39*(1+'Chart of Accounts'!$E$67)</f>
        <v>57.2379775</v>
      </c>
    </row>
    <row r="5069" customFormat="false" ht="15" hidden="false" customHeight="false" outlineLevel="0" collapsed="false">
      <c r="B5069" s="7" t="s">
        <v>5566</v>
      </c>
      <c r="C5069" s="39" t="n">
        <v>45901</v>
      </c>
      <c r="D5069" s="7" t="s">
        <v>329</v>
      </c>
      <c r="E5069" s="7" t="s">
        <v>156</v>
      </c>
      <c r="F5069" s="7" t="s">
        <v>220</v>
      </c>
      <c r="G5069" s="7" t="s">
        <v>505</v>
      </c>
      <c r="H5069" s="6" t="n">
        <v>3.64</v>
      </c>
      <c r="I5069" s="6" t="n">
        <v>0</v>
      </c>
      <c r="J5069" s="40" t="n">
        <f aca="false">H5069-I5069</f>
        <v>3.64</v>
      </c>
      <c r="K5069" s="41" t="n">
        <v>34</v>
      </c>
      <c r="L5069" s="42" t="n">
        <f aca="false">J5069*K5069</f>
        <v>123.76</v>
      </c>
      <c r="M5069" s="43" t="n">
        <f aca="false">H5069*16.43*(1+'Chart of Accounts'!$E$67)</f>
        <v>68.476954</v>
      </c>
    </row>
    <row r="5070" customFormat="false" ht="15" hidden="false" customHeight="false" outlineLevel="0" collapsed="false">
      <c r="B5070" s="7" t="s">
        <v>5567</v>
      </c>
      <c r="C5070" s="39" t="n">
        <v>45901</v>
      </c>
      <c r="D5070" s="7" t="s">
        <v>331</v>
      </c>
      <c r="E5070" s="7" t="s">
        <v>156</v>
      </c>
      <c r="F5070" s="7" t="s">
        <v>224</v>
      </c>
      <c r="G5070" s="7" t="s">
        <v>505</v>
      </c>
      <c r="H5070" s="6" t="n">
        <v>4.17</v>
      </c>
      <c r="I5070" s="6" t="n">
        <v>0</v>
      </c>
      <c r="J5070" s="40" t="n">
        <f aca="false">H5070-I5070</f>
        <v>4.17</v>
      </c>
      <c r="K5070" s="41" t="n">
        <v>34</v>
      </c>
      <c r="L5070" s="42" t="n">
        <f aca="false">J5070*K5070</f>
        <v>141.78</v>
      </c>
      <c r="M5070" s="43" t="n">
        <f aca="false">H5070*14.93*(1+'Chart of Accounts'!$E$67)</f>
        <v>71.2855245</v>
      </c>
    </row>
    <row r="5071" customFormat="false" ht="15" hidden="false" customHeight="false" outlineLevel="0" collapsed="false">
      <c r="B5071" s="7" t="s">
        <v>5568</v>
      </c>
      <c r="C5071" s="39" t="n">
        <v>45901</v>
      </c>
      <c r="D5071" s="7" t="s">
        <v>335</v>
      </c>
      <c r="E5071" s="7" t="s">
        <v>154</v>
      </c>
      <c r="F5071" s="7" t="s">
        <v>177</v>
      </c>
      <c r="G5071" s="7" t="s">
        <v>505</v>
      </c>
      <c r="H5071" s="6" t="n">
        <v>4.23</v>
      </c>
      <c r="I5071" s="6" t="n">
        <v>0</v>
      </c>
      <c r="J5071" s="40" t="n">
        <f aca="false">H5071-I5071</f>
        <v>4.23</v>
      </c>
      <c r="K5071" s="41" t="n">
        <v>26.5</v>
      </c>
      <c r="L5071" s="42" t="n">
        <f aca="false">J5071*K5071</f>
        <v>112.095</v>
      </c>
      <c r="M5071" s="43" t="n">
        <f aca="false">H5071*14.56*(1+'Chart of Accounts'!$E$67)</f>
        <v>70.519176</v>
      </c>
    </row>
    <row r="5072" customFormat="false" ht="15" hidden="false" customHeight="false" outlineLevel="0" collapsed="false">
      <c r="B5072" s="7" t="s">
        <v>5569</v>
      </c>
      <c r="C5072" s="39" t="n">
        <v>45901</v>
      </c>
      <c r="D5072" s="7" t="s">
        <v>339</v>
      </c>
      <c r="E5072" s="7" t="s">
        <v>154</v>
      </c>
      <c r="F5072" s="7" t="s">
        <v>242</v>
      </c>
      <c r="G5072" s="7" t="s">
        <v>505</v>
      </c>
      <c r="H5072" s="6" t="n">
        <v>3.03</v>
      </c>
      <c r="I5072" s="6" t="n">
        <v>0</v>
      </c>
      <c r="J5072" s="40" t="n">
        <f aca="false">H5072-I5072</f>
        <v>3.03</v>
      </c>
      <c r="K5072" s="41" t="n">
        <v>26.5</v>
      </c>
      <c r="L5072" s="42" t="n">
        <f aca="false">J5072*K5072</f>
        <v>80.295</v>
      </c>
      <c r="M5072" s="43" t="n">
        <f aca="false">H5072*17.99*(1+'Chart of Accounts'!$E$67)</f>
        <v>62.4136065</v>
      </c>
    </row>
    <row r="5073" customFormat="false" ht="15" hidden="false" customHeight="false" outlineLevel="0" collapsed="false">
      <c r="B5073" s="7" t="s">
        <v>5570</v>
      </c>
      <c r="C5073" s="39" t="n">
        <v>45901</v>
      </c>
      <c r="D5073" s="7" t="s">
        <v>341</v>
      </c>
      <c r="E5073" s="7" t="s">
        <v>156</v>
      </c>
      <c r="F5073" s="7" t="s">
        <v>222</v>
      </c>
      <c r="G5073" s="7" t="s">
        <v>505</v>
      </c>
      <c r="H5073" s="6" t="n">
        <v>2.81</v>
      </c>
      <c r="I5073" s="6" t="n">
        <v>0</v>
      </c>
      <c r="J5073" s="40" t="n">
        <f aca="false">H5073-I5073</f>
        <v>2.81</v>
      </c>
      <c r="K5073" s="41" t="n">
        <v>34</v>
      </c>
      <c r="L5073" s="42" t="n">
        <f aca="false">J5073*K5073</f>
        <v>95.54</v>
      </c>
      <c r="M5073" s="43" t="n">
        <f aca="false">H5073*17.84*(1+'Chart of Accounts'!$E$67)</f>
        <v>57.399308</v>
      </c>
    </row>
    <row r="5074" customFormat="false" ht="15" hidden="false" customHeight="false" outlineLevel="0" collapsed="false">
      <c r="B5074" s="7" t="s">
        <v>5571</v>
      </c>
      <c r="C5074" s="39" t="n">
        <v>45901</v>
      </c>
      <c r="D5074" s="7" t="s">
        <v>343</v>
      </c>
      <c r="E5074" s="7" t="s">
        <v>154</v>
      </c>
      <c r="F5074" s="7" t="s">
        <v>224</v>
      </c>
      <c r="G5074" s="7" t="s">
        <v>505</v>
      </c>
      <c r="H5074" s="6" t="n">
        <v>4.15</v>
      </c>
      <c r="I5074" s="6" t="n">
        <v>0</v>
      </c>
      <c r="J5074" s="40" t="n">
        <f aca="false">H5074-I5074</f>
        <v>4.15</v>
      </c>
      <c r="K5074" s="41" t="n">
        <v>26.5</v>
      </c>
      <c r="L5074" s="42" t="n">
        <f aca="false">J5074*K5074</f>
        <v>109.975</v>
      </c>
      <c r="M5074" s="43" t="n">
        <f aca="false">H5074*14.93*(1+'Chart of Accounts'!$E$67)</f>
        <v>70.9436275</v>
      </c>
    </row>
    <row r="5075" customFormat="false" ht="15" hidden="false" customHeight="false" outlineLevel="0" collapsed="false">
      <c r="B5075" s="7" t="s">
        <v>5572</v>
      </c>
      <c r="C5075" s="39" t="n">
        <v>45901</v>
      </c>
      <c r="D5075" s="7" t="s">
        <v>347</v>
      </c>
      <c r="E5075" s="7" t="s">
        <v>154</v>
      </c>
      <c r="F5075" s="7" t="s">
        <v>238</v>
      </c>
      <c r="G5075" s="7" t="s">
        <v>505</v>
      </c>
      <c r="H5075" s="6" t="n">
        <v>4.53</v>
      </c>
      <c r="I5075" s="6" t="n">
        <v>0</v>
      </c>
      <c r="J5075" s="40" t="n">
        <f aca="false">H5075-I5075</f>
        <v>4.53</v>
      </c>
      <c r="K5075" s="41" t="n">
        <v>26.5</v>
      </c>
      <c r="L5075" s="42" t="n">
        <f aca="false">J5075*K5075</f>
        <v>120.045</v>
      </c>
      <c r="M5075" s="43" t="n">
        <f aca="false">H5075*15.85*(1+'Chart of Accounts'!$E$67)</f>
        <v>82.2115725</v>
      </c>
    </row>
    <row r="5076" customFormat="false" ht="15" hidden="false" customHeight="false" outlineLevel="0" collapsed="false">
      <c r="B5076" s="7" t="s">
        <v>5573</v>
      </c>
      <c r="C5076" s="39" t="n">
        <v>45901</v>
      </c>
      <c r="D5076" s="7" t="s">
        <v>351</v>
      </c>
      <c r="E5076" s="7" t="s">
        <v>154</v>
      </c>
      <c r="F5076" s="7" t="s">
        <v>201</v>
      </c>
      <c r="G5076" s="7" t="s">
        <v>505</v>
      </c>
      <c r="H5076" s="6" t="n">
        <v>3.18</v>
      </c>
      <c r="I5076" s="6" t="n">
        <v>0</v>
      </c>
      <c r="J5076" s="40" t="n">
        <f aca="false">H5076-I5076</f>
        <v>3.18</v>
      </c>
      <c r="K5076" s="41" t="n">
        <v>26.5</v>
      </c>
      <c r="L5076" s="42" t="n">
        <f aca="false">J5076*K5076</f>
        <v>84.27</v>
      </c>
      <c r="M5076" s="43" t="n">
        <f aca="false">H5076*15.19*(1+'Chart of Accounts'!$E$67)</f>
        <v>55.308309</v>
      </c>
    </row>
    <row r="5077" customFormat="false" ht="15" hidden="false" customHeight="false" outlineLevel="0" collapsed="false">
      <c r="B5077" s="7" t="s">
        <v>5574</v>
      </c>
      <c r="C5077" s="39" t="n">
        <v>45901</v>
      </c>
      <c r="D5077" s="7" t="s">
        <v>353</v>
      </c>
      <c r="E5077" s="7" t="s">
        <v>154</v>
      </c>
      <c r="F5077" s="7" t="s">
        <v>254</v>
      </c>
      <c r="G5077" s="7" t="s">
        <v>505</v>
      </c>
      <c r="H5077" s="6" t="n">
        <v>3.27</v>
      </c>
      <c r="I5077" s="6" t="n">
        <v>0.098</v>
      </c>
      <c r="J5077" s="40" t="n">
        <f aca="false">H5077-I5077</f>
        <v>3.172</v>
      </c>
      <c r="K5077" s="41" t="n">
        <v>26.5</v>
      </c>
      <c r="L5077" s="42" t="n">
        <f aca="false">J5077*K5077</f>
        <v>84.058</v>
      </c>
      <c r="M5077" s="43" t="n">
        <f aca="false">H5077*17.1*(1+'Chart of Accounts'!$E$67)</f>
        <v>64.024965</v>
      </c>
    </row>
    <row r="5078" customFormat="false" ht="15" hidden="false" customHeight="false" outlineLevel="0" collapsed="false">
      <c r="B5078" s="7" t="s">
        <v>5575</v>
      </c>
      <c r="C5078" s="39" t="n">
        <v>45901</v>
      </c>
      <c r="D5078" s="7" t="s">
        <v>355</v>
      </c>
      <c r="E5078" s="7" t="s">
        <v>154</v>
      </c>
      <c r="F5078" s="7" t="s">
        <v>201</v>
      </c>
      <c r="G5078" s="7" t="s">
        <v>505</v>
      </c>
      <c r="H5078" s="6" t="n">
        <v>3.4</v>
      </c>
      <c r="I5078" s="6" t="n">
        <v>0</v>
      </c>
      <c r="J5078" s="40" t="n">
        <f aca="false">H5078-I5078</f>
        <v>3.4</v>
      </c>
      <c r="K5078" s="41" t="n">
        <v>26.5</v>
      </c>
      <c r="L5078" s="42" t="n">
        <f aca="false">J5078*K5078</f>
        <v>90.1</v>
      </c>
      <c r="M5078" s="43" t="n">
        <f aca="false">H5078*15.19*(1+'Chart of Accounts'!$E$67)</f>
        <v>59.13467</v>
      </c>
    </row>
    <row r="5079" customFormat="false" ht="15" hidden="false" customHeight="false" outlineLevel="0" collapsed="false">
      <c r="B5079" s="7" t="s">
        <v>5576</v>
      </c>
      <c r="C5079" s="39" t="n">
        <v>45901</v>
      </c>
      <c r="D5079" s="7" t="s">
        <v>357</v>
      </c>
      <c r="E5079" s="7" t="s">
        <v>154</v>
      </c>
      <c r="F5079" s="7" t="s">
        <v>254</v>
      </c>
      <c r="G5079" s="7" t="s">
        <v>505</v>
      </c>
      <c r="H5079" s="6" t="n">
        <v>3.56</v>
      </c>
      <c r="I5079" s="6" t="n">
        <v>0</v>
      </c>
      <c r="J5079" s="40" t="n">
        <f aca="false">H5079-I5079</f>
        <v>3.56</v>
      </c>
      <c r="K5079" s="41" t="n">
        <v>26.5</v>
      </c>
      <c r="L5079" s="42" t="n">
        <f aca="false">J5079*K5079</f>
        <v>94.34</v>
      </c>
      <c r="M5079" s="43" t="n">
        <f aca="false">H5079*17.1*(1+'Chart of Accounts'!$E$67)</f>
        <v>69.70302</v>
      </c>
    </row>
    <row r="5080" customFormat="false" ht="15" hidden="false" customHeight="false" outlineLevel="0" collapsed="false">
      <c r="B5080" s="7" t="s">
        <v>5577</v>
      </c>
      <c r="C5080" s="39" t="n">
        <v>45901</v>
      </c>
      <c r="D5080" s="7" t="s">
        <v>359</v>
      </c>
      <c r="E5080" s="7" t="s">
        <v>156</v>
      </c>
      <c r="F5080" s="7" t="s">
        <v>177</v>
      </c>
      <c r="G5080" s="7" t="s">
        <v>505</v>
      </c>
      <c r="H5080" s="6" t="n">
        <v>3.81</v>
      </c>
      <c r="I5080" s="6" t="n">
        <v>0</v>
      </c>
      <c r="J5080" s="40" t="n">
        <f aca="false">H5080-I5080</f>
        <v>3.81</v>
      </c>
      <c r="K5080" s="41" t="n">
        <v>34</v>
      </c>
      <c r="L5080" s="42" t="n">
        <f aca="false">J5080*K5080</f>
        <v>129.54</v>
      </c>
      <c r="M5080" s="43" t="n">
        <f aca="false">H5080*14.56*(1+'Chart of Accounts'!$E$67)</f>
        <v>63.517272</v>
      </c>
    </row>
    <row r="5081" customFormat="false" ht="15" hidden="false" customHeight="false" outlineLevel="0" collapsed="false">
      <c r="B5081" s="7" t="s">
        <v>5578</v>
      </c>
      <c r="C5081" s="39" t="n">
        <v>45901</v>
      </c>
      <c r="D5081" s="7" t="s">
        <v>363</v>
      </c>
      <c r="E5081" s="7" t="s">
        <v>156</v>
      </c>
      <c r="F5081" s="7" t="s">
        <v>246</v>
      </c>
      <c r="G5081" s="7" t="s">
        <v>505</v>
      </c>
      <c r="H5081" s="6" t="n">
        <v>4.01</v>
      </c>
      <c r="I5081" s="6" t="n">
        <v>0</v>
      </c>
      <c r="J5081" s="40" t="n">
        <f aca="false">H5081-I5081</f>
        <v>4.01</v>
      </c>
      <c r="K5081" s="41" t="n">
        <v>34</v>
      </c>
      <c r="L5081" s="42" t="n">
        <f aca="false">J5081*K5081</f>
        <v>136.34</v>
      </c>
      <c r="M5081" s="43" t="n">
        <f aca="false">H5081*16.48*(1+'Chart of Accounts'!$E$67)</f>
        <v>75.667096</v>
      </c>
    </row>
    <row r="5082" customFormat="false" ht="15" hidden="false" customHeight="false" outlineLevel="0" collapsed="false">
      <c r="B5082" s="7" t="s">
        <v>5579</v>
      </c>
      <c r="C5082" s="39" t="n">
        <v>45901</v>
      </c>
      <c r="D5082" s="7" t="s">
        <v>365</v>
      </c>
      <c r="E5082" s="7" t="s">
        <v>154</v>
      </c>
      <c r="F5082" s="7" t="s">
        <v>194</v>
      </c>
      <c r="G5082" s="7" t="s">
        <v>505</v>
      </c>
      <c r="H5082" s="6" t="n">
        <v>3.72</v>
      </c>
      <c r="I5082" s="6" t="n">
        <v>0</v>
      </c>
      <c r="J5082" s="40" t="n">
        <f aca="false">H5082-I5082</f>
        <v>3.72</v>
      </c>
      <c r="K5082" s="41" t="n">
        <v>26.5</v>
      </c>
      <c r="L5082" s="42" t="n">
        <f aca="false">J5082*K5082</f>
        <v>98.58</v>
      </c>
      <c r="M5082" s="43" t="n">
        <f aca="false">H5082*16*(1+'Chart of Accounts'!$E$67)</f>
        <v>68.1504</v>
      </c>
    </row>
    <row r="5083" customFormat="false" ht="15" hidden="false" customHeight="false" outlineLevel="0" collapsed="false">
      <c r="B5083" s="7" t="s">
        <v>5580</v>
      </c>
      <c r="C5083" s="39" t="n">
        <v>45901</v>
      </c>
      <c r="D5083" s="7" t="s">
        <v>371</v>
      </c>
      <c r="E5083" s="7" t="s">
        <v>154</v>
      </c>
      <c r="F5083" s="7" t="s">
        <v>232</v>
      </c>
      <c r="G5083" s="7" t="s">
        <v>505</v>
      </c>
      <c r="H5083" s="6" t="n">
        <v>4.35</v>
      </c>
      <c r="I5083" s="6" t="n">
        <v>0</v>
      </c>
      <c r="J5083" s="40" t="n">
        <f aca="false">H5083-I5083</f>
        <v>4.35</v>
      </c>
      <c r="K5083" s="41" t="n">
        <v>26.5</v>
      </c>
      <c r="L5083" s="42" t="n">
        <f aca="false">J5083*K5083</f>
        <v>115.275</v>
      </c>
      <c r="M5083" s="43" t="n">
        <f aca="false">H5083*16.17*(1+'Chart of Accounts'!$E$67)</f>
        <v>80.5387275</v>
      </c>
    </row>
    <row r="5084" customFormat="false" ht="15" hidden="false" customHeight="false" outlineLevel="0" collapsed="false">
      <c r="B5084" s="7" t="s">
        <v>5581</v>
      </c>
      <c r="C5084" s="39" t="n">
        <v>45901</v>
      </c>
      <c r="D5084" s="7" t="s">
        <v>375</v>
      </c>
      <c r="E5084" s="7" t="s">
        <v>156</v>
      </c>
      <c r="F5084" s="7" t="s">
        <v>196</v>
      </c>
      <c r="G5084" s="7" t="s">
        <v>505</v>
      </c>
      <c r="H5084" s="6" t="n">
        <v>2.85</v>
      </c>
      <c r="I5084" s="6" t="n">
        <v>0</v>
      </c>
      <c r="J5084" s="40" t="n">
        <f aca="false">H5084-I5084</f>
        <v>2.85</v>
      </c>
      <c r="K5084" s="41" t="n">
        <v>34</v>
      </c>
      <c r="L5084" s="42" t="n">
        <f aca="false">J5084*K5084</f>
        <v>96.9</v>
      </c>
      <c r="M5084" s="43" t="n">
        <f aca="false">H5084*15.05*(1+'Chart of Accounts'!$E$67)</f>
        <v>49.1119125</v>
      </c>
    </row>
    <row r="5085" customFormat="false" ht="15" hidden="false" customHeight="false" outlineLevel="0" collapsed="false">
      <c r="B5085" s="7" t="s">
        <v>5582</v>
      </c>
      <c r="C5085" s="39" t="n">
        <v>45901</v>
      </c>
      <c r="D5085" s="7" t="s">
        <v>379</v>
      </c>
      <c r="E5085" s="7" t="s">
        <v>156</v>
      </c>
      <c r="F5085" s="7" t="s">
        <v>224</v>
      </c>
      <c r="G5085" s="7" t="s">
        <v>505</v>
      </c>
      <c r="H5085" s="6" t="n">
        <v>5.1</v>
      </c>
      <c r="I5085" s="6" t="n">
        <v>0</v>
      </c>
      <c r="J5085" s="40" t="n">
        <f aca="false">H5085-I5085</f>
        <v>5.1</v>
      </c>
      <c r="K5085" s="41" t="n">
        <v>34</v>
      </c>
      <c r="L5085" s="42" t="n">
        <f aca="false">J5085*K5085</f>
        <v>173.4</v>
      </c>
      <c r="M5085" s="43" t="n">
        <f aca="false">H5085*14.93*(1+'Chart of Accounts'!$E$67)</f>
        <v>87.183735</v>
      </c>
    </row>
    <row r="5086" customFormat="false" ht="15" hidden="false" customHeight="false" outlineLevel="0" collapsed="false">
      <c r="B5086" s="7" t="s">
        <v>5583</v>
      </c>
      <c r="C5086" s="39" t="n">
        <v>45901</v>
      </c>
      <c r="D5086" s="7" t="s">
        <v>385</v>
      </c>
      <c r="E5086" s="7" t="s">
        <v>156</v>
      </c>
      <c r="F5086" s="7" t="s">
        <v>238</v>
      </c>
      <c r="G5086" s="7" t="s">
        <v>505</v>
      </c>
      <c r="H5086" s="6" t="n">
        <v>3.92</v>
      </c>
      <c r="I5086" s="6" t="n">
        <v>0</v>
      </c>
      <c r="J5086" s="40" t="n">
        <f aca="false">H5086-I5086</f>
        <v>3.92</v>
      </c>
      <c r="K5086" s="41" t="n">
        <v>34</v>
      </c>
      <c r="L5086" s="42" t="n">
        <f aca="false">J5086*K5086</f>
        <v>133.28</v>
      </c>
      <c r="M5086" s="43" t="n">
        <f aca="false">H5086*15.85*(1+'Chart of Accounts'!$E$67)</f>
        <v>71.14114</v>
      </c>
    </row>
    <row r="5087" customFormat="false" ht="15" hidden="false" customHeight="false" outlineLevel="0" collapsed="false">
      <c r="B5087" s="7" t="s">
        <v>5584</v>
      </c>
      <c r="C5087" s="39" t="n">
        <v>45901</v>
      </c>
      <c r="D5087" s="7" t="s">
        <v>387</v>
      </c>
      <c r="E5087" s="7" t="s">
        <v>154</v>
      </c>
      <c r="F5087" s="7" t="s">
        <v>196</v>
      </c>
      <c r="G5087" s="7" t="s">
        <v>505</v>
      </c>
      <c r="H5087" s="6" t="n">
        <v>3.63</v>
      </c>
      <c r="I5087" s="6" t="n">
        <v>0</v>
      </c>
      <c r="J5087" s="40" t="n">
        <f aca="false">H5087-I5087</f>
        <v>3.63</v>
      </c>
      <c r="K5087" s="41" t="n">
        <v>26.5</v>
      </c>
      <c r="L5087" s="42" t="n">
        <f aca="false">J5087*K5087</f>
        <v>96.195</v>
      </c>
      <c r="M5087" s="43" t="n">
        <f aca="false">H5087*15.05*(1+'Chart of Accounts'!$E$67)</f>
        <v>62.5530675</v>
      </c>
    </row>
    <row r="5088" customFormat="false" ht="15" hidden="false" customHeight="false" outlineLevel="0" collapsed="false">
      <c r="B5088" s="7" t="s">
        <v>5585</v>
      </c>
      <c r="C5088" s="39" t="n">
        <v>45901</v>
      </c>
      <c r="D5088" s="7" t="s">
        <v>389</v>
      </c>
      <c r="E5088" s="7" t="s">
        <v>154</v>
      </c>
      <c r="F5088" s="7" t="s">
        <v>246</v>
      </c>
      <c r="G5088" s="7" t="s">
        <v>505</v>
      </c>
      <c r="H5088" s="6" t="n">
        <v>3.92</v>
      </c>
      <c r="I5088" s="6" t="n">
        <v>0</v>
      </c>
      <c r="J5088" s="40" t="n">
        <f aca="false">H5088-I5088</f>
        <v>3.92</v>
      </c>
      <c r="K5088" s="41" t="n">
        <v>26.5</v>
      </c>
      <c r="L5088" s="42" t="n">
        <f aca="false">J5088*K5088</f>
        <v>103.88</v>
      </c>
      <c r="M5088" s="43" t="n">
        <f aca="false">H5088*16.48*(1+'Chart of Accounts'!$E$67)</f>
        <v>73.968832</v>
      </c>
    </row>
    <row r="5089" customFormat="false" ht="15" hidden="false" customHeight="false" outlineLevel="0" collapsed="false">
      <c r="B5089" s="7" t="s">
        <v>5586</v>
      </c>
      <c r="C5089" s="39" t="n">
        <v>45901</v>
      </c>
      <c r="D5089" s="7" t="s">
        <v>391</v>
      </c>
      <c r="E5089" s="7" t="s">
        <v>156</v>
      </c>
      <c r="F5089" s="7" t="s">
        <v>222</v>
      </c>
      <c r="G5089" s="7" t="s">
        <v>505</v>
      </c>
      <c r="H5089" s="6" t="n">
        <v>4.02</v>
      </c>
      <c r="I5089" s="6" t="n">
        <v>0</v>
      </c>
      <c r="J5089" s="40" t="n">
        <f aca="false">H5089-I5089</f>
        <v>4.02</v>
      </c>
      <c r="K5089" s="41" t="n">
        <v>34</v>
      </c>
      <c r="L5089" s="42" t="n">
        <f aca="false">J5089*K5089</f>
        <v>136.68</v>
      </c>
      <c r="M5089" s="43" t="n">
        <f aca="false">H5089*17.84*(1+'Chart of Accounts'!$E$67)</f>
        <v>82.115736</v>
      </c>
    </row>
    <row r="5090" customFormat="false" ht="15" hidden="false" customHeight="false" outlineLevel="0" collapsed="false">
      <c r="B5090" s="7" t="s">
        <v>5587</v>
      </c>
      <c r="C5090" s="39" t="n">
        <v>45901</v>
      </c>
      <c r="D5090" s="7" t="s">
        <v>395</v>
      </c>
      <c r="E5090" s="7" t="s">
        <v>156</v>
      </c>
      <c r="F5090" s="7" t="s">
        <v>242</v>
      </c>
      <c r="G5090" s="7" t="s">
        <v>505</v>
      </c>
      <c r="H5090" s="6" t="n">
        <v>3.62</v>
      </c>
      <c r="I5090" s="6" t="n">
        <v>0</v>
      </c>
      <c r="J5090" s="40" t="n">
        <f aca="false">H5090-I5090</f>
        <v>3.62</v>
      </c>
      <c r="K5090" s="41" t="n">
        <v>34</v>
      </c>
      <c r="L5090" s="42" t="n">
        <f aca="false">J5090*K5090</f>
        <v>123.08</v>
      </c>
      <c r="M5090" s="43" t="n">
        <f aca="false">H5090*17.99*(1+'Chart of Accounts'!$E$67)</f>
        <v>74.566751</v>
      </c>
    </row>
    <row r="5091" customFormat="false" ht="15" hidden="false" customHeight="false" outlineLevel="0" collapsed="false">
      <c r="B5091" s="7" t="s">
        <v>5588</v>
      </c>
      <c r="C5091" s="39" t="n">
        <v>45901</v>
      </c>
      <c r="D5091" s="7" t="s">
        <v>399</v>
      </c>
      <c r="E5091" s="7" t="s">
        <v>154</v>
      </c>
      <c r="F5091" s="7" t="s">
        <v>196</v>
      </c>
      <c r="G5091" s="7" t="s">
        <v>505</v>
      </c>
      <c r="H5091" s="6" t="n">
        <v>3.05</v>
      </c>
      <c r="I5091" s="6" t="n">
        <v>0</v>
      </c>
      <c r="J5091" s="40" t="n">
        <f aca="false">H5091-I5091</f>
        <v>3.05</v>
      </c>
      <c r="K5091" s="41" t="n">
        <v>26.5</v>
      </c>
      <c r="L5091" s="42" t="n">
        <f aca="false">J5091*K5091</f>
        <v>80.825</v>
      </c>
      <c r="M5091" s="43" t="n">
        <f aca="false">H5091*15.05*(1+'Chart of Accounts'!$E$67)</f>
        <v>52.5583625</v>
      </c>
    </row>
    <row r="5092" customFormat="false" ht="15" hidden="false" customHeight="false" outlineLevel="0" collapsed="false">
      <c r="B5092" s="7" t="s">
        <v>5589</v>
      </c>
      <c r="C5092" s="39" t="n">
        <v>45901</v>
      </c>
      <c r="D5092" s="7" t="s">
        <v>401</v>
      </c>
      <c r="E5092" s="7" t="s">
        <v>156</v>
      </c>
      <c r="F5092" s="7" t="s">
        <v>254</v>
      </c>
      <c r="G5092" s="7" t="s">
        <v>505</v>
      </c>
      <c r="H5092" s="6" t="n">
        <v>4.21</v>
      </c>
      <c r="I5092" s="6" t="n">
        <v>0</v>
      </c>
      <c r="J5092" s="40" t="n">
        <f aca="false">H5092-I5092</f>
        <v>4.21</v>
      </c>
      <c r="K5092" s="41" t="n">
        <v>34</v>
      </c>
      <c r="L5092" s="42" t="n">
        <f aca="false">J5092*K5092</f>
        <v>143.14</v>
      </c>
      <c r="M5092" s="43" t="n">
        <f aca="false">H5092*17.1*(1+'Chart of Accounts'!$E$67)</f>
        <v>82.429695</v>
      </c>
    </row>
    <row r="5093" customFormat="false" ht="15" hidden="false" customHeight="false" outlineLevel="0" collapsed="false">
      <c r="B5093" s="7" t="s">
        <v>5590</v>
      </c>
      <c r="C5093" s="39" t="n">
        <v>45901</v>
      </c>
      <c r="D5093" s="7" t="s">
        <v>403</v>
      </c>
      <c r="E5093" s="7" t="s">
        <v>156</v>
      </c>
      <c r="F5093" s="7" t="s">
        <v>184</v>
      </c>
      <c r="G5093" s="7" t="s">
        <v>505</v>
      </c>
      <c r="H5093" s="6" t="n">
        <v>4.2</v>
      </c>
      <c r="I5093" s="6" t="n">
        <v>0</v>
      </c>
      <c r="J5093" s="40" t="n">
        <f aca="false">H5093-I5093</f>
        <v>4.2</v>
      </c>
      <c r="K5093" s="41" t="n">
        <v>34</v>
      </c>
      <c r="L5093" s="42" t="n">
        <f aca="false">J5093*K5093</f>
        <v>142.8</v>
      </c>
      <c r="M5093" s="43" t="n">
        <f aca="false">H5093*17.34*(1+'Chart of Accounts'!$E$67)</f>
        <v>83.38806</v>
      </c>
    </row>
    <row r="5094" customFormat="false" ht="15" hidden="false" customHeight="false" outlineLevel="0" collapsed="false">
      <c r="B5094" s="7" t="s">
        <v>5591</v>
      </c>
      <c r="C5094" s="39" t="n">
        <v>45901</v>
      </c>
      <c r="D5094" s="7" t="s">
        <v>409</v>
      </c>
      <c r="E5094" s="7" t="s">
        <v>154</v>
      </c>
      <c r="F5094" s="7" t="s">
        <v>214</v>
      </c>
      <c r="G5094" s="7" t="s">
        <v>505</v>
      </c>
      <c r="H5094" s="6" t="n">
        <v>3.67</v>
      </c>
      <c r="I5094" s="6" t="n">
        <v>0</v>
      </c>
      <c r="J5094" s="40" t="n">
        <f aca="false">H5094-I5094</f>
        <v>3.67</v>
      </c>
      <c r="K5094" s="41" t="n">
        <v>26.5</v>
      </c>
      <c r="L5094" s="42" t="n">
        <f aca="false">J5094*K5094</f>
        <v>97.255</v>
      </c>
      <c r="M5094" s="43" t="n">
        <f aca="false">H5094*15.67*(1+'Chart of Accounts'!$E$67)</f>
        <v>65.8476905</v>
      </c>
    </row>
    <row r="5095" customFormat="false" ht="15" hidden="false" customHeight="false" outlineLevel="0" collapsed="false">
      <c r="B5095" s="7" t="s">
        <v>5592</v>
      </c>
      <c r="C5095" s="39" t="n">
        <v>45901</v>
      </c>
      <c r="D5095" s="7" t="s">
        <v>411</v>
      </c>
      <c r="E5095" s="7" t="s">
        <v>154</v>
      </c>
      <c r="F5095" s="7" t="s">
        <v>177</v>
      </c>
      <c r="G5095" s="7" t="s">
        <v>505</v>
      </c>
      <c r="H5095" s="6" t="n">
        <v>4.3</v>
      </c>
      <c r="I5095" s="6" t="n">
        <v>0</v>
      </c>
      <c r="J5095" s="40" t="n">
        <f aca="false">H5095-I5095</f>
        <v>4.3</v>
      </c>
      <c r="K5095" s="41" t="n">
        <v>26.5</v>
      </c>
      <c r="L5095" s="42" t="n">
        <f aca="false">J5095*K5095</f>
        <v>113.95</v>
      </c>
      <c r="M5095" s="43" t="n">
        <f aca="false">H5095*14.56*(1+'Chart of Accounts'!$E$67)</f>
        <v>71.68616</v>
      </c>
    </row>
    <row r="5096" customFormat="false" ht="15" hidden="false" customHeight="false" outlineLevel="0" collapsed="false">
      <c r="B5096" s="7" t="s">
        <v>5593</v>
      </c>
      <c r="C5096" s="39" t="n">
        <v>45902</v>
      </c>
      <c r="D5096" s="7" t="s">
        <v>288</v>
      </c>
      <c r="E5096" s="7" t="s">
        <v>156</v>
      </c>
      <c r="F5096" s="7" t="s">
        <v>218</v>
      </c>
      <c r="G5096" s="7" t="s">
        <v>505</v>
      </c>
      <c r="H5096" s="6" t="n">
        <v>4.32</v>
      </c>
      <c r="I5096" s="6" t="n">
        <v>0</v>
      </c>
      <c r="J5096" s="40" t="n">
        <f aca="false">H5096-I5096</f>
        <v>4.32</v>
      </c>
      <c r="K5096" s="41" t="n">
        <v>34</v>
      </c>
      <c r="L5096" s="42" t="n">
        <f aca="false">J5096*K5096</f>
        <v>146.88</v>
      </c>
      <c r="M5096" s="43" t="n">
        <f aca="false">H5096*16.19*(1+'Chart of Accounts'!$E$67)</f>
        <v>80.082216</v>
      </c>
    </row>
    <row r="5097" customFormat="false" ht="15" hidden="false" customHeight="false" outlineLevel="0" collapsed="false">
      <c r="B5097" s="7" t="s">
        <v>5594</v>
      </c>
      <c r="C5097" s="39" t="n">
        <v>45902</v>
      </c>
      <c r="D5097" s="7" t="s">
        <v>301</v>
      </c>
      <c r="E5097" s="7" t="s">
        <v>157</v>
      </c>
      <c r="F5097" s="7" t="s">
        <v>209</v>
      </c>
      <c r="G5097" s="7" t="s">
        <v>502</v>
      </c>
      <c r="H5097" s="6" t="n">
        <v>0.95</v>
      </c>
      <c r="I5097" s="6" t="n">
        <v>0.048</v>
      </c>
      <c r="J5097" s="40" t="n">
        <f aca="false">H5097-I5097</f>
        <v>0.902</v>
      </c>
      <c r="K5097" s="41" t="n">
        <v>165</v>
      </c>
      <c r="L5097" s="42" t="n">
        <f aca="false">J5097*K5097</f>
        <v>148.83</v>
      </c>
      <c r="M5097" s="43" t="n">
        <f aca="false">H5097*73.58*(1+'Chart of Accounts'!$E$67)</f>
        <v>80.036645</v>
      </c>
    </row>
    <row r="5098" customFormat="false" ht="15" hidden="false" customHeight="false" outlineLevel="0" collapsed="false">
      <c r="B5098" s="7" t="s">
        <v>5595</v>
      </c>
      <c r="C5098" s="39" t="n">
        <v>45902</v>
      </c>
      <c r="D5098" s="7" t="s">
        <v>313</v>
      </c>
      <c r="E5098" s="7" t="s">
        <v>156</v>
      </c>
      <c r="F5098" s="7" t="s">
        <v>184</v>
      </c>
      <c r="G5098" s="7" t="s">
        <v>505</v>
      </c>
      <c r="H5098" s="6" t="n">
        <v>3.87</v>
      </c>
      <c r="I5098" s="6" t="n">
        <v>0</v>
      </c>
      <c r="J5098" s="40" t="n">
        <f aca="false">H5098-I5098</f>
        <v>3.87</v>
      </c>
      <c r="K5098" s="41" t="n">
        <v>34</v>
      </c>
      <c r="L5098" s="42" t="n">
        <f aca="false">J5098*K5098</f>
        <v>131.58</v>
      </c>
      <c r="M5098" s="43" t="n">
        <f aca="false">H5098*17.34*(1+'Chart of Accounts'!$E$67)</f>
        <v>76.836141</v>
      </c>
    </row>
    <row r="5099" customFormat="false" ht="15" hidden="false" customHeight="false" outlineLevel="0" collapsed="false">
      <c r="B5099" s="7" t="s">
        <v>5596</v>
      </c>
      <c r="C5099" s="39" t="n">
        <v>45902</v>
      </c>
      <c r="D5099" s="7" t="s">
        <v>319</v>
      </c>
      <c r="E5099" s="7" t="s">
        <v>157</v>
      </c>
      <c r="F5099" s="7" t="s">
        <v>234</v>
      </c>
      <c r="G5099" s="7" t="s">
        <v>502</v>
      </c>
      <c r="H5099" s="6" t="n">
        <v>0.93</v>
      </c>
      <c r="I5099" s="6" t="n">
        <v>0</v>
      </c>
      <c r="J5099" s="40" t="n">
        <f aca="false">H5099-I5099</f>
        <v>0.93</v>
      </c>
      <c r="K5099" s="41" t="n">
        <v>165</v>
      </c>
      <c r="L5099" s="42" t="n">
        <f aca="false">J5099*K5099</f>
        <v>153.45</v>
      </c>
      <c r="M5099" s="43" t="n">
        <f aca="false">H5099*89.53*(1+'Chart of Accounts'!$E$67)</f>
        <v>95.3360205</v>
      </c>
    </row>
    <row r="5100" customFormat="false" ht="15" hidden="false" customHeight="false" outlineLevel="0" collapsed="false">
      <c r="B5100" s="7" t="s">
        <v>5597</v>
      </c>
      <c r="C5100" s="39" t="n">
        <v>45902</v>
      </c>
      <c r="D5100" s="7" t="s">
        <v>321</v>
      </c>
      <c r="E5100" s="7" t="s">
        <v>154</v>
      </c>
      <c r="F5100" s="7" t="s">
        <v>218</v>
      </c>
      <c r="G5100" s="7" t="s">
        <v>505</v>
      </c>
      <c r="H5100" s="6" t="n">
        <v>3.84</v>
      </c>
      <c r="I5100" s="6" t="n">
        <v>0.115</v>
      </c>
      <c r="J5100" s="40" t="n">
        <f aca="false">H5100-I5100</f>
        <v>3.725</v>
      </c>
      <c r="K5100" s="41" t="n">
        <v>26.5</v>
      </c>
      <c r="L5100" s="42" t="n">
        <f aca="false">J5100*K5100</f>
        <v>98.7125</v>
      </c>
      <c r="M5100" s="43" t="n">
        <f aca="false">H5100*16.19*(1+'Chart of Accounts'!$E$67)</f>
        <v>71.184192</v>
      </c>
    </row>
    <row r="5101" customFormat="false" ht="15" hidden="false" customHeight="false" outlineLevel="0" collapsed="false">
      <c r="B5101" s="7" t="s">
        <v>5598</v>
      </c>
      <c r="C5101" s="39" t="n">
        <v>45902</v>
      </c>
      <c r="D5101" s="7" t="s">
        <v>323</v>
      </c>
      <c r="E5101" s="7" t="s">
        <v>159</v>
      </c>
      <c r="F5101" s="7" t="s">
        <v>266</v>
      </c>
      <c r="G5101" s="7" t="s">
        <v>502</v>
      </c>
      <c r="H5101" s="6" t="n">
        <v>0.92</v>
      </c>
      <c r="I5101" s="6" t="n">
        <v>0.064</v>
      </c>
      <c r="J5101" s="40" t="n">
        <f aca="false">H5101-I5101</f>
        <v>0.856</v>
      </c>
      <c r="K5101" s="41" t="n">
        <v>135</v>
      </c>
      <c r="L5101" s="42" t="n">
        <f aca="false">J5101*K5101</f>
        <v>115.56</v>
      </c>
      <c r="M5101" s="43" t="n">
        <f aca="false">H5101*75.18*(1+'Chart of Accounts'!$E$67)</f>
        <v>79.194612</v>
      </c>
    </row>
    <row r="5102" customFormat="false" ht="15" hidden="false" customHeight="false" outlineLevel="0" collapsed="false">
      <c r="B5102" s="7" t="s">
        <v>5599</v>
      </c>
      <c r="C5102" s="39" t="n">
        <v>45902</v>
      </c>
      <c r="D5102" s="7" t="s">
        <v>327</v>
      </c>
      <c r="E5102" s="7" t="s">
        <v>157</v>
      </c>
      <c r="F5102" s="7" t="s">
        <v>228</v>
      </c>
      <c r="G5102" s="7" t="s">
        <v>502</v>
      </c>
      <c r="H5102" s="6" t="n">
        <v>0.94</v>
      </c>
      <c r="I5102" s="6" t="n">
        <v>0.047</v>
      </c>
      <c r="J5102" s="40" t="n">
        <f aca="false">H5102-I5102</f>
        <v>0.893</v>
      </c>
      <c r="K5102" s="41" t="n">
        <v>165</v>
      </c>
      <c r="L5102" s="42" t="n">
        <f aca="false">J5102*K5102</f>
        <v>147.345</v>
      </c>
      <c r="M5102" s="43" t="n">
        <f aca="false">H5102*51.07*(1+'Chart of Accounts'!$E$67)</f>
        <v>54.966641</v>
      </c>
    </row>
    <row r="5103" customFormat="false" ht="15" hidden="false" customHeight="false" outlineLevel="0" collapsed="false">
      <c r="B5103" s="7" t="s">
        <v>5600</v>
      </c>
      <c r="C5103" s="39" t="n">
        <v>45902</v>
      </c>
      <c r="D5103" s="7" t="s">
        <v>329</v>
      </c>
      <c r="E5103" s="7" t="s">
        <v>156</v>
      </c>
      <c r="F5103" s="7" t="s">
        <v>220</v>
      </c>
      <c r="G5103" s="7" t="s">
        <v>505</v>
      </c>
      <c r="H5103" s="6" t="n">
        <v>4.05</v>
      </c>
      <c r="I5103" s="6" t="n">
        <v>0</v>
      </c>
      <c r="J5103" s="40" t="n">
        <f aca="false">H5103-I5103</f>
        <v>4.05</v>
      </c>
      <c r="K5103" s="41" t="n">
        <v>34</v>
      </c>
      <c r="L5103" s="42" t="n">
        <f aca="false">J5103*K5103</f>
        <v>137.7</v>
      </c>
      <c r="M5103" s="43" t="n">
        <f aca="false">H5103*16.43*(1+'Chart of Accounts'!$E$67)</f>
        <v>76.1900175</v>
      </c>
    </row>
    <row r="5104" customFormat="false" ht="15" hidden="false" customHeight="false" outlineLevel="0" collapsed="false">
      <c r="B5104" s="7" t="s">
        <v>5601</v>
      </c>
      <c r="C5104" s="39" t="n">
        <v>45902</v>
      </c>
      <c r="D5104" s="7" t="s">
        <v>359</v>
      </c>
      <c r="E5104" s="7" t="s">
        <v>156</v>
      </c>
      <c r="F5104" s="7" t="s">
        <v>194</v>
      </c>
      <c r="G5104" s="7" t="s">
        <v>505</v>
      </c>
      <c r="H5104" s="6" t="n">
        <v>4.2</v>
      </c>
      <c r="I5104" s="6" t="n">
        <v>0</v>
      </c>
      <c r="J5104" s="40" t="n">
        <f aca="false">H5104-I5104</f>
        <v>4.2</v>
      </c>
      <c r="K5104" s="41" t="n">
        <v>34</v>
      </c>
      <c r="L5104" s="42" t="n">
        <f aca="false">J5104*K5104</f>
        <v>142.8</v>
      </c>
      <c r="M5104" s="43" t="n">
        <f aca="false">H5104*16*(1+'Chart of Accounts'!$E$67)</f>
        <v>76.944</v>
      </c>
    </row>
    <row r="5105" customFormat="false" ht="15" hidden="false" customHeight="false" outlineLevel="0" collapsed="false">
      <c r="B5105" s="7" t="s">
        <v>5602</v>
      </c>
      <c r="C5105" s="39" t="n">
        <v>45902</v>
      </c>
      <c r="D5105" s="7" t="s">
        <v>361</v>
      </c>
      <c r="E5105" s="7" t="s">
        <v>157</v>
      </c>
      <c r="F5105" s="7" t="s">
        <v>209</v>
      </c>
      <c r="G5105" s="7" t="s">
        <v>502</v>
      </c>
      <c r="H5105" s="6" t="n">
        <v>0.93</v>
      </c>
      <c r="I5105" s="6" t="n">
        <v>0</v>
      </c>
      <c r="J5105" s="40" t="n">
        <f aca="false">H5105-I5105</f>
        <v>0.93</v>
      </c>
      <c r="K5105" s="41" t="n">
        <v>165</v>
      </c>
      <c r="L5105" s="42" t="n">
        <f aca="false">J5105*K5105</f>
        <v>153.45</v>
      </c>
      <c r="M5105" s="43" t="n">
        <f aca="false">H5105*73.58*(1+'Chart of Accounts'!$E$67)</f>
        <v>78.351663</v>
      </c>
    </row>
    <row r="5106" customFormat="false" ht="15" hidden="false" customHeight="false" outlineLevel="0" collapsed="false">
      <c r="B5106" s="7" t="s">
        <v>5603</v>
      </c>
      <c r="C5106" s="39" t="n">
        <v>45902</v>
      </c>
      <c r="D5106" s="7" t="s">
        <v>365</v>
      </c>
      <c r="E5106" s="7" t="s">
        <v>154</v>
      </c>
      <c r="F5106" s="7" t="s">
        <v>194</v>
      </c>
      <c r="G5106" s="7" t="s">
        <v>505</v>
      </c>
      <c r="H5106" s="6" t="n">
        <v>4.2</v>
      </c>
      <c r="I5106" s="6" t="n">
        <v>0</v>
      </c>
      <c r="J5106" s="40" t="n">
        <f aca="false">H5106-I5106</f>
        <v>4.2</v>
      </c>
      <c r="K5106" s="41" t="n">
        <v>26.5</v>
      </c>
      <c r="L5106" s="42" t="n">
        <f aca="false">J5106*K5106</f>
        <v>111.3</v>
      </c>
      <c r="M5106" s="43" t="n">
        <f aca="false">H5106*16*(1+'Chart of Accounts'!$E$67)</f>
        <v>76.944</v>
      </c>
    </row>
    <row r="5107" customFormat="false" ht="15" hidden="false" customHeight="false" outlineLevel="0" collapsed="false">
      <c r="B5107" s="7" t="s">
        <v>5604</v>
      </c>
      <c r="C5107" s="39" t="n">
        <v>45902</v>
      </c>
      <c r="D5107" s="7" t="s">
        <v>369</v>
      </c>
      <c r="E5107" s="7" t="s">
        <v>159</v>
      </c>
      <c r="F5107" s="7" t="s">
        <v>258</v>
      </c>
      <c r="G5107" s="7" t="s">
        <v>502</v>
      </c>
      <c r="H5107" s="6" t="n">
        <v>1.09</v>
      </c>
      <c r="I5107" s="6" t="n">
        <v>0</v>
      </c>
      <c r="J5107" s="40" t="n">
        <f aca="false">H5107-I5107</f>
        <v>1.09</v>
      </c>
      <c r="K5107" s="41" t="n">
        <v>135</v>
      </c>
      <c r="L5107" s="42" t="n">
        <f aca="false">J5107*K5107</f>
        <v>147.15</v>
      </c>
      <c r="M5107" s="43" t="n">
        <f aca="false">H5107*61.61*(1+'Chart of Accounts'!$E$67)</f>
        <v>76.8923605</v>
      </c>
    </row>
    <row r="5108" customFormat="false" ht="15" hidden="false" customHeight="false" outlineLevel="0" collapsed="false">
      <c r="B5108" s="7" t="s">
        <v>5605</v>
      </c>
      <c r="C5108" s="39" t="n">
        <v>45902</v>
      </c>
      <c r="D5108" s="7" t="s">
        <v>381</v>
      </c>
      <c r="E5108" s="7" t="s">
        <v>157</v>
      </c>
      <c r="F5108" s="7" t="s">
        <v>234</v>
      </c>
      <c r="G5108" s="7" t="s">
        <v>502</v>
      </c>
      <c r="H5108" s="6" t="n">
        <v>0.99</v>
      </c>
      <c r="I5108" s="6" t="n">
        <v>0.05</v>
      </c>
      <c r="J5108" s="40" t="n">
        <f aca="false">H5108-I5108</f>
        <v>0.94</v>
      </c>
      <c r="K5108" s="41" t="n">
        <v>165</v>
      </c>
      <c r="L5108" s="42" t="n">
        <f aca="false">J5108*K5108</f>
        <v>155.1</v>
      </c>
      <c r="M5108" s="43" t="n">
        <f aca="false">H5108*89.53*(1+'Chart of Accounts'!$E$67)</f>
        <v>101.4867315</v>
      </c>
    </row>
    <row r="5109" customFormat="false" ht="15" hidden="false" customHeight="false" outlineLevel="0" collapsed="false">
      <c r="B5109" s="7" t="s">
        <v>5606</v>
      </c>
      <c r="C5109" s="39" t="n">
        <v>45902</v>
      </c>
      <c r="D5109" s="7" t="s">
        <v>383</v>
      </c>
      <c r="E5109" s="7" t="s">
        <v>157</v>
      </c>
      <c r="F5109" s="7" t="s">
        <v>230</v>
      </c>
      <c r="G5109" s="7" t="s">
        <v>502</v>
      </c>
      <c r="H5109" s="6" t="n">
        <v>0.92</v>
      </c>
      <c r="I5109" s="6" t="n">
        <v>0</v>
      </c>
      <c r="J5109" s="40" t="n">
        <f aca="false">H5109-I5109</f>
        <v>0.92</v>
      </c>
      <c r="K5109" s="41" t="n">
        <v>165</v>
      </c>
      <c r="L5109" s="42" t="n">
        <f aca="false">J5109*K5109</f>
        <v>151.8</v>
      </c>
      <c r="M5109" s="43" t="n">
        <f aca="false">H5109*48.78*(1+'Chart of Accounts'!$E$67)</f>
        <v>51.384852</v>
      </c>
    </row>
    <row r="5110" customFormat="false" ht="15" hidden="false" customHeight="false" outlineLevel="0" collapsed="false">
      <c r="B5110" s="7" t="s">
        <v>5607</v>
      </c>
      <c r="C5110" s="39" t="n">
        <v>45902</v>
      </c>
      <c r="D5110" s="7" t="s">
        <v>387</v>
      </c>
      <c r="E5110" s="7" t="s">
        <v>154</v>
      </c>
      <c r="F5110" s="7" t="s">
        <v>196</v>
      </c>
      <c r="G5110" s="7" t="s">
        <v>505</v>
      </c>
      <c r="H5110" s="6" t="n">
        <v>4.4</v>
      </c>
      <c r="I5110" s="6" t="n">
        <v>0</v>
      </c>
      <c r="J5110" s="40" t="n">
        <f aca="false">H5110-I5110</f>
        <v>4.4</v>
      </c>
      <c r="K5110" s="41" t="n">
        <v>26.5</v>
      </c>
      <c r="L5110" s="42" t="n">
        <f aca="false">J5110*K5110</f>
        <v>116.6</v>
      </c>
      <c r="M5110" s="43" t="n">
        <f aca="false">H5110*15.05*(1+'Chart of Accounts'!$E$67)</f>
        <v>75.8219</v>
      </c>
    </row>
    <row r="5111" customFormat="false" ht="15" hidden="false" customHeight="false" outlineLevel="0" collapsed="false">
      <c r="B5111" s="7" t="s">
        <v>5608</v>
      </c>
      <c r="C5111" s="39" t="n">
        <v>45902</v>
      </c>
      <c r="D5111" s="7" t="s">
        <v>389</v>
      </c>
      <c r="E5111" s="7" t="s">
        <v>154</v>
      </c>
      <c r="F5111" s="7" t="s">
        <v>246</v>
      </c>
      <c r="G5111" s="7" t="s">
        <v>505</v>
      </c>
      <c r="H5111" s="6" t="n">
        <v>4.1</v>
      </c>
      <c r="I5111" s="6" t="n">
        <v>0</v>
      </c>
      <c r="J5111" s="40" t="n">
        <f aca="false">H5111-I5111</f>
        <v>4.1</v>
      </c>
      <c r="K5111" s="41" t="n">
        <v>26.5</v>
      </c>
      <c r="L5111" s="42" t="n">
        <f aca="false">J5111*K5111</f>
        <v>108.65</v>
      </c>
      <c r="M5111" s="43" t="n">
        <f aca="false">H5111*16.48*(1+'Chart of Accounts'!$E$67)</f>
        <v>77.36536</v>
      </c>
    </row>
    <row r="5112" customFormat="false" ht="15" hidden="false" customHeight="false" outlineLevel="0" collapsed="false">
      <c r="B5112" s="7" t="s">
        <v>5609</v>
      </c>
      <c r="C5112" s="39" t="n">
        <v>45902</v>
      </c>
      <c r="D5112" s="7" t="s">
        <v>391</v>
      </c>
      <c r="E5112" s="7" t="s">
        <v>156</v>
      </c>
      <c r="F5112" s="7" t="s">
        <v>222</v>
      </c>
      <c r="G5112" s="7" t="s">
        <v>505</v>
      </c>
      <c r="H5112" s="6" t="n">
        <v>4.36</v>
      </c>
      <c r="I5112" s="6" t="n">
        <v>0</v>
      </c>
      <c r="J5112" s="40" t="n">
        <f aca="false">H5112-I5112</f>
        <v>4.36</v>
      </c>
      <c r="K5112" s="41" t="n">
        <v>34</v>
      </c>
      <c r="L5112" s="42" t="n">
        <f aca="false">J5112*K5112</f>
        <v>148.24</v>
      </c>
      <c r="M5112" s="43" t="n">
        <f aca="false">H5112*17.84*(1+'Chart of Accounts'!$E$67)</f>
        <v>89.060848</v>
      </c>
    </row>
    <row r="5113" customFormat="false" ht="15" hidden="false" customHeight="false" outlineLevel="0" collapsed="false">
      <c r="B5113" s="7" t="s">
        <v>5610</v>
      </c>
      <c r="C5113" s="39" t="n">
        <v>45902</v>
      </c>
      <c r="D5113" s="7" t="s">
        <v>395</v>
      </c>
      <c r="E5113" s="7" t="s">
        <v>156</v>
      </c>
      <c r="F5113" s="7" t="s">
        <v>242</v>
      </c>
      <c r="G5113" s="7" t="s">
        <v>505</v>
      </c>
      <c r="H5113" s="6" t="n">
        <v>4.03</v>
      </c>
      <c r="I5113" s="6" t="n">
        <v>0</v>
      </c>
      <c r="J5113" s="40" t="n">
        <f aca="false">H5113-I5113</f>
        <v>4.03</v>
      </c>
      <c r="K5113" s="41" t="n">
        <v>34</v>
      </c>
      <c r="L5113" s="42" t="n">
        <f aca="false">J5113*K5113</f>
        <v>137.02</v>
      </c>
      <c r="M5113" s="43" t="n">
        <f aca="false">H5113*17.99*(1+'Chart of Accounts'!$E$67)</f>
        <v>83.0121565</v>
      </c>
    </row>
    <row r="5114" customFormat="false" ht="15" hidden="false" customHeight="false" outlineLevel="0" collapsed="false">
      <c r="B5114" s="7" t="s">
        <v>5611</v>
      </c>
      <c r="C5114" s="39" t="n">
        <v>45902</v>
      </c>
      <c r="D5114" s="7" t="s">
        <v>397</v>
      </c>
      <c r="E5114" s="7" t="s">
        <v>159</v>
      </c>
      <c r="F5114" s="7" t="s">
        <v>203</v>
      </c>
      <c r="G5114" s="7" t="s">
        <v>502</v>
      </c>
      <c r="H5114" s="6" t="n">
        <v>1.1</v>
      </c>
      <c r="I5114" s="6" t="n">
        <v>0</v>
      </c>
      <c r="J5114" s="40" t="n">
        <f aca="false">H5114-I5114</f>
        <v>1.1</v>
      </c>
      <c r="K5114" s="41" t="n">
        <v>135</v>
      </c>
      <c r="L5114" s="42" t="n">
        <f aca="false">J5114*K5114</f>
        <v>148.5</v>
      </c>
      <c r="M5114" s="43" t="n">
        <f aca="false">H5114*49.43*(1+'Chart of Accounts'!$E$67)</f>
        <v>62.257085</v>
      </c>
    </row>
    <row r="5115" customFormat="false" ht="15" hidden="false" customHeight="false" outlineLevel="0" collapsed="false">
      <c r="B5115" s="7" t="s">
        <v>5612</v>
      </c>
      <c r="C5115" s="39" t="n">
        <v>45902</v>
      </c>
      <c r="D5115" s="7" t="s">
        <v>401</v>
      </c>
      <c r="E5115" s="7" t="s">
        <v>156</v>
      </c>
      <c r="F5115" s="7" t="s">
        <v>254</v>
      </c>
      <c r="G5115" s="7" t="s">
        <v>505</v>
      </c>
      <c r="H5115" s="6" t="n">
        <v>3.95</v>
      </c>
      <c r="I5115" s="6" t="n">
        <v>0</v>
      </c>
      <c r="J5115" s="40" t="n">
        <f aca="false">H5115-I5115</f>
        <v>3.95</v>
      </c>
      <c r="K5115" s="41" t="n">
        <v>34</v>
      </c>
      <c r="L5115" s="42" t="n">
        <f aca="false">J5115*K5115</f>
        <v>134.3</v>
      </c>
      <c r="M5115" s="43" t="n">
        <f aca="false">H5115*17.1*(1+'Chart of Accounts'!$E$67)</f>
        <v>77.339025</v>
      </c>
    </row>
    <row r="5116" customFormat="false" ht="15" hidden="false" customHeight="false" outlineLevel="0" collapsed="false">
      <c r="B5116" s="7" t="s">
        <v>5613</v>
      </c>
      <c r="C5116" s="39" t="n">
        <v>45902</v>
      </c>
      <c r="D5116" s="7" t="s">
        <v>407</v>
      </c>
      <c r="E5116" s="7" t="s">
        <v>159</v>
      </c>
      <c r="F5116" s="7" t="s">
        <v>260</v>
      </c>
      <c r="G5116" s="7" t="s">
        <v>502</v>
      </c>
      <c r="H5116" s="6" t="n">
        <v>0.96</v>
      </c>
      <c r="I5116" s="6" t="n">
        <v>0.067</v>
      </c>
      <c r="J5116" s="40" t="n">
        <f aca="false">H5116-I5116</f>
        <v>0.893</v>
      </c>
      <c r="K5116" s="41" t="n">
        <v>135</v>
      </c>
      <c r="L5116" s="42" t="n">
        <f aca="false">J5116*K5116</f>
        <v>120.555</v>
      </c>
      <c r="M5116" s="43" t="n">
        <f aca="false">H5116*79.8*(1+'Chart of Accounts'!$E$67)</f>
        <v>87.71616</v>
      </c>
    </row>
    <row r="5117" customFormat="false" ht="15" hidden="false" customHeight="false" outlineLevel="0" collapsed="false">
      <c r="B5117" s="7" t="s">
        <v>5614</v>
      </c>
      <c r="C5117" s="39" t="n">
        <v>45903</v>
      </c>
      <c r="D5117" s="7" t="s">
        <v>288</v>
      </c>
      <c r="E5117" s="7" t="s">
        <v>156</v>
      </c>
      <c r="F5117" s="7" t="s">
        <v>224</v>
      </c>
      <c r="G5117" s="7" t="s">
        <v>505</v>
      </c>
      <c r="H5117" s="6" t="n">
        <v>3.87</v>
      </c>
      <c r="I5117" s="6" t="n">
        <v>0</v>
      </c>
      <c r="J5117" s="40" t="n">
        <f aca="false">H5117-I5117</f>
        <v>3.87</v>
      </c>
      <c r="K5117" s="41" t="n">
        <v>34</v>
      </c>
      <c r="L5117" s="42" t="n">
        <f aca="false">J5117*K5117</f>
        <v>131.58</v>
      </c>
      <c r="M5117" s="43" t="n">
        <f aca="false">H5117*14.93*(1+'Chart of Accounts'!$E$67)</f>
        <v>66.1570695</v>
      </c>
    </row>
    <row r="5118" customFormat="false" ht="15" hidden="false" customHeight="false" outlineLevel="0" collapsed="false">
      <c r="B5118" s="7" t="s">
        <v>5615</v>
      </c>
      <c r="C5118" s="39" t="n">
        <v>45903</v>
      </c>
      <c r="D5118" s="7" t="s">
        <v>291</v>
      </c>
      <c r="E5118" s="7" t="s">
        <v>154</v>
      </c>
      <c r="F5118" s="7" t="s">
        <v>194</v>
      </c>
      <c r="G5118" s="7" t="s">
        <v>505</v>
      </c>
      <c r="H5118" s="6" t="n">
        <v>4.25</v>
      </c>
      <c r="I5118" s="6" t="n">
        <v>0.128</v>
      </c>
      <c r="J5118" s="40" t="n">
        <f aca="false">H5118-I5118</f>
        <v>4.122</v>
      </c>
      <c r="K5118" s="41" t="n">
        <v>26.5</v>
      </c>
      <c r="L5118" s="42" t="n">
        <f aca="false">J5118*K5118</f>
        <v>109.233</v>
      </c>
      <c r="M5118" s="43" t="n">
        <f aca="false">H5118*16*(1+'Chart of Accounts'!$E$67)</f>
        <v>77.86</v>
      </c>
    </row>
    <row r="5119" customFormat="false" ht="15" hidden="false" customHeight="false" outlineLevel="0" collapsed="false">
      <c r="B5119" s="7" t="s">
        <v>5616</v>
      </c>
      <c r="C5119" s="39" t="n">
        <v>45903</v>
      </c>
      <c r="D5119" s="7" t="s">
        <v>295</v>
      </c>
      <c r="E5119" s="7" t="s">
        <v>154</v>
      </c>
      <c r="F5119" s="7" t="s">
        <v>214</v>
      </c>
      <c r="G5119" s="7" t="s">
        <v>505</v>
      </c>
      <c r="H5119" s="6" t="n">
        <v>4.08</v>
      </c>
      <c r="I5119" s="6" t="n">
        <v>0</v>
      </c>
      <c r="J5119" s="40" t="n">
        <f aca="false">H5119-I5119</f>
        <v>4.08</v>
      </c>
      <c r="K5119" s="41" t="n">
        <v>26.5</v>
      </c>
      <c r="L5119" s="42" t="n">
        <f aca="false">J5119*K5119</f>
        <v>108.12</v>
      </c>
      <c r="M5119" s="43" t="n">
        <f aca="false">H5119*15.67*(1+'Chart of Accounts'!$E$67)</f>
        <v>73.203972</v>
      </c>
    </row>
    <row r="5120" customFormat="false" ht="15" hidden="false" customHeight="false" outlineLevel="0" collapsed="false">
      <c r="B5120" s="7" t="s">
        <v>5617</v>
      </c>
      <c r="C5120" s="39" t="n">
        <v>45903</v>
      </c>
      <c r="D5120" s="7" t="s">
        <v>305</v>
      </c>
      <c r="E5120" s="7" t="s">
        <v>154</v>
      </c>
      <c r="F5120" s="7" t="s">
        <v>205</v>
      </c>
      <c r="G5120" s="7" t="s">
        <v>505</v>
      </c>
      <c r="H5120" s="6" t="n">
        <v>4.22</v>
      </c>
      <c r="I5120" s="6" t="n">
        <v>0</v>
      </c>
      <c r="J5120" s="40" t="n">
        <f aca="false">H5120-I5120</f>
        <v>4.22</v>
      </c>
      <c r="K5120" s="41" t="n">
        <v>26.5</v>
      </c>
      <c r="L5120" s="42" t="n">
        <f aca="false">J5120*K5120</f>
        <v>111.83</v>
      </c>
      <c r="M5120" s="43" t="n">
        <f aca="false">H5120*16.36*(1+'Chart of Accounts'!$E$67)</f>
        <v>79.049884</v>
      </c>
    </row>
    <row r="5121" customFormat="false" ht="15" hidden="false" customHeight="false" outlineLevel="0" collapsed="false">
      <c r="B5121" s="7" t="s">
        <v>5618</v>
      </c>
      <c r="C5121" s="39" t="n">
        <v>45903</v>
      </c>
      <c r="D5121" s="7" t="s">
        <v>307</v>
      </c>
      <c r="E5121" s="7" t="s">
        <v>157</v>
      </c>
      <c r="F5121" s="7" t="s">
        <v>264</v>
      </c>
      <c r="G5121" s="7" t="s">
        <v>502</v>
      </c>
      <c r="H5121" s="6" t="n">
        <v>1.09</v>
      </c>
      <c r="I5121" s="6" t="n">
        <v>0.055</v>
      </c>
      <c r="J5121" s="40" t="n">
        <f aca="false">H5121-I5121</f>
        <v>1.035</v>
      </c>
      <c r="K5121" s="41" t="n">
        <v>165</v>
      </c>
      <c r="L5121" s="42" t="n">
        <f aca="false">J5121*K5121</f>
        <v>170.775</v>
      </c>
      <c r="M5121" s="43" t="n">
        <f aca="false">H5121*55.55*(1+'Chart of Accounts'!$E$67)</f>
        <v>69.3291775</v>
      </c>
    </row>
    <row r="5122" customFormat="false" ht="15" hidden="false" customHeight="false" outlineLevel="0" collapsed="false">
      <c r="B5122" s="7" t="s">
        <v>5619</v>
      </c>
      <c r="C5122" s="39" t="n">
        <v>45903</v>
      </c>
      <c r="D5122" s="7" t="s">
        <v>309</v>
      </c>
      <c r="E5122" s="7" t="s">
        <v>159</v>
      </c>
      <c r="F5122" s="7" t="s">
        <v>252</v>
      </c>
      <c r="G5122" s="7" t="s">
        <v>502</v>
      </c>
      <c r="H5122" s="6" t="n">
        <v>0.92</v>
      </c>
      <c r="I5122" s="6" t="n">
        <v>0</v>
      </c>
      <c r="J5122" s="40" t="n">
        <f aca="false">H5122-I5122</f>
        <v>0.92</v>
      </c>
      <c r="K5122" s="41" t="n">
        <v>135</v>
      </c>
      <c r="L5122" s="42" t="n">
        <f aca="false">J5122*K5122</f>
        <v>124.2</v>
      </c>
      <c r="M5122" s="43" t="n">
        <f aca="false">H5122*57.54*(1+'Chart of Accounts'!$E$67)</f>
        <v>60.612636</v>
      </c>
    </row>
    <row r="5123" customFormat="false" ht="15" hidden="false" customHeight="false" outlineLevel="0" collapsed="false">
      <c r="B5123" s="7" t="s">
        <v>5620</v>
      </c>
      <c r="C5123" s="39" t="n">
        <v>45903</v>
      </c>
      <c r="D5123" s="7" t="s">
        <v>313</v>
      </c>
      <c r="E5123" s="7" t="s">
        <v>156</v>
      </c>
      <c r="F5123" s="7" t="s">
        <v>184</v>
      </c>
      <c r="G5123" s="7" t="s">
        <v>505</v>
      </c>
      <c r="H5123" s="6" t="n">
        <v>4.18</v>
      </c>
      <c r="I5123" s="6" t="n">
        <v>0</v>
      </c>
      <c r="J5123" s="40" t="n">
        <f aca="false">H5123-I5123</f>
        <v>4.18</v>
      </c>
      <c r="K5123" s="41" t="n">
        <v>34</v>
      </c>
      <c r="L5123" s="42" t="n">
        <f aca="false">J5123*K5123</f>
        <v>142.12</v>
      </c>
      <c r="M5123" s="43" t="n">
        <f aca="false">H5123*17.34*(1+'Chart of Accounts'!$E$67)</f>
        <v>82.990974</v>
      </c>
    </row>
    <row r="5124" customFormat="false" ht="15" hidden="false" customHeight="false" outlineLevel="0" collapsed="false">
      <c r="B5124" s="7" t="s">
        <v>5621</v>
      </c>
      <c r="C5124" s="39" t="n">
        <v>45903</v>
      </c>
      <c r="D5124" s="7" t="s">
        <v>315</v>
      </c>
      <c r="E5124" s="7" t="s">
        <v>159</v>
      </c>
      <c r="F5124" s="7" t="s">
        <v>216</v>
      </c>
      <c r="G5124" s="7" t="s">
        <v>502</v>
      </c>
      <c r="H5124" s="6" t="n">
        <v>1.05</v>
      </c>
      <c r="I5124" s="6" t="n">
        <v>0</v>
      </c>
      <c r="J5124" s="40" t="n">
        <f aca="false">H5124-I5124</f>
        <v>1.05</v>
      </c>
      <c r="K5124" s="41" t="n">
        <v>135</v>
      </c>
      <c r="L5124" s="42" t="n">
        <f aca="false">J5124*K5124</f>
        <v>141.75</v>
      </c>
      <c r="M5124" s="43" t="n">
        <f aca="false">H5124*61.79*(1+'Chart of Accounts'!$E$67)</f>
        <v>74.2870275</v>
      </c>
    </row>
    <row r="5125" customFormat="false" ht="15" hidden="false" customHeight="false" outlineLevel="0" collapsed="false">
      <c r="B5125" s="7" t="s">
        <v>5622</v>
      </c>
      <c r="C5125" s="39" t="n">
        <v>45903</v>
      </c>
      <c r="D5125" s="7" t="s">
        <v>321</v>
      </c>
      <c r="E5125" s="7" t="s">
        <v>154</v>
      </c>
      <c r="F5125" s="7" t="s">
        <v>218</v>
      </c>
      <c r="G5125" s="7" t="s">
        <v>505</v>
      </c>
      <c r="H5125" s="6" t="n">
        <v>3.94</v>
      </c>
      <c r="I5125" s="6" t="n">
        <v>0</v>
      </c>
      <c r="J5125" s="40" t="n">
        <f aca="false">H5125-I5125</f>
        <v>3.94</v>
      </c>
      <c r="K5125" s="41" t="n">
        <v>26.5</v>
      </c>
      <c r="L5125" s="42" t="n">
        <f aca="false">J5125*K5125</f>
        <v>104.41</v>
      </c>
      <c r="M5125" s="43" t="n">
        <f aca="false">H5125*16.19*(1+'Chart of Accounts'!$E$67)</f>
        <v>73.037947</v>
      </c>
    </row>
    <row r="5126" customFormat="false" ht="15" hidden="false" customHeight="false" outlineLevel="0" collapsed="false">
      <c r="B5126" s="7" t="s">
        <v>5623</v>
      </c>
      <c r="C5126" s="39" t="n">
        <v>45903</v>
      </c>
      <c r="D5126" s="7" t="s">
        <v>329</v>
      </c>
      <c r="E5126" s="7" t="s">
        <v>156</v>
      </c>
      <c r="F5126" s="7" t="s">
        <v>220</v>
      </c>
      <c r="G5126" s="7" t="s">
        <v>505</v>
      </c>
      <c r="H5126" s="6" t="n">
        <v>4.12</v>
      </c>
      <c r="I5126" s="6" t="n">
        <v>0</v>
      </c>
      <c r="J5126" s="40" t="n">
        <f aca="false">H5126-I5126</f>
        <v>4.12</v>
      </c>
      <c r="K5126" s="41" t="n">
        <v>34</v>
      </c>
      <c r="L5126" s="42" t="n">
        <f aca="false">J5126*K5126</f>
        <v>140.08</v>
      </c>
      <c r="M5126" s="43" t="n">
        <f aca="false">H5126*16.43*(1+'Chart of Accounts'!$E$67)</f>
        <v>77.506882</v>
      </c>
    </row>
    <row r="5127" customFormat="false" ht="15" hidden="false" customHeight="false" outlineLevel="0" collapsed="false">
      <c r="B5127" s="7" t="s">
        <v>5624</v>
      </c>
      <c r="C5127" s="39" t="n">
        <v>45903</v>
      </c>
      <c r="D5127" s="7" t="s">
        <v>335</v>
      </c>
      <c r="E5127" s="7" t="s">
        <v>154</v>
      </c>
      <c r="F5127" s="7" t="s">
        <v>177</v>
      </c>
      <c r="G5127" s="7" t="s">
        <v>505</v>
      </c>
      <c r="H5127" s="6" t="n">
        <v>3.86</v>
      </c>
      <c r="I5127" s="6" t="n">
        <v>0</v>
      </c>
      <c r="J5127" s="40" t="n">
        <f aca="false">H5127-I5127</f>
        <v>3.86</v>
      </c>
      <c r="K5127" s="41" t="n">
        <v>26.5</v>
      </c>
      <c r="L5127" s="42" t="n">
        <f aca="false">J5127*K5127</f>
        <v>102.29</v>
      </c>
      <c r="M5127" s="43" t="n">
        <f aca="false">H5127*14.56*(1+'Chart of Accounts'!$E$67)</f>
        <v>64.350832</v>
      </c>
    </row>
    <row r="5128" customFormat="false" ht="15" hidden="false" customHeight="false" outlineLevel="0" collapsed="false">
      <c r="B5128" s="7" t="s">
        <v>5625</v>
      </c>
      <c r="C5128" s="39" t="n">
        <v>45903</v>
      </c>
      <c r="D5128" s="7" t="s">
        <v>347</v>
      </c>
      <c r="E5128" s="7" t="s">
        <v>154</v>
      </c>
      <c r="F5128" s="7" t="s">
        <v>238</v>
      </c>
      <c r="G5128" s="7" t="s">
        <v>505</v>
      </c>
      <c r="H5128" s="6" t="n">
        <v>4.81</v>
      </c>
      <c r="I5128" s="6" t="n">
        <v>0.144</v>
      </c>
      <c r="J5128" s="40" t="n">
        <f aca="false">H5128-I5128</f>
        <v>4.666</v>
      </c>
      <c r="K5128" s="41" t="n">
        <v>26.5</v>
      </c>
      <c r="L5128" s="42" t="n">
        <f aca="false">J5128*K5128</f>
        <v>123.649</v>
      </c>
      <c r="M5128" s="43" t="n">
        <f aca="false">H5128*15.85*(1+'Chart of Accounts'!$E$67)</f>
        <v>87.2930825</v>
      </c>
    </row>
    <row r="5129" customFormat="false" ht="15" hidden="false" customHeight="false" outlineLevel="0" collapsed="false">
      <c r="B5129" s="7" t="s">
        <v>5626</v>
      </c>
      <c r="C5129" s="39" t="n">
        <v>45903</v>
      </c>
      <c r="D5129" s="7" t="s">
        <v>353</v>
      </c>
      <c r="E5129" s="7" t="s">
        <v>154</v>
      </c>
      <c r="F5129" s="7" t="s">
        <v>254</v>
      </c>
      <c r="G5129" s="7" t="s">
        <v>505</v>
      </c>
      <c r="H5129" s="6" t="n">
        <v>3.35</v>
      </c>
      <c r="I5129" s="6" t="n">
        <v>0</v>
      </c>
      <c r="J5129" s="40" t="n">
        <f aca="false">H5129-I5129</f>
        <v>3.35</v>
      </c>
      <c r="K5129" s="41" t="n">
        <v>26.5</v>
      </c>
      <c r="L5129" s="42" t="n">
        <f aca="false">J5129*K5129</f>
        <v>88.775</v>
      </c>
      <c r="M5129" s="43" t="n">
        <f aca="false">H5129*17.1*(1+'Chart of Accounts'!$E$67)</f>
        <v>65.591325</v>
      </c>
    </row>
    <row r="5130" customFormat="false" ht="15" hidden="false" customHeight="false" outlineLevel="0" collapsed="false">
      <c r="B5130" s="7" t="s">
        <v>5627</v>
      </c>
      <c r="C5130" s="39" t="n">
        <v>45903</v>
      </c>
      <c r="D5130" s="7" t="s">
        <v>355</v>
      </c>
      <c r="E5130" s="7" t="s">
        <v>154</v>
      </c>
      <c r="F5130" s="7" t="s">
        <v>201</v>
      </c>
      <c r="G5130" s="7" t="s">
        <v>505</v>
      </c>
      <c r="H5130" s="6" t="n">
        <v>3.2</v>
      </c>
      <c r="I5130" s="6" t="n">
        <v>0</v>
      </c>
      <c r="J5130" s="40" t="n">
        <f aca="false">H5130-I5130</f>
        <v>3.2</v>
      </c>
      <c r="K5130" s="41" t="n">
        <v>26.5</v>
      </c>
      <c r="L5130" s="42" t="n">
        <f aca="false">J5130*K5130</f>
        <v>84.8</v>
      </c>
      <c r="M5130" s="43" t="n">
        <f aca="false">H5130*15.19*(1+'Chart of Accounts'!$E$67)</f>
        <v>55.65616</v>
      </c>
    </row>
    <row r="5131" customFormat="false" ht="15" hidden="false" customHeight="false" outlineLevel="0" collapsed="false">
      <c r="B5131" s="7" t="s">
        <v>5628</v>
      </c>
      <c r="C5131" s="39" t="n">
        <v>45903</v>
      </c>
      <c r="D5131" s="7" t="s">
        <v>357</v>
      </c>
      <c r="E5131" s="7" t="s">
        <v>154</v>
      </c>
      <c r="F5131" s="7" t="s">
        <v>254</v>
      </c>
      <c r="G5131" s="7" t="s">
        <v>505</v>
      </c>
      <c r="H5131" s="6" t="n">
        <v>3.58</v>
      </c>
      <c r="I5131" s="6" t="n">
        <v>0</v>
      </c>
      <c r="J5131" s="40" t="n">
        <f aca="false">H5131-I5131</f>
        <v>3.58</v>
      </c>
      <c r="K5131" s="41" t="n">
        <v>26.5</v>
      </c>
      <c r="L5131" s="42" t="n">
        <f aca="false">J5131*K5131</f>
        <v>94.87</v>
      </c>
      <c r="M5131" s="43" t="n">
        <f aca="false">H5131*17.1*(1+'Chart of Accounts'!$E$67)</f>
        <v>70.09461</v>
      </c>
    </row>
    <row r="5132" customFormat="false" ht="15" hidden="false" customHeight="false" outlineLevel="0" collapsed="false">
      <c r="B5132" s="7" t="s">
        <v>5629</v>
      </c>
      <c r="C5132" s="39" t="n">
        <v>45903</v>
      </c>
      <c r="D5132" s="7" t="s">
        <v>359</v>
      </c>
      <c r="E5132" s="7" t="s">
        <v>156</v>
      </c>
      <c r="F5132" s="7" t="s">
        <v>224</v>
      </c>
      <c r="G5132" s="7" t="s">
        <v>505</v>
      </c>
      <c r="H5132" s="6" t="n">
        <v>3.95</v>
      </c>
      <c r="I5132" s="6" t="n">
        <v>0</v>
      </c>
      <c r="J5132" s="40" t="n">
        <f aca="false">H5132-I5132</f>
        <v>3.95</v>
      </c>
      <c r="K5132" s="41" t="n">
        <v>34</v>
      </c>
      <c r="L5132" s="42" t="n">
        <f aca="false">J5132*K5132</f>
        <v>134.3</v>
      </c>
      <c r="M5132" s="43" t="n">
        <f aca="false">H5132*14.93*(1+'Chart of Accounts'!$E$67)</f>
        <v>67.5246575</v>
      </c>
    </row>
    <row r="5133" customFormat="false" ht="15" hidden="false" customHeight="false" outlineLevel="0" collapsed="false">
      <c r="B5133" s="7" t="s">
        <v>5630</v>
      </c>
      <c r="C5133" s="39" t="n">
        <v>45903</v>
      </c>
      <c r="D5133" s="7" t="s">
        <v>371</v>
      </c>
      <c r="E5133" s="7" t="s">
        <v>154</v>
      </c>
      <c r="F5133" s="7" t="s">
        <v>232</v>
      </c>
      <c r="G5133" s="7" t="s">
        <v>505</v>
      </c>
      <c r="H5133" s="6" t="n">
        <v>4.49</v>
      </c>
      <c r="I5133" s="6" t="n">
        <v>0</v>
      </c>
      <c r="J5133" s="40" t="n">
        <f aca="false">H5133-I5133</f>
        <v>4.49</v>
      </c>
      <c r="K5133" s="41" t="n">
        <v>26.5</v>
      </c>
      <c r="L5133" s="42" t="n">
        <f aca="false">J5133*K5133</f>
        <v>118.985</v>
      </c>
      <c r="M5133" s="43" t="n">
        <f aca="false">H5133*16.17*(1+'Chart of Accounts'!$E$67)</f>
        <v>83.1307785</v>
      </c>
    </row>
    <row r="5134" customFormat="false" ht="15" hidden="false" customHeight="false" outlineLevel="0" collapsed="false">
      <c r="B5134" s="7" t="s">
        <v>5631</v>
      </c>
      <c r="C5134" s="39" t="n">
        <v>45903</v>
      </c>
      <c r="D5134" s="7" t="s">
        <v>379</v>
      </c>
      <c r="E5134" s="7" t="s">
        <v>156</v>
      </c>
      <c r="F5134" s="7" t="s">
        <v>224</v>
      </c>
      <c r="G5134" s="7" t="s">
        <v>505</v>
      </c>
      <c r="H5134" s="6" t="n">
        <v>4.61</v>
      </c>
      <c r="I5134" s="6" t="n">
        <v>0</v>
      </c>
      <c r="J5134" s="40" t="n">
        <f aca="false">H5134-I5134</f>
        <v>4.61</v>
      </c>
      <c r="K5134" s="41" t="n">
        <v>34</v>
      </c>
      <c r="L5134" s="42" t="n">
        <f aca="false">J5134*K5134</f>
        <v>156.74</v>
      </c>
      <c r="M5134" s="43" t="n">
        <f aca="false">H5134*14.93*(1+'Chart of Accounts'!$E$67)</f>
        <v>78.8072585</v>
      </c>
    </row>
    <row r="5135" customFormat="false" ht="15" hidden="false" customHeight="false" outlineLevel="0" collapsed="false">
      <c r="B5135" s="7" t="s">
        <v>5632</v>
      </c>
      <c r="C5135" s="39" t="n">
        <v>45903</v>
      </c>
      <c r="D5135" s="7" t="s">
        <v>385</v>
      </c>
      <c r="E5135" s="7" t="s">
        <v>156</v>
      </c>
      <c r="F5135" s="7" t="s">
        <v>238</v>
      </c>
      <c r="G5135" s="7" t="s">
        <v>505</v>
      </c>
      <c r="H5135" s="6" t="n">
        <v>3.96</v>
      </c>
      <c r="I5135" s="6" t="n">
        <v>0</v>
      </c>
      <c r="J5135" s="40" t="n">
        <f aca="false">H5135-I5135</f>
        <v>3.96</v>
      </c>
      <c r="K5135" s="41" t="n">
        <v>34</v>
      </c>
      <c r="L5135" s="42" t="n">
        <f aca="false">J5135*K5135</f>
        <v>134.64</v>
      </c>
      <c r="M5135" s="43" t="n">
        <f aca="false">H5135*15.85*(1+'Chart of Accounts'!$E$67)</f>
        <v>71.86707</v>
      </c>
    </row>
    <row r="5136" customFormat="false" ht="15" hidden="false" customHeight="false" outlineLevel="0" collapsed="false">
      <c r="B5136" s="7" t="s">
        <v>5633</v>
      </c>
      <c r="C5136" s="39" t="n">
        <v>45903</v>
      </c>
      <c r="D5136" s="7" t="s">
        <v>387</v>
      </c>
      <c r="E5136" s="7" t="s">
        <v>154</v>
      </c>
      <c r="F5136" s="7" t="s">
        <v>196</v>
      </c>
      <c r="G5136" s="7" t="s">
        <v>505</v>
      </c>
      <c r="H5136" s="6" t="n">
        <v>4.37</v>
      </c>
      <c r="I5136" s="6" t="n">
        <v>0</v>
      </c>
      <c r="J5136" s="40" t="n">
        <f aca="false">H5136-I5136</f>
        <v>4.37</v>
      </c>
      <c r="K5136" s="41" t="n">
        <v>26.5</v>
      </c>
      <c r="L5136" s="42" t="n">
        <f aca="false">J5136*K5136</f>
        <v>115.805</v>
      </c>
      <c r="M5136" s="43" t="n">
        <f aca="false">H5136*15.05*(1+'Chart of Accounts'!$E$67)</f>
        <v>75.3049325</v>
      </c>
    </row>
    <row r="5137" customFormat="false" ht="15" hidden="false" customHeight="false" outlineLevel="0" collapsed="false">
      <c r="B5137" s="7" t="s">
        <v>5634</v>
      </c>
      <c r="C5137" s="39" t="n">
        <v>45903</v>
      </c>
      <c r="D5137" s="7" t="s">
        <v>389</v>
      </c>
      <c r="E5137" s="7" t="s">
        <v>154</v>
      </c>
      <c r="F5137" s="7" t="s">
        <v>246</v>
      </c>
      <c r="G5137" s="7" t="s">
        <v>505</v>
      </c>
      <c r="H5137" s="6" t="n">
        <v>4.09</v>
      </c>
      <c r="I5137" s="6" t="n">
        <v>0</v>
      </c>
      <c r="J5137" s="40" t="n">
        <f aca="false">H5137-I5137</f>
        <v>4.09</v>
      </c>
      <c r="K5137" s="41" t="n">
        <v>26.5</v>
      </c>
      <c r="L5137" s="42" t="n">
        <f aca="false">J5137*K5137</f>
        <v>108.385</v>
      </c>
      <c r="M5137" s="43" t="n">
        <f aca="false">H5137*16.48*(1+'Chart of Accounts'!$E$67)</f>
        <v>77.176664</v>
      </c>
    </row>
    <row r="5138" customFormat="false" ht="15" hidden="false" customHeight="false" outlineLevel="0" collapsed="false">
      <c r="B5138" s="7" t="s">
        <v>5635</v>
      </c>
      <c r="C5138" s="39" t="n">
        <v>45903</v>
      </c>
      <c r="D5138" s="7" t="s">
        <v>391</v>
      </c>
      <c r="E5138" s="7" t="s">
        <v>156</v>
      </c>
      <c r="F5138" s="7" t="s">
        <v>222</v>
      </c>
      <c r="G5138" s="7" t="s">
        <v>505</v>
      </c>
      <c r="H5138" s="6" t="n">
        <v>4.23</v>
      </c>
      <c r="I5138" s="6" t="n">
        <v>0</v>
      </c>
      <c r="J5138" s="40" t="n">
        <f aca="false">H5138-I5138</f>
        <v>4.23</v>
      </c>
      <c r="K5138" s="41" t="n">
        <v>34</v>
      </c>
      <c r="L5138" s="42" t="n">
        <f aca="false">J5138*K5138</f>
        <v>143.82</v>
      </c>
      <c r="M5138" s="43" t="n">
        <f aca="false">H5138*17.84*(1+'Chart of Accounts'!$E$67)</f>
        <v>86.405364</v>
      </c>
    </row>
    <row r="5139" customFormat="false" ht="15" hidden="false" customHeight="false" outlineLevel="0" collapsed="false">
      <c r="B5139" s="7" t="s">
        <v>5636</v>
      </c>
      <c r="C5139" s="39" t="n">
        <v>45903</v>
      </c>
      <c r="D5139" s="7" t="s">
        <v>393</v>
      </c>
      <c r="E5139" s="7" t="s">
        <v>157</v>
      </c>
      <c r="F5139" s="7" t="s">
        <v>203</v>
      </c>
      <c r="G5139" s="7" t="s">
        <v>502</v>
      </c>
      <c r="H5139" s="6" t="n">
        <v>0.98</v>
      </c>
      <c r="I5139" s="6" t="n">
        <v>0</v>
      </c>
      <c r="J5139" s="40" t="n">
        <f aca="false">H5139-I5139</f>
        <v>0.98</v>
      </c>
      <c r="K5139" s="41" t="n">
        <v>165</v>
      </c>
      <c r="L5139" s="42" t="n">
        <f aca="false">J5139*K5139</f>
        <v>161.7</v>
      </c>
      <c r="M5139" s="43" t="n">
        <f aca="false">H5139*49.43*(1+'Chart of Accounts'!$E$67)</f>
        <v>55.465403</v>
      </c>
    </row>
    <row r="5140" customFormat="false" ht="15" hidden="false" customHeight="false" outlineLevel="0" collapsed="false">
      <c r="B5140" s="7" t="s">
        <v>5637</v>
      </c>
      <c r="C5140" s="39" t="n">
        <v>45903</v>
      </c>
      <c r="D5140" s="7" t="s">
        <v>395</v>
      </c>
      <c r="E5140" s="7" t="s">
        <v>156</v>
      </c>
      <c r="F5140" s="7" t="s">
        <v>242</v>
      </c>
      <c r="G5140" s="7" t="s">
        <v>505</v>
      </c>
      <c r="H5140" s="6" t="n">
        <v>4.22</v>
      </c>
      <c r="I5140" s="6" t="n">
        <v>0</v>
      </c>
      <c r="J5140" s="40" t="n">
        <f aca="false">H5140-I5140</f>
        <v>4.22</v>
      </c>
      <c r="K5140" s="41" t="n">
        <v>34</v>
      </c>
      <c r="L5140" s="42" t="n">
        <f aca="false">J5140*K5140</f>
        <v>143.48</v>
      </c>
      <c r="M5140" s="43" t="n">
        <f aca="false">H5140*17.99*(1+'Chart of Accounts'!$E$67)</f>
        <v>86.925881</v>
      </c>
    </row>
    <row r="5141" customFormat="false" ht="15" hidden="false" customHeight="false" outlineLevel="0" collapsed="false">
      <c r="B5141" s="7" t="s">
        <v>5638</v>
      </c>
      <c r="C5141" s="39" t="n">
        <v>45903</v>
      </c>
      <c r="D5141" s="7" t="s">
        <v>399</v>
      </c>
      <c r="E5141" s="7" t="s">
        <v>154</v>
      </c>
      <c r="F5141" s="7" t="s">
        <v>232</v>
      </c>
      <c r="G5141" s="7" t="s">
        <v>505</v>
      </c>
      <c r="H5141" s="6" t="n">
        <v>3.07</v>
      </c>
      <c r="I5141" s="6" t="n">
        <v>0</v>
      </c>
      <c r="J5141" s="40" t="n">
        <f aca="false">H5141-I5141</f>
        <v>3.07</v>
      </c>
      <c r="K5141" s="41" t="n">
        <v>26.5</v>
      </c>
      <c r="L5141" s="42" t="n">
        <f aca="false">J5141*K5141</f>
        <v>81.355</v>
      </c>
      <c r="M5141" s="43" t="n">
        <f aca="false">H5141*16.17*(1+'Chart of Accounts'!$E$67)</f>
        <v>56.8399755</v>
      </c>
    </row>
    <row r="5142" customFormat="false" ht="15" hidden="false" customHeight="false" outlineLevel="0" collapsed="false">
      <c r="B5142" s="7" t="s">
        <v>5639</v>
      </c>
      <c r="C5142" s="39" t="n">
        <v>45903</v>
      </c>
      <c r="D5142" s="7" t="s">
        <v>401</v>
      </c>
      <c r="E5142" s="7" t="s">
        <v>156</v>
      </c>
      <c r="F5142" s="7" t="s">
        <v>254</v>
      </c>
      <c r="G5142" s="7" t="s">
        <v>505</v>
      </c>
      <c r="H5142" s="6" t="n">
        <v>3.64</v>
      </c>
      <c r="I5142" s="6" t="n">
        <v>0</v>
      </c>
      <c r="J5142" s="40" t="n">
        <f aca="false">H5142-I5142</f>
        <v>3.64</v>
      </c>
      <c r="K5142" s="41" t="n">
        <v>34</v>
      </c>
      <c r="L5142" s="42" t="n">
        <f aca="false">J5142*K5142</f>
        <v>123.76</v>
      </c>
      <c r="M5142" s="43" t="n">
        <f aca="false">H5142*17.1*(1+'Chart of Accounts'!$E$67)</f>
        <v>71.26938</v>
      </c>
    </row>
    <row r="5143" customFormat="false" ht="15" hidden="false" customHeight="false" outlineLevel="0" collapsed="false">
      <c r="B5143" s="7" t="s">
        <v>5640</v>
      </c>
      <c r="C5143" s="39" t="n">
        <v>45903</v>
      </c>
      <c r="D5143" s="7" t="s">
        <v>403</v>
      </c>
      <c r="E5143" s="7" t="s">
        <v>156</v>
      </c>
      <c r="F5143" s="7" t="s">
        <v>184</v>
      </c>
      <c r="G5143" s="7" t="s">
        <v>505</v>
      </c>
      <c r="H5143" s="6" t="n">
        <v>3.73</v>
      </c>
      <c r="I5143" s="6" t="n">
        <v>0</v>
      </c>
      <c r="J5143" s="40" t="n">
        <f aca="false">H5143-I5143</f>
        <v>3.73</v>
      </c>
      <c r="K5143" s="41" t="n">
        <v>34</v>
      </c>
      <c r="L5143" s="42" t="n">
        <f aca="false">J5143*K5143</f>
        <v>126.82</v>
      </c>
      <c r="M5143" s="43" t="n">
        <f aca="false">H5143*17.34*(1+'Chart of Accounts'!$E$67)</f>
        <v>74.056539</v>
      </c>
    </row>
    <row r="5144" customFormat="false" ht="15" hidden="false" customHeight="false" outlineLevel="0" collapsed="false">
      <c r="B5144" s="7" t="s">
        <v>5641</v>
      </c>
      <c r="C5144" s="39" t="n">
        <v>45903</v>
      </c>
      <c r="D5144" s="7" t="s">
        <v>409</v>
      </c>
      <c r="E5144" s="7" t="s">
        <v>154</v>
      </c>
      <c r="F5144" s="7" t="s">
        <v>214</v>
      </c>
      <c r="G5144" s="7" t="s">
        <v>505</v>
      </c>
      <c r="H5144" s="6" t="n">
        <v>3.2</v>
      </c>
      <c r="I5144" s="6" t="n">
        <v>0</v>
      </c>
      <c r="J5144" s="40" t="n">
        <f aca="false">H5144-I5144</f>
        <v>3.2</v>
      </c>
      <c r="K5144" s="41" t="n">
        <v>26.5</v>
      </c>
      <c r="L5144" s="42" t="n">
        <f aca="false">J5144*K5144</f>
        <v>84.8</v>
      </c>
      <c r="M5144" s="43" t="n">
        <f aca="false">H5144*15.67*(1+'Chart of Accounts'!$E$67)</f>
        <v>57.41488</v>
      </c>
    </row>
    <row r="5145" customFormat="false" ht="15" hidden="false" customHeight="false" outlineLevel="0" collapsed="false">
      <c r="B5145" s="7" t="s">
        <v>5642</v>
      </c>
      <c r="C5145" s="39" t="n">
        <v>45903</v>
      </c>
      <c r="D5145" s="7" t="s">
        <v>411</v>
      </c>
      <c r="E5145" s="7" t="s">
        <v>154</v>
      </c>
      <c r="F5145" s="7" t="s">
        <v>177</v>
      </c>
      <c r="G5145" s="7" t="s">
        <v>505</v>
      </c>
      <c r="H5145" s="6" t="n">
        <v>4.6</v>
      </c>
      <c r="I5145" s="6" t="n">
        <v>0</v>
      </c>
      <c r="J5145" s="40" t="n">
        <f aca="false">H5145-I5145</f>
        <v>4.6</v>
      </c>
      <c r="K5145" s="41" t="n">
        <v>26.5</v>
      </c>
      <c r="L5145" s="42" t="n">
        <f aca="false">J5145*K5145</f>
        <v>121.9</v>
      </c>
      <c r="M5145" s="43" t="n">
        <f aca="false">H5145*14.56*(1+'Chart of Accounts'!$E$67)</f>
        <v>76.68752</v>
      </c>
    </row>
    <row r="5146" customFormat="false" ht="15" hidden="false" customHeight="false" outlineLevel="0" collapsed="false">
      <c r="B5146" s="7" t="s">
        <v>5643</v>
      </c>
      <c r="C5146" s="39" t="n">
        <v>45904</v>
      </c>
      <c r="D5146" s="7" t="s">
        <v>288</v>
      </c>
      <c r="E5146" s="7" t="s">
        <v>156</v>
      </c>
      <c r="F5146" s="7" t="s">
        <v>224</v>
      </c>
      <c r="G5146" s="7" t="s">
        <v>505</v>
      </c>
      <c r="H5146" s="6" t="n">
        <v>3.98</v>
      </c>
      <c r="I5146" s="6" t="n">
        <v>0</v>
      </c>
      <c r="J5146" s="40" t="n">
        <f aca="false">H5146-I5146</f>
        <v>3.98</v>
      </c>
      <c r="K5146" s="41" t="n">
        <v>34</v>
      </c>
      <c r="L5146" s="42" t="n">
        <f aca="false">J5146*K5146</f>
        <v>135.32</v>
      </c>
      <c r="M5146" s="43" t="n">
        <f aca="false">H5146*14.93*(1+'Chart of Accounts'!$E$67)</f>
        <v>68.037503</v>
      </c>
    </row>
    <row r="5147" customFormat="false" ht="15" hidden="false" customHeight="false" outlineLevel="0" collapsed="false">
      <c r="B5147" s="7" t="s">
        <v>5644</v>
      </c>
      <c r="C5147" s="39" t="n">
        <v>45904</v>
      </c>
      <c r="D5147" s="7" t="s">
        <v>297</v>
      </c>
      <c r="E5147" s="7" t="s">
        <v>156</v>
      </c>
      <c r="F5147" s="7" t="s">
        <v>201</v>
      </c>
      <c r="G5147" s="7" t="s">
        <v>505</v>
      </c>
      <c r="H5147" s="6" t="n">
        <v>2.93</v>
      </c>
      <c r="I5147" s="6" t="n">
        <v>0</v>
      </c>
      <c r="J5147" s="40" t="n">
        <f aca="false">H5147-I5147</f>
        <v>2.93</v>
      </c>
      <c r="K5147" s="41" t="n">
        <v>34</v>
      </c>
      <c r="L5147" s="42" t="n">
        <f aca="false">J5147*K5147</f>
        <v>99.62</v>
      </c>
      <c r="M5147" s="43" t="n">
        <f aca="false">H5147*15.19*(1+'Chart of Accounts'!$E$67)</f>
        <v>50.9601715</v>
      </c>
    </row>
    <row r="5148" customFormat="false" ht="15" hidden="false" customHeight="false" outlineLevel="0" collapsed="false">
      <c r="B5148" s="7" t="s">
        <v>5645</v>
      </c>
      <c r="C5148" s="39" t="n">
        <v>45904</v>
      </c>
      <c r="D5148" s="7" t="s">
        <v>311</v>
      </c>
      <c r="E5148" s="7" t="s">
        <v>154</v>
      </c>
      <c r="F5148" s="7" t="s">
        <v>196</v>
      </c>
      <c r="G5148" s="7" t="s">
        <v>505</v>
      </c>
      <c r="H5148" s="6" t="n">
        <v>3.13</v>
      </c>
      <c r="I5148" s="6" t="n">
        <v>0</v>
      </c>
      <c r="J5148" s="40" t="n">
        <f aca="false">H5148-I5148</f>
        <v>3.13</v>
      </c>
      <c r="K5148" s="41" t="n">
        <v>26.5</v>
      </c>
      <c r="L5148" s="42" t="n">
        <f aca="false">J5148*K5148</f>
        <v>82.945</v>
      </c>
      <c r="M5148" s="43" t="n">
        <f aca="false">H5148*15.05*(1+'Chart of Accounts'!$E$67)</f>
        <v>53.9369425</v>
      </c>
    </row>
    <row r="5149" customFormat="false" ht="15" hidden="false" customHeight="false" outlineLevel="0" collapsed="false">
      <c r="B5149" s="7" t="s">
        <v>5646</v>
      </c>
      <c r="C5149" s="39" t="n">
        <v>45904</v>
      </c>
      <c r="D5149" s="7" t="s">
        <v>313</v>
      </c>
      <c r="E5149" s="7" t="s">
        <v>156</v>
      </c>
      <c r="F5149" s="7" t="s">
        <v>184</v>
      </c>
      <c r="G5149" s="7" t="s">
        <v>505</v>
      </c>
      <c r="H5149" s="6" t="n">
        <v>4.38</v>
      </c>
      <c r="I5149" s="6" t="n">
        <v>0</v>
      </c>
      <c r="J5149" s="40" t="n">
        <f aca="false">H5149-I5149</f>
        <v>4.38</v>
      </c>
      <c r="K5149" s="41" t="n">
        <v>34</v>
      </c>
      <c r="L5149" s="42" t="n">
        <f aca="false">J5149*K5149</f>
        <v>148.92</v>
      </c>
      <c r="M5149" s="43" t="n">
        <f aca="false">H5149*17.34*(1+'Chart of Accounts'!$E$67)</f>
        <v>86.961834</v>
      </c>
    </row>
    <row r="5150" customFormat="false" ht="15" hidden="false" customHeight="false" outlineLevel="0" collapsed="false">
      <c r="B5150" s="7" t="s">
        <v>5647</v>
      </c>
      <c r="C5150" s="39" t="n">
        <v>45904</v>
      </c>
      <c r="D5150" s="7" t="s">
        <v>317</v>
      </c>
      <c r="E5150" s="7" t="s">
        <v>156</v>
      </c>
      <c r="F5150" s="7" t="s">
        <v>238</v>
      </c>
      <c r="G5150" s="7" t="s">
        <v>505</v>
      </c>
      <c r="H5150" s="6" t="n">
        <v>3.02</v>
      </c>
      <c r="I5150" s="6" t="n">
        <v>0</v>
      </c>
      <c r="J5150" s="40" t="n">
        <f aca="false">H5150-I5150</f>
        <v>3.02</v>
      </c>
      <c r="K5150" s="41" t="n">
        <v>34</v>
      </c>
      <c r="L5150" s="42" t="n">
        <f aca="false">J5150*K5150</f>
        <v>102.68</v>
      </c>
      <c r="M5150" s="43" t="n">
        <f aca="false">H5150*15.85*(1+'Chart of Accounts'!$E$67)</f>
        <v>54.807715</v>
      </c>
    </row>
    <row r="5151" customFormat="false" ht="15" hidden="false" customHeight="false" outlineLevel="0" collapsed="false">
      <c r="B5151" s="7" t="s">
        <v>5648</v>
      </c>
      <c r="C5151" s="39" t="n">
        <v>45904</v>
      </c>
      <c r="D5151" s="7" t="s">
        <v>321</v>
      </c>
      <c r="E5151" s="7" t="s">
        <v>154</v>
      </c>
      <c r="F5151" s="7" t="s">
        <v>218</v>
      </c>
      <c r="G5151" s="7" t="s">
        <v>505</v>
      </c>
      <c r="H5151" s="6" t="n">
        <v>3.6</v>
      </c>
      <c r="I5151" s="6" t="n">
        <v>0</v>
      </c>
      <c r="J5151" s="40" t="n">
        <f aca="false">H5151-I5151</f>
        <v>3.6</v>
      </c>
      <c r="K5151" s="41" t="n">
        <v>26.5</v>
      </c>
      <c r="L5151" s="42" t="n">
        <f aca="false">J5151*K5151</f>
        <v>95.4</v>
      </c>
      <c r="M5151" s="43" t="n">
        <f aca="false">H5151*16.19*(1+'Chart of Accounts'!$E$67)</f>
        <v>66.73518</v>
      </c>
    </row>
    <row r="5152" customFormat="false" ht="15" hidden="false" customHeight="false" outlineLevel="0" collapsed="false">
      <c r="B5152" s="7" t="s">
        <v>5649</v>
      </c>
      <c r="C5152" s="39" t="n">
        <v>45904</v>
      </c>
      <c r="D5152" s="7" t="s">
        <v>325</v>
      </c>
      <c r="E5152" s="7" t="s">
        <v>154</v>
      </c>
      <c r="F5152" s="7" t="s">
        <v>238</v>
      </c>
      <c r="G5152" s="7" t="s">
        <v>505</v>
      </c>
      <c r="H5152" s="6" t="n">
        <v>2.77</v>
      </c>
      <c r="I5152" s="6" t="n">
        <v>0</v>
      </c>
      <c r="J5152" s="40" t="n">
        <f aca="false">H5152-I5152</f>
        <v>2.77</v>
      </c>
      <c r="K5152" s="41" t="n">
        <v>26.5</v>
      </c>
      <c r="L5152" s="42" t="n">
        <f aca="false">J5152*K5152</f>
        <v>73.405</v>
      </c>
      <c r="M5152" s="43" t="n">
        <f aca="false">H5152*15.85*(1+'Chart of Accounts'!$E$67)</f>
        <v>50.2706525</v>
      </c>
    </row>
    <row r="5153" customFormat="false" ht="15" hidden="false" customHeight="false" outlineLevel="0" collapsed="false">
      <c r="B5153" s="7" t="s">
        <v>5650</v>
      </c>
      <c r="C5153" s="39" t="n">
        <v>45904</v>
      </c>
      <c r="D5153" s="7" t="s">
        <v>329</v>
      </c>
      <c r="E5153" s="7" t="s">
        <v>156</v>
      </c>
      <c r="F5153" s="7" t="s">
        <v>220</v>
      </c>
      <c r="G5153" s="7" t="s">
        <v>505</v>
      </c>
      <c r="H5153" s="6" t="n">
        <v>4</v>
      </c>
      <c r="I5153" s="6" t="n">
        <v>0</v>
      </c>
      <c r="J5153" s="40" t="n">
        <f aca="false">H5153-I5153</f>
        <v>4</v>
      </c>
      <c r="K5153" s="41" t="n">
        <v>34</v>
      </c>
      <c r="L5153" s="42" t="n">
        <f aca="false">J5153*K5153</f>
        <v>136</v>
      </c>
      <c r="M5153" s="43" t="n">
        <f aca="false">H5153*16.43*(1+'Chart of Accounts'!$E$67)</f>
        <v>75.2494</v>
      </c>
    </row>
    <row r="5154" customFormat="false" ht="15" hidden="false" customHeight="false" outlineLevel="0" collapsed="false">
      <c r="B5154" s="7" t="s">
        <v>5651</v>
      </c>
      <c r="C5154" s="39" t="n">
        <v>45904</v>
      </c>
      <c r="D5154" s="7" t="s">
        <v>331</v>
      </c>
      <c r="E5154" s="7" t="s">
        <v>156</v>
      </c>
      <c r="F5154" s="7" t="s">
        <v>224</v>
      </c>
      <c r="G5154" s="7" t="s">
        <v>505</v>
      </c>
      <c r="H5154" s="6" t="n">
        <v>3.66</v>
      </c>
      <c r="I5154" s="6" t="n">
        <v>0</v>
      </c>
      <c r="J5154" s="40" t="n">
        <f aca="false">H5154-I5154</f>
        <v>3.66</v>
      </c>
      <c r="K5154" s="41" t="n">
        <v>34</v>
      </c>
      <c r="L5154" s="42" t="n">
        <f aca="false">J5154*K5154</f>
        <v>124.44</v>
      </c>
      <c r="M5154" s="43" t="n">
        <f aca="false">H5154*14.93*(1+'Chart of Accounts'!$E$67)</f>
        <v>62.567151</v>
      </c>
    </row>
    <row r="5155" customFormat="false" ht="15" hidden="false" customHeight="false" outlineLevel="0" collapsed="false">
      <c r="B5155" s="7" t="s">
        <v>5652</v>
      </c>
      <c r="C5155" s="39" t="n">
        <v>45904</v>
      </c>
      <c r="D5155" s="7" t="s">
        <v>341</v>
      </c>
      <c r="E5155" s="7" t="s">
        <v>156</v>
      </c>
      <c r="F5155" s="7" t="s">
        <v>222</v>
      </c>
      <c r="G5155" s="7" t="s">
        <v>505</v>
      </c>
      <c r="H5155" s="6" t="n">
        <v>2.92</v>
      </c>
      <c r="I5155" s="6" t="n">
        <v>0</v>
      </c>
      <c r="J5155" s="40" t="n">
        <f aca="false">H5155-I5155</f>
        <v>2.92</v>
      </c>
      <c r="K5155" s="41" t="n">
        <v>34</v>
      </c>
      <c r="L5155" s="42" t="n">
        <f aca="false">J5155*K5155</f>
        <v>99.28</v>
      </c>
      <c r="M5155" s="43" t="n">
        <f aca="false">H5155*17.84*(1+'Chart of Accounts'!$E$67)</f>
        <v>59.646256</v>
      </c>
    </row>
    <row r="5156" customFormat="false" ht="15" hidden="false" customHeight="false" outlineLevel="0" collapsed="false">
      <c r="B5156" s="7" t="s">
        <v>5653</v>
      </c>
      <c r="C5156" s="39" t="n">
        <v>45904</v>
      </c>
      <c r="D5156" s="7" t="s">
        <v>343</v>
      </c>
      <c r="E5156" s="7" t="s">
        <v>154</v>
      </c>
      <c r="F5156" s="7" t="s">
        <v>201</v>
      </c>
      <c r="G5156" s="7" t="s">
        <v>505</v>
      </c>
      <c r="H5156" s="6" t="n">
        <v>4.34</v>
      </c>
      <c r="I5156" s="6" t="n">
        <v>0</v>
      </c>
      <c r="J5156" s="40" t="n">
        <f aca="false">H5156-I5156</f>
        <v>4.34</v>
      </c>
      <c r="K5156" s="41" t="n">
        <v>26.5</v>
      </c>
      <c r="L5156" s="42" t="n">
        <f aca="false">J5156*K5156</f>
        <v>115.01</v>
      </c>
      <c r="M5156" s="43" t="n">
        <f aca="false">H5156*15.19*(1+'Chart of Accounts'!$E$67)</f>
        <v>75.483667</v>
      </c>
    </row>
    <row r="5157" customFormat="false" ht="15" hidden="false" customHeight="false" outlineLevel="0" collapsed="false">
      <c r="B5157" s="7" t="s">
        <v>5654</v>
      </c>
      <c r="C5157" s="39" t="n">
        <v>45904</v>
      </c>
      <c r="D5157" s="7" t="s">
        <v>351</v>
      </c>
      <c r="E5157" s="7" t="s">
        <v>154</v>
      </c>
      <c r="F5157" s="7" t="s">
        <v>201</v>
      </c>
      <c r="G5157" s="7" t="s">
        <v>505</v>
      </c>
      <c r="H5157" s="6" t="n">
        <v>2.95</v>
      </c>
      <c r="I5157" s="6" t="n">
        <v>0</v>
      </c>
      <c r="J5157" s="40" t="n">
        <f aca="false">H5157-I5157</f>
        <v>2.95</v>
      </c>
      <c r="K5157" s="41" t="n">
        <v>26.5</v>
      </c>
      <c r="L5157" s="42" t="n">
        <f aca="false">J5157*K5157</f>
        <v>78.175</v>
      </c>
      <c r="M5157" s="43" t="n">
        <f aca="false">H5157*15.19*(1+'Chart of Accounts'!$E$67)</f>
        <v>51.3080225</v>
      </c>
    </row>
    <row r="5158" customFormat="false" ht="15" hidden="false" customHeight="false" outlineLevel="0" collapsed="false">
      <c r="B5158" s="7" t="s">
        <v>5655</v>
      </c>
      <c r="C5158" s="39" t="n">
        <v>45904</v>
      </c>
      <c r="D5158" s="7" t="s">
        <v>359</v>
      </c>
      <c r="E5158" s="7" t="s">
        <v>156</v>
      </c>
      <c r="F5158" s="7" t="s">
        <v>196</v>
      </c>
      <c r="G5158" s="7" t="s">
        <v>505</v>
      </c>
      <c r="H5158" s="6" t="n">
        <v>4.25</v>
      </c>
      <c r="I5158" s="6" t="n">
        <v>0</v>
      </c>
      <c r="J5158" s="40" t="n">
        <f aca="false">H5158-I5158</f>
        <v>4.25</v>
      </c>
      <c r="K5158" s="41" t="n">
        <v>34</v>
      </c>
      <c r="L5158" s="42" t="n">
        <f aca="false">J5158*K5158</f>
        <v>144.5</v>
      </c>
      <c r="M5158" s="43" t="n">
        <f aca="false">H5158*15.05*(1+'Chart of Accounts'!$E$67)</f>
        <v>73.2370625</v>
      </c>
    </row>
    <row r="5159" customFormat="false" ht="15" hidden="false" customHeight="false" outlineLevel="0" collapsed="false">
      <c r="B5159" s="7" t="s">
        <v>5656</v>
      </c>
      <c r="C5159" s="39" t="n">
        <v>45904</v>
      </c>
      <c r="D5159" s="7" t="s">
        <v>363</v>
      </c>
      <c r="E5159" s="7" t="s">
        <v>156</v>
      </c>
      <c r="F5159" s="7" t="s">
        <v>246</v>
      </c>
      <c r="G5159" s="7" t="s">
        <v>505</v>
      </c>
      <c r="H5159" s="6" t="n">
        <v>3.64</v>
      </c>
      <c r="I5159" s="6" t="n">
        <v>0</v>
      </c>
      <c r="J5159" s="40" t="n">
        <f aca="false">H5159-I5159</f>
        <v>3.64</v>
      </c>
      <c r="K5159" s="41" t="n">
        <v>34</v>
      </c>
      <c r="L5159" s="42" t="n">
        <f aca="false">J5159*K5159</f>
        <v>123.76</v>
      </c>
      <c r="M5159" s="43" t="n">
        <f aca="false">H5159*16.48*(1+'Chart of Accounts'!$E$67)</f>
        <v>68.685344</v>
      </c>
    </row>
    <row r="5160" customFormat="false" ht="15" hidden="false" customHeight="false" outlineLevel="0" collapsed="false">
      <c r="B5160" s="7" t="s">
        <v>5657</v>
      </c>
      <c r="C5160" s="39" t="n">
        <v>45904</v>
      </c>
      <c r="D5160" s="7" t="s">
        <v>365</v>
      </c>
      <c r="E5160" s="7" t="s">
        <v>154</v>
      </c>
      <c r="F5160" s="7" t="s">
        <v>194</v>
      </c>
      <c r="G5160" s="7" t="s">
        <v>505</v>
      </c>
      <c r="H5160" s="6" t="n">
        <v>4.21</v>
      </c>
      <c r="I5160" s="6" t="n">
        <v>0</v>
      </c>
      <c r="J5160" s="40" t="n">
        <f aca="false">H5160-I5160</f>
        <v>4.21</v>
      </c>
      <c r="K5160" s="41" t="n">
        <v>26.5</v>
      </c>
      <c r="L5160" s="42" t="n">
        <f aca="false">J5160*K5160</f>
        <v>111.565</v>
      </c>
      <c r="M5160" s="43" t="n">
        <f aca="false">H5160*16*(1+'Chart of Accounts'!$E$67)</f>
        <v>77.1272</v>
      </c>
    </row>
    <row r="5161" customFormat="false" ht="15" hidden="false" customHeight="false" outlineLevel="0" collapsed="false">
      <c r="B5161" s="7" t="s">
        <v>5658</v>
      </c>
      <c r="C5161" s="39" t="n">
        <v>45904</v>
      </c>
      <c r="D5161" s="7" t="s">
        <v>375</v>
      </c>
      <c r="E5161" s="7" t="s">
        <v>156</v>
      </c>
      <c r="F5161" s="7" t="s">
        <v>196</v>
      </c>
      <c r="G5161" s="7" t="s">
        <v>505</v>
      </c>
      <c r="H5161" s="6" t="n">
        <v>2.91</v>
      </c>
      <c r="I5161" s="6" t="n">
        <v>0</v>
      </c>
      <c r="J5161" s="40" t="n">
        <f aca="false">H5161-I5161</f>
        <v>2.91</v>
      </c>
      <c r="K5161" s="41" t="n">
        <v>34</v>
      </c>
      <c r="L5161" s="42" t="n">
        <f aca="false">J5161*K5161</f>
        <v>98.94</v>
      </c>
      <c r="M5161" s="43" t="n">
        <f aca="false">H5161*15.05*(1+'Chart of Accounts'!$E$67)</f>
        <v>50.1458475</v>
      </c>
    </row>
    <row r="5162" customFormat="false" ht="15" hidden="false" customHeight="false" outlineLevel="0" collapsed="false">
      <c r="B5162" s="7" t="s">
        <v>5659</v>
      </c>
      <c r="C5162" s="39" t="n">
        <v>45904</v>
      </c>
      <c r="D5162" s="7" t="s">
        <v>377</v>
      </c>
      <c r="E5162" s="7" t="s">
        <v>154</v>
      </c>
      <c r="F5162" s="7" t="s">
        <v>214</v>
      </c>
      <c r="G5162" s="7" t="s">
        <v>505</v>
      </c>
      <c r="H5162" s="6" t="n">
        <v>4.2</v>
      </c>
      <c r="I5162" s="6" t="n">
        <v>0</v>
      </c>
      <c r="J5162" s="40" t="n">
        <f aca="false">H5162-I5162</f>
        <v>4.2</v>
      </c>
      <c r="K5162" s="41" t="n">
        <v>26.5</v>
      </c>
      <c r="L5162" s="42" t="n">
        <f aca="false">J5162*K5162</f>
        <v>111.3</v>
      </c>
      <c r="M5162" s="43" t="n">
        <f aca="false">H5162*15.67*(1+'Chart of Accounts'!$E$67)</f>
        <v>75.35703</v>
      </c>
    </row>
    <row r="5163" customFormat="false" ht="15" hidden="false" customHeight="false" outlineLevel="0" collapsed="false">
      <c r="B5163" s="7" t="s">
        <v>5660</v>
      </c>
      <c r="C5163" s="39" t="n">
        <v>45904</v>
      </c>
      <c r="D5163" s="7" t="s">
        <v>387</v>
      </c>
      <c r="E5163" s="7" t="s">
        <v>154</v>
      </c>
      <c r="F5163" s="7" t="s">
        <v>196</v>
      </c>
      <c r="G5163" s="7" t="s">
        <v>505</v>
      </c>
      <c r="H5163" s="6" t="n">
        <v>4.38</v>
      </c>
      <c r="I5163" s="6" t="n">
        <v>0</v>
      </c>
      <c r="J5163" s="40" t="n">
        <f aca="false">H5163-I5163</f>
        <v>4.38</v>
      </c>
      <c r="K5163" s="41" t="n">
        <v>26.5</v>
      </c>
      <c r="L5163" s="42" t="n">
        <f aca="false">J5163*K5163</f>
        <v>116.07</v>
      </c>
      <c r="M5163" s="43" t="n">
        <f aca="false">H5163*15.05*(1+'Chart of Accounts'!$E$67)</f>
        <v>75.477255</v>
      </c>
    </row>
    <row r="5164" customFormat="false" ht="15" hidden="false" customHeight="false" outlineLevel="0" collapsed="false">
      <c r="B5164" s="7" t="s">
        <v>5661</v>
      </c>
      <c r="C5164" s="39" t="n">
        <v>45904</v>
      </c>
      <c r="D5164" s="7" t="s">
        <v>389</v>
      </c>
      <c r="E5164" s="7" t="s">
        <v>154</v>
      </c>
      <c r="F5164" s="7" t="s">
        <v>246</v>
      </c>
      <c r="G5164" s="7" t="s">
        <v>505</v>
      </c>
      <c r="H5164" s="6" t="n">
        <v>3.81</v>
      </c>
      <c r="I5164" s="6" t="n">
        <v>0</v>
      </c>
      <c r="J5164" s="40" t="n">
        <f aca="false">H5164-I5164</f>
        <v>3.81</v>
      </c>
      <c r="K5164" s="41" t="n">
        <v>26.5</v>
      </c>
      <c r="L5164" s="42" t="n">
        <f aca="false">J5164*K5164</f>
        <v>100.965</v>
      </c>
      <c r="M5164" s="43" t="n">
        <f aca="false">H5164*16.48*(1+'Chart of Accounts'!$E$67)</f>
        <v>71.893176</v>
      </c>
    </row>
    <row r="5165" customFormat="false" ht="15" hidden="false" customHeight="false" outlineLevel="0" collapsed="false">
      <c r="B5165" s="7" t="s">
        <v>5662</v>
      </c>
      <c r="C5165" s="39" t="n">
        <v>45904</v>
      </c>
      <c r="D5165" s="7" t="s">
        <v>391</v>
      </c>
      <c r="E5165" s="7" t="s">
        <v>156</v>
      </c>
      <c r="F5165" s="7" t="s">
        <v>222</v>
      </c>
      <c r="G5165" s="7" t="s">
        <v>505</v>
      </c>
      <c r="H5165" s="6" t="n">
        <v>3.7</v>
      </c>
      <c r="I5165" s="6" t="n">
        <v>0</v>
      </c>
      <c r="J5165" s="40" t="n">
        <f aca="false">H5165-I5165</f>
        <v>3.7</v>
      </c>
      <c r="K5165" s="41" t="n">
        <v>34</v>
      </c>
      <c r="L5165" s="42" t="n">
        <f aca="false">J5165*K5165</f>
        <v>125.8</v>
      </c>
      <c r="M5165" s="43" t="n">
        <f aca="false">H5165*17.84*(1+'Chart of Accounts'!$E$67)</f>
        <v>75.57916</v>
      </c>
    </row>
    <row r="5166" customFormat="false" ht="15" hidden="false" customHeight="false" outlineLevel="0" collapsed="false">
      <c r="B5166" s="7" t="s">
        <v>5663</v>
      </c>
      <c r="C5166" s="39" t="n">
        <v>45904</v>
      </c>
      <c r="D5166" s="7" t="s">
        <v>395</v>
      </c>
      <c r="E5166" s="7" t="s">
        <v>156</v>
      </c>
      <c r="F5166" s="7" t="s">
        <v>242</v>
      </c>
      <c r="G5166" s="7" t="s">
        <v>505</v>
      </c>
      <c r="H5166" s="6" t="n">
        <v>4</v>
      </c>
      <c r="I5166" s="6" t="n">
        <v>0</v>
      </c>
      <c r="J5166" s="40" t="n">
        <f aca="false">H5166-I5166</f>
        <v>4</v>
      </c>
      <c r="K5166" s="41" t="n">
        <v>34</v>
      </c>
      <c r="L5166" s="42" t="n">
        <f aca="false">J5166*K5166</f>
        <v>136</v>
      </c>
      <c r="M5166" s="43" t="n">
        <f aca="false">H5166*17.99*(1+'Chart of Accounts'!$E$67)</f>
        <v>82.3942</v>
      </c>
    </row>
    <row r="5167" customFormat="false" ht="15" hidden="false" customHeight="false" outlineLevel="0" collapsed="false">
      <c r="B5167" s="7" t="s">
        <v>5664</v>
      </c>
      <c r="C5167" s="39" t="n">
        <v>45904</v>
      </c>
      <c r="D5167" s="7" t="s">
        <v>401</v>
      </c>
      <c r="E5167" s="7" t="s">
        <v>156</v>
      </c>
      <c r="F5167" s="7" t="s">
        <v>254</v>
      </c>
      <c r="G5167" s="7" t="s">
        <v>505</v>
      </c>
      <c r="H5167" s="6" t="n">
        <v>4.2</v>
      </c>
      <c r="I5167" s="6" t="n">
        <v>0</v>
      </c>
      <c r="J5167" s="40" t="n">
        <f aca="false">H5167-I5167</f>
        <v>4.2</v>
      </c>
      <c r="K5167" s="41" t="n">
        <v>34</v>
      </c>
      <c r="L5167" s="42" t="n">
        <f aca="false">J5167*K5167</f>
        <v>142.8</v>
      </c>
      <c r="M5167" s="43" t="n">
        <f aca="false">H5167*17.1*(1+'Chart of Accounts'!$E$67)</f>
        <v>82.2339</v>
      </c>
    </row>
    <row r="5168" customFormat="false" ht="15" hidden="false" customHeight="false" outlineLevel="0" collapsed="false">
      <c r="B5168" s="7" t="s">
        <v>5665</v>
      </c>
      <c r="C5168" s="39" t="n">
        <v>45905</v>
      </c>
      <c r="D5168" s="7" t="s">
        <v>288</v>
      </c>
      <c r="E5168" s="7" t="s">
        <v>156</v>
      </c>
      <c r="F5168" s="7" t="s">
        <v>222</v>
      </c>
      <c r="G5168" s="7" t="s">
        <v>505</v>
      </c>
      <c r="H5168" s="6" t="n">
        <v>4.14</v>
      </c>
      <c r="I5168" s="6" t="n">
        <v>0</v>
      </c>
      <c r="J5168" s="40" t="n">
        <f aca="false">H5168-I5168</f>
        <v>4.14</v>
      </c>
      <c r="K5168" s="41" t="n">
        <v>34</v>
      </c>
      <c r="L5168" s="42" t="n">
        <f aca="false">J5168*K5168</f>
        <v>140.76</v>
      </c>
      <c r="M5168" s="43" t="n">
        <f aca="false">H5168*17.84*(1+'Chart of Accounts'!$E$67)</f>
        <v>84.566952</v>
      </c>
    </row>
    <row r="5169" customFormat="false" ht="15" hidden="false" customHeight="false" outlineLevel="0" collapsed="false">
      <c r="B5169" s="7" t="s">
        <v>5666</v>
      </c>
      <c r="C5169" s="39" t="n">
        <v>45905</v>
      </c>
      <c r="D5169" s="7" t="s">
        <v>291</v>
      </c>
      <c r="E5169" s="7" t="s">
        <v>154</v>
      </c>
      <c r="F5169" s="7" t="s">
        <v>194</v>
      </c>
      <c r="G5169" s="7" t="s">
        <v>505</v>
      </c>
      <c r="H5169" s="6" t="n">
        <v>4.47</v>
      </c>
      <c r="I5169" s="6" t="n">
        <v>0</v>
      </c>
      <c r="J5169" s="40" t="n">
        <f aca="false">H5169-I5169</f>
        <v>4.47</v>
      </c>
      <c r="K5169" s="41" t="n">
        <v>26.5</v>
      </c>
      <c r="L5169" s="42" t="n">
        <f aca="false">J5169*K5169</f>
        <v>118.455</v>
      </c>
      <c r="M5169" s="43" t="n">
        <f aca="false">H5169*16*(1+'Chart of Accounts'!$E$67)</f>
        <v>81.8904</v>
      </c>
    </row>
    <row r="5170" customFormat="false" ht="15" hidden="false" customHeight="false" outlineLevel="0" collapsed="false">
      <c r="B5170" s="7" t="s">
        <v>5667</v>
      </c>
      <c r="C5170" s="39" t="n">
        <v>45905</v>
      </c>
      <c r="D5170" s="7" t="s">
        <v>293</v>
      </c>
      <c r="E5170" s="7" t="s">
        <v>157</v>
      </c>
      <c r="F5170" s="7" t="s">
        <v>198</v>
      </c>
      <c r="G5170" s="7" t="s">
        <v>502</v>
      </c>
      <c r="H5170" s="6" t="n">
        <v>1.07</v>
      </c>
      <c r="I5170" s="6" t="n">
        <v>0.054</v>
      </c>
      <c r="J5170" s="40" t="n">
        <f aca="false">H5170-I5170</f>
        <v>1.016</v>
      </c>
      <c r="K5170" s="41" t="n">
        <v>165</v>
      </c>
      <c r="L5170" s="42" t="n">
        <f aca="false">J5170*K5170</f>
        <v>167.64</v>
      </c>
      <c r="M5170" s="43" t="n">
        <f aca="false">H5170*48.09*(1+'Chart of Accounts'!$E$67)</f>
        <v>58.9174635</v>
      </c>
    </row>
    <row r="5171" customFormat="false" ht="15" hidden="false" customHeight="false" outlineLevel="0" collapsed="false">
      <c r="B5171" s="7" t="s">
        <v>5668</v>
      </c>
      <c r="C5171" s="39" t="n">
        <v>45905</v>
      </c>
      <c r="D5171" s="7" t="s">
        <v>295</v>
      </c>
      <c r="E5171" s="7" t="s">
        <v>154</v>
      </c>
      <c r="F5171" s="7" t="s">
        <v>214</v>
      </c>
      <c r="G5171" s="7" t="s">
        <v>505</v>
      </c>
      <c r="H5171" s="6" t="n">
        <v>3.71</v>
      </c>
      <c r="I5171" s="6" t="n">
        <v>0</v>
      </c>
      <c r="J5171" s="40" t="n">
        <f aca="false">H5171-I5171</f>
        <v>3.71</v>
      </c>
      <c r="K5171" s="41" t="n">
        <v>26.5</v>
      </c>
      <c r="L5171" s="42" t="n">
        <f aca="false">J5171*K5171</f>
        <v>98.315</v>
      </c>
      <c r="M5171" s="43" t="n">
        <f aca="false">H5171*15.67*(1+'Chart of Accounts'!$E$67)</f>
        <v>66.5653765</v>
      </c>
    </row>
    <row r="5172" customFormat="false" ht="15" hidden="false" customHeight="false" outlineLevel="0" collapsed="false">
      <c r="B5172" s="7" t="s">
        <v>5669</v>
      </c>
      <c r="C5172" s="39" t="n">
        <v>45905</v>
      </c>
      <c r="D5172" s="7" t="s">
        <v>301</v>
      </c>
      <c r="E5172" s="7" t="s">
        <v>157</v>
      </c>
      <c r="F5172" s="7" t="s">
        <v>209</v>
      </c>
      <c r="G5172" s="7" t="s">
        <v>502</v>
      </c>
      <c r="H5172" s="6" t="n">
        <v>1.1</v>
      </c>
      <c r="I5172" s="6" t="n">
        <v>0</v>
      </c>
      <c r="J5172" s="40" t="n">
        <f aca="false">H5172-I5172</f>
        <v>1.1</v>
      </c>
      <c r="K5172" s="41" t="n">
        <v>165</v>
      </c>
      <c r="L5172" s="42" t="n">
        <f aca="false">J5172*K5172</f>
        <v>181.5</v>
      </c>
      <c r="M5172" s="43" t="n">
        <f aca="false">H5172*73.58*(1+'Chart of Accounts'!$E$67)</f>
        <v>92.67401</v>
      </c>
    </row>
    <row r="5173" customFormat="false" ht="15" hidden="false" customHeight="false" outlineLevel="0" collapsed="false">
      <c r="B5173" s="7" t="s">
        <v>5670</v>
      </c>
      <c r="C5173" s="39" t="n">
        <v>45905</v>
      </c>
      <c r="D5173" s="7" t="s">
        <v>305</v>
      </c>
      <c r="E5173" s="7" t="s">
        <v>154</v>
      </c>
      <c r="F5173" s="7" t="s">
        <v>205</v>
      </c>
      <c r="G5173" s="7" t="s">
        <v>505</v>
      </c>
      <c r="H5173" s="6" t="n">
        <v>4.21</v>
      </c>
      <c r="I5173" s="6" t="n">
        <v>0</v>
      </c>
      <c r="J5173" s="40" t="n">
        <f aca="false">H5173-I5173</f>
        <v>4.21</v>
      </c>
      <c r="K5173" s="41" t="n">
        <v>26.5</v>
      </c>
      <c r="L5173" s="42" t="n">
        <f aca="false">J5173*K5173</f>
        <v>111.565</v>
      </c>
      <c r="M5173" s="43" t="n">
        <f aca="false">H5173*16.36*(1+'Chart of Accounts'!$E$67)</f>
        <v>78.862562</v>
      </c>
    </row>
    <row r="5174" customFormat="false" ht="15" hidden="false" customHeight="false" outlineLevel="0" collapsed="false">
      <c r="B5174" s="7" t="s">
        <v>5671</v>
      </c>
      <c r="C5174" s="39" t="n">
        <v>45905</v>
      </c>
      <c r="D5174" s="7" t="s">
        <v>307</v>
      </c>
      <c r="E5174" s="7" t="s">
        <v>157</v>
      </c>
      <c r="F5174" s="7" t="s">
        <v>264</v>
      </c>
      <c r="G5174" s="7" t="s">
        <v>502</v>
      </c>
      <c r="H5174" s="6" t="n">
        <v>1.09</v>
      </c>
      <c r="I5174" s="6" t="n">
        <v>0</v>
      </c>
      <c r="J5174" s="40" t="n">
        <f aca="false">H5174-I5174</f>
        <v>1.09</v>
      </c>
      <c r="K5174" s="41" t="n">
        <v>165</v>
      </c>
      <c r="L5174" s="42" t="n">
        <f aca="false">J5174*K5174</f>
        <v>179.85</v>
      </c>
      <c r="M5174" s="43" t="n">
        <f aca="false">H5174*55.55*(1+'Chart of Accounts'!$E$67)</f>
        <v>69.3291775</v>
      </c>
    </row>
    <row r="5175" customFormat="false" ht="15" hidden="false" customHeight="false" outlineLevel="0" collapsed="false">
      <c r="B5175" s="7" t="s">
        <v>5672</v>
      </c>
      <c r="C5175" s="39" t="n">
        <v>45905</v>
      </c>
      <c r="D5175" s="7" t="s">
        <v>309</v>
      </c>
      <c r="E5175" s="7" t="s">
        <v>159</v>
      </c>
      <c r="F5175" s="7" t="s">
        <v>252</v>
      </c>
      <c r="G5175" s="7" t="s">
        <v>502</v>
      </c>
      <c r="H5175" s="6" t="n">
        <v>0.99</v>
      </c>
      <c r="I5175" s="6" t="n">
        <v>0</v>
      </c>
      <c r="J5175" s="40" t="n">
        <f aca="false">H5175-I5175</f>
        <v>0.99</v>
      </c>
      <c r="K5175" s="41" t="n">
        <v>135</v>
      </c>
      <c r="L5175" s="42" t="n">
        <f aca="false">J5175*K5175</f>
        <v>133.65</v>
      </c>
      <c r="M5175" s="43" t="n">
        <f aca="false">H5175*57.54*(1+'Chart of Accounts'!$E$67)</f>
        <v>65.224467</v>
      </c>
    </row>
    <row r="5176" customFormat="false" ht="15" hidden="false" customHeight="false" outlineLevel="0" collapsed="false">
      <c r="B5176" s="7" t="s">
        <v>5673</v>
      </c>
      <c r="C5176" s="39" t="n">
        <v>45905</v>
      </c>
      <c r="D5176" s="7" t="s">
        <v>313</v>
      </c>
      <c r="E5176" s="7" t="s">
        <v>156</v>
      </c>
      <c r="F5176" s="7" t="s">
        <v>184</v>
      </c>
      <c r="G5176" s="7" t="s">
        <v>505</v>
      </c>
      <c r="H5176" s="6" t="n">
        <v>3.77</v>
      </c>
      <c r="I5176" s="6" t="n">
        <v>0</v>
      </c>
      <c r="J5176" s="40" t="n">
        <f aca="false">H5176-I5176</f>
        <v>3.77</v>
      </c>
      <c r="K5176" s="41" t="n">
        <v>34</v>
      </c>
      <c r="L5176" s="42" t="n">
        <f aca="false">J5176*K5176</f>
        <v>128.18</v>
      </c>
      <c r="M5176" s="43" t="n">
        <f aca="false">H5176*17.34*(1+'Chart of Accounts'!$E$67)</f>
        <v>74.850711</v>
      </c>
    </row>
    <row r="5177" customFormat="false" ht="15" hidden="false" customHeight="false" outlineLevel="0" collapsed="false">
      <c r="B5177" s="7" t="s">
        <v>5674</v>
      </c>
      <c r="C5177" s="39" t="n">
        <v>45905</v>
      </c>
      <c r="D5177" s="7" t="s">
        <v>315</v>
      </c>
      <c r="E5177" s="7" t="s">
        <v>159</v>
      </c>
      <c r="F5177" s="7" t="s">
        <v>216</v>
      </c>
      <c r="G5177" s="7" t="s">
        <v>502</v>
      </c>
      <c r="H5177" s="6" t="n">
        <v>1.04</v>
      </c>
      <c r="I5177" s="6" t="n">
        <v>0</v>
      </c>
      <c r="J5177" s="40" t="n">
        <f aca="false">H5177-I5177</f>
        <v>1.04</v>
      </c>
      <c r="K5177" s="41" t="n">
        <v>135</v>
      </c>
      <c r="L5177" s="42" t="n">
        <f aca="false">J5177*K5177</f>
        <v>140.4</v>
      </c>
      <c r="M5177" s="43" t="n">
        <f aca="false">H5177*61.79*(1+'Chart of Accounts'!$E$67)</f>
        <v>73.579532</v>
      </c>
    </row>
    <row r="5178" customFormat="false" ht="15" hidden="false" customHeight="false" outlineLevel="0" collapsed="false">
      <c r="B5178" s="7" t="s">
        <v>5675</v>
      </c>
      <c r="C5178" s="39" t="n">
        <v>45905</v>
      </c>
      <c r="D5178" s="7" t="s">
        <v>319</v>
      </c>
      <c r="E5178" s="7" t="s">
        <v>157</v>
      </c>
      <c r="F5178" s="7" t="s">
        <v>234</v>
      </c>
      <c r="G5178" s="7" t="s">
        <v>502</v>
      </c>
      <c r="H5178" s="6" t="n">
        <v>0.94</v>
      </c>
      <c r="I5178" s="6" t="n">
        <v>0</v>
      </c>
      <c r="J5178" s="40" t="n">
        <f aca="false">H5178-I5178</f>
        <v>0.94</v>
      </c>
      <c r="K5178" s="41" t="n">
        <v>165</v>
      </c>
      <c r="L5178" s="42" t="n">
        <f aca="false">J5178*K5178</f>
        <v>155.1</v>
      </c>
      <c r="M5178" s="43" t="n">
        <f aca="false">H5178*89.53*(1+'Chart of Accounts'!$E$67)</f>
        <v>96.361139</v>
      </c>
    </row>
    <row r="5179" customFormat="false" ht="15" hidden="false" customHeight="false" outlineLevel="0" collapsed="false">
      <c r="B5179" s="7" t="s">
        <v>5676</v>
      </c>
      <c r="C5179" s="39" t="n">
        <v>45905</v>
      </c>
      <c r="D5179" s="7" t="s">
        <v>321</v>
      </c>
      <c r="E5179" s="7" t="s">
        <v>154</v>
      </c>
      <c r="F5179" s="7" t="s">
        <v>218</v>
      </c>
      <c r="G5179" s="7" t="s">
        <v>505</v>
      </c>
      <c r="H5179" s="6" t="n">
        <v>4.15</v>
      </c>
      <c r="I5179" s="6" t="n">
        <v>0</v>
      </c>
      <c r="J5179" s="40" t="n">
        <f aca="false">H5179-I5179</f>
        <v>4.15</v>
      </c>
      <c r="K5179" s="41" t="n">
        <v>26.5</v>
      </c>
      <c r="L5179" s="42" t="n">
        <f aca="false">J5179*K5179</f>
        <v>109.975</v>
      </c>
      <c r="M5179" s="43" t="n">
        <f aca="false">H5179*16.19*(1+'Chart of Accounts'!$E$67)</f>
        <v>76.9308325</v>
      </c>
    </row>
    <row r="5180" customFormat="false" ht="15" hidden="false" customHeight="false" outlineLevel="0" collapsed="false">
      <c r="B5180" s="7" t="s">
        <v>5677</v>
      </c>
      <c r="C5180" s="39" t="n">
        <v>45905</v>
      </c>
      <c r="D5180" s="7" t="s">
        <v>327</v>
      </c>
      <c r="E5180" s="7" t="s">
        <v>157</v>
      </c>
      <c r="F5180" s="7" t="s">
        <v>228</v>
      </c>
      <c r="G5180" s="7" t="s">
        <v>502</v>
      </c>
      <c r="H5180" s="6" t="n">
        <v>0.91</v>
      </c>
      <c r="I5180" s="6" t="n">
        <v>0</v>
      </c>
      <c r="J5180" s="40" t="n">
        <f aca="false">H5180-I5180</f>
        <v>0.91</v>
      </c>
      <c r="K5180" s="41" t="n">
        <v>165</v>
      </c>
      <c r="L5180" s="42" t="n">
        <f aca="false">J5180*K5180</f>
        <v>150.15</v>
      </c>
      <c r="M5180" s="43" t="n">
        <f aca="false">H5180*51.07*(1+'Chart of Accounts'!$E$67)</f>
        <v>53.2123865</v>
      </c>
    </row>
    <row r="5181" customFormat="false" ht="15" hidden="false" customHeight="false" outlineLevel="0" collapsed="false">
      <c r="B5181" s="7" t="s">
        <v>5678</v>
      </c>
      <c r="C5181" s="39" t="n">
        <v>45905</v>
      </c>
      <c r="D5181" s="7" t="s">
        <v>329</v>
      </c>
      <c r="E5181" s="7" t="s">
        <v>156</v>
      </c>
      <c r="F5181" s="7" t="s">
        <v>220</v>
      </c>
      <c r="G5181" s="7" t="s">
        <v>505</v>
      </c>
      <c r="H5181" s="6" t="n">
        <v>3.91</v>
      </c>
      <c r="I5181" s="6" t="n">
        <v>0</v>
      </c>
      <c r="J5181" s="40" t="n">
        <f aca="false">H5181-I5181</f>
        <v>3.91</v>
      </c>
      <c r="K5181" s="41" t="n">
        <v>34</v>
      </c>
      <c r="L5181" s="42" t="n">
        <f aca="false">J5181*K5181</f>
        <v>132.94</v>
      </c>
      <c r="M5181" s="43" t="n">
        <f aca="false">H5181*16.43*(1+'Chart of Accounts'!$E$67)</f>
        <v>73.5562885</v>
      </c>
    </row>
    <row r="5182" customFormat="false" ht="15" hidden="false" customHeight="false" outlineLevel="0" collapsed="false">
      <c r="B5182" s="7" t="s">
        <v>5679</v>
      </c>
      <c r="C5182" s="39" t="n">
        <v>45905</v>
      </c>
      <c r="D5182" s="7" t="s">
        <v>335</v>
      </c>
      <c r="E5182" s="7" t="s">
        <v>154</v>
      </c>
      <c r="F5182" s="7" t="s">
        <v>177</v>
      </c>
      <c r="G5182" s="7" t="s">
        <v>505</v>
      </c>
      <c r="H5182" s="6" t="n">
        <v>3.86</v>
      </c>
      <c r="I5182" s="6" t="n">
        <v>0.116</v>
      </c>
      <c r="J5182" s="40" t="n">
        <f aca="false">H5182-I5182</f>
        <v>3.744</v>
      </c>
      <c r="K5182" s="41" t="n">
        <v>26.5</v>
      </c>
      <c r="L5182" s="42" t="n">
        <f aca="false">J5182*K5182</f>
        <v>99.216</v>
      </c>
      <c r="M5182" s="43" t="n">
        <f aca="false">H5182*14.56*(1+'Chart of Accounts'!$E$67)</f>
        <v>64.350832</v>
      </c>
    </row>
    <row r="5183" customFormat="false" ht="15" hidden="false" customHeight="false" outlineLevel="0" collapsed="false">
      <c r="B5183" s="7" t="s">
        <v>5680</v>
      </c>
      <c r="C5183" s="39" t="n">
        <v>45905</v>
      </c>
      <c r="D5183" s="7" t="s">
        <v>339</v>
      </c>
      <c r="E5183" s="7" t="s">
        <v>154</v>
      </c>
      <c r="F5183" s="7" t="s">
        <v>242</v>
      </c>
      <c r="G5183" s="7" t="s">
        <v>505</v>
      </c>
      <c r="H5183" s="6" t="n">
        <v>3.41</v>
      </c>
      <c r="I5183" s="6" t="n">
        <v>0</v>
      </c>
      <c r="J5183" s="40" t="n">
        <f aca="false">H5183-I5183</f>
        <v>3.41</v>
      </c>
      <c r="K5183" s="41" t="n">
        <v>26.5</v>
      </c>
      <c r="L5183" s="42" t="n">
        <f aca="false">J5183*K5183</f>
        <v>90.365</v>
      </c>
      <c r="M5183" s="43" t="n">
        <f aca="false">H5183*17.99*(1+'Chart of Accounts'!$E$67)</f>
        <v>70.2410555</v>
      </c>
    </row>
    <row r="5184" customFormat="false" ht="15" hidden="false" customHeight="false" outlineLevel="0" collapsed="false">
      <c r="B5184" s="7" t="s">
        <v>5681</v>
      </c>
      <c r="C5184" s="39" t="n">
        <v>45905</v>
      </c>
      <c r="D5184" s="7" t="s">
        <v>347</v>
      </c>
      <c r="E5184" s="7" t="s">
        <v>154</v>
      </c>
      <c r="F5184" s="7" t="s">
        <v>238</v>
      </c>
      <c r="G5184" s="7" t="s">
        <v>505</v>
      </c>
      <c r="H5184" s="6" t="n">
        <v>4.87</v>
      </c>
      <c r="I5184" s="6" t="n">
        <v>0.146</v>
      </c>
      <c r="J5184" s="40" t="n">
        <f aca="false">H5184-I5184</f>
        <v>4.724</v>
      </c>
      <c r="K5184" s="41" t="n">
        <v>26.5</v>
      </c>
      <c r="L5184" s="42" t="n">
        <f aca="false">J5184*K5184</f>
        <v>125.186</v>
      </c>
      <c r="M5184" s="43" t="n">
        <f aca="false">H5184*15.85*(1+'Chart of Accounts'!$E$67)</f>
        <v>88.3819775</v>
      </c>
    </row>
    <row r="5185" customFormat="false" ht="15" hidden="false" customHeight="false" outlineLevel="0" collapsed="false">
      <c r="B5185" s="7" t="s">
        <v>5682</v>
      </c>
      <c r="C5185" s="39" t="n">
        <v>45905</v>
      </c>
      <c r="D5185" s="7" t="s">
        <v>353</v>
      </c>
      <c r="E5185" s="7" t="s">
        <v>154</v>
      </c>
      <c r="F5185" s="7" t="s">
        <v>254</v>
      </c>
      <c r="G5185" s="7" t="s">
        <v>505</v>
      </c>
      <c r="H5185" s="6" t="n">
        <v>3.42</v>
      </c>
      <c r="I5185" s="6" t="n">
        <v>0</v>
      </c>
      <c r="J5185" s="40" t="n">
        <f aca="false">H5185-I5185</f>
        <v>3.42</v>
      </c>
      <c r="K5185" s="41" t="n">
        <v>26.5</v>
      </c>
      <c r="L5185" s="42" t="n">
        <f aca="false">J5185*K5185</f>
        <v>90.63</v>
      </c>
      <c r="M5185" s="43" t="n">
        <f aca="false">H5185*17.1*(1+'Chart of Accounts'!$E$67)</f>
        <v>66.96189</v>
      </c>
    </row>
    <row r="5186" customFormat="false" ht="15" hidden="false" customHeight="false" outlineLevel="0" collapsed="false">
      <c r="B5186" s="7" t="s">
        <v>5683</v>
      </c>
      <c r="C5186" s="39" t="n">
        <v>45905</v>
      </c>
      <c r="D5186" s="7" t="s">
        <v>357</v>
      </c>
      <c r="E5186" s="7" t="s">
        <v>154</v>
      </c>
      <c r="F5186" s="7" t="s">
        <v>246</v>
      </c>
      <c r="G5186" s="7" t="s">
        <v>505</v>
      </c>
      <c r="H5186" s="6" t="n">
        <v>3.53</v>
      </c>
      <c r="I5186" s="6" t="n">
        <v>0.106</v>
      </c>
      <c r="J5186" s="40" t="n">
        <f aca="false">H5186-I5186</f>
        <v>3.424</v>
      </c>
      <c r="K5186" s="41" t="n">
        <v>26.5</v>
      </c>
      <c r="L5186" s="42" t="n">
        <f aca="false">J5186*K5186</f>
        <v>90.736</v>
      </c>
      <c r="M5186" s="43" t="n">
        <f aca="false">H5186*16.48*(1+'Chart of Accounts'!$E$67)</f>
        <v>66.609688</v>
      </c>
    </row>
    <row r="5187" customFormat="false" ht="15" hidden="false" customHeight="false" outlineLevel="0" collapsed="false">
      <c r="B5187" s="7" t="s">
        <v>5684</v>
      </c>
      <c r="C5187" s="39" t="n">
        <v>45905</v>
      </c>
      <c r="D5187" s="7" t="s">
        <v>359</v>
      </c>
      <c r="E5187" s="7" t="s">
        <v>156</v>
      </c>
      <c r="F5187" s="7" t="s">
        <v>246</v>
      </c>
      <c r="G5187" s="7" t="s">
        <v>505</v>
      </c>
      <c r="H5187" s="6" t="n">
        <v>4.3</v>
      </c>
      <c r="I5187" s="6" t="n">
        <v>0</v>
      </c>
      <c r="J5187" s="40" t="n">
        <f aca="false">H5187-I5187</f>
        <v>4.3</v>
      </c>
      <c r="K5187" s="41" t="n">
        <v>34</v>
      </c>
      <c r="L5187" s="42" t="n">
        <f aca="false">J5187*K5187</f>
        <v>146.2</v>
      </c>
      <c r="M5187" s="43" t="n">
        <f aca="false">H5187*16.48*(1+'Chart of Accounts'!$E$67)</f>
        <v>81.13928</v>
      </c>
    </row>
    <row r="5188" customFormat="false" ht="15" hidden="false" customHeight="false" outlineLevel="0" collapsed="false">
      <c r="B5188" s="7" t="s">
        <v>5685</v>
      </c>
      <c r="C5188" s="39" t="n">
        <v>45905</v>
      </c>
      <c r="D5188" s="7" t="s">
        <v>361</v>
      </c>
      <c r="E5188" s="7" t="s">
        <v>157</v>
      </c>
      <c r="F5188" s="7" t="s">
        <v>209</v>
      </c>
      <c r="G5188" s="7" t="s">
        <v>502</v>
      </c>
      <c r="H5188" s="6" t="n">
        <v>1.08</v>
      </c>
      <c r="I5188" s="6" t="n">
        <v>0</v>
      </c>
      <c r="J5188" s="40" t="n">
        <f aca="false">H5188-I5188</f>
        <v>1.08</v>
      </c>
      <c r="K5188" s="41" t="n">
        <v>165</v>
      </c>
      <c r="L5188" s="42" t="n">
        <f aca="false">J5188*K5188</f>
        <v>178.2</v>
      </c>
      <c r="M5188" s="43" t="n">
        <f aca="false">H5188*73.58*(1+'Chart of Accounts'!$E$67)</f>
        <v>90.989028</v>
      </c>
    </row>
    <row r="5189" customFormat="false" ht="15" hidden="false" customHeight="false" outlineLevel="0" collapsed="false">
      <c r="B5189" s="7" t="s">
        <v>5686</v>
      </c>
      <c r="C5189" s="39" t="n">
        <v>45905</v>
      </c>
      <c r="D5189" s="7" t="s">
        <v>365</v>
      </c>
      <c r="E5189" s="7" t="s">
        <v>154</v>
      </c>
      <c r="F5189" s="7" t="s">
        <v>194</v>
      </c>
      <c r="G5189" s="7" t="s">
        <v>505</v>
      </c>
      <c r="H5189" s="6" t="n">
        <v>3.74</v>
      </c>
      <c r="I5189" s="6" t="n">
        <v>0</v>
      </c>
      <c r="J5189" s="40" t="n">
        <f aca="false">H5189-I5189</f>
        <v>3.74</v>
      </c>
      <c r="K5189" s="41" t="n">
        <v>26.5</v>
      </c>
      <c r="L5189" s="42" t="n">
        <f aca="false">J5189*K5189</f>
        <v>99.11</v>
      </c>
      <c r="M5189" s="43" t="n">
        <f aca="false">H5189*16*(1+'Chart of Accounts'!$E$67)</f>
        <v>68.5168</v>
      </c>
    </row>
    <row r="5190" customFormat="false" ht="15" hidden="false" customHeight="false" outlineLevel="0" collapsed="false">
      <c r="B5190" s="7" t="s">
        <v>5687</v>
      </c>
      <c r="C5190" s="39" t="n">
        <v>45905</v>
      </c>
      <c r="D5190" s="7" t="s">
        <v>369</v>
      </c>
      <c r="E5190" s="7" t="s">
        <v>159</v>
      </c>
      <c r="F5190" s="7" t="s">
        <v>258</v>
      </c>
      <c r="G5190" s="7" t="s">
        <v>502</v>
      </c>
      <c r="H5190" s="6" t="n">
        <v>1.09</v>
      </c>
      <c r="I5190" s="6" t="n">
        <v>0</v>
      </c>
      <c r="J5190" s="40" t="n">
        <f aca="false">H5190-I5190</f>
        <v>1.09</v>
      </c>
      <c r="K5190" s="41" t="n">
        <v>135</v>
      </c>
      <c r="L5190" s="42" t="n">
        <f aca="false">J5190*K5190</f>
        <v>147.15</v>
      </c>
      <c r="M5190" s="43" t="n">
        <f aca="false">H5190*61.61*(1+'Chart of Accounts'!$E$67)</f>
        <v>76.8923605</v>
      </c>
    </row>
    <row r="5191" customFormat="false" ht="15" hidden="false" customHeight="false" outlineLevel="0" collapsed="false">
      <c r="B5191" s="7" t="s">
        <v>5688</v>
      </c>
      <c r="C5191" s="39" t="n">
        <v>45905</v>
      </c>
      <c r="D5191" s="7" t="s">
        <v>371</v>
      </c>
      <c r="E5191" s="7" t="s">
        <v>154</v>
      </c>
      <c r="F5191" s="7" t="s">
        <v>232</v>
      </c>
      <c r="G5191" s="7" t="s">
        <v>505</v>
      </c>
      <c r="H5191" s="6" t="n">
        <v>4.97</v>
      </c>
      <c r="I5191" s="6" t="n">
        <v>0</v>
      </c>
      <c r="J5191" s="40" t="n">
        <f aca="false">H5191-I5191</f>
        <v>4.97</v>
      </c>
      <c r="K5191" s="41" t="n">
        <v>26.5</v>
      </c>
      <c r="L5191" s="42" t="n">
        <f aca="false">J5191*K5191</f>
        <v>131.705</v>
      </c>
      <c r="M5191" s="43" t="n">
        <f aca="false">H5191*16.17*(1+'Chart of Accounts'!$E$67)</f>
        <v>92.0178105</v>
      </c>
    </row>
    <row r="5192" customFormat="false" ht="15" hidden="false" customHeight="false" outlineLevel="0" collapsed="false">
      <c r="B5192" s="7" t="s">
        <v>5689</v>
      </c>
      <c r="C5192" s="39" t="n">
        <v>45905</v>
      </c>
      <c r="D5192" s="7" t="s">
        <v>379</v>
      </c>
      <c r="E5192" s="7" t="s">
        <v>156</v>
      </c>
      <c r="F5192" s="7" t="s">
        <v>224</v>
      </c>
      <c r="G5192" s="7" t="s">
        <v>505</v>
      </c>
      <c r="H5192" s="6" t="n">
        <v>4.54</v>
      </c>
      <c r="I5192" s="6" t="n">
        <v>0</v>
      </c>
      <c r="J5192" s="40" t="n">
        <f aca="false">H5192-I5192</f>
        <v>4.54</v>
      </c>
      <c r="K5192" s="41" t="n">
        <v>34</v>
      </c>
      <c r="L5192" s="42" t="n">
        <f aca="false">J5192*K5192</f>
        <v>154.36</v>
      </c>
      <c r="M5192" s="43" t="n">
        <f aca="false">H5192*14.93*(1+'Chart of Accounts'!$E$67)</f>
        <v>77.610619</v>
      </c>
    </row>
    <row r="5193" customFormat="false" ht="15" hidden="false" customHeight="false" outlineLevel="0" collapsed="false">
      <c r="B5193" s="7" t="s">
        <v>5690</v>
      </c>
      <c r="C5193" s="39" t="n">
        <v>45905</v>
      </c>
      <c r="D5193" s="7" t="s">
        <v>381</v>
      </c>
      <c r="E5193" s="7" t="s">
        <v>157</v>
      </c>
      <c r="F5193" s="7" t="s">
        <v>234</v>
      </c>
      <c r="G5193" s="7" t="s">
        <v>502</v>
      </c>
      <c r="H5193" s="6" t="n">
        <v>0.94</v>
      </c>
      <c r="I5193" s="6" t="n">
        <v>0</v>
      </c>
      <c r="J5193" s="40" t="n">
        <f aca="false">H5193-I5193</f>
        <v>0.94</v>
      </c>
      <c r="K5193" s="41" t="n">
        <v>165</v>
      </c>
      <c r="L5193" s="42" t="n">
        <f aca="false">J5193*K5193</f>
        <v>155.1</v>
      </c>
      <c r="M5193" s="43" t="n">
        <f aca="false">H5193*89.53*(1+'Chart of Accounts'!$E$67)</f>
        <v>96.361139</v>
      </c>
    </row>
    <row r="5194" customFormat="false" ht="15" hidden="false" customHeight="false" outlineLevel="0" collapsed="false">
      <c r="B5194" s="7" t="s">
        <v>5691</v>
      </c>
      <c r="C5194" s="39" t="n">
        <v>45905</v>
      </c>
      <c r="D5194" s="7" t="s">
        <v>383</v>
      </c>
      <c r="E5194" s="7" t="s">
        <v>157</v>
      </c>
      <c r="F5194" s="7" t="s">
        <v>230</v>
      </c>
      <c r="G5194" s="7" t="s">
        <v>502</v>
      </c>
      <c r="H5194" s="6" t="n">
        <v>0.9</v>
      </c>
      <c r="I5194" s="6" t="n">
        <v>0</v>
      </c>
      <c r="J5194" s="40" t="n">
        <f aca="false">H5194-I5194</f>
        <v>0.9</v>
      </c>
      <c r="K5194" s="41" t="n">
        <v>165</v>
      </c>
      <c r="L5194" s="42" t="n">
        <f aca="false">J5194*K5194</f>
        <v>148.5</v>
      </c>
      <c r="M5194" s="43" t="n">
        <f aca="false">H5194*48.78*(1+'Chart of Accounts'!$E$67)</f>
        <v>50.26779</v>
      </c>
    </row>
    <row r="5195" customFormat="false" ht="15" hidden="false" customHeight="false" outlineLevel="0" collapsed="false">
      <c r="B5195" s="7" t="s">
        <v>5692</v>
      </c>
      <c r="C5195" s="39" t="n">
        <v>45905</v>
      </c>
      <c r="D5195" s="7" t="s">
        <v>385</v>
      </c>
      <c r="E5195" s="7" t="s">
        <v>156</v>
      </c>
      <c r="F5195" s="7" t="s">
        <v>238</v>
      </c>
      <c r="G5195" s="7" t="s">
        <v>505</v>
      </c>
      <c r="H5195" s="6" t="n">
        <v>4.24</v>
      </c>
      <c r="I5195" s="6" t="n">
        <v>0</v>
      </c>
      <c r="J5195" s="40" t="n">
        <f aca="false">H5195-I5195</f>
        <v>4.24</v>
      </c>
      <c r="K5195" s="41" t="n">
        <v>34</v>
      </c>
      <c r="L5195" s="42" t="n">
        <f aca="false">J5195*K5195</f>
        <v>144.16</v>
      </c>
      <c r="M5195" s="43" t="n">
        <f aca="false">H5195*15.85*(1+'Chart of Accounts'!$E$67)</f>
        <v>76.94858</v>
      </c>
    </row>
    <row r="5196" customFormat="false" ht="15" hidden="false" customHeight="false" outlineLevel="0" collapsed="false">
      <c r="B5196" s="7" t="s">
        <v>5693</v>
      </c>
      <c r="C5196" s="39" t="n">
        <v>45905</v>
      </c>
      <c r="D5196" s="7" t="s">
        <v>387</v>
      </c>
      <c r="E5196" s="7" t="s">
        <v>154</v>
      </c>
      <c r="F5196" s="7" t="s">
        <v>196</v>
      </c>
      <c r="G5196" s="7" t="s">
        <v>505</v>
      </c>
      <c r="H5196" s="6" t="n">
        <v>4.08</v>
      </c>
      <c r="I5196" s="6" t="n">
        <v>0</v>
      </c>
      <c r="J5196" s="40" t="n">
        <f aca="false">H5196-I5196</f>
        <v>4.08</v>
      </c>
      <c r="K5196" s="41" t="n">
        <v>26.5</v>
      </c>
      <c r="L5196" s="42" t="n">
        <f aca="false">J5196*K5196</f>
        <v>108.12</v>
      </c>
      <c r="M5196" s="43" t="n">
        <f aca="false">H5196*15.05*(1+'Chart of Accounts'!$E$67)</f>
        <v>70.30758</v>
      </c>
    </row>
    <row r="5197" customFormat="false" ht="15" hidden="false" customHeight="false" outlineLevel="0" collapsed="false">
      <c r="B5197" s="7" t="s">
        <v>5694</v>
      </c>
      <c r="C5197" s="39" t="n">
        <v>45905</v>
      </c>
      <c r="D5197" s="7" t="s">
        <v>389</v>
      </c>
      <c r="E5197" s="7" t="s">
        <v>154</v>
      </c>
      <c r="F5197" s="7" t="s">
        <v>246</v>
      </c>
      <c r="G5197" s="7" t="s">
        <v>505</v>
      </c>
      <c r="H5197" s="6" t="n">
        <v>4</v>
      </c>
      <c r="I5197" s="6" t="n">
        <v>0</v>
      </c>
      <c r="J5197" s="40" t="n">
        <f aca="false">H5197-I5197</f>
        <v>4</v>
      </c>
      <c r="K5197" s="41" t="n">
        <v>26.5</v>
      </c>
      <c r="L5197" s="42" t="n">
        <f aca="false">J5197*K5197</f>
        <v>106</v>
      </c>
      <c r="M5197" s="43" t="n">
        <f aca="false">H5197*16.48*(1+'Chart of Accounts'!$E$67)</f>
        <v>75.4784</v>
      </c>
    </row>
    <row r="5198" customFormat="false" ht="15" hidden="false" customHeight="false" outlineLevel="0" collapsed="false">
      <c r="B5198" s="7" t="s">
        <v>5695</v>
      </c>
      <c r="C5198" s="39" t="n">
        <v>45905</v>
      </c>
      <c r="D5198" s="7" t="s">
        <v>391</v>
      </c>
      <c r="E5198" s="7" t="s">
        <v>156</v>
      </c>
      <c r="F5198" s="7" t="s">
        <v>222</v>
      </c>
      <c r="G5198" s="7" t="s">
        <v>505</v>
      </c>
      <c r="H5198" s="6" t="n">
        <v>4.19</v>
      </c>
      <c r="I5198" s="6" t="n">
        <v>0</v>
      </c>
      <c r="J5198" s="40" t="n">
        <f aca="false">H5198-I5198</f>
        <v>4.19</v>
      </c>
      <c r="K5198" s="41" t="n">
        <v>34</v>
      </c>
      <c r="L5198" s="42" t="n">
        <f aca="false">J5198*K5198</f>
        <v>142.46</v>
      </c>
      <c r="M5198" s="43" t="n">
        <f aca="false">H5198*17.84*(1+'Chart of Accounts'!$E$67)</f>
        <v>85.588292</v>
      </c>
    </row>
    <row r="5199" customFormat="false" ht="15" hidden="false" customHeight="false" outlineLevel="0" collapsed="false">
      <c r="B5199" s="7" t="s">
        <v>5696</v>
      </c>
      <c r="C5199" s="39" t="n">
        <v>45905</v>
      </c>
      <c r="D5199" s="7" t="s">
        <v>395</v>
      </c>
      <c r="E5199" s="7" t="s">
        <v>156</v>
      </c>
      <c r="F5199" s="7" t="s">
        <v>242</v>
      </c>
      <c r="G5199" s="7" t="s">
        <v>505</v>
      </c>
      <c r="H5199" s="6" t="n">
        <v>3.94</v>
      </c>
      <c r="I5199" s="6" t="n">
        <v>0</v>
      </c>
      <c r="J5199" s="40" t="n">
        <f aca="false">H5199-I5199</f>
        <v>3.94</v>
      </c>
      <c r="K5199" s="41" t="n">
        <v>34</v>
      </c>
      <c r="L5199" s="42" t="n">
        <f aca="false">J5199*K5199</f>
        <v>133.96</v>
      </c>
      <c r="M5199" s="43" t="n">
        <f aca="false">H5199*17.99*(1+'Chart of Accounts'!$E$67)</f>
        <v>81.158287</v>
      </c>
    </row>
    <row r="5200" customFormat="false" ht="15" hidden="false" customHeight="false" outlineLevel="0" collapsed="false">
      <c r="B5200" s="7" t="s">
        <v>5697</v>
      </c>
      <c r="C5200" s="39" t="n">
        <v>45905</v>
      </c>
      <c r="D5200" s="7" t="s">
        <v>397</v>
      </c>
      <c r="E5200" s="7" t="s">
        <v>159</v>
      </c>
      <c r="F5200" s="7" t="s">
        <v>203</v>
      </c>
      <c r="G5200" s="7" t="s">
        <v>502</v>
      </c>
      <c r="H5200" s="6" t="n">
        <v>0.93</v>
      </c>
      <c r="I5200" s="6" t="n">
        <v>0</v>
      </c>
      <c r="J5200" s="40" t="n">
        <f aca="false">H5200-I5200</f>
        <v>0.93</v>
      </c>
      <c r="K5200" s="41" t="n">
        <v>135</v>
      </c>
      <c r="L5200" s="42" t="n">
        <f aca="false">J5200*K5200</f>
        <v>125.55</v>
      </c>
      <c r="M5200" s="43" t="n">
        <f aca="false">H5200*49.43*(1+'Chart of Accounts'!$E$67)</f>
        <v>52.6355355</v>
      </c>
    </row>
    <row r="5201" customFormat="false" ht="15" hidden="false" customHeight="false" outlineLevel="0" collapsed="false">
      <c r="B5201" s="7" t="s">
        <v>5698</v>
      </c>
      <c r="C5201" s="39" t="n">
        <v>45905</v>
      </c>
      <c r="D5201" s="7" t="s">
        <v>399</v>
      </c>
      <c r="E5201" s="7" t="s">
        <v>154</v>
      </c>
      <c r="F5201" s="7" t="s">
        <v>224</v>
      </c>
      <c r="G5201" s="7" t="s">
        <v>505</v>
      </c>
      <c r="H5201" s="6" t="n">
        <v>3.04</v>
      </c>
      <c r="I5201" s="6" t="n">
        <v>0</v>
      </c>
      <c r="J5201" s="40" t="n">
        <f aca="false">H5201-I5201</f>
        <v>3.04</v>
      </c>
      <c r="K5201" s="41" t="n">
        <v>26.5</v>
      </c>
      <c r="L5201" s="42" t="n">
        <f aca="false">J5201*K5201</f>
        <v>80.56</v>
      </c>
      <c r="M5201" s="43" t="n">
        <f aca="false">H5201*14.93*(1+'Chart of Accounts'!$E$67)</f>
        <v>51.968344</v>
      </c>
    </row>
    <row r="5202" customFormat="false" ht="15" hidden="false" customHeight="false" outlineLevel="0" collapsed="false">
      <c r="B5202" s="7" t="s">
        <v>5699</v>
      </c>
      <c r="C5202" s="39" t="n">
        <v>45905</v>
      </c>
      <c r="D5202" s="7" t="s">
        <v>401</v>
      </c>
      <c r="E5202" s="7" t="s">
        <v>156</v>
      </c>
      <c r="F5202" s="7" t="s">
        <v>254</v>
      </c>
      <c r="G5202" s="7" t="s">
        <v>505</v>
      </c>
      <c r="H5202" s="6" t="n">
        <v>4.16</v>
      </c>
      <c r="I5202" s="6" t="n">
        <v>0</v>
      </c>
      <c r="J5202" s="40" t="n">
        <f aca="false">H5202-I5202</f>
        <v>4.16</v>
      </c>
      <c r="K5202" s="41" t="n">
        <v>34</v>
      </c>
      <c r="L5202" s="42" t="n">
        <f aca="false">J5202*K5202</f>
        <v>141.44</v>
      </c>
      <c r="M5202" s="43" t="n">
        <f aca="false">H5202*17.1*(1+'Chart of Accounts'!$E$67)</f>
        <v>81.45072</v>
      </c>
    </row>
    <row r="5203" customFormat="false" ht="15" hidden="false" customHeight="false" outlineLevel="0" collapsed="false">
      <c r="B5203" s="7" t="s">
        <v>5700</v>
      </c>
      <c r="C5203" s="39" t="n">
        <v>45905</v>
      </c>
      <c r="D5203" s="7" t="s">
        <v>403</v>
      </c>
      <c r="E5203" s="7" t="s">
        <v>156</v>
      </c>
      <c r="F5203" s="7" t="s">
        <v>184</v>
      </c>
      <c r="G5203" s="7" t="s">
        <v>505</v>
      </c>
      <c r="H5203" s="6" t="n">
        <v>4.27</v>
      </c>
      <c r="I5203" s="6" t="n">
        <v>0</v>
      </c>
      <c r="J5203" s="40" t="n">
        <f aca="false">H5203-I5203</f>
        <v>4.27</v>
      </c>
      <c r="K5203" s="41" t="n">
        <v>34</v>
      </c>
      <c r="L5203" s="42" t="n">
        <f aca="false">J5203*K5203</f>
        <v>145.18</v>
      </c>
      <c r="M5203" s="43" t="n">
        <f aca="false">H5203*17.34*(1+'Chart of Accounts'!$E$67)</f>
        <v>84.777861</v>
      </c>
    </row>
    <row r="5204" customFormat="false" ht="15" hidden="false" customHeight="false" outlineLevel="0" collapsed="false">
      <c r="B5204" s="7" t="s">
        <v>5701</v>
      </c>
      <c r="C5204" s="39" t="n">
        <v>45905</v>
      </c>
      <c r="D5204" s="7" t="s">
        <v>407</v>
      </c>
      <c r="E5204" s="7" t="s">
        <v>159</v>
      </c>
      <c r="F5204" s="7" t="s">
        <v>260</v>
      </c>
      <c r="G5204" s="7" t="s">
        <v>502</v>
      </c>
      <c r="H5204" s="6" t="n">
        <v>0.95</v>
      </c>
      <c r="I5204" s="6" t="n">
        <v>0</v>
      </c>
      <c r="J5204" s="40" t="n">
        <f aca="false">H5204-I5204</f>
        <v>0.95</v>
      </c>
      <c r="K5204" s="41" t="n">
        <v>135</v>
      </c>
      <c r="L5204" s="42" t="n">
        <f aca="false">J5204*K5204</f>
        <v>128.25</v>
      </c>
      <c r="M5204" s="43" t="n">
        <f aca="false">H5204*79.8*(1+'Chart of Accounts'!$E$67)</f>
        <v>86.80245</v>
      </c>
    </row>
    <row r="5205" customFormat="false" ht="15" hidden="false" customHeight="false" outlineLevel="0" collapsed="false">
      <c r="B5205" s="7" t="s">
        <v>5702</v>
      </c>
      <c r="C5205" s="39" t="n">
        <v>45905</v>
      </c>
      <c r="D5205" s="7" t="s">
        <v>409</v>
      </c>
      <c r="E5205" s="7" t="s">
        <v>154</v>
      </c>
      <c r="F5205" s="7" t="s">
        <v>214</v>
      </c>
      <c r="G5205" s="7" t="s">
        <v>505</v>
      </c>
      <c r="H5205" s="6" t="n">
        <v>3.66</v>
      </c>
      <c r="I5205" s="6" t="n">
        <v>0</v>
      </c>
      <c r="J5205" s="40" t="n">
        <f aca="false">H5205-I5205</f>
        <v>3.66</v>
      </c>
      <c r="K5205" s="41" t="n">
        <v>26.5</v>
      </c>
      <c r="L5205" s="42" t="n">
        <f aca="false">J5205*K5205</f>
        <v>96.99</v>
      </c>
      <c r="M5205" s="43" t="n">
        <f aca="false">H5205*15.67*(1+'Chart of Accounts'!$E$67)</f>
        <v>65.668269</v>
      </c>
    </row>
    <row r="5206" customFormat="false" ht="15" hidden="false" customHeight="false" outlineLevel="0" collapsed="false">
      <c r="B5206" s="7" t="s">
        <v>5703</v>
      </c>
      <c r="C5206" s="39" t="n">
        <v>45905</v>
      </c>
      <c r="D5206" s="7" t="s">
        <v>411</v>
      </c>
      <c r="E5206" s="7" t="s">
        <v>154</v>
      </c>
      <c r="F5206" s="7" t="s">
        <v>177</v>
      </c>
      <c r="G5206" s="7" t="s">
        <v>505</v>
      </c>
      <c r="H5206" s="6" t="n">
        <v>4.86</v>
      </c>
      <c r="I5206" s="6" t="n">
        <v>0.146</v>
      </c>
      <c r="J5206" s="40" t="n">
        <f aca="false">H5206-I5206</f>
        <v>4.714</v>
      </c>
      <c r="K5206" s="41" t="n">
        <v>26.5</v>
      </c>
      <c r="L5206" s="42" t="n">
        <f aca="false">J5206*K5206</f>
        <v>124.921</v>
      </c>
      <c r="M5206" s="43" t="n">
        <f aca="false">H5206*14.56*(1+'Chart of Accounts'!$E$67)</f>
        <v>81.022032</v>
      </c>
    </row>
    <row r="5207" customFormat="false" ht="15" hidden="false" customHeight="false" outlineLevel="0" collapsed="false">
      <c r="B5207" s="7" t="s">
        <v>5704</v>
      </c>
      <c r="C5207" s="39" t="n">
        <v>45906</v>
      </c>
      <c r="D5207" s="7" t="s">
        <v>288</v>
      </c>
      <c r="E5207" s="7" t="s">
        <v>156</v>
      </c>
      <c r="F5207" s="7" t="s">
        <v>218</v>
      </c>
      <c r="G5207" s="7" t="s">
        <v>505</v>
      </c>
      <c r="H5207" s="6" t="n">
        <v>3.76</v>
      </c>
      <c r="I5207" s="6" t="n">
        <v>0</v>
      </c>
      <c r="J5207" s="40" t="n">
        <f aca="false">H5207-I5207</f>
        <v>3.76</v>
      </c>
      <c r="K5207" s="41" t="n">
        <v>34</v>
      </c>
      <c r="L5207" s="42" t="n">
        <f aca="false">J5207*K5207</f>
        <v>127.84</v>
      </c>
      <c r="M5207" s="43" t="n">
        <f aca="false">H5207*16.19*(1+'Chart of Accounts'!$E$67)</f>
        <v>69.701188</v>
      </c>
    </row>
    <row r="5208" customFormat="false" ht="15" hidden="false" customHeight="false" outlineLevel="0" collapsed="false">
      <c r="B5208" s="7" t="s">
        <v>5705</v>
      </c>
      <c r="C5208" s="39" t="n">
        <v>45906</v>
      </c>
      <c r="D5208" s="7" t="s">
        <v>321</v>
      </c>
      <c r="E5208" s="7" t="s">
        <v>154</v>
      </c>
      <c r="F5208" s="7" t="s">
        <v>218</v>
      </c>
      <c r="G5208" s="7" t="s">
        <v>505</v>
      </c>
      <c r="H5208" s="6" t="n">
        <v>3.73</v>
      </c>
      <c r="I5208" s="6" t="n">
        <v>0</v>
      </c>
      <c r="J5208" s="40" t="n">
        <f aca="false">H5208-I5208</f>
        <v>3.73</v>
      </c>
      <c r="K5208" s="41" t="n">
        <v>26.5</v>
      </c>
      <c r="L5208" s="42" t="n">
        <f aca="false">J5208*K5208</f>
        <v>98.845</v>
      </c>
      <c r="M5208" s="43" t="n">
        <f aca="false">H5208*16.19*(1+'Chart of Accounts'!$E$67)</f>
        <v>69.1450615</v>
      </c>
    </row>
    <row r="5209" customFormat="false" ht="15" hidden="false" customHeight="false" outlineLevel="0" collapsed="false">
      <c r="B5209" s="7" t="s">
        <v>5706</v>
      </c>
      <c r="C5209" s="39" t="n">
        <v>45906</v>
      </c>
      <c r="D5209" s="7" t="s">
        <v>359</v>
      </c>
      <c r="E5209" s="7" t="s">
        <v>156</v>
      </c>
      <c r="F5209" s="7" t="s">
        <v>254</v>
      </c>
      <c r="G5209" s="7" t="s">
        <v>505</v>
      </c>
      <c r="H5209" s="6" t="n">
        <v>3.68</v>
      </c>
      <c r="I5209" s="6" t="n">
        <v>0</v>
      </c>
      <c r="J5209" s="40" t="n">
        <f aca="false">H5209-I5209</f>
        <v>3.68</v>
      </c>
      <c r="K5209" s="41" t="n">
        <v>34</v>
      </c>
      <c r="L5209" s="42" t="n">
        <f aca="false">J5209*K5209</f>
        <v>125.12</v>
      </c>
      <c r="M5209" s="43" t="n">
        <f aca="false">H5209*17.1*(1+'Chart of Accounts'!$E$67)</f>
        <v>72.05256</v>
      </c>
    </row>
    <row r="5210" customFormat="false" ht="15" hidden="false" customHeight="false" outlineLevel="0" collapsed="false">
      <c r="B5210" s="7" t="s">
        <v>5707</v>
      </c>
      <c r="C5210" s="39" t="n">
        <v>45906</v>
      </c>
      <c r="D5210" s="7" t="s">
        <v>387</v>
      </c>
      <c r="E5210" s="7" t="s">
        <v>154</v>
      </c>
      <c r="F5210" s="7" t="s">
        <v>196</v>
      </c>
      <c r="G5210" s="7" t="s">
        <v>505</v>
      </c>
      <c r="H5210" s="6" t="n">
        <v>3.91</v>
      </c>
      <c r="I5210" s="6" t="n">
        <v>0</v>
      </c>
      <c r="J5210" s="40" t="n">
        <f aca="false">H5210-I5210</f>
        <v>3.91</v>
      </c>
      <c r="K5210" s="41" t="n">
        <v>26.5</v>
      </c>
      <c r="L5210" s="42" t="n">
        <f aca="false">J5210*K5210</f>
        <v>103.615</v>
      </c>
      <c r="M5210" s="43" t="n">
        <f aca="false">H5210*15.05*(1+'Chart of Accounts'!$E$67)</f>
        <v>67.3780975</v>
      </c>
    </row>
    <row r="5211" customFormat="false" ht="15" hidden="false" customHeight="false" outlineLevel="0" collapsed="false">
      <c r="B5211" s="7" t="s">
        <v>5708</v>
      </c>
      <c r="C5211" s="39" t="n">
        <v>45906</v>
      </c>
      <c r="D5211" s="7" t="s">
        <v>391</v>
      </c>
      <c r="E5211" s="7" t="s">
        <v>156</v>
      </c>
      <c r="F5211" s="7" t="s">
        <v>222</v>
      </c>
      <c r="G5211" s="7" t="s">
        <v>505</v>
      </c>
      <c r="H5211" s="6" t="n">
        <v>4.05</v>
      </c>
      <c r="I5211" s="6" t="n">
        <v>0</v>
      </c>
      <c r="J5211" s="40" t="n">
        <f aca="false">H5211-I5211</f>
        <v>4.05</v>
      </c>
      <c r="K5211" s="41" t="n">
        <v>34</v>
      </c>
      <c r="L5211" s="42" t="n">
        <f aca="false">J5211*K5211</f>
        <v>137.7</v>
      </c>
      <c r="M5211" s="43" t="n">
        <f aca="false">H5211*17.84*(1+'Chart of Accounts'!$E$67)</f>
        <v>82.72854</v>
      </c>
    </row>
    <row r="5212" customFormat="false" ht="15" hidden="false" customHeight="false" outlineLevel="0" collapsed="false">
      <c r="B5212" s="7" t="s">
        <v>5709</v>
      </c>
      <c r="C5212" s="39" t="n">
        <v>45906</v>
      </c>
      <c r="D5212" s="7" t="s">
        <v>395</v>
      </c>
      <c r="E5212" s="7" t="s">
        <v>156</v>
      </c>
      <c r="F5212" s="7" t="s">
        <v>242</v>
      </c>
      <c r="G5212" s="7" t="s">
        <v>505</v>
      </c>
      <c r="H5212" s="6" t="n">
        <v>4.01</v>
      </c>
      <c r="I5212" s="6" t="n">
        <v>0</v>
      </c>
      <c r="J5212" s="40" t="n">
        <f aca="false">H5212-I5212</f>
        <v>4.01</v>
      </c>
      <c r="K5212" s="41" t="n">
        <v>34</v>
      </c>
      <c r="L5212" s="42" t="n">
        <f aca="false">J5212*K5212</f>
        <v>136.34</v>
      </c>
      <c r="M5212" s="43" t="n">
        <f aca="false">H5212*17.99*(1+'Chart of Accounts'!$E$67)</f>
        <v>82.6001855</v>
      </c>
    </row>
    <row r="5213" customFormat="false" ht="15" hidden="false" customHeight="false" outlineLevel="0" collapsed="false">
      <c r="B5213" s="7" t="s">
        <v>5710</v>
      </c>
      <c r="C5213" s="39" t="n">
        <v>45906</v>
      </c>
      <c r="D5213" s="7" t="s">
        <v>401</v>
      </c>
      <c r="E5213" s="7" t="s">
        <v>156</v>
      </c>
      <c r="F5213" s="7" t="s">
        <v>254</v>
      </c>
      <c r="G5213" s="7" t="s">
        <v>505</v>
      </c>
      <c r="H5213" s="6" t="n">
        <v>4.34</v>
      </c>
      <c r="I5213" s="6" t="n">
        <v>0</v>
      </c>
      <c r="J5213" s="40" t="n">
        <f aca="false">H5213-I5213</f>
        <v>4.34</v>
      </c>
      <c r="K5213" s="41" t="n">
        <v>34</v>
      </c>
      <c r="L5213" s="42" t="n">
        <f aca="false">J5213*K5213</f>
        <v>147.56</v>
      </c>
      <c r="M5213" s="43" t="n">
        <f aca="false">H5213*17.1*(1+'Chart of Accounts'!$E$67)</f>
        <v>84.97503</v>
      </c>
    </row>
    <row r="5214" customFormat="false" ht="15" hidden="false" customHeight="false" outlineLevel="0" collapsed="false">
      <c r="B5214" s="7" t="s">
        <v>5711</v>
      </c>
      <c r="C5214" s="39" t="n">
        <v>45907</v>
      </c>
      <c r="D5214" s="7" t="s">
        <v>359</v>
      </c>
      <c r="E5214" s="7" t="s">
        <v>156</v>
      </c>
      <c r="F5214" s="7" t="s">
        <v>240</v>
      </c>
      <c r="G5214" s="7" t="s">
        <v>505</v>
      </c>
      <c r="H5214" s="6" t="n">
        <v>4.15</v>
      </c>
      <c r="I5214" s="6" t="n">
        <v>0</v>
      </c>
      <c r="J5214" s="40" t="n">
        <f aca="false">H5214-I5214</f>
        <v>4.15</v>
      </c>
      <c r="K5214" s="41" t="n">
        <v>34</v>
      </c>
      <c r="L5214" s="42" t="n">
        <f aca="false">J5214*K5214</f>
        <v>141.1</v>
      </c>
      <c r="M5214" s="43" t="n">
        <f aca="false">H5214*16.96*(1+'Chart of Accounts'!$E$67)</f>
        <v>80.58968</v>
      </c>
    </row>
    <row r="5215" customFormat="false" ht="15" hidden="false" customHeight="false" outlineLevel="0" collapsed="false">
      <c r="B5215" s="7" t="s">
        <v>5712</v>
      </c>
      <c r="C5215" s="39" t="n">
        <v>45907</v>
      </c>
      <c r="D5215" s="7" t="s">
        <v>387</v>
      </c>
      <c r="E5215" s="7" t="s">
        <v>154</v>
      </c>
      <c r="F5215" s="7" t="s">
        <v>196</v>
      </c>
      <c r="G5215" s="7" t="s">
        <v>505</v>
      </c>
      <c r="H5215" s="6" t="n">
        <v>3.64</v>
      </c>
      <c r="I5215" s="6" t="n">
        <v>0</v>
      </c>
      <c r="J5215" s="40" t="n">
        <f aca="false">H5215-I5215</f>
        <v>3.64</v>
      </c>
      <c r="K5215" s="41" t="n">
        <v>26.5</v>
      </c>
      <c r="L5215" s="42" t="n">
        <f aca="false">J5215*K5215</f>
        <v>96.46</v>
      </c>
      <c r="M5215" s="43" t="n">
        <f aca="false">H5215*15.05*(1+'Chart of Accounts'!$E$67)</f>
        <v>62.72539</v>
      </c>
    </row>
    <row r="5216" customFormat="false" ht="15" hidden="false" customHeight="false" outlineLevel="0" collapsed="false">
      <c r="B5216" s="7" t="s">
        <v>5713</v>
      </c>
      <c r="C5216" s="39" t="n">
        <v>45907</v>
      </c>
      <c r="D5216" s="7" t="s">
        <v>391</v>
      </c>
      <c r="E5216" s="7" t="s">
        <v>156</v>
      </c>
      <c r="F5216" s="7" t="s">
        <v>222</v>
      </c>
      <c r="G5216" s="7" t="s">
        <v>505</v>
      </c>
      <c r="H5216" s="6" t="n">
        <v>4.08</v>
      </c>
      <c r="I5216" s="6" t="n">
        <v>0</v>
      </c>
      <c r="J5216" s="40" t="n">
        <f aca="false">H5216-I5216</f>
        <v>4.08</v>
      </c>
      <c r="K5216" s="41" t="n">
        <v>34</v>
      </c>
      <c r="L5216" s="42" t="n">
        <f aca="false">J5216*K5216</f>
        <v>138.72</v>
      </c>
      <c r="M5216" s="43" t="n">
        <f aca="false">H5216*17.84*(1+'Chart of Accounts'!$E$67)</f>
        <v>83.341344</v>
      </c>
    </row>
    <row r="5217" customFormat="false" ht="15" hidden="false" customHeight="false" outlineLevel="0" collapsed="false">
      <c r="B5217" s="7" t="s">
        <v>5714</v>
      </c>
      <c r="C5217" s="39" t="n">
        <v>45907</v>
      </c>
      <c r="D5217" s="7" t="s">
        <v>395</v>
      </c>
      <c r="E5217" s="7" t="s">
        <v>156</v>
      </c>
      <c r="F5217" s="7" t="s">
        <v>242</v>
      </c>
      <c r="G5217" s="7" t="s">
        <v>505</v>
      </c>
      <c r="H5217" s="6" t="n">
        <v>4.14</v>
      </c>
      <c r="I5217" s="6" t="n">
        <v>0</v>
      </c>
      <c r="J5217" s="40" t="n">
        <f aca="false">H5217-I5217</f>
        <v>4.14</v>
      </c>
      <c r="K5217" s="41" t="n">
        <v>34</v>
      </c>
      <c r="L5217" s="42" t="n">
        <f aca="false">J5217*K5217</f>
        <v>140.76</v>
      </c>
      <c r="M5217" s="43" t="n">
        <f aca="false">H5217*17.99*(1+'Chart of Accounts'!$E$67)</f>
        <v>85.277997</v>
      </c>
    </row>
    <row r="5218" customFormat="false" ht="15" hidden="false" customHeight="false" outlineLevel="0" collapsed="false">
      <c r="B5218" s="7" t="s">
        <v>5715</v>
      </c>
      <c r="C5218" s="39" t="n">
        <v>45907</v>
      </c>
      <c r="D5218" s="7" t="s">
        <v>401</v>
      </c>
      <c r="E5218" s="7" t="s">
        <v>156</v>
      </c>
      <c r="F5218" s="7" t="s">
        <v>254</v>
      </c>
      <c r="G5218" s="7" t="s">
        <v>505</v>
      </c>
      <c r="H5218" s="6" t="n">
        <v>4.04</v>
      </c>
      <c r="I5218" s="6" t="n">
        <v>0</v>
      </c>
      <c r="J5218" s="40" t="n">
        <f aca="false">H5218-I5218</f>
        <v>4.04</v>
      </c>
      <c r="K5218" s="41" t="n">
        <v>34</v>
      </c>
      <c r="L5218" s="42" t="n">
        <f aca="false">J5218*K5218</f>
        <v>137.36</v>
      </c>
      <c r="M5218" s="43" t="n">
        <f aca="false">H5218*17.1*(1+'Chart of Accounts'!$E$67)</f>
        <v>79.10118</v>
      </c>
    </row>
    <row r="5219" customFormat="false" ht="15" hidden="false" customHeight="false" outlineLevel="0" collapsed="false">
      <c r="B5219" s="7" t="s">
        <v>5716</v>
      </c>
      <c r="C5219" s="39" t="n">
        <v>45908</v>
      </c>
      <c r="D5219" s="7" t="s">
        <v>288</v>
      </c>
      <c r="E5219" s="7" t="s">
        <v>156</v>
      </c>
      <c r="F5219" s="7" t="s">
        <v>184</v>
      </c>
      <c r="G5219" s="7" t="s">
        <v>505</v>
      </c>
      <c r="H5219" s="6" t="n">
        <v>3.91</v>
      </c>
      <c r="I5219" s="6" t="n">
        <v>0</v>
      </c>
      <c r="J5219" s="40" t="n">
        <f aca="false">H5219-I5219</f>
        <v>3.91</v>
      </c>
      <c r="K5219" s="41" t="n">
        <v>34</v>
      </c>
      <c r="L5219" s="42" t="n">
        <f aca="false">J5219*K5219</f>
        <v>132.94</v>
      </c>
      <c r="M5219" s="43" t="n">
        <f aca="false">H5219*17.34*(1+'Chart of Accounts'!$E$67)</f>
        <v>77.630313</v>
      </c>
    </row>
    <row r="5220" customFormat="false" ht="15" hidden="false" customHeight="false" outlineLevel="0" collapsed="false">
      <c r="B5220" s="7" t="s">
        <v>5717</v>
      </c>
      <c r="C5220" s="39" t="n">
        <v>45908</v>
      </c>
      <c r="D5220" s="7" t="s">
        <v>291</v>
      </c>
      <c r="E5220" s="7" t="s">
        <v>154</v>
      </c>
      <c r="F5220" s="7" t="s">
        <v>194</v>
      </c>
      <c r="G5220" s="7" t="s">
        <v>505</v>
      </c>
      <c r="H5220" s="6" t="n">
        <v>4.42</v>
      </c>
      <c r="I5220" s="6" t="n">
        <v>0</v>
      </c>
      <c r="J5220" s="40" t="n">
        <f aca="false">H5220-I5220</f>
        <v>4.42</v>
      </c>
      <c r="K5220" s="41" t="n">
        <v>26.5</v>
      </c>
      <c r="L5220" s="42" t="n">
        <f aca="false">J5220*K5220</f>
        <v>117.13</v>
      </c>
      <c r="M5220" s="43" t="n">
        <f aca="false">H5220*16*(1+'Chart of Accounts'!$E$67)</f>
        <v>80.9744</v>
      </c>
    </row>
    <row r="5221" customFormat="false" ht="15" hidden="false" customHeight="false" outlineLevel="0" collapsed="false">
      <c r="B5221" s="7" t="s">
        <v>5718</v>
      </c>
      <c r="C5221" s="39" t="n">
        <v>45908</v>
      </c>
      <c r="D5221" s="7" t="s">
        <v>295</v>
      </c>
      <c r="E5221" s="7" t="s">
        <v>154</v>
      </c>
      <c r="F5221" s="7" t="s">
        <v>214</v>
      </c>
      <c r="G5221" s="7" t="s">
        <v>505</v>
      </c>
      <c r="H5221" s="6" t="n">
        <v>4.12</v>
      </c>
      <c r="I5221" s="6" t="n">
        <v>0.124</v>
      </c>
      <c r="J5221" s="40" t="n">
        <f aca="false">H5221-I5221</f>
        <v>3.996</v>
      </c>
      <c r="K5221" s="41" t="n">
        <v>26.5</v>
      </c>
      <c r="L5221" s="42" t="n">
        <f aca="false">J5221*K5221</f>
        <v>105.894</v>
      </c>
      <c r="M5221" s="43" t="n">
        <f aca="false">H5221*15.67*(1+'Chart of Accounts'!$E$67)</f>
        <v>73.921658</v>
      </c>
    </row>
    <row r="5222" customFormat="false" ht="15" hidden="false" customHeight="false" outlineLevel="0" collapsed="false">
      <c r="B5222" s="7" t="s">
        <v>5719</v>
      </c>
      <c r="C5222" s="39" t="n">
        <v>45908</v>
      </c>
      <c r="D5222" s="7" t="s">
        <v>297</v>
      </c>
      <c r="E5222" s="7" t="s">
        <v>156</v>
      </c>
      <c r="F5222" s="7" t="s">
        <v>201</v>
      </c>
      <c r="G5222" s="7" t="s">
        <v>505</v>
      </c>
      <c r="H5222" s="6" t="n">
        <v>3.01</v>
      </c>
      <c r="I5222" s="6" t="n">
        <v>0</v>
      </c>
      <c r="J5222" s="40" t="n">
        <f aca="false">H5222-I5222</f>
        <v>3.01</v>
      </c>
      <c r="K5222" s="41" t="n">
        <v>34</v>
      </c>
      <c r="L5222" s="42" t="n">
        <f aca="false">J5222*K5222</f>
        <v>102.34</v>
      </c>
      <c r="M5222" s="43" t="n">
        <f aca="false">H5222*15.19*(1+'Chart of Accounts'!$E$67)</f>
        <v>52.3515755</v>
      </c>
    </row>
    <row r="5223" customFormat="false" ht="15" hidden="false" customHeight="false" outlineLevel="0" collapsed="false">
      <c r="B5223" s="7" t="s">
        <v>5720</v>
      </c>
      <c r="C5223" s="39" t="n">
        <v>45908</v>
      </c>
      <c r="D5223" s="7" t="s">
        <v>305</v>
      </c>
      <c r="E5223" s="7" t="s">
        <v>154</v>
      </c>
      <c r="F5223" s="7" t="s">
        <v>205</v>
      </c>
      <c r="G5223" s="7" t="s">
        <v>505</v>
      </c>
      <c r="H5223" s="6" t="n">
        <v>3.94</v>
      </c>
      <c r="I5223" s="6" t="n">
        <v>0</v>
      </c>
      <c r="J5223" s="40" t="n">
        <f aca="false">H5223-I5223</f>
        <v>3.94</v>
      </c>
      <c r="K5223" s="41" t="n">
        <v>26.5</v>
      </c>
      <c r="L5223" s="42" t="n">
        <f aca="false">J5223*K5223</f>
        <v>104.41</v>
      </c>
      <c r="M5223" s="43" t="n">
        <f aca="false">H5223*16.36*(1+'Chart of Accounts'!$E$67)</f>
        <v>73.804868</v>
      </c>
    </row>
    <row r="5224" customFormat="false" ht="15" hidden="false" customHeight="false" outlineLevel="0" collapsed="false">
      <c r="B5224" s="7" t="s">
        <v>5721</v>
      </c>
      <c r="C5224" s="39" t="n">
        <v>45908</v>
      </c>
      <c r="D5224" s="7" t="s">
        <v>307</v>
      </c>
      <c r="E5224" s="7" t="s">
        <v>157</v>
      </c>
      <c r="F5224" s="7" t="s">
        <v>264</v>
      </c>
      <c r="G5224" s="7" t="s">
        <v>502</v>
      </c>
      <c r="H5224" s="6" t="n">
        <v>1.03</v>
      </c>
      <c r="I5224" s="6" t="n">
        <v>0</v>
      </c>
      <c r="J5224" s="40" t="n">
        <f aca="false">H5224-I5224</f>
        <v>1.03</v>
      </c>
      <c r="K5224" s="41" t="n">
        <v>165</v>
      </c>
      <c r="L5224" s="42" t="n">
        <f aca="false">J5224*K5224</f>
        <v>169.95</v>
      </c>
      <c r="M5224" s="43" t="n">
        <f aca="false">H5224*55.55*(1+'Chart of Accounts'!$E$67)</f>
        <v>65.5128925</v>
      </c>
    </row>
    <row r="5225" customFormat="false" ht="15" hidden="false" customHeight="false" outlineLevel="0" collapsed="false">
      <c r="B5225" s="7" t="s">
        <v>5722</v>
      </c>
      <c r="C5225" s="39" t="n">
        <v>45908</v>
      </c>
      <c r="D5225" s="7" t="s">
        <v>309</v>
      </c>
      <c r="E5225" s="7" t="s">
        <v>159</v>
      </c>
      <c r="F5225" s="7" t="s">
        <v>252</v>
      </c>
      <c r="G5225" s="7" t="s">
        <v>502</v>
      </c>
      <c r="H5225" s="6" t="n">
        <v>1.07</v>
      </c>
      <c r="I5225" s="6" t="n">
        <v>0</v>
      </c>
      <c r="J5225" s="40" t="n">
        <f aca="false">H5225-I5225</f>
        <v>1.07</v>
      </c>
      <c r="K5225" s="41" t="n">
        <v>135</v>
      </c>
      <c r="L5225" s="42" t="n">
        <f aca="false">J5225*K5225</f>
        <v>144.45</v>
      </c>
      <c r="M5225" s="43" t="n">
        <f aca="false">H5225*57.54*(1+'Chart of Accounts'!$E$67)</f>
        <v>70.495131</v>
      </c>
    </row>
    <row r="5226" customFormat="false" ht="15" hidden="false" customHeight="false" outlineLevel="0" collapsed="false">
      <c r="B5226" s="7" t="s">
        <v>5723</v>
      </c>
      <c r="C5226" s="39" t="n">
        <v>45908</v>
      </c>
      <c r="D5226" s="7" t="s">
        <v>311</v>
      </c>
      <c r="E5226" s="7" t="s">
        <v>154</v>
      </c>
      <c r="F5226" s="7" t="s">
        <v>196</v>
      </c>
      <c r="G5226" s="7" t="s">
        <v>505</v>
      </c>
      <c r="H5226" s="6" t="n">
        <v>3.17</v>
      </c>
      <c r="I5226" s="6" t="n">
        <v>0</v>
      </c>
      <c r="J5226" s="40" t="n">
        <f aca="false">H5226-I5226</f>
        <v>3.17</v>
      </c>
      <c r="K5226" s="41" t="n">
        <v>26.5</v>
      </c>
      <c r="L5226" s="42" t="n">
        <f aca="false">J5226*K5226</f>
        <v>84.005</v>
      </c>
      <c r="M5226" s="43" t="n">
        <f aca="false">H5226*15.05*(1+'Chart of Accounts'!$E$67)</f>
        <v>54.6262325</v>
      </c>
    </row>
    <row r="5227" customFormat="false" ht="15" hidden="false" customHeight="false" outlineLevel="0" collapsed="false">
      <c r="B5227" s="7" t="s">
        <v>5724</v>
      </c>
      <c r="C5227" s="39" t="n">
        <v>45908</v>
      </c>
      <c r="D5227" s="7" t="s">
        <v>317</v>
      </c>
      <c r="E5227" s="7" t="s">
        <v>156</v>
      </c>
      <c r="F5227" s="7" t="s">
        <v>238</v>
      </c>
      <c r="G5227" s="7" t="s">
        <v>505</v>
      </c>
      <c r="H5227" s="6" t="n">
        <v>3.27</v>
      </c>
      <c r="I5227" s="6" t="n">
        <v>0</v>
      </c>
      <c r="J5227" s="40" t="n">
        <f aca="false">H5227-I5227</f>
        <v>3.27</v>
      </c>
      <c r="K5227" s="41" t="n">
        <v>34</v>
      </c>
      <c r="L5227" s="42" t="n">
        <f aca="false">J5227*K5227</f>
        <v>111.18</v>
      </c>
      <c r="M5227" s="43" t="n">
        <f aca="false">H5227*15.85*(1+'Chart of Accounts'!$E$67)</f>
        <v>59.3447775</v>
      </c>
    </row>
    <row r="5228" customFormat="false" ht="15" hidden="false" customHeight="false" outlineLevel="0" collapsed="false">
      <c r="B5228" s="7" t="s">
        <v>5725</v>
      </c>
      <c r="C5228" s="39" t="n">
        <v>45908</v>
      </c>
      <c r="D5228" s="7" t="s">
        <v>325</v>
      </c>
      <c r="E5228" s="7" t="s">
        <v>154</v>
      </c>
      <c r="F5228" s="7" t="s">
        <v>238</v>
      </c>
      <c r="G5228" s="7" t="s">
        <v>505</v>
      </c>
      <c r="H5228" s="6" t="n">
        <v>2.73</v>
      </c>
      <c r="I5228" s="6" t="n">
        <v>0</v>
      </c>
      <c r="J5228" s="40" t="n">
        <f aca="false">H5228-I5228</f>
        <v>2.73</v>
      </c>
      <c r="K5228" s="41" t="n">
        <v>26.5</v>
      </c>
      <c r="L5228" s="42" t="n">
        <f aca="false">J5228*K5228</f>
        <v>72.345</v>
      </c>
      <c r="M5228" s="43" t="n">
        <f aca="false">H5228*15.85*(1+'Chart of Accounts'!$E$67)</f>
        <v>49.5447225</v>
      </c>
    </row>
    <row r="5229" customFormat="false" ht="15" hidden="false" customHeight="false" outlineLevel="0" collapsed="false">
      <c r="B5229" s="7" t="s">
        <v>5726</v>
      </c>
      <c r="C5229" s="39" t="n">
        <v>45908</v>
      </c>
      <c r="D5229" s="7" t="s">
        <v>331</v>
      </c>
      <c r="E5229" s="7" t="s">
        <v>156</v>
      </c>
      <c r="F5229" s="7" t="s">
        <v>224</v>
      </c>
      <c r="G5229" s="7" t="s">
        <v>505</v>
      </c>
      <c r="H5229" s="6" t="n">
        <v>3.91</v>
      </c>
      <c r="I5229" s="6" t="n">
        <v>0</v>
      </c>
      <c r="J5229" s="40" t="n">
        <f aca="false">H5229-I5229</f>
        <v>3.91</v>
      </c>
      <c r="K5229" s="41" t="n">
        <v>34</v>
      </c>
      <c r="L5229" s="42" t="n">
        <f aca="false">J5229*K5229</f>
        <v>132.94</v>
      </c>
      <c r="M5229" s="43" t="n">
        <f aca="false">H5229*14.93*(1+'Chart of Accounts'!$E$67)</f>
        <v>66.8408635</v>
      </c>
    </row>
    <row r="5230" customFormat="false" ht="15" hidden="false" customHeight="false" outlineLevel="0" collapsed="false">
      <c r="B5230" s="7" t="s">
        <v>5727</v>
      </c>
      <c r="C5230" s="39" t="n">
        <v>45908</v>
      </c>
      <c r="D5230" s="7" t="s">
        <v>335</v>
      </c>
      <c r="E5230" s="7" t="s">
        <v>154</v>
      </c>
      <c r="F5230" s="7" t="s">
        <v>177</v>
      </c>
      <c r="G5230" s="7" t="s">
        <v>505</v>
      </c>
      <c r="H5230" s="6" t="n">
        <v>4.17</v>
      </c>
      <c r="I5230" s="6" t="n">
        <v>0</v>
      </c>
      <c r="J5230" s="40" t="n">
        <f aca="false">H5230-I5230</f>
        <v>4.17</v>
      </c>
      <c r="K5230" s="41" t="n">
        <v>26.5</v>
      </c>
      <c r="L5230" s="42" t="n">
        <f aca="false">J5230*K5230</f>
        <v>110.505</v>
      </c>
      <c r="M5230" s="43" t="n">
        <f aca="false">H5230*14.56*(1+'Chart of Accounts'!$E$67)</f>
        <v>69.518904</v>
      </c>
    </row>
    <row r="5231" customFormat="false" ht="15" hidden="false" customHeight="false" outlineLevel="0" collapsed="false">
      <c r="B5231" s="7" t="s">
        <v>5728</v>
      </c>
      <c r="C5231" s="39" t="n">
        <v>45908</v>
      </c>
      <c r="D5231" s="7" t="s">
        <v>339</v>
      </c>
      <c r="E5231" s="7" t="s">
        <v>154</v>
      </c>
      <c r="F5231" s="7" t="s">
        <v>242</v>
      </c>
      <c r="G5231" s="7" t="s">
        <v>505</v>
      </c>
      <c r="H5231" s="6" t="n">
        <v>3.63</v>
      </c>
      <c r="I5231" s="6" t="n">
        <v>0.109</v>
      </c>
      <c r="J5231" s="40" t="n">
        <f aca="false">H5231-I5231</f>
        <v>3.521</v>
      </c>
      <c r="K5231" s="41" t="n">
        <v>26.5</v>
      </c>
      <c r="L5231" s="42" t="n">
        <f aca="false">J5231*K5231</f>
        <v>93.3065</v>
      </c>
      <c r="M5231" s="43" t="n">
        <f aca="false">H5231*17.99*(1+'Chart of Accounts'!$E$67)</f>
        <v>74.7727365</v>
      </c>
    </row>
    <row r="5232" customFormat="false" ht="15" hidden="false" customHeight="false" outlineLevel="0" collapsed="false">
      <c r="B5232" s="7" t="s">
        <v>5729</v>
      </c>
      <c r="C5232" s="39" t="n">
        <v>45908</v>
      </c>
      <c r="D5232" s="7" t="s">
        <v>341</v>
      </c>
      <c r="E5232" s="7" t="s">
        <v>156</v>
      </c>
      <c r="F5232" s="7" t="s">
        <v>222</v>
      </c>
      <c r="G5232" s="7" t="s">
        <v>505</v>
      </c>
      <c r="H5232" s="6" t="n">
        <v>2.97</v>
      </c>
      <c r="I5232" s="6" t="n">
        <v>0</v>
      </c>
      <c r="J5232" s="40" t="n">
        <f aca="false">H5232-I5232</f>
        <v>2.97</v>
      </c>
      <c r="K5232" s="41" t="n">
        <v>34</v>
      </c>
      <c r="L5232" s="42" t="n">
        <f aca="false">J5232*K5232</f>
        <v>100.98</v>
      </c>
      <c r="M5232" s="43" t="n">
        <f aca="false">H5232*17.84*(1+'Chart of Accounts'!$E$67)</f>
        <v>60.667596</v>
      </c>
    </row>
    <row r="5233" customFormat="false" ht="15" hidden="false" customHeight="false" outlineLevel="0" collapsed="false">
      <c r="B5233" s="7" t="s">
        <v>5730</v>
      </c>
      <c r="C5233" s="39" t="n">
        <v>45908</v>
      </c>
      <c r="D5233" s="7" t="s">
        <v>343</v>
      </c>
      <c r="E5233" s="7" t="s">
        <v>154</v>
      </c>
      <c r="F5233" s="7" t="s">
        <v>220</v>
      </c>
      <c r="G5233" s="7" t="s">
        <v>505</v>
      </c>
      <c r="H5233" s="6" t="n">
        <v>4.25</v>
      </c>
      <c r="I5233" s="6" t="n">
        <v>0</v>
      </c>
      <c r="J5233" s="40" t="n">
        <f aca="false">H5233-I5233</f>
        <v>4.25</v>
      </c>
      <c r="K5233" s="41" t="n">
        <v>26.5</v>
      </c>
      <c r="L5233" s="42" t="n">
        <f aca="false">J5233*K5233</f>
        <v>112.625</v>
      </c>
      <c r="M5233" s="43" t="n">
        <f aca="false">H5233*16.43*(1+'Chart of Accounts'!$E$67)</f>
        <v>79.9524875</v>
      </c>
    </row>
    <row r="5234" customFormat="false" ht="15" hidden="false" customHeight="false" outlineLevel="0" collapsed="false">
      <c r="B5234" s="7" t="s">
        <v>5731</v>
      </c>
      <c r="C5234" s="39" t="n">
        <v>45908</v>
      </c>
      <c r="D5234" s="7" t="s">
        <v>347</v>
      </c>
      <c r="E5234" s="7" t="s">
        <v>154</v>
      </c>
      <c r="F5234" s="7" t="s">
        <v>238</v>
      </c>
      <c r="G5234" s="7" t="s">
        <v>505</v>
      </c>
      <c r="H5234" s="6" t="n">
        <v>4.64</v>
      </c>
      <c r="I5234" s="6" t="n">
        <v>0.139</v>
      </c>
      <c r="J5234" s="40" t="n">
        <f aca="false">H5234-I5234</f>
        <v>4.501</v>
      </c>
      <c r="K5234" s="41" t="n">
        <v>26.5</v>
      </c>
      <c r="L5234" s="42" t="n">
        <f aca="false">J5234*K5234</f>
        <v>119.2765</v>
      </c>
      <c r="M5234" s="43" t="n">
        <f aca="false">H5234*15.85*(1+'Chart of Accounts'!$E$67)</f>
        <v>84.20788</v>
      </c>
    </row>
    <row r="5235" customFormat="false" ht="15" hidden="false" customHeight="false" outlineLevel="0" collapsed="false">
      <c r="B5235" s="7" t="s">
        <v>5732</v>
      </c>
      <c r="C5235" s="39" t="n">
        <v>45908</v>
      </c>
      <c r="D5235" s="7" t="s">
        <v>351</v>
      </c>
      <c r="E5235" s="7" t="s">
        <v>154</v>
      </c>
      <c r="F5235" s="7" t="s">
        <v>201</v>
      </c>
      <c r="G5235" s="7" t="s">
        <v>505</v>
      </c>
      <c r="H5235" s="6" t="n">
        <v>3.16</v>
      </c>
      <c r="I5235" s="6" t="n">
        <v>0</v>
      </c>
      <c r="J5235" s="40" t="n">
        <f aca="false">H5235-I5235</f>
        <v>3.16</v>
      </c>
      <c r="K5235" s="41" t="n">
        <v>26.5</v>
      </c>
      <c r="L5235" s="42" t="n">
        <f aca="false">J5235*K5235</f>
        <v>83.74</v>
      </c>
      <c r="M5235" s="43" t="n">
        <f aca="false">H5235*15.19*(1+'Chart of Accounts'!$E$67)</f>
        <v>54.960458</v>
      </c>
    </row>
    <row r="5236" customFormat="false" ht="15" hidden="false" customHeight="false" outlineLevel="0" collapsed="false">
      <c r="B5236" s="7" t="s">
        <v>5733</v>
      </c>
      <c r="C5236" s="39" t="n">
        <v>45908</v>
      </c>
      <c r="D5236" s="7" t="s">
        <v>353</v>
      </c>
      <c r="E5236" s="7" t="s">
        <v>154</v>
      </c>
      <c r="F5236" s="7" t="s">
        <v>254</v>
      </c>
      <c r="G5236" s="7" t="s">
        <v>505</v>
      </c>
      <c r="H5236" s="6" t="n">
        <v>3.37</v>
      </c>
      <c r="I5236" s="6" t="n">
        <v>0.101</v>
      </c>
      <c r="J5236" s="40" t="n">
        <f aca="false">H5236-I5236</f>
        <v>3.269</v>
      </c>
      <c r="K5236" s="41" t="n">
        <v>26.5</v>
      </c>
      <c r="L5236" s="42" t="n">
        <f aca="false">J5236*K5236</f>
        <v>86.6285</v>
      </c>
      <c r="M5236" s="43" t="n">
        <f aca="false">H5236*17.1*(1+'Chart of Accounts'!$E$67)</f>
        <v>65.982915</v>
      </c>
    </row>
    <row r="5237" customFormat="false" ht="15" hidden="false" customHeight="false" outlineLevel="0" collapsed="false">
      <c r="B5237" s="7" t="s">
        <v>5734</v>
      </c>
      <c r="C5237" s="39" t="n">
        <v>45908</v>
      </c>
      <c r="D5237" s="7" t="s">
        <v>355</v>
      </c>
      <c r="E5237" s="7" t="s">
        <v>154</v>
      </c>
      <c r="F5237" s="7" t="s">
        <v>201</v>
      </c>
      <c r="G5237" s="7" t="s">
        <v>505</v>
      </c>
      <c r="H5237" s="6" t="n">
        <v>3.36</v>
      </c>
      <c r="I5237" s="6" t="n">
        <v>0</v>
      </c>
      <c r="J5237" s="40" t="n">
        <f aca="false">H5237-I5237</f>
        <v>3.36</v>
      </c>
      <c r="K5237" s="41" t="n">
        <v>26.5</v>
      </c>
      <c r="L5237" s="42" t="n">
        <f aca="false">J5237*K5237</f>
        <v>89.04</v>
      </c>
      <c r="M5237" s="43" t="n">
        <f aca="false">H5237*15.19*(1+'Chart of Accounts'!$E$67)</f>
        <v>58.438968</v>
      </c>
    </row>
    <row r="5238" customFormat="false" ht="15" hidden="false" customHeight="false" outlineLevel="0" collapsed="false">
      <c r="B5238" s="7" t="s">
        <v>5735</v>
      </c>
      <c r="C5238" s="39" t="n">
        <v>45908</v>
      </c>
      <c r="D5238" s="7" t="s">
        <v>357</v>
      </c>
      <c r="E5238" s="7" t="s">
        <v>154</v>
      </c>
      <c r="F5238" s="7" t="s">
        <v>177</v>
      </c>
      <c r="G5238" s="7" t="s">
        <v>505</v>
      </c>
      <c r="H5238" s="6" t="n">
        <v>3.11</v>
      </c>
      <c r="I5238" s="6" t="n">
        <v>0</v>
      </c>
      <c r="J5238" s="40" t="n">
        <f aca="false">H5238-I5238</f>
        <v>3.11</v>
      </c>
      <c r="K5238" s="41" t="n">
        <v>26.5</v>
      </c>
      <c r="L5238" s="42" t="n">
        <f aca="false">J5238*K5238</f>
        <v>82.415</v>
      </c>
      <c r="M5238" s="43" t="n">
        <f aca="false">H5238*14.56*(1+'Chart of Accounts'!$E$67)</f>
        <v>51.847432</v>
      </c>
    </row>
    <row r="5239" customFormat="false" ht="15" hidden="false" customHeight="false" outlineLevel="0" collapsed="false">
      <c r="B5239" s="7" t="s">
        <v>5736</v>
      </c>
      <c r="C5239" s="39" t="n">
        <v>45908</v>
      </c>
      <c r="D5239" s="7" t="s">
        <v>359</v>
      </c>
      <c r="E5239" s="7" t="s">
        <v>156</v>
      </c>
      <c r="F5239" s="7" t="s">
        <v>246</v>
      </c>
      <c r="G5239" s="7" t="s">
        <v>505</v>
      </c>
      <c r="H5239" s="6" t="n">
        <v>4.03</v>
      </c>
      <c r="I5239" s="6" t="n">
        <v>0</v>
      </c>
      <c r="J5239" s="40" t="n">
        <f aca="false">H5239-I5239</f>
        <v>4.03</v>
      </c>
      <c r="K5239" s="41" t="n">
        <v>34</v>
      </c>
      <c r="L5239" s="42" t="n">
        <f aca="false">J5239*K5239</f>
        <v>137.02</v>
      </c>
      <c r="M5239" s="43" t="n">
        <f aca="false">H5239*16.48*(1+'Chart of Accounts'!$E$67)</f>
        <v>76.044488</v>
      </c>
    </row>
    <row r="5240" customFormat="false" ht="15" hidden="false" customHeight="false" outlineLevel="0" collapsed="false">
      <c r="B5240" s="7" t="s">
        <v>5737</v>
      </c>
      <c r="C5240" s="39" t="n">
        <v>45908</v>
      </c>
      <c r="D5240" s="7" t="s">
        <v>363</v>
      </c>
      <c r="E5240" s="7" t="s">
        <v>156</v>
      </c>
      <c r="F5240" s="7" t="s">
        <v>246</v>
      </c>
      <c r="G5240" s="7" t="s">
        <v>505</v>
      </c>
      <c r="H5240" s="6" t="n">
        <v>4.05</v>
      </c>
      <c r="I5240" s="6" t="n">
        <v>0</v>
      </c>
      <c r="J5240" s="40" t="n">
        <f aca="false">H5240-I5240</f>
        <v>4.05</v>
      </c>
      <c r="K5240" s="41" t="n">
        <v>34</v>
      </c>
      <c r="L5240" s="42" t="n">
        <f aca="false">J5240*K5240</f>
        <v>137.7</v>
      </c>
      <c r="M5240" s="43" t="n">
        <f aca="false">H5240*16.48*(1+'Chart of Accounts'!$E$67)</f>
        <v>76.42188</v>
      </c>
    </row>
    <row r="5241" customFormat="false" ht="15" hidden="false" customHeight="false" outlineLevel="0" collapsed="false">
      <c r="B5241" s="7" t="s">
        <v>5738</v>
      </c>
      <c r="C5241" s="39" t="n">
        <v>45908</v>
      </c>
      <c r="D5241" s="7" t="s">
        <v>365</v>
      </c>
      <c r="E5241" s="7" t="s">
        <v>154</v>
      </c>
      <c r="F5241" s="7" t="s">
        <v>194</v>
      </c>
      <c r="G5241" s="7" t="s">
        <v>505</v>
      </c>
      <c r="H5241" s="6" t="n">
        <v>4.13</v>
      </c>
      <c r="I5241" s="6" t="n">
        <v>0</v>
      </c>
      <c r="J5241" s="40" t="n">
        <f aca="false">H5241-I5241</f>
        <v>4.13</v>
      </c>
      <c r="K5241" s="41" t="n">
        <v>26.5</v>
      </c>
      <c r="L5241" s="42" t="n">
        <f aca="false">J5241*K5241</f>
        <v>109.445</v>
      </c>
      <c r="M5241" s="43" t="n">
        <f aca="false">H5241*16*(1+'Chart of Accounts'!$E$67)</f>
        <v>75.6616</v>
      </c>
    </row>
    <row r="5242" customFormat="false" ht="15" hidden="false" customHeight="false" outlineLevel="0" collapsed="false">
      <c r="B5242" s="7" t="s">
        <v>5739</v>
      </c>
      <c r="C5242" s="39" t="n">
        <v>45908</v>
      </c>
      <c r="D5242" s="7" t="s">
        <v>371</v>
      </c>
      <c r="E5242" s="7" t="s">
        <v>154</v>
      </c>
      <c r="F5242" s="7" t="s">
        <v>232</v>
      </c>
      <c r="G5242" s="7" t="s">
        <v>505</v>
      </c>
      <c r="H5242" s="6" t="n">
        <v>4.54</v>
      </c>
      <c r="I5242" s="6" t="n">
        <v>0</v>
      </c>
      <c r="J5242" s="40" t="n">
        <f aca="false">H5242-I5242</f>
        <v>4.54</v>
      </c>
      <c r="K5242" s="41" t="n">
        <v>26.5</v>
      </c>
      <c r="L5242" s="42" t="n">
        <f aca="false">J5242*K5242</f>
        <v>120.31</v>
      </c>
      <c r="M5242" s="43" t="n">
        <f aca="false">H5242*16.17*(1+'Chart of Accounts'!$E$67)</f>
        <v>84.056511</v>
      </c>
    </row>
    <row r="5243" customFormat="false" ht="15" hidden="false" customHeight="false" outlineLevel="0" collapsed="false">
      <c r="B5243" s="7" t="s">
        <v>5740</v>
      </c>
      <c r="C5243" s="39" t="n">
        <v>45908</v>
      </c>
      <c r="D5243" s="7" t="s">
        <v>375</v>
      </c>
      <c r="E5243" s="7" t="s">
        <v>156</v>
      </c>
      <c r="F5243" s="7" t="s">
        <v>196</v>
      </c>
      <c r="G5243" s="7" t="s">
        <v>505</v>
      </c>
      <c r="H5243" s="6" t="n">
        <v>2.81</v>
      </c>
      <c r="I5243" s="6" t="n">
        <v>0</v>
      </c>
      <c r="J5243" s="40" t="n">
        <f aca="false">H5243-I5243</f>
        <v>2.81</v>
      </c>
      <c r="K5243" s="41" t="n">
        <v>34</v>
      </c>
      <c r="L5243" s="42" t="n">
        <f aca="false">J5243*K5243</f>
        <v>95.54</v>
      </c>
      <c r="M5243" s="43" t="n">
        <f aca="false">H5243*15.05*(1+'Chart of Accounts'!$E$67)</f>
        <v>48.4226225</v>
      </c>
    </row>
    <row r="5244" customFormat="false" ht="15" hidden="false" customHeight="false" outlineLevel="0" collapsed="false">
      <c r="B5244" s="7" t="s">
        <v>5741</v>
      </c>
      <c r="C5244" s="39" t="n">
        <v>45908</v>
      </c>
      <c r="D5244" s="7" t="s">
        <v>377</v>
      </c>
      <c r="E5244" s="7" t="s">
        <v>154</v>
      </c>
      <c r="F5244" s="7" t="s">
        <v>214</v>
      </c>
      <c r="G5244" s="7" t="s">
        <v>505</v>
      </c>
      <c r="H5244" s="6" t="n">
        <v>3.96</v>
      </c>
      <c r="I5244" s="6" t="n">
        <v>0</v>
      </c>
      <c r="J5244" s="40" t="n">
        <f aca="false">H5244-I5244</f>
        <v>3.96</v>
      </c>
      <c r="K5244" s="41" t="n">
        <v>26.5</v>
      </c>
      <c r="L5244" s="42" t="n">
        <f aca="false">J5244*K5244</f>
        <v>104.94</v>
      </c>
      <c r="M5244" s="43" t="n">
        <f aca="false">H5244*15.67*(1+'Chart of Accounts'!$E$67)</f>
        <v>71.050914</v>
      </c>
    </row>
    <row r="5245" customFormat="false" ht="15" hidden="false" customHeight="false" outlineLevel="0" collapsed="false">
      <c r="B5245" s="7" t="s">
        <v>5742</v>
      </c>
      <c r="C5245" s="39" t="n">
        <v>45908</v>
      </c>
      <c r="D5245" s="7" t="s">
        <v>385</v>
      </c>
      <c r="E5245" s="7" t="s">
        <v>156</v>
      </c>
      <c r="F5245" s="7" t="s">
        <v>238</v>
      </c>
      <c r="G5245" s="7" t="s">
        <v>505</v>
      </c>
      <c r="H5245" s="6" t="n">
        <v>3.71</v>
      </c>
      <c r="I5245" s="6" t="n">
        <v>0</v>
      </c>
      <c r="J5245" s="40" t="n">
        <f aca="false">H5245-I5245</f>
        <v>3.71</v>
      </c>
      <c r="K5245" s="41" t="n">
        <v>34</v>
      </c>
      <c r="L5245" s="42" t="n">
        <f aca="false">J5245*K5245</f>
        <v>126.14</v>
      </c>
      <c r="M5245" s="43" t="n">
        <f aca="false">H5245*15.85*(1+'Chart of Accounts'!$E$67)</f>
        <v>67.3300075</v>
      </c>
    </row>
    <row r="5246" customFormat="false" ht="15" hidden="false" customHeight="false" outlineLevel="0" collapsed="false">
      <c r="B5246" s="7" t="s">
        <v>5743</v>
      </c>
      <c r="C5246" s="39" t="n">
        <v>45908</v>
      </c>
      <c r="D5246" s="7" t="s">
        <v>387</v>
      </c>
      <c r="E5246" s="7" t="s">
        <v>154</v>
      </c>
      <c r="F5246" s="7" t="s">
        <v>196</v>
      </c>
      <c r="G5246" s="7" t="s">
        <v>505</v>
      </c>
      <c r="H5246" s="6" t="n">
        <v>3.89</v>
      </c>
      <c r="I5246" s="6" t="n">
        <v>0</v>
      </c>
      <c r="J5246" s="40" t="n">
        <f aca="false">H5246-I5246</f>
        <v>3.89</v>
      </c>
      <c r="K5246" s="41" t="n">
        <v>26.5</v>
      </c>
      <c r="L5246" s="42" t="n">
        <f aca="false">J5246*K5246</f>
        <v>103.085</v>
      </c>
      <c r="M5246" s="43" t="n">
        <f aca="false">H5246*15.05*(1+'Chart of Accounts'!$E$67)</f>
        <v>67.0334525</v>
      </c>
    </row>
    <row r="5247" customFormat="false" ht="15" hidden="false" customHeight="false" outlineLevel="0" collapsed="false">
      <c r="B5247" s="7" t="s">
        <v>5744</v>
      </c>
      <c r="C5247" s="39" t="n">
        <v>45908</v>
      </c>
      <c r="D5247" s="7" t="s">
        <v>389</v>
      </c>
      <c r="E5247" s="7" t="s">
        <v>154</v>
      </c>
      <c r="F5247" s="7" t="s">
        <v>246</v>
      </c>
      <c r="G5247" s="7" t="s">
        <v>505</v>
      </c>
      <c r="H5247" s="6" t="n">
        <v>4.06</v>
      </c>
      <c r="I5247" s="6" t="n">
        <v>0</v>
      </c>
      <c r="J5247" s="40" t="n">
        <f aca="false">H5247-I5247</f>
        <v>4.06</v>
      </c>
      <c r="K5247" s="41" t="n">
        <v>26.5</v>
      </c>
      <c r="L5247" s="42" t="n">
        <f aca="false">J5247*K5247</f>
        <v>107.59</v>
      </c>
      <c r="M5247" s="43" t="n">
        <f aca="false">H5247*16.48*(1+'Chart of Accounts'!$E$67)</f>
        <v>76.610576</v>
      </c>
    </row>
    <row r="5248" customFormat="false" ht="15" hidden="false" customHeight="false" outlineLevel="0" collapsed="false">
      <c r="B5248" s="7" t="s">
        <v>5745</v>
      </c>
      <c r="C5248" s="39" t="n">
        <v>45908</v>
      </c>
      <c r="D5248" s="7" t="s">
        <v>391</v>
      </c>
      <c r="E5248" s="7" t="s">
        <v>156</v>
      </c>
      <c r="F5248" s="7" t="s">
        <v>222</v>
      </c>
      <c r="G5248" s="7" t="s">
        <v>505</v>
      </c>
      <c r="H5248" s="6" t="n">
        <v>3.61</v>
      </c>
      <c r="I5248" s="6" t="n">
        <v>0</v>
      </c>
      <c r="J5248" s="40" t="n">
        <f aca="false">H5248-I5248</f>
        <v>3.61</v>
      </c>
      <c r="K5248" s="41" t="n">
        <v>34</v>
      </c>
      <c r="L5248" s="42" t="n">
        <f aca="false">J5248*K5248</f>
        <v>122.74</v>
      </c>
      <c r="M5248" s="43" t="n">
        <f aca="false">H5248*17.84*(1+'Chart of Accounts'!$E$67)</f>
        <v>73.740748</v>
      </c>
    </row>
    <row r="5249" customFormat="false" ht="15" hidden="false" customHeight="false" outlineLevel="0" collapsed="false">
      <c r="B5249" s="7" t="s">
        <v>5746</v>
      </c>
      <c r="C5249" s="39" t="n">
        <v>45908</v>
      </c>
      <c r="D5249" s="7" t="s">
        <v>395</v>
      </c>
      <c r="E5249" s="7" t="s">
        <v>156</v>
      </c>
      <c r="F5249" s="7" t="s">
        <v>242</v>
      </c>
      <c r="G5249" s="7" t="s">
        <v>505</v>
      </c>
      <c r="H5249" s="6" t="n">
        <v>3.6</v>
      </c>
      <c r="I5249" s="6" t="n">
        <v>0</v>
      </c>
      <c r="J5249" s="40" t="n">
        <f aca="false">H5249-I5249</f>
        <v>3.6</v>
      </c>
      <c r="K5249" s="41" t="n">
        <v>34</v>
      </c>
      <c r="L5249" s="42" t="n">
        <f aca="false">J5249*K5249</f>
        <v>122.4</v>
      </c>
      <c r="M5249" s="43" t="n">
        <f aca="false">H5249*17.99*(1+'Chart of Accounts'!$E$67)</f>
        <v>74.15478</v>
      </c>
    </row>
    <row r="5250" customFormat="false" ht="15" hidden="false" customHeight="false" outlineLevel="0" collapsed="false">
      <c r="B5250" s="7" t="s">
        <v>5747</v>
      </c>
      <c r="C5250" s="39" t="n">
        <v>45908</v>
      </c>
      <c r="D5250" s="7" t="s">
        <v>399</v>
      </c>
      <c r="E5250" s="7" t="s">
        <v>154</v>
      </c>
      <c r="F5250" s="7" t="s">
        <v>194</v>
      </c>
      <c r="G5250" s="7" t="s">
        <v>505</v>
      </c>
      <c r="H5250" s="6" t="n">
        <v>3.25</v>
      </c>
      <c r="I5250" s="6" t="n">
        <v>0</v>
      </c>
      <c r="J5250" s="40" t="n">
        <f aca="false">H5250-I5250</f>
        <v>3.25</v>
      </c>
      <c r="K5250" s="41" t="n">
        <v>26.5</v>
      </c>
      <c r="L5250" s="42" t="n">
        <f aca="false">J5250*K5250</f>
        <v>86.125</v>
      </c>
      <c r="M5250" s="43" t="n">
        <f aca="false">H5250*16*(1+'Chart of Accounts'!$E$67)</f>
        <v>59.54</v>
      </c>
    </row>
    <row r="5251" customFormat="false" ht="15" hidden="false" customHeight="false" outlineLevel="0" collapsed="false">
      <c r="B5251" s="7" t="s">
        <v>5748</v>
      </c>
      <c r="C5251" s="39" t="n">
        <v>45908</v>
      </c>
      <c r="D5251" s="7" t="s">
        <v>401</v>
      </c>
      <c r="E5251" s="7" t="s">
        <v>156</v>
      </c>
      <c r="F5251" s="7" t="s">
        <v>254</v>
      </c>
      <c r="G5251" s="7" t="s">
        <v>505</v>
      </c>
      <c r="H5251" s="6" t="n">
        <v>3.89</v>
      </c>
      <c r="I5251" s="6" t="n">
        <v>0</v>
      </c>
      <c r="J5251" s="40" t="n">
        <f aca="false">H5251-I5251</f>
        <v>3.89</v>
      </c>
      <c r="K5251" s="41" t="n">
        <v>34</v>
      </c>
      <c r="L5251" s="42" t="n">
        <f aca="false">J5251*K5251</f>
        <v>132.26</v>
      </c>
      <c r="M5251" s="43" t="n">
        <f aca="false">H5251*17.1*(1+'Chart of Accounts'!$E$67)</f>
        <v>76.164255</v>
      </c>
    </row>
    <row r="5252" customFormat="false" ht="15" hidden="false" customHeight="false" outlineLevel="0" collapsed="false">
      <c r="B5252" s="7" t="s">
        <v>5749</v>
      </c>
      <c r="C5252" s="39" t="n">
        <v>45908</v>
      </c>
      <c r="D5252" s="7" t="s">
        <v>403</v>
      </c>
      <c r="E5252" s="7" t="s">
        <v>156</v>
      </c>
      <c r="F5252" s="7" t="s">
        <v>184</v>
      </c>
      <c r="G5252" s="7" t="s">
        <v>505</v>
      </c>
      <c r="H5252" s="6" t="n">
        <v>3.69</v>
      </c>
      <c r="I5252" s="6" t="n">
        <v>0</v>
      </c>
      <c r="J5252" s="40" t="n">
        <f aca="false">H5252-I5252</f>
        <v>3.69</v>
      </c>
      <c r="K5252" s="41" t="n">
        <v>34</v>
      </c>
      <c r="L5252" s="42" t="n">
        <f aca="false">J5252*K5252</f>
        <v>125.46</v>
      </c>
      <c r="M5252" s="43" t="n">
        <f aca="false">H5252*17.34*(1+'Chart of Accounts'!$E$67)</f>
        <v>73.262367</v>
      </c>
    </row>
    <row r="5253" customFormat="false" ht="15" hidden="false" customHeight="false" outlineLevel="0" collapsed="false">
      <c r="B5253" s="7" t="s">
        <v>5750</v>
      </c>
      <c r="C5253" s="39" t="n">
        <v>45908</v>
      </c>
      <c r="D5253" s="7" t="s">
        <v>409</v>
      </c>
      <c r="E5253" s="7" t="s">
        <v>154</v>
      </c>
      <c r="F5253" s="7" t="s">
        <v>214</v>
      </c>
      <c r="G5253" s="7" t="s">
        <v>505</v>
      </c>
      <c r="H5253" s="6" t="n">
        <v>3.06</v>
      </c>
      <c r="I5253" s="6" t="n">
        <v>0</v>
      </c>
      <c r="J5253" s="40" t="n">
        <f aca="false">H5253-I5253</f>
        <v>3.06</v>
      </c>
      <c r="K5253" s="41" t="n">
        <v>26.5</v>
      </c>
      <c r="L5253" s="42" t="n">
        <f aca="false">J5253*K5253</f>
        <v>81.09</v>
      </c>
      <c r="M5253" s="43" t="n">
        <f aca="false">H5253*15.67*(1+'Chart of Accounts'!$E$67)</f>
        <v>54.902979</v>
      </c>
    </row>
    <row r="5254" customFormat="false" ht="15" hidden="false" customHeight="false" outlineLevel="0" collapsed="false">
      <c r="B5254" s="7" t="s">
        <v>5751</v>
      </c>
      <c r="C5254" s="39" t="n">
        <v>45908</v>
      </c>
      <c r="D5254" s="7" t="s">
        <v>411</v>
      </c>
      <c r="E5254" s="7" t="s">
        <v>154</v>
      </c>
      <c r="F5254" s="7" t="s">
        <v>177</v>
      </c>
      <c r="G5254" s="7" t="s">
        <v>505</v>
      </c>
      <c r="H5254" s="6" t="n">
        <v>4.56</v>
      </c>
      <c r="I5254" s="6" t="n">
        <v>0.137</v>
      </c>
      <c r="J5254" s="40" t="n">
        <f aca="false">H5254-I5254</f>
        <v>4.423</v>
      </c>
      <c r="K5254" s="41" t="n">
        <v>26.5</v>
      </c>
      <c r="L5254" s="42" t="n">
        <f aca="false">J5254*K5254</f>
        <v>117.2095</v>
      </c>
      <c r="M5254" s="43" t="n">
        <f aca="false">H5254*14.56*(1+'Chart of Accounts'!$E$67)</f>
        <v>76.020672</v>
      </c>
    </row>
    <row r="5255" customFormat="false" ht="15" hidden="false" customHeight="false" outlineLevel="0" collapsed="false">
      <c r="B5255" s="7" t="s">
        <v>5752</v>
      </c>
      <c r="C5255" s="39" t="n">
        <v>45909</v>
      </c>
      <c r="D5255" s="7" t="s">
        <v>288</v>
      </c>
      <c r="E5255" s="7" t="s">
        <v>156</v>
      </c>
      <c r="F5255" s="7" t="s">
        <v>254</v>
      </c>
      <c r="G5255" s="7" t="s">
        <v>505</v>
      </c>
      <c r="H5255" s="6" t="n">
        <v>4.03</v>
      </c>
      <c r="I5255" s="6" t="n">
        <v>0</v>
      </c>
      <c r="J5255" s="40" t="n">
        <f aca="false">H5255-I5255</f>
        <v>4.03</v>
      </c>
      <c r="K5255" s="41" t="n">
        <v>34</v>
      </c>
      <c r="L5255" s="42" t="n">
        <f aca="false">J5255*K5255</f>
        <v>137.02</v>
      </c>
      <c r="M5255" s="43" t="n">
        <f aca="false">H5255*17.1*(1+'Chart of Accounts'!$E$67)</f>
        <v>78.905385</v>
      </c>
    </row>
    <row r="5256" customFormat="false" ht="15" hidden="false" customHeight="false" outlineLevel="0" collapsed="false">
      <c r="B5256" s="7" t="s">
        <v>5753</v>
      </c>
      <c r="C5256" s="39" t="n">
        <v>45909</v>
      </c>
      <c r="D5256" s="7" t="s">
        <v>293</v>
      </c>
      <c r="E5256" s="7" t="s">
        <v>157</v>
      </c>
      <c r="F5256" s="7" t="s">
        <v>198</v>
      </c>
      <c r="G5256" s="7" t="s">
        <v>502</v>
      </c>
      <c r="H5256" s="6" t="n">
        <v>0.92</v>
      </c>
      <c r="I5256" s="6" t="n">
        <v>0</v>
      </c>
      <c r="J5256" s="40" t="n">
        <f aca="false">H5256-I5256</f>
        <v>0.92</v>
      </c>
      <c r="K5256" s="41" t="n">
        <v>165</v>
      </c>
      <c r="L5256" s="42" t="n">
        <f aca="false">J5256*K5256</f>
        <v>151.8</v>
      </c>
      <c r="M5256" s="43" t="n">
        <f aca="false">H5256*48.09*(1+'Chart of Accounts'!$E$67)</f>
        <v>50.658006</v>
      </c>
    </row>
    <row r="5257" customFormat="false" ht="15" hidden="false" customHeight="false" outlineLevel="0" collapsed="false">
      <c r="B5257" s="7" t="s">
        <v>5754</v>
      </c>
      <c r="C5257" s="39" t="n">
        <v>45909</v>
      </c>
      <c r="D5257" s="7" t="s">
        <v>301</v>
      </c>
      <c r="E5257" s="7" t="s">
        <v>157</v>
      </c>
      <c r="F5257" s="7" t="s">
        <v>209</v>
      </c>
      <c r="G5257" s="7" t="s">
        <v>502</v>
      </c>
      <c r="H5257" s="6" t="n">
        <v>0.93</v>
      </c>
      <c r="I5257" s="6" t="n">
        <v>0</v>
      </c>
      <c r="J5257" s="40" t="n">
        <f aca="false">H5257-I5257</f>
        <v>0.93</v>
      </c>
      <c r="K5257" s="41" t="n">
        <v>165</v>
      </c>
      <c r="L5257" s="42" t="n">
        <f aca="false">J5257*K5257</f>
        <v>153.45</v>
      </c>
      <c r="M5257" s="43" t="n">
        <f aca="false">H5257*73.58*(1+'Chart of Accounts'!$E$67)</f>
        <v>78.351663</v>
      </c>
    </row>
    <row r="5258" customFormat="false" ht="15" hidden="false" customHeight="false" outlineLevel="0" collapsed="false">
      <c r="B5258" s="7" t="s">
        <v>5755</v>
      </c>
      <c r="C5258" s="39" t="n">
        <v>45909</v>
      </c>
      <c r="D5258" s="7" t="s">
        <v>313</v>
      </c>
      <c r="E5258" s="7" t="s">
        <v>156</v>
      </c>
      <c r="F5258" s="7" t="s">
        <v>184</v>
      </c>
      <c r="G5258" s="7" t="s">
        <v>505</v>
      </c>
      <c r="H5258" s="6" t="n">
        <v>4.08</v>
      </c>
      <c r="I5258" s="6" t="n">
        <v>0</v>
      </c>
      <c r="J5258" s="40" t="n">
        <f aca="false">H5258-I5258</f>
        <v>4.08</v>
      </c>
      <c r="K5258" s="41" t="n">
        <v>34</v>
      </c>
      <c r="L5258" s="42" t="n">
        <f aca="false">J5258*K5258</f>
        <v>138.72</v>
      </c>
      <c r="M5258" s="43" t="n">
        <f aca="false">H5258*17.34*(1+'Chart of Accounts'!$E$67)</f>
        <v>81.005544</v>
      </c>
    </row>
    <row r="5259" customFormat="false" ht="15" hidden="false" customHeight="false" outlineLevel="0" collapsed="false">
      <c r="B5259" s="7" t="s">
        <v>5756</v>
      </c>
      <c r="C5259" s="39" t="n">
        <v>45909</v>
      </c>
      <c r="D5259" s="7" t="s">
        <v>319</v>
      </c>
      <c r="E5259" s="7" t="s">
        <v>157</v>
      </c>
      <c r="F5259" s="7" t="s">
        <v>234</v>
      </c>
      <c r="G5259" s="7" t="s">
        <v>502</v>
      </c>
      <c r="H5259" s="6" t="n">
        <v>0.91</v>
      </c>
      <c r="I5259" s="6" t="n">
        <v>0</v>
      </c>
      <c r="J5259" s="40" t="n">
        <f aca="false">H5259-I5259</f>
        <v>0.91</v>
      </c>
      <c r="K5259" s="41" t="n">
        <v>165</v>
      </c>
      <c r="L5259" s="42" t="n">
        <f aca="false">J5259*K5259</f>
        <v>150.15</v>
      </c>
      <c r="M5259" s="43" t="n">
        <f aca="false">H5259*89.53*(1+'Chart of Accounts'!$E$67)</f>
        <v>93.2857835</v>
      </c>
    </row>
    <row r="5260" customFormat="false" ht="15" hidden="false" customHeight="false" outlineLevel="0" collapsed="false">
      <c r="B5260" s="7" t="s">
        <v>5757</v>
      </c>
      <c r="C5260" s="39" t="n">
        <v>45909</v>
      </c>
      <c r="D5260" s="7" t="s">
        <v>321</v>
      </c>
      <c r="E5260" s="7" t="s">
        <v>154</v>
      </c>
      <c r="F5260" s="7" t="s">
        <v>218</v>
      </c>
      <c r="G5260" s="7" t="s">
        <v>505</v>
      </c>
      <c r="H5260" s="6" t="n">
        <v>4.4</v>
      </c>
      <c r="I5260" s="6" t="n">
        <v>0</v>
      </c>
      <c r="J5260" s="40" t="n">
        <f aca="false">H5260-I5260</f>
        <v>4.4</v>
      </c>
      <c r="K5260" s="41" t="n">
        <v>26.5</v>
      </c>
      <c r="L5260" s="42" t="n">
        <f aca="false">J5260*K5260</f>
        <v>116.6</v>
      </c>
      <c r="M5260" s="43" t="n">
        <f aca="false">H5260*16.19*(1+'Chart of Accounts'!$E$67)</f>
        <v>81.56522</v>
      </c>
    </row>
    <row r="5261" customFormat="false" ht="15" hidden="false" customHeight="false" outlineLevel="0" collapsed="false">
      <c r="B5261" s="7" t="s">
        <v>5758</v>
      </c>
      <c r="C5261" s="39" t="n">
        <v>45909</v>
      </c>
      <c r="D5261" s="7" t="s">
        <v>323</v>
      </c>
      <c r="E5261" s="7" t="s">
        <v>159</v>
      </c>
      <c r="F5261" s="7" t="s">
        <v>198</v>
      </c>
      <c r="G5261" s="7" t="s">
        <v>502</v>
      </c>
      <c r="H5261" s="6" t="n">
        <v>0.97</v>
      </c>
      <c r="I5261" s="6" t="n">
        <v>0</v>
      </c>
      <c r="J5261" s="40" t="n">
        <f aca="false">H5261-I5261</f>
        <v>0.97</v>
      </c>
      <c r="K5261" s="41" t="n">
        <v>135</v>
      </c>
      <c r="L5261" s="42" t="n">
        <f aca="false">J5261*K5261</f>
        <v>130.95</v>
      </c>
      <c r="M5261" s="43" t="n">
        <f aca="false">H5261*48.09*(1+'Chart of Accounts'!$E$67)</f>
        <v>53.4111585</v>
      </c>
    </row>
    <row r="5262" customFormat="false" ht="15" hidden="false" customHeight="false" outlineLevel="0" collapsed="false">
      <c r="B5262" s="7" t="s">
        <v>5759</v>
      </c>
      <c r="C5262" s="39" t="n">
        <v>45909</v>
      </c>
      <c r="D5262" s="7" t="s">
        <v>327</v>
      </c>
      <c r="E5262" s="7" t="s">
        <v>157</v>
      </c>
      <c r="F5262" s="7" t="s">
        <v>228</v>
      </c>
      <c r="G5262" s="7" t="s">
        <v>502</v>
      </c>
      <c r="H5262" s="6" t="n">
        <v>0.97</v>
      </c>
      <c r="I5262" s="6" t="n">
        <v>0</v>
      </c>
      <c r="J5262" s="40" t="n">
        <f aca="false">H5262-I5262</f>
        <v>0.97</v>
      </c>
      <c r="K5262" s="41" t="n">
        <v>165</v>
      </c>
      <c r="L5262" s="42" t="n">
        <f aca="false">J5262*K5262</f>
        <v>160.05</v>
      </c>
      <c r="M5262" s="43" t="n">
        <f aca="false">H5262*51.07*(1+'Chart of Accounts'!$E$67)</f>
        <v>56.7208955</v>
      </c>
    </row>
    <row r="5263" customFormat="false" ht="15" hidden="false" customHeight="false" outlineLevel="0" collapsed="false">
      <c r="B5263" s="7" t="s">
        <v>5760</v>
      </c>
      <c r="C5263" s="39" t="n">
        <v>45909</v>
      </c>
      <c r="D5263" s="7" t="s">
        <v>329</v>
      </c>
      <c r="E5263" s="7" t="s">
        <v>156</v>
      </c>
      <c r="F5263" s="7" t="s">
        <v>220</v>
      </c>
      <c r="G5263" s="7" t="s">
        <v>505</v>
      </c>
      <c r="H5263" s="6" t="n">
        <v>4.27</v>
      </c>
      <c r="I5263" s="6" t="n">
        <v>0</v>
      </c>
      <c r="J5263" s="40" t="n">
        <f aca="false">H5263-I5263</f>
        <v>4.27</v>
      </c>
      <c r="K5263" s="41" t="n">
        <v>34</v>
      </c>
      <c r="L5263" s="42" t="n">
        <f aca="false">J5263*K5263</f>
        <v>145.18</v>
      </c>
      <c r="M5263" s="43" t="n">
        <f aca="false">H5263*16.43*(1+'Chart of Accounts'!$E$67)</f>
        <v>80.3287345</v>
      </c>
    </row>
    <row r="5264" customFormat="false" ht="15" hidden="false" customHeight="false" outlineLevel="0" collapsed="false">
      <c r="B5264" s="7" t="s">
        <v>5761</v>
      </c>
      <c r="C5264" s="39" t="n">
        <v>45909</v>
      </c>
      <c r="D5264" s="7" t="s">
        <v>349</v>
      </c>
      <c r="E5264" s="7" t="s">
        <v>154</v>
      </c>
      <c r="F5264" s="7" t="s">
        <v>244</v>
      </c>
      <c r="G5264" s="7" t="s">
        <v>505</v>
      </c>
      <c r="H5264" s="6" t="n">
        <v>3.7</v>
      </c>
      <c r="I5264" s="6" t="n">
        <v>0.111</v>
      </c>
      <c r="J5264" s="40" t="n">
        <f aca="false">H5264-I5264</f>
        <v>3.589</v>
      </c>
      <c r="K5264" s="41" t="n">
        <v>26.5</v>
      </c>
      <c r="L5264" s="42" t="n">
        <f aca="false">J5264*K5264</f>
        <v>95.1085</v>
      </c>
      <c r="M5264" s="43" t="n">
        <f aca="false">H5264*16.39*(1+'Chart of Accounts'!$E$67)</f>
        <v>69.436235</v>
      </c>
    </row>
    <row r="5265" customFormat="false" ht="15" hidden="false" customHeight="false" outlineLevel="0" collapsed="false">
      <c r="B5265" s="7" t="s">
        <v>5762</v>
      </c>
      <c r="C5265" s="39" t="n">
        <v>45909</v>
      </c>
      <c r="D5265" s="7" t="s">
        <v>359</v>
      </c>
      <c r="E5265" s="7" t="s">
        <v>156</v>
      </c>
      <c r="F5265" s="7" t="s">
        <v>177</v>
      </c>
      <c r="G5265" s="7" t="s">
        <v>505</v>
      </c>
      <c r="H5265" s="6" t="n">
        <v>4.28</v>
      </c>
      <c r="I5265" s="6" t="n">
        <v>0</v>
      </c>
      <c r="J5265" s="40" t="n">
        <f aca="false">H5265-I5265</f>
        <v>4.28</v>
      </c>
      <c r="K5265" s="41" t="n">
        <v>34</v>
      </c>
      <c r="L5265" s="42" t="n">
        <f aca="false">J5265*K5265</f>
        <v>145.52</v>
      </c>
      <c r="M5265" s="43" t="n">
        <f aca="false">H5265*14.56*(1+'Chart of Accounts'!$E$67)</f>
        <v>71.352736</v>
      </c>
    </row>
    <row r="5266" customFormat="false" ht="15" hidden="false" customHeight="false" outlineLevel="0" collapsed="false">
      <c r="B5266" s="7" t="s">
        <v>5763</v>
      </c>
      <c r="C5266" s="39" t="n">
        <v>45909</v>
      </c>
      <c r="D5266" s="7" t="s">
        <v>361</v>
      </c>
      <c r="E5266" s="7" t="s">
        <v>157</v>
      </c>
      <c r="F5266" s="7" t="s">
        <v>209</v>
      </c>
      <c r="G5266" s="7" t="s">
        <v>502</v>
      </c>
      <c r="H5266" s="6" t="n">
        <v>0.9</v>
      </c>
      <c r="I5266" s="6" t="n">
        <v>0.045</v>
      </c>
      <c r="J5266" s="40" t="n">
        <f aca="false">H5266-I5266</f>
        <v>0.855</v>
      </c>
      <c r="K5266" s="41" t="n">
        <v>165</v>
      </c>
      <c r="L5266" s="42" t="n">
        <f aca="false">J5266*K5266</f>
        <v>141.075</v>
      </c>
      <c r="M5266" s="43" t="n">
        <f aca="false">H5266*73.58*(1+'Chart of Accounts'!$E$67)</f>
        <v>75.82419</v>
      </c>
    </row>
    <row r="5267" customFormat="false" ht="15" hidden="false" customHeight="false" outlineLevel="0" collapsed="false">
      <c r="B5267" s="7" t="s">
        <v>5764</v>
      </c>
      <c r="C5267" s="39" t="n">
        <v>45909</v>
      </c>
      <c r="D5267" s="7" t="s">
        <v>365</v>
      </c>
      <c r="E5267" s="7" t="s">
        <v>154</v>
      </c>
      <c r="F5267" s="7" t="s">
        <v>194</v>
      </c>
      <c r="G5267" s="7" t="s">
        <v>505</v>
      </c>
      <c r="H5267" s="6" t="n">
        <v>3.92</v>
      </c>
      <c r="I5267" s="6" t="n">
        <v>0</v>
      </c>
      <c r="J5267" s="40" t="n">
        <f aca="false">H5267-I5267</f>
        <v>3.92</v>
      </c>
      <c r="K5267" s="41" t="n">
        <v>26.5</v>
      </c>
      <c r="L5267" s="42" t="n">
        <f aca="false">J5267*K5267</f>
        <v>103.88</v>
      </c>
      <c r="M5267" s="43" t="n">
        <f aca="false">H5267*16*(1+'Chart of Accounts'!$E$67)</f>
        <v>71.8144</v>
      </c>
    </row>
    <row r="5268" customFormat="false" ht="15" hidden="false" customHeight="false" outlineLevel="0" collapsed="false">
      <c r="B5268" s="7" t="s">
        <v>5765</v>
      </c>
      <c r="C5268" s="39" t="n">
        <v>45909</v>
      </c>
      <c r="D5268" s="7" t="s">
        <v>369</v>
      </c>
      <c r="E5268" s="7" t="s">
        <v>159</v>
      </c>
      <c r="F5268" s="7" t="s">
        <v>258</v>
      </c>
      <c r="G5268" s="7" t="s">
        <v>502</v>
      </c>
      <c r="H5268" s="6" t="n">
        <v>0.98</v>
      </c>
      <c r="I5268" s="6" t="n">
        <v>0</v>
      </c>
      <c r="J5268" s="40" t="n">
        <f aca="false">H5268-I5268</f>
        <v>0.98</v>
      </c>
      <c r="K5268" s="41" t="n">
        <v>135</v>
      </c>
      <c r="L5268" s="42" t="n">
        <f aca="false">J5268*K5268</f>
        <v>132.3</v>
      </c>
      <c r="M5268" s="43" t="n">
        <f aca="false">H5268*61.61*(1+'Chart of Accounts'!$E$67)</f>
        <v>69.132581</v>
      </c>
    </row>
    <row r="5269" customFormat="false" ht="15" hidden="false" customHeight="false" outlineLevel="0" collapsed="false">
      <c r="B5269" s="7" t="s">
        <v>5766</v>
      </c>
      <c r="C5269" s="39" t="n">
        <v>45909</v>
      </c>
      <c r="D5269" s="7" t="s">
        <v>381</v>
      </c>
      <c r="E5269" s="7" t="s">
        <v>157</v>
      </c>
      <c r="F5269" s="7" t="s">
        <v>234</v>
      </c>
      <c r="G5269" s="7" t="s">
        <v>502</v>
      </c>
      <c r="H5269" s="6" t="n">
        <v>0.94</v>
      </c>
      <c r="I5269" s="6" t="n">
        <v>0</v>
      </c>
      <c r="J5269" s="40" t="n">
        <f aca="false">H5269-I5269</f>
        <v>0.94</v>
      </c>
      <c r="K5269" s="41" t="n">
        <v>165</v>
      </c>
      <c r="L5269" s="42" t="n">
        <f aca="false">J5269*K5269</f>
        <v>155.1</v>
      </c>
      <c r="M5269" s="43" t="n">
        <f aca="false">H5269*89.53*(1+'Chart of Accounts'!$E$67)</f>
        <v>96.361139</v>
      </c>
    </row>
    <row r="5270" customFormat="false" ht="15" hidden="false" customHeight="false" outlineLevel="0" collapsed="false">
      <c r="B5270" s="7" t="s">
        <v>5767</v>
      </c>
      <c r="C5270" s="39" t="n">
        <v>45909</v>
      </c>
      <c r="D5270" s="7" t="s">
        <v>383</v>
      </c>
      <c r="E5270" s="7" t="s">
        <v>157</v>
      </c>
      <c r="F5270" s="7" t="s">
        <v>230</v>
      </c>
      <c r="G5270" s="7" t="s">
        <v>502</v>
      </c>
      <c r="H5270" s="6" t="n">
        <v>0.99</v>
      </c>
      <c r="I5270" s="6" t="n">
        <v>0</v>
      </c>
      <c r="J5270" s="40" t="n">
        <f aca="false">H5270-I5270</f>
        <v>0.99</v>
      </c>
      <c r="K5270" s="41" t="n">
        <v>165</v>
      </c>
      <c r="L5270" s="42" t="n">
        <f aca="false">J5270*K5270</f>
        <v>163.35</v>
      </c>
      <c r="M5270" s="43" t="n">
        <f aca="false">H5270*48.78*(1+'Chart of Accounts'!$E$67)</f>
        <v>55.294569</v>
      </c>
    </row>
    <row r="5271" customFormat="false" ht="15" hidden="false" customHeight="false" outlineLevel="0" collapsed="false">
      <c r="B5271" s="7" t="s">
        <v>5768</v>
      </c>
      <c r="C5271" s="39" t="n">
        <v>45909</v>
      </c>
      <c r="D5271" s="7" t="s">
        <v>387</v>
      </c>
      <c r="E5271" s="7" t="s">
        <v>154</v>
      </c>
      <c r="F5271" s="7" t="s">
        <v>196</v>
      </c>
      <c r="G5271" s="7" t="s">
        <v>505</v>
      </c>
      <c r="H5271" s="6" t="n">
        <v>4.05</v>
      </c>
      <c r="I5271" s="6" t="n">
        <v>0</v>
      </c>
      <c r="J5271" s="40" t="n">
        <f aca="false">H5271-I5271</f>
        <v>4.05</v>
      </c>
      <c r="K5271" s="41" t="n">
        <v>26.5</v>
      </c>
      <c r="L5271" s="42" t="n">
        <f aca="false">J5271*K5271</f>
        <v>107.325</v>
      </c>
      <c r="M5271" s="43" t="n">
        <f aca="false">H5271*15.05*(1+'Chart of Accounts'!$E$67)</f>
        <v>69.7906125</v>
      </c>
    </row>
    <row r="5272" customFormat="false" ht="15" hidden="false" customHeight="false" outlineLevel="0" collapsed="false">
      <c r="B5272" s="7" t="s">
        <v>5769</v>
      </c>
      <c r="C5272" s="39" t="n">
        <v>45909</v>
      </c>
      <c r="D5272" s="7" t="s">
        <v>391</v>
      </c>
      <c r="E5272" s="7" t="s">
        <v>156</v>
      </c>
      <c r="F5272" s="7" t="s">
        <v>222</v>
      </c>
      <c r="G5272" s="7" t="s">
        <v>505</v>
      </c>
      <c r="H5272" s="6" t="n">
        <v>3.99</v>
      </c>
      <c r="I5272" s="6" t="n">
        <v>0</v>
      </c>
      <c r="J5272" s="40" t="n">
        <f aca="false">H5272-I5272</f>
        <v>3.99</v>
      </c>
      <c r="K5272" s="41" t="n">
        <v>34</v>
      </c>
      <c r="L5272" s="42" t="n">
        <f aca="false">J5272*K5272</f>
        <v>135.66</v>
      </c>
      <c r="M5272" s="43" t="n">
        <f aca="false">H5272*17.84*(1+'Chart of Accounts'!$E$67)</f>
        <v>81.502932</v>
      </c>
    </row>
    <row r="5273" customFormat="false" ht="15" hidden="false" customHeight="false" outlineLevel="0" collapsed="false">
      <c r="B5273" s="7" t="s">
        <v>5770</v>
      </c>
      <c r="C5273" s="39" t="n">
        <v>45909</v>
      </c>
      <c r="D5273" s="7" t="s">
        <v>395</v>
      </c>
      <c r="E5273" s="7" t="s">
        <v>156</v>
      </c>
      <c r="F5273" s="7" t="s">
        <v>242</v>
      </c>
      <c r="G5273" s="7" t="s">
        <v>505</v>
      </c>
      <c r="H5273" s="6" t="n">
        <v>4.01</v>
      </c>
      <c r="I5273" s="6" t="n">
        <v>0</v>
      </c>
      <c r="J5273" s="40" t="n">
        <f aca="false">H5273-I5273</f>
        <v>4.01</v>
      </c>
      <c r="K5273" s="41" t="n">
        <v>34</v>
      </c>
      <c r="L5273" s="42" t="n">
        <f aca="false">J5273*K5273</f>
        <v>136.34</v>
      </c>
      <c r="M5273" s="43" t="n">
        <f aca="false">H5273*17.99*(1+'Chart of Accounts'!$E$67)</f>
        <v>82.6001855</v>
      </c>
    </row>
    <row r="5274" customFormat="false" ht="15" hidden="false" customHeight="false" outlineLevel="0" collapsed="false">
      <c r="B5274" s="7" t="s">
        <v>5771</v>
      </c>
      <c r="C5274" s="39" t="n">
        <v>45909</v>
      </c>
      <c r="D5274" s="7" t="s">
        <v>397</v>
      </c>
      <c r="E5274" s="7" t="s">
        <v>159</v>
      </c>
      <c r="F5274" s="7" t="s">
        <v>203</v>
      </c>
      <c r="G5274" s="7" t="s">
        <v>502</v>
      </c>
      <c r="H5274" s="6" t="n">
        <v>0.99</v>
      </c>
      <c r="I5274" s="6" t="n">
        <v>0</v>
      </c>
      <c r="J5274" s="40" t="n">
        <f aca="false">H5274-I5274</f>
        <v>0.99</v>
      </c>
      <c r="K5274" s="41" t="n">
        <v>135</v>
      </c>
      <c r="L5274" s="42" t="n">
        <f aca="false">J5274*K5274</f>
        <v>133.65</v>
      </c>
      <c r="M5274" s="43" t="n">
        <f aca="false">H5274*49.43*(1+'Chart of Accounts'!$E$67)</f>
        <v>56.0313765</v>
      </c>
    </row>
    <row r="5275" customFormat="false" ht="15" hidden="false" customHeight="false" outlineLevel="0" collapsed="false">
      <c r="B5275" s="7" t="s">
        <v>5772</v>
      </c>
      <c r="C5275" s="39" t="n">
        <v>45909</v>
      </c>
      <c r="D5275" s="7" t="s">
        <v>401</v>
      </c>
      <c r="E5275" s="7" t="s">
        <v>156</v>
      </c>
      <c r="F5275" s="7" t="s">
        <v>254</v>
      </c>
      <c r="G5275" s="7" t="s">
        <v>505</v>
      </c>
      <c r="H5275" s="6" t="n">
        <v>3.66</v>
      </c>
      <c r="I5275" s="6" t="n">
        <v>0</v>
      </c>
      <c r="J5275" s="40" t="n">
        <f aca="false">H5275-I5275</f>
        <v>3.66</v>
      </c>
      <c r="K5275" s="41" t="n">
        <v>34</v>
      </c>
      <c r="L5275" s="42" t="n">
        <f aca="false">J5275*K5275</f>
        <v>124.44</v>
      </c>
      <c r="M5275" s="43" t="n">
        <f aca="false">H5275*17.1*(1+'Chart of Accounts'!$E$67)</f>
        <v>71.66097</v>
      </c>
    </row>
    <row r="5276" customFormat="false" ht="15" hidden="false" customHeight="false" outlineLevel="0" collapsed="false">
      <c r="B5276" s="7" t="s">
        <v>5773</v>
      </c>
      <c r="C5276" s="39" t="n">
        <v>45909</v>
      </c>
      <c r="D5276" s="7" t="s">
        <v>407</v>
      </c>
      <c r="E5276" s="7" t="s">
        <v>159</v>
      </c>
      <c r="F5276" s="7" t="s">
        <v>260</v>
      </c>
      <c r="G5276" s="7" t="s">
        <v>502</v>
      </c>
      <c r="H5276" s="6" t="n">
        <v>1.09</v>
      </c>
      <c r="I5276" s="6" t="n">
        <v>0.076</v>
      </c>
      <c r="J5276" s="40" t="n">
        <f aca="false">H5276-I5276</f>
        <v>1.014</v>
      </c>
      <c r="K5276" s="41" t="n">
        <v>135</v>
      </c>
      <c r="L5276" s="42" t="n">
        <f aca="false">J5276*K5276</f>
        <v>136.89</v>
      </c>
      <c r="M5276" s="43" t="n">
        <f aca="false">H5276*79.8*(1+'Chart of Accounts'!$E$67)</f>
        <v>99.59439</v>
      </c>
    </row>
    <row r="5277" customFormat="false" ht="15" hidden="false" customHeight="false" outlineLevel="0" collapsed="false">
      <c r="B5277" s="7" t="s">
        <v>5774</v>
      </c>
      <c r="C5277" s="39" t="n">
        <v>45910</v>
      </c>
      <c r="D5277" s="7" t="s">
        <v>288</v>
      </c>
      <c r="E5277" s="7" t="s">
        <v>156</v>
      </c>
      <c r="F5277" s="7" t="s">
        <v>254</v>
      </c>
      <c r="G5277" s="7" t="s">
        <v>505</v>
      </c>
      <c r="H5277" s="6" t="n">
        <v>3.65</v>
      </c>
      <c r="I5277" s="6" t="n">
        <v>0</v>
      </c>
      <c r="J5277" s="40" t="n">
        <f aca="false">H5277-I5277</f>
        <v>3.65</v>
      </c>
      <c r="K5277" s="41" t="n">
        <v>34</v>
      </c>
      <c r="L5277" s="42" t="n">
        <f aca="false">J5277*K5277</f>
        <v>124.1</v>
      </c>
      <c r="M5277" s="43" t="n">
        <f aca="false">H5277*17.1*(1+'Chart of Accounts'!$E$67)</f>
        <v>71.465175</v>
      </c>
    </row>
    <row r="5278" customFormat="false" ht="15" hidden="false" customHeight="false" outlineLevel="0" collapsed="false">
      <c r="B5278" s="7" t="s">
        <v>5775</v>
      </c>
      <c r="C5278" s="39" t="n">
        <v>45910</v>
      </c>
      <c r="D5278" s="7" t="s">
        <v>291</v>
      </c>
      <c r="E5278" s="7" t="s">
        <v>154</v>
      </c>
      <c r="F5278" s="7" t="s">
        <v>194</v>
      </c>
      <c r="G5278" s="7" t="s">
        <v>505</v>
      </c>
      <c r="H5278" s="6" t="n">
        <v>4.9</v>
      </c>
      <c r="I5278" s="6" t="n">
        <v>0.147</v>
      </c>
      <c r="J5278" s="40" t="n">
        <f aca="false">H5278-I5278</f>
        <v>4.753</v>
      </c>
      <c r="K5278" s="41" t="n">
        <v>26.5</v>
      </c>
      <c r="L5278" s="42" t="n">
        <f aca="false">J5278*K5278</f>
        <v>125.9545</v>
      </c>
      <c r="M5278" s="43" t="n">
        <f aca="false">H5278*16*(1+'Chart of Accounts'!$E$67)</f>
        <v>89.768</v>
      </c>
    </row>
    <row r="5279" customFormat="false" ht="15" hidden="false" customHeight="false" outlineLevel="0" collapsed="false">
      <c r="B5279" s="7" t="s">
        <v>5776</v>
      </c>
      <c r="C5279" s="39" t="n">
        <v>45910</v>
      </c>
      <c r="D5279" s="7" t="s">
        <v>305</v>
      </c>
      <c r="E5279" s="7" t="s">
        <v>154</v>
      </c>
      <c r="F5279" s="7" t="s">
        <v>205</v>
      </c>
      <c r="G5279" s="7" t="s">
        <v>505</v>
      </c>
      <c r="H5279" s="6" t="n">
        <v>4.28</v>
      </c>
      <c r="I5279" s="6" t="n">
        <v>0.128</v>
      </c>
      <c r="J5279" s="40" t="n">
        <f aca="false">H5279-I5279</f>
        <v>4.152</v>
      </c>
      <c r="K5279" s="41" t="n">
        <v>26.5</v>
      </c>
      <c r="L5279" s="42" t="n">
        <f aca="false">J5279*K5279</f>
        <v>110.028</v>
      </c>
      <c r="M5279" s="43" t="n">
        <f aca="false">H5279*16.36*(1+'Chart of Accounts'!$E$67)</f>
        <v>80.173816</v>
      </c>
    </row>
    <row r="5280" customFormat="false" ht="15" hidden="false" customHeight="false" outlineLevel="0" collapsed="false">
      <c r="B5280" s="7" t="s">
        <v>5777</v>
      </c>
      <c r="C5280" s="39" t="n">
        <v>45910</v>
      </c>
      <c r="D5280" s="7" t="s">
        <v>307</v>
      </c>
      <c r="E5280" s="7" t="s">
        <v>157</v>
      </c>
      <c r="F5280" s="7" t="s">
        <v>264</v>
      </c>
      <c r="G5280" s="7" t="s">
        <v>502</v>
      </c>
      <c r="H5280" s="6" t="n">
        <v>1.06</v>
      </c>
      <c r="I5280" s="6" t="n">
        <v>0</v>
      </c>
      <c r="J5280" s="40" t="n">
        <f aca="false">H5280-I5280</f>
        <v>1.06</v>
      </c>
      <c r="K5280" s="41" t="n">
        <v>165</v>
      </c>
      <c r="L5280" s="42" t="n">
        <f aca="false">J5280*K5280</f>
        <v>174.9</v>
      </c>
      <c r="M5280" s="43" t="n">
        <f aca="false">H5280*55.55*(1+'Chart of Accounts'!$E$67)</f>
        <v>67.421035</v>
      </c>
    </row>
    <row r="5281" customFormat="false" ht="15" hidden="false" customHeight="false" outlineLevel="0" collapsed="false">
      <c r="B5281" s="7" t="s">
        <v>5778</v>
      </c>
      <c r="C5281" s="39" t="n">
        <v>45910</v>
      </c>
      <c r="D5281" s="7" t="s">
        <v>309</v>
      </c>
      <c r="E5281" s="7" t="s">
        <v>159</v>
      </c>
      <c r="F5281" s="7" t="s">
        <v>252</v>
      </c>
      <c r="G5281" s="7" t="s">
        <v>502</v>
      </c>
      <c r="H5281" s="6" t="n">
        <v>0.92</v>
      </c>
      <c r="I5281" s="6" t="n">
        <v>0</v>
      </c>
      <c r="J5281" s="40" t="n">
        <f aca="false">H5281-I5281</f>
        <v>0.92</v>
      </c>
      <c r="K5281" s="41" t="n">
        <v>135</v>
      </c>
      <c r="L5281" s="42" t="n">
        <f aca="false">J5281*K5281</f>
        <v>124.2</v>
      </c>
      <c r="M5281" s="43" t="n">
        <f aca="false">H5281*57.54*(1+'Chart of Accounts'!$E$67)</f>
        <v>60.612636</v>
      </c>
    </row>
    <row r="5282" customFormat="false" ht="15" hidden="false" customHeight="false" outlineLevel="0" collapsed="false">
      <c r="B5282" s="7" t="s">
        <v>5779</v>
      </c>
      <c r="C5282" s="39" t="n">
        <v>45910</v>
      </c>
      <c r="D5282" s="7" t="s">
        <v>313</v>
      </c>
      <c r="E5282" s="7" t="s">
        <v>156</v>
      </c>
      <c r="F5282" s="7" t="s">
        <v>184</v>
      </c>
      <c r="G5282" s="7" t="s">
        <v>505</v>
      </c>
      <c r="H5282" s="6" t="n">
        <v>3.78</v>
      </c>
      <c r="I5282" s="6" t="n">
        <v>0</v>
      </c>
      <c r="J5282" s="40" t="n">
        <f aca="false">H5282-I5282</f>
        <v>3.78</v>
      </c>
      <c r="K5282" s="41" t="n">
        <v>34</v>
      </c>
      <c r="L5282" s="42" t="n">
        <f aca="false">J5282*K5282</f>
        <v>128.52</v>
      </c>
      <c r="M5282" s="43" t="n">
        <f aca="false">H5282*17.34*(1+'Chart of Accounts'!$E$67)</f>
        <v>75.049254</v>
      </c>
    </row>
    <row r="5283" customFormat="false" ht="15" hidden="false" customHeight="false" outlineLevel="0" collapsed="false">
      <c r="B5283" s="7" t="s">
        <v>5780</v>
      </c>
      <c r="C5283" s="39" t="n">
        <v>45910</v>
      </c>
      <c r="D5283" s="7" t="s">
        <v>315</v>
      </c>
      <c r="E5283" s="7" t="s">
        <v>159</v>
      </c>
      <c r="F5283" s="7" t="s">
        <v>216</v>
      </c>
      <c r="G5283" s="7" t="s">
        <v>502</v>
      </c>
      <c r="H5283" s="6" t="n">
        <v>0.91</v>
      </c>
      <c r="I5283" s="6" t="n">
        <v>0</v>
      </c>
      <c r="J5283" s="40" t="n">
        <f aca="false">H5283-I5283</f>
        <v>0.91</v>
      </c>
      <c r="K5283" s="41" t="n">
        <v>135</v>
      </c>
      <c r="L5283" s="42" t="n">
        <f aca="false">J5283*K5283</f>
        <v>122.85</v>
      </c>
      <c r="M5283" s="43" t="n">
        <f aca="false">H5283*61.79*(1+'Chart of Accounts'!$E$67)</f>
        <v>64.3820905</v>
      </c>
    </row>
    <row r="5284" customFormat="false" ht="15" hidden="false" customHeight="false" outlineLevel="0" collapsed="false">
      <c r="B5284" s="7" t="s">
        <v>5781</v>
      </c>
      <c r="C5284" s="39" t="n">
        <v>45910</v>
      </c>
      <c r="D5284" s="7" t="s">
        <v>321</v>
      </c>
      <c r="E5284" s="7" t="s">
        <v>154</v>
      </c>
      <c r="F5284" s="7" t="s">
        <v>218</v>
      </c>
      <c r="G5284" s="7" t="s">
        <v>505</v>
      </c>
      <c r="H5284" s="6" t="n">
        <v>3.63</v>
      </c>
      <c r="I5284" s="6" t="n">
        <v>0</v>
      </c>
      <c r="J5284" s="40" t="n">
        <f aca="false">H5284-I5284</f>
        <v>3.63</v>
      </c>
      <c r="K5284" s="41" t="n">
        <v>26.5</v>
      </c>
      <c r="L5284" s="42" t="n">
        <f aca="false">J5284*K5284</f>
        <v>96.195</v>
      </c>
      <c r="M5284" s="43" t="n">
        <f aca="false">H5284*16.19*(1+'Chart of Accounts'!$E$67)</f>
        <v>67.2913065</v>
      </c>
    </row>
    <row r="5285" customFormat="false" ht="15" hidden="false" customHeight="false" outlineLevel="0" collapsed="false">
      <c r="B5285" s="7" t="s">
        <v>5782</v>
      </c>
      <c r="C5285" s="39" t="n">
        <v>45910</v>
      </c>
      <c r="D5285" s="7" t="s">
        <v>335</v>
      </c>
      <c r="E5285" s="7" t="s">
        <v>154</v>
      </c>
      <c r="F5285" s="7" t="s">
        <v>177</v>
      </c>
      <c r="G5285" s="7" t="s">
        <v>505</v>
      </c>
      <c r="H5285" s="6" t="n">
        <v>3.81</v>
      </c>
      <c r="I5285" s="6" t="n">
        <v>0</v>
      </c>
      <c r="J5285" s="40" t="n">
        <f aca="false">H5285-I5285</f>
        <v>3.81</v>
      </c>
      <c r="K5285" s="41" t="n">
        <v>26.5</v>
      </c>
      <c r="L5285" s="42" t="n">
        <f aca="false">J5285*K5285</f>
        <v>100.965</v>
      </c>
      <c r="M5285" s="43" t="n">
        <f aca="false">H5285*14.56*(1+'Chart of Accounts'!$E$67)</f>
        <v>63.517272</v>
      </c>
    </row>
    <row r="5286" customFormat="false" ht="15" hidden="false" customHeight="false" outlineLevel="0" collapsed="false">
      <c r="B5286" s="7" t="s">
        <v>5783</v>
      </c>
      <c r="C5286" s="39" t="n">
        <v>45910</v>
      </c>
      <c r="D5286" s="7" t="s">
        <v>339</v>
      </c>
      <c r="E5286" s="7" t="s">
        <v>154</v>
      </c>
      <c r="F5286" s="7" t="s">
        <v>242</v>
      </c>
      <c r="G5286" s="7" t="s">
        <v>505</v>
      </c>
      <c r="H5286" s="6" t="n">
        <v>3.06</v>
      </c>
      <c r="I5286" s="6" t="n">
        <v>0</v>
      </c>
      <c r="J5286" s="40" t="n">
        <f aca="false">H5286-I5286</f>
        <v>3.06</v>
      </c>
      <c r="K5286" s="41" t="n">
        <v>26.5</v>
      </c>
      <c r="L5286" s="42" t="n">
        <f aca="false">J5286*K5286</f>
        <v>81.09</v>
      </c>
      <c r="M5286" s="43" t="n">
        <f aca="false">H5286*17.99*(1+'Chart of Accounts'!$E$67)</f>
        <v>63.031563</v>
      </c>
    </row>
    <row r="5287" customFormat="false" ht="15" hidden="false" customHeight="false" outlineLevel="0" collapsed="false">
      <c r="B5287" s="7" t="s">
        <v>5784</v>
      </c>
      <c r="C5287" s="39" t="n">
        <v>45910</v>
      </c>
      <c r="D5287" s="7" t="s">
        <v>347</v>
      </c>
      <c r="E5287" s="7" t="s">
        <v>154</v>
      </c>
      <c r="F5287" s="7" t="s">
        <v>238</v>
      </c>
      <c r="G5287" s="7" t="s">
        <v>505</v>
      </c>
      <c r="H5287" s="6" t="n">
        <v>4.72</v>
      </c>
      <c r="I5287" s="6" t="n">
        <v>0</v>
      </c>
      <c r="J5287" s="40" t="n">
        <f aca="false">H5287-I5287</f>
        <v>4.72</v>
      </c>
      <c r="K5287" s="41" t="n">
        <v>26.5</v>
      </c>
      <c r="L5287" s="42" t="n">
        <f aca="false">J5287*K5287</f>
        <v>125.08</v>
      </c>
      <c r="M5287" s="43" t="n">
        <f aca="false">H5287*15.85*(1+'Chart of Accounts'!$E$67)</f>
        <v>85.65974</v>
      </c>
    </row>
    <row r="5288" customFormat="false" ht="15" hidden="false" customHeight="false" outlineLevel="0" collapsed="false">
      <c r="B5288" s="7" t="s">
        <v>5785</v>
      </c>
      <c r="C5288" s="39" t="n">
        <v>45910</v>
      </c>
      <c r="D5288" s="7" t="s">
        <v>349</v>
      </c>
      <c r="E5288" s="7" t="s">
        <v>154</v>
      </c>
      <c r="F5288" s="7" t="s">
        <v>244</v>
      </c>
      <c r="G5288" s="7" t="s">
        <v>505</v>
      </c>
      <c r="H5288" s="6" t="n">
        <v>4.25</v>
      </c>
      <c r="I5288" s="6" t="n">
        <v>0</v>
      </c>
      <c r="J5288" s="40" t="n">
        <f aca="false">H5288-I5288</f>
        <v>4.25</v>
      </c>
      <c r="K5288" s="41" t="n">
        <v>26.5</v>
      </c>
      <c r="L5288" s="42" t="n">
        <f aca="false">J5288*K5288</f>
        <v>112.625</v>
      </c>
      <c r="M5288" s="43" t="n">
        <f aca="false">H5288*16.39*(1+'Chart of Accounts'!$E$67)</f>
        <v>79.7578375</v>
      </c>
    </row>
    <row r="5289" customFormat="false" ht="15" hidden="false" customHeight="false" outlineLevel="0" collapsed="false">
      <c r="B5289" s="7" t="s">
        <v>5786</v>
      </c>
      <c r="C5289" s="39" t="n">
        <v>45910</v>
      </c>
      <c r="D5289" s="7" t="s">
        <v>353</v>
      </c>
      <c r="E5289" s="7" t="s">
        <v>154</v>
      </c>
      <c r="F5289" s="7" t="s">
        <v>254</v>
      </c>
      <c r="G5289" s="7" t="s">
        <v>505</v>
      </c>
      <c r="H5289" s="6" t="n">
        <v>3.31</v>
      </c>
      <c r="I5289" s="6" t="n">
        <v>0</v>
      </c>
      <c r="J5289" s="40" t="n">
        <f aca="false">H5289-I5289</f>
        <v>3.31</v>
      </c>
      <c r="K5289" s="41" t="n">
        <v>26.5</v>
      </c>
      <c r="L5289" s="42" t="n">
        <f aca="false">J5289*K5289</f>
        <v>87.715</v>
      </c>
      <c r="M5289" s="43" t="n">
        <f aca="false">H5289*17.1*(1+'Chart of Accounts'!$E$67)</f>
        <v>64.808145</v>
      </c>
    </row>
    <row r="5290" customFormat="false" ht="15" hidden="false" customHeight="false" outlineLevel="0" collapsed="false">
      <c r="B5290" s="7" t="s">
        <v>5787</v>
      </c>
      <c r="C5290" s="39" t="n">
        <v>45910</v>
      </c>
      <c r="D5290" s="7" t="s">
        <v>355</v>
      </c>
      <c r="E5290" s="7" t="s">
        <v>154</v>
      </c>
      <c r="F5290" s="7" t="s">
        <v>201</v>
      </c>
      <c r="G5290" s="7" t="s">
        <v>505</v>
      </c>
      <c r="H5290" s="6" t="n">
        <v>3.58</v>
      </c>
      <c r="I5290" s="6" t="n">
        <v>0.107</v>
      </c>
      <c r="J5290" s="40" t="n">
        <f aca="false">H5290-I5290</f>
        <v>3.473</v>
      </c>
      <c r="K5290" s="41" t="n">
        <v>26.5</v>
      </c>
      <c r="L5290" s="42" t="n">
        <f aca="false">J5290*K5290</f>
        <v>92.0345</v>
      </c>
      <c r="M5290" s="43" t="n">
        <f aca="false">H5290*15.19*(1+'Chart of Accounts'!$E$67)</f>
        <v>62.265329</v>
      </c>
    </row>
    <row r="5291" customFormat="false" ht="15" hidden="false" customHeight="false" outlineLevel="0" collapsed="false">
      <c r="B5291" s="7" t="s">
        <v>5788</v>
      </c>
      <c r="C5291" s="39" t="n">
        <v>45910</v>
      </c>
      <c r="D5291" s="7" t="s">
        <v>357</v>
      </c>
      <c r="E5291" s="7" t="s">
        <v>154</v>
      </c>
      <c r="F5291" s="7" t="s">
        <v>196</v>
      </c>
      <c r="G5291" s="7" t="s">
        <v>505</v>
      </c>
      <c r="H5291" s="6" t="n">
        <v>3.17</v>
      </c>
      <c r="I5291" s="6" t="n">
        <v>0</v>
      </c>
      <c r="J5291" s="40" t="n">
        <f aca="false">H5291-I5291</f>
        <v>3.17</v>
      </c>
      <c r="K5291" s="41" t="n">
        <v>26.5</v>
      </c>
      <c r="L5291" s="42" t="n">
        <f aca="false">J5291*K5291</f>
        <v>84.005</v>
      </c>
      <c r="M5291" s="43" t="n">
        <f aca="false">H5291*15.05*(1+'Chart of Accounts'!$E$67)</f>
        <v>54.6262325</v>
      </c>
    </row>
    <row r="5292" customFormat="false" ht="15" hidden="false" customHeight="false" outlineLevel="0" collapsed="false">
      <c r="B5292" s="7" t="s">
        <v>5789</v>
      </c>
      <c r="C5292" s="39" t="n">
        <v>45910</v>
      </c>
      <c r="D5292" s="7" t="s">
        <v>359</v>
      </c>
      <c r="E5292" s="7" t="s">
        <v>156</v>
      </c>
      <c r="F5292" s="7" t="s">
        <v>246</v>
      </c>
      <c r="G5292" s="7" t="s">
        <v>505</v>
      </c>
      <c r="H5292" s="6" t="n">
        <v>4.19</v>
      </c>
      <c r="I5292" s="6" t="n">
        <v>0</v>
      </c>
      <c r="J5292" s="40" t="n">
        <f aca="false">H5292-I5292</f>
        <v>4.19</v>
      </c>
      <c r="K5292" s="41" t="n">
        <v>34</v>
      </c>
      <c r="L5292" s="42" t="n">
        <f aca="false">J5292*K5292</f>
        <v>142.46</v>
      </c>
      <c r="M5292" s="43" t="n">
        <f aca="false">H5292*16.48*(1+'Chart of Accounts'!$E$67)</f>
        <v>79.063624</v>
      </c>
    </row>
    <row r="5293" customFormat="false" ht="15" hidden="false" customHeight="false" outlineLevel="0" collapsed="false">
      <c r="B5293" s="7" t="s">
        <v>5790</v>
      </c>
      <c r="C5293" s="39" t="n">
        <v>45910</v>
      </c>
      <c r="D5293" s="7" t="s">
        <v>365</v>
      </c>
      <c r="E5293" s="7" t="s">
        <v>154</v>
      </c>
      <c r="F5293" s="7" t="s">
        <v>194</v>
      </c>
      <c r="G5293" s="7" t="s">
        <v>505</v>
      </c>
      <c r="H5293" s="6" t="n">
        <v>4.38</v>
      </c>
      <c r="I5293" s="6" t="n">
        <v>0</v>
      </c>
      <c r="J5293" s="40" t="n">
        <f aca="false">H5293-I5293</f>
        <v>4.38</v>
      </c>
      <c r="K5293" s="41" t="n">
        <v>26.5</v>
      </c>
      <c r="L5293" s="42" t="n">
        <f aca="false">J5293*K5293</f>
        <v>116.07</v>
      </c>
      <c r="M5293" s="43" t="n">
        <f aca="false">H5293*16*(1+'Chart of Accounts'!$E$67)</f>
        <v>80.2416</v>
      </c>
    </row>
    <row r="5294" customFormat="false" ht="15" hidden="false" customHeight="false" outlineLevel="0" collapsed="false">
      <c r="B5294" s="7" t="s">
        <v>5791</v>
      </c>
      <c r="C5294" s="39" t="n">
        <v>45910</v>
      </c>
      <c r="D5294" s="7" t="s">
        <v>371</v>
      </c>
      <c r="E5294" s="7" t="s">
        <v>154</v>
      </c>
      <c r="F5294" s="7" t="s">
        <v>232</v>
      </c>
      <c r="G5294" s="7" t="s">
        <v>505</v>
      </c>
      <c r="H5294" s="6" t="n">
        <v>4.7</v>
      </c>
      <c r="I5294" s="6" t="n">
        <v>0</v>
      </c>
      <c r="J5294" s="40" t="n">
        <f aca="false">H5294-I5294</f>
        <v>4.7</v>
      </c>
      <c r="K5294" s="41" t="n">
        <v>26.5</v>
      </c>
      <c r="L5294" s="42" t="n">
        <f aca="false">J5294*K5294</f>
        <v>124.55</v>
      </c>
      <c r="M5294" s="43" t="n">
        <f aca="false">H5294*16.17*(1+'Chart of Accounts'!$E$67)</f>
        <v>87.018855</v>
      </c>
    </row>
    <row r="5295" customFormat="false" ht="15" hidden="false" customHeight="false" outlineLevel="0" collapsed="false">
      <c r="B5295" s="7" t="s">
        <v>5792</v>
      </c>
      <c r="C5295" s="39" t="n">
        <v>45910</v>
      </c>
      <c r="D5295" s="7" t="s">
        <v>379</v>
      </c>
      <c r="E5295" s="7" t="s">
        <v>156</v>
      </c>
      <c r="F5295" s="7" t="s">
        <v>224</v>
      </c>
      <c r="G5295" s="7" t="s">
        <v>505</v>
      </c>
      <c r="H5295" s="6" t="n">
        <v>4.92</v>
      </c>
      <c r="I5295" s="6" t="n">
        <v>0</v>
      </c>
      <c r="J5295" s="40" t="n">
        <f aca="false">H5295-I5295</f>
        <v>4.92</v>
      </c>
      <c r="K5295" s="41" t="n">
        <v>34</v>
      </c>
      <c r="L5295" s="42" t="n">
        <f aca="false">J5295*K5295</f>
        <v>167.28</v>
      </c>
      <c r="M5295" s="43" t="n">
        <f aca="false">H5295*14.93*(1+'Chart of Accounts'!$E$67)</f>
        <v>84.106662</v>
      </c>
    </row>
    <row r="5296" customFormat="false" ht="15" hidden="false" customHeight="false" outlineLevel="0" collapsed="false">
      <c r="B5296" s="7" t="s">
        <v>5793</v>
      </c>
      <c r="C5296" s="39" t="n">
        <v>45910</v>
      </c>
      <c r="D5296" s="7" t="s">
        <v>385</v>
      </c>
      <c r="E5296" s="7" t="s">
        <v>156</v>
      </c>
      <c r="F5296" s="7" t="s">
        <v>238</v>
      </c>
      <c r="G5296" s="7" t="s">
        <v>505</v>
      </c>
      <c r="H5296" s="6" t="n">
        <v>3.72</v>
      </c>
      <c r="I5296" s="6" t="n">
        <v>0</v>
      </c>
      <c r="J5296" s="40" t="n">
        <f aca="false">H5296-I5296</f>
        <v>3.72</v>
      </c>
      <c r="K5296" s="41" t="n">
        <v>34</v>
      </c>
      <c r="L5296" s="42" t="n">
        <f aca="false">J5296*K5296</f>
        <v>126.48</v>
      </c>
      <c r="M5296" s="43" t="n">
        <f aca="false">H5296*15.85*(1+'Chart of Accounts'!$E$67)</f>
        <v>67.51149</v>
      </c>
    </row>
    <row r="5297" customFormat="false" ht="15" hidden="false" customHeight="false" outlineLevel="0" collapsed="false">
      <c r="B5297" s="7" t="s">
        <v>5794</v>
      </c>
      <c r="C5297" s="39" t="n">
        <v>45910</v>
      </c>
      <c r="D5297" s="7" t="s">
        <v>387</v>
      </c>
      <c r="E5297" s="7" t="s">
        <v>154</v>
      </c>
      <c r="F5297" s="7" t="s">
        <v>196</v>
      </c>
      <c r="G5297" s="7" t="s">
        <v>505</v>
      </c>
      <c r="H5297" s="6" t="n">
        <v>3.92</v>
      </c>
      <c r="I5297" s="6" t="n">
        <v>0.118</v>
      </c>
      <c r="J5297" s="40" t="n">
        <f aca="false">H5297-I5297</f>
        <v>3.802</v>
      </c>
      <c r="K5297" s="41" t="n">
        <v>26.5</v>
      </c>
      <c r="L5297" s="42" t="n">
        <f aca="false">J5297*K5297</f>
        <v>100.753</v>
      </c>
      <c r="M5297" s="43" t="n">
        <f aca="false">H5297*15.05*(1+'Chart of Accounts'!$E$67)</f>
        <v>67.55042</v>
      </c>
    </row>
    <row r="5298" customFormat="false" ht="15" hidden="false" customHeight="false" outlineLevel="0" collapsed="false">
      <c r="B5298" s="7" t="s">
        <v>5795</v>
      </c>
      <c r="C5298" s="39" t="n">
        <v>45910</v>
      </c>
      <c r="D5298" s="7" t="s">
        <v>389</v>
      </c>
      <c r="E5298" s="7" t="s">
        <v>154</v>
      </c>
      <c r="F5298" s="7" t="s">
        <v>246</v>
      </c>
      <c r="G5298" s="7" t="s">
        <v>505</v>
      </c>
      <c r="H5298" s="6" t="n">
        <v>4.31</v>
      </c>
      <c r="I5298" s="6" t="n">
        <v>0</v>
      </c>
      <c r="J5298" s="40" t="n">
        <f aca="false">H5298-I5298</f>
        <v>4.31</v>
      </c>
      <c r="K5298" s="41" t="n">
        <v>26.5</v>
      </c>
      <c r="L5298" s="42" t="n">
        <f aca="false">J5298*K5298</f>
        <v>114.215</v>
      </c>
      <c r="M5298" s="43" t="n">
        <f aca="false">H5298*16.48*(1+'Chart of Accounts'!$E$67)</f>
        <v>81.327976</v>
      </c>
    </row>
    <row r="5299" customFormat="false" ht="15" hidden="false" customHeight="false" outlineLevel="0" collapsed="false">
      <c r="B5299" s="7" t="s">
        <v>5796</v>
      </c>
      <c r="C5299" s="39" t="n">
        <v>45910</v>
      </c>
      <c r="D5299" s="7" t="s">
        <v>391</v>
      </c>
      <c r="E5299" s="7" t="s">
        <v>156</v>
      </c>
      <c r="F5299" s="7" t="s">
        <v>222</v>
      </c>
      <c r="G5299" s="7" t="s">
        <v>505</v>
      </c>
      <c r="H5299" s="6" t="n">
        <v>4.23</v>
      </c>
      <c r="I5299" s="6" t="n">
        <v>0</v>
      </c>
      <c r="J5299" s="40" t="n">
        <f aca="false">H5299-I5299</f>
        <v>4.23</v>
      </c>
      <c r="K5299" s="41" t="n">
        <v>34</v>
      </c>
      <c r="L5299" s="42" t="n">
        <f aca="false">J5299*K5299</f>
        <v>143.82</v>
      </c>
      <c r="M5299" s="43" t="n">
        <f aca="false">H5299*17.84*(1+'Chart of Accounts'!$E$67)</f>
        <v>86.405364</v>
      </c>
    </row>
    <row r="5300" customFormat="false" ht="15" hidden="false" customHeight="false" outlineLevel="0" collapsed="false">
      <c r="B5300" s="7" t="s">
        <v>5797</v>
      </c>
      <c r="C5300" s="39" t="n">
        <v>45910</v>
      </c>
      <c r="D5300" s="7" t="s">
        <v>393</v>
      </c>
      <c r="E5300" s="7" t="s">
        <v>157</v>
      </c>
      <c r="F5300" s="7" t="s">
        <v>203</v>
      </c>
      <c r="G5300" s="7" t="s">
        <v>502</v>
      </c>
      <c r="H5300" s="6" t="n">
        <v>1.05</v>
      </c>
      <c r="I5300" s="6" t="n">
        <v>0</v>
      </c>
      <c r="J5300" s="40" t="n">
        <f aca="false">H5300-I5300</f>
        <v>1.05</v>
      </c>
      <c r="K5300" s="41" t="n">
        <v>165</v>
      </c>
      <c r="L5300" s="42" t="n">
        <f aca="false">J5300*K5300</f>
        <v>173.25</v>
      </c>
      <c r="M5300" s="43" t="n">
        <f aca="false">H5300*49.43*(1+'Chart of Accounts'!$E$67)</f>
        <v>59.4272175</v>
      </c>
    </row>
    <row r="5301" customFormat="false" ht="15" hidden="false" customHeight="false" outlineLevel="0" collapsed="false">
      <c r="B5301" s="7" t="s">
        <v>5798</v>
      </c>
      <c r="C5301" s="39" t="n">
        <v>45910</v>
      </c>
      <c r="D5301" s="7" t="s">
        <v>395</v>
      </c>
      <c r="E5301" s="7" t="s">
        <v>156</v>
      </c>
      <c r="F5301" s="7" t="s">
        <v>242</v>
      </c>
      <c r="G5301" s="7" t="s">
        <v>505</v>
      </c>
      <c r="H5301" s="6" t="n">
        <v>4.33</v>
      </c>
      <c r="I5301" s="6" t="n">
        <v>0</v>
      </c>
      <c r="J5301" s="40" t="n">
        <f aca="false">H5301-I5301</f>
        <v>4.33</v>
      </c>
      <c r="K5301" s="41" t="n">
        <v>34</v>
      </c>
      <c r="L5301" s="42" t="n">
        <f aca="false">J5301*K5301</f>
        <v>147.22</v>
      </c>
      <c r="M5301" s="43" t="n">
        <f aca="false">H5301*17.99*(1+'Chart of Accounts'!$E$67)</f>
        <v>89.1917215</v>
      </c>
    </row>
    <row r="5302" customFormat="false" ht="15" hidden="false" customHeight="false" outlineLevel="0" collapsed="false">
      <c r="B5302" s="7" t="s">
        <v>5799</v>
      </c>
      <c r="C5302" s="39" t="n">
        <v>45910</v>
      </c>
      <c r="D5302" s="7" t="s">
        <v>399</v>
      </c>
      <c r="E5302" s="7" t="s">
        <v>154</v>
      </c>
      <c r="F5302" s="7" t="s">
        <v>240</v>
      </c>
      <c r="G5302" s="7" t="s">
        <v>505</v>
      </c>
      <c r="H5302" s="6" t="n">
        <v>3.57</v>
      </c>
      <c r="I5302" s="6" t="n">
        <v>0.107</v>
      </c>
      <c r="J5302" s="40" t="n">
        <f aca="false">H5302-I5302</f>
        <v>3.463</v>
      </c>
      <c r="K5302" s="41" t="n">
        <v>26.5</v>
      </c>
      <c r="L5302" s="42" t="n">
        <f aca="false">J5302*K5302</f>
        <v>91.7695</v>
      </c>
      <c r="M5302" s="43" t="n">
        <f aca="false">H5302*16.96*(1+'Chart of Accounts'!$E$67)</f>
        <v>69.326544</v>
      </c>
    </row>
    <row r="5303" customFormat="false" ht="15" hidden="false" customHeight="false" outlineLevel="0" collapsed="false">
      <c r="B5303" s="7" t="s">
        <v>5800</v>
      </c>
      <c r="C5303" s="39" t="n">
        <v>45910</v>
      </c>
      <c r="D5303" s="7" t="s">
        <v>401</v>
      </c>
      <c r="E5303" s="7" t="s">
        <v>156</v>
      </c>
      <c r="F5303" s="7" t="s">
        <v>254</v>
      </c>
      <c r="G5303" s="7" t="s">
        <v>505</v>
      </c>
      <c r="H5303" s="6" t="n">
        <v>3.94</v>
      </c>
      <c r="I5303" s="6" t="n">
        <v>0</v>
      </c>
      <c r="J5303" s="40" t="n">
        <f aca="false">H5303-I5303</f>
        <v>3.94</v>
      </c>
      <c r="K5303" s="41" t="n">
        <v>34</v>
      </c>
      <c r="L5303" s="42" t="n">
        <f aca="false">J5303*K5303</f>
        <v>133.96</v>
      </c>
      <c r="M5303" s="43" t="n">
        <f aca="false">H5303*17.1*(1+'Chart of Accounts'!$E$67)</f>
        <v>77.14323</v>
      </c>
    </row>
    <row r="5304" customFormat="false" ht="15" hidden="false" customHeight="false" outlineLevel="0" collapsed="false">
      <c r="B5304" s="7" t="s">
        <v>5801</v>
      </c>
      <c r="C5304" s="39" t="n">
        <v>45910</v>
      </c>
      <c r="D5304" s="7" t="s">
        <v>403</v>
      </c>
      <c r="E5304" s="7" t="s">
        <v>156</v>
      </c>
      <c r="F5304" s="7" t="s">
        <v>184</v>
      </c>
      <c r="G5304" s="7" t="s">
        <v>505</v>
      </c>
      <c r="H5304" s="6" t="n">
        <v>4.39</v>
      </c>
      <c r="I5304" s="6" t="n">
        <v>0</v>
      </c>
      <c r="J5304" s="40" t="n">
        <f aca="false">H5304-I5304</f>
        <v>4.39</v>
      </c>
      <c r="K5304" s="41" t="n">
        <v>34</v>
      </c>
      <c r="L5304" s="42" t="n">
        <f aca="false">J5304*K5304</f>
        <v>149.26</v>
      </c>
      <c r="M5304" s="43" t="n">
        <f aca="false">H5304*17.34*(1+'Chart of Accounts'!$E$67)</f>
        <v>87.160377</v>
      </c>
    </row>
    <row r="5305" customFormat="false" ht="15" hidden="false" customHeight="false" outlineLevel="0" collapsed="false">
      <c r="B5305" s="7" t="s">
        <v>5802</v>
      </c>
      <c r="C5305" s="39" t="n">
        <v>45910</v>
      </c>
      <c r="D5305" s="7" t="s">
        <v>409</v>
      </c>
      <c r="E5305" s="7" t="s">
        <v>154</v>
      </c>
      <c r="F5305" s="7" t="s">
        <v>214</v>
      </c>
      <c r="G5305" s="7" t="s">
        <v>505</v>
      </c>
      <c r="H5305" s="6" t="n">
        <v>3.62</v>
      </c>
      <c r="I5305" s="6" t="n">
        <v>0</v>
      </c>
      <c r="J5305" s="40" t="n">
        <f aca="false">H5305-I5305</f>
        <v>3.62</v>
      </c>
      <c r="K5305" s="41" t="n">
        <v>26.5</v>
      </c>
      <c r="L5305" s="42" t="n">
        <f aca="false">J5305*K5305</f>
        <v>95.93</v>
      </c>
      <c r="M5305" s="43" t="n">
        <f aca="false">H5305*15.67*(1+'Chart of Accounts'!$E$67)</f>
        <v>64.950583</v>
      </c>
    </row>
    <row r="5306" customFormat="false" ht="15" hidden="false" customHeight="false" outlineLevel="0" collapsed="false">
      <c r="B5306" s="7" t="s">
        <v>5803</v>
      </c>
      <c r="C5306" s="39" t="n">
        <v>45910</v>
      </c>
      <c r="D5306" s="7" t="s">
        <v>411</v>
      </c>
      <c r="E5306" s="7" t="s">
        <v>154</v>
      </c>
      <c r="F5306" s="7" t="s">
        <v>177</v>
      </c>
      <c r="G5306" s="7" t="s">
        <v>505</v>
      </c>
      <c r="H5306" s="6" t="n">
        <v>5.1</v>
      </c>
      <c r="I5306" s="6" t="n">
        <v>0</v>
      </c>
      <c r="J5306" s="40" t="n">
        <f aca="false">H5306-I5306</f>
        <v>5.1</v>
      </c>
      <c r="K5306" s="41" t="n">
        <v>26.5</v>
      </c>
      <c r="L5306" s="42" t="n">
        <f aca="false">J5306*K5306</f>
        <v>135.15</v>
      </c>
      <c r="M5306" s="43" t="n">
        <f aca="false">H5306*14.56*(1+'Chart of Accounts'!$E$67)</f>
        <v>85.02312</v>
      </c>
    </row>
    <row r="5307" customFormat="false" ht="15" hidden="false" customHeight="false" outlineLevel="0" collapsed="false">
      <c r="B5307" s="7" t="s">
        <v>5804</v>
      </c>
      <c r="C5307" s="39" t="n">
        <v>45911</v>
      </c>
      <c r="D5307" s="7" t="s">
        <v>288</v>
      </c>
      <c r="E5307" s="7" t="s">
        <v>156</v>
      </c>
      <c r="F5307" s="7" t="s">
        <v>222</v>
      </c>
      <c r="G5307" s="7" t="s">
        <v>505</v>
      </c>
      <c r="H5307" s="6" t="n">
        <v>4.34</v>
      </c>
      <c r="I5307" s="6" t="n">
        <v>0</v>
      </c>
      <c r="J5307" s="40" t="n">
        <f aca="false">H5307-I5307</f>
        <v>4.34</v>
      </c>
      <c r="K5307" s="41" t="n">
        <v>34</v>
      </c>
      <c r="L5307" s="42" t="n">
        <f aca="false">J5307*K5307</f>
        <v>147.56</v>
      </c>
      <c r="M5307" s="43" t="n">
        <f aca="false">H5307*17.84*(1+'Chart of Accounts'!$E$67)</f>
        <v>88.652312</v>
      </c>
    </row>
    <row r="5308" customFormat="false" ht="15" hidden="false" customHeight="false" outlineLevel="0" collapsed="false">
      <c r="B5308" s="7" t="s">
        <v>5805</v>
      </c>
      <c r="C5308" s="39" t="n">
        <v>45911</v>
      </c>
      <c r="D5308" s="7" t="s">
        <v>297</v>
      </c>
      <c r="E5308" s="7" t="s">
        <v>156</v>
      </c>
      <c r="F5308" s="7" t="s">
        <v>201</v>
      </c>
      <c r="G5308" s="7" t="s">
        <v>505</v>
      </c>
      <c r="H5308" s="6" t="n">
        <v>2.78</v>
      </c>
      <c r="I5308" s="6" t="n">
        <v>0</v>
      </c>
      <c r="J5308" s="40" t="n">
        <f aca="false">H5308-I5308</f>
        <v>2.78</v>
      </c>
      <c r="K5308" s="41" t="n">
        <v>34</v>
      </c>
      <c r="L5308" s="42" t="n">
        <f aca="false">J5308*K5308</f>
        <v>94.52</v>
      </c>
      <c r="M5308" s="43" t="n">
        <f aca="false">H5308*15.19*(1+'Chart of Accounts'!$E$67)</f>
        <v>48.351289</v>
      </c>
    </row>
    <row r="5309" customFormat="false" ht="15" hidden="false" customHeight="false" outlineLevel="0" collapsed="false">
      <c r="B5309" s="7" t="s">
        <v>5806</v>
      </c>
      <c r="C5309" s="39" t="n">
        <v>45911</v>
      </c>
      <c r="D5309" s="7" t="s">
        <v>311</v>
      </c>
      <c r="E5309" s="7" t="s">
        <v>154</v>
      </c>
      <c r="F5309" s="7" t="s">
        <v>196</v>
      </c>
      <c r="G5309" s="7" t="s">
        <v>505</v>
      </c>
      <c r="H5309" s="6" t="n">
        <v>2.97</v>
      </c>
      <c r="I5309" s="6" t="n">
        <v>0</v>
      </c>
      <c r="J5309" s="40" t="n">
        <f aca="false">H5309-I5309</f>
        <v>2.97</v>
      </c>
      <c r="K5309" s="41" t="n">
        <v>26.5</v>
      </c>
      <c r="L5309" s="42" t="n">
        <f aca="false">J5309*K5309</f>
        <v>78.705</v>
      </c>
      <c r="M5309" s="43" t="n">
        <f aca="false">H5309*15.05*(1+'Chart of Accounts'!$E$67)</f>
        <v>51.1797825</v>
      </c>
    </row>
    <row r="5310" customFormat="false" ht="15" hidden="false" customHeight="false" outlineLevel="0" collapsed="false">
      <c r="B5310" s="7" t="s">
        <v>5807</v>
      </c>
      <c r="C5310" s="39" t="n">
        <v>45911</v>
      </c>
      <c r="D5310" s="7" t="s">
        <v>313</v>
      </c>
      <c r="E5310" s="7" t="s">
        <v>156</v>
      </c>
      <c r="F5310" s="7" t="s">
        <v>184</v>
      </c>
      <c r="G5310" s="7" t="s">
        <v>505</v>
      </c>
      <c r="H5310" s="6" t="n">
        <v>3.64</v>
      </c>
      <c r="I5310" s="6" t="n">
        <v>0</v>
      </c>
      <c r="J5310" s="40" t="n">
        <f aca="false">H5310-I5310</f>
        <v>3.64</v>
      </c>
      <c r="K5310" s="41" t="n">
        <v>34</v>
      </c>
      <c r="L5310" s="42" t="n">
        <f aca="false">J5310*K5310</f>
        <v>123.76</v>
      </c>
      <c r="M5310" s="43" t="n">
        <f aca="false">H5310*17.34*(1+'Chart of Accounts'!$E$67)</f>
        <v>72.269652</v>
      </c>
    </row>
    <row r="5311" customFormat="false" ht="15" hidden="false" customHeight="false" outlineLevel="0" collapsed="false">
      <c r="B5311" s="7" t="s">
        <v>5808</v>
      </c>
      <c r="C5311" s="39" t="n">
        <v>45911</v>
      </c>
      <c r="D5311" s="7" t="s">
        <v>317</v>
      </c>
      <c r="E5311" s="7" t="s">
        <v>156</v>
      </c>
      <c r="F5311" s="7" t="s">
        <v>238</v>
      </c>
      <c r="G5311" s="7" t="s">
        <v>505</v>
      </c>
      <c r="H5311" s="6" t="n">
        <v>2.91</v>
      </c>
      <c r="I5311" s="6" t="n">
        <v>0</v>
      </c>
      <c r="J5311" s="40" t="n">
        <f aca="false">H5311-I5311</f>
        <v>2.91</v>
      </c>
      <c r="K5311" s="41" t="n">
        <v>34</v>
      </c>
      <c r="L5311" s="42" t="n">
        <f aca="false">J5311*K5311</f>
        <v>98.94</v>
      </c>
      <c r="M5311" s="43" t="n">
        <f aca="false">H5311*15.85*(1+'Chart of Accounts'!$E$67)</f>
        <v>52.8114075</v>
      </c>
    </row>
    <row r="5312" customFormat="false" ht="15" hidden="false" customHeight="false" outlineLevel="0" collapsed="false">
      <c r="B5312" s="7" t="s">
        <v>5809</v>
      </c>
      <c r="C5312" s="39" t="n">
        <v>45911</v>
      </c>
      <c r="D5312" s="7" t="s">
        <v>321</v>
      </c>
      <c r="E5312" s="7" t="s">
        <v>154</v>
      </c>
      <c r="F5312" s="7" t="s">
        <v>218</v>
      </c>
      <c r="G5312" s="7" t="s">
        <v>505</v>
      </c>
      <c r="H5312" s="6" t="n">
        <v>4.05</v>
      </c>
      <c r="I5312" s="6" t="n">
        <v>0.121</v>
      </c>
      <c r="J5312" s="40" t="n">
        <f aca="false">H5312-I5312</f>
        <v>3.929</v>
      </c>
      <c r="K5312" s="41" t="n">
        <v>26.5</v>
      </c>
      <c r="L5312" s="42" t="n">
        <f aca="false">J5312*K5312</f>
        <v>104.1185</v>
      </c>
      <c r="M5312" s="43" t="n">
        <f aca="false">H5312*16.19*(1+'Chart of Accounts'!$E$67)</f>
        <v>75.0770775</v>
      </c>
    </row>
    <row r="5313" customFormat="false" ht="15" hidden="false" customHeight="false" outlineLevel="0" collapsed="false">
      <c r="B5313" s="7" t="s">
        <v>5810</v>
      </c>
      <c r="C5313" s="39" t="n">
        <v>45911</v>
      </c>
      <c r="D5313" s="7" t="s">
        <v>325</v>
      </c>
      <c r="E5313" s="7" t="s">
        <v>154</v>
      </c>
      <c r="F5313" s="7" t="s">
        <v>224</v>
      </c>
      <c r="G5313" s="7" t="s">
        <v>505</v>
      </c>
      <c r="H5313" s="6" t="n">
        <v>2.72</v>
      </c>
      <c r="I5313" s="6" t="n">
        <v>0.082</v>
      </c>
      <c r="J5313" s="40" t="n">
        <f aca="false">H5313-I5313</f>
        <v>2.638</v>
      </c>
      <c r="K5313" s="41" t="n">
        <v>26.5</v>
      </c>
      <c r="L5313" s="42" t="n">
        <f aca="false">J5313*K5313</f>
        <v>69.907</v>
      </c>
      <c r="M5313" s="43" t="n">
        <f aca="false">H5313*14.93*(1+'Chart of Accounts'!$E$67)</f>
        <v>46.497992</v>
      </c>
    </row>
    <row r="5314" customFormat="false" ht="15" hidden="false" customHeight="false" outlineLevel="0" collapsed="false">
      <c r="B5314" s="7" t="s">
        <v>5811</v>
      </c>
      <c r="C5314" s="39" t="n">
        <v>45911</v>
      </c>
      <c r="D5314" s="7" t="s">
        <v>329</v>
      </c>
      <c r="E5314" s="7" t="s">
        <v>156</v>
      </c>
      <c r="F5314" s="7" t="s">
        <v>220</v>
      </c>
      <c r="G5314" s="7" t="s">
        <v>505</v>
      </c>
      <c r="H5314" s="6" t="n">
        <v>3.99</v>
      </c>
      <c r="I5314" s="6" t="n">
        <v>0</v>
      </c>
      <c r="J5314" s="40" t="n">
        <f aca="false">H5314-I5314</f>
        <v>3.99</v>
      </c>
      <c r="K5314" s="41" t="n">
        <v>34</v>
      </c>
      <c r="L5314" s="42" t="n">
        <f aca="false">J5314*K5314</f>
        <v>135.66</v>
      </c>
      <c r="M5314" s="43" t="n">
        <f aca="false">H5314*16.43*(1+'Chart of Accounts'!$E$67)</f>
        <v>75.0612765</v>
      </c>
    </row>
    <row r="5315" customFormat="false" ht="15" hidden="false" customHeight="false" outlineLevel="0" collapsed="false">
      <c r="B5315" s="7" t="s">
        <v>5812</v>
      </c>
      <c r="C5315" s="39" t="n">
        <v>45911</v>
      </c>
      <c r="D5315" s="7" t="s">
        <v>331</v>
      </c>
      <c r="E5315" s="7" t="s">
        <v>156</v>
      </c>
      <c r="F5315" s="7" t="s">
        <v>224</v>
      </c>
      <c r="G5315" s="7" t="s">
        <v>505</v>
      </c>
      <c r="H5315" s="6" t="n">
        <v>4.13</v>
      </c>
      <c r="I5315" s="6" t="n">
        <v>0</v>
      </c>
      <c r="J5315" s="40" t="n">
        <f aca="false">H5315-I5315</f>
        <v>4.13</v>
      </c>
      <c r="K5315" s="41" t="n">
        <v>34</v>
      </c>
      <c r="L5315" s="42" t="n">
        <f aca="false">J5315*K5315</f>
        <v>140.42</v>
      </c>
      <c r="M5315" s="43" t="n">
        <f aca="false">H5315*14.93*(1+'Chart of Accounts'!$E$67)</f>
        <v>70.6017305</v>
      </c>
    </row>
    <row r="5316" customFormat="false" ht="15" hidden="false" customHeight="false" outlineLevel="0" collapsed="false">
      <c r="B5316" s="7" t="s">
        <v>5813</v>
      </c>
      <c r="C5316" s="39" t="n">
        <v>45911</v>
      </c>
      <c r="D5316" s="7" t="s">
        <v>341</v>
      </c>
      <c r="E5316" s="7" t="s">
        <v>156</v>
      </c>
      <c r="F5316" s="7" t="s">
        <v>222</v>
      </c>
      <c r="G5316" s="7" t="s">
        <v>505</v>
      </c>
      <c r="H5316" s="6" t="n">
        <v>2.76</v>
      </c>
      <c r="I5316" s="6" t="n">
        <v>0</v>
      </c>
      <c r="J5316" s="40" t="n">
        <f aca="false">H5316-I5316</f>
        <v>2.76</v>
      </c>
      <c r="K5316" s="41" t="n">
        <v>34</v>
      </c>
      <c r="L5316" s="42" t="n">
        <f aca="false">J5316*K5316</f>
        <v>93.84</v>
      </c>
      <c r="M5316" s="43" t="n">
        <f aca="false">H5316*17.84*(1+'Chart of Accounts'!$E$67)</f>
        <v>56.377968</v>
      </c>
    </row>
    <row r="5317" customFormat="false" ht="15" hidden="false" customHeight="false" outlineLevel="0" collapsed="false">
      <c r="B5317" s="7" t="s">
        <v>5814</v>
      </c>
      <c r="C5317" s="39" t="n">
        <v>45911</v>
      </c>
      <c r="D5317" s="7" t="s">
        <v>343</v>
      </c>
      <c r="E5317" s="7" t="s">
        <v>154</v>
      </c>
      <c r="F5317" s="7" t="s">
        <v>196</v>
      </c>
      <c r="G5317" s="7" t="s">
        <v>505</v>
      </c>
      <c r="H5317" s="6" t="n">
        <v>4.22</v>
      </c>
      <c r="I5317" s="6" t="n">
        <v>0</v>
      </c>
      <c r="J5317" s="40" t="n">
        <f aca="false">H5317-I5317</f>
        <v>4.22</v>
      </c>
      <c r="K5317" s="41" t="n">
        <v>26.5</v>
      </c>
      <c r="L5317" s="42" t="n">
        <f aca="false">J5317*K5317</f>
        <v>111.83</v>
      </c>
      <c r="M5317" s="43" t="n">
        <f aca="false">H5317*15.05*(1+'Chart of Accounts'!$E$67)</f>
        <v>72.720095</v>
      </c>
    </row>
    <row r="5318" customFormat="false" ht="15" hidden="false" customHeight="false" outlineLevel="0" collapsed="false">
      <c r="B5318" s="7" t="s">
        <v>5815</v>
      </c>
      <c r="C5318" s="39" t="n">
        <v>45911</v>
      </c>
      <c r="D5318" s="7" t="s">
        <v>349</v>
      </c>
      <c r="E5318" s="7" t="s">
        <v>154</v>
      </c>
      <c r="F5318" s="7" t="s">
        <v>244</v>
      </c>
      <c r="G5318" s="7" t="s">
        <v>505</v>
      </c>
      <c r="H5318" s="6" t="n">
        <v>4.15</v>
      </c>
      <c r="I5318" s="6" t="n">
        <v>0</v>
      </c>
      <c r="J5318" s="40" t="n">
        <f aca="false">H5318-I5318</f>
        <v>4.15</v>
      </c>
      <c r="K5318" s="41" t="n">
        <v>26.5</v>
      </c>
      <c r="L5318" s="42" t="n">
        <f aca="false">J5318*K5318</f>
        <v>109.975</v>
      </c>
      <c r="M5318" s="43" t="n">
        <f aca="false">H5318*16.39*(1+'Chart of Accounts'!$E$67)</f>
        <v>77.8811825</v>
      </c>
    </row>
    <row r="5319" customFormat="false" ht="15" hidden="false" customHeight="false" outlineLevel="0" collapsed="false">
      <c r="B5319" s="7" t="s">
        <v>5816</v>
      </c>
      <c r="C5319" s="39" t="n">
        <v>45911</v>
      </c>
      <c r="D5319" s="7" t="s">
        <v>351</v>
      </c>
      <c r="E5319" s="7" t="s">
        <v>154</v>
      </c>
      <c r="F5319" s="7" t="s">
        <v>201</v>
      </c>
      <c r="G5319" s="7" t="s">
        <v>505</v>
      </c>
      <c r="H5319" s="6" t="n">
        <v>3.12</v>
      </c>
      <c r="I5319" s="6" t="n">
        <v>0</v>
      </c>
      <c r="J5319" s="40" t="n">
        <f aca="false">H5319-I5319</f>
        <v>3.12</v>
      </c>
      <c r="K5319" s="41" t="n">
        <v>26.5</v>
      </c>
      <c r="L5319" s="42" t="n">
        <f aca="false">J5319*K5319</f>
        <v>82.68</v>
      </c>
      <c r="M5319" s="43" t="n">
        <f aca="false">H5319*15.19*(1+'Chart of Accounts'!$E$67)</f>
        <v>54.264756</v>
      </c>
    </row>
    <row r="5320" customFormat="false" ht="15" hidden="false" customHeight="false" outlineLevel="0" collapsed="false">
      <c r="B5320" s="7" t="s">
        <v>5817</v>
      </c>
      <c r="C5320" s="39" t="n">
        <v>45911</v>
      </c>
      <c r="D5320" s="7" t="s">
        <v>359</v>
      </c>
      <c r="E5320" s="7" t="s">
        <v>156</v>
      </c>
      <c r="F5320" s="7" t="s">
        <v>177</v>
      </c>
      <c r="G5320" s="7" t="s">
        <v>505</v>
      </c>
      <c r="H5320" s="6" t="n">
        <v>4.15</v>
      </c>
      <c r="I5320" s="6" t="n">
        <v>0</v>
      </c>
      <c r="J5320" s="40" t="n">
        <f aca="false">H5320-I5320</f>
        <v>4.15</v>
      </c>
      <c r="K5320" s="41" t="n">
        <v>34</v>
      </c>
      <c r="L5320" s="42" t="n">
        <f aca="false">J5320*K5320</f>
        <v>141.1</v>
      </c>
      <c r="M5320" s="43" t="n">
        <f aca="false">H5320*14.56*(1+'Chart of Accounts'!$E$67)</f>
        <v>69.18548</v>
      </c>
    </row>
    <row r="5321" customFormat="false" ht="15" hidden="false" customHeight="false" outlineLevel="0" collapsed="false">
      <c r="B5321" s="7" t="s">
        <v>5818</v>
      </c>
      <c r="C5321" s="39" t="n">
        <v>45911</v>
      </c>
      <c r="D5321" s="7" t="s">
        <v>363</v>
      </c>
      <c r="E5321" s="7" t="s">
        <v>156</v>
      </c>
      <c r="F5321" s="7" t="s">
        <v>246</v>
      </c>
      <c r="G5321" s="7" t="s">
        <v>505</v>
      </c>
      <c r="H5321" s="6" t="n">
        <v>4.1</v>
      </c>
      <c r="I5321" s="6" t="n">
        <v>0</v>
      </c>
      <c r="J5321" s="40" t="n">
        <f aca="false">H5321-I5321</f>
        <v>4.1</v>
      </c>
      <c r="K5321" s="41" t="n">
        <v>34</v>
      </c>
      <c r="L5321" s="42" t="n">
        <f aca="false">J5321*K5321</f>
        <v>139.4</v>
      </c>
      <c r="M5321" s="43" t="n">
        <f aca="false">H5321*16.48*(1+'Chart of Accounts'!$E$67)</f>
        <v>77.36536</v>
      </c>
    </row>
    <row r="5322" customFormat="false" ht="15" hidden="false" customHeight="false" outlineLevel="0" collapsed="false">
      <c r="B5322" s="7" t="s">
        <v>5819</v>
      </c>
      <c r="C5322" s="39" t="n">
        <v>45911</v>
      </c>
      <c r="D5322" s="7" t="s">
        <v>365</v>
      </c>
      <c r="E5322" s="7" t="s">
        <v>154</v>
      </c>
      <c r="F5322" s="7" t="s">
        <v>194</v>
      </c>
      <c r="G5322" s="7" t="s">
        <v>505</v>
      </c>
      <c r="H5322" s="6" t="n">
        <v>4.34</v>
      </c>
      <c r="I5322" s="6" t="n">
        <v>0</v>
      </c>
      <c r="J5322" s="40" t="n">
        <f aca="false">H5322-I5322</f>
        <v>4.34</v>
      </c>
      <c r="K5322" s="41" t="n">
        <v>26.5</v>
      </c>
      <c r="L5322" s="42" t="n">
        <f aca="false">J5322*K5322</f>
        <v>115.01</v>
      </c>
      <c r="M5322" s="43" t="n">
        <f aca="false">H5322*16*(1+'Chart of Accounts'!$E$67)</f>
        <v>79.5088</v>
      </c>
    </row>
    <row r="5323" customFormat="false" ht="15" hidden="false" customHeight="false" outlineLevel="0" collapsed="false">
      <c r="B5323" s="7" t="s">
        <v>5820</v>
      </c>
      <c r="C5323" s="39" t="n">
        <v>45911</v>
      </c>
      <c r="D5323" s="7" t="s">
        <v>375</v>
      </c>
      <c r="E5323" s="7" t="s">
        <v>156</v>
      </c>
      <c r="F5323" s="7" t="s">
        <v>196</v>
      </c>
      <c r="G5323" s="7" t="s">
        <v>505</v>
      </c>
      <c r="H5323" s="6" t="n">
        <v>3.11</v>
      </c>
      <c r="I5323" s="6" t="n">
        <v>0</v>
      </c>
      <c r="J5323" s="40" t="n">
        <f aca="false">H5323-I5323</f>
        <v>3.11</v>
      </c>
      <c r="K5323" s="41" t="n">
        <v>34</v>
      </c>
      <c r="L5323" s="42" t="n">
        <f aca="false">J5323*K5323</f>
        <v>105.74</v>
      </c>
      <c r="M5323" s="43" t="n">
        <f aca="false">H5323*15.05*(1+'Chart of Accounts'!$E$67)</f>
        <v>53.5922975</v>
      </c>
    </row>
    <row r="5324" customFormat="false" ht="15" hidden="false" customHeight="false" outlineLevel="0" collapsed="false">
      <c r="B5324" s="7" t="s">
        <v>5821</v>
      </c>
      <c r="C5324" s="39" t="n">
        <v>45911</v>
      </c>
      <c r="D5324" s="7" t="s">
        <v>377</v>
      </c>
      <c r="E5324" s="7" t="s">
        <v>154</v>
      </c>
      <c r="F5324" s="7" t="s">
        <v>214</v>
      </c>
      <c r="G5324" s="7" t="s">
        <v>505</v>
      </c>
      <c r="H5324" s="6" t="n">
        <v>4.13</v>
      </c>
      <c r="I5324" s="6" t="n">
        <v>0</v>
      </c>
      <c r="J5324" s="40" t="n">
        <f aca="false">H5324-I5324</f>
        <v>4.13</v>
      </c>
      <c r="K5324" s="41" t="n">
        <v>26.5</v>
      </c>
      <c r="L5324" s="42" t="n">
        <f aca="false">J5324*K5324</f>
        <v>109.445</v>
      </c>
      <c r="M5324" s="43" t="n">
        <f aca="false">H5324*15.67*(1+'Chart of Accounts'!$E$67)</f>
        <v>74.1010795</v>
      </c>
    </row>
    <row r="5325" customFormat="false" ht="15" hidden="false" customHeight="false" outlineLevel="0" collapsed="false">
      <c r="B5325" s="7" t="s">
        <v>5822</v>
      </c>
      <c r="C5325" s="39" t="n">
        <v>45911</v>
      </c>
      <c r="D5325" s="7" t="s">
        <v>387</v>
      </c>
      <c r="E5325" s="7" t="s">
        <v>154</v>
      </c>
      <c r="F5325" s="7" t="s">
        <v>196</v>
      </c>
      <c r="G5325" s="7" t="s">
        <v>505</v>
      </c>
      <c r="H5325" s="6" t="n">
        <v>4.23</v>
      </c>
      <c r="I5325" s="6" t="n">
        <v>0</v>
      </c>
      <c r="J5325" s="40" t="n">
        <f aca="false">H5325-I5325</f>
        <v>4.23</v>
      </c>
      <c r="K5325" s="41" t="n">
        <v>26.5</v>
      </c>
      <c r="L5325" s="42" t="n">
        <f aca="false">J5325*K5325</f>
        <v>112.095</v>
      </c>
      <c r="M5325" s="43" t="n">
        <f aca="false">H5325*15.05*(1+'Chart of Accounts'!$E$67)</f>
        <v>72.8924175</v>
      </c>
    </row>
    <row r="5326" customFormat="false" ht="15" hidden="false" customHeight="false" outlineLevel="0" collapsed="false">
      <c r="B5326" s="7" t="s">
        <v>5823</v>
      </c>
      <c r="C5326" s="39" t="n">
        <v>45911</v>
      </c>
      <c r="D5326" s="7" t="s">
        <v>391</v>
      </c>
      <c r="E5326" s="7" t="s">
        <v>156</v>
      </c>
      <c r="F5326" s="7" t="s">
        <v>222</v>
      </c>
      <c r="G5326" s="7" t="s">
        <v>505</v>
      </c>
      <c r="H5326" s="6" t="n">
        <v>4.21</v>
      </c>
      <c r="I5326" s="6" t="n">
        <v>0</v>
      </c>
      <c r="J5326" s="40" t="n">
        <f aca="false">H5326-I5326</f>
        <v>4.21</v>
      </c>
      <c r="K5326" s="41" t="n">
        <v>34</v>
      </c>
      <c r="L5326" s="42" t="n">
        <f aca="false">J5326*K5326</f>
        <v>143.14</v>
      </c>
      <c r="M5326" s="43" t="n">
        <f aca="false">H5326*17.84*(1+'Chart of Accounts'!$E$67)</f>
        <v>85.996828</v>
      </c>
    </row>
    <row r="5327" customFormat="false" ht="15" hidden="false" customHeight="false" outlineLevel="0" collapsed="false">
      <c r="B5327" s="7" t="s">
        <v>5824</v>
      </c>
      <c r="C5327" s="39" t="n">
        <v>45911</v>
      </c>
      <c r="D5327" s="7" t="s">
        <v>395</v>
      </c>
      <c r="E5327" s="7" t="s">
        <v>156</v>
      </c>
      <c r="F5327" s="7" t="s">
        <v>242</v>
      </c>
      <c r="G5327" s="7" t="s">
        <v>505</v>
      </c>
      <c r="H5327" s="6" t="n">
        <v>3.86</v>
      </c>
      <c r="I5327" s="6" t="n">
        <v>0</v>
      </c>
      <c r="J5327" s="40" t="n">
        <f aca="false">H5327-I5327</f>
        <v>3.86</v>
      </c>
      <c r="K5327" s="41" t="n">
        <v>34</v>
      </c>
      <c r="L5327" s="42" t="n">
        <f aca="false">J5327*K5327</f>
        <v>131.24</v>
      </c>
      <c r="M5327" s="43" t="n">
        <f aca="false">H5327*17.99*(1+'Chart of Accounts'!$E$67)</f>
        <v>79.510403</v>
      </c>
    </row>
    <row r="5328" customFormat="false" ht="15" hidden="false" customHeight="false" outlineLevel="0" collapsed="false">
      <c r="B5328" s="7" t="s">
        <v>5825</v>
      </c>
      <c r="C5328" s="39" t="n">
        <v>45911</v>
      </c>
      <c r="D5328" s="7" t="s">
        <v>401</v>
      </c>
      <c r="E5328" s="7" t="s">
        <v>156</v>
      </c>
      <c r="F5328" s="7" t="s">
        <v>254</v>
      </c>
      <c r="G5328" s="7" t="s">
        <v>505</v>
      </c>
      <c r="H5328" s="6" t="n">
        <v>4.34</v>
      </c>
      <c r="I5328" s="6" t="n">
        <v>0</v>
      </c>
      <c r="J5328" s="40" t="n">
        <f aca="false">H5328-I5328</f>
        <v>4.34</v>
      </c>
      <c r="K5328" s="41" t="n">
        <v>34</v>
      </c>
      <c r="L5328" s="42" t="n">
        <f aca="false">J5328*K5328</f>
        <v>147.56</v>
      </c>
      <c r="M5328" s="43" t="n">
        <f aca="false">H5328*17.1*(1+'Chart of Accounts'!$E$67)</f>
        <v>84.97503</v>
      </c>
    </row>
    <row r="5329" customFormat="false" ht="15" hidden="false" customHeight="false" outlineLevel="0" collapsed="false">
      <c r="B5329" s="7" t="s">
        <v>5826</v>
      </c>
      <c r="C5329" s="39" t="n">
        <v>45912</v>
      </c>
      <c r="D5329" s="7" t="s">
        <v>288</v>
      </c>
      <c r="E5329" s="7" t="s">
        <v>156</v>
      </c>
      <c r="F5329" s="7" t="s">
        <v>220</v>
      </c>
      <c r="G5329" s="7" t="s">
        <v>505</v>
      </c>
      <c r="H5329" s="6" t="n">
        <v>4.24</v>
      </c>
      <c r="I5329" s="6" t="n">
        <v>0</v>
      </c>
      <c r="J5329" s="40" t="n">
        <f aca="false">H5329-I5329</f>
        <v>4.24</v>
      </c>
      <c r="K5329" s="41" t="n">
        <v>34</v>
      </c>
      <c r="L5329" s="42" t="n">
        <f aca="false">J5329*K5329</f>
        <v>144.16</v>
      </c>
      <c r="M5329" s="43" t="n">
        <f aca="false">H5329*16.43*(1+'Chart of Accounts'!$E$67)</f>
        <v>79.764364</v>
      </c>
    </row>
    <row r="5330" customFormat="false" ht="15" hidden="false" customHeight="false" outlineLevel="0" collapsed="false">
      <c r="B5330" s="7" t="s">
        <v>5827</v>
      </c>
      <c r="C5330" s="39" t="n">
        <v>45912</v>
      </c>
      <c r="D5330" s="7" t="s">
        <v>291</v>
      </c>
      <c r="E5330" s="7" t="s">
        <v>154</v>
      </c>
      <c r="F5330" s="7" t="s">
        <v>194</v>
      </c>
      <c r="G5330" s="7" t="s">
        <v>505</v>
      </c>
      <c r="H5330" s="6" t="n">
        <v>5.03</v>
      </c>
      <c r="I5330" s="6" t="n">
        <v>0</v>
      </c>
      <c r="J5330" s="40" t="n">
        <f aca="false">H5330-I5330</f>
        <v>5.03</v>
      </c>
      <c r="K5330" s="41" t="n">
        <v>26.5</v>
      </c>
      <c r="L5330" s="42" t="n">
        <f aca="false">J5330*K5330</f>
        <v>133.295</v>
      </c>
      <c r="M5330" s="43" t="n">
        <f aca="false">H5330*16*(1+'Chart of Accounts'!$E$67)</f>
        <v>92.1496</v>
      </c>
    </row>
    <row r="5331" customFormat="false" ht="15" hidden="false" customHeight="false" outlineLevel="0" collapsed="false">
      <c r="B5331" s="7" t="s">
        <v>5828</v>
      </c>
      <c r="C5331" s="39" t="n">
        <v>45912</v>
      </c>
      <c r="D5331" s="7" t="s">
        <v>293</v>
      </c>
      <c r="E5331" s="7" t="s">
        <v>157</v>
      </c>
      <c r="F5331" s="7" t="s">
        <v>198</v>
      </c>
      <c r="G5331" s="7" t="s">
        <v>502</v>
      </c>
      <c r="H5331" s="6" t="n">
        <v>0.91</v>
      </c>
      <c r="I5331" s="6" t="n">
        <v>0.046</v>
      </c>
      <c r="J5331" s="40" t="n">
        <f aca="false">H5331-I5331</f>
        <v>0.864</v>
      </c>
      <c r="K5331" s="41" t="n">
        <v>165</v>
      </c>
      <c r="L5331" s="42" t="n">
        <f aca="false">J5331*K5331</f>
        <v>142.56</v>
      </c>
      <c r="M5331" s="43" t="n">
        <f aca="false">H5331*48.09*(1+'Chart of Accounts'!$E$67)</f>
        <v>50.1073755</v>
      </c>
    </row>
    <row r="5332" customFormat="false" ht="15" hidden="false" customHeight="false" outlineLevel="0" collapsed="false">
      <c r="B5332" s="7" t="s">
        <v>5829</v>
      </c>
      <c r="C5332" s="39" t="n">
        <v>45912</v>
      </c>
      <c r="D5332" s="7" t="s">
        <v>295</v>
      </c>
      <c r="E5332" s="7" t="s">
        <v>154</v>
      </c>
      <c r="F5332" s="7" t="s">
        <v>214</v>
      </c>
      <c r="G5332" s="7" t="s">
        <v>505</v>
      </c>
      <c r="H5332" s="6" t="n">
        <v>3.95</v>
      </c>
      <c r="I5332" s="6" t="n">
        <v>0.118</v>
      </c>
      <c r="J5332" s="40" t="n">
        <f aca="false">H5332-I5332</f>
        <v>3.832</v>
      </c>
      <c r="K5332" s="41" t="n">
        <v>26.5</v>
      </c>
      <c r="L5332" s="42" t="n">
        <f aca="false">J5332*K5332</f>
        <v>101.548</v>
      </c>
      <c r="M5332" s="43" t="n">
        <f aca="false">H5332*15.67*(1+'Chart of Accounts'!$E$67)</f>
        <v>70.8714925</v>
      </c>
    </row>
    <row r="5333" customFormat="false" ht="15" hidden="false" customHeight="false" outlineLevel="0" collapsed="false">
      <c r="B5333" s="7" t="s">
        <v>5830</v>
      </c>
      <c r="C5333" s="39" t="n">
        <v>45912</v>
      </c>
      <c r="D5333" s="7" t="s">
        <v>301</v>
      </c>
      <c r="E5333" s="7" t="s">
        <v>157</v>
      </c>
      <c r="F5333" s="7" t="s">
        <v>209</v>
      </c>
      <c r="G5333" s="7" t="s">
        <v>502</v>
      </c>
      <c r="H5333" s="6" t="n">
        <v>1.02</v>
      </c>
      <c r="I5333" s="6" t="n">
        <v>0</v>
      </c>
      <c r="J5333" s="40" t="n">
        <f aca="false">H5333-I5333</f>
        <v>1.02</v>
      </c>
      <c r="K5333" s="41" t="n">
        <v>165</v>
      </c>
      <c r="L5333" s="42" t="n">
        <f aca="false">J5333*K5333</f>
        <v>168.3</v>
      </c>
      <c r="M5333" s="43" t="n">
        <f aca="false">H5333*73.58*(1+'Chart of Accounts'!$E$67)</f>
        <v>85.934082</v>
      </c>
    </row>
    <row r="5334" customFormat="false" ht="15" hidden="false" customHeight="false" outlineLevel="0" collapsed="false">
      <c r="B5334" s="7" t="s">
        <v>5831</v>
      </c>
      <c r="C5334" s="39" t="n">
        <v>45912</v>
      </c>
      <c r="D5334" s="7" t="s">
        <v>305</v>
      </c>
      <c r="E5334" s="7" t="s">
        <v>154</v>
      </c>
      <c r="F5334" s="7" t="s">
        <v>205</v>
      </c>
      <c r="G5334" s="7" t="s">
        <v>505</v>
      </c>
      <c r="H5334" s="6" t="n">
        <v>4.19</v>
      </c>
      <c r="I5334" s="6" t="n">
        <v>0</v>
      </c>
      <c r="J5334" s="40" t="n">
        <f aca="false">H5334-I5334</f>
        <v>4.19</v>
      </c>
      <c r="K5334" s="41" t="n">
        <v>26.5</v>
      </c>
      <c r="L5334" s="42" t="n">
        <f aca="false">J5334*K5334</f>
        <v>111.035</v>
      </c>
      <c r="M5334" s="43" t="n">
        <f aca="false">H5334*16.36*(1+'Chart of Accounts'!$E$67)</f>
        <v>78.487918</v>
      </c>
    </row>
    <row r="5335" customFormat="false" ht="15" hidden="false" customHeight="false" outlineLevel="0" collapsed="false">
      <c r="B5335" s="7" t="s">
        <v>5832</v>
      </c>
      <c r="C5335" s="39" t="n">
        <v>45912</v>
      </c>
      <c r="D5335" s="7" t="s">
        <v>307</v>
      </c>
      <c r="E5335" s="7" t="s">
        <v>157</v>
      </c>
      <c r="F5335" s="7" t="s">
        <v>264</v>
      </c>
      <c r="G5335" s="7" t="s">
        <v>502</v>
      </c>
      <c r="H5335" s="6" t="n">
        <v>1.08</v>
      </c>
      <c r="I5335" s="6" t="n">
        <v>0</v>
      </c>
      <c r="J5335" s="40" t="n">
        <f aca="false">H5335-I5335</f>
        <v>1.08</v>
      </c>
      <c r="K5335" s="41" t="n">
        <v>165</v>
      </c>
      <c r="L5335" s="42" t="n">
        <f aca="false">J5335*K5335</f>
        <v>178.2</v>
      </c>
      <c r="M5335" s="43" t="n">
        <f aca="false">H5335*55.55*(1+'Chart of Accounts'!$E$67)</f>
        <v>68.69313</v>
      </c>
    </row>
    <row r="5336" customFormat="false" ht="15" hidden="false" customHeight="false" outlineLevel="0" collapsed="false">
      <c r="B5336" s="7" t="s">
        <v>5833</v>
      </c>
      <c r="C5336" s="39" t="n">
        <v>45912</v>
      </c>
      <c r="D5336" s="7" t="s">
        <v>309</v>
      </c>
      <c r="E5336" s="7" t="s">
        <v>159</v>
      </c>
      <c r="F5336" s="7" t="s">
        <v>252</v>
      </c>
      <c r="G5336" s="7" t="s">
        <v>502</v>
      </c>
      <c r="H5336" s="6" t="n">
        <v>0.91</v>
      </c>
      <c r="I5336" s="6" t="n">
        <v>0</v>
      </c>
      <c r="J5336" s="40" t="n">
        <f aca="false">H5336-I5336</f>
        <v>0.91</v>
      </c>
      <c r="K5336" s="41" t="n">
        <v>135</v>
      </c>
      <c r="L5336" s="42" t="n">
        <f aca="false">J5336*K5336</f>
        <v>122.85</v>
      </c>
      <c r="M5336" s="43" t="n">
        <f aca="false">H5336*57.54*(1+'Chart of Accounts'!$E$67)</f>
        <v>59.953803</v>
      </c>
    </row>
    <row r="5337" customFormat="false" ht="15" hidden="false" customHeight="false" outlineLevel="0" collapsed="false">
      <c r="B5337" s="7" t="s">
        <v>5834</v>
      </c>
      <c r="C5337" s="39" t="n">
        <v>45912</v>
      </c>
      <c r="D5337" s="7" t="s">
        <v>313</v>
      </c>
      <c r="E5337" s="7" t="s">
        <v>156</v>
      </c>
      <c r="F5337" s="7" t="s">
        <v>184</v>
      </c>
      <c r="G5337" s="7" t="s">
        <v>505</v>
      </c>
      <c r="H5337" s="6" t="n">
        <v>4.14</v>
      </c>
      <c r="I5337" s="6" t="n">
        <v>0</v>
      </c>
      <c r="J5337" s="40" t="n">
        <f aca="false">H5337-I5337</f>
        <v>4.14</v>
      </c>
      <c r="K5337" s="41" t="n">
        <v>34</v>
      </c>
      <c r="L5337" s="42" t="n">
        <f aca="false">J5337*K5337</f>
        <v>140.76</v>
      </c>
      <c r="M5337" s="43" t="n">
        <f aca="false">H5337*17.34*(1+'Chart of Accounts'!$E$67)</f>
        <v>82.196802</v>
      </c>
    </row>
    <row r="5338" customFormat="false" ht="15" hidden="false" customHeight="false" outlineLevel="0" collapsed="false">
      <c r="B5338" s="7" t="s">
        <v>5835</v>
      </c>
      <c r="C5338" s="39" t="n">
        <v>45912</v>
      </c>
      <c r="D5338" s="7" t="s">
        <v>315</v>
      </c>
      <c r="E5338" s="7" t="s">
        <v>159</v>
      </c>
      <c r="F5338" s="7" t="s">
        <v>216</v>
      </c>
      <c r="G5338" s="7" t="s">
        <v>502</v>
      </c>
      <c r="H5338" s="6" t="n">
        <v>1.04</v>
      </c>
      <c r="I5338" s="6" t="n">
        <v>0</v>
      </c>
      <c r="J5338" s="40" t="n">
        <f aca="false">H5338-I5338</f>
        <v>1.04</v>
      </c>
      <c r="K5338" s="41" t="n">
        <v>135</v>
      </c>
      <c r="L5338" s="42" t="n">
        <f aca="false">J5338*K5338</f>
        <v>140.4</v>
      </c>
      <c r="M5338" s="43" t="n">
        <f aca="false">H5338*61.79*(1+'Chart of Accounts'!$E$67)</f>
        <v>73.579532</v>
      </c>
    </row>
    <row r="5339" customFormat="false" ht="15" hidden="false" customHeight="false" outlineLevel="0" collapsed="false">
      <c r="B5339" s="7" t="s">
        <v>5836</v>
      </c>
      <c r="C5339" s="39" t="n">
        <v>45912</v>
      </c>
      <c r="D5339" s="7" t="s">
        <v>319</v>
      </c>
      <c r="E5339" s="7" t="s">
        <v>157</v>
      </c>
      <c r="F5339" s="7" t="s">
        <v>234</v>
      </c>
      <c r="G5339" s="7" t="s">
        <v>502</v>
      </c>
      <c r="H5339" s="6" t="n">
        <v>0.92</v>
      </c>
      <c r="I5339" s="6" t="n">
        <v>0.046</v>
      </c>
      <c r="J5339" s="40" t="n">
        <f aca="false">H5339-I5339</f>
        <v>0.874</v>
      </c>
      <c r="K5339" s="41" t="n">
        <v>165</v>
      </c>
      <c r="L5339" s="42" t="n">
        <f aca="false">J5339*K5339</f>
        <v>144.21</v>
      </c>
      <c r="M5339" s="43" t="n">
        <f aca="false">H5339*89.53*(1+'Chart of Accounts'!$E$67)</f>
        <v>94.310902</v>
      </c>
    </row>
    <row r="5340" customFormat="false" ht="15" hidden="false" customHeight="false" outlineLevel="0" collapsed="false">
      <c r="B5340" s="7" t="s">
        <v>5837</v>
      </c>
      <c r="C5340" s="39" t="n">
        <v>45912</v>
      </c>
      <c r="D5340" s="7" t="s">
        <v>321</v>
      </c>
      <c r="E5340" s="7" t="s">
        <v>154</v>
      </c>
      <c r="F5340" s="7" t="s">
        <v>218</v>
      </c>
      <c r="G5340" s="7" t="s">
        <v>505</v>
      </c>
      <c r="H5340" s="6" t="n">
        <v>3.63</v>
      </c>
      <c r="I5340" s="6" t="n">
        <v>0.109</v>
      </c>
      <c r="J5340" s="40" t="n">
        <f aca="false">H5340-I5340</f>
        <v>3.521</v>
      </c>
      <c r="K5340" s="41" t="n">
        <v>26.5</v>
      </c>
      <c r="L5340" s="42" t="n">
        <f aca="false">J5340*K5340</f>
        <v>93.3065</v>
      </c>
      <c r="M5340" s="43" t="n">
        <f aca="false">H5340*16.19*(1+'Chart of Accounts'!$E$67)</f>
        <v>67.2913065</v>
      </c>
    </row>
    <row r="5341" customFormat="false" ht="15" hidden="false" customHeight="false" outlineLevel="0" collapsed="false">
      <c r="B5341" s="7" t="s">
        <v>5838</v>
      </c>
      <c r="C5341" s="39" t="n">
        <v>45912</v>
      </c>
      <c r="D5341" s="7" t="s">
        <v>323</v>
      </c>
      <c r="E5341" s="7" t="s">
        <v>159</v>
      </c>
      <c r="F5341" s="7" t="s">
        <v>216</v>
      </c>
      <c r="G5341" s="7" t="s">
        <v>502</v>
      </c>
      <c r="H5341" s="6" t="n">
        <v>1.02</v>
      </c>
      <c r="I5341" s="6" t="n">
        <v>0.071</v>
      </c>
      <c r="J5341" s="40" t="n">
        <f aca="false">H5341-I5341</f>
        <v>0.949</v>
      </c>
      <c r="K5341" s="41" t="n">
        <v>135</v>
      </c>
      <c r="L5341" s="42" t="n">
        <f aca="false">J5341*K5341</f>
        <v>128.115</v>
      </c>
      <c r="M5341" s="43" t="n">
        <f aca="false">H5341*61.79*(1+'Chart of Accounts'!$E$67)</f>
        <v>72.164541</v>
      </c>
    </row>
    <row r="5342" customFormat="false" ht="15" hidden="false" customHeight="false" outlineLevel="0" collapsed="false">
      <c r="B5342" s="7" t="s">
        <v>5839</v>
      </c>
      <c r="C5342" s="39" t="n">
        <v>45912</v>
      </c>
      <c r="D5342" s="7" t="s">
        <v>327</v>
      </c>
      <c r="E5342" s="7" t="s">
        <v>157</v>
      </c>
      <c r="F5342" s="7" t="s">
        <v>228</v>
      </c>
      <c r="G5342" s="7" t="s">
        <v>502</v>
      </c>
      <c r="H5342" s="6" t="n">
        <v>1.01</v>
      </c>
      <c r="I5342" s="6" t="n">
        <v>0</v>
      </c>
      <c r="J5342" s="40" t="n">
        <f aca="false">H5342-I5342</f>
        <v>1.01</v>
      </c>
      <c r="K5342" s="41" t="n">
        <v>165</v>
      </c>
      <c r="L5342" s="42" t="n">
        <f aca="false">J5342*K5342</f>
        <v>166.65</v>
      </c>
      <c r="M5342" s="43" t="n">
        <f aca="false">H5342*51.07*(1+'Chart of Accounts'!$E$67)</f>
        <v>59.0599015</v>
      </c>
    </row>
    <row r="5343" customFormat="false" ht="15" hidden="false" customHeight="false" outlineLevel="0" collapsed="false">
      <c r="B5343" s="7" t="s">
        <v>5840</v>
      </c>
      <c r="C5343" s="39" t="n">
        <v>45912</v>
      </c>
      <c r="D5343" s="7" t="s">
        <v>329</v>
      </c>
      <c r="E5343" s="7" t="s">
        <v>156</v>
      </c>
      <c r="F5343" s="7" t="s">
        <v>220</v>
      </c>
      <c r="G5343" s="7" t="s">
        <v>505</v>
      </c>
      <c r="H5343" s="6" t="n">
        <v>4.36</v>
      </c>
      <c r="I5343" s="6" t="n">
        <v>0</v>
      </c>
      <c r="J5343" s="40" t="n">
        <f aca="false">H5343-I5343</f>
        <v>4.36</v>
      </c>
      <c r="K5343" s="41" t="n">
        <v>34</v>
      </c>
      <c r="L5343" s="42" t="n">
        <f aca="false">J5343*K5343</f>
        <v>148.24</v>
      </c>
      <c r="M5343" s="43" t="n">
        <f aca="false">H5343*16.43*(1+'Chart of Accounts'!$E$67)</f>
        <v>82.021846</v>
      </c>
    </row>
    <row r="5344" customFormat="false" ht="15" hidden="false" customHeight="false" outlineLevel="0" collapsed="false">
      <c r="B5344" s="7" t="s">
        <v>5841</v>
      </c>
      <c r="C5344" s="39" t="n">
        <v>45912</v>
      </c>
      <c r="D5344" s="7" t="s">
        <v>335</v>
      </c>
      <c r="E5344" s="7" t="s">
        <v>154</v>
      </c>
      <c r="F5344" s="7" t="s">
        <v>177</v>
      </c>
      <c r="G5344" s="7" t="s">
        <v>505</v>
      </c>
      <c r="H5344" s="6" t="n">
        <v>4.09</v>
      </c>
      <c r="I5344" s="6" t="n">
        <v>0</v>
      </c>
      <c r="J5344" s="40" t="n">
        <f aca="false">H5344-I5344</f>
        <v>4.09</v>
      </c>
      <c r="K5344" s="41" t="n">
        <v>26.5</v>
      </c>
      <c r="L5344" s="42" t="n">
        <f aca="false">J5344*K5344</f>
        <v>108.385</v>
      </c>
      <c r="M5344" s="43" t="n">
        <f aca="false">H5344*14.56*(1+'Chart of Accounts'!$E$67)</f>
        <v>68.185208</v>
      </c>
    </row>
    <row r="5345" customFormat="false" ht="15" hidden="false" customHeight="false" outlineLevel="0" collapsed="false">
      <c r="B5345" s="7" t="s">
        <v>5842</v>
      </c>
      <c r="C5345" s="39" t="n">
        <v>45912</v>
      </c>
      <c r="D5345" s="7" t="s">
        <v>339</v>
      </c>
      <c r="E5345" s="7" t="s">
        <v>154</v>
      </c>
      <c r="F5345" s="7" t="s">
        <v>242</v>
      </c>
      <c r="G5345" s="7" t="s">
        <v>505</v>
      </c>
      <c r="H5345" s="6" t="n">
        <v>3.24</v>
      </c>
      <c r="I5345" s="6" t="n">
        <v>0</v>
      </c>
      <c r="J5345" s="40" t="n">
        <f aca="false">H5345-I5345</f>
        <v>3.24</v>
      </c>
      <c r="K5345" s="41" t="n">
        <v>26.5</v>
      </c>
      <c r="L5345" s="42" t="n">
        <f aca="false">J5345*K5345</f>
        <v>85.86</v>
      </c>
      <c r="M5345" s="43" t="n">
        <f aca="false">H5345*17.99*(1+'Chart of Accounts'!$E$67)</f>
        <v>66.739302</v>
      </c>
    </row>
    <row r="5346" customFormat="false" ht="15" hidden="false" customHeight="false" outlineLevel="0" collapsed="false">
      <c r="B5346" s="7" t="s">
        <v>5843</v>
      </c>
      <c r="C5346" s="39" t="n">
        <v>45912</v>
      </c>
      <c r="D5346" s="7" t="s">
        <v>347</v>
      </c>
      <c r="E5346" s="7" t="s">
        <v>154</v>
      </c>
      <c r="F5346" s="7" t="s">
        <v>238</v>
      </c>
      <c r="G5346" s="7" t="s">
        <v>505</v>
      </c>
      <c r="H5346" s="6" t="n">
        <v>4.55</v>
      </c>
      <c r="I5346" s="6" t="n">
        <v>0.136</v>
      </c>
      <c r="J5346" s="40" t="n">
        <f aca="false">H5346-I5346</f>
        <v>4.414</v>
      </c>
      <c r="K5346" s="41" t="n">
        <v>26.5</v>
      </c>
      <c r="L5346" s="42" t="n">
        <f aca="false">J5346*K5346</f>
        <v>116.971</v>
      </c>
      <c r="M5346" s="43" t="n">
        <f aca="false">H5346*15.85*(1+'Chart of Accounts'!$E$67)</f>
        <v>82.5745375</v>
      </c>
    </row>
    <row r="5347" customFormat="false" ht="15" hidden="false" customHeight="false" outlineLevel="0" collapsed="false">
      <c r="B5347" s="7" t="s">
        <v>5844</v>
      </c>
      <c r="C5347" s="39" t="n">
        <v>45912</v>
      </c>
      <c r="D5347" s="7" t="s">
        <v>349</v>
      </c>
      <c r="E5347" s="7" t="s">
        <v>154</v>
      </c>
      <c r="F5347" s="7" t="s">
        <v>244</v>
      </c>
      <c r="G5347" s="7" t="s">
        <v>505</v>
      </c>
      <c r="H5347" s="6" t="n">
        <v>3.89</v>
      </c>
      <c r="I5347" s="6" t="n">
        <v>0.117</v>
      </c>
      <c r="J5347" s="40" t="n">
        <f aca="false">H5347-I5347</f>
        <v>3.773</v>
      </c>
      <c r="K5347" s="41" t="n">
        <v>26.5</v>
      </c>
      <c r="L5347" s="42" t="n">
        <f aca="false">J5347*K5347</f>
        <v>99.9845</v>
      </c>
      <c r="M5347" s="43" t="n">
        <f aca="false">H5347*16.39*(1+'Chart of Accounts'!$E$67)</f>
        <v>73.0018795</v>
      </c>
    </row>
    <row r="5348" customFormat="false" ht="15" hidden="false" customHeight="false" outlineLevel="0" collapsed="false">
      <c r="B5348" s="7" t="s">
        <v>5845</v>
      </c>
      <c r="C5348" s="39" t="n">
        <v>45912</v>
      </c>
      <c r="D5348" s="7" t="s">
        <v>353</v>
      </c>
      <c r="E5348" s="7" t="s">
        <v>154</v>
      </c>
      <c r="F5348" s="7" t="s">
        <v>254</v>
      </c>
      <c r="G5348" s="7" t="s">
        <v>505</v>
      </c>
      <c r="H5348" s="6" t="n">
        <v>3.64</v>
      </c>
      <c r="I5348" s="6" t="n">
        <v>0</v>
      </c>
      <c r="J5348" s="40" t="n">
        <f aca="false">H5348-I5348</f>
        <v>3.64</v>
      </c>
      <c r="K5348" s="41" t="n">
        <v>26.5</v>
      </c>
      <c r="L5348" s="42" t="n">
        <f aca="false">J5348*K5348</f>
        <v>96.46</v>
      </c>
      <c r="M5348" s="43" t="n">
        <f aca="false">H5348*17.1*(1+'Chart of Accounts'!$E$67)</f>
        <v>71.26938</v>
      </c>
    </row>
    <row r="5349" customFormat="false" ht="15" hidden="false" customHeight="false" outlineLevel="0" collapsed="false">
      <c r="B5349" s="7" t="s">
        <v>5846</v>
      </c>
      <c r="C5349" s="39" t="n">
        <v>45912</v>
      </c>
      <c r="D5349" s="7" t="s">
        <v>355</v>
      </c>
      <c r="E5349" s="7" t="s">
        <v>154</v>
      </c>
      <c r="F5349" s="7" t="s">
        <v>201</v>
      </c>
      <c r="G5349" s="7" t="s">
        <v>505</v>
      </c>
      <c r="H5349" s="6" t="n">
        <v>3.43</v>
      </c>
      <c r="I5349" s="6" t="n">
        <v>0</v>
      </c>
      <c r="J5349" s="40" t="n">
        <f aca="false">H5349-I5349</f>
        <v>3.43</v>
      </c>
      <c r="K5349" s="41" t="n">
        <v>26.5</v>
      </c>
      <c r="L5349" s="42" t="n">
        <f aca="false">J5349*K5349</f>
        <v>90.895</v>
      </c>
      <c r="M5349" s="43" t="n">
        <f aca="false">H5349*15.19*(1+'Chart of Accounts'!$E$67)</f>
        <v>59.6564465</v>
      </c>
    </row>
    <row r="5350" customFormat="false" ht="15" hidden="false" customHeight="false" outlineLevel="0" collapsed="false">
      <c r="B5350" s="7" t="s">
        <v>5847</v>
      </c>
      <c r="C5350" s="39" t="n">
        <v>45912</v>
      </c>
      <c r="D5350" s="7" t="s">
        <v>357</v>
      </c>
      <c r="E5350" s="7" t="s">
        <v>154</v>
      </c>
      <c r="F5350" s="7" t="s">
        <v>184</v>
      </c>
      <c r="G5350" s="7" t="s">
        <v>505</v>
      </c>
      <c r="H5350" s="6" t="n">
        <v>3.61</v>
      </c>
      <c r="I5350" s="6" t="n">
        <v>0.108</v>
      </c>
      <c r="J5350" s="40" t="n">
        <f aca="false">H5350-I5350</f>
        <v>3.502</v>
      </c>
      <c r="K5350" s="41" t="n">
        <v>26.5</v>
      </c>
      <c r="L5350" s="42" t="n">
        <f aca="false">J5350*K5350</f>
        <v>92.803</v>
      </c>
      <c r="M5350" s="43" t="n">
        <f aca="false">H5350*17.34*(1+'Chart of Accounts'!$E$67)</f>
        <v>71.674023</v>
      </c>
    </row>
    <row r="5351" customFormat="false" ht="15" hidden="false" customHeight="false" outlineLevel="0" collapsed="false">
      <c r="B5351" s="7" t="s">
        <v>5848</v>
      </c>
      <c r="C5351" s="39" t="n">
        <v>45912</v>
      </c>
      <c r="D5351" s="7" t="s">
        <v>359</v>
      </c>
      <c r="E5351" s="7" t="s">
        <v>156</v>
      </c>
      <c r="F5351" s="7" t="s">
        <v>220</v>
      </c>
      <c r="G5351" s="7" t="s">
        <v>505</v>
      </c>
      <c r="H5351" s="6" t="n">
        <v>3.91</v>
      </c>
      <c r="I5351" s="6" t="n">
        <v>0</v>
      </c>
      <c r="J5351" s="40" t="n">
        <f aca="false">H5351-I5351</f>
        <v>3.91</v>
      </c>
      <c r="K5351" s="41" t="n">
        <v>34</v>
      </c>
      <c r="L5351" s="42" t="n">
        <f aca="false">J5351*K5351</f>
        <v>132.94</v>
      </c>
      <c r="M5351" s="43" t="n">
        <f aca="false">H5351*16.43*(1+'Chart of Accounts'!$E$67)</f>
        <v>73.5562885</v>
      </c>
    </row>
    <row r="5352" customFormat="false" ht="15" hidden="false" customHeight="false" outlineLevel="0" collapsed="false">
      <c r="B5352" s="7" t="s">
        <v>5849</v>
      </c>
      <c r="C5352" s="39" t="n">
        <v>45912</v>
      </c>
      <c r="D5352" s="7" t="s">
        <v>361</v>
      </c>
      <c r="E5352" s="7" t="s">
        <v>157</v>
      </c>
      <c r="F5352" s="7" t="s">
        <v>209</v>
      </c>
      <c r="G5352" s="7" t="s">
        <v>502</v>
      </c>
      <c r="H5352" s="6" t="n">
        <v>1.04</v>
      </c>
      <c r="I5352" s="6" t="n">
        <v>0</v>
      </c>
      <c r="J5352" s="40" t="n">
        <f aca="false">H5352-I5352</f>
        <v>1.04</v>
      </c>
      <c r="K5352" s="41" t="n">
        <v>165</v>
      </c>
      <c r="L5352" s="42" t="n">
        <f aca="false">J5352*K5352</f>
        <v>171.6</v>
      </c>
      <c r="M5352" s="43" t="n">
        <f aca="false">H5352*73.58*(1+'Chart of Accounts'!$E$67)</f>
        <v>87.619064</v>
      </c>
    </row>
    <row r="5353" customFormat="false" ht="15" hidden="false" customHeight="false" outlineLevel="0" collapsed="false">
      <c r="B5353" s="7" t="s">
        <v>5850</v>
      </c>
      <c r="C5353" s="39" t="n">
        <v>45912</v>
      </c>
      <c r="D5353" s="7" t="s">
        <v>365</v>
      </c>
      <c r="E5353" s="7" t="s">
        <v>154</v>
      </c>
      <c r="F5353" s="7" t="s">
        <v>194</v>
      </c>
      <c r="G5353" s="7" t="s">
        <v>505</v>
      </c>
      <c r="H5353" s="6" t="n">
        <v>3.81</v>
      </c>
      <c r="I5353" s="6" t="n">
        <v>0</v>
      </c>
      <c r="J5353" s="40" t="n">
        <f aca="false">H5353-I5353</f>
        <v>3.81</v>
      </c>
      <c r="K5353" s="41" t="n">
        <v>26.5</v>
      </c>
      <c r="L5353" s="42" t="n">
        <f aca="false">J5353*K5353</f>
        <v>100.965</v>
      </c>
      <c r="M5353" s="43" t="n">
        <f aca="false">H5353*16*(1+'Chart of Accounts'!$E$67)</f>
        <v>69.7992</v>
      </c>
    </row>
    <row r="5354" customFormat="false" ht="15" hidden="false" customHeight="false" outlineLevel="0" collapsed="false">
      <c r="B5354" s="7" t="s">
        <v>5851</v>
      </c>
      <c r="C5354" s="39" t="n">
        <v>45912</v>
      </c>
      <c r="D5354" s="7" t="s">
        <v>369</v>
      </c>
      <c r="E5354" s="7" t="s">
        <v>159</v>
      </c>
      <c r="F5354" s="7" t="s">
        <v>258</v>
      </c>
      <c r="G5354" s="7" t="s">
        <v>502</v>
      </c>
      <c r="H5354" s="6" t="n">
        <v>1.09</v>
      </c>
      <c r="I5354" s="6" t="n">
        <v>0</v>
      </c>
      <c r="J5354" s="40" t="n">
        <f aca="false">H5354-I5354</f>
        <v>1.09</v>
      </c>
      <c r="K5354" s="41" t="n">
        <v>135</v>
      </c>
      <c r="L5354" s="42" t="n">
        <f aca="false">J5354*K5354</f>
        <v>147.15</v>
      </c>
      <c r="M5354" s="43" t="n">
        <f aca="false">H5354*61.61*(1+'Chart of Accounts'!$E$67)</f>
        <v>76.8923605</v>
      </c>
    </row>
    <row r="5355" customFormat="false" ht="15" hidden="false" customHeight="false" outlineLevel="0" collapsed="false">
      <c r="B5355" s="7" t="s">
        <v>5852</v>
      </c>
      <c r="C5355" s="39" t="n">
        <v>45912</v>
      </c>
      <c r="D5355" s="7" t="s">
        <v>371</v>
      </c>
      <c r="E5355" s="7" t="s">
        <v>154</v>
      </c>
      <c r="F5355" s="7" t="s">
        <v>232</v>
      </c>
      <c r="G5355" s="7" t="s">
        <v>505</v>
      </c>
      <c r="H5355" s="6" t="n">
        <v>4.47</v>
      </c>
      <c r="I5355" s="6" t="n">
        <v>0</v>
      </c>
      <c r="J5355" s="40" t="n">
        <f aca="false">H5355-I5355</f>
        <v>4.47</v>
      </c>
      <c r="K5355" s="41" t="n">
        <v>26.5</v>
      </c>
      <c r="L5355" s="42" t="n">
        <f aca="false">J5355*K5355</f>
        <v>118.455</v>
      </c>
      <c r="M5355" s="43" t="n">
        <f aca="false">H5355*16.17*(1+'Chart of Accounts'!$E$67)</f>
        <v>82.7604855</v>
      </c>
    </row>
    <row r="5356" customFormat="false" ht="15" hidden="false" customHeight="false" outlineLevel="0" collapsed="false">
      <c r="B5356" s="7" t="s">
        <v>5853</v>
      </c>
      <c r="C5356" s="39" t="n">
        <v>45912</v>
      </c>
      <c r="D5356" s="7" t="s">
        <v>379</v>
      </c>
      <c r="E5356" s="7" t="s">
        <v>156</v>
      </c>
      <c r="F5356" s="7" t="s">
        <v>224</v>
      </c>
      <c r="G5356" s="7" t="s">
        <v>505</v>
      </c>
      <c r="H5356" s="6" t="n">
        <v>4.55</v>
      </c>
      <c r="I5356" s="6" t="n">
        <v>0</v>
      </c>
      <c r="J5356" s="40" t="n">
        <f aca="false">H5356-I5356</f>
        <v>4.55</v>
      </c>
      <c r="K5356" s="41" t="n">
        <v>34</v>
      </c>
      <c r="L5356" s="42" t="n">
        <f aca="false">J5356*K5356</f>
        <v>154.7</v>
      </c>
      <c r="M5356" s="43" t="n">
        <f aca="false">H5356*14.93*(1+'Chart of Accounts'!$E$67)</f>
        <v>77.7815675</v>
      </c>
    </row>
    <row r="5357" customFormat="false" ht="15" hidden="false" customHeight="false" outlineLevel="0" collapsed="false">
      <c r="B5357" s="7" t="s">
        <v>5854</v>
      </c>
      <c r="C5357" s="39" t="n">
        <v>45912</v>
      </c>
      <c r="D5357" s="7" t="s">
        <v>381</v>
      </c>
      <c r="E5357" s="7" t="s">
        <v>157</v>
      </c>
      <c r="F5357" s="7" t="s">
        <v>234</v>
      </c>
      <c r="G5357" s="7" t="s">
        <v>502</v>
      </c>
      <c r="H5357" s="6" t="n">
        <v>1</v>
      </c>
      <c r="I5357" s="6" t="n">
        <v>0</v>
      </c>
      <c r="J5357" s="40" t="n">
        <f aca="false">H5357-I5357</f>
        <v>1</v>
      </c>
      <c r="K5357" s="41" t="n">
        <v>165</v>
      </c>
      <c r="L5357" s="42" t="n">
        <f aca="false">J5357*K5357</f>
        <v>165</v>
      </c>
      <c r="M5357" s="43" t="n">
        <f aca="false">H5357*89.53*(1+'Chart of Accounts'!$E$67)</f>
        <v>102.51185</v>
      </c>
    </row>
    <row r="5358" customFormat="false" ht="15" hidden="false" customHeight="false" outlineLevel="0" collapsed="false">
      <c r="B5358" s="7" t="s">
        <v>5855</v>
      </c>
      <c r="C5358" s="39" t="n">
        <v>45912</v>
      </c>
      <c r="D5358" s="7" t="s">
        <v>383</v>
      </c>
      <c r="E5358" s="7" t="s">
        <v>157</v>
      </c>
      <c r="F5358" s="7" t="s">
        <v>230</v>
      </c>
      <c r="G5358" s="7" t="s">
        <v>502</v>
      </c>
      <c r="H5358" s="6" t="n">
        <v>0.93</v>
      </c>
      <c r="I5358" s="6" t="n">
        <v>0</v>
      </c>
      <c r="J5358" s="40" t="n">
        <f aca="false">H5358-I5358</f>
        <v>0.93</v>
      </c>
      <c r="K5358" s="41" t="n">
        <v>165</v>
      </c>
      <c r="L5358" s="42" t="n">
        <f aca="false">J5358*K5358</f>
        <v>153.45</v>
      </c>
      <c r="M5358" s="43" t="n">
        <f aca="false">H5358*48.78*(1+'Chart of Accounts'!$E$67)</f>
        <v>51.943383</v>
      </c>
    </row>
    <row r="5359" customFormat="false" ht="15" hidden="false" customHeight="false" outlineLevel="0" collapsed="false">
      <c r="B5359" s="7" t="s">
        <v>5856</v>
      </c>
      <c r="C5359" s="39" t="n">
        <v>45912</v>
      </c>
      <c r="D5359" s="7" t="s">
        <v>385</v>
      </c>
      <c r="E5359" s="7" t="s">
        <v>156</v>
      </c>
      <c r="F5359" s="7" t="s">
        <v>238</v>
      </c>
      <c r="G5359" s="7" t="s">
        <v>505</v>
      </c>
      <c r="H5359" s="6" t="n">
        <v>4.11</v>
      </c>
      <c r="I5359" s="6" t="n">
        <v>0</v>
      </c>
      <c r="J5359" s="40" t="n">
        <f aca="false">H5359-I5359</f>
        <v>4.11</v>
      </c>
      <c r="K5359" s="41" t="n">
        <v>34</v>
      </c>
      <c r="L5359" s="42" t="n">
        <f aca="false">J5359*K5359</f>
        <v>139.74</v>
      </c>
      <c r="M5359" s="43" t="n">
        <f aca="false">H5359*15.85*(1+'Chart of Accounts'!$E$67)</f>
        <v>74.5893075</v>
      </c>
    </row>
    <row r="5360" customFormat="false" ht="15" hidden="false" customHeight="false" outlineLevel="0" collapsed="false">
      <c r="B5360" s="7" t="s">
        <v>5857</v>
      </c>
      <c r="C5360" s="39" t="n">
        <v>45912</v>
      </c>
      <c r="D5360" s="7" t="s">
        <v>387</v>
      </c>
      <c r="E5360" s="7" t="s">
        <v>154</v>
      </c>
      <c r="F5360" s="7" t="s">
        <v>196</v>
      </c>
      <c r="G5360" s="7" t="s">
        <v>505</v>
      </c>
      <c r="H5360" s="6" t="n">
        <v>3.77</v>
      </c>
      <c r="I5360" s="6" t="n">
        <v>0</v>
      </c>
      <c r="J5360" s="40" t="n">
        <f aca="false">H5360-I5360</f>
        <v>3.77</v>
      </c>
      <c r="K5360" s="41" t="n">
        <v>26.5</v>
      </c>
      <c r="L5360" s="42" t="n">
        <f aca="false">J5360*K5360</f>
        <v>99.905</v>
      </c>
      <c r="M5360" s="43" t="n">
        <f aca="false">H5360*15.05*(1+'Chart of Accounts'!$E$67)</f>
        <v>64.9655825</v>
      </c>
    </row>
    <row r="5361" customFormat="false" ht="15" hidden="false" customHeight="false" outlineLevel="0" collapsed="false">
      <c r="B5361" s="7" t="s">
        <v>5858</v>
      </c>
      <c r="C5361" s="39" t="n">
        <v>45912</v>
      </c>
      <c r="D5361" s="7" t="s">
        <v>389</v>
      </c>
      <c r="E5361" s="7" t="s">
        <v>154</v>
      </c>
      <c r="F5361" s="7" t="s">
        <v>246</v>
      </c>
      <c r="G5361" s="7" t="s">
        <v>505</v>
      </c>
      <c r="H5361" s="6" t="n">
        <v>4.32</v>
      </c>
      <c r="I5361" s="6" t="n">
        <v>0.13</v>
      </c>
      <c r="J5361" s="40" t="n">
        <f aca="false">H5361-I5361</f>
        <v>4.19</v>
      </c>
      <c r="K5361" s="41" t="n">
        <v>26.5</v>
      </c>
      <c r="L5361" s="42" t="n">
        <f aca="false">J5361*K5361</f>
        <v>111.035</v>
      </c>
      <c r="M5361" s="43" t="n">
        <f aca="false">H5361*16.48*(1+'Chart of Accounts'!$E$67)</f>
        <v>81.516672</v>
      </c>
    </row>
    <row r="5362" customFormat="false" ht="15" hidden="false" customHeight="false" outlineLevel="0" collapsed="false">
      <c r="B5362" s="7" t="s">
        <v>5859</v>
      </c>
      <c r="C5362" s="39" t="n">
        <v>45912</v>
      </c>
      <c r="D5362" s="7" t="s">
        <v>391</v>
      </c>
      <c r="E5362" s="7" t="s">
        <v>156</v>
      </c>
      <c r="F5362" s="7" t="s">
        <v>222</v>
      </c>
      <c r="G5362" s="7" t="s">
        <v>505</v>
      </c>
      <c r="H5362" s="6" t="n">
        <v>4.03</v>
      </c>
      <c r="I5362" s="6" t="n">
        <v>0</v>
      </c>
      <c r="J5362" s="40" t="n">
        <f aca="false">H5362-I5362</f>
        <v>4.03</v>
      </c>
      <c r="K5362" s="41" t="n">
        <v>34</v>
      </c>
      <c r="L5362" s="42" t="n">
        <f aca="false">J5362*K5362</f>
        <v>137.02</v>
      </c>
      <c r="M5362" s="43" t="n">
        <f aca="false">H5362*17.84*(1+'Chart of Accounts'!$E$67)</f>
        <v>82.320004</v>
      </c>
    </row>
    <row r="5363" customFormat="false" ht="15" hidden="false" customHeight="false" outlineLevel="0" collapsed="false">
      <c r="B5363" s="7" t="s">
        <v>5860</v>
      </c>
      <c r="C5363" s="39" t="n">
        <v>45912</v>
      </c>
      <c r="D5363" s="7" t="s">
        <v>395</v>
      </c>
      <c r="E5363" s="7" t="s">
        <v>156</v>
      </c>
      <c r="F5363" s="7" t="s">
        <v>242</v>
      </c>
      <c r="G5363" s="7" t="s">
        <v>505</v>
      </c>
      <c r="H5363" s="6" t="n">
        <v>3.75</v>
      </c>
      <c r="I5363" s="6" t="n">
        <v>0</v>
      </c>
      <c r="J5363" s="40" t="n">
        <f aca="false">H5363-I5363</f>
        <v>3.75</v>
      </c>
      <c r="K5363" s="41" t="n">
        <v>34</v>
      </c>
      <c r="L5363" s="42" t="n">
        <f aca="false">J5363*K5363</f>
        <v>127.5</v>
      </c>
      <c r="M5363" s="43" t="n">
        <f aca="false">H5363*17.99*(1+'Chart of Accounts'!$E$67)</f>
        <v>77.2445625</v>
      </c>
    </row>
    <row r="5364" customFormat="false" ht="15" hidden="false" customHeight="false" outlineLevel="0" collapsed="false">
      <c r="B5364" s="7" t="s">
        <v>5861</v>
      </c>
      <c r="C5364" s="39" t="n">
        <v>45912</v>
      </c>
      <c r="D5364" s="7" t="s">
        <v>397</v>
      </c>
      <c r="E5364" s="7" t="s">
        <v>159</v>
      </c>
      <c r="F5364" s="7" t="s">
        <v>203</v>
      </c>
      <c r="G5364" s="7" t="s">
        <v>502</v>
      </c>
      <c r="H5364" s="6" t="n">
        <v>0.93</v>
      </c>
      <c r="I5364" s="6" t="n">
        <v>0</v>
      </c>
      <c r="J5364" s="40" t="n">
        <f aca="false">H5364-I5364</f>
        <v>0.93</v>
      </c>
      <c r="K5364" s="41" t="n">
        <v>135</v>
      </c>
      <c r="L5364" s="42" t="n">
        <f aca="false">J5364*K5364</f>
        <v>125.55</v>
      </c>
      <c r="M5364" s="43" t="n">
        <f aca="false">H5364*49.43*(1+'Chart of Accounts'!$E$67)</f>
        <v>52.6355355</v>
      </c>
    </row>
    <row r="5365" customFormat="false" ht="15" hidden="false" customHeight="false" outlineLevel="0" collapsed="false">
      <c r="B5365" s="7" t="s">
        <v>5862</v>
      </c>
      <c r="C5365" s="39" t="n">
        <v>45912</v>
      </c>
      <c r="D5365" s="7" t="s">
        <v>399</v>
      </c>
      <c r="E5365" s="7" t="s">
        <v>154</v>
      </c>
      <c r="F5365" s="7" t="s">
        <v>184</v>
      </c>
      <c r="G5365" s="7" t="s">
        <v>505</v>
      </c>
      <c r="H5365" s="6" t="n">
        <v>3.57</v>
      </c>
      <c r="I5365" s="6" t="n">
        <v>0</v>
      </c>
      <c r="J5365" s="40" t="n">
        <f aca="false">H5365-I5365</f>
        <v>3.57</v>
      </c>
      <c r="K5365" s="41" t="n">
        <v>26.5</v>
      </c>
      <c r="L5365" s="42" t="n">
        <f aca="false">J5365*K5365</f>
        <v>94.605</v>
      </c>
      <c r="M5365" s="43" t="n">
        <f aca="false">H5365*17.34*(1+'Chart of Accounts'!$E$67)</f>
        <v>70.879851</v>
      </c>
    </row>
    <row r="5366" customFormat="false" ht="15" hidden="false" customHeight="false" outlineLevel="0" collapsed="false">
      <c r="B5366" s="7" t="s">
        <v>5863</v>
      </c>
      <c r="C5366" s="39" t="n">
        <v>45912</v>
      </c>
      <c r="D5366" s="7" t="s">
        <v>401</v>
      </c>
      <c r="E5366" s="7" t="s">
        <v>156</v>
      </c>
      <c r="F5366" s="7" t="s">
        <v>254</v>
      </c>
      <c r="G5366" s="7" t="s">
        <v>505</v>
      </c>
      <c r="H5366" s="6" t="n">
        <v>4.11</v>
      </c>
      <c r="I5366" s="6" t="n">
        <v>0</v>
      </c>
      <c r="J5366" s="40" t="n">
        <f aca="false">H5366-I5366</f>
        <v>4.11</v>
      </c>
      <c r="K5366" s="41" t="n">
        <v>34</v>
      </c>
      <c r="L5366" s="42" t="n">
        <f aca="false">J5366*K5366</f>
        <v>139.74</v>
      </c>
      <c r="M5366" s="43" t="n">
        <f aca="false">H5366*17.1*(1+'Chart of Accounts'!$E$67)</f>
        <v>80.471745</v>
      </c>
    </row>
    <row r="5367" customFormat="false" ht="15" hidden="false" customHeight="false" outlineLevel="0" collapsed="false">
      <c r="B5367" s="7" t="s">
        <v>5864</v>
      </c>
      <c r="C5367" s="39" t="n">
        <v>45912</v>
      </c>
      <c r="D5367" s="7" t="s">
        <v>403</v>
      </c>
      <c r="E5367" s="7" t="s">
        <v>156</v>
      </c>
      <c r="F5367" s="7" t="s">
        <v>184</v>
      </c>
      <c r="G5367" s="7" t="s">
        <v>505</v>
      </c>
      <c r="H5367" s="6" t="n">
        <v>3.64</v>
      </c>
      <c r="I5367" s="6" t="n">
        <v>0</v>
      </c>
      <c r="J5367" s="40" t="n">
        <f aca="false">H5367-I5367</f>
        <v>3.64</v>
      </c>
      <c r="K5367" s="41" t="n">
        <v>34</v>
      </c>
      <c r="L5367" s="42" t="n">
        <f aca="false">J5367*K5367</f>
        <v>123.76</v>
      </c>
      <c r="M5367" s="43" t="n">
        <f aca="false">H5367*17.34*(1+'Chart of Accounts'!$E$67)</f>
        <v>72.269652</v>
      </c>
    </row>
    <row r="5368" customFormat="false" ht="15" hidden="false" customHeight="false" outlineLevel="0" collapsed="false">
      <c r="B5368" s="7" t="s">
        <v>5865</v>
      </c>
      <c r="C5368" s="39" t="n">
        <v>45912</v>
      </c>
      <c r="D5368" s="7" t="s">
        <v>407</v>
      </c>
      <c r="E5368" s="7" t="s">
        <v>159</v>
      </c>
      <c r="F5368" s="7" t="s">
        <v>260</v>
      </c>
      <c r="G5368" s="7" t="s">
        <v>502</v>
      </c>
      <c r="H5368" s="6" t="n">
        <v>1.09</v>
      </c>
      <c r="I5368" s="6" t="n">
        <v>0</v>
      </c>
      <c r="J5368" s="40" t="n">
        <f aca="false">H5368-I5368</f>
        <v>1.09</v>
      </c>
      <c r="K5368" s="41" t="n">
        <v>135</v>
      </c>
      <c r="L5368" s="42" t="n">
        <f aca="false">J5368*K5368</f>
        <v>147.15</v>
      </c>
      <c r="M5368" s="43" t="n">
        <f aca="false">H5368*79.8*(1+'Chart of Accounts'!$E$67)</f>
        <v>99.59439</v>
      </c>
    </row>
    <row r="5369" customFormat="false" ht="15" hidden="false" customHeight="false" outlineLevel="0" collapsed="false">
      <c r="B5369" s="7" t="s">
        <v>5866</v>
      </c>
      <c r="C5369" s="39" t="n">
        <v>45912</v>
      </c>
      <c r="D5369" s="7" t="s">
        <v>411</v>
      </c>
      <c r="E5369" s="7" t="s">
        <v>154</v>
      </c>
      <c r="F5369" s="7" t="s">
        <v>177</v>
      </c>
      <c r="G5369" s="7" t="s">
        <v>505</v>
      </c>
      <c r="H5369" s="6" t="n">
        <v>4.28</v>
      </c>
      <c r="I5369" s="6" t="n">
        <v>0</v>
      </c>
      <c r="J5369" s="40" t="n">
        <f aca="false">H5369-I5369</f>
        <v>4.28</v>
      </c>
      <c r="K5369" s="41" t="n">
        <v>26.5</v>
      </c>
      <c r="L5369" s="42" t="n">
        <f aca="false">J5369*K5369</f>
        <v>113.42</v>
      </c>
      <c r="M5369" s="43" t="n">
        <f aca="false">H5369*14.56*(1+'Chart of Accounts'!$E$67)</f>
        <v>71.352736</v>
      </c>
    </row>
    <row r="5370" customFormat="false" ht="15" hidden="false" customHeight="false" outlineLevel="0" collapsed="false">
      <c r="B5370" s="7" t="s">
        <v>5867</v>
      </c>
      <c r="C5370" s="39" t="n">
        <v>45913</v>
      </c>
      <c r="D5370" s="7" t="s">
        <v>288</v>
      </c>
      <c r="E5370" s="7" t="s">
        <v>156</v>
      </c>
      <c r="F5370" s="7" t="s">
        <v>222</v>
      </c>
      <c r="G5370" s="7" t="s">
        <v>505</v>
      </c>
      <c r="H5370" s="6" t="n">
        <v>3.71</v>
      </c>
      <c r="I5370" s="6" t="n">
        <v>0</v>
      </c>
      <c r="J5370" s="40" t="n">
        <f aca="false">H5370-I5370</f>
        <v>3.71</v>
      </c>
      <c r="K5370" s="41" t="n">
        <v>34</v>
      </c>
      <c r="L5370" s="42" t="n">
        <f aca="false">J5370*K5370</f>
        <v>126.14</v>
      </c>
      <c r="M5370" s="43" t="n">
        <f aca="false">H5370*17.84*(1+'Chart of Accounts'!$E$67)</f>
        <v>75.783428</v>
      </c>
    </row>
    <row r="5371" customFormat="false" ht="15" hidden="false" customHeight="false" outlineLevel="0" collapsed="false">
      <c r="B5371" s="7" t="s">
        <v>5868</v>
      </c>
      <c r="C5371" s="39" t="n">
        <v>45913</v>
      </c>
      <c r="D5371" s="7" t="s">
        <v>321</v>
      </c>
      <c r="E5371" s="7" t="s">
        <v>154</v>
      </c>
      <c r="F5371" s="7" t="s">
        <v>218</v>
      </c>
      <c r="G5371" s="7" t="s">
        <v>505</v>
      </c>
      <c r="H5371" s="6" t="n">
        <v>3.87</v>
      </c>
      <c r="I5371" s="6" t="n">
        <v>0</v>
      </c>
      <c r="J5371" s="40" t="n">
        <f aca="false">H5371-I5371</f>
        <v>3.87</v>
      </c>
      <c r="K5371" s="41" t="n">
        <v>26.5</v>
      </c>
      <c r="L5371" s="42" t="n">
        <f aca="false">J5371*K5371</f>
        <v>102.555</v>
      </c>
      <c r="M5371" s="43" t="n">
        <f aca="false">H5371*16.19*(1+'Chart of Accounts'!$E$67)</f>
        <v>71.7403185</v>
      </c>
    </row>
    <row r="5372" customFormat="false" ht="15" hidden="false" customHeight="false" outlineLevel="0" collapsed="false">
      <c r="B5372" s="7" t="s">
        <v>5869</v>
      </c>
      <c r="C5372" s="39" t="n">
        <v>45913</v>
      </c>
      <c r="D5372" s="7" t="s">
        <v>359</v>
      </c>
      <c r="E5372" s="7" t="s">
        <v>156</v>
      </c>
      <c r="F5372" s="7" t="s">
        <v>254</v>
      </c>
      <c r="G5372" s="7" t="s">
        <v>505</v>
      </c>
      <c r="H5372" s="6" t="n">
        <v>3.87</v>
      </c>
      <c r="I5372" s="6" t="n">
        <v>0</v>
      </c>
      <c r="J5372" s="40" t="n">
        <f aca="false">H5372-I5372</f>
        <v>3.87</v>
      </c>
      <c r="K5372" s="41" t="n">
        <v>34</v>
      </c>
      <c r="L5372" s="42" t="n">
        <f aca="false">J5372*K5372</f>
        <v>131.58</v>
      </c>
      <c r="M5372" s="43" t="n">
        <f aca="false">H5372*17.1*(1+'Chart of Accounts'!$E$67)</f>
        <v>75.772665</v>
      </c>
    </row>
    <row r="5373" customFormat="false" ht="15" hidden="false" customHeight="false" outlineLevel="0" collapsed="false">
      <c r="B5373" s="7" t="s">
        <v>5870</v>
      </c>
      <c r="C5373" s="39" t="n">
        <v>45913</v>
      </c>
      <c r="D5373" s="7" t="s">
        <v>387</v>
      </c>
      <c r="E5373" s="7" t="s">
        <v>154</v>
      </c>
      <c r="F5373" s="7" t="s">
        <v>196</v>
      </c>
      <c r="G5373" s="7" t="s">
        <v>505</v>
      </c>
      <c r="H5373" s="6" t="n">
        <v>4.03</v>
      </c>
      <c r="I5373" s="6" t="n">
        <v>0</v>
      </c>
      <c r="J5373" s="40" t="n">
        <f aca="false">H5373-I5373</f>
        <v>4.03</v>
      </c>
      <c r="K5373" s="41" t="n">
        <v>26.5</v>
      </c>
      <c r="L5373" s="42" t="n">
        <f aca="false">J5373*K5373</f>
        <v>106.795</v>
      </c>
      <c r="M5373" s="43" t="n">
        <f aca="false">H5373*15.05*(1+'Chart of Accounts'!$E$67)</f>
        <v>69.4459675</v>
      </c>
    </row>
    <row r="5374" customFormat="false" ht="15" hidden="false" customHeight="false" outlineLevel="0" collapsed="false">
      <c r="B5374" s="7" t="s">
        <v>5871</v>
      </c>
      <c r="C5374" s="39" t="n">
        <v>45913</v>
      </c>
      <c r="D5374" s="7" t="s">
        <v>391</v>
      </c>
      <c r="E5374" s="7" t="s">
        <v>156</v>
      </c>
      <c r="F5374" s="7" t="s">
        <v>222</v>
      </c>
      <c r="G5374" s="7" t="s">
        <v>505</v>
      </c>
      <c r="H5374" s="6" t="n">
        <v>3.75</v>
      </c>
      <c r="I5374" s="6" t="n">
        <v>0</v>
      </c>
      <c r="J5374" s="40" t="n">
        <f aca="false">H5374-I5374</f>
        <v>3.75</v>
      </c>
      <c r="K5374" s="41" t="n">
        <v>34</v>
      </c>
      <c r="L5374" s="42" t="n">
        <f aca="false">J5374*K5374</f>
        <v>127.5</v>
      </c>
      <c r="M5374" s="43" t="n">
        <f aca="false">H5374*17.84*(1+'Chart of Accounts'!$E$67)</f>
        <v>76.6005</v>
      </c>
    </row>
    <row r="5375" customFormat="false" ht="15" hidden="false" customHeight="false" outlineLevel="0" collapsed="false">
      <c r="B5375" s="7" t="s">
        <v>5872</v>
      </c>
      <c r="C5375" s="39" t="n">
        <v>45913</v>
      </c>
      <c r="D5375" s="7" t="s">
        <v>395</v>
      </c>
      <c r="E5375" s="7" t="s">
        <v>156</v>
      </c>
      <c r="F5375" s="7" t="s">
        <v>242</v>
      </c>
      <c r="G5375" s="7" t="s">
        <v>505</v>
      </c>
      <c r="H5375" s="6" t="n">
        <v>4.22</v>
      </c>
      <c r="I5375" s="6" t="n">
        <v>0</v>
      </c>
      <c r="J5375" s="40" t="n">
        <f aca="false">H5375-I5375</f>
        <v>4.22</v>
      </c>
      <c r="K5375" s="41" t="n">
        <v>34</v>
      </c>
      <c r="L5375" s="42" t="n">
        <f aca="false">J5375*K5375</f>
        <v>143.48</v>
      </c>
      <c r="M5375" s="43" t="n">
        <f aca="false">H5375*17.99*(1+'Chart of Accounts'!$E$67)</f>
        <v>86.925881</v>
      </c>
    </row>
    <row r="5376" customFormat="false" ht="15" hidden="false" customHeight="false" outlineLevel="0" collapsed="false">
      <c r="B5376" s="7" t="s">
        <v>5873</v>
      </c>
      <c r="C5376" s="39" t="n">
        <v>45913</v>
      </c>
      <c r="D5376" s="7" t="s">
        <v>401</v>
      </c>
      <c r="E5376" s="7" t="s">
        <v>156</v>
      </c>
      <c r="F5376" s="7" t="s">
        <v>254</v>
      </c>
      <c r="G5376" s="7" t="s">
        <v>505</v>
      </c>
      <c r="H5376" s="6" t="n">
        <v>3.78</v>
      </c>
      <c r="I5376" s="6" t="n">
        <v>0</v>
      </c>
      <c r="J5376" s="40" t="n">
        <f aca="false">H5376-I5376</f>
        <v>3.78</v>
      </c>
      <c r="K5376" s="41" t="n">
        <v>34</v>
      </c>
      <c r="L5376" s="42" t="n">
        <f aca="false">J5376*K5376</f>
        <v>128.52</v>
      </c>
      <c r="M5376" s="43" t="n">
        <f aca="false">H5376*17.1*(1+'Chart of Accounts'!$E$67)</f>
        <v>74.01051</v>
      </c>
    </row>
    <row r="5377" customFormat="false" ht="15" hidden="false" customHeight="false" outlineLevel="0" collapsed="false">
      <c r="B5377" s="7" t="s">
        <v>5874</v>
      </c>
      <c r="C5377" s="39" t="n">
        <v>45914</v>
      </c>
      <c r="D5377" s="7" t="s">
        <v>288</v>
      </c>
      <c r="E5377" s="7" t="s">
        <v>156</v>
      </c>
      <c r="F5377" s="7" t="s">
        <v>177</v>
      </c>
      <c r="G5377" s="7" t="s">
        <v>505</v>
      </c>
      <c r="H5377" s="6" t="n">
        <v>4.24</v>
      </c>
      <c r="I5377" s="6" t="n">
        <v>0</v>
      </c>
      <c r="J5377" s="40" t="n">
        <f aca="false">H5377-I5377</f>
        <v>4.24</v>
      </c>
      <c r="K5377" s="41" t="n">
        <v>34</v>
      </c>
      <c r="L5377" s="42" t="n">
        <f aca="false">J5377*K5377</f>
        <v>144.16</v>
      </c>
      <c r="M5377" s="43" t="n">
        <f aca="false">H5377*14.56*(1+'Chart of Accounts'!$E$67)</f>
        <v>70.685888</v>
      </c>
    </row>
    <row r="5378" customFormat="false" ht="15" hidden="false" customHeight="false" outlineLevel="0" collapsed="false">
      <c r="B5378" s="7" t="s">
        <v>5875</v>
      </c>
      <c r="C5378" s="39" t="n">
        <v>45914</v>
      </c>
      <c r="D5378" s="7" t="s">
        <v>321</v>
      </c>
      <c r="E5378" s="7" t="s">
        <v>154</v>
      </c>
      <c r="F5378" s="7" t="s">
        <v>218</v>
      </c>
      <c r="G5378" s="7" t="s">
        <v>505</v>
      </c>
      <c r="H5378" s="6" t="n">
        <v>3.71</v>
      </c>
      <c r="I5378" s="6" t="n">
        <v>0</v>
      </c>
      <c r="J5378" s="40" t="n">
        <f aca="false">H5378-I5378</f>
        <v>3.71</v>
      </c>
      <c r="K5378" s="41" t="n">
        <v>26.5</v>
      </c>
      <c r="L5378" s="42" t="n">
        <f aca="false">J5378*K5378</f>
        <v>98.315</v>
      </c>
      <c r="M5378" s="43" t="n">
        <f aca="false">H5378*16.19*(1+'Chart of Accounts'!$E$67)</f>
        <v>68.7743105</v>
      </c>
    </row>
    <row r="5379" customFormat="false" ht="15" hidden="false" customHeight="false" outlineLevel="0" collapsed="false">
      <c r="B5379" s="7" t="s">
        <v>5876</v>
      </c>
      <c r="C5379" s="39" t="n">
        <v>45914</v>
      </c>
      <c r="D5379" s="7" t="s">
        <v>359</v>
      </c>
      <c r="E5379" s="7" t="s">
        <v>156</v>
      </c>
      <c r="F5379" s="7" t="s">
        <v>242</v>
      </c>
      <c r="G5379" s="7" t="s">
        <v>505</v>
      </c>
      <c r="H5379" s="6" t="n">
        <v>3.66</v>
      </c>
      <c r="I5379" s="6" t="n">
        <v>0</v>
      </c>
      <c r="J5379" s="40" t="n">
        <f aca="false">H5379-I5379</f>
        <v>3.66</v>
      </c>
      <c r="K5379" s="41" t="n">
        <v>34</v>
      </c>
      <c r="L5379" s="42" t="n">
        <f aca="false">J5379*K5379</f>
        <v>124.44</v>
      </c>
      <c r="M5379" s="43" t="n">
        <f aca="false">H5379*17.99*(1+'Chart of Accounts'!$E$67)</f>
        <v>75.390693</v>
      </c>
    </row>
    <row r="5380" customFormat="false" ht="15" hidden="false" customHeight="false" outlineLevel="0" collapsed="false">
      <c r="B5380" s="7" t="s">
        <v>5877</v>
      </c>
      <c r="C5380" s="39" t="n">
        <v>45914</v>
      </c>
      <c r="D5380" s="7" t="s">
        <v>387</v>
      </c>
      <c r="E5380" s="7" t="s">
        <v>154</v>
      </c>
      <c r="F5380" s="7" t="s">
        <v>196</v>
      </c>
      <c r="G5380" s="7" t="s">
        <v>505</v>
      </c>
      <c r="H5380" s="6" t="n">
        <v>4.16</v>
      </c>
      <c r="I5380" s="6" t="n">
        <v>0</v>
      </c>
      <c r="J5380" s="40" t="n">
        <f aca="false">H5380-I5380</f>
        <v>4.16</v>
      </c>
      <c r="K5380" s="41" t="n">
        <v>26.5</v>
      </c>
      <c r="L5380" s="42" t="n">
        <f aca="false">J5380*K5380</f>
        <v>110.24</v>
      </c>
      <c r="M5380" s="43" t="n">
        <f aca="false">H5380*15.05*(1+'Chart of Accounts'!$E$67)</f>
        <v>71.68616</v>
      </c>
    </row>
    <row r="5381" customFormat="false" ht="15" hidden="false" customHeight="false" outlineLevel="0" collapsed="false">
      <c r="B5381" s="7" t="s">
        <v>5878</v>
      </c>
      <c r="C5381" s="39" t="n">
        <v>45914</v>
      </c>
      <c r="D5381" s="7" t="s">
        <v>391</v>
      </c>
      <c r="E5381" s="7" t="s">
        <v>156</v>
      </c>
      <c r="F5381" s="7" t="s">
        <v>222</v>
      </c>
      <c r="G5381" s="7" t="s">
        <v>505</v>
      </c>
      <c r="H5381" s="6" t="n">
        <v>3.69</v>
      </c>
      <c r="I5381" s="6" t="n">
        <v>0</v>
      </c>
      <c r="J5381" s="40" t="n">
        <f aca="false">H5381-I5381</f>
        <v>3.69</v>
      </c>
      <c r="K5381" s="41" t="n">
        <v>34</v>
      </c>
      <c r="L5381" s="42" t="n">
        <f aca="false">J5381*K5381</f>
        <v>125.46</v>
      </c>
      <c r="M5381" s="43" t="n">
        <f aca="false">H5381*17.84*(1+'Chart of Accounts'!$E$67)</f>
        <v>75.374892</v>
      </c>
    </row>
    <row r="5382" customFormat="false" ht="15" hidden="false" customHeight="false" outlineLevel="0" collapsed="false">
      <c r="B5382" s="7" t="s">
        <v>5879</v>
      </c>
      <c r="C5382" s="39" t="n">
        <v>45914</v>
      </c>
      <c r="D5382" s="7" t="s">
        <v>395</v>
      </c>
      <c r="E5382" s="7" t="s">
        <v>156</v>
      </c>
      <c r="F5382" s="7" t="s">
        <v>242</v>
      </c>
      <c r="G5382" s="7" t="s">
        <v>505</v>
      </c>
      <c r="H5382" s="6" t="n">
        <v>3.78</v>
      </c>
      <c r="I5382" s="6" t="n">
        <v>0</v>
      </c>
      <c r="J5382" s="40" t="n">
        <f aca="false">H5382-I5382</f>
        <v>3.78</v>
      </c>
      <c r="K5382" s="41" t="n">
        <v>34</v>
      </c>
      <c r="L5382" s="42" t="n">
        <f aca="false">J5382*K5382</f>
        <v>128.52</v>
      </c>
      <c r="M5382" s="43" t="n">
        <f aca="false">H5382*17.99*(1+'Chart of Accounts'!$E$67)</f>
        <v>77.862519</v>
      </c>
    </row>
    <row r="5383" customFormat="false" ht="15" hidden="false" customHeight="false" outlineLevel="0" collapsed="false">
      <c r="B5383" s="7" t="s">
        <v>5880</v>
      </c>
      <c r="C5383" s="39" t="n">
        <v>45914</v>
      </c>
      <c r="D5383" s="7" t="s">
        <v>401</v>
      </c>
      <c r="E5383" s="7" t="s">
        <v>156</v>
      </c>
      <c r="F5383" s="7" t="s">
        <v>254</v>
      </c>
      <c r="G5383" s="7" t="s">
        <v>505</v>
      </c>
      <c r="H5383" s="6" t="n">
        <v>3.75</v>
      </c>
      <c r="I5383" s="6" t="n">
        <v>0</v>
      </c>
      <c r="J5383" s="40" t="n">
        <f aca="false">H5383-I5383</f>
        <v>3.75</v>
      </c>
      <c r="K5383" s="41" t="n">
        <v>34</v>
      </c>
      <c r="L5383" s="42" t="n">
        <f aca="false">J5383*K5383</f>
        <v>127.5</v>
      </c>
      <c r="M5383" s="43" t="n">
        <f aca="false">H5383*17.1*(1+'Chart of Accounts'!$E$67)</f>
        <v>73.423125</v>
      </c>
    </row>
    <row r="5384" customFormat="false" ht="15" hidden="false" customHeight="false" outlineLevel="0" collapsed="false">
      <c r="B5384" s="7" t="s">
        <v>5881</v>
      </c>
      <c r="C5384" s="39" t="n">
        <v>45915</v>
      </c>
      <c r="D5384" s="7" t="s">
        <v>288</v>
      </c>
      <c r="E5384" s="7" t="s">
        <v>156</v>
      </c>
      <c r="F5384" s="7" t="s">
        <v>205</v>
      </c>
      <c r="G5384" s="7" t="s">
        <v>505</v>
      </c>
      <c r="H5384" s="6" t="n">
        <v>4.12</v>
      </c>
      <c r="I5384" s="6" t="n">
        <v>0</v>
      </c>
      <c r="J5384" s="40" t="n">
        <f aca="false">H5384-I5384</f>
        <v>4.12</v>
      </c>
      <c r="K5384" s="41" t="n">
        <v>34</v>
      </c>
      <c r="L5384" s="42" t="n">
        <f aca="false">J5384*K5384</f>
        <v>140.08</v>
      </c>
      <c r="M5384" s="43" t="n">
        <f aca="false">H5384*16.36*(1+'Chart of Accounts'!$E$67)</f>
        <v>77.176664</v>
      </c>
    </row>
    <row r="5385" customFormat="false" ht="15" hidden="false" customHeight="false" outlineLevel="0" collapsed="false">
      <c r="B5385" s="7" t="s">
        <v>5882</v>
      </c>
      <c r="C5385" s="39" t="n">
        <v>45915</v>
      </c>
      <c r="D5385" s="7" t="s">
        <v>291</v>
      </c>
      <c r="E5385" s="7" t="s">
        <v>154</v>
      </c>
      <c r="F5385" s="7" t="s">
        <v>194</v>
      </c>
      <c r="G5385" s="7" t="s">
        <v>505</v>
      </c>
      <c r="H5385" s="6" t="n">
        <v>5.05</v>
      </c>
      <c r="I5385" s="6" t="n">
        <v>0.151</v>
      </c>
      <c r="J5385" s="40" t="n">
        <f aca="false">H5385-I5385</f>
        <v>4.899</v>
      </c>
      <c r="K5385" s="41" t="n">
        <v>26.5</v>
      </c>
      <c r="L5385" s="42" t="n">
        <f aca="false">J5385*K5385</f>
        <v>129.8235</v>
      </c>
      <c r="M5385" s="43" t="n">
        <f aca="false">H5385*16*(1+'Chart of Accounts'!$E$67)</f>
        <v>92.516</v>
      </c>
    </row>
    <row r="5386" customFormat="false" ht="15" hidden="false" customHeight="false" outlineLevel="0" collapsed="false">
      <c r="B5386" s="7" t="s">
        <v>5883</v>
      </c>
      <c r="C5386" s="39" t="n">
        <v>45915</v>
      </c>
      <c r="D5386" s="7" t="s">
        <v>295</v>
      </c>
      <c r="E5386" s="7" t="s">
        <v>154</v>
      </c>
      <c r="F5386" s="7" t="s">
        <v>214</v>
      </c>
      <c r="G5386" s="7" t="s">
        <v>505</v>
      </c>
      <c r="H5386" s="6" t="n">
        <v>4.06</v>
      </c>
      <c r="I5386" s="6" t="n">
        <v>0.122</v>
      </c>
      <c r="J5386" s="40" t="n">
        <f aca="false">H5386-I5386</f>
        <v>3.938</v>
      </c>
      <c r="K5386" s="41" t="n">
        <v>26.5</v>
      </c>
      <c r="L5386" s="42" t="n">
        <f aca="false">J5386*K5386</f>
        <v>104.357</v>
      </c>
      <c r="M5386" s="43" t="n">
        <f aca="false">H5386*15.67*(1+'Chart of Accounts'!$E$67)</f>
        <v>72.845129</v>
      </c>
    </row>
    <row r="5387" customFormat="false" ht="15" hidden="false" customHeight="false" outlineLevel="0" collapsed="false">
      <c r="B5387" s="7" t="s">
        <v>5884</v>
      </c>
      <c r="C5387" s="39" t="n">
        <v>45915</v>
      </c>
      <c r="D5387" s="7" t="s">
        <v>297</v>
      </c>
      <c r="E5387" s="7" t="s">
        <v>156</v>
      </c>
      <c r="F5387" s="7" t="s">
        <v>201</v>
      </c>
      <c r="G5387" s="7" t="s">
        <v>505</v>
      </c>
      <c r="H5387" s="6" t="n">
        <v>2.92</v>
      </c>
      <c r="I5387" s="6" t="n">
        <v>0</v>
      </c>
      <c r="J5387" s="40" t="n">
        <f aca="false">H5387-I5387</f>
        <v>2.92</v>
      </c>
      <c r="K5387" s="41" t="n">
        <v>34</v>
      </c>
      <c r="L5387" s="42" t="n">
        <f aca="false">J5387*K5387</f>
        <v>99.28</v>
      </c>
      <c r="M5387" s="43" t="n">
        <f aca="false">H5387*15.19*(1+'Chart of Accounts'!$E$67)</f>
        <v>50.786246</v>
      </c>
    </row>
    <row r="5388" customFormat="false" ht="15" hidden="false" customHeight="false" outlineLevel="0" collapsed="false">
      <c r="B5388" s="7" t="s">
        <v>5885</v>
      </c>
      <c r="C5388" s="39" t="n">
        <v>45915</v>
      </c>
      <c r="D5388" s="7" t="s">
        <v>305</v>
      </c>
      <c r="E5388" s="7" t="s">
        <v>154</v>
      </c>
      <c r="F5388" s="7" t="s">
        <v>205</v>
      </c>
      <c r="G5388" s="7" t="s">
        <v>505</v>
      </c>
      <c r="H5388" s="6" t="n">
        <v>3.69</v>
      </c>
      <c r="I5388" s="6" t="n">
        <v>0</v>
      </c>
      <c r="J5388" s="40" t="n">
        <f aca="false">H5388-I5388</f>
        <v>3.69</v>
      </c>
      <c r="K5388" s="41" t="n">
        <v>26.5</v>
      </c>
      <c r="L5388" s="42" t="n">
        <f aca="false">J5388*K5388</f>
        <v>97.785</v>
      </c>
      <c r="M5388" s="43" t="n">
        <f aca="false">H5388*16.36*(1+'Chart of Accounts'!$E$67)</f>
        <v>69.121818</v>
      </c>
    </row>
    <row r="5389" customFormat="false" ht="15" hidden="false" customHeight="false" outlineLevel="0" collapsed="false">
      <c r="B5389" s="7" t="s">
        <v>5886</v>
      </c>
      <c r="C5389" s="39" t="n">
        <v>45915</v>
      </c>
      <c r="D5389" s="7" t="s">
        <v>307</v>
      </c>
      <c r="E5389" s="7" t="s">
        <v>157</v>
      </c>
      <c r="F5389" s="7" t="s">
        <v>264</v>
      </c>
      <c r="G5389" s="7" t="s">
        <v>502</v>
      </c>
      <c r="H5389" s="6" t="n">
        <v>0.97</v>
      </c>
      <c r="I5389" s="6" t="n">
        <v>0</v>
      </c>
      <c r="J5389" s="40" t="n">
        <f aca="false">H5389-I5389</f>
        <v>0.97</v>
      </c>
      <c r="K5389" s="41" t="n">
        <v>165</v>
      </c>
      <c r="L5389" s="42" t="n">
        <f aca="false">J5389*K5389</f>
        <v>160.05</v>
      </c>
      <c r="M5389" s="43" t="n">
        <f aca="false">H5389*55.55*(1+'Chart of Accounts'!$E$67)</f>
        <v>61.6966075</v>
      </c>
    </row>
    <row r="5390" customFormat="false" ht="15" hidden="false" customHeight="false" outlineLevel="0" collapsed="false">
      <c r="B5390" s="7" t="s">
        <v>5887</v>
      </c>
      <c r="C5390" s="39" t="n">
        <v>45915</v>
      </c>
      <c r="D5390" s="7" t="s">
        <v>309</v>
      </c>
      <c r="E5390" s="7" t="s">
        <v>159</v>
      </c>
      <c r="F5390" s="7" t="s">
        <v>252</v>
      </c>
      <c r="G5390" s="7" t="s">
        <v>502</v>
      </c>
      <c r="H5390" s="6" t="n">
        <v>1.08</v>
      </c>
      <c r="I5390" s="6" t="n">
        <v>0</v>
      </c>
      <c r="J5390" s="40" t="n">
        <f aca="false">H5390-I5390</f>
        <v>1.08</v>
      </c>
      <c r="K5390" s="41" t="n">
        <v>135</v>
      </c>
      <c r="L5390" s="42" t="n">
        <f aca="false">J5390*K5390</f>
        <v>145.8</v>
      </c>
      <c r="M5390" s="43" t="n">
        <f aca="false">H5390*57.54*(1+'Chart of Accounts'!$E$67)</f>
        <v>71.153964</v>
      </c>
    </row>
    <row r="5391" customFormat="false" ht="15" hidden="false" customHeight="false" outlineLevel="0" collapsed="false">
      <c r="B5391" s="7" t="s">
        <v>5888</v>
      </c>
      <c r="C5391" s="39" t="n">
        <v>45915</v>
      </c>
      <c r="D5391" s="7" t="s">
        <v>311</v>
      </c>
      <c r="E5391" s="7" t="s">
        <v>154</v>
      </c>
      <c r="F5391" s="7" t="s">
        <v>196</v>
      </c>
      <c r="G5391" s="7" t="s">
        <v>505</v>
      </c>
      <c r="H5391" s="6" t="n">
        <v>3.28</v>
      </c>
      <c r="I5391" s="6" t="n">
        <v>0</v>
      </c>
      <c r="J5391" s="40" t="n">
        <f aca="false">H5391-I5391</f>
        <v>3.28</v>
      </c>
      <c r="K5391" s="41" t="n">
        <v>26.5</v>
      </c>
      <c r="L5391" s="42" t="n">
        <f aca="false">J5391*K5391</f>
        <v>86.92</v>
      </c>
      <c r="M5391" s="43" t="n">
        <f aca="false">H5391*15.05*(1+'Chart of Accounts'!$E$67)</f>
        <v>56.52178</v>
      </c>
    </row>
    <row r="5392" customFormat="false" ht="15" hidden="false" customHeight="false" outlineLevel="0" collapsed="false">
      <c r="B5392" s="7" t="s">
        <v>5889</v>
      </c>
      <c r="C5392" s="39" t="n">
        <v>45915</v>
      </c>
      <c r="D5392" s="7" t="s">
        <v>313</v>
      </c>
      <c r="E5392" s="7" t="s">
        <v>156</v>
      </c>
      <c r="F5392" s="7" t="s">
        <v>184</v>
      </c>
      <c r="G5392" s="7" t="s">
        <v>505</v>
      </c>
      <c r="H5392" s="6" t="n">
        <v>3.91</v>
      </c>
      <c r="I5392" s="6" t="n">
        <v>0</v>
      </c>
      <c r="J5392" s="40" t="n">
        <f aca="false">H5392-I5392</f>
        <v>3.91</v>
      </c>
      <c r="K5392" s="41" t="n">
        <v>34</v>
      </c>
      <c r="L5392" s="42" t="n">
        <f aca="false">J5392*K5392</f>
        <v>132.94</v>
      </c>
      <c r="M5392" s="43" t="n">
        <f aca="false">H5392*17.34*(1+'Chart of Accounts'!$E$67)</f>
        <v>77.630313</v>
      </c>
    </row>
    <row r="5393" customFormat="false" ht="15" hidden="false" customHeight="false" outlineLevel="0" collapsed="false">
      <c r="B5393" s="7" t="s">
        <v>5890</v>
      </c>
      <c r="C5393" s="39" t="n">
        <v>45915</v>
      </c>
      <c r="D5393" s="7" t="s">
        <v>315</v>
      </c>
      <c r="E5393" s="7" t="s">
        <v>159</v>
      </c>
      <c r="F5393" s="7" t="s">
        <v>216</v>
      </c>
      <c r="G5393" s="7" t="s">
        <v>502</v>
      </c>
      <c r="H5393" s="6" t="n">
        <v>1.05</v>
      </c>
      <c r="I5393" s="6" t="n">
        <v>0</v>
      </c>
      <c r="J5393" s="40" t="n">
        <f aca="false">H5393-I5393</f>
        <v>1.05</v>
      </c>
      <c r="K5393" s="41" t="n">
        <v>135</v>
      </c>
      <c r="L5393" s="42" t="n">
        <f aca="false">J5393*K5393</f>
        <v>141.75</v>
      </c>
      <c r="M5393" s="43" t="n">
        <f aca="false">H5393*61.79*(1+'Chart of Accounts'!$E$67)</f>
        <v>74.2870275</v>
      </c>
    </row>
    <row r="5394" customFormat="false" ht="15" hidden="false" customHeight="false" outlineLevel="0" collapsed="false">
      <c r="B5394" s="7" t="s">
        <v>5891</v>
      </c>
      <c r="C5394" s="39" t="n">
        <v>45915</v>
      </c>
      <c r="D5394" s="7" t="s">
        <v>317</v>
      </c>
      <c r="E5394" s="7" t="s">
        <v>156</v>
      </c>
      <c r="F5394" s="7" t="s">
        <v>214</v>
      </c>
      <c r="G5394" s="7" t="s">
        <v>505</v>
      </c>
      <c r="H5394" s="6" t="n">
        <v>2.99</v>
      </c>
      <c r="I5394" s="6" t="n">
        <v>0</v>
      </c>
      <c r="J5394" s="40" t="n">
        <f aca="false">H5394-I5394</f>
        <v>2.99</v>
      </c>
      <c r="K5394" s="41" t="n">
        <v>34</v>
      </c>
      <c r="L5394" s="42" t="n">
        <f aca="false">J5394*K5394</f>
        <v>101.66</v>
      </c>
      <c r="M5394" s="43" t="n">
        <f aca="false">H5394*15.67*(1+'Chart of Accounts'!$E$67)</f>
        <v>53.6470285</v>
      </c>
    </row>
    <row r="5395" customFormat="false" ht="15" hidden="false" customHeight="false" outlineLevel="0" collapsed="false">
      <c r="B5395" s="7" t="s">
        <v>5892</v>
      </c>
      <c r="C5395" s="39" t="n">
        <v>45915</v>
      </c>
      <c r="D5395" s="7" t="s">
        <v>321</v>
      </c>
      <c r="E5395" s="7" t="s">
        <v>154</v>
      </c>
      <c r="F5395" s="7" t="s">
        <v>218</v>
      </c>
      <c r="G5395" s="7" t="s">
        <v>505</v>
      </c>
      <c r="H5395" s="6" t="n">
        <v>4.38</v>
      </c>
      <c r="I5395" s="6" t="n">
        <v>0</v>
      </c>
      <c r="J5395" s="40" t="n">
        <f aca="false">H5395-I5395</f>
        <v>4.38</v>
      </c>
      <c r="K5395" s="41" t="n">
        <v>26.5</v>
      </c>
      <c r="L5395" s="42" t="n">
        <f aca="false">J5395*K5395</f>
        <v>116.07</v>
      </c>
      <c r="M5395" s="43" t="n">
        <f aca="false">H5395*16.19*(1+'Chart of Accounts'!$E$67)</f>
        <v>81.194469</v>
      </c>
    </row>
    <row r="5396" customFormat="false" ht="15" hidden="false" customHeight="false" outlineLevel="0" collapsed="false">
      <c r="B5396" s="7" t="s">
        <v>5893</v>
      </c>
      <c r="C5396" s="39" t="n">
        <v>45915</v>
      </c>
      <c r="D5396" s="7" t="s">
        <v>325</v>
      </c>
      <c r="E5396" s="7" t="s">
        <v>154</v>
      </c>
      <c r="F5396" s="7" t="s">
        <v>205</v>
      </c>
      <c r="G5396" s="7" t="s">
        <v>505</v>
      </c>
      <c r="H5396" s="6" t="n">
        <v>3.25</v>
      </c>
      <c r="I5396" s="6" t="n">
        <v>0</v>
      </c>
      <c r="J5396" s="40" t="n">
        <f aca="false">H5396-I5396</f>
        <v>3.25</v>
      </c>
      <c r="K5396" s="41" t="n">
        <v>26.5</v>
      </c>
      <c r="L5396" s="42" t="n">
        <f aca="false">J5396*K5396</f>
        <v>86.125</v>
      </c>
      <c r="M5396" s="43" t="n">
        <f aca="false">H5396*16.36*(1+'Chart of Accounts'!$E$67)</f>
        <v>60.87965</v>
      </c>
    </row>
    <row r="5397" customFormat="false" ht="15" hidden="false" customHeight="false" outlineLevel="0" collapsed="false">
      <c r="B5397" s="7" t="s">
        <v>5894</v>
      </c>
      <c r="C5397" s="39" t="n">
        <v>45915</v>
      </c>
      <c r="D5397" s="7" t="s">
        <v>329</v>
      </c>
      <c r="E5397" s="7" t="s">
        <v>156</v>
      </c>
      <c r="F5397" s="7" t="s">
        <v>220</v>
      </c>
      <c r="G5397" s="7" t="s">
        <v>505</v>
      </c>
      <c r="H5397" s="6" t="n">
        <v>3.82</v>
      </c>
      <c r="I5397" s="6" t="n">
        <v>0</v>
      </c>
      <c r="J5397" s="40" t="n">
        <f aca="false">H5397-I5397</f>
        <v>3.82</v>
      </c>
      <c r="K5397" s="41" t="n">
        <v>34</v>
      </c>
      <c r="L5397" s="42" t="n">
        <f aca="false">J5397*K5397</f>
        <v>129.88</v>
      </c>
      <c r="M5397" s="43" t="n">
        <f aca="false">H5397*16.43*(1+'Chart of Accounts'!$E$67)</f>
        <v>71.863177</v>
      </c>
    </row>
    <row r="5398" customFormat="false" ht="15" hidden="false" customHeight="false" outlineLevel="0" collapsed="false">
      <c r="B5398" s="7" t="s">
        <v>5895</v>
      </c>
      <c r="C5398" s="39" t="n">
        <v>45915</v>
      </c>
      <c r="D5398" s="7" t="s">
        <v>331</v>
      </c>
      <c r="E5398" s="7" t="s">
        <v>156</v>
      </c>
      <c r="F5398" s="7" t="s">
        <v>224</v>
      </c>
      <c r="G5398" s="7" t="s">
        <v>505</v>
      </c>
      <c r="H5398" s="6" t="n">
        <v>3.64</v>
      </c>
      <c r="I5398" s="6" t="n">
        <v>0</v>
      </c>
      <c r="J5398" s="40" t="n">
        <f aca="false">H5398-I5398</f>
        <v>3.64</v>
      </c>
      <c r="K5398" s="41" t="n">
        <v>34</v>
      </c>
      <c r="L5398" s="42" t="n">
        <f aca="false">J5398*K5398</f>
        <v>123.76</v>
      </c>
      <c r="M5398" s="43" t="n">
        <f aca="false">H5398*14.93*(1+'Chart of Accounts'!$E$67)</f>
        <v>62.225254</v>
      </c>
    </row>
    <row r="5399" customFormat="false" ht="15" hidden="false" customHeight="false" outlineLevel="0" collapsed="false">
      <c r="B5399" s="7" t="s">
        <v>5896</v>
      </c>
      <c r="C5399" s="39" t="n">
        <v>45915</v>
      </c>
      <c r="D5399" s="7" t="s">
        <v>335</v>
      </c>
      <c r="E5399" s="7" t="s">
        <v>154</v>
      </c>
      <c r="F5399" s="7" t="s">
        <v>177</v>
      </c>
      <c r="G5399" s="7" t="s">
        <v>505</v>
      </c>
      <c r="H5399" s="6" t="n">
        <v>3.73</v>
      </c>
      <c r="I5399" s="6" t="n">
        <v>0</v>
      </c>
      <c r="J5399" s="40" t="n">
        <f aca="false">H5399-I5399</f>
        <v>3.73</v>
      </c>
      <c r="K5399" s="41" t="n">
        <v>26.5</v>
      </c>
      <c r="L5399" s="42" t="n">
        <f aca="false">J5399*K5399</f>
        <v>98.845</v>
      </c>
      <c r="M5399" s="43" t="n">
        <f aca="false">H5399*14.56*(1+'Chart of Accounts'!$E$67)</f>
        <v>62.183576</v>
      </c>
    </row>
    <row r="5400" customFormat="false" ht="15" hidden="false" customHeight="false" outlineLevel="0" collapsed="false">
      <c r="B5400" s="7" t="s">
        <v>5897</v>
      </c>
      <c r="C5400" s="39" t="n">
        <v>45915</v>
      </c>
      <c r="D5400" s="7" t="s">
        <v>339</v>
      </c>
      <c r="E5400" s="7" t="s">
        <v>154</v>
      </c>
      <c r="F5400" s="7" t="s">
        <v>242</v>
      </c>
      <c r="G5400" s="7" t="s">
        <v>505</v>
      </c>
      <c r="H5400" s="6" t="n">
        <v>3.04</v>
      </c>
      <c r="I5400" s="6" t="n">
        <v>0</v>
      </c>
      <c r="J5400" s="40" t="n">
        <f aca="false">H5400-I5400</f>
        <v>3.04</v>
      </c>
      <c r="K5400" s="41" t="n">
        <v>26.5</v>
      </c>
      <c r="L5400" s="42" t="n">
        <f aca="false">J5400*K5400</f>
        <v>80.56</v>
      </c>
      <c r="M5400" s="43" t="n">
        <f aca="false">H5400*17.99*(1+'Chart of Accounts'!$E$67)</f>
        <v>62.619592</v>
      </c>
    </row>
    <row r="5401" customFormat="false" ht="15" hidden="false" customHeight="false" outlineLevel="0" collapsed="false">
      <c r="B5401" s="7" t="s">
        <v>5898</v>
      </c>
      <c r="C5401" s="39" t="n">
        <v>45915</v>
      </c>
      <c r="D5401" s="7" t="s">
        <v>341</v>
      </c>
      <c r="E5401" s="7" t="s">
        <v>156</v>
      </c>
      <c r="F5401" s="7" t="s">
        <v>222</v>
      </c>
      <c r="G5401" s="7" t="s">
        <v>505</v>
      </c>
      <c r="H5401" s="6" t="n">
        <v>3.02</v>
      </c>
      <c r="I5401" s="6" t="n">
        <v>0</v>
      </c>
      <c r="J5401" s="40" t="n">
        <f aca="false">H5401-I5401</f>
        <v>3.02</v>
      </c>
      <c r="K5401" s="41" t="n">
        <v>34</v>
      </c>
      <c r="L5401" s="42" t="n">
        <f aca="false">J5401*K5401</f>
        <v>102.68</v>
      </c>
      <c r="M5401" s="43" t="n">
        <f aca="false">H5401*17.84*(1+'Chart of Accounts'!$E$67)</f>
        <v>61.688936</v>
      </c>
    </row>
    <row r="5402" customFormat="false" ht="15" hidden="false" customHeight="false" outlineLevel="0" collapsed="false">
      <c r="B5402" s="7" t="s">
        <v>5899</v>
      </c>
      <c r="C5402" s="39" t="n">
        <v>45915</v>
      </c>
      <c r="D5402" s="7" t="s">
        <v>343</v>
      </c>
      <c r="E5402" s="7" t="s">
        <v>154</v>
      </c>
      <c r="F5402" s="7" t="s">
        <v>201</v>
      </c>
      <c r="G5402" s="7" t="s">
        <v>505</v>
      </c>
      <c r="H5402" s="6" t="n">
        <v>3.78</v>
      </c>
      <c r="I5402" s="6" t="n">
        <v>0.113</v>
      </c>
      <c r="J5402" s="40" t="n">
        <f aca="false">H5402-I5402</f>
        <v>3.667</v>
      </c>
      <c r="K5402" s="41" t="n">
        <v>26.5</v>
      </c>
      <c r="L5402" s="42" t="n">
        <f aca="false">J5402*K5402</f>
        <v>97.1755</v>
      </c>
      <c r="M5402" s="43" t="n">
        <f aca="false">H5402*15.19*(1+'Chart of Accounts'!$E$67)</f>
        <v>65.743839</v>
      </c>
    </row>
    <row r="5403" customFormat="false" ht="15" hidden="false" customHeight="false" outlineLevel="0" collapsed="false">
      <c r="B5403" s="7" t="s">
        <v>5900</v>
      </c>
      <c r="C5403" s="39" t="n">
        <v>45915</v>
      </c>
      <c r="D5403" s="7" t="s">
        <v>347</v>
      </c>
      <c r="E5403" s="7" t="s">
        <v>154</v>
      </c>
      <c r="F5403" s="7" t="s">
        <v>238</v>
      </c>
      <c r="G5403" s="7" t="s">
        <v>505</v>
      </c>
      <c r="H5403" s="6" t="n">
        <v>4.28</v>
      </c>
      <c r="I5403" s="6" t="n">
        <v>0</v>
      </c>
      <c r="J5403" s="40" t="n">
        <f aca="false">H5403-I5403</f>
        <v>4.28</v>
      </c>
      <c r="K5403" s="41" t="n">
        <v>26.5</v>
      </c>
      <c r="L5403" s="42" t="n">
        <f aca="false">J5403*K5403</f>
        <v>113.42</v>
      </c>
      <c r="M5403" s="43" t="n">
        <f aca="false">H5403*15.85*(1+'Chart of Accounts'!$E$67)</f>
        <v>77.67451</v>
      </c>
    </row>
    <row r="5404" customFormat="false" ht="15" hidden="false" customHeight="false" outlineLevel="0" collapsed="false">
      <c r="B5404" s="7" t="s">
        <v>5901</v>
      </c>
      <c r="C5404" s="39" t="n">
        <v>45915</v>
      </c>
      <c r="D5404" s="7" t="s">
        <v>349</v>
      </c>
      <c r="E5404" s="7" t="s">
        <v>154</v>
      </c>
      <c r="F5404" s="7" t="s">
        <v>244</v>
      </c>
      <c r="G5404" s="7" t="s">
        <v>505</v>
      </c>
      <c r="H5404" s="6" t="n">
        <v>4.12</v>
      </c>
      <c r="I5404" s="6" t="n">
        <v>0</v>
      </c>
      <c r="J5404" s="40" t="n">
        <f aca="false">H5404-I5404</f>
        <v>4.12</v>
      </c>
      <c r="K5404" s="41" t="n">
        <v>26.5</v>
      </c>
      <c r="L5404" s="42" t="n">
        <f aca="false">J5404*K5404</f>
        <v>109.18</v>
      </c>
      <c r="M5404" s="43" t="n">
        <f aca="false">H5404*16.39*(1+'Chart of Accounts'!$E$67)</f>
        <v>77.318186</v>
      </c>
    </row>
    <row r="5405" customFormat="false" ht="15" hidden="false" customHeight="false" outlineLevel="0" collapsed="false">
      <c r="B5405" s="7" t="s">
        <v>5902</v>
      </c>
      <c r="C5405" s="39" t="n">
        <v>45915</v>
      </c>
      <c r="D5405" s="7" t="s">
        <v>351</v>
      </c>
      <c r="E5405" s="7" t="s">
        <v>154</v>
      </c>
      <c r="F5405" s="7" t="s">
        <v>201</v>
      </c>
      <c r="G5405" s="7" t="s">
        <v>505</v>
      </c>
      <c r="H5405" s="6" t="n">
        <v>3.22</v>
      </c>
      <c r="I5405" s="6" t="n">
        <v>0.097</v>
      </c>
      <c r="J5405" s="40" t="n">
        <f aca="false">H5405-I5405</f>
        <v>3.123</v>
      </c>
      <c r="K5405" s="41" t="n">
        <v>26.5</v>
      </c>
      <c r="L5405" s="42" t="n">
        <f aca="false">J5405*K5405</f>
        <v>82.7595</v>
      </c>
      <c r="M5405" s="43" t="n">
        <f aca="false">H5405*15.19*(1+'Chart of Accounts'!$E$67)</f>
        <v>56.004011</v>
      </c>
    </row>
    <row r="5406" customFormat="false" ht="15" hidden="false" customHeight="false" outlineLevel="0" collapsed="false">
      <c r="B5406" s="7" t="s">
        <v>5903</v>
      </c>
      <c r="C5406" s="39" t="n">
        <v>45915</v>
      </c>
      <c r="D5406" s="7" t="s">
        <v>353</v>
      </c>
      <c r="E5406" s="7" t="s">
        <v>154</v>
      </c>
      <c r="F5406" s="7" t="s">
        <v>254</v>
      </c>
      <c r="G5406" s="7" t="s">
        <v>505</v>
      </c>
      <c r="H5406" s="6" t="n">
        <v>3.65</v>
      </c>
      <c r="I5406" s="6" t="n">
        <v>0</v>
      </c>
      <c r="J5406" s="40" t="n">
        <f aca="false">H5406-I5406</f>
        <v>3.65</v>
      </c>
      <c r="K5406" s="41" t="n">
        <v>26.5</v>
      </c>
      <c r="L5406" s="42" t="n">
        <f aca="false">J5406*K5406</f>
        <v>96.725</v>
      </c>
      <c r="M5406" s="43" t="n">
        <f aca="false">H5406*17.1*(1+'Chart of Accounts'!$E$67)</f>
        <v>71.465175</v>
      </c>
    </row>
    <row r="5407" customFormat="false" ht="15" hidden="false" customHeight="false" outlineLevel="0" collapsed="false">
      <c r="B5407" s="7" t="s">
        <v>5904</v>
      </c>
      <c r="C5407" s="39" t="n">
        <v>45915</v>
      </c>
      <c r="D5407" s="7" t="s">
        <v>355</v>
      </c>
      <c r="E5407" s="7" t="s">
        <v>154</v>
      </c>
      <c r="F5407" s="7" t="s">
        <v>201</v>
      </c>
      <c r="G5407" s="7" t="s">
        <v>505</v>
      </c>
      <c r="H5407" s="6" t="n">
        <v>3.47</v>
      </c>
      <c r="I5407" s="6" t="n">
        <v>0</v>
      </c>
      <c r="J5407" s="40" t="n">
        <f aca="false">H5407-I5407</f>
        <v>3.47</v>
      </c>
      <c r="K5407" s="41" t="n">
        <v>26.5</v>
      </c>
      <c r="L5407" s="42" t="n">
        <f aca="false">J5407*K5407</f>
        <v>91.955</v>
      </c>
      <c r="M5407" s="43" t="n">
        <f aca="false">H5407*15.19*(1+'Chart of Accounts'!$E$67)</f>
        <v>60.3521485</v>
      </c>
    </row>
    <row r="5408" customFormat="false" ht="15" hidden="false" customHeight="false" outlineLevel="0" collapsed="false">
      <c r="B5408" s="7" t="s">
        <v>5905</v>
      </c>
      <c r="C5408" s="39" t="n">
        <v>45915</v>
      </c>
      <c r="D5408" s="7" t="s">
        <v>357</v>
      </c>
      <c r="E5408" s="7" t="s">
        <v>154</v>
      </c>
      <c r="F5408" s="7" t="s">
        <v>201</v>
      </c>
      <c r="G5408" s="7" t="s">
        <v>505</v>
      </c>
      <c r="H5408" s="6" t="n">
        <v>3.49</v>
      </c>
      <c r="I5408" s="6" t="n">
        <v>0.105</v>
      </c>
      <c r="J5408" s="40" t="n">
        <f aca="false">H5408-I5408</f>
        <v>3.385</v>
      </c>
      <c r="K5408" s="41" t="n">
        <v>26.5</v>
      </c>
      <c r="L5408" s="42" t="n">
        <f aca="false">J5408*K5408</f>
        <v>89.7025</v>
      </c>
      <c r="M5408" s="43" t="n">
        <f aca="false">H5408*15.19*(1+'Chart of Accounts'!$E$67)</f>
        <v>60.6999995</v>
      </c>
    </row>
    <row r="5409" customFormat="false" ht="15" hidden="false" customHeight="false" outlineLevel="0" collapsed="false">
      <c r="B5409" s="7" t="s">
        <v>5906</v>
      </c>
      <c r="C5409" s="39" t="n">
        <v>45915</v>
      </c>
      <c r="D5409" s="7" t="s">
        <v>359</v>
      </c>
      <c r="E5409" s="7" t="s">
        <v>156</v>
      </c>
      <c r="F5409" s="7" t="s">
        <v>201</v>
      </c>
      <c r="G5409" s="7" t="s">
        <v>505</v>
      </c>
      <c r="H5409" s="6" t="n">
        <v>3.77</v>
      </c>
      <c r="I5409" s="6" t="n">
        <v>0</v>
      </c>
      <c r="J5409" s="40" t="n">
        <f aca="false">H5409-I5409</f>
        <v>3.77</v>
      </c>
      <c r="K5409" s="41" t="n">
        <v>34</v>
      </c>
      <c r="L5409" s="42" t="n">
        <f aca="false">J5409*K5409</f>
        <v>128.18</v>
      </c>
      <c r="M5409" s="43" t="n">
        <f aca="false">H5409*15.19*(1+'Chart of Accounts'!$E$67)</f>
        <v>65.5699135</v>
      </c>
    </row>
    <row r="5410" customFormat="false" ht="15" hidden="false" customHeight="false" outlineLevel="0" collapsed="false">
      <c r="B5410" s="7" t="s">
        <v>5907</v>
      </c>
      <c r="C5410" s="39" t="n">
        <v>45915</v>
      </c>
      <c r="D5410" s="7" t="s">
        <v>363</v>
      </c>
      <c r="E5410" s="7" t="s">
        <v>156</v>
      </c>
      <c r="F5410" s="7" t="s">
        <v>246</v>
      </c>
      <c r="G5410" s="7" t="s">
        <v>505</v>
      </c>
      <c r="H5410" s="6" t="n">
        <v>3.7</v>
      </c>
      <c r="I5410" s="6" t="n">
        <v>0</v>
      </c>
      <c r="J5410" s="40" t="n">
        <f aca="false">H5410-I5410</f>
        <v>3.7</v>
      </c>
      <c r="K5410" s="41" t="n">
        <v>34</v>
      </c>
      <c r="L5410" s="42" t="n">
        <f aca="false">J5410*K5410</f>
        <v>125.8</v>
      </c>
      <c r="M5410" s="43" t="n">
        <f aca="false">H5410*16.48*(1+'Chart of Accounts'!$E$67)</f>
        <v>69.81752</v>
      </c>
    </row>
    <row r="5411" customFormat="false" ht="15" hidden="false" customHeight="false" outlineLevel="0" collapsed="false">
      <c r="B5411" s="7" t="s">
        <v>5908</v>
      </c>
      <c r="C5411" s="39" t="n">
        <v>45915</v>
      </c>
      <c r="D5411" s="7" t="s">
        <v>365</v>
      </c>
      <c r="E5411" s="7" t="s">
        <v>154</v>
      </c>
      <c r="F5411" s="7" t="s">
        <v>194</v>
      </c>
      <c r="G5411" s="7" t="s">
        <v>505</v>
      </c>
      <c r="H5411" s="6" t="n">
        <v>4.28</v>
      </c>
      <c r="I5411" s="6" t="n">
        <v>0</v>
      </c>
      <c r="J5411" s="40" t="n">
        <f aca="false">H5411-I5411</f>
        <v>4.28</v>
      </c>
      <c r="K5411" s="41" t="n">
        <v>26.5</v>
      </c>
      <c r="L5411" s="42" t="n">
        <f aca="false">J5411*K5411</f>
        <v>113.42</v>
      </c>
      <c r="M5411" s="43" t="n">
        <f aca="false">H5411*16*(1+'Chart of Accounts'!$E$67)</f>
        <v>78.4096</v>
      </c>
    </row>
    <row r="5412" customFormat="false" ht="15" hidden="false" customHeight="false" outlineLevel="0" collapsed="false">
      <c r="B5412" s="7" t="s">
        <v>5909</v>
      </c>
      <c r="C5412" s="39" t="n">
        <v>45915</v>
      </c>
      <c r="D5412" s="7" t="s">
        <v>371</v>
      </c>
      <c r="E5412" s="7" t="s">
        <v>154</v>
      </c>
      <c r="F5412" s="7" t="s">
        <v>232</v>
      </c>
      <c r="G5412" s="7" t="s">
        <v>505</v>
      </c>
      <c r="H5412" s="6" t="n">
        <v>4.43</v>
      </c>
      <c r="I5412" s="6" t="n">
        <v>0.133</v>
      </c>
      <c r="J5412" s="40" t="n">
        <f aca="false">H5412-I5412</f>
        <v>4.297</v>
      </c>
      <c r="K5412" s="41" t="n">
        <v>26.5</v>
      </c>
      <c r="L5412" s="42" t="n">
        <f aca="false">J5412*K5412</f>
        <v>113.8705</v>
      </c>
      <c r="M5412" s="43" t="n">
        <f aca="false">H5412*16.17*(1+'Chart of Accounts'!$E$67)</f>
        <v>82.0198995</v>
      </c>
    </row>
    <row r="5413" customFormat="false" ht="15" hidden="false" customHeight="false" outlineLevel="0" collapsed="false">
      <c r="B5413" s="7" t="s">
        <v>5910</v>
      </c>
      <c r="C5413" s="39" t="n">
        <v>45915</v>
      </c>
      <c r="D5413" s="7" t="s">
        <v>375</v>
      </c>
      <c r="E5413" s="7" t="s">
        <v>156</v>
      </c>
      <c r="F5413" s="7" t="s">
        <v>196</v>
      </c>
      <c r="G5413" s="7" t="s">
        <v>505</v>
      </c>
      <c r="H5413" s="6" t="n">
        <v>3.17</v>
      </c>
      <c r="I5413" s="6" t="n">
        <v>0</v>
      </c>
      <c r="J5413" s="40" t="n">
        <f aca="false">H5413-I5413</f>
        <v>3.17</v>
      </c>
      <c r="K5413" s="41" t="n">
        <v>34</v>
      </c>
      <c r="L5413" s="42" t="n">
        <f aca="false">J5413*K5413</f>
        <v>107.78</v>
      </c>
      <c r="M5413" s="43" t="n">
        <f aca="false">H5413*15.05*(1+'Chart of Accounts'!$E$67)</f>
        <v>54.6262325</v>
      </c>
    </row>
    <row r="5414" customFormat="false" ht="15" hidden="false" customHeight="false" outlineLevel="0" collapsed="false">
      <c r="B5414" s="7" t="s">
        <v>5911</v>
      </c>
      <c r="C5414" s="39" t="n">
        <v>45915</v>
      </c>
      <c r="D5414" s="7" t="s">
        <v>377</v>
      </c>
      <c r="E5414" s="7" t="s">
        <v>154</v>
      </c>
      <c r="F5414" s="7" t="s">
        <v>214</v>
      </c>
      <c r="G5414" s="7" t="s">
        <v>505</v>
      </c>
      <c r="H5414" s="6" t="n">
        <v>3.87</v>
      </c>
      <c r="I5414" s="6" t="n">
        <v>0</v>
      </c>
      <c r="J5414" s="40" t="n">
        <f aca="false">H5414-I5414</f>
        <v>3.87</v>
      </c>
      <c r="K5414" s="41" t="n">
        <v>26.5</v>
      </c>
      <c r="L5414" s="42" t="n">
        <f aca="false">J5414*K5414</f>
        <v>102.555</v>
      </c>
      <c r="M5414" s="43" t="n">
        <f aca="false">H5414*15.67*(1+'Chart of Accounts'!$E$67)</f>
        <v>69.4361205</v>
      </c>
    </row>
    <row r="5415" customFormat="false" ht="15" hidden="false" customHeight="false" outlineLevel="0" collapsed="false">
      <c r="B5415" s="7" t="s">
        <v>5912</v>
      </c>
      <c r="C5415" s="39" t="n">
        <v>45915</v>
      </c>
      <c r="D5415" s="7" t="s">
        <v>379</v>
      </c>
      <c r="E5415" s="7" t="s">
        <v>156</v>
      </c>
      <c r="F5415" s="7" t="s">
        <v>224</v>
      </c>
      <c r="G5415" s="7" t="s">
        <v>505</v>
      </c>
      <c r="H5415" s="6" t="n">
        <v>4.38</v>
      </c>
      <c r="I5415" s="6" t="n">
        <v>0</v>
      </c>
      <c r="J5415" s="40" t="n">
        <f aca="false">H5415-I5415</f>
        <v>4.38</v>
      </c>
      <c r="K5415" s="41" t="n">
        <v>34</v>
      </c>
      <c r="L5415" s="42" t="n">
        <f aca="false">J5415*K5415</f>
        <v>148.92</v>
      </c>
      <c r="M5415" s="43" t="n">
        <f aca="false">H5415*14.93*(1+'Chart of Accounts'!$E$67)</f>
        <v>74.875443</v>
      </c>
    </row>
    <row r="5416" customFormat="false" ht="15" hidden="false" customHeight="false" outlineLevel="0" collapsed="false">
      <c r="B5416" s="7" t="s">
        <v>5913</v>
      </c>
      <c r="C5416" s="39" t="n">
        <v>45915</v>
      </c>
      <c r="D5416" s="7" t="s">
        <v>385</v>
      </c>
      <c r="E5416" s="7" t="s">
        <v>156</v>
      </c>
      <c r="F5416" s="7" t="s">
        <v>238</v>
      </c>
      <c r="G5416" s="7" t="s">
        <v>505</v>
      </c>
      <c r="H5416" s="6" t="n">
        <v>3.88</v>
      </c>
      <c r="I5416" s="6" t="n">
        <v>0</v>
      </c>
      <c r="J5416" s="40" t="n">
        <f aca="false">H5416-I5416</f>
        <v>3.88</v>
      </c>
      <c r="K5416" s="41" t="n">
        <v>34</v>
      </c>
      <c r="L5416" s="42" t="n">
        <f aca="false">J5416*K5416</f>
        <v>131.92</v>
      </c>
      <c r="M5416" s="43" t="n">
        <f aca="false">H5416*15.85*(1+'Chart of Accounts'!$E$67)</f>
        <v>70.41521</v>
      </c>
    </row>
    <row r="5417" customFormat="false" ht="15" hidden="false" customHeight="false" outlineLevel="0" collapsed="false">
      <c r="B5417" s="7" t="s">
        <v>5914</v>
      </c>
      <c r="C5417" s="39" t="n">
        <v>45915</v>
      </c>
      <c r="D5417" s="7" t="s">
        <v>387</v>
      </c>
      <c r="E5417" s="7" t="s">
        <v>154</v>
      </c>
      <c r="F5417" s="7" t="s">
        <v>196</v>
      </c>
      <c r="G5417" s="7" t="s">
        <v>505</v>
      </c>
      <c r="H5417" s="6" t="n">
        <v>4.26</v>
      </c>
      <c r="I5417" s="6" t="n">
        <v>0</v>
      </c>
      <c r="J5417" s="40" t="n">
        <f aca="false">H5417-I5417</f>
        <v>4.26</v>
      </c>
      <c r="K5417" s="41" t="n">
        <v>26.5</v>
      </c>
      <c r="L5417" s="42" t="n">
        <f aca="false">J5417*K5417</f>
        <v>112.89</v>
      </c>
      <c r="M5417" s="43" t="n">
        <f aca="false">H5417*15.05*(1+'Chart of Accounts'!$E$67)</f>
        <v>73.409385</v>
      </c>
    </row>
    <row r="5418" customFormat="false" ht="15" hidden="false" customHeight="false" outlineLevel="0" collapsed="false">
      <c r="B5418" s="7" t="s">
        <v>5915</v>
      </c>
      <c r="C5418" s="39" t="n">
        <v>45915</v>
      </c>
      <c r="D5418" s="7" t="s">
        <v>389</v>
      </c>
      <c r="E5418" s="7" t="s">
        <v>154</v>
      </c>
      <c r="F5418" s="7" t="s">
        <v>246</v>
      </c>
      <c r="G5418" s="7" t="s">
        <v>505</v>
      </c>
      <c r="H5418" s="6" t="n">
        <v>4.32</v>
      </c>
      <c r="I5418" s="6" t="n">
        <v>0</v>
      </c>
      <c r="J5418" s="40" t="n">
        <f aca="false">H5418-I5418</f>
        <v>4.32</v>
      </c>
      <c r="K5418" s="41" t="n">
        <v>26.5</v>
      </c>
      <c r="L5418" s="42" t="n">
        <f aca="false">J5418*K5418</f>
        <v>114.48</v>
      </c>
      <c r="M5418" s="43" t="n">
        <f aca="false">H5418*16.48*(1+'Chart of Accounts'!$E$67)</f>
        <v>81.516672</v>
      </c>
    </row>
    <row r="5419" customFormat="false" ht="15" hidden="false" customHeight="false" outlineLevel="0" collapsed="false">
      <c r="B5419" s="7" t="s">
        <v>5916</v>
      </c>
      <c r="C5419" s="39" t="n">
        <v>45915</v>
      </c>
      <c r="D5419" s="7" t="s">
        <v>391</v>
      </c>
      <c r="E5419" s="7" t="s">
        <v>156</v>
      </c>
      <c r="F5419" s="7" t="s">
        <v>222</v>
      </c>
      <c r="G5419" s="7" t="s">
        <v>505</v>
      </c>
      <c r="H5419" s="6" t="n">
        <v>3.71</v>
      </c>
      <c r="I5419" s="6" t="n">
        <v>0</v>
      </c>
      <c r="J5419" s="40" t="n">
        <f aca="false">H5419-I5419</f>
        <v>3.71</v>
      </c>
      <c r="K5419" s="41" t="n">
        <v>34</v>
      </c>
      <c r="L5419" s="42" t="n">
        <f aca="false">J5419*K5419</f>
        <v>126.14</v>
      </c>
      <c r="M5419" s="43" t="n">
        <f aca="false">H5419*17.84*(1+'Chart of Accounts'!$E$67)</f>
        <v>75.783428</v>
      </c>
    </row>
    <row r="5420" customFormat="false" ht="15" hidden="false" customHeight="false" outlineLevel="0" collapsed="false">
      <c r="B5420" s="7" t="s">
        <v>5917</v>
      </c>
      <c r="C5420" s="39" t="n">
        <v>45915</v>
      </c>
      <c r="D5420" s="7" t="s">
        <v>395</v>
      </c>
      <c r="E5420" s="7" t="s">
        <v>156</v>
      </c>
      <c r="F5420" s="7" t="s">
        <v>242</v>
      </c>
      <c r="G5420" s="7" t="s">
        <v>505</v>
      </c>
      <c r="H5420" s="6" t="n">
        <v>3.73</v>
      </c>
      <c r="I5420" s="6" t="n">
        <v>0</v>
      </c>
      <c r="J5420" s="40" t="n">
        <f aca="false">H5420-I5420</f>
        <v>3.73</v>
      </c>
      <c r="K5420" s="41" t="n">
        <v>34</v>
      </c>
      <c r="L5420" s="42" t="n">
        <f aca="false">J5420*K5420</f>
        <v>126.82</v>
      </c>
      <c r="M5420" s="43" t="n">
        <f aca="false">H5420*17.99*(1+'Chart of Accounts'!$E$67)</f>
        <v>76.8325915</v>
      </c>
    </row>
    <row r="5421" customFormat="false" ht="15" hidden="false" customHeight="false" outlineLevel="0" collapsed="false">
      <c r="B5421" s="7" t="s">
        <v>5918</v>
      </c>
      <c r="C5421" s="39" t="n">
        <v>45915</v>
      </c>
      <c r="D5421" s="7" t="s">
        <v>399</v>
      </c>
      <c r="E5421" s="7" t="s">
        <v>154</v>
      </c>
      <c r="F5421" s="7" t="s">
        <v>194</v>
      </c>
      <c r="G5421" s="7" t="s">
        <v>505</v>
      </c>
      <c r="H5421" s="6" t="n">
        <v>3.59</v>
      </c>
      <c r="I5421" s="6" t="n">
        <v>0</v>
      </c>
      <c r="J5421" s="40" t="n">
        <f aca="false">H5421-I5421</f>
        <v>3.59</v>
      </c>
      <c r="K5421" s="41" t="n">
        <v>26.5</v>
      </c>
      <c r="L5421" s="42" t="n">
        <f aca="false">J5421*K5421</f>
        <v>95.135</v>
      </c>
      <c r="M5421" s="43" t="n">
        <f aca="false">H5421*16*(1+'Chart of Accounts'!$E$67)</f>
        <v>65.7688</v>
      </c>
    </row>
    <row r="5422" customFormat="false" ht="15" hidden="false" customHeight="false" outlineLevel="0" collapsed="false">
      <c r="B5422" s="7" t="s">
        <v>5919</v>
      </c>
      <c r="C5422" s="39" t="n">
        <v>45915</v>
      </c>
      <c r="D5422" s="7" t="s">
        <v>401</v>
      </c>
      <c r="E5422" s="7" t="s">
        <v>156</v>
      </c>
      <c r="F5422" s="7" t="s">
        <v>254</v>
      </c>
      <c r="G5422" s="7" t="s">
        <v>505</v>
      </c>
      <c r="H5422" s="6" t="n">
        <v>3.9</v>
      </c>
      <c r="I5422" s="6" t="n">
        <v>0</v>
      </c>
      <c r="J5422" s="40" t="n">
        <f aca="false">H5422-I5422</f>
        <v>3.9</v>
      </c>
      <c r="K5422" s="41" t="n">
        <v>34</v>
      </c>
      <c r="L5422" s="42" t="n">
        <f aca="false">J5422*K5422</f>
        <v>132.6</v>
      </c>
      <c r="M5422" s="43" t="n">
        <f aca="false">H5422*17.1*(1+'Chart of Accounts'!$E$67)</f>
        <v>76.36005</v>
      </c>
    </row>
    <row r="5423" customFormat="false" ht="15" hidden="false" customHeight="false" outlineLevel="0" collapsed="false">
      <c r="B5423" s="7" t="s">
        <v>5920</v>
      </c>
      <c r="C5423" s="39" t="n">
        <v>45915</v>
      </c>
      <c r="D5423" s="7" t="s">
        <v>403</v>
      </c>
      <c r="E5423" s="7" t="s">
        <v>156</v>
      </c>
      <c r="F5423" s="7" t="s">
        <v>184</v>
      </c>
      <c r="G5423" s="7" t="s">
        <v>505</v>
      </c>
      <c r="H5423" s="6" t="n">
        <v>3.73</v>
      </c>
      <c r="I5423" s="6" t="n">
        <v>0</v>
      </c>
      <c r="J5423" s="40" t="n">
        <f aca="false">H5423-I5423</f>
        <v>3.73</v>
      </c>
      <c r="K5423" s="41" t="n">
        <v>34</v>
      </c>
      <c r="L5423" s="42" t="n">
        <f aca="false">J5423*K5423</f>
        <v>126.82</v>
      </c>
      <c r="M5423" s="43" t="n">
        <f aca="false">H5423*17.34*(1+'Chart of Accounts'!$E$67)</f>
        <v>74.056539</v>
      </c>
    </row>
    <row r="5424" customFormat="false" ht="15" hidden="false" customHeight="false" outlineLevel="0" collapsed="false">
      <c r="B5424" s="7" t="s">
        <v>5921</v>
      </c>
      <c r="C5424" s="39" t="n">
        <v>45915</v>
      </c>
      <c r="D5424" s="7" t="s">
        <v>409</v>
      </c>
      <c r="E5424" s="7" t="s">
        <v>154</v>
      </c>
      <c r="F5424" s="7" t="s">
        <v>214</v>
      </c>
      <c r="G5424" s="7" t="s">
        <v>505</v>
      </c>
      <c r="H5424" s="6" t="n">
        <v>3.08</v>
      </c>
      <c r="I5424" s="6" t="n">
        <v>0</v>
      </c>
      <c r="J5424" s="40" t="n">
        <f aca="false">H5424-I5424</f>
        <v>3.08</v>
      </c>
      <c r="K5424" s="41" t="n">
        <v>26.5</v>
      </c>
      <c r="L5424" s="42" t="n">
        <f aca="false">J5424*K5424</f>
        <v>81.62</v>
      </c>
      <c r="M5424" s="43" t="n">
        <f aca="false">H5424*15.67*(1+'Chart of Accounts'!$E$67)</f>
        <v>55.261822</v>
      </c>
    </row>
    <row r="5425" customFormat="false" ht="15" hidden="false" customHeight="false" outlineLevel="0" collapsed="false">
      <c r="B5425" s="7" t="s">
        <v>5922</v>
      </c>
      <c r="C5425" s="39" t="n">
        <v>45915</v>
      </c>
      <c r="D5425" s="7" t="s">
        <v>411</v>
      </c>
      <c r="E5425" s="7" t="s">
        <v>154</v>
      </c>
      <c r="F5425" s="7" t="s">
        <v>177</v>
      </c>
      <c r="G5425" s="7" t="s">
        <v>505</v>
      </c>
      <c r="H5425" s="6" t="n">
        <v>4.99</v>
      </c>
      <c r="I5425" s="6" t="n">
        <v>0</v>
      </c>
      <c r="J5425" s="40" t="n">
        <f aca="false">H5425-I5425</f>
        <v>4.99</v>
      </c>
      <c r="K5425" s="41" t="n">
        <v>26.5</v>
      </c>
      <c r="L5425" s="42" t="n">
        <f aca="false">J5425*K5425</f>
        <v>132.235</v>
      </c>
      <c r="M5425" s="43" t="n">
        <f aca="false">H5425*14.56*(1+'Chart of Accounts'!$E$67)</f>
        <v>83.189288</v>
      </c>
    </row>
    <row r="5426" customFormat="false" ht="15" hidden="false" customHeight="false" outlineLevel="0" collapsed="false">
      <c r="B5426" s="7" t="s">
        <v>5923</v>
      </c>
      <c r="C5426" s="39" t="n">
        <v>45916</v>
      </c>
      <c r="D5426" s="7" t="s">
        <v>288</v>
      </c>
      <c r="E5426" s="7" t="s">
        <v>156</v>
      </c>
      <c r="F5426" s="7" t="s">
        <v>205</v>
      </c>
      <c r="G5426" s="7" t="s">
        <v>505</v>
      </c>
      <c r="H5426" s="6" t="n">
        <v>3.65</v>
      </c>
      <c r="I5426" s="6" t="n">
        <v>0</v>
      </c>
      <c r="J5426" s="40" t="n">
        <f aca="false">H5426-I5426</f>
        <v>3.65</v>
      </c>
      <c r="K5426" s="41" t="n">
        <v>34</v>
      </c>
      <c r="L5426" s="42" t="n">
        <f aca="false">J5426*K5426</f>
        <v>124.1</v>
      </c>
      <c r="M5426" s="43" t="n">
        <f aca="false">H5426*16.36*(1+'Chart of Accounts'!$E$67)</f>
        <v>68.37253</v>
      </c>
    </row>
    <row r="5427" customFormat="false" ht="15" hidden="false" customHeight="false" outlineLevel="0" collapsed="false">
      <c r="B5427" s="7" t="s">
        <v>5924</v>
      </c>
      <c r="C5427" s="39" t="n">
        <v>45916</v>
      </c>
      <c r="D5427" s="7" t="s">
        <v>293</v>
      </c>
      <c r="E5427" s="7" t="s">
        <v>157</v>
      </c>
      <c r="F5427" s="7" t="s">
        <v>198</v>
      </c>
      <c r="G5427" s="7" t="s">
        <v>502</v>
      </c>
      <c r="H5427" s="6" t="n">
        <v>0.92</v>
      </c>
      <c r="I5427" s="6" t="n">
        <v>0</v>
      </c>
      <c r="J5427" s="40" t="n">
        <f aca="false">H5427-I5427</f>
        <v>0.92</v>
      </c>
      <c r="K5427" s="41" t="n">
        <v>165</v>
      </c>
      <c r="L5427" s="42" t="n">
        <f aca="false">J5427*K5427</f>
        <v>151.8</v>
      </c>
      <c r="M5427" s="43" t="n">
        <f aca="false">H5427*48.09*(1+'Chart of Accounts'!$E$67)</f>
        <v>50.658006</v>
      </c>
    </row>
    <row r="5428" customFormat="false" ht="15" hidden="false" customHeight="false" outlineLevel="0" collapsed="false">
      <c r="B5428" s="7" t="s">
        <v>5925</v>
      </c>
      <c r="C5428" s="39" t="n">
        <v>45916</v>
      </c>
      <c r="D5428" s="7" t="s">
        <v>313</v>
      </c>
      <c r="E5428" s="7" t="s">
        <v>156</v>
      </c>
      <c r="F5428" s="7" t="s">
        <v>184</v>
      </c>
      <c r="G5428" s="7" t="s">
        <v>505</v>
      </c>
      <c r="H5428" s="6" t="n">
        <v>3.89</v>
      </c>
      <c r="I5428" s="6" t="n">
        <v>0</v>
      </c>
      <c r="J5428" s="40" t="n">
        <f aca="false">H5428-I5428</f>
        <v>3.89</v>
      </c>
      <c r="K5428" s="41" t="n">
        <v>34</v>
      </c>
      <c r="L5428" s="42" t="n">
        <f aca="false">J5428*K5428</f>
        <v>132.26</v>
      </c>
      <c r="M5428" s="43" t="n">
        <f aca="false">H5428*17.34*(1+'Chart of Accounts'!$E$67)</f>
        <v>77.233227</v>
      </c>
    </row>
    <row r="5429" customFormat="false" ht="15" hidden="false" customHeight="false" outlineLevel="0" collapsed="false">
      <c r="B5429" s="7" t="s">
        <v>5926</v>
      </c>
      <c r="C5429" s="39" t="n">
        <v>45916</v>
      </c>
      <c r="D5429" s="7" t="s">
        <v>319</v>
      </c>
      <c r="E5429" s="7" t="s">
        <v>157</v>
      </c>
      <c r="F5429" s="7" t="s">
        <v>234</v>
      </c>
      <c r="G5429" s="7" t="s">
        <v>502</v>
      </c>
      <c r="H5429" s="6" t="n">
        <v>1.07</v>
      </c>
      <c r="I5429" s="6" t="n">
        <v>0</v>
      </c>
      <c r="J5429" s="40" t="n">
        <f aca="false">H5429-I5429</f>
        <v>1.07</v>
      </c>
      <c r="K5429" s="41" t="n">
        <v>165</v>
      </c>
      <c r="L5429" s="42" t="n">
        <f aca="false">J5429*K5429</f>
        <v>176.55</v>
      </c>
      <c r="M5429" s="43" t="n">
        <f aca="false">H5429*89.53*(1+'Chart of Accounts'!$E$67)</f>
        <v>109.6876795</v>
      </c>
    </row>
    <row r="5430" customFormat="false" ht="15" hidden="false" customHeight="false" outlineLevel="0" collapsed="false">
      <c r="B5430" s="7" t="s">
        <v>5927</v>
      </c>
      <c r="C5430" s="39" t="n">
        <v>45916</v>
      </c>
      <c r="D5430" s="7" t="s">
        <v>321</v>
      </c>
      <c r="E5430" s="7" t="s">
        <v>154</v>
      </c>
      <c r="F5430" s="7" t="s">
        <v>218</v>
      </c>
      <c r="G5430" s="7" t="s">
        <v>505</v>
      </c>
      <c r="H5430" s="6" t="n">
        <v>3.97</v>
      </c>
      <c r="I5430" s="6" t="n">
        <v>0</v>
      </c>
      <c r="J5430" s="40" t="n">
        <f aca="false">H5430-I5430</f>
        <v>3.97</v>
      </c>
      <c r="K5430" s="41" t="n">
        <v>26.5</v>
      </c>
      <c r="L5430" s="42" t="n">
        <f aca="false">J5430*K5430</f>
        <v>105.205</v>
      </c>
      <c r="M5430" s="43" t="n">
        <f aca="false">H5430*16.19*(1+'Chart of Accounts'!$E$67)</f>
        <v>73.5940735</v>
      </c>
    </row>
    <row r="5431" customFormat="false" ht="15" hidden="false" customHeight="false" outlineLevel="0" collapsed="false">
      <c r="B5431" s="7" t="s">
        <v>5928</v>
      </c>
      <c r="C5431" s="39" t="n">
        <v>45916</v>
      </c>
      <c r="D5431" s="7" t="s">
        <v>323</v>
      </c>
      <c r="E5431" s="7" t="s">
        <v>159</v>
      </c>
      <c r="F5431" s="7" t="s">
        <v>203</v>
      </c>
      <c r="G5431" s="7" t="s">
        <v>502</v>
      </c>
      <c r="H5431" s="6" t="n">
        <v>0.98</v>
      </c>
      <c r="I5431" s="6" t="n">
        <v>0.069</v>
      </c>
      <c r="J5431" s="40" t="n">
        <f aca="false">H5431-I5431</f>
        <v>0.911</v>
      </c>
      <c r="K5431" s="41" t="n">
        <v>135</v>
      </c>
      <c r="L5431" s="42" t="n">
        <f aca="false">J5431*K5431</f>
        <v>122.985</v>
      </c>
      <c r="M5431" s="43" t="n">
        <f aca="false">H5431*49.43*(1+'Chart of Accounts'!$E$67)</f>
        <v>55.465403</v>
      </c>
    </row>
    <row r="5432" customFormat="false" ht="15" hidden="false" customHeight="false" outlineLevel="0" collapsed="false">
      <c r="B5432" s="7" t="s">
        <v>5929</v>
      </c>
      <c r="C5432" s="39" t="n">
        <v>45916</v>
      </c>
      <c r="D5432" s="7" t="s">
        <v>327</v>
      </c>
      <c r="E5432" s="7" t="s">
        <v>157</v>
      </c>
      <c r="F5432" s="7" t="s">
        <v>228</v>
      </c>
      <c r="G5432" s="7" t="s">
        <v>502</v>
      </c>
      <c r="H5432" s="6" t="n">
        <v>1</v>
      </c>
      <c r="I5432" s="6" t="n">
        <v>0</v>
      </c>
      <c r="J5432" s="40" t="n">
        <f aca="false">H5432-I5432</f>
        <v>1</v>
      </c>
      <c r="K5432" s="41" t="n">
        <v>165</v>
      </c>
      <c r="L5432" s="42" t="n">
        <f aca="false">J5432*K5432</f>
        <v>165</v>
      </c>
      <c r="M5432" s="43" t="n">
        <f aca="false">H5432*51.07*(1+'Chart of Accounts'!$E$67)</f>
        <v>58.47515</v>
      </c>
    </row>
    <row r="5433" customFormat="false" ht="15" hidden="false" customHeight="false" outlineLevel="0" collapsed="false">
      <c r="B5433" s="7" t="s">
        <v>5930</v>
      </c>
      <c r="C5433" s="39" t="n">
        <v>45916</v>
      </c>
      <c r="D5433" s="7" t="s">
        <v>329</v>
      </c>
      <c r="E5433" s="7" t="s">
        <v>156</v>
      </c>
      <c r="F5433" s="7" t="s">
        <v>220</v>
      </c>
      <c r="G5433" s="7" t="s">
        <v>505</v>
      </c>
      <c r="H5433" s="6" t="n">
        <v>3.84</v>
      </c>
      <c r="I5433" s="6" t="n">
        <v>0</v>
      </c>
      <c r="J5433" s="40" t="n">
        <f aca="false">H5433-I5433</f>
        <v>3.84</v>
      </c>
      <c r="K5433" s="41" t="n">
        <v>34</v>
      </c>
      <c r="L5433" s="42" t="n">
        <f aca="false">J5433*K5433</f>
        <v>130.56</v>
      </c>
      <c r="M5433" s="43" t="n">
        <f aca="false">H5433*16.43*(1+'Chart of Accounts'!$E$67)</f>
        <v>72.239424</v>
      </c>
    </row>
    <row r="5434" customFormat="false" ht="15" hidden="false" customHeight="false" outlineLevel="0" collapsed="false">
      <c r="B5434" s="7" t="s">
        <v>5931</v>
      </c>
      <c r="C5434" s="39" t="n">
        <v>45916</v>
      </c>
      <c r="D5434" s="7" t="s">
        <v>349</v>
      </c>
      <c r="E5434" s="7" t="s">
        <v>154</v>
      </c>
      <c r="F5434" s="7" t="s">
        <v>244</v>
      </c>
      <c r="G5434" s="7" t="s">
        <v>505</v>
      </c>
      <c r="H5434" s="6" t="n">
        <v>3.8</v>
      </c>
      <c r="I5434" s="6" t="n">
        <v>0</v>
      </c>
      <c r="J5434" s="40" t="n">
        <f aca="false">H5434-I5434</f>
        <v>3.8</v>
      </c>
      <c r="K5434" s="41" t="n">
        <v>26.5</v>
      </c>
      <c r="L5434" s="42" t="n">
        <f aca="false">J5434*K5434</f>
        <v>100.7</v>
      </c>
      <c r="M5434" s="43" t="n">
        <f aca="false">H5434*16.39*(1+'Chart of Accounts'!$E$67)</f>
        <v>71.31289</v>
      </c>
    </row>
    <row r="5435" customFormat="false" ht="15" hidden="false" customHeight="false" outlineLevel="0" collapsed="false">
      <c r="B5435" s="7" t="s">
        <v>5932</v>
      </c>
      <c r="C5435" s="39" t="n">
        <v>45916</v>
      </c>
      <c r="D5435" s="7" t="s">
        <v>359</v>
      </c>
      <c r="E5435" s="7" t="s">
        <v>156</v>
      </c>
      <c r="F5435" s="7" t="s">
        <v>222</v>
      </c>
      <c r="G5435" s="7" t="s">
        <v>505</v>
      </c>
      <c r="H5435" s="6" t="n">
        <v>3.95</v>
      </c>
      <c r="I5435" s="6" t="n">
        <v>0</v>
      </c>
      <c r="J5435" s="40" t="n">
        <f aca="false">H5435-I5435</f>
        <v>3.95</v>
      </c>
      <c r="K5435" s="41" t="n">
        <v>34</v>
      </c>
      <c r="L5435" s="42" t="n">
        <f aca="false">J5435*K5435</f>
        <v>134.3</v>
      </c>
      <c r="M5435" s="43" t="n">
        <f aca="false">H5435*17.84*(1+'Chart of Accounts'!$E$67)</f>
        <v>80.68586</v>
      </c>
    </row>
    <row r="5436" customFormat="false" ht="15" hidden="false" customHeight="false" outlineLevel="0" collapsed="false">
      <c r="B5436" s="7" t="s">
        <v>5933</v>
      </c>
      <c r="C5436" s="39" t="n">
        <v>45916</v>
      </c>
      <c r="D5436" s="7" t="s">
        <v>361</v>
      </c>
      <c r="E5436" s="7" t="s">
        <v>157</v>
      </c>
      <c r="F5436" s="7" t="s">
        <v>209</v>
      </c>
      <c r="G5436" s="7" t="s">
        <v>502</v>
      </c>
      <c r="H5436" s="6" t="n">
        <v>0.94</v>
      </c>
      <c r="I5436" s="6" t="n">
        <v>0</v>
      </c>
      <c r="J5436" s="40" t="n">
        <f aca="false">H5436-I5436</f>
        <v>0.94</v>
      </c>
      <c r="K5436" s="41" t="n">
        <v>165</v>
      </c>
      <c r="L5436" s="42" t="n">
        <f aca="false">J5436*K5436</f>
        <v>155.1</v>
      </c>
      <c r="M5436" s="43" t="n">
        <f aca="false">H5436*73.58*(1+'Chart of Accounts'!$E$67)</f>
        <v>79.194154</v>
      </c>
    </row>
    <row r="5437" customFormat="false" ht="15" hidden="false" customHeight="false" outlineLevel="0" collapsed="false">
      <c r="B5437" s="7" t="s">
        <v>5934</v>
      </c>
      <c r="C5437" s="39" t="n">
        <v>45916</v>
      </c>
      <c r="D5437" s="7" t="s">
        <v>365</v>
      </c>
      <c r="E5437" s="7" t="s">
        <v>154</v>
      </c>
      <c r="F5437" s="7" t="s">
        <v>194</v>
      </c>
      <c r="G5437" s="7" t="s">
        <v>505</v>
      </c>
      <c r="H5437" s="6" t="n">
        <v>3.61</v>
      </c>
      <c r="I5437" s="6" t="n">
        <v>0</v>
      </c>
      <c r="J5437" s="40" t="n">
        <f aca="false">H5437-I5437</f>
        <v>3.61</v>
      </c>
      <c r="K5437" s="41" t="n">
        <v>26.5</v>
      </c>
      <c r="L5437" s="42" t="n">
        <f aca="false">J5437*K5437</f>
        <v>95.665</v>
      </c>
      <c r="M5437" s="43" t="n">
        <f aca="false">H5437*16*(1+'Chart of Accounts'!$E$67)</f>
        <v>66.1352</v>
      </c>
    </row>
    <row r="5438" customFormat="false" ht="15" hidden="false" customHeight="false" outlineLevel="0" collapsed="false">
      <c r="B5438" s="7" t="s">
        <v>5935</v>
      </c>
      <c r="C5438" s="39" t="n">
        <v>45916</v>
      </c>
      <c r="D5438" s="7" t="s">
        <v>369</v>
      </c>
      <c r="E5438" s="7" t="s">
        <v>159</v>
      </c>
      <c r="F5438" s="7" t="s">
        <v>258</v>
      </c>
      <c r="G5438" s="7" t="s">
        <v>502</v>
      </c>
      <c r="H5438" s="6" t="n">
        <v>0.99</v>
      </c>
      <c r="I5438" s="6" t="n">
        <v>0</v>
      </c>
      <c r="J5438" s="40" t="n">
        <f aca="false">H5438-I5438</f>
        <v>0.99</v>
      </c>
      <c r="K5438" s="41" t="n">
        <v>135</v>
      </c>
      <c r="L5438" s="42" t="n">
        <f aca="false">J5438*K5438</f>
        <v>133.65</v>
      </c>
      <c r="M5438" s="43" t="n">
        <f aca="false">H5438*61.61*(1+'Chart of Accounts'!$E$67)</f>
        <v>69.8380155</v>
      </c>
    </row>
    <row r="5439" customFormat="false" ht="15" hidden="false" customHeight="false" outlineLevel="0" collapsed="false">
      <c r="B5439" s="7" t="s">
        <v>5936</v>
      </c>
      <c r="C5439" s="39" t="n">
        <v>45916</v>
      </c>
      <c r="D5439" s="7" t="s">
        <v>381</v>
      </c>
      <c r="E5439" s="7" t="s">
        <v>157</v>
      </c>
      <c r="F5439" s="7" t="s">
        <v>234</v>
      </c>
      <c r="G5439" s="7" t="s">
        <v>502</v>
      </c>
      <c r="H5439" s="6" t="n">
        <v>0.93</v>
      </c>
      <c r="I5439" s="6" t="n">
        <v>0.047</v>
      </c>
      <c r="J5439" s="40" t="n">
        <f aca="false">H5439-I5439</f>
        <v>0.883</v>
      </c>
      <c r="K5439" s="41" t="n">
        <v>165</v>
      </c>
      <c r="L5439" s="42" t="n">
        <f aca="false">J5439*K5439</f>
        <v>145.695</v>
      </c>
      <c r="M5439" s="43" t="n">
        <f aca="false">H5439*89.53*(1+'Chart of Accounts'!$E$67)</f>
        <v>95.3360205</v>
      </c>
    </row>
    <row r="5440" customFormat="false" ht="15" hidden="false" customHeight="false" outlineLevel="0" collapsed="false">
      <c r="B5440" s="7" t="s">
        <v>5937</v>
      </c>
      <c r="C5440" s="39" t="n">
        <v>45916</v>
      </c>
      <c r="D5440" s="7" t="s">
        <v>383</v>
      </c>
      <c r="E5440" s="7" t="s">
        <v>157</v>
      </c>
      <c r="F5440" s="7" t="s">
        <v>230</v>
      </c>
      <c r="G5440" s="7" t="s">
        <v>502</v>
      </c>
      <c r="H5440" s="6" t="n">
        <v>0.96</v>
      </c>
      <c r="I5440" s="6" t="n">
        <v>0</v>
      </c>
      <c r="J5440" s="40" t="n">
        <f aca="false">H5440-I5440</f>
        <v>0.96</v>
      </c>
      <c r="K5440" s="41" t="n">
        <v>165</v>
      </c>
      <c r="L5440" s="42" t="n">
        <f aca="false">J5440*K5440</f>
        <v>158.4</v>
      </c>
      <c r="M5440" s="43" t="n">
        <f aca="false">H5440*48.78*(1+'Chart of Accounts'!$E$67)</f>
        <v>53.618976</v>
      </c>
    </row>
    <row r="5441" customFormat="false" ht="15" hidden="false" customHeight="false" outlineLevel="0" collapsed="false">
      <c r="B5441" s="7" t="s">
        <v>5938</v>
      </c>
      <c r="C5441" s="39" t="n">
        <v>45916</v>
      </c>
      <c r="D5441" s="7" t="s">
        <v>387</v>
      </c>
      <c r="E5441" s="7" t="s">
        <v>154</v>
      </c>
      <c r="F5441" s="7" t="s">
        <v>196</v>
      </c>
      <c r="G5441" s="7" t="s">
        <v>505</v>
      </c>
      <c r="H5441" s="6" t="n">
        <v>3.93</v>
      </c>
      <c r="I5441" s="6" t="n">
        <v>0</v>
      </c>
      <c r="J5441" s="40" t="n">
        <f aca="false">H5441-I5441</f>
        <v>3.93</v>
      </c>
      <c r="K5441" s="41" t="n">
        <v>26.5</v>
      </c>
      <c r="L5441" s="42" t="n">
        <f aca="false">J5441*K5441</f>
        <v>104.145</v>
      </c>
      <c r="M5441" s="43" t="n">
        <f aca="false">H5441*15.05*(1+'Chart of Accounts'!$E$67)</f>
        <v>67.7227425</v>
      </c>
    </row>
    <row r="5442" customFormat="false" ht="15" hidden="false" customHeight="false" outlineLevel="0" collapsed="false">
      <c r="B5442" s="7" t="s">
        <v>5939</v>
      </c>
      <c r="C5442" s="39" t="n">
        <v>45916</v>
      </c>
      <c r="D5442" s="7" t="s">
        <v>389</v>
      </c>
      <c r="E5442" s="7" t="s">
        <v>154</v>
      </c>
      <c r="F5442" s="7" t="s">
        <v>246</v>
      </c>
      <c r="G5442" s="7" t="s">
        <v>505</v>
      </c>
      <c r="H5442" s="6" t="n">
        <v>3.87</v>
      </c>
      <c r="I5442" s="6" t="n">
        <v>0</v>
      </c>
      <c r="J5442" s="40" t="n">
        <f aca="false">H5442-I5442</f>
        <v>3.87</v>
      </c>
      <c r="K5442" s="41" t="n">
        <v>26.5</v>
      </c>
      <c r="L5442" s="42" t="n">
        <f aca="false">J5442*K5442</f>
        <v>102.555</v>
      </c>
      <c r="M5442" s="43" t="n">
        <f aca="false">H5442*16.48*(1+'Chart of Accounts'!$E$67)</f>
        <v>73.025352</v>
      </c>
    </row>
    <row r="5443" customFormat="false" ht="15" hidden="false" customHeight="false" outlineLevel="0" collapsed="false">
      <c r="B5443" s="7" t="s">
        <v>5940</v>
      </c>
      <c r="C5443" s="39" t="n">
        <v>45916</v>
      </c>
      <c r="D5443" s="7" t="s">
        <v>391</v>
      </c>
      <c r="E5443" s="7" t="s">
        <v>156</v>
      </c>
      <c r="F5443" s="7" t="s">
        <v>222</v>
      </c>
      <c r="G5443" s="7" t="s">
        <v>505</v>
      </c>
      <c r="H5443" s="6" t="n">
        <v>3.81</v>
      </c>
      <c r="I5443" s="6" t="n">
        <v>0</v>
      </c>
      <c r="J5443" s="40" t="n">
        <f aca="false">H5443-I5443</f>
        <v>3.81</v>
      </c>
      <c r="K5443" s="41" t="n">
        <v>34</v>
      </c>
      <c r="L5443" s="42" t="n">
        <f aca="false">J5443*K5443</f>
        <v>129.54</v>
      </c>
      <c r="M5443" s="43" t="n">
        <f aca="false">H5443*17.84*(1+'Chart of Accounts'!$E$67)</f>
        <v>77.826108</v>
      </c>
    </row>
    <row r="5444" customFormat="false" ht="15" hidden="false" customHeight="false" outlineLevel="0" collapsed="false">
      <c r="B5444" s="7" t="s">
        <v>5941</v>
      </c>
      <c r="C5444" s="39" t="n">
        <v>45916</v>
      </c>
      <c r="D5444" s="7" t="s">
        <v>395</v>
      </c>
      <c r="E5444" s="7" t="s">
        <v>156</v>
      </c>
      <c r="F5444" s="7" t="s">
        <v>242</v>
      </c>
      <c r="G5444" s="7" t="s">
        <v>505</v>
      </c>
      <c r="H5444" s="6" t="n">
        <v>4.28</v>
      </c>
      <c r="I5444" s="6" t="n">
        <v>0</v>
      </c>
      <c r="J5444" s="40" t="n">
        <f aca="false">H5444-I5444</f>
        <v>4.28</v>
      </c>
      <c r="K5444" s="41" t="n">
        <v>34</v>
      </c>
      <c r="L5444" s="42" t="n">
        <f aca="false">J5444*K5444</f>
        <v>145.52</v>
      </c>
      <c r="M5444" s="43" t="n">
        <f aca="false">H5444*17.99*(1+'Chart of Accounts'!$E$67)</f>
        <v>88.161794</v>
      </c>
    </row>
    <row r="5445" customFormat="false" ht="15" hidden="false" customHeight="false" outlineLevel="0" collapsed="false">
      <c r="B5445" s="7" t="s">
        <v>5942</v>
      </c>
      <c r="C5445" s="39" t="n">
        <v>45916</v>
      </c>
      <c r="D5445" s="7" t="s">
        <v>397</v>
      </c>
      <c r="E5445" s="7" t="s">
        <v>159</v>
      </c>
      <c r="F5445" s="7" t="s">
        <v>203</v>
      </c>
      <c r="G5445" s="7" t="s">
        <v>502</v>
      </c>
      <c r="H5445" s="6" t="n">
        <v>1.01</v>
      </c>
      <c r="I5445" s="6" t="n">
        <v>0</v>
      </c>
      <c r="J5445" s="40" t="n">
        <f aca="false">H5445-I5445</f>
        <v>1.01</v>
      </c>
      <c r="K5445" s="41" t="n">
        <v>135</v>
      </c>
      <c r="L5445" s="42" t="n">
        <f aca="false">J5445*K5445</f>
        <v>136.35</v>
      </c>
      <c r="M5445" s="43" t="n">
        <f aca="false">H5445*49.43*(1+'Chart of Accounts'!$E$67)</f>
        <v>57.1633235</v>
      </c>
    </row>
    <row r="5446" customFormat="false" ht="15" hidden="false" customHeight="false" outlineLevel="0" collapsed="false">
      <c r="B5446" s="7" t="s">
        <v>5943</v>
      </c>
      <c r="C5446" s="39" t="n">
        <v>45916</v>
      </c>
      <c r="D5446" s="7" t="s">
        <v>401</v>
      </c>
      <c r="E5446" s="7" t="s">
        <v>156</v>
      </c>
      <c r="F5446" s="7" t="s">
        <v>254</v>
      </c>
      <c r="G5446" s="7" t="s">
        <v>505</v>
      </c>
      <c r="H5446" s="6" t="n">
        <v>4.36</v>
      </c>
      <c r="I5446" s="6" t="n">
        <v>0</v>
      </c>
      <c r="J5446" s="40" t="n">
        <f aca="false">H5446-I5446</f>
        <v>4.36</v>
      </c>
      <c r="K5446" s="41" t="n">
        <v>34</v>
      </c>
      <c r="L5446" s="42" t="n">
        <f aca="false">J5446*K5446</f>
        <v>148.24</v>
      </c>
      <c r="M5446" s="43" t="n">
        <f aca="false">H5446*17.1*(1+'Chart of Accounts'!$E$67)</f>
        <v>85.36662</v>
      </c>
    </row>
    <row r="5447" customFormat="false" ht="15" hidden="false" customHeight="false" outlineLevel="0" collapsed="false">
      <c r="B5447" s="7" t="s">
        <v>5944</v>
      </c>
      <c r="C5447" s="39" t="n">
        <v>45916</v>
      </c>
      <c r="D5447" s="7" t="s">
        <v>407</v>
      </c>
      <c r="E5447" s="7" t="s">
        <v>159</v>
      </c>
      <c r="F5447" s="7" t="s">
        <v>260</v>
      </c>
      <c r="G5447" s="7" t="s">
        <v>502</v>
      </c>
      <c r="H5447" s="6" t="n">
        <v>1.09</v>
      </c>
      <c r="I5447" s="6" t="n">
        <v>0</v>
      </c>
      <c r="J5447" s="40" t="n">
        <f aca="false">H5447-I5447</f>
        <v>1.09</v>
      </c>
      <c r="K5447" s="41" t="n">
        <v>135</v>
      </c>
      <c r="L5447" s="42" t="n">
        <f aca="false">J5447*K5447</f>
        <v>147.15</v>
      </c>
      <c r="M5447" s="43" t="n">
        <f aca="false">H5447*79.8*(1+'Chart of Accounts'!$E$67)</f>
        <v>99.59439</v>
      </c>
    </row>
    <row r="5448" customFormat="false" ht="15" hidden="false" customHeight="false" outlineLevel="0" collapsed="false">
      <c r="B5448" s="7" t="s">
        <v>5945</v>
      </c>
      <c r="C5448" s="39" t="n">
        <v>45917</v>
      </c>
      <c r="D5448" s="7" t="s">
        <v>288</v>
      </c>
      <c r="E5448" s="7" t="s">
        <v>156</v>
      </c>
      <c r="F5448" s="7" t="s">
        <v>194</v>
      </c>
      <c r="G5448" s="7" t="s">
        <v>505</v>
      </c>
      <c r="H5448" s="6" t="n">
        <v>3.85</v>
      </c>
      <c r="I5448" s="6" t="n">
        <v>0</v>
      </c>
      <c r="J5448" s="40" t="n">
        <f aca="false">H5448-I5448</f>
        <v>3.85</v>
      </c>
      <c r="K5448" s="41" t="n">
        <v>34</v>
      </c>
      <c r="L5448" s="42" t="n">
        <f aca="false">J5448*K5448</f>
        <v>130.9</v>
      </c>
      <c r="M5448" s="43" t="n">
        <f aca="false">H5448*16*(1+'Chart of Accounts'!$E$67)</f>
        <v>70.532</v>
      </c>
    </row>
    <row r="5449" customFormat="false" ht="15" hidden="false" customHeight="false" outlineLevel="0" collapsed="false">
      <c r="B5449" s="7" t="s">
        <v>5946</v>
      </c>
      <c r="C5449" s="39" t="n">
        <v>45917</v>
      </c>
      <c r="D5449" s="7" t="s">
        <v>291</v>
      </c>
      <c r="E5449" s="7" t="s">
        <v>154</v>
      </c>
      <c r="F5449" s="7" t="s">
        <v>194</v>
      </c>
      <c r="G5449" s="7" t="s">
        <v>505</v>
      </c>
      <c r="H5449" s="6" t="n">
        <v>4.73</v>
      </c>
      <c r="I5449" s="6" t="n">
        <v>0</v>
      </c>
      <c r="J5449" s="40" t="n">
        <f aca="false">H5449-I5449</f>
        <v>4.73</v>
      </c>
      <c r="K5449" s="41" t="n">
        <v>26.5</v>
      </c>
      <c r="L5449" s="42" t="n">
        <f aca="false">J5449*K5449</f>
        <v>125.345</v>
      </c>
      <c r="M5449" s="43" t="n">
        <f aca="false">H5449*16*(1+'Chart of Accounts'!$E$67)</f>
        <v>86.6536</v>
      </c>
    </row>
    <row r="5450" customFormat="false" ht="15" hidden="false" customHeight="false" outlineLevel="0" collapsed="false">
      <c r="B5450" s="7" t="s">
        <v>5947</v>
      </c>
      <c r="C5450" s="39" t="n">
        <v>45917</v>
      </c>
      <c r="D5450" s="7" t="s">
        <v>295</v>
      </c>
      <c r="E5450" s="7" t="s">
        <v>154</v>
      </c>
      <c r="F5450" s="7" t="s">
        <v>214</v>
      </c>
      <c r="G5450" s="7" t="s">
        <v>505</v>
      </c>
      <c r="H5450" s="6" t="n">
        <v>4.05</v>
      </c>
      <c r="I5450" s="6" t="n">
        <v>0</v>
      </c>
      <c r="J5450" s="40" t="n">
        <f aca="false">H5450-I5450</f>
        <v>4.05</v>
      </c>
      <c r="K5450" s="41" t="n">
        <v>26.5</v>
      </c>
      <c r="L5450" s="42" t="n">
        <f aca="false">J5450*K5450</f>
        <v>107.325</v>
      </c>
      <c r="M5450" s="43" t="n">
        <f aca="false">H5450*15.67*(1+'Chart of Accounts'!$E$67)</f>
        <v>72.6657075</v>
      </c>
    </row>
    <row r="5451" customFormat="false" ht="15" hidden="false" customHeight="false" outlineLevel="0" collapsed="false">
      <c r="B5451" s="7" t="s">
        <v>5948</v>
      </c>
      <c r="C5451" s="39" t="n">
        <v>45917</v>
      </c>
      <c r="D5451" s="7" t="s">
        <v>305</v>
      </c>
      <c r="E5451" s="7" t="s">
        <v>154</v>
      </c>
      <c r="F5451" s="7" t="s">
        <v>205</v>
      </c>
      <c r="G5451" s="7" t="s">
        <v>505</v>
      </c>
      <c r="H5451" s="6" t="n">
        <v>4.18</v>
      </c>
      <c r="I5451" s="6" t="n">
        <v>0</v>
      </c>
      <c r="J5451" s="40" t="n">
        <f aca="false">H5451-I5451</f>
        <v>4.18</v>
      </c>
      <c r="K5451" s="41" t="n">
        <v>26.5</v>
      </c>
      <c r="L5451" s="42" t="n">
        <f aca="false">J5451*K5451</f>
        <v>110.77</v>
      </c>
      <c r="M5451" s="43" t="n">
        <f aca="false">H5451*16.36*(1+'Chart of Accounts'!$E$67)</f>
        <v>78.300596</v>
      </c>
    </row>
    <row r="5452" customFormat="false" ht="15" hidden="false" customHeight="false" outlineLevel="0" collapsed="false">
      <c r="B5452" s="7" t="s">
        <v>5949</v>
      </c>
      <c r="C5452" s="39" t="n">
        <v>45917</v>
      </c>
      <c r="D5452" s="7" t="s">
        <v>307</v>
      </c>
      <c r="E5452" s="7" t="s">
        <v>157</v>
      </c>
      <c r="F5452" s="7" t="s">
        <v>264</v>
      </c>
      <c r="G5452" s="7" t="s">
        <v>502</v>
      </c>
      <c r="H5452" s="6" t="n">
        <v>0.99</v>
      </c>
      <c r="I5452" s="6" t="n">
        <v>0</v>
      </c>
      <c r="J5452" s="40" t="n">
        <f aca="false">H5452-I5452</f>
        <v>0.99</v>
      </c>
      <c r="K5452" s="41" t="n">
        <v>165</v>
      </c>
      <c r="L5452" s="42" t="n">
        <f aca="false">J5452*K5452</f>
        <v>163.35</v>
      </c>
      <c r="M5452" s="43" t="n">
        <f aca="false">H5452*55.55*(1+'Chart of Accounts'!$E$67)</f>
        <v>62.9687025</v>
      </c>
    </row>
    <row r="5453" customFormat="false" ht="15" hidden="false" customHeight="false" outlineLevel="0" collapsed="false">
      <c r="B5453" s="7" t="s">
        <v>5950</v>
      </c>
      <c r="C5453" s="39" t="n">
        <v>45917</v>
      </c>
      <c r="D5453" s="7" t="s">
        <v>309</v>
      </c>
      <c r="E5453" s="7" t="s">
        <v>159</v>
      </c>
      <c r="F5453" s="7" t="s">
        <v>252</v>
      </c>
      <c r="G5453" s="7" t="s">
        <v>502</v>
      </c>
      <c r="H5453" s="6" t="n">
        <v>1.03</v>
      </c>
      <c r="I5453" s="6" t="n">
        <v>0</v>
      </c>
      <c r="J5453" s="40" t="n">
        <f aca="false">H5453-I5453</f>
        <v>1.03</v>
      </c>
      <c r="K5453" s="41" t="n">
        <v>135</v>
      </c>
      <c r="L5453" s="42" t="n">
        <f aca="false">J5453*K5453</f>
        <v>139.05</v>
      </c>
      <c r="M5453" s="43" t="n">
        <f aca="false">H5453*57.54*(1+'Chart of Accounts'!$E$67)</f>
        <v>67.859799</v>
      </c>
    </row>
    <row r="5454" customFormat="false" ht="15" hidden="false" customHeight="false" outlineLevel="0" collapsed="false">
      <c r="B5454" s="7" t="s">
        <v>5951</v>
      </c>
      <c r="C5454" s="39" t="n">
        <v>45917</v>
      </c>
      <c r="D5454" s="7" t="s">
        <v>313</v>
      </c>
      <c r="E5454" s="7" t="s">
        <v>156</v>
      </c>
      <c r="F5454" s="7" t="s">
        <v>184</v>
      </c>
      <c r="G5454" s="7" t="s">
        <v>505</v>
      </c>
      <c r="H5454" s="6" t="n">
        <v>3.8</v>
      </c>
      <c r="I5454" s="6" t="n">
        <v>0</v>
      </c>
      <c r="J5454" s="40" t="n">
        <f aca="false">H5454-I5454</f>
        <v>3.8</v>
      </c>
      <c r="K5454" s="41" t="n">
        <v>34</v>
      </c>
      <c r="L5454" s="42" t="n">
        <f aca="false">J5454*K5454</f>
        <v>129.2</v>
      </c>
      <c r="M5454" s="43" t="n">
        <f aca="false">H5454*17.34*(1+'Chart of Accounts'!$E$67)</f>
        <v>75.44634</v>
      </c>
    </row>
    <row r="5455" customFormat="false" ht="15" hidden="false" customHeight="false" outlineLevel="0" collapsed="false">
      <c r="B5455" s="7" t="s">
        <v>5952</v>
      </c>
      <c r="C5455" s="39" t="n">
        <v>45917</v>
      </c>
      <c r="D5455" s="7" t="s">
        <v>315</v>
      </c>
      <c r="E5455" s="7" t="s">
        <v>159</v>
      </c>
      <c r="F5455" s="7" t="s">
        <v>216</v>
      </c>
      <c r="G5455" s="7" t="s">
        <v>502</v>
      </c>
      <c r="H5455" s="6" t="n">
        <v>0.91</v>
      </c>
      <c r="I5455" s="6" t="n">
        <v>0.064</v>
      </c>
      <c r="J5455" s="40" t="n">
        <f aca="false">H5455-I5455</f>
        <v>0.846</v>
      </c>
      <c r="K5455" s="41" t="n">
        <v>135</v>
      </c>
      <c r="L5455" s="42" t="n">
        <f aca="false">J5455*K5455</f>
        <v>114.21</v>
      </c>
      <c r="M5455" s="43" t="n">
        <f aca="false">H5455*61.79*(1+'Chart of Accounts'!$E$67)</f>
        <v>64.3820905</v>
      </c>
    </row>
    <row r="5456" customFormat="false" ht="15" hidden="false" customHeight="false" outlineLevel="0" collapsed="false">
      <c r="B5456" s="7" t="s">
        <v>5953</v>
      </c>
      <c r="C5456" s="39" t="n">
        <v>45917</v>
      </c>
      <c r="D5456" s="7" t="s">
        <v>321</v>
      </c>
      <c r="E5456" s="7" t="s">
        <v>154</v>
      </c>
      <c r="F5456" s="7" t="s">
        <v>218</v>
      </c>
      <c r="G5456" s="7" t="s">
        <v>505</v>
      </c>
      <c r="H5456" s="6" t="n">
        <v>4.17</v>
      </c>
      <c r="I5456" s="6" t="n">
        <v>0</v>
      </c>
      <c r="J5456" s="40" t="n">
        <f aca="false">H5456-I5456</f>
        <v>4.17</v>
      </c>
      <c r="K5456" s="41" t="n">
        <v>26.5</v>
      </c>
      <c r="L5456" s="42" t="n">
        <f aca="false">J5456*K5456</f>
        <v>110.505</v>
      </c>
      <c r="M5456" s="43" t="n">
        <f aca="false">H5456*16.19*(1+'Chart of Accounts'!$E$67)</f>
        <v>77.3015835</v>
      </c>
    </row>
    <row r="5457" customFormat="false" ht="15" hidden="false" customHeight="false" outlineLevel="0" collapsed="false">
      <c r="B5457" s="7" t="s">
        <v>5954</v>
      </c>
      <c r="C5457" s="39" t="n">
        <v>45917</v>
      </c>
      <c r="D5457" s="7" t="s">
        <v>329</v>
      </c>
      <c r="E5457" s="7" t="s">
        <v>156</v>
      </c>
      <c r="F5457" s="7" t="s">
        <v>220</v>
      </c>
      <c r="G5457" s="7" t="s">
        <v>505</v>
      </c>
      <c r="H5457" s="6" t="n">
        <v>4</v>
      </c>
      <c r="I5457" s="6" t="n">
        <v>0</v>
      </c>
      <c r="J5457" s="40" t="n">
        <f aca="false">H5457-I5457</f>
        <v>4</v>
      </c>
      <c r="K5457" s="41" t="n">
        <v>34</v>
      </c>
      <c r="L5457" s="42" t="n">
        <f aca="false">J5457*K5457</f>
        <v>136</v>
      </c>
      <c r="M5457" s="43" t="n">
        <f aca="false">H5457*16.43*(1+'Chart of Accounts'!$E$67)</f>
        <v>75.2494</v>
      </c>
    </row>
    <row r="5458" customFormat="false" ht="15" hidden="false" customHeight="false" outlineLevel="0" collapsed="false">
      <c r="B5458" s="7" t="s">
        <v>5955</v>
      </c>
      <c r="C5458" s="39" t="n">
        <v>45917</v>
      </c>
      <c r="D5458" s="7" t="s">
        <v>335</v>
      </c>
      <c r="E5458" s="7" t="s">
        <v>154</v>
      </c>
      <c r="F5458" s="7" t="s">
        <v>177</v>
      </c>
      <c r="G5458" s="7" t="s">
        <v>505</v>
      </c>
      <c r="H5458" s="6" t="n">
        <v>3.81</v>
      </c>
      <c r="I5458" s="6" t="n">
        <v>0</v>
      </c>
      <c r="J5458" s="40" t="n">
        <f aca="false">H5458-I5458</f>
        <v>3.81</v>
      </c>
      <c r="K5458" s="41" t="n">
        <v>26.5</v>
      </c>
      <c r="L5458" s="42" t="n">
        <f aca="false">J5458*K5458</f>
        <v>100.965</v>
      </c>
      <c r="M5458" s="43" t="n">
        <f aca="false">H5458*14.56*(1+'Chart of Accounts'!$E$67)</f>
        <v>63.517272</v>
      </c>
    </row>
    <row r="5459" customFormat="false" ht="15" hidden="false" customHeight="false" outlineLevel="0" collapsed="false">
      <c r="B5459" s="7" t="s">
        <v>5956</v>
      </c>
      <c r="C5459" s="39" t="n">
        <v>45917</v>
      </c>
      <c r="D5459" s="7" t="s">
        <v>339</v>
      </c>
      <c r="E5459" s="7" t="s">
        <v>154</v>
      </c>
      <c r="F5459" s="7" t="s">
        <v>242</v>
      </c>
      <c r="G5459" s="7" t="s">
        <v>505</v>
      </c>
      <c r="H5459" s="6" t="n">
        <v>3.26</v>
      </c>
      <c r="I5459" s="6" t="n">
        <v>0</v>
      </c>
      <c r="J5459" s="40" t="n">
        <f aca="false">H5459-I5459</f>
        <v>3.26</v>
      </c>
      <c r="K5459" s="41" t="n">
        <v>26.5</v>
      </c>
      <c r="L5459" s="42" t="n">
        <f aca="false">J5459*K5459</f>
        <v>86.39</v>
      </c>
      <c r="M5459" s="43" t="n">
        <f aca="false">H5459*17.99*(1+'Chart of Accounts'!$E$67)</f>
        <v>67.151273</v>
      </c>
    </row>
    <row r="5460" customFormat="false" ht="15" hidden="false" customHeight="false" outlineLevel="0" collapsed="false">
      <c r="B5460" s="7" t="s">
        <v>5957</v>
      </c>
      <c r="C5460" s="39" t="n">
        <v>45917</v>
      </c>
      <c r="D5460" s="7" t="s">
        <v>347</v>
      </c>
      <c r="E5460" s="7" t="s">
        <v>154</v>
      </c>
      <c r="F5460" s="7" t="s">
        <v>238</v>
      </c>
      <c r="G5460" s="7" t="s">
        <v>505</v>
      </c>
      <c r="H5460" s="6" t="n">
        <v>4.67</v>
      </c>
      <c r="I5460" s="6" t="n">
        <v>0</v>
      </c>
      <c r="J5460" s="40" t="n">
        <f aca="false">H5460-I5460</f>
        <v>4.67</v>
      </c>
      <c r="K5460" s="41" t="n">
        <v>26.5</v>
      </c>
      <c r="L5460" s="42" t="n">
        <f aca="false">J5460*K5460</f>
        <v>123.755</v>
      </c>
      <c r="M5460" s="43" t="n">
        <f aca="false">H5460*15.85*(1+'Chart of Accounts'!$E$67)</f>
        <v>84.7523275</v>
      </c>
    </row>
    <row r="5461" customFormat="false" ht="15" hidden="false" customHeight="false" outlineLevel="0" collapsed="false">
      <c r="B5461" s="7" t="s">
        <v>5958</v>
      </c>
      <c r="C5461" s="39" t="n">
        <v>45917</v>
      </c>
      <c r="D5461" s="7" t="s">
        <v>349</v>
      </c>
      <c r="E5461" s="7" t="s">
        <v>154</v>
      </c>
      <c r="F5461" s="7" t="s">
        <v>244</v>
      </c>
      <c r="G5461" s="7" t="s">
        <v>505</v>
      </c>
      <c r="H5461" s="6" t="n">
        <v>4.17</v>
      </c>
      <c r="I5461" s="6" t="n">
        <v>0</v>
      </c>
      <c r="J5461" s="40" t="n">
        <f aca="false">H5461-I5461</f>
        <v>4.17</v>
      </c>
      <c r="K5461" s="41" t="n">
        <v>26.5</v>
      </c>
      <c r="L5461" s="42" t="n">
        <f aca="false">J5461*K5461</f>
        <v>110.505</v>
      </c>
      <c r="M5461" s="43" t="n">
        <f aca="false">H5461*16.39*(1+'Chart of Accounts'!$E$67)</f>
        <v>78.2565135</v>
      </c>
    </row>
    <row r="5462" customFormat="false" ht="15" hidden="false" customHeight="false" outlineLevel="0" collapsed="false">
      <c r="B5462" s="7" t="s">
        <v>5959</v>
      </c>
      <c r="C5462" s="39" t="n">
        <v>45917</v>
      </c>
      <c r="D5462" s="7" t="s">
        <v>353</v>
      </c>
      <c r="E5462" s="7" t="s">
        <v>154</v>
      </c>
      <c r="F5462" s="7" t="s">
        <v>254</v>
      </c>
      <c r="G5462" s="7" t="s">
        <v>505</v>
      </c>
      <c r="H5462" s="6" t="n">
        <v>3.48</v>
      </c>
      <c r="I5462" s="6" t="n">
        <v>0</v>
      </c>
      <c r="J5462" s="40" t="n">
        <f aca="false">H5462-I5462</f>
        <v>3.48</v>
      </c>
      <c r="K5462" s="41" t="n">
        <v>26.5</v>
      </c>
      <c r="L5462" s="42" t="n">
        <f aca="false">J5462*K5462</f>
        <v>92.22</v>
      </c>
      <c r="M5462" s="43" t="n">
        <f aca="false">H5462*17.1*(1+'Chart of Accounts'!$E$67)</f>
        <v>68.13666</v>
      </c>
    </row>
    <row r="5463" customFormat="false" ht="15" hidden="false" customHeight="false" outlineLevel="0" collapsed="false">
      <c r="B5463" s="7" t="s">
        <v>5960</v>
      </c>
      <c r="C5463" s="39" t="n">
        <v>45917</v>
      </c>
      <c r="D5463" s="7" t="s">
        <v>355</v>
      </c>
      <c r="E5463" s="7" t="s">
        <v>154</v>
      </c>
      <c r="F5463" s="7" t="s">
        <v>201</v>
      </c>
      <c r="G5463" s="7" t="s">
        <v>505</v>
      </c>
      <c r="H5463" s="6" t="n">
        <v>3.22</v>
      </c>
      <c r="I5463" s="6" t="n">
        <v>0</v>
      </c>
      <c r="J5463" s="40" t="n">
        <f aca="false">H5463-I5463</f>
        <v>3.22</v>
      </c>
      <c r="K5463" s="41" t="n">
        <v>26.5</v>
      </c>
      <c r="L5463" s="42" t="n">
        <f aca="false">J5463*K5463</f>
        <v>85.33</v>
      </c>
      <c r="M5463" s="43" t="n">
        <f aca="false">H5463*15.19*(1+'Chart of Accounts'!$E$67)</f>
        <v>56.004011</v>
      </c>
    </row>
    <row r="5464" customFormat="false" ht="15" hidden="false" customHeight="false" outlineLevel="0" collapsed="false">
      <c r="B5464" s="7" t="s">
        <v>5961</v>
      </c>
      <c r="C5464" s="39" t="n">
        <v>45917</v>
      </c>
      <c r="D5464" s="7" t="s">
        <v>357</v>
      </c>
      <c r="E5464" s="7" t="s">
        <v>154</v>
      </c>
      <c r="F5464" s="7" t="s">
        <v>220</v>
      </c>
      <c r="G5464" s="7" t="s">
        <v>505</v>
      </c>
      <c r="H5464" s="6" t="n">
        <v>3.29</v>
      </c>
      <c r="I5464" s="6" t="n">
        <v>0</v>
      </c>
      <c r="J5464" s="40" t="n">
        <f aca="false">H5464-I5464</f>
        <v>3.29</v>
      </c>
      <c r="K5464" s="41" t="n">
        <v>26.5</v>
      </c>
      <c r="L5464" s="42" t="n">
        <f aca="false">J5464*K5464</f>
        <v>87.185</v>
      </c>
      <c r="M5464" s="43" t="n">
        <f aca="false">H5464*16.43*(1+'Chart of Accounts'!$E$67)</f>
        <v>61.8926315</v>
      </c>
    </row>
    <row r="5465" customFormat="false" ht="15" hidden="false" customHeight="false" outlineLevel="0" collapsed="false">
      <c r="B5465" s="7" t="s">
        <v>5962</v>
      </c>
      <c r="C5465" s="39" t="n">
        <v>45917</v>
      </c>
      <c r="D5465" s="7" t="s">
        <v>359</v>
      </c>
      <c r="E5465" s="7" t="s">
        <v>156</v>
      </c>
      <c r="F5465" s="7" t="s">
        <v>244</v>
      </c>
      <c r="G5465" s="7" t="s">
        <v>505</v>
      </c>
      <c r="H5465" s="6" t="n">
        <v>4.34</v>
      </c>
      <c r="I5465" s="6" t="n">
        <v>0</v>
      </c>
      <c r="J5465" s="40" t="n">
        <f aca="false">H5465-I5465</f>
        <v>4.34</v>
      </c>
      <c r="K5465" s="41" t="n">
        <v>34</v>
      </c>
      <c r="L5465" s="42" t="n">
        <f aca="false">J5465*K5465</f>
        <v>147.56</v>
      </c>
      <c r="M5465" s="43" t="n">
        <f aca="false">H5465*16.39*(1+'Chart of Accounts'!$E$67)</f>
        <v>81.446827</v>
      </c>
    </row>
    <row r="5466" customFormat="false" ht="15" hidden="false" customHeight="false" outlineLevel="0" collapsed="false">
      <c r="B5466" s="7" t="s">
        <v>5963</v>
      </c>
      <c r="C5466" s="39" t="n">
        <v>45917</v>
      </c>
      <c r="D5466" s="7" t="s">
        <v>365</v>
      </c>
      <c r="E5466" s="7" t="s">
        <v>154</v>
      </c>
      <c r="F5466" s="7" t="s">
        <v>194</v>
      </c>
      <c r="G5466" s="7" t="s">
        <v>505</v>
      </c>
      <c r="H5466" s="6" t="n">
        <v>4.25</v>
      </c>
      <c r="I5466" s="6" t="n">
        <v>0</v>
      </c>
      <c r="J5466" s="40" t="n">
        <f aca="false">H5466-I5466</f>
        <v>4.25</v>
      </c>
      <c r="K5466" s="41" t="n">
        <v>26.5</v>
      </c>
      <c r="L5466" s="42" t="n">
        <f aca="false">J5466*K5466</f>
        <v>112.625</v>
      </c>
      <c r="M5466" s="43" t="n">
        <f aca="false">H5466*16*(1+'Chart of Accounts'!$E$67)</f>
        <v>77.86</v>
      </c>
    </row>
    <row r="5467" customFormat="false" ht="15" hidden="false" customHeight="false" outlineLevel="0" collapsed="false">
      <c r="B5467" s="7" t="s">
        <v>5964</v>
      </c>
      <c r="C5467" s="39" t="n">
        <v>45917</v>
      </c>
      <c r="D5467" s="7" t="s">
        <v>371</v>
      </c>
      <c r="E5467" s="7" t="s">
        <v>154</v>
      </c>
      <c r="F5467" s="7" t="s">
        <v>232</v>
      </c>
      <c r="G5467" s="7" t="s">
        <v>505</v>
      </c>
      <c r="H5467" s="6" t="n">
        <v>4.32</v>
      </c>
      <c r="I5467" s="6" t="n">
        <v>0</v>
      </c>
      <c r="J5467" s="40" t="n">
        <f aca="false">H5467-I5467</f>
        <v>4.32</v>
      </c>
      <c r="K5467" s="41" t="n">
        <v>26.5</v>
      </c>
      <c r="L5467" s="42" t="n">
        <f aca="false">J5467*K5467</f>
        <v>114.48</v>
      </c>
      <c r="M5467" s="43" t="n">
        <f aca="false">H5467*16.17*(1+'Chart of Accounts'!$E$67)</f>
        <v>79.983288</v>
      </c>
    </row>
    <row r="5468" customFormat="false" ht="15" hidden="false" customHeight="false" outlineLevel="0" collapsed="false">
      <c r="B5468" s="7" t="s">
        <v>5965</v>
      </c>
      <c r="C5468" s="39" t="n">
        <v>45917</v>
      </c>
      <c r="D5468" s="7" t="s">
        <v>379</v>
      </c>
      <c r="E5468" s="7" t="s">
        <v>156</v>
      </c>
      <c r="F5468" s="7" t="s">
        <v>224</v>
      </c>
      <c r="G5468" s="7" t="s">
        <v>505</v>
      </c>
      <c r="H5468" s="6" t="n">
        <v>4.22</v>
      </c>
      <c r="I5468" s="6" t="n">
        <v>0</v>
      </c>
      <c r="J5468" s="40" t="n">
        <f aca="false">H5468-I5468</f>
        <v>4.22</v>
      </c>
      <c r="K5468" s="41" t="n">
        <v>34</v>
      </c>
      <c r="L5468" s="42" t="n">
        <f aca="false">J5468*K5468</f>
        <v>143.48</v>
      </c>
      <c r="M5468" s="43" t="n">
        <f aca="false">H5468*14.93*(1+'Chart of Accounts'!$E$67)</f>
        <v>72.140267</v>
      </c>
    </row>
    <row r="5469" customFormat="false" ht="15" hidden="false" customHeight="false" outlineLevel="0" collapsed="false">
      <c r="B5469" s="7" t="s">
        <v>5966</v>
      </c>
      <c r="C5469" s="39" t="n">
        <v>45917</v>
      </c>
      <c r="D5469" s="7" t="s">
        <v>385</v>
      </c>
      <c r="E5469" s="7" t="s">
        <v>156</v>
      </c>
      <c r="F5469" s="7" t="s">
        <v>238</v>
      </c>
      <c r="G5469" s="7" t="s">
        <v>505</v>
      </c>
      <c r="H5469" s="6" t="n">
        <v>3.87</v>
      </c>
      <c r="I5469" s="6" t="n">
        <v>0</v>
      </c>
      <c r="J5469" s="40" t="n">
        <f aca="false">H5469-I5469</f>
        <v>3.87</v>
      </c>
      <c r="K5469" s="41" t="n">
        <v>34</v>
      </c>
      <c r="L5469" s="42" t="n">
        <f aca="false">J5469*K5469</f>
        <v>131.58</v>
      </c>
      <c r="M5469" s="43" t="n">
        <f aca="false">H5469*15.85*(1+'Chart of Accounts'!$E$67)</f>
        <v>70.2337275</v>
      </c>
    </row>
    <row r="5470" customFormat="false" ht="15" hidden="false" customHeight="false" outlineLevel="0" collapsed="false">
      <c r="B5470" s="7" t="s">
        <v>5967</v>
      </c>
      <c r="C5470" s="39" t="n">
        <v>45917</v>
      </c>
      <c r="D5470" s="7" t="s">
        <v>387</v>
      </c>
      <c r="E5470" s="7" t="s">
        <v>154</v>
      </c>
      <c r="F5470" s="7" t="s">
        <v>196</v>
      </c>
      <c r="G5470" s="7" t="s">
        <v>505</v>
      </c>
      <c r="H5470" s="6" t="n">
        <v>4.35</v>
      </c>
      <c r="I5470" s="6" t="n">
        <v>0</v>
      </c>
      <c r="J5470" s="40" t="n">
        <f aca="false">H5470-I5470</f>
        <v>4.35</v>
      </c>
      <c r="K5470" s="41" t="n">
        <v>26.5</v>
      </c>
      <c r="L5470" s="42" t="n">
        <f aca="false">J5470*K5470</f>
        <v>115.275</v>
      </c>
      <c r="M5470" s="43" t="n">
        <f aca="false">H5470*15.05*(1+'Chart of Accounts'!$E$67)</f>
        <v>74.9602875</v>
      </c>
    </row>
    <row r="5471" customFormat="false" ht="15" hidden="false" customHeight="false" outlineLevel="0" collapsed="false">
      <c r="B5471" s="7" t="s">
        <v>5968</v>
      </c>
      <c r="C5471" s="39" t="n">
        <v>45917</v>
      </c>
      <c r="D5471" s="7" t="s">
        <v>389</v>
      </c>
      <c r="E5471" s="7" t="s">
        <v>154</v>
      </c>
      <c r="F5471" s="7" t="s">
        <v>246</v>
      </c>
      <c r="G5471" s="7" t="s">
        <v>505</v>
      </c>
      <c r="H5471" s="6" t="n">
        <v>3.75</v>
      </c>
      <c r="I5471" s="6" t="n">
        <v>0.112</v>
      </c>
      <c r="J5471" s="40" t="n">
        <f aca="false">H5471-I5471</f>
        <v>3.638</v>
      </c>
      <c r="K5471" s="41" t="n">
        <v>26.5</v>
      </c>
      <c r="L5471" s="42" t="n">
        <f aca="false">J5471*K5471</f>
        <v>96.407</v>
      </c>
      <c r="M5471" s="43" t="n">
        <f aca="false">H5471*16.48*(1+'Chart of Accounts'!$E$67)</f>
        <v>70.761</v>
      </c>
    </row>
    <row r="5472" customFormat="false" ht="15" hidden="false" customHeight="false" outlineLevel="0" collapsed="false">
      <c r="B5472" s="7" t="s">
        <v>5969</v>
      </c>
      <c r="C5472" s="39" t="n">
        <v>45917</v>
      </c>
      <c r="D5472" s="7" t="s">
        <v>391</v>
      </c>
      <c r="E5472" s="7" t="s">
        <v>156</v>
      </c>
      <c r="F5472" s="7" t="s">
        <v>222</v>
      </c>
      <c r="G5472" s="7" t="s">
        <v>505</v>
      </c>
      <c r="H5472" s="6" t="n">
        <v>4.23</v>
      </c>
      <c r="I5472" s="6" t="n">
        <v>0</v>
      </c>
      <c r="J5472" s="40" t="n">
        <f aca="false">H5472-I5472</f>
        <v>4.23</v>
      </c>
      <c r="K5472" s="41" t="n">
        <v>34</v>
      </c>
      <c r="L5472" s="42" t="n">
        <f aca="false">J5472*K5472</f>
        <v>143.82</v>
      </c>
      <c r="M5472" s="43" t="n">
        <f aca="false">H5472*17.84*(1+'Chart of Accounts'!$E$67)</f>
        <v>86.405364</v>
      </c>
    </row>
    <row r="5473" customFormat="false" ht="15" hidden="false" customHeight="false" outlineLevel="0" collapsed="false">
      <c r="B5473" s="7" t="s">
        <v>5970</v>
      </c>
      <c r="C5473" s="39" t="n">
        <v>45917</v>
      </c>
      <c r="D5473" s="7" t="s">
        <v>393</v>
      </c>
      <c r="E5473" s="7" t="s">
        <v>157</v>
      </c>
      <c r="F5473" s="7" t="s">
        <v>203</v>
      </c>
      <c r="G5473" s="7" t="s">
        <v>502</v>
      </c>
      <c r="H5473" s="6" t="n">
        <v>0.96</v>
      </c>
      <c r="I5473" s="6" t="n">
        <v>0.048</v>
      </c>
      <c r="J5473" s="40" t="n">
        <f aca="false">H5473-I5473</f>
        <v>0.912</v>
      </c>
      <c r="K5473" s="41" t="n">
        <v>165</v>
      </c>
      <c r="L5473" s="42" t="n">
        <f aca="false">J5473*K5473</f>
        <v>150.48</v>
      </c>
      <c r="M5473" s="43" t="n">
        <f aca="false">H5473*49.43*(1+'Chart of Accounts'!$E$67)</f>
        <v>54.333456</v>
      </c>
    </row>
    <row r="5474" customFormat="false" ht="15" hidden="false" customHeight="false" outlineLevel="0" collapsed="false">
      <c r="B5474" s="7" t="s">
        <v>5971</v>
      </c>
      <c r="C5474" s="39" t="n">
        <v>45917</v>
      </c>
      <c r="D5474" s="7" t="s">
        <v>399</v>
      </c>
      <c r="E5474" s="7" t="s">
        <v>154</v>
      </c>
      <c r="F5474" s="7" t="s">
        <v>254</v>
      </c>
      <c r="G5474" s="7" t="s">
        <v>505</v>
      </c>
      <c r="H5474" s="6" t="n">
        <v>3.09</v>
      </c>
      <c r="I5474" s="6" t="n">
        <v>0</v>
      </c>
      <c r="J5474" s="40" t="n">
        <f aca="false">H5474-I5474</f>
        <v>3.09</v>
      </c>
      <c r="K5474" s="41" t="n">
        <v>26.5</v>
      </c>
      <c r="L5474" s="42" t="n">
        <f aca="false">J5474*K5474</f>
        <v>81.885</v>
      </c>
      <c r="M5474" s="43" t="n">
        <f aca="false">H5474*17.1*(1+'Chart of Accounts'!$E$67)</f>
        <v>60.500655</v>
      </c>
    </row>
    <row r="5475" customFormat="false" ht="15" hidden="false" customHeight="false" outlineLevel="0" collapsed="false">
      <c r="B5475" s="7" t="s">
        <v>5972</v>
      </c>
      <c r="C5475" s="39" t="n">
        <v>45917</v>
      </c>
      <c r="D5475" s="7" t="s">
        <v>401</v>
      </c>
      <c r="E5475" s="7" t="s">
        <v>156</v>
      </c>
      <c r="F5475" s="7" t="s">
        <v>254</v>
      </c>
      <c r="G5475" s="7" t="s">
        <v>505</v>
      </c>
      <c r="H5475" s="6" t="n">
        <v>3.81</v>
      </c>
      <c r="I5475" s="6" t="n">
        <v>0</v>
      </c>
      <c r="J5475" s="40" t="n">
        <f aca="false">H5475-I5475</f>
        <v>3.81</v>
      </c>
      <c r="K5475" s="41" t="n">
        <v>34</v>
      </c>
      <c r="L5475" s="42" t="n">
        <f aca="false">J5475*K5475</f>
        <v>129.54</v>
      </c>
      <c r="M5475" s="43" t="n">
        <f aca="false">H5475*17.1*(1+'Chart of Accounts'!$E$67)</f>
        <v>74.597895</v>
      </c>
    </row>
    <row r="5476" customFormat="false" ht="15" hidden="false" customHeight="false" outlineLevel="0" collapsed="false">
      <c r="B5476" s="7" t="s">
        <v>5973</v>
      </c>
      <c r="C5476" s="39" t="n">
        <v>45917</v>
      </c>
      <c r="D5476" s="7" t="s">
        <v>403</v>
      </c>
      <c r="E5476" s="7" t="s">
        <v>156</v>
      </c>
      <c r="F5476" s="7" t="s">
        <v>184</v>
      </c>
      <c r="G5476" s="7" t="s">
        <v>505</v>
      </c>
      <c r="H5476" s="6" t="n">
        <v>3.83</v>
      </c>
      <c r="I5476" s="6" t="n">
        <v>0</v>
      </c>
      <c r="J5476" s="40" t="n">
        <f aca="false">H5476-I5476</f>
        <v>3.83</v>
      </c>
      <c r="K5476" s="41" t="n">
        <v>34</v>
      </c>
      <c r="L5476" s="42" t="n">
        <f aca="false">J5476*K5476</f>
        <v>130.22</v>
      </c>
      <c r="M5476" s="43" t="n">
        <f aca="false">H5476*17.34*(1+'Chart of Accounts'!$E$67)</f>
        <v>76.041969</v>
      </c>
    </row>
    <row r="5477" customFormat="false" ht="15" hidden="false" customHeight="false" outlineLevel="0" collapsed="false">
      <c r="B5477" s="7" t="s">
        <v>5974</v>
      </c>
      <c r="C5477" s="39" t="n">
        <v>45917</v>
      </c>
      <c r="D5477" s="7" t="s">
        <v>409</v>
      </c>
      <c r="E5477" s="7" t="s">
        <v>154</v>
      </c>
      <c r="F5477" s="7" t="s">
        <v>214</v>
      </c>
      <c r="G5477" s="7" t="s">
        <v>505</v>
      </c>
      <c r="H5477" s="6" t="n">
        <v>3.43</v>
      </c>
      <c r="I5477" s="6" t="n">
        <v>0</v>
      </c>
      <c r="J5477" s="40" t="n">
        <f aca="false">H5477-I5477</f>
        <v>3.43</v>
      </c>
      <c r="K5477" s="41" t="n">
        <v>26.5</v>
      </c>
      <c r="L5477" s="42" t="n">
        <f aca="false">J5477*K5477</f>
        <v>90.895</v>
      </c>
      <c r="M5477" s="43" t="n">
        <f aca="false">H5477*15.67*(1+'Chart of Accounts'!$E$67)</f>
        <v>61.5415745</v>
      </c>
    </row>
    <row r="5478" customFormat="false" ht="15" hidden="false" customHeight="false" outlineLevel="0" collapsed="false">
      <c r="B5478" s="7" t="s">
        <v>5975</v>
      </c>
      <c r="C5478" s="39" t="n">
        <v>45917</v>
      </c>
      <c r="D5478" s="7" t="s">
        <v>411</v>
      </c>
      <c r="E5478" s="7" t="s">
        <v>154</v>
      </c>
      <c r="F5478" s="7" t="s">
        <v>177</v>
      </c>
      <c r="G5478" s="7" t="s">
        <v>505</v>
      </c>
      <c r="H5478" s="6" t="n">
        <v>5.04</v>
      </c>
      <c r="I5478" s="6" t="n">
        <v>0</v>
      </c>
      <c r="J5478" s="40" t="n">
        <f aca="false">H5478-I5478</f>
        <v>5.04</v>
      </c>
      <c r="K5478" s="41" t="n">
        <v>26.5</v>
      </c>
      <c r="L5478" s="42" t="n">
        <f aca="false">J5478*K5478</f>
        <v>133.56</v>
      </c>
      <c r="M5478" s="43" t="n">
        <f aca="false">H5478*14.56*(1+'Chart of Accounts'!$E$67)</f>
        <v>84.022848</v>
      </c>
    </row>
    <row r="5479" customFormat="false" ht="15" hidden="false" customHeight="false" outlineLevel="0" collapsed="false">
      <c r="B5479" s="7" t="s">
        <v>5976</v>
      </c>
      <c r="C5479" s="39" t="n">
        <v>45918</v>
      </c>
      <c r="D5479" s="7" t="s">
        <v>288</v>
      </c>
      <c r="E5479" s="7" t="s">
        <v>156</v>
      </c>
      <c r="F5479" s="7" t="s">
        <v>222</v>
      </c>
      <c r="G5479" s="7" t="s">
        <v>505</v>
      </c>
      <c r="H5479" s="6" t="n">
        <v>3.84</v>
      </c>
      <c r="I5479" s="6" t="n">
        <v>0</v>
      </c>
      <c r="J5479" s="40" t="n">
        <f aca="false">H5479-I5479</f>
        <v>3.84</v>
      </c>
      <c r="K5479" s="41" t="n">
        <v>34</v>
      </c>
      <c r="L5479" s="42" t="n">
        <f aca="false">J5479*K5479</f>
        <v>130.56</v>
      </c>
      <c r="M5479" s="43" t="n">
        <f aca="false">H5479*17.84*(1+'Chart of Accounts'!$E$67)</f>
        <v>78.438912</v>
      </c>
    </row>
    <row r="5480" customFormat="false" ht="15" hidden="false" customHeight="false" outlineLevel="0" collapsed="false">
      <c r="B5480" s="7" t="s">
        <v>5977</v>
      </c>
      <c r="C5480" s="39" t="n">
        <v>45918</v>
      </c>
      <c r="D5480" s="7" t="s">
        <v>297</v>
      </c>
      <c r="E5480" s="7" t="s">
        <v>156</v>
      </c>
      <c r="F5480" s="7" t="s">
        <v>201</v>
      </c>
      <c r="G5480" s="7" t="s">
        <v>505</v>
      </c>
      <c r="H5480" s="6" t="n">
        <v>3.19</v>
      </c>
      <c r="I5480" s="6" t="n">
        <v>0</v>
      </c>
      <c r="J5480" s="40" t="n">
        <f aca="false">H5480-I5480</f>
        <v>3.19</v>
      </c>
      <c r="K5480" s="41" t="n">
        <v>34</v>
      </c>
      <c r="L5480" s="42" t="n">
        <f aca="false">J5480*K5480</f>
        <v>108.46</v>
      </c>
      <c r="M5480" s="43" t="n">
        <f aca="false">H5480*15.19*(1+'Chart of Accounts'!$E$67)</f>
        <v>55.4822345</v>
      </c>
    </row>
    <row r="5481" customFormat="false" ht="15" hidden="false" customHeight="false" outlineLevel="0" collapsed="false">
      <c r="B5481" s="7" t="s">
        <v>5978</v>
      </c>
      <c r="C5481" s="39" t="n">
        <v>45918</v>
      </c>
      <c r="D5481" s="7" t="s">
        <v>311</v>
      </c>
      <c r="E5481" s="7" t="s">
        <v>154</v>
      </c>
      <c r="F5481" s="7" t="s">
        <v>196</v>
      </c>
      <c r="G5481" s="7" t="s">
        <v>505</v>
      </c>
      <c r="H5481" s="6" t="n">
        <v>3.09</v>
      </c>
      <c r="I5481" s="6" t="n">
        <v>0.093</v>
      </c>
      <c r="J5481" s="40" t="n">
        <f aca="false">H5481-I5481</f>
        <v>2.997</v>
      </c>
      <c r="K5481" s="41" t="n">
        <v>26.5</v>
      </c>
      <c r="L5481" s="42" t="n">
        <f aca="false">J5481*K5481</f>
        <v>79.4205</v>
      </c>
      <c r="M5481" s="43" t="n">
        <f aca="false">H5481*15.05*(1+'Chart of Accounts'!$E$67)</f>
        <v>53.2476525</v>
      </c>
    </row>
    <row r="5482" customFormat="false" ht="15" hidden="false" customHeight="false" outlineLevel="0" collapsed="false">
      <c r="B5482" s="7" t="s">
        <v>5979</v>
      </c>
      <c r="C5482" s="39" t="n">
        <v>45918</v>
      </c>
      <c r="D5482" s="7" t="s">
        <v>313</v>
      </c>
      <c r="E5482" s="7" t="s">
        <v>156</v>
      </c>
      <c r="F5482" s="7" t="s">
        <v>184</v>
      </c>
      <c r="G5482" s="7" t="s">
        <v>505</v>
      </c>
      <c r="H5482" s="6" t="n">
        <v>4.33</v>
      </c>
      <c r="I5482" s="6" t="n">
        <v>0</v>
      </c>
      <c r="J5482" s="40" t="n">
        <f aca="false">H5482-I5482</f>
        <v>4.33</v>
      </c>
      <c r="K5482" s="41" t="n">
        <v>34</v>
      </c>
      <c r="L5482" s="42" t="n">
        <f aca="false">J5482*K5482</f>
        <v>147.22</v>
      </c>
      <c r="M5482" s="43" t="n">
        <f aca="false">H5482*17.34*(1+'Chart of Accounts'!$E$67)</f>
        <v>85.969119</v>
      </c>
    </row>
    <row r="5483" customFormat="false" ht="15" hidden="false" customHeight="false" outlineLevel="0" collapsed="false">
      <c r="B5483" s="7" t="s">
        <v>5980</v>
      </c>
      <c r="C5483" s="39" t="n">
        <v>45918</v>
      </c>
      <c r="D5483" s="7" t="s">
        <v>317</v>
      </c>
      <c r="E5483" s="7" t="s">
        <v>156</v>
      </c>
      <c r="F5483" s="7" t="s">
        <v>242</v>
      </c>
      <c r="G5483" s="7" t="s">
        <v>505</v>
      </c>
      <c r="H5483" s="6" t="n">
        <v>3.09</v>
      </c>
      <c r="I5483" s="6" t="n">
        <v>0</v>
      </c>
      <c r="J5483" s="40" t="n">
        <f aca="false">H5483-I5483</f>
        <v>3.09</v>
      </c>
      <c r="K5483" s="41" t="n">
        <v>34</v>
      </c>
      <c r="L5483" s="42" t="n">
        <f aca="false">J5483*K5483</f>
        <v>105.06</v>
      </c>
      <c r="M5483" s="43" t="n">
        <f aca="false">H5483*17.99*(1+'Chart of Accounts'!$E$67)</f>
        <v>63.6495195</v>
      </c>
    </row>
    <row r="5484" customFormat="false" ht="15" hidden="false" customHeight="false" outlineLevel="0" collapsed="false">
      <c r="B5484" s="7" t="s">
        <v>5981</v>
      </c>
      <c r="C5484" s="39" t="n">
        <v>45918</v>
      </c>
      <c r="D5484" s="7" t="s">
        <v>321</v>
      </c>
      <c r="E5484" s="7" t="s">
        <v>154</v>
      </c>
      <c r="F5484" s="7" t="s">
        <v>218</v>
      </c>
      <c r="G5484" s="7" t="s">
        <v>505</v>
      </c>
      <c r="H5484" s="6" t="n">
        <v>4.26</v>
      </c>
      <c r="I5484" s="6" t="n">
        <v>0.128</v>
      </c>
      <c r="J5484" s="40" t="n">
        <f aca="false">H5484-I5484</f>
        <v>4.132</v>
      </c>
      <c r="K5484" s="41" t="n">
        <v>26.5</v>
      </c>
      <c r="L5484" s="42" t="n">
        <f aca="false">J5484*K5484</f>
        <v>109.498</v>
      </c>
      <c r="M5484" s="43" t="n">
        <f aca="false">H5484*16.19*(1+'Chart of Accounts'!$E$67)</f>
        <v>78.969963</v>
      </c>
    </row>
    <row r="5485" customFormat="false" ht="15" hidden="false" customHeight="false" outlineLevel="0" collapsed="false">
      <c r="B5485" s="7" t="s">
        <v>5982</v>
      </c>
      <c r="C5485" s="39" t="n">
        <v>45918</v>
      </c>
      <c r="D5485" s="7" t="s">
        <v>325</v>
      </c>
      <c r="E5485" s="7" t="s">
        <v>154</v>
      </c>
      <c r="F5485" s="7" t="s">
        <v>246</v>
      </c>
      <c r="G5485" s="7" t="s">
        <v>505</v>
      </c>
      <c r="H5485" s="6" t="n">
        <v>2.77</v>
      </c>
      <c r="I5485" s="6" t="n">
        <v>0</v>
      </c>
      <c r="J5485" s="40" t="n">
        <f aca="false">H5485-I5485</f>
        <v>2.77</v>
      </c>
      <c r="K5485" s="41" t="n">
        <v>26.5</v>
      </c>
      <c r="L5485" s="42" t="n">
        <f aca="false">J5485*K5485</f>
        <v>73.405</v>
      </c>
      <c r="M5485" s="43" t="n">
        <f aca="false">H5485*16.48*(1+'Chart of Accounts'!$E$67)</f>
        <v>52.268792</v>
      </c>
    </row>
    <row r="5486" customFormat="false" ht="15" hidden="false" customHeight="false" outlineLevel="0" collapsed="false">
      <c r="B5486" s="7" t="s">
        <v>5983</v>
      </c>
      <c r="C5486" s="39" t="n">
        <v>45918</v>
      </c>
      <c r="D5486" s="7" t="s">
        <v>329</v>
      </c>
      <c r="E5486" s="7" t="s">
        <v>156</v>
      </c>
      <c r="F5486" s="7" t="s">
        <v>220</v>
      </c>
      <c r="G5486" s="7" t="s">
        <v>505</v>
      </c>
      <c r="H5486" s="6" t="n">
        <v>4.33</v>
      </c>
      <c r="I5486" s="6" t="n">
        <v>0</v>
      </c>
      <c r="J5486" s="40" t="n">
        <f aca="false">H5486-I5486</f>
        <v>4.33</v>
      </c>
      <c r="K5486" s="41" t="n">
        <v>34</v>
      </c>
      <c r="L5486" s="42" t="n">
        <f aca="false">J5486*K5486</f>
        <v>147.22</v>
      </c>
      <c r="M5486" s="43" t="n">
        <f aca="false">H5486*16.43*(1+'Chart of Accounts'!$E$67)</f>
        <v>81.4574755</v>
      </c>
    </row>
    <row r="5487" customFormat="false" ht="15" hidden="false" customHeight="false" outlineLevel="0" collapsed="false">
      <c r="B5487" s="7" t="s">
        <v>5984</v>
      </c>
      <c r="C5487" s="39" t="n">
        <v>45918</v>
      </c>
      <c r="D5487" s="7" t="s">
        <v>331</v>
      </c>
      <c r="E5487" s="7" t="s">
        <v>156</v>
      </c>
      <c r="F5487" s="7" t="s">
        <v>224</v>
      </c>
      <c r="G5487" s="7" t="s">
        <v>505</v>
      </c>
      <c r="H5487" s="6" t="n">
        <v>3.77</v>
      </c>
      <c r="I5487" s="6" t="n">
        <v>0</v>
      </c>
      <c r="J5487" s="40" t="n">
        <f aca="false">H5487-I5487</f>
        <v>3.77</v>
      </c>
      <c r="K5487" s="41" t="n">
        <v>34</v>
      </c>
      <c r="L5487" s="42" t="n">
        <f aca="false">J5487*K5487</f>
        <v>128.18</v>
      </c>
      <c r="M5487" s="43" t="n">
        <f aca="false">H5487*14.93*(1+'Chart of Accounts'!$E$67)</f>
        <v>64.4475845</v>
      </c>
    </row>
    <row r="5488" customFormat="false" ht="15" hidden="false" customHeight="false" outlineLevel="0" collapsed="false">
      <c r="B5488" s="7" t="s">
        <v>5985</v>
      </c>
      <c r="C5488" s="39" t="n">
        <v>45918</v>
      </c>
      <c r="D5488" s="7" t="s">
        <v>341</v>
      </c>
      <c r="E5488" s="7" t="s">
        <v>156</v>
      </c>
      <c r="F5488" s="7" t="s">
        <v>222</v>
      </c>
      <c r="G5488" s="7" t="s">
        <v>505</v>
      </c>
      <c r="H5488" s="6" t="n">
        <v>3.14</v>
      </c>
      <c r="I5488" s="6" t="n">
        <v>0</v>
      </c>
      <c r="J5488" s="40" t="n">
        <f aca="false">H5488-I5488</f>
        <v>3.14</v>
      </c>
      <c r="K5488" s="41" t="n">
        <v>34</v>
      </c>
      <c r="L5488" s="42" t="n">
        <f aca="false">J5488*K5488</f>
        <v>106.76</v>
      </c>
      <c r="M5488" s="43" t="n">
        <f aca="false">H5488*17.84*(1+'Chart of Accounts'!$E$67)</f>
        <v>64.140152</v>
      </c>
    </row>
    <row r="5489" customFormat="false" ht="15" hidden="false" customHeight="false" outlineLevel="0" collapsed="false">
      <c r="B5489" s="7" t="s">
        <v>5986</v>
      </c>
      <c r="C5489" s="39" t="n">
        <v>45918</v>
      </c>
      <c r="D5489" s="7" t="s">
        <v>343</v>
      </c>
      <c r="E5489" s="7" t="s">
        <v>154</v>
      </c>
      <c r="F5489" s="7" t="s">
        <v>220</v>
      </c>
      <c r="G5489" s="7" t="s">
        <v>505</v>
      </c>
      <c r="H5489" s="6" t="n">
        <v>4</v>
      </c>
      <c r="I5489" s="6" t="n">
        <v>0</v>
      </c>
      <c r="J5489" s="40" t="n">
        <f aca="false">H5489-I5489</f>
        <v>4</v>
      </c>
      <c r="K5489" s="41" t="n">
        <v>26.5</v>
      </c>
      <c r="L5489" s="42" t="n">
        <f aca="false">J5489*K5489</f>
        <v>106</v>
      </c>
      <c r="M5489" s="43" t="n">
        <f aca="false">H5489*16.43*(1+'Chart of Accounts'!$E$67)</f>
        <v>75.2494</v>
      </c>
    </row>
    <row r="5490" customFormat="false" ht="15" hidden="false" customHeight="false" outlineLevel="0" collapsed="false">
      <c r="B5490" s="7" t="s">
        <v>5987</v>
      </c>
      <c r="C5490" s="39" t="n">
        <v>45918</v>
      </c>
      <c r="D5490" s="7" t="s">
        <v>349</v>
      </c>
      <c r="E5490" s="7" t="s">
        <v>154</v>
      </c>
      <c r="F5490" s="7" t="s">
        <v>244</v>
      </c>
      <c r="G5490" s="7" t="s">
        <v>505</v>
      </c>
      <c r="H5490" s="6" t="n">
        <v>4.12</v>
      </c>
      <c r="I5490" s="6" t="n">
        <v>0.124</v>
      </c>
      <c r="J5490" s="40" t="n">
        <f aca="false">H5490-I5490</f>
        <v>3.996</v>
      </c>
      <c r="K5490" s="41" t="n">
        <v>26.5</v>
      </c>
      <c r="L5490" s="42" t="n">
        <f aca="false">J5490*K5490</f>
        <v>105.894</v>
      </c>
      <c r="M5490" s="43" t="n">
        <f aca="false">H5490*16.39*(1+'Chart of Accounts'!$E$67)</f>
        <v>77.318186</v>
      </c>
    </row>
    <row r="5491" customFormat="false" ht="15" hidden="false" customHeight="false" outlineLevel="0" collapsed="false">
      <c r="B5491" s="7" t="s">
        <v>5988</v>
      </c>
      <c r="C5491" s="39" t="n">
        <v>45918</v>
      </c>
      <c r="D5491" s="7" t="s">
        <v>351</v>
      </c>
      <c r="E5491" s="7" t="s">
        <v>154</v>
      </c>
      <c r="F5491" s="7" t="s">
        <v>201</v>
      </c>
      <c r="G5491" s="7" t="s">
        <v>505</v>
      </c>
      <c r="H5491" s="6" t="n">
        <v>3</v>
      </c>
      <c r="I5491" s="6" t="n">
        <v>0</v>
      </c>
      <c r="J5491" s="40" t="n">
        <f aca="false">H5491-I5491</f>
        <v>3</v>
      </c>
      <c r="K5491" s="41" t="n">
        <v>26.5</v>
      </c>
      <c r="L5491" s="42" t="n">
        <f aca="false">J5491*K5491</f>
        <v>79.5</v>
      </c>
      <c r="M5491" s="43" t="n">
        <f aca="false">H5491*15.19*(1+'Chart of Accounts'!$E$67)</f>
        <v>52.17765</v>
      </c>
    </row>
    <row r="5492" customFormat="false" ht="15" hidden="false" customHeight="false" outlineLevel="0" collapsed="false">
      <c r="B5492" s="7" t="s">
        <v>5989</v>
      </c>
      <c r="C5492" s="39" t="n">
        <v>45918</v>
      </c>
      <c r="D5492" s="7" t="s">
        <v>359</v>
      </c>
      <c r="E5492" s="7" t="s">
        <v>156</v>
      </c>
      <c r="F5492" s="7" t="s">
        <v>177</v>
      </c>
      <c r="G5492" s="7" t="s">
        <v>505</v>
      </c>
      <c r="H5492" s="6" t="n">
        <v>4.12</v>
      </c>
      <c r="I5492" s="6" t="n">
        <v>0</v>
      </c>
      <c r="J5492" s="40" t="n">
        <f aca="false">H5492-I5492</f>
        <v>4.12</v>
      </c>
      <c r="K5492" s="41" t="n">
        <v>34</v>
      </c>
      <c r="L5492" s="42" t="n">
        <f aca="false">J5492*K5492</f>
        <v>140.08</v>
      </c>
      <c r="M5492" s="43" t="n">
        <f aca="false">H5492*14.56*(1+'Chart of Accounts'!$E$67)</f>
        <v>68.685344</v>
      </c>
    </row>
    <row r="5493" customFormat="false" ht="15" hidden="false" customHeight="false" outlineLevel="0" collapsed="false">
      <c r="B5493" s="7" t="s">
        <v>5990</v>
      </c>
      <c r="C5493" s="39" t="n">
        <v>45918</v>
      </c>
      <c r="D5493" s="7" t="s">
        <v>363</v>
      </c>
      <c r="E5493" s="7" t="s">
        <v>156</v>
      </c>
      <c r="F5493" s="7" t="s">
        <v>246</v>
      </c>
      <c r="G5493" s="7" t="s">
        <v>505</v>
      </c>
      <c r="H5493" s="6" t="n">
        <v>3.93</v>
      </c>
      <c r="I5493" s="6" t="n">
        <v>0</v>
      </c>
      <c r="J5493" s="40" t="n">
        <f aca="false">H5493-I5493</f>
        <v>3.93</v>
      </c>
      <c r="K5493" s="41" t="n">
        <v>34</v>
      </c>
      <c r="L5493" s="42" t="n">
        <f aca="false">J5493*K5493</f>
        <v>133.62</v>
      </c>
      <c r="M5493" s="43" t="n">
        <f aca="false">H5493*16.48*(1+'Chart of Accounts'!$E$67)</f>
        <v>74.157528</v>
      </c>
    </row>
    <row r="5494" customFormat="false" ht="15" hidden="false" customHeight="false" outlineLevel="0" collapsed="false">
      <c r="B5494" s="7" t="s">
        <v>5991</v>
      </c>
      <c r="C5494" s="39" t="n">
        <v>45918</v>
      </c>
      <c r="D5494" s="7" t="s">
        <v>365</v>
      </c>
      <c r="E5494" s="7" t="s">
        <v>154</v>
      </c>
      <c r="F5494" s="7" t="s">
        <v>194</v>
      </c>
      <c r="G5494" s="7" t="s">
        <v>505</v>
      </c>
      <c r="H5494" s="6" t="n">
        <v>3.72</v>
      </c>
      <c r="I5494" s="6" t="n">
        <v>0</v>
      </c>
      <c r="J5494" s="40" t="n">
        <f aca="false">H5494-I5494</f>
        <v>3.72</v>
      </c>
      <c r="K5494" s="41" t="n">
        <v>26.5</v>
      </c>
      <c r="L5494" s="42" t="n">
        <f aca="false">J5494*K5494</f>
        <v>98.58</v>
      </c>
      <c r="M5494" s="43" t="n">
        <f aca="false">H5494*16*(1+'Chart of Accounts'!$E$67)</f>
        <v>68.1504</v>
      </c>
    </row>
    <row r="5495" customFormat="false" ht="15" hidden="false" customHeight="false" outlineLevel="0" collapsed="false">
      <c r="B5495" s="7" t="s">
        <v>5992</v>
      </c>
      <c r="C5495" s="39" t="n">
        <v>45918</v>
      </c>
      <c r="D5495" s="7" t="s">
        <v>375</v>
      </c>
      <c r="E5495" s="7" t="s">
        <v>156</v>
      </c>
      <c r="F5495" s="7" t="s">
        <v>196</v>
      </c>
      <c r="G5495" s="7" t="s">
        <v>505</v>
      </c>
      <c r="H5495" s="6" t="n">
        <v>2.78</v>
      </c>
      <c r="I5495" s="6" t="n">
        <v>0</v>
      </c>
      <c r="J5495" s="40" t="n">
        <f aca="false">H5495-I5495</f>
        <v>2.78</v>
      </c>
      <c r="K5495" s="41" t="n">
        <v>34</v>
      </c>
      <c r="L5495" s="42" t="n">
        <f aca="false">J5495*K5495</f>
        <v>94.52</v>
      </c>
      <c r="M5495" s="43" t="n">
        <f aca="false">H5495*15.05*(1+'Chart of Accounts'!$E$67)</f>
        <v>47.905655</v>
      </c>
    </row>
    <row r="5496" customFormat="false" ht="15" hidden="false" customHeight="false" outlineLevel="0" collapsed="false">
      <c r="B5496" s="7" t="s">
        <v>5993</v>
      </c>
      <c r="C5496" s="39" t="n">
        <v>45918</v>
      </c>
      <c r="D5496" s="7" t="s">
        <v>377</v>
      </c>
      <c r="E5496" s="7" t="s">
        <v>154</v>
      </c>
      <c r="F5496" s="7" t="s">
        <v>214</v>
      </c>
      <c r="G5496" s="7" t="s">
        <v>505</v>
      </c>
      <c r="H5496" s="6" t="n">
        <v>3.93</v>
      </c>
      <c r="I5496" s="6" t="n">
        <v>0.118</v>
      </c>
      <c r="J5496" s="40" t="n">
        <f aca="false">H5496-I5496</f>
        <v>3.812</v>
      </c>
      <c r="K5496" s="41" t="n">
        <v>26.5</v>
      </c>
      <c r="L5496" s="42" t="n">
        <f aca="false">J5496*K5496</f>
        <v>101.018</v>
      </c>
      <c r="M5496" s="43" t="n">
        <f aca="false">H5496*15.67*(1+'Chart of Accounts'!$E$67)</f>
        <v>70.5126495</v>
      </c>
    </row>
    <row r="5497" customFormat="false" ht="15" hidden="false" customHeight="false" outlineLevel="0" collapsed="false">
      <c r="B5497" s="7" t="s">
        <v>5994</v>
      </c>
      <c r="C5497" s="39" t="n">
        <v>45918</v>
      </c>
      <c r="D5497" s="7" t="s">
        <v>387</v>
      </c>
      <c r="E5497" s="7" t="s">
        <v>154</v>
      </c>
      <c r="F5497" s="7" t="s">
        <v>196</v>
      </c>
      <c r="G5497" s="7" t="s">
        <v>505</v>
      </c>
      <c r="H5497" s="6" t="n">
        <v>3.82</v>
      </c>
      <c r="I5497" s="6" t="n">
        <v>0</v>
      </c>
      <c r="J5497" s="40" t="n">
        <f aca="false">H5497-I5497</f>
        <v>3.82</v>
      </c>
      <c r="K5497" s="41" t="n">
        <v>26.5</v>
      </c>
      <c r="L5497" s="42" t="n">
        <f aca="false">J5497*K5497</f>
        <v>101.23</v>
      </c>
      <c r="M5497" s="43" t="n">
        <f aca="false">H5497*15.05*(1+'Chart of Accounts'!$E$67)</f>
        <v>65.827195</v>
      </c>
    </row>
    <row r="5498" customFormat="false" ht="15" hidden="false" customHeight="false" outlineLevel="0" collapsed="false">
      <c r="B5498" s="7" t="s">
        <v>5995</v>
      </c>
      <c r="C5498" s="39" t="n">
        <v>45918</v>
      </c>
      <c r="D5498" s="7" t="s">
        <v>389</v>
      </c>
      <c r="E5498" s="7" t="s">
        <v>154</v>
      </c>
      <c r="F5498" s="7" t="s">
        <v>246</v>
      </c>
      <c r="G5498" s="7" t="s">
        <v>505</v>
      </c>
      <c r="H5498" s="6" t="n">
        <v>4.34</v>
      </c>
      <c r="I5498" s="6" t="n">
        <v>0</v>
      </c>
      <c r="J5498" s="40" t="n">
        <f aca="false">H5498-I5498</f>
        <v>4.34</v>
      </c>
      <c r="K5498" s="41" t="n">
        <v>26.5</v>
      </c>
      <c r="L5498" s="42" t="n">
        <f aca="false">J5498*K5498</f>
        <v>115.01</v>
      </c>
      <c r="M5498" s="43" t="n">
        <f aca="false">H5498*16.48*(1+'Chart of Accounts'!$E$67)</f>
        <v>81.894064</v>
      </c>
    </row>
    <row r="5499" customFormat="false" ht="15" hidden="false" customHeight="false" outlineLevel="0" collapsed="false">
      <c r="B5499" s="7" t="s">
        <v>5996</v>
      </c>
      <c r="C5499" s="39" t="n">
        <v>45918</v>
      </c>
      <c r="D5499" s="7" t="s">
        <v>391</v>
      </c>
      <c r="E5499" s="7" t="s">
        <v>156</v>
      </c>
      <c r="F5499" s="7" t="s">
        <v>222</v>
      </c>
      <c r="G5499" s="7" t="s">
        <v>505</v>
      </c>
      <c r="H5499" s="6" t="n">
        <v>3.72</v>
      </c>
      <c r="I5499" s="6" t="n">
        <v>0</v>
      </c>
      <c r="J5499" s="40" t="n">
        <f aca="false">H5499-I5499</f>
        <v>3.72</v>
      </c>
      <c r="K5499" s="41" t="n">
        <v>34</v>
      </c>
      <c r="L5499" s="42" t="n">
        <f aca="false">J5499*K5499</f>
        <v>126.48</v>
      </c>
      <c r="M5499" s="43" t="n">
        <f aca="false">H5499*17.84*(1+'Chart of Accounts'!$E$67)</f>
        <v>75.987696</v>
      </c>
    </row>
    <row r="5500" customFormat="false" ht="15" hidden="false" customHeight="false" outlineLevel="0" collapsed="false">
      <c r="B5500" s="7" t="s">
        <v>5997</v>
      </c>
      <c r="C5500" s="39" t="n">
        <v>45918</v>
      </c>
      <c r="D5500" s="7" t="s">
        <v>395</v>
      </c>
      <c r="E5500" s="7" t="s">
        <v>156</v>
      </c>
      <c r="F5500" s="7" t="s">
        <v>242</v>
      </c>
      <c r="G5500" s="7" t="s">
        <v>505</v>
      </c>
      <c r="H5500" s="6" t="n">
        <v>3.62</v>
      </c>
      <c r="I5500" s="6" t="n">
        <v>0</v>
      </c>
      <c r="J5500" s="40" t="n">
        <f aca="false">H5500-I5500</f>
        <v>3.62</v>
      </c>
      <c r="K5500" s="41" t="n">
        <v>34</v>
      </c>
      <c r="L5500" s="42" t="n">
        <f aca="false">J5500*K5500</f>
        <v>123.08</v>
      </c>
      <c r="M5500" s="43" t="n">
        <f aca="false">H5500*17.99*(1+'Chart of Accounts'!$E$67)</f>
        <v>74.566751</v>
      </c>
    </row>
    <row r="5501" customFormat="false" ht="15" hidden="false" customHeight="false" outlineLevel="0" collapsed="false">
      <c r="B5501" s="7" t="s">
        <v>5998</v>
      </c>
      <c r="C5501" s="39" t="n">
        <v>45918</v>
      </c>
      <c r="D5501" s="7" t="s">
        <v>401</v>
      </c>
      <c r="E5501" s="7" t="s">
        <v>156</v>
      </c>
      <c r="F5501" s="7" t="s">
        <v>254</v>
      </c>
      <c r="G5501" s="7" t="s">
        <v>505</v>
      </c>
      <c r="H5501" s="6" t="n">
        <v>4.02</v>
      </c>
      <c r="I5501" s="6" t="n">
        <v>0</v>
      </c>
      <c r="J5501" s="40" t="n">
        <f aca="false">H5501-I5501</f>
        <v>4.02</v>
      </c>
      <c r="K5501" s="41" t="n">
        <v>34</v>
      </c>
      <c r="L5501" s="42" t="n">
        <f aca="false">J5501*K5501</f>
        <v>136.68</v>
      </c>
      <c r="M5501" s="43" t="n">
        <f aca="false">H5501*17.1*(1+'Chart of Accounts'!$E$67)</f>
        <v>78.70959</v>
      </c>
    </row>
    <row r="5502" customFormat="false" ht="15" hidden="false" customHeight="false" outlineLevel="0" collapsed="false">
      <c r="B5502" s="7" t="s">
        <v>5999</v>
      </c>
      <c r="C5502" s="39" t="n">
        <v>45919</v>
      </c>
      <c r="D5502" s="7" t="s">
        <v>288</v>
      </c>
      <c r="E5502" s="7" t="s">
        <v>156</v>
      </c>
      <c r="F5502" s="7" t="s">
        <v>205</v>
      </c>
      <c r="G5502" s="7" t="s">
        <v>505</v>
      </c>
      <c r="H5502" s="6" t="n">
        <v>4.34</v>
      </c>
      <c r="I5502" s="6" t="n">
        <v>0</v>
      </c>
      <c r="J5502" s="40" t="n">
        <f aca="false">H5502-I5502</f>
        <v>4.34</v>
      </c>
      <c r="K5502" s="41" t="n">
        <v>34</v>
      </c>
      <c r="L5502" s="42" t="n">
        <f aca="false">J5502*K5502</f>
        <v>147.56</v>
      </c>
      <c r="M5502" s="43" t="n">
        <f aca="false">H5502*16.36*(1+'Chart of Accounts'!$E$67)</f>
        <v>81.297748</v>
      </c>
    </row>
    <row r="5503" customFormat="false" ht="15" hidden="false" customHeight="false" outlineLevel="0" collapsed="false">
      <c r="B5503" s="7" t="s">
        <v>6000</v>
      </c>
      <c r="C5503" s="39" t="n">
        <v>45919</v>
      </c>
      <c r="D5503" s="7" t="s">
        <v>291</v>
      </c>
      <c r="E5503" s="7" t="s">
        <v>154</v>
      </c>
      <c r="F5503" s="7" t="s">
        <v>194</v>
      </c>
      <c r="G5503" s="7" t="s">
        <v>505</v>
      </c>
      <c r="H5503" s="6" t="n">
        <v>4.26</v>
      </c>
      <c r="I5503" s="6" t="n">
        <v>0</v>
      </c>
      <c r="J5503" s="40" t="n">
        <f aca="false">H5503-I5503</f>
        <v>4.26</v>
      </c>
      <c r="K5503" s="41" t="n">
        <v>26.5</v>
      </c>
      <c r="L5503" s="42" t="n">
        <f aca="false">J5503*K5503</f>
        <v>112.89</v>
      </c>
      <c r="M5503" s="43" t="n">
        <f aca="false">H5503*16*(1+'Chart of Accounts'!$E$67)</f>
        <v>78.0432</v>
      </c>
    </row>
    <row r="5504" customFormat="false" ht="15" hidden="false" customHeight="false" outlineLevel="0" collapsed="false">
      <c r="B5504" s="7" t="s">
        <v>6001</v>
      </c>
      <c r="C5504" s="39" t="n">
        <v>45919</v>
      </c>
      <c r="D5504" s="7" t="s">
        <v>293</v>
      </c>
      <c r="E5504" s="7" t="s">
        <v>157</v>
      </c>
      <c r="F5504" s="7" t="s">
        <v>198</v>
      </c>
      <c r="G5504" s="7" t="s">
        <v>502</v>
      </c>
      <c r="H5504" s="6" t="n">
        <v>1.07</v>
      </c>
      <c r="I5504" s="6" t="n">
        <v>0</v>
      </c>
      <c r="J5504" s="40" t="n">
        <f aca="false">H5504-I5504</f>
        <v>1.07</v>
      </c>
      <c r="K5504" s="41" t="n">
        <v>165</v>
      </c>
      <c r="L5504" s="42" t="n">
        <f aca="false">J5504*K5504</f>
        <v>176.55</v>
      </c>
      <c r="M5504" s="43" t="n">
        <f aca="false">H5504*48.09*(1+'Chart of Accounts'!$E$67)</f>
        <v>58.9174635</v>
      </c>
    </row>
    <row r="5505" customFormat="false" ht="15" hidden="false" customHeight="false" outlineLevel="0" collapsed="false">
      <c r="B5505" s="7" t="s">
        <v>6002</v>
      </c>
      <c r="C5505" s="39" t="n">
        <v>45919</v>
      </c>
      <c r="D5505" s="7" t="s">
        <v>295</v>
      </c>
      <c r="E5505" s="7" t="s">
        <v>154</v>
      </c>
      <c r="F5505" s="7" t="s">
        <v>214</v>
      </c>
      <c r="G5505" s="7" t="s">
        <v>505</v>
      </c>
      <c r="H5505" s="6" t="n">
        <v>4.08</v>
      </c>
      <c r="I5505" s="6" t="n">
        <v>0</v>
      </c>
      <c r="J5505" s="40" t="n">
        <f aca="false">H5505-I5505</f>
        <v>4.08</v>
      </c>
      <c r="K5505" s="41" t="n">
        <v>26.5</v>
      </c>
      <c r="L5505" s="42" t="n">
        <f aca="false">J5505*K5505</f>
        <v>108.12</v>
      </c>
      <c r="M5505" s="43" t="n">
        <f aca="false">H5505*15.67*(1+'Chart of Accounts'!$E$67)</f>
        <v>73.203972</v>
      </c>
    </row>
    <row r="5506" customFormat="false" ht="15" hidden="false" customHeight="false" outlineLevel="0" collapsed="false">
      <c r="B5506" s="7" t="s">
        <v>6003</v>
      </c>
      <c r="C5506" s="39" t="n">
        <v>45919</v>
      </c>
      <c r="D5506" s="7" t="s">
        <v>301</v>
      </c>
      <c r="E5506" s="7" t="s">
        <v>157</v>
      </c>
      <c r="F5506" s="7" t="s">
        <v>209</v>
      </c>
      <c r="G5506" s="7" t="s">
        <v>502</v>
      </c>
      <c r="H5506" s="6" t="n">
        <v>1.06</v>
      </c>
      <c r="I5506" s="6" t="n">
        <v>0</v>
      </c>
      <c r="J5506" s="40" t="n">
        <f aca="false">H5506-I5506</f>
        <v>1.06</v>
      </c>
      <c r="K5506" s="41" t="n">
        <v>165</v>
      </c>
      <c r="L5506" s="42" t="n">
        <f aca="false">J5506*K5506</f>
        <v>174.9</v>
      </c>
      <c r="M5506" s="43" t="n">
        <f aca="false">H5506*73.58*(1+'Chart of Accounts'!$E$67)</f>
        <v>89.304046</v>
      </c>
    </row>
    <row r="5507" customFormat="false" ht="15" hidden="false" customHeight="false" outlineLevel="0" collapsed="false">
      <c r="B5507" s="7" t="s">
        <v>6004</v>
      </c>
      <c r="C5507" s="39" t="n">
        <v>45919</v>
      </c>
      <c r="D5507" s="7" t="s">
        <v>305</v>
      </c>
      <c r="E5507" s="7" t="s">
        <v>154</v>
      </c>
      <c r="F5507" s="7" t="s">
        <v>205</v>
      </c>
      <c r="G5507" s="7" t="s">
        <v>505</v>
      </c>
      <c r="H5507" s="6" t="n">
        <v>3.92</v>
      </c>
      <c r="I5507" s="6" t="n">
        <v>0</v>
      </c>
      <c r="J5507" s="40" t="n">
        <f aca="false">H5507-I5507</f>
        <v>3.92</v>
      </c>
      <c r="K5507" s="41" t="n">
        <v>26.5</v>
      </c>
      <c r="L5507" s="42" t="n">
        <f aca="false">J5507*K5507</f>
        <v>103.88</v>
      </c>
      <c r="M5507" s="43" t="n">
        <f aca="false">H5507*16.36*(1+'Chart of Accounts'!$E$67)</f>
        <v>73.430224</v>
      </c>
    </row>
    <row r="5508" customFormat="false" ht="15" hidden="false" customHeight="false" outlineLevel="0" collapsed="false">
      <c r="B5508" s="7" t="s">
        <v>6005</v>
      </c>
      <c r="C5508" s="39" t="n">
        <v>45919</v>
      </c>
      <c r="D5508" s="7" t="s">
        <v>307</v>
      </c>
      <c r="E5508" s="7" t="s">
        <v>157</v>
      </c>
      <c r="F5508" s="7" t="s">
        <v>264</v>
      </c>
      <c r="G5508" s="7" t="s">
        <v>502</v>
      </c>
      <c r="H5508" s="6" t="n">
        <v>1</v>
      </c>
      <c r="I5508" s="6" t="n">
        <v>0.05</v>
      </c>
      <c r="J5508" s="40" t="n">
        <f aca="false">H5508-I5508</f>
        <v>0.95</v>
      </c>
      <c r="K5508" s="41" t="n">
        <v>165</v>
      </c>
      <c r="L5508" s="42" t="n">
        <f aca="false">J5508*K5508</f>
        <v>156.75</v>
      </c>
      <c r="M5508" s="43" t="n">
        <f aca="false">H5508*55.55*(1+'Chart of Accounts'!$E$67)</f>
        <v>63.60475</v>
      </c>
    </row>
    <row r="5509" customFormat="false" ht="15" hidden="false" customHeight="false" outlineLevel="0" collapsed="false">
      <c r="B5509" s="7" t="s">
        <v>6006</v>
      </c>
      <c r="C5509" s="39" t="n">
        <v>45919</v>
      </c>
      <c r="D5509" s="7" t="s">
        <v>309</v>
      </c>
      <c r="E5509" s="7" t="s">
        <v>159</v>
      </c>
      <c r="F5509" s="7" t="s">
        <v>252</v>
      </c>
      <c r="G5509" s="7" t="s">
        <v>502</v>
      </c>
      <c r="H5509" s="6" t="n">
        <v>0.92</v>
      </c>
      <c r="I5509" s="6" t="n">
        <v>0</v>
      </c>
      <c r="J5509" s="40" t="n">
        <f aca="false">H5509-I5509</f>
        <v>0.92</v>
      </c>
      <c r="K5509" s="41" t="n">
        <v>135</v>
      </c>
      <c r="L5509" s="42" t="n">
        <f aca="false">J5509*K5509</f>
        <v>124.2</v>
      </c>
      <c r="M5509" s="43" t="n">
        <f aca="false">H5509*57.54*(1+'Chart of Accounts'!$E$67)</f>
        <v>60.612636</v>
      </c>
    </row>
    <row r="5510" customFormat="false" ht="15" hidden="false" customHeight="false" outlineLevel="0" collapsed="false">
      <c r="B5510" s="7" t="s">
        <v>6007</v>
      </c>
      <c r="C5510" s="39" t="n">
        <v>45919</v>
      </c>
      <c r="D5510" s="7" t="s">
        <v>313</v>
      </c>
      <c r="E5510" s="7" t="s">
        <v>156</v>
      </c>
      <c r="F5510" s="7" t="s">
        <v>184</v>
      </c>
      <c r="G5510" s="7" t="s">
        <v>505</v>
      </c>
      <c r="H5510" s="6" t="n">
        <v>4.17</v>
      </c>
      <c r="I5510" s="6" t="n">
        <v>0</v>
      </c>
      <c r="J5510" s="40" t="n">
        <f aca="false">H5510-I5510</f>
        <v>4.17</v>
      </c>
      <c r="K5510" s="41" t="n">
        <v>34</v>
      </c>
      <c r="L5510" s="42" t="n">
        <f aca="false">J5510*K5510</f>
        <v>141.78</v>
      </c>
      <c r="M5510" s="43" t="n">
        <f aca="false">H5510*17.34*(1+'Chart of Accounts'!$E$67)</f>
        <v>82.792431</v>
      </c>
    </row>
    <row r="5511" customFormat="false" ht="15" hidden="false" customHeight="false" outlineLevel="0" collapsed="false">
      <c r="B5511" s="7" t="s">
        <v>6008</v>
      </c>
      <c r="C5511" s="39" t="n">
        <v>45919</v>
      </c>
      <c r="D5511" s="7" t="s">
        <v>315</v>
      </c>
      <c r="E5511" s="7" t="s">
        <v>159</v>
      </c>
      <c r="F5511" s="7" t="s">
        <v>216</v>
      </c>
      <c r="G5511" s="7" t="s">
        <v>502</v>
      </c>
      <c r="H5511" s="6" t="n">
        <v>1.08</v>
      </c>
      <c r="I5511" s="6" t="n">
        <v>0</v>
      </c>
      <c r="J5511" s="40" t="n">
        <f aca="false">H5511-I5511</f>
        <v>1.08</v>
      </c>
      <c r="K5511" s="41" t="n">
        <v>135</v>
      </c>
      <c r="L5511" s="42" t="n">
        <f aca="false">J5511*K5511</f>
        <v>145.8</v>
      </c>
      <c r="M5511" s="43" t="n">
        <f aca="false">H5511*61.79*(1+'Chart of Accounts'!$E$67)</f>
        <v>76.409514</v>
      </c>
    </row>
    <row r="5512" customFormat="false" ht="15" hidden="false" customHeight="false" outlineLevel="0" collapsed="false">
      <c r="B5512" s="7" t="s">
        <v>6009</v>
      </c>
      <c r="C5512" s="39" t="n">
        <v>45919</v>
      </c>
      <c r="D5512" s="7" t="s">
        <v>319</v>
      </c>
      <c r="E5512" s="7" t="s">
        <v>157</v>
      </c>
      <c r="F5512" s="7" t="s">
        <v>234</v>
      </c>
      <c r="G5512" s="7" t="s">
        <v>502</v>
      </c>
      <c r="H5512" s="6" t="n">
        <v>1.02</v>
      </c>
      <c r="I5512" s="6" t="n">
        <v>0</v>
      </c>
      <c r="J5512" s="40" t="n">
        <f aca="false">H5512-I5512</f>
        <v>1.02</v>
      </c>
      <c r="K5512" s="41" t="n">
        <v>165</v>
      </c>
      <c r="L5512" s="42" t="n">
        <f aca="false">J5512*K5512</f>
        <v>168.3</v>
      </c>
      <c r="M5512" s="43" t="n">
        <f aca="false">H5512*89.53*(1+'Chart of Accounts'!$E$67)</f>
        <v>104.562087</v>
      </c>
    </row>
    <row r="5513" customFormat="false" ht="15" hidden="false" customHeight="false" outlineLevel="0" collapsed="false">
      <c r="B5513" s="7" t="s">
        <v>6010</v>
      </c>
      <c r="C5513" s="39" t="n">
        <v>45919</v>
      </c>
      <c r="D5513" s="7" t="s">
        <v>321</v>
      </c>
      <c r="E5513" s="7" t="s">
        <v>154</v>
      </c>
      <c r="F5513" s="7" t="s">
        <v>218</v>
      </c>
      <c r="G5513" s="7" t="s">
        <v>505</v>
      </c>
      <c r="H5513" s="6" t="n">
        <v>3.8</v>
      </c>
      <c r="I5513" s="6" t="n">
        <v>0</v>
      </c>
      <c r="J5513" s="40" t="n">
        <f aca="false">H5513-I5513</f>
        <v>3.8</v>
      </c>
      <c r="K5513" s="41" t="n">
        <v>26.5</v>
      </c>
      <c r="L5513" s="42" t="n">
        <f aca="false">J5513*K5513</f>
        <v>100.7</v>
      </c>
      <c r="M5513" s="43" t="n">
        <f aca="false">H5513*16.19*(1+'Chart of Accounts'!$E$67)</f>
        <v>70.44269</v>
      </c>
    </row>
    <row r="5514" customFormat="false" ht="15" hidden="false" customHeight="false" outlineLevel="0" collapsed="false">
      <c r="B5514" s="7" t="s">
        <v>6011</v>
      </c>
      <c r="C5514" s="39" t="n">
        <v>45919</v>
      </c>
      <c r="D5514" s="7" t="s">
        <v>323</v>
      </c>
      <c r="E5514" s="7" t="s">
        <v>159</v>
      </c>
      <c r="F5514" s="7" t="s">
        <v>260</v>
      </c>
      <c r="G5514" s="7" t="s">
        <v>502</v>
      </c>
      <c r="H5514" s="6" t="n">
        <v>1.02</v>
      </c>
      <c r="I5514" s="6" t="n">
        <v>0</v>
      </c>
      <c r="J5514" s="40" t="n">
        <f aca="false">H5514-I5514</f>
        <v>1.02</v>
      </c>
      <c r="K5514" s="41" t="n">
        <v>135</v>
      </c>
      <c r="L5514" s="42" t="n">
        <f aca="false">J5514*K5514</f>
        <v>137.7</v>
      </c>
      <c r="M5514" s="43" t="n">
        <f aca="false">H5514*79.8*(1+'Chart of Accounts'!$E$67)</f>
        <v>93.19842</v>
      </c>
    </row>
    <row r="5515" customFormat="false" ht="15" hidden="false" customHeight="false" outlineLevel="0" collapsed="false">
      <c r="B5515" s="7" t="s">
        <v>6012</v>
      </c>
      <c r="C5515" s="39" t="n">
        <v>45919</v>
      </c>
      <c r="D5515" s="7" t="s">
        <v>327</v>
      </c>
      <c r="E5515" s="7" t="s">
        <v>157</v>
      </c>
      <c r="F5515" s="7" t="s">
        <v>228</v>
      </c>
      <c r="G5515" s="7" t="s">
        <v>502</v>
      </c>
      <c r="H5515" s="6" t="n">
        <v>1.08</v>
      </c>
      <c r="I5515" s="6" t="n">
        <v>0</v>
      </c>
      <c r="J5515" s="40" t="n">
        <f aca="false">H5515-I5515</f>
        <v>1.08</v>
      </c>
      <c r="K5515" s="41" t="n">
        <v>165</v>
      </c>
      <c r="L5515" s="42" t="n">
        <f aca="false">J5515*K5515</f>
        <v>178.2</v>
      </c>
      <c r="M5515" s="43" t="n">
        <f aca="false">H5515*51.07*(1+'Chart of Accounts'!$E$67)</f>
        <v>63.153162</v>
      </c>
    </row>
    <row r="5516" customFormat="false" ht="15" hidden="false" customHeight="false" outlineLevel="0" collapsed="false">
      <c r="B5516" s="7" t="s">
        <v>6013</v>
      </c>
      <c r="C5516" s="39" t="n">
        <v>45919</v>
      </c>
      <c r="D5516" s="7" t="s">
        <v>329</v>
      </c>
      <c r="E5516" s="7" t="s">
        <v>156</v>
      </c>
      <c r="F5516" s="7" t="s">
        <v>220</v>
      </c>
      <c r="G5516" s="7" t="s">
        <v>505</v>
      </c>
      <c r="H5516" s="6" t="n">
        <v>4.15</v>
      </c>
      <c r="I5516" s="6" t="n">
        <v>0</v>
      </c>
      <c r="J5516" s="40" t="n">
        <f aca="false">H5516-I5516</f>
        <v>4.15</v>
      </c>
      <c r="K5516" s="41" t="n">
        <v>34</v>
      </c>
      <c r="L5516" s="42" t="n">
        <f aca="false">J5516*K5516</f>
        <v>141.1</v>
      </c>
      <c r="M5516" s="43" t="n">
        <f aca="false">H5516*16.43*(1+'Chart of Accounts'!$E$67)</f>
        <v>78.0712525</v>
      </c>
    </row>
    <row r="5517" customFormat="false" ht="15" hidden="false" customHeight="false" outlineLevel="0" collapsed="false">
      <c r="B5517" s="7" t="s">
        <v>6014</v>
      </c>
      <c r="C5517" s="39" t="n">
        <v>45919</v>
      </c>
      <c r="D5517" s="7" t="s">
        <v>335</v>
      </c>
      <c r="E5517" s="7" t="s">
        <v>154</v>
      </c>
      <c r="F5517" s="7" t="s">
        <v>177</v>
      </c>
      <c r="G5517" s="7" t="s">
        <v>505</v>
      </c>
      <c r="H5517" s="6" t="n">
        <v>4.09</v>
      </c>
      <c r="I5517" s="6" t="n">
        <v>0</v>
      </c>
      <c r="J5517" s="40" t="n">
        <f aca="false">H5517-I5517</f>
        <v>4.09</v>
      </c>
      <c r="K5517" s="41" t="n">
        <v>26.5</v>
      </c>
      <c r="L5517" s="42" t="n">
        <f aca="false">J5517*K5517</f>
        <v>108.385</v>
      </c>
      <c r="M5517" s="43" t="n">
        <f aca="false">H5517*14.56*(1+'Chart of Accounts'!$E$67)</f>
        <v>68.185208</v>
      </c>
    </row>
    <row r="5518" customFormat="false" ht="15" hidden="false" customHeight="false" outlineLevel="0" collapsed="false">
      <c r="B5518" s="7" t="s">
        <v>6015</v>
      </c>
      <c r="C5518" s="39" t="n">
        <v>45919</v>
      </c>
      <c r="D5518" s="7" t="s">
        <v>339</v>
      </c>
      <c r="E5518" s="7" t="s">
        <v>154</v>
      </c>
      <c r="F5518" s="7" t="s">
        <v>242</v>
      </c>
      <c r="G5518" s="7" t="s">
        <v>505</v>
      </c>
      <c r="H5518" s="6" t="n">
        <v>3.12</v>
      </c>
      <c r="I5518" s="6" t="n">
        <v>0</v>
      </c>
      <c r="J5518" s="40" t="n">
        <f aca="false">H5518-I5518</f>
        <v>3.12</v>
      </c>
      <c r="K5518" s="41" t="n">
        <v>26.5</v>
      </c>
      <c r="L5518" s="42" t="n">
        <f aca="false">J5518*K5518</f>
        <v>82.68</v>
      </c>
      <c r="M5518" s="43" t="n">
        <f aca="false">H5518*17.99*(1+'Chart of Accounts'!$E$67)</f>
        <v>64.267476</v>
      </c>
    </row>
    <row r="5519" customFormat="false" ht="15" hidden="false" customHeight="false" outlineLevel="0" collapsed="false">
      <c r="B5519" s="7" t="s">
        <v>6016</v>
      </c>
      <c r="C5519" s="39" t="n">
        <v>45919</v>
      </c>
      <c r="D5519" s="7" t="s">
        <v>347</v>
      </c>
      <c r="E5519" s="7" t="s">
        <v>154</v>
      </c>
      <c r="F5519" s="7" t="s">
        <v>238</v>
      </c>
      <c r="G5519" s="7" t="s">
        <v>505</v>
      </c>
      <c r="H5519" s="6" t="n">
        <v>4.85</v>
      </c>
      <c r="I5519" s="6" t="n">
        <v>0</v>
      </c>
      <c r="J5519" s="40" t="n">
        <f aca="false">H5519-I5519</f>
        <v>4.85</v>
      </c>
      <c r="K5519" s="41" t="n">
        <v>26.5</v>
      </c>
      <c r="L5519" s="42" t="n">
        <f aca="false">J5519*K5519</f>
        <v>128.525</v>
      </c>
      <c r="M5519" s="43" t="n">
        <f aca="false">H5519*15.85*(1+'Chart of Accounts'!$E$67)</f>
        <v>88.0190125</v>
      </c>
    </row>
    <row r="5520" customFormat="false" ht="15" hidden="false" customHeight="false" outlineLevel="0" collapsed="false">
      <c r="B5520" s="7" t="s">
        <v>6017</v>
      </c>
      <c r="C5520" s="39" t="n">
        <v>45919</v>
      </c>
      <c r="D5520" s="7" t="s">
        <v>349</v>
      </c>
      <c r="E5520" s="7" t="s">
        <v>154</v>
      </c>
      <c r="F5520" s="7" t="s">
        <v>244</v>
      </c>
      <c r="G5520" s="7" t="s">
        <v>505</v>
      </c>
      <c r="H5520" s="6" t="n">
        <v>3.78</v>
      </c>
      <c r="I5520" s="6" t="n">
        <v>0.113</v>
      </c>
      <c r="J5520" s="40" t="n">
        <f aca="false">H5520-I5520</f>
        <v>3.667</v>
      </c>
      <c r="K5520" s="41" t="n">
        <v>26.5</v>
      </c>
      <c r="L5520" s="42" t="n">
        <f aca="false">J5520*K5520</f>
        <v>97.1755</v>
      </c>
      <c r="M5520" s="43" t="n">
        <f aca="false">H5520*16.39*(1+'Chart of Accounts'!$E$67)</f>
        <v>70.937559</v>
      </c>
    </row>
    <row r="5521" customFormat="false" ht="15" hidden="false" customHeight="false" outlineLevel="0" collapsed="false">
      <c r="B5521" s="7" t="s">
        <v>6018</v>
      </c>
      <c r="C5521" s="39" t="n">
        <v>45919</v>
      </c>
      <c r="D5521" s="7" t="s">
        <v>353</v>
      </c>
      <c r="E5521" s="7" t="s">
        <v>154</v>
      </c>
      <c r="F5521" s="7" t="s">
        <v>254</v>
      </c>
      <c r="G5521" s="7" t="s">
        <v>505</v>
      </c>
      <c r="H5521" s="6" t="n">
        <v>3.28</v>
      </c>
      <c r="I5521" s="6" t="n">
        <v>0</v>
      </c>
      <c r="J5521" s="40" t="n">
        <f aca="false">H5521-I5521</f>
        <v>3.28</v>
      </c>
      <c r="K5521" s="41" t="n">
        <v>26.5</v>
      </c>
      <c r="L5521" s="42" t="n">
        <f aca="false">J5521*K5521</f>
        <v>86.92</v>
      </c>
      <c r="M5521" s="43" t="n">
        <f aca="false">H5521*17.1*(1+'Chart of Accounts'!$E$67)</f>
        <v>64.22076</v>
      </c>
    </row>
    <row r="5522" customFormat="false" ht="15" hidden="false" customHeight="false" outlineLevel="0" collapsed="false">
      <c r="B5522" s="7" t="s">
        <v>6019</v>
      </c>
      <c r="C5522" s="39" t="n">
        <v>45919</v>
      </c>
      <c r="D5522" s="7" t="s">
        <v>355</v>
      </c>
      <c r="E5522" s="7" t="s">
        <v>154</v>
      </c>
      <c r="F5522" s="7" t="s">
        <v>201</v>
      </c>
      <c r="G5522" s="7" t="s">
        <v>505</v>
      </c>
      <c r="H5522" s="6" t="n">
        <v>3.02</v>
      </c>
      <c r="I5522" s="6" t="n">
        <v>0</v>
      </c>
      <c r="J5522" s="40" t="n">
        <f aca="false">H5522-I5522</f>
        <v>3.02</v>
      </c>
      <c r="K5522" s="41" t="n">
        <v>26.5</v>
      </c>
      <c r="L5522" s="42" t="n">
        <f aca="false">J5522*K5522</f>
        <v>80.03</v>
      </c>
      <c r="M5522" s="43" t="n">
        <f aca="false">H5522*15.19*(1+'Chart of Accounts'!$E$67)</f>
        <v>52.525501</v>
      </c>
    </row>
    <row r="5523" customFormat="false" ht="15" hidden="false" customHeight="false" outlineLevel="0" collapsed="false">
      <c r="B5523" s="7" t="s">
        <v>6020</v>
      </c>
      <c r="C5523" s="39" t="n">
        <v>45919</v>
      </c>
      <c r="D5523" s="7" t="s">
        <v>357</v>
      </c>
      <c r="E5523" s="7" t="s">
        <v>154</v>
      </c>
      <c r="F5523" s="7" t="s">
        <v>244</v>
      </c>
      <c r="G5523" s="7" t="s">
        <v>505</v>
      </c>
      <c r="H5523" s="6" t="n">
        <v>3.37</v>
      </c>
      <c r="I5523" s="6" t="n">
        <v>0</v>
      </c>
      <c r="J5523" s="40" t="n">
        <f aca="false">H5523-I5523</f>
        <v>3.37</v>
      </c>
      <c r="K5523" s="41" t="n">
        <v>26.5</v>
      </c>
      <c r="L5523" s="42" t="n">
        <f aca="false">J5523*K5523</f>
        <v>89.305</v>
      </c>
      <c r="M5523" s="43" t="n">
        <f aca="false">H5523*16.39*(1+'Chart of Accounts'!$E$67)</f>
        <v>63.2432735</v>
      </c>
    </row>
    <row r="5524" customFormat="false" ht="15" hidden="false" customHeight="false" outlineLevel="0" collapsed="false">
      <c r="B5524" s="7" t="s">
        <v>6021</v>
      </c>
      <c r="C5524" s="39" t="n">
        <v>45919</v>
      </c>
      <c r="D5524" s="7" t="s">
        <v>359</v>
      </c>
      <c r="E5524" s="7" t="s">
        <v>156</v>
      </c>
      <c r="F5524" s="7" t="s">
        <v>196</v>
      </c>
      <c r="G5524" s="7" t="s">
        <v>505</v>
      </c>
      <c r="H5524" s="6" t="n">
        <v>4.09</v>
      </c>
      <c r="I5524" s="6" t="n">
        <v>0</v>
      </c>
      <c r="J5524" s="40" t="n">
        <f aca="false">H5524-I5524</f>
        <v>4.09</v>
      </c>
      <c r="K5524" s="41" t="n">
        <v>34</v>
      </c>
      <c r="L5524" s="42" t="n">
        <f aca="false">J5524*K5524</f>
        <v>139.06</v>
      </c>
      <c r="M5524" s="43" t="n">
        <f aca="false">H5524*15.05*(1+'Chart of Accounts'!$E$67)</f>
        <v>70.4799025</v>
      </c>
    </row>
    <row r="5525" customFormat="false" ht="15" hidden="false" customHeight="false" outlineLevel="0" collapsed="false">
      <c r="B5525" s="7" t="s">
        <v>6022</v>
      </c>
      <c r="C5525" s="39" t="n">
        <v>45919</v>
      </c>
      <c r="D5525" s="7" t="s">
        <v>361</v>
      </c>
      <c r="E5525" s="7" t="s">
        <v>157</v>
      </c>
      <c r="F5525" s="7" t="s">
        <v>209</v>
      </c>
      <c r="G5525" s="7" t="s">
        <v>502</v>
      </c>
      <c r="H5525" s="6" t="n">
        <v>1.06</v>
      </c>
      <c r="I5525" s="6" t="n">
        <v>0</v>
      </c>
      <c r="J5525" s="40" t="n">
        <f aca="false">H5525-I5525</f>
        <v>1.06</v>
      </c>
      <c r="K5525" s="41" t="n">
        <v>165</v>
      </c>
      <c r="L5525" s="42" t="n">
        <f aca="false">J5525*K5525</f>
        <v>174.9</v>
      </c>
      <c r="M5525" s="43" t="n">
        <f aca="false">H5525*73.58*(1+'Chart of Accounts'!$E$67)</f>
        <v>89.304046</v>
      </c>
    </row>
    <row r="5526" customFormat="false" ht="15" hidden="false" customHeight="false" outlineLevel="0" collapsed="false">
      <c r="B5526" s="7" t="s">
        <v>6023</v>
      </c>
      <c r="C5526" s="39" t="n">
        <v>45919</v>
      </c>
      <c r="D5526" s="7" t="s">
        <v>369</v>
      </c>
      <c r="E5526" s="7" t="s">
        <v>159</v>
      </c>
      <c r="F5526" s="7" t="s">
        <v>258</v>
      </c>
      <c r="G5526" s="7" t="s">
        <v>502</v>
      </c>
      <c r="H5526" s="6" t="n">
        <v>0.93</v>
      </c>
      <c r="I5526" s="6" t="n">
        <v>0</v>
      </c>
      <c r="J5526" s="40" t="n">
        <f aca="false">H5526-I5526</f>
        <v>0.93</v>
      </c>
      <c r="K5526" s="41" t="n">
        <v>135</v>
      </c>
      <c r="L5526" s="42" t="n">
        <f aca="false">J5526*K5526</f>
        <v>125.55</v>
      </c>
      <c r="M5526" s="43" t="n">
        <f aca="false">H5526*61.61*(1+'Chart of Accounts'!$E$67)</f>
        <v>65.6054085</v>
      </c>
    </row>
    <row r="5527" customFormat="false" ht="15" hidden="false" customHeight="false" outlineLevel="0" collapsed="false">
      <c r="B5527" s="7" t="s">
        <v>6024</v>
      </c>
      <c r="C5527" s="39" t="n">
        <v>45919</v>
      </c>
      <c r="D5527" s="7" t="s">
        <v>371</v>
      </c>
      <c r="E5527" s="7" t="s">
        <v>154</v>
      </c>
      <c r="F5527" s="7" t="s">
        <v>232</v>
      </c>
      <c r="G5527" s="7" t="s">
        <v>505</v>
      </c>
      <c r="H5527" s="6" t="n">
        <v>5.09</v>
      </c>
      <c r="I5527" s="6" t="n">
        <v>0</v>
      </c>
      <c r="J5527" s="40" t="n">
        <f aca="false">H5527-I5527</f>
        <v>5.09</v>
      </c>
      <c r="K5527" s="41" t="n">
        <v>26.5</v>
      </c>
      <c r="L5527" s="42" t="n">
        <f aca="false">J5527*K5527</f>
        <v>134.885</v>
      </c>
      <c r="M5527" s="43" t="n">
        <f aca="false">H5527*16.17*(1+'Chart of Accounts'!$E$67)</f>
        <v>94.2395685</v>
      </c>
    </row>
    <row r="5528" customFormat="false" ht="15" hidden="false" customHeight="false" outlineLevel="0" collapsed="false">
      <c r="B5528" s="7" t="s">
        <v>6025</v>
      </c>
      <c r="C5528" s="39" t="n">
        <v>45919</v>
      </c>
      <c r="D5528" s="7" t="s">
        <v>379</v>
      </c>
      <c r="E5528" s="7" t="s">
        <v>156</v>
      </c>
      <c r="F5528" s="7" t="s">
        <v>224</v>
      </c>
      <c r="G5528" s="7" t="s">
        <v>505</v>
      </c>
      <c r="H5528" s="6" t="n">
        <v>5.1</v>
      </c>
      <c r="I5528" s="6" t="n">
        <v>0</v>
      </c>
      <c r="J5528" s="40" t="n">
        <f aca="false">H5528-I5528</f>
        <v>5.1</v>
      </c>
      <c r="K5528" s="41" t="n">
        <v>34</v>
      </c>
      <c r="L5528" s="42" t="n">
        <f aca="false">J5528*K5528</f>
        <v>173.4</v>
      </c>
      <c r="M5528" s="43" t="n">
        <f aca="false">H5528*14.93*(1+'Chart of Accounts'!$E$67)</f>
        <v>87.183735</v>
      </c>
    </row>
    <row r="5529" customFormat="false" ht="15" hidden="false" customHeight="false" outlineLevel="0" collapsed="false">
      <c r="B5529" s="7" t="s">
        <v>6026</v>
      </c>
      <c r="C5529" s="39" t="n">
        <v>45919</v>
      </c>
      <c r="D5529" s="7" t="s">
        <v>381</v>
      </c>
      <c r="E5529" s="7" t="s">
        <v>157</v>
      </c>
      <c r="F5529" s="7" t="s">
        <v>234</v>
      </c>
      <c r="G5529" s="7" t="s">
        <v>502</v>
      </c>
      <c r="H5529" s="6" t="n">
        <v>0.94</v>
      </c>
      <c r="I5529" s="6" t="n">
        <v>0</v>
      </c>
      <c r="J5529" s="40" t="n">
        <f aca="false">H5529-I5529</f>
        <v>0.94</v>
      </c>
      <c r="K5529" s="41" t="n">
        <v>165</v>
      </c>
      <c r="L5529" s="42" t="n">
        <f aca="false">J5529*K5529</f>
        <v>155.1</v>
      </c>
      <c r="M5529" s="43" t="n">
        <f aca="false">H5529*89.53*(1+'Chart of Accounts'!$E$67)</f>
        <v>96.361139</v>
      </c>
    </row>
    <row r="5530" customFormat="false" ht="15" hidden="false" customHeight="false" outlineLevel="0" collapsed="false">
      <c r="B5530" s="7" t="s">
        <v>6027</v>
      </c>
      <c r="C5530" s="39" t="n">
        <v>45919</v>
      </c>
      <c r="D5530" s="7" t="s">
        <v>383</v>
      </c>
      <c r="E5530" s="7" t="s">
        <v>157</v>
      </c>
      <c r="F5530" s="7" t="s">
        <v>230</v>
      </c>
      <c r="G5530" s="7" t="s">
        <v>502</v>
      </c>
      <c r="H5530" s="6" t="n">
        <v>1.03</v>
      </c>
      <c r="I5530" s="6" t="n">
        <v>0</v>
      </c>
      <c r="J5530" s="40" t="n">
        <f aca="false">H5530-I5530</f>
        <v>1.03</v>
      </c>
      <c r="K5530" s="41" t="n">
        <v>165</v>
      </c>
      <c r="L5530" s="42" t="n">
        <f aca="false">J5530*K5530</f>
        <v>169.95</v>
      </c>
      <c r="M5530" s="43" t="n">
        <f aca="false">H5530*48.78*(1+'Chart of Accounts'!$E$67)</f>
        <v>57.528693</v>
      </c>
    </row>
    <row r="5531" customFormat="false" ht="15" hidden="false" customHeight="false" outlineLevel="0" collapsed="false">
      <c r="B5531" s="7" t="s">
        <v>6028</v>
      </c>
      <c r="C5531" s="39" t="n">
        <v>45919</v>
      </c>
      <c r="D5531" s="7" t="s">
        <v>385</v>
      </c>
      <c r="E5531" s="7" t="s">
        <v>156</v>
      </c>
      <c r="F5531" s="7" t="s">
        <v>238</v>
      </c>
      <c r="G5531" s="7" t="s">
        <v>505</v>
      </c>
      <c r="H5531" s="6" t="n">
        <v>4.17</v>
      </c>
      <c r="I5531" s="6" t="n">
        <v>0</v>
      </c>
      <c r="J5531" s="40" t="n">
        <f aca="false">H5531-I5531</f>
        <v>4.17</v>
      </c>
      <c r="K5531" s="41" t="n">
        <v>34</v>
      </c>
      <c r="L5531" s="42" t="n">
        <f aca="false">J5531*K5531</f>
        <v>141.78</v>
      </c>
      <c r="M5531" s="43" t="n">
        <f aca="false">H5531*15.85*(1+'Chart of Accounts'!$E$67)</f>
        <v>75.6782025</v>
      </c>
    </row>
    <row r="5532" customFormat="false" ht="15" hidden="false" customHeight="false" outlineLevel="0" collapsed="false">
      <c r="B5532" s="7" t="s">
        <v>6029</v>
      </c>
      <c r="C5532" s="39" t="n">
        <v>45919</v>
      </c>
      <c r="D5532" s="7" t="s">
        <v>387</v>
      </c>
      <c r="E5532" s="7" t="s">
        <v>154</v>
      </c>
      <c r="F5532" s="7" t="s">
        <v>196</v>
      </c>
      <c r="G5532" s="7" t="s">
        <v>505</v>
      </c>
      <c r="H5532" s="6" t="n">
        <v>4.22</v>
      </c>
      <c r="I5532" s="6" t="n">
        <v>0</v>
      </c>
      <c r="J5532" s="40" t="n">
        <f aca="false">H5532-I5532</f>
        <v>4.22</v>
      </c>
      <c r="K5532" s="41" t="n">
        <v>26.5</v>
      </c>
      <c r="L5532" s="42" t="n">
        <f aca="false">J5532*K5532</f>
        <v>111.83</v>
      </c>
      <c r="M5532" s="43" t="n">
        <f aca="false">H5532*15.05*(1+'Chart of Accounts'!$E$67)</f>
        <v>72.720095</v>
      </c>
    </row>
    <row r="5533" customFormat="false" ht="15" hidden="false" customHeight="false" outlineLevel="0" collapsed="false">
      <c r="B5533" s="7" t="s">
        <v>6030</v>
      </c>
      <c r="C5533" s="39" t="n">
        <v>45919</v>
      </c>
      <c r="D5533" s="7" t="s">
        <v>389</v>
      </c>
      <c r="E5533" s="7" t="s">
        <v>154</v>
      </c>
      <c r="F5533" s="7" t="s">
        <v>246</v>
      </c>
      <c r="G5533" s="7" t="s">
        <v>505</v>
      </c>
      <c r="H5533" s="6" t="n">
        <v>4.2</v>
      </c>
      <c r="I5533" s="6" t="n">
        <v>0</v>
      </c>
      <c r="J5533" s="40" t="n">
        <f aca="false">H5533-I5533</f>
        <v>4.2</v>
      </c>
      <c r="K5533" s="41" t="n">
        <v>26.5</v>
      </c>
      <c r="L5533" s="42" t="n">
        <f aca="false">J5533*K5533</f>
        <v>111.3</v>
      </c>
      <c r="M5533" s="43" t="n">
        <f aca="false">H5533*16.48*(1+'Chart of Accounts'!$E$67)</f>
        <v>79.25232</v>
      </c>
    </row>
    <row r="5534" customFormat="false" ht="15" hidden="false" customHeight="false" outlineLevel="0" collapsed="false">
      <c r="B5534" s="7" t="s">
        <v>6031</v>
      </c>
      <c r="C5534" s="39" t="n">
        <v>45919</v>
      </c>
      <c r="D5534" s="7" t="s">
        <v>391</v>
      </c>
      <c r="E5534" s="7" t="s">
        <v>156</v>
      </c>
      <c r="F5534" s="7" t="s">
        <v>222</v>
      </c>
      <c r="G5534" s="7" t="s">
        <v>505</v>
      </c>
      <c r="H5534" s="6" t="n">
        <v>4.38</v>
      </c>
      <c r="I5534" s="6" t="n">
        <v>0</v>
      </c>
      <c r="J5534" s="40" t="n">
        <f aca="false">H5534-I5534</f>
        <v>4.38</v>
      </c>
      <c r="K5534" s="41" t="n">
        <v>34</v>
      </c>
      <c r="L5534" s="42" t="n">
        <f aca="false">J5534*K5534</f>
        <v>148.92</v>
      </c>
      <c r="M5534" s="43" t="n">
        <f aca="false">H5534*17.84*(1+'Chart of Accounts'!$E$67)</f>
        <v>89.469384</v>
      </c>
    </row>
    <row r="5535" customFormat="false" ht="15" hidden="false" customHeight="false" outlineLevel="0" collapsed="false">
      <c r="B5535" s="7" t="s">
        <v>6032</v>
      </c>
      <c r="C5535" s="39" t="n">
        <v>45919</v>
      </c>
      <c r="D5535" s="7" t="s">
        <v>395</v>
      </c>
      <c r="E5535" s="7" t="s">
        <v>156</v>
      </c>
      <c r="F5535" s="7" t="s">
        <v>242</v>
      </c>
      <c r="G5535" s="7" t="s">
        <v>505</v>
      </c>
      <c r="H5535" s="6" t="n">
        <v>3.72</v>
      </c>
      <c r="I5535" s="6" t="n">
        <v>0</v>
      </c>
      <c r="J5535" s="40" t="n">
        <f aca="false">H5535-I5535</f>
        <v>3.72</v>
      </c>
      <c r="K5535" s="41" t="n">
        <v>34</v>
      </c>
      <c r="L5535" s="42" t="n">
        <f aca="false">J5535*K5535</f>
        <v>126.48</v>
      </c>
      <c r="M5535" s="43" t="n">
        <f aca="false">H5535*17.99*(1+'Chart of Accounts'!$E$67)</f>
        <v>76.626606</v>
      </c>
    </row>
    <row r="5536" customFormat="false" ht="15" hidden="false" customHeight="false" outlineLevel="0" collapsed="false">
      <c r="B5536" s="7" t="s">
        <v>6033</v>
      </c>
      <c r="C5536" s="39" t="n">
        <v>45919</v>
      </c>
      <c r="D5536" s="7" t="s">
        <v>397</v>
      </c>
      <c r="E5536" s="7" t="s">
        <v>159</v>
      </c>
      <c r="F5536" s="7" t="s">
        <v>203</v>
      </c>
      <c r="G5536" s="7" t="s">
        <v>502</v>
      </c>
      <c r="H5536" s="6" t="n">
        <v>1</v>
      </c>
      <c r="I5536" s="6" t="n">
        <v>0</v>
      </c>
      <c r="J5536" s="40" t="n">
        <f aca="false">H5536-I5536</f>
        <v>1</v>
      </c>
      <c r="K5536" s="41" t="n">
        <v>135</v>
      </c>
      <c r="L5536" s="42" t="n">
        <f aca="false">J5536*K5536</f>
        <v>135</v>
      </c>
      <c r="M5536" s="43" t="n">
        <f aca="false">H5536*49.43*(1+'Chart of Accounts'!$E$67)</f>
        <v>56.59735</v>
      </c>
    </row>
    <row r="5537" customFormat="false" ht="15" hidden="false" customHeight="false" outlineLevel="0" collapsed="false">
      <c r="B5537" s="7" t="s">
        <v>6034</v>
      </c>
      <c r="C5537" s="39" t="n">
        <v>45919</v>
      </c>
      <c r="D5537" s="7" t="s">
        <v>399</v>
      </c>
      <c r="E5537" s="7" t="s">
        <v>154</v>
      </c>
      <c r="F5537" s="7" t="s">
        <v>232</v>
      </c>
      <c r="G5537" s="7" t="s">
        <v>505</v>
      </c>
      <c r="H5537" s="6" t="n">
        <v>3.19</v>
      </c>
      <c r="I5537" s="6" t="n">
        <v>0</v>
      </c>
      <c r="J5537" s="40" t="n">
        <f aca="false">H5537-I5537</f>
        <v>3.19</v>
      </c>
      <c r="K5537" s="41" t="n">
        <v>26.5</v>
      </c>
      <c r="L5537" s="42" t="n">
        <f aca="false">J5537*K5537</f>
        <v>84.535</v>
      </c>
      <c r="M5537" s="43" t="n">
        <f aca="false">H5537*16.17*(1+'Chart of Accounts'!$E$67)</f>
        <v>59.0617335</v>
      </c>
    </row>
    <row r="5538" customFormat="false" ht="15" hidden="false" customHeight="false" outlineLevel="0" collapsed="false">
      <c r="B5538" s="7" t="s">
        <v>6035</v>
      </c>
      <c r="C5538" s="39" t="n">
        <v>45919</v>
      </c>
      <c r="D5538" s="7" t="s">
        <v>401</v>
      </c>
      <c r="E5538" s="7" t="s">
        <v>156</v>
      </c>
      <c r="F5538" s="7" t="s">
        <v>254</v>
      </c>
      <c r="G5538" s="7" t="s">
        <v>505</v>
      </c>
      <c r="H5538" s="6" t="n">
        <v>4.14</v>
      </c>
      <c r="I5538" s="6" t="n">
        <v>0</v>
      </c>
      <c r="J5538" s="40" t="n">
        <f aca="false">H5538-I5538</f>
        <v>4.14</v>
      </c>
      <c r="K5538" s="41" t="n">
        <v>34</v>
      </c>
      <c r="L5538" s="42" t="n">
        <f aca="false">J5538*K5538</f>
        <v>140.76</v>
      </c>
      <c r="M5538" s="43" t="n">
        <f aca="false">H5538*17.1*(1+'Chart of Accounts'!$E$67)</f>
        <v>81.05913</v>
      </c>
    </row>
    <row r="5539" customFormat="false" ht="15" hidden="false" customHeight="false" outlineLevel="0" collapsed="false">
      <c r="B5539" s="7" t="s">
        <v>6036</v>
      </c>
      <c r="C5539" s="39" t="n">
        <v>45919</v>
      </c>
      <c r="D5539" s="7" t="s">
        <v>403</v>
      </c>
      <c r="E5539" s="7" t="s">
        <v>156</v>
      </c>
      <c r="F5539" s="7" t="s">
        <v>184</v>
      </c>
      <c r="G5539" s="7" t="s">
        <v>505</v>
      </c>
      <c r="H5539" s="6" t="n">
        <v>4.25</v>
      </c>
      <c r="I5539" s="6" t="n">
        <v>0</v>
      </c>
      <c r="J5539" s="40" t="n">
        <f aca="false">H5539-I5539</f>
        <v>4.25</v>
      </c>
      <c r="K5539" s="41" t="n">
        <v>34</v>
      </c>
      <c r="L5539" s="42" t="n">
        <f aca="false">J5539*K5539</f>
        <v>144.5</v>
      </c>
      <c r="M5539" s="43" t="n">
        <f aca="false">H5539*17.34*(1+'Chart of Accounts'!$E$67)</f>
        <v>84.380775</v>
      </c>
    </row>
    <row r="5540" customFormat="false" ht="15" hidden="false" customHeight="false" outlineLevel="0" collapsed="false">
      <c r="B5540" s="7" t="s">
        <v>6037</v>
      </c>
      <c r="C5540" s="39" t="n">
        <v>45919</v>
      </c>
      <c r="D5540" s="7" t="s">
        <v>407</v>
      </c>
      <c r="E5540" s="7" t="s">
        <v>159</v>
      </c>
      <c r="F5540" s="7" t="s">
        <v>260</v>
      </c>
      <c r="G5540" s="7" t="s">
        <v>502</v>
      </c>
      <c r="H5540" s="6" t="n">
        <v>0.94</v>
      </c>
      <c r="I5540" s="6" t="n">
        <v>0</v>
      </c>
      <c r="J5540" s="40" t="n">
        <f aca="false">H5540-I5540</f>
        <v>0.94</v>
      </c>
      <c r="K5540" s="41" t="n">
        <v>135</v>
      </c>
      <c r="L5540" s="42" t="n">
        <f aca="false">J5540*K5540</f>
        <v>126.9</v>
      </c>
      <c r="M5540" s="43" t="n">
        <f aca="false">H5540*79.8*(1+'Chart of Accounts'!$E$67)</f>
        <v>85.88874</v>
      </c>
    </row>
    <row r="5541" customFormat="false" ht="15" hidden="false" customHeight="false" outlineLevel="0" collapsed="false">
      <c r="B5541" s="7" t="s">
        <v>6038</v>
      </c>
      <c r="C5541" s="39" t="n">
        <v>45919</v>
      </c>
      <c r="D5541" s="7" t="s">
        <v>409</v>
      </c>
      <c r="E5541" s="7" t="s">
        <v>154</v>
      </c>
      <c r="F5541" s="7" t="s">
        <v>214</v>
      </c>
      <c r="G5541" s="7" t="s">
        <v>505</v>
      </c>
      <c r="H5541" s="6" t="n">
        <v>3.04</v>
      </c>
      <c r="I5541" s="6" t="n">
        <v>0</v>
      </c>
      <c r="J5541" s="40" t="n">
        <f aca="false">H5541-I5541</f>
        <v>3.04</v>
      </c>
      <c r="K5541" s="41" t="n">
        <v>26.5</v>
      </c>
      <c r="L5541" s="42" t="n">
        <f aca="false">J5541*K5541</f>
        <v>80.56</v>
      </c>
      <c r="M5541" s="43" t="n">
        <f aca="false">H5541*15.67*(1+'Chart of Accounts'!$E$67)</f>
        <v>54.544136</v>
      </c>
    </row>
    <row r="5542" customFormat="false" ht="15" hidden="false" customHeight="false" outlineLevel="0" collapsed="false">
      <c r="B5542" s="7" t="s">
        <v>6039</v>
      </c>
      <c r="C5542" s="39" t="n">
        <v>45919</v>
      </c>
      <c r="D5542" s="7" t="s">
        <v>411</v>
      </c>
      <c r="E5542" s="7" t="s">
        <v>154</v>
      </c>
      <c r="F5542" s="7" t="s">
        <v>177</v>
      </c>
      <c r="G5542" s="7" t="s">
        <v>505</v>
      </c>
      <c r="H5542" s="6" t="n">
        <v>5.13</v>
      </c>
      <c r="I5542" s="6" t="n">
        <v>0</v>
      </c>
      <c r="J5542" s="40" t="n">
        <f aca="false">H5542-I5542</f>
        <v>5.13</v>
      </c>
      <c r="K5542" s="41" t="n">
        <v>26.5</v>
      </c>
      <c r="L5542" s="42" t="n">
        <f aca="false">J5542*K5542</f>
        <v>135.945</v>
      </c>
      <c r="M5542" s="43" t="n">
        <f aca="false">H5542*14.56*(1+'Chart of Accounts'!$E$67)</f>
        <v>85.523256</v>
      </c>
    </row>
    <row r="5543" customFormat="false" ht="15" hidden="false" customHeight="false" outlineLevel="0" collapsed="false">
      <c r="B5543" s="7" t="s">
        <v>6040</v>
      </c>
      <c r="C5543" s="39" t="n">
        <v>45920</v>
      </c>
      <c r="D5543" s="7" t="s">
        <v>288</v>
      </c>
      <c r="E5543" s="7" t="s">
        <v>156</v>
      </c>
      <c r="F5543" s="7" t="s">
        <v>242</v>
      </c>
      <c r="G5543" s="7" t="s">
        <v>505</v>
      </c>
      <c r="H5543" s="6" t="n">
        <v>3.64</v>
      </c>
      <c r="I5543" s="6" t="n">
        <v>0</v>
      </c>
      <c r="J5543" s="40" t="n">
        <f aca="false">H5543-I5543</f>
        <v>3.64</v>
      </c>
      <c r="K5543" s="41" t="n">
        <v>34</v>
      </c>
      <c r="L5543" s="42" t="n">
        <f aca="false">J5543*K5543</f>
        <v>123.76</v>
      </c>
      <c r="M5543" s="43" t="n">
        <f aca="false">H5543*17.99*(1+'Chart of Accounts'!$E$67)</f>
        <v>74.978722</v>
      </c>
    </row>
    <row r="5544" customFormat="false" ht="15" hidden="false" customHeight="false" outlineLevel="0" collapsed="false">
      <c r="B5544" s="7" t="s">
        <v>6041</v>
      </c>
      <c r="C5544" s="39" t="n">
        <v>45920</v>
      </c>
      <c r="D5544" s="7" t="s">
        <v>321</v>
      </c>
      <c r="E5544" s="7" t="s">
        <v>154</v>
      </c>
      <c r="F5544" s="7" t="s">
        <v>218</v>
      </c>
      <c r="G5544" s="7" t="s">
        <v>505</v>
      </c>
      <c r="H5544" s="6" t="n">
        <v>3.8</v>
      </c>
      <c r="I5544" s="6" t="n">
        <v>0.114</v>
      </c>
      <c r="J5544" s="40" t="n">
        <f aca="false">H5544-I5544</f>
        <v>3.686</v>
      </c>
      <c r="K5544" s="41" t="n">
        <v>26.5</v>
      </c>
      <c r="L5544" s="42" t="n">
        <f aca="false">J5544*K5544</f>
        <v>97.679</v>
      </c>
      <c r="M5544" s="43" t="n">
        <f aca="false">H5544*16.19*(1+'Chart of Accounts'!$E$67)</f>
        <v>70.44269</v>
      </c>
    </row>
    <row r="5545" customFormat="false" ht="15" hidden="false" customHeight="false" outlineLevel="0" collapsed="false">
      <c r="B5545" s="7" t="s">
        <v>6042</v>
      </c>
      <c r="C5545" s="39" t="n">
        <v>45920</v>
      </c>
      <c r="D5545" s="7" t="s">
        <v>359</v>
      </c>
      <c r="E5545" s="7" t="s">
        <v>156</v>
      </c>
      <c r="F5545" s="7" t="s">
        <v>242</v>
      </c>
      <c r="G5545" s="7" t="s">
        <v>505</v>
      </c>
      <c r="H5545" s="6" t="n">
        <v>3.64</v>
      </c>
      <c r="I5545" s="6" t="n">
        <v>0</v>
      </c>
      <c r="J5545" s="40" t="n">
        <f aca="false">H5545-I5545</f>
        <v>3.64</v>
      </c>
      <c r="K5545" s="41" t="n">
        <v>34</v>
      </c>
      <c r="L5545" s="42" t="n">
        <f aca="false">J5545*K5545</f>
        <v>123.76</v>
      </c>
      <c r="M5545" s="43" t="n">
        <f aca="false">H5545*17.99*(1+'Chart of Accounts'!$E$67)</f>
        <v>74.978722</v>
      </c>
    </row>
    <row r="5546" customFormat="false" ht="15" hidden="false" customHeight="false" outlineLevel="0" collapsed="false">
      <c r="B5546" s="7" t="s">
        <v>6043</v>
      </c>
      <c r="C5546" s="39" t="n">
        <v>45920</v>
      </c>
      <c r="D5546" s="7" t="s">
        <v>391</v>
      </c>
      <c r="E5546" s="7" t="s">
        <v>156</v>
      </c>
      <c r="F5546" s="7" t="s">
        <v>222</v>
      </c>
      <c r="G5546" s="7" t="s">
        <v>505</v>
      </c>
      <c r="H5546" s="6" t="n">
        <v>3.85</v>
      </c>
      <c r="I5546" s="6" t="n">
        <v>0</v>
      </c>
      <c r="J5546" s="40" t="n">
        <f aca="false">H5546-I5546</f>
        <v>3.85</v>
      </c>
      <c r="K5546" s="41" t="n">
        <v>34</v>
      </c>
      <c r="L5546" s="42" t="n">
        <f aca="false">J5546*K5546</f>
        <v>130.9</v>
      </c>
      <c r="M5546" s="43" t="n">
        <f aca="false">H5546*17.84*(1+'Chart of Accounts'!$E$67)</f>
        <v>78.64318</v>
      </c>
    </row>
    <row r="5547" customFormat="false" ht="15" hidden="false" customHeight="false" outlineLevel="0" collapsed="false">
      <c r="B5547" s="7" t="s">
        <v>6044</v>
      </c>
      <c r="C5547" s="39" t="n">
        <v>45920</v>
      </c>
      <c r="D5547" s="7" t="s">
        <v>395</v>
      </c>
      <c r="E5547" s="7" t="s">
        <v>156</v>
      </c>
      <c r="F5547" s="7" t="s">
        <v>242</v>
      </c>
      <c r="G5547" s="7" t="s">
        <v>505</v>
      </c>
      <c r="H5547" s="6" t="n">
        <v>4.22</v>
      </c>
      <c r="I5547" s="6" t="n">
        <v>0</v>
      </c>
      <c r="J5547" s="40" t="n">
        <f aca="false">H5547-I5547</f>
        <v>4.22</v>
      </c>
      <c r="K5547" s="41" t="n">
        <v>34</v>
      </c>
      <c r="L5547" s="42" t="n">
        <f aca="false">J5547*K5547</f>
        <v>143.48</v>
      </c>
      <c r="M5547" s="43" t="n">
        <f aca="false">H5547*17.99*(1+'Chart of Accounts'!$E$67)</f>
        <v>86.925881</v>
      </c>
    </row>
    <row r="5548" customFormat="false" ht="15" hidden="false" customHeight="false" outlineLevel="0" collapsed="false">
      <c r="B5548" s="7" t="s">
        <v>6045</v>
      </c>
      <c r="C5548" s="39" t="n">
        <v>45920</v>
      </c>
      <c r="D5548" s="7" t="s">
        <v>401</v>
      </c>
      <c r="E5548" s="7" t="s">
        <v>156</v>
      </c>
      <c r="F5548" s="7" t="s">
        <v>254</v>
      </c>
      <c r="G5548" s="7" t="s">
        <v>505</v>
      </c>
      <c r="H5548" s="6" t="n">
        <v>3.61</v>
      </c>
      <c r="I5548" s="6" t="n">
        <v>0</v>
      </c>
      <c r="J5548" s="40" t="n">
        <f aca="false">H5548-I5548</f>
        <v>3.61</v>
      </c>
      <c r="K5548" s="41" t="n">
        <v>34</v>
      </c>
      <c r="L5548" s="42" t="n">
        <f aca="false">J5548*K5548</f>
        <v>122.74</v>
      </c>
      <c r="M5548" s="43" t="n">
        <f aca="false">H5548*17.1*(1+'Chart of Accounts'!$E$67)</f>
        <v>70.681995</v>
      </c>
    </row>
    <row r="5549" customFormat="false" ht="15" hidden="false" customHeight="false" outlineLevel="0" collapsed="false">
      <c r="B5549" s="7" t="s">
        <v>6046</v>
      </c>
      <c r="C5549" s="39" t="n">
        <v>45921</v>
      </c>
      <c r="D5549" s="7" t="s">
        <v>288</v>
      </c>
      <c r="E5549" s="7" t="s">
        <v>156</v>
      </c>
      <c r="F5549" s="7" t="s">
        <v>184</v>
      </c>
      <c r="G5549" s="7" t="s">
        <v>505</v>
      </c>
      <c r="H5549" s="6" t="n">
        <v>3.91</v>
      </c>
      <c r="I5549" s="6" t="n">
        <v>0</v>
      </c>
      <c r="J5549" s="40" t="n">
        <f aca="false">H5549-I5549</f>
        <v>3.91</v>
      </c>
      <c r="K5549" s="41" t="n">
        <v>34</v>
      </c>
      <c r="L5549" s="42" t="n">
        <f aca="false">J5549*K5549</f>
        <v>132.94</v>
      </c>
      <c r="M5549" s="43" t="n">
        <f aca="false">H5549*17.34*(1+'Chart of Accounts'!$E$67)</f>
        <v>77.630313</v>
      </c>
    </row>
    <row r="5550" customFormat="false" ht="15" hidden="false" customHeight="false" outlineLevel="0" collapsed="false">
      <c r="B5550" s="7" t="s">
        <v>6047</v>
      </c>
      <c r="C5550" s="39" t="n">
        <v>45921</v>
      </c>
      <c r="D5550" s="7" t="s">
        <v>321</v>
      </c>
      <c r="E5550" s="7" t="s">
        <v>154</v>
      </c>
      <c r="F5550" s="7" t="s">
        <v>218</v>
      </c>
      <c r="G5550" s="7" t="s">
        <v>505</v>
      </c>
      <c r="H5550" s="6" t="n">
        <v>3.83</v>
      </c>
      <c r="I5550" s="6" t="n">
        <v>0</v>
      </c>
      <c r="J5550" s="40" t="n">
        <f aca="false">H5550-I5550</f>
        <v>3.83</v>
      </c>
      <c r="K5550" s="41" t="n">
        <v>26.5</v>
      </c>
      <c r="L5550" s="42" t="n">
        <f aca="false">J5550*K5550</f>
        <v>101.495</v>
      </c>
      <c r="M5550" s="43" t="n">
        <f aca="false">H5550*16.19*(1+'Chart of Accounts'!$E$67)</f>
        <v>70.9988165</v>
      </c>
    </row>
    <row r="5551" customFormat="false" ht="15" hidden="false" customHeight="false" outlineLevel="0" collapsed="false">
      <c r="B5551" s="7" t="s">
        <v>6048</v>
      </c>
      <c r="C5551" s="39" t="n">
        <v>45921</v>
      </c>
      <c r="D5551" s="7" t="s">
        <v>359</v>
      </c>
      <c r="E5551" s="7" t="s">
        <v>156</v>
      </c>
      <c r="F5551" s="7" t="s">
        <v>236</v>
      </c>
      <c r="G5551" s="7" t="s">
        <v>505</v>
      </c>
      <c r="H5551" s="6" t="n">
        <v>4.18</v>
      </c>
      <c r="I5551" s="6" t="n">
        <v>0</v>
      </c>
      <c r="J5551" s="40" t="n">
        <f aca="false">H5551-I5551</f>
        <v>4.18</v>
      </c>
      <c r="K5551" s="41" t="n">
        <v>34</v>
      </c>
      <c r="L5551" s="42" t="n">
        <f aca="false">J5551*K5551</f>
        <v>142.12</v>
      </c>
      <c r="M5551" s="43" t="n">
        <f aca="false">H5551*15.49*(1+'Chart of Accounts'!$E$67)</f>
        <v>74.136689</v>
      </c>
    </row>
    <row r="5552" customFormat="false" ht="15" hidden="false" customHeight="false" outlineLevel="0" collapsed="false">
      <c r="B5552" s="7" t="s">
        <v>6049</v>
      </c>
      <c r="C5552" s="39" t="n">
        <v>45921</v>
      </c>
      <c r="D5552" s="7" t="s">
        <v>387</v>
      </c>
      <c r="E5552" s="7" t="s">
        <v>154</v>
      </c>
      <c r="F5552" s="7" t="s">
        <v>196</v>
      </c>
      <c r="G5552" s="7" t="s">
        <v>505</v>
      </c>
      <c r="H5552" s="6" t="n">
        <v>4.18</v>
      </c>
      <c r="I5552" s="6" t="n">
        <v>0.125</v>
      </c>
      <c r="J5552" s="40" t="n">
        <f aca="false">H5552-I5552</f>
        <v>4.055</v>
      </c>
      <c r="K5552" s="41" t="n">
        <v>26.5</v>
      </c>
      <c r="L5552" s="42" t="n">
        <f aca="false">J5552*K5552</f>
        <v>107.4575</v>
      </c>
      <c r="M5552" s="43" t="n">
        <f aca="false">H5552*15.05*(1+'Chart of Accounts'!$E$67)</f>
        <v>72.030805</v>
      </c>
    </row>
    <row r="5553" customFormat="false" ht="15" hidden="false" customHeight="false" outlineLevel="0" collapsed="false">
      <c r="B5553" s="7" t="s">
        <v>6050</v>
      </c>
      <c r="C5553" s="39" t="n">
        <v>45921</v>
      </c>
      <c r="D5553" s="7" t="s">
        <v>391</v>
      </c>
      <c r="E5553" s="7" t="s">
        <v>156</v>
      </c>
      <c r="F5553" s="7" t="s">
        <v>222</v>
      </c>
      <c r="G5553" s="7" t="s">
        <v>505</v>
      </c>
      <c r="H5553" s="6" t="n">
        <v>3.85</v>
      </c>
      <c r="I5553" s="6" t="n">
        <v>0</v>
      </c>
      <c r="J5553" s="40" t="n">
        <f aca="false">H5553-I5553</f>
        <v>3.85</v>
      </c>
      <c r="K5553" s="41" t="n">
        <v>34</v>
      </c>
      <c r="L5553" s="42" t="n">
        <f aca="false">J5553*K5553</f>
        <v>130.9</v>
      </c>
      <c r="M5553" s="43" t="n">
        <f aca="false">H5553*17.84*(1+'Chart of Accounts'!$E$67)</f>
        <v>78.64318</v>
      </c>
    </row>
    <row r="5554" customFormat="false" ht="15" hidden="false" customHeight="false" outlineLevel="0" collapsed="false">
      <c r="B5554" s="7" t="s">
        <v>6051</v>
      </c>
      <c r="C5554" s="39" t="n">
        <v>45921</v>
      </c>
      <c r="D5554" s="7" t="s">
        <v>395</v>
      </c>
      <c r="E5554" s="7" t="s">
        <v>156</v>
      </c>
      <c r="F5554" s="7" t="s">
        <v>242</v>
      </c>
      <c r="G5554" s="7" t="s">
        <v>505</v>
      </c>
      <c r="H5554" s="6" t="n">
        <v>4.35</v>
      </c>
      <c r="I5554" s="6" t="n">
        <v>0</v>
      </c>
      <c r="J5554" s="40" t="n">
        <f aca="false">H5554-I5554</f>
        <v>4.35</v>
      </c>
      <c r="K5554" s="41" t="n">
        <v>34</v>
      </c>
      <c r="L5554" s="42" t="n">
        <f aca="false">J5554*K5554</f>
        <v>147.9</v>
      </c>
      <c r="M5554" s="43" t="n">
        <f aca="false">H5554*17.99*(1+'Chart of Accounts'!$E$67)</f>
        <v>89.6036925</v>
      </c>
    </row>
    <row r="5555" customFormat="false" ht="15" hidden="false" customHeight="false" outlineLevel="0" collapsed="false">
      <c r="B5555" s="7" t="s">
        <v>6052</v>
      </c>
      <c r="C5555" s="39" t="n">
        <v>45921</v>
      </c>
      <c r="D5555" s="7" t="s">
        <v>401</v>
      </c>
      <c r="E5555" s="7" t="s">
        <v>156</v>
      </c>
      <c r="F5555" s="7" t="s">
        <v>254</v>
      </c>
      <c r="G5555" s="7" t="s">
        <v>505</v>
      </c>
      <c r="H5555" s="6" t="n">
        <v>3.94</v>
      </c>
      <c r="I5555" s="6" t="n">
        <v>0</v>
      </c>
      <c r="J5555" s="40" t="n">
        <f aca="false">H5555-I5555</f>
        <v>3.94</v>
      </c>
      <c r="K5555" s="41" t="n">
        <v>34</v>
      </c>
      <c r="L5555" s="42" t="n">
        <f aca="false">J5555*K5555</f>
        <v>133.96</v>
      </c>
      <c r="M5555" s="43" t="n">
        <f aca="false">H5555*17.1*(1+'Chart of Accounts'!$E$67)</f>
        <v>77.14323</v>
      </c>
    </row>
    <row r="5556" customFormat="false" ht="15" hidden="false" customHeight="false" outlineLevel="0" collapsed="false">
      <c r="B5556" s="7" t="s">
        <v>6053</v>
      </c>
      <c r="C5556" s="39" t="n">
        <v>45922</v>
      </c>
      <c r="D5556" s="7" t="s">
        <v>288</v>
      </c>
      <c r="E5556" s="7" t="s">
        <v>156</v>
      </c>
      <c r="F5556" s="7" t="s">
        <v>224</v>
      </c>
      <c r="G5556" s="7" t="s">
        <v>505</v>
      </c>
      <c r="H5556" s="6" t="n">
        <v>4.05</v>
      </c>
      <c r="I5556" s="6" t="n">
        <v>0</v>
      </c>
      <c r="J5556" s="40" t="n">
        <f aca="false">H5556-I5556</f>
        <v>4.05</v>
      </c>
      <c r="K5556" s="41" t="n">
        <v>34</v>
      </c>
      <c r="L5556" s="42" t="n">
        <f aca="false">J5556*K5556</f>
        <v>137.7</v>
      </c>
      <c r="M5556" s="43" t="n">
        <f aca="false">H5556*14.93*(1+'Chart of Accounts'!$E$67)</f>
        <v>69.2341425</v>
      </c>
    </row>
    <row r="5557" customFormat="false" ht="15" hidden="false" customHeight="false" outlineLevel="0" collapsed="false">
      <c r="B5557" s="7" t="s">
        <v>6054</v>
      </c>
      <c r="C5557" s="39" t="n">
        <v>45922</v>
      </c>
      <c r="D5557" s="7" t="s">
        <v>291</v>
      </c>
      <c r="E5557" s="7" t="s">
        <v>154</v>
      </c>
      <c r="F5557" s="7" t="s">
        <v>194</v>
      </c>
      <c r="G5557" s="7" t="s">
        <v>505</v>
      </c>
      <c r="H5557" s="6" t="n">
        <v>4.45</v>
      </c>
      <c r="I5557" s="6" t="n">
        <v>0</v>
      </c>
      <c r="J5557" s="40" t="n">
        <f aca="false">H5557-I5557</f>
        <v>4.45</v>
      </c>
      <c r="K5557" s="41" t="n">
        <v>26.5</v>
      </c>
      <c r="L5557" s="42" t="n">
        <f aca="false">J5557*K5557</f>
        <v>117.925</v>
      </c>
      <c r="M5557" s="43" t="n">
        <f aca="false">H5557*16*(1+'Chart of Accounts'!$E$67)</f>
        <v>81.524</v>
      </c>
    </row>
    <row r="5558" customFormat="false" ht="15" hidden="false" customHeight="false" outlineLevel="0" collapsed="false">
      <c r="B5558" s="7" t="s">
        <v>6055</v>
      </c>
      <c r="C5558" s="39" t="n">
        <v>45922</v>
      </c>
      <c r="D5558" s="7" t="s">
        <v>295</v>
      </c>
      <c r="E5558" s="7" t="s">
        <v>154</v>
      </c>
      <c r="F5558" s="7" t="s">
        <v>214</v>
      </c>
      <c r="G5558" s="7" t="s">
        <v>505</v>
      </c>
      <c r="H5558" s="6" t="n">
        <v>4.06</v>
      </c>
      <c r="I5558" s="6" t="n">
        <v>0</v>
      </c>
      <c r="J5558" s="40" t="n">
        <f aca="false">H5558-I5558</f>
        <v>4.06</v>
      </c>
      <c r="K5558" s="41" t="n">
        <v>26.5</v>
      </c>
      <c r="L5558" s="42" t="n">
        <f aca="false">J5558*K5558</f>
        <v>107.59</v>
      </c>
      <c r="M5558" s="43" t="n">
        <f aca="false">H5558*15.67*(1+'Chart of Accounts'!$E$67)</f>
        <v>72.845129</v>
      </c>
    </row>
    <row r="5559" customFormat="false" ht="15" hidden="false" customHeight="false" outlineLevel="0" collapsed="false">
      <c r="B5559" s="7" t="s">
        <v>6056</v>
      </c>
      <c r="C5559" s="39" t="n">
        <v>45922</v>
      </c>
      <c r="D5559" s="7" t="s">
        <v>297</v>
      </c>
      <c r="E5559" s="7" t="s">
        <v>156</v>
      </c>
      <c r="F5559" s="7" t="s">
        <v>201</v>
      </c>
      <c r="G5559" s="7" t="s">
        <v>505</v>
      </c>
      <c r="H5559" s="6" t="n">
        <v>3.05</v>
      </c>
      <c r="I5559" s="6" t="n">
        <v>0</v>
      </c>
      <c r="J5559" s="40" t="n">
        <f aca="false">H5559-I5559</f>
        <v>3.05</v>
      </c>
      <c r="K5559" s="41" t="n">
        <v>34</v>
      </c>
      <c r="L5559" s="42" t="n">
        <f aca="false">J5559*K5559</f>
        <v>103.7</v>
      </c>
      <c r="M5559" s="43" t="n">
        <f aca="false">H5559*15.19*(1+'Chart of Accounts'!$E$67)</f>
        <v>53.0472775</v>
      </c>
    </row>
    <row r="5560" customFormat="false" ht="15" hidden="false" customHeight="false" outlineLevel="0" collapsed="false">
      <c r="B5560" s="7" t="s">
        <v>6057</v>
      </c>
      <c r="C5560" s="39" t="n">
        <v>45922</v>
      </c>
      <c r="D5560" s="7" t="s">
        <v>305</v>
      </c>
      <c r="E5560" s="7" t="s">
        <v>154</v>
      </c>
      <c r="F5560" s="7" t="s">
        <v>205</v>
      </c>
      <c r="G5560" s="7" t="s">
        <v>505</v>
      </c>
      <c r="H5560" s="6" t="n">
        <v>4.24</v>
      </c>
      <c r="I5560" s="6" t="n">
        <v>0</v>
      </c>
      <c r="J5560" s="40" t="n">
        <f aca="false">H5560-I5560</f>
        <v>4.24</v>
      </c>
      <c r="K5560" s="41" t="n">
        <v>26.5</v>
      </c>
      <c r="L5560" s="42" t="n">
        <f aca="false">J5560*K5560</f>
        <v>112.36</v>
      </c>
      <c r="M5560" s="43" t="n">
        <f aca="false">H5560*16.36*(1+'Chart of Accounts'!$E$67)</f>
        <v>79.424528</v>
      </c>
    </row>
    <row r="5561" customFormat="false" ht="15" hidden="false" customHeight="false" outlineLevel="0" collapsed="false">
      <c r="B5561" s="7" t="s">
        <v>6058</v>
      </c>
      <c r="C5561" s="39" t="n">
        <v>45922</v>
      </c>
      <c r="D5561" s="7" t="s">
        <v>309</v>
      </c>
      <c r="E5561" s="7" t="s">
        <v>159</v>
      </c>
      <c r="F5561" s="7" t="s">
        <v>252</v>
      </c>
      <c r="G5561" s="7" t="s">
        <v>502</v>
      </c>
      <c r="H5561" s="6" t="n">
        <v>0.99</v>
      </c>
      <c r="I5561" s="6" t="n">
        <v>0.069</v>
      </c>
      <c r="J5561" s="40" t="n">
        <f aca="false">H5561-I5561</f>
        <v>0.921</v>
      </c>
      <c r="K5561" s="41" t="n">
        <v>135</v>
      </c>
      <c r="L5561" s="42" t="n">
        <f aca="false">J5561*K5561</f>
        <v>124.335</v>
      </c>
      <c r="M5561" s="43" t="n">
        <f aca="false">H5561*57.54*(1+'Chart of Accounts'!$E$67)</f>
        <v>65.224467</v>
      </c>
    </row>
    <row r="5562" customFormat="false" ht="15" hidden="false" customHeight="false" outlineLevel="0" collapsed="false">
      <c r="B5562" s="7" t="s">
        <v>6059</v>
      </c>
      <c r="C5562" s="39" t="n">
        <v>45922</v>
      </c>
      <c r="D5562" s="7" t="s">
        <v>311</v>
      </c>
      <c r="E5562" s="7" t="s">
        <v>154</v>
      </c>
      <c r="F5562" s="7" t="s">
        <v>196</v>
      </c>
      <c r="G5562" s="7" t="s">
        <v>505</v>
      </c>
      <c r="H5562" s="6" t="n">
        <v>3.07</v>
      </c>
      <c r="I5562" s="6" t="n">
        <v>0.092</v>
      </c>
      <c r="J5562" s="40" t="n">
        <f aca="false">H5562-I5562</f>
        <v>2.978</v>
      </c>
      <c r="K5562" s="41" t="n">
        <v>26.5</v>
      </c>
      <c r="L5562" s="42" t="n">
        <f aca="false">J5562*K5562</f>
        <v>78.917</v>
      </c>
      <c r="M5562" s="43" t="n">
        <f aca="false">H5562*15.05*(1+'Chart of Accounts'!$E$67)</f>
        <v>52.9030075</v>
      </c>
    </row>
    <row r="5563" customFormat="false" ht="15" hidden="false" customHeight="false" outlineLevel="0" collapsed="false">
      <c r="B5563" s="7" t="s">
        <v>6060</v>
      </c>
      <c r="C5563" s="39" t="n">
        <v>45922</v>
      </c>
      <c r="D5563" s="7" t="s">
        <v>313</v>
      </c>
      <c r="E5563" s="7" t="s">
        <v>156</v>
      </c>
      <c r="F5563" s="7" t="s">
        <v>184</v>
      </c>
      <c r="G5563" s="7" t="s">
        <v>505</v>
      </c>
      <c r="H5563" s="6" t="n">
        <v>4.18</v>
      </c>
      <c r="I5563" s="6" t="n">
        <v>0</v>
      </c>
      <c r="J5563" s="40" t="n">
        <f aca="false">H5563-I5563</f>
        <v>4.18</v>
      </c>
      <c r="K5563" s="41" t="n">
        <v>34</v>
      </c>
      <c r="L5563" s="42" t="n">
        <f aca="false">J5563*K5563</f>
        <v>142.12</v>
      </c>
      <c r="M5563" s="43" t="n">
        <f aca="false">H5563*17.34*(1+'Chart of Accounts'!$E$67)</f>
        <v>82.990974</v>
      </c>
    </row>
    <row r="5564" customFormat="false" ht="15" hidden="false" customHeight="false" outlineLevel="0" collapsed="false">
      <c r="B5564" s="7" t="s">
        <v>6061</v>
      </c>
      <c r="C5564" s="39" t="n">
        <v>45922</v>
      </c>
      <c r="D5564" s="7" t="s">
        <v>315</v>
      </c>
      <c r="E5564" s="7" t="s">
        <v>159</v>
      </c>
      <c r="F5564" s="7" t="s">
        <v>216</v>
      </c>
      <c r="G5564" s="7" t="s">
        <v>502</v>
      </c>
      <c r="H5564" s="6" t="n">
        <v>1.09</v>
      </c>
      <c r="I5564" s="6" t="n">
        <v>0</v>
      </c>
      <c r="J5564" s="40" t="n">
        <f aca="false">H5564-I5564</f>
        <v>1.09</v>
      </c>
      <c r="K5564" s="41" t="n">
        <v>135</v>
      </c>
      <c r="L5564" s="42" t="n">
        <f aca="false">J5564*K5564</f>
        <v>147.15</v>
      </c>
      <c r="M5564" s="43" t="n">
        <f aca="false">H5564*61.79*(1+'Chart of Accounts'!$E$67)</f>
        <v>77.1170095</v>
      </c>
    </row>
    <row r="5565" customFormat="false" ht="15" hidden="false" customHeight="false" outlineLevel="0" collapsed="false">
      <c r="B5565" s="7" t="s">
        <v>6062</v>
      </c>
      <c r="C5565" s="39" t="n">
        <v>45922</v>
      </c>
      <c r="D5565" s="7" t="s">
        <v>317</v>
      </c>
      <c r="E5565" s="7" t="s">
        <v>156</v>
      </c>
      <c r="F5565" s="7" t="s">
        <v>236</v>
      </c>
      <c r="G5565" s="7" t="s">
        <v>505</v>
      </c>
      <c r="H5565" s="6" t="n">
        <v>2.96</v>
      </c>
      <c r="I5565" s="6" t="n">
        <v>0</v>
      </c>
      <c r="J5565" s="40" t="n">
        <f aca="false">H5565-I5565</f>
        <v>2.96</v>
      </c>
      <c r="K5565" s="41" t="n">
        <v>34</v>
      </c>
      <c r="L5565" s="42" t="n">
        <f aca="false">J5565*K5565</f>
        <v>100.64</v>
      </c>
      <c r="M5565" s="43" t="n">
        <f aca="false">H5565*15.49*(1+'Chart of Accounts'!$E$67)</f>
        <v>52.498708</v>
      </c>
    </row>
    <row r="5566" customFormat="false" ht="15" hidden="false" customHeight="false" outlineLevel="0" collapsed="false">
      <c r="B5566" s="7" t="s">
        <v>6063</v>
      </c>
      <c r="C5566" s="39" t="n">
        <v>45922</v>
      </c>
      <c r="D5566" s="7" t="s">
        <v>321</v>
      </c>
      <c r="E5566" s="7" t="s">
        <v>154</v>
      </c>
      <c r="F5566" s="7" t="s">
        <v>218</v>
      </c>
      <c r="G5566" s="7" t="s">
        <v>505</v>
      </c>
      <c r="H5566" s="6" t="n">
        <v>4.05</v>
      </c>
      <c r="I5566" s="6" t="n">
        <v>0.121</v>
      </c>
      <c r="J5566" s="40" t="n">
        <f aca="false">H5566-I5566</f>
        <v>3.929</v>
      </c>
      <c r="K5566" s="41" t="n">
        <v>26.5</v>
      </c>
      <c r="L5566" s="42" t="n">
        <f aca="false">J5566*K5566</f>
        <v>104.1185</v>
      </c>
      <c r="M5566" s="43" t="n">
        <f aca="false">H5566*16.19*(1+'Chart of Accounts'!$E$67)</f>
        <v>75.0770775</v>
      </c>
    </row>
    <row r="5567" customFormat="false" ht="15" hidden="false" customHeight="false" outlineLevel="0" collapsed="false">
      <c r="B5567" s="7" t="s">
        <v>6064</v>
      </c>
      <c r="C5567" s="39" t="n">
        <v>45922</v>
      </c>
      <c r="D5567" s="7" t="s">
        <v>325</v>
      </c>
      <c r="E5567" s="7" t="s">
        <v>154</v>
      </c>
      <c r="F5567" s="7" t="s">
        <v>194</v>
      </c>
      <c r="G5567" s="7" t="s">
        <v>505</v>
      </c>
      <c r="H5567" s="6" t="n">
        <v>3.27</v>
      </c>
      <c r="I5567" s="6" t="n">
        <v>0</v>
      </c>
      <c r="J5567" s="40" t="n">
        <f aca="false">H5567-I5567</f>
        <v>3.27</v>
      </c>
      <c r="K5567" s="41" t="n">
        <v>26.5</v>
      </c>
      <c r="L5567" s="42" t="n">
        <f aca="false">J5567*K5567</f>
        <v>86.655</v>
      </c>
      <c r="M5567" s="43" t="n">
        <f aca="false">H5567*16*(1+'Chart of Accounts'!$E$67)</f>
        <v>59.9064</v>
      </c>
    </row>
    <row r="5568" customFormat="false" ht="15" hidden="false" customHeight="false" outlineLevel="0" collapsed="false">
      <c r="B5568" s="7" t="s">
        <v>6065</v>
      </c>
      <c r="C5568" s="39" t="n">
        <v>45922</v>
      </c>
      <c r="D5568" s="7" t="s">
        <v>329</v>
      </c>
      <c r="E5568" s="7" t="s">
        <v>156</v>
      </c>
      <c r="F5568" s="7" t="s">
        <v>220</v>
      </c>
      <c r="G5568" s="7" t="s">
        <v>505</v>
      </c>
      <c r="H5568" s="6" t="n">
        <v>3.99</v>
      </c>
      <c r="I5568" s="6" t="n">
        <v>0</v>
      </c>
      <c r="J5568" s="40" t="n">
        <f aca="false">H5568-I5568</f>
        <v>3.99</v>
      </c>
      <c r="K5568" s="41" t="n">
        <v>34</v>
      </c>
      <c r="L5568" s="42" t="n">
        <f aca="false">J5568*K5568</f>
        <v>135.66</v>
      </c>
      <c r="M5568" s="43" t="n">
        <f aca="false">H5568*16.43*(1+'Chart of Accounts'!$E$67)</f>
        <v>75.0612765</v>
      </c>
    </row>
    <row r="5569" customFormat="false" ht="15" hidden="false" customHeight="false" outlineLevel="0" collapsed="false">
      <c r="B5569" s="7" t="s">
        <v>6066</v>
      </c>
      <c r="C5569" s="39" t="n">
        <v>45922</v>
      </c>
      <c r="D5569" s="7" t="s">
        <v>331</v>
      </c>
      <c r="E5569" s="7" t="s">
        <v>156</v>
      </c>
      <c r="F5569" s="7" t="s">
        <v>224</v>
      </c>
      <c r="G5569" s="7" t="s">
        <v>505</v>
      </c>
      <c r="H5569" s="6" t="n">
        <v>4.08</v>
      </c>
      <c r="I5569" s="6" t="n">
        <v>0</v>
      </c>
      <c r="J5569" s="40" t="n">
        <f aca="false">H5569-I5569</f>
        <v>4.08</v>
      </c>
      <c r="K5569" s="41" t="n">
        <v>34</v>
      </c>
      <c r="L5569" s="42" t="n">
        <f aca="false">J5569*K5569</f>
        <v>138.72</v>
      </c>
      <c r="M5569" s="43" t="n">
        <f aca="false">H5569*14.93*(1+'Chart of Accounts'!$E$67)</f>
        <v>69.746988</v>
      </c>
    </row>
    <row r="5570" customFormat="false" ht="15" hidden="false" customHeight="false" outlineLevel="0" collapsed="false">
      <c r="B5570" s="7" t="s">
        <v>6067</v>
      </c>
      <c r="C5570" s="39" t="n">
        <v>45922</v>
      </c>
      <c r="D5570" s="7" t="s">
        <v>335</v>
      </c>
      <c r="E5570" s="7" t="s">
        <v>154</v>
      </c>
      <c r="F5570" s="7" t="s">
        <v>177</v>
      </c>
      <c r="G5570" s="7" t="s">
        <v>505</v>
      </c>
      <c r="H5570" s="6" t="n">
        <v>4.12</v>
      </c>
      <c r="I5570" s="6" t="n">
        <v>0.124</v>
      </c>
      <c r="J5570" s="40" t="n">
        <f aca="false">H5570-I5570</f>
        <v>3.996</v>
      </c>
      <c r="K5570" s="41" t="n">
        <v>26.5</v>
      </c>
      <c r="L5570" s="42" t="n">
        <f aca="false">J5570*K5570</f>
        <v>105.894</v>
      </c>
      <c r="M5570" s="43" t="n">
        <f aca="false">H5570*14.56*(1+'Chart of Accounts'!$E$67)</f>
        <v>68.685344</v>
      </c>
    </row>
    <row r="5571" customFormat="false" ht="15" hidden="false" customHeight="false" outlineLevel="0" collapsed="false">
      <c r="B5571" s="7" t="s">
        <v>6068</v>
      </c>
      <c r="C5571" s="39" t="n">
        <v>45922</v>
      </c>
      <c r="D5571" s="7" t="s">
        <v>339</v>
      </c>
      <c r="E5571" s="7" t="s">
        <v>154</v>
      </c>
      <c r="F5571" s="7" t="s">
        <v>242</v>
      </c>
      <c r="G5571" s="7" t="s">
        <v>505</v>
      </c>
      <c r="H5571" s="6" t="n">
        <v>3.64</v>
      </c>
      <c r="I5571" s="6" t="n">
        <v>0</v>
      </c>
      <c r="J5571" s="40" t="n">
        <f aca="false">H5571-I5571</f>
        <v>3.64</v>
      </c>
      <c r="K5571" s="41" t="n">
        <v>26.5</v>
      </c>
      <c r="L5571" s="42" t="n">
        <f aca="false">J5571*K5571</f>
        <v>96.46</v>
      </c>
      <c r="M5571" s="43" t="n">
        <f aca="false">H5571*17.99*(1+'Chart of Accounts'!$E$67)</f>
        <v>74.978722</v>
      </c>
    </row>
    <row r="5572" customFormat="false" ht="15" hidden="false" customHeight="false" outlineLevel="0" collapsed="false">
      <c r="B5572" s="7" t="s">
        <v>6069</v>
      </c>
      <c r="C5572" s="39" t="n">
        <v>45922</v>
      </c>
      <c r="D5572" s="7" t="s">
        <v>341</v>
      </c>
      <c r="E5572" s="7" t="s">
        <v>156</v>
      </c>
      <c r="F5572" s="7" t="s">
        <v>222</v>
      </c>
      <c r="G5572" s="7" t="s">
        <v>505</v>
      </c>
      <c r="H5572" s="6" t="n">
        <v>3.02</v>
      </c>
      <c r="I5572" s="6" t="n">
        <v>0</v>
      </c>
      <c r="J5572" s="40" t="n">
        <f aca="false">H5572-I5572</f>
        <v>3.02</v>
      </c>
      <c r="K5572" s="41" t="n">
        <v>34</v>
      </c>
      <c r="L5572" s="42" t="n">
        <f aca="false">J5572*K5572</f>
        <v>102.68</v>
      </c>
      <c r="M5572" s="43" t="n">
        <f aca="false">H5572*17.84*(1+'Chart of Accounts'!$E$67)</f>
        <v>61.688936</v>
      </c>
    </row>
    <row r="5573" customFormat="false" ht="15" hidden="false" customHeight="false" outlineLevel="0" collapsed="false">
      <c r="B5573" s="7" t="s">
        <v>6070</v>
      </c>
      <c r="C5573" s="39" t="n">
        <v>45922</v>
      </c>
      <c r="D5573" s="7" t="s">
        <v>343</v>
      </c>
      <c r="E5573" s="7" t="s">
        <v>154</v>
      </c>
      <c r="F5573" s="7" t="s">
        <v>214</v>
      </c>
      <c r="G5573" s="7" t="s">
        <v>505</v>
      </c>
      <c r="H5573" s="6" t="n">
        <v>3.88</v>
      </c>
      <c r="I5573" s="6" t="n">
        <v>0</v>
      </c>
      <c r="J5573" s="40" t="n">
        <f aca="false">H5573-I5573</f>
        <v>3.88</v>
      </c>
      <c r="K5573" s="41" t="n">
        <v>26.5</v>
      </c>
      <c r="L5573" s="42" t="n">
        <f aca="false">J5573*K5573</f>
        <v>102.82</v>
      </c>
      <c r="M5573" s="43" t="n">
        <f aca="false">H5573*15.67*(1+'Chart of Accounts'!$E$67)</f>
        <v>69.615542</v>
      </c>
    </row>
    <row r="5574" customFormat="false" ht="15" hidden="false" customHeight="false" outlineLevel="0" collapsed="false">
      <c r="B5574" s="7" t="s">
        <v>6071</v>
      </c>
      <c r="C5574" s="39" t="n">
        <v>45922</v>
      </c>
      <c r="D5574" s="7" t="s">
        <v>347</v>
      </c>
      <c r="E5574" s="7" t="s">
        <v>154</v>
      </c>
      <c r="F5574" s="7" t="s">
        <v>238</v>
      </c>
      <c r="G5574" s="7" t="s">
        <v>505</v>
      </c>
      <c r="H5574" s="6" t="n">
        <v>4.84</v>
      </c>
      <c r="I5574" s="6" t="n">
        <v>0</v>
      </c>
      <c r="J5574" s="40" t="n">
        <f aca="false">H5574-I5574</f>
        <v>4.84</v>
      </c>
      <c r="K5574" s="41" t="n">
        <v>26.5</v>
      </c>
      <c r="L5574" s="42" t="n">
        <f aca="false">J5574*K5574</f>
        <v>128.26</v>
      </c>
      <c r="M5574" s="43" t="n">
        <f aca="false">H5574*15.85*(1+'Chart of Accounts'!$E$67)</f>
        <v>87.83753</v>
      </c>
    </row>
    <row r="5575" customFormat="false" ht="15" hidden="false" customHeight="false" outlineLevel="0" collapsed="false">
      <c r="B5575" s="7" t="s">
        <v>6072</v>
      </c>
      <c r="C5575" s="39" t="n">
        <v>45922</v>
      </c>
      <c r="D5575" s="7" t="s">
        <v>349</v>
      </c>
      <c r="E5575" s="7" t="s">
        <v>154</v>
      </c>
      <c r="F5575" s="7" t="s">
        <v>244</v>
      </c>
      <c r="G5575" s="7" t="s">
        <v>505</v>
      </c>
      <c r="H5575" s="6" t="n">
        <v>3.85</v>
      </c>
      <c r="I5575" s="6" t="n">
        <v>0.115</v>
      </c>
      <c r="J5575" s="40" t="n">
        <f aca="false">H5575-I5575</f>
        <v>3.735</v>
      </c>
      <c r="K5575" s="41" t="n">
        <v>26.5</v>
      </c>
      <c r="L5575" s="42" t="n">
        <f aca="false">J5575*K5575</f>
        <v>98.9775</v>
      </c>
      <c r="M5575" s="43" t="n">
        <f aca="false">H5575*16.39*(1+'Chart of Accounts'!$E$67)</f>
        <v>72.2512175</v>
      </c>
    </row>
    <row r="5576" customFormat="false" ht="15" hidden="false" customHeight="false" outlineLevel="0" collapsed="false">
      <c r="B5576" s="7" t="s">
        <v>6073</v>
      </c>
      <c r="C5576" s="39" t="n">
        <v>45922</v>
      </c>
      <c r="D5576" s="7" t="s">
        <v>351</v>
      </c>
      <c r="E5576" s="7" t="s">
        <v>154</v>
      </c>
      <c r="F5576" s="7" t="s">
        <v>201</v>
      </c>
      <c r="G5576" s="7" t="s">
        <v>505</v>
      </c>
      <c r="H5576" s="6" t="n">
        <v>3.16</v>
      </c>
      <c r="I5576" s="6" t="n">
        <v>0</v>
      </c>
      <c r="J5576" s="40" t="n">
        <f aca="false">H5576-I5576</f>
        <v>3.16</v>
      </c>
      <c r="K5576" s="41" t="n">
        <v>26.5</v>
      </c>
      <c r="L5576" s="42" t="n">
        <f aca="false">J5576*K5576</f>
        <v>83.74</v>
      </c>
      <c r="M5576" s="43" t="n">
        <f aca="false">H5576*15.19*(1+'Chart of Accounts'!$E$67)</f>
        <v>54.960458</v>
      </c>
    </row>
    <row r="5577" customFormat="false" ht="15" hidden="false" customHeight="false" outlineLevel="0" collapsed="false">
      <c r="B5577" s="7" t="s">
        <v>6074</v>
      </c>
      <c r="C5577" s="39" t="n">
        <v>45922</v>
      </c>
      <c r="D5577" s="7" t="s">
        <v>353</v>
      </c>
      <c r="E5577" s="7" t="s">
        <v>154</v>
      </c>
      <c r="F5577" s="7" t="s">
        <v>254</v>
      </c>
      <c r="G5577" s="7" t="s">
        <v>505</v>
      </c>
      <c r="H5577" s="6" t="n">
        <v>3.64</v>
      </c>
      <c r="I5577" s="6" t="n">
        <v>0</v>
      </c>
      <c r="J5577" s="40" t="n">
        <f aca="false">H5577-I5577</f>
        <v>3.64</v>
      </c>
      <c r="K5577" s="41" t="n">
        <v>26.5</v>
      </c>
      <c r="L5577" s="42" t="n">
        <f aca="false">J5577*K5577</f>
        <v>96.46</v>
      </c>
      <c r="M5577" s="43" t="n">
        <f aca="false">H5577*17.1*(1+'Chart of Accounts'!$E$67)</f>
        <v>71.26938</v>
      </c>
    </row>
    <row r="5578" customFormat="false" ht="15" hidden="false" customHeight="false" outlineLevel="0" collapsed="false">
      <c r="B5578" s="7" t="s">
        <v>6075</v>
      </c>
      <c r="C5578" s="39" t="n">
        <v>45922</v>
      </c>
      <c r="D5578" s="7" t="s">
        <v>355</v>
      </c>
      <c r="E5578" s="7" t="s">
        <v>154</v>
      </c>
      <c r="F5578" s="7" t="s">
        <v>201</v>
      </c>
      <c r="G5578" s="7" t="s">
        <v>505</v>
      </c>
      <c r="H5578" s="6" t="n">
        <v>3.42</v>
      </c>
      <c r="I5578" s="6" t="n">
        <v>0.103</v>
      </c>
      <c r="J5578" s="40" t="n">
        <f aca="false">H5578-I5578</f>
        <v>3.317</v>
      </c>
      <c r="K5578" s="41" t="n">
        <v>26.5</v>
      </c>
      <c r="L5578" s="42" t="n">
        <f aca="false">J5578*K5578</f>
        <v>87.9005</v>
      </c>
      <c r="M5578" s="43" t="n">
        <f aca="false">H5578*15.19*(1+'Chart of Accounts'!$E$67)</f>
        <v>59.482521</v>
      </c>
    </row>
    <row r="5579" customFormat="false" ht="15" hidden="false" customHeight="false" outlineLevel="0" collapsed="false">
      <c r="B5579" s="7" t="s">
        <v>6076</v>
      </c>
      <c r="C5579" s="39" t="n">
        <v>45922</v>
      </c>
      <c r="D5579" s="7" t="s">
        <v>357</v>
      </c>
      <c r="E5579" s="7" t="s">
        <v>154</v>
      </c>
      <c r="F5579" s="7" t="s">
        <v>194</v>
      </c>
      <c r="G5579" s="7" t="s">
        <v>505</v>
      </c>
      <c r="H5579" s="6" t="n">
        <v>3.03</v>
      </c>
      <c r="I5579" s="6" t="n">
        <v>0</v>
      </c>
      <c r="J5579" s="40" t="n">
        <f aca="false">H5579-I5579</f>
        <v>3.03</v>
      </c>
      <c r="K5579" s="41" t="n">
        <v>26.5</v>
      </c>
      <c r="L5579" s="42" t="n">
        <f aca="false">J5579*K5579</f>
        <v>80.295</v>
      </c>
      <c r="M5579" s="43" t="n">
        <f aca="false">H5579*16*(1+'Chart of Accounts'!$E$67)</f>
        <v>55.5096</v>
      </c>
    </row>
    <row r="5580" customFormat="false" ht="15" hidden="false" customHeight="false" outlineLevel="0" collapsed="false">
      <c r="B5580" s="7" t="s">
        <v>6077</v>
      </c>
      <c r="C5580" s="39" t="n">
        <v>45922</v>
      </c>
      <c r="D5580" s="7" t="s">
        <v>359</v>
      </c>
      <c r="E5580" s="7" t="s">
        <v>156</v>
      </c>
      <c r="F5580" s="7" t="s">
        <v>236</v>
      </c>
      <c r="G5580" s="7" t="s">
        <v>505</v>
      </c>
      <c r="H5580" s="6" t="n">
        <v>3.62</v>
      </c>
      <c r="I5580" s="6" t="n">
        <v>0</v>
      </c>
      <c r="J5580" s="40" t="n">
        <f aca="false">H5580-I5580</f>
        <v>3.62</v>
      </c>
      <c r="K5580" s="41" t="n">
        <v>34</v>
      </c>
      <c r="L5580" s="42" t="n">
        <f aca="false">J5580*K5580</f>
        <v>123.08</v>
      </c>
      <c r="M5580" s="43" t="n">
        <f aca="false">H5580*15.49*(1+'Chart of Accounts'!$E$67)</f>
        <v>64.204501</v>
      </c>
    </row>
    <row r="5581" customFormat="false" ht="15" hidden="false" customHeight="false" outlineLevel="0" collapsed="false">
      <c r="B5581" s="7" t="s">
        <v>6078</v>
      </c>
      <c r="C5581" s="39" t="n">
        <v>45922</v>
      </c>
      <c r="D5581" s="7" t="s">
        <v>363</v>
      </c>
      <c r="E5581" s="7" t="s">
        <v>156</v>
      </c>
      <c r="F5581" s="7" t="s">
        <v>246</v>
      </c>
      <c r="G5581" s="7" t="s">
        <v>505</v>
      </c>
      <c r="H5581" s="6" t="n">
        <v>3.83</v>
      </c>
      <c r="I5581" s="6" t="n">
        <v>0</v>
      </c>
      <c r="J5581" s="40" t="n">
        <f aca="false">H5581-I5581</f>
        <v>3.83</v>
      </c>
      <c r="K5581" s="41" t="n">
        <v>34</v>
      </c>
      <c r="L5581" s="42" t="n">
        <f aca="false">J5581*K5581</f>
        <v>130.22</v>
      </c>
      <c r="M5581" s="43" t="n">
        <f aca="false">H5581*16.48*(1+'Chart of Accounts'!$E$67)</f>
        <v>72.270568</v>
      </c>
    </row>
    <row r="5582" customFormat="false" ht="15" hidden="false" customHeight="false" outlineLevel="0" collapsed="false">
      <c r="B5582" s="7" t="s">
        <v>6079</v>
      </c>
      <c r="C5582" s="39" t="n">
        <v>45922</v>
      </c>
      <c r="D5582" s="7" t="s">
        <v>371</v>
      </c>
      <c r="E5582" s="7" t="s">
        <v>154</v>
      </c>
      <c r="F5582" s="7" t="s">
        <v>232</v>
      </c>
      <c r="G5582" s="7" t="s">
        <v>505</v>
      </c>
      <c r="H5582" s="6" t="n">
        <v>4.2</v>
      </c>
      <c r="I5582" s="6" t="n">
        <v>0</v>
      </c>
      <c r="J5582" s="40" t="n">
        <f aca="false">H5582-I5582</f>
        <v>4.2</v>
      </c>
      <c r="K5582" s="41" t="n">
        <v>26.5</v>
      </c>
      <c r="L5582" s="42" t="n">
        <f aca="false">J5582*K5582</f>
        <v>111.3</v>
      </c>
      <c r="M5582" s="43" t="n">
        <f aca="false">H5582*16.17*(1+'Chart of Accounts'!$E$67)</f>
        <v>77.76153</v>
      </c>
    </row>
    <row r="5583" customFormat="false" ht="15" hidden="false" customHeight="false" outlineLevel="0" collapsed="false">
      <c r="B5583" s="7" t="s">
        <v>6080</v>
      </c>
      <c r="C5583" s="39" t="n">
        <v>45922</v>
      </c>
      <c r="D5583" s="7" t="s">
        <v>375</v>
      </c>
      <c r="E5583" s="7" t="s">
        <v>156</v>
      </c>
      <c r="F5583" s="7" t="s">
        <v>196</v>
      </c>
      <c r="G5583" s="7" t="s">
        <v>505</v>
      </c>
      <c r="H5583" s="6" t="n">
        <v>2.94</v>
      </c>
      <c r="I5583" s="6" t="n">
        <v>0</v>
      </c>
      <c r="J5583" s="40" t="n">
        <f aca="false">H5583-I5583</f>
        <v>2.94</v>
      </c>
      <c r="K5583" s="41" t="n">
        <v>34</v>
      </c>
      <c r="L5583" s="42" t="n">
        <f aca="false">J5583*K5583</f>
        <v>99.96</v>
      </c>
      <c r="M5583" s="43" t="n">
        <f aca="false">H5583*15.05*(1+'Chart of Accounts'!$E$67)</f>
        <v>50.662815</v>
      </c>
    </row>
    <row r="5584" customFormat="false" ht="15" hidden="false" customHeight="false" outlineLevel="0" collapsed="false">
      <c r="B5584" s="7" t="s">
        <v>6081</v>
      </c>
      <c r="C5584" s="39" t="n">
        <v>45922</v>
      </c>
      <c r="D5584" s="7" t="s">
        <v>377</v>
      </c>
      <c r="E5584" s="7" t="s">
        <v>154</v>
      </c>
      <c r="F5584" s="7" t="s">
        <v>214</v>
      </c>
      <c r="G5584" s="7" t="s">
        <v>505</v>
      </c>
      <c r="H5584" s="6" t="n">
        <v>3.95</v>
      </c>
      <c r="I5584" s="6" t="n">
        <v>0</v>
      </c>
      <c r="J5584" s="40" t="n">
        <f aca="false">H5584-I5584</f>
        <v>3.95</v>
      </c>
      <c r="K5584" s="41" t="n">
        <v>26.5</v>
      </c>
      <c r="L5584" s="42" t="n">
        <f aca="false">J5584*K5584</f>
        <v>104.675</v>
      </c>
      <c r="M5584" s="43" t="n">
        <f aca="false">H5584*15.67*(1+'Chart of Accounts'!$E$67)</f>
        <v>70.8714925</v>
      </c>
    </row>
    <row r="5585" customFormat="false" ht="15" hidden="false" customHeight="false" outlineLevel="0" collapsed="false">
      <c r="B5585" s="7" t="s">
        <v>6082</v>
      </c>
      <c r="C5585" s="39" t="n">
        <v>45922</v>
      </c>
      <c r="D5585" s="7" t="s">
        <v>379</v>
      </c>
      <c r="E5585" s="7" t="s">
        <v>156</v>
      </c>
      <c r="F5585" s="7" t="s">
        <v>224</v>
      </c>
      <c r="G5585" s="7" t="s">
        <v>505</v>
      </c>
      <c r="H5585" s="6" t="n">
        <v>4.75</v>
      </c>
      <c r="I5585" s="6" t="n">
        <v>0</v>
      </c>
      <c r="J5585" s="40" t="n">
        <f aca="false">H5585-I5585</f>
        <v>4.75</v>
      </c>
      <c r="K5585" s="41" t="n">
        <v>34</v>
      </c>
      <c r="L5585" s="42" t="n">
        <f aca="false">J5585*K5585</f>
        <v>161.5</v>
      </c>
      <c r="M5585" s="43" t="n">
        <f aca="false">H5585*14.93*(1+'Chart of Accounts'!$E$67)</f>
        <v>81.2005375</v>
      </c>
    </row>
    <row r="5586" customFormat="false" ht="15" hidden="false" customHeight="false" outlineLevel="0" collapsed="false">
      <c r="B5586" s="7" t="s">
        <v>6083</v>
      </c>
      <c r="C5586" s="39" t="n">
        <v>45922</v>
      </c>
      <c r="D5586" s="7" t="s">
        <v>385</v>
      </c>
      <c r="E5586" s="7" t="s">
        <v>156</v>
      </c>
      <c r="F5586" s="7" t="s">
        <v>238</v>
      </c>
      <c r="G5586" s="7" t="s">
        <v>505</v>
      </c>
      <c r="H5586" s="6" t="n">
        <v>3.67</v>
      </c>
      <c r="I5586" s="6" t="n">
        <v>0</v>
      </c>
      <c r="J5586" s="40" t="n">
        <f aca="false">H5586-I5586</f>
        <v>3.67</v>
      </c>
      <c r="K5586" s="41" t="n">
        <v>34</v>
      </c>
      <c r="L5586" s="42" t="n">
        <f aca="false">J5586*K5586</f>
        <v>124.78</v>
      </c>
      <c r="M5586" s="43" t="n">
        <f aca="false">H5586*15.85*(1+'Chart of Accounts'!$E$67)</f>
        <v>66.6040775</v>
      </c>
    </row>
    <row r="5587" customFormat="false" ht="15" hidden="false" customHeight="false" outlineLevel="0" collapsed="false">
      <c r="B5587" s="7" t="s">
        <v>6084</v>
      </c>
      <c r="C5587" s="39" t="n">
        <v>45922</v>
      </c>
      <c r="D5587" s="7" t="s">
        <v>387</v>
      </c>
      <c r="E5587" s="7" t="s">
        <v>154</v>
      </c>
      <c r="F5587" s="7" t="s">
        <v>196</v>
      </c>
      <c r="G5587" s="7" t="s">
        <v>505</v>
      </c>
      <c r="H5587" s="6" t="n">
        <v>3.88</v>
      </c>
      <c r="I5587" s="6" t="n">
        <v>0.116</v>
      </c>
      <c r="J5587" s="40" t="n">
        <f aca="false">H5587-I5587</f>
        <v>3.764</v>
      </c>
      <c r="K5587" s="41" t="n">
        <v>26.5</v>
      </c>
      <c r="L5587" s="42" t="n">
        <f aca="false">J5587*K5587</f>
        <v>99.746</v>
      </c>
      <c r="M5587" s="43" t="n">
        <f aca="false">H5587*15.05*(1+'Chart of Accounts'!$E$67)</f>
        <v>66.86113</v>
      </c>
    </row>
    <row r="5588" customFormat="false" ht="15" hidden="false" customHeight="false" outlineLevel="0" collapsed="false">
      <c r="B5588" s="7" t="s">
        <v>6085</v>
      </c>
      <c r="C5588" s="39" t="n">
        <v>45922</v>
      </c>
      <c r="D5588" s="7" t="s">
        <v>389</v>
      </c>
      <c r="E5588" s="7" t="s">
        <v>154</v>
      </c>
      <c r="F5588" s="7" t="s">
        <v>246</v>
      </c>
      <c r="G5588" s="7" t="s">
        <v>505</v>
      </c>
      <c r="H5588" s="6" t="n">
        <v>4.29</v>
      </c>
      <c r="I5588" s="6" t="n">
        <v>0</v>
      </c>
      <c r="J5588" s="40" t="n">
        <f aca="false">H5588-I5588</f>
        <v>4.29</v>
      </c>
      <c r="K5588" s="41" t="n">
        <v>26.5</v>
      </c>
      <c r="L5588" s="42" t="n">
        <f aca="false">J5588*K5588</f>
        <v>113.685</v>
      </c>
      <c r="M5588" s="43" t="n">
        <f aca="false">H5588*16.48*(1+'Chart of Accounts'!$E$67)</f>
        <v>80.950584</v>
      </c>
    </row>
    <row r="5589" customFormat="false" ht="15" hidden="false" customHeight="false" outlineLevel="0" collapsed="false">
      <c r="B5589" s="7" t="s">
        <v>6086</v>
      </c>
      <c r="C5589" s="39" t="n">
        <v>45922</v>
      </c>
      <c r="D5589" s="7" t="s">
        <v>391</v>
      </c>
      <c r="E5589" s="7" t="s">
        <v>156</v>
      </c>
      <c r="F5589" s="7" t="s">
        <v>222</v>
      </c>
      <c r="G5589" s="7" t="s">
        <v>505</v>
      </c>
      <c r="H5589" s="6" t="n">
        <v>3.88</v>
      </c>
      <c r="I5589" s="6" t="n">
        <v>0</v>
      </c>
      <c r="J5589" s="40" t="n">
        <f aca="false">H5589-I5589</f>
        <v>3.88</v>
      </c>
      <c r="K5589" s="41" t="n">
        <v>34</v>
      </c>
      <c r="L5589" s="42" t="n">
        <f aca="false">J5589*K5589</f>
        <v>131.92</v>
      </c>
      <c r="M5589" s="43" t="n">
        <f aca="false">H5589*17.84*(1+'Chart of Accounts'!$E$67)</f>
        <v>79.255984</v>
      </c>
    </row>
    <row r="5590" customFormat="false" ht="15" hidden="false" customHeight="false" outlineLevel="0" collapsed="false">
      <c r="B5590" s="7" t="s">
        <v>6087</v>
      </c>
      <c r="C5590" s="39" t="n">
        <v>45922</v>
      </c>
      <c r="D5590" s="7" t="s">
        <v>395</v>
      </c>
      <c r="E5590" s="7" t="s">
        <v>156</v>
      </c>
      <c r="F5590" s="7" t="s">
        <v>242</v>
      </c>
      <c r="G5590" s="7" t="s">
        <v>505</v>
      </c>
      <c r="H5590" s="6" t="n">
        <v>3.63</v>
      </c>
      <c r="I5590" s="6" t="n">
        <v>0</v>
      </c>
      <c r="J5590" s="40" t="n">
        <f aca="false">H5590-I5590</f>
        <v>3.63</v>
      </c>
      <c r="K5590" s="41" t="n">
        <v>34</v>
      </c>
      <c r="L5590" s="42" t="n">
        <f aca="false">J5590*K5590</f>
        <v>123.42</v>
      </c>
      <c r="M5590" s="43" t="n">
        <f aca="false">H5590*17.99*(1+'Chart of Accounts'!$E$67)</f>
        <v>74.7727365</v>
      </c>
    </row>
    <row r="5591" customFormat="false" ht="15" hidden="false" customHeight="false" outlineLevel="0" collapsed="false">
      <c r="B5591" s="7" t="s">
        <v>6088</v>
      </c>
      <c r="C5591" s="39" t="n">
        <v>45922</v>
      </c>
      <c r="D5591" s="7" t="s">
        <v>399</v>
      </c>
      <c r="E5591" s="7" t="s">
        <v>154</v>
      </c>
      <c r="F5591" s="7" t="s">
        <v>240</v>
      </c>
      <c r="G5591" s="7" t="s">
        <v>505</v>
      </c>
      <c r="H5591" s="6" t="n">
        <v>3.38</v>
      </c>
      <c r="I5591" s="6" t="n">
        <v>0</v>
      </c>
      <c r="J5591" s="40" t="n">
        <f aca="false">H5591-I5591</f>
        <v>3.38</v>
      </c>
      <c r="K5591" s="41" t="n">
        <v>26.5</v>
      </c>
      <c r="L5591" s="42" t="n">
        <f aca="false">J5591*K5591</f>
        <v>89.57</v>
      </c>
      <c r="M5591" s="43" t="n">
        <f aca="false">H5591*16.96*(1+'Chart of Accounts'!$E$67)</f>
        <v>65.636896</v>
      </c>
    </row>
    <row r="5592" customFormat="false" ht="15" hidden="false" customHeight="false" outlineLevel="0" collapsed="false">
      <c r="B5592" s="7" t="s">
        <v>6089</v>
      </c>
      <c r="C5592" s="39" t="n">
        <v>45922</v>
      </c>
      <c r="D5592" s="7" t="s">
        <v>401</v>
      </c>
      <c r="E5592" s="7" t="s">
        <v>156</v>
      </c>
      <c r="F5592" s="7" t="s">
        <v>254</v>
      </c>
      <c r="G5592" s="7" t="s">
        <v>505</v>
      </c>
      <c r="H5592" s="6" t="n">
        <v>3.69</v>
      </c>
      <c r="I5592" s="6" t="n">
        <v>0</v>
      </c>
      <c r="J5592" s="40" t="n">
        <f aca="false">H5592-I5592</f>
        <v>3.69</v>
      </c>
      <c r="K5592" s="41" t="n">
        <v>34</v>
      </c>
      <c r="L5592" s="42" t="n">
        <f aca="false">J5592*K5592</f>
        <v>125.46</v>
      </c>
      <c r="M5592" s="43" t="n">
        <f aca="false">H5592*17.1*(1+'Chart of Accounts'!$E$67)</f>
        <v>72.248355</v>
      </c>
    </row>
    <row r="5593" customFormat="false" ht="15" hidden="false" customHeight="false" outlineLevel="0" collapsed="false">
      <c r="B5593" s="7" t="s">
        <v>6090</v>
      </c>
      <c r="C5593" s="39" t="n">
        <v>45922</v>
      </c>
      <c r="D5593" s="7" t="s">
        <v>403</v>
      </c>
      <c r="E5593" s="7" t="s">
        <v>156</v>
      </c>
      <c r="F5593" s="7" t="s">
        <v>184</v>
      </c>
      <c r="G5593" s="7" t="s">
        <v>505</v>
      </c>
      <c r="H5593" s="6" t="n">
        <v>3.71</v>
      </c>
      <c r="I5593" s="6" t="n">
        <v>0</v>
      </c>
      <c r="J5593" s="40" t="n">
        <f aca="false">H5593-I5593</f>
        <v>3.71</v>
      </c>
      <c r="K5593" s="41" t="n">
        <v>34</v>
      </c>
      <c r="L5593" s="42" t="n">
        <f aca="false">J5593*K5593</f>
        <v>126.14</v>
      </c>
      <c r="M5593" s="43" t="n">
        <f aca="false">H5593*17.34*(1+'Chart of Accounts'!$E$67)</f>
        <v>73.659453</v>
      </c>
    </row>
    <row r="5594" customFormat="false" ht="15" hidden="false" customHeight="false" outlineLevel="0" collapsed="false">
      <c r="B5594" s="7" t="s">
        <v>6091</v>
      </c>
      <c r="C5594" s="39" t="n">
        <v>45922</v>
      </c>
      <c r="D5594" s="7" t="s">
        <v>409</v>
      </c>
      <c r="E5594" s="7" t="s">
        <v>154</v>
      </c>
      <c r="F5594" s="7" t="s">
        <v>214</v>
      </c>
      <c r="G5594" s="7" t="s">
        <v>505</v>
      </c>
      <c r="H5594" s="6" t="n">
        <v>3.14</v>
      </c>
      <c r="I5594" s="6" t="n">
        <v>0</v>
      </c>
      <c r="J5594" s="40" t="n">
        <f aca="false">H5594-I5594</f>
        <v>3.14</v>
      </c>
      <c r="K5594" s="41" t="n">
        <v>26.5</v>
      </c>
      <c r="L5594" s="42" t="n">
        <f aca="false">J5594*K5594</f>
        <v>83.21</v>
      </c>
      <c r="M5594" s="43" t="n">
        <f aca="false">H5594*15.67*(1+'Chart of Accounts'!$E$67)</f>
        <v>56.338351</v>
      </c>
    </row>
    <row r="5595" customFormat="false" ht="15" hidden="false" customHeight="false" outlineLevel="0" collapsed="false">
      <c r="B5595" s="7" t="s">
        <v>6092</v>
      </c>
      <c r="C5595" s="39" t="n">
        <v>45922</v>
      </c>
      <c r="D5595" s="7" t="s">
        <v>411</v>
      </c>
      <c r="E5595" s="7" t="s">
        <v>154</v>
      </c>
      <c r="F5595" s="7" t="s">
        <v>177</v>
      </c>
      <c r="G5595" s="7" t="s">
        <v>505</v>
      </c>
      <c r="H5595" s="6" t="n">
        <v>4.87</v>
      </c>
      <c r="I5595" s="6" t="n">
        <v>0</v>
      </c>
      <c r="J5595" s="40" t="n">
        <f aca="false">H5595-I5595</f>
        <v>4.87</v>
      </c>
      <c r="K5595" s="41" t="n">
        <v>26.5</v>
      </c>
      <c r="L5595" s="42" t="n">
        <f aca="false">J5595*K5595</f>
        <v>129.055</v>
      </c>
      <c r="M5595" s="43" t="n">
        <f aca="false">H5595*14.56*(1+'Chart of Accounts'!$E$67)</f>
        <v>81.188744</v>
      </c>
    </row>
    <row r="5596" customFormat="false" ht="15" hidden="false" customHeight="false" outlineLevel="0" collapsed="false">
      <c r="B5596" s="7" t="s">
        <v>6093</v>
      </c>
      <c r="C5596" s="39" t="n">
        <v>45923</v>
      </c>
      <c r="D5596" s="7" t="s">
        <v>288</v>
      </c>
      <c r="E5596" s="7" t="s">
        <v>156</v>
      </c>
      <c r="F5596" s="7" t="s">
        <v>238</v>
      </c>
      <c r="G5596" s="7" t="s">
        <v>505</v>
      </c>
      <c r="H5596" s="6" t="n">
        <v>3.73</v>
      </c>
      <c r="I5596" s="6" t="n">
        <v>0</v>
      </c>
      <c r="J5596" s="40" t="n">
        <f aca="false">H5596-I5596</f>
        <v>3.73</v>
      </c>
      <c r="K5596" s="41" t="n">
        <v>34</v>
      </c>
      <c r="L5596" s="42" t="n">
        <f aca="false">J5596*K5596</f>
        <v>126.82</v>
      </c>
      <c r="M5596" s="43" t="n">
        <f aca="false">H5596*15.85*(1+'Chart of Accounts'!$E$67)</f>
        <v>67.6929725</v>
      </c>
    </row>
    <row r="5597" customFormat="false" ht="15" hidden="false" customHeight="false" outlineLevel="0" collapsed="false">
      <c r="B5597" s="7" t="s">
        <v>6094</v>
      </c>
      <c r="C5597" s="39" t="n">
        <v>45923</v>
      </c>
      <c r="D5597" s="7" t="s">
        <v>293</v>
      </c>
      <c r="E5597" s="7" t="s">
        <v>157</v>
      </c>
      <c r="F5597" s="7" t="s">
        <v>198</v>
      </c>
      <c r="G5597" s="7" t="s">
        <v>502</v>
      </c>
      <c r="H5597" s="6" t="n">
        <v>0.99</v>
      </c>
      <c r="I5597" s="6" t="n">
        <v>0.05</v>
      </c>
      <c r="J5597" s="40" t="n">
        <f aca="false">H5597-I5597</f>
        <v>0.94</v>
      </c>
      <c r="K5597" s="41" t="n">
        <v>165</v>
      </c>
      <c r="L5597" s="42" t="n">
        <f aca="false">J5597*K5597</f>
        <v>155.1</v>
      </c>
      <c r="M5597" s="43" t="n">
        <f aca="false">H5597*48.09*(1+'Chart of Accounts'!$E$67)</f>
        <v>54.5124195</v>
      </c>
    </row>
    <row r="5598" customFormat="false" ht="15" hidden="false" customHeight="false" outlineLevel="0" collapsed="false">
      <c r="B5598" s="7" t="s">
        <v>6095</v>
      </c>
      <c r="C5598" s="39" t="n">
        <v>45923</v>
      </c>
      <c r="D5598" s="7" t="s">
        <v>301</v>
      </c>
      <c r="E5598" s="7" t="s">
        <v>157</v>
      </c>
      <c r="F5598" s="7" t="s">
        <v>209</v>
      </c>
      <c r="G5598" s="7" t="s">
        <v>502</v>
      </c>
      <c r="H5598" s="6" t="n">
        <v>0.96</v>
      </c>
      <c r="I5598" s="6" t="n">
        <v>0</v>
      </c>
      <c r="J5598" s="40" t="n">
        <f aca="false">H5598-I5598</f>
        <v>0.96</v>
      </c>
      <c r="K5598" s="41" t="n">
        <v>165</v>
      </c>
      <c r="L5598" s="42" t="n">
        <f aca="false">J5598*K5598</f>
        <v>158.4</v>
      </c>
      <c r="M5598" s="43" t="n">
        <f aca="false">H5598*73.58*(1+'Chart of Accounts'!$E$67)</f>
        <v>80.879136</v>
      </c>
    </row>
    <row r="5599" customFormat="false" ht="15" hidden="false" customHeight="false" outlineLevel="0" collapsed="false">
      <c r="B5599" s="7" t="s">
        <v>6096</v>
      </c>
      <c r="C5599" s="39" t="n">
        <v>45923</v>
      </c>
      <c r="D5599" s="7" t="s">
        <v>313</v>
      </c>
      <c r="E5599" s="7" t="s">
        <v>156</v>
      </c>
      <c r="F5599" s="7" t="s">
        <v>184</v>
      </c>
      <c r="G5599" s="7" t="s">
        <v>505</v>
      </c>
      <c r="H5599" s="6" t="n">
        <v>4.28</v>
      </c>
      <c r="I5599" s="6" t="n">
        <v>0</v>
      </c>
      <c r="J5599" s="40" t="n">
        <f aca="false">H5599-I5599</f>
        <v>4.28</v>
      </c>
      <c r="K5599" s="41" t="n">
        <v>34</v>
      </c>
      <c r="L5599" s="42" t="n">
        <f aca="false">J5599*K5599</f>
        <v>145.52</v>
      </c>
      <c r="M5599" s="43" t="n">
        <f aca="false">H5599*17.34*(1+'Chart of Accounts'!$E$67)</f>
        <v>84.976404</v>
      </c>
    </row>
    <row r="5600" customFormat="false" ht="15" hidden="false" customHeight="false" outlineLevel="0" collapsed="false">
      <c r="B5600" s="7" t="s">
        <v>6097</v>
      </c>
      <c r="C5600" s="39" t="n">
        <v>45923</v>
      </c>
      <c r="D5600" s="7" t="s">
        <v>319</v>
      </c>
      <c r="E5600" s="7" t="s">
        <v>157</v>
      </c>
      <c r="F5600" s="7" t="s">
        <v>234</v>
      </c>
      <c r="G5600" s="7" t="s">
        <v>502</v>
      </c>
      <c r="H5600" s="6" t="n">
        <v>1.02</v>
      </c>
      <c r="I5600" s="6" t="n">
        <v>0</v>
      </c>
      <c r="J5600" s="40" t="n">
        <f aca="false">H5600-I5600</f>
        <v>1.02</v>
      </c>
      <c r="K5600" s="41" t="n">
        <v>165</v>
      </c>
      <c r="L5600" s="42" t="n">
        <f aca="false">J5600*K5600</f>
        <v>168.3</v>
      </c>
      <c r="M5600" s="43" t="n">
        <f aca="false">H5600*89.53*(1+'Chart of Accounts'!$E$67)</f>
        <v>104.562087</v>
      </c>
    </row>
    <row r="5601" customFormat="false" ht="15" hidden="false" customHeight="false" outlineLevel="0" collapsed="false">
      <c r="B5601" s="7" t="s">
        <v>6098</v>
      </c>
      <c r="C5601" s="39" t="n">
        <v>45923</v>
      </c>
      <c r="D5601" s="7" t="s">
        <v>321</v>
      </c>
      <c r="E5601" s="7" t="s">
        <v>154</v>
      </c>
      <c r="F5601" s="7" t="s">
        <v>218</v>
      </c>
      <c r="G5601" s="7" t="s">
        <v>505</v>
      </c>
      <c r="H5601" s="6" t="n">
        <v>4.13</v>
      </c>
      <c r="I5601" s="6" t="n">
        <v>0</v>
      </c>
      <c r="J5601" s="40" t="n">
        <f aca="false">H5601-I5601</f>
        <v>4.13</v>
      </c>
      <c r="K5601" s="41" t="n">
        <v>26.5</v>
      </c>
      <c r="L5601" s="42" t="n">
        <f aca="false">J5601*K5601</f>
        <v>109.445</v>
      </c>
      <c r="M5601" s="43" t="n">
        <f aca="false">H5601*16.19*(1+'Chart of Accounts'!$E$67)</f>
        <v>76.5600815</v>
      </c>
    </row>
    <row r="5602" customFormat="false" ht="15" hidden="false" customHeight="false" outlineLevel="0" collapsed="false">
      <c r="B5602" s="7" t="s">
        <v>6099</v>
      </c>
      <c r="C5602" s="39" t="n">
        <v>45923</v>
      </c>
      <c r="D5602" s="7" t="s">
        <v>323</v>
      </c>
      <c r="E5602" s="7" t="s">
        <v>159</v>
      </c>
      <c r="F5602" s="7" t="s">
        <v>216</v>
      </c>
      <c r="G5602" s="7" t="s">
        <v>502</v>
      </c>
      <c r="H5602" s="6" t="n">
        <v>1.05</v>
      </c>
      <c r="I5602" s="6" t="n">
        <v>0</v>
      </c>
      <c r="J5602" s="40" t="n">
        <f aca="false">H5602-I5602</f>
        <v>1.05</v>
      </c>
      <c r="K5602" s="41" t="n">
        <v>135</v>
      </c>
      <c r="L5602" s="42" t="n">
        <f aca="false">J5602*K5602</f>
        <v>141.75</v>
      </c>
      <c r="M5602" s="43" t="n">
        <f aca="false">H5602*61.79*(1+'Chart of Accounts'!$E$67)</f>
        <v>74.2870275</v>
      </c>
    </row>
    <row r="5603" customFormat="false" ht="15" hidden="false" customHeight="false" outlineLevel="0" collapsed="false">
      <c r="B5603" s="7" t="s">
        <v>6100</v>
      </c>
      <c r="C5603" s="39" t="n">
        <v>45923</v>
      </c>
      <c r="D5603" s="7" t="s">
        <v>327</v>
      </c>
      <c r="E5603" s="7" t="s">
        <v>157</v>
      </c>
      <c r="F5603" s="7" t="s">
        <v>228</v>
      </c>
      <c r="G5603" s="7" t="s">
        <v>502</v>
      </c>
      <c r="H5603" s="6" t="n">
        <v>0.96</v>
      </c>
      <c r="I5603" s="6" t="n">
        <v>0.048</v>
      </c>
      <c r="J5603" s="40" t="n">
        <f aca="false">H5603-I5603</f>
        <v>0.912</v>
      </c>
      <c r="K5603" s="41" t="n">
        <v>165</v>
      </c>
      <c r="L5603" s="42" t="n">
        <f aca="false">J5603*K5603</f>
        <v>150.48</v>
      </c>
      <c r="M5603" s="43" t="n">
        <f aca="false">H5603*51.07*(1+'Chart of Accounts'!$E$67)</f>
        <v>56.136144</v>
      </c>
    </row>
    <row r="5604" customFormat="false" ht="15" hidden="false" customHeight="false" outlineLevel="0" collapsed="false">
      <c r="B5604" s="7" t="s">
        <v>6101</v>
      </c>
      <c r="C5604" s="39" t="n">
        <v>45923</v>
      </c>
      <c r="D5604" s="7" t="s">
        <v>329</v>
      </c>
      <c r="E5604" s="7" t="s">
        <v>156</v>
      </c>
      <c r="F5604" s="7" t="s">
        <v>220</v>
      </c>
      <c r="G5604" s="7" t="s">
        <v>505</v>
      </c>
      <c r="H5604" s="6" t="n">
        <v>4.32</v>
      </c>
      <c r="I5604" s="6" t="n">
        <v>0</v>
      </c>
      <c r="J5604" s="40" t="n">
        <f aca="false">H5604-I5604</f>
        <v>4.32</v>
      </c>
      <c r="K5604" s="41" t="n">
        <v>34</v>
      </c>
      <c r="L5604" s="42" t="n">
        <f aca="false">J5604*K5604</f>
        <v>146.88</v>
      </c>
      <c r="M5604" s="43" t="n">
        <f aca="false">H5604*16.43*(1+'Chart of Accounts'!$E$67)</f>
        <v>81.269352</v>
      </c>
    </row>
    <row r="5605" customFormat="false" ht="15" hidden="false" customHeight="false" outlineLevel="0" collapsed="false">
      <c r="B5605" s="7" t="s">
        <v>6102</v>
      </c>
      <c r="C5605" s="39" t="n">
        <v>45923</v>
      </c>
      <c r="D5605" s="7" t="s">
        <v>349</v>
      </c>
      <c r="E5605" s="7" t="s">
        <v>154</v>
      </c>
      <c r="F5605" s="7" t="s">
        <v>244</v>
      </c>
      <c r="G5605" s="7" t="s">
        <v>505</v>
      </c>
      <c r="H5605" s="6" t="n">
        <v>4.34</v>
      </c>
      <c r="I5605" s="6" t="n">
        <v>0</v>
      </c>
      <c r="J5605" s="40" t="n">
        <f aca="false">H5605-I5605</f>
        <v>4.34</v>
      </c>
      <c r="K5605" s="41" t="n">
        <v>26.5</v>
      </c>
      <c r="L5605" s="42" t="n">
        <f aca="false">J5605*K5605</f>
        <v>115.01</v>
      </c>
      <c r="M5605" s="43" t="n">
        <f aca="false">H5605*16.39*(1+'Chart of Accounts'!$E$67)</f>
        <v>81.446827</v>
      </c>
    </row>
    <row r="5606" customFormat="false" ht="15" hidden="false" customHeight="false" outlineLevel="0" collapsed="false">
      <c r="B5606" s="7" t="s">
        <v>6103</v>
      </c>
      <c r="C5606" s="39" t="n">
        <v>45923</v>
      </c>
      <c r="D5606" s="7" t="s">
        <v>359</v>
      </c>
      <c r="E5606" s="7" t="s">
        <v>156</v>
      </c>
      <c r="F5606" s="7" t="s">
        <v>220</v>
      </c>
      <c r="G5606" s="7" t="s">
        <v>505</v>
      </c>
      <c r="H5606" s="6" t="n">
        <v>3.79</v>
      </c>
      <c r="I5606" s="6" t="n">
        <v>0</v>
      </c>
      <c r="J5606" s="40" t="n">
        <f aca="false">H5606-I5606</f>
        <v>3.79</v>
      </c>
      <c r="K5606" s="41" t="n">
        <v>34</v>
      </c>
      <c r="L5606" s="42" t="n">
        <f aca="false">J5606*K5606</f>
        <v>128.86</v>
      </c>
      <c r="M5606" s="43" t="n">
        <f aca="false">H5606*16.43*(1+'Chart of Accounts'!$E$67)</f>
        <v>71.2988065</v>
      </c>
    </row>
    <row r="5607" customFormat="false" ht="15" hidden="false" customHeight="false" outlineLevel="0" collapsed="false">
      <c r="B5607" s="7" t="s">
        <v>6104</v>
      </c>
      <c r="C5607" s="39" t="n">
        <v>45923</v>
      </c>
      <c r="D5607" s="7" t="s">
        <v>361</v>
      </c>
      <c r="E5607" s="7" t="s">
        <v>157</v>
      </c>
      <c r="F5607" s="7" t="s">
        <v>209</v>
      </c>
      <c r="G5607" s="7" t="s">
        <v>502</v>
      </c>
      <c r="H5607" s="6" t="n">
        <v>0.99</v>
      </c>
      <c r="I5607" s="6" t="n">
        <v>0</v>
      </c>
      <c r="J5607" s="40" t="n">
        <f aca="false">H5607-I5607</f>
        <v>0.99</v>
      </c>
      <c r="K5607" s="41" t="n">
        <v>165</v>
      </c>
      <c r="L5607" s="42" t="n">
        <f aca="false">J5607*K5607</f>
        <v>163.35</v>
      </c>
      <c r="M5607" s="43" t="n">
        <f aca="false">H5607*73.58*(1+'Chart of Accounts'!$E$67)</f>
        <v>83.406609</v>
      </c>
    </row>
    <row r="5608" customFormat="false" ht="15" hidden="false" customHeight="false" outlineLevel="0" collapsed="false">
      <c r="B5608" s="7" t="s">
        <v>6105</v>
      </c>
      <c r="C5608" s="39" t="n">
        <v>45923</v>
      </c>
      <c r="D5608" s="7" t="s">
        <v>365</v>
      </c>
      <c r="E5608" s="7" t="s">
        <v>154</v>
      </c>
      <c r="F5608" s="7" t="s">
        <v>194</v>
      </c>
      <c r="G5608" s="7" t="s">
        <v>505</v>
      </c>
      <c r="H5608" s="6" t="n">
        <v>4.3</v>
      </c>
      <c r="I5608" s="6" t="n">
        <v>0</v>
      </c>
      <c r="J5608" s="40" t="n">
        <f aca="false">H5608-I5608</f>
        <v>4.3</v>
      </c>
      <c r="K5608" s="41" t="n">
        <v>26.5</v>
      </c>
      <c r="L5608" s="42" t="n">
        <f aca="false">J5608*K5608</f>
        <v>113.95</v>
      </c>
      <c r="M5608" s="43" t="n">
        <f aca="false">H5608*16*(1+'Chart of Accounts'!$E$67)</f>
        <v>78.776</v>
      </c>
    </row>
    <row r="5609" customFormat="false" ht="15" hidden="false" customHeight="false" outlineLevel="0" collapsed="false">
      <c r="B5609" s="7" t="s">
        <v>6106</v>
      </c>
      <c r="C5609" s="39" t="n">
        <v>45923</v>
      </c>
      <c r="D5609" s="7" t="s">
        <v>369</v>
      </c>
      <c r="E5609" s="7" t="s">
        <v>159</v>
      </c>
      <c r="F5609" s="7" t="s">
        <v>258</v>
      </c>
      <c r="G5609" s="7" t="s">
        <v>502</v>
      </c>
      <c r="H5609" s="6" t="n">
        <v>1.04</v>
      </c>
      <c r="I5609" s="6" t="n">
        <v>0</v>
      </c>
      <c r="J5609" s="40" t="n">
        <f aca="false">H5609-I5609</f>
        <v>1.04</v>
      </c>
      <c r="K5609" s="41" t="n">
        <v>135</v>
      </c>
      <c r="L5609" s="42" t="n">
        <f aca="false">J5609*K5609</f>
        <v>140.4</v>
      </c>
      <c r="M5609" s="43" t="n">
        <f aca="false">H5609*61.61*(1+'Chart of Accounts'!$E$67)</f>
        <v>73.365188</v>
      </c>
    </row>
    <row r="5610" customFormat="false" ht="15" hidden="false" customHeight="false" outlineLevel="0" collapsed="false">
      <c r="B5610" s="7" t="s">
        <v>6107</v>
      </c>
      <c r="C5610" s="39" t="n">
        <v>45923</v>
      </c>
      <c r="D5610" s="7" t="s">
        <v>381</v>
      </c>
      <c r="E5610" s="7" t="s">
        <v>157</v>
      </c>
      <c r="F5610" s="7" t="s">
        <v>234</v>
      </c>
      <c r="G5610" s="7" t="s">
        <v>502</v>
      </c>
      <c r="H5610" s="6" t="n">
        <v>0.93</v>
      </c>
      <c r="I5610" s="6" t="n">
        <v>0</v>
      </c>
      <c r="J5610" s="40" t="n">
        <f aca="false">H5610-I5610</f>
        <v>0.93</v>
      </c>
      <c r="K5610" s="41" t="n">
        <v>165</v>
      </c>
      <c r="L5610" s="42" t="n">
        <f aca="false">J5610*K5610</f>
        <v>153.45</v>
      </c>
      <c r="M5610" s="43" t="n">
        <f aca="false">H5610*89.53*(1+'Chart of Accounts'!$E$67)</f>
        <v>95.3360205</v>
      </c>
    </row>
    <row r="5611" customFormat="false" ht="15" hidden="false" customHeight="false" outlineLevel="0" collapsed="false">
      <c r="B5611" s="7" t="s">
        <v>6108</v>
      </c>
      <c r="C5611" s="39" t="n">
        <v>45923</v>
      </c>
      <c r="D5611" s="7" t="s">
        <v>383</v>
      </c>
      <c r="E5611" s="7" t="s">
        <v>157</v>
      </c>
      <c r="F5611" s="7" t="s">
        <v>230</v>
      </c>
      <c r="G5611" s="7" t="s">
        <v>502</v>
      </c>
      <c r="H5611" s="6" t="n">
        <v>0.98</v>
      </c>
      <c r="I5611" s="6" t="n">
        <v>0</v>
      </c>
      <c r="J5611" s="40" t="n">
        <f aca="false">H5611-I5611</f>
        <v>0.98</v>
      </c>
      <c r="K5611" s="41" t="n">
        <v>165</v>
      </c>
      <c r="L5611" s="42" t="n">
        <f aca="false">J5611*K5611</f>
        <v>161.7</v>
      </c>
      <c r="M5611" s="43" t="n">
        <f aca="false">H5611*48.78*(1+'Chart of Accounts'!$E$67)</f>
        <v>54.736038</v>
      </c>
    </row>
    <row r="5612" customFormat="false" ht="15" hidden="false" customHeight="false" outlineLevel="0" collapsed="false">
      <c r="B5612" s="7" t="s">
        <v>6109</v>
      </c>
      <c r="C5612" s="39" t="n">
        <v>45923</v>
      </c>
      <c r="D5612" s="7" t="s">
        <v>387</v>
      </c>
      <c r="E5612" s="7" t="s">
        <v>154</v>
      </c>
      <c r="F5612" s="7" t="s">
        <v>196</v>
      </c>
      <c r="G5612" s="7" t="s">
        <v>505</v>
      </c>
      <c r="H5612" s="6" t="n">
        <v>4.35</v>
      </c>
      <c r="I5612" s="6" t="n">
        <v>0</v>
      </c>
      <c r="J5612" s="40" t="n">
        <f aca="false">H5612-I5612</f>
        <v>4.35</v>
      </c>
      <c r="K5612" s="41" t="n">
        <v>26.5</v>
      </c>
      <c r="L5612" s="42" t="n">
        <f aca="false">J5612*K5612</f>
        <v>115.275</v>
      </c>
      <c r="M5612" s="43" t="n">
        <f aca="false">H5612*15.05*(1+'Chart of Accounts'!$E$67)</f>
        <v>74.9602875</v>
      </c>
    </row>
    <row r="5613" customFormat="false" ht="15" hidden="false" customHeight="false" outlineLevel="0" collapsed="false">
      <c r="B5613" s="7" t="s">
        <v>6110</v>
      </c>
      <c r="C5613" s="39" t="n">
        <v>45923</v>
      </c>
      <c r="D5613" s="7" t="s">
        <v>389</v>
      </c>
      <c r="E5613" s="7" t="s">
        <v>154</v>
      </c>
      <c r="F5613" s="7" t="s">
        <v>246</v>
      </c>
      <c r="G5613" s="7" t="s">
        <v>505</v>
      </c>
      <c r="H5613" s="6" t="n">
        <v>4.03</v>
      </c>
      <c r="I5613" s="6" t="n">
        <v>0</v>
      </c>
      <c r="J5613" s="40" t="n">
        <f aca="false">H5613-I5613</f>
        <v>4.03</v>
      </c>
      <c r="K5613" s="41" t="n">
        <v>26.5</v>
      </c>
      <c r="L5613" s="42" t="n">
        <f aca="false">J5613*K5613</f>
        <v>106.795</v>
      </c>
      <c r="M5613" s="43" t="n">
        <f aca="false">H5613*16.48*(1+'Chart of Accounts'!$E$67)</f>
        <v>76.044488</v>
      </c>
    </row>
    <row r="5614" customFormat="false" ht="15" hidden="false" customHeight="false" outlineLevel="0" collapsed="false">
      <c r="B5614" s="7" t="s">
        <v>6111</v>
      </c>
      <c r="C5614" s="39" t="n">
        <v>45923</v>
      </c>
      <c r="D5614" s="7" t="s">
        <v>391</v>
      </c>
      <c r="E5614" s="7" t="s">
        <v>156</v>
      </c>
      <c r="F5614" s="7" t="s">
        <v>222</v>
      </c>
      <c r="G5614" s="7" t="s">
        <v>505</v>
      </c>
      <c r="H5614" s="6" t="n">
        <v>4.29</v>
      </c>
      <c r="I5614" s="6" t="n">
        <v>0</v>
      </c>
      <c r="J5614" s="40" t="n">
        <f aca="false">H5614-I5614</f>
        <v>4.29</v>
      </c>
      <c r="K5614" s="41" t="n">
        <v>34</v>
      </c>
      <c r="L5614" s="42" t="n">
        <f aca="false">J5614*K5614</f>
        <v>145.86</v>
      </c>
      <c r="M5614" s="43" t="n">
        <f aca="false">H5614*17.84*(1+'Chart of Accounts'!$E$67)</f>
        <v>87.630972</v>
      </c>
    </row>
    <row r="5615" customFormat="false" ht="15" hidden="false" customHeight="false" outlineLevel="0" collapsed="false">
      <c r="B5615" s="7" t="s">
        <v>6112</v>
      </c>
      <c r="C5615" s="39" t="n">
        <v>45923</v>
      </c>
      <c r="D5615" s="7" t="s">
        <v>397</v>
      </c>
      <c r="E5615" s="7" t="s">
        <v>159</v>
      </c>
      <c r="F5615" s="7" t="s">
        <v>203</v>
      </c>
      <c r="G5615" s="7" t="s">
        <v>502</v>
      </c>
      <c r="H5615" s="6" t="n">
        <v>0.99</v>
      </c>
      <c r="I5615" s="6" t="n">
        <v>0</v>
      </c>
      <c r="J5615" s="40" t="n">
        <f aca="false">H5615-I5615</f>
        <v>0.99</v>
      </c>
      <c r="K5615" s="41" t="n">
        <v>135</v>
      </c>
      <c r="L5615" s="42" t="n">
        <f aca="false">J5615*K5615</f>
        <v>133.65</v>
      </c>
      <c r="M5615" s="43" t="n">
        <f aca="false">H5615*49.43*(1+'Chart of Accounts'!$E$67)</f>
        <v>56.0313765</v>
      </c>
    </row>
    <row r="5616" customFormat="false" ht="15" hidden="false" customHeight="false" outlineLevel="0" collapsed="false">
      <c r="B5616" s="7" t="s">
        <v>6113</v>
      </c>
      <c r="C5616" s="39" t="n">
        <v>45923</v>
      </c>
      <c r="D5616" s="7" t="s">
        <v>401</v>
      </c>
      <c r="E5616" s="7" t="s">
        <v>156</v>
      </c>
      <c r="F5616" s="7" t="s">
        <v>254</v>
      </c>
      <c r="G5616" s="7" t="s">
        <v>505</v>
      </c>
      <c r="H5616" s="6" t="n">
        <v>4.29</v>
      </c>
      <c r="I5616" s="6" t="n">
        <v>0</v>
      </c>
      <c r="J5616" s="40" t="n">
        <f aca="false">H5616-I5616</f>
        <v>4.29</v>
      </c>
      <c r="K5616" s="41" t="n">
        <v>34</v>
      </c>
      <c r="L5616" s="42" t="n">
        <f aca="false">J5616*K5616</f>
        <v>145.86</v>
      </c>
      <c r="M5616" s="43" t="n">
        <f aca="false">H5616*17.1*(1+'Chart of Accounts'!$E$67)</f>
        <v>83.996055</v>
      </c>
    </row>
    <row r="5617" customFormat="false" ht="15" hidden="false" customHeight="false" outlineLevel="0" collapsed="false">
      <c r="B5617" s="7" t="s">
        <v>6114</v>
      </c>
      <c r="C5617" s="39" t="n">
        <v>45923</v>
      </c>
      <c r="D5617" s="7" t="s">
        <v>407</v>
      </c>
      <c r="E5617" s="7" t="s">
        <v>159</v>
      </c>
      <c r="F5617" s="7" t="s">
        <v>260</v>
      </c>
      <c r="G5617" s="7" t="s">
        <v>502</v>
      </c>
      <c r="H5617" s="6" t="n">
        <v>0.96</v>
      </c>
      <c r="I5617" s="6" t="n">
        <v>0</v>
      </c>
      <c r="J5617" s="40" t="n">
        <f aca="false">H5617-I5617</f>
        <v>0.96</v>
      </c>
      <c r="K5617" s="41" t="n">
        <v>135</v>
      </c>
      <c r="L5617" s="42" t="n">
        <f aca="false">J5617*K5617</f>
        <v>129.6</v>
      </c>
      <c r="M5617" s="43" t="n">
        <f aca="false">H5617*79.8*(1+'Chart of Accounts'!$E$67)</f>
        <v>87.71616</v>
      </c>
    </row>
    <row r="5618" customFormat="false" ht="15" hidden="false" customHeight="false" outlineLevel="0" collapsed="false">
      <c r="B5618" s="7" t="s">
        <v>6115</v>
      </c>
      <c r="C5618" s="39" t="n">
        <v>45924</v>
      </c>
      <c r="D5618" s="7" t="s">
        <v>288</v>
      </c>
      <c r="E5618" s="7" t="s">
        <v>156</v>
      </c>
      <c r="F5618" s="7" t="s">
        <v>238</v>
      </c>
      <c r="G5618" s="7" t="s">
        <v>505</v>
      </c>
      <c r="H5618" s="6" t="n">
        <v>3.83</v>
      </c>
      <c r="I5618" s="6" t="n">
        <v>0</v>
      </c>
      <c r="J5618" s="40" t="n">
        <f aca="false">H5618-I5618</f>
        <v>3.83</v>
      </c>
      <c r="K5618" s="41" t="n">
        <v>34</v>
      </c>
      <c r="L5618" s="42" t="n">
        <f aca="false">J5618*K5618</f>
        <v>130.22</v>
      </c>
      <c r="M5618" s="43" t="n">
        <f aca="false">H5618*15.85*(1+'Chart of Accounts'!$E$67)</f>
        <v>69.5077975</v>
      </c>
    </row>
    <row r="5619" customFormat="false" ht="15" hidden="false" customHeight="false" outlineLevel="0" collapsed="false">
      <c r="B5619" s="7" t="s">
        <v>6116</v>
      </c>
      <c r="C5619" s="39" t="n">
        <v>45924</v>
      </c>
      <c r="D5619" s="7" t="s">
        <v>291</v>
      </c>
      <c r="E5619" s="7" t="s">
        <v>154</v>
      </c>
      <c r="F5619" s="7" t="s">
        <v>194</v>
      </c>
      <c r="G5619" s="7" t="s">
        <v>505</v>
      </c>
      <c r="H5619" s="6" t="n">
        <v>4.64</v>
      </c>
      <c r="I5619" s="6" t="n">
        <v>0</v>
      </c>
      <c r="J5619" s="40" t="n">
        <f aca="false">H5619-I5619</f>
        <v>4.64</v>
      </c>
      <c r="K5619" s="41" t="n">
        <v>26.5</v>
      </c>
      <c r="L5619" s="42" t="n">
        <f aca="false">J5619*K5619</f>
        <v>122.96</v>
      </c>
      <c r="M5619" s="43" t="n">
        <f aca="false">H5619*16*(1+'Chart of Accounts'!$E$67)</f>
        <v>85.0048</v>
      </c>
    </row>
    <row r="5620" customFormat="false" ht="15" hidden="false" customHeight="false" outlineLevel="0" collapsed="false">
      <c r="B5620" s="7" t="s">
        <v>6117</v>
      </c>
      <c r="C5620" s="39" t="n">
        <v>45924</v>
      </c>
      <c r="D5620" s="7" t="s">
        <v>295</v>
      </c>
      <c r="E5620" s="7" t="s">
        <v>154</v>
      </c>
      <c r="F5620" s="7" t="s">
        <v>214</v>
      </c>
      <c r="G5620" s="7" t="s">
        <v>505</v>
      </c>
      <c r="H5620" s="6" t="n">
        <v>3.7</v>
      </c>
      <c r="I5620" s="6" t="n">
        <v>0.111</v>
      </c>
      <c r="J5620" s="40" t="n">
        <f aca="false">H5620-I5620</f>
        <v>3.589</v>
      </c>
      <c r="K5620" s="41" t="n">
        <v>26.5</v>
      </c>
      <c r="L5620" s="42" t="n">
        <f aca="false">J5620*K5620</f>
        <v>95.1085</v>
      </c>
      <c r="M5620" s="43" t="n">
        <f aca="false">H5620*15.67*(1+'Chart of Accounts'!$E$67)</f>
        <v>66.385955</v>
      </c>
    </row>
    <row r="5621" customFormat="false" ht="15" hidden="false" customHeight="false" outlineLevel="0" collapsed="false">
      <c r="B5621" s="7" t="s">
        <v>6118</v>
      </c>
      <c r="C5621" s="39" t="n">
        <v>45924</v>
      </c>
      <c r="D5621" s="7" t="s">
        <v>305</v>
      </c>
      <c r="E5621" s="7" t="s">
        <v>154</v>
      </c>
      <c r="F5621" s="7" t="s">
        <v>205</v>
      </c>
      <c r="G5621" s="7" t="s">
        <v>505</v>
      </c>
      <c r="H5621" s="6" t="n">
        <v>3.82</v>
      </c>
      <c r="I5621" s="6" t="n">
        <v>0</v>
      </c>
      <c r="J5621" s="40" t="n">
        <f aca="false">H5621-I5621</f>
        <v>3.82</v>
      </c>
      <c r="K5621" s="41" t="n">
        <v>26.5</v>
      </c>
      <c r="L5621" s="42" t="n">
        <f aca="false">J5621*K5621</f>
        <v>101.23</v>
      </c>
      <c r="M5621" s="43" t="n">
        <f aca="false">H5621*16.36*(1+'Chart of Accounts'!$E$67)</f>
        <v>71.557004</v>
      </c>
    </row>
    <row r="5622" customFormat="false" ht="15" hidden="false" customHeight="false" outlineLevel="0" collapsed="false">
      <c r="B5622" s="7" t="s">
        <v>6119</v>
      </c>
      <c r="C5622" s="39" t="n">
        <v>45924</v>
      </c>
      <c r="D5622" s="7" t="s">
        <v>307</v>
      </c>
      <c r="E5622" s="7" t="s">
        <v>157</v>
      </c>
      <c r="F5622" s="7" t="s">
        <v>264</v>
      </c>
      <c r="G5622" s="7" t="s">
        <v>502</v>
      </c>
      <c r="H5622" s="6" t="n">
        <v>1.09</v>
      </c>
      <c r="I5622" s="6" t="n">
        <v>0</v>
      </c>
      <c r="J5622" s="40" t="n">
        <f aca="false">H5622-I5622</f>
        <v>1.09</v>
      </c>
      <c r="K5622" s="41" t="n">
        <v>165</v>
      </c>
      <c r="L5622" s="42" t="n">
        <f aca="false">J5622*K5622</f>
        <v>179.85</v>
      </c>
      <c r="M5622" s="43" t="n">
        <f aca="false">H5622*55.55*(1+'Chart of Accounts'!$E$67)</f>
        <v>69.3291775</v>
      </c>
    </row>
    <row r="5623" customFormat="false" ht="15" hidden="false" customHeight="false" outlineLevel="0" collapsed="false">
      <c r="B5623" s="7" t="s">
        <v>6120</v>
      </c>
      <c r="C5623" s="39" t="n">
        <v>45924</v>
      </c>
      <c r="D5623" s="7" t="s">
        <v>309</v>
      </c>
      <c r="E5623" s="7" t="s">
        <v>159</v>
      </c>
      <c r="F5623" s="7" t="s">
        <v>252</v>
      </c>
      <c r="G5623" s="7" t="s">
        <v>502</v>
      </c>
      <c r="H5623" s="6" t="n">
        <v>1.01</v>
      </c>
      <c r="I5623" s="6" t="n">
        <v>0.071</v>
      </c>
      <c r="J5623" s="40" t="n">
        <f aca="false">H5623-I5623</f>
        <v>0.939</v>
      </c>
      <c r="K5623" s="41" t="n">
        <v>135</v>
      </c>
      <c r="L5623" s="42" t="n">
        <f aca="false">J5623*K5623</f>
        <v>126.765</v>
      </c>
      <c r="M5623" s="43" t="n">
        <f aca="false">H5623*57.54*(1+'Chart of Accounts'!$E$67)</f>
        <v>66.542133</v>
      </c>
    </row>
    <row r="5624" customFormat="false" ht="15" hidden="false" customHeight="false" outlineLevel="0" collapsed="false">
      <c r="B5624" s="7" t="s">
        <v>6121</v>
      </c>
      <c r="C5624" s="39" t="n">
        <v>45924</v>
      </c>
      <c r="D5624" s="7" t="s">
        <v>313</v>
      </c>
      <c r="E5624" s="7" t="s">
        <v>156</v>
      </c>
      <c r="F5624" s="7" t="s">
        <v>184</v>
      </c>
      <c r="G5624" s="7" t="s">
        <v>505</v>
      </c>
      <c r="H5624" s="6" t="n">
        <v>4.19</v>
      </c>
      <c r="I5624" s="6" t="n">
        <v>0</v>
      </c>
      <c r="J5624" s="40" t="n">
        <f aca="false">H5624-I5624</f>
        <v>4.19</v>
      </c>
      <c r="K5624" s="41" t="n">
        <v>34</v>
      </c>
      <c r="L5624" s="42" t="n">
        <f aca="false">J5624*K5624</f>
        <v>142.46</v>
      </c>
      <c r="M5624" s="43" t="n">
        <f aca="false">H5624*17.34*(1+'Chart of Accounts'!$E$67)</f>
        <v>83.189517</v>
      </c>
    </row>
    <row r="5625" customFormat="false" ht="15" hidden="false" customHeight="false" outlineLevel="0" collapsed="false">
      <c r="B5625" s="7" t="s">
        <v>6122</v>
      </c>
      <c r="C5625" s="39" t="n">
        <v>45924</v>
      </c>
      <c r="D5625" s="7" t="s">
        <v>315</v>
      </c>
      <c r="E5625" s="7" t="s">
        <v>159</v>
      </c>
      <c r="F5625" s="7" t="s">
        <v>216</v>
      </c>
      <c r="G5625" s="7" t="s">
        <v>502</v>
      </c>
      <c r="H5625" s="6" t="n">
        <v>0.92</v>
      </c>
      <c r="I5625" s="6" t="n">
        <v>0</v>
      </c>
      <c r="J5625" s="40" t="n">
        <f aca="false">H5625-I5625</f>
        <v>0.92</v>
      </c>
      <c r="K5625" s="41" t="n">
        <v>135</v>
      </c>
      <c r="L5625" s="42" t="n">
        <f aca="false">J5625*K5625</f>
        <v>124.2</v>
      </c>
      <c r="M5625" s="43" t="n">
        <f aca="false">H5625*61.79*(1+'Chart of Accounts'!$E$67)</f>
        <v>65.089586</v>
      </c>
    </row>
    <row r="5626" customFormat="false" ht="15" hidden="false" customHeight="false" outlineLevel="0" collapsed="false">
      <c r="B5626" s="7" t="s">
        <v>6123</v>
      </c>
      <c r="C5626" s="39" t="n">
        <v>45924</v>
      </c>
      <c r="D5626" s="7" t="s">
        <v>321</v>
      </c>
      <c r="E5626" s="7" t="s">
        <v>154</v>
      </c>
      <c r="F5626" s="7" t="s">
        <v>218</v>
      </c>
      <c r="G5626" s="7" t="s">
        <v>505</v>
      </c>
      <c r="H5626" s="6" t="n">
        <v>4.29</v>
      </c>
      <c r="I5626" s="6" t="n">
        <v>0</v>
      </c>
      <c r="J5626" s="40" t="n">
        <f aca="false">H5626-I5626</f>
        <v>4.29</v>
      </c>
      <c r="K5626" s="41" t="n">
        <v>26.5</v>
      </c>
      <c r="L5626" s="42" t="n">
        <f aca="false">J5626*K5626</f>
        <v>113.685</v>
      </c>
      <c r="M5626" s="43" t="n">
        <f aca="false">H5626*16.19*(1+'Chart of Accounts'!$E$67)</f>
        <v>79.5260895</v>
      </c>
    </row>
    <row r="5627" customFormat="false" ht="15" hidden="false" customHeight="false" outlineLevel="0" collapsed="false">
      <c r="B5627" s="7" t="s">
        <v>6124</v>
      </c>
      <c r="C5627" s="39" t="n">
        <v>45924</v>
      </c>
      <c r="D5627" s="7" t="s">
        <v>329</v>
      </c>
      <c r="E5627" s="7" t="s">
        <v>156</v>
      </c>
      <c r="F5627" s="7" t="s">
        <v>220</v>
      </c>
      <c r="G5627" s="7" t="s">
        <v>505</v>
      </c>
      <c r="H5627" s="6" t="n">
        <v>4.08</v>
      </c>
      <c r="I5627" s="6" t="n">
        <v>0</v>
      </c>
      <c r="J5627" s="40" t="n">
        <f aca="false">H5627-I5627</f>
        <v>4.08</v>
      </c>
      <c r="K5627" s="41" t="n">
        <v>34</v>
      </c>
      <c r="L5627" s="42" t="n">
        <f aca="false">J5627*K5627</f>
        <v>138.72</v>
      </c>
      <c r="M5627" s="43" t="n">
        <f aca="false">H5627*16.43*(1+'Chart of Accounts'!$E$67)</f>
        <v>76.754388</v>
      </c>
    </row>
    <row r="5628" customFormat="false" ht="15" hidden="false" customHeight="false" outlineLevel="0" collapsed="false">
      <c r="B5628" s="7" t="s">
        <v>6125</v>
      </c>
      <c r="C5628" s="39" t="n">
        <v>45924</v>
      </c>
      <c r="D5628" s="7" t="s">
        <v>335</v>
      </c>
      <c r="E5628" s="7" t="s">
        <v>154</v>
      </c>
      <c r="F5628" s="7" t="s">
        <v>177</v>
      </c>
      <c r="G5628" s="7" t="s">
        <v>505</v>
      </c>
      <c r="H5628" s="6" t="n">
        <v>4.1</v>
      </c>
      <c r="I5628" s="6" t="n">
        <v>0</v>
      </c>
      <c r="J5628" s="40" t="n">
        <f aca="false">H5628-I5628</f>
        <v>4.1</v>
      </c>
      <c r="K5628" s="41" t="n">
        <v>26.5</v>
      </c>
      <c r="L5628" s="42" t="n">
        <f aca="false">J5628*K5628</f>
        <v>108.65</v>
      </c>
      <c r="M5628" s="43" t="n">
        <f aca="false">H5628*14.56*(1+'Chart of Accounts'!$E$67)</f>
        <v>68.35192</v>
      </c>
    </row>
    <row r="5629" customFormat="false" ht="15" hidden="false" customHeight="false" outlineLevel="0" collapsed="false">
      <c r="B5629" s="7" t="s">
        <v>6126</v>
      </c>
      <c r="C5629" s="39" t="n">
        <v>45924</v>
      </c>
      <c r="D5629" s="7" t="s">
        <v>339</v>
      </c>
      <c r="E5629" s="7" t="s">
        <v>154</v>
      </c>
      <c r="F5629" s="7" t="s">
        <v>242</v>
      </c>
      <c r="G5629" s="7" t="s">
        <v>505</v>
      </c>
      <c r="H5629" s="6" t="n">
        <v>3.37</v>
      </c>
      <c r="I5629" s="6" t="n">
        <v>0</v>
      </c>
      <c r="J5629" s="40" t="n">
        <f aca="false">H5629-I5629</f>
        <v>3.37</v>
      </c>
      <c r="K5629" s="41" t="n">
        <v>26.5</v>
      </c>
      <c r="L5629" s="42" t="n">
        <f aca="false">J5629*K5629</f>
        <v>89.305</v>
      </c>
      <c r="M5629" s="43" t="n">
        <f aca="false">H5629*17.99*(1+'Chart of Accounts'!$E$67)</f>
        <v>69.4171135</v>
      </c>
    </row>
    <row r="5630" customFormat="false" ht="15" hidden="false" customHeight="false" outlineLevel="0" collapsed="false">
      <c r="B5630" s="7" t="s">
        <v>6127</v>
      </c>
      <c r="C5630" s="39" t="n">
        <v>45924</v>
      </c>
      <c r="D5630" s="7" t="s">
        <v>347</v>
      </c>
      <c r="E5630" s="7" t="s">
        <v>154</v>
      </c>
      <c r="F5630" s="7" t="s">
        <v>238</v>
      </c>
      <c r="G5630" s="7" t="s">
        <v>505</v>
      </c>
      <c r="H5630" s="6" t="n">
        <v>5.06</v>
      </c>
      <c r="I5630" s="6" t="n">
        <v>0</v>
      </c>
      <c r="J5630" s="40" t="n">
        <f aca="false">H5630-I5630</f>
        <v>5.06</v>
      </c>
      <c r="K5630" s="41" t="n">
        <v>26.5</v>
      </c>
      <c r="L5630" s="42" t="n">
        <f aca="false">J5630*K5630</f>
        <v>134.09</v>
      </c>
      <c r="M5630" s="43" t="n">
        <f aca="false">H5630*15.85*(1+'Chart of Accounts'!$E$67)</f>
        <v>91.830145</v>
      </c>
    </row>
    <row r="5631" customFormat="false" ht="15" hidden="false" customHeight="false" outlineLevel="0" collapsed="false">
      <c r="B5631" s="7" t="s">
        <v>6128</v>
      </c>
      <c r="C5631" s="39" t="n">
        <v>45924</v>
      </c>
      <c r="D5631" s="7" t="s">
        <v>349</v>
      </c>
      <c r="E5631" s="7" t="s">
        <v>154</v>
      </c>
      <c r="F5631" s="7" t="s">
        <v>244</v>
      </c>
      <c r="G5631" s="7" t="s">
        <v>505</v>
      </c>
      <c r="H5631" s="6" t="n">
        <v>3.81</v>
      </c>
      <c r="I5631" s="6" t="n">
        <v>0</v>
      </c>
      <c r="J5631" s="40" t="n">
        <f aca="false">H5631-I5631</f>
        <v>3.81</v>
      </c>
      <c r="K5631" s="41" t="n">
        <v>26.5</v>
      </c>
      <c r="L5631" s="42" t="n">
        <f aca="false">J5631*K5631</f>
        <v>100.965</v>
      </c>
      <c r="M5631" s="43" t="n">
        <f aca="false">H5631*16.39*(1+'Chart of Accounts'!$E$67)</f>
        <v>71.5005555</v>
      </c>
    </row>
    <row r="5632" customFormat="false" ht="15" hidden="false" customHeight="false" outlineLevel="0" collapsed="false">
      <c r="B5632" s="7" t="s">
        <v>6129</v>
      </c>
      <c r="C5632" s="39" t="n">
        <v>45924</v>
      </c>
      <c r="D5632" s="7" t="s">
        <v>353</v>
      </c>
      <c r="E5632" s="7" t="s">
        <v>154</v>
      </c>
      <c r="F5632" s="7" t="s">
        <v>254</v>
      </c>
      <c r="G5632" s="7" t="s">
        <v>505</v>
      </c>
      <c r="H5632" s="6" t="n">
        <v>3.17</v>
      </c>
      <c r="I5632" s="6" t="n">
        <v>0</v>
      </c>
      <c r="J5632" s="40" t="n">
        <f aca="false">H5632-I5632</f>
        <v>3.17</v>
      </c>
      <c r="K5632" s="41" t="n">
        <v>26.5</v>
      </c>
      <c r="L5632" s="42" t="n">
        <f aca="false">J5632*K5632</f>
        <v>84.005</v>
      </c>
      <c r="M5632" s="43" t="n">
        <f aca="false">H5632*17.1*(1+'Chart of Accounts'!$E$67)</f>
        <v>62.067015</v>
      </c>
    </row>
    <row r="5633" customFormat="false" ht="15" hidden="false" customHeight="false" outlineLevel="0" collapsed="false">
      <c r="B5633" s="7" t="s">
        <v>6130</v>
      </c>
      <c r="C5633" s="39" t="n">
        <v>45924</v>
      </c>
      <c r="D5633" s="7" t="s">
        <v>355</v>
      </c>
      <c r="E5633" s="7" t="s">
        <v>154</v>
      </c>
      <c r="F5633" s="7" t="s">
        <v>201</v>
      </c>
      <c r="G5633" s="7" t="s">
        <v>505</v>
      </c>
      <c r="H5633" s="6" t="n">
        <v>3.06</v>
      </c>
      <c r="I5633" s="6" t="n">
        <v>0</v>
      </c>
      <c r="J5633" s="40" t="n">
        <f aca="false">H5633-I5633</f>
        <v>3.06</v>
      </c>
      <c r="K5633" s="41" t="n">
        <v>26.5</v>
      </c>
      <c r="L5633" s="42" t="n">
        <f aca="false">J5633*K5633</f>
        <v>81.09</v>
      </c>
      <c r="M5633" s="43" t="n">
        <f aca="false">H5633*15.19*(1+'Chart of Accounts'!$E$67)</f>
        <v>53.221203</v>
      </c>
    </row>
    <row r="5634" customFormat="false" ht="15" hidden="false" customHeight="false" outlineLevel="0" collapsed="false">
      <c r="B5634" s="7" t="s">
        <v>6131</v>
      </c>
      <c r="C5634" s="39" t="n">
        <v>45924</v>
      </c>
      <c r="D5634" s="7" t="s">
        <v>357</v>
      </c>
      <c r="E5634" s="7" t="s">
        <v>154</v>
      </c>
      <c r="F5634" s="7" t="s">
        <v>222</v>
      </c>
      <c r="G5634" s="7" t="s">
        <v>505</v>
      </c>
      <c r="H5634" s="6" t="n">
        <v>3.25</v>
      </c>
      <c r="I5634" s="6" t="n">
        <v>0</v>
      </c>
      <c r="J5634" s="40" t="n">
        <f aca="false">H5634-I5634</f>
        <v>3.25</v>
      </c>
      <c r="K5634" s="41" t="n">
        <v>26.5</v>
      </c>
      <c r="L5634" s="42" t="n">
        <f aca="false">J5634*K5634</f>
        <v>86.125</v>
      </c>
      <c r="M5634" s="43" t="n">
        <f aca="false">H5634*17.84*(1+'Chart of Accounts'!$E$67)</f>
        <v>66.3871</v>
      </c>
    </row>
    <row r="5635" customFormat="false" ht="15" hidden="false" customHeight="false" outlineLevel="0" collapsed="false">
      <c r="B5635" s="7" t="s">
        <v>6132</v>
      </c>
      <c r="C5635" s="39" t="n">
        <v>45924</v>
      </c>
      <c r="D5635" s="7" t="s">
        <v>359</v>
      </c>
      <c r="E5635" s="7" t="s">
        <v>156</v>
      </c>
      <c r="F5635" s="7" t="s">
        <v>201</v>
      </c>
      <c r="G5635" s="7" t="s">
        <v>505</v>
      </c>
      <c r="H5635" s="6" t="n">
        <v>3.75</v>
      </c>
      <c r="I5635" s="6" t="n">
        <v>0</v>
      </c>
      <c r="J5635" s="40" t="n">
        <f aca="false">H5635-I5635</f>
        <v>3.75</v>
      </c>
      <c r="K5635" s="41" t="n">
        <v>34</v>
      </c>
      <c r="L5635" s="42" t="n">
        <f aca="false">J5635*K5635</f>
        <v>127.5</v>
      </c>
      <c r="M5635" s="43" t="n">
        <f aca="false">H5635*15.19*(1+'Chart of Accounts'!$E$67)</f>
        <v>65.2220625</v>
      </c>
    </row>
    <row r="5636" customFormat="false" ht="15" hidden="false" customHeight="false" outlineLevel="0" collapsed="false">
      <c r="B5636" s="7" t="s">
        <v>6133</v>
      </c>
      <c r="C5636" s="39" t="n">
        <v>45924</v>
      </c>
      <c r="D5636" s="7" t="s">
        <v>365</v>
      </c>
      <c r="E5636" s="7" t="s">
        <v>154</v>
      </c>
      <c r="F5636" s="7" t="s">
        <v>194</v>
      </c>
      <c r="G5636" s="7" t="s">
        <v>505</v>
      </c>
      <c r="H5636" s="6" t="n">
        <v>3.8</v>
      </c>
      <c r="I5636" s="6" t="n">
        <v>0</v>
      </c>
      <c r="J5636" s="40" t="n">
        <f aca="false">H5636-I5636</f>
        <v>3.8</v>
      </c>
      <c r="K5636" s="41" t="n">
        <v>26.5</v>
      </c>
      <c r="L5636" s="42" t="n">
        <f aca="false">J5636*K5636</f>
        <v>100.7</v>
      </c>
      <c r="M5636" s="43" t="n">
        <f aca="false">H5636*16*(1+'Chart of Accounts'!$E$67)</f>
        <v>69.616</v>
      </c>
    </row>
    <row r="5637" customFormat="false" ht="15" hidden="false" customHeight="false" outlineLevel="0" collapsed="false">
      <c r="B5637" s="7" t="s">
        <v>6134</v>
      </c>
      <c r="C5637" s="39" t="n">
        <v>45924</v>
      </c>
      <c r="D5637" s="7" t="s">
        <v>371</v>
      </c>
      <c r="E5637" s="7" t="s">
        <v>154</v>
      </c>
      <c r="F5637" s="7" t="s">
        <v>232</v>
      </c>
      <c r="G5637" s="7" t="s">
        <v>505</v>
      </c>
      <c r="H5637" s="6" t="n">
        <v>4.45</v>
      </c>
      <c r="I5637" s="6" t="n">
        <v>0.134</v>
      </c>
      <c r="J5637" s="40" t="n">
        <f aca="false">H5637-I5637</f>
        <v>4.316</v>
      </c>
      <c r="K5637" s="41" t="n">
        <v>26.5</v>
      </c>
      <c r="L5637" s="42" t="n">
        <f aca="false">J5637*K5637</f>
        <v>114.374</v>
      </c>
      <c r="M5637" s="43" t="n">
        <f aca="false">H5637*16.17*(1+'Chart of Accounts'!$E$67)</f>
        <v>82.3901925</v>
      </c>
    </row>
    <row r="5638" customFormat="false" ht="15" hidden="false" customHeight="false" outlineLevel="0" collapsed="false">
      <c r="B5638" s="7" t="s">
        <v>6135</v>
      </c>
      <c r="C5638" s="39" t="n">
        <v>45924</v>
      </c>
      <c r="D5638" s="7" t="s">
        <v>379</v>
      </c>
      <c r="E5638" s="7" t="s">
        <v>156</v>
      </c>
      <c r="F5638" s="7" t="s">
        <v>224</v>
      </c>
      <c r="G5638" s="7" t="s">
        <v>505</v>
      </c>
      <c r="H5638" s="6" t="n">
        <v>4.48</v>
      </c>
      <c r="I5638" s="6" t="n">
        <v>0</v>
      </c>
      <c r="J5638" s="40" t="n">
        <f aca="false">H5638-I5638</f>
        <v>4.48</v>
      </c>
      <c r="K5638" s="41" t="n">
        <v>34</v>
      </c>
      <c r="L5638" s="42" t="n">
        <f aca="false">J5638*K5638</f>
        <v>152.32</v>
      </c>
      <c r="M5638" s="43" t="n">
        <f aca="false">H5638*14.93*(1+'Chart of Accounts'!$E$67)</f>
        <v>76.584928</v>
      </c>
    </row>
    <row r="5639" customFormat="false" ht="15" hidden="false" customHeight="false" outlineLevel="0" collapsed="false">
      <c r="B5639" s="7" t="s">
        <v>6136</v>
      </c>
      <c r="C5639" s="39" t="n">
        <v>45924</v>
      </c>
      <c r="D5639" s="7" t="s">
        <v>385</v>
      </c>
      <c r="E5639" s="7" t="s">
        <v>156</v>
      </c>
      <c r="F5639" s="7" t="s">
        <v>238</v>
      </c>
      <c r="G5639" s="7" t="s">
        <v>505</v>
      </c>
      <c r="H5639" s="6" t="n">
        <v>3.93</v>
      </c>
      <c r="I5639" s="6" t="n">
        <v>0</v>
      </c>
      <c r="J5639" s="40" t="n">
        <f aca="false">H5639-I5639</f>
        <v>3.93</v>
      </c>
      <c r="K5639" s="41" t="n">
        <v>34</v>
      </c>
      <c r="L5639" s="42" t="n">
        <f aca="false">J5639*K5639</f>
        <v>133.62</v>
      </c>
      <c r="M5639" s="43" t="n">
        <f aca="false">H5639*15.85*(1+'Chart of Accounts'!$E$67)</f>
        <v>71.3226225</v>
      </c>
    </row>
    <row r="5640" customFormat="false" ht="15" hidden="false" customHeight="false" outlineLevel="0" collapsed="false">
      <c r="B5640" s="7" t="s">
        <v>6137</v>
      </c>
      <c r="C5640" s="39" t="n">
        <v>45924</v>
      </c>
      <c r="D5640" s="7" t="s">
        <v>387</v>
      </c>
      <c r="E5640" s="7" t="s">
        <v>154</v>
      </c>
      <c r="F5640" s="7" t="s">
        <v>196</v>
      </c>
      <c r="G5640" s="7" t="s">
        <v>505</v>
      </c>
      <c r="H5640" s="6" t="n">
        <v>4.13</v>
      </c>
      <c r="I5640" s="6" t="n">
        <v>0</v>
      </c>
      <c r="J5640" s="40" t="n">
        <f aca="false">H5640-I5640</f>
        <v>4.13</v>
      </c>
      <c r="K5640" s="41" t="n">
        <v>26.5</v>
      </c>
      <c r="L5640" s="42" t="n">
        <f aca="false">J5640*K5640</f>
        <v>109.445</v>
      </c>
      <c r="M5640" s="43" t="n">
        <f aca="false">H5640*15.05*(1+'Chart of Accounts'!$E$67)</f>
        <v>71.1691925</v>
      </c>
    </row>
    <row r="5641" customFormat="false" ht="15" hidden="false" customHeight="false" outlineLevel="0" collapsed="false">
      <c r="B5641" s="7" t="s">
        <v>6138</v>
      </c>
      <c r="C5641" s="39" t="n">
        <v>45924</v>
      </c>
      <c r="D5641" s="7" t="s">
        <v>389</v>
      </c>
      <c r="E5641" s="7" t="s">
        <v>154</v>
      </c>
      <c r="F5641" s="7" t="s">
        <v>246</v>
      </c>
      <c r="G5641" s="7" t="s">
        <v>505</v>
      </c>
      <c r="H5641" s="6" t="n">
        <v>3.62</v>
      </c>
      <c r="I5641" s="6" t="n">
        <v>0</v>
      </c>
      <c r="J5641" s="40" t="n">
        <f aca="false">H5641-I5641</f>
        <v>3.62</v>
      </c>
      <c r="K5641" s="41" t="n">
        <v>26.5</v>
      </c>
      <c r="L5641" s="42" t="n">
        <f aca="false">J5641*K5641</f>
        <v>95.93</v>
      </c>
      <c r="M5641" s="43" t="n">
        <f aca="false">H5641*16.48*(1+'Chart of Accounts'!$E$67)</f>
        <v>68.307952</v>
      </c>
    </row>
    <row r="5642" customFormat="false" ht="15" hidden="false" customHeight="false" outlineLevel="0" collapsed="false">
      <c r="B5642" s="7" t="s">
        <v>6139</v>
      </c>
      <c r="C5642" s="39" t="n">
        <v>45924</v>
      </c>
      <c r="D5642" s="7" t="s">
        <v>391</v>
      </c>
      <c r="E5642" s="7" t="s">
        <v>156</v>
      </c>
      <c r="F5642" s="7" t="s">
        <v>222</v>
      </c>
      <c r="G5642" s="7" t="s">
        <v>505</v>
      </c>
      <c r="H5642" s="6" t="n">
        <v>4.36</v>
      </c>
      <c r="I5642" s="6" t="n">
        <v>0</v>
      </c>
      <c r="J5642" s="40" t="n">
        <f aca="false">H5642-I5642</f>
        <v>4.36</v>
      </c>
      <c r="K5642" s="41" t="n">
        <v>34</v>
      </c>
      <c r="L5642" s="42" t="n">
        <f aca="false">J5642*K5642</f>
        <v>148.24</v>
      </c>
      <c r="M5642" s="43" t="n">
        <f aca="false">H5642*17.84*(1+'Chart of Accounts'!$E$67)</f>
        <v>89.060848</v>
      </c>
    </row>
    <row r="5643" customFormat="false" ht="15" hidden="false" customHeight="false" outlineLevel="0" collapsed="false">
      <c r="B5643" s="7" t="s">
        <v>6140</v>
      </c>
      <c r="C5643" s="39" t="n">
        <v>45924</v>
      </c>
      <c r="D5643" s="7" t="s">
        <v>393</v>
      </c>
      <c r="E5643" s="7" t="s">
        <v>157</v>
      </c>
      <c r="F5643" s="7" t="s">
        <v>203</v>
      </c>
      <c r="G5643" s="7" t="s">
        <v>502</v>
      </c>
      <c r="H5643" s="6" t="n">
        <v>0.93</v>
      </c>
      <c r="I5643" s="6" t="n">
        <v>0</v>
      </c>
      <c r="J5643" s="40" t="n">
        <f aca="false">H5643-I5643</f>
        <v>0.93</v>
      </c>
      <c r="K5643" s="41" t="n">
        <v>165</v>
      </c>
      <c r="L5643" s="42" t="n">
        <f aca="false">J5643*K5643</f>
        <v>153.45</v>
      </c>
      <c r="M5643" s="43" t="n">
        <f aca="false">H5643*49.43*(1+'Chart of Accounts'!$E$67)</f>
        <v>52.6355355</v>
      </c>
    </row>
    <row r="5644" customFormat="false" ht="15" hidden="false" customHeight="false" outlineLevel="0" collapsed="false">
      <c r="B5644" s="7" t="s">
        <v>6141</v>
      </c>
      <c r="C5644" s="39" t="n">
        <v>45924</v>
      </c>
      <c r="D5644" s="7" t="s">
        <v>395</v>
      </c>
      <c r="E5644" s="7" t="s">
        <v>156</v>
      </c>
      <c r="F5644" s="7" t="s">
        <v>242</v>
      </c>
      <c r="G5644" s="7" t="s">
        <v>505</v>
      </c>
      <c r="H5644" s="6" t="n">
        <v>4.07</v>
      </c>
      <c r="I5644" s="6" t="n">
        <v>0</v>
      </c>
      <c r="J5644" s="40" t="n">
        <f aca="false">H5644-I5644</f>
        <v>4.07</v>
      </c>
      <c r="K5644" s="41" t="n">
        <v>34</v>
      </c>
      <c r="L5644" s="42" t="n">
        <f aca="false">J5644*K5644</f>
        <v>138.38</v>
      </c>
      <c r="M5644" s="43" t="n">
        <f aca="false">H5644*17.99*(1+'Chart of Accounts'!$E$67)</f>
        <v>83.8360985</v>
      </c>
    </row>
    <row r="5645" customFormat="false" ht="15" hidden="false" customHeight="false" outlineLevel="0" collapsed="false">
      <c r="B5645" s="7" t="s">
        <v>6142</v>
      </c>
      <c r="C5645" s="39" t="n">
        <v>45924</v>
      </c>
      <c r="D5645" s="7" t="s">
        <v>399</v>
      </c>
      <c r="E5645" s="7" t="s">
        <v>154</v>
      </c>
      <c r="F5645" s="7" t="s">
        <v>242</v>
      </c>
      <c r="G5645" s="7" t="s">
        <v>505</v>
      </c>
      <c r="H5645" s="6" t="n">
        <v>3.44</v>
      </c>
      <c r="I5645" s="6" t="n">
        <v>0</v>
      </c>
      <c r="J5645" s="40" t="n">
        <f aca="false">H5645-I5645</f>
        <v>3.44</v>
      </c>
      <c r="K5645" s="41" t="n">
        <v>26.5</v>
      </c>
      <c r="L5645" s="42" t="n">
        <f aca="false">J5645*K5645</f>
        <v>91.16</v>
      </c>
      <c r="M5645" s="43" t="n">
        <f aca="false">H5645*17.99*(1+'Chart of Accounts'!$E$67)</f>
        <v>70.859012</v>
      </c>
    </row>
    <row r="5646" customFormat="false" ht="15" hidden="false" customHeight="false" outlineLevel="0" collapsed="false">
      <c r="B5646" s="7" t="s">
        <v>6143</v>
      </c>
      <c r="C5646" s="39" t="n">
        <v>45924</v>
      </c>
      <c r="D5646" s="7" t="s">
        <v>401</v>
      </c>
      <c r="E5646" s="7" t="s">
        <v>156</v>
      </c>
      <c r="F5646" s="7" t="s">
        <v>254</v>
      </c>
      <c r="G5646" s="7" t="s">
        <v>505</v>
      </c>
      <c r="H5646" s="6" t="n">
        <v>3.83</v>
      </c>
      <c r="I5646" s="6" t="n">
        <v>0</v>
      </c>
      <c r="J5646" s="40" t="n">
        <f aca="false">H5646-I5646</f>
        <v>3.83</v>
      </c>
      <c r="K5646" s="41" t="n">
        <v>34</v>
      </c>
      <c r="L5646" s="42" t="n">
        <f aca="false">J5646*K5646</f>
        <v>130.22</v>
      </c>
      <c r="M5646" s="43" t="n">
        <f aca="false">H5646*17.1*(1+'Chart of Accounts'!$E$67)</f>
        <v>74.989485</v>
      </c>
    </row>
    <row r="5647" customFormat="false" ht="15" hidden="false" customHeight="false" outlineLevel="0" collapsed="false">
      <c r="B5647" s="7" t="s">
        <v>6144</v>
      </c>
      <c r="C5647" s="39" t="n">
        <v>45924</v>
      </c>
      <c r="D5647" s="7" t="s">
        <v>403</v>
      </c>
      <c r="E5647" s="7" t="s">
        <v>156</v>
      </c>
      <c r="F5647" s="7" t="s">
        <v>184</v>
      </c>
      <c r="G5647" s="7" t="s">
        <v>505</v>
      </c>
      <c r="H5647" s="6" t="n">
        <v>3.63</v>
      </c>
      <c r="I5647" s="6" t="n">
        <v>0</v>
      </c>
      <c r="J5647" s="40" t="n">
        <f aca="false">H5647-I5647</f>
        <v>3.63</v>
      </c>
      <c r="K5647" s="41" t="n">
        <v>34</v>
      </c>
      <c r="L5647" s="42" t="n">
        <f aca="false">J5647*K5647</f>
        <v>123.42</v>
      </c>
      <c r="M5647" s="43" t="n">
        <f aca="false">H5647*17.34*(1+'Chart of Accounts'!$E$67)</f>
        <v>72.071109</v>
      </c>
    </row>
    <row r="5648" customFormat="false" ht="15" hidden="false" customHeight="false" outlineLevel="0" collapsed="false">
      <c r="B5648" s="7" t="s">
        <v>6145</v>
      </c>
      <c r="C5648" s="39" t="n">
        <v>45924</v>
      </c>
      <c r="D5648" s="7" t="s">
        <v>409</v>
      </c>
      <c r="E5648" s="7" t="s">
        <v>154</v>
      </c>
      <c r="F5648" s="7" t="s">
        <v>214</v>
      </c>
      <c r="G5648" s="7" t="s">
        <v>505</v>
      </c>
      <c r="H5648" s="6" t="n">
        <v>3.1</v>
      </c>
      <c r="I5648" s="6" t="n">
        <v>0</v>
      </c>
      <c r="J5648" s="40" t="n">
        <f aca="false">H5648-I5648</f>
        <v>3.1</v>
      </c>
      <c r="K5648" s="41" t="n">
        <v>26.5</v>
      </c>
      <c r="L5648" s="42" t="n">
        <f aca="false">J5648*K5648</f>
        <v>82.15</v>
      </c>
      <c r="M5648" s="43" t="n">
        <f aca="false">H5648*15.67*(1+'Chart of Accounts'!$E$67)</f>
        <v>55.620665</v>
      </c>
    </row>
    <row r="5649" customFormat="false" ht="15" hidden="false" customHeight="false" outlineLevel="0" collapsed="false">
      <c r="B5649" s="7" t="s">
        <v>6146</v>
      </c>
      <c r="C5649" s="39" t="n">
        <v>45924</v>
      </c>
      <c r="D5649" s="7" t="s">
        <v>411</v>
      </c>
      <c r="E5649" s="7" t="s">
        <v>154</v>
      </c>
      <c r="F5649" s="7" t="s">
        <v>177</v>
      </c>
      <c r="G5649" s="7" t="s">
        <v>505</v>
      </c>
      <c r="H5649" s="6" t="n">
        <v>4.54</v>
      </c>
      <c r="I5649" s="6" t="n">
        <v>0</v>
      </c>
      <c r="J5649" s="40" t="n">
        <f aca="false">H5649-I5649</f>
        <v>4.54</v>
      </c>
      <c r="K5649" s="41" t="n">
        <v>26.5</v>
      </c>
      <c r="L5649" s="42" t="n">
        <f aca="false">J5649*K5649</f>
        <v>120.31</v>
      </c>
      <c r="M5649" s="43" t="n">
        <f aca="false">H5649*14.56*(1+'Chart of Accounts'!$E$67)</f>
        <v>75.687248</v>
      </c>
    </row>
    <row r="5650" customFormat="false" ht="15" hidden="false" customHeight="false" outlineLevel="0" collapsed="false">
      <c r="B5650" s="7" t="s">
        <v>6147</v>
      </c>
      <c r="C5650" s="39" t="n">
        <v>45925</v>
      </c>
      <c r="D5650" s="7" t="s">
        <v>288</v>
      </c>
      <c r="E5650" s="7" t="s">
        <v>156</v>
      </c>
      <c r="F5650" s="7" t="s">
        <v>238</v>
      </c>
      <c r="G5650" s="7" t="s">
        <v>505</v>
      </c>
      <c r="H5650" s="6" t="n">
        <v>4.05</v>
      </c>
      <c r="I5650" s="6" t="n">
        <v>0</v>
      </c>
      <c r="J5650" s="40" t="n">
        <f aca="false">H5650-I5650</f>
        <v>4.05</v>
      </c>
      <c r="K5650" s="41" t="n">
        <v>34</v>
      </c>
      <c r="L5650" s="42" t="n">
        <f aca="false">J5650*K5650</f>
        <v>137.7</v>
      </c>
      <c r="M5650" s="43" t="n">
        <f aca="false">H5650*15.85*(1+'Chart of Accounts'!$E$67)</f>
        <v>73.5004125</v>
      </c>
    </row>
    <row r="5651" customFormat="false" ht="15" hidden="false" customHeight="false" outlineLevel="0" collapsed="false">
      <c r="B5651" s="7" t="s">
        <v>6148</v>
      </c>
      <c r="C5651" s="39" t="n">
        <v>45925</v>
      </c>
      <c r="D5651" s="7" t="s">
        <v>297</v>
      </c>
      <c r="E5651" s="7" t="s">
        <v>156</v>
      </c>
      <c r="F5651" s="7" t="s">
        <v>201</v>
      </c>
      <c r="G5651" s="7" t="s">
        <v>505</v>
      </c>
      <c r="H5651" s="6" t="n">
        <v>2.81</v>
      </c>
      <c r="I5651" s="6" t="n">
        <v>0</v>
      </c>
      <c r="J5651" s="40" t="n">
        <f aca="false">H5651-I5651</f>
        <v>2.81</v>
      </c>
      <c r="K5651" s="41" t="n">
        <v>34</v>
      </c>
      <c r="L5651" s="42" t="n">
        <f aca="false">J5651*K5651</f>
        <v>95.54</v>
      </c>
      <c r="M5651" s="43" t="n">
        <f aca="false">H5651*15.19*(1+'Chart of Accounts'!$E$67)</f>
        <v>48.8730655</v>
      </c>
    </row>
    <row r="5652" customFormat="false" ht="15" hidden="false" customHeight="false" outlineLevel="0" collapsed="false">
      <c r="B5652" s="7" t="s">
        <v>6149</v>
      </c>
      <c r="C5652" s="39" t="n">
        <v>45925</v>
      </c>
      <c r="D5652" s="7" t="s">
        <v>311</v>
      </c>
      <c r="E5652" s="7" t="s">
        <v>154</v>
      </c>
      <c r="F5652" s="7" t="s">
        <v>196</v>
      </c>
      <c r="G5652" s="7" t="s">
        <v>505</v>
      </c>
      <c r="H5652" s="6" t="n">
        <v>3.15</v>
      </c>
      <c r="I5652" s="6" t="n">
        <v>0</v>
      </c>
      <c r="J5652" s="40" t="n">
        <f aca="false">H5652-I5652</f>
        <v>3.15</v>
      </c>
      <c r="K5652" s="41" t="n">
        <v>26.5</v>
      </c>
      <c r="L5652" s="42" t="n">
        <f aca="false">J5652*K5652</f>
        <v>83.475</v>
      </c>
      <c r="M5652" s="43" t="n">
        <f aca="false">H5652*15.05*(1+'Chart of Accounts'!$E$67)</f>
        <v>54.2815875</v>
      </c>
    </row>
    <row r="5653" customFormat="false" ht="15" hidden="false" customHeight="false" outlineLevel="0" collapsed="false">
      <c r="B5653" s="7" t="s">
        <v>6150</v>
      </c>
      <c r="C5653" s="39" t="n">
        <v>45925</v>
      </c>
      <c r="D5653" s="7" t="s">
        <v>313</v>
      </c>
      <c r="E5653" s="7" t="s">
        <v>156</v>
      </c>
      <c r="F5653" s="7" t="s">
        <v>184</v>
      </c>
      <c r="G5653" s="7" t="s">
        <v>505</v>
      </c>
      <c r="H5653" s="6" t="n">
        <v>3.71</v>
      </c>
      <c r="I5653" s="6" t="n">
        <v>0</v>
      </c>
      <c r="J5653" s="40" t="n">
        <f aca="false">H5653-I5653</f>
        <v>3.71</v>
      </c>
      <c r="K5653" s="41" t="n">
        <v>34</v>
      </c>
      <c r="L5653" s="42" t="n">
        <f aca="false">J5653*K5653</f>
        <v>126.14</v>
      </c>
      <c r="M5653" s="43" t="n">
        <f aca="false">H5653*17.34*(1+'Chart of Accounts'!$E$67)</f>
        <v>73.659453</v>
      </c>
    </row>
    <row r="5654" customFormat="false" ht="15" hidden="false" customHeight="false" outlineLevel="0" collapsed="false">
      <c r="B5654" s="7" t="s">
        <v>6151</v>
      </c>
      <c r="C5654" s="39" t="n">
        <v>45925</v>
      </c>
      <c r="D5654" s="7" t="s">
        <v>317</v>
      </c>
      <c r="E5654" s="7" t="s">
        <v>156</v>
      </c>
      <c r="F5654" s="7" t="s">
        <v>201</v>
      </c>
      <c r="G5654" s="7" t="s">
        <v>505</v>
      </c>
      <c r="H5654" s="6" t="n">
        <v>2.84</v>
      </c>
      <c r="I5654" s="6" t="n">
        <v>0</v>
      </c>
      <c r="J5654" s="40" t="n">
        <f aca="false">H5654-I5654</f>
        <v>2.84</v>
      </c>
      <c r="K5654" s="41" t="n">
        <v>34</v>
      </c>
      <c r="L5654" s="42" t="n">
        <f aca="false">J5654*K5654</f>
        <v>96.56</v>
      </c>
      <c r="M5654" s="43" t="n">
        <f aca="false">H5654*15.19*(1+'Chart of Accounts'!$E$67)</f>
        <v>49.394842</v>
      </c>
    </row>
    <row r="5655" customFormat="false" ht="15" hidden="false" customHeight="false" outlineLevel="0" collapsed="false">
      <c r="B5655" s="7" t="s">
        <v>6152</v>
      </c>
      <c r="C5655" s="39" t="n">
        <v>45925</v>
      </c>
      <c r="D5655" s="7" t="s">
        <v>321</v>
      </c>
      <c r="E5655" s="7" t="s">
        <v>154</v>
      </c>
      <c r="F5655" s="7" t="s">
        <v>218</v>
      </c>
      <c r="G5655" s="7" t="s">
        <v>505</v>
      </c>
      <c r="H5655" s="6" t="n">
        <v>4.06</v>
      </c>
      <c r="I5655" s="6" t="n">
        <v>0</v>
      </c>
      <c r="J5655" s="40" t="n">
        <f aca="false">H5655-I5655</f>
        <v>4.06</v>
      </c>
      <c r="K5655" s="41" t="n">
        <v>26.5</v>
      </c>
      <c r="L5655" s="42" t="n">
        <f aca="false">J5655*K5655</f>
        <v>107.59</v>
      </c>
      <c r="M5655" s="43" t="n">
        <f aca="false">H5655*16.19*(1+'Chart of Accounts'!$E$67)</f>
        <v>75.262453</v>
      </c>
    </row>
    <row r="5656" customFormat="false" ht="15" hidden="false" customHeight="false" outlineLevel="0" collapsed="false">
      <c r="B5656" s="7" t="s">
        <v>6153</v>
      </c>
      <c r="C5656" s="39" t="n">
        <v>45925</v>
      </c>
      <c r="D5656" s="7" t="s">
        <v>329</v>
      </c>
      <c r="E5656" s="7" t="s">
        <v>156</v>
      </c>
      <c r="F5656" s="7" t="s">
        <v>220</v>
      </c>
      <c r="G5656" s="7" t="s">
        <v>505</v>
      </c>
      <c r="H5656" s="6" t="n">
        <v>3.8</v>
      </c>
      <c r="I5656" s="6" t="n">
        <v>0</v>
      </c>
      <c r="J5656" s="40" t="n">
        <f aca="false">H5656-I5656</f>
        <v>3.8</v>
      </c>
      <c r="K5656" s="41" t="n">
        <v>34</v>
      </c>
      <c r="L5656" s="42" t="n">
        <f aca="false">J5656*K5656</f>
        <v>129.2</v>
      </c>
      <c r="M5656" s="43" t="n">
        <f aca="false">H5656*16.43*(1+'Chart of Accounts'!$E$67)</f>
        <v>71.48693</v>
      </c>
    </row>
    <row r="5657" customFormat="false" ht="15" hidden="false" customHeight="false" outlineLevel="0" collapsed="false">
      <c r="B5657" s="7" t="s">
        <v>6154</v>
      </c>
      <c r="C5657" s="39" t="n">
        <v>45925</v>
      </c>
      <c r="D5657" s="7" t="s">
        <v>331</v>
      </c>
      <c r="E5657" s="7" t="s">
        <v>156</v>
      </c>
      <c r="F5657" s="7" t="s">
        <v>224</v>
      </c>
      <c r="G5657" s="7" t="s">
        <v>505</v>
      </c>
      <c r="H5657" s="6" t="n">
        <v>4.15</v>
      </c>
      <c r="I5657" s="6" t="n">
        <v>0</v>
      </c>
      <c r="J5657" s="40" t="n">
        <f aca="false">H5657-I5657</f>
        <v>4.15</v>
      </c>
      <c r="K5657" s="41" t="n">
        <v>34</v>
      </c>
      <c r="L5657" s="42" t="n">
        <f aca="false">J5657*K5657</f>
        <v>141.1</v>
      </c>
      <c r="M5657" s="43" t="n">
        <f aca="false">H5657*14.93*(1+'Chart of Accounts'!$E$67)</f>
        <v>70.9436275</v>
      </c>
    </row>
    <row r="5658" customFormat="false" ht="15" hidden="false" customHeight="false" outlineLevel="0" collapsed="false">
      <c r="B5658" s="7" t="s">
        <v>6155</v>
      </c>
      <c r="C5658" s="39" t="n">
        <v>45925</v>
      </c>
      <c r="D5658" s="7" t="s">
        <v>341</v>
      </c>
      <c r="E5658" s="7" t="s">
        <v>156</v>
      </c>
      <c r="F5658" s="7" t="s">
        <v>222</v>
      </c>
      <c r="G5658" s="7" t="s">
        <v>505</v>
      </c>
      <c r="H5658" s="6" t="n">
        <v>2.97</v>
      </c>
      <c r="I5658" s="6" t="n">
        <v>0</v>
      </c>
      <c r="J5658" s="40" t="n">
        <f aca="false">H5658-I5658</f>
        <v>2.97</v>
      </c>
      <c r="K5658" s="41" t="n">
        <v>34</v>
      </c>
      <c r="L5658" s="42" t="n">
        <f aca="false">J5658*K5658</f>
        <v>100.98</v>
      </c>
      <c r="M5658" s="43" t="n">
        <f aca="false">H5658*17.84*(1+'Chart of Accounts'!$E$67)</f>
        <v>60.667596</v>
      </c>
    </row>
    <row r="5659" customFormat="false" ht="15" hidden="false" customHeight="false" outlineLevel="0" collapsed="false">
      <c r="B5659" s="7" t="s">
        <v>6156</v>
      </c>
      <c r="C5659" s="39" t="n">
        <v>45925</v>
      </c>
      <c r="D5659" s="7" t="s">
        <v>343</v>
      </c>
      <c r="E5659" s="7" t="s">
        <v>154</v>
      </c>
      <c r="F5659" s="7" t="s">
        <v>242</v>
      </c>
      <c r="G5659" s="7" t="s">
        <v>505</v>
      </c>
      <c r="H5659" s="6" t="n">
        <v>4.28</v>
      </c>
      <c r="I5659" s="6" t="n">
        <v>0</v>
      </c>
      <c r="J5659" s="40" t="n">
        <f aca="false">H5659-I5659</f>
        <v>4.28</v>
      </c>
      <c r="K5659" s="41" t="n">
        <v>26.5</v>
      </c>
      <c r="L5659" s="42" t="n">
        <f aca="false">J5659*K5659</f>
        <v>113.42</v>
      </c>
      <c r="M5659" s="43" t="n">
        <f aca="false">H5659*17.99*(1+'Chart of Accounts'!$E$67)</f>
        <v>88.161794</v>
      </c>
    </row>
    <row r="5660" customFormat="false" ht="15" hidden="false" customHeight="false" outlineLevel="0" collapsed="false">
      <c r="B5660" s="7" t="s">
        <v>6157</v>
      </c>
      <c r="C5660" s="39" t="n">
        <v>45925</v>
      </c>
      <c r="D5660" s="7" t="s">
        <v>349</v>
      </c>
      <c r="E5660" s="7" t="s">
        <v>154</v>
      </c>
      <c r="F5660" s="7" t="s">
        <v>244</v>
      </c>
      <c r="G5660" s="7" t="s">
        <v>505</v>
      </c>
      <c r="H5660" s="6" t="n">
        <v>3.88</v>
      </c>
      <c r="I5660" s="6" t="n">
        <v>0</v>
      </c>
      <c r="J5660" s="40" t="n">
        <f aca="false">H5660-I5660</f>
        <v>3.88</v>
      </c>
      <c r="K5660" s="41" t="n">
        <v>26.5</v>
      </c>
      <c r="L5660" s="42" t="n">
        <f aca="false">J5660*K5660</f>
        <v>102.82</v>
      </c>
      <c r="M5660" s="43" t="n">
        <f aca="false">H5660*16.39*(1+'Chart of Accounts'!$E$67)</f>
        <v>72.814214</v>
      </c>
    </row>
    <row r="5661" customFormat="false" ht="15" hidden="false" customHeight="false" outlineLevel="0" collapsed="false">
      <c r="B5661" s="7" t="s">
        <v>6158</v>
      </c>
      <c r="C5661" s="39" t="n">
        <v>45925</v>
      </c>
      <c r="D5661" s="7" t="s">
        <v>351</v>
      </c>
      <c r="E5661" s="7" t="s">
        <v>154</v>
      </c>
      <c r="F5661" s="7" t="s">
        <v>201</v>
      </c>
      <c r="G5661" s="7" t="s">
        <v>505</v>
      </c>
      <c r="H5661" s="6" t="n">
        <v>3.15</v>
      </c>
      <c r="I5661" s="6" t="n">
        <v>0</v>
      </c>
      <c r="J5661" s="40" t="n">
        <f aca="false">H5661-I5661</f>
        <v>3.15</v>
      </c>
      <c r="K5661" s="41" t="n">
        <v>26.5</v>
      </c>
      <c r="L5661" s="42" t="n">
        <f aca="false">J5661*K5661</f>
        <v>83.475</v>
      </c>
      <c r="M5661" s="43" t="n">
        <f aca="false">H5661*15.19*(1+'Chart of Accounts'!$E$67)</f>
        <v>54.7865325</v>
      </c>
    </row>
    <row r="5662" customFormat="false" ht="15" hidden="false" customHeight="false" outlineLevel="0" collapsed="false">
      <c r="B5662" s="7" t="s">
        <v>6159</v>
      </c>
      <c r="C5662" s="39" t="n">
        <v>45925</v>
      </c>
      <c r="D5662" s="7" t="s">
        <v>359</v>
      </c>
      <c r="E5662" s="7" t="s">
        <v>156</v>
      </c>
      <c r="F5662" s="7" t="s">
        <v>205</v>
      </c>
      <c r="G5662" s="7" t="s">
        <v>505</v>
      </c>
      <c r="H5662" s="6" t="n">
        <v>3.77</v>
      </c>
      <c r="I5662" s="6" t="n">
        <v>0</v>
      </c>
      <c r="J5662" s="40" t="n">
        <f aca="false">H5662-I5662</f>
        <v>3.77</v>
      </c>
      <c r="K5662" s="41" t="n">
        <v>34</v>
      </c>
      <c r="L5662" s="42" t="n">
        <f aca="false">J5662*K5662</f>
        <v>128.18</v>
      </c>
      <c r="M5662" s="43" t="n">
        <f aca="false">H5662*16.36*(1+'Chart of Accounts'!$E$67)</f>
        <v>70.620394</v>
      </c>
    </row>
    <row r="5663" customFormat="false" ht="15" hidden="false" customHeight="false" outlineLevel="0" collapsed="false">
      <c r="B5663" s="7" t="s">
        <v>6160</v>
      </c>
      <c r="C5663" s="39" t="n">
        <v>45925</v>
      </c>
      <c r="D5663" s="7" t="s">
        <v>363</v>
      </c>
      <c r="E5663" s="7" t="s">
        <v>156</v>
      </c>
      <c r="F5663" s="7" t="s">
        <v>246</v>
      </c>
      <c r="G5663" s="7" t="s">
        <v>505</v>
      </c>
      <c r="H5663" s="6" t="n">
        <v>4.19</v>
      </c>
      <c r="I5663" s="6" t="n">
        <v>0</v>
      </c>
      <c r="J5663" s="40" t="n">
        <f aca="false">H5663-I5663</f>
        <v>4.19</v>
      </c>
      <c r="K5663" s="41" t="n">
        <v>34</v>
      </c>
      <c r="L5663" s="42" t="n">
        <f aca="false">J5663*K5663</f>
        <v>142.46</v>
      </c>
      <c r="M5663" s="43" t="n">
        <f aca="false">H5663*16.48*(1+'Chart of Accounts'!$E$67)</f>
        <v>79.063624</v>
      </c>
    </row>
    <row r="5664" customFormat="false" ht="15" hidden="false" customHeight="false" outlineLevel="0" collapsed="false">
      <c r="B5664" s="7" t="s">
        <v>6161</v>
      </c>
      <c r="C5664" s="39" t="n">
        <v>45925</v>
      </c>
      <c r="D5664" s="7" t="s">
        <v>365</v>
      </c>
      <c r="E5664" s="7" t="s">
        <v>154</v>
      </c>
      <c r="F5664" s="7" t="s">
        <v>194</v>
      </c>
      <c r="G5664" s="7" t="s">
        <v>505</v>
      </c>
      <c r="H5664" s="6" t="n">
        <v>3.99</v>
      </c>
      <c r="I5664" s="6" t="n">
        <v>0</v>
      </c>
      <c r="J5664" s="40" t="n">
        <f aca="false">H5664-I5664</f>
        <v>3.99</v>
      </c>
      <c r="K5664" s="41" t="n">
        <v>26.5</v>
      </c>
      <c r="L5664" s="42" t="n">
        <f aca="false">J5664*K5664</f>
        <v>105.735</v>
      </c>
      <c r="M5664" s="43" t="n">
        <f aca="false">H5664*16*(1+'Chart of Accounts'!$E$67)</f>
        <v>73.0968</v>
      </c>
    </row>
    <row r="5665" customFormat="false" ht="15" hidden="false" customHeight="false" outlineLevel="0" collapsed="false">
      <c r="B5665" s="7" t="s">
        <v>6162</v>
      </c>
      <c r="C5665" s="39" t="n">
        <v>45925</v>
      </c>
      <c r="D5665" s="7" t="s">
        <v>375</v>
      </c>
      <c r="E5665" s="7" t="s">
        <v>156</v>
      </c>
      <c r="F5665" s="7" t="s">
        <v>196</v>
      </c>
      <c r="G5665" s="7" t="s">
        <v>505</v>
      </c>
      <c r="H5665" s="6" t="n">
        <v>3.13</v>
      </c>
      <c r="I5665" s="6" t="n">
        <v>0</v>
      </c>
      <c r="J5665" s="40" t="n">
        <f aca="false">H5665-I5665</f>
        <v>3.13</v>
      </c>
      <c r="K5665" s="41" t="n">
        <v>34</v>
      </c>
      <c r="L5665" s="42" t="n">
        <f aca="false">J5665*K5665</f>
        <v>106.42</v>
      </c>
      <c r="M5665" s="43" t="n">
        <f aca="false">H5665*15.05*(1+'Chart of Accounts'!$E$67)</f>
        <v>53.9369425</v>
      </c>
    </row>
    <row r="5666" customFormat="false" ht="15" hidden="false" customHeight="false" outlineLevel="0" collapsed="false">
      <c r="B5666" s="7" t="s">
        <v>6163</v>
      </c>
      <c r="C5666" s="39" t="n">
        <v>45925</v>
      </c>
      <c r="D5666" s="7" t="s">
        <v>377</v>
      </c>
      <c r="E5666" s="7" t="s">
        <v>154</v>
      </c>
      <c r="F5666" s="7" t="s">
        <v>214</v>
      </c>
      <c r="G5666" s="7" t="s">
        <v>505</v>
      </c>
      <c r="H5666" s="6" t="n">
        <v>3.7</v>
      </c>
      <c r="I5666" s="6" t="n">
        <v>0.111</v>
      </c>
      <c r="J5666" s="40" t="n">
        <f aca="false">H5666-I5666</f>
        <v>3.589</v>
      </c>
      <c r="K5666" s="41" t="n">
        <v>26.5</v>
      </c>
      <c r="L5666" s="42" t="n">
        <f aca="false">J5666*K5666</f>
        <v>95.1085</v>
      </c>
      <c r="M5666" s="43" t="n">
        <f aca="false">H5666*15.67*(1+'Chart of Accounts'!$E$67)</f>
        <v>66.385955</v>
      </c>
    </row>
    <row r="5667" customFormat="false" ht="15" hidden="false" customHeight="false" outlineLevel="0" collapsed="false">
      <c r="B5667" s="7" t="s">
        <v>6164</v>
      </c>
      <c r="C5667" s="39" t="n">
        <v>45925</v>
      </c>
      <c r="D5667" s="7" t="s">
        <v>387</v>
      </c>
      <c r="E5667" s="7" t="s">
        <v>154</v>
      </c>
      <c r="F5667" s="7" t="s">
        <v>196</v>
      </c>
      <c r="G5667" s="7" t="s">
        <v>505</v>
      </c>
      <c r="H5667" s="6" t="n">
        <v>4.38</v>
      </c>
      <c r="I5667" s="6" t="n">
        <v>0</v>
      </c>
      <c r="J5667" s="40" t="n">
        <f aca="false">H5667-I5667</f>
        <v>4.38</v>
      </c>
      <c r="K5667" s="41" t="n">
        <v>26.5</v>
      </c>
      <c r="L5667" s="42" t="n">
        <f aca="false">J5667*K5667</f>
        <v>116.07</v>
      </c>
      <c r="M5667" s="43" t="n">
        <f aca="false">H5667*15.05*(1+'Chart of Accounts'!$E$67)</f>
        <v>75.477255</v>
      </c>
    </row>
    <row r="5668" customFormat="false" ht="15" hidden="false" customHeight="false" outlineLevel="0" collapsed="false">
      <c r="B5668" s="7" t="s">
        <v>6165</v>
      </c>
      <c r="C5668" s="39" t="n">
        <v>45925</v>
      </c>
      <c r="D5668" s="7" t="s">
        <v>389</v>
      </c>
      <c r="E5668" s="7" t="s">
        <v>154</v>
      </c>
      <c r="F5668" s="7" t="s">
        <v>246</v>
      </c>
      <c r="G5668" s="7" t="s">
        <v>505</v>
      </c>
      <c r="H5668" s="6" t="n">
        <v>4.4</v>
      </c>
      <c r="I5668" s="6" t="n">
        <v>0.132</v>
      </c>
      <c r="J5668" s="40" t="n">
        <f aca="false">H5668-I5668</f>
        <v>4.268</v>
      </c>
      <c r="K5668" s="41" t="n">
        <v>26.5</v>
      </c>
      <c r="L5668" s="42" t="n">
        <f aca="false">J5668*K5668</f>
        <v>113.102</v>
      </c>
      <c r="M5668" s="43" t="n">
        <f aca="false">H5668*16.48*(1+'Chart of Accounts'!$E$67)</f>
        <v>83.02624</v>
      </c>
    </row>
    <row r="5669" customFormat="false" ht="15" hidden="false" customHeight="false" outlineLevel="0" collapsed="false">
      <c r="B5669" s="7" t="s">
        <v>6166</v>
      </c>
      <c r="C5669" s="39" t="n">
        <v>45925</v>
      </c>
      <c r="D5669" s="7" t="s">
        <v>391</v>
      </c>
      <c r="E5669" s="7" t="s">
        <v>156</v>
      </c>
      <c r="F5669" s="7" t="s">
        <v>222</v>
      </c>
      <c r="G5669" s="7" t="s">
        <v>505</v>
      </c>
      <c r="H5669" s="6" t="n">
        <v>4.17</v>
      </c>
      <c r="I5669" s="6" t="n">
        <v>0</v>
      </c>
      <c r="J5669" s="40" t="n">
        <f aca="false">H5669-I5669</f>
        <v>4.17</v>
      </c>
      <c r="K5669" s="41" t="n">
        <v>34</v>
      </c>
      <c r="L5669" s="42" t="n">
        <f aca="false">J5669*K5669</f>
        <v>141.78</v>
      </c>
      <c r="M5669" s="43" t="n">
        <f aca="false">H5669*17.84*(1+'Chart of Accounts'!$E$67)</f>
        <v>85.179756</v>
      </c>
    </row>
    <row r="5670" customFormat="false" ht="15" hidden="false" customHeight="false" outlineLevel="0" collapsed="false">
      <c r="B5670" s="7" t="s">
        <v>6167</v>
      </c>
      <c r="C5670" s="39" t="n">
        <v>45925</v>
      </c>
      <c r="D5670" s="7" t="s">
        <v>395</v>
      </c>
      <c r="E5670" s="7" t="s">
        <v>156</v>
      </c>
      <c r="F5670" s="7" t="s">
        <v>242</v>
      </c>
      <c r="G5670" s="7" t="s">
        <v>505</v>
      </c>
      <c r="H5670" s="6" t="n">
        <v>3.71</v>
      </c>
      <c r="I5670" s="6" t="n">
        <v>0</v>
      </c>
      <c r="J5670" s="40" t="n">
        <f aca="false">H5670-I5670</f>
        <v>3.71</v>
      </c>
      <c r="K5670" s="41" t="n">
        <v>34</v>
      </c>
      <c r="L5670" s="42" t="n">
        <f aca="false">J5670*K5670</f>
        <v>126.14</v>
      </c>
      <c r="M5670" s="43" t="n">
        <f aca="false">H5670*17.99*(1+'Chart of Accounts'!$E$67)</f>
        <v>76.4206205</v>
      </c>
    </row>
    <row r="5671" customFormat="false" ht="15" hidden="false" customHeight="false" outlineLevel="0" collapsed="false">
      <c r="B5671" s="7" t="s">
        <v>6168</v>
      </c>
      <c r="C5671" s="39" t="n">
        <v>45925</v>
      </c>
      <c r="D5671" s="7" t="s">
        <v>401</v>
      </c>
      <c r="E5671" s="7" t="s">
        <v>156</v>
      </c>
      <c r="F5671" s="7" t="s">
        <v>254</v>
      </c>
      <c r="G5671" s="7" t="s">
        <v>505</v>
      </c>
      <c r="H5671" s="6" t="n">
        <v>3.95</v>
      </c>
      <c r="I5671" s="6" t="n">
        <v>0</v>
      </c>
      <c r="J5671" s="40" t="n">
        <f aca="false">H5671-I5671</f>
        <v>3.95</v>
      </c>
      <c r="K5671" s="41" t="n">
        <v>34</v>
      </c>
      <c r="L5671" s="42" t="n">
        <f aca="false">J5671*K5671</f>
        <v>134.3</v>
      </c>
      <c r="M5671" s="43" t="n">
        <f aca="false">H5671*17.1*(1+'Chart of Accounts'!$E$67)</f>
        <v>77.339025</v>
      </c>
    </row>
    <row r="5672" customFormat="false" ht="15" hidden="false" customHeight="false" outlineLevel="0" collapsed="false">
      <c r="B5672" s="7" t="s">
        <v>6169</v>
      </c>
      <c r="C5672" s="39" t="n">
        <v>45926</v>
      </c>
      <c r="D5672" s="7" t="s">
        <v>288</v>
      </c>
      <c r="E5672" s="7" t="s">
        <v>156</v>
      </c>
      <c r="F5672" s="7" t="s">
        <v>246</v>
      </c>
      <c r="G5672" s="7" t="s">
        <v>505</v>
      </c>
      <c r="H5672" s="6" t="n">
        <v>4.27</v>
      </c>
      <c r="I5672" s="6" t="n">
        <v>0</v>
      </c>
      <c r="J5672" s="40" t="n">
        <f aca="false">H5672-I5672</f>
        <v>4.27</v>
      </c>
      <c r="K5672" s="41" t="n">
        <v>34</v>
      </c>
      <c r="L5672" s="42" t="n">
        <f aca="false">J5672*K5672</f>
        <v>145.18</v>
      </c>
      <c r="M5672" s="43" t="n">
        <f aca="false">H5672*16.48*(1+'Chart of Accounts'!$E$67)</f>
        <v>80.573192</v>
      </c>
    </row>
    <row r="5673" customFormat="false" ht="15" hidden="false" customHeight="false" outlineLevel="0" collapsed="false">
      <c r="B5673" s="7" t="s">
        <v>6170</v>
      </c>
      <c r="C5673" s="39" t="n">
        <v>45926</v>
      </c>
      <c r="D5673" s="7" t="s">
        <v>291</v>
      </c>
      <c r="E5673" s="7" t="s">
        <v>154</v>
      </c>
      <c r="F5673" s="7" t="s">
        <v>194</v>
      </c>
      <c r="G5673" s="7" t="s">
        <v>505</v>
      </c>
      <c r="H5673" s="6" t="n">
        <v>4.92</v>
      </c>
      <c r="I5673" s="6" t="n">
        <v>0</v>
      </c>
      <c r="J5673" s="40" t="n">
        <f aca="false">H5673-I5673</f>
        <v>4.92</v>
      </c>
      <c r="K5673" s="41" t="n">
        <v>26.5</v>
      </c>
      <c r="L5673" s="42" t="n">
        <f aca="false">J5673*K5673</f>
        <v>130.38</v>
      </c>
      <c r="M5673" s="43" t="n">
        <f aca="false">H5673*16*(1+'Chart of Accounts'!$E$67)</f>
        <v>90.1344</v>
      </c>
    </row>
    <row r="5674" customFormat="false" ht="15" hidden="false" customHeight="false" outlineLevel="0" collapsed="false">
      <c r="B5674" s="7" t="s">
        <v>6171</v>
      </c>
      <c r="C5674" s="39" t="n">
        <v>45926</v>
      </c>
      <c r="D5674" s="7" t="s">
        <v>293</v>
      </c>
      <c r="E5674" s="7" t="s">
        <v>157</v>
      </c>
      <c r="F5674" s="7" t="s">
        <v>198</v>
      </c>
      <c r="G5674" s="7" t="s">
        <v>502</v>
      </c>
      <c r="H5674" s="6" t="n">
        <v>1.03</v>
      </c>
      <c r="I5674" s="6" t="n">
        <v>0</v>
      </c>
      <c r="J5674" s="40" t="n">
        <f aca="false">H5674-I5674</f>
        <v>1.03</v>
      </c>
      <c r="K5674" s="41" t="n">
        <v>165</v>
      </c>
      <c r="L5674" s="42" t="n">
        <f aca="false">J5674*K5674</f>
        <v>169.95</v>
      </c>
      <c r="M5674" s="43" t="n">
        <f aca="false">H5674*48.09*(1+'Chart of Accounts'!$E$67)</f>
        <v>56.7149415</v>
      </c>
    </row>
    <row r="5675" customFormat="false" ht="15" hidden="false" customHeight="false" outlineLevel="0" collapsed="false">
      <c r="B5675" s="7" t="s">
        <v>6172</v>
      </c>
      <c r="C5675" s="39" t="n">
        <v>45926</v>
      </c>
      <c r="D5675" s="7" t="s">
        <v>295</v>
      </c>
      <c r="E5675" s="7" t="s">
        <v>154</v>
      </c>
      <c r="F5675" s="7" t="s">
        <v>214</v>
      </c>
      <c r="G5675" s="7" t="s">
        <v>505</v>
      </c>
      <c r="H5675" s="6" t="n">
        <v>3.81</v>
      </c>
      <c r="I5675" s="6" t="n">
        <v>0</v>
      </c>
      <c r="J5675" s="40" t="n">
        <f aca="false">H5675-I5675</f>
        <v>3.81</v>
      </c>
      <c r="K5675" s="41" t="n">
        <v>26.5</v>
      </c>
      <c r="L5675" s="42" t="n">
        <f aca="false">J5675*K5675</f>
        <v>100.965</v>
      </c>
      <c r="M5675" s="43" t="n">
        <f aca="false">H5675*15.67*(1+'Chart of Accounts'!$E$67)</f>
        <v>68.3595915</v>
      </c>
    </row>
    <row r="5676" customFormat="false" ht="15" hidden="false" customHeight="false" outlineLevel="0" collapsed="false">
      <c r="B5676" s="7" t="s">
        <v>6173</v>
      </c>
      <c r="C5676" s="39" t="n">
        <v>45926</v>
      </c>
      <c r="D5676" s="7" t="s">
        <v>301</v>
      </c>
      <c r="E5676" s="7" t="s">
        <v>157</v>
      </c>
      <c r="F5676" s="7" t="s">
        <v>209</v>
      </c>
      <c r="G5676" s="7" t="s">
        <v>502</v>
      </c>
      <c r="H5676" s="6" t="n">
        <v>1.02</v>
      </c>
      <c r="I5676" s="6" t="n">
        <v>0</v>
      </c>
      <c r="J5676" s="40" t="n">
        <f aca="false">H5676-I5676</f>
        <v>1.02</v>
      </c>
      <c r="K5676" s="41" t="n">
        <v>165</v>
      </c>
      <c r="L5676" s="42" t="n">
        <f aca="false">J5676*K5676</f>
        <v>168.3</v>
      </c>
      <c r="M5676" s="43" t="n">
        <f aca="false">H5676*73.58*(1+'Chart of Accounts'!$E$67)</f>
        <v>85.934082</v>
      </c>
    </row>
    <row r="5677" customFormat="false" ht="15" hidden="false" customHeight="false" outlineLevel="0" collapsed="false">
      <c r="B5677" s="7" t="s">
        <v>6174</v>
      </c>
      <c r="C5677" s="39" t="n">
        <v>45926</v>
      </c>
      <c r="D5677" s="7" t="s">
        <v>305</v>
      </c>
      <c r="E5677" s="7" t="s">
        <v>154</v>
      </c>
      <c r="F5677" s="7" t="s">
        <v>205</v>
      </c>
      <c r="G5677" s="7" t="s">
        <v>505</v>
      </c>
      <c r="H5677" s="6" t="n">
        <v>3.64</v>
      </c>
      <c r="I5677" s="6" t="n">
        <v>0</v>
      </c>
      <c r="J5677" s="40" t="n">
        <f aca="false">H5677-I5677</f>
        <v>3.64</v>
      </c>
      <c r="K5677" s="41" t="n">
        <v>26.5</v>
      </c>
      <c r="L5677" s="42" t="n">
        <f aca="false">J5677*K5677</f>
        <v>96.46</v>
      </c>
      <c r="M5677" s="43" t="n">
        <f aca="false">H5677*16.36*(1+'Chart of Accounts'!$E$67)</f>
        <v>68.185208</v>
      </c>
    </row>
    <row r="5678" customFormat="false" ht="15" hidden="false" customHeight="false" outlineLevel="0" collapsed="false">
      <c r="B5678" s="7" t="s">
        <v>6175</v>
      </c>
      <c r="C5678" s="39" t="n">
        <v>45926</v>
      </c>
      <c r="D5678" s="7" t="s">
        <v>307</v>
      </c>
      <c r="E5678" s="7" t="s">
        <v>157</v>
      </c>
      <c r="F5678" s="7" t="s">
        <v>264</v>
      </c>
      <c r="G5678" s="7" t="s">
        <v>502</v>
      </c>
      <c r="H5678" s="6" t="n">
        <v>1.01</v>
      </c>
      <c r="I5678" s="6" t="n">
        <v>0</v>
      </c>
      <c r="J5678" s="40" t="n">
        <f aca="false">H5678-I5678</f>
        <v>1.01</v>
      </c>
      <c r="K5678" s="41" t="n">
        <v>165</v>
      </c>
      <c r="L5678" s="42" t="n">
        <f aca="false">J5678*K5678</f>
        <v>166.65</v>
      </c>
      <c r="M5678" s="43" t="n">
        <f aca="false">H5678*55.55*(1+'Chart of Accounts'!$E$67)</f>
        <v>64.2407975</v>
      </c>
    </row>
    <row r="5679" customFormat="false" ht="15" hidden="false" customHeight="false" outlineLevel="0" collapsed="false">
      <c r="B5679" s="7" t="s">
        <v>6176</v>
      </c>
      <c r="C5679" s="39" t="n">
        <v>45926</v>
      </c>
      <c r="D5679" s="7" t="s">
        <v>309</v>
      </c>
      <c r="E5679" s="7" t="s">
        <v>159</v>
      </c>
      <c r="F5679" s="7" t="s">
        <v>252</v>
      </c>
      <c r="G5679" s="7" t="s">
        <v>502</v>
      </c>
      <c r="H5679" s="6" t="n">
        <v>1.04</v>
      </c>
      <c r="I5679" s="6" t="n">
        <v>0</v>
      </c>
      <c r="J5679" s="40" t="n">
        <f aca="false">H5679-I5679</f>
        <v>1.04</v>
      </c>
      <c r="K5679" s="41" t="n">
        <v>135</v>
      </c>
      <c r="L5679" s="42" t="n">
        <f aca="false">J5679*K5679</f>
        <v>140.4</v>
      </c>
      <c r="M5679" s="43" t="n">
        <f aca="false">H5679*57.54*(1+'Chart of Accounts'!$E$67)</f>
        <v>68.518632</v>
      </c>
    </row>
    <row r="5680" customFormat="false" ht="15" hidden="false" customHeight="false" outlineLevel="0" collapsed="false">
      <c r="B5680" s="7" t="s">
        <v>6177</v>
      </c>
      <c r="C5680" s="39" t="n">
        <v>45926</v>
      </c>
      <c r="D5680" s="7" t="s">
        <v>313</v>
      </c>
      <c r="E5680" s="7" t="s">
        <v>156</v>
      </c>
      <c r="F5680" s="7" t="s">
        <v>184</v>
      </c>
      <c r="G5680" s="7" t="s">
        <v>505</v>
      </c>
      <c r="H5680" s="6" t="n">
        <v>4.3</v>
      </c>
      <c r="I5680" s="6" t="n">
        <v>0</v>
      </c>
      <c r="J5680" s="40" t="n">
        <f aca="false">H5680-I5680</f>
        <v>4.3</v>
      </c>
      <c r="K5680" s="41" t="n">
        <v>34</v>
      </c>
      <c r="L5680" s="42" t="n">
        <f aca="false">J5680*K5680</f>
        <v>146.2</v>
      </c>
      <c r="M5680" s="43" t="n">
        <f aca="false">H5680*17.34*(1+'Chart of Accounts'!$E$67)</f>
        <v>85.37349</v>
      </c>
    </row>
    <row r="5681" customFormat="false" ht="15" hidden="false" customHeight="false" outlineLevel="0" collapsed="false">
      <c r="B5681" s="7" t="s">
        <v>6178</v>
      </c>
      <c r="C5681" s="39" t="n">
        <v>45926</v>
      </c>
      <c r="D5681" s="7" t="s">
        <v>315</v>
      </c>
      <c r="E5681" s="7" t="s">
        <v>159</v>
      </c>
      <c r="F5681" s="7" t="s">
        <v>216</v>
      </c>
      <c r="G5681" s="7" t="s">
        <v>502</v>
      </c>
      <c r="H5681" s="6" t="n">
        <v>1.02</v>
      </c>
      <c r="I5681" s="6" t="n">
        <v>0</v>
      </c>
      <c r="J5681" s="40" t="n">
        <f aca="false">H5681-I5681</f>
        <v>1.02</v>
      </c>
      <c r="K5681" s="41" t="n">
        <v>135</v>
      </c>
      <c r="L5681" s="42" t="n">
        <f aca="false">J5681*K5681</f>
        <v>137.7</v>
      </c>
      <c r="M5681" s="43" t="n">
        <f aca="false">H5681*61.79*(1+'Chart of Accounts'!$E$67)</f>
        <v>72.164541</v>
      </c>
    </row>
    <row r="5682" customFormat="false" ht="15" hidden="false" customHeight="false" outlineLevel="0" collapsed="false">
      <c r="B5682" s="7" t="s">
        <v>6179</v>
      </c>
      <c r="C5682" s="39" t="n">
        <v>45926</v>
      </c>
      <c r="D5682" s="7" t="s">
        <v>319</v>
      </c>
      <c r="E5682" s="7" t="s">
        <v>157</v>
      </c>
      <c r="F5682" s="7" t="s">
        <v>234</v>
      </c>
      <c r="G5682" s="7" t="s">
        <v>502</v>
      </c>
      <c r="H5682" s="6" t="n">
        <v>1.04</v>
      </c>
      <c r="I5682" s="6" t="n">
        <v>0</v>
      </c>
      <c r="J5682" s="40" t="n">
        <f aca="false">H5682-I5682</f>
        <v>1.04</v>
      </c>
      <c r="K5682" s="41" t="n">
        <v>165</v>
      </c>
      <c r="L5682" s="42" t="n">
        <f aca="false">J5682*K5682</f>
        <v>171.6</v>
      </c>
      <c r="M5682" s="43" t="n">
        <f aca="false">H5682*89.53*(1+'Chart of Accounts'!$E$67)</f>
        <v>106.612324</v>
      </c>
    </row>
    <row r="5683" customFormat="false" ht="15" hidden="false" customHeight="false" outlineLevel="0" collapsed="false">
      <c r="B5683" s="7" t="s">
        <v>6180</v>
      </c>
      <c r="C5683" s="39" t="n">
        <v>45926</v>
      </c>
      <c r="D5683" s="7" t="s">
        <v>321</v>
      </c>
      <c r="E5683" s="7" t="s">
        <v>154</v>
      </c>
      <c r="F5683" s="7" t="s">
        <v>218</v>
      </c>
      <c r="G5683" s="7" t="s">
        <v>505</v>
      </c>
      <c r="H5683" s="6" t="n">
        <v>3.83</v>
      </c>
      <c r="I5683" s="6" t="n">
        <v>0</v>
      </c>
      <c r="J5683" s="40" t="n">
        <f aca="false">H5683-I5683</f>
        <v>3.83</v>
      </c>
      <c r="K5683" s="41" t="n">
        <v>26.5</v>
      </c>
      <c r="L5683" s="42" t="n">
        <f aca="false">J5683*K5683</f>
        <v>101.495</v>
      </c>
      <c r="M5683" s="43" t="n">
        <f aca="false">H5683*16.19*(1+'Chart of Accounts'!$E$67)</f>
        <v>70.9988165</v>
      </c>
    </row>
    <row r="5684" customFormat="false" ht="15" hidden="false" customHeight="false" outlineLevel="0" collapsed="false">
      <c r="B5684" s="7" t="s">
        <v>6181</v>
      </c>
      <c r="C5684" s="39" t="n">
        <v>45926</v>
      </c>
      <c r="D5684" s="7" t="s">
        <v>323</v>
      </c>
      <c r="E5684" s="7" t="s">
        <v>159</v>
      </c>
      <c r="F5684" s="7" t="s">
        <v>234</v>
      </c>
      <c r="G5684" s="7" t="s">
        <v>502</v>
      </c>
      <c r="H5684" s="6" t="n">
        <v>1.05</v>
      </c>
      <c r="I5684" s="6" t="n">
        <v>0</v>
      </c>
      <c r="J5684" s="40" t="n">
        <f aca="false">H5684-I5684</f>
        <v>1.05</v>
      </c>
      <c r="K5684" s="41" t="n">
        <v>135</v>
      </c>
      <c r="L5684" s="42" t="n">
        <f aca="false">J5684*K5684</f>
        <v>141.75</v>
      </c>
      <c r="M5684" s="43" t="n">
        <f aca="false">H5684*89.53*(1+'Chart of Accounts'!$E$67)</f>
        <v>107.6374425</v>
      </c>
    </row>
    <row r="5685" customFormat="false" ht="15" hidden="false" customHeight="false" outlineLevel="0" collapsed="false">
      <c r="B5685" s="7" t="s">
        <v>6182</v>
      </c>
      <c r="C5685" s="39" t="n">
        <v>45926</v>
      </c>
      <c r="D5685" s="7" t="s">
        <v>327</v>
      </c>
      <c r="E5685" s="7" t="s">
        <v>157</v>
      </c>
      <c r="F5685" s="7" t="s">
        <v>228</v>
      </c>
      <c r="G5685" s="7" t="s">
        <v>502</v>
      </c>
      <c r="H5685" s="6" t="n">
        <v>0.94</v>
      </c>
      <c r="I5685" s="6" t="n">
        <v>0</v>
      </c>
      <c r="J5685" s="40" t="n">
        <f aca="false">H5685-I5685</f>
        <v>0.94</v>
      </c>
      <c r="K5685" s="41" t="n">
        <v>165</v>
      </c>
      <c r="L5685" s="42" t="n">
        <f aca="false">J5685*K5685</f>
        <v>155.1</v>
      </c>
      <c r="M5685" s="43" t="n">
        <f aca="false">H5685*51.07*(1+'Chart of Accounts'!$E$67)</f>
        <v>54.966641</v>
      </c>
    </row>
    <row r="5686" customFormat="false" ht="15" hidden="false" customHeight="false" outlineLevel="0" collapsed="false">
      <c r="B5686" s="7" t="s">
        <v>6183</v>
      </c>
      <c r="C5686" s="39" t="n">
        <v>45926</v>
      </c>
      <c r="D5686" s="7" t="s">
        <v>329</v>
      </c>
      <c r="E5686" s="7" t="s">
        <v>156</v>
      </c>
      <c r="F5686" s="7" t="s">
        <v>220</v>
      </c>
      <c r="G5686" s="7" t="s">
        <v>505</v>
      </c>
      <c r="H5686" s="6" t="n">
        <v>4.24</v>
      </c>
      <c r="I5686" s="6" t="n">
        <v>0</v>
      </c>
      <c r="J5686" s="40" t="n">
        <f aca="false">H5686-I5686</f>
        <v>4.24</v>
      </c>
      <c r="K5686" s="41" t="n">
        <v>34</v>
      </c>
      <c r="L5686" s="42" t="n">
        <f aca="false">J5686*K5686</f>
        <v>144.16</v>
      </c>
      <c r="M5686" s="43" t="n">
        <f aca="false">H5686*16.43*(1+'Chart of Accounts'!$E$67)</f>
        <v>79.764364</v>
      </c>
    </row>
    <row r="5687" customFormat="false" ht="15" hidden="false" customHeight="false" outlineLevel="0" collapsed="false">
      <c r="B5687" s="7" t="s">
        <v>6184</v>
      </c>
      <c r="C5687" s="39" t="n">
        <v>45926</v>
      </c>
      <c r="D5687" s="7" t="s">
        <v>335</v>
      </c>
      <c r="E5687" s="7" t="s">
        <v>154</v>
      </c>
      <c r="F5687" s="7" t="s">
        <v>177</v>
      </c>
      <c r="G5687" s="7" t="s">
        <v>505</v>
      </c>
      <c r="H5687" s="6" t="n">
        <v>4.38</v>
      </c>
      <c r="I5687" s="6" t="n">
        <v>0</v>
      </c>
      <c r="J5687" s="40" t="n">
        <f aca="false">H5687-I5687</f>
        <v>4.38</v>
      </c>
      <c r="K5687" s="41" t="n">
        <v>26.5</v>
      </c>
      <c r="L5687" s="42" t="n">
        <f aca="false">J5687*K5687</f>
        <v>116.07</v>
      </c>
      <c r="M5687" s="43" t="n">
        <f aca="false">H5687*14.56*(1+'Chart of Accounts'!$E$67)</f>
        <v>73.019856</v>
      </c>
    </row>
    <row r="5688" customFormat="false" ht="15" hidden="false" customHeight="false" outlineLevel="0" collapsed="false">
      <c r="B5688" s="7" t="s">
        <v>6185</v>
      </c>
      <c r="C5688" s="39" t="n">
        <v>45926</v>
      </c>
      <c r="D5688" s="7" t="s">
        <v>339</v>
      </c>
      <c r="E5688" s="7" t="s">
        <v>154</v>
      </c>
      <c r="F5688" s="7" t="s">
        <v>242</v>
      </c>
      <c r="G5688" s="7" t="s">
        <v>505</v>
      </c>
      <c r="H5688" s="6" t="n">
        <v>3.34</v>
      </c>
      <c r="I5688" s="6" t="n">
        <v>0</v>
      </c>
      <c r="J5688" s="40" t="n">
        <f aca="false">H5688-I5688</f>
        <v>3.34</v>
      </c>
      <c r="K5688" s="41" t="n">
        <v>26.5</v>
      </c>
      <c r="L5688" s="42" t="n">
        <f aca="false">J5688*K5688</f>
        <v>88.51</v>
      </c>
      <c r="M5688" s="43" t="n">
        <f aca="false">H5688*17.99*(1+'Chart of Accounts'!$E$67)</f>
        <v>68.799157</v>
      </c>
    </row>
    <row r="5689" customFormat="false" ht="15" hidden="false" customHeight="false" outlineLevel="0" collapsed="false">
      <c r="B5689" s="7" t="s">
        <v>6186</v>
      </c>
      <c r="C5689" s="39" t="n">
        <v>45926</v>
      </c>
      <c r="D5689" s="7" t="s">
        <v>347</v>
      </c>
      <c r="E5689" s="7" t="s">
        <v>154</v>
      </c>
      <c r="F5689" s="7" t="s">
        <v>238</v>
      </c>
      <c r="G5689" s="7" t="s">
        <v>505</v>
      </c>
      <c r="H5689" s="6" t="n">
        <v>4.84</v>
      </c>
      <c r="I5689" s="6" t="n">
        <v>0</v>
      </c>
      <c r="J5689" s="40" t="n">
        <f aca="false">H5689-I5689</f>
        <v>4.84</v>
      </c>
      <c r="K5689" s="41" t="n">
        <v>26.5</v>
      </c>
      <c r="L5689" s="42" t="n">
        <f aca="false">J5689*K5689</f>
        <v>128.26</v>
      </c>
      <c r="M5689" s="43" t="n">
        <f aca="false">H5689*15.85*(1+'Chart of Accounts'!$E$67)</f>
        <v>87.83753</v>
      </c>
    </row>
    <row r="5690" customFormat="false" ht="15" hidden="false" customHeight="false" outlineLevel="0" collapsed="false">
      <c r="B5690" s="7" t="s">
        <v>6187</v>
      </c>
      <c r="C5690" s="39" t="n">
        <v>45926</v>
      </c>
      <c r="D5690" s="7" t="s">
        <v>349</v>
      </c>
      <c r="E5690" s="7" t="s">
        <v>154</v>
      </c>
      <c r="F5690" s="7" t="s">
        <v>244</v>
      </c>
      <c r="G5690" s="7" t="s">
        <v>505</v>
      </c>
      <c r="H5690" s="6" t="n">
        <v>4.09</v>
      </c>
      <c r="I5690" s="6" t="n">
        <v>0</v>
      </c>
      <c r="J5690" s="40" t="n">
        <f aca="false">H5690-I5690</f>
        <v>4.09</v>
      </c>
      <c r="K5690" s="41" t="n">
        <v>26.5</v>
      </c>
      <c r="L5690" s="42" t="n">
        <f aca="false">J5690*K5690</f>
        <v>108.385</v>
      </c>
      <c r="M5690" s="43" t="n">
        <f aca="false">H5690*16.39*(1+'Chart of Accounts'!$E$67)</f>
        <v>76.7551895</v>
      </c>
    </row>
    <row r="5691" customFormat="false" ht="15" hidden="false" customHeight="false" outlineLevel="0" collapsed="false">
      <c r="B5691" s="7" t="s">
        <v>6188</v>
      </c>
      <c r="C5691" s="39" t="n">
        <v>45926</v>
      </c>
      <c r="D5691" s="7" t="s">
        <v>353</v>
      </c>
      <c r="E5691" s="7" t="s">
        <v>154</v>
      </c>
      <c r="F5691" s="7" t="s">
        <v>254</v>
      </c>
      <c r="G5691" s="7" t="s">
        <v>505</v>
      </c>
      <c r="H5691" s="6" t="n">
        <v>3.6</v>
      </c>
      <c r="I5691" s="6" t="n">
        <v>0.108</v>
      </c>
      <c r="J5691" s="40" t="n">
        <f aca="false">H5691-I5691</f>
        <v>3.492</v>
      </c>
      <c r="K5691" s="41" t="n">
        <v>26.5</v>
      </c>
      <c r="L5691" s="42" t="n">
        <f aca="false">J5691*K5691</f>
        <v>92.538</v>
      </c>
      <c r="M5691" s="43" t="n">
        <f aca="false">H5691*17.1*(1+'Chart of Accounts'!$E$67)</f>
        <v>70.4862</v>
      </c>
    </row>
    <row r="5692" customFormat="false" ht="15" hidden="false" customHeight="false" outlineLevel="0" collapsed="false">
      <c r="B5692" s="7" t="s">
        <v>6189</v>
      </c>
      <c r="C5692" s="39" t="n">
        <v>45926</v>
      </c>
      <c r="D5692" s="7" t="s">
        <v>355</v>
      </c>
      <c r="E5692" s="7" t="s">
        <v>154</v>
      </c>
      <c r="F5692" s="7" t="s">
        <v>201</v>
      </c>
      <c r="G5692" s="7" t="s">
        <v>505</v>
      </c>
      <c r="H5692" s="6" t="n">
        <v>3.55</v>
      </c>
      <c r="I5692" s="6" t="n">
        <v>0.106</v>
      </c>
      <c r="J5692" s="40" t="n">
        <f aca="false">H5692-I5692</f>
        <v>3.444</v>
      </c>
      <c r="K5692" s="41" t="n">
        <v>26.5</v>
      </c>
      <c r="L5692" s="42" t="n">
        <f aca="false">J5692*K5692</f>
        <v>91.266</v>
      </c>
      <c r="M5692" s="43" t="n">
        <f aca="false">H5692*15.19*(1+'Chart of Accounts'!$E$67)</f>
        <v>61.7435525</v>
      </c>
    </row>
    <row r="5693" customFormat="false" ht="15" hidden="false" customHeight="false" outlineLevel="0" collapsed="false">
      <c r="B5693" s="7" t="s">
        <v>6190</v>
      </c>
      <c r="C5693" s="39" t="n">
        <v>45926</v>
      </c>
      <c r="D5693" s="7" t="s">
        <v>357</v>
      </c>
      <c r="E5693" s="7" t="s">
        <v>154</v>
      </c>
      <c r="F5693" s="7" t="s">
        <v>201</v>
      </c>
      <c r="G5693" s="7" t="s">
        <v>505</v>
      </c>
      <c r="H5693" s="6" t="n">
        <v>3.42</v>
      </c>
      <c r="I5693" s="6" t="n">
        <v>0</v>
      </c>
      <c r="J5693" s="40" t="n">
        <f aca="false">H5693-I5693</f>
        <v>3.42</v>
      </c>
      <c r="K5693" s="41" t="n">
        <v>26.5</v>
      </c>
      <c r="L5693" s="42" t="n">
        <f aca="false">J5693*K5693</f>
        <v>90.63</v>
      </c>
      <c r="M5693" s="43" t="n">
        <f aca="false">H5693*15.19*(1+'Chart of Accounts'!$E$67)</f>
        <v>59.482521</v>
      </c>
    </row>
    <row r="5694" customFormat="false" ht="15" hidden="false" customHeight="false" outlineLevel="0" collapsed="false">
      <c r="B5694" s="7" t="s">
        <v>6191</v>
      </c>
      <c r="C5694" s="39" t="n">
        <v>45926</v>
      </c>
      <c r="D5694" s="7" t="s">
        <v>359</v>
      </c>
      <c r="E5694" s="7" t="s">
        <v>156</v>
      </c>
      <c r="F5694" s="7" t="s">
        <v>220</v>
      </c>
      <c r="G5694" s="7" t="s">
        <v>505</v>
      </c>
      <c r="H5694" s="6" t="n">
        <v>4.07</v>
      </c>
      <c r="I5694" s="6" t="n">
        <v>0</v>
      </c>
      <c r="J5694" s="40" t="n">
        <f aca="false">H5694-I5694</f>
        <v>4.07</v>
      </c>
      <c r="K5694" s="41" t="n">
        <v>34</v>
      </c>
      <c r="L5694" s="42" t="n">
        <f aca="false">J5694*K5694</f>
        <v>138.38</v>
      </c>
      <c r="M5694" s="43" t="n">
        <f aca="false">H5694*16.43*(1+'Chart of Accounts'!$E$67)</f>
        <v>76.5662645</v>
      </c>
    </row>
    <row r="5695" customFormat="false" ht="15" hidden="false" customHeight="false" outlineLevel="0" collapsed="false">
      <c r="B5695" s="7" t="s">
        <v>6192</v>
      </c>
      <c r="C5695" s="39" t="n">
        <v>45926</v>
      </c>
      <c r="D5695" s="7" t="s">
        <v>361</v>
      </c>
      <c r="E5695" s="7" t="s">
        <v>157</v>
      </c>
      <c r="F5695" s="7" t="s">
        <v>209</v>
      </c>
      <c r="G5695" s="7" t="s">
        <v>502</v>
      </c>
      <c r="H5695" s="6" t="n">
        <v>0.94</v>
      </c>
      <c r="I5695" s="6" t="n">
        <v>0</v>
      </c>
      <c r="J5695" s="40" t="n">
        <f aca="false">H5695-I5695</f>
        <v>0.94</v>
      </c>
      <c r="K5695" s="41" t="n">
        <v>165</v>
      </c>
      <c r="L5695" s="42" t="n">
        <f aca="false">J5695*K5695</f>
        <v>155.1</v>
      </c>
      <c r="M5695" s="43" t="n">
        <f aca="false">H5695*73.58*(1+'Chart of Accounts'!$E$67)</f>
        <v>79.194154</v>
      </c>
    </row>
    <row r="5696" customFormat="false" ht="15" hidden="false" customHeight="false" outlineLevel="0" collapsed="false">
      <c r="B5696" s="7" t="s">
        <v>6193</v>
      </c>
      <c r="C5696" s="39" t="n">
        <v>45926</v>
      </c>
      <c r="D5696" s="7" t="s">
        <v>365</v>
      </c>
      <c r="E5696" s="7" t="s">
        <v>154</v>
      </c>
      <c r="F5696" s="7" t="s">
        <v>194</v>
      </c>
      <c r="G5696" s="7" t="s">
        <v>505</v>
      </c>
      <c r="H5696" s="6" t="n">
        <v>4.21</v>
      </c>
      <c r="I5696" s="6" t="n">
        <v>0</v>
      </c>
      <c r="J5696" s="40" t="n">
        <f aca="false">H5696-I5696</f>
        <v>4.21</v>
      </c>
      <c r="K5696" s="41" t="n">
        <v>26.5</v>
      </c>
      <c r="L5696" s="42" t="n">
        <f aca="false">J5696*K5696</f>
        <v>111.565</v>
      </c>
      <c r="M5696" s="43" t="n">
        <f aca="false">H5696*16*(1+'Chart of Accounts'!$E$67)</f>
        <v>77.1272</v>
      </c>
    </row>
    <row r="5697" customFormat="false" ht="15" hidden="false" customHeight="false" outlineLevel="0" collapsed="false">
      <c r="B5697" s="7" t="s">
        <v>6194</v>
      </c>
      <c r="C5697" s="39" t="n">
        <v>45926</v>
      </c>
      <c r="D5697" s="7" t="s">
        <v>369</v>
      </c>
      <c r="E5697" s="7" t="s">
        <v>159</v>
      </c>
      <c r="F5697" s="7" t="s">
        <v>258</v>
      </c>
      <c r="G5697" s="7" t="s">
        <v>502</v>
      </c>
      <c r="H5697" s="6" t="n">
        <v>0.93</v>
      </c>
      <c r="I5697" s="6" t="n">
        <v>0</v>
      </c>
      <c r="J5697" s="40" t="n">
        <f aca="false">H5697-I5697</f>
        <v>0.93</v>
      </c>
      <c r="K5697" s="41" t="n">
        <v>135</v>
      </c>
      <c r="L5697" s="42" t="n">
        <f aca="false">J5697*K5697</f>
        <v>125.55</v>
      </c>
      <c r="M5697" s="43" t="n">
        <f aca="false">H5697*61.61*(1+'Chart of Accounts'!$E$67)</f>
        <v>65.6054085</v>
      </c>
    </row>
    <row r="5698" customFormat="false" ht="15" hidden="false" customHeight="false" outlineLevel="0" collapsed="false">
      <c r="B5698" s="7" t="s">
        <v>6195</v>
      </c>
      <c r="C5698" s="39" t="n">
        <v>45926</v>
      </c>
      <c r="D5698" s="7" t="s">
        <v>371</v>
      </c>
      <c r="E5698" s="7" t="s">
        <v>154</v>
      </c>
      <c r="F5698" s="7" t="s">
        <v>232</v>
      </c>
      <c r="G5698" s="7" t="s">
        <v>505</v>
      </c>
      <c r="H5698" s="6" t="n">
        <v>4.44</v>
      </c>
      <c r="I5698" s="6" t="n">
        <v>0</v>
      </c>
      <c r="J5698" s="40" t="n">
        <f aca="false">H5698-I5698</f>
        <v>4.44</v>
      </c>
      <c r="K5698" s="41" t="n">
        <v>26.5</v>
      </c>
      <c r="L5698" s="42" t="n">
        <f aca="false">J5698*K5698</f>
        <v>117.66</v>
      </c>
      <c r="M5698" s="43" t="n">
        <f aca="false">H5698*16.17*(1+'Chart of Accounts'!$E$67)</f>
        <v>82.205046</v>
      </c>
    </row>
    <row r="5699" customFormat="false" ht="15" hidden="false" customHeight="false" outlineLevel="0" collapsed="false">
      <c r="B5699" s="7" t="s">
        <v>6196</v>
      </c>
      <c r="C5699" s="39" t="n">
        <v>45926</v>
      </c>
      <c r="D5699" s="7" t="s">
        <v>379</v>
      </c>
      <c r="E5699" s="7" t="s">
        <v>156</v>
      </c>
      <c r="F5699" s="7" t="s">
        <v>224</v>
      </c>
      <c r="G5699" s="7" t="s">
        <v>505</v>
      </c>
      <c r="H5699" s="6" t="n">
        <v>4.35</v>
      </c>
      <c r="I5699" s="6" t="n">
        <v>0</v>
      </c>
      <c r="J5699" s="40" t="n">
        <f aca="false">H5699-I5699</f>
        <v>4.35</v>
      </c>
      <c r="K5699" s="41" t="n">
        <v>34</v>
      </c>
      <c r="L5699" s="42" t="n">
        <f aca="false">J5699*K5699</f>
        <v>147.9</v>
      </c>
      <c r="M5699" s="43" t="n">
        <f aca="false">H5699*14.93*(1+'Chart of Accounts'!$E$67)</f>
        <v>74.3625975</v>
      </c>
    </row>
    <row r="5700" customFormat="false" ht="15" hidden="false" customHeight="false" outlineLevel="0" collapsed="false">
      <c r="B5700" s="7" t="s">
        <v>6197</v>
      </c>
      <c r="C5700" s="39" t="n">
        <v>45926</v>
      </c>
      <c r="D5700" s="7" t="s">
        <v>381</v>
      </c>
      <c r="E5700" s="7" t="s">
        <v>157</v>
      </c>
      <c r="F5700" s="7" t="s">
        <v>234</v>
      </c>
      <c r="G5700" s="7" t="s">
        <v>502</v>
      </c>
      <c r="H5700" s="6" t="n">
        <v>0.93</v>
      </c>
      <c r="I5700" s="6" t="n">
        <v>0</v>
      </c>
      <c r="J5700" s="40" t="n">
        <f aca="false">H5700-I5700</f>
        <v>0.93</v>
      </c>
      <c r="K5700" s="41" t="n">
        <v>165</v>
      </c>
      <c r="L5700" s="42" t="n">
        <f aca="false">J5700*K5700</f>
        <v>153.45</v>
      </c>
      <c r="M5700" s="43" t="n">
        <f aca="false">H5700*89.53*(1+'Chart of Accounts'!$E$67)</f>
        <v>95.3360205</v>
      </c>
    </row>
    <row r="5701" customFormat="false" ht="15" hidden="false" customHeight="false" outlineLevel="0" collapsed="false">
      <c r="B5701" s="7" t="s">
        <v>6198</v>
      </c>
      <c r="C5701" s="39" t="n">
        <v>45926</v>
      </c>
      <c r="D5701" s="7" t="s">
        <v>383</v>
      </c>
      <c r="E5701" s="7" t="s">
        <v>157</v>
      </c>
      <c r="F5701" s="7" t="s">
        <v>230</v>
      </c>
      <c r="G5701" s="7" t="s">
        <v>502</v>
      </c>
      <c r="H5701" s="6" t="n">
        <v>0.96</v>
      </c>
      <c r="I5701" s="6" t="n">
        <v>0</v>
      </c>
      <c r="J5701" s="40" t="n">
        <f aca="false">H5701-I5701</f>
        <v>0.96</v>
      </c>
      <c r="K5701" s="41" t="n">
        <v>165</v>
      </c>
      <c r="L5701" s="42" t="n">
        <f aca="false">J5701*K5701</f>
        <v>158.4</v>
      </c>
      <c r="M5701" s="43" t="n">
        <f aca="false">H5701*48.78*(1+'Chart of Accounts'!$E$67)</f>
        <v>53.618976</v>
      </c>
    </row>
    <row r="5702" customFormat="false" ht="15" hidden="false" customHeight="false" outlineLevel="0" collapsed="false">
      <c r="B5702" s="7" t="s">
        <v>6199</v>
      </c>
      <c r="C5702" s="39" t="n">
        <v>45926</v>
      </c>
      <c r="D5702" s="7" t="s">
        <v>385</v>
      </c>
      <c r="E5702" s="7" t="s">
        <v>156</v>
      </c>
      <c r="F5702" s="7" t="s">
        <v>238</v>
      </c>
      <c r="G5702" s="7" t="s">
        <v>505</v>
      </c>
      <c r="H5702" s="6" t="n">
        <v>4.12</v>
      </c>
      <c r="I5702" s="6" t="n">
        <v>0</v>
      </c>
      <c r="J5702" s="40" t="n">
        <f aca="false">H5702-I5702</f>
        <v>4.12</v>
      </c>
      <c r="K5702" s="41" t="n">
        <v>34</v>
      </c>
      <c r="L5702" s="42" t="n">
        <f aca="false">J5702*K5702</f>
        <v>140.08</v>
      </c>
      <c r="M5702" s="43" t="n">
        <f aca="false">H5702*15.85*(1+'Chart of Accounts'!$E$67)</f>
        <v>74.77079</v>
      </c>
    </row>
    <row r="5703" customFormat="false" ht="15" hidden="false" customHeight="false" outlineLevel="0" collapsed="false">
      <c r="B5703" s="7" t="s">
        <v>6200</v>
      </c>
      <c r="C5703" s="39" t="n">
        <v>45926</v>
      </c>
      <c r="D5703" s="7" t="s">
        <v>387</v>
      </c>
      <c r="E5703" s="7" t="s">
        <v>154</v>
      </c>
      <c r="F5703" s="7" t="s">
        <v>196</v>
      </c>
      <c r="G5703" s="7" t="s">
        <v>505</v>
      </c>
      <c r="H5703" s="6" t="n">
        <v>3.76</v>
      </c>
      <c r="I5703" s="6" t="n">
        <v>0</v>
      </c>
      <c r="J5703" s="40" t="n">
        <f aca="false">H5703-I5703</f>
        <v>3.76</v>
      </c>
      <c r="K5703" s="41" t="n">
        <v>26.5</v>
      </c>
      <c r="L5703" s="42" t="n">
        <f aca="false">J5703*K5703</f>
        <v>99.64</v>
      </c>
      <c r="M5703" s="43" t="n">
        <f aca="false">H5703*15.05*(1+'Chart of Accounts'!$E$67)</f>
        <v>64.79326</v>
      </c>
    </row>
    <row r="5704" customFormat="false" ht="15" hidden="false" customHeight="false" outlineLevel="0" collapsed="false">
      <c r="B5704" s="7" t="s">
        <v>6201</v>
      </c>
      <c r="C5704" s="39" t="n">
        <v>45926</v>
      </c>
      <c r="D5704" s="7" t="s">
        <v>389</v>
      </c>
      <c r="E5704" s="7" t="s">
        <v>154</v>
      </c>
      <c r="F5704" s="7" t="s">
        <v>246</v>
      </c>
      <c r="G5704" s="7" t="s">
        <v>505</v>
      </c>
      <c r="H5704" s="6" t="n">
        <v>4.25</v>
      </c>
      <c r="I5704" s="6" t="n">
        <v>0</v>
      </c>
      <c r="J5704" s="40" t="n">
        <f aca="false">H5704-I5704</f>
        <v>4.25</v>
      </c>
      <c r="K5704" s="41" t="n">
        <v>26.5</v>
      </c>
      <c r="L5704" s="42" t="n">
        <f aca="false">J5704*K5704</f>
        <v>112.625</v>
      </c>
      <c r="M5704" s="43" t="n">
        <f aca="false">H5704*16.48*(1+'Chart of Accounts'!$E$67)</f>
        <v>80.1958</v>
      </c>
    </row>
    <row r="5705" customFormat="false" ht="15" hidden="false" customHeight="false" outlineLevel="0" collapsed="false">
      <c r="B5705" s="7" t="s">
        <v>6202</v>
      </c>
      <c r="C5705" s="39" t="n">
        <v>45926</v>
      </c>
      <c r="D5705" s="7" t="s">
        <v>391</v>
      </c>
      <c r="E5705" s="7" t="s">
        <v>156</v>
      </c>
      <c r="F5705" s="7" t="s">
        <v>222</v>
      </c>
      <c r="G5705" s="7" t="s">
        <v>505</v>
      </c>
      <c r="H5705" s="6" t="n">
        <v>3.84</v>
      </c>
      <c r="I5705" s="6" t="n">
        <v>0</v>
      </c>
      <c r="J5705" s="40" t="n">
        <f aca="false">H5705-I5705</f>
        <v>3.84</v>
      </c>
      <c r="K5705" s="41" t="n">
        <v>34</v>
      </c>
      <c r="L5705" s="42" t="n">
        <f aca="false">J5705*K5705</f>
        <v>130.56</v>
      </c>
      <c r="M5705" s="43" t="n">
        <f aca="false">H5705*17.84*(1+'Chart of Accounts'!$E$67)</f>
        <v>78.438912</v>
      </c>
    </row>
    <row r="5706" customFormat="false" ht="15" hidden="false" customHeight="false" outlineLevel="0" collapsed="false">
      <c r="B5706" s="7" t="s">
        <v>6203</v>
      </c>
      <c r="C5706" s="39" t="n">
        <v>45926</v>
      </c>
      <c r="D5706" s="7" t="s">
        <v>395</v>
      </c>
      <c r="E5706" s="7" t="s">
        <v>156</v>
      </c>
      <c r="F5706" s="7" t="s">
        <v>242</v>
      </c>
      <c r="G5706" s="7" t="s">
        <v>505</v>
      </c>
      <c r="H5706" s="6" t="n">
        <v>3.84</v>
      </c>
      <c r="I5706" s="6" t="n">
        <v>0</v>
      </c>
      <c r="J5706" s="40" t="n">
        <f aca="false">H5706-I5706</f>
        <v>3.84</v>
      </c>
      <c r="K5706" s="41" t="n">
        <v>34</v>
      </c>
      <c r="L5706" s="42" t="n">
        <f aca="false">J5706*K5706</f>
        <v>130.56</v>
      </c>
      <c r="M5706" s="43" t="n">
        <f aca="false">H5706*17.99*(1+'Chart of Accounts'!$E$67)</f>
        <v>79.098432</v>
      </c>
    </row>
    <row r="5707" customFormat="false" ht="15" hidden="false" customHeight="false" outlineLevel="0" collapsed="false">
      <c r="B5707" s="7" t="s">
        <v>6204</v>
      </c>
      <c r="C5707" s="39" t="n">
        <v>45926</v>
      </c>
      <c r="D5707" s="7" t="s">
        <v>397</v>
      </c>
      <c r="E5707" s="7" t="s">
        <v>159</v>
      </c>
      <c r="F5707" s="7" t="s">
        <v>203</v>
      </c>
      <c r="G5707" s="7" t="s">
        <v>502</v>
      </c>
      <c r="H5707" s="6" t="n">
        <v>1.02</v>
      </c>
      <c r="I5707" s="6" t="n">
        <v>0.071</v>
      </c>
      <c r="J5707" s="40" t="n">
        <f aca="false">H5707-I5707</f>
        <v>0.949</v>
      </c>
      <c r="K5707" s="41" t="n">
        <v>135</v>
      </c>
      <c r="L5707" s="42" t="n">
        <f aca="false">J5707*K5707</f>
        <v>128.115</v>
      </c>
      <c r="M5707" s="43" t="n">
        <f aca="false">H5707*49.43*(1+'Chart of Accounts'!$E$67)</f>
        <v>57.729297</v>
      </c>
    </row>
    <row r="5708" customFormat="false" ht="15" hidden="false" customHeight="false" outlineLevel="0" collapsed="false">
      <c r="B5708" s="7" t="s">
        <v>6205</v>
      </c>
      <c r="C5708" s="39" t="n">
        <v>45926</v>
      </c>
      <c r="D5708" s="7" t="s">
        <v>399</v>
      </c>
      <c r="E5708" s="7" t="s">
        <v>154</v>
      </c>
      <c r="F5708" s="7" t="s">
        <v>177</v>
      </c>
      <c r="G5708" s="7" t="s">
        <v>505</v>
      </c>
      <c r="H5708" s="6" t="n">
        <v>3.31</v>
      </c>
      <c r="I5708" s="6" t="n">
        <v>0</v>
      </c>
      <c r="J5708" s="40" t="n">
        <f aca="false">H5708-I5708</f>
        <v>3.31</v>
      </c>
      <c r="K5708" s="41" t="n">
        <v>26.5</v>
      </c>
      <c r="L5708" s="42" t="n">
        <f aca="false">J5708*K5708</f>
        <v>87.715</v>
      </c>
      <c r="M5708" s="43" t="n">
        <f aca="false">H5708*14.56*(1+'Chart of Accounts'!$E$67)</f>
        <v>55.181672</v>
      </c>
    </row>
    <row r="5709" customFormat="false" ht="15" hidden="false" customHeight="false" outlineLevel="0" collapsed="false">
      <c r="B5709" s="7" t="s">
        <v>6206</v>
      </c>
      <c r="C5709" s="39" t="n">
        <v>45926</v>
      </c>
      <c r="D5709" s="7" t="s">
        <v>401</v>
      </c>
      <c r="E5709" s="7" t="s">
        <v>156</v>
      </c>
      <c r="F5709" s="7" t="s">
        <v>254</v>
      </c>
      <c r="G5709" s="7" t="s">
        <v>505</v>
      </c>
      <c r="H5709" s="6" t="n">
        <v>4.09</v>
      </c>
      <c r="I5709" s="6" t="n">
        <v>0</v>
      </c>
      <c r="J5709" s="40" t="n">
        <f aca="false">H5709-I5709</f>
        <v>4.09</v>
      </c>
      <c r="K5709" s="41" t="n">
        <v>34</v>
      </c>
      <c r="L5709" s="42" t="n">
        <f aca="false">J5709*K5709</f>
        <v>139.06</v>
      </c>
      <c r="M5709" s="43" t="n">
        <f aca="false">H5709*17.1*(1+'Chart of Accounts'!$E$67)</f>
        <v>80.080155</v>
      </c>
    </row>
    <row r="5710" customFormat="false" ht="15" hidden="false" customHeight="false" outlineLevel="0" collapsed="false">
      <c r="B5710" s="7" t="s">
        <v>6207</v>
      </c>
      <c r="C5710" s="39" t="n">
        <v>45926</v>
      </c>
      <c r="D5710" s="7" t="s">
        <v>403</v>
      </c>
      <c r="E5710" s="7" t="s">
        <v>156</v>
      </c>
      <c r="F5710" s="7" t="s">
        <v>184</v>
      </c>
      <c r="G5710" s="7" t="s">
        <v>505</v>
      </c>
      <c r="H5710" s="6" t="n">
        <v>3.88</v>
      </c>
      <c r="I5710" s="6" t="n">
        <v>0</v>
      </c>
      <c r="J5710" s="40" t="n">
        <f aca="false">H5710-I5710</f>
        <v>3.88</v>
      </c>
      <c r="K5710" s="41" t="n">
        <v>34</v>
      </c>
      <c r="L5710" s="42" t="n">
        <f aca="false">J5710*K5710</f>
        <v>131.92</v>
      </c>
      <c r="M5710" s="43" t="n">
        <f aca="false">H5710*17.34*(1+'Chart of Accounts'!$E$67)</f>
        <v>77.034684</v>
      </c>
    </row>
    <row r="5711" customFormat="false" ht="15" hidden="false" customHeight="false" outlineLevel="0" collapsed="false">
      <c r="B5711" s="7" t="s">
        <v>6208</v>
      </c>
      <c r="C5711" s="39" t="n">
        <v>45926</v>
      </c>
      <c r="D5711" s="7" t="s">
        <v>407</v>
      </c>
      <c r="E5711" s="7" t="s">
        <v>159</v>
      </c>
      <c r="F5711" s="7" t="s">
        <v>260</v>
      </c>
      <c r="G5711" s="7" t="s">
        <v>502</v>
      </c>
      <c r="H5711" s="6" t="n">
        <v>0.94</v>
      </c>
      <c r="I5711" s="6" t="n">
        <v>0</v>
      </c>
      <c r="J5711" s="40" t="n">
        <f aca="false">H5711-I5711</f>
        <v>0.94</v>
      </c>
      <c r="K5711" s="41" t="n">
        <v>135</v>
      </c>
      <c r="L5711" s="42" t="n">
        <f aca="false">J5711*K5711</f>
        <v>126.9</v>
      </c>
      <c r="M5711" s="43" t="n">
        <f aca="false">H5711*79.8*(1+'Chart of Accounts'!$E$67)</f>
        <v>85.88874</v>
      </c>
    </row>
    <row r="5712" customFormat="false" ht="15" hidden="false" customHeight="false" outlineLevel="0" collapsed="false">
      <c r="B5712" s="7" t="s">
        <v>6209</v>
      </c>
      <c r="C5712" s="39" t="n">
        <v>45926</v>
      </c>
      <c r="D5712" s="7" t="s">
        <v>409</v>
      </c>
      <c r="E5712" s="7" t="s">
        <v>154</v>
      </c>
      <c r="F5712" s="7" t="s">
        <v>214</v>
      </c>
      <c r="G5712" s="7" t="s">
        <v>505</v>
      </c>
      <c r="H5712" s="6" t="n">
        <v>3.42</v>
      </c>
      <c r="I5712" s="6" t="n">
        <v>0</v>
      </c>
      <c r="J5712" s="40" t="n">
        <f aca="false">H5712-I5712</f>
        <v>3.42</v>
      </c>
      <c r="K5712" s="41" t="n">
        <v>26.5</v>
      </c>
      <c r="L5712" s="42" t="n">
        <f aca="false">J5712*K5712</f>
        <v>90.63</v>
      </c>
      <c r="M5712" s="43" t="n">
        <f aca="false">H5712*15.67*(1+'Chart of Accounts'!$E$67)</f>
        <v>61.362153</v>
      </c>
    </row>
    <row r="5713" customFormat="false" ht="15" hidden="false" customHeight="false" outlineLevel="0" collapsed="false">
      <c r="B5713" s="7" t="s">
        <v>6210</v>
      </c>
      <c r="C5713" s="39" t="n">
        <v>45926</v>
      </c>
      <c r="D5713" s="7" t="s">
        <v>411</v>
      </c>
      <c r="E5713" s="7" t="s">
        <v>154</v>
      </c>
      <c r="F5713" s="7" t="s">
        <v>177</v>
      </c>
      <c r="G5713" s="7" t="s">
        <v>505</v>
      </c>
      <c r="H5713" s="6" t="n">
        <v>4.79</v>
      </c>
      <c r="I5713" s="6" t="n">
        <v>0</v>
      </c>
      <c r="J5713" s="40" t="n">
        <f aca="false">H5713-I5713</f>
        <v>4.79</v>
      </c>
      <c r="K5713" s="41" t="n">
        <v>26.5</v>
      </c>
      <c r="L5713" s="42" t="n">
        <f aca="false">J5713*K5713</f>
        <v>126.935</v>
      </c>
      <c r="M5713" s="43" t="n">
        <f aca="false">H5713*14.56*(1+'Chart of Accounts'!$E$67)</f>
        <v>79.855048</v>
      </c>
    </row>
    <row r="5714" customFormat="false" ht="15" hidden="false" customHeight="false" outlineLevel="0" collapsed="false">
      <c r="B5714" s="7" t="s">
        <v>6211</v>
      </c>
      <c r="C5714" s="39" t="n">
        <v>45927</v>
      </c>
      <c r="D5714" s="7" t="s">
        <v>288</v>
      </c>
      <c r="E5714" s="7" t="s">
        <v>156</v>
      </c>
      <c r="F5714" s="7" t="s">
        <v>218</v>
      </c>
      <c r="G5714" s="7" t="s">
        <v>505</v>
      </c>
      <c r="H5714" s="6" t="n">
        <v>4.08</v>
      </c>
      <c r="I5714" s="6" t="n">
        <v>0</v>
      </c>
      <c r="J5714" s="40" t="n">
        <f aca="false">H5714-I5714</f>
        <v>4.08</v>
      </c>
      <c r="K5714" s="41" t="n">
        <v>34</v>
      </c>
      <c r="L5714" s="42" t="n">
        <f aca="false">J5714*K5714</f>
        <v>138.72</v>
      </c>
      <c r="M5714" s="43" t="n">
        <f aca="false">H5714*16.19*(1+'Chart of Accounts'!$E$67)</f>
        <v>75.633204</v>
      </c>
    </row>
    <row r="5715" customFormat="false" ht="15" hidden="false" customHeight="false" outlineLevel="0" collapsed="false">
      <c r="B5715" s="7" t="s">
        <v>6212</v>
      </c>
      <c r="C5715" s="39" t="n">
        <v>45927</v>
      </c>
      <c r="D5715" s="7" t="s">
        <v>321</v>
      </c>
      <c r="E5715" s="7" t="s">
        <v>154</v>
      </c>
      <c r="F5715" s="7" t="s">
        <v>218</v>
      </c>
      <c r="G5715" s="7" t="s">
        <v>505</v>
      </c>
      <c r="H5715" s="6" t="n">
        <v>3.96</v>
      </c>
      <c r="I5715" s="6" t="n">
        <v>0</v>
      </c>
      <c r="J5715" s="40" t="n">
        <f aca="false">H5715-I5715</f>
        <v>3.96</v>
      </c>
      <c r="K5715" s="41" t="n">
        <v>26.5</v>
      </c>
      <c r="L5715" s="42" t="n">
        <f aca="false">J5715*K5715</f>
        <v>104.94</v>
      </c>
      <c r="M5715" s="43" t="n">
        <f aca="false">H5715*16.19*(1+'Chart of Accounts'!$E$67)</f>
        <v>73.408698</v>
      </c>
    </row>
    <row r="5716" customFormat="false" ht="15" hidden="false" customHeight="false" outlineLevel="0" collapsed="false">
      <c r="B5716" s="7" t="s">
        <v>6213</v>
      </c>
      <c r="C5716" s="39" t="n">
        <v>45927</v>
      </c>
      <c r="D5716" s="7" t="s">
        <v>359</v>
      </c>
      <c r="E5716" s="7" t="s">
        <v>156</v>
      </c>
      <c r="F5716" s="7" t="s">
        <v>254</v>
      </c>
      <c r="G5716" s="7" t="s">
        <v>505</v>
      </c>
      <c r="H5716" s="6" t="n">
        <v>3.74</v>
      </c>
      <c r="I5716" s="6" t="n">
        <v>0</v>
      </c>
      <c r="J5716" s="40" t="n">
        <f aca="false">H5716-I5716</f>
        <v>3.74</v>
      </c>
      <c r="K5716" s="41" t="n">
        <v>34</v>
      </c>
      <c r="L5716" s="42" t="n">
        <f aca="false">J5716*K5716</f>
        <v>127.16</v>
      </c>
      <c r="M5716" s="43" t="n">
        <f aca="false">H5716*17.1*(1+'Chart of Accounts'!$E$67)</f>
        <v>73.22733</v>
      </c>
    </row>
    <row r="5717" customFormat="false" ht="15" hidden="false" customHeight="false" outlineLevel="0" collapsed="false">
      <c r="B5717" s="7" t="s">
        <v>6214</v>
      </c>
      <c r="C5717" s="39" t="n">
        <v>45927</v>
      </c>
      <c r="D5717" s="7" t="s">
        <v>387</v>
      </c>
      <c r="E5717" s="7" t="s">
        <v>154</v>
      </c>
      <c r="F5717" s="7" t="s">
        <v>196</v>
      </c>
      <c r="G5717" s="7" t="s">
        <v>505</v>
      </c>
      <c r="H5717" s="6" t="n">
        <v>3.93</v>
      </c>
      <c r="I5717" s="6" t="n">
        <v>0</v>
      </c>
      <c r="J5717" s="40" t="n">
        <f aca="false">H5717-I5717</f>
        <v>3.93</v>
      </c>
      <c r="K5717" s="41" t="n">
        <v>26.5</v>
      </c>
      <c r="L5717" s="42" t="n">
        <f aca="false">J5717*K5717</f>
        <v>104.145</v>
      </c>
      <c r="M5717" s="43" t="n">
        <f aca="false">H5717*15.05*(1+'Chart of Accounts'!$E$67)</f>
        <v>67.7227425</v>
      </c>
    </row>
    <row r="5718" customFormat="false" ht="15" hidden="false" customHeight="false" outlineLevel="0" collapsed="false">
      <c r="B5718" s="7" t="s">
        <v>6215</v>
      </c>
      <c r="C5718" s="39" t="n">
        <v>45927</v>
      </c>
      <c r="D5718" s="7" t="s">
        <v>391</v>
      </c>
      <c r="E5718" s="7" t="s">
        <v>156</v>
      </c>
      <c r="F5718" s="7" t="s">
        <v>222</v>
      </c>
      <c r="G5718" s="7" t="s">
        <v>505</v>
      </c>
      <c r="H5718" s="6" t="n">
        <v>3.67</v>
      </c>
      <c r="I5718" s="6" t="n">
        <v>0</v>
      </c>
      <c r="J5718" s="40" t="n">
        <f aca="false">H5718-I5718</f>
        <v>3.67</v>
      </c>
      <c r="K5718" s="41" t="n">
        <v>34</v>
      </c>
      <c r="L5718" s="42" t="n">
        <f aca="false">J5718*K5718</f>
        <v>124.78</v>
      </c>
      <c r="M5718" s="43" t="n">
        <f aca="false">H5718*17.84*(1+'Chart of Accounts'!$E$67)</f>
        <v>74.966356</v>
      </c>
    </row>
    <row r="5719" customFormat="false" ht="15" hidden="false" customHeight="false" outlineLevel="0" collapsed="false">
      <c r="B5719" s="7" t="s">
        <v>6216</v>
      </c>
      <c r="C5719" s="39" t="n">
        <v>45927</v>
      </c>
      <c r="D5719" s="7" t="s">
        <v>395</v>
      </c>
      <c r="E5719" s="7" t="s">
        <v>156</v>
      </c>
      <c r="F5719" s="7" t="s">
        <v>242</v>
      </c>
      <c r="G5719" s="7" t="s">
        <v>505</v>
      </c>
      <c r="H5719" s="6" t="n">
        <v>4.12</v>
      </c>
      <c r="I5719" s="6" t="n">
        <v>0</v>
      </c>
      <c r="J5719" s="40" t="n">
        <f aca="false">H5719-I5719</f>
        <v>4.12</v>
      </c>
      <c r="K5719" s="41" t="n">
        <v>34</v>
      </c>
      <c r="L5719" s="42" t="n">
        <f aca="false">J5719*K5719</f>
        <v>140.08</v>
      </c>
      <c r="M5719" s="43" t="n">
        <f aca="false">H5719*17.99*(1+'Chart of Accounts'!$E$67)</f>
        <v>84.866026</v>
      </c>
    </row>
    <row r="5720" customFormat="false" ht="15" hidden="false" customHeight="false" outlineLevel="0" collapsed="false">
      <c r="B5720" s="7" t="s">
        <v>6217</v>
      </c>
      <c r="C5720" s="39" t="n">
        <v>45927</v>
      </c>
      <c r="D5720" s="7" t="s">
        <v>401</v>
      </c>
      <c r="E5720" s="7" t="s">
        <v>156</v>
      </c>
      <c r="F5720" s="7" t="s">
        <v>254</v>
      </c>
      <c r="G5720" s="7" t="s">
        <v>505</v>
      </c>
      <c r="H5720" s="6" t="n">
        <v>3.72</v>
      </c>
      <c r="I5720" s="6" t="n">
        <v>0</v>
      </c>
      <c r="J5720" s="40" t="n">
        <f aca="false">H5720-I5720</f>
        <v>3.72</v>
      </c>
      <c r="K5720" s="41" t="n">
        <v>34</v>
      </c>
      <c r="L5720" s="42" t="n">
        <f aca="false">J5720*K5720</f>
        <v>126.48</v>
      </c>
      <c r="M5720" s="43" t="n">
        <f aca="false">H5720*17.1*(1+'Chart of Accounts'!$E$67)</f>
        <v>72.83574</v>
      </c>
    </row>
    <row r="5721" customFormat="false" ht="15" hidden="false" customHeight="false" outlineLevel="0" collapsed="false">
      <c r="B5721" s="7" t="s">
        <v>6218</v>
      </c>
      <c r="C5721" s="39" t="n">
        <v>45928</v>
      </c>
      <c r="D5721" s="7" t="s">
        <v>288</v>
      </c>
      <c r="E5721" s="7" t="s">
        <v>156</v>
      </c>
      <c r="F5721" s="7" t="s">
        <v>238</v>
      </c>
      <c r="G5721" s="7" t="s">
        <v>505</v>
      </c>
      <c r="H5721" s="6" t="n">
        <v>4.34</v>
      </c>
      <c r="I5721" s="6" t="n">
        <v>0</v>
      </c>
      <c r="J5721" s="40" t="n">
        <f aca="false">H5721-I5721</f>
        <v>4.34</v>
      </c>
      <c r="K5721" s="41" t="n">
        <v>34</v>
      </c>
      <c r="L5721" s="42" t="n">
        <f aca="false">J5721*K5721</f>
        <v>147.56</v>
      </c>
      <c r="M5721" s="43" t="n">
        <f aca="false">H5721*15.85*(1+'Chart of Accounts'!$E$67)</f>
        <v>78.763405</v>
      </c>
    </row>
    <row r="5722" customFormat="false" ht="15" hidden="false" customHeight="false" outlineLevel="0" collapsed="false">
      <c r="B5722" s="7" t="s">
        <v>6219</v>
      </c>
      <c r="C5722" s="39" t="n">
        <v>45928</v>
      </c>
      <c r="D5722" s="7" t="s">
        <v>321</v>
      </c>
      <c r="E5722" s="7" t="s">
        <v>154</v>
      </c>
      <c r="F5722" s="7" t="s">
        <v>218</v>
      </c>
      <c r="G5722" s="7" t="s">
        <v>505</v>
      </c>
      <c r="H5722" s="6" t="n">
        <v>3.72</v>
      </c>
      <c r="I5722" s="6" t="n">
        <v>0</v>
      </c>
      <c r="J5722" s="40" t="n">
        <f aca="false">H5722-I5722</f>
        <v>3.72</v>
      </c>
      <c r="K5722" s="41" t="n">
        <v>26.5</v>
      </c>
      <c r="L5722" s="42" t="n">
        <f aca="false">J5722*K5722</f>
        <v>98.58</v>
      </c>
      <c r="M5722" s="43" t="n">
        <f aca="false">H5722*16.19*(1+'Chart of Accounts'!$E$67)</f>
        <v>68.959686</v>
      </c>
    </row>
    <row r="5723" customFormat="false" ht="15" hidden="false" customHeight="false" outlineLevel="0" collapsed="false">
      <c r="B5723" s="7" t="s">
        <v>6220</v>
      </c>
      <c r="C5723" s="39" t="n">
        <v>45928</v>
      </c>
      <c r="D5723" s="7" t="s">
        <v>359</v>
      </c>
      <c r="E5723" s="7" t="s">
        <v>156</v>
      </c>
      <c r="F5723" s="7" t="s">
        <v>238</v>
      </c>
      <c r="G5723" s="7" t="s">
        <v>505</v>
      </c>
      <c r="H5723" s="6" t="n">
        <v>4.16</v>
      </c>
      <c r="I5723" s="6" t="n">
        <v>0</v>
      </c>
      <c r="J5723" s="40" t="n">
        <f aca="false">H5723-I5723</f>
        <v>4.16</v>
      </c>
      <c r="K5723" s="41" t="n">
        <v>34</v>
      </c>
      <c r="L5723" s="42" t="n">
        <f aca="false">J5723*K5723</f>
        <v>141.44</v>
      </c>
      <c r="M5723" s="43" t="n">
        <f aca="false">H5723*15.85*(1+'Chart of Accounts'!$E$67)</f>
        <v>75.49672</v>
      </c>
    </row>
    <row r="5724" customFormat="false" ht="15" hidden="false" customHeight="false" outlineLevel="0" collapsed="false">
      <c r="B5724" s="7" t="s">
        <v>6221</v>
      </c>
      <c r="C5724" s="39" t="n">
        <v>45928</v>
      </c>
      <c r="D5724" s="7" t="s">
        <v>387</v>
      </c>
      <c r="E5724" s="7" t="s">
        <v>154</v>
      </c>
      <c r="F5724" s="7" t="s">
        <v>196</v>
      </c>
      <c r="G5724" s="7" t="s">
        <v>505</v>
      </c>
      <c r="H5724" s="6" t="n">
        <v>4.13</v>
      </c>
      <c r="I5724" s="6" t="n">
        <v>0</v>
      </c>
      <c r="J5724" s="40" t="n">
        <f aca="false">H5724-I5724</f>
        <v>4.13</v>
      </c>
      <c r="K5724" s="41" t="n">
        <v>26.5</v>
      </c>
      <c r="L5724" s="42" t="n">
        <f aca="false">J5724*K5724</f>
        <v>109.445</v>
      </c>
      <c r="M5724" s="43" t="n">
        <f aca="false">H5724*15.05*(1+'Chart of Accounts'!$E$67)</f>
        <v>71.1691925</v>
      </c>
    </row>
    <row r="5725" customFormat="false" ht="15" hidden="false" customHeight="false" outlineLevel="0" collapsed="false">
      <c r="B5725" s="7" t="s">
        <v>6222</v>
      </c>
      <c r="C5725" s="39" t="n">
        <v>45928</v>
      </c>
      <c r="D5725" s="7" t="s">
        <v>391</v>
      </c>
      <c r="E5725" s="7" t="s">
        <v>156</v>
      </c>
      <c r="F5725" s="7" t="s">
        <v>222</v>
      </c>
      <c r="G5725" s="7" t="s">
        <v>505</v>
      </c>
      <c r="H5725" s="6" t="n">
        <v>3.74</v>
      </c>
      <c r="I5725" s="6" t="n">
        <v>0</v>
      </c>
      <c r="J5725" s="40" t="n">
        <f aca="false">H5725-I5725</f>
        <v>3.74</v>
      </c>
      <c r="K5725" s="41" t="n">
        <v>34</v>
      </c>
      <c r="L5725" s="42" t="n">
        <f aca="false">J5725*K5725</f>
        <v>127.16</v>
      </c>
      <c r="M5725" s="43" t="n">
        <f aca="false">H5725*17.84*(1+'Chart of Accounts'!$E$67)</f>
        <v>76.396232</v>
      </c>
    </row>
    <row r="5726" customFormat="false" ht="15" hidden="false" customHeight="false" outlineLevel="0" collapsed="false">
      <c r="B5726" s="7" t="s">
        <v>6223</v>
      </c>
      <c r="C5726" s="39" t="n">
        <v>45928</v>
      </c>
      <c r="D5726" s="7" t="s">
        <v>395</v>
      </c>
      <c r="E5726" s="7" t="s">
        <v>156</v>
      </c>
      <c r="F5726" s="7" t="s">
        <v>242</v>
      </c>
      <c r="G5726" s="7" t="s">
        <v>505</v>
      </c>
      <c r="H5726" s="6" t="n">
        <v>4.21</v>
      </c>
      <c r="I5726" s="6" t="n">
        <v>0</v>
      </c>
      <c r="J5726" s="40" t="n">
        <f aca="false">H5726-I5726</f>
        <v>4.21</v>
      </c>
      <c r="K5726" s="41" t="n">
        <v>34</v>
      </c>
      <c r="L5726" s="42" t="n">
        <f aca="false">J5726*K5726</f>
        <v>143.14</v>
      </c>
      <c r="M5726" s="43" t="n">
        <f aca="false">H5726*17.99*(1+'Chart of Accounts'!$E$67)</f>
        <v>86.7198955</v>
      </c>
    </row>
    <row r="5727" customFormat="false" ht="15" hidden="false" customHeight="false" outlineLevel="0" collapsed="false">
      <c r="B5727" s="7" t="s">
        <v>6224</v>
      </c>
      <c r="C5727" s="39" t="n">
        <v>45928</v>
      </c>
      <c r="D5727" s="7" t="s">
        <v>401</v>
      </c>
      <c r="E5727" s="7" t="s">
        <v>156</v>
      </c>
      <c r="F5727" s="7" t="s">
        <v>254</v>
      </c>
      <c r="G5727" s="7" t="s">
        <v>505</v>
      </c>
      <c r="H5727" s="6" t="n">
        <v>3.66</v>
      </c>
      <c r="I5727" s="6" t="n">
        <v>0</v>
      </c>
      <c r="J5727" s="40" t="n">
        <f aca="false">H5727-I5727</f>
        <v>3.66</v>
      </c>
      <c r="K5727" s="41" t="n">
        <v>34</v>
      </c>
      <c r="L5727" s="42" t="n">
        <f aca="false">J5727*K5727</f>
        <v>124.44</v>
      </c>
      <c r="M5727" s="43" t="n">
        <f aca="false">H5727*17.1*(1+'Chart of Accounts'!$E$67)</f>
        <v>71.66097</v>
      </c>
    </row>
    <row r="5728" customFormat="false" ht="15" hidden="false" customHeight="false" outlineLevel="0" collapsed="false">
      <c r="B5728" s="7" t="s">
        <v>6225</v>
      </c>
      <c r="C5728" s="39" t="n">
        <v>45929</v>
      </c>
      <c r="D5728" s="7" t="s">
        <v>288</v>
      </c>
      <c r="E5728" s="7" t="s">
        <v>156</v>
      </c>
      <c r="F5728" s="7" t="s">
        <v>224</v>
      </c>
      <c r="G5728" s="7" t="s">
        <v>505</v>
      </c>
      <c r="H5728" s="6" t="n">
        <v>3.62</v>
      </c>
      <c r="I5728" s="6" t="n">
        <v>0</v>
      </c>
      <c r="J5728" s="40" t="n">
        <f aca="false">H5728-I5728</f>
        <v>3.62</v>
      </c>
      <c r="K5728" s="41" t="n">
        <v>34</v>
      </c>
      <c r="L5728" s="42" t="n">
        <f aca="false">J5728*K5728</f>
        <v>123.08</v>
      </c>
      <c r="M5728" s="43" t="n">
        <f aca="false">H5728*14.93*(1+'Chart of Accounts'!$E$67)</f>
        <v>61.883357</v>
      </c>
    </row>
    <row r="5729" customFormat="false" ht="15" hidden="false" customHeight="false" outlineLevel="0" collapsed="false">
      <c r="B5729" s="7" t="s">
        <v>6226</v>
      </c>
      <c r="C5729" s="39" t="n">
        <v>45929</v>
      </c>
      <c r="D5729" s="7" t="s">
        <v>291</v>
      </c>
      <c r="E5729" s="7" t="s">
        <v>154</v>
      </c>
      <c r="F5729" s="7" t="s">
        <v>194</v>
      </c>
      <c r="G5729" s="7" t="s">
        <v>505</v>
      </c>
      <c r="H5729" s="6" t="n">
        <v>4.39</v>
      </c>
      <c r="I5729" s="6" t="n">
        <v>0</v>
      </c>
      <c r="J5729" s="40" t="n">
        <f aca="false">H5729-I5729</f>
        <v>4.39</v>
      </c>
      <c r="K5729" s="41" t="n">
        <v>26.5</v>
      </c>
      <c r="L5729" s="42" t="n">
        <f aca="false">J5729*K5729</f>
        <v>116.335</v>
      </c>
      <c r="M5729" s="43" t="n">
        <f aca="false">H5729*16*(1+'Chart of Accounts'!$E$67)</f>
        <v>80.4248</v>
      </c>
    </row>
    <row r="5730" customFormat="false" ht="15" hidden="false" customHeight="false" outlineLevel="0" collapsed="false">
      <c r="B5730" s="7" t="s">
        <v>6227</v>
      </c>
      <c r="C5730" s="39" t="n">
        <v>45929</v>
      </c>
      <c r="D5730" s="7" t="s">
        <v>295</v>
      </c>
      <c r="E5730" s="7" t="s">
        <v>154</v>
      </c>
      <c r="F5730" s="7" t="s">
        <v>214</v>
      </c>
      <c r="G5730" s="7" t="s">
        <v>505</v>
      </c>
      <c r="H5730" s="6" t="n">
        <v>4.21</v>
      </c>
      <c r="I5730" s="6" t="n">
        <v>0</v>
      </c>
      <c r="J5730" s="40" t="n">
        <f aca="false">H5730-I5730</f>
        <v>4.21</v>
      </c>
      <c r="K5730" s="41" t="n">
        <v>26.5</v>
      </c>
      <c r="L5730" s="42" t="n">
        <f aca="false">J5730*K5730</f>
        <v>111.565</v>
      </c>
      <c r="M5730" s="43" t="n">
        <f aca="false">H5730*15.67*(1+'Chart of Accounts'!$E$67)</f>
        <v>75.5364515</v>
      </c>
    </row>
    <row r="5731" customFormat="false" ht="15" hidden="false" customHeight="false" outlineLevel="0" collapsed="false">
      <c r="B5731" s="7" t="s">
        <v>6228</v>
      </c>
      <c r="C5731" s="39" t="n">
        <v>45929</v>
      </c>
      <c r="D5731" s="7" t="s">
        <v>297</v>
      </c>
      <c r="E5731" s="7" t="s">
        <v>156</v>
      </c>
      <c r="F5731" s="7" t="s">
        <v>201</v>
      </c>
      <c r="G5731" s="7" t="s">
        <v>505</v>
      </c>
      <c r="H5731" s="6" t="n">
        <v>3.02</v>
      </c>
      <c r="I5731" s="6" t="n">
        <v>0</v>
      </c>
      <c r="J5731" s="40" t="n">
        <f aca="false">H5731-I5731</f>
        <v>3.02</v>
      </c>
      <c r="K5731" s="41" t="n">
        <v>34</v>
      </c>
      <c r="L5731" s="42" t="n">
        <f aca="false">J5731*K5731</f>
        <v>102.68</v>
      </c>
      <c r="M5731" s="43" t="n">
        <f aca="false">H5731*15.19*(1+'Chart of Accounts'!$E$67)</f>
        <v>52.525501</v>
      </c>
    </row>
    <row r="5732" customFormat="false" ht="15" hidden="false" customHeight="false" outlineLevel="0" collapsed="false">
      <c r="B5732" s="7" t="s">
        <v>6229</v>
      </c>
      <c r="C5732" s="39" t="n">
        <v>45929</v>
      </c>
      <c r="D5732" s="7" t="s">
        <v>305</v>
      </c>
      <c r="E5732" s="7" t="s">
        <v>154</v>
      </c>
      <c r="F5732" s="7" t="s">
        <v>205</v>
      </c>
      <c r="G5732" s="7" t="s">
        <v>505</v>
      </c>
      <c r="H5732" s="6" t="n">
        <v>3.73</v>
      </c>
      <c r="I5732" s="6" t="n">
        <v>0.112</v>
      </c>
      <c r="J5732" s="40" t="n">
        <f aca="false">H5732-I5732</f>
        <v>3.618</v>
      </c>
      <c r="K5732" s="41" t="n">
        <v>26.5</v>
      </c>
      <c r="L5732" s="42" t="n">
        <f aca="false">J5732*K5732</f>
        <v>95.877</v>
      </c>
      <c r="M5732" s="43" t="n">
        <f aca="false">H5732*16.36*(1+'Chart of Accounts'!$E$67)</f>
        <v>69.871106</v>
      </c>
    </row>
    <row r="5733" customFormat="false" ht="15" hidden="false" customHeight="false" outlineLevel="0" collapsed="false">
      <c r="B5733" s="7" t="s">
        <v>6230</v>
      </c>
      <c r="C5733" s="39" t="n">
        <v>45929</v>
      </c>
      <c r="D5733" s="7" t="s">
        <v>307</v>
      </c>
      <c r="E5733" s="7" t="s">
        <v>157</v>
      </c>
      <c r="F5733" s="7" t="s">
        <v>264</v>
      </c>
      <c r="G5733" s="7" t="s">
        <v>502</v>
      </c>
      <c r="H5733" s="6" t="n">
        <v>1.07</v>
      </c>
      <c r="I5733" s="6" t="n">
        <v>0</v>
      </c>
      <c r="J5733" s="40" t="n">
        <f aca="false">H5733-I5733</f>
        <v>1.07</v>
      </c>
      <c r="K5733" s="41" t="n">
        <v>165</v>
      </c>
      <c r="L5733" s="42" t="n">
        <f aca="false">J5733*K5733</f>
        <v>176.55</v>
      </c>
      <c r="M5733" s="43" t="n">
        <f aca="false">H5733*55.55*(1+'Chart of Accounts'!$E$67)</f>
        <v>68.0570825</v>
      </c>
    </row>
    <row r="5734" customFormat="false" ht="15" hidden="false" customHeight="false" outlineLevel="0" collapsed="false">
      <c r="B5734" s="7" t="s">
        <v>6231</v>
      </c>
      <c r="C5734" s="39" t="n">
        <v>45929</v>
      </c>
      <c r="D5734" s="7" t="s">
        <v>309</v>
      </c>
      <c r="E5734" s="7" t="s">
        <v>159</v>
      </c>
      <c r="F5734" s="7" t="s">
        <v>252</v>
      </c>
      <c r="G5734" s="7" t="s">
        <v>502</v>
      </c>
      <c r="H5734" s="6" t="n">
        <v>1.06</v>
      </c>
      <c r="I5734" s="6" t="n">
        <v>0</v>
      </c>
      <c r="J5734" s="40" t="n">
        <f aca="false">H5734-I5734</f>
        <v>1.06</v>
      </c>
      <c r="K5734" s="41" t="n">
        <v>135</v>
      </c>
      <c r="L5734" s="42" t="n">
        <f aca="false">J5734*K5734</f>
        <v>143.1</v>
      </c>
      <c r="M5734" s="43" t="n">
        <f aca="false">H5734*57.54*(1+'Chart of Accounts'!$E$67)</f>
        <v>69.836298</v>
      </c>
    </row>
    <row r="5735" customFormat="false" ht="15" hidden="false" customHeight="false" outlineLevel="0" collapsed="false">
      <c r="B5735" s="7" t="s">
        <v>6232</v>
      </c>
      <c r="C5735" s="39" t="n">
        <v>45929</v>
      </c>
      <c r="D5735" s="7" t="s">
        <v>311</v>
      </c>
      <c r="E5735" s="7" t="s">
        <v>154</v>
      </c>
      <c r="F5735" s="7" t="s">
        <v>196</v>
      </c>
      <c r="G5735" s="7" t="s">
        <v>505</v>
      </c>
      <c r="H5735" s="6" t="n">
        <v>3.1</v>
      </c>
      <c r="I5735" s="6" t="n">
        <v>0</v>
      </c>
      <c r="J5735" s="40" t="n">
        <f aca="false">H5735-I5735</f>
        <v>3.1</v>
      </c>
      <c r="K5735" s="41" t="n">
        <v>26.5</v>
      </c>
      <c r="L5735" s="42" t="n">
        <f aca="false">J5735*K5735</f>
        <v>82.15</v>
      </c>
      <c r="M5735" s="43" t="n">
        <f aca="false">H5735*15.05*(1+'Chart of Accounts'!$E$67)</f>
        <v>53.419975</v>
      </c>
    </row>
    <row r="5736" customFormat="false" ht="15" hidden="false" customHeight="false" outlineLevel="0" collapsed="false">
      <c r="B5736" s="7" t="s">
        <v>6233</v>
      </c>
      <c r="C5736" s="39" t="n">
        <v>45929</v>
      </c>
      <c r="D5736" s="7" t="s">
        <v>313</v>
      </c>
      <c r="E5736" s="7" t="s">
        <v>156</v>
      </c>
      <c r="F5736" s="7" t="s">
        <v>184</v>
      </c>
      <c r="G5736" s="7" t="s">
        <v>505</v>
      </c>
      <c r="H5736" s="6" t="n">
        <v>4.03</v>
      </c>
      <c r="I5736" s="6" t="n">
        <v>0</v>
      </c>
      <c r="J5736" s="40" t="n">
        <f aca="false">H5736-I5736</f>
        <v>4.03</v>
      </c>
      <c r="K5736" s="41" t="n">
        <v>34</v>
      </c>
      <c r="L5736" s="42" t="n">
        <f aca="false">J5736*K5736</f>
        <v>137.02</v>
      </c>
      <c r="M5736" s="43" t="n">
        <f aca="false">H5736*17.34*(1+'Chart of Accounts'!$E$67)</f>
        <v>80.012829</v>
      </c>
    </row>
    <row r="5737" customFormat="false" ht="15" hidden="false" customHeight="false" outlineLevel="0" collapsed="false">
      <c r="B5737" s="7" t="s">
        <v>6234</v>
      </c>
      <c r="C5737" s="39" t="n">
        <v>45929</v>
      </c>
      <c r="D5737" s="7" t="s">
        <v>315</v>
      </c>
      <c r="E5737" s="7" t="s">
        <v>159</v>
      </c>
      <c r="F5737" s="7" t="s">
        <v>216</v>
      </c>
      <c r="G5737" s="7" t="s">
        <v>502</v>
      </c>
      <c r="H5737" s="6" t="n">
        <v>1.01</v>
      </c>
      <c r="I5737" s="6" t="n">
        <v>0</v>
      </c>
      <c r="J5737" s="40" t="n">
        <f aca="false">H5737-I5737</f>
        <v>1.01</v>
      </c>
      <c r="K5737" s="41" t="n">
        <v>135</v>
      </c>
      <c r="L5737" s="42" t="n">
        <f aca="false">J5737*K5737</f>
        <v>136.35</v>
      </c>
      <c r="M5737" s="43" t="n">
        <f aca="false">H5737*61.79*(1+'Chart of Accounts'!$E$67)</f>
        <v>71.4570455</v>
      </c>
    </row>
    <row r="5738" customFormat="false" ht="15" hidden="false" customHeight="false" outlineLevel="0" collapsed="false">
      <c r="B5738" s="7" t="s">
        <v>6235</v>
      </c>
      <c r="C5738" s="39" t="n">
        <v>45929</v>
      </c>
      <c r="D5738" s="7" t="s">
        <v>317</v>
      </c>
      <c r="E5738" s="7" t="s">
        <v>156</v>
      </c>
      <c r="F5738" s="7" t="s">
        <v>196</v>
      </c>
      <c r="G5738" s="7" t="s">
        <v>505</v>
      </c>
      <c r="H5738" s="6" t="n">
        <v>2.71</v>
      </c>
      <c r="I5738" s="6" t="n">
        <v>0</v>
      </c>
      <c r="J5738" s="40" t="n">
        <f aca="false">H5738-I5738</f>
        <v>2.71</v>
      </c>
      <c r="K5738" s="41" t="n">
        <v>34</v>
      </c>
      <c r="L5738" s="42" t="n">
        <f aca="false">J5738*K5738</f>
        <v>92.14</v>
      </c>
      <c r="M5738" s="43" t="n">
        <f aca="false">H5738*15.05*(1+'Chart of Accounts'!$E$67)</f>
        <v>46.6993975</v>
      </c>
    </row>
    <row r="5739" customFormat="false" ht="15" hidden="false" customHeight="false" outlineLevel="0" collapsed="false">
      <c r="B5739" s="7" t="s">
        <v>6236</v>
      </c>
      <c r="C5739" s="39" t="n">
        <v>45929</v>
      </c>
      <c r="D5739" s="7" t="s">
        <v>321</v>
      </c>
      <c r="E5739" s="7" t="s">
        <v>154</v>
      </c>
      <c r="F5739" s="7" t="s">
        <v>218</v>
      </c>
      <c r="G5739" s="7" t="s">
        <v>505</v>
      </c>
      <c r="H5739" s="6" t="n">
        <v>3.81</v>
      </c>
      <c r="I5739" s="6" t="n">
        <v>0</v>
      </c>
      <c r="J5739" s="40" t="n">
        <f aca="false">H5739-I5739</f>
        <v>3.81</v>
      </c>
      <c r="K5739" s="41" t="n">
        <v>26.5</v>
      </c>
      <c r="L5739" s="42" t="n">
        <f aca="false">J5739*K5739</f>
        <v>100.965</v>
      </c>
      <c r="M5739" s="43" t="n">
        <f aca="false">H5739*16.19*(1+'Chart of Accounts'!$E$67)</f>
        <v>70.6280655</v>
      </c>
    </row>
    <row r="5740" customFormat="false" ht="15" hidden="false" customHeight="false" outlineLevel="0" collapsed="false">
      <c r="B5740" s="7" t="s">
        <v>6237</v>
      </c>
      <c r="C5740" s="39" t="n">
        <v>45929</v>
      </c>
      <c r="D5740" s="7" t="s">
        <v>325</v>
      </c>
      <c r="E5740" s="7" t="s">
        <v>154</v>
      </c>
      <c r="F5740" s="7" t="s">
        <v>177</v>
      </c>
      <c r="G5740" s="7" t="s">
        <v>505</v>
      </c>
      <c r="H5740" s="6" t="n">
        <v>3.29</v>
      </c>
      <c r="I5740" s="6" t="n">
        <v>0.099</v>
      </c>
      <c r="J5740" s="40" t="n">
        <f aca="false">H5740-I5740</f>
        <v>3.191</v>
      </c>
      <c r="K5740" s="41" t="n">
        <v>26.5</v>
      </c>
      <c r="L5740" s="42" t="n">
        <f aca="false">J5740*K5740</f>
        <v>84.5615</v>
      </c>
      <c r="M5740" s="43" t="n">
        <f aca="false">H5740*14.56*(1+'Chart of Accounts'!$E$67)</f>
        <v>54.848248</v>
      </c>
    </row>
    <row r="5741" customFormat="false" ht="15" hidden="false" customHeight="false" outlineLevel="0" collapsed="false">
      <c r="B5741" s="7" t="s">
        <v>6238</v>
      </c>
      <c r="C5741" s="39" t="n">
        <v>45929</v>
      </c>
      <c r="D5741" s="7" t="s">
        <v>329</v>
      </c>
      <c r="E5741" s="7" t="s">
        <v>156</v>
      </c>
      <c r="F5741" s="7" t="s">
        <v>220</v>
      </c>
      <c r="G5741" s="7" t="s">
        <v>505</v>
      </c>
      <c r="H5741" s="6" t="n">
        <v>3.91</v>
      </c>
      <c r="I5741" s="6" t="n">
        <v>0</v>
      </c>
      <c r="J5741" s="40" t="n">
        <f aca="false">H5741-I5741</f>
        <v>3.91</v>
      </c>
      <c r="K5741" s="41" t="n">
        <v>34</v>
      </c>
      <c r="L5741" s="42" t="n">
        <f aca="false">J5741*K5741</f>
        <v>132.94</v>
      </c>
      <c r="M5741" s="43" t="n">
        <f aca="false">H5741*16.43*(1+'Chart of Accounts'!$E$67)</f>
        <v>73.5562885</v>
      </c>
    </row>
    <row r="5742" customFormat="false" ht="15" hidden="false" customHeight="false" outlineLevel="0" collapsed="false">
      <c r="B5742" s="7" t="s">
        <v>6239</v>
      </c>
      <c r="C5742" s="39" t="n">
        <v>45929</v>
      </c>
      <c r="D5742" s="7" t="s">
        <v>331</v>
      </c>
      <c r="E5742" s="7" t="s">
        <v>156</v>
      </c>
      <c r="F5742" s="7" t="s">
        <v>224</v>
      </c>
      <c r="G5742" s="7" t="s">
        <v>505</v>
      </c>
      <c r="H5742" s="6" t="n">
        <v>4.35</v>
      </c>
      <c r="I5742" s="6" t="n">
        <v>0</v>
      </c>
      <c r="J5742" s="40" t="n">
        <f aca="false">H5742-I5742</f>
        <v>4.35</v>
      </c>
      <c r="K5742" s="41" t="n">
        <v>34</v>
      </c>
      <c r="L5742" s="42" t="n">
        <f aca="false">J5742*K5742</f>
        <v>147.9</v>
      </c>
      <c r="M5742" s="43" t="n">
        <f aca="false">H5742*14.93*(1+'Chart of Accounts'!$E$67)</f>
        <v>74.3625975</v>
      </c>
    </row>
    <row r="5743" customFormat="false" ht="15" hidden="false" customHeight="false" outlineLevel="0" collapsed="false">
      <c r="B5743" s="7" t="s">
        <v>6240</v>
      </c>
      <c r="C5743" s="39" t="n">
        <v>45929</v>
      </c>
      <c r="D5743" s="7" t="s">
        <v>335</v>
      </c>
      <c r="E5743" s="7" t="s">
        <v>154</v>
      </c>
      <c r="F5743" s="7" t="s">
        <v>177</v>
      </c>
      <c r="G5743" s="7" t="s">
        <v>505</v>
      </c>
      <c r="H5743" s="6" t="n">
        <v>3.8</v>
      </c>
      <c r="I5743" s="6" t="n">
        <v>0</v>
      </c>
      <c r="J5743" s="40" t="n">
        <f aca="false">H5743-I5743</f>
        <v>3.8</v>
      </c>
      <c r="K5743" s="41" t="n">
        <v>26.5</v>
      </c>
      <c r="L5743" s="42" t="n">
        <f aca="false">J5743*K5743</f>
        <v>100.7</v>
      </c>
      <c r="M5743" s="43" t="n">
        <f aca="false">H5743*14.56*(1+'Chart of Accounts'!$E$67)</f>
        <v>63.35056</v>
      </c>
    </row>
    <row r="5744" customFormat="false" ht="15" hidden="false" customHeight="false" outlineLevel="0" collapsed="false">
      <c r="B5744" s="7" t="s">
        <v>6241</v>
      </c>
      <c r="C5744" s="39" t="n">
        <v>45929</v>
      </c>
      <c r="D5744" s="7" t="s">
        <v>339</v>
      </c>
      <c r="E5744" s="7" t="s">
        <v>154</v>
      </c>
      <c r="F5744" s="7" t="s">
        <v>242</v>
      </c>
      <c r="G5744" s="7" t="s">
        <v>505</v>
      </c>
      <c r="H5744" s="6" t="n">
        <v>3.49</v>
      </c>
      <c r="I5744" s="6" t="n">
        <v>0</v>
      </c>
      <c r="J5744" s="40" t="n">
        <f aca="false">H5744-I5744</f>
        <v>3.49</v>
      </c>
      <c r="K5744" s="41" t="n">
        <v>26.5</v>
      </c>
      <c r="L5744" s="42" t="n">
        <f aca="false">J5744*K5744</f>
        <v>92.485</v>
      </c>
      <c r="M5744" s="43" t="n">
        <f aca="false">H5744*17.99*(1+'Chart of Accounts'!$E$67)</f>
        <v>71.8889395</v>
      </c>
    </row>
    <row r="5745" customFormat="false" ht="15" hidden="false" customHeight="false" outlineLevel="0" collapsed="false">
      <c r="B5745" s="7" t="s">
        <v>6242</v>
      </c>
      <c r="C5745" s="39" t="n">
        <v>45929</v>
      </c>
      <c r="D5745" s="7" t="s">
        <v>341</v>
      </c>
      <c r="E5745" s="7" t="s">
        <v>156</v>
      </c>
      <c r="F5745" s="7" t="s">
        <v>222</v>
      </c>
      <c r="G5745" s="7" t="s">
        <v>505</v>
      </c>
      <c r="H5745" s="6" t="n">
        <v>3.27</v>
      </c>
      <c r="I5745" s="6" t="n">
        <v>0</v>
      </c>
      <c r="J5745" s="40" t="n">
        <f aca="false">H5745-I5745</f>
        <v>3.27</v>
      </c>
      <c r="K5745" s="41" t="n">
        <v>34</v>
      </c>
      <c r="L5745" s="42" t="n">
        <f aca="false">J5745*K5745</f>
        <v>111.18</v>
      </c>
      <c r="M5745" s="43" t="n">
        <f aca="false">H5745*17.84*(1+'Chart of Accounts'!$E$67)</f>
        <v>66.795636</v>
      </c>
    </row>
    <row r="5746" customFormat="false" ht="15" hidden="false" customHeight="false" outlineLevel="0" collapsed="false">
      <c r="B5746" s="7" t="s">
        <v>6243</v>
      </c>
      <c r="C5746" s="39" t="n">
        <v>45929</v>
      </c>
      <c r="D5746" s="7" t="s">
        <v>343</v>
      </c>
      <c r="E5746" s="7" t="s">
        <v>154</v>
      </c>
      <c r="F5746" s="7" t="s">
        <v>201</v>
      </c>
      <c r="G5746" s="7" t="s">
        <v>505</v>
      </c>
      <c r="H5746" s="6" t="n">
        <v>4.2</v>
      </c>
      <c r="I5746" s="6" t="n">
        <v>0</v>
      </c>
      <c r="J5746" s="40" t="n">
        <f aca="false">H5746-I5746</f>
        <v>4.2</v>
      </c>
      <c r="K5746" s="41" t="n">
        <v>26.5</v>
      </c>
      <c r="L5746" s="42" t="n">
        <f aca="false">J5746*K5746</f>
        <v>111.3</v>
      </c>
      <c r="M5746" s="43" t="n">
        <f aca="false">H5746*15.19*(1+'Chart of Accounts'!$E$67)</f>
        <v>73.04871</v>
      </c>
    </row>
    <row r="5747" customFormat="false" ht="15" hidden="false" customHeight="false" outlineLevel="0" collapsed="false">
      <c r="B5747" s="7" t="s">
        <v>6244</v>
      </c>
      <c r="C5747" s="39" t="n">
        <v>45929</v>
      </c>
      <c r="D5747" s="7" t="s">
        <v>347</v>
      </c>
      <c r="E5747" s="7" t="s">
        <v>154</v>
      </c>
      <c r="F5747" s="7" t="s">
        <v>238</v>
      </c>
      <c r="G5747" s="7" t="s">
        <v>505</v>
      </c>
      <c r="H5747" s="6" t="n">
        <v>4.81</v>
      </c>
      <c r="I5747" s="6" t="n">
        <v>0.144</v>
      </c>
      <c r="J5747" s="40" t="n">
        <f aca="false">H5747-I5747</f>
        <v>4.666</v>
      </c>
      <c r="K5747" s="41" t="n">
        <v>26.5</v>
      </c>
      <c r="L5747" s="42" t="n">
        <f aca="false">J5747*K5747</f>
        <v>123.649</v>
      </c>
      <c r="M5747" s="43" t="n">
        <f aca="false">H5747*15.85*(1+'Chart of Accounts'!$E$67)</f>
        <v>87.2930825</v>
      </c>
    </row>
    <row r="5748" customFormat="false" ht="15" hidden="false" customHeight="false" outlineLevel="0" collapsed="false">
      <c r="B5748" s="7" t="s">
        <v>6245</v>
      </c>
      <c r="C5748" s="39" t="n">
        <v>45929</v>
      </c>
      <c r="D5748" s="7" t="s">
        <v>349</v>
      </c>
      <c r="E5748" s="7" t="s">
        <v>154</v>
      </c>
      <c r="F5748" s="7" t="s">
        <v>244</v>
      </c>
      <c r="G5748" s="7" t="s">
        <v>505</v>
      </c>
      <c r="H5748" s="6" t="n">
        <v>4.34</v>
      </c>
      <c r="I5748" s="6" t="n">
        <v>0</v>
      </c>
      <c r="J5748" s="40" t="n">
        <f aca="false">H5748-I5748</f>
        <v>4.34</v>
      </c>
      <c r="K5748" s="41" t="n">
        <v>26.5</v>
      </c>
      <c r="L5748" s="42" t="n">
        <f aca="false">J5748*K5748</f>
        <v>115.01</v>
      </c>
      <c r="M5748" s="43" t="n">
        <f aca="false">H5748*16.39*(1+'Chart of Accounts'!$E$67)</f>
        <v>81.446827</v>
      </c>
    </row>
    <row r="5749" customFormat="false" ht="15" hidden="false" customHeight="false" outlineLevel="0" collapsed="false">
      <c r="B5749" s="7" t="s">
        <v>6246</v>
      </c>
      <c r="C5749" s="39" t="n">
        <v>45929</v>
      </c>
      <c r="D5749" s="7" t="s">
        <v>353</v>
      </c>
      <c r="E5749" s="7" t="s">
        <v>154</v>
      </c>
      <c r="F5749" s="7" t="s">
        <v>254</v>
      </c>
      <c r="G5749" s="7" t="s">
        <v>505</v>
      </c>
      <c r="H5749" s="6" t="n">
        <v>3.04</v>
      </c>
      <c r="I5749" s="6" t="n">
        <v>0</v>
      </c>
      <c r="J5749" s="40" t="n">
        <f aca="false">H5749-I5749</f>
        <v>3.04</v>
      </c>
      <c r="K5749" s="41" t="n">
        <v>26.5</v>
      </c>
      <c r="L5749" s="42" t="n">
        <f aca="false">J5749*K5749</f>
        <v>80.56</v>
      </c>
      <c r="M5749" s="43" t="n">
        <f aca="false">H5749*17.1*(1+'Chart of Accounts'!$E$67)</f>
        <v>59.52168</v>
      </c>
    </row>
    <row r="5750" customFormat="false" ht="15" hidden="false" customHeight="false" outlineLevel="0" collapsed="false">
      <c r="B5750" s="7" t="s">
        <v>6247</v>
      </c>
      <c r="C5750" s="39" t="n">
        <v>45929</v>
      </c>
      <c r="D5750" s="7" t="s">
        <v>355</v>
      </c>
      <c r="E5750" s="7" t="s">
        <v>154</v>
      </c>
      <c r="F5750" s="7" t="s">
        <v>201</v>
      </c>
      <c r="G5750" s="7" t="s">
        <v>505</v>
      </c>
      <c r="H5750" s="6" t="n">
        <v>3.35</v>
      </c>
      <c r="I5750" s="6" t="n">
        <v>0.1</v>
      </c>
      <c r="J5750" s="40" t="n">
        <f aca="false">H5750-I5750</f>
        <v>3.25</v>
      </c>
      <c r="K5750" s="41" t="n">
        <v>26.5</v>
      </c>
      <c r="L5750" s="42" t="n">
        <f aca="false">J5750*K5750</f>
        <v>86.125</v>
      </c>
      <c r="M5750" s="43" t="n">
        <f aca="false">H5750*15.19*(1+'Chart of Accounts'!$E$67)</f>
        <v>58.2650425</v>
      </c>
    </row>
    <row r="5751" customFormat="false" ht="15" hidden="false" customHeight="false" outlineLevel="0" collapsed="false">
      <c r="B5751" s="7" t="s">
        <v>6248</v>
      </c>
      <c r="C5751" s="39" t="n">
        <v>45929</v>
      </c>
      <c r="D5751" s="7" t="s">
        <v>357</v>
      </c>
      <c r="E5751" s="7" t="s">
        <v>154</v>
      </c>
      <c r="F5751" s="7" t="s">
        <v>254</v>
      </c>
      <c r="G5751" s="7" t="s">
        <v>505</v>
      </c>
      <c r="H5751" s="6" t="n">
        <v>3.49</v>
      </c>
      <c r="I5751" s="6" t="n">
        <v>0</v>
      </c>
      <c r="J5751" s="40" t="n">
        <f aca="false">H5751-I5751</f>
        <v>3.49</v>
      </c>
      <c r="K5751" s="41" t="n">
        <v>26.5</v>
      </c>
      <c r="L5751" s="42" t="n">
        <f aca="false">J5751*K5751</f>
        <v>92.485</v>
      </c>
      <c r="M5751" s="43" t="n">
        <f aca="false">H5751*17.1*(1+'Chart of Accounts'!$E$67)</f>
        <v>68.332455</v>
      </c>
    </row>
    <row r="5752" customFormat="false" ht="15" hidden="false" customHeight="false" outlineLevel="0" collapsed="false">
      <c r="B5752" s="7" t="s">
        <v>6249</v>
      </c>
      <c r="C5752" s="39" t="n">
        <v>45929</v>
      </c>
      <c r="D5752" s="7" t="s">
        <v>359</v>
      </c>
      <c r="E5752" s="7" t="s">
        <v>156</v>
      </c>
      <c r="F5752" s="7" t="s">
        <v>242</v>
      </c>
      <c r="G5752" s="7" t="s">
        <v>505</v>
      </c>
      <c r="H5752" s="6" t="n">
        <v>4.16</v>
      </c>
      <c r="I5752" s="6" t="n">
        <v>0</v>
      </c>
      <c r="J5752" s="40" t="n">
        <f aca="false">H5752-I5752</f>
        <v>4.16</v>
      </c>
      <c r="K5752" s="41" t="n">
        <v>34</v>
      </c>
      <c r="L5752" s="42" t="n">
        <f aca="false">J5752*K5752</f>
        <v>141.44</v>
      </c>
      <c r="M5752" s="43" t="n">
        <f aca="false">H5752*17.99*(1+'Chart of Accounts'!$E$67)</f>
        <v>85.689968</v>
      </c>
    </row>
    <row r="5753" customFormat="false" ht="15" hidden="false" customHeight="false" outlineLevel="0" collapsed="false">
      <c r="B5753" s="7" t="s">
        <v>6250</v>
      </c>
      <c r="C5753" s="39" t="n">
        <v>45929</v>
      </c>
      <c r="D5753" s="7" t="s">
        <v>363</v>
      </c>
      <c r="E5753" s="7" t="s">
        <v>156</v>
      </c>
      <c r="F5753" s="7" t="s">
        <v>246</v>
      </c>
      <c r="G5753" s="7" t="s">
        <v>505</v>
      </c>
      <c r="H5753" s="6" t="n">
        <v>3.96</v>
      </c>
      <c r="I5753" s="6" t="n">
        <v>0</v>
      </c>
      <c r="J5753" s="40" t="n">
        <f aca="false">H5753-I5753</f>
        <v>3.96</v>
      </c>
      <c r="K5753" s="41" t="n">
        <v>34</v>
      </c>
      <c r="L5753" s="42" t="n">
        <f aca="false">J5753*K5753</f>
        <v>134.64</v>
      </c>
      <c r="M5753" s="43" t="n">
        <f aca="false">H5753*16.48*(1+'Chart of Accounts'!$E$67)</f>
        <v>74.723616</v>
      </c>
    </row>
    <row r="5754" customFormat="false" ht="15" hidden="false" customHeight="false" outlineLevel="0" collapsed="false">
      <c r="B5754" s="7" t="s">
        <v>6251</v>
      </c>
      <c r="C5754" s="39" t="n">
        <v>45929</v>
      </c>
      <c r="D5754" s="7" t="s">
        <v>365</v>
      </c>
      <c r="E5754" s="7" t="s">
        <v>154</v>
      </c>
      <c r="F5754" s="7" t="s">
        <v>194</v>
      </c>
      <c r="G5754" s="7" t="s">
        <v>505</v>
      </c>
      <c r="H5754" s="6" t="n">
        <v>4.09</v>
      </c>
      <c r="I5754" s="6" t="n">
        <v>0</v>
      </c>
      <c r="J5754" s="40" t="n">
        <f aca="false">H5754-I5754</f>
        <v>4.09</v>
      </c>
      <c r="K5754" s="41" t="n">
        <v>26.5</v>
      </c>
      <c r="L5754" s="42" t="n">
        <f aca="false">J5754*K5754</f>
        <v>108.385</v>
      </c>
      <c r="M5754" s="43" t="n">
        <f aca="false">H5754*16*(1+'Chart of Accounts'!$E$67)</f>
        <v>74.9288</v>
      </c>
    </row>
    <row r="5755" customFormat="false" ht="15" hidden="false" customHeight="false" outlineLevel="0" collapsed="false">
      <c r="B5755" s="7" t="s">
        <v>6252</v>
      </c>
      <c r="C5755" s="39" t="n">
        <v>45929</v>
      </c>
      <c r="D5755" s="7" t="s">
        <v>371</v>
      </c>
      <c r="E5755" s="7" t="s">
        <v>154</v>
      </c>
      <c r="F5755" s="7" t="s">
        <v>232</v>
      </c>
      <c r="G5755" s="7" t="s">
        <v>505</v>
      </c>
      <c r="H5755" s="6" t="n">
        <v>4.84</v>
      </c>
      <c r="I5755" s="6" t="n">
        <v>0</v>
      </c>
      <c r="J5755" s="40" t="n">
        <f aca="false">H5755-I5755</f>
        <v>4.84</v>
      </c>
      <c r="K5755" s="41" t="n">
        <v>26.5</v>
      </c>
      <c r="L5755" s="42" t="n">
        <f aca="false">J5755*K5755</f>
        <v>128.26</v>
      </c>
      <c r="M5755" s="43" t="n">
        <f aca="false">H5755*16.17*(1+'Chart of Accounts'!$E$67)</f>
        <v>89.610906</v>
      </c>
    </row>
    <row r="5756" customFormat="false" ht="15" hidden="false" customHeight="false" outlineLevel="0" collapsed="false">
      <c r="B5756" s="7" t="s">
        <v>6253</v>
      </c>
      <c r="C5756" s="39" t="n">
        <v>45929</v>
      </c>
      <c r="D5756" s="7" t="s">
        <v>375</v>
      </c>
      <c r="E5756" s="7" t="s">
        <v>156</v>
      </c>
      <c r="F5756" s="7" t="s">
        <v>196</v>
      </c>
      <c r="G5756" s="7" t="s">
        <v>505</v>
      </c>
      <c r="H5756" s="6" t="n">
        <v>3.12</v>
      </c>
      <c r="I5756" s="6" t="n">
        <v>0</v>
      </c>
      <c r="J5756" s="40" t="n">
        <f aca="false">H5756-I5756</f>
        <v>3.12</v>
      </c>
      <c r="K5756" s="41" t="n">
        <v>34</v>
      </c>
      <c r="L5756" s="42" t="n">
        <f aca="false">J5756*K5756</f>
        <v>106.08</v>
      </c>
      <c r="M5756" s="43" t="n">
        <f aca="false">H5756*15.05*(1+'Chart of Accounts'!$E$67)</f>
        <v>53.76462</v>
      </c>
    </row>
    <row r="5757" customFormat="false" ht="15" hidden="false" customHeight="false" outlineLevel="0" collapsed="false">
      <c r="B5757" s="7" t="s">
        <v>6254</v>
      </c>
      <c r="C5757" s="39" t="n">
        <v>45929</v>
      </c>
      <c r="D5757" s="7" t="s">
        <v>377</v>
      </c>
      <c r="E5757" s="7" t="s">
        <v>154</v>
      </c>
      <c r="F5757" s="7" t="s">
        <v>214</v>
      </c>
      <c r="G5757" s="7" t="s">
        <v>505</v>
      </c>
      <c r="H5757" s="6" t="n">
        <v>3.65</v>
      </c>
      <c r="I5757" s="6" t="n">
        <v>0</v>
      </c>
      <c r="J5757" s="40" t="n">
        <f aca="false">H5757-I5757</f>
        <v>3.65</v>
      </c>
      <c r="K5757" s="41" t="n">
        <v>26.5</v>
      </c>
      <c r="L5757" s="42" t="n">
        <f aca="false">J5757*K5757</f>
        <v>96.725</v>
      </c>
      <c r="M5757" s="43" t="n">
        <f aca="false">H5757*15.67*(1+'Chart of Accounts'!$E$67)</f>
        <v>65.4888475</v>
      </c>
    </row>
    <row r="5758" customFormat="false" ht="15" hidden="false" customHeight="false" outlineLevel="0" collapsed="false">
      <c r="B5758" s="7" t="s">
        <v>6255</v>
      </c>
      <c r="C5758" s="39" t="n">
        <v>45929</v>
      </c>
      <c r="D5758" s="7" t="s">
        <v>379</v>
      </c>
      <c r="E5758" s="7" t="s">
        <v>156</v>
      </c>
      <c r="F5758" s="7" t="s">
        <v>224</v>
      </c>
      <c r="G5758" s="7" t="s">
        <v>505</v>
      </c>
      <c r="H5758" s="6" t="n">
        <v>4.22</v>
      </c>
      <c r="I5758" s="6" t="n">
        <v>0</v>
      </c>
      <c r="J5758" s="40" t="n">
        <f aca="false">H5758-I5758</f>
        <v>4.22</v>
      </c>
      <c r="K5758" s="41" t="n">
        <v>34</v>
      </c>
      <c r="L5758" s="42" t="n">
        <f aca="false">J5758*K5758</f>
        <v>143.48</v>
      </c>
      <c r="M5758" s="43" t="n">
        <f aca="false">H5758*14.93*(1+'Chart of Accounts'!$E$67)</f>
        <v>72.140267</v>
      </c>
    </row>
    <row r="5759" customFormat="false" ht="15" hidden="false" customHeight="false" outlineLevel="0" collapsed="false">
      <c r="B5759" s="7" t="s">
        <v>6256</v>
      </c>
      <c r="C5759" s="39" t="n">
        <v>45929</v>
      </c>
      <c r="D5759" s="7" t="s">
        <v>387</v>
      </c>
      <c r="E5759" s="7" t="s">
        <v>154</v>
      </c>
      <c r="F5759" s="7" t="s">
        <v>196</v>
      </c>
      <c r="G5759" s="7" t="s">
        <v>505</v>
      </c>
      <c r="H5759" s="6" t="n">
        <v>4.2</v>
      </c>
      <c r="I5759" s="6" t="n">
        <v>0</v>
      </c>
      <c r="J5759" s="40" t="n">
        <f aca="false">H5759-I5759</f>
        <v>4.2</v>
      </c>
      <c r="K5759" s="41" t="n">
        <v>26.5</v>
      </c>
      <c r="L5759" s="42" t="n">
        <f aca="false">J5759*K5759</f>
        <v>111.3</v>
      </c>
      <c r="M5759" s="43" t="n">
        <f aca="false">H5759*15.05*(1+'Chart of Accounts'!$E$67)</f>
        <v>72.37545</v>
      </c>
    </row>
    <row r="5760" customFormat="false" ht="15" hidden="false" customHeight="false" outlineLevel="0" collapsed="false">
      <c r="B5760" s="7" t="s">
        <v>6257</v>
      </c>
      <c r="C5760" s="39" t="n">
        <v>45929</v>
      </c>
      <c r="D5760" s="7" t="s">
        <v>389</v>
      </c>
      <c r="E5760" s="7" t="s">
        <v>154</v>
      </c>
      <c r="F5760" s="7" t="s">
        <v>246</v>
      </c>
      <c r="G5760" s="7" t="s">
        <v>505</v>
      </c>
      <c r="H5760" s="6" t="n">
        <v>3.92</v>
      </c>
      <c r="I5760" s="6" t="n">
        <v>0.118</v>
      </c>
      <c r="J5760" s="40" t="n">
        <f aca="false">H5760-I5760</f>
        <v>3.802</v>
      </c>
      <c r="K5760" s="41" t="n">
        <v>26.5</v>
      </c>
      <c r="L5760" s="42" t="n">
        <f aca="false">J5760*K5760</f>
        <v>100.753</v>
      </c>
      <c r="M5760" s="43" t="n">
        <f aca="false">H5760*16.48*(1+'Chart of Accounts'!$E$67)</f>
        <v>73.968832</v>
      </c>
    </row>
    <row r="5761" customFormat="false" ht="15" hidden="false" customHeight="false" outlineLevel="0" collapsed="false">
      <c r="B5761" s="7" t="s">
        <v>6258</v>
      </c>
      <c r="C5761" s="39" t="n">
        <v>45929</v>
      </c>
      <c r="D5761" s="7" t="s">
        <v>391</v>
      </c>
      <c r="E5761" s="7" t="s">
        <v>156</v>
      </c>
      <c r="F5761" s="7" t="s">
        <v>222</v>
      </c>
      <c r="G5761" s="7" t="s">
        <v>505</v>
      </c>
      <c r="H5761" s="6" t="n">
        <v>4.11</v>
      </c>
      <c r="I5761" s="6" t="n">
        <v>0</v>
      </c>
      <c r="J5761" s="40" t="n">
        <f aca="false">H5761-I5761</f>
        <v>4.11</v>
      </c>
      <c r="K5761" s="41" t="n">
        <v>34</v>
      </c>
      <c r="L5761" s="42" t="n">
        <f aca="false">J5761*K5761</f>
        <v>139.74</v>
      </c>
      <c r="M5761" s="43" t="n">
        <f aca="false">H5761*17.84*(1+'Chart of Accounts'!$E$67)</f>
        <v>83.954148</v>
      </c>
    </row>
    <row r="5762" customFormat="false" ht="15" hidden="false" customHeight="false" outlineLevel="0" collapsed="false">
      <c r="B5762" s="7" t="s">
        <v>6259</v>
      </c>
      <c r="C5762" s="39" t="n">
        <v>45929</v>
      </c>
      <c r="D5762" s="7" t="s">
        <v>395</v>
      </c>
      <c r="E5762" s="7" t="s">
        <v>156</v>
      </c>
      <c r="F5762" s="7" t="s">
        <v>242</v>
      </c>
      <c r="G5762" s="7" t="s">
        <v>505</v>
      </c>
      <c r="H5762" s="6" t="n">
        <v>3.8</v>
      </c>
      <c r="I5762" s="6" t="n">
        <v>0</v>
      </c>
      <c r="J5762" s="40" t="n">
        <f aca="false">H5762-I5762</f>
        <v>3.8</v>
      </c>
      <c r="K5762" s="41" t="n">
        <v>34</v>
      </c>
      <c r="L5762" s="42" t="n">
        <f aca="false">J5762*K5762</f>
        <v>129.2</v>
      </c>
      <c r="M5762" s="43" t="n">
        <f aca="false">H5762*17.99*(1+'Chart of Accounts'!$E$67)</f>
        <v>78.27449</v>
      </c>
    </row>
    <row r="5763" customFormat="false" ht="15" hidden="false" customHeight="false" outlineLevel="0" collapsed="false">
      <c r="B5763" s="7" t="s">
        <v>6260</v>
      </c>
      <c r="C5763" s="39" t="n">
        <v>45929</v>
      </c>
      <c r="D5763" s="7" t="s">
        <v>399</v>
      </c>
      <c r="E5763" s="7" t="s">
        <v>154</v>
      </c>
      <c r="F5763" s="7" t="s">
        <v>246</v>
      </c>
      <c r="G5763" s="7" t="s">
        <v>505</v>
      </c>
      <c r="H5763" s="6" t="n">
        <v>3.47</v>
      </c>
      <c r="I5763" s="6" t="n">
        <v>0</v>
      </c>
      <c r="J5763" s="40" t="n">
        <f aca="false">H5763-I5763</f>
        <v>3.47</v>
      </c>
      <c r="K5763" s="41" t="n">
        <v>26.5</v>
      </c>
      <c r="L5763" s="42" t="n">
        <f aca="false">J5763*K5763</f>
        <v>91.955</v>
      </c>
      <c r="M5763" s="43" t="n">
        <f aca="false">H5763*16.48*(1+'Chart of Accounts'!$E$67)</f>
        <v>65.477512</v>
      </c>
    </row>
    <row r="5764" customFormat="false" ht="15" hidden="false" customHeight="false" outlineLevel="0" collapsed="false">
      <c r="B5764" s="7" t="s">
        <v>6261</v>
      </c>
      <c r="C5764" s="39" t="n">
        <v>45929</v>
      </c>
      <c r="D5764" s="7" t="s">
        <v>401</v>
      </c>
      <c r="E5764" s="7" t="s">
        <v>156</v>
      </c>
      <c r="F5764" s="7" t="s">
        <v>254</v>
      </c>
      <c r="G5764" s="7" t="s">
        <v>505</v>
      </c>
      <c r="H5764" s="6" t="n">
        <v>4.34</v>
      </c>
      <c r="I5764" s="6" t="n">
        <v>0</v>
      </c>
      <c r="J5764" s="40" t="n">
        <f aca="false">H5764-I5764</f>
        <v>4.34</v>
      </c>
      <c r="K5764" s="41" t="n">
        <v>34</v>
      </c>
      <c r="L5764" s="42" t="n">
        <f aca="false">J5764*K5764</f>
        <v>147.56</v>
      </c>
      <c r="M5764" s="43" t="n">
        <f aca="false">H5764*17.1*(1+'Chart of Accounts'!$E$67)</f>
        <v>84.97503</v>
      </c>
    </row>
    <row r="5765" customFormat="false" ht="15" hidden="false" customHeight="false" outlineLevel="0" collapsed="false">
      <c r="B5765" s="7" t="s">
        <v>6262</v>
      </c>
      <c r="C5765" s="39" t="n">
        <v>45929</v>
      </c>
      <c r="D5765" s="7" t="s">
        <v>403</v>
      </c>
      <c r="E5765" s="7" t="s">
        <v>156</v>
      </c>
      <c r="F5765" s="7" t="s">
        <v>184</v>
      </c>
      <c r="G5765" s="7" t="s">
        <v>505</v>
      </c>
      <c r="H5765" s="6" t="n">
        <v>4.13</v>
      </c>
      <c r="I5765" s="6" t="n">
        <v>0</v>
      </c>
      <c r="J5765" s="40" t="n">
        <f aca="false">H5765-I5765</f>
        <v>4.13</v>
      </c>
      <c r="K5765" s="41" t="n">
        <v>34</v>
      </c>
      <c r="L5765" s="42" t="n">
        <f aca="false">J5765*K5765</f>
        <v>140.42</v>
      </c>
      <c r="M5765" s="43" t="n">
        <f aca="false">H5765*17.34*(1+'Chart of Accounts'!$E$67)</f>
        <v>81.998259</v>
      </c>
    </row>
    <row r="5766" customFormat="false" ht="15" hidden="false" customHeight="false" outlineLevel="0" collapsed="false">
      <c r="B5766" s="7" t="s">
        <v>6263</v>
      </c>
      <c r="C5766" s="39" t="n">
        <v>45929</v>
      </c>
      <c r="D5766" s="7" t="s">
        <v>409</v>
      </c>
      <c r="E5766" s="7" t="s">
        <v>154</v>
      </c>
      <c r="F5766" s="7" t="s">
        <v>214</v>
      </c>
      <c r="G5766" s="7" t="s">
        <v>505</v>
      </c>
      <c r="H5766" s="6" t="n">
        <v>3.04</v>
      </c>
      <c r="I5766" s="6" t="n">
        <v>0</v>
      </c>
      <c r="J5766" s="40" t="n">
        <f aca="false">H5766-I5766</f>
        <v>3.04</v>
      </c>
      <c r="K5766" s="41" t="n">
        <v>26.5</v>
      </c>
      <c r="L5766" s="42" t="n">
        <f aca="false">J5766*K5766</f>
        <v>80.56</v>
      </c>
      <c r="M5766" s="43" t="n">
        <f aca="false">H5766*15.67*(1+'Chart of Accounts'!$E$67)</f>
        <v>54.544136</v>
      </c>
    </row>
    <row r="5767" customFormat="false" ht="15" hidden="false" customHeight="false" outlineLevel="0" collapsed="false">
      <c r="B5767" s="7" t="s">
        <v>6264</v>
      </c>
      <c r="C5767" s="39" t="n">
        <v>45929</v>
      </c>
      <c r="D5767" s="7" t="s">
        <v>411</v>
      </c>
      <c r="E5767" s="7" t="s">
        <v>154</v>
      </c>
      <c r="F5767" s="7" t="s">
        <v>177</v>
      </c>
      <c r="G5767" s="7" t="s">
        <v>505</v>
      </c>
      <c r="H5767" s="6" t="n">
        <v>4.35</v>
      </c>
      <c r="I5767" s="6" t="n">
        <v>0</v>
      </c>
      <c r="J5767" s="40" t="n">
        <f aca="false">H5767-I5767</f>
        <v>4.35</v>
      </c>
      <c r="K5767" s="41" t="n">
        <v>26.5</v>
      </c>
      <c r="L5767" s="42" t="n">
        <f aca="false">J5767*K5767</f>
        <v>115.275</v>
      </c>
      <c r="M5767" s="43" t="n">
        <f aca="false">H5767*14.56*(1+'Chart of Accounts'!$E$67)</f>
        <v>72.51972</v>
      </c>
    </row>
    <row r="5768" customFormat="false" ht="15" hidden="false" customHeight="false" outlineLevel="0" collapsed="false">
      <c r="B5768" s="7" t="s">
        <v>6265</v>
      </c>
      <c r="C5768" s="39" t="n">
        <v>45930</v>
      </c>
      <c r="D5768" s="7" t="s">
        <v>288</v>
      </c>
      <c r="E5768" s="7" t="s">
        <v>156</v>
      </c>
      <c r="F5768" s="7" t="s">
        <v>246</v>
      </c>
      <c r="G5768" s="7" t="s">
        <v>505</v>
      </c>
      <c r="H5768" s="6" t="n">
        <v>3.8</v>
      </c>
      <c r="I5768" s="6" t="n">
        <v>0</v>
      </c>
      <c r="J5768" s="40" t="n">
        <f aca="false">H5768-I5768</f>
        <v>3.8</v>
      </c>
      <c r="K5768" s="41" t="n">
        <v>34</v>
      </c>
      <c r="L5768" s="42" t="n">
        <f aca="false">J5768*K5768</f>
        <v>129.2</v>
      </c>
      <c r="M5768" s="43" t="n">
        <f aca="false">H5768*16.48*(1+'Chart of Accounts'!$E$67)</f>
        <v>71.70448</v>
      </c>
    </row>
    <row r="5769" customFormat="false" ht="15" hidden="false" customHeight="false" outlineLevel="0" collapsed="false">
      <c r="B5769" s="7" t="s">
        <v>6266</v>
      </c>
      <c r="C5769" s="39" t="n">
        <v>45930</v>
      </c>
      <c r="D5769" s="7" t="s">
        <v>293</v>
      </c>
      <c r="E5769" s="7" t="s">
        <v>157</v>
      </c>
      <c r="F5769" s="7" t="s">
        <v>198</v>
      </c>
      <c r="G5769" s="7" t="s">
        <v>502</v>
      </c>
      <c r="H5769" s="6" t="n">
        <v>0.94</v>
      </c>
      <c r="I5769" s="6" t="n">
        <v>0</v>
      </c>
      <c r="J5769" s="40" t="n">
        <f aca="false">H5769-I5769</f>
        <v>0.94</v>
      </c>
      <c r="K5769" s="41" t="n">
        <v>165</v>
      </c>
      <c r="L5769" s="42" t="n">
        <f aca="false">J5769*K5769</f>
        <v>155.1</v>
      </c>
      <c r="M5769" s="43" t="n">
        <f aca="false">H5769*48.09*(1+'Chart of Accounts'!$E$67)</f>
        <v>51.759267</v>
      </c>
    </row>
    <row r="5770" customFormat="false" ht="15" hidden="false" customHeight="false" outlineLevel="0" collapsed="false">
      <c r="B5770" s="7" t="s">
        <v>6267</v>
      </c>
      <c r="C5770" s="39" t="n">
        <v>45930</v>
      </c>
      <c r="D5770" s="7" t="s">
        <v>301</v>
      </c>
      <c r="E5770" s="7" t="s">
        <v>157</v>
      </c>
      <c r="F5770" s="7" t="s">
        <v>209</v>
      </c>
      <c r="G5770" s="7" t="s">
        <v>502</v>
      </c>
      <c r="H5770" s="6" t="n">
        <v>0.98</v>
      </c>
      <c r="I5770" s="6" t="n">
        <v>0</v>
      </c>
      <c r="J5770" s="40" t="n">
        <f aca="false">H5770-I5770</f>
        <v>0.98</v>
      </c>
      <c r="K5770" s="41" t="n">
        <v>165</v>
      </c>
      <c r="L5770" s="42" t="n">
        <f aca="false">J5770*K5770</f>
        <v>161.7</v>
      </c>
      <c r="M5770" s="43" t="n">
        <f aca="false">H5770*73.58*(1+'Chart of Accounts'!$E$67)</f>
        <v>82.564118</v>
      </c>
    </row>
    <row r="5771" customFormat="false" ht="15" hidden="false" customHeight="false" outlineLevel="0" collapsed="false">
      <c r="B5771" s="7" t="s">
        <v>6268</v>
      </c>
      <c r="C5771" s="39" t="n">
        <v>45930</v>
      </c>
      <c r="D5771" s="7" t="s">
        <v>313</v>
      </c>
      <c r="E5771" s="7" t="s">
        <v>156</v>
      </c>
      <c r="F5771" s="7" t="s">
        <v>184</v>
      </c>
      <c r="G5771" s="7" t="s">
        <v>505</v>
      </c>
      <c r="H5771" s="6" t="n">
        <v>3.77</v>
      </c>
      <c r="I5771" s="6" t="n">
        <v>0</v>
      </c>
      <c r="J5771" s="40" t="n">
        <f aca="false">H5771-I5771</f>
        <v>3.77</v>
      </c>
      <c r="K5771" s="41" t="n">
        <v>34</v>
      </c>
      <c r="L5771" s="42" t="n">
        <f aca="false">J5771*K5771</f>
        <v>128.18</v>
      </c>
      <c r="M5771" s="43" t="n">
        <f aca="false">H5771*17.34*(1+'Chart of Accounts'!$E$67)</f>
        <v>74.850711</v>
      </c>
    </row>
    <row r="5772" customFormat="false" ht="15" hidden="false" customHeight="false" outlineLevel="0" collapsed="false">
      <c r="B5772" s="7" t="s">
        <v>6269</v>
      </c>
      <c r="C5772" s="39" t="n">
        <v>45930</v>
      </c>
      <c r="D5772" s="7" t="s">
        <v>319</v>
      </c>
      <c r="E5772" s="7" t="s">
        <v>157</v>
      </c>
      <c r="F5772" s="7" t="s">
        <v>234</v>
      </c>
      <c r="G5772" s="7" t="s">
        <v>502</v>
      </c>
      <c r="H5772" s="6" t="n">
        <v>0.92</v>
      </c>
      <c r="I5772" s="6" t="n">
        <v>0.046</v>
      </c>
      <c r="J5772" s="40" t="n">
        <f aca="false">H5772-I5772</f>
        <v>0.874</v>
      </c>
      <c r="K5772" s="41" t="n">
        <v>165</v>
      </c>
      <c r="L5772" s="42" t="n">
        <f aca="false">J5772*K5772</f>
        <v>144.21</v>
      </c>
      <c r="M5772" s="43" t="n">
        <f aca="false">H5772*89.53*(1+'Chart of Accounts'!$E$67)</f>
        <v>94.310902</v>
      </c>
    </row>
    <row r="5773" customFormat="false" ht="15" hidden="false" customHeight="false" outlineLevel="0" collapsed="false">
      <c r="B5773" s="7" t="s">
        <v>6270</v>
      </c>
      <c r="C5773" s="39" t="n">
        <v>45930</v>
      </c>
      <c r="D5773" s="7" t="s">
        <v>321</v>
      </c>
      <c r="E5773" s="7" t="s">
        <v>154</v>
      </c>
      <c r="F5773" s="7" t="s">
        <v>218</v>
      </c>
      <c r="G5773" s="7" t="s">
        <v>505</v>
      </c>
      <c r="H5773" s="6" t="n">
        <v>4.1</v>
      </c>
      <c r="I5773" s="6" t="n">
        <v>0</v>
      </c>
      <c r="J5773" s="40" t="n">
        <f aca="false">H5773-I5773</f>
        <v>4.1</v>
      </c>
      <c r="K5773" s="41" t="n">
        <v>26.5</v>
      </c>
      <c r="L5773" s="42" t="n">
        <f aca="false">J5773*K5773</f>
        <v>108.65</v>
      </c>
      <c r="M5773" s="43" t="n">
        <f aca="false">H5773*16.19*(1+'Chart of Accounts'!$E$67)</f>
        <v>76.003955</v>
      </c>
    </row>
    <row r="5774" customFormat="false" ht="15" hidden="false" customHeight="false" outlineLevel="0" collapsed="false">
      <c r="B5774" s="7" t="s">
        <v>6271</v>
      </c>
      <c r="C5774" s="39" t="n">
        <v>45930</v>
      </c>
      <c r="D5774" s="7" t="s">
        <v>323</v>
      </c>
      <c r="E5774" s="7" t="s">
        <v>159</v>
      </c>
      <c r="F5774" s="7" t="s">
        <v>230</v>
      </c>
      <c r="G5774" s="7" t="s">
        <v>502</v>
      </c>
      <c r="H5774" s="6" t="n">
        <v>1.07</v>
      </c>
      <c r="I5774" s="6" t="n">
        <v>0</v>
      </c>
      <c r="J5774" s="40" t="n">
        <f aca="false">H5774-I5774</f>
        <v>1.07</v>
      </c>
      <c r="K5774" s="41" t="n">
        <v>135</v>
      </c>
      <c r="L5774" s="42" t="n">
        <f aca="false">J5774*K5774</f>
        <v>144.45</v>
      </c>
      <c r="M5774" s="43" t="n">
        <f aca="false">H5774*48.78*(1+'Chart of Accounts'!$E$67)</f>
        <v>59.762817</v>
      </c>
    </row>
    <row r="5775" customFormat="false" ht="15" hidden="false" customHeight="false" outlineLevel="0" collapsed="false">
      <c r="B5775" s="7" t="s">
        <v>6272</v>
      </c>
      <c r="C5775" s="39" t="n">
        <v>45930</v>
      </c>
      <c r="D5775" s="7" t="s">
        <v>327</v>
      </c>
      <c r="E5775" s="7" t="s">
        <v>157</v>
      </c>
      <c r="F5775" s="7" t="s">
        <v>228</v>
      </c>
      <c r="G5775" s="7" t="s">
        <v>502</v>
      </c>
      <c r="H5775" s="6" t="n">
        <v>0.95</v>
      </c>
      <c r="I5775" s="6" t="n">
        <v>0</v>
      </c>
      <c r="J5775" s="40" t="n">
        <f aca="false">H5775-I5775</f>
        <v>0.95</v>
      </c>
      <c r="K5775" s="41" t="n">
        <v>165</v>
      </c>
      <c r="L5775" s="42" t="n">
        <f aca="false">J5775*K5775</f>
        <v>156.75</v>
      </c>
      <c r="M5775" s="43" t="n">
        <f aca="false">H5775*51.07*(1+'Chart of Accounts'!$E$67)</f>
        <v>55.5513925</v>
      </c>
    </row>
    <row r="5776" customFormat="false" ht="15" hidden="false" customHeight="false" outlineLevel="0" collapsed="false">
      <c r="B5776" s="7" t="s">
        <v>6273</v>
      </c>
      <c r="C5776" s="39" t="n">
        <v>45930</v>
      </c>
      <c r="D5776" s="7" t="s">
        <v>329</v>
      </c>
      <c r="E5776" s="7" t="s">
        <v>156</v>
      </c>
      <c r="F5776" s="7" t="s">
        <v>220</v>
      </c>
      <c r="G5776" s="7" t="s">
        <v>505</v>
      </c>
      <c r="H5776" s="6" t="n">
        <v>3.69</v>
      </c>
      <c r="I5776" s="6" t="n">
        <v>0</v>
      </c>
      <c r="J5776" s="40" t="n">
        <f aca="false">H5776-I5776</f>
        <v>3.69</v>
      </c>
      <c r="K5776" s="41" t="n">
        <v>34</v>
      </c>
      <c r="L5776" s="42" t="n">
        <f aca="false">J5776*K5776</f>
        <v>125.46</v>
      </c>
      <c r="M5776" s="43" t="n">
        <f aca="false">H5776*16.43*(1+'Chart of Accounts'!$E$67)</f>
        <v>69.4175715</v>
      </c>
    </row>
    <row r="5777" customFormat="false" ht="15" hidden="false" customHeight="false" outlineLevel="0" collapsed="false">
      <c r="B5777" s="7" t="s">
        <v>6274</v>
      </c>
      <c r="C5777" s="39" t="n">
        <v>45930</v>
      </c>
      <c r="D5777" s="7" t="s">
        <v>349</v>
      </c>
      <c r="E5777" s="7" t="s">
        <v>154</v>
      </c>
      <c r="F5777" s="7" t="s">
        <v>244</v>
      </c>
      <c r="G5777" s="7" t="s">
        <v>505</v>
      </c>
      <c r="H5777" s="6" t="n">
        <v>4.13</v>
      </c>
      <c r="I5777" s="6" t="n">
        <v>0</v>
      </c>
      <c r="J5777" s="40" t="n">
        <f aca="false">H5777-I5777</f>
        <v>4.13</v>
      </c>
      <c r="K5777" s="41" t="n">
        <v>26.5</v>
      </c>
      <c r="L5777" s="42" t="n">
        <f aca="false">J5777*K5777</f>
        <v>109.445</v>
      </c>
      <c r="M5777" s="43" t="n">
        <f aca="false">H5777*16.39*(1+'Chart of Accounts'!$E$67)</f>
        <v>77.5058515</v>
      </c>
    </row>
    <row r="5778" customFormat="false" ht="15" hidden="false" customHeight="false" outlineLevel="0" collapsed="false">
      <c r="B5778" s="7" t="s">
        <v>6275</v>
      </c>
      <c r="C5778" s="39" t="n">
        <v>45930</v>
      </c>
      <c r="D5778" s="7" t="s">
        <v>359</v>
      </c>
      <c r="E5778" s="7" t="s">
        <v>156</v>
      </c>
      <c r="F5778" s="7" t="s">
        <v>196</v>
      </c>
      <c r="G5778" s="7" t="s">
        <v>505</v>
      </c>
      <c r="H5778" s="6" t="n">
        <v>3.78</v>
      </c>
      <c r="I5778" s="6" t="n">
        <v>0</v>
      </c>
      <c r="J5778" s="40" t="n">
        <f aca="false">H5778-I5778</f>
        <v>3.78</v>
      </c>
      <c r="K5778" s="41" t="n">
        <v>34</v>
      </c>
      <c r="L5778" s="42" t="n">
        <f aca="false">J5778*K5778</f>
        <v>128.52</v>
      </c>
      <c r="M5778" s="43" t="n">
        <f aca="false">H5778*15.05*(1+'Chart of Accounts'!$E$67)</f>
        <v>65.137905</v>
      </c>
    </row>
    <row r="5779" customFormat="false" ht="15" hidden="false" customHeight="false" outlineLevel="0" collapsed="false">
      <c r="B5779" s="7" t="s">
        <v>6276</v>
      </c>
      <c r="C5779" s="39" t="n">
        <v>45930</v>
      </c>
      <c r="D5779" s="7" t="s">
        <v>361</v>
      </c>
      <c r="E5779" s="7" t="s">
        <v>157</v>
      </c>
      <c r="F5779" s="7" t="s">
        <v>209</v>
      </c>
      <c r="G5779" s="7" t="s">
        <v>502</v>
      </c>
      <c r="H5779" s="6" t="n">
        <v>1.07</v>
      </c>
      <c r="I5779" s="6" t="n">
        <v>0</v>
      </c>
      <c r="J5779" s="40" t="n">
        <f aca="false">H5779-I5779</f>
        <v>1.07</v>
      </c>
      <c r="K5779" s="41" t="n">
        <v>165</v>
      </c>
      <c r="L5779" s="42" t="n">
        <f aca="false">J5779*K5779</f>
        <v>176.55</v>
      </c>
      <c r="M5779" s="43" t="n">
        <f aca="false">H5779*73.58*(1+'Chart of Accounts'!$E$67)</f>
        <v>90.146537</v>
      </c>
    </row>
    <row r="5780" customFormat="false" ht="15" hidden="false" customHeight="false" outlineLevel="0" collapsed="false">
      <c r="B5780" s="7" t="s">
        <v>6277</v>
      </c>
      <c r="C5780" s="39" t="n">
        <v>45930</v>
      </c>
      <c r="D5780" s="7" t="s">
        <v>365</v>
      </c>
      <c r="E5780" s="7" t="s">
        <v>154</v>
      </c>
      <c r="F5780" s="7" t="s">
        <v>194</v>
      </c>
      <c r="G5780" s="7" t="s">
        <v>505</v>
      </c>
      <c r="H5780" s="6" t="n">
        <v>4.32</v>
      </c>
      <c r="I5780" s="6" t="n">
        <v>0</v>
      </c>
      <c r="J5780" s="40" t="n">
        <f aca="false">H5780-I5780</f>
        <v>4.32</v>
      </c>
      <c r="K5780" s="41" t="n">
        <v>26.5</v>
      </c>
      <c r="L5780" s="42" t="n">
        <f aca="false">J5780*K5780</f>
        <v>114.48</v>
      </c>
      <c r="M5780" s="43" t="n">
        <f aca="false">H5780*16*(1+'Chart of Accounts'!$E$67)</f>
        <v>79.1424</v>
      </c>
    </row>
    <row r="5781" customFormat="false" ht="15" hidden="false" customHeight="false" outlineLevel="0" collapsed="false">
      <c r="B5781" s="7" t="s">
        <v>6278</v>
      </c>
      <c r="C5781" s="39" t="n">
        <v>45930</v>
      </c>
      <c r="D5781" s="7" t="s">
        <v>369</v>
      </c>
      <c r="E5781" s="7" t="s">
        <v>159</v>
      </c>
      <c r="F5781" s="7" t="s">
        <v>258</v>
      </c>
      <c r="G5781" s="7" t="s">
        <v>502</v>
      </c>
      <c r="H5781" s="6" t="n">
        <v>1.07</v>
      </c>
      <c r="I5781" s="6" t="n">
        <v>0</v>
      </c>
      <c r="J5781" s="40" t="n">
        <f aca="false">H5781-I5781</f>
        <v>1.07</v>
      </c>
      <c r="K5781" s="41" t="n">
        <v>135</v>
      </c>
      <c r="L5781" s="42" t="n">
        <f aca="false">J5781*K5781</f>
        <v>144.45</v>
      </c>
      <c r="M5781" s="43" t="n">
        <f aca="false">H5781*61.61*(1+'Chart of Accounts'!$E$67)</f>
        <v>75.4814915</v>
      </c>
    </row>
    <row r="5782" customFormat="false" ht="15" hidden="false" customHeight="false" outlineLevel="0" collapsed="false">
      <c r="B5782" s="7" t="s">
        <v>6279</v>
      </c>
      <c r="C5782" s="39" t="n">
        <v>45930</v>
      </c>
      <c r="D5782" s="7" t="s">
        <v>381</v>
      </c>
      <c r="E5782" s="7" t="s">
        <v>157</v>
      </c>
      <c r="F5782" s="7" t="s">
        <v>234</v>
      </c>
      <c r="G5782" s="7" t="s">
        <v>502</v>
      </c>
      <c r="H5782" s="6" t="n">
        <v>1.09</v>
      </c>
      <c r="I5782" s="6" t="n">
        <v>0</v>
      </c>
      <c r="J5782" s="40" t="n">
        <f aca="false">H5782-I5782</f>
        <v>1.09</v>
      </c>
      <c r="K5782" s="41" t="n">
        <v>165</v>
      </c>
      <c r="L5782" s="42" t="n">
        <f aca="false">J5782*K5782</f>
        <v>179.85</v>
      </c>
      <c r="M5782" s="43" t="n">
        <f aca="false">H5782*89.53*(1+'Chart of Accounts'!$E$67)</f>
        <v>111.7379165</v>
      </c>
    </row>
    <row r="5783" customFormat="false" ht="15" hidden="false" customHeight="false" outlineLevel="0" collapsed="false">
      <c r="B5783" s="7" t="s">
        <v>6280</v>
      </c>
      <c r="C5783" s="39" t="n">
        <v>45930</v>
      </c>
      <c r="D5783" s="7" t="s">
        <v>383</v>
      </c>
      <c r="E5783" s="7" t="s">
        <v>157</v>
      </c>
      <c r="F5783" s="7" t="s">
        <v>230</v>
      </c>
      <c r="G5783" s="7" t="s">
        <v>502</v>
      </c>
      <c r="H5783" s="6" t="n">
        <v>0.98</v>
      </c>
      <c r="I5783" s="6" t="n">
        <v>0</v>
      </c>
      <c r="J5783" s="40" t="n">
        <f aca="false">H5783-I5783</f>
        <v>0.98</v>
      </c>
      <c r="K5783" s="41" t="n">
        <v>165</v>
      </c>
      <c r="L5783" s="42" t="n">
        <f aca="false">J5783*K5783</f>
        <v>161.7</v>
      </c>
      <c r="M5783" s="43" t="n">
        <f aca="false">H5783*48.78*(1+'Chart of Accounts'!$E$67)</f>
        <v>54.736038</v>
      </c>
    </row>
    <row r="5784" customFormat="false" ht="15" hidden="false" customHeight="false" outlineLevel="0" collapsed="false">
      <c r="B5784" s="7" t="s">
        <v>6281</v>
      </c>
      <c r="C5784" s="39" t="n">
        <v>45930</v>
      </c>
      <c r="D5784" s="7" t="s">
        <v>387</v>
      </c>
      <c r="E5784" s="7" t="s">
        <v>154</v>
      </c>
      <c r="F5784" s="7" t="s">
        <v>196</v>
      </c>
      <c r="G5784" s="7" t="s">
        <v>505</v>
      </c>
      <c r="H5784" s="6" t="n">
        <v>3.68</v>
      </c>
      <c r="I5784" s="6" t="n">
        <v>0</v>
      </c>
      <c r="J5784" s="40" t="n">
        <f aca="false">H5784-I5784</f>
        <v>3.68</v>
      </c>
      <c r="K5784" s="41" t="n">
        <v>26.5</v>
      </c>
      <c r="L5784" s="42" t="n">
        <f aca="false">J5784*K5784</f>
        <v>97.52</v>
      </c>
      <c r="M5784" s="43" t="n">
        <f aca="false">H5784*15.05*(1+'Chart of Accounts'!$E$67)</f>
        <v>63.41468</v>
      </c>
    </row>
    <row r="5785" customFormat="false" ht="15" hidden="false" customHeight="false" outlineLevel="0" collapsed="false">
      <c r="B5785" s="7" t="s">
        <v>6282</v>
      </c>
      <c r="C5785" s="39" t="n">
        <v>45930</v>
      </c>
      <c r="D5785" s="7" t="s">
        <v>389</v>
      </c>
      <c r="E5785" s="7" t="s">
        <v>154</v>
      </c>
      <c r="F5785" s="7" t="s">
        <v>246</v>
      </c>
      <c r="G5785" s="7" t="s">
        <v>505</v>
      </c>
      <c r="H5785" s="6" t="n">
        <v>4.18</v>
      </c>
      <c r="I5785" s="6" t="n">
        <v>0</v>
      </c>
      <c r="J5785" s="40" t="n">
        <f aca="false">H5785-I5785</f>
        <v>4.18</v>
      </c>
      <c r="K5785" s="41" t="n">
        <v>26.5</v>
      </c>
      <c r="L5785" s="42" t="n">
        <f aca="false">J5785*K5785</f>
        <v>110.77</v>
      </c>
      <c r="M5785" s="43" t="n">
        <f aca="false">H5785*16.48*(1+'Chart of Accounts'!$E$67)</f>
        <v>78.874928</v>
      </c>
    </row>
    <row r="5786" customFormat="false" ht="15" hidden="false" customHeight="false" outlineLevel="0" collapsed="false">
      <c r="B5786" s="7" t="s">
        <v>6283</v>
      </c>
      <c r="C5786" s="39" t="n">
        <v>45930</v>
      </c>
      <c r="D5786" s="7" t="s">
        <v>391</v>
      </c>
      <c r="E5786" s="7" t="s">
        <v>156</v>
      </c>
      <c r="F5786" s="7" t="s">
        <v>222</v>
      </c>
      <c r="G5786" s="7" t="s">
        <v>505</v>
      </c>
      <c r="H5786" s="6" t="n">
        <v>4.11</v>
      </c>
      <c r="I5786" s="6" t="n">
        <v>0</v>
      </c>
      <c r="J5786" s="40" t="n">
        <f aca="false">H5786-I5786</f>
        <v>4.11</v>
      </c>
      <c r="K5786" s="41" t="n">
        <v>34</v>
      </c>
      <c r="L5786" s="42" t="n">
        <f aca="false">J5786*K5786</f>
        <v>139.74</v>
      </c>
      <c r="M5786" s="43" t="n">
        <f aca="false">H5786*17.84*(1+'Chart of Accounts'!$E$67)</f>
        <v>83.954148</v>
      </c>
    </row>
    <row r="5787" customFormat="false" ht="15" hidden="false" customHeight="false" outlineLevel="0" collapsed="false">
      <c r="B5787" s="7" t="s">
        <v>6284</v>
      </c>
      <c r="C5787" s="39" t="n">
        <v>45930</v>
      </c>
      <c r="D5787" s="7" t="s">
        <v>395</v>
      </c>
      <c r="E5787" s="7" t="s">
        <v>156</v>
      </c>
      <c r="F5787" s="7" t="s">
        <v>242</v>
      </c>
      <c r="G5787" s="7" t="s">
        <v>505</v>
      </c>
      <c r="H5787" s="6" t="n">
        <v>4.29</v>
      </c>
      <c r="I5787" s="6" t="n">
        <v>0</v>
      </c>
      <c r="J5787" s="40" t="n">
        <f aca="false">H5787-I5787</f>
        <v>4.29</v>
      </c>
      <c r="K5787" s="41" t="n">
        <v>34</v>
      </c>
      <c r="L5787" s="42" t="n">
        <f aca="false">J5787*K5787</f>
        <v>145.86</v>
      </c>
      <c r="M5787" s="43" t="n">
        <f aca="false">H5787*17.99*(1+'Chart of Accounts'!$E$67)</f>
        <v>88.3677795</v>
      </c>
    </row>
    <row r="5788" customFormat="false" ht="15" hidden="false" customHeight="false" outlineLevel="0" collapsed="false">
      <c r="B5788" s="7" t="s">
        <v>6285</v>
      </c>
      <c r="C5788" s="39" t="n">
        <v>45930</v>
      </c>
      <c r="D5788" s="7" t="s">
        <v>397</v>
      </c>
      <c r="E5788" s="7" t="s">
        <v>159</v>
      </c>
      <c r="F5788" s="7" t="s">
        <v>203</v>
      </c>
      <c r="G5788" s="7" t="s">
        <v>502</v>
      </c>
      <c r="H5788" s="6" t="n">
        <v>0.92</v>
      </c>
      <c r="I5788" s="6" t="n">
        <v>0</v>
      </c>
      <c r="J5788" s="40" t="n">
        <f aca="false">H5788-I5788</f>
        <v>0.92</v>
      </c>
      <c r="K5788" s="41" t="n">
        <v>135</v>
      </c>
      <c r="L5788" s="42" t="n">
        <f aca="false">J5788*K5788</f>
        <v>124.2</v>
      </c>
      <c r="M5788" s="43" t="n">
        <f aca="false">H5788*49.43*(1+'Chart of Accounts'!$E$67)</f>
        <v>52.069562</v>
      </c>
    </row>
    <row r="5789" customFormat="false" ht="15" hidden="false" customHeight="false" outlineLevel="0" collapsed="false">
      <c r="B5789" s="7" t="s">
        <v>6286</v>
      </c>
      <c r="C5789" s="39" t="n">
        <v>45930</v>
      </c>
      <c r="D5789" s="7" t="s">
        <v>401</v>
      </c>
      <c r="E5789" s="7" t="s">
        <v>156</v>
      </c>
      <c r="F5789" s="7" t="s">
        <v>254</v>
      </c>
      <c r="G5789" s="7" t="s">
        <v>505</v>
      </c>
      <c r="H5789" s="6" t="n">
        <v>4.37</v>
      </c>
      <c r="I5789" s="6" t="n">
        <v>0</v>
      </c>
      <c r="J5789" s="40" t="n">
        <f aca="false">H5789-I5789</f>
        <v>4.37</v>
      </c>
      <c r="K5789" s="41" t="n">
        <v>34</v>
      </c>
      <c r="L5789" s="42" t="n">
        <f aca="false">J5789*K5789</f>
        <v>148.58</v>
      </c>
      <c r="M5789" s="43" t="n">
        <f aca="false">H5789*17.1*(1+'Chart of Accounts'!$E$67)</f>
        <v>85.562415</v>
      </c>
    </row>
    <row r="5790" customFormat="false" ht="15" hidden="false" customHeight="false" outlineLevel="0" collapsed="false">
      <c r="B5790" s="7" t="s">
        <v>6287</v>
      </c>
      <c r="C5790" s="39" t="n">
        <v>45930</v>
      </c>
      <c r="D5790" s="7" t="s">
        <v>407</v>
      </c>
      <c r="E5790" s="7" t="s">
        <v>159</v>
      </c>
      <c r="F5790" s="7" t="s">
        <v>260</v>
      </c>
      <c r="G5790" s="7" t="s">
        <v>502</v>
      </c>
      <c r="H5790" s="6" t="n">
        <v>1.04</v>
      </c>
      <c r="I5790" s="6" t="n">
        <v>0</v>
      </c>
      <c r="J5790" s="40" t="n">
        <f aca="false">H5790-I5790</f>
        <v>1.04</v>
      </c>
      <c r="K5790" s="41" t="n">
        <v>135</v>
      </c>
      <c r="L5790" s="42" t="n">
        <f aca="false">J5790*K5790</f>
        <v>140.4</v>
      </c>
      <c r="M5790" s="43" t="n">
        <f aca="false">H5790*79.8*(1+'Chart of Accounts'!$E$67)</f>
        <v>95.02584</v>
      </c>
    </row>
    <row r="5791" customFormat="false" ht="15" hidden="false" customHeight="false" outlineLevel="0" collapsed="false">
      <c r="B5791" s="7" t="s">
        <v>6288</v>
      </c>
      <c r="C5791" s="39" t="n">
        <v>45931</v>
      </c>
      <c r="D5791" s="7" t="s">
        <v>288</v>
      </c>
      <c r="E5791" s="7" t="s">
        <v>156</v>
      </c>
      <c r="F5791" s="7" t="s">
        <v>218</v>
      </c>
      <c r="G5791" s="7" t="s">
        <v>505</v>
      </c>
      <c r="H5791" s="6" t="n">
        <v>4.06</v>
      </c>
      <c r="I5791" s="6" t="n">
        <v>0</v>
      </c>
      <c r="J5791" s="40" t="n">
        <f aca="false">H5791-I5791</f>
        <v>4.06</v>
      </c>
      <c r="K5791" s="41" t="n">
        <v>34</v>
      </c>
      <c r="L5791" s="42" t="n">
        <f aca="false">J5791*K5791</f>
        <v>138.04</v>
      </c>
      <c r="M5791" s="43" t="n">
        <f aca="false">H5791*16.19*(1+'Chart of Accounts'!$E$67)</f>
        <v>75.262453</v>
      </c>
    </row>
    <row r="5792" customFormat="false" ht="15" hidden="false" customHeight="false" outlineLevel="0" collapsed="false">
      <c r="B5792" s="7" t="s">
        <v>6289</v>
      </c>
      <c r="C5792" s="39" t="n">
        <v>45931</v>
      </c>
      <c r="D5792" s="7" t="s">
        <v>291</v>
      </c>
      <c r="E5792" s="7" t="s">
        <v>154</v>
      </c>
      <c r="F5792" s="7" t="s">
        <v>194</v>
      </c>
      <c r="G5792" s="7" t="s">
        <v>505</v>
      </c>
      <c r="H5792" s="6" t="n">
        <v>4.48</v>
      </c>
      <c r="I5792" s="6" t="n">
        <v>0</v>
      </c>
      <c r="J5792" s="40" t="n">
        <f aca="false">H5792-I5792</f>
        <v>4.48</v>
      </c>
      <c r="K5792" s="41" t="n">
        <v>26.5</v>
      </c>
      <c r="L5792" s="42" t="n">
        <f aca="false">J5792*K5792</f>
        <v>118.72</v>
      </c>
      <c r="M5792" s="43" t="n">
        <f aca="false">H5792*16*(1+'Chart of Accounts'!$E$67)</f>
        <v>82.0736</v>
      </c>
    </row>
    <row r="5793" customFormat="false" ht="15" hidden="false" customHeight="false" outlineLevel="0" collapsed="false">
      <c r="B5793" s="7" t="s">
        <v>6290</v>
      </c>
      <c r="C5793" s="39" t="n">
        <v>45931</v>
      </c>
      <c r="D5793" s="7" t="s">
        <v>295</v>
      </c>
      <c r="E5793" s="7" t="s">
        <v>154</v>
      </c>
      <c r="F5793" s="7" t="s">
        <v>214</v>
      </c>
      <c r="G5793" s="7" t="s">
        <v>505</v>
      </c>
      <c r="H5793" s="6" t="n">
        <v>4.14</v>
      </c>
      <c r="I5793" s="6" t="n">
        <v>0</v>
      </c>
      <c r="J5793" s="40" t="n">
        <f aca="false">H5793-I5793</f>
        <v>4.14</v>
      </c>
      <c r="K5793" s="41" t="n">
        <v>26.5</v>
      </c>
      <c r="L5793" s="42" t="n">
        <f aca="false">J5793*K5793</f>
        <v>109.71</v>
      </c>
      <c r="M5793" s="43" t="n">
        <f aca="false">H5793*15.67*(1+'Chart of Accounts'!$E$67)</f>
        <v>74.280501</v>
      </c>
    </row>
    <row r="5794" customFormat="false" ht="15" hidden="false" customHeight="false" outlineLevel="0" collapsed="false">
      <c r="B5794" s="7" t="s">
        <v>6291</v>
      </c>
      <c r="C5794" s="39" t="n">
        <v>45931</v>
      </c>
      <c r="D5794" s="7" t="s">
        <v>305</v>
      </c>
      <c r="E5794" s="7" t="s">
        <v>154</v>
      </c>
      <c r="F5794" s="7" t="s">
        <v>205</v>
      </c>
      <c r="G5794" s="7" t="s">
        <v>505</v>
      </c>
      <c r="H5794" s="6" t="n">
        <v>3.72</v>
      </c>
      <c r="I5794" s="6" t="n">
        <v>0</v>
      </c>
      <c r="J5794" s="40" t="n">
        <f aca="false">H5794-I5794</f>
        <v>3.72</v>
      </c>
      <c r="K5794" s="41" t="n">
        <v>26.5</v>
      </c>
      <c r="L5794" s="42" t="n">
        <f aca="false">J5794*K5794</f>
        <v>98.58</v>
      </c>
      <c r="M5794" s="43" t="n">
        <f aca="false">H5794*16.36*(1+'Chart of Accounts'!$E$67)</f>
        <v>69.683784</v>
      </c>
    </row>
    <row r="5795" customFormat="false" ht="15" hidden="false" customHeight="false" outlineLevel="0" collapsed="false">
      <c r="B5795" s="7" t="s">
        <v>6292</v>
      </c>
      <c r="C5795" s="39" t="n">
        <v>45931</v>
      </c>
      <c r="D5795" s="7" t="s">
        <v>307</v>
      </c>
      <c r="E5795" s="7" t="s">
        <v>157</v>
      </c>
      <c r="F5795" s="7" t="s">
        <v>264</v>
      </c>
      <c r="G5795" s="7" t="s">
        <v>502</v>
      </c>
      <c r="H5795" s="6" t="n">
        <v>1.09</v>
      </c>
      <c r="I5795" s="6" t="n">
        <v>0</v>
      </c>
      <c r="J5795" s="40" t="n">
        <f aca="false">H5795-I5795</f>
        <v>1.09</v>
      </c>
      <c r="K5795" s="41" t="n">
        <v>165</v>
      </c>
      <c r="L5795" s="42" t="n">
        <f aca="false">J5795*K5795</f>
        <v>179.85</v>
      </c>
      <c r="M5795" s="43" t="n">
        <f aca="false">H5795*55.55*(1+'Chart of Accounts'!$E$67)</f>
        <v>69.3291775</v>
      </c>
    </row>
    <row r="5796" customFormat="false" ht="15" hidden="false" customHeight="false" outlineLevel="0" collapsed="false">
      <c r="B5796" s="7" t="s">
        <v>6293</v>
      </c>
      <c r="C5796" s="39" t="n">
        <v>45931</v>
      </c>
      <c r="D5796" s="7" t="s">
        <v>309</v>
      </c>
      <c r="E5796" s="7" t="s">
        <v>159</v>
      </c>
      <c r="F5796" s="7" t="s">
        <v>252</v>
      </c>
      <c r="G5796" s="7" t="s">
        <v>502</v>
      </c>
      <c r="H5796" s="6" t="n">
        <v>0.93</v>
      </c>
      <c r="I5796" s="6" t="n">
        <v>0</v>
      </c>
      <c r="J5796" s="40" t="n">
        <f aca="false">H5796-I5796</f>
        <v>0.93</v>
      </c>
      <c r="K5796" s="41" t="n">
        <v>135</v>
      </c>
      <c r="L5796" s="42" t="n">
        <f aca="false">J5796*K5796</f>
        <v>125.55</v>
      </c>
      <c r="M5796" s="43" t="n">
        <f aca="false">H5796*57.54*(1+'Chart of Accounts'!$E$67)</f>
        <v>61.271469</v>
      </c>
    </row>
    <row r="5797" customFormat="false" ht="15" hidden="false" customHeight="false" outlineLevel="0" collapsed="false">
      <c r="B5797" s="7" t="s">
        <v>6294</v>
      </c>
      <c r="C5797" s="39" t="n">
        <v>45931</v>
      </c>
      <c r="D5797" s="7" t="s">
        <v>313</v>
      </c>
      <c r="E5797" s="7" t="s">
        <v>156</v>
      </c>
      <c r="F5797" s="7" t="s">
        <v>184</v>
      </c>
      <c r="G5797" s="7" t="s">
        <v>505</v>
      </c>
      <c r="H5797" s="6" t="n">
        <v>3.68</v>
      </c>
      <c r="I5797" s="6" t="n">
        <v>0</v>
      </c>
      <c r="J5797" s="40" t="n">
        <f aca="false">H5797-I5797</f>
        <v>3.68</v>
      </c>
      <c r="K5797" s="41" t="n">
        <v>34</v>
      </c>
      <c r="L5797" s="42" t="n">
        <f aca="false">J5797*K5797</f>
        <v>125.12</v>
      </c>
      <c r="M5797" s="43" t="n">
        <f aca="false">H5797*17.34*(1+'Chart of Accounts'!$E$67)</f>
        <v>73.063824</v>
      </c>
    </row>
    <row r="5798" customFormat="false" ht="15" hidden="false" customHeight="false" outlineLevel="0" collapsed="false">
      <c r="B5798" s="7" t="s">
        <v>6295</v>
      </c>
      <c r="C5798" s="39" t="n">
        <v>45931</v>
      </c>
      <c r="D5798" s="7" t="s">
        <v>315</v>
      </c>
      <c r="E5798" s="7" t="s">
        <v>159</v>
      </c>
      <c r="F5798" s="7" t="s">
        <v>216</v>
      </c>
      <c r="G5798" s="7" t="s">
        <v>502</v>
      </c>
      <c r="H5798" s="6" t="n">
        <v>1.02</v>
      </c>
      <c r="I5798" s="6" t="n">
        <v>0</v>
      </c>
      <c r="J5798" s="40" t="n">
        <f aca="false">H5798-I5798</f>
        <v>1.02</v>
      </c>
      <c r="K5798" s="41" t="n">
        <v>135</v>
      </c>
      <c r="L5798" s="42" t="n">
        <f aca="false">J5798*K5798</f>
        <v>137.7</v>
      </c>
      <c r="M5798" s="43" t="n">
        <f aca="false">H5798*61.79*(1+'Chart of Accounts'!$E$67)</f>
        <v>72.164541</v>
      </c>
    </row>
    <row r="5799" customFormat="false" ht="15" hidden="false" customHeight="false" outlineLevel="0" collapsed="false">
      <c r="B5799" s="7" t="s">
        <v>6296</v>
      </c>
      <c r="C5799" s="39" t="n">
        <v>45931</v>
      </c>
      <c r="D5799" s="7" t="s">
        <v>321</v>
      </c>
      <c r="E5799" s="7" t="s">
        <v>154</v>
      </c>
      <c r="F5799" s="7" t="s">
        <v>218</v>
      </c>
      <c r="G5799" s="7" t="s">
        <v>505</v>
      </c>
      <c r="H5799" s="6" t="n">
        <v>3.73</v>
      </c>
      <c r="I5799" s="6" t="n">
        <v>0</v>
      </c>
      <c r="J5799" s="40" t="n">
        <f aca="false">H5799-I5799</f>
        <v>3.73</v>
      </c>
      <c r="K5799" s="41" t="n">
        <v>26.5</v>
      </c>
      <c r="L5799" s="42" t="n">
        <f aca="false">J5799*K5799</f>
        <v>98.845</v>
      </c>
      <c r="M5799" s="43" t="n">
        <f aca="false">H5799*16.19*(1+'Chart of Accounts'!$E$67)</f>
        <v>69.1450615</v>
      </c>
    </row>
    <row r="5800" customFormat="false" ht="15" hidden="false" customHeight="false" outlineLevel="0" collapsed="false">
      <c r="B5800" s="7" t="s">
        <v>6297</v>
      </c>
      <c r="C5800" s="39" t="n">
        <v>45931</v>
      </c>
      <c r="D5800" s="7" t="s">
        <v>329</v>
      </c>
      <c r="E5800" s="7" t="s">
        <v>156</v>
      </c>
      <c r="F5800" s="7" t="s">
        <v>220</v>
      </c>
      <c r="G5800" s="7" t="s">
        <v>505</v>
      </c>
      <c r="H5800" s="6" t="n">
        <v>4.14</v>
      </c>
      <c r="I5800" s="6" t="n">
        <v>0</v>
      </c>
      <c r="J5800" s="40" t="n">
        <f aca="false">H5800-I5800</f>
        <v>4.14</v>
      </c>
      <c r="K5800" s="41" t="n">
        <v>34</v>
      </c>
      <c r="L5800" s="42" t="n">
        <f aca="false">J5800*K5800</f>
        <v>140.76</v>
      </c>
      <c r="M5800" s="43" t="n">
        <f aca="false">H5800*16.43*(1+'Chart of Accounts'!$E$67)</f>
        <v>77.883129</v>
      </c>
    </row>
    <row r="5801" customFormat="false" ht="15" hidden="false" customHeight="false" outlineLevel="0" collapsed="false">
      <c r="B5801" s="7" t="s">
        <v>6298</v>
      </c>
      <c r="C5801" s="39" t="n">
        <v>45931</v>
      </c>
      <c r="D5801" s="7" t="s">
        <v>333</v>
      </c>
      <c r="E5801" s="7" t="s">
        <v>154</v>
      </c>
      <c r="F5801" s="7" t="s">
        <v>236</v>
      </c>
      <c r="G5801" s="7" t="s">
        <v>505</v>
      </c>
      <c r="H5801" s="6" t="n">
        <v>3.3</v>
      </c>
      <c r="I5801" s="6" t="n">
        <v>0.099</v>
      </c>
      <c r="J5801" s="40" t="n">
        <f aca="false">H5801-I5801</f>
        <v>3.201</v>
      </c>
      <c r="K5801" s="41" t="n">
        <v>26.5</v>
      </c>
      <c r="L5801" s="42" t="n">
        <f aca="false">J5801*K5801</f>
        <v>84.8265</v>
      </c>
      <c r="M5801" s="43" t="n">
        <f aca="false">H5801*15.49*(1+'Chart of Accounts'!$E$67)</f>
        <v>58.528965</v>
      </c>
    </row>
    <row r="5802" customFormat="false" ht="15" hidden="false" customHeight="false" outlineLevel="0" collapsed="false">
      <c r="B5802" s="7" t="s">
        <v>6299</v>
      </c>
      <c r="C5802" s="39" t="n">
        <v>45931</v>
      </c>
      <c r="D5802" s="7" t="s">
        <v>339</v>
      </c>
      <c r="E5802" s="7" t="s">
        <v>154</v>
      </c>
      <c r="F5802" s="7" t="s">
        <v>242</v>
      </c>
      <c r="G5802" s="7" t="s">
        <v>505</v>
      </c>
      <c r="H5802" s="6" t="n">
        <v>3.42</v>
      </c>
      <c r="I5802" s="6" t="n">
        <v>0</v>
      </c>
      <c r="J5802" s="40" t="n">
        <f aca="false">H5802-I5802</f>
        <v>3.42</v>
      </c>
      <c r="K5802" s="41" t="n">
        <v>26.5</v>
      </c>
      <c r="L5802" s="42" t="n">
        <f aca="false">J5802*K5802</f>
        <v>90.63</v>
      </c>
      <c r="M5802" s="43" t="n">
        <f aca="false">H5802*17.99*(1+'Chart of Accounts'!$E$67)</f>
        <v>70.447041</v>
      </c>
    </row>
    <row r="5803" customFormat="false" ht="15" hidden="false" customHeight="false" outlineLevel="0" collapsed="false">
      <c r="B5803" s="7" t="s">
        <v>6300</v>
      </c>
      <c r="C5803" s="39" t="n">
        <v>45931</v>
      </c>
      <c r="D5803" s="7" t="s">
        <v>347</v>
      </c>
      <c r="E5803" s="7" t="s">
        <v>154</v>
      </c>
      <c r="F5803" s="7" t="s">
        <v>238</v>
      </c>
      <c r="G5803" s="7" t="s">
        <v>505</v>
      </c>
      <c r="H5803" s="6" t="n">
        <v>4.59</v>
      </c>
      <c r="I5803" s="6" t="n">
        <v>0</v>
      </c>
      <c r="J5803" s="40" t="n">
        <f aca="false">H5803-I5803</f>
        <v>4.59</v>
      </c>
      <c r="K5803" s="41" t="n">
        <v>26.5</v>
      </c>
      <c r="L5803" s="42" t="n">
        <f aca="false">J5803*K5803</f>
        <v>121.635</v>
      </c>
      <c r="M5803" s="43" t="n">
        <f aca="false">H5803*15.85*(1+'Chart of Accounts'!$E$67)</f>
        <v>83.3004675</v>
      </c>
    </row>
    <row r="5804" customFormat="false" ht="15" hidden="false" customHeight="false" outlineLevel="0" collapsed="false">
      <c r="B5804" s="7" t="s">
        <v>6301</v>
      </c>
      <c r="C5804" s="39" t="n">
        <v>45931</v>
      </c>
      <c r="D5804" s="7" t="s">
        <v>349</v>
      </c>
      <c r="E5804" s="7" t="s">
        <v>154</v>
      </c>
      <c r="F5804" s="7" t="s">
        <v>244</v>
      </c>
      <c r="G5804" s="7" t="s">
        <v>505</v>
      </c>
      <c r="H5804" s="6" t="n">
        <v>4.21</v>
      </c>
      <c r="I5804" s="6" t="n">
        <v>0</v>
      </c>
      <c r="J5804" s="40" t="n">
        <f aca="false">H5804-I5804</f>
        <v>4.21</v>
      </c>
      <c r="K5804" s="41" t="n">
        <v>26.5</v>
      </c>
      <c r="L5804" s="42" t="n">
        <f aca="false">J5804*K5804</f>
        <v>111.565</v>
      </c>
      <c r="M5804" s="43" t="n">
        <f aca="false">H5804*16.39*(1+'Chart of Accounts'!$E$67)</f>
        <v>79.0071755</v>
      </c>
    </row>
    <row r="5805" customFormat="false" ht="15" hidden="false" customHeight="false" outlineLevel="0" collapsed="false">
      <c r="B5805" s="7" t="s">
        <v>6302</v>
      </c>
      <c r="C5805" s="39" t="n">
        <v>45931</v>
      </c>
      <c r="D5805" s="7" t="s">
        <v>355</v>
      </c>
      <c r="E5805" s="7" t="s">
        <v>154</v>
      </c>
      <c r="F5805" s="7" t="s">
        <v>201</v>
      </c>
      <c r="G5805" s="7" t="s">
        <v>505</v>
      </c>
      <c r="H5805" s="6" t="n">
        <v>3.3</v>
      </c>
      <c r="I5805" s="6" t="n">
        <v>0</v>
      </c>
      <c r="J5805" s="40" t="n">
        <f aca="false">H5805-I5805</f>
        <v>3.3</v>
      </c>
      <c r="K5805" s="41" t="n">
        <v>26.5</v>
      </c>
      <c r="L5805" s="42" t="n">
        <f aca="false">J5805*K5805</f>
        <v>87.45</v>
      </c>
      <c r="M5805" s="43" t="n">
        <f aca="false">H5805*15.19*(1+'Chart of Accounts'!$E$67)</f>
        <v>57.395415</v>
      </c>
    </row>
    <row r="5806" customFormat="false" ht="15" hidden="false" customHeight="false" outlineLevel="0" collapsed="false">
      <c r="B5806" s="7" t="s">
        <v>6303</v>
      </c>
      <c r="C5806" s="39" t="n">
        <v>45931</v>
      </c>
      <c r="D5806" s="7" t="s">
        <v>357</v>
      </c>
      <c r="E5806" s="7" t="s">
        <v>154</v>
      </c>
      <c r="F5806" s="7" t="s">
        <v>254</v>
      </c>
      <c r="G5806" s="7" t="s">
        <v>505</v>
      </c>
      <c r="H5806" s="6" t="n">
        <v>3.37</v>
      </c>
      <c r="I5806" s="6" t="n">
        <v>0</v>
      </c>
      <c r="J5806" s="40" t="n">
        <f aca="false">H5806-I5806</f>
        <v>3.37</v>
      </c>
      <c r="K5806" s="41" t="n">
        <v>26.5</v>
      </c>
      <c r="L5806" s="42" t="n">
        <f aca="false">J5806*K5806</f>
        <v>89.305</v>
      </c>
      <c r="M5806" s="43" t="n">
        <f aca="false">H5806*17.1*(1+'Chart of Accounts'!$E$67)</f>
        <v>65.982915</v>
      </c>
    </row>
    <row r="5807" customFormat="false" ht="15" hidden="false" customHeight="false" outlineLevel="0" collapsed="false">
      <c r="B5807" s="7" t="s">
        <v>6304</v>
      </c>
      <c r="C5807" s="39" t="n">
        <v>45931</v>
      </c>
      <c r="D5807" s="7" t="s">
        <v>359</v>
      </c>
      <c r="E5807" s="7" t="s">
        <v>156</v>
      </c>
      <c r="F5807" s="7" t="s">
        <v>214</v>
      </c>
      <c r="G5807" s="7" t="s">
        <v>505</v>
      </c>
      <c r="H5807" s="6" t="n">
        <v>3.82</v>
      </c>
      <c r="I5807" s="6" t="n">
        <v>0</v>
      </c>
      <c r="J5807" s="40" t="n">
        <f aca="false">H5807-I5807</f>
        <v>3.82</v>
      </c>
      <c r="K5807" s="41" t="n">
        <v>34</v>
      </c>
      <c r="L5807" s="42" t="n">
        <f aca="false">J5807*K5807</f>
        <v>129.88</v>
      </c>
      <c r="M5807" s="43" t="n">
        <f aca="false">H5807*15.67*(1+'Chart of Accounts'!$E$67)</f>
        <v>68.539013</v>
      </c>
    </row>
    <row r="5808" customFormat="false" ht="15" hidden="false" customHeight="false" outlineLevel="0" collapsed="false">
      <c r="B5808" s="7" t="s">
        <v>6305</v>
      </c>
      <c r="C5808" s="39" t="n">
        <v>45931</v>
      </c>
      <c r="D5808" s="7" t="s">
        <v>365</v>
      </c>
      <c r="E5808" s="7" t="s">
        <v>154</v>
      </c>
      <c r="F5808" s="7" t="s">
        <v>194</v>
      </c>
      <c r="G5808" s="7" t="s">
        <v>505</v>
      </c>
      <c r="H5808" s="6" t="n">
        <v>4.24</v>
      </c>
      <c r="I5808" s="6" t="n">
        <v>0.127</v>
      </c>
      <c r="J5808" s="40" t="n">
        <f aca="false">H5808-I5808</f>
        <v>4.113</v>
      </c>
      <c r="K5808" s="41" t="n">
        <v>26.5</v>
      </c>
      <c r="L5808" s="42" t="n">
        <f aca="false">J5808*K5808</f>
        <v>108.9945</v>
      </c>
      <c r="M5808" s="43" t="n">
        <f aca="false">H5808*16*(1+'Chart of Accounts'!$E$67)</f>
        <v>77.6768</v>
      </c>
    </row>
    <row r="5809" customFormat="false" ht="15" hidden="false" customHeight="false" outlineLevel="0" collapsed="false">
      <c r="B5809" s="7" t="s">
        <v>6306</v>
      </c>
      <c r="C5809" s="39" t="n">
        <v>45931</v>
      </c>
      <c r="D5809" s="7" t="s">
        <v>371</v>
      </c>
      <c r="E5809" s="7" t="s">
        <v>154</v>
      </c>
      <c r="F5809" s="7" t="s">
        <v>232</v>
      </c>
      <c r="G5809" s="7" t="s">
        <v>505</v>
      </c>
      <c r="H5809" s="6" t="n">
        <v>4.63</v>
      </c>
      <c r="I5809" s="6" t="n">
        <v>0</v>
      </c>
      <c r="J5809" s="40" t="n">
        <f aca="false">H5809-I5809</f>
        <v>4.63</v>
      </c>
      <c r="K5809" s="41" t="n">
        <v>26.5</v>
      </c>
      <c r="L5809" s="42" t="n">
        <f aca="false">J5809*K5809</f>
        <v>122.695</v>
      </c>
      <c r="M5809" s="43" t="n">
        <f aca="false">H5809*16.17*(1+'Chart of Accounts'!$E$67)</f>
        <v>85.7228295</v>
      </c>
    </row>
    <row r="5810" customFormat="false" ht="15" hidden="false" customHeight="false" outlineLevel="0" collapsed="false">
      <c r="B5810" s="7" t="s">
        <v>6307</v>
      </c>
      <c r="C5810" s="39" t="n">
        <v>45931</v>
      </c>
      <c r="D5810" s="7" t="s">
        <v>379</v>
      </c>
      <c r="E5810" s="7" t="s">
        <v>156</v>
      </c>
      <c r="F5810" s="7" t="s">
        <v>224</v>
      </c>
      <c r="G5810" s="7" t="s">
        <v>505</v>
      </c>
      <c r="H5810" s="6" t="n">
        <v>5.08</v>
      </c>
      <c r="I5810" s="6" t="n">
        <v>0</v>
      </c>
      <c r="J5810" s="40" t="n">
        <f aca="false">H5810-I5810</f>
        <v>5.08</v>
      </c>
      <c r="K5810" s="41" t="n">
        <v>34</v>
      </c>
      <c r="L5810" s="42" t="n">
        <f aca="false">J5810*K5810</f>
        <v>172.72</v>
      </c>
      <c r="M5810" s="43" t="n">
        <f aca="false">H5810*14.93*(1+'Chart of Accounts'!$E$67)</f>
        <v>86.841838</v>
      </c>
    </row>
    <row r="5811" customFormat="false" ht="15" hidden="false" customHeight="false" outlineLevel="0" collapsed="false">
      <c r="B5811" s="7" t="s">
        <v>6308</v>
      </c>
      <c r="C5811" s="39" t="n">
        <v>45931</v>
      </c>
      <c r="D5811" s="7" t="s">
        <v>385</v>
      </c>
      <c r="E5811" s="7" t="s">
        <v>156</v>
      </c>
      <c r="F5811" s="7" t="s">
        <v>238</v>
      </c>
      <c r="G5811" s="7" t="s">
        <v>505</v>
      </c>
      <c r="H5811" s="6" t="n">
        <v>4.07</v>
      </c>
      <c r="I5811" s="6" t="n">
        <v>0</v>
      </c>
      <c r="J5811" s="40" t="n">
        <f aca="false">H5811-I5811</f>
        <v>4.07</v>
      </c>
      <c r="K5811" s="41" t="n">
        <v>34</v>
      </c>
      <c r="L5811" s="42" t="n">
        <f aca="false">J5811*K5811</f>
        <v>138.38</v>
      </c>
      <c r="M5811" s="43" t="n">
        <f aca="false">H5811*15.85*(1+'Chart of Accounts'!$E$67)</f>
        <v>73.8633775</v>
      </c>
    </row>
    <row r="5812" customFormat="false" ht="15" hidden="false" customHeight="false" outlineLevel="0" collapsed="false">
      <c r="B5812" s="7" t="s">
        <v>6309</v>
      </c>
      <c r="C5812" s="39" t="n">
        <v>45931</v>
      </c>
      <c r="D5812" s="7" t="s">
        <v>387</v>
      </c>
      <c r="E5812" s="7" t="s">
        <v>154</v>
      </c>
      <c r="F5812" s="7" t="s">
        <v>196</v>
      </c>
      <c r="G5812" s="7" t="s">
        <v>505</v>
      </c>
      <c r="H5812" s="6" t="n">
        <v>3.9</v>
      </c>
      <c r="I5812" s="6" t="n">
        <v>0</v>
      </c>
      <c r="J5812" s="40" t="n">
        <f aca="false">H5812-I5812</f>
        <v>3.9</v>
      </c>
      <c r="K5812" s="41" t="n">
        <v>26.5</v>
      </c>
      <c r="L5812" s="42" t="n">
        <f aca="false">J5812*K5812</f>
        <v>103.35</v>
      </c>
      <c r="M5812" s="43" t="n">
        <f aca="false">H5812*15.05*(1+'Chart of Accounts'!$E$67)</f>
        <v>67.205775</v>
      </c>
    </row>
    <row r="5813" customFormat="false" ht="15" hidden="false" customHeight="false" outlineLevel="0" collapsed="false">
      <c r="B5813" s="7" t="s">
        <v>6310</v>
      </c>
      <c r="C5813" s="39" t="n">
        <v>45931</v>
      </c>
      <c r="D5813" s="7" t="s">
        <v>389</v>
      </c>
      <c r="E5813" s="7" t="s">
        <v>154</v>
      </c>
      <c r="F5813" s="7" t="s">
        <v>246</v>
      </c>
      <c r="G5813" s="7" t="s">
        <v>505</v>
      </c>
      <c r="H5813" s="6" t="n">
        <v>3.81</v>
      </c>
      <c r="I5813" s="6" t="n">
        <v>0</v>
      </c>
      <c r="J5813" s="40" t="n">
        <f aca="false">H5813-I5813</f>
        <v>3.81</v>
      </c>
      <c r="K5813" s="41" t="n">
        <v>26.5</v>
      </c>
      <c r="L5813" s="42" t="n">
        <f aca="false">J5813*K5813</f>
        <v>100.965</v>
      </c>
      <c r="M5813" s="43" t="n">
        <f aca="false">H5813*16.48*(1+'Chart of Accounts'!$E$67)</f>
        <v>71.893176</v>
      </c>
    </row>
    <row r="5814" customFormat="false" ht="15" hidden="false" customHeight="false" outlineLevel="0" collapsed="false">
      <c r="B5814" s="7" t="s">
        <v>6311</v>
      </c>
      <c r="C5814" s="39" t="n">
        <v>45931</v>
      </c>
      <c r="D5814" s="7" t="s">
        <v>391</v>
      </c>
      <c r="E5814" s="7" t="s">
        <v>156</v>
      </c>
      <c r="F5814" s="7" t="s">
        <v>222</v>
      </c>
      <c r="G5814" s="7" t="s">
        <v>505</v>
      </c>
      <c r="H5814" s="6" t="n">
        <v>3.73</v>
      </c>
      <c r="I5814" s="6" t="n">
        <v>0</v>
      </c>
      <c r="J5814" s="40" t="n">
        <f aca="false">H5814-I5814</f>
        <v>3.73</v>
      </c>
      <c r="K5814" s="41" t="n">
        <v>34</v>
      </c>
      <c r="L5814" s="42" t="n">
        <f aca="false">J5814*K5814</f>
        <v>126.82</v>
      </c>
      <c r="M5814" s="43" t="n">
        <f aca="false">H5814*17.84*(1+'Chart of Accounts'!$E$67)</f>
        <v>76.191964</v>
      </c>
    </row>
    <row r="5815" customFormat="false" ht="15" hidden="false" customHeight="false" outlineLevel="0" collapsed="false">
      <c r="B5815" s="7" t="s">
        <v>6312</v>
      </c>
      <c r="C5815" s="39" t="n">
        <v>45931</v>
      </c>
      <c r="D5815" s="7" t="s">
        <v>393</v>
      </c>
      <c r="E5815" s="7" t="s">
        <v>157</v>
      </c>
      <c r="F5815" s="7" t="s">
        <v>203</v>
      </c>
      <c r="G5815" s="7" t="s">
        <v>502</v>
      </c>
      <c r="H5815" s="6" t="n">
        <v>1.08</v>
      </c>
      <c r="I5815" s="6" t="n">
        <v>0</v>
      </c>
      <c r="J5815" s="40" t="n">
        <f aca="false">H5815-I5815</f>
        <v>1.08</v>
      </c>
      <c r="K5815" s="41" t="n">
        <v>165</v>
      </c>
      <c r="L5815" s="42" t="n">
        <f aca="false">J5815*K5815</f>
        <v>178.2</v>
      </c>
      <c r="M5815" s="43" t="n">
        <f aca="false">H5815*49.43*(1+'Chart of Accounts'!$E$67)</f>
        <v>61.125138</v>
      </c>
    </row>
    <row r="5816" customFormat="false" ht="15" hidden="false" customHeight="false" outlineLevel="0" collapsed="false">
      <c r="B5816" s="7" t="s">
        <v>6313</v>
      </c>
      <c r="C5816" s="39" t="n">
        <v>45931</v>
      </c>
      <c r="D5816" s="7" t="s">
        <v>395</v>
      </c>
      <c r="E5816" s="7" t="s">
        <v>156</v>
      </c>
      <c r="F5816" s="7" t="s">
        <v>242</v>
      </c>
      <c r="G5816" s="7" t="s">
        <v>505</v>
      </c>
      <c r="H5816" s="6" t="n">
        <v>4.27</v>
      </c>
      <c r="I5816" s="6" t="n">
        <v>0</v>
      </c>
      <c r="J5816" s="40" t="n">
        <f aca="false">H5816-I5816</f>
        <v>4.27</v>
      </c>
      <c r="K5816" s="41" t="n">
        <v>34</v>
      </c>
      <c r="L5816" s="42" t="n">
        <f aca="false">J5816*K5816</f>
        <v>145.18</v>
      </c>
      <c r="M5816" s="43" t="n">
        <f aca="false">H5816*17.99*(1+'Chart of Accounts'!$E$67)</f>
        <v>87.9558085</v>
      </c>
    </row>
    <row r="5817" customFormat="false" ht="15" hidden="false" customHeight="false" outlineLevel="0" collapsed="false">
      <c r="B5817" s="7" t="s">
        <v>6314</v>
      </c>
      <c r="C5817" s="39" t="n">
        <v>45931</v>
      </c>
      <c r="D5817" s="7" t="s">
        <v>399</v>
      </c>
      <c r="E5817" s="7" t="s">
        <v>154</v>
      </c>
      <c r="F5817" s="7" t="s">
        <v>236</v>
      </c>
      <c r="G5817" s="7" t="s">
        <v>505</v>
      </c>
      <c r="H5817" s="6" t="n">
        <v>3.09</v>
      </c>
      <c r="I5817" s="6" t="n">
        <v>0</v>
      </c>
      <c r="J5817" s="40" t="n">
        <f aca="false">H5817-I5817</f>
        <v>3.09</v>
      </c>
      <c r="K5817" s="41" t="n">
        <v>26.5</v>
      </c>
      <c r="L5817" s="42" t="n">
        <f aca="false">J5817*K5817</f>
        <v>81.885</v>
      </c>
      <c r="M5817" s="43" t="n">
        <f aca="false">H5817*15.49*(1+'Chart of Accounts'!$E$67)</f>
        <v>54.8043945</v>
      </c>
    </row>
    <row r="5818" customFormat="false" ht="15" hidden="false" customHeight="false" outlineLevel="0" collapsed="false">
      <c r="B5818" s="7" t="s">
        <v>6315</v>
      </c>
      <c r="C5818" s="39" t="n">
        <v>45931</v>
      </c>
      <c r="D5818" s="7" t="s">
        <v>401</v>
      </c>
      <c r="E5818" s="7" t="s">
        <v>156</v>
      </c>
      <c r="F5818" s="7" t="s">
        <v>254</v>
      </c>
      <c r="G5818" s="7" t="s">
        <v>505</v>
      </c>
      <c r="H5818" s="6" t="n">
        <v>4.04</v>
      </c>
      <c r="I5818" s="6" t="n">
        <v>0</v>
      </c>
      <c r="J5818" s="40" t="n">
        <f aca="false">H5818-I5818</f>
        <v>4.04</v>
      </c>
      <c r="K5818" s="41" t="n">
        <v>34</v>
      </c>
      <c r="L5818" s="42" t="n">
        <f aca="false">J5818*K5818</f>
        <v>137.36</v>
      </c>
      <c r="M5818" s="43" t="n">
        <f aca="false">H5818*17.1*(1+'Chart of Accounts'!$E$67)</f>
        <v>79.10118</v>
      </c>
    </row>
    <row r="5819" customFormat="false" ht="15" hidden="false" customHeight="false" outlineLevel="0" collapsed="false">
      <c r="B5819" s="7" t="s">
        <v>6316</v>
      </c>
      <c r="C5819" s="39" t="n">
        <v>45931</v>
      </c>
      <c r="D5819" s="7" t="s">
        <v>403</v>
      </c>
      <c r="E5819" s="7" t="s">
        <v>156</v>
      </c>
      <c r="F5819" s="7" t="s">
        <v>184</v>
      </c>
      <c r="G5819" s="7" t="s">
        <v>505</v>
      </c>
      <c r="H5819" s="6" t="n">
        <v>4.04</v>
      </c>
      <c r="I5819" s="6" t="n">
        <v>0</v>
      </c>
      <c r="J5819" s="40" t="n">
        <f aca="false">H5819-I5819</f>
        <v>4.04</v>
      </c>
      <c r="K5819" s="41" t="n">
        <v>34</v>
      </c>
      <c r="L5819" s="42" t="n">
        <f aca="false">J5819*K5819</f>
        <v>137.36</v>
      </c>
      <c r="M5819" s="43" t="n">
        <f aca="false">H5819*17.34*(1+'Chart of Accounts'!$E$67)</f>
        <v>80.211372</v>
      </c>
    </row>
    <row r="5820" customFormat="false" ht="15" hidden="false" customHeight="false" outlineLevel="0" collapsed="false">
      <c r="B5820" s="7" t="s">
        <v>6317</v>
      </c>
      <c r="C5820" s="39" t="n">
        <v>45931</v>
      </c>
      <c r="D5820" s="7" t="s">
        <v>409</v>
      </c>
      <c r="E5820" s="7" t="s">
        <v>154</v>
      </c>
      <c r="F5820" s="7" t="s">
        <v>214</v>
      </c>
      <c r="G5820" s="7" t="s">
        <v>505</v>
      </c>
      <c r="H5820" s="6" t="n">
        <v>3.24</v>
      </c>
      <c r="I5820" s="6" t="n">
        <v>0</v>
      </c>
      <c r="J5820" s="40" t="n">
        <f aca="false">H5820-I5820</f>
        <v>3.24</v>
      </c>
      <c r="K5820" s="41" t="n">
        <v>26.5</v>
      </c>
      <c r="L5820" s="42" t="n">
        <f aca="false">J5820*K5820</f>
        <v>85.86</v>
      </c>
      <c r="M5820" s="43" t="n">
        <f aca="false">H5820*15.67*(1+'Chart of Accounts'!$E$67)</f>
        <v>58.132566</v>
      </c>
    </row>
    <row r="5821" customFormat="false" ht="15" hidden="false" customHeight="false" outlineLevel="0" collapsed="false">
      <c r="B5821" s="7" t="s">
        <v>6318</v>
      </c>
      <c r="C5821" s="39" t="n">
        <v>45931</v>
      </c>
      <c r="D5821" s="7" t="s">
        <v>411</v>
      </c>
      <c r="E5821" s="7" t="s">
        <v>154</v>
      </c>
      <c r="F5821" s="7" t="s">
        <v>177</v>
      </c>
      <c r="G5821" s="7" t="s">
        <v>505</v>
      </c>
      <c r="H5821" s="6" t="n">
        <v>4.72</v>
      </c>
      <c r="I5821" s="6" t="n">
        <v>0</v>
      </c>
      <c r="J5821" s="40" t="n">
        <f aca="false">H5821-I5821</f>
        <v>4.72</v>
      </c>
      <c r="K5821" s="41" t="n">
        <v>26.5</v>
      </c>
      <c r="L5821" s="42" t="n">
        <f aca="false">J5821*K5821</f>
        <v>125.08</v>
      </c>
      <c r="M5821" s="43" t="n">
        <f aca="false">H5821*14.56*(1+'Chart of Accounts'!$E$67)</f>
        <v>78.688064</v>
      </c>
    </row>
    <row r="5822" customFormat="false" ht="15" hidden="false" customHeight="false" outlineLevel="0" collapsed="false">
      <c r="B5822" s="7" t="s">
        <v>6319</v>
      </c>
      <c r="C5822" s="39" t="n">
        <v>45932</v>
      </c>
      <c r="D5822" s="7" t="s">
        <v>288</v>
      </c>
      <c r="E5822" s="7" t="s">
        <v>156</v>
      </c>
      <c r="F5822" s="7" t="s">
        <v>224</v>
      </c>
      <c r="G5822" s="7" t="s">
        <v>505</v>
      </c>
      <c r="H5822" s="6" t="n">
        <v>4.3</v>
      </c>
      <c r="I5822" s="6" t="n">
        <v>0</v>
      </c>
      <c r="J5822" s="40" t="n">
        <f aca="false">H5822-I5822</f>
        <v>4.3</v>
      </c>
      <c r="K5822" s="41" t="n">
        <v>34</v>
      </c>
      <c r="L5822" s="42" t="n">
        <f aca="false">J5822*K5822</f>
        <v>146.2</v>
      </c>
      <c r="M5822" s="43" t="n">
        <f aca="false">H5822*14.93*(1+'Chart of Accounts'!$E$67)</f>
        <v>73.507855</v>
      </c>
    </row>
    <row r="5823" customFormat="false" ht="15" hidden="false" customHeight="false" outlineLevel="0" collapsed="false">
      <c r="B5823" s="7" t="s">
        <v>6320</v>
      </c>
      <c r="C5823" s="39" t="n">
        <v>45932</v>
      </c>
      <c r="D5823" s="7" t="s">
        <v>297</v>
      </c>
      <c r="E5823" s="7" t="s">
        <v>156</v>
      </c>
      <c r="F5823" s="7" t="s">
        <v>201</v>
      </c>
      <c r="G5823" s="7" t="s">
        <v>505</v>
      </c>
      <c r="H5823" s="6" t="n">
        <v>3.1</v>
      </c>
      <c r="I5823" s="6" t="n">
        <v>0</v>
      </c>
      <c r="J5823" s="40" t="n">
        <f aca="false">H5823-I5823</f>
        <v>3.1</v>
      </c>
      <c r="K5823" s="41" t="n">
        <v>34</v>
      </c>
      <c r="L5823" s="42" t="n">
        <f aca="false">J5823*K5823</f>
        <v>105.4</v>
      </c>
      <c r="M5823" s="43" t="n">
        <f aca="false">H5823*15.19*(1+'Chart of Accounts'!$E$67)</f>
        <v>53.916905</v>
      </c>
    </row>
    <row r="5824" customFormat="false" ht="15" hidden="false" customHeight="false" outlineLevel="0" collapsed="false">
      <c r="B5824" s="7" t="s">
        <v>6321</v>
      </c>
      <c r="C5824" s="39" t="n">
        <v>45932</v>
      </c>
      <c r="D5824" s="7" t="s">
        <v>311</v>
      </c>
      <c r="E5824" s="7" t="s">
        <v>154</v>
      </c>
      <c r="F5824" s="7" t="s">
        <v>196</v>
      </c>
      <c r="G5824" s="7" t="s">
        <v>505</v>
      </c>
      <c r="H5824" s="6" t="n">
        <v>3.06</v>
      </c>
      <c r="I5824" s="6" t="n">
        <v>0</v>
      </c>
      <c r="J5824" s="40" t="n">
        <f aca="false">H5824-I5824</f>
        <v>3.06</v>
      </c>
      <c r="K5824" s="41" t="n">
        <v>26.5</v>
      </c>
      <c r="L5824" s="42" t="n">
        <f aca="false">J5824*K5824</f>
        <v>81.09</v>
      </c>
      <c r="M5824" s="43" t="n">
        <f aca="false">H5824*15.05*(1+'Chart of Accounts'!$E$67)</f>
        <v>52.730685</v>
      </c>
    </row>
    <row r="5825" customFormat="false" ht="15" hidden="false" customHeight="false" outlineLevel="0" collapsed="false">
      <c r="B5825" s="7" t="s">
        <v>6322</v>
      </c>
      <c r="C5825" s="39" t="n">
        <v>45932</v>
      </c>
      <c r="D5825" s="7" t="s">
        <v>313</v>
      </c>
      <c r="E5825" s="7" t="s">
        <v>156</v>
      </c>
      <c r="F5825" s="7" t="s">
        <v>184</v>
      </c>
      <c r="G5825" s="7" t="s">
        <v>505</v>
      </c>
      <c r="H5825" s="6" t="n">
        <v>4.19</v>
      </c>
      <c r="I5825" s="6" t="n">
        <v>0</v>
      </c>
      <c r="J5825" s="40" t="n">
        <f aca="false">H5825-I5825</f>
        <v>4.19</v>
      </c>
      <c r="K5825" s="41" t="n">
        <v>34</v>
      </c>
      <c r="L5825" s="42" t="n">
        <f aca="false">J5825*K5825</f>
        <v>142.46</v>
      </c>
      <c r="M5825" s="43" t="n">
        <f aca="false">H5825*17.34*(1+'Chart of Accounts'!$E$67)</f>
        <v>83.189517</v>
      </c>
    </row>
    <row r="5826" customFormat="false" ht="15" hidden="false" customHeight="false" outlineLevel="0" collapsed="false">
      <c r="B5826" s="7" t="s">
        <v>6323</v>
      </c>
      <c r="C5826" s="39" t="n">
        <v>45932</v>
      </c>
      <c r="D5826" s="7" t="s">
        <v>317</v>
      </c>
      <c r="E5826" s="7" t="s">
        <v>156</v>
      </c>
      <c r="F5826" s="7" t="s">
        <v>201</v>
      </c>
      <c r="G5826" s="7" t="s">
        <v>505</v>
      </c>
      <c r="H5826" s="6" t="n">
        <v>3.29</v>
      </c>
      <c r="I5826" s="6" t="n">
        <v>0</v>
      </c>
      <c r="J5826" s="40" t="n">
        <f aca="false">H5826-I5826</f>
        <v>3.29</v>
      </c>
      <c r="K5826" s="41" t="n">
        <v>34</v>
      </c>
      <c r="L5826" s="42" t="n">
        <f aca="false">J5826*K5826</f>
        <v>111.86</v>
      </c>
      <c r="M5826" s="43" t="n">
        <f aca="false">H5826*15.19*(1+'Chart of Accounts'!$E$67)</f>
        <v>57.2214895</v>
      </c>
    </row>
    <row r="5827" customFormat="false" ht="15" hidden="false" customHeight="false" outlineLevel="0" collapsed="false">
      <c r="B5827" s="7" t="s">
        <v>6324</v>
      </c>
      <c r="C5827" s="39" t="n">
        <v>45932</v>
      </c>
      <c r="D5827" s="7" t="s">
        <v>321</v>
      </c>
      <c r="E5827" s="7" t="s">
        <v>154</v>
      </c>
      <c r="F5827" s="7" t="s">
        <v>218</v>
      </c>
      <c r="G5827" s="7" t="s">
        <v>505</v>
      </c>
      <c r="H5827" s="6" t="n">
        <v>3.96</v>
      </c>
      <c r="I5827" s="6" t="n">
        <v>0.119</v>
      </c>
      <c r="J5827" s="40" t="n">
        <f aca="false">H5827-I5827</f>
        <v>3.841</v>
      </c>
      <c r="K5827" s="41" t="n">
        <v>26.5</v>
      </c>
      <c r="L5827" s="42" t="n">
        <f aca="false">J5827*K5827</f>
        <v>101.7865</v>
      </c>
      <c r="M5827" s="43" t="n">
        <f aca="false">H5827*16.19*(1+'Chart of Accounts'!$E$67)</f>
        <v>73.408698</v>
      </c>
    </row>
    <row r="5828" customFormat="false" ht="15" hidden="false" customHeight="false" outlineLevel="0" collapsed="false">
      <c r="B5828" s="7" t="s">
        <v>6325</v>
      </c>
      <c r="C5828" s="39" t="n">
        <v>45932</v>
      </c>
      <c r="D5828" s="7" t="s">
        <v>325</v>
      </c>
      <c r="E5828" s="7" t="s">
        <v>154</v>
      </c>
      <c r="F5828" s="7" t="s">
        <v>232</v>
      </c>
      <c r="G5828" s="7" t="s">
        <v>505</v>
      </c>
      <c r="H5828" s="6" t="n">
        <v>2.7</v>
      </c>
      <c r="I5828" s="6" t="n">
        <v>0</v>
      </c>
      <c r="J5828" s="40" t="n">
        <f aca="false">H5828-I5828</f>
        <v>2.7</v>
      </c>
      <c r="K5828" s="41" t="n">
        <v>26.5</v>
      </c>
      <c r="L5828" s="42" t="n">
        <f aca="false">J5828*K5828</f>
        <v>71.55</v>
      </c>
      <c r="M5828" s="43" t="n">
        <f aca="false">H5828*16.17*(1+'Chart of Accounts'!$E$67)</f>
        <v>49.989555</v>
      </c>
    </row>
    <row r="5829" customFormat="false" ht="15" hidden="false" customHeight="false" outlineLevel="0" collapsed="false">
      <c r="B5829" s="7" t="s">
        <v>6326</v>
      </c>
      <c r="C5829" s="39" t="n">
        <v>45932</v>
      </c>
      <c r="D5829" s="7" t="s">
        <v>329</v>
      </c>
      <c r="E5829" s="7" t="s">
        <v>156</v>
      </c>
      <c r="F5829" s="7" t="s">
        <v>220</v>
      </c>
      <c r="G5829" s="7" t="s">
        <v>505</v>
      </c>
      <c r="H5829" s="6" t="n">
        <v>4.21</v>
      </c>
      <c r="I5829" s="6" t="n">
        <v>0</v>
      </c>
      <c r="J5829" s="40" t="n">
        <f aca="false">H5829-I5829</f>
        <v>4.21</v>
      </c>
      <c r="K5829" s="41" t="n">
        <v>34</v>
      </c>
      <c r="L5829" s="42" t="n">
        <f aca="false">J5829*K5829</f>
        <v>143.14</v>
      </c>
      <c r="M5829" s="43" t="n">
        <f aca="false">H5829*16.43*(1+'Chart of Accounts'!$E$67)</f>
        <v>79.1999935</v>
      </c>
    </row>
    <row r="5830" customFormat="false" ht="15" hidden="false" customHeight="false" outlineLevel="0" collapsed="false">
      <c r="B5830" s="7" t="s">
        <v>6327</v>
      </c>
      <c r="C5830" s="39" t="n">
        <v>45932</v>
      </c>
      <c r="D5830" s="7" t="s">
        <v>331</v>
      </c>
      <c r="E5830" s="7" t="s">
        <v>156</v>
      </c>
      <c r="F5830" s="7" t="s">
        <v>224</v>
      </c>
      <c r="G5830" s="7" t="s">
        <v>505</v>
      </c>
      <c r="H5830" s="6" t="n">
        <v>4.3</v>
      </c>
      <c r="I5830" s="6" t="n">
        <v>0</v>
      </c>
      <c r="J5830" s="40" t="n">
        <f aca="false">H5830-I5830</f>
        <v>4.3</v>
      </c>
      <c r="K5830" s="41" t="n">
        <v>34</v>
      </c>
      <c r="L5830" s="42" t="n">
        <f aca="false">J5830*K5830</f>
        <v>146.2</v>
      </c>
      <c r="M5830" s="43" t="n">
        <f aca="false">H5830*14.93*(1+'Chart of Accounts'!$E$67)</f>
        <v>73.507855</v>
      </c>
    </row>
    <row r="5831" customFormat="false" ht="15" hidden="false" customHeight="false" outlineLevel="0" collapsed="false">
      <c r="B5831" s="7" t="s">
        <v>6328</v>
      </c>
      <c r="C5831" s="39" t="n">
        <v>45932</v>
      </c>
      <c r="D5831" s="7" t="s">
        <v>341</v>
      </c>
      <c r="E5831" s="7" t="s">
        <v>156</v>
      </c>
      <c r="F5831" s="7" t="s">
        <v>222</v>
      </c>
      <c r="G5831" s="7" t="s">
        <v>505</v>
      </c>
      <c r="H5831" s="6" t="n">
        <v>2.71</v>
      </c>
      <c r="I5831" s="6" t="n">
        <v>0</v>
      </c>
      <c r="J5831" s="40" t="n">
        <f aca="false">H5831-I5831</f>
        <v>2.71</v>
      </c>
      <c r="K5831" s="41" t="n">
        <v>34</v>
      </c>
      <c r="L5831" s="42" t="n">
        <f aca="false">J5831*K5831</f>
        <v>92.14</v>
      </c>
      <c r="M5831" s="43" t="n">
        <f aca="false">H5831*17.84*(1+'Chart of Accounts'!$E$67)</f>
        <v>55.356628</v>
      </c>
    </row>
    <row r="5832" customFormat="false" ht="15" hidden="false" customHeight="false" outlineLevel="0" collapsed="false">
      <c r="B5832" s="7" t="s">
        <v>6329</v>
      </c>
      <c r="C5832" s="39" t="n">
        <v>45932</v>
      </c>
      <c r="D5832" s="7" t="s">
        <v>343</v>
      </c>
      <c r="E5832" s="7" t="s">
        <v>154</v>
      </c>
      <c r="F5832" s="7" t="s">
        <v>254</v>
      </c>
      <c r="G5832" s="7" t="s">
        <v>505</v>
      </c>
      <c r="H5832" s="6" t="n">
        <v>3.83</v>
      </c>
      <c r="I5832" s="6" t="n">
        <v>0</v>
      </c>
      <c r="J5832" s="40" t="n">
        <f aca="false">H5832-I5832</f>
        <v>3.83</v>
      </c>
      <c r="K5832" s="41" t="n">
        <v>26.5</v>
      </c>
      <c r="L5832" s="42" t="n">
        <f aca="false">J5832*K5832</f>
        <v>101.495</v>
      </c>
      <c r="M5832" s="43" t="n">
        <f aca="false">H5832*17.1*(1+'Chart of Accounts'!$E$67)</f>
        <v>74.989485</v>
      </c>
    </row>
    <row r="5833" customFormat="false" ht="15" hidden="false" customHeight="false" outlineLevel="0" collapsed="false">
      <c r="B5833" s="7" t="s">
        <v>6330</v>
      </c>
      <c r="C5833" s="39" t="n">
        <v>45932</v>
      </c>
      <c r="D5833" s="7" t="s">
        <v>349</v>
      </c>
      <c r="E5833" s="7" t="s">
        <v>154</v>
      </c>
      <c r="F5833" s="7" t="s">
        <v>244</v>
      </c>
      <c r="G5833" s="7" t="s">
        <v>505</v>
      </c>
      <c r="H5833" s="6" t="n">
        <v>3.95</v>
      </c>
      <c r="I5833" s="6" t="n">
        <v>0</v>
      </c>
      <c r="J5833" s="40" t="n">
        <f aca="false">H5833-I5833</f>
        <v>3.95</v>
      </c>
      <c r="K5833" s="41" t="n">
        <v>26.5</v>
      </c>
      <c r="L5833" s="42" t="n">
        <f aca="false">J5833*K5833</f>
        <v>104.675</v>
      </c>
      <c r="M5833" s="43" t="n">
        <f aca="false">H5833*16.39*(1+'Chart of Accounts'!$E$67)</f>
        <v>74.1278725</v>
      </c>
    </row>
    <row r="5834" customFormat="false" ht="15" hidden="false" customHeight="false" outlineLevel="0" collapsed="false">
      <c r="B5834" s="7" t="s">
        <v>6331</v>
      </c>
      <c r="C5834" s="39" t="n">
        <v>45932</v>
      </c>
      <c r="D5834" s="7" t="s">
        <v>351</v>
      </c>
      <c r="E5834" s="7" t="s">
        <v>154</v>
      </c>
      <c r="F5834" s="7" t="s">
        <v>201</v>
      </c>
      <c r="G5834" s="7" t="s">
        <v>505</v>
      </c>
      <c r="H5834" s="6" t="n">
        <v>3.29</v>
      </c>
      <c r="I5834" s="6" t="n">
        <v>0</v>
      </c>
      <c r="J5834" s="40" t="n">
        <f aca="false">H5834-I5834</f>
        <v>3.29</v>
      </c>
      <c r="K5834" s="41" t="n">
        <v>26.5</v>
      </c>
      <c r="L5834" s="42" t="n">
        <f aca="false">J5834*K5834</f>
        <v>87.185</v>
      </c>
      <c r="M5834" s="43" t="n">
        <f aca="false">H5834*15.19*(1+'Chart of Accounts'!$E$67)</f>
        <v>57.2214895</v>
      </c>
    </row>
    <row r="5835" customFormat="false" ht="15" hidden="false" customHeight="false" outlineLevel="0" collapsed="false">
      <c r="B5835" s="7" t="s">
        <v>6332</v>
      </c>
      <c r="C5835" s="39" t="n">
        <v>45932</v>
      </c>
      <c r="D5835" s="7" t="s">
        <v>359</v>
      </c>
      <c r="E5835" s="7" t="s">
        <v>156</v>
      </c>
      <c r="F5835" s="7" t="s">
        <v>177</v>
      </c>
      <c r="G5835" s="7" t="s">
        <v>505</v>
      </c>
      <c r="H5835" s="6" t="n">
        <v>4</v>
      </c>
      <c r="I5835" s="6" t="n">
        <v>0</v>
      </c>
      <c r="J5835" s="40" t="n">
        <f aca="false">H5835-I5835</f>
        <v>4</v>
      </c>
      <c r="K5835" s="41" t="n">
        <v>34</v>
      </c>
      <c r="L5835" s="42" t="n">
        <f aca="false">J5835*K5835</f>
        <v>136</v>
      </c>
      <c r="M5835" s="43" t="n">
        <f aca="false">H5835*14.56*(1+'Chart of Accounts'!$E$67)</f>
        <v>66.6848</v>
      </c>
    </row>
    <row r="5836" customFormat="false" ht="15" hidden="false" customHeight="false" outlineLevel="0" collapsed="false">
      <c r="B5836" s="7" t="s">
        <v>6333</v>
      </c>
      <c r="C5836" s="39" t="n">
        <v>45932</v>
      </c>
      <c r="D5836" s="7" t="s">
        <v>363</v>
      </c>
      <c r="E5836" s="7" t="s">
        <v>156</v>
      </c>
      <c r="F5836" s="7" t="s">
        <v>246</v>
      </c>
      <c r="G5836" s="7" t="s">
        <v>505</v>
      </c>
      <c r="H5836" s="6" t="n">
        <v>4.02</v>
      </c>
      <c r="I5836" s="6" t="n">
        <v>0</v>
      </c>
      <c r="J5836" s="40" t="n">
        <f aca="false">H5836-I5836</f>
        <v>4.02</v>
      </c>
      <c r="K5836" s="41" t="n">
        <v>34</v>
      </c>
      <c r="L5836" s="42" t="n">
        <f aca="false">J5836*K5836</f>
        <v>136.68</v>
      </c>
      <c r="M5836" s="43" t="n">
        <f aca="false">H5836*16.48*(1+'Chart of Accounts'!$E$67)</f>
        <v>75.855792</v>
      </c>
    </row>
    <row r="5837" customFormat="false" ht="15" hidden="false" customHeight="false" outlineLevel="0" collapsed="false">
      <c r="B5837" s="7" t="s">
        <v>6334</v>
      </c>
      <c r="C5837" s="39" t="n">
        <v>45932</v>
      </c>
      <c r="D5837" s="7" t="s">
        <v>365</v>
      </c>
      <c r="E5837" s="7" t="s">
        <v>154</v>
      </c>
      <c r="F5837" s="7" t="s">
        <v>194</v>
      </c>
      <c r="G5837" s="7" t="s">
        <v>505</v>
      </c>
      <c r="H5837" s="6" t="n">
        <v>4.24</v>
      </c>
      <c r="I5837" s="6" t="n">
        <v>0</v>
      </c>
      <c r="J5837" s="40" t="n">
        <f aca="false">H5837-I5837</f>
        <v>4.24</v>
      </c>
      <c r="K5837" s="41" t="n">
        <v>26.5</v>
      </c>
      <c r="L5837" s="42" t="n">
        <f aca="false">J5837*K5837</f>
        <v>112.36</v>
      </c>
      <c r="M5837" s="43" t="n">
        <f aca="false">H5837*16*(1+'Chart of Accounts'!$E$67)</f>
        <v>77.6768</v>
      </c>
    </row>
    <row r="5838" customFormat="false" ht="15" hidden="false" customHeight="false" outlineLevel="0" collapsed="false">
      <c r="B5838" s="7" t="s">
        <v>6335</v>
      </c>
      <c r="C5838" s="39" t="n">
        <v>45932</v>
      </c>
      <c r="D5838" s="7" t="s">
        <v>375</v>
      </c>
      <c r="E5838" s="7" t="s">
        <v>156</v>
      </c>
      <c r="F5838" s="7" t="s">
        <v>196</v>
      </c>
      <c r="G5838" s="7" t="s">
        <v>505</v>
      </c>
      <c r="H5838" s="6" t="n">
        <v>2.82</v>
      </c>
      <c r="I5838" s="6" t="n">
        <v>0</v>
      </c>
      <c r="J5838" s="40" t="n">
        <f aca="false">H5838-I5838</f>
        <v>2.82</v>
      </c>
      <c r="K5838" s="41" t="n">
        <v>34</v>
      </c>
      <c r="L5838" s="42" t="n">
        <f aca="false">J5838*K5838</f>
        <v>95.88</v>
      </c>
      <c r="M5838" s="43" t="n">
        <f aca="false">H5838*15.05*(1+'Chart of Accounts'!$E$67)</f>
        <v>48.594945</v>
      </c>
    </row>
    <row r="5839" customFormat="false" ht="15" hidden="false" customHeight="false" outlineLevel="0" collapsed="false">
      <c r="B5839" s="7" t="s">
        <v>6336</v>
      </c>
      <c r="C5839" s="39" t="n">
        <v>45932</v>
      </c>
      <c r="D5839" s="7" t="s">
        <v>377</v>
      </c>
      <c r="E5839" s="7" t="s">
        <v>154</v>
      </c>
      <c r="F5839" s="7" t="s">
        <v>214</v>
      </c>
      <c r="G5839" s="7" t="s">
        <v>505</v>
      </c>
      <c r="H5839" s="6" t="n">
        <v>3.64</v>
      </c>
      <c r="I5839" s="6" t="n">
        <v>0</v>
      </c>
      <c r="J5839" s="40" t="n">
        <f aca="false">H5839-I5839</f>
        <v>3.64</v>
      </c>
      <c r="K5839" s="41" t="n">
        <v>26.5</v>
      </c>
      <c r="L5839" s="42" t="n">
        <f aca="false">J5839*K5839</f>
        <v>96.46</v>
      </c>
      <c r="M5839" s="43" t="n">
        <f aca="false">H5839*15.67*(1+'Chart of Accounts'!$E$67)</f>
        <v>65.309426</v>
      </c>
    </row>
    <row r="5840" customFormat="false" ht="15" hidden="false" customHeight="false" outlineLevel="0" collapsed="false">
      <c r="B5840" s="7" t="s">
        <v>6337</v>
      </c>
      <c r="C5840" s="39" t="n">
        <v>45932</v>
      </c>
      <c r="D5840" s="7" t="s">
        <v>387</v>
      </c>
      <c r="E5840" s="7" t="s">
        <v>154</v>
      </c>
      <c r="F5840" s="7" t="s">
        <v>196</v>
      </c>
      <c r="G5840" s="7" t="s">
        <v>505</v>
      </c>
      <c r="H5840" s="6" t="n">
        <v>4.36</v>
      </c>
      <c r="I5840" s="6" t="n">
        <v>0</v>
      </c>
      <c r="J5840" s="40" t="n">
        <f aca="false">H5840-I5840</f>
        <v>4.36</v>
      </c>
      <c r="K5840" s="41" t="n">
        <v>26.5</v>
      </c>
      <c r="L5840" s="42" t="n">
        <f aca="false">J5840*K5840</f>
        <v>115.54</v>
      </c>
      <c r="M5840" s="43" t="n">
        <f aca="false">H5840*15.05*(1+'Chart of Accounts'!$E$67)</f>
        <v>75.13261</v>
      </c>
    </row>
    <row r="5841" customFormat="false" ht="15" hidden="false" customHeight="false" outlineLevel="0" collapsed="false">
      <c r="B5841" s="7" t="s">
        <v>6338</v>
      </c>
      <c r="C5841" s="39" t="n">
        <v>45932</v>
      </c>
      <c r="D5841" s="7" t="s">
        <v>389</v>
      </c>
      <c r="E5841" s="7" t="s">
        <v>154</v>
      </c>
      <c r="F5841" s="7" t="s">
        <v>246</v>
      </c>
      <c r="G5841" s="7" t="s">
        <v>505</v>
      </c>
      <c r="H5841" s="6" t="n">
        <v>4.35</v>
      </c>
      <c r="I5841" s="6" t="n">
        <v>0</v>
      </c>
      <c r="J5841" s="40" t="n">
        <f aca="false">H5841-I5841</f>
        <v>4.35</v>
      </c>
      <c r="K5841" s="41" t="n">
        <v>26.5</v>
      </c>
      <c r="L5841" s="42" t="n">
        <f aca="false">J5841*K5841</f>
        <v>115.275</v>
      </c>
      <c r="M5841" s="43" t="n">
        <f aca="false">H5841*16.48*(1+'Chart of Accounts'!$E$67)</f>
        <v>82.08276</v>
      </c>
    </row>
    <row r="5842" customFormat="false" ht="15" hidden="false" customHeight="false" outlineLevel="0" collapsed="false">
      <c r="B5842" s="7" t="s">
        <v>6339</v>
      </c>
      <c r="C5842" s="39" t="n">
        <v>45932</v>
      </c>
      <c r="D5842" s="7" t="s">
        <v>391</v>
      </c>
      <c r="E5842" s="7" t="s">
        <v>156</v>
      </c>
      <c r="F5842" s="7" t="s">
        <v>222</v>
      </c>
      <c r="G5842" s="7" t="s">
        <v>505</v>
      </c>
      <c r="H5842" s="6" t="n">
        <v>3.87</v>
      </c>
      <c r="I5842" s="6" t="n">
        <v>0</v>
      </c>
      <c r="J5842" s="40" t="n">
        <f aca="false">H5842-I5842</f>
        <v>3.87</v>
      </c>
      <c r="K5842" s="41" t="n">
        <v>34</v>
      </c>
      <c r="L5842" s="42" t="n">
        <f aca="false">J5842*K5842</f>
        <v>131.58</v>
      </c>
      <c r="M5842" s="43" t="n">
        <f aca="false">H5842*17.84*(1+'Chart of Accounts'!$E$67)</f>
        <v>79.051716</v>
      </c>
    </row>
    <row r="5843" customFormat="false" ht="15" hidden="false" customHeight="false" outlineLevel="0" collapsed="false">
      <c r="B5843" s="7" t="s">
        <v>6340</v>
      </c>
      <c r="C5843" s="39" t="n">
        <v>45932</v>
      </c>
      <c r="D5843" s="7" t="s">
        <v>395</v>
      </c>
      <c r="E5843" s="7" t="s">
        <v>156</v>
      </c>
      <c r="F5843" s="7" t="s">
        <v>242</v>
      </c>
      <c r="G5843" s="7" t="s">
        <v>505</v>
      </c>
      <c r="H5843" s="6" t="n">
        <v>3.92</v>
      </c>
      <c r="I5843" s="6" t="n">
        <v>0</v>
      </c>
      <c r="J5843" s="40" t="n">
        <f aca="false">H5843-I5843</f>
        <v>3.92</v>
      </c>
      <c r="K5843" s="41" t="n">
        <v>34</v>
      </c>
      <c r="L5843" s="42" t="n">
        <f aca="false">J5843*K5843</f>
        <v>133.28</v>
      </c>
      <c r="M5843" s="43" t="n">
        <f aca="false">H5843*17.99*(1+'Chart of Accounts'!$E$67)</f>
        <v>80.746316</v>
      </c>
    </row>
    <row r="5844" customFormat="false" ht="15" hidden="false" customHeight="false" outlineLevel="0" collapsed="false">
      <c r="B5844" s="7" t="s">
        <v>6341</v>
      </c>
      <c r="C5844" s="39" t="n">
        <v>45932</v>
      </c>
      <c r="D5844" s="7" t="s">
        <v>401</v>
      </c>
      <c r="E5844" s="7" t="s">
        <v>156</v>
      </c>
      <c r="F5844" s="7" t="s">
        <v>254</v>
      </c>
      <c r="G5844" s="7" t="s">
        <v>505</v>
      </c>
      <c r="H5844" s="6" t="n">
        <v>4.35</v>
      </c>
      <c r="I5844" s="6" t="n">
        <v>0</v>
      </c>
      <c r="J5844" s="40" t="n">
        <f aca="false">H5844-I5844</f>
        <v>4.35</v>
      </c>
      <c r="K5844" s="41" t="n">
        <v>34</v>
      </c>
      <c r="L5844" s="42" t="n">
        <f aca="false">J5844*K5844</f>
        <v>147.9</v>
      </c>
      <c r="M5844" s="43" t="n">
        <f aca="false">H5844*17.1*(1+'Chart of Accounts'!$E$67)</f>
        <v>85.170825</v>
      </c>
    </row>
    <row r="5845" customFormat="false" ht="15" hidden="false" customHeight="false" outlineLevel="0" collapsed="false">
      <c r="B5845" s="7" t="s">
        <v>6342</v>
      </c>
      <c r="C5845" s="39" t="n">
        <v>45933</v>
      </c>
      <c r="D5845" s="7" t="s">
        <v>288</v>
      </c>
      <c r="E5845" s="7" t="s">
        <v>156</v>
      </c>
      <c r="F5845" s="7" t="s">
        <v>232</v>
      </c>
      <c r="G5845" s="7" t="s">
        <v>505</v>
      </c>
      <c r="H5845" s="6" t="n">
        <v>3.7</v>
      </c>
      <c r="I5845" s="6" t="n">
        <v>0</v>
      </c>
      <c r="J5845" s="40" t="n">
        <f aca="false">H5845-I5845</f>
        <v>3.7</v>
      </c>
      <c r="K5845" s="41" t="n">
        <v>34</v>
      </c>
      <c r="L5845" s="42" t="n">
        <f aca="false">J5845*K5845</f>
        <v>125.8</v>
      </c>
      <c r="M5845" s="43" t="n">
        <f aca="false">H5845*16.17*(1+'Chart of Accounts'!$E$67)</f>
        <v>68.504205</v>
      </c>
    </row>
    <row r="5846" customFormat="false" ht="15" hidden="false" customHeight="false" outlineLevel="0" collapsed="false">
      <c r="B5846" s="7" t="s">
        <v>6343</v>
      </c>
      <c r="C5846" s="39" t="n">
        <v>45933</v>
      </c>
      <c r="D5846" s="7" t="s">
        <v>291</v>
      </c>
      <c r="E5846" s="7" t="s">
        <v>154</v>
      </c>
      <c r="F5846" s="7" t="s">
        <v>194</v>
      </c>
      <c r="G5846" s="7" t="s">
        <v>505</v>
      </c>
      <c r="H5846" s="6" t="n">
        <v>4.61</v>
      </c>
      <c r="I5846" s="6" t="n">
        <v>0</v>
      </c>
      <c r="J5846" s="40" t="n">
        <f aca="false">H5846-I5846</f>
        <v>4.61</v>
      </c>
      <c r="K5846" s="41" t="n">
        <v>26.5</v>
      </c>
      <c r="L5846" s="42" t="n">
        <f aca="false">J5846*K5846</f>
        <v>122.165</v>
      </c>
      <c r="M5846" s="43" t="n">
        <f aca="false">H5846*16*(1+'Chart of Accounts'!$E$67)</f>
        <v>84.4552</v>
      </c>
    </row>
    <row r="5847" customFormat="false" ht="15" hidden="false" customHeight="false" outlineLevel="0" collapsed="false">
      <c r="B5847" s="7" t="s">
        <v>6344</v>
      </c>
      <c r="C5847" s="39" t="n">
        <v>45933</v>
      </c>
      <c r="D5847" s="7" t="s">
        <v>293</v>
      </c>
      <c r="E5847" s="7" t="s">
        <v>157</v>
      </c>
      <c r="F5847" s="7" t="s">
        <v>198</v>
      </c>
      <c r="G5847" s="7" t="s">
        <v>502</v>
      </c>
      <c r="H5847" s="6" t="n">
        <v>0.99</v>
      </c>
      <c r="I5847" s="6" t="n">
        <v>0</v>
      </c>
      <c r="J5847" s="40" t="n">
        <f aca="false">H5847-I5847</f>
        <v>0.99</v>
      </c>
      <c r="K5847" s="41" t="n">
        <v>165</v>
      </c>
      <c r="L5847" s="42" t="n">
        <f aca="false">J5847*K5847</f>
        <v>163.35</v>
      </c>
      <c r="M5847" s="43" t="n">
        <f aca="false">H5847*48.09*(1+'Chart of Accounts'!$E$67)</f>
        <v>54.5124195</v>
      </c>
    </row>
    <row r="5848" customFormat="false" ht="15" hidden="false" customHeight="false" outlineLevel="0" collapsed="false">
      <c r="B5848" s="7" t="s">
        <v>6345</v>
      </c>
      <c r="C5848" s="39" t="n">
        <v>45933</v>
      </c>
      <c r="D5848" s="7" t="s">
        <v>295</v>
      </c>
      <c r="E5848" s="7" t="s">
        <v>154</v>
      </c>
      <c r="F5848" s="7" t="s">
        <v>214</v>
      </c>
      <c r="G5848" s="7" t="s">
        <v>505</v>
      </c>
      <c r="H5848" s="6" t="n">
        <v>3.74</v>
      </c>
      <c r="I5848" s="6" t="n">
        <v>0</v>
      </c>
      <c r="J5848" s="40" t="n">
        <f aca="false">H5848-I5848</f>
        <v>3.74</v>
      </c>
      <c r="K5848" s="41" t="n">
        <v>26.5</v>
      </c>
      <c r="L5848" s="42" t="n">
        <f aca="false">J5848*K5848</f>
        <v>99.11</v>
      </c>
      <c r="M5848" s="43" t="n">
        <f aca="false">H5848*15.67*(1+'Chart of Accounts'!$E$67)</f>
        <v>67.103641</v>
      </c>
    </row>
    <row r="5849" customFormat="false" ht="15" hidden="false" customHeight="false" outlineLevel="0" collapsed="false">
      <c r="B5849" s="7" t="s">
        <v>6346</v>
      </c>
      <c r="C5849" s="39" t="n">
        <v>45933</v>
      </c>
      <c r="D5849" s="7" t="s">
        <v>301</v>
      </c>
      <c r="E5849" s="7" t="s">
        <v>157</v>
      </c>
      <c r="F5849" s="7" t="s">
        <v>209</v>
      </c>
      <c r="G5849" s="7" t="s">
        <v>502</v>
      </c>
      <c r="H5849" s="6" t="n">
        <v>0.94</v>
      </c>
      <c r="I5849" s="6" t="n">
        <v>0</v>
      </c>
      <c r="J5849" s="40" t="n">
        <f aca="false">H5849-I5849</f>
        <v>0.94</v>
      </c>
      <c r="K5849" s="41" t="n">
        <v>165</v>
      </c>
      <c r="L5849" s="42" t="n">
        <f aca="false">J5849*K5849</f>
        <v>155.1</v>
      </c>
      <c r="M5849" s="43" t="n">
        <f aca="false">H5849*73.58*(1+'Chart of Accounts'!$E$67)</f>
        <v>79.194154</v>
      </c>
    </row>
    <row r="5850" customFormat="false" ht="15" hidden="false" customHeight="false" outlineLevel="0" collapsed="false">
      <c r="B5850" s="7" t="s">
        <v>6347</v>
      </c>
      <c r="C5850" s="39" t="n">
        <v>45933</v>
      </c>
      <c r="D5850" s="7" t="s">
        <v>305</v>
      </c>
      <c r="E5850" s="7" t="s">
        <v>154</v>
      </c>
      <c r="F5850" s="7" t="s">
        <v>205</v>
      </c>
      <c r="G5850" s="7" t="s">
        <v>505</v>
      </c>
      <c r="H5850" s="6" t="n">
        <v>3.95</v>
      </c>
      <c r="I5850" s="6" t="n">
        <v>0</v>
      </c>
      <c r="J5850" s="40" t="n">
        <f aca="false">H5850-I5850</f>
        <v>3.95</v>
      </c>
      <c r="K5850" s="41" t="n">
        <v>26.5</v>
      </c>
      <c r="L5850" s="42" t="n">
        <f aca="false">J5850*K5850</f>
        <v>104.675</v>
      </c>
      <c r="M5850" s="43" t="n">
        <f aca="false">H5850*16.36*(1+'Chart of Accounts'!$E$67)</f>
        <v>73.99219</v>
      </c>
    </row>
    <row r="5851" customFormat="false" ht="15" hidden="false" customHeight="false" outlineLevel="0" collapsed="false">
      <c r="B5851" s="7" t="s">
        <v>6348</v>
      </c>
      <c r="C5851" s="39" t="n">
        <v>45933</v>
      </c>
      <c r="D5851" s="7" t="s">
        <v>307</v>
      </c>
      <c r="E5851" s="7" t="s">
        <v>157</v>
      </c>
      <c r="F5851" s="7" t="s">
        <v>264</v>
      </c>
      <c r="G5851" s="7" t="s">
        <v>502</v>
      </c>
      <c r="H5851" s="6" t="n">
        <v>1</v>
      </c>
      <c r="I5851" s="6" t="n">
        <v>0</v>
      </c>
      <c r="J5851" s="40" t="n">
        <f aca="false">H5851-I5851</f>
        <v>1</v>
      </c>
      <c r="K5851" s="41" t="n">
        <v>165</v>
      </c>
      <c r="L5851" s="42" t="n">
        <f aca="false">J5851*K5851</f>
        <v>165</v>
      </c>
      <c r="M5851" s="43" t="n">
        <f aca="false">H5851*55.55*(1+'Chart of Accounts'!$E$67)</f>
        <v>63.60475</v>
      </c>
    </row>
    <row r="5852" customFormat="false" ht="15" hidden="false" customHeight="false" outlineLevel="0" collapsed="false">
      <c r="B5852" s="7" t="s">
        <v>6349</v>
      </c>
      <c r="C5852" s="39" t="n">
        <v>45933</v>
      </c>
      <c r="D5852" s="7" t="s">
        <v>309</v>
      </c>
      <c r="E5852" s="7" t="s">
        <v>159</v>
      </c>
      <c r="F5852" s="7" t="s">
        <v>252</v>
      </c>
      <c r="G5852" s="7" t="s">
        <v>502</v>
      </c>
      <c r="H5852" s="6" t="n">
        <v>1.04</v>
      </c>
      <c r="I5852" s="6" t="n">
        <v>0</v>
      </c>
      <c r="J5852" s="40" t="n">
        <f aca="false">H5852-I5852</f>
        <v>1.04</v>
      </c>
      <c r="K5852" s="41" t="n">
        <v>135</v>
      </c>
      <c r="L5852" s="42" t="n">
        <f aca="false">J5852*K5852</f>
        <v>140.4</v>
      </c>
      <c r="M5852" s="43" t="n">
        <f aca="false">H5852*57.54*(1+'Chart of Accounts'!$E$67)</f>
        <v>68.518632</v>
      </c>
    </row>
    <row r="5853" customFormat="false" ht="15" hidden="false" customHeight="false" outlineLevel="0" collapsed="false">
      <c r="B5853" s="7" t="s">
        <v>6350</v>
      </c>
      <c r="C5853" s="39" t="n">
        <v>45933</v>
      </c>
      <c r="D5853" s="7" t="s">
        <v>313</v>
      </c>
      <c r="E5853" s="7" t="s">
        <v>156</v>
      </c>
      <c r="F5853" s="7" t="s">
        <v>184</v>
      </c>
      <c r="G5853" s="7" t="s">
        <v>505</v>
      </c>
      <c r="H5853" s="6" t="n">
        <v>4.08</v>
      </c>
      <c r="I5853" s="6" t="n">
        <v>0</v>
      </c>
      <c r="J5853" s="40" t="n">
        <f aca="false">H5853-I5853</f>
        <v>4.08</v>
      </c>
      <c r="K5853" s="41" t="n">
        <v>34</v>
      </c>
      <c r="L5853" s="42" t="n">
        <f aca="false">J5853*K5853</f>
        <v>138.72</v>
      </c>
      <c r="M5853" s="43" t="n">
        <f aca="false">H5853*17.34*(1+'Chart of Accounts'!$E$67)</f>
        <v>81.005544</v>
      </c>
    </row>
    <row r="5854" customFormat="false" ht="15" hidden="false" customHeight="false" outlineLevel="0" collapsed="false">
      <c r="B5854" s="7" t="s">
        <v>6351</v>
      </c>
      <c r="C5854" s="39" t="n">
        <v>45933</v>
      </c>
      <c r="D5854" s="7" t="s">
        <v>315</v>
      </c>
      <c r="E5854" s="7" t="s">
        <v>159</v>
      </c>
      <c r="F5854" s="7" t="s">
        <v>216</v>
      </c>
      <c r="G5854" s="7" t="s">
        <v>502</v>
      </c>
      <c r="H5854" s="6" t="n">
        <v>1.06</v>
      </c>
      <c r="I5854" s="6" t="n">
        <v>0</v>
      </c>
      <c r="J5854" s="40" t="n">
        <f aca="false">H5854-I5854</f>
        <v>1.06</v>
      </c>
      <c r="K5854" s="41" t="n">
        <v>135</v>
      </c>
      <c r="L5854" s="42" t="n">
        <f aca="false">J5854*K5854</f>
        <v>143.1</v>
      </c>
      <c r="M5854" s="43" t="n">
        <f aca="false">H5854*61.79*(1+'Chart of Accounts'!$E$67)</f>
        <v>74.994523</v>
      </c>
    </row>
    <row r="5855" customFormat="false" ht="15" hidden="false" customHeight="false" outlineLevel="0" collapsed="false">
      <c r="B5855" s="7" t="s">
        <v>6352</v>
      </c>
      <c r="C5855" s="39" t="n">
        <v>45933</v>
      </c>
      <c r="D5855" s="7" t="s">
        <v>319</v>
      </c>
      <c r="E5855" s="7" t="s">
        <v>157</v>
      </c>
      <c r="F5855" s="7" t="s">
        <v>234</v>
      </c>
      <c r="G5855" s="7" t="s">
        <v>502</v>
      </c>
      <c r="H5855" s="6" t="n">
        <v>0.9</v>
      </c>
      <c r="I5855" s="6" t="n">
        <v>0</v>
      </c>
      <c r="J5855" s="40" t="n">
        <f aca="false">H5855-I5855</f>
        <v>0.9</v>
      </c>
      <c r="K5855" s="41" t="n">
        <v>165</v>
      </c>
      <c r="L5855" s="42" t="n">
        <f aca="false">J5855*K5855</f>
        <v>148.5</v>
      </c>
      <c r="M5855" s="43" t="n">
        <f aca="false">H5855*89.53*(1+'Chart of Accounts'!$E$67)</f>
        <v>92.260665</v>
      </c>
    </row>
    <row r="5856" customFormat="false" ht="15" hidden="false" customHeight="false" outlineLevel="0" collapsed="false">
      <c r="B5856" s="7" t="s">
        <v>6353</v>
      </c>
      <c r="C5856" s="39" t="n">
        <v>45933</v>
      </c>
      <c r="D5856" s="7" t="s">
        <v>321</v>
      </c>
      <c r="E5856" s="7" t="s">
        <v>154</v>
      </c>
      <c r="F5856" s="7" t="s">
        <v>218</v>
      </c>
      <c r="G5856" s="7" t="s">
        <v>505</v>
      </c>
      <c r="H5856" s="6" t="n">
        <v>3.83</v>
      </c>
      <c r="I5856" s="6" t="n">
        <v>0</v>
      </c>
      <c r="J5856" s="40" t="n">
        <f aca="false">H5856-I5856</f>
        <v>3.83</v>
      </c>
      <c r="K5856" s="41" t="n">
        <v>26.5</v>
      </c>
      <c r="L5856" s="42" t="n">
        <f aca="false">J5856*K5856</f>
        <v>101.495</v>
      </c>
      <c r="M5856" s="43" t="n">
        <f aca="false">H5856*16.19*(1+'Chart of Accounts'!$E$67)</f>
        <v>70.9988165</v>
      </c>
    </row>
    <row r="5857" customFormat="false" ht="15" hidden="false" customHeight="false" outlineLevel="0" collapsed="false">
      <c r="B5857" s="7" t="s">
        <v>6354</v>
      </c>
      <c r="C5857" s="39" t="n">
        <v>45933</v>
      </c>
      <c r="D5857" s="7" t="s">
        <v>323</v>
      </c>
      <c r="E5857" s="7" t="s">
        <v>159</v>
      </c>
      <c r="F5857" s="7" t="s">
        <v>258</v>
      </c>
      <c r="G5857" s="7" t="s">
        <v>502</v>
      </c>
      <c r="H5857" s="6" t="n">
        <v>0.93</v>
      </c>
      <c r="I5857" s="6" t="n">
        <v>0.065</v>
      </c>
      <c r="J5857" s="40" t="n">
        <f aca="false">H5857-I5857</f>
        <v>0.865</v>
      </c>
      <c r="K5857" s="41" t="n">
        <v>135</v>
      </c>
      <c r="L5857" s="42" t="n">
        <f aca="false">J5857*K5857</f>
        <v>116.775</v>
      </c>
      <c r="M5857" s="43" t="n">
        <f aca="false">H5857*61.61*(1+'Chart of Accounts'!$E$67)</f>
        <v>65.6054085</v>
      </c>
    </row>
    <row r="5858" customFormat="false" ht="15" hidden="false" customHeight="false" outlineLevel="0" collapsed="false">
      <c r="B5858" s="7" t="s">
        <v>6355</v>
      </c>
      <c r="C5858" s="39" t="n">
        <v>45933</v>
      </c>
      <c r="D5858" s="7" t="s">
        <v>327</v>
      </c>
      <c r="E5858" s="7" t="s">
        <v>157</v>
      </c>
      <c r="F5858" s="7" t="s">
        <v>228</v>
      </c>
      <c r="G5858" s="7" t="s">
        <v>502</v>
      </c>
      <c r="H5858" s="6" t="n">
        <v>1.05</v>
      </c>
      <c r="I5858" s="6" t="n">
        <v>0</v>
      </c>
      <c r="J5858" s="40" t="n">
        <f aca="false">H5858-I5858</f>
        <v>1.05</v>
      </c>
      <c r="K5858" s="41" t="n">
        <v>165</v>
      </c>
      <c r="L5858" s="42" t="n">
        <f aca="false">J5858*K5858</f>
        <v>173.25</v>
      </c>
      <c r="M5858" s="43" t="n">
        <f aca="false">H5858*51.07*(1+'Chart of Accounts'!$E$67)</f>
        <v>61.3989075</v>
      </c>
    </row>
    <row r="5859" customFormat="false" ht="15" hidden="false" customHeight="false" outlineLevel="0" collapsed="false">
      <c r="B5859" s="7" t="s">
        <v>6356</v>
      </c>
      <c r="C5859" s="39" t="n">
        <v>45933</v>
      </c>
      <c r="D5859" s="7" t="s">
        <v>329</v>
      </c>
      <c r="E5859" s="7" t="s">
        <v>156</v>
      </c>
      <c r="F5859" s="7" t="s">
        <v>220</v>
      </c>
      <c r="G5859" s="7" t="s">
        <v>505</v>
      </c>
      <c r="H5859" s="6" t="n">
        <v>4.36</v>
      </c>
      <c r="I5859" s="6" t="n">
        <v>0</v>
      </c>
      <c r="J5859" s="40" t="n">
        <f aca="false">H5859-I5859</f>
        <v>4.36</v>
      </c>
      <c r="K5859" s="41" t="n">
        <v>34</v>
      </c>
      <c r="L5859" s="42" t="n">
        <f aca="false">J5859*K5859</f>
        <v>148.24</v>
      </c>
      <c r="M5859" s="43" t="n">
        <f aca="false">H5859*16.43*(1+'Chart of Accounts'!$E$67)</f>
        <v>82.021846</v>
      </c>
    </row>
    <row r="5860" customFormat="false" ht="15" hidden="false" customHeight="false" outlineLevel="0" collapsed="false">
      <c r="B5860" s="7" t="s">
        <v>6357</v>
      </c>
      <c r="C5860" s="39" t="n">
        <v>45933</v>
      </c>
      <c r="D5860" s="7" t="s">
        <v>333</v>
      </c>
      <c r="E5860" s="7" t="s">
        <v>154</v>
      </c>
      <c r="F5860" s="7" t="s">
        <v>236</v>
      </c>
      <c r="G5860" s="7" t="s">
        <v>505</v>
      </c>
      <c r="H5860" s="6" t="n">
        <v>3.48</v>
      </c>
      <c r="I5860" s="6" t="n">
        <v>0</v>
      </c>
      <c r="J5860" s="40" t="n">
        <f aca="false">H5860-I5860</f>
        <v>3.48</v>
      </c>
      <c r="K5860" s="41" t="n">
        <v>26.5</v>
      </c>
      <c r="L5860" s="42" t="n">
        <f aca="false">J5860*K5860</f>
        <v>92.22</v>
      </c>
      <c r="M5860" s="43" t="n">
        <f aca="false">H5860*15.49*(1+'Chart of Accounts'!$E$67)</f>
        <v>61.721454</v>
      </c>
    </row>
    <row r="5861" customFormat="false" ht="15" hidden="false" customHeight="false" outlineLevel="0" collapsed="false">
      <c r="B5861" s="7" t="s">
        <v>6358</v>
      </c>
      <c r="C5861" s="39" t="n">
        <v>45933</v>
      </c>
      <c r="D5861" s="7" t="s">
        <v>335</v>
      </c>
      <c r="E5861" s="7" t="s">
        <v>154</v>
      </c>
      <c r="F5861" s="7" t="s">
        <v>177</v>
      </c>
      <c r="G5861" s="7" t="s">
        <v>505</v>
      </c>
      <c r="H5861" s="6" t="n">
        <v>4.11</v>
      </c>
      <c r="I5861" s="6" t="n">
        <v>0</v>
      </c>
      <c r="J5861" s="40" t="n">
        <f aca="false">H5861-I5861</f>
        <v>4.11</v>
      </c>
      <c r="K5861" s="41" t="n">
        <v>26.5</v>
      </c>
      <c r="L5861" s="42" t="n">
        <f aca="false">J5861*K5861</f>
        <v>108.915</v>
      </c>
      <c r="M5861" s="43" t="n">
        <f aca="false">H5861*14.56*(1+'Chart of Accounts'!$E$67)</f>
        <v>68.518632</v>
      </c>
    </row>
    <row r="5862" customFormat="false" ht="15" hidden="false" customHeight="false" outlineLevel="0" collapsed="false">
      <c r="B5862" s="7" t="s">
        <v>6359</v>
      </c>
      <c r="C5862" s="39" t="n">
        <v>45933</v>
      </c>
      <c r="D5862" s="7" t="s">
        <v>339</v>
      </c>
      <c r="E5862" s="7" t="s">
        <v>154</v>
      </c>
      <c r="F5862" s="7" t="s">
        <v>242</v>
      </c>
      <c r="G5862" s="7" t="s">
        <v>505</v>
      </c>
      <c r="H5862" s="6" t="n">
        <v>3.1</v>
      </c>
      <c r="I5862" s="6" t="n">
        <v>0</v>
      </c>
      <c r="J5862" s="40" t="n">
        <f aca="false">H5862-I5862</f>
        <v>3.1</v>
      </c>
      <c r="K5862" s="41" t="n">
        <v>26.5</v>
      </c>
      <c r="L5862" s="42" t="n">
        <f aca="false">J5862*K5862</f>
        <v>82.15</v>
      </c>
      <c r="M5862" s="43" t="n">
        <f aca="false">H5862*17.99*(1+'Chart of Accounts'!$E$67)</f>
        <v>63.855505</v>
      </c>
    </row>
    <row r="5863" customFormat="false" ht="15" hidden="false" customHeight="false" outlineLevel="0" collapsed="false">
      <c r="B5863" s="7" t="s">
        <v>6360</v>
      </c>
      <c r="C5863" s="39" t="n">
        <v>45933</v>
      </c>
      <c r="D5863" s="7" t="s">
        <v>347</v>
      </c>
      <c r="E5863" s="7" t="s">
        <v>154</v>
      </c>
      <c r="F5863" s="7" t="s">
        <v>238</v>
      </c>
      <c r="G5863" s="7" t="s">
        <v>505</v>
      </c>
      <c r="H5863" s="6" t="n">
        <v>4.71</v>
      </c>
      <c r="I5863" s="6" t="n">
        <v>0</v>
      </c>
      <c r="J5863" s="40" t="n">
        <f aca="false">H5863-I5863</f>
        <v>4.71</v>
      </c>
      <c r="K5863" s="41" t="n">
        <v>26.5</v>
      </c>
      <c r="L5863" s="42" t="n">
        <f aca="false">J5863*K5863</f>
        <v>124.815</v>
      </c>
      <c r="M5863" s="43" t="n">
        <f aca="false">H5863*15.85*(1+'Chart of Accounts'!$E$67)</f>
        <v>85.4782575</v>
      </c>
    </row>
    <row r="5864" customFormat="false" ht="15" hidden="false" customHeight="false" outlineLevel="0" collapsed="false">
      <c r="B5864" s="7" t="s">
        <v>6361</v>
      </c>
      <c r="C5864" s="39" t="n">
        <v>45933</v>
      </c>
      <c r="D5864" s="7" t="s">
        <v>349</v>
      </c>
      <c r="E5864" s="7" t="s">
        <v>154</v>
      </c>
      <c r="F5864" s="7" t="s">
        <v>244</v>
      </c>
      <c r="G5864" s="7" t="s">
        <v>505</v>
      </c>
      <c r="H5864" s="6" t="n">
        <v>3.86</v>
      </c>
      <c r="I5864" s="6" t="n">
        <v>0</v>
      </c>
      <c r="J5864" s="40" t="n">
        <f aca="false">H5864-I5864</f>
        <v>3.86</v>
      </c>
      <c r="K5864" s="41" t="n">
        <v>26.5</v>
      </c>
      <c r="L5864" s="42" t="n">
        <f aca="false">J5864*K5864</f>
        <v>102.29</v>
      </c>
      <c r="M5864" s="43" t="n">
        <f aca="false">H5864*16.39*(1+'Chart of Accounts'!$E$67)</f>
        <v>72.438883</v>
      </c>
    </row>
    <row r="5865" customFormat="false" ht="15" hidden="false" customHeight="false" outlineLevel="0" collapsed="false">
      <c r="B5865" s="7" t="s">
        <v>6362</v>
      </c>
      <c r="C5865" s="39" t="n">
        <v>45933</v>
      </c>
      <c r="D5865" s="7" t="s">
        <v>353</v>
      </c>
      <c r="E5865" s="7" t="s">
        <v>154</v>
      </c>
      <c r="F5865" s="7" t="s">
        <v>254</v>
      </c>
      <c r="G5865" s="7" t="s">
        <v>505</v>
      </c>
      <c r="H5865" s="6" t="n">
        <v>3.11</v>
      </c>
      <c r="I5865" s="6" t="n">
        <v>0</v>
      </c>
      <c r="J5865" s="40" t="n">
        <f aca="false">H5865-I5865</f>
        <v>3.11</v>
      </c>
      <c r="K5865" s="41" t="n">
        <v>26.5</v>
      </c>
      <c r="L5865" s="42" t="n">
        <f aca="false">J5865*K5865</f>
        <v>82.415</v>
      </c>
      <c r="M5865" s="43" t="n">
        <f aca="false">H5865*17.1*(1+'Chart of Accounts'!$E$67)</f>
        <v>60.892245</v>
      </c>
    </row>
    <row r="5866" customFormat="false" ht="15" hidden="false" customHeight="false" outlineLevel="0" collapsed="false">
      <c r="B5866" s="7" t="s">
        <v>6363</v>
      </c>
      <c r="C5866" s="39" t="n">
        <v>45933</v>
      </c>
      <c r="D5866" s="7" t="s">
        <v>355</v>
      </c>
      <c r="E5866" s="7" t="s">
        <v>154</v>
      </c>
      <c r="F5866" s="7" t="s">
        <v>201</v>
      </c>
      <c r="G5866" s="7" t="s">
        <v>505</v>
      </c>
      <c r="H5866" s="6" t="n">
        <v>3.45</v>
      </c>
      <c r="I5866" s="6" t="n">
        <v>0</v>
      </c>
      <c r="J5866" s="40" t="n">
        <f aca="false">H5866-I5866</f>
        <v>3.45</v>
      </c>
      <c r="K5866" s="41" t="n">
        <v>26.5</v>
      </c>
      <c r="L5866" s="42" t="n">
        <f aca="false">J5866*K5866</f>
        <v>91.425</v>
      </c>
      <c r="M5866" s="43" t="n">
        <f aca="false">H5866*15.19*(1+'Chart of Accounts'!$E$67)</f>
        <v>60.0042975</v>
      </c>
    </row>
    <row r="5867" customFormat="false" ht="15" hidden="false" customHeight="false" outlineLevel="0" collapsed="false">
      <c r="B5867" s="7" t="s">
        <v>6364</v>
      </c>
      <c r="C5867" s="39" t="n">
        <v>45933</v>
      </c>
      <c r="D5867" s="7" t="s">
        <v>357</v>
      </c>
      <c r="E5867" s="7" t="s">
        <v>154</v>
      </c>
      <c r="F5867" s="7" t="s">
        <v>244</v>
      </c>
      <c r="G5867" s="7" t="s">
        <v>505</v>
      </c>
      <c r="H5867" s="6" t="n">
        <v>3.21</v>
      </c>
      <c r="I5867" s="6" t="n">
        <v>0</v>
      </c>
      <c r="J5867" s="40" t="n">
        <f aca="false">H5867-I5867</f>
        <v>3.21</v>
      </c>
      <c r="K5867" s="41" t="n">
        <v>26.5</v>
      </c>
      <c r="L5867" s="42" t="n">
        <f aca="false">J5867*K5867</f>
        <v>85.065</v>
      </c>
      <c r="M5867" s="43" t="n">
        <f aca="false">H5867*16.39*(1+'Chart of Accounts'!$E$67)</f>
        <v>60.2406255</v>
      </c>
    </row>
    <row r="5868" customFormat="false" ht="15" hidden="false" customHeight="false" outlineLevel="0" collapsed="false">
      <c r="B5868" s="7" t="s">
        <v>6365</v>
      </c>
      <c r="C5868" s="39" t="n">
        <v>45933</v>
      </c>
      <c r="D5868" s="7" t="s">
        <v>359</v>
      </c>
      <c r="E5868" s="7" t="s">
        <v>156</v>
      </c>
      <c r="F5868" s="7" t="s">
        <v>194</v>
      </c>
      <c r="G5868" s="7" t="s">
        <v>505</v>
      </c>
      <c r="H5868" s="6" t="n">
        <v>3.89</v>
      </c>
      <c r="I5868" s="6" t="n">
        <v>0</v>
      </c>
      <c r="J5868" s="40" t="n">
        <f aca="false">H5868-I5868</f>
        <v>3.89</v>
      </c>
      <c r="K5868" s="41" t="n">
        <v>34</v>
      </c>
      <c r="L5868" s="42" t="n">
        <f aca="false">J5868*K5868</f>
        <v>132.26</v>
      </c>
      <c r="M5868" s="43" t="n">
        <f aca="false">H5868*16*(1+'Chart of Accounts'!$E$67)</f>
        <v>71.2648</v>
      </c>
    </row>
    <row r="5869" customFormat="false" ht="15" hidden="false" customHeight="false" outlineLevel="0" collapsed="false">
      <c r="B5869" s="7" t="s">
        <v>6366</v>
      </c>
      <c r="C5869" s="39" t="n">
        <v>45933</v>
      </c>
      <c r="D5869" s="7" t="s">
        <v>361</v>
      </c>
      <c r="E5869" s="7" t="s">
        <v>157</v>
      </c>
      <c r="F5869" s="7" t="s">
        <v>209</v>
      </c>
      <c r="G5869" s="7" t="s">
        <v>502</v>
      </c>
      <c r="H5869" s="6" t="n">
        <v>1.08</v>
      </c>
      <c r="I5869" s="6" t="n">
        <v>0</v>
      </c>
      <c r="J5869" s="40" t="n">
        <f aca="false">H5869-I5869</f>
        <v>1.08</v>
      </c>
      <c r="K5869" s="41" t="n">
        <v>165</v>
      </c>
      <c r="L5869" s="42" t="n">
        <f aca="false">J5869*K5869</f>
        <v>178.2</v>
      </c>
      <c r="M5869" s="43" t="n">
        <f aca="false">H5869*73.58*(1+'Chart of Accounts'!$E$67)</f>
        <v>90.989028</v>
      </c>
    </row>
    <row r="5870" customFormat="false" ht="15" hidden="false" customHeight="false" outlineLevel="0" collapsed="false">
      <c r="B5870" s="7" t="s">
        <v>6367</v>
      </c>
      <c r="C5870" s="39" t="n">
        <v>45933</v>
      </c>
      <c r="D5870" s="7" t="s">
        <v>365</v>
      </c>
      <c r="E5870" s="7" t="s">
        <v>154</v>
      </c>
      <c r="F5870" s="7" t="s">
        <v>194</v>
      </c>
      <c r="G5870" s="7" t="s">
        <v>505</v>
      </c>
      <c r="H5870" s="6" t="n">
        <v>3.89</v>
      </c>
      <c r="I5870" s="6" t="n">
        <v>0</v>
      </c>
      <c r="J5870" s="40" t="n">
        <f aca="false">H5870-I5870</f>
        <v>3.89</v>
      </c>
      <c r="K5870" s="41" t="n">
        <v>26.5</v>
      </c>
      <c r="L5870" s="42" t="n">
        <f aca="false">J5870*K5870</f>
        <v>103.085</v>
      </c>
      <c r="M5870" s="43" t="n">
        <f aca="false">H5870*16*(1+'Chart of Accounts'!$E$67)</f>
        <v>71.2648</v>
      </c>
    </row>
    <row r="5871" customFormat="false" ht="15" hidden="false" customHeight="false" outlineLevel="0" collapsed="false">
      <c r="B5871" s="7" t="s">
        <v>6368</v>
      </c>
      <c r="C5871" s="39" t="n">
        <v>45933</v>
      </c>
      <c r="D5871" s="7" t="s">
        <v>369</v>
      </c>
      <c r="E5871" s="7" t="s">
        <v>159</v>
      </c>
      <c r="F5871" s="7" t="s">
        <v>258</v>
      </c>
      <c r="G5871" s="7" t="s">
        <v>502</v>
      </c>
      <c r="H5871" s="6" t="n">
        <v>0.99</v>
      </c>
      <c r="I5871" s="6" t="n">
        <v>0</v>
      </c>
      <c r="J5871" s="40" t="n">
        <f aca="false">H5871-I5871</f>
        <v>0.99</v>
      </c>
      <c r="K5871" s="41" t="n">
        <v>135</v>
      </c>
      <c r="L5871" s="42" t="n">
        <f aca="false">J5871*K5871</f>
        <v>133.65</v>
      </c>
      <c r="M5871" s="43" t="n">
        <f aca="false">H5871*61.61*(1+'Chart of Accounts'!$E$67)</f>
        <v>69.8380155</v>
      </c>
    </row>
    <row r="5872" customFormat="false" ht="15" hidden="false" customHeight="false" outlineLevel="0" collapsed="false">
      <c r="B5872" s="7" t="s">
        <v>6369</v>
      </c>
      <c r="C5872" s="39" t="n">
        <v>45933</v>
      </c>
      <c r="D5872" s="7" t="s">
        <v>371</v>
      </c>
      <c r="E5872" s="7" t="s">
        <v>154</v>
      </c>
      <c r="F5872" s="7" t="s">
        <v>232</v>
      </c>
      <c r="G5872" s="7" t="s">
        <v>505</v>
      </c>
      <c r="H5872" s="6" t="n">
        <v>4.54</v>
      </c>
      <c r="I5872" s="6" t="n">
        <v>0</v>
      </c>
      <c r="J5872" s="40" t="n">
        <f aca="false">H5872-I5872</f>
        <v>4.54</v>
      </c>
      <c r="K5872" s="41" t="n">
        <v>26.5</v>
      </c>
      <c r="L5872" s="42" t="n">
        <f aca="false">J5872*K5872</f>
        <v>120.31</v>
      </c>
      <c r="M5872" s="43" t="n">
        <f aca="false">H5872*16.17*(1+'Chart of Accounts'!$E$67)</f>
        <v>84.056511</v>
      </c>
    </row>
    <row r="5873" customFormat="false" ht="15" hidden="false" customHeight="false" outlineLevel="0" collapsed="false">
      <c r="B5873" s="7" t="s">
        <v>6370</v>
      </c>
      <c r="C5873" s="39" t="n">
        <v>45933</v>
      </c>
      <c r="D5873" s="7" t="s">
        <v>379</v>
      </c>
      <c r="E5873" s="7" t="s">
        <v>156</v>
      </c>
      <c r="F5873" s="7" t="s">
        <v>224</v>
      </c>
      <c r="G5873" s="7" t="s">
        <v>505</v>
      </c>
      <c r="H5873" s="6" t="n">
        <v>4.48</v>
      </c>
      <c r="I5873" s="6" t="n">
        <v>0</v>
      </c>
      <c r="J5873" s="40" t="n">
        <f aca="false">H5873-I5873</f>
        <v>4.48</v>
      </c>
      <c r="K5873" s="41" t="n">
        <v>34</v>
      </c>
      <c r="L5873" s="42" t="n">
        <f aca="false">J5873*K5873</f>
        <v>152.32</v>
      </c>
      <c r="M5873" s="43" t="n">
        <f aca="false">H5873*14.93*(1+'Chart of Accounts'!$E$67)</f>
        <v>76.584928</v>
      </c>
    </row>
    <row r="5874" customFormat="false" ht="15" hidden="false" customHeight="false" outlineLevel="0" collapsed="false">
      <c r="B5874" s="7" t="s">
        <v>6371</v>
      </c>
      <c r="C5874" s="39" t="n">
        <v>45933</v>
      </c>
      <c r="D5874" s="7" t="s">
        <v>381</v>
      </c>
      <c r="E5874" s="7" t="s">
        <v>157</v>
      </c>
      <c r="F5874" s="7" t="s">
        <v>234</v>
      </c>
      <c r="G5874" s="7" t="s">
        <v>502</v>
      </c>
      <c r="H5874" s="6" t="n">
        <v>1.07</v>
      </c>
      <c r="I5874" s="6" t="n">
        <v>0</v>
      </c>
      <c r="J5874" s="40" t="n">
        <f aca="false">H5874-I5874</f>
        <v>1.07</v>
      </c>
      <c r="K5874" s="41" t="n">
        <v>165</v>
      </c>
      <c r="L5874" s="42" t="n">
        <f aca="false">J5874*K5874</f>
        <v>176.55</v>
      </c>
      <c r="M5874" s="43" t="n">
        <f aca="false">H5874*89.53*(1+'Chart of Accounts'!$E$67)</f>
        <v>109.6876795</v>
      </c>
    </row>
    <row r="5875" customFormat="false" ht="15" hidden="false" customHeight="false" outlineLevel="0" collapsed="false">
      <c r="B5875" s="7" t="s">
        <v>6372</v>
      </c>
      <c r="C5875" s="39" t="n">
        <v>45933</v>
      </c>
      <c r="D5875" s="7" t="s">
        <v>383</v>
      </c>
      <c r="E5875" s="7" t="s">
        <v>157</v>
      </c>
      <c r="F5875" s="7" t="s">
        <v>230</v>
      </c>
      <c r="G5875" s="7" t="s">
        <v>502</v>
      </c>
      <c r="H5875" s="6" t="n">
        <v>1.07</v>
      </c>
      <c r="I5875" s="6" t="n">
        <v>0</v>
      </c>
      <c r="J5875" s="40" t="n">
        <f aca="false">H5875-I5875</f>
        <v>1.07</v>
      </c>
      <c r="K5875" s="41" t="n">
        <v>165</v>
      </c>
      <c r="L5875" s="42" t="n">
        <f aca="false">J5875*K5875</f>
        <v>176.55</v>
      </c>
      <c r="M5875" s="43" t="n">
        <f aca="false">H5875*48.78*(1+'Chart of Accounts'!$E$67)</f>
        <v>59.762817</v>
      </c>
    </row>
    <row r="5876" customFormat="false" ht="15" hidden="false" customHeight="false" outlineLevel="0" collapsed="false">
      <c r="B5876" s="7" t="s">
        <v>6373</v>
      </c>
      <c r="C5876" s="39" t="n">
        <v>45933</v>
      </c>
      <c r="D5876" s="7" t="s">
        <v>385</v>
      </c>
      <c r="E5876" s="7" t="s">
        <v>156</v>
      </c>
      <c r="F5876" s="7" t="s">
        <v>238</v>
      </c>
      <c r="G5876" s="7" t="s">
        <v>505</v>
      </c>
      <c r="H5876" s="6" t="n">
        <v>4.16</v>
      </c>
      <c r="I5876" s="6" t="n">
        <v>0</v>
      </c>
      <c r="J5876" s="40" t="n">
        <f aca="false">H5876-I5876</f>
        <v>4.16</v>
      </c>
      <c r="K5876" s="41" t="n">
        <v>34</v>
      </c>
      <c r="L5876" s="42" t="n">
        <f aca="false">J5876*K5876</f>
        <v>141.44</v>
      </c>
      <c r="M5876" s="43" t="n">
        <f aca="false">H5876*15.85*(1+'Chart of Accounts'!$E$67)</f>
        <v>75.49672</v>
      </c>
    </row>
    <row r="5877" customFormat="false" ht="15" hidden="false" customHeight="false" outlineLevel="0" collapsed="false">
      <c r="B5877" s="7" t="s">
        <v>6374</v>
      </c>
      <c r="C5877" s="39" t="n">
        <v>45933</v>
      </c>
      <c r="D5877" s="7" t="s">
        <v>387</v>
      </c>
      <c r="E5877" s="7" t="s">
        <v>154</v>
      </c>
      <c r="F5877" s="7" t="s">
        <v>196</v>
      </c>
      <c r="G5877" s="7" t="s">
        <v>505</v>
      </c>
      <c r="H5877" s="6" t="n">
        <v>3.81</v>
      </c>
      <c r="I5877" s="6" t="n">
        <v>0</v>
      </c>
      <c r="J5877" s="40" t="n">
        <f aca="false">H5877-I5877</f>
        <v>3.81</v>
      </c>
      <c r="K5877" s="41" t="n">
        <v>26.5</v>
      </c>
      <c r="L5877" s="42" t="n">
        <f aca="false">J5877*K5877</f>
        <v>100.965</v>
      </c>
      <c r="M5877" s="43" t="n">
        <f aca="false">H5877*15.05*(1+'Chart of Accounts'!$E$67)</f>
        <v>65.6548725</v>
      </c>
    </row>
    <row r="5878" customFormat="false" ht="15" hidden="false" customHeight="false" outlineLevel="0" collapsed="false">
      <c r="B5878" s="7" t="s">
        <v>6375</v>
      </c>
      <c r="C5878" s="39" t="n">
        <v>45933</v>
      </c>
      <c r="D5878" s="7" t="s">
        <v>389</v>
      </c>
      <c r="E5878" s="7" t="s">
        <v>154</v>
      </c>
      <c r="F5878" s="7" t="s">
        <v>246</v>
      </c>
      <c r="G5878" s="7" t="s">
        <v>505</v>
      </c>
      <c r="H5878" s="6" t="n">
        <v>3.63</v>
      </c>
      <c r="I5878" s="6" t="n">
        <v>0</v>
      </c>
      <c r="J5878" s="40" t="n">
        <f aca="false">H5878-I5878</f>
        <v>3.63</v>
      </c>
      <c r="K5878" s="41" t="n">
        <v>26.5</v>
      </c>
      <c r="L5878" s="42" t="n">
        <f aca="false">J5878*K5878</f>
        <v>96.195</v>
      </c>
      <c r="M5878" s="43" t="n">
        <f aca="false">H5878*16.48*(1+'Chart of Accounts'!$E$67)</f>
        <v>68.496648</v>
      </c>
    </row>
    <row r="5879" customFormat="false" ht="15" hidden="false" customHeight="false" outlineLevel="0" collapsed="false">
      <c r="B5879" s="7" t="s">
        <v>6376</v>
      </c>
      <c r="C5879" s="39" t="n">
        <v>45933</v>
      </c>
      <c r="D5879" s="7" t="s">
        <v>391</v>
      </c>
      <c r="E5879" s="7" t="s">
        <v>156</v>
      </c>
      <c r="F5879" s="7" t="s">
        <v>222</v>
      </c>
      <c r="G5879" s="7" t="s">
        <v>505</v>
      </c>
      <c r="H5879" s="6" t="n">
        <v>3.62</v>
      </c>
      <c r="I5879" s="6" t="n">
        <v>0</v>
      </c>
      <c r="J5879" s="40" t="n">
        <f aca="false">H5879-I5879</f>
        <v>3.62</v>
      </c>
      <c r="K5879" s="41" t="n">
        <v>34</v>
      </c>
      <c r="L5879" s="42" t="n">
        <f aca="false">J5879*K5879</f>
        <v>123.08</v>
      </c>
      <c r="M5879" s="43" t="n">
        <f aca="false">H5879*17.84*(1+'Chart of Accounts'!$E$67)</f>
        <v>73.945016</v>
      </c>
    </row>
    <row r="5880" customFormat="false" ht="15" hidden="false" customHeight="false" outlineLevel="0" collapsed="false">
      <c r="B5880" s="7" t="s">
        <v>6377</v>
      </c>
      <c r="C5880" s="39" t="n">
        <v>45933</v>
      </c>
      <c r="D5880" s="7" t="s">
        <v>395</v>
      </c>
      <c r="E5880" s="7" t="s">
        <v>156</v>
      </c>
      <c r="F5880" s="7" t="s">
        <v>242</v>
      </c>
      <c r="G5880" s="7" t="s">
        <v>505</v>
      </c>
      <c r="H5880" s="6" t="n">
        <v>3.94</v>
      </c>
      <c r="I5880" s="6" t="n">
        <v>0</v>
      </c>
      <c r="J5880" s="40" t="n">
        <f aca="false">H5880-I5880</f>
        <v>3.94</v>
      </c>
      <c r="K5880" s="41" t="n">
        <v>34</v>
      </c>
      <c r="L5880" s="42" t="n">
        <f aca="false">J5880*K5880</f>
        <v>133.96</v>
      </c>
      <c r="M5880" s="43" t="n">
        <f aca="false">H5880*17.99*(1+'Chart of Accounts'!$E$67)</f>
        <v>81.158287</v>
      </c>
    </row>
    <row r="5881" customFormat="false" ht="15" hidden="false" customHeight="false" outlineLevel="0" collapsed="false">
      <c r="B5881" s="7" t="s">
        <v>6378</v>
      </c>
      <c r="C5881" s="39" t="n">
        <v>45933</v>
      </c>
      <c r="D5881" s="7" t="s">
        <v>397</v>
      </c>
      <c r="E5881" s="7" t="s">
        <v>159</v>
      </c>
      <c r="F5881" s="7" t="s">
        <v>203</v>
      </c>
      <c r="G5881" s="7" t="s">
        <v>502</v>
      </c>
      <c r="H5881" s="6" t="n">
        <v>0.94</v>
      </c>
      <c r="I5881" s="6" t="n">
        <v>0</v>
      </c>
      <c r="J5881" s="40" t="n">
        <f aca="false">H5881-I5881</f>
        <v>0.94</v>
      </c>
      <c r="K5881" s="41" t="n">
        <v>135</v>
      </c>
      <c r="L5881" s="42" t="n">
        <f aca="false">J5881*K5881</f>
        <v>126.9</v>
      </c>
      <c r="M5881" s="43" t="n">
        <f aca="false">H5881*49.43*(1+'Chart of Accounts'!$E$67)</f>
        <v>53.201509</v>
      </c>
    </row>
    <row r="5882" customFormat="false" ht="15" hidden="false" customHeight="false" outlineLevel="0" collapsed="false">
      <c r="B5882" s="7" t="s">
        <v>6379</v>
      </c>
      <c r="C5882" s="39" t="n">
        <v>45933</v>
      </c>
      <c r="D5882" s="7" t="s">
        <v>399</v>
      </c>
      <c r="E5882" s="7" t="s">
        <v>154</v>
      </c>
      <c r="F5882" s="7" t="s">
        <v>184</v>
      </c>
      <c r="G5882" s="7" t="s">
        <v>505</v>
      </c>
      <c r="H5882" s="6" t="n">
        <v>3.4</v>
      </c>
      <c r="I5882" s="6" t="n">
        <v>0</v>
      </c>
      <c r="J5882" s="40" t="n">
        <f aca="false">H5882-I5882</f>
        <v>3.4</v>
      </c>
      <c r="K5882" s="41" t="n">
        <v>26.5</v>
      </c>
      <c r="L5882" s="42" t="n">
        <f aca="false">J5882*K5882</f>
        <v>90.1</v>
      </c>
      <c r="M5882" s="43" t="n">
        <f aca="false">H5882*17.34*(1+'Chart of Accounts'!$E$67)</f>
        <v>67.50462</v>
      </c>
    </row>
    <row r="5883" customFormat="false" ht="15" hidden="false" customHeight="false" outlineLevel="0" collapsed="false">
      <c r="B5883" s="7" t="s">
        <v>6380</v>
      </c>
      <c r="C5883" s="39" t="n">
        <v>45933</v>
      </c>
      <c r="D5883" s="7" t="s">
        <v>401</v>
      </c>
      <c r="E5883" s="7" t="s">
        <v>156</v>
      </c>
      <c r="F5883" s="7" t="s">
        <v>254</v>
      </c>
      <c r="G5883" s="7" t="s">
        <v>505</v>
      </c>
      <c r="H5883" s="6" t="n">
        <v>4</v>
      </c>
      <c r="I5883" s="6" t="n">
        <v>0</v>
      </c>
      <c r="J5883" s="40" t="n">
        <f aca="false">H5883-I5883</f>
        <v>4</v>
      </c>
      <c r="K5883" s="41" t="n">
        <v>34</v>
      </c>
      <c r="L5883" s="42" t="n">
        <f aca="false">J5883*K5883</f>
        <v>136</v>
      </c>
      <c r="M5883" s="43" t="n">
        <f aca="false">H5883*17.1*(1+'Chart of Accounts'!$E$67)</f>
        <v>78.318</v>
      </c>
    </row>
    <row r="5884" customFormat="false" ht="15" hidden="false" customHeight="false" outlineLevel="0" collapsed="false">
      <c r="B5884" s="7" t="s">
        <v>6381</v>
      </c>
      <c r="C5884" s="39" t="n">
        <v>45933</v>
      </c>
      <c r="D5884" s="7" t="s">
        <v>403</v>
      </c>
      <c r="E5884" s="7" t="s">
        <v>156</v>
      </c>
      <c r="F5884" s="7" t="s">
        <v>184</v>
      </c>
      <c r="G5884" s="7" t="s">
        <v>505</v>
      </c>
      <c r="H5884" s="6" t="n">
        <v>4.05</v>
      </c>
      <c r="I5884" s="6" t="n">
        <v>0</v>
      </c>
      <c r="J5884" s="40" t="n">
        <f aca="false">H5884-I5884</f>
        <v>4.05</v>
      </c>
      <c r="K5884" s="41" t="n">
        <v>34</v>
      </c>
      <c r="L5884" s="42" t="n">
        <f aca="false">J5884*K5884</f>
        <v>137.7</v>
      </c>
      <c r="M5884" s="43" t="n">
        <f aca="false">H5884*17.34*(1+'Chart of Accounts'!$E$67)</f>
        <v>80.409915</v>
      </c>
    </row>
    <row r="5885" customFormat="false" ht="15" hidden="false" customHeight="false" outlineLevel="0" collapsed="false">
      <c r="B5885" s="7" t="s">
        <v>6382</v>
      </c>
      <c r="C5885" s="39" t="n">
        <v>45933</v>
      </c>
      <c r="D5885" s="7" t="s">
        <v>407</v>
      </c>
      <c r="E5885" s="7" t="s">
        <v>159</v>
      </c>
      <c r="F5885" s="7" t="s">
        <v>260</v>
      </c>
      <c r="G5885" s="7" t="s">
        <v>502</v>
      </c>
      <c r="H5885" s="6" t="n">
        <v>1.01</v>
      </c>
      <c r="I5885" s="6" t="n">
        <v>0</v>
      </c>
      <c r="J5885" s="40" t="n">
        <f aca="false">H5885-I5885</f>
        <v>1.01</v>
      </c>
      <c r="K5885" s="41" t="n">
        <v>135</v>
      </c>
      <c r="L5885" s="42" t="n">
        <f aca="false">J5885*K5885</f>
        <v>136.35</v>
      </c>
      <c r="M5885" s="43" t="n">
        <f aca="false">H5885*79.8*(1+'Chart of Accounts'!$E$67)</f>
        <v>92.28471</v>
      </c>
    </row>
    <row r="5886" customFormat="false" ht="15" hidden="false" customHeight="false" outlineLevel="0" collapsed="false">
      <c r="B5886" s="7" t="s">
        <v>6383</v>
      </c>
      <c r="C5886" s="39" t="n">
        <v>45933</v>
      </c>
      <c r="D5886" s="7" t="s">
        <v>409</v>
      </c>
      <c r="E5886" s="7" t="s">
        <v>154</v>
      </c>
      <c r="F5886" s="7" t="s">
        <v>214</v>
      </c>
      <c r="G5886" s="7" t="s">
        <v>505</v>
      </c>
      <c r="H5886" s="6" t="n">
        <v>3.37</v>
      </c>
      <c r="I5886" s="6" t="n">
        <v>0</v>
      </c>
      <c r="J5886" s="40" t="n">
        <f aca="false">H5886-I5886</f>
        <v>3.37</v>
      </c>
      <c r="K5886" s="41" t="n">
        <v>26.5</v>
      </c>
      <c r="L5886" s="42" t="n">
        <f aca="false">J5886*K5886</f>
        <v>89.305</v>
      </c>
      <c r="M5886" s="43" t="n">
        <f aca="false">H5886*15.67*(1+'Chart of Accounts'!$E$67)</f>
        <v>60.4650455</v>
      </c>
    </row>
    <row r="5887" customFormat="false" ht="15" hidden="false" customHeight="false" outlineLevel="0" collapsed="false">
      <c r="B5887" s="7" t="s">
        <v>6384</v>
      </c>
      <c r="C5887" s="39" t="n">
        <v>45933</v>
      </c>
      <c r="D5887" s="7" t="s">
        <v>411</v>
      </c>
      <c r="E5887" s="7" t="s">
        <v>154</v>
      </c>
      <c r="F5887" s="7" t="s">
        <v>177</v>
      </c>
      <c r="G5887" s="7" t="s">
        <v>505</v>
      </c>
      <c r="H5887" s="6" t="n">
        <v>4.49</v>
      </c>
      <c r="I5887" s="6" t="n">
        <v>0</v>
      </c>
      <c r="J5887" s="40" t="n">
        <f aca="false">H5887-I5887</f>
        <v>4.49</v>
      </c>
      <c r="K5887" s="41" t="n">
        <v>26.5</v>
      </c>
      <c r="L5887" s="42" t="n">
        <f aca="false">J5887*K5887</f>
        <v>118.985</v>
      </c>
      <c r="M5887" s="43" t="n">
        <f aca="false">H5887*14.56*(1+'Chart of Accounts'!$E$67)</f>
        <v>74.853688</v>
      </c>
    </row>
    <row r="5888" customFormat="false" ht="15" hidden="false" customHeight="false" outlineLevel="0" collapsed="false">
      <c r="B5888" s="7" t="s">
        <v>6385</v>
      </c>
      <c r="C5888" s="39" t="n">
        <v>45934</v>
      </c>
      <c r="D5888" s="7" t="s">
        <v>288</v>
      </c>
      <c r="E5888" s="7" t="s">
        <v>156</v>
      </c>
      <c r="F5888" s="7" t="s">
        <v>214</v>
      </c>
      <c r="G5888" s="7" t="s">
        <v>505</v>
      </c>
      <c r="H5888" s="6" t="n">
        <v>3.93</v>
      </c>
      <c r="I5888" s="6" t="n">
        <v>0</v>
      </c>
      <c r="J5888" s="40" t="n">
        <f aca="false">H5888-I5888</f>
        <v>3.93</v>
      </c>
      <c r="K5888" s="41" t="n">
        <v>34</v>
      </c>
      <c r="L5888" s="42" t="n">
        <f aca="false">J5888*K5888</f>
        <v>133.62</v>
      </c>
      <c r="M5888" s="43" t="n">
        <f aca="false">H5888*15.67*(1+'Chart of Accounts'!$E$67)</f>
        <v>70.5126495</v>
      </c>
    </row>
    <row r="5889" customFormat="false" ht="15" hidden="false" customHeight="false" outlineLevel="0" collapsed="false">
      <c r="B5889" s="7" t="s">
        <v>6386</v>
      </c>
      <c r="C5889" s="39" t="n">
        <v>45934</v>
      </c>
      <c r="D5889" s="7" t="s">
        <v>321</v>
      </c>
      <c r="E5889" s="7" t="s">
        <v>154</v>
      </c>
      <c r="F5889" s="7" t="s">
        <v>218</v>
      </c>
      <c r="G5889" s="7" t="s">
        <v>505</v>
      </c>
      <c r="H5889" s="6" t="n">
        <v>4.18</v>
      </c>
      <c r="I5889" s="6" t="n">
        <v>0</v>
      </c>
      <c r="J5889" s="40" t="n">
        <f aca="false">H5889-I5889</f>
        <v>4.18</v>
      </c>
      <c r="K5889" s="41" t="n">
        <v>26.5</v>
      </c>
      <c r="L5889" s="42" t="n">
        <f aca="false">J5889*K5889</f>
        <v>110.77</v>
      </c>
      <c r="M5889" s="43" t="n">
        <f aca="false">H5889*16.19*(1+'Chart of Accounts'!$E$67)</f>
        <v>77.486959</v>
      </c>
    </row>
    <row r="5890" customFormat="false" ht="15" hidden="false" customHeight="false" outlineLevel="0" collapsed="false">
      <c r="B5890" s="7" t="s">
        <v>6387</v>
      </c>
      <c r="C5890" s="39" t="n">
        <v>45934</v>
      </c>
      <c r="D5890" s="7" t="s">
        <v>359</v>
      </c>
      <c r="E5890" s="7" t="s">
        <v>156</v>
      </c>
      <c r="F5890" s="7" t="s">
        <v>254</v>
      </c>
      <c r="G5890" s="7" t="s">
        <v>505</v>
      </c>
      <c r="H5890" s="6" t="n">
        <v>4.01</v>
      </c>
      <c r="I5890" s="6" t="n">
        <v>0</v>
      </c>
      <c r="J5890" s="40" t="n">
        <f aca="false">H5890-I5890</f>
        <v>4.01</v>
      </c>
      <c r="K5890" s="41" t="n">
        <v>34</v>
      </c>
      <c r="L5890" s="42" t="n">
        <f aca="false">J5890*K5890</f>
        <v>136.34</v>
      </c>
      <c r="M5890" s="43" t="n">
        <f aca="false">H5890*17.1*(1+'Chart of Accounts'!$E$67)</f>
        <v>78.513795</v>
      </c>
    </row>
    <row r="5891" customFormat="false" ht="15" hidden="false" customHeight="false" outlineLevel="0" collapsed="false">
      <c r="B5891" s="7" t="s">
        <v>6388</v>
      </c>
      <c r="C5891" s="39" t="n">
        <v>45934</v>
      </c>
      <c r="D5891" s="7" t="s">
        <v>387</v>
      </c>
      <c r="E5891" s="7" t="s">
        <v>154</v>
      </c>
      <c r="F5891" s="7" t="s">
        <v>196</v>
      </c>
      <c r="G5891" s="7" t="s">
        <v>505</v>
      </c>
      <c r="H5891" s="6" t="n">
        <v>3.88</v>
      </c>
      <c r="I5891" s="6" t="n">
        <v>0</v>
      </c>
      <c r="J5891" s="40" t="n">
        <f aca="false">H5891-I5891</f>
        <v>3.88</v>
      </c>
      <c r="K5891" s="41" t="n">
        <v>26.5</v>
      </c>
      <c r="L5891" s="42" t="n">
        <f aca="false">J5891*K5891</f>
        <v>102.82</v>
      </c>
      <c r="M5891" s="43" t="n">
        <f aca="false">H5891*15.05*(1+'Chart of Accounts'!$E$67)</f>
        <v>66.86113</v>
      </c>
    </row>
    <row r="5892" customFormat="false" ht="15" hidden="false" customHeight="false" outlineLevel="0" collapsed="false">
      <c r="B5892" s="7" t="s">
        <v>6389</v>
      </c>
      <c r="C5892" s="39" t="n">
        <v>45934</v>
      </c>
      <c r="D5892" s="7" t="s">
        <v>391</v>
      </c>
      <c r="E5892" s="7" t="s">
        <v>156</v>
      </c>
      <c r="F5892" s="7" t="s">
        <v>222</v>
      </c>
      <c r="G5892" s="7" t="s">
        <v>505</v>
      </c>
      <c r="H5892" s="6" t="n">
        <v>3.82</v>
      </c>
      <c r="I5892" s="6" t="n">
        <v>0</v>
      </c>
      <c r="J5892" s="40" t="n">
        <f aca="false">H5892-I5892</f>
        <v>3.82</v>
      </c>
      <c r="K5892" s="41" t="n">
        <v>34</v>
      </c>
      <c r="L5892" s="42" t="n">
        <f aca="false">J5892*K5892</f>
        <v>129.88</v>
      </c>
      <c r="M5892" s="43" t="n">
        <f aca="false">H5892*17.84*(1+'Chart of Accounts'!$E$67)</f>
        <v>78.030376</v>
      </c>
    </row>
    <row r="5893" customFormat="false" ht="15" hidden="false" customHeight="false" outlineLevel="0" collapsed="false">
      <c r="B5893" s="7" t="s">
        <v>6390</v>
      </c>
      <c r="C5893" s="39" t="n">
        <v>45934</v>
      </c>
      <c r="D5893" s="7" t="s">
        <v>395</v>
      </c>
      <c r="E5893" s="7" t="s">
        <v>156</v>
      </c>
      <c r="F5893" s="7" t="s">
        <v>242</v>
      </c>
      <c r="G5893" s="7" t="s">
        <v>505</v>
      </c>
      <c r="H5893" s="6" t="n">
        <v>3.98</v>
      </c>
      <c r="I5893" s="6" t="n">
        <v>0</v>
      </c>
      <c r="J5893" s="40" t="n">
        <f aca="false">H5893-I5893</f>
        <v>3.98</v>
      </c>
      <c r="K5893" s="41" t="n">
        <v>34</v>
      </c>
      <c r="L5893" s="42" t="n">
        <f aca="false">J5893*K5893</f>
        <v>135.32</v>
      </c>
      <c r="M5893" s="43" t="n">
        <f aca="false">H5893*17.99*(1+'Chart of Accounts'!$E$67)</f>
        <v>81.982229</v>
      </c>
    </row>
    <row r="5894" customFormat="false" ht="15" hidden="false" customHeight="false" outlineLevel="0" collapsed="false">
      <c r="B5894" s="7" t="s">
        <v>6391</v>
      </c>
      <c r="C5894" s="39" t="n">
        <v>45934</v>
      </c>
      <c r="D5894" s="7" t="s">
        <v>401</v>
      </c>
      <c r="E5894" s="7" t="s">
        <v>156</v>
      </c>
      <c r="F5894" s="7" t="s">
        <v>254</v>
      </c>
      <c r="G5894" s="7" t="s">
        <v>505</v>
      </c>
      <c r="H5894" s="6" t="n">
        <v>4.07</v>
      </c>
      <c r="I5894" s="6" t="n">
        <v>0</v>
      </c>
      <c r="J5894" s="40" t="n">
        <f aca="false">H5894-I5894</f>
        <v>4.07</v>
      </c>
      <c r="K5894" s="41" t="n">
        <v>34</v>
      </c>
      <c r="L5894" s="42" t="n">
        <f aca="false">J5894*K5894</f>
        <v>138.38</v>
      </c>
      <c r="M5894" s="43" t="n">
        <f aca="false">H5894*17.1*(1+'Chart of Accounts'!$E$67)</f>
        <v>79.688565</v>
      </c>
    </row>
    <row r="5895" customFormat="false" ht="15" hidden="false" customHeight="false" outlineLevel="0" collapsed="false">
      <c r="B5895" s="7" t="s">
        <v>6392</v>
      </c>
      <c r="C5895" s="39" t="n">
        <v>45935</v>
      </c>
      <c r="D5895" s="7" t="s">
        <v>288</v>
      </c>
      <c r="E5895" s="7" t="s">
        <v>156</v>
      </c>
      <c r="F5895" s="7" t="s">
        <v>236</v>
      </c>
      <c r="G5895" s="7" t="s">
        <v>505</v>
      </c>
      <c r="H5895" s="6" t="n">
        <v>4.39</v>
      </c>
      <c r="I5895" s="6" t="n">
        <v>0</v>
      </c>
      <c r="J5895" s="40" t="n">
        <f aca="false">H5895-I5895</f>
        <v>4.39</v>
      </c>
      <c r="K5895" s="41" t="n">
        <v>34</v>
      </c>
      <c r="L5895" s="42" t="n">
        <f aca="false">J5895*K5895</f>
        <v>149.26</v>
      </c>
      <c r="M5895" s="43" t="n">
        <f aca="false">H5895*15.49*(1+'Chart of Accounts'!$E$67)</f>
        <v>77.8612595</v>
      </c>
    </row>
    <row r="5896" customFormat="false" ht="15" hidden="false" customHeight="false" outlineLevel="0" collapsed="false">
      <c r="B5896" s="7" t="s">
        <v>6393</v>
      </c>
      <c r="C5896" s="39" t="n">
        <v>45935</v>
      </c>
      <c r="D5896" s="7" t="s">
        <v>321</v>
      </c>
      <c r="E5896" s="7" t="s">
        <v>154</v>
      </c>
      <c r="F5896" s="7" t="s">
        <v>218</v>
      </c>
      <c r="G5896" s="7" t="s">
        <v>505</v>
      </c>
      <c r="H5896" s="6" t="n">
        <v>4.08</v>
      </c>
      <c r="I5896" s="6" t="n">
        <v>0</v>
      </c>
      <c r="J5896" s="40" t="n">
        <f aca="false">H5896-I5896</f>
        <v>4.08</v>
      </c>
      <c r="K5896" s="41" t="n">
        <v>26.5</v>
      </c>
      <c r="L5896" s="42" t="n">
        <f aca="false">J5896*K5896</f>
        <v>108.12</v>
      </c>
      <c r="M5896" s="43" t="n">
        <f aca="false">H5896*16.19*(1+'Chart of Accounts'!$E$67)</f>
        <v>75.633204</v>
      </c>
    </row>
    <row r="5897" customFormat="false" ht="15" hidden="false" customHeight="false" outlineLevel="0" collapsed="false">
      <c r="B5897" s="7" t="s">
        <v>6394</v>
      </c>
      <c r="C5897" s="39" t="n">
        <v>45935</v>
      </c>
      <c r="D5897" s="7" t="s">
        <v>359</v>
      </c>
      <c r="E5897" s="7" t="s">
        <v>156</v>
      </c>
      <c r="F5897" s="7" t="s">
        <v>224</v>
      </c>
      <c r="G5897" s="7" t="s">
        <v>505</v>
      </c>
      <c r="H5897" s="6" t="n">
        <v>4.24</v>
      </c>
      <c r="I5897" s="6" t="n">
        <v>0</v>
      </c>
      <c r="J5897" s="40" t="n">
        <f aca="false">H5897-I5897</f>
        <v>4.24</v>
      </c>
      <c r="K5897" s="41" t="n">
        <v>34</v>
      </c>
      <c r="L5897" s="42" t="n">
        <f aca="false">J5897*K5897</f>
        <v>144.16</v>
      </c>
      <c r="M5897" s="43" t="n">
        <f aca="false">H5897*14.93*(1+'Chart of Accounts'!$E$67)</f>
        <v>72.482164</v>
      </c>
    </row>
    <row r="5898" customFormat="false" ht="15" hidden="false" customHeight="false" outlineLevel="0" collapsed="false">
      <c r="B5898" s="7" t="s">
        <v>6395</v>
      </c>
      <c r="C5898" s="39" t="n">
        <v>45935</v>
      </c>
      <c r="D5898" s="7" t="s">
        <v>387</v>
      </c>
      <c r="E5898" s="7" t="s">
        <v>154</v>
      </c>
      <c r="F5898" s="7" t="s">
        <v>196</v>
      </c>
      <c r="G5898" s="7" t="s">
        <v>505</v>
      </c>
      <c r="H5898" s="6" t="n">
        <v>4.07</v>
      </c>
      <c r="I5898" s="6" t="n">
        <v>0.122</v>
      </c>
      <c r="J5898" s="40" t="n">
        <f aca="false">H5898-I5898</f>
        <v>3.948</v>
      </c>
      <c r="K5898" s="41" t="n">
        <v>26.5</v>
      </c>
      <c r="L5898" s="42" t="n">
        <f aca="false">J5898*K5898</f>
        <v>104.622</v>
      </c>
      <c r="M5898" s="43" t="n">
        <f aca="false">H5898*15.05*(1+'Chart of Accounts'!$E$67)</f>
        <v>70.1352575</v>
      </c>
    </row>
    <row r="5899" customFormat="false" ht="15" hidden="false" customHeight="false" outlineLevel="0" collapsed="false">
      <c r="B5899" s="7" t="s">
        <v>6396</v>
      </c>
      <c r="C5899" s="39" t="n">
        <v>45935</v>
      </c>
      <c r="D5899" s="7" t="s">
        <v>391</v>
      </c>
      <c r="E5899" s="7" t="s">
        <v>156</v>
      </c>
      <c r="F5899" s="7" t="s">
        <v>222</v>
      </c>
      <c r="G5899" s="7" t="s">
        <v>505</v>
      </c>
      <c r="H5899" s="6" t="n">
        <v>3.63</v>
      </c>
      <c r="I5899" s="6" t="n">
        <v>0</v>
      </c>
      <c r="J5899" s="40" t="n">
        <f aca="false">H5899-I5899</f>
        <v>3.63</v>
      </c>
      <c r="K5899" s="41" t="n">
        <v>34</v>
      </c>
      <c r="L5899" s="42" t="n">
        <f aca="false">J5899*K5899</f>
        <v>123.42</v>
      </c>
      <c r="M5899" s="43" t="n">
        <f aca="false">H5899*17.84*(1+'Chart of Accounts'!$E$67)</f>
        <v>74.149284</v>
      </c>
    </row>
    <row r="5900" customFormat="false" ht="15" hidden="false" customHeight="false" outlineLevel="0" collapsed="false">
      <c r="B5900" s="7" t="s">
        <v>6397</v>
      </c>
      <c r="C5900" s="39" t="n">
        <v>45935</v>
      </c>
      <c r="D5900" s="7" t="s">
        <v>395</v>
      </c>
      <c r="E5900" s="7" t="s">
        <v>156</v>
      </c>
      <c r="F5900" s="7" t="s">
        <v>242</v>
      </c>
      <c r="G5900" s="7" t="s">
        <v>505</v>
      </c>
      <c r="H5900" s="6" t="n">
        <v>3.87</v>
      </c>
      <c r="I5900" s="6" t="n">
        <v>0</v>
      </c>
      <c r="J5900" s="40" t="n">
        <f aca="false">H5900-I5900</f>
        <v>3.87</v>
      </c>
      <c r="K5900" s="41" t="n">
        <v>34</v>
      </c>
      <c r="L5900" s="42" t="n">
        <f aca="false">J5900*K5900</f>
        <v>131.58</v>
      </c>
      <c r="M5900" s="43" t="n">
        <f aca="false">H5900*17.99*(1+'Chart of Accounts'!$E$67)</f>
        <v>79.7163885</v>
      </c>
    </row>
    <row r="5901" customFormat="false" ht="15" hidden="false" customHeight="false" outlineLevel="0" collapsed="false">
      <c r="B5901" s="7" t="s">
        <v>6398</v>
      </c>
      <c r="C5901" s="39" t="n">
        <v>45935</v>
      </c>
      <c r="D5901" s="7" t="s">
        <v>401</v>
      </c>
      <c r="E5901" s="7" t="s">
        <v>156</v>
      </c>
      <c r="F5901" s="7" t="s">
        <v>254</v>
      </c>
      <c r="G5901" s="7" t="s">
        <v>505</v>
      </c>
      <c r="H5901" s="6" t="n">
        <v>4.32</v>
      </c>
      <c r="I5901" s="6" t="n">
        <v>0</v>
      </c>
      <c r="J5901" s="40" t="n">
        <f aca="false">H5901-I5901</f>
        <v>4.32</v>
      </c>
      <c r="K5901" s="41" t="n">
        <v>34</v>
      </c>
      <c r="L5901" s="42" t="n">
        <f aca="false">J5901*K5901</f>
        <v>146.88</v>
      </c>
      <c r="M5901" s="43" t="n">
        <f aca="false">H5901*17.1*(1+'Chart of Accounts'!$E$67)</f>
        <v>84.58344</v>
      </c>
    </row>
    <row r="5902" customFormat="false" ht="15" hidden="false" customHeight="false" outlineLevel="0" collapsed="false">
      <c r="B5902" s="7" t="s">
        <v>6399</v>
      </c>
      <c r="C5902" s="39" t="n">
        <v>45936</v>
      </c>
      <c r="D5902" s="7" t="s">
        <v>288</v>
      </c>
      <c r="E5902" s="7" t="s">
        <v>156</v>
      </c>
      <c r="F5902" s="7" t="s">
        <v>194</v>
      </c>
      <c r="G5902" s="7" t="s">
        <v>505</v>
      </c>
      <c r="H5902" s="6" t="n">
        <v>3.87</v>
      </c>
      <c r="I5902" s="6" t="n">
        <v>0</v>
      </c>
      <c r="J5902" s="40" t="n">
        <f aca="false">H5902-I5902</f>
        <v>3.87</v>
      </c>
      <c r="K5902" s="41" t="n">
        <v>34</v>
      </c>
      <c r="L5902" s="42" t="n">
        <f aca="false">J5902*K5902</f>
        <v>131.58</v>
      </c>
      <c r="M5902" s="43" t="n">
        <f aca="false">H5902*16*(1+'Chart of Accounts'!$E$67)</f>
        <v>70.8984</v>
      </c>
    </row>
    <row r="5903" customFormat="false" ht="15" hidden="false" customHeight="false" outlineLevel="0" collapsed="false">
      <c r="B5903" s="7" t="s">
        <v>6400</v>
      </c>
      <c r="C5903" s="39" t="n">
        <v>45936</v>
      </c>
      <c r="D5903" s="7" t="s">
        <v>291</v>
      </c>
      <c r="E5903" s="7" t="s">
        <v>154</v>
      </c>
      <c r="F5903" s="7" t="s">
        <v>194</v>
      </c>
      <c r="G5903" s="7" t="s">
        <v>505</v>
      </c>
      <c r="H5903" s="6" t="n">
        <v>4.58</v>
      </c>
      <c r="I5903" s="6" t="n">
        <v>0</v>
      </c>
      <c r="J5903" s="40" t="n">
        <f aca="false">H5903-I5903</f>
        <v>4.58</v>
      </c>
      <c r="K5903" s="41" t="n">
        <v>26.5</v>
      </c>
      <c r="L5903" s="42" t="n">
        <f aca="false">J5903*K5903</f>
        <v>121.37</v>
      </c>
      <c r="M5903" s="43" t="n">
        <f aca="false">H5903*16*(1+'Chart of Accounts'!$E$67)</f>
        <v>83.9056</v>
      </c>
    </row>
    <row r="5904" customFormat="false" ht="15" hidden="false" customHeight="false" outlineLevel="0" collapsed="false">
      <c r="B5904" s="7" t="s">
        <v>6401</v>
      </c>
      <c r="C5904" s="39" t="n">
        <v>45936</v>
      </c>
      <c r="D5904" s="7" t="s">
        <v>295</v>
      </c>
      <c r="E5904" s="7" t="s">
        <v>154</v>
      </c>
      <c r="F5904" s="7" t="s">
        <v>214</v>
      </c>
      <c r="G5904" s="7" t="s">
        <v>505</v>
      </c>
      <c r="H5904" s="6" t="n">
        <v>3.74</v>
      </c>
      <c r="I5904" s="6" t="n">
        <v>0</v>
      </c>
      <c r="J5904" s="40" t="n">
        <f aca="false">H5904-I5904</f>
        <v>3.74</v>
      </c>
      <c r="K5904" s="41" t="n">
        <v>26.5</v>
      </c>
      <c r="L5904" s="42" t="n">
        <f aca="false">J5904*K5904</f>
        <v>99.11</v>
      </c>
      <c r="M5904" s="43" t="n">
        <f aca="false">H5904*15.67*(1+'Chart of Accounts'!$E$67)</f>
        <v>67.103641</v>
      </c>
    </row>
    <row r="5905" customFormat="false" ht="15" hidden="false" customHeight="false" outlineLevel="0" collapsed="false">
      <c r="B5905" s="7" t="s">
        <v>6402</v>
      </c>
      <c r="C5905" s="39" t="n">
        <v>45936</v>
      </c>
      <c r="D5905" s="7" t="s">
        <v>297</v>
      </c>
      <c r="E5905" s="7" t="s">
        <v>156</v>
      </c>
      <c r="F5905" s="7" t="s">
        <v>201</v>
      </c>
      <c r="G5905" s="7" t="s">
        <v>505</v>
      </c>
      <c r="H5905" s="6" t="n">
        <v>3.26</v>
      </c>
      <c r="I5905" s="6" t="n">
        <v>0</v>
      </c>
      <c r="J5905" s="40" t="n">
        <f aca="false">H5905-I5905</f>
        <v>3.26</v>
      </c>
      <c r="K5905" s="41" t="n">
        <v>34</v>
      </c>
      <c r="L5905" s="42" t="n">
        <f aca="false">J5905*K5905</f>
        <v>110.84</v>
      </c>
      <c r="M5905" s="43" t="n">
        <f aca="false">H5905*15.19*(1+'Chart of Accounts'!$E$67)</f>
        <v>56.699713</v>
      </c>
    </row>
    <row r="5906" customFormat="false" ht="15" hidden="false" customHeight="false" outlineLevel="0" collapsed="false">
      <c r="B5906" s="7" t="s">
        <v>6403</v>
      </c>
      <c r="C5906" s="39" t="n">
        <v>45936</v>
      </c>
      <c r="D5906" s="7" t="s">
        <v>303</v>
      </c>
      <c r="E5906" s="7" t="s">
        <v>154</v>
      </c>
      <c r="F5906" s="7" t="s">
        <v>240</v>
      </c>
      <c r="G5906" s="7" t="s">
        <v>505</v>
      </c>
      <c r="H5906" s="6" t="n">
        <v>4.2</v>
      </c>
      <c r="I5906" s="6" t="n">
        <v>0</v>
      </c>
      <c r="J5906" s="40" t="n">
        <f aca="false">H5906-I5906</f>
        <v>4.2</v>
      </c>
      <c r="K5906" s="41" t="n">
        <v>26.5</v>
      </c>
      <c r="L5906" s="42" t="n">
        <f aca="false">J5906*K5906</f>
        <v>111.3</v>
      </c>
      <c r="M5906" s="43" t="n">
        <f aca="false">H5906*16.96*(1+'Chart of Accounts'!$E$67)</f>
        <v>81.56064</v>
      </c>
    </row>
    <row r="5907" customFormat="false" ht="15" hidden="false" customHeight="false" outlineLevel="0" collapsed="false">
      <c r="B5907" s="7" t="s">
        <v>6404</v>
      </c>
      <c r="C5907" s="39" t="n">
        <v>45936</v>
      </c>
      <c r="D5907" s="7" t="s">
        <v>305</v>
      </c>
      <c r="E5907" s="7" t="s">
        <v>154</v>
      </c>
      <c r="F5907" s="7" t="s">
        <v>205</v>
      </c>
      <c r="G5907" s="7" t="s">
        <v>505</v>
      </c>
      <c r="H5907" s="6" t="n">
        <v>4.18</v>
      </c>
      <c r="I5907" s="6" t="n">
        <v>0</v>
      </c>
      <c r="J5907" s="40" t="n">
        <f aca="false">H5907-I5907</f>
        <v>4.18</v>
      </c>
      <c r="K5907" s="41" t="n">
        <v>26.5</v>
      </c>
      <c r="L5907" s="42" t="n">
        <f aca="false">J5907*K5907</f>
        <v>110.77</v>
      </c>
      <c r="M5907" s="43" t="n">
        <f aca="false">H5907*16.36*(1+'Chart of Accounts'!$E$67)</f>
        <v>78.300596</v>
      </c>
    </row>
    <row r="5908" customFormat="false" ht="15" hidden="false" customHeight="false" outlineLevel="0" collapsed="false">
      <c r="B5908" s="7" t="s">
        <v>6405</v>
      </c>
      <c r="C5908" s="39" t="n">
        <v>45936</v>
      </c>
      <c r="D5908" s="7" t="s">
        <v>307</v>
      </c>
      <c r="E5908" s="7" t="s">
        <v>157</v>
      </c>
      <c r="F5908" s="7" t="s">
        <v>264</v>
      </c>
      <c r="G5908" s="7" t="s">
        <v>502</v>
      </c>
      <c r="H5908" s="6" t="n">
        <v>1.01</v>
      </c>
      <c r="I5908" s="6" t="n">
        <v>0</v>
      </c>
      <c r="J5908" s="40" t="n">
        <f aca="false">H5908-I5908</f>
        <v>1.01</v>
      </c>
      <c r="K5908" s="41" t="n">
        <v>165</v>
      </c>
      <c r="L5908" s="42" t="n">
        <f aca="false">J5908*K5908</f>
        <v>166.65</v>
      </c>
      <c r="M5908" s="43" t="n">
        <f aca="false">H5908*55.55*(1+'Chart of Accounts'!$E$67)</f>
        <v>64.2407975</v>
      </c>
    </row>
    <row r="5909" customFormat="false" ht="15" hidden="false" customHeight="false" outlineLevel="0" collapsed="false">
      <c r="B5909" s="7" t="s">
        <v>6406</v>
      </c>
      <c r="C5909" s="39" t="n">
        <v>45936</v>
      </c>
      <c r="D5909" s="7" t="s">
        <v>309</v>
      </c>
      <c r="E5909" s="7" t="s">
        <v>159</v>
      </c>
      <c r="F5909" s="7" t="s">
        <v>252</v>
      </c>
      <c r="G5909" s="7" t="s">
        <v>502</v>
      </c>
      <c r="H5909" s="6" t="n">
        <v>1.08</v>
      </c>
      <c r="I5909" s="6" t="n">
        <v>0</v>
      </c>
      <c r="J5909" s="40" t="n">
        <f aca="false">H5909-I5909</f>
        <v>1.08</v>
      </c>
      <c r="K5909" s="41" t="n">
        <v>135</v>
      </c>
      <c r="L5909" s="42" t="n">
        <f aca="false">J5909*K5909</f>
        <v>145.8</v>
      </c>
      <c r="M5909" s="43" t="n">
        <f aca="false">H5909*57.54*(1+'Chart of Accounts'!$E$67)</f>
        <v>71.153964</v>
      </c>
    </row>
    <row r="5910" customFormat="false" ht="15" hidden="false" customHeight="false" outlineLevel="0" collapsed="false">
      <c r="B5910" s="7" t="s">
        <v>6407</v>
      </c>
      <c r="C5910" s="39" t="n">
        <v>45936</v>
      </c>
      <c r="D5910" s="7" t="s">
        <v>311</v>
      </c>
      <c r="E5910" s="7" t="s">
        <v>154</v>
      </c>
      <c r="F5910" s="7" t="s">
        <v>196</v>
      </c>
      <c r="G5910" s="7" t="s">
        <v>505</v>
      </c>
      <c r="H5910" s="6" t="n">
        <v>2.91</v>
      </c>
      <c r="I5910" s="6" t="n">
        <v>0</v>
      </c>
      <c r="J5910" s="40" t="n">
        <f aca="false">H5910-I5910</f>
        <v>2.91</v>
      </c>
      <c r="K5910" s="41" t="n">
        <v>26.5</v>
      </c>
      <c r="L5910" s="42" t="n">
        <f aca="false">J5910*K5910</f>
        <v>77.115</v>
      </c>
      <c r="M5910" s="43" t="n">
        <f aca="false">H5910*15.05*(1+'Chart of Accounts'!$E$67)</f>
        <v>50.1458475</v>
      </c>
    </row>
    <row r="5911" customFormat="false" ht="15" hidden="false" customHeight="false" outlineLevel="0" collapsed="false">
      <c r="B5911" s="7" t="s">
        <v>6408</v>
      </c>
      <c r="C5911" s="39" t="n">
        <v>45936</v>
      </c>
      <c r="D5911" s="7" t="s">
        <v>313</v>
      </c>
      <c r="E5911" s="7" t="s">
        <v>156</v>
      </c>
      <c r="F5911" s="7" t="s">
        <v>184</v>
      </c>
      <c r="G5911" s="7" t="s">
        <v>505</v>
      </c>
      <c r="H5911" s="6" t="n">
        <v>4.19</v>
      </c>
      <c r="I5911" s="6" t="n">
        <v>0</v>
      </c>
      <c r="J5911" s="40" t="n">
        <f aca="false">H5911-I5911</f>
        <v>4.19</v>
      </c>
      <c r="K5911" s="41" t="n">
        <v>34</v>
      </c>
      <c r="L5911" s="42" t="n">
        <f aca="false">J5911*K5911</f>
        <v>142.46</v>
      </c>
      <c r="M5911" s="43" t="n">
        <f aca="false">H5911*17.34*(1+'Chart of Accounts'!$E$67)</f>
        <v>83.189517</v>
      </c>
    </row>
    <row r="5912" customFormat="false" ht="15" hidden="false" customHeight="false" outlineLevel="0" collapsed="false">
      <c r="B5912" s="7" t="s">
        <v>6409</v>
      </c>
      <c r="C5912" s="39" t="n">
        <v>45936</v>
      </c>
      <c r="D5912" s="7" t="s">
        <v>315</v>
      </c>
      <c r="E5912" s="7" t="s">
        <v>159</v>
      </c>
      <c r="F5912" s="7" t="s">
        <v>216</v>
      </c>
      <c r="G5912" s="7" t="s">
        <v>502</v>
      </c>
      <c r="H5912" s="6" t="n">
        <v>0.93</v>
      </c>
      <c r="I5912" s="6" t="n">
        <v>0</v>
      </c>
      <c r="J5912" s="40" t="n">
        <f aca="false">H5912-I5912</f>
        <v>0.93</v>
      </c>
      <c r="K5912" s="41" t="n">
        <v>135</v>
      </c>
      <c r="L5912" s="42" t="n">
        <f aca="false">J5912*K5912</f>
        <v>125.55</v>
      </c>
      <c r="M5912" s="43" t="n">
        <f aca="false">H5912*61.79*(1+'Chart of Accounts'!$E$67)</f>
        <v>65.7970815</v>
      </c>
    </row>
    <row r="5913" customFormat="false" ht="15" hidden="false" customHeight="false" outlineLevel="0" collapsed="false">
      <c r="B5913" s="7" t="s">
        <v>6410</v>
      </c>
      <c r="C5913" s="39" t="n">
        <v>45936</v>
      </c>
      <c r="D5913" s="7" t="s">
        <v>317</v>
      </c>
      <c r="E5913" s="7" t="s">
        <v>156</v>
      </c>
      <c r="F5913" s="7" t="s">
        <v>194</v>
      </c>
      <c r="G5913" s="7" t="s">
        <v>505</v>
      </c>
      <c r="H5913" s="6" t="n">
        <v>3.14</v>
      </c>
      <c r="I5913" s="6" t="n">
        <v>0</v>
      </c>
      <c r="J5913" s="40" t="n">
        <f aca="false">H5913-I5913</f>
        <v>3.14</v>
      </c>
      <c r="K5913" s="41" t="n">
        <v>34</v>
      </c>
      <c r="L5913" s="42" t="n">
        <f aca="false">J5913*K5913</f>
        <v>106.76</v>
      </c>
      <c r="M5913" s="43" t="n">
        <f aca="false">H5913*16*(1+'Chart of Accounts'!$E$67)</f>
        <v>57.5248</v>
      </c>
    </row>
    <row r="5914" customFormat="false" ht="15" hidden="false" customHeight="false" outlineLevel="0" collapsed="false">
      <c r="B5914" s="7" t="s">
        <v>6411</v>
      </c>
      <c r="C5914" s="39" t="n">
        <v>45936</v>
      </c>
      <c r="D5914" s="7" t="s">
        <v>321</v>
      </c>
      <c r="E5914" s="7" t="s">
        <v>154</v>
      </c>
      <c r="F5914" s="7" t="s">
        <v>218</v>
      </c>
      <c r="G5914" s="7" t="s">
        <v>505</v>
      </c>
      <c r="H5914" s="6" t="n">
        <v>3.84</v>
      </c>
      <c r="I5914" s="6" t="n">
        <v>0</v>
      </c>
      <c r="J5914" s="40" t="n">
        <f aca="false">H5914-I5914</f>
        <v>3.84</v>
      </c>
      <c r="K5914" s="41" t="n">
        <v>26.5</v>
      </c>
      <c r="L5914" s="42" t="n">
        <f aca="false">J5914*K5914</f>
        <v>101.76</v>
      </c>
      <c r="M5914" s="43" t="n">
        <f aca="false">H5914*16.19*(1+'Chart of Accounts'!$E$67)</f>
        <v>71.184192</v>
      </c>
    </row>
    <row r="5915" customFormat="false" ht="15" hidden="false" customHeight="false" outlineLevel="0" collapsed="false">
      <c r="B5915" s="7" t="s">
        <v>6412</v>
      </c>
      <c r="C5915" s="39" t="n">
        <v>45936</v>
      </c>
      <c r="D5915" s="7" t="s">
        <v>325</v>
      </c>
      <c r="E5915" s="7" t="s">
        <v>154</v>
      </c>
      <c r="F5915" s="7" t="s">
        <v>194</v>
      </c>
      <c r="G5915" s="7" t="s">
        <v>505</v>
      </c>
      <c r="H5915" s="6" t="n">
        <v>3.24</v>
      </c>
      <c r="I5915" s="6" t="n">
        <v>0</v>
      </c>
      <c r="J5915" s="40" t="n">
        <f aca="false">H5915-I5915</f>
        <v>3.24</v>
      </c>
      <c r="K5915" s="41" t="n">
        <v>26.5</v>
      </c>
      <c r="L5915" s="42" t="n">
        <f aca="false">J5915*K5915</f>
        <v>85.86</v>
      </c>
      <c r="M5915" s="43" t="n">
        <f aca="false">H5915*16*(1+'Chart of Accounts'!$E$67)</f>
        <v>59.3568</v>
      </c>
    </row>
    <row r="5916" customFormat="false" ht="15" hidden="false" customHeight="false" outlineLevel="0" collapsed="false">
      <c r="B5916" s="7" t="s">
        <v>6413</v>
      </c>
      <c r="C5916" s="39" t="n">
        <v>45936</v>
      </c>
      <c r="D5916" s="7" t="s">
        <v>329</v>
      </c>
      <c r="E5916" s="7" t="s">
        <v>156</v>
      </c>
      <c r="F5916" s="7" t="s">
        <v>220</v>
      </c>
      <c r="G5916" s="7" t="s">
        <v>505</v>
      </c>
      <c r="H5916" s="6" t="n">
        <v>4.34</v>
      </c>
      <c r="I5916" s="6" t="n">
        <v>0</v>
      </c>
      <c r="J5916" s="40" t="n">
        <f aca="false">H5916-I5916</f>
        <v>4.34</v>
      </c>
      <c r="K5916" s="41" t="n">
        <v>34</v>
      </c>
      <c r="L5916" s="42" t="n">
        <f aca="false">J5916*K5916</f>
        <v>147.56</v>
      </c>
      <c r="M5916" s="43" t="n">
        <f aca="false">H5916*16.43*(1+'Chart of Accounts'!$E$67)</f>
        <v>81.645599</v>
      </c>
    </row>
    <row r="5917" customFormat="false" ht="15" hidden="false" customHeight="false" outlineLevel="0" collapsed="false">
      <c r="B5917" s="7" t="s">
        <v>6414</v>
      </c>
      <c r="C5917" s="39" t="n">
        <v>45936</v>
      </c>
      <c r="D5917" s="7" t="s">
        <v>331</v>
      </c>
      <c r="E5917" s="7" t="s">
        <v>156</v>
      </c>
      <c r="F5917" s="7" t="s">
        <v>224</v>
      </c>
      <c r="G5917" s="7" t="s">
        <v>505</v>
      </c>
      <c r="H5917" s="6" t="n">
        <v>4.33</v>
      </c>
      <c r="I5917" s="6" t="n">
        <v>0</v>
      </c>
      <c r="J5917" s="40" t="n">
        <f aca="false">H5917-I5917</f>
        <v>4.33</v>
      </c>
      <c r="K5917" s="41" t="n">
        <v>34</v>
      </c>
      <c r="L5917" s="42" t="n">
        <f aca="false">J5917*K5917</f>
        <v>147.22</v>
      </c>
      <c r="M5917" s="43" t="n">
        <f aca="false">H5917*14.93*(1+'Chart of Accounts'!$E$67)</f>
        <v>74.0207005</v>
      </c>
    </row>
    <row r="5918" customFormat="false" ht="15" hidden="false" customHeight="false" outlineLevel="0" collapsed="false">
      <c r="B5918" s="7" t="s">
        <v>6415</v>
      </c>
      <c r="C5918" s="39" t="n">
        <v>45936</v>
      </c>
      <c r="D5918" s="7" t="s">
        <v>333</v>
      </c>
      <c r="E5918" s="7" t="s">
        <v>154</v>
      </c>
      <c r="F5918" s="7" t="s">
        <v>236</v>
      </c>
      <c r="G5918" s="7" t="s">
        <v>505</v>
      </c>
      <c r="H5918" s="6" t="n">
        <v>3.07</v>
      </c>
      <c r="I5918" s="6" t="n">
        <v>0</v>
      </c>
      <c r="J5918" s="40" t="n">
        <f aca="false">H5918-I5918</f>
        <v>3.07</v>
      </c>
      <c r="K5918" s="41" t="n">
        <v>26.5</v>
      </c>
      <c r="L5918" s="42" t="n">
        <f aca="false">J5918*K5918</f>
        <v>81.355</v>
      </c>
      <c r="M5918" s="43" t="n">
        <f aca="false">H5918*15.49*(1+'Chart of Accounts'!$E$67)</f>
        <v>54.4496735</v>
      </c>
    </row>
    <row r="5919" customFormat="false" ht="15" hidden="false" customHeight="false" outlineLevel="0" collapsed="false">
      <c r="B5919" s="7" t="s">
        <v>6416</v>
      </c>
      <c r="C5919" s="39" t="n">
        <v>45936</v>
      </c>
      <c r="D5919" s="7" t="s">
        <v>335</v>
      </c>
      <c r="E5919" s="7" t="s">
        <v>154</v>
      </c>
      <c r="F5919" s="7" t="s">
        <v>177</v>
      </c>
      <c r="G5919" s="7" t="s">
        <v>505</v>
      </c>
      <c r="H5919" s="6" t="n">
        <v>3.94</v>
      </c>
      <c r="I5919" s="6" t="n">
        <v>0</v>
      </c>
      <c r="J5919" s="40" t="n">
        <f aca="false">H5919-I5919</f>
        <v>3.94</v>
      </c>
      <c r="K5919" s="41" t="n">
        <v>26.5</v>
      </c>
      <c r="L5919" s="42" t="n">
        <f aca="false">J5919*K5919</f>
        <v>104.41</v>
      </c>
      <c r="M5919" s="43" t="n">
        <f aca="false">H5919*14.56*(1+'Chart of Accounts'!$E$67)</f>
        <v>65.684528</v>
      </c>
    </row>
    <row r="5920" customFormat="false" ht="15" hidden="false" customHeight="false" outlineLevel="0" collapsed="false">
      <c r="B5920" s="7" t="s">
        <v>6417</v>
      </c>
      <c r="C5920" s="39" t="n">
        <v>45936</v>
      </c>
      <c r="D5920" s="7" t="s">
        <v>339</v>
      </c>
      <c r="E5920" s="7" t="s">
        <v>154</v>
      </c>
      <c r="F5920" s="7" t="s">
        <v>242</v>
      </c>
      <c r="G5920" s="7" t="s">
        <v>505</v>
      </c>
      <c r="H5920" s="6" t="n">
        <v>3.66</v>
      </c>
      <c r="I5920" s="6" t="n">
        <v>0.11</v>
      </c>
      <c r="J5920" s="40" t="n">
        <f aca="false">H5920-I5920</f>
        <v>3.55</v>
      </c>
      <c r="K5920" s="41" t="n">
        <v>26.5</v>
      </c>
      <c r="L5920" s="42" t="n">
        <f aca="false">J5920*K5920</f>
        <v>94.075</v>
      </c>
      <c r="M5920" s="43" t="n">
        <f aca="false">H5920*17.99*(1+'Chart of Accounts'!$E$67)</f>
        <v>75.390693</v>
      </c>
    </row>
    <row r="5921" customFormat="false" ht="15" hidden="false" customHeight="false" outlineLevel="0" collapsed="false">
      <c r="B5921" s="7" t="s">
        <v>6418</v>
      </c>
      <c r="C5921" s="39" t="n">
        <v>45936</v>
      </c>
      <c r="D5921" s="7" t="s">
        <v>341</v>
      </c>
      <c r="E5921" s="7" t="s">
        <v>156</v>
      </c>
      <c r="F5921" s="7" t="s">
        <v>222</v>
      </c>
      <c r="G5921" s="7" t="s">
        <v>505</v>
      </c>
      <c r="H5921" s="6" t="n">
        <v>2.81</v>
      </c>
      <c r="I5921" s="6" t="n">
        <v>0</v>
      </c>
      <c r="J5921" s="40" t="n">
        <f aca="false">H5921-I5921</f>
        <v>2.81</v>
      </c>
      <c r="K5921" s="41" t="n">
        <v>34</v>
      </c>
      <c r="L5921" s="42" t="n">
        <f aca="false">J5921*K5921</f>
        <v>95.54</v>
      </c>
      <c r="M5921" s="43" t="n">
        <f aca="false">H5921*17.84*(1+'Chart of Accounts'!$E$67)</f>
        <v>57.399308</v>
      </c>
    </row>
    <row r="5922" customFormat="false" ht="15" hidden="false" customHeight="false" outlineLevel="0" collapsed="false">
      <c r="B5922" s="7" t="s">
        <v>6419</v>
      </c>
      <c r="C5922" s="39" t="n">
        <v>45936</v>
      </c>
      <c r="D5922" s="7" t="s">
        <v>343</v>
      </c>
      <c r="E5922" s="7" t="s">
        <v>154</v>
      </c>
      <c r="F5922" s="7" t="s">
        <v>238</v>
      </c>
      <c r="G5922" s="7" t="s">
        <v>505</v>
      </c>
      <c r="H5922" s="6" t="n">
        <v>4.02</v>
      </c>
      <c r="I5922" s="6" t="n">
        <v>0</v>
      </c>
      <c r="J5922" s="40" t="n">
        <f aca="false">H5922-I5922</f>
        <v>4.02</v>
      </c>
      <c r="K5922" s="41" t="n">
        <v>26.5</v>
      </c>
      <c r="L5922" s="42" t="n">
        <f aca="false">J5922*K5922</f>
        <v>106.53</v>
      </c>
      <c r="M5922" s="43" t="n">
        <f aca="false">H5922*15.85*(1+'Chart of Accounts'!$E$67)</f>
        <v>72.955965</v>
      </c>
    </row>
    <row r="5923" customFormat="false" ht="15" hidden="false" customHeight="false" outlineLevel="0" collapsed="false">
      <c r="B5923" s="7" t="s">
        <v>6420</v>
      </c>
      <c r="C5923" s="39" t="n">
        <v>45936</v>
      </c>
      <c r="D5923" s="7" t="s">
        <v>347</v>
      </c>
      <c r="E5923" s="7" t="s">
        <v>154</v>
      </c>
      <c r="F5923" s="7" t="s">
        <v>238</v>
      </c>
      <c r="G5923" s="7" t="s">
        <v>505</v>
      </c>
      <c r="H5923" s="6" t="n">
        <v>4.31</v>
      </c>
      <c r="I5923" s="6" t="n">
        <v>0</v>
      </c>
      <c r="J5923" s="40" t="n">
        <f aca="false">H5923-I5923</f>
        <v>4.31</v>
      </c>
      <c r="K5923" s="41" t="n">
        <v>26.5</v>
      </c>
      <c r="L5923" s="42" t="n">
        <f aca="false">J5923*K5923</f>
        <v>114.215</v>
      </c>
      <c r="M5923" s="43" t="n">
        <f aca="false">H5923*15.85*(1+'Chart of Accounts'!$E$67)</f>
        <v>78.2189575</v>
      </c>
    </row>
    <row r="5924" customFormat="false" ht="15" hidden="false" customHeight="false" outlineLevel="0" collapsed="false">
      <c r="B5924" s="7" t="s">
        <v>6421</v>
      </c>
      <c r="C5924" s="39" t="n">
        <v>45936</v>
      </c>
      <c r="D5924" s="7" t="s">
        <v>349</v>
      </c>
      <c r="E5924" s="7" t="s">
        <v>154</v>
      </c>
      <c r="F5924" s="7" t="s">
        <v>244</v>
      </c>
      <c r="G5924" s="7" t="s">
        <v>505</v>
      </c>
      <c r="H5924" s="6" t="n">
        <v>4.39</v>
      </c>
      <c r="I5924" s="6" t="n">
        <v>0</v>
      </c>
      <c r="J5924" s="40" t="n">
        <f aca="false">H5924-I5924</f>
        <v>4.39</v>
      </c>
      <c r="K5924" s="41" t="n">
        <v>26.5</v>
      </c>
      <c r="L5924" s="42" t="n">
        <f aca="false">J5924*K5924</f>
        <v>116.335</v>
      </c>
      <c r="M5924" s="43" t="n">
        <f aca="false">H5924*16.39*(1+'Chart of Accounts'!$E$67)</f>
        <v>82.3851545</v>
      </c>
    </row>
    <row r="5925" customFormat="false" ht="15" hidden="false" customHeight="false" outlineLevel="0" collapsed="false">
      <c r="B5925" s="7" t="s">
        <v>6422</v>
      </c>
      <c r="C5925" s="39" t="n">
        <v>45936</v>
      </c>
      <c r="D5925" s="7" t="s">
        <v>351</v>
      </c>
      <c r="E5925" s="7" t="s">
        <v>154</v>
      </c>
      <c r="F5925" s="7" t="s">
        <v>201</v>
      </c>
      <c r="G5925" s="7" t="s">
        <v>505</v>
      </c>
      <c r="H5925" s="6" t="n">
        <v>2.87</v>
      </c>
      <c r="I5925" s="6" t="n">
        <v>0</v>
      </c>
      <c r="J5925" s="40" t="n">
        <f aca="false">H5925-I5925</f>
        <v>2.87</v>
      </c>
      <c r="K5925" s="41" t="n">
        <v>26.5</v>
      </c>
      <c r="L5925" s="42" t="n">
        <f aca="false">J5925*K5925</f>
        <v>76.055</v>
      </c>
      <c r="M5925" s="43" t="n">
        <f aca="false">H5925*15.19*(1+'Chart of Accounts'!$E$67)</f>
        <v>49.9166185</v>
      </c>
    </row>
    <row r="5926" customFormat="false" ht="15" hidden="false" customHeight="false" outlineLevel="0" collapsed="false">
      <c r="B5926" s="7" t="s">
        <v>6423</v>
      </c>
      <c r="C5926" s="39" t="n">
        <v>45936</v>
      </c>
      <c r="D5926" s="7" t="s">
        <v>355</v>
      </c>
      <c r="E5926" s="7" t="s">
        <v>154</v>
      </c>
      <c r="F5926" s="7" t="s">
        <v>201</v>
      </c>
      <c r="G5926" s="7" t="s">
        <v>505</v>
      </c>
      <c r="H5926" s="6" t="n">
        <v>3.44</v>
      </c>
      <c r="I5926" s="6" t="n">
        <v>0</v>
      </c>
      <c r="J5926" s="40" t="n">
        <f aca="false">H5926-I5926</f>
        <v>3.44</v>
      </c>
      <c r="K5926" s="41" t="n">
        <v>26.5</v>
      </c>
      <c r="L5926" s="42" t="n">
        <f aca="false">J5926*K5926</f>
        <v>91.16</v>
      </c>
      <c r="M5926" s="43" t="n">
        <f aca="false">H5926*15.19*(1+'Chart of Accounts'!$E$67)</f>
        <v>59.830372</v>
      </c>
    </row>
    <row r="5927" customFormat="false" ht="15" hidden="false" customHeight="false" outlineLevel="0" collapsed="false">
      <c r="B5927" s="7" t="s">
        <v>6424</v>
      </c>
      <c r="C5927" s="39" t="n">
        <v>45936</v>
      </c>
      <c r="D5927" s="7" t="s">
        <v>357</v>
      </c>
      <c r="E5927" s="7" t="s">
        <v>154</v>
      </c>
      <c r="F5927" s="7" t="s">
        <v>196</v>
      </c>
      <c r="G5927" s="7" t="s">
        <v>505</v>
      </c>
      <c r="H5927" s="6" t="n">
        <v>3.38</v>
      </c>
      <c r="I5927" s="6" t="n">
        <v>0</v>
      </c>
      <c r="J5927" s="40" t="n">
        <f aca="false">H5927-I5927</f>
        <v>3.38</v>
      </c>
      <c r="K5927" s="41" t="n">
        <v>26.5</v>
      </c>
      <c r="L5927" s="42" t="n">
        <f aca="false">J5927*K5927</f>
        <v>89.57</v>
      </c>
      <c r="M5927" s="43" t="n">
        <f aca="false">H5927*15.05*(1+'Chart of Accounts'!$E$67)</f>
        <v>58.245005</v>
      </c>
    </row>
    <row r="5928" customFormat="false" ht="15" hidden="false" customHeight="false" outlineLevel="0" collapsed="false">
      <c r="B5928" s="7" t="s">
        <v>6425</v>
      </c>
      <c r="C5928" s="39" t="n">
        <v>45936</v>
      </c>
      <c r="D5928" s="7" t="s">
        <v>359</v>
      </c>
      <c r="E5928" s="7" t="s">
        <v>156</v>
      </c>
      <c r="F5928" s="7" t="s">
        <v>201</v>
      </c>
      <c r="G5928" s="7" t="s">
        <v>505</v>
      </c>
      <c r="H5928" s="6" t="n">
        <v>4.06</v>
      </c>
      <c r="I5928" s="6" t="n">
        <v>0</v>
      </c>
      <c r="J5928" s="40" t="n">
        <f aca="false">H5928-I5928</f>
        <v>4.06</v>
      </c>
      <c r="K5928" s="41" t="n">
        <v>34</v>
      </c>
      <c r="L5928" s="42" t="n">
        <f aca="false">J5928*K5928</f>
        <v>138.04</v>
      </c>
      <c r="M5928" s="43" t="n">
        <f aca="false">H5928*15.19*(1+'Chart of Accounts'!$E$67)</f>
        <v>70.613753</v>
      </c>
    </row>
    <row r="5929" customFormat="false" ht="15" hidden="false" customHeight="false" outlineLevel="0" collapsed="false">
      <c r="B5929" s="7" t="s">
        <v>6426</v>
      </c>
      <c r="C5929" s="39" t="n">
        <v>45936</v>
      </c>
      <c r="D5929" s="7" t="s">
        <v>363</v>
      </c>
      <c r="E5929" s="7" t="s">
        <v>156</v>
      </c>
      <c r="F5929" s="7" t="s">
        <v>246</v>
      </c>
      <c r="G5929" s="7" t="s">
        <v>505</v>
      </c>
      <c r="H5929" s="6" t="n">
        <v>3.94</v>
      </c>
      <c r="I5929" s="6" t="n">
        <v>0</v>
      </c>
      <c r="J5929" s="40" t="n">
        <f aca="false">H5929-I5929</f>
        <v>3.94</v>
      </c>
      <c r="K5929" s="41" t="n">
        <v>34</v>
      </c>
      <c r="L5929" s="42" t="n">
        <f aca="false">J5929*K5929</f>
        <v>133.96</v>
      </c>
      <c r="M5929" s="43" t="n">
        <f aca="false">H5929*16.48*(1+'Chart of Accounts'!$E$67)</f>
        <v>74.346224</v>
      </c>
    </row>
    <row r="5930" customFormat="false" ht="15" hidden="false" customHeight="false" outlineLevel="0" collapsed="false">
      <c r="B5930" s="7" t="s">
        <v>6427</v>
      </c>
      <c r="C5930" s="39" t="n">
        <v>45936</v>
      </c>
      <c r="D5930" s="7" t="s">
        <v>365</v>
      </c>
      <c r="E5930" s="7" t="s">
        <v>154</v>
      </c>
      <c r="F5930" s="7" t="s">
        <v>194</v>
      </c>
      <c r="G5930" s="7" t="s">
        <v>505</v>
      </c>
      <c r="H5930" s="6" t="n">
        <v>4.26</v>
      </c>
      <c r="I5930" s="6" t="n">
        <v>0</v>
      </c>
      <c r="J5930" s="40" t="n">
        <f aca="false">H5930-I5930</f>
        <v>4.26</v>
      </c>
      <c r="K5930" s="41" t="n">
        <v>26.5</v>
      </c>
      <c r="L5930" s="42" t="n">
        <f aca="false">J5930*K5930</f>
        <v>112.89</v>
      </c>
      <c r="M5930" s="43" t="n">
        <f aca="false">H5930*16*(1+'Chart of Accounts'!$E$67)</f>
        <v>78.0432</v>
      </c>
    </row>
    <row r="5931" customFormat="false" ht="15" hidden="false" customHeight="false" outlineLevel="0" collapsed="false">
      <c r="B5931" s="7" t="s">
        <v>6428</v>
      </c>
      <c r="C5931" s="39" t="n">
        <v>45936</v>
      </c>
      <c r="D5931" s="7" t="s">
        <v>371</v>
      </c>
      <c r="E5931" s="7" t="s">
        <v>154</v>
      </c>
      <c r="F5931" s="7" t="s">
        <v>232</v>
      </c>
      <c r="G5931" s="7" t="s">
        <v>505</v>
      </c>
      <c r="H5931" s="6" t="n">
        <v>4.81</v>
      </c>
      <c r="I5931" s="6" t="n">
        <v>0</v>
      </c>
      <c r="J5931" s="40" t="n">
        <f aca="false">H5931-I5931</f>
        <v>4.81</v>
      </c>
      <c r="K5931" s="41" t="n">
        <v>26.5</v>
      </c>
      <c r="L5931" s="42" t="n">
        <f aca="false">J5931*K5931</f>
        <v>127.465</v>
      </c>
      <c r="M5931" s="43" t="n">
        <f aca="false">H5931*16.17*(1+'Chart of Accounts'!$E$67)</f>
        <v>89.0554665</v>
      </c>
    </row>
    <row r="5932" customFormat="false" ht="15" hidden="false" customHeight="false" outlineLevel="0" collapsed="false">
      <c r="B5932" s="7" t="s">
        <v>6429</v>
      </c>
      <c r="C5932" s="39" t="n">
        <v>45936</v>
      </c>
      <c r="D5932" s="7" t="s">
        <v>375</v>
      </c>
      <c r="E5932" s="7" t="s">
        <v>156</v>
      </c>
      <c r="F5932" s="7" t="s">
        <v>196</v>
      </c>
      <c r="G5932" s="7" t="s">
        <v>505</v>
      </c>
      <c r="H5932" s="6" t="n">
        <v>2.71</v>
      </c>
      <c r="I5932" s="6" t="n">
        <v>0</v>
      </c>
      <c r="J5932" s="40" t="n">
        <f aca="false">H5932-I5932</f>
        <v>2.71</v>
      </c>
      <c r="K5932" s="41" t="n">
        <v>34</v>
      </c>
      <c r="L5932" s="42" t="n">
        <f aca="false">J5932*K5932</f>
        <v>92.14</v>
      </c>
      <c r="M5932" s="43" t="n">
        <f aca="false">H5932*15.05*(1+'Chart of Accounts'!$E$67)</f>
        <v>46.6993975</v>
      </c>
    </row>
    <row r="5933" customFormat="false" ht="15" hidden="false" customHeight="false" outlineLevel="0" collapsed="false">
      <c r="B5933" s="7" t="s">
        <v>6430</v>
      </c>
      <c r="C5933" s="39" t="n">
        <v>45936</v>
      </c>
      <c r="D5933" s="7" t="s">
        <v>377</v>
      </c>
      <c r="E5933" s="7" t="s">
        <v>154</v>
      </c>
      <c r="F5933" s="7" t="s">
        <v>214</v>
      </c>
      <c r="G5933" s="7" t="s">
        <v>505</v>
      </c>
      <c r="H5933" s="6" t="n">
        <v>3.61</v>
      </c>
      <c r="I5933" s="6" t="n">
        <v>0</v>
      </c>
      <c r="J5933" s="40" t="n">
        <f aca="false">H5933-I5933</f>
        <v>3.61</v>
      </c>
      <c r="K5933" s="41" t="n">
        <v>26.5</v>
      </c>
      <c r="L5933" s="42" t="n">
        <f aca="false">J5933*K5933</f>
        <v>95.665</v>
      </c>
      <c r="M5933" s="43" t="n">
        <f aca="false">H5933*15.67*(1+'Chart of Accounts'!$E$67)</f>
        <v>64.7711615</v>
      </c>
    </row>
    <row r="5934" customFormat="false" ht="15" hidden="false" customHeight="false" outlineLevel="0" collapsed="false">
      <c r="B5934" s="7" t="s">
        <v>6431</v>
      </c>
      <c r="C5934" s="39" t="n">
        <v>45936</v>
      </c>
      <c r="D5934" s="7" t="s">
        <v>379</v>
      </c>
      <c r="E5934" s="7" t="s">
        <v>156</v>
      </c>
      <c r="F5934" s="7" t="s">
        <v>224</v>
      </c>
      <c r="G5934" s="7" t="s">
        <v>505</v>
      </c>
      <c r="H5934" s="6" t="n">
        <v>4.32</v>
      </c>
      <c r="I5934" s="6" t="n">
        <v>0</v>
      </c>
      <c r="J5934" s="40" t="n">
        <f aca="false">H5934-I5934</f>
        <v>4.32</v>
      </c>
      <c r="K5934" s="41" t="n">
        <v>34</v>
      </c>
      <c r="L5934" s="42" t="n">
        <f aca="false">J5934*K5934</f>
        <v>146.88</v>
      </c>
      <c r="M5934" s="43" t="n">
        <f aca="false">H5934*14.93*(1+'Chart of Accounts'!$E$67)</f>
        <v>73.849752</v>
      </c>
    </row>
    <row r="5935" customFormat="false" ht="15" hidden="false" customHeight="false" outlineLevel="0" collapsed="false">
      <c r="B5935" s="7" t="s">
        <v>6432</v>
      </c>
      <c r="C5935" s="39" t="n">
        <v>45936</v>
      </c>
      <c r="D5935" s="7" t="s">
        <v>385</v>
      </c>
      <c r="E5935" s="7" t="s">
        <v>156</v>
      </c>
      <c r="F5935" s="7" t="s">
        <v>238</v>
      </c>
      <c r="G5935" s="7" t="s">
        <v>505</v>
      </c>
      <c r="H5935" s="6" t="n">
        <v>3.7</v>
      </c>
      <c r="I5935" s="6" t="n">
        <v>0</v>
      </c>
      <c r="J5935" s="40" t="n">
        <f aca="false">H5935-I5935</f>
        <v>3.7</v>
      </c>
      <c r="K5935" s="41" t="n">
        <v>34</v>
      </c>
      <c r="L5935" s="42" t="n">
        <f aca="false">J5935*K5935</f>
        <v>125.8</v>
      </c>
      <c r="M5935" s="43" t="n">
        <f aca="false">H5935*15.85*(1+'Chart of Accounts'!$E$67)</f>
        <v>67.148525</v>
      </c>
    </row>
    <row r="5936" customFormat="false" ht="15" hidden="false" customHeight="false" outlineLevel="0" collapsed="false">
      <c r="B5936" s="7" t="s">
        <v>6433</v>
      </c>
      <c r="C5936" s="39" t="n">
        <v>45936</v>
      </c>
      <c r="D5936" s="7" t="s">
        <v>387</v>
      </c>
      <c r="E5936" s="7" t="s">
        <v>154</v>
      </c>
      <c r="F5936" s="7" t="s">
        <v>196</v>
      </c>
      <c r="G5936" s="7" t="s">
        <v>505</v>
      </c>
      <c r="H5936" s="6" t="n">
        <v>3.66</v>
      </c>
      <c r="I5936" s="6" t="n">
        <v>0</v>
      </c>
      <c r="J5936" s="40" t="n">
        <f aca="false">H5936-I5936</f>
        <v>3.66</v>
      </c>
      <c r="K5936" s="41" t="n">
        <v>26.5</v>
      </c>
      <c r="L5936" s="42" t="n">
        <f aca="false">J5936*K5936</f>
        <v>96.99</v>
      </c>
      <c r="M5936" s="43" t="n">
        <f aca="false">H5936*15.05*(1+'Chart of Accounts'!$E$67)</f>
        <v>63.070035</v>
      </c>
    </row>
    <row r="5937" customFormat="false" ht="15" hidden="false" customHeight="false" outlineLevel="0" collapsed="false">
      <c r="B5937" s="7" t="s">
        <v>6434</v>
      </c>
      <c r="C5937" s="39" t="n">
        <v>45936</v>
      </c>
      <c r="D5937" s="7" t="s">
        <v>389</v>
      </c>
      <c r="E5937" s="7" t="s">
        <v>154</v>
      </c>
      <c r="F5937" s="7" t="s">
        <v>246</v>
      </c>
      <c r="G5937" s="7" t="s">
        <v>505</v>
      </c>
      <c r="H5937" s="6" t="n">
        <v>3.7</v>
      </c>
      <c r="I5937" s="6" t="n">
        <v>0</v>
      </c>
      <c r="J5937" s="40" t="n">
        <f aca="false">H5937-I5937</f>
        <v>3.7</v>
      </c>
      <c r="K5937" s="41" t="n">
        <v>26.5</v>
      </c>
      <c r="L5937" s="42" t="n">
        <f aca="false">J5937*K5937</f>
        <v>98.05</v>
      </c>
      <c r="M5937" s="43" t="n">
        <f aca="false">H5937*16.48*(1+'Chart of Accounts'!$E$67)</f>
        <v>69.81752</v>
      </c>
    </row>
    <row r="5938" customFormat="false" ht="15" hidden="false" customHeight="false" outlineLevel="0" collapsed="false">
      <c r="B5938" s="7" t="s">
        <v>6435</v>
      </c>
      <c r="C5938" s="39" t="n">
        <v>45936</v>
      </c>
      <c r="D5938" s="7" t="s">
        <v>391</v>
      </c>
      <c r="E5938" s="7" t="s">
        <v>156</v>
      </c>
      <c r="F5938" s="7" t="s">
        <v>222</v>
      </c>
      <c r="G5938" s="7" t="s">
        <v>505</v>
      </c>
      <c r="H5938" s="6" t="n">
        <v>3.71</v>
      </c>
      <c r="I5938" s="6" t="n">
        <v>0</v>
      </c>
      <c r="J5938" s="40" t="n">
        <f aca="false">H5938-I5938</f>
        <v>3.71</v>
      </c>
      <c r="K5938" s="41" t="n">
        <v>34</v>
      </c>
      <c r="L5938" s="42" t="n">
        <f aca="false">J5938*K5938</f>
        <v>126.14</v>
      </c>
      <c r="M5938" s="43" t="n">
        <f aca="false">H5938*17.84*(1+'Chart of Accounts'!$E$67)</f>
        <v>75.783428</v>
      </c>
    </row>
    <row r="5939" customFormat="false" ht="15" hidden="false" customHeight="false" outlineLevel="0" collapsed="false">
      <c r="B5939" s="7" t="s">
        <v>6436</v>
      </c>
      <c r="C5939" s="39" t="n">
        <v>45936</v>
      </c>
      <c r="D5939" s="7" t="s">
        <v>395</v>
      </c>
      <c r="E5939" s="7" t="s">
        <v>156</v>
      </c>
      <c r="F5939" s="7" t="s">
        <v>242</v>
      </c>
      <c r="G5939" s="7" t="s">
        <v>505</v>
      </c>
      <c r="H5939" s="6" t="n">
        <v>3.79</v>
      </c>
      <c r="I5939" s="6" t="n">
        <v>0</v>
      </c>
      <c r="J5939" s="40" t="n">
        <f aca="false">H5939-I5939</f>
        <v>3.79</v>
      </c>
      <c r="K5939" s="41" t="n">
        <v>34</v>
      </c>
      <c r="L5939" s="42" t="n">
        <f aca="false">J5939*K5939</f>
        <v>128.86</v>
      </c>
      <c r="M5939" s="43" t="n">
        <f aca="false">H5939*17.99*(1+'Chart of Accounts'!$E$67)</f>
        <v>78.0685045</v>
      </c>
    </row>
    <row r="5940" customFormat="false" ht="15" hidden="false" customHeight="false" outlineLevel="0" collapsed="false">
      <c r="B5940" s="7" t="s">
        <v>6437</v>
      </c>
      <c r="C5940" s="39" t="n">
        <v>45936</v>
      </c>
      <c r="D5940" s="7" t="s">
        <v>399</v>
      </c>
      <c r="E5940" s="7" t="s">
        <v>154</v>
      </c>
      <c r="F5940" s="7" t="s">
        <v>246</v>
      </c>
      <c r="G5940" s="7" t="s">
        <v>505</v>
      </c>
      <c r="H5940" s="6" t="n">
        <v>3.46</v>
      </c>
      <c r="I5940" s="6" t="n">
        <v>0</v>
      </c>
      <c r="J5940" s="40" t="n">
        <f aca="false">H5940-I5940</f>
        <v>3.46</v>
      </c>
      <c r="K5940" s="41" t="n">
        <v>26.5</v>
      </c>
      <c r="L5940" s="42" t="n">
        <f aca="false">J5940*K5940</f>
        <v>91.69</v>
      </c>
      <c r="M5940" s="43" t="n">
        <f aca="false">H5940*16.48*(1+'Chart of Accounts'!$E$67)</f>
        <v>65.288816</v>
      </c>
    </row>
    <row r="5941" customFormat="false" ht="15" hidden="false" customHeight="false" outlineLevel="0" collapsed="false">
      <c r="B5941" s="7" t="s">
        <v>6438</v>
      </c>
      <c r="C5941" s="39" t="n">
        <v>45936</v>
      </c>
      <c r="D5941" s="7" t="s">
        <v>401</v>
      </c>
      <c r="E5941" s="7" t="s">
        <v>156</v>
      </c>
      <c r="F5941" s="7" t="s">
        <v>254</v>
      </c>
      <c r="G5941" s="7" t="s">
        <v>505</v>
      </c>
      <c r="H5941" s="6" t="n">
        <v>4.28</v>
      </c>
      <c r="I5941" s="6" t="n">
        <v>0</v>
      </c>
      <c r="J5941" s="40" t="n">
        <f aca="false">H5941-I5941</f>
        <v>4.28</v>
      </c>
      <c r="K5941" s="41" t="n">
        <v>34</v>
      </c>
      <c r="L5941" s="42" t="n">
        <f aca="false">J5941*K5941</f>
        <v>145.52</v>
      </c>
      <c r="M5941" s="43" t="n">
        <f aca="false">H5941*17.1*(1+'Chart of Accounts'!$E$67)</f>
        <v>83.80026</v>
      </c>
    </row>
    <row r="5942" customFormat="false" ht="15" hidden="false" customHeight="false" outlineLevel="0" collapsed="false">
      <c r="B5942" s="7" t="s">
        <v>6439</v>
      </c>
      <c r="C5942" s="39" t="n">
        <v>45936</v>
      </c>
      <c r="D5942" s="7" t="s">
        <v>403</v>
      </c>
      <c r="E5942" s="7" t="s">
        <v>156</v>
      </c>
      <c r="F5942" s="7" t="s">
        <v>184</v>
      </c>
      <c r="G5942" s="7" t="s">
        <v>505</v>
      </c>
      <c r="H5942" s="6" t="n">
        <v>3.86</v>
      </c>
      <c r="I5942" s="6" t="n">
        <v>0</v>
      </c>
      <c r="J5942" s="40" t="n">
        <f aca="false">H5942-I5942</f>
        <v>3.86</v>
      </c>
      <c r="K5942" s="41" t="n">
        <v>34</v>
      </c>
      <c r="L5942" s="42" t="n">
        <f aca="false">J5942*K5942</f>
        <v>131.24</v>
      </c>
      <c r="M5942" s="43" t="n">
        <f aca="false">H5942*17.34*(1+'Chart of Accounts'!$E$67)</f>
        <v>76.637598</v>
      </c>
    </row>
    <row r="5943" customFormat="false" ht="15" hidden="false" customHeight="false" outlineLevel="0" collapsed="false">
      <c r="B5943" s="7" t="s">
        <v>6440</v>
      </c>
      <c r="C5943" s="39" t="n">
        <v>45936</v>
      </c>
      <c r="D5943" s="7" t="s">
        <v>409</v>
      </c>
      <c r="E5943" s="7" t="s">
        <v>154</v>
      </c>
      <c r="F5943" s="7" t="s">
        <v>214</v>
      </c>
      <c r="G5943" s="7" t="s">
        <v>505</v>
      </c>
      <c r="H5943" s="6" t="n">
        <v>3.48</v>
      </c>
      <c r="I5943" s="6" t="n">
        <v>0.104</v>
      </c>
      <c r="J5943" s="40" t="n">
        <f aca="false">H5943-I5943</f>
        <v>3.376</v>
      </c>
      <c r="K5943" s="41" t="n">
        <v>26.5</v>
      </c>
      <c r="L5943" s="42" t="n">
        <f aca="false">J5943*K5943</f>
        <v>89.464</v>
      </c>
      <c r="M5943" s="43" t="n">
        <f aca="false">H5943*15.67*(1+'Chart of Accounts'!$E$67)</f>
        <v>62.438682</v>
      </c>
    </row>
    <row r="5944" customFormat="false" ht="15" hidden="false" customHeight="false" outlineLevel="0" collapsed="false">
      <c r="B5944" s="7" t="s">
        <v>6441</v>
      </c>
      <c r="C5944" s="39" t="n">
        <v>45936</v>
      </c>
      <c r="D5944" s="7" t="s">
        <v>411</v>
      </c>
      <c r="E5944" s="7" t="s">
        <v>154</v>
      </c>
      <c r="F5944" s="7" t="s">
        <v>177</v>
      </c>
      <c r="G5944" s="7" t="s">
        <v>505</v>
      </c>
      <c r="H5944" s="6" t="n">
        <v>4.52</v>
      </c>
      <c r="I5944" s="6" t="n">
        <v>0</v>
      </c>
      <c r="J5944" s="40" t="n">
        <f aca="false">H5944-I5944</f>
        <v>4.52</v>
      </c>
      <c r="K5944" s="41" t="n">
        <v>26.5</v>
      </c>
      <c r="L5944" s="42" t="n">
        <f aca="false">J5944*K5944</f>
        <v>119.78</v>
      </c>
      <c r="M5944" s="43" t="n">
        <f aca="false">H5944*14.56*(1+'Chart of Accounts'!$E$67)</f>
        <v>75.353824</v>
      </c>
    </row>
    <row r="5945" customFormat="false" ht="15" hidden="false" customHeight="false" outlineLevel="0" collapsed="false">
      <c r="B5945" s="7" t="s">
        <v>6442</v>
      </c>
      <c r="C5945" s="39" t="n">
        <v>45937</v>
      </c>
      <c r="D5945" s="7" t="s">
        <v>288</v>
      </c>
      <c r="E5945" s="7" t="s">
        <v>156</v>
      </c>
      <c r="F5945" s="7" t="s">
        <v>236</v>
      </c>
      <c r="G5945" s="7" t="s">
        <v>505</v>
      </c>
      <c r="H5945" s="6" t="n">
        <v>4</v>
      </c>
      <c r="I5945" s="6" t="n">
        <v>0</v>
      </c>
      <c r="J5945" s="40" t="n">
        <f aca="false">H5945-I5945</f>
        <v>4</v>
      </c>
      <c r="K5945" s="41" t="n">
        <v>34</v>
      </c>
      <c r="L5945" s="42" t="n">
        <f aca="false">J5945*K5945</f>
        <v>136</v>
      </c>
      <c r="M5945" s="43" t="n">
        <f aca="false">H5945*15.49*(1+'Chart of Accounts'!$E$67)</f>
        <v>70.9442</v>
      </c>
    </row>
    <row r="5946" customFormat="false" ht="15" hidden="false" customHeight="false" outlineLevel="0" collapsed="false">
      <c r="B5946" s="7" t="s">
        <v>6443</v>
      </c>
      <c r="C5946" s="39" t="n">
        <v>45937</v>
      </c>
      <c r="D5946" s="7" t="s">
        <v>293</v>
      </c>
      <c r="E5946" s="7" t="s">
        <v>157</v>
      </c>
      <c r="F5946" s="7" t="s">
        <v>198</v>
      </c>
      <c r="G5946" s="7" t="s">
        <v>502</v>
      </c>
      <c r="H5946" s="6" t="n">
        <v>0.99</v>
      </c>
      <c r="I5946" s="6" t="n">
        <v>0</v>
      </c>
      <c r="J5946" s="40" t="n">
        <f aca="false">H5946-I5946</f>
        <v>0.99</v>
      </c>
      <c r="K5946" s="41" t="n">
        <v>165</v>
      </c>
      <c r="L5946" s="42" t="n">
        <f aca="false">J5946*K5946</f>
        <v>163.35</v>
      </c>
      <c r="M5946" s="43" t="n">
        <f aca="false">H5946*48.09*(1+'Chart of Accounts'!$E$67)</f>
        <v>54.5124195</v>
      </c>
    </row>
    <row r="5947" customFormat="false" ht="15" hidden="false" customHeight="false" outlineLevel="0" collapsed="false">
      <c r="B5947" s="7" t="s">
        <v>6444</v>
      </c>
      <c r="C5947" s="39" t="n">
        <v>45937</v>
      </c>
      <c r="D5947" s="7" t="s">
        <v>301</v>
      </c>
      <c r="E5947" s="7" t="s">
        <v>157</v>
      </c>
      <c r="F5947" s="7" t="s">
        <v>209</v>
      </c>
      <c r="G5947" s="7" t="s">
        <v>502</v>
      </c>
      <c r="H5947" s="6" t="n">
        <v>1.04</v>
      </c>
      <c r="I5947" s="6" t="n">
        <v>0</v>
      </c>
      <c r="J5947" s="40" t="n">
        <f aca="false">H5947-I5947</f>
        <v>1.04</v>
      </c>
      <c r="K5947" s="41" t="n">
        <v>165</v>
      </c>
      <c r="L5947" s="42" t="n">
        <f aca="false">J5947*K5947</f>
        <v>171.6</v>
      </c>
      <c r="M5947" s="43" t="n">
        <f aca="false">H5947*73.58*(1+'Chart of Accounts'!$E$67)</f>
        <v>87.619064</v>
      </c>
    </row>
    <row r="5948" customFormat="false" ht="15" hidden="false" customHeight="false" outlineLevel="0" collapsed="false">
      <c r="B5948" s="7" t="s">
        <v>6445</v>
      </c>
      <c r="C5948" s="39" t="n">
        <v>45937</v>
      </c>
      <c r="D5948" s="7" t="s">
        <v>313</v>
      </c>
      <c r="E5948" s="7" t="s">
        <v>156</v>
      </c>
      <c r="F5948" s="7" t="s">
        <v>184</v>
      </c>
      <c r="G5948" s="7" t="s">
        <v>505</v>
      </c>
      <c r="H5948" s="6" t="n">
        <v>3.88</v>
      </c>
      <c r="I5948" s="6" t="n">
        <v>0</v>
      </c>
      <c r="J5948" s="40" t="n">
        <f aca="false">H5948-I5948</f>
        <v>3.88</v>
      </c>
      <c r="K5948" s="41" t="n">
        <v>34</v>
      </c>
      <c r="L5948" s="42" t="n">
        <f aca="false">J5948*K5948</f>
        <v>131.92</v>
      </c>
      <c r="M5948" s="43" t="n">
        <f aca="false">H5948*17.34*(1+'Chart of Accounts'!$E$67)</f>
        <v>77.034684</v>
      </c>
    </row>
    <row r="5949" customFormat="false" ht="15" hidden="false" customHeight="false" outlineLevel="0" collapsed="false">
      <c r="B5949" s="7" t="s">
        <v>6446</v>
      </c>
      <c r="C5949" s="39" t="n">
        <v>45937</v>
      </c>
      <c r="D5949" s="7" t="s">
        <v>319</v>
      </c>
      <c r="E5949" s="7" t="s">
        <v>157</v>
      </c>
      <c r="F5949" s="7" t="s">
        <v>234</v>
      </c>
      <c r="G5949" s="7" t="s">
        <v>502</v>
      </c>
      <c r="H5949" s="6" t="n">
        <v>0.9</v>
      </c>
      <c r="I5949" s="6" t="n">
        <v>0</v>
      </c>
      <c r="J5949" s="40" t="n">
        <f aca="false">H5949-I5949</f>
        <v>0.9</v>
      </c>
      <c r="K5949" s="41" t="n">
        <v>165</v>
      </c>
      <c r="L5949" s="42" t="n">
        <f aca="false">J5949*K5949</f>
        <v>148.5</v>
      </c>
      <c r="M5949" s="43" t="n">
        <f aca="false">H5949*89.53*(1+'Chart of Accounts'!$E$67)</f>
        <v>92.260665</v>
      </c>
    </row>
    <row r="5950" customFormat="false" ht="15" hidden="false" customHeight="false" outlineLevel="0" collapsed="false">
      <c r="B5950" s="7" t="s">
        <v>6447</v>
      </c>
      <c r="C5950" s="39" t="n">
        <v>45937</v>
      </c>
      <c r="D5950" s="7" t="s">
        <v>321</v>
      </c>
      <c r="E5950" s="7" t="s">
        <v>154</v>
      </c>
      <c r="F5950" s="7" t="s">
        <v>218</v>
      </c>
      <c r="G5950" s="7" t="s">
        <v>505</v>
      </c>
      <c r="H5950" s="6" t="n">
        <v>4.3</v>
      </c>
      <c r="I5950" s="6" t="n">
        <v>0</v>
      </c>
      <c r="J5950" s="40" t="n">
        <f aca="false">H5950-I5950</f>
        <v>4.3</v>
      </c>
      <c r="K5950" s="41" t="n">
        <v>26.5</v>
      </c>
      <c r="L5950" s="42" t="n">
        <f aca="false">J5950*K5950</f>
        <v>113.95</v>
      </c>
      <c r="M5950" s="43" t="n">
        <f aca="false">H5950*16.19*(1+'Chart of Accounts'!$E$67)</f>
        <v>79.711465</v>
      </c>
    </row>
    <row r="5951" customFormat="false" ht="15" hidden="false" customHeight="false" outlineLevel="0" collapsed="false">
      <c r="B5951" s="7" t="s">
        <v>6448</v>
      </c>
      <c r="C5951" s="39" t="n">
        <v>45937</v>
      </c>
      <c r="D5951" s="7" t="s">
        <v>323</v>
      </c>
      <c r="E5951" s="7" t="s">
        <v>159</v>
      </c>
      <c r="F5951" s="7" t="s">
        <v>216</v>
      </c>
      <c r="G5951" s="7" t="s">
        <v>502</v>
      </c>
      <c r="H5951" s="6" t="n">
        <v>0.92</v>
      </c>
      <c r="I5951" s="6" t="n">
        <v>0</v>
      </c>
      <c r="J5951" s="40" t="n">
        <f aca="false">H5951-I5951</f>
        <v>0.92</v>
      </c>
      <c r="K5951" s="41" t="n">
        <v>135</v>
      </c>
      <c r="L5951" s="42" t="n">
        <f aca="false">J5951*K5951</f>
        <v>124.2</v>
      </c>
      <c r="M5951" s="43" t="n">
        <f aca="false">H5951*61.79*(1+'Chart of Accounts'!$E$67)</f>
        <v>65.089586</v>
      </c>
    </row>
    <row r="5952" customFormat="false" ht="15" hidden="false" customHeight="false" outlineLevel="0" collapsed="false">
      <c r="B5952" s="7" t="s">
        <v>6449</v>
      </c>
      <c r="C5952" s="39" t="n">
        <v>45937</v>
      </c>
      <c r="D5952" s="7" t="s">
        <v>327</v>
      </c>
      <c r="E5952" s="7" t="s">
        <v>157</v>
      </c>
      <c r="F5952" s="7" t="s">
        <v>228</v>
      </c>
      <c r="G5952" s="7" t="s">
        <v>502</v>
      </c>
      <c r="H5952" s="6" t="n">
        <v>0.95</v>
      </c>
      <c r="I5952" s="6" t="n">
        <v>0</v>
      </c>
      <c r="J5952" s="40" t="n">
        <f aca="false">H5952-I5952</f>
        <v>0.95</v>
      </c>
      <c r="K5952" s="41" t="n">
        <v>165</v>
      </c>
      <c r="L5952" s="42" t="n">
        <f aca="false">J5952*K5952</f>
        <v>156.75</v>
      </c>
      <c r="M5952" s="43" t="n">
        <f aca="false">H5952*51.07*(1+'Chart of Accounts'!$E$67)</f>
        <v>55.5513925</v>
      </c>
    </row>
    <row r="5953" customFormat="false" ht="15" hidden="false" customHeight="false" outlineLevel="0" collapsed="false">
      <c r="B5953" s="7" t="s">
        <v>6450</v>
      </c>
      <c r="C5953" s="39" t="n">
        <v>45937</v>
      </c>
      <c r="D5953" s="7" t="s">
        <v>329</v>
      </c>
      <c r="E5953" s="7" t="s">
        <v>156</v>
      </c>
      <c r="F5953" s="7" t="s">
        <v>220</v>
      </c>
      <c r="G5953" s="7" t="s">
        <v>505</v>
      </c>
      <c r="H5953" s="6" t="n">
        <v>4.26</v>
      </c>
      <c r="I5953" s="6" t="n">
        <v>0</v>
      </c>
      <c r="J5953" s="40" t="n">
        <f aca="false">H5953-I5953</f>
        <v>4.26</v>
      </c>
      <c r="K5953" s="41" t="n">
        <v>34</v>
      </c>
      <c r="L5953" s="42" t="n">
        <f aca="false">J5953*K5953</f>
        <v>144.84</v>
      </c>
      <c r="M5953" s="43" t="n">
        <f aca="false">H5953*16.43*(1+'Chart of Accounts'!$E$67)</f>
        <v>80.140611</v>
      </c>
    </row>
    <row r="5954" customFormat="false" ht="15" hidden="false" customHeight="false" outlineLevel="0" collapsed="false">
      <c r="B5954" s="7" t="s">
        <v>6451</v>
      </c>
      <c r="C5954" s="39" t="n">
        <v>45937</v>
      </c>
      <c r="D5954" s="7" t="s">
        <v>349</v>
      </c>
      <c r="E5954" s="7" t="s">
        <v>154</v>
      </c>
      <c r="F5954" s="7" t="s">
        <v>244</v>
      </c>
      <c r="G5954" s="7" t="s">
        <v>505</v>
      </c>
      <c r="H5954" s="6" t="n">
        <v>3.75</v>
      </c>
      <c r="I5954" s="6" t="n">
        <v>0</v>
      </c>
      <c r="J5954" s="40" t="n">
        <f aca="false">H5954-I5954</f>
        <v>3.75</v>
      </c>
      <c r="K5954" s="41" t="n">
        <v>26.5</v>
      </c>
      <c r="L5954" s="42" t="n">
        <f aca="false">J5954*K5954</f>
        <v>99.375</v>
      </c>
      <c r="M5954" s="43" t="n">
        <f aca="false">H5954*16.39*(1+'Chart of Accounts'!$E$67)</f>
        <v>70.3745625</v>
      </c>
    </row>
    <row r="5955" customFormat="false" ht="15" hidden="false" customHeight="false" outlineLevel="0" collapsed="false">
      <c r="B5955" s="7" t="s">
        <v>6452</v>
      </c>
      <c r="C5955" s="39" t="n">
        <v>45937</v>
      </c>
      <c r="D5955" s="7" t="s">
        <v>359</v>
      </c>
      <c r="E5955" s="7" t="s">
        <v>156</v>
      </c>
      <c r="F5955" s="7" t="s">
        <v>236</v>
      </c>
      <c r="G5955" s="7" t="s">
        <v>505</v>
      </c>
      <c r="H5955" s="6" t="n">
        <v>3.68</v>
      </c>
      <c r="I5955" s="6" t="n">
        <v>0</v>
      </c>
      <c r="J5955" s="40" t="n">
        <f aca="false">H5955-I5955</f>
        <v>3.68</v>
      </c>
      <c r="K5955" s="41" t="n">
        <v>34</v>
      </c>
      <c r="L5955" s="42" t="n">
        <f aca="false">J5955*K5955</f>
        <v>125.12</v>
      </c>
      <c r="M5955" s="43" t="n">
        <f aca="false">H5955*15.49*(1+'Chart of Accounts'!$E$67)</f>
        <v>65.268664</v>
      </c>
    </row>
    <row r="5956" customFormat="false" ht="15" hidden="false" customHeight="false" outlineLevel="0" collapsed="false">
      <c r="B5956" s="7" t="s">
        <v>6453</v>
      </c>
      <c r="C5956" s="39" t="n">
        <v>45937</v>
      </c>
      <c r="D5956" s="7" t="s">
        <v>361</v>
      </c>
      <c r="E5956" s="7" t="s">
        <v>157</v>
      </c>
      <c r="F5956" s="7" t="s">
        <v>209</v>
      </c>
      <c r="G5956" s="7" t="s">
        <v>502</v>
      </c>
      <c r="H5956" s="6" t="n">
        <v>1.02</v>
      </c>
      <c r="I5956" s="6" t="n">
        <v>0</v>
      </c>
      <c r="J5956" s="40" t="n">
        <f aca="false">H5956-I5956</f>
        <v>1.02</v>
      </c>
      <c r="K5956" s="41" t="n">
        <v>165</v>
      </c>
      <c r="L5956" s="42" t="n">
        <f aca="false">J5956*K5956</f>
        <v>168.3</v>
      </c>
      <c r="M5956" s="43" t="n">
        <f aca="false">H5956*73.58*(1+'Chart of Accounts'!$E$67)</f>
        <v>85.934082</v>
      </c>
    </row>
    <row r="5957" customFormat="false" ht="15" hidden="false" customHeight="false" outlineLevel="0" collapsed="false">
      <c r="B5957" s="7" t="s">
        <v>6454</v>
      </c>
      <c r="C5957" s="39" t="n">
        <v>45937</v>
      </c>
      <c r="D5957" s="7" t="s">
        <v>365</v>
      </c>
      <c r="E5957" s="7" t="s">
        <v>154</v>
      </c>
      <c r="F5957" s="7" t="s">
        <v>194</v>
      </c>
      <c r="G5957" s="7" t="s">
        <v>505</v>
      </c>
      <c r="H5957" s="6" t="n">
        <v>4.33</v>
      </c>
      <c r="I5957" s="6" t="n">
        <v>0</v>
      </c>
      <c r="J5957" s="40" t="n">
        <f aca="false">H5957-I5957</f>
        <v>4.33</v>
      </c>
      <c r="K5957" s="41" t="n">
        <v>26.5</v>
      </c>
      <c r="L5957" s="42" t="n">
        <f aca="false">J5957*K5957</f>
        <v>114.745</v>
      </c>
      <c r="M5957" s="43" t="n">
        <f aca="false">H5957*16*(1+'Chart of Accounts'!$E$67)</f>
        <v>79.3256</v>
      </c>
    </row>
    <row r="5958" customFormat="false" ht="15" hidden="false" customHeight="false" outlineLevel="0" collapsed="false">
      <c r="B5958" s="7" t="s">
        <v>6455</v>
      </c>
      <c r="C5958" s="39" t="n">
        <v>45937</v>
      </c>
      <c r="D5958" s="7" t="s">
        <v>369</v>
      </c>
      <c r="E5958" s="7" t="s">
        <v>159</v>
      </c>
      <c r="F5958" s="7" t="s">
        <v>258</v>
      </c>
      <c r="G5958" s="7" t="s">
        <v>502</v>
      </c>
      <c r="H5958" s="6" t="n">
        <v>0.91</v>
      </c>
      <c r="I5958" s="6" t="n">
        <v>0</v>
      </c>
      <c r="J5958" s="40" t="n">
        <f aca="false">H5958-I5958</f>
        <v>0.91</v>
      </c>
      <c r="K5958" s="41" t="n">
        <v>135</v>
      </c>
      <c r="L5958" s="42" t="n">
        <f aca="false">J5958*K5958</f>
        <v>122.85</v>
      </c>
      <c r="M5958" s="43" t="n">
        <f aca="false">H5958*61.61*(1+'Chart of Accounts'!$E$67)</f>
        <v>64.1945395</v>
      </c>
    </row>
    <row r="5959" customFormat="false" ht="15" hidden="false" customHeight="false" outlineLevel="0" collapsed="false">
      <c r="B5959" s="7" t="s">
        <v>6456</v>
      </c>
      <c r="C5959" s="39" t="n">
        <v>45937</v>
      </c>
      <c r="D5959" s="7" t="s">
        <v>381</v>
      </c>
      <c r="E5959" s="7" t="s">
        <v>157</v>
      </c>
      <c r="F5959" s="7" t="s">
        <v>234</v>
      </c>
      <c r="G5959" s="7" t="s">
        <v>502</v>
      </c>
      <c r="H5959" s="6" t="n">
        <v>1.1</v>
      </c>
      <c r="I5959" s="6" t="n">
        <v>0</v>
      </c>
      <c r="J5959" s="40" t="n">
        <f aca="false">H5959-I5959</f>
        <v>1.1</v>
      </c>
      <c r="K5959" s="41" t="n">
        <v>165</v>
      </c>
      <c r="L5959" s="42" t="n">
        <f aca="false">J5959*K5959</f>
        <v>181.5</v>
      </c>
      <c r="M5959" s="43" t="n">
        <f aca="false">H5959*89.53*(1+'Chart of Accounts'!$E$67)</f>
        <v>112.763035</v>
      </c>
    </row>
    <row r="5960" customFormat="false" ht="15" hidden="false" customHeight="false" outlineLevel="0" collapsed="false">
      <c r="B5960" s="7" t="s">
        <v>6457</v>
      </c>
      <c r="C5960" s="39" t="n">
        <v>45937</v>
      </c>
      <c r="D5960" s="7" t="s">
        <v>383</v>
      </c>
      <c r="E5960" s="7" t="s">
        <v>157</v>
      </c>
      <c r="F5960" s="7" t="s">
        <v>230</v>
      </c>
      <c r="G5960" s="7" t="s">
        <v>502</v>
      </c>
      <c r="H5960" s="6" t="n">
        <v>0.97</v>
      </c>
      <c r="I5960" s="6" t="n">
        <v>0</v>
      </c>
      <c r="J5960" s="40" t="n">
        <f aca="false">H5960-I5960</f>
        <v>0.97</v>
      </c>
      <c r="K5960" s="41" t="n">
        <v>165</v>
      </c>
      <c r="L5960" s="42" t="n">
        <f aca="false">J5960*K5960</f>
        <v>160.05</v>
      </c>
      <c r="M5960" s="43" t="n">
        <f aca="false">H5960*48.78*(1+'Chart of Accounts'!$E$67)</f>
        <v>54.177507</v>
      </c>
    </row>
    <row r="5961" customFormat="false" ht="15" hidden="false" customHeight="false" outlineLevel="0" collapsed="false">
      <c r="B5961" s="7" t="s">
        <v>6458</v>
      </c>
      <c r="C5961" s="39" t="n">
        <v>45937</v>
      </c>
      <c r="D5961" s="7" t="s">
        <v>387</v>
      </c>
      <c r="E5961" s="7" t="s">
        <v>154</v>
      </c>
      <c r="F5961" s="7" t="s">
        <v>196</v>
      </c>
      <c r="G5961" s="7" t="s">
        <v>505</v>
      </c>
      <c r="H5961" s="6" t="n">
        <v>3.67</v>
      </c>
      <c r="I5961" s="6" t="n">
        <v>0</v>
      </c>
      <c r="J5961" s="40" t="n">
        <f aca="false">H5961-I5961</f>
        <v>3.67</v>
      </c>
      <c r="K5961" s="41" t="n">
        <v>26.5</v>
      </c>
      <c r="L5961" s="42" t="n">
        <f aca="false">J5961*K5961</f>
        <v>97.255</v>
      </c>
      <c r="M5961" s="43" t="n">
        <f aca="false">H5961*15.05*(1+'Chart of Accounts'!$E$67)</f>
        <v>63.2423575</v>
      </c>
    </row>
    <row r="5962" customFormat="false" ht="15" hidden="false" customHeight="false" outlineLevel="0" collapsed="false">
      <c r="B5962" s="7" t="s">
        <v>6459</v>
      </c>
      <c r="C5962" s="39" t="n">
        <v>45937</v>
      </c>
      <c r="D5962" s="7" t="s">
        <v>389</v>
      </c>
      <c r="E5962" s="7" t="s">
        <v>154</v>
      </c>
      <c r="F5962" s="7" t="s">
        <v>246</v>
      </c>
      <c r="G5962" s="7" t="s">
        <v>505</v>
      </c>
      <c r="H5962" s="6" t="n">
        <v>4.25</v>
      </c>
      <c r="I5962" s="6" t="n">
        <v>0.128</v>
      </c>
      <c r="J5962" s="40" t="n">
        <f aca="false">H5962-I5962</f>
        <v>4.122</v>
      </c>
      <c r="K5962" s="41" t="n">
        <v>26.5</v>
      </c>
      <c r="L5962" s="42" t="n">
        <f aca="false">J5962*K5962</f>
        <v>109.233</v>
      </c>
      <c r="M5962" s="43" t="n">
        <f aca="false">H5962*16.48*(1+'Chart of Accounts'!$E$67)</f>
        <v>80.1958</v>
      </c>
    </row>
    <row r="5963" customFormat="false" ht="15" hidden="false" customHeight="false" outlineLevel="0" collapsed="false">
      <c r="B5963" s="7" t="s">
        <v>6460</v>
      </c>
      <c r="C5963" s="39" t="n">
        <v>45937</v>
      </c>
      <c r="D5963" s="7" t="s">
        <v>391</v>
      </c>
      <c r="E5963" s="7" t="s">
        <v>156</v>
      </c>
      <c r="F5963" s="7" t="s">
        <v>222</v>
      </c>
      <c r="G5963" s="7" t="s">
        <v>505</v>
      </c>
      <c r="H5963" s="6" t="n">
        <v>4.31</v>
      </c>
      <c r="I5963" s="6" t="n">
        <v>0</v>
      </c>
      <c r="J5963" s="40" t="n">
        <f aca="false">H5963-I5963</f>
        <v>4.31</v>
      </c>
      <c r="K5963" s="41" t="n">
        <v>34</v>
      </c>
      <c r="L5963" s="42" t="n">
        <f aca="false">J5963*K5963</f>
        <v>146.54</v>
      </c>
      <c r="M5963" s="43" t="n">
        <f aca="false">H5963*17.84*(1+'Chart of Accounts'!$E$67)</f>
        <v>88.039508</v>
      </c>
    </row>
    <row r="5964" customFormat="false" ht="15" hidden="false" customHeight="false" outlineLevel="0" collapsed="false">
      <c r="B5964" s="7" t="s">
        <v>6461</v>
      </c>
      <c r="C5964" s="39" t="n">
        <v>45937</v>
      </c>
      <c r="D5964" s="7" t="s">
        <v>395</v>
      </c>
      <c r="E5964" s="7" t="s">
        <v>156</v>
      </c>
      <c r="F5964" s="7" t="s">
        <v>242</v>
      </c>
      <c r="G5964" s="7" t="s">
        <v>505</v>
      </c>
      <c r="H5964" s="6" t="n">
        <v>4.37</v>
      </c>
      <c r="I5964" s="6" t="n">
        <v>0</v>
      </c>
      <c r="J5964" s="40" t="n">
        <f aca="false">H5964-I5964</f>
        <v>4.37</v>
      </c>
      <c r="K5964" s="41" t="n">
        <v>34</v>
      </c>
      <c r="L5964" s="42" t="n">
        <f aca="false">J5964*K5964</f>
        <v>148.58</v>
      </c>
      <c r="M5964" s="43" t="n">
        <f aca="false">H5964*17.99*(1+'Chart of Accounts'!$E$67)</f>
        <v>90.0156635</v>
      </c>
    </row>
    <row r="5965" customFormat="false" ht="15" hidden="false" customHeight="false" outlineLevel="0" collapsed="false">
      <c r="B5965" s="7" t="s">
        <v>6462</v>
      </c>
      <c r="C5965" s="39" t="n">
        <v>45937</v>
      </c>
      <c r="D5965" s="7" t="s">
        <v>397</v>
      </c>
      <c r="E5965" s="7" t="s">
        <v>159</v>
      </c>
      <c r="F5965" s="7" t="s">
        <v>203</v>
      </c>
      <c r="G5965" s="7" t="s">
        <v>502</v>
      </c>
      <c r="H5965" s="6" t="n">
        <v>0.97</v>
      </c>
      <c r="I5965" s="6" t="n">
        <v>0</v>
      </c>
      <c r="J5965" s="40" t="n">
        <f aca="false">H5965-I5965</f>
        <v>0.97</v>
      </c>
      <c r="K5965" s="41" t="n">
        <v>135</v>
      </c>
      <c r="L5965" s="42" t="n">
        <f aca="false">J5965*K5965</f>
        <v>130.95</v>
      </c>
      <c r="M5965" s="43" t="n">
        <f aca="false">H5965*49.43*(1+'Chart of Accounts'!$E$67)</f>
        <v>54.8994295</v>
      </c>
    </row>
    <row r="5966" customFormat="false" ht="15" hidden="false" customHeight="false" outlineLevel="0" collapsed="false">
      <c r="B5966" s="7" t="s">
        <v>6463</v>
      </c>
      <c r="C5966" s="39" t="n">
        <v>45937</v>
      </c>
      <c r="D5966" s="7" t="s">
        <v>401</v>
      </c>
      <c r="E5966" s="7" t="s">
        <v>156</v>
      </c>
      <c r="F5966" s="7" t="s">
        <v>254</v>
      </c>
      <c r="G5966" s="7" t="s">
        <v>505</v>
      </c>
      <c r="H5966" s="6" t="n">
        <v>3.84</v>
      </c>
      <c r="I5966" s="6" t="n">
        <v>0</v>
      </c>
      <c r="J5966" s="40" t="n">
        <f aca="false">H5966-I5966</f>
        <v>3.84</v>
      </c>
      <c r="K5966" s="41" t="n">
        <v>34</v>
      </c>
      <c r="L5966" s="42" t="n">
        <f aca="false">J5966*K5966</f>
        <v>130.56</v>
      </c>
      <c r="M5966" s="43" t="n">
        <f aca="false">H5966*17.1*(1+'Chart of Accounts'!$E$67)</f>
        <v>75.18528</v>
      </c>
    </row>
    <row r="5967" customFormat="false" ht="15" hidden="false" customHeight="false" outlineLevel="0" collapsed="false">
      <c r="B5967" s="7" t="s">
        <v>6464</v>
      </c>
      <c r="C5967" s="39" t="n">
        <v>45937</v>
      </c>
      <c r="D5967" s="7" t="s">
        <v>407</v>
      </c>
      <c r="E5967" s="7" t="s">
        <v>159</v>
      </c>
      <c r="F5967" s="7" t="s">
        <v>260</v>
      </c>
      <c r="G5967" s="7" t="s">
        <v>502</v>
      </c>
      <c r="H5967" s="6" t="n">
        <v>0.97</v>
      </c>
      <c r="I5967" s="6" t="n">
        <v>0</v>
      </c>
      <c r="J5967" s="40" t="n">
        <f aca="false">H5967-I5967</f>
        <v>0.97</v>
      </c>
      <c r="K5967" s="41" t="n">
        <v>135</v>
      </c>
      <c r="L5967" s="42" t="n">
        <f aca="false">J5967*K5967</f>
        <v>130.95</v>
      </c>
      <c r="M5967" s="43" t="n">
        <f aca="false">H5967*79.8*(1+'Chart of Accounts'!$E$67)</f>
        <v>88.62987</v>
      </c>
    </row>
    <row r="5968" customFormat="false" ht="15" hidden="false" customHeight="false" outlineLevel="0" collapsed="false">
      <c r="B5968" s="7" t="s">
        <v>6465</v>
      </c>
      <c r="C5968" s="39" t="n">
        <v>45938</v>
      </c>
      <c r="D5968" s="7" t="s">
        <v>295</v>
      </c>
      <c r="E5968" s="7" t="s">
        <v>154</v>
      </c>
      <c r="F5968" s="7" t="s">
        <v>214</v>
      </c>
      <c r="G5968" s="7" t="s">
        <v>505</v>
      </c>
      <c r="H5968" s="6" t="n">
        <v>3.99</v>
      </c>
      <c r="I5968" s="6" t="n">
        <v>0.12</v>
      </c>
      <c r="J5968" s="40" t="n">
        <f aca="false">H5968-I5968</f>
        <v>3.87</v>
      </c>
      <c r="K5968" s="41" t="n">
        <v>26.5</v>
      </c>
      <c r="L5968" s="42" t="n">
        <f aca="false">J5968*K5968</f>
        <v>102.555</v>
      </c>
      <c r="M5968" s="43" t="n">
        <f aca="false">H5968*15.67*(1+'Chart of Accounts'!$E$67)</f>
        <v>71.5891785</v>
      </c>
    </row>
    <row r="5969" customFormat="false" ht="15" hidden="false" customHeight="false" outlineLevel="0" collapsed="false">
      <c r="B5969" s="7" t="s">
        <v>6466</v>
      </c>
      <c r="C5969" s="39" t="n">
        <v>45938</v>
      </c>
      <c r="D5969" s="7" t="s">
        <v>305</v>
      </c>
      <c r="E5969" s="7" t="s">
        <v>154</v>
      </c>
      <c r="F5969" s="7" t="s">
        <v>205</v>
      </c>
      <c r="G5969" s="7" t="s">
        <v>505</v>
      </c>
      <c r="H5969" s="6" t="n">
        <v>4.29</v>
      </c>
      <c r="I5969" s="6" t="n">
        <v>0</v>
      </c>
      <c r="J5969" s="40" t="n">
        <f aca="false">H5969-I5969</f>
        <v>4.29</v>
      </c>
      <c r="K5969" s="41" t="n">
        <v>26.5</v>
      </c>
      <c r="L5969" s="42" t="n">
        <f aca="false">J5969*K5969</f>
        <v>113.685</v>
      </c>
      <c r="M5969" s="43" t="n">
        <f aca="false">H5969*16.36*(1+'Chart of Accounts'!$E$67)</f>
        <v>80.361138</v>
      </c>
    </row>
    <row r="5970" customFormat="false" ht="15" hidden="false" customHeight="false" outlineLevel="0" collapsed="false">
      <c r="B5970" s="7" t="s">
        <v>6467</v>
      </c>
      <c r="C5970" s="39" t="n">
        <v>45938</v>
      </c>
      <c r="D5970" s="7" t="s">
        <v>307</v>
      </c>
      <c r="E5970" s="7" t="s">
        <v>157</v>
      </c>
      <c r="F5970" s="7" t="s">
        <v>264</v>
      </c>
      <c r="G5970" s="7" t="s">
        <v>502</v>
      </c>
      <c r="H5970" s="6" t="n">
        <v>0.95</v>
      </c>
      <c r="I5970" s="6" t="n">
        <v>0.048</v>
      </c>
      <c r="J5970" s="40" t="n">
        <f aca="false">H5970-I5970</f>
        <v>0.902</v>
      </c>
      <c r="K5970" s="41" t="n">
        <v>165</v>
      </c>
      <c r="L5970" s="42" t="n">
        <f aca="false">J5970*K5970</f>
        <v>148.83</v>
      </c>
      <c r="M5970" s="43" t="n">
        <f aca="false">H5970*55.55*(1+'Chart of Accounts'!$E$67)</f>
        <v>60.4245125</v>
      </c>
    </row>
    <row r="5971" customFormat="false" ht="15" hidden="false" customHeight="false" outlineLevel="0" collapsed="false">
      <c r="B5971" s="7" t="s">
        <v>6468</v>
      </c>
      <c r="C5971" s="39" t="n">
        <v>45938</v>
      </c>
      <c r="D5971" s="7" t="s">
        <v>309</v>
      </c>
      <c r="E5971" s="7" t="s">
        <v>159</v>
      </c>
      <c r="F5971" s="7" t="s">
        <v>252</v>
      </c>
      <c r="G5971" s="7" t="s">
        <v>502</v>
      </c>
      <c r="H5971" s="6" t="n">
        <v>1.05</v>
      </c>
      <c r="I5971" s="6" t="n">
        <v>0</v>
      </c>
      <c r="J5971" s="40" t="n">
        <f aca="false">H5971-I5971</f>
        <v>1.05</v>
      </c>
      <c r="K5971" s="41" t="n">
        <v>135</v>
      </c>
      <c r="L5971" s="42" t="n">
        <f aca="false">J5971*K5971</f>
        <v>141.75</v>
      </c>
      <c r="M5971" s="43" t="n">
        <f aca="false">H5971*57.54*(1+'Chart of Accounts'!$E$67)</f>
        <v>69.177465</v>
      </c>
    </row>
    <row r="5972" customFormat="false" ht="15" hidden="false" customHeight="false" outlineLevel="0" collapsed="false">
      <c r="B5972" s="7" t="s">
        <v>6469</v>
      </c>
      <c r="C5972" s="39" t="n">
        <v>45938</v>
      </c>
      <c r="D5972" s="7" t="s">
        <v>315</v>
      </c>
      <c r="E5972" s="7" t="s">
        <v>159</v>
      </c>
      <c r="F5972" s="7" t="s">
        <v>216</v>
      </c>
      <c r="G5972" s="7" t="s">
        <v>502</v>
      </c>
      <c r="H5972" s="6" t="n">
        <v>1.02</v>
      </c>
      <c r="I5972" s="6" t="n">
        <v>0</v>
      </c>
      <c r="J5972" s="40" t="n">
        <f aca="false">H5972-I5972</f>
        <v>1.02</v>
      </c>
      <c r="K5972" s="41" t="n">
        <v>135</v>
      </c>
      <c r="L5972" s="42" t="n">
        <f aca="false">J5972*K5972</f>
        <v>137.7</v>
      </c>
      <c r="M5972" s="43" t="n">
        <f aca="false">H5972*61.79*(1+'Chart of Accounts'!$E$67)</f>
        <v>72.164541</v>
      </c>
    </row>
    <row r="5973" customFormat="false" ht="15" hidden="false" customHeight="false" outlineLevel="0" collapsed="false">
      <c r="B5973" s="7" t="s">
        <v>6470</v>
      </c>
      <c r="C5973" s="39" t="n">
        <v>45938</v>
      </c>
      <c r="D5973" s="7" t="s">
        <v>321</v>
      </c>
      <c r="E5973" s="7" t="s">
        <v>154</v>
      </c>
      <c r="F5973" s="7" t="s">
        <v>218</v>
      </c>
      <c r="G5973" s="7" t="s">
        <v>505</v>
      </c>
      <c r="H5973" s="6" t="n">
        <v>3.81</v>
      </c>
      <c r="I5973" s="6" t="n">
        <v>0</v>
      </c>
      <c r="J5973" s="40" t="n">
        <f aca="false">H5973-I5973</f>
        <v>3.81</v>
      </c>
      <c r="K5973" s="41" t="n">
        <v>26.5</v>
      </c>
      <c r="L5973" s="42" t="n">
        <f aca="false">J5973*K5973</f>
        <v>100.965</v>
      </c>
      <c r="M5973" s="43" t="n">
        <f aca="false">H5973*16.19*(1+'Chart of Accounts'!$E$67)</f>
        <v>70.6280655</v>
      </c>
    </row>
    <row r="5974" customFormat="false" ht="15" hidden="false" customHeight="false" outlineLevel="0" collapsed="false">
      <c r="B5974" s="7" t="s">
        <v>6471</v>
      </c>
      <c r="C5974" s="39" t="n">
        <v>45938</v>
      </c>
      <c r="D5974" s="7" t="s">
        <v>329</v>
      </c>
      <c r="E5974" s="7" t="s">
        <v>156</v>
      </c>
      <c r="F5974" s="7" t="s">
        <v>220</v>
      </c>
      <c r="G5974" s="7" t="s">
        <v>505</v>
      </c>
      <c r="H5974" s="6" t="n">
        <v>4.29</v>
      </c>
      <c r="I5974" s="6" t="n">
        <v>0</v>
      </c>
      <c r="J5974" s="40" t="n">
        <f aca="false">H5974-I5974</f>
        <v>4.29</v>
      </c>
      <c r="K5974" s="41" t="n">
        <v>34</v>
      </c>
      <c r="L5974" s="42" t="n">
        <f aca="false">J5974*K5974</f>
        <v>145.86</v>
      </c>
      <c r="M5974" s="43" t="n">
        <f aca="false">H5974*16.43*(1+'Chart of Accounts'!$E$67)</f>
        <v>80.7049815</v>
      </c>
    </row>
    <row r="5975" customFormat="false" ht="15" hidden="false" customHeight="false" outlineLevel="0" collapsed="false">
      <c r="B5975" s="7" t="s">
        <v>6472</v>
      </c>
      <c r="C5975" s="39" t="n">
        <v>45938</v>
      </c>
      <c r="D5975" s="7" t="s">
        <v>333</v>
      </c>
      <c r="E5975" s="7" t="s">
        <v>154</v>
      </c>
      <c r="F5975" s="7" t="s">
        <v>236</v>
      </c>
      <c r="G5975" s="7" t="s">
        <v>505</v>
      </c>
      <c r="H5975" s="6" t="n">
        <v>3</v>
      </c>
      <c r="I5975" s="6" t="n">
        <v>0</v>
      </c>
      <c r="J5975" s="40" t="n">
        <f aca="false">H5975-I5975</f>
        <v>3</v>
      </c>
      <c r="K5975" s="41" t="n">
        <v>26.5</v>
      </c>
      <c r="L5975" s="42" t="n">
        <f aca="false">J5975*K5975</f>
        <v>79.5</v>
      </c>
      <c r="M5975" s="43" t="n">
        <f aca="false">H5975*15.49*(1+'Chart of Accounts'!$E$67)</f>
        <v>53.20815</v>
      </c>
    </row>
    <row r="5976" customFormat="false" ht="15" hidden="false" customHeight="false" outlineLevel="0" collapsed="false">
      <c r="B5976" s="7" t="s">
        <v>6473</v>
      </c>
      <c r="C5976" s="39" t="n">
        <v>45938</v>
      </c>
      <c r="D5976" s="7" t="s">
        <v>335</v>
      </c>
      <c r="E5976" s="7" t="s">
        <v>154</v>
      </c>
      <c r="F5976" s="7" t="s">
        <v>177</v>
      </c>
      <c r="G5976" s="7" t="s">
        <v>505</v>
      </c>
      <c r="H5976" s="6" t="n">
        <v>4.21</v>
      </c>
      <c r="I5976" s="6" t="n">
        <v>0</v>
      </c>
      <c r="J5976" s="40" t="n">
        <f aca="false">H5976-I5976</f>
        <v>4.21</v>
      </c>
      <c r="K5976" s="41" t="n">
        <v>26.5</v>
      </c>
      <c r="L5976" s="42" t="n">
        <f aca="false">J5976*K5976</f>
        <v>111.565</v>
      </c>
      <c r="M5976" s="43" t="n">
        <f aca="false">H5976*14.56*(1+'Chart of Accounts'!$E$67)</f>
        <v>70.185752</v>
      </c>
    </row>
    <row r="5977" customFormat="false" ht="15" hidden="false" customHeight="false" outlineLevel="0" collapsed="false">
      <c r="B5977" s="7" t="s">
        <v>6474</v>
      </c>
      <c r="C5977" s="39" t="n">
        <v>45938</v>
      </c>
      <c r="D5977" s="7" t="s">
        <v>339</v>
      </c>
      <c r="E5977" s="7" t="s">
        <v>154</v>
      </c>
      <c r="F5977" s="7" t="s">
        <v>242</v>
      </c>
      <c r="G5977" s="7" t="s">
        <v>505</v>
      </c>
      <c r="H5977" s="6" t="n">
        <v>3.3</v>
      </c>
      <c r="I5977" s="6" t="n">
        <v>0</v>
      </c>
      <c r="J5977" s="40" t="n">
        <f aca="false">H5977-I5977</f>
        <v>3.3</v>
      </c>
      <c r="K5977" s="41" t="n">
        <v>26.5</v>
      </c>
      <c r="L5977" s="42" t="n">
        <f aca="false">J5977*K5977</f>
        <v>87.45</v>
      </c>
      <c r="M5977" s="43" t="n">
        <f aca="false">H5977*17.99*(1+'Chart of Accounts'!$E$67)</f>
        <v>67.975215</v>
      </c>
    </row>
    <row r="5978" customFormat="false" ht="15" hidden="false" customHeight="false" outlineLevel="0" collapsed="false">
      <c r="B5978" s="7" t="s">
        <v>6475</v>
      </c>
      <c r="C5978" s="39" t="n">
        <v>45938</v>
      </c>
      <c r="D5978" s="7" t="s">
        <v>347</v>
      </c>
      <c r="E5978" s="7" t="s">
        <v>154</v>
      </c>
      <c r="F5978" s="7" t="s">
        <v>238</v>
      </c>
      <c r="G5978" s="7" t="s">
        <v>505</v>
      </c>
      <c r="H5978" s="6" t="n">
        <v>5.1</v>
      </c>
      <c r="I5978" s="6" t="n">
        <v>0</v>
      </c>
      <c r="J5978" s="40" t="n">
        <f aca="false">H5978-I5978</f>
        <v>5.1</v>
      </c>
      <c r="K5978" s="41" t="n">
        <v>26.5</v>
      </c>
      <c r="L5978" s="42" t="n">
        <f aca="false">J5978*K5978</f>
        <v>135.15</v>
      </c>
      <c r="M5978" s="43" t="n">
        <f aca="false">H5978*15.85*(1+'Chart of Accounts'!$E$67)</f>
        <v>92.556075</v>
      </c>
    </row>
    <row r="5979" customFormat="false" ht="15" hidden="false" customHeight="false" outlineLevel="0" collapsed="false">
      <c r="B5979" s="7" t="s">
        <v>6476</v>
      </c>
      <c r="C5979" s="39" t="n">
        <v>45938</v>
      </c>
      <c r="D5979" s="7" t="s">
        <v>349</v>
      </c>
      <c r="E5979" s="7" t="s">
        <v>154</v>
      </c>
      <c r="F5979" s="7" t="s">
        <v>244</v>
      </c>
      <c r="G5979" s="7" t="s">
        <v>505</v>
      </c>
      <c r="H5979" s="6" t="n">
        <v>4.26</v>
      </c>
      <c r="I5979" s="6" t="n">
        <v>0</v>
      </c>
      <c r="J5979" s="40" t="n">
        <f aca="false">H5979-I5979</f>
        <v>4.26</v>
      </c>
      <c r="K5979" s="41" t="n">
        <v>26.5</v>
      </c>
      <c r="L5979" s="42" t="n">
        <f aca="false">J5979*K5979</f>
        <v>112.89</v>
      </c>
      <c r="M5979" s="43" t="n">
        <f aca="false">H5979*16.39*(1+'Chart of Accounts'!$E$67)</f>
        <v>79.945503</v>
      </c>
    </row>
    <row r="5980" customFormat="false" ht="15" hidden="false" customHeight="false" outlineLevel="0" collapsed="false">
      <c r="B5980" s="7" t="s">
        <v>6477</v>
      </c>
      <c r="C5980" s="39" t="n">
        <v>45938</v>
      </c>
      <c r="D5980" s="7" t="s">
        <v>353</v>
      </c>
      <c r="E5980" s="7" t="s">
        <v>154</v>
      </c>
      <c r="F5980" s="7" t="s">
        <v>254</v>
      </c>
      <c r="G5980" s="7" t="s">
        <v>505</v>
      </c>
      <c r="H5980" s="6" t="n">
        <v>3.6</v>
      </c>
      <c r="I5980" s="6" t="n">
        <v>0</v>
      </c>
      <c r="J5980" s="40" t="n">
        <f aca="false">H5980-I5980</f>
        <v>3.6</v>
      </c>
      <c r="K5980" s="41" t="n">
        <v>26.5</v>
      </c>
      <c r="L5980" s="42" t="n">
        <f aca="false">J5980*K5980</f>
        <v>95.4</v>
      </c>
      <c r="M5980" s="43" t="n">
        <f aca="false">H5980*17.1*(1+'Chart of Accounts'!$E$67)</f>
        <v>70.4862</v>
      </c>
    </row>
    <row r="5981" customFormat="false" ht="15" hidden="false" customHeight="false" outlineLevel="0" collapsed="false">
      <c r="B5981" s="7" t="s">
        <v>6478</v>
      </c>
      <c r="C5981" s="39" t="n">
        <v>45938</v>
      </c>
      <c r="D5981" s="7" t="s">
        <v>355</v>
      </c>
      <c r="E5981" s="7" t="s">
        <v>154</v>
      </c>
      <c r="F5981" s="7" t="s">
        <v>201</v>
      </c>
      <c r="G5981" s="7" t="s">
        <v>505</v>
      </c>
      <c r="H5981" s="6" t="n">
        <v>3.3</v>
      </c>
      <c r="I5981" s="6" t="n">
        <v>0.099</v>
      </c>
      <c r="J5981" s="40" t="n">
        <f aca="false">H5981-I5981</f>
        <v>3.201</v>
      </c>
      <c r="K5981" s="41" t="n">
        <v>26.5</v>
      </c>
      <c r="L5981" s="42" t="n">
        <f aca="false">J5981*K5981</f>
        <v>84.8265</v>
      </c>
      <c r="M5981" s="43" t="n">
        <f aca="false">H5981*15.19*(1+'Chart of Accounts'!$E$67)</f>
        <v>57.395415</v>
      </c>
    </row>
    <row r="5982" customFormat="false" ht="15" hidden="false" customHeight="false" outlineLevel="0" collapsed="false">
      <c r="B5982" s="7" t="s">
        <v>6479</v>
      </c>
      <c r="C5982" s="39" t="n">
        <v>45938</v>
      </c>
      <c r="D5982" s="7" t="s">
        <v>357</v>
      </c>
      <c r="E5982" s="7" t="s">
        <v>154</v>
      </c>
      <c r="F5982" s="7" t="s">
        <v>246</v>
      </c>
      <c r="G5982" s="7" t="s">
        <v>505</v>
      </c>
      <c r="H5982" s="6" t="n">
        <v>3.65</v>
      </c>
      <c r="I5982" s="6" t="n">
        <v>0</v>
      </c>
      <c r="J5982" s="40" t="n">
        <f aca="false">H5982-I5982</f>
        <v>3.65</v>
      </c>
      <c r="K5982" s="41" t="n">
        <v>26.5</v>
      </c>
      <c r="L5982" s="42" t="n">
        <f aca="false">J5982*K5982</f>
        <v>96.725</v>
      </c>
      <c r="M5982" s="43" t="n">
        <f aca="false">H5982*16.48*(1+'Chart of Accounts'!$E$67)</f>
        <v>68.87404</v>
      </c>
    </row>
    <row r="5983" customFormat="false" ht="15" hidden="false" customHeight="false" outlineLevel="0" collapsed="false">
      <c r="B5983" s="7" t="s">
        <v>6480</v>
      </c>
      <c r="C5983" s="39" t="n">
        <v>45938</v>
      </c>
      <c r="D5983" s="7" t="s">
        <v>359</v>
      </c>
      <c r="E5983" s="7" t="s">
        <v>156</v>
      </c>
      <c r="F5983" s="7" t="s">
        <v>220</v>
      </c>
      <c r="G5983" s="7" t="s">
        <v>505</v>
      </c>
      <c r="H5983" s="6" t="n">
        <v>4.23</v>
      </c>
      <c r="I5983" s="6" t="n">
        <v>0</v>
      </c>
      <c r="J5983" s="40" t="n">
        <f aca="false">H5983-I5983</f>
        <v>4.23</v>
      </c>
      <c r="K5983" s="41" t="n">
        <v>34</v>
      </c>
      <c r="L5983" s="42" t="n">
        <f aca="false">J5983*K5983</f>
        <v>143.82</v>
      </c>
      <c r="M5983" s="43" t="n">
        <f aca="false">H5983*16.43*(1+'Chart of Accounts'!$E$67)</f>
        <v>79.5762405</v>
      </c>
    </row>
    <row r="5984" customFormat="false" ht="15" hidden="false" customHeight="false" outlineLevel="0" collapsed="false">
      <c r="B5984" s="7" t="s">
        <v>6481</v>
      </c>
      <c r="C5984" s="39" t="n">
        <v>45938</v>
      </c>
      <c r="D5984" s="7" t="s">
        <v>365</v>
      </c>
      <c r="E5984" s="7" t="s">
        <v>154</v>
      </c>
      <c r="F5984" s="7" t="s">
        <v>194</v>
      </c>
      <c r="G5984" s="7" t="s">
        <v>505</v>
      </c>
      <c r="H5984" s="6" t="n">
        <v>4.21</v>
      </c>
      <c r="I5984" s="6" t="n">
        <v>0</v>
      </c>
      <c r="J5984" s="40" t="n">
        <f aca="false">H5984-I5984</f>
        <v>4.21</v>
      </c>
      <c r="K5984" s="41" t="n">
        <v>26.5</v>
      </c>
      <c r="L5984" s="42" t="n">
        <f aca="false">J5984*K5984</f>
        <v>111.565</v>
      </c>
      <c r="M5984" s="43" t="n">
        <f aca="false">H5984*16*(1+'Chart of Accounts'!$E$67)</f>
        <v>77.1272</v>
      </c>
    </row>
    <row r="5985" customFormat="false" ht="15" hidden="false" customHeight="false" outlineLevel="0" collapsed="false">
      <c r="B5985" s="7" t="s">
        <v>6482</v>
      </c>
      <c r="C5985" s="39" t="n">
        <v>45938</v>
      </c>
      <c r="D5985" s="7" t="s">
        <v>371</v>
      </c>
      <c r="E5985" s="7" t="s">
        <v>154</v>
      </c>
      <c r="F5985" s="7" t="s">
        <v>232</v>
      </c>
      <c r="G5985" s="7" t="s">
        <v>505</v>
      </c>
      <c r="H5985" s="6" t="n">
        <v>4.39</v>
      </c>
      <c r="I5985" s="6" t="n">
        <v>0</v>
      </c>
      <c r="J5985" s="40" t="n">
        <f aca="false">H5985-I5985</f>
        <v>4.39</v>
      </c>
      <c r="K5985" s="41" t="n">
        <v>26.5</v>
      </c>
      <c r="L5985" s="42" t="n">
        <f aca="false">J5985*K5985</f>
        <v>116.335</v>
      </c>
      <c r="M5985" s="43" t="n">
        <f aca="false">H5985*16.17*(1+'Chart of Accounts'!$E$67)</f>
        <v>81.2793135</v>
      </c>
    </row>
    <row r="5986" customFormat="false" ht="15" hidden="false" customHeight="false" outlineLevel="0" collapsed="false">
      <c r="B5986" s="7" t="s">
        <v>6483</v>
      </c>
      <c r="C5986" s="39" t="n">
        <v>45938</v>
      </c>
      <c r="D5986" s="7" t="s">
        <v>379</v>
      </c>
      <c r="E5986" s="7" t="s">
        <v>156</v>
      </c>
      <c r="F5986" s="7" t="s">
        <v>224</v>
      </c>
      <c r="G5986" s="7" t="s">
        <v>505</v>
      </c>
      <c r="H5986" s="6" t="n">
        <v>4.26</v>
      </c>
      <c r="I5986" s="6" t="n">
        <v>0</v>
      </c>
      <c r="J5986" s="40" t="n">
        <f aca="false">H5986-I5986</f>
        <v>4.26</v>
      </c>
      <c r="K5986" s="41" t="n">
        <v>34</v>
      </c>
      <c r="L5986" s="42" t="n">
        <f aca="false">J5986*K5986</f>
        <v>144.84</v>
      </c>
      <c r="M5986" s="43" t="n">
        <f aca="false">H5986*14.93*(1+'Chart of Accounts'!$E$67)</f>
        <v>72.824061</v>
      </c>
    </row>
    <row r="5987" customFormat="false" ht="15" hidden="false" customHeight="false" outlineLevel="0" collapsed="false">
      <c r="B5987" s="7" t="s">
        <v>6484</v>
      </c>
      <c r="C5987" s="39" t="n">
        <v>45938</v>
      </c>
      <c r="D5987" s="7" t="s">
        <v>385</v>
      </c>
      <c r="E5987" s="7" t="s">
        <v>156</v>
      </c>
      <c r="F5987" s="7" t="s">
        <v>238</v>
      </c>
      <c r="G5987" s="7" t="s">
        <v>505</v>
      </c>
      <c r="H5987" s="6" t="n">
        <v>3.95</v>
      </c>
      <c r="I5987" s="6" t="n">
        <v>0</v>
      </c>
      <c r="J5987" s="40" t="n">
        <f aca="false">H5987-I5987</f>
        <v>3.95</v>
      </c>
      <c r="K5987" s="41" t="n">
        <v>34</v>
      </c>
      <c r="L5987" s="42" t="n">
        <f aca="false">J5987*K5987</f>
        <v>134.3</v>
      </c>
      <c r="M5987" s="43" t="n">
        <f aca="false">H5987*15.85*(1+'Chart of Accounts'!$E$67)</f>
        <v>71.6855875</v>
      </c>
    </row>
    <row r="5988" customFormat="false" ht="15" hidden="false" customHeight="false" outlineLevel="0" collapsed="false">
      <c r="B5988" s="7" t="s">
        <v>6485</v>
      </c>
      <c r="C5988" s="39" t="n">
        <v>45938</v>
      </c>
      <c r="D5988" s="7" t="s">
        <v>387</v>
      </c>
      <c r="E5988" s="7" t="s">
        <v>154</v>
      </c>
      <c r="F5988" s="7" t="s">
        <v>196</v>
      </c>
      <c r="G5988" s="7" t="s">
        <v>505</v>
      </c>
      <c r="H5988" s="6" t="n">
        <v>3.78</v>
      </c>
      <c r="I5988" s="6" t="n">
        <v>0</v>
      </c>
      <c r="J5988" s="40" t="n">
        <f aca="false">H5988-I5988</f>
        <v>3.78</v>
      </c>
      <c r="K5988" s="41" t="n">
        <v>26.5</v>
      </c>
      <c r="L5988" s="42" t="n">
        <f aca="false">J5988*K5988</f>
        <v>100.17</v>
      </c>
      <c r="M5988" s="43" t="n">
        <f aca="false">H5988*15.05*(1+'Chart of Accounts'!$E$67)</f>
        <v>65.137905</v>
      </c>
    </row>
    <row r="5989" customFormat="false" ht="15" hidden="false" customHeight="false" outlineLevel="0" collapsed="false">
      <c r="B5989" s="7" t="s">
        <v>6486</v>
      </c>
      <c r="C5989" s="39" t="n">
        <v>45938</v>
      </c>
      <c r="D5989" s="7" t="s">
        <v>389</v>
      </c>
      <c r="E5989" s="7" t="s">
        <v>154</v>
      </c>
      <c r="F5989" s="7" t="s">
        <v>246</v>
      </c>
      <c r="G5989" s="7" t="s">
        <v>505</v>
      </c>
      <c r="H5989" s="6" t="n">
        <v>4.21</v>
      </c>
      <c r="I5989" s="6" t="n">
        <v>0</v>
      </c>
      <c r="J5989" s="40" t="n">
        <f aca="false">H5989-I5989</f>
        <v>4.21</v>
      </c>
      <c r="K5989" s="41" t="n">
        <v>26.5</v>
      </c>
      <c r="L5989" s="42" t="n">
        <f aca="false">J5989*K5989</f>
        <v>111.565</v>
      </c>
      <c r="M5989" s="43" t="n">
        <f aca="false">H5989*16.48*(1+'Chart of Accounts'!$E$67)</f>
        <v>79.441016</v>
      </c>
    </row>
    <row r="5990" customFormat="false" ht="15" hidden="false" customHeight="false" outlineLevel="0" collapsed="false">
      <c r="B5990" s="7" t="s">
        <v>6487</v>
      </c>
      <c r="C5990" s="39" t="n">
        <v>45938</v>
      </c>
      <c r="D5990" s="7" t="s">
        <v>391</v>
      </c>
      <c r="E5990" s="7" t="s">
        <v>156</v>
      </c>
      <c r="F5990" s="7" t="s">
        <v>222</v>
      </c>
      <c r="G5990" s="7" t="s">
        <v>505</v>
      </c>
      <c r="H5990" s="6" t="n">
        <v>3.68</v>
      </c>
      <c r="I5990" s="6" t="n">
        <v>0</v>
      </c>
      <c r="J5990" s="40" t="n">
        <f aca="false">H5990-I5990</f>
        <v>3.68</v>
      </c>
      <c r="K5990" s="41" t="n">
        <v>34</v>
      </c>
      <c r="L5990" s="42" t="n">
        <f aca="false">J5990*K5990</f>
        <v>125.12</v>
      </c>
      <c r="M5990" s="43" t="n">
        <f aca="false">H5990*17.84*(1+'Chart of Accounts'!$E$67)</f>
        <v>75.170624</v>
      </c>
    </row>
    <row r="5991" customFormat="false" ht="15" hidden="false" customHeight="false" outlineLevel="0" collapsed="false">
      <c r="B5991" s="7" t="s">
        <v>6488</v>
      </c>
      <c r="C5991" s="39" t="n">
        <v>45938</v>
      </c>
      <c r="D5991" s="7" t="s">
        <v>393</v>
      </c>
      <c r="E5991" s="7" t="s">
        <v>157</v>
      </c>
      <c r="F5991" s="7" t="s">
        <v>203</v>
      </c>
      <c r="G5991" s="7" t="s">
        <v>502</v>
      </c>
      <c r="H5991" s="6" t="n">
        <v>1.02</v>
      </c>
      <c r="I5991" s="6" t="n">
        <v>0</v>
      </c>
      <c r="J5991" s="40" t="n">
        <f aca="false">H5991-I5991</f>
        <v>1.02</v>
      </c>
      <c r="K5991" s="41" t="n">
        <v>165</v>
      </c>
      <c r="L5991" s="42" t="n">
        <f aca="false">J5991*K5991</f>
        <v>168.3</v>
      </c>
      <c r="M5991" s="43" t="n">
        <f aca="false">H5991*49.43*(1+'Chart of Accounts'!$E$67)</f>
        <v>57.729297</v>
      </c>
    </row>
    <row r="5992" customFormat="false" ht="15" hidden="false" customHeight="false" outlineLevel="0" collapsed="false">
      <c r="B5992" s="7" t="s">
        <v>6489</v>
      </c>
      <c r="C5992" s="39" t="n">
        <v>45938</v>
      </c>
      <c r="D5992" s="7" t="s">
        <v>395</v>
      </c>
      <c r="E5992" s="7" t="s">
        <v>156</v>
      </c>
      <c r="F5992" s="7" t="s">
        <v>242</v>
      </c>
      <c r="G5992" s="7" t="s">
        <v>505</v>
      </c>
      <c r="H5992" s="6" t="n">
        <v>3.75</v>
      </c>
      <c r="I5992" s="6" t="n">
        <v>0</v>
      </c>
      <c r="J5992" s="40" t="n">
        <f aca="false">H5992-I5992</f>
        <v>3.75</v>
      </c>
      <c r="K5992" s="41" t="n">
        <v>34</v>
      </c>
      <c r="L5992" s="42" t="n">
        <f aca="false">J5992*K5992</f>
        <v>127.5</v>
      </c>
      <c r="M5992" s="43" t="n">
        <f aca="false">H5992*17.99*(1+'Chart of Accounts'!$E$67)</f>
        <v>77.2445625</v>
      </c>
    </row>
    <row r="5993" customFormat="false" ht="15" hidden="false" customHeight="false" outlineLevel="0" collapsed="false">
      <c r="B5993" s="7" t="s">
        <v>6490</v>
      </c>
      <c r="C5993" s="39" t="n">
        <v>45938</v>
      </c>
      <c r="D5993" s="7" t="s">
        <v>399</v>
      </c>
      <c r="E5993" s="7" t="s">
        <v>154</v>
      </c>
      <c r="F5993" s="7" t="s">
        <v>201</v>
      </c>
      <c r="G5993" s="7" t="s">
        <v>505</v>
      </c>
      <c r="H5993" s="6" t="n">
        <v>3.65</v>
      </c>
      <c r="I5993" s="6" t="n">
        <v>0</v>
      </c>
      <c r="J5993" s="40" t="n">
        <f aca="false">H5993-I5993</f>
        <v>3.65</v>
      </c>
      <c r="K5993" s="41" t="n">
        <v>26.5</v>
      </c>
      <c r="L5993" s="42" t="n">
        <f aca="false">J5993*K5993</f>
        <v>96.725</v>
      </c>
      <c r="M5993" s="43" t="n">
        <f aca="false">H5993*15.19*(1+'Chart of Accounts'!$E$67)</f>
        <v>63.4828075</v>
      </c>
    </row>
    <row r="5994" customFormat="false" ht="15" hidden="false" customHeight="false" outlineLevel="0" collapsed="false">
      <c r="B5994" s="7" t="s">
        <v>6491</v>
      </c>
      <c r="C5994" s="39" t="n">
        <v>45938</v>
      </c>
      <c r="D5994" s="7" t="s">
        <v>401</v>
      </c>
      <c r="E5994" s="7" t="s">
        <v>156</v>
      </c>
      <c r="F5994" s="7" t="s">
        <v>254</v>
      </c>
      <c r="G5994" s="7" t="s">
        <v>505</v>
      </c>
      <c r="H5994" s="6" t="n">
        <v>3.88</v>
      </c>
      <c r="I5994" s="6" t="n">
        <v>0</v>
      </c>
      <c r="J5994" s="40" t="n">
        <f aca="false">H5994-I5994</f>
        <v>3.88</v>
      </c>
      <c r="K5994" s="41" t="n">
        <v>34</v>
      </c>
      <c r="L5994" s="42" t="n">
        <f aca="false">J5994*K5994</f>
        <v>131.92</v>
      </c>
      <c r="M5994" s="43" t="n">
        <f aca="false">H5994*17.1*(1+'Chart of Accounts'!$E$67)</f>
        <v>75.96846</v>
      </c>
    </row>
    <row r="5995" customFormat="false" ht="15" hidden="false" customHeight="false" outlineLevel="0" collapsed="false">
      <c r="B5995" s="7" t="s">
        <v>6492</v>
      </c>
      <c r="C5995" s="39" t="n">
        <v>45938</v>
      </c>
      <c r="D5995" s="7" t="s">
        <v>403</v>
      </c>
      <c r="E5995" s="7" t="s">
        <v>156</v>
      </c>
      <c r="F5995" s="7" t="s">
        <v>184</v>
      </c>
      <c r="G5995" s="7" t="s">
        <v>505</v>
      </c>
      <c r="H5995" s="6" t="n">
        <v>4.34</v>
      </c>
      <c r="I5995" s="6" t="n">
        <v>0</v>
      </c>
      <c r="J5995" s="40" t="n">
        <f aca="false">H5995-I5995</f>
        <v>4.34</v>
      </c>
      <c r="K5995" s="41" t="n">
        <v>34</v>
      </c>
      <c r="L5995" s="42" t="n">
        <f aca="false">J5995*K5995</f>
        <v>147.56</v>
      </c>
      <c r="M5995" s="43" t="n">
        <f aca="false">H5995*17.34*(1+'Chart of Accounts'!$E$67)</f>
        <v>86.167662</v>
      </c>
    </row>
    <row r="5996" customFormat="false" ht="15" hidden="false" customHeight="false" outlineLevel="0" collapsed="false">
      <c r="B5996" s="7" t="s">
        <v>6493</v>
      </c>
      <c r="C5996" s="39" t="n">
        <v>45938</v>
      </c>
      <c r="D5996" s="7" t="s">
        <v>409</v>
      </c>
      <c r="E5996" s="7" t="s">
        <v>154</v>
      </c>
      <c r="F5996" s="7" t="s">
        <v>214</v>
      </c>
      <c r="G5996" s="7" t="s">
        <v>505</v>
      </c>
      <c r="H5996" s="6" t="n">
        <v>3.57</v>
      </c>
      <c r="I5996" s="6" t="n">
        <v>0.107</v>
      </c>
      <c r="J5996" s="40" t="n">
        <f aca="false">H5996-I5996</f>
        <v>3.463</v>
      </c>
      <c r="K5996" s="41" t="n">
        <v>26.5</v>
      </c>
      <c r="L5996" s="42" t="n">
        <f aca="false">J5996*K5996</f>
        <v>91.7695</v>
      </c>
      <c r="M5996" s="43" t="n">
        <f aca="false">H5996*15.67*(1+'Chart of Accounts'!$E$67)</f>
        <v>64.0534755</v>
      </c>
    </row>
    <row r="5997" customFormat="false" ht="15" hidden="false" customHeight="false" outlineLevel="0" collapsed="false">
      <c r="B5997" s="7" t="s">
        <v>6494</v>
      </c>
      <c r="C5997" s="39" t="n">
        <v>45938</v>
      </c>
      <c r="D5997" s="7" t="s">
        <v>411</v>
      </c>
      <c r="E5997" s="7" t="s">
        <v>154</v>
      </c>
      <c r="F5997" s="7" t="s">
        <v>177</v>
      </c>
      <c r="G5997" s="7" t="s">
        <v>505</v>
      </c>
      <c r="H5997" s="6" t="n">
        <v>4.23</v>
      </c>
      <c r="I5997" s="6" t="n">
        <v>0</v>
      </c>
      <c r="J5997" s="40" t="n">
        <f aca="false">H5997-I5997</f>
        <v>4.23</v>
      </c>
      <c r="K5997" s="41" t="n">
        <v>26.5</v>
      </c>
      <c r="L5997" s="42" t="n">
        <f aca="false">J5997*K5997</f>
        <v>112.095</v>
      </c>
      <c r="M5997" s="43" t="n">
        <f aca="false">H5997*14.56*(1+'Chart of Accounts'!$E$67)</f>
        <v>70.519176</v>
      </c>
    </row>
    <row r="5998" customFormat="false" ht="15" hidden="false" customHeight="false" outlineLevel="0" collapsed="false">
      <c r="B5998" s="7" t="s">
        <v>6495</v>
      </c>
      <c r="C5998" s="39" t="n">
        <v>45939</v>
      </c>
      <c r="D5998" s="7" t="s">
        <v>288</v>
      </c>
      <c r="E5998" s="7" t="s">
        <v>156</v>
      </c>
      <c r="F5998" s="7" t="s">
        <v>220</v>
      </c>
      <c r="G5998" s="7" t="s">
        <v>505</v>
      </c>
      <c r="H5998" s="6" t="n">
        <v>3.71</v>
      </c>
      <c r="I5998" s="6" t="n">
        <v>0</v>
      </c>
      <c r="J5998" s="40" t="n">
        <f aca="false">H5998-I5998</f>
        <v>3.71</v>
      </c>
      <c r="K5998" s="41" t="n">
        <v>34</v>
      </c>
      <c r="L5998" s="42" t="n">
        <f aca="false">J5998*K5998</f>
        <v>126.14</v>
      </c>
      <c r="M5998" s="43" t="n">
        <f aca="false">H5998*16.43*(1+'Chart of Accounts'!$E$67)</f>
        <v>69.7938185</v>
      </c>
    </row>
    <row r="5999" customFormat="false" ht="15" hidden="false" customHeight="false" outlineLevel="0" collapsed="false">
      <c r="B5999" s="7" t="s">
        <v>6496</v>
      </c>
      <c r="C5999" s="39" t="n">
        <v>45939</v>
      </c>
      <c r="D5999" s="7" t="s">
        <v>297</v>
      </c>
      <c r="E5999" s="7" t="s">
        <v>156</v>
      </c>
      <c r="F5999" s="7" t="s">
        <v>201</v>
      </c>
      <c r="G5999" s="7" t="s">
        <v>505</v>
      </c>
      <c r="H5999" s="6" t="n">
        <v>2.73</v>
      </c>
      <c r="I5999" s="6" t="n">
        <v>0</v>
      </c>
      <c r="J5999" s="40" t="n">
        <f aca="false">H5999-I5999</f>
        <v>2.73</v>
      </c>
      <c r="K5999" s="41" t="n">
        <v>34</v>
      </c>
      <c r="L5999" s="42" t="n">
        <f aca="false">J5999*K5999</f>
        <v>92.82</v>
      </c>
      <c r="M5999" s="43" t="n">
        <f aca="false">H5999*15.19*(1+'Chart of Accounts'!$E$67)</f>
        <v>47.4816615</v>
      </c>
    </row>
    <row r="6000" customFormat="false" ht="15" hidden="false" customHeight="false" outlineLevel="0" collapsed="false">
      <c r="B6000" s="7" t="s">
        <v>6497</v>
      </c>
      <c r="C6000" s="39" t="n">
        <v>45939</v>
      </c>
      <c r="D6000" s="7" t="s">
        <v>303</v>
      </c>
      <c r="E6000" s="7" t="s">
        <v>154</v>
      </c>
      <c r="F6000" s="7" t="s">
        <v>240</v>
      </c>
      <c r="G6000" s="7" t="s">
        <v>505</v>
      </c>
      <c r="H6000" s="6" t="n">
        <v>4.27</v>
      </c>
      <c r="I6000" s="6" t="n">
        <v>0</v>
      </c>
      <c r="J6000" s="40" t="n">
        <f aca="false">H6000-I6000</f>
        <v>4.27</v>
      </c>
      <c r="K6000" s="41" t="n">
        <v>26.5</v>
      </c>
      <c r="L6000" s="42" t="n">
        <f aca="false">J6000*K6000</f>
        <v>113.155</v>
      </c>
      <c r="M6000" s="43" t="n">
        <f aca="false">H6000*16.96*(1+'Chart of Accounts'!$E$67)</f>
        <v>82.919984</v>
      </c>
    </row>
    <row r="6001" customFormat="false" ht="15" hidden="false" customHeight="false" outlineLevel="0" collapsed="false">
      <c r="B6001" s="7" t="s">
        <v>6498</v>
      </c>
      <c r="C6001" s="39" t="n">
        <v>45939</v>
      </c>
      <c r="D6001" s="7" t="s">
        <v>311</v>
      </c>
      <c r="E6001" s="7" t="s">
        <v>154</v>
      </c>
      <c r="F6001" s="7" t="s">
        <v>196</v>
      </c>
      <c r="G6001" s="7" t="s">
        <v>505</v>
      </c>
      <c r="H6001" s="6" t="n">
        <v>2.8</v>
      </c>
      <c r="I6001" s="6" t="n">
        <v>0</v>
      </c>
      <c r="J6001" s="40" t="n">
        <f aca="false">H6001-I6001</f>
        <v>2.8</v>
      </c>
      <c r="K6001" s="41" t="n">
        <v>26.5</v>
      </c>
      <c r="L6001" s="42" t="n">
        <f aca="false">J6001*K6001</f>
        <v>74.2</v>
      </c>
      <c r="M6001" s="43" t="n">
        <f aca="false">H6001*15.05*(1+'Chart of Accounts'!$E$67)</f>
        <v>48.2503</v>
      </c>
    </row>
    <row r="6002" customFormat="false" ht="15" hidden="false" customHeight="false" outlineLevel="0" collapsed="false">
      <c r="B6002" s="7" t="s">
        <v>6499</v>
      </c>
      <c r="C6002" s="39" t="n">
        <v>45939</v>
      </c>
      <c r="D6002" s="7" t="s">
        <v>313</v>
      </c>
      <c r="E6002" s="7" t="s">
        <v>156</v>
      </c>
      <c r="F6002" s="7" t="s">
        <v>184</v>
      </c>
      <c r="G6002" s="7" t="s">
        <v>505</v>
      </c>
      <c r="H6002" s="6" t="n">
        <v>4.27</v>
      </c>
      <c r="I6002" s="6" t="n">
        <v>0</v>
      </c>
      <c r="J6002" s="40" t="n">
        <f aca="false">H6002-I6002</f>
        <v>4.27</v>
      </c>
      <c r="K6002" s="41" t="n">
        <v>34</v>
      </c>
      <c r="L6002" s="42" t="n">
        <f aca="false">J6002*K6002</f>
        <v>145.18</v>
      </c>
      <c r="M6002" s="43" t="n">
        <f aca="false">H6002*17.34*(1+'Chart of Accounts'!$E$67)</f>
        <v>84.777861</v>
      </c>
    </row>
    <row r="6003" customFormat="false" ht="15" hidden="false" customHeight="false" outlineLevel="0" collapsed="false">
      <c r="B6003" s="7" t="s">
        <v>6500</v>
      </c>
      <c r="C6003" s="39" t="n">
        <v>45939</v>
      </c>
      <c r="D6003" s="7" t="s">
        <v>317</v>
      </c>
      <c r="E6003" s="7" t="s">
        <v>156</v>
      </c>
      <c r="F6003" s="7" t="s">
        <v>196</v>
      </c>
      <c r="G6003" s="7" t="s">
        <v>505</v>
      </c>
      <c r="H6003" s="6" t="n">
        <v>2.99</v>
      </c>
      <c r="I6003" s="6" t="n">
        <v>0</v>
      </c>
      <c r="J6003" s="40" t="n">
        <f aca="false">H6003-I6003</f>
        <v>2.99</v>
      </c>
      <c r="K6003" s="41" t="n">
        <v>34</v>
      </c>
      <c r="L6003" s="42" t="n">
        <f aca="false">J6003*K6003</f>
        <v>101.66</v>
      </c>
      <c r="M6003" s="43" t="n">
        <f aca="false">H6003*15.05*(1+'Chart of Accounts'!$E$67)</f>
        <v>51.5244275</v>
      </c>
    </row>
    <row r="6004" customFormat="false" ht="15" hidden="false" customHeight="false" outlineLevel="0" collapsed="false">
      <c r="B6004" s="7" t="s">
        <v>6501</v>
      </c>
      <c r="C6004" s="39" t="n">
        <v>45939</v>
      </c>
      <c r="D6004" s="7" t="s">
        <v>321</v>
      </c>
      <c r="E6004" s="7" t="s">
        <v>154</v>
      </c>
      <c r="F6004" s="7" t="s">
        <v>218</v>
      </c>
      <c r="G6004" s="7" t="s">
        <v>505</v>
      </c>
      <c r="H6004" s="6" t="n">
        <v>4.34</v>
      </c>
      <c r="I6004" s="6" t="n">
        <v>0</v>
      </c>
      <c r="J6004" s="40" t="n">
        <f aca="false">H6004-I6004</f>
        <v>4.34</v>
      </c>
      <c r="K6004" s="41" t="n">
        <v>26.5</v>
      </c>
      <c r="L6004" s="42" t="n">
        <f aca="false">J6004*K6004</f>
        <v>115.01</v>
      </c>
      <c r="M6004" s="43" t="n">
        <f aca="false">H6004*16.19*(1+'Chart of Accounts'!$E$67)</f>
        <v>80.452967</v>
      </c>
    </row>
    <row r="6005" customFormat="false" ht="15" hidden="false" customHeight="false" outlineLevel="0" collapsed="false">
      <c r="B6005" s="7" t="s">
        <v>6502</v>
      </c>
      <c r="C6005" s="39" t="n">
        <v>45939</v>
      </c>
      <c r="D6005" s="7" t="s">
        <v>325</v>
      </c>
      <c r="E6005" s="7" t="s">
        <v>154</v>
      </c>
      <c r="F6005" s="7" t="s">
        <v>246</v>
      </c>
      <c r="G6005" s="7" t="s">
        <v>505</v>
      </c>
      <c r="H6005" s="6" t="n">
        <v>3.27</v>
      </c>
      <c r="I6005" s="6" t="n">
        <v>0</v>
      </c>
      <c r="J6005" s="40" t="n">
        <f aca="false">H6005-I6005</f>
        <v>3.27</v>
      </c>
      <c r="K6005" s="41" t="n">
        <v>26.5</v>
      </c>
      <c r="L6005" s="42" t="n">
        <f aca="false">J6005*K6005</f>
        <v>86.655</v>
      </c>
      <c r="M6005" s="43" t="n">
        <f aca="false">H6005*16.48*(1+'Chart of Accounts'!$E$67)</f>
        <v>61.703592</v>
      </c>
    </row>
    <row r="6006" customFormat="false" ht="15" hidden="false" customHeight="false" outlineLevel="0" collapsed="false">
      <c r="B6006" s="7" t="s">
        <v>6503</v>
      </c>
      <c r="C6006" s="39" t="n">
        <v>45939</v>
      </c>
      <c r="D6006" s="7" t="s">
        <v>329</v>
      </c>
      <c r="E6006" s="7" t="s">
        <v>156</v>
      </c>
      <c r="F6006" s="7" t="s">
        <v>220</v>
      </c>
      <c r="G6006" s="7" t="s">
        <v>505</v>
      </c>
      <c r="H6006" s="6" t="n">
        <v>4.2</v>
      </c>
      <c r="I6006" s="6" t="n">
        <v>0</v>
      </c>
      <c r="J6006" s="40" t="n">
        <f aca="false">H6006-I6006</f>
        <v>4.2</v>
      </c>
      <c r="K6006" s="41" t="n">
        <v>34</v>
      </c>
      <c r="L6006" s="42" t="n">
        <f aca="false">J6006*K6006</f>
        <v>142.8</v>
      </c>
      <c r="M6006" s="43" t="n">
        <f aca="false">H6006*16.43*(1+'Chart of Accounts'!$E$67)</f>
        <v>79.01187</v>
      </c>
    </row>
    <row r="6007" customFormat="false" ht="15" hidden="false" customHeight="false" outlineLevel="0" collapsed="false">
      <c r="B6007" s="7" t="s">
        <v>6504</v>
      </c>
      <c r="C6007" s="39" t="n">
        <v>45939</v>
      </c>
      <c r="D6007" s="7" t="s">
        <v>331</v>
      </c>
      <c r="E6007" s="7" t="s">
        <v>156</v>
      </c>
      <c r="F6007" s="7" t="s">
        <v>224</v>
      </c>
      <c r="G6007" s="7" t="s">
        <v>505</v>
      </c>
      <c r="H6007" s="6" t="n">
        <v>4.06</v>
      </c>
      <c r="I6007" s="6" t="n">
        <v>0</v>
      </c>
      <c r="J6007" s="40" t="n">
        <f aca="false">H6007-I6007</f>
        <v>4.06</v>
      </c>
      <c r="K6007" s="41" t="n">
        <v>34</v>
      </c>
      <c r="L6007" s="42" t="n">
        <f aca="false">J6007*K6007</f>
        <v>138.04</v>
      </c>
      <c r="M6007" s="43" t="n">
        <f aca="false">H6007*14.93*(1+'Chart of Accounts'!$E$67)</f>
        <v>69.405091</v>
      </c>
    </row>
    <row r="6008" customFormat="false" ht="15" hidden="false" customHeight="false" outlineLevel="0" collapsed="false">
      <c r="B6008" s="7" t="s">
        <v>6505</v>
      </c>
      <c r="C6008" s="39" t="n">
        <v>45939</v>
      </c>
      <c r="D6008" s="7" t="s">
        <v>341</v>
      </c>
      <c r="E6008" s="7" t="s">
        <v>156</v>
      </c>
      <c r="F6008" s="7" t="s">
        <v>222</v>
      </c>
      <c r="G6008" s="7" t="s">
        <v>505</v>
      </c>
      <c r="H6008" s="6" t="n">
        <v>2.75</v>
      </c>
      <c r="I6008" s="6" t="n">
        <v>0</v>
      </c>
      <c r="J6008" s="40" t="n">
        <f aca="false">H6008-I6008</f>
        <v>2.75</v>
      </c>
      <c r="K6008" s="41" t="n">
        <v>34</v>
      </c>
      <c r="L6008" s="42" t="n">
        <f aca="false">J6008*K6008</f>
        <v>93.5</v>
      </c>
      <c r="M6008" s="43" t="n">
        <f aca="false">H6008*17.84*(1+'Chart of Accounts'!$E$67)</f>
        <v>56.1737</v>
      </c>
    </row>
    <row r="6009" customFormat="false" ht="15" hidden="false" customHeight="false" outlineLevel="0" collapsed="false">
      <c r="B6009" s="7" t="s">
        <v>6506</v>
      </c>
      <c r="C6009" s="39" t="n">
        <v>45939</v>
      </c>
      <c r="D6009" s="7" t="s">
        <v>343</v>
      </c>
      <c r="E6009" s="7" t="s">
        <v>154</v>
      </c>
      <c r="F6009" s="7" t="s">
        <v>220</v>
      </c>
      <c r="G6009" s="7" t="s">
        <v>505</v>
      </c>
      <c r="H6009" s="6" t="n">
        <v>3.72</v>
      </c>
      <c r="I6009" s="6" t="n">
        <v>0</v>
      </c>
      <c r="J6009" s="40" t="n">
        <f aca="false">H6009-I6009</f>
        <v>3.72</v>
      </c>
      <c r="K6009" s="41" t="n">
        <v>26.5</v>
      </c>
      <c r="L6009" s="42" t="n">
        <f aca="false">J6009*K6009</f>
        <v>98.58</v>
      </c>
      <c r="M6009" s="43" t="n">
        <f aca="false">H6009*16.43*(1+'Chart of Accounts'!$E$67)</f>
        <v>69.981942</v>
      </c>
    </row>
    <row r="6010" customFormat="false" ht="15" hidden="false" customHeight="false" outlineLevel="0" collapsed="false">
      <c r="B6010" s="7" t="s">
        <v>6507</v>
      </c>
      <c r="C6010" s="39" t="n">
        <v>45939</v>
      </c>
      <c r="D6010" s="7" t="s">
        <v>349</v>
      </c>
      <c r="E6010" s="7" t="s">
        <v>154</v>
      </c>
      <c r="F6010" s="7" t="s">
        <v>244</v>
      </c>
      <c r="G6010" s="7" t="s">
        <v>505</v>
      </c>
      <c r="H6010" s="6" t="n">
        <v>4.16</v>
      </c>
      <c r="I6010" s="6" t="n">
        <v>0</v>
      </c>
      <c r="J6010" s="40" t="n">
        <f aca="false">H6010-I6010</f>
        <v>4.16</v>
      </c>
      <c r="K6010" s="41" t="n">
        <v>26.5</v>
      </c>
      <c r="L6010" s="42" t="n">
        <f aca="false">J6010*K6010</f>
        <v>110.24</v>
      </c>
      <c r="M6010" s="43" t="n">
        <f aca="false">H6010*16.39*(1+'Chart of Accounts'!$E$67)</f>
        <v>78.068848</v>
      </c>
    </row>
    <row r="6011" customFormat="false" ht="15" hidden="false" customHeight="false" outlineLevel="0" collapsed="false">
      <c r="B6011" s="7" t="s">
        <v>6508</v>
      </c>
      <c r="C6011" s="39" t="n">
        <v>45939</v>
      </c>
      <c r="D6011" s="7" t="s">
        <v>351</v>
      </c>
      <c r="E6011" s="7" t="s">
        <v>154</v>
      </c>
      <c r="F6011" s="7" t="s">
        <v>201</v>
      </c>
      <c r="G6011" s="7" t="s">
        <v>505</v>
      </c>
      <c r="H6011" s="6" t="n">
        <v>2.76</v>
      </c>
      <c r="I6011" s="6" t="n">
        <v>0</v>
      </c>
      <c r="J6011" s="40" t="n">
        <f aca="false">H6011-I6011</f>
        <v>2.76</v>
      </c>
      <c r="K6011" s="41" t="n">
        <v>26.5</v>
      </c>
      <c r="L6011" s="42" t="n">
        <f aca="false">J6011*K6011</f>
        <v>73.14</v>
      </c>
      <c r="M6011" s="43" t="n">
        <f aca="false">H6011*15.19*(1+'Chart of Accounts'!$E$67)</f>
        <v>48.003438</v>
      </c>
    </row>
    <row r="6012" customFormat="false" ht="15" hidden="false" customHeight="false" outlineLevel="0" collapsed="false">
      <c r="B6012" s="7" t="s">
        <v>6509</v>
      </c>
      <c r="C6012" s="39" t="n">
        <v>45939</v>
      </c>
      <c r="D6012" s="7" t="s">
        <v>359</v>
      </c>
      <c r="E6012" s="7" t="s">
        <v>156</v>
      </c>
      <c r="F6012" s="7" t="s">
        <v>244</v>
      </c>
      <c r="G6012" s="7" t="s">
        <v>505</v>
      </c>
      <c r="H6012" s="6" t="n">
        <v>3.63</v>
      </c>
      <c r="I6012" s="6" t="n">
        <v>0</v>
      </c>
      <c r="J6012" s="40" t="n">
        <f aca="false">H6012-I6012</f>
        <v>3.63</v>
      </c>
      <c r="K6012" s="41" t="n">
        <v>34</v>
      </c>
      <c r="L6012" s="42" t="n">
        <f aca="false">J6012*K6012</f>
        <v>123.42</v>
      </c>
      <c r="M6012" s="43" t="n">
        <f aca="false">H6012*16.39*(1+'Chart of Accounts'!$E$67)</f>
        <v>68.1225765</v>
      </c>
    </row>
    <row r="6013" customFormat="false" ht="15" hidden="false" customHeight="false" outlineLevel="0" collapsed="false">
      <c r="B6013" s="7" t="s">
        <v>6510</v>
      </c>
      <c r="C6013" s="39" t="n">
        <v>45939</v>
      </c>
      <c r="D6013" s="7" t="s">
        <v>363</v>
      </c>
      <c r="E6013" s="7" t="s">
        <v>156</v>
      </c>
      <c r="F6013" s="7" t="s">
        <v>246</v>
      </c>
      <c r="G6013" s="7" t="s">
        <v>505</v>
      </c>
      <c r="H6013" s="6" t="n">
        <v>4.15</v>
      </c>
      <c r="I6013" s="6" t="n">
        <v>0</v>
      </c>
      <c r="J6013" s="40" t="n">
        <f aca="false">H6013-I6013</f>
        <v>4.15</v>
      </c>
      <c r="K6013" s="41" t="n">
        <v>34</v>
      </c>
      <c r="L6013" s="42" t="n">
        <f aca="false">J6013*K6013</f>
        <v>141.1</v>
      </c>
      <c r="M6013" s="43" t="n">
        <f aca="false">H6013*16.48*(1+'Chart of Accounts'!$E$67)</f>
        <v>78.30884</v>
      </c>
    </row>
    <row r="6014" customFormat="false" ht="15" hidden="false" customHeight="false" outlineLevel="0" collapsed="false">
      <c r="B6014" s="7" t="s">
        <v>6511</v>
      </c>
      <c r="C6014" s="39" t="n">
        <v>45939</v>
      </c>
      <c r="D6014" s="7" t="s">
        <v>365</v>
      </c>
      <c r="E6014" s="7" t="s">
        <v>154</v>
      </c>
      <c r="F6014" s="7" t="s">
        <v>194</v>
      </c>
      <c r="G6014" s="7" t="s">
        <v>505</v>
      </c>
      <c r="H6014" s="6" t="n">
        <v>3.72</v>
      </c>
      <c r="I6014" s="6" t="n">
        <v>0</v>
      </c>
      <c r="J6014" s="40" t="n">
        <f aca="false">H6014-I6014</f>
        <v>3.72</v>
      </c>
      <c r="K6014" s="41" t="n">
        <v>26.5</v>
      </c>
      <c r="L6014" s="42" t="n">
        <f aca="false">J6014*K6014</f>
        <v>98.58</v>
      </c>
      <c r="M6014" s="43" t="n">
        <f aca="false">H6014*16*(1+'Chart of Accounts'!$E$67)</f>
        <v>68.1504</v>
      </c>
    </row>
    <row r="6015" customFormat="false" ht="15" hidden="false" customHeight="false" outlineLevel="0" collapsed="false">
      <c r="B6015" s="7" t="s">
        <v>6512</v>
      </c>
      <c r="C6015" s="39" t="n">
        <v>45939</v>
      </c>
      <c r="D6015" s="7" t="s">
        <v>375</v>
      </c>
      <c r="E6015" s="7" t="s">
        <v>156</v>
      </c>
      <c r="F6015" s="7" t="s">
        <v>196</v>
      </c>
      <c r="G6015" s="7" t="s">
        <v>505</v>
      </c>
      <c r="H6015" s="6" t="n">
        <v>2.8</v>
      </c>
      <c r="I6015" s="6" t="n">
        <v>0</v>
      </c>
      <c r="J6015" s="40" t="n">
        <f aca="false">H6015-I6015</f>
        <v>2.8</v>
      </c>
      <c r="K6015" s="41" t="n">
        <v>34</v>
      </c>
      <c r="L6015" s="42" t="n">
        <f aca="false">J6015*K6015</f>
        <v>95.2</v>
      </c>
      <c r="M6015" s="43" t="n">
        <f aca="false">H6015*15.05*(1+'Chart of Accounts'!$E$67)</f>
        <v>48.2503</v>
      </c>
    </row>
    <row r="6016" customFormat="false" ht="15" hidden="false" customHeight="false" outlineLevel="0" collapsed="false">
      <c r="B6016" s="7" t="s">
        <v>6513</v>
      </c>
      <c r="C6016" s="39" t="n">
        <v>45939</v>
      </c>
      <c r="D6016" s="7" t="s">
        <v>377</v>
      </c>
      <c r="E6016" s="7" t="s">
        <v>154</v>
      </c>
      <c r="F6016" s="7" t="s">
        <v>214</v>
      </c>
      <c r="G6016" s="7" t="s">
        <v>505</v>
      </c>
      <c r="H6016" s="6" t="n">
        <v>3.63</v>
      </c>
      <c r="I6016" s="6" t="n">
        <v>0</v>
      </c>
      <c r="J6016" s="40" t="n">
        <f aca="false">H6016-I6016</f>
        <v>3.63</v>
      </c>
      <c r="K6016" s="41" t="n">
        <v>26.5</v>
      </c>
      <c r="L6016" s="42" t="n">
        <f aca="false">J6016*K6016</f>
        <v>96.195</v>
      </c>
      <c r="M6016" s="43" t="n">
        <f aca="false">H6016*15.67*(1+'Chart of Accounts'!$E$67)</f>
        <v>65.1300045</v>
      </c>
    </row>
    <row r="6017" customFormat="false" ht="15" hidden="false" customHeight="false" outlineLevel="0" collapsed="false">
      <c r="B6017" s="7" t="s">
        <v>6514</v>
      </c>
      <c r="C6017" s="39" t="n">
        <v>45939</v>
      </c>
      <c r="D6017" s="7" t="s">
        <v>387</v>
      </c>
      <c r="E6017" s="7" t="s">
        <v>154</v>
      </c>
      <c r="F6017" s="7" t="s">
        <v>196</v>
      </c>
      <c r="G6017" s="7" t="s">
        <v>505</v>
      </c>
      <c r="H6017" s="6" t="n">
        <v>3.79</v>
      </c>
      <c r="I6017" s="6" t="n">
        <v>0</v>
      </c>
      <c r="J6017" s="40" t="n">
        <f aca="false">H6017-I6017</f>
        <v>3.79</v>
      </c>
      <c r="K6017" s="41" t="n">
        <v>26.5</v>
      </c>
      <c r="L6017" s="42" t="n">
        <f aca="false">J6017*K6017</f>
        <v>100.435</v>
      </c>
      <c r="M6017" s="43" t="n">
        <f aca="false">H6017*15.05*(1+'Chart of Accounts'!$E$67)</f>
        <v>65.3102275</v>
      </c>
    </row>
    <row r="6018" customFormat="false" ht="15" hidden="false" customHeight="false" outlineLevel="0" collapsed="false">
      <c r="B6018" s="7" t="s">
        <v>6515</v>
      </c>
      <c r="C6018" s="39" t="n">
        <v>45939</v>
      </c>
      <c r="D6018" s="7" t="s">
        <v>389</v>
      </c>
      <c r="E6018" s="7" t="s">
        <v>154</v>
      </c>
      <c r="F6018" s="7" t="s">
        <v>246</v>
      </c>
      <c r="G6018" s="7" t="s">
        <v>505</v>
      </c>
      <c r="H6018" s="6" t="n">
        <v>3.71</v>
      </c>
      <c r="I6018" s="6" t="n">
        <v>0</v>
      </c>
      <c r="J6018" s="40" t="n">
        <f aca="false">H6018-I6018</f>
        <v>3.71</v>
      </c>
      <c r="K6018" s="41" t="n">
        <v>26.5</v>
      </c>
      <c r="L6018" s="42" t="n">
        <f aca="false">J6018*K6018</f>
        <v>98.315</v>
      </c>
      <c r="M6018" s="43" t="n">
        <f aca="false">H6018*16.48*(1+'Chart of Accounts'!$E$67)</f>
        <v>70.006216</v>
      </c>
    </row>
    <row r="6019" customFormat="false" ht="15" hidden="false" customHeight="false" outlineLevel="0" collapsed="false">
      <c r="B6019" s="7" t="s">
        <v>6516</v>
      </c>
      <c r="C6019" s="39" t="n">
        <v>45939</v>
      </c>
      <c r="D6019" s="7" t="s">
        <v>391</v>
      </c>
      <c r="E6019" s="7" t="s">
        <v>156</v>
      </c>
      <c r="F6019" s="7" t="s">
        <v>222</v>
      </c>
      <c r="G6019" s="7" t="s">
        <v>505</v>
      </c>
      <c r="H6019" s="6" t="n">
        <v>4.37</v>
      </c>
      <c r="I6019" s="6" t="n">
        <v>0</v>
      </c>
      <c r="J6019" s="40" t="n">
        <f aca="false">H6019-I6019</f>
        <v>4.37</v>
      </c>
      <c r="K6019" s="41" t="n">
        <v>34</v>
      </c>
      <c r="L6019" s="42" t="n">
        <f aca="false">J6019*K6019</f>
        <v>148.58</v>
      </c>
      <c r="M6019" s="43" t="n">
        <f aca="false">H6019*17.84*(1+'Chart of Accounts'!$E$67)</f>
        <v>89.265116</v>
      </c>
    </row>
    <row r="6020" customFormat="false" ht="15" hidden="false" customHeight="false" outlineLevel="0" collapsed="false">
      <c r="B6020" s="7" t="s">
        <v>6517</v>
      </c>
      <c r="C6020" s="39" t="n">
        <v>45939</v>
      </c>
      <c r="D6020" s="7" t="s">
        <v>395</v>
      </c>
      <c r="E6020" s="7" t="s">
        <v>156</v>
      </c>
      <c r="F6020" s="7" t="s">
        <v>242</v>
      </c>
      <c r="G6020" s="7" t="s">
        <v>505</v>
      </c>
      <c r="H6020" s="6" t="n">
        <v>3.97</v>
      </c>
      <c r="I6020" s="6" t="n">
        <v>0</v>
      </c>
      <c r="J6020" s="40" t="n">
        <f aca="false">H6020-I6020</f>
        <v>3.97</v>
      </c>
      <c r="K6020" s="41" t="n">
        <v>34</v>
      </c>
      <c r="L6020" s="42" t="n">
        <f aca="false">J6020*K6020</f>
        <v>134.98</v>
      </c>
      <c r="M6020" s="43" t="n">
        <f aca="false">H6020*17.99*(1+'Chart of Accounts'!$E$67)</f>
        <v>81.7762435</v>
      </c>
    </row>
    <row r="6021" customFormat="false" ht="15" hidden="false" customHeight="false" outlineLevel="0" collapsed="false">
      <c r="B6021" s="7" t="s">
        <v>6518</v>
      </c>
      <c r="C6021" s="39" t="n">
        <v>45939</v>
      </c>
      <c r="D6021" s="7" t="s">
        <v>401</v>
      </c>
      <c r="E6021" s="7" t="s">
        <v>156</v>
      </c>
      <c r="F6021" s="7" t="s">
        <v>254</v>
      </c>
      <c r="G6021" s="7" t="s">
        <v>505</v>
      </c>
      <c r="H6021" s="6" t="n">
        <v>3.68</v>
      </c>
      <c r="I6021" s="6" t="n">
        <v>0</v>
      </c>
      <c r="J6021" s="40" t="n">
        <f aca="false">H6021-I6021</f>
        <v>3.68</v>
      </c>
      <c r="K6021" s="41" t="n">
        <v>34</v>
      </c>
      <c r="L6021" s="42" t="n">
        <f aca="false">J6021*K6021</f>
        <v>125.12</v>
      </c>
      <c r="M6021" s="43" t="n">
        <f aca="false">H6021*17.1*(1+'Chart of Accounts'!$E$67)</f>
        <v>72.05256</v>
      </c>
    </row>
    <row r="6022" customFormat="false" ht="15" hidden="false" customHeight="false" outlineLevel="0" collapsed="false">
      <c r="B6022" s="7" t="s">
        <v>6519</v>
      </c>
      <c r="C6022" s="39" t="n">
        <v>45940</v>
      </c>
      <c r="D6022" s="7" t="s">
        <v>288</v>
      </c>
      <c r="E6022" s="7" t="s">
        <v>156</v>
      </c>
      <c r="F6022" s="7" t="s">
        <v>177</v>
      </c>
      <c r="G6022" s="7" t="s">
        <v>505</v>
      </c>
      <c r="H6022" s="6" t="n">
        <v>4.24</v>
      </c>
      <c r="I6022" s="6" t="n">
        <v>0</v>
      </c>
      <c r="J6022" s="40" t="n">
        <f aca="false">H6022-I6022</f>
        <v>4.24</v>
      </c>
      <c r="K6022" s="41" t="n">
        <v>34</v>
      </c>
      <c r="L6022" s="42" t="n">
        <f aca="false">J6022*K6022</f>
        <v>144.16</v>
      </c>
      <c r="M6022" s="43" t="n">
        <f aca="false">H6022*14.56*(1+'Chart of Accounts'!$E$67)</f>
        <v>70.685888</v>
      </c>
    </row>
    <row r="6023" customFormat="false" ht="15" hidden="false" customHeight="false" outlineLevel="0" collapsed="false">
      <c r="B6023" s="7" t="s">
        <v>6520</v>
      </c>
      <c r="C6023" s="39" t="n">
        <v>45940</v>
      </c>
      <c r="D6023" s="7" t="s">
        <v>291</v>
      </c>
      <c r="E6023" s="7" t="s">
        <v>154</v>
      </c>
      <c r="F6023" s="7" t="s">
        <v>194</v>
      </c>
      <c r="G6023" s="7" t="s">
        <v>505</v>
      </c>
      <c r="H6023" s="6" t="n">
        <v>4.4</v>
      </c>
      <c r="I6023" s="6" t="n">
        <v>0</v>
      </c>
      <c r="J6023" s="40" t="n">
        <f aca="false">H6023-I6023</f>
        <v>4.4</v>
      </c>
      <c r="K6023" s="41" t="n">
        <v>26.5</v>
      </c>
      <c r="L6023" s="42" t="n">
        <f aca="false">J6023*K6023</f>
        <v>116.6</v>
      </c>
      <c r="M6023" s="43" t="n">
        <f aca="false">H6023*16*(1+'Chart of Accounts'!$E$67)</f>
        <v>80.608</v>
      </c>
    </row>
    <row r="6024" customFormat="false" ht="15" hidden="false" customHeight="false" outlineLevel="0" collapsed="false">
      <c r="B6024" s="7" t="s">
        <v>6521</v>
      </c>
      <c r="C6024" s="39" t="n">
        <v>45940</v>
      </c>
      <c r="D6024" s="7" t="s">
        <v>293</v>
      </c>
      <c r="E6024" s="7" t="s">
        <v>157</v>
      </c>
      <c r="F6024" s="7" t="s">
        <v>198</v>
      </c>
      <c r="G6024" s="7" t="s">
        <v>502</v>
      </c>
      <c r="H6024" s="6" t="n">
        <v>1.06</v>
      </c>
      <c r="I6024" s="6" t="n">
        <v>0</v>
      </c>
      <c r="J6024" s="40" t="n">
        <f aca="false">H6024-I6024</f>
        <v>1.06</v>
      </c>
      <c r="K6024" s="41" t="n">
        <v>165</v>
      </c>
      <c r="L6024" s="42" t="n">
        <f aca="false">J6024*K6024</f>
        <v>174.9</v>
      </c>
      <c r="M6024" s="43" t="n">
        <f aca="false">H6024*48.09*(1+'Chart of Accounts'!$E$67)</f>
        <v>58.366833</v>
      </c>
    </row>
    <row r="6025" customFormat="false" ht="15" hidden="false" customHeight="false" outlineLevel="0" collapsed="false">
      <c r="B6025" s="7" t="s">
        <v>6522</v>
      </c>
      <c r="C6025" s="39" t="n">
        <v>45940</v>
      </c>
      <c r="D6025" s="7" t="s">
        <v>295</v>
      </c>
      <c r="E6025" s="7" t="s">
        <v>154</v>
      </c>
      <c r="F6025" s="7" t="s">
        <v>214</v>
      </c>
      <c r="G6025" s="7" t="s">
        <v>505</v>
      </c>
      <c r="H6025" s="6" t="n">
        <v>3.67</v>
      </c>
      <c r="I6025" s="6" t="n">
        <v>0</v>
      </c>
      <c r="J6025" s="40" t="n">
        <f aca="false">H6025-I6025</f>
        <v>3.67</v>
      </c>
      <c r="K6025" s="41" t="n">
        <v>26.5</v>
      </c>
      <c r="L6025" s="42" t="n">
        <f aca="false">J6025*K6025</f>
        <v>97.255</v>
      </c>
      <c r="M6025" s="43" t="n">
        <f aca="false">H6025*15.67*(1+'Chart of Accounts'!$E$67)</f>
        <v>65.8476905</v>
      </c>
    </row>
    <row r="6026" customFormat="false" ht="15" hidden="false" customHeight="false" outlineLevel="0" collapsed="false">
      <c r="B6026" s="7" t="s">
        <v>6523</v>
      </c>
      <c r="C6026" s="39" t="n">
        <v>45940</v>
      </c>
      <c r="D6026" s="7" t="s">
        <v>301</v>
      </c>
      <c r="E6026" s="7" t="s">
        <v>157</v>
      </c>
      <c r="F6026" s="7" t="s">
        <v>209</v>
      </c>
      <c r="G6026" s="7" t="s">
        <v>502</v>
      </c>
      <c r="H6026" s="6" t="n">
        <v>1.01</v>
      </c>
      <c r="I6026" s="6" t="n">
        <v>0</v>
      </c>
      <c r="J6026" s="40" t="n">
        <f aca="false">H6026-I6026</f>
        <v>1.01</v>
      </c>
      <c r="K6026" s="41" t="n">
        <v>165</v>
      </c>
      <c r="L6026" s="42" t="n">
        <f aca="false">J6026*K6026</f>
        <v>166.65</v>
      </c>
      <c r="M6026" s="43" t="n">
        <f aca="false">H6026*73.58*(1+'Chart of Accounts'!$E$67)</f>
        <v>85.091591</v>
      </c>
    </row>
    <row r="6027" customFormat="false" ht="15" hidden="false" customHeight="false" outlineLevel="0" collapsed="false">
      <c r="B6027" s="7" t="s">
        <v>6524</v>
      </c>
      <c r="C6027" s="39" t="n">
        <v>45940</v>
      </c>
      <c r="D6027" s="7" t="s">
        <v>305</v>
      </c>
      <c r="E6027" s="7" t="s">
        <v>154</v>
      </c>
      <c r="F6027" s="7" t="s">
        <v>205</v>
      </c>
      <c r="G6027" s="7" t="s">
        <v>505</v>
      </c>
      <c r="H6027" s="6" t="n">
        <v>3.66</v>
      </c>
      <c r="I6027" s="6" t="n">
        <v>0.11</v>
      </c>
      <c r="J6027" s="40" t="n">
        <f aca="false">H6027-I6027</f>
        <v>3.55</v>
      </c>
      <c r="K6027" s="41" t="n">
        <v>26.5</v>
      </c>
      <c r="L6027" s="42" t="n">
        <f aca="false">J6027*K6027</f>
        <v>94.075</v>
      </c>
      <c r="M6027" s="43" t="n">
        <f aca="false">H6027*16.36*(1+'Chart of Accounts'!$E$67)</f>
        <v>68.559852</v>
      </c>
    </row>
    <row r="6028" customFormat="false" ht="15" hidden="false" customHeight="false" outlineLevel="0" collapsed="false">
      <c r="B6028" s="7" t="s">
        <v>6525</v>
      </c>
      <c r="C6028" s="39" t="n">
        <v>45940</v>
      </c>
      <c r="D6028" s="7" t="s">
        <v>307</v>
      </c>
      <c r="E6028" s="7" t="s">
        <v>157</v>
      </c>
      <c r="F6028" s="7" t="s">
        <v>264</v>
      </c>
      <c r="G6028" s="7" t="s">
        <v>502</v>
      </c>
      <c r="H6028" s="6" t="n">
        <v>0.92</v>
      </c>
      <c r="I6028" s="6" t="n">
        <v>0</v>
      </c>
      <c r="J6028" s="40" t="n">
        <f aca="false">H6028-I6028</f>
        <v>0.92</v>
      </c>
      <c r="K6028" s="41" t="n">
        <v>165</v>
      </c>
      <c r="L6028" s="42" t="n">
        <f aca="false">J6028*K6028</f>
        <v>151.8</v>
      </c>
      <c r="M6028" s="43" t="n">
        <f aca="false">H6028*55.55*(1+'Chart of Accounts'!$E$67)</f>
        <v>58.51637</v>
      </c>
    </row>
    <row r="6029" customFormat="false" ht="15" hidden="false" customHeight="false" outlineLevel="0" collapsed="false">
      <c r="B6029" s="7" t="s">
        <v>6526</v>
      </c>
      <c r="C6029" s="39" t="n">
        <v>45940</v>
      </c>
      <c r="D6029" s="7" t="s">
        <v>309</v>
      </c>
      <c r="E6029" s="7" t="s">
        <v>159</v>
      </c>
      <c r="F6029" s="7" t="s">
        <v>252</v>
      </c>
      <c r="G6029" s="7" t="s">
        <v>502</v>
      </c>
      <c r="H6029" s="6" t="n">
        <v>1.07</v>
      </c>
      <c r="I6029" s="6" t="n">
        <v>0</v>
      </c>
      <c r="J6029" s="40" t="n">
        <f aca="false">H6029-I6029</f>
        <v>1.07</v>
      </c>
      <c r="K6029" s="41" t="n">
        <v>135</v>
      </c>
      <c r="L6029" s="42" t="n">
        <f aca="false">J6029*K6029</f>
        <v>144.45</v>
      </c>
      <c r="M6029" s="43" t="n">
        <f aca="false">H6029*57.54*(1+'Chart of Accounts'!$E$67)</f>
        <v>70.495131</v>
      </c>
    </row>
    <row r="6030" customFormat="false" ht="15" hidden="false" customHeight="false" outlineLevel="0" collapsed="false">
      <c r="B6030" s="7" t="s">
        <v>6527</v>
      </c>
      <c r="C6030" s="39" t="n">
        <v>45940</v>
      </c>
      <c r="D6030" s="7" t="s">
        <v>313</v>
      </c>
      <c r="E6030" s="7" t="s">
        <v>156</v>
      </c>
      <c r="F6030" s="7" t="s">
        <v>184</v>
      </c>
      <c r="G6030" s="7" t="s">
        <v>505</v>
      </c>
      <c r="H6030" s="6" t="n">
        <v>3.93</v>
      </c>
      <c r="I6030" s="6" t="n">
        <v>0</v>
      </c>
      <c r="J6030" s="40" t="n">
        <f aca="false">H6030-I6030</f>
        <v>3.93</v>
      </c>
      <c r="K6030" s="41" t="n">
        <v>34</v>
      </c>
      <c r="L6030" s="42" t="n">
        <f aca="false">J6030*K6030</f>
        <v>133.62</v>
      </c>
      <c r="M6030" s="43" t="n">
        <f aca="false">H6030*17.34*(1+'Chart of Accounts'!$E$67)</f>
        <v>78.027399</v>
      </c>
    </row>
    <row r="6031" customFormat="false" ht="15" hidden="false" customHeight="false" outlineLevel="0" collapsed="false">
      <c r="B6031" s="7" t="s">
        <v>6528</v>
      </c>
      <c r="C6031" s="39" t="n">
        <v>45940</v>
      </c>
      <c r="D6031" s="7" t="s">
        <v>315</v>
      </c>
      <c r="E6031" s="7" t="s">
        <v>159</v>
      </c>
      <c r="F6031" s="7" t="s">
        <v>216</v>
      </c>
      <c r="G6031" s="7" t="s">
        <v>502</v>
      </c>
      <c r="H6031" s="6" t="n">
        <v>1.01</v>
      </c>
      <c r="I6031" s="6" t="n">
        <v>0</v>
      </c>
      <c r="J6031" s="40" t="n">
        <f aca="false">H6031-I6031</f>
        <v>1.01</v>
      </c>
      <c r="K6031" s="41" t="n">
        <v>135</v>
      </c>
      <c r="L6031" s="42" t="n">
        <f aca="false">J6031*K6031</f>
        <v>136.35</v>
      </c>
      <c r="M6031" s="43" t="n">
        <f aca="false">H6031*61.79*(1+'Chart of Accounts'!$E$67)</f>
        <v>71.4570455</v>
      </c>
    </row>
    <row r="6032" customFormat="false" ht="15" hidden="false" customHeight="false" outlineLevel="0" collapsed="false">
      <c r="B6032" s="7" t="s">
        <v>6529</v>
      </c>
      <c r="C6032" s="39" t="n">
        <v>45940</v>
      </c>
      <c r="D6032" s="7" t="s">
        <v>319</v>
      </c>
      <c r="E6032" s="7" t="s">
        <v>157</v>
      </c>
      <c r="F6032" s="7" t="s">
        <v>234</v>
      </c>
      <c r="G6032" s="7" t="s">
        <v>502</v>
      </c>
      <c r="H6032" s="6" t="n">
        <v>0.91</v>
      </c>
      <c r="I6032" s="6" t="n">
        <v>0</v>
      </c>
      <c r="J6032" s="40" t="n">
        <f aca="false">H6032-I6032</f>
        <v>0.91</v>
      </c>
      <c r="K6032" s="41" t="n">
        <v>165</v>
      </c>
      <c r="L6032" s="42" t="n">
        <f aca="false">J6032*K6032</f>
        <v>150.15</v>
      </c>
      <c r="M6032" s="43" t="n">
        <f aca="false">H6032*89.53*(1+'Chart of Accounts'!$E$67)</f>
        <v>93.2857835</v>
      </c>
    </row>
    <row r="6033" customFormat="false" ht="15" hidden="false" customHeight="false" outlineLevel="0" collapsed="false">
      <c r="B6033" s="7" t="s">
        <v>6530</v>
      </c>
      <c r="C6033" s="39" t="n">
        <v>45940</v>
      </c>
      <c r="D6033" s="7" t="s">
        <v>321</v>
      </c>
      <c r="E6033" s="7" t="s">
        <v>154</v>
      </c>
      <c r="F6033" s="7" t="s">
        <v>218</v>
      </c>
      <c r="G6033" s="7" t="s">
        <v>505</v>
      </c>
      <c r="H6033" s="6" t="n">
        <v>3.85</v>
      </c>
      <c r="I6033" s="6" t="n">
        <v>0</v>
      </c>
      <c r="J6033" s="40" t="n">
        <f aca="false">H6033-I6033</f>
        <v>3.85</v>
      </c>
      <c r="K6033" s="41" t="n">
        <v>26.5</v>
      </c>
      <c r="L6033" s="42" t="n">
        <f aca="false">J6033*K6033</f>
        <v>102.025</v>
      </c>
      <c r="M6033" s="43" t="n">
        <f aca="false">H6033*16.19*(1+'Chart of Accounts'!$E$67)</f>
        <v>71.3695675</v>
      </c>
    </row>
    <row r="6034" customFormat="false" ht="15" hidden="false" customHeight="false" outlineLevel="0" collapsed="false">
      <c r="B6034" s="7" t="s">
        <v>6531</v>
      </c>
      <c r="C6034" s="39" t="n">
        <v>45940</v>
      </c>
      <c r="D6034" s="7" t="s">
        <v>323</v>
      </c>
      <c r="E6034" s="7" t="s">
        <v>159</v>
      </c>
      <c r="F6034" s="7" t="s">
        <v>216</v>
      </c>
      <c r="G6034" s="7" t="s">
        <v>502</v>
      </c>
      <c r="H6034" s="6" t="n">
        <v>0.93</v>
      </c>
      <c r="I6034" s="6" t="n">
        <v>0</v>
      </c>
      <c r="J6034" s="40" t="n">
        <f aca="false">H6034-I6034</f>
        <v>0.93</v>
      </c>
      <c r="K6034" s="41" t="n">
        <v>135</v>
      </c>
      <c r="L6034" s="42" t="n">
        <f aca="false">J6034*K6034</f>
        <v>125.55</v>
      </c>
      <c r="M6034" s="43" t="n">
        <f aca="false">H6034*61.79*(1+'Chart of Accounts'!$E$67)</f>
        <v>65.7970815</v>
      </c>
    </row>
    <row r="6035" customFormat="false" ht="15" hidden="false" customHeight="false" outlineLevel="0" collapsed="false">
      <c r="B6035" s="7" t="s">
        <v>6532</v>
      </c>
      <c r="C6035" s="39" t="n">
        <v>45940</v>
      </c>
      <c r="D6035" s="7" t="s">
        <v>327</v>
      </c>
      <c r="E6035" s="7" t="s">
        <v>157</v>
      </c>
      <c r="F6035" s="7" t="s">
        <v>228</v>
      </c>
      <c r="G6035" s="7" t="s">
        <v>502</v>
      </c>
      <c r="H6035" s="6" t="n">
        <v>1.06</v>
      </c>
      <c r="I6035" s="6" t="n">
        <v>0</v>
      </c>
      <c r="J6035" s="40" t="n">
        <f aca="false">H6035-I6035</f>
        <v>1.06</v>
      </c>
      <c r="K6035" s="41" t="n">
        <v>165</v>
      </c>
      <c r="L6035" s="42" t="n">
        <f aca="false">J6035*K6035</f>
        <v>174.9</v>
      </c>
      <c r="M6035" s="43" t="n">
        <f aca="false">H6035*51.07*(1+'Chart of Accounts'!$E$67)</f>
        <v>61.983659</v>
      </c>
    </row>
    <row r="6036" customFormat="false" ht="15" hidden="false" customHeight="false" outlineLevel="0" collapsed="false">
      <c r="B6036" s="7" t="s">
        <v>6533</v>
      </c>
      <c r="C6036" s="39" t="n">
        <v>45940</v>
      </c>
      <c r="D6036" s="7" t="s">
        <v>329</v>
      </c>
      <c r="E6036" s="7" t="s">
        <v>156</v>
      </c>
      <c r="F6036" s="7" t="s">
        <v>220</v>
      </c>
      <c r="G6036" s="7" t="s">
        <v>505</v>
      </c>
      <c r="H6036" s="6" t="n">
        <v>3.72</v>
      </c>
      <c r="I6036" s="6" t="n">
        <v>0</v>
      </c>
      <c r="J6036" s="40" t="n">
        <f aca="false">H6036-I6036</f>
        <v>3.72</v>
      </c>
      <c r="K6036" s="41" t="n">
        <v>34</v>
      </c>
      <c r="L6036" s="42" t="n">
        <f aca="false">J6036*K6036</f>
        <v>126.48</v>
      </c>
      <c r="M6036" s="43" t="n">
        <f aca="false">H6036*16.43*(1+'Chart of Accounts'!$E$67)</f>
        <v>69.981942</v>
      </c>
    </row>
    <row r="6037" customFormat="false" ht="15" hidden="false" customHeight="false" outlineLevel="0" collapsed="false">
      <c r="B6037" s="7" t="s">
        <v>6534</v>
      </c>
      <c r="C6037" s="39" t="n">
        <v>45940</v>
      </c>
      <c r="D6037" s="7" t="s">
        <v>333</v>
      </c>
      <c r="E6037" s="7" t="s">
        <v>154</v>
      </c>
      <c r="F6037" s="7" t="s">
        <v>236</v>
      </c>
      <c r="G6037" s="7" t="s">
        <v>505</v>
      </c>
      <c r="H6037" s="6" t="n">
        <v>3.23</v>
      </c>
      <c r="I6037" s="6" t="n">
        <v>0</v>
      </c>
      <c r="J6037" s="40" t="n">
        <f aca="false">H6037-I6037</f>
        <v>3.23</v>
      </c>
      <c r="K6037" s="41" t="n">
        <v>26.5</v>
      </c>
      <c r="L6037" s="42" t="n">
        <f aca="false">J6037*K6037</f>
        <v>85.595</v>
      </c>
      <c r="M6037" s="43" t="n">
        <f aca="false">H6037*15.49*(1+'Chart of Accounts'!$E$67)</f>
        <v>57.2874415</v>
      </c>
    </row>
    <row r="6038" customFormat="false" ht="15" hidden="false" customHeight="false" outlineLevel="0" collapsed="false">
      <c r="B6038" s="7" t="s">
        <v>6535</v>
      </c>
      <c r="C6038" s="39" t="n">
        <v>45940</v>
      </c>
      <c r="D6038" s="7" t="s">
        <v>335</v>
      </c>
      <c r="E6038" s="7" t="s">
        <v>154</v>
      </c>
      <c r="F6038" s="7" t="s">
        <v>177</v>
      </c>
      <c r="G6038" s="7" t="s">
        <v>505</v>
      </c>
      <c r="H6038" s="6" t="n">
        <v>4.2</v>
      </c>
      <c r="I6038" s="6" t="n">
        <v>0</v>
      </c>
      <c r="J6038" s="40" t="n">
        <f aca="false">H6038-I6038</f>
        <v>4.2</v>
      </c>
      <c r="K6038" s="41" t="n">
        <v>26.5</v>
      </c>
      <c r="L6038" s="42" t="n">
        <f aca="false">J6038*K6038</f>
        <v>111.3</v>
      </c>
      <c r="M6038" s="43" t="n">
        <f aca="false">H6038*14.56*(1+'Chart of Accounts'!$E$67)</f>
        <v>70.01904</v>
      </c>
    </row>
    <row r="6039" customFormat="false" ht="15" hidden="false" customHeight="false" outlineLevel="0" collapsed="false">
      <c r="B6039" s="7" t="s">
        <v>6536</v>
      </c>
      <c r="C6039" s="39" t="n">
        <v>45940</v>
      </c>
      <c r="D6039" s="7" t="s">
        <v>339</v>
      </c>
      <c r="E6039" s="7" t="s">
        <v>154</v>
      </c>
      <c r="F6039" s="7" t="s">
        <v>242</v>
      </c>
      <c r="G6039" s="7" t="s">
        <v>505</v>
      </c>
      <c r="H6039" s="6" t="n">
        <v>3.62</v>
      </c>
      <c r="I6039" s="6" t="n">
        <v>0</v>
      </c>
      <c r="J6039" s="40" t="n">
        <f aca="false">H6039-I6039</f>
        <v>3.62</v>
      </c>
      <c r="K6039" s="41" t="n">
        <v>26.5</v>
      </c>
      <c r="L6039" s="42" t="n">
        <f aca="false">J6039*K6039</f>
        <v>95.93</v>
      </c>
      <c r="M6039" s="43" t="n">
        <f aca="false">H6039*17.99*(1+'Chart of Accounts'!$E$67)</f>
        <v>74.566751</v>
      </c>
    </row>
    <row r="6040" customFormat="false" ht="15" hidden="false" customHeight="false" outlineLevel="0" collapsed="false">
      <c r="B6040" s="7" t="s">
        <v>6537</v>
      </c>
      <c r="C6040" s="39" t="n">
        <v>45940</v>
      </c>
      <c r="D6040" s="7" t="s">
        <v>347</v>
      </c>
      <c r="E6040" s="7" t="s">
        <v>154</v>
      </c>
      <c r="F6040" s="7" t="s">
        <v>238</v>
      </c>
      <c r="G6040" s="7" t="s">
        <v>505</v>
      </c>
      <c r="H6040" s="6" t="n">
        <v>4.48</v>
      </c>
      <c r="I6040" s="6" t="n">
        <v>0</v>
      </c>
      <c r="J6040" s="40" t="n">
        <f aca="false">H6040-I6040</f>
        <v>4.48</v>
      </c>
      <c r="K6040" s="41" t="n">
        <v>26.5</v>
      </c>
      <c r="L6040" s="42" t="n">
        <f aca="false">J6040*K6040</f>
        <v>118.72</v>
      </c>
      <c r="M6040" s="43" t="n">
        <f aca="false">H6040*15.85*(1+'Chart of Accounts'!$E$67)</f>
        <v>81.30416</v>
      </c>
    </row>
    <row r="6041" customFormat="false" ht="15" hidden="false" customHeight="false" outlineLevel="0" collapsed="false">
      <c r="B6041" s="7" t="s">
        <v>6538</v>
      </c>
      <c r="C6041" s="39" t="n">
        <v>45940</v>
      </c>
      <c r="D6041" s="7" t="s">
        <v>349</v>
      </c>
      <c r="E6041" s="7" t="s">
        <v>154</v>
      </c>
      <c r="F6041" s="7" t="s">
        <v>244</v>
      </c>
      <c r="G6041" s="7" t="s">
        <v>505</v>
      </c>
      <c r="H6041" s="6" t="n">
        <v>3.98</v>
      </c>
      <c r="I6041" s="6" t="n">
        <v>0</v>
      </c>
      <c r="J6041" s="40" t="n">
        <f aca="false">H6041-I6041</f>
        <v>3.98</v>
      </c>
      <c r="K6041" s="41" t="n">
        <v>26.5</v>
      </c>
      <c r="L6041" s="42" t="n">
        <f aca="false">J6041*K6041</f>
        <v>105.47</v>
      </c>
      <c r="M6041" s="43" t="n">
        <f aca="false">H6041*16.39*(1+'Chart of Accounts'!$E$67)</f>
        <v>74.690869</v>
      </c>
    </row>
    <row r="6042" customFormat="false" ht="15" hidden="false" customHeight="false" outlineLevel="0" collapsed="false">
      <c r="B6042" s="7" t="s">
        <v>6539</v>
      </c>
      <c r="C6042" s="39" t="n">
        <v>45940</v>
      </c>
      <c r="D6042" s="7" t="s">
        <v>353</v>
      </c>
      <c r="E6042" s="7" t="s">
        <v>154</v>
      </c>
      <c r="F6042" s="7" t="s">
        <v>254</v>
      </c>
      <c r="G6042" s="7" t="s">
        <v>505</v>
      </c>
      <c r="H6042" s="6" t="n">
        <v>3.14</v>
      </c>
      <c r="I6042" s="6" t="n">
        <v>0</v>
      </c>
      <c r="J6042" s="40" t="n">
        <f aca="false">H6042-I6042</f>
        <v>3.14</v>
      </c>
      <c r="K6042" s="41" t="n">
        <v>26.5</v>
      </c>
      <c r="L6042" s="42" t="n">
        <f aca="false">J6042*K6042</f>
        <v>83.21</v>
      </c>
      <c r="M6042" s="43" t="n">
        <f aca="false">H6042*17.1*(1+'Chart of Accounts'!$E$67)</f>
        <v>61.47963</v>
      </c>
    </row>
    <row r="6043" customFormat="false" ht="15" hidden="false" customHeight="false" outlineLevel="0" collapsed="false">
      <c r="B6043" s="7" t="s">
        <v>6540</v>
      </c>
      <c r="C6043" s="39" t="n">
        <v>45940</v>
      </c>
      <c r="D6043" s="7" t="s">
        <v>355</v>
      </c>
      <c r="E6043" s="7" t="s">
        <v>154</v>
      </c>
      <c r="F6043" s="7" t="s">
        <v>201</v>
      </c>
      <c r="G6043" s="7" t="s">
        <v>505</v>
      </c>
      <c r="H6043" s="6" t="n">
        <v>3.24</v>
      </c>
      <c r="I6043" s="6" t="n">
        <v>0</v>
      </c>
      <c r="J6043" s="40" t="n">
        <f aca="false">H6043-I6043</f>
        <v>3.24</v>
      </c>
      <c r="K6043" s="41" t="n">
        <v>26.5</v>
      </c>
      <c r="L6043" s="42" t="n">
        <f aca="false">J6043*K6043</f>
        <v>85.86</v>
      </c>
      <c r="M6043" s="43" t="n">
        <f aca="false">H6043*15.19*(1+'Chart of Accounts'!$E$67)</f>
        <v>56.351862</v>
      </c>
    </row>
    <row r="6044" customFormat="false" ht="15" hidden="false" customHeight="false" outlineLevel="0" collapsed="false">
      <c r="B6044" s="7" t="s">
        <v>6541</v>
      </c>
      <c r="C6044" s="39" t="n">
        <v>45940</v>
      </c>
      <c r="D6044" s="7" t="s">
        <v>357</v>
      </c>
      <c r="E6044" s="7" t="s">
        <v>154</v>
      </c>
      <c r="F6044" s="7" t="s">
        <v>240</v>
      </c>
      <c r="G6044" s="7" t="s">
        <v>505</v>
      </c>
      <c r="H6044" s="6" t="n">
        <v>3.31</v>
      </c>
      <c r="I6044" s="6" t="n">
        <v>0</v>
      </c>
      <c r="J6044" s="40" t="n">
        <f aca="false">H6044-I6044</f>
        <v>3.31</v>
      </c>
      <c r="K6044" s="41" t="n">
        <v>26.5</v>
      </c>
      <c r="L6044" s="42" t="n">
        <f aca="false">J6044*K6044</f>
        <v>87.715</v>
      </c>
      <c r="M6044" s="43" t="n">
        <f aca="false">H6044*16.96*(1+'Chart of Accounts'!$E$67)</f>
        <v>64.277552</v>
      </c>
    </row>
    <row r="6045" customFormat="false" ht="15" hidden="false" customHeight="false" outlineLevel="0" collapsed="false">
      <c r="B6045" s="7" t="s">
        <v>6542</v>
      </c>
      <c r="C6045" s="39" t="n">
        <v>45940</v>
      </c>
      <c r="D6045" s="7" t="s">
        <v>359</v>
      </c>
      <c r="E6045" s="7" t="s">
        <v>156</v>
      </c>
      <c r="F6045" s="7" t="s">
        <v>201</v>
      </c>
      <c r="G6045" s="7" t="s">
        <v>505</v>
      </c>
      <c r="H6045" s="6" t="n">
        <v>3.84</v>
      </c>
      <c r="I6045" s="6" t="n">
        <v>0</v>
      </c>
      <c r="J6045" s="40" t="n">
        <f aca="false">H6045-I6045</f>
        <v>3.84</v>
      </c>
      <c r="K6045" s="41" t="n">
        <v>34</v>
      </c>
      <c r="L6045" s="42" t="n">
        <f aca="false">J6045*K6045</f>
        <v>130.56</v>
      </c>
      <c r="M6045" s="43" t="n">
        <f aca="false">H6045*15.19*(1+'Chart of Accounts'!$E$67)</f>
        <v>66.787392</v>
      </c>
    </row>
    <row r="6046" customFormat="false" ht="15" hidden="false" customHeight="false" outlineLevel="0" collapsed="false">
      <c r="B6046" s="7" t="s">
        <v>6543</v>
      </c>
      <c r="C6046" s="39" t="n">
        <v>45940</v>
      </c>
      <c r="D6046" s="7" t="s">
        <v>361</v>
      </c>
      <c r="E6046" s="7" t="s">
        <v>157</v>
      </c>
      <c r="F6046" s="7" t="s">
        <v>209</v>
      </c>
      <c r="G6046" s="7" t="s">
        <v>502</v>
      </c>
      <c r="H6046" s="6" t="n">
        <v>0.97</v>
      </c>
      <c r="I6046" s="6" t="n">
        <v>0</v>
      </c>
      <c r="J6046" s="40" t="n">
        <f aca="false">H6046-I6046</f>
        <v>0.97</v>
      </c>
      <c r="K6046" s="41" t="n">
        <v>165</v>
      </c>
      <c r="L6046" s="42" t="n">
        <f aca="false">J6046*K6046</f>
        <v>160.05</v>
      </c>
      <c r="M6046" s="43" t="n">
        <f aca="false">H6046*73.58*(1+'Chart of Accounts'!$E$67)</f>
        <v>81.721627</v>
      </c>
    </row>
    <row r="6047" customFormat="false" ht="15" hidden="false" customHeight="false" outlineLevel="0" collapsed="false">
      <c r="B6047" s="7" t="s">
        <v>6544</v>
      </c>
      <c r="C6047" s="39" t="n">
        <v>45940</v>
      </c>
      <c r="D6047" s="7" t="s">
        <v>365</v>
      </c>
      <c r="E6047" s="7" t="s">
        <v>154</v>
      </c>
      <c r="F6047" s="7" t="s">
        <v>194</v>
      </c>
      <c r="G6047" s="7" t="s">
        <v>505</v>
      </c>
      <c r="H6047" s="6" t="n">
        <v>3.88</v>
      </c>
      <c r="I6047" s="6" t="n">
        <v>0.116</v>
      </c>
      <c r="J6047" s="40" t="n">
        <f aca="false">H6047-I6047</f>
        <v>3.764</v>
      </c>
      <c r="K6047" s="41" t="n">
        <v>26.5</v>
      </c>
      <c r="L6047" s="42" t="n">
        <f aca="false">J6047*K6047</f>
        <v>99.746</v>
      </c>
      <c r="M6047" s="43" t="n">
        <f aca="false">H6047*16*(1+'Chart of Accounts'!$E$67)</f>
        <v>71.0816</v>
      </c>
    </row>
    <row r="6048" customFormat="false" ht="15" hidden="false" customHeight="false" outlineLevel="0" collapsed="false">
      <c r="B6048" s="7" t="s">
        <v>6545</v>
      </c>
      <c r="C6048" s="39" t="n">
        <v>45940</v>
      </c>
      <c r="D6048" s="7" t="s">
        <v>369</v>
      </c>
      <c r="E6048" s="7" t="s">
        <v>159</v>
      </c>
      <c r="F6048" s="7" t="s">
        <v>258</v>
      </c>
      <c r="G6048" s="7" t="s">
        <v>502</v>
      </c>
      <c r="H6048" s="6" t="n">
        <v>0.92</v>
      </c>
      <c r="I6048" s="6" t="n">
        <v>0</v>
      </c>
      <c r="J6048" s="40" t="n">
        <f aca="false">H6048-I6048</f>
        <v>0.92</v>
      </c>
      <c r="K6048" s="41" t="n">
        <v>135</v>
      </c>
      <c r="L6048" s="42" t="n">
        <f aca="false">J6048*K6048</f>
        <v>124.2</v>
      </c>
      <c r="M6048" s="43" t="n">
        <f aca="false">H6048*61.61*(1+'Chart of Accounts'!$E$67)</f>
        <v>64.899974</v>
      </c>
    </row>
    <row r="6049" customFormat="false" ht="15" hidden="false" customHeight="false" outlineLevel="0" collapsed="false">
      <c r="B6049" s="7" t="s">
        <v>6546</v>
      </c>
      <c r="C6049" s="39" t="n">
        <v>45940</v>
      </c>
      <c r="D6049" s="7" t="s">
        <v>371</v>
      </c>
      <c r="E6049" s="7" t="s">
        <v>154</v>
      </c>
      <c r="F6049" s="7" t="s">
        <v>232</v>
      </c>
      <c r="G6049" s="7" t="s">
        <v>505</v>
      </c>
      <c r="H6049" s="6" t="n">
        <v>5.07</v>
      </c>
      <c r="I6049" s="6" t="n">
        <v>0</v>
      </c>
      <c r="J6049" s="40" t="n">
        <f aca="false">H6049-I6049</f>
        <v>5.07</v>
      </c>
      <c r="K6049" s="41" t="n">
        <v>26.5</v>
      </c>
      <c r="L6049" s="42" t="n">
        <f aca="false">J6049*K6049</f>
        <v>134.355</v>
      </c>
      <c r="M6049" s="43" t="n">
        <f aca="false">H6049*16.17*(1+'Chart of Accounts'!$E$67)</f>
        <v>93.8692755</v>
      </c>
    </row>
    <row r="6050" customFormat="false" ht="15" hidden="false" customHeight="false" outlineLevel="0" collapsed="false">
      <c r="B6050" s="7" t="s">
        <v>6547</v>
      </c>
      <c r="C6050" s="39" t="n">
        <v>45940</v>
      </c>
      <c r="D6050" s="7" t="s">
        <v>379</v>
      </c>
      <c r="E6050" s="7" t="s">
        <v>156</v>
      </c>
      <c r="F6050" s="7" t="s">
        <v>224</v>
      </c>
      <c r="G6050" s="7" t="s">
        <v>505</v>
      </c>
      <c r="H6050" s="6" t="n">
        <v>4.36</v>
      </c>
      <c r="I6050" s="6" t="n">
        <v>0</v>
      </c>
      <c r="J6050" s="40" t="n">
        <f aca="false">H6050-I6050</f>
        <v>4.36</v>
      </c>
      <c r="K6050" s="41" t="n">
        <v>34</v>
      </c>
      <c r="L6050" s="42" t="n">
        <f aca="false">J6050*K6050</f>
        <v>148.24</v>
      </c>
      <c r="M6050" s="43" t="n">
        <f aca="false">H6050*14.93*(1+'Chart of Accounts'!$E$67)</f>
        <v>74.533546</v>
      </c>
    </row>
    <row r="6051" customFormat="false" ht="15" hidden="false" customHeight="false" outlineLevel="0" collapsed="false">
      <c r="B6051" s="7" t="s">
        <v>6548</v>
      </c>
      <c r="C6051" s="39" t="n">
        <v>45940</v>
      </c>
      <c r="D6051" s="7" t="s">
        <v>381</v>
      </c>
      <c r="E6051" s="7" t="s">
        <v>157</v>
      </c>
      <c r="F6051" s="7" t="s">
        <v>234</v>
      </c>
      <c r="G6051" s="7" t="s">
        <v>502</v>
      </c>
      <c r="H6051" s="6" t="n">
        <v>1.1</v>
      </c>
      <c r="I6051" s="6" t="n">
        <v>0</v>
      </c>
      <c r="J6051" s="40" t="n">
        <f aca="false">H6051-I6051</f>
        <v>1.1</v>
      </c>
      <c r="K6051" s="41" t="n">
        <v>165</v>
      </c>
      <c r="L6051" s="42" t="n">
        <f aca="false">J6051*K6051</f>
        <v>181.5</v>
      </c>
      <c r="M6051" s="43" t="n">
        <f aca="false">H6051*89.53*(1+'Chart of Accounts'!$E$67)</f>
        <v>112.763035</v>
      </c>
    </row>
    <row r="6052" customFormat="false" ht="15" hidden="false" customHeight="false" outlineLevel="0" collapsed="false">
      <c r="B6052" s="7" t="s">
        <v>6549</v>
      </c>
      <c r="C6052" s="39" t="n">
        <v>45940</v>
      </c>
      <c r="D6052" s="7" t="s">
        <v>383</v>
      </c>
      <c r="E6052" s="7" t="s">
        <v>157</v>
      </c>
      <c r="F6052" s="7" t="s">
        <v>230</v>
      </c>
      <c r="G6052" s="7" t="s">
        <v>502</v>
      </c>
      <c r="H6052" s="6" t="n">
        <v>1.06</v>
      </c>
      <c r="I6052" s="6" t="n">
        <v>0</v>
      </c>
      <c r="J6052" s="40" t="n">
        <f aca="false">H6052-I6052</f>
        <v>1.06</v>
      </c>
      <c r="K6052" s="41" t="n">
        <v>165</v>
      </c>
      <c r="L6052" s="42" t="n">
        <f aca="false">J6052*K6052</f>
        <v>174.9</v>
      </c>
      <c r="M6052" s="43" t="n">
        <f aca="false">H6052*48.78*(1+'Chart of Accounts'!$E$67)</f>
        <v>59.204286</v>
      </c>
    </row>
    <row r="6053" customFormat="false" ht="15" hidden="false" customHeight="false" outlineLevel="0" collapsed="false">
      <c r="B6053" s="7" t="s">
        <v>6550</v>
      </c>
      <c r="C6053" s="39" t="n">
        <v>45940</v>
      </c>
      <c r="D6053" s="7" t="s">
        <v>385</v>
      </c>
      <c r="E6053" s="7" t="s">
        <v>156</v>
      </c>
      <c r="F6053" s="7" t="s">
        <v>238</v>
      </c>
      <c r="G6053" s="7" t="s">
        <v>505</v>
      </c>
      <c r="H6053" s="6" t="n">
        <v>4.04</v>
      </c>
      <c r="I6053" s="6" t="n">
        <v>0</v>
      </c>
      <c r="J6053" s="40" t="n">
        <f aca="false">H6053-I6053</f>
        <v>4.04</v>
      </c>
      <c r="K6053" s="41" t="n">
        <v>34</v>
      </c>
      <c r="L6053" s="42" t="n">
        <f aca="false">J6053*K6053</f>
        <v>137.36</v>
      </c>
      <c r="M6053" s="43" t="n">
        <f aca="false">H6053*15.85*(1+'Chart of Accounts'!$E$67)</f>
        <v>73.31893</v>
      </c>
    </row>
    <row r="6054" customFormat="false" ht="15" hidden="false" customHeight="false" outlineLevel="0" collapsed="false">
      <c r="B6054" s="7" t="s">
        <v>6551</v>
      </c>
      <c r="C6054" s="39" t="n">
        <v>45940</v>
      </c>
      <c r="D6054" s="7" t="s">
        <v>387</v>
      </c>
      <c r="E6054" s="7" t="s">
        <v>154</v>
      </c>
      <c r="F6054" s="7" t="s">
        <v>196</v>
      </c>
      <c r="G6054" s="7" t="s">
        <v>505</v>
      </c>
      <c r="H6054" s="6" t="n">
        <v>4.01</v>
      </c>
      <c r="I6054" s="6" t="n">
        <v>0</v>
      </c>
      <c r="J6054" s="40" t="n">
        <f aca="false">H6054-I6054</f>
        <v>4.01</v>
      </c>
      <c r="K6054" s="41" t="n">
        <v>26.5</v>
      </c>
      <c r="L6054" s="42" t="n">
        <f aca="false">J6054*K6054</f>
        <v>106.265</v>
      </c>
      <c r="M6054" s="43" t="n">
        <f aca="false">H6054*15.05*(1+'Chart of Accounts'!$E$67)</f>
        <v>69.1013225</v>
      </c>
    </row>
    <row r="6055" customFormat="false" ht="15" hidden="false" customHeight="false" outlineLevel="0" collapsed="false">
      <c r="B6055" s="7" t="s">
        <v>6552</v>
      </c>
      <c r="C6055" s="39" t="n">
        <v>45940</v>
      </c>
      <c r="D6055" s="7" t="s">
        <v>389</v>
      </c>
      <c r="E6055" s="7" t="s">
        <v>154</v>
      </c>
      <c r="F6055" s="7" t="s">
        <v>246</v>
      </c>
      <c r="G6055" s="7" t="s">
        <v>505</v>
      </c>
      <c r="H6055" s="6" t="n">
        <v>3.9</v>
      </c>
      <c r="I6055" s="6" t="n">
        <v>0.117</v>
      </c>
      <c r="J6055" s="40" t="n">
        <f aca="false">H6055-I6055</f>
        <v>3.783</v>
      </c>
      <c r="K6055" s="41" t="n">
        <v>26.5</v>
      </c>
      <c r="L6055" s="42" t="n">
        <f aca="false">J6055*K6055</f>
        <v>100.2495</v>
      </c>
      <c r="M6055" s="43" t="n">
        <f aca="false">H6055*16.48*(1+'Chart of Accounts'!$E$67)</f>
        <v>73.59144</v>
      </c>
    </row>
    <row r="6056" customFormat="false" ht="15" hidden="false" customHeight="false" outlineLevel="0" collapsed="false">
      <c r="B6056" s="7" t="s">
        <v>6553</v>
      </c>
      <c r="C6056" s="39" t="n">
        <v>45940</v>
      </c>
      <c r="D6056" s="7" t="s">
        <v>391</v>
      </c>
      <c r="E6056" s="7" t="s">
        <v>156</v>
      </c>
      <c r="F6056" s="7" t="s">
        <v>222</v>
      </c>
      <c r="G6056" s="7" t="s">
        <v>505</v>
      </c>
      <c r="H6056" s="6" t="n">
        <v>4.02</v>
      </c>
      <c r="I6056" s="6" t="n">
        <v>0</v>
      </c>
      <c r="J6056" s="40" t="n">
        <f aca="false">H6056-I6056</f>
        <v>4.02</v>
      </c>
      <c r="K6056" s="41" t="n">
        <v>34</v>
      </c>
      <c r="L6056" s="42" t="n">
        <f aca="false">J6056*K6056</f>
        <v>136.68</v>
      </c>
      <c r="M6056" s="43" t="n">
        <f aca="false">H6056*17.84*(1+'Chart of Accounts'!$E$67)</f>
        <v>82.115736</v>
      </c>
    </row>
    <row r="6057" customFormat="false" ht="15" hidden="false" customHeight="false" outlineLevel="0" collapsed="false">
      <c r="B6057" s="7" t="s">
        <v>6554</v>
      </c>
      <c r="C6057" s="39" t="n">
        <v>45940</v>
      </c>
      <c r="D6057" s="7" t="s">
        <v>395</v>
      </c>
      <c r="E6057" s="7" t="s">
        <v>156</v>
      </c>
      <c r="F6057" s="7" t="s">
        <v>242</v>
      </c>
      <c r="G6057" s="7" t="s">
        <v>505</v>
      </c>
      <c r="H6057" s="6" t="n">
        <v>4.01</v>
      </c>
      <c r="I6057" s="6" t="n">
        <v>0</v>
      </c>
      <c r="J6057" s="40" t="n">
        <f aca="false">H6057-I6057</f>
        <v>4.01</v>
      </c>
      <c r="K6057" s="41" t="n">
        <v>34</v>
      </c>
      <c r="L6057" s="42" t="n">
        <f aca="false">J6057*K6057</f>
        <v>136.34</v>
      </c>
      <c r="M6057" s="43" t="n">
        <f aca="false">H6057*17.99*(1+'Chart of Accounts'!$E$67)</f>
        <v>82.6001855</v>
      </c>
    </row>
    <row r="6058" customFormat="false" ht="15" hidden="false" customHeight="false" outlineLevel="0" collapsed="false">
      <c r="B6058" s="7" t="s">
        <v>6555</v>
      </c>
      <c r="C6058" s="39" t="n">
        <v>45940</v>
      </c>
      <c r="D6058" s="7" t="s">
        <v>397</v>
      </c>
      <c r="E6058" s="7" t="s">
        <v>159</v>
      </c>
      <c r="F6058" s="7" t="s">
        <v>203</v>
      </c>
      <c r="G6058" s="7" t="s">
        <v>502</v>
      </c>
      <c r="H6058" s="6" t="n">
        <v>1.01</v>
      </c>
      <c r="I6058" s="6" t="n">
        <v>0</v>
      </c>
      <c r="J6058" s="40" t="n">
        <f aca="false">H6058-I6058</f>
        <v>1.01</v>
      </c>
      <c r="K6058" s="41" t="n">
        <v>135</v>
      </c>
      <c r="L6058" s="42" t="n">
        <f aca="false">J6058*K6058</f>
        <v>136.35</v>
      </c>
      <c r="M6058" s="43" t="n">
        <f aca="false">H6058*49.43*(1+'Chart of Accounts'!$E$67)</f>
        <v>57.1633235</v>
      </c>
    </row>
    <row r="6059" customFormat="false" ht="15" hidden="false" customHeight="false" outlineLevel="0" collapsed="false">
      <c r="B6059" s="7" t="s">
        <v>6556</v>
      </c>
      <c r="C6059" s="39" t="n">
        <v>45940</v>
      </c>
      <c r="D6059" s="7" t="s">
        <v>399</v>
      </c>
      <c r="E6059" s="7" t="s">
        <v>154</v>
      </c>
      <c r="F6059" s="7" t="s">
        <v>254</v>
      </c>
      <c r="G6059" s="7" t="s">
        <v>505</v>
      </c>
      <c r="H6059" s="6" t="n">
        <v>3.38</v>
      </c>
      <c r="I6059" s="6" t="n">
        <v>0.101</v>
      </c>
      <c r="J6059" s="40" t="n">
        <f aca="false">H6059-I6059</f>
        <v>3.279</v>
      </c>
      <c r="K6059" s="41" t="n">
        <v>26.5</v>
      </c>
      <c r="L6059" s="42" t="n">
        <f aca="false">J6059*K6059</f>
        <v>86.8935</v>
      </c>
      <c r="M6059" s="43" t="n">
        <f aca="false">H6059*17.1*(1+'Chart of Accounts'!$E$67)</f>
        <v>66.17871</v>
      </c>
    </row>
    <row r="6060" customFormat="false" ht="15" hidden="false" customHeight="false" outlineLevel="0" collapsed="false">
      <c r="B6060" s="7" t="s">
        <v>6557</v>
      </c>
      <c r="C6060" s="39" t="n">
        <v>45940</v>
      </c>
      <c r="D6060" s="7" t="s">
        <v>401</v>
      </c>
      <c r="E6060" s="7" t="s">
        <v>156</v>
      </c>
      <c r="F6060" s="7" t="s">
        <v>254</v>
      </c>
      <c r="G6060" s="7" t="s">
        <v>505</v>
      </c>
      <c r="H6060" s="6" t="n">
        <v>3.95</v>
      </c>
      <c r="I6060" s="6" t="n">
        <v>0</v>
      </c>
      <c r="J6060" s="40" t="n">
        <f aca="false">H6060-I6060</f>
        <v>3.95</v>
      </c>
      <c r="K6060" s="41" t="n">
        <v>34</v>
      </c>
      <c r="L6060" s="42" t="n">
        <f aca="false">J6060*K6060</f>
        <v>134.3</v>
      </c>
      <c r="M6060" s="43" t="n">
        <f aca="false">H6060*17.1*(1+'Chart of Accounts'!$E$67)</f>
        <v>77.339025</v>
      </c>
    </row>
    <row r="6061" customFormat="false" ht="15" hidden="false" customHeight="false" outlineLevel="0" collapsed="false">
      <c r="B6061" s="7" t="s">
        <v>6558</v>
      </c>
      <c r="C6061" s="39" t="n">
        <v>45940</v>
      </c>
      <c r="D6061" s="7" t="s">
        <v>403</v>
      </c>
      <c r="E6061" s="7" t="s">
        <v>156</v>
      </c>
      <c r="F6061" s="7" t="s">
        <v>184</v>
      </c>
      <c r="G6061" s="7" t="s">
        <v>505</v>
      </c>
      <c r="H6061" s="6" t="n">
        <v>4.19</v>
      </c>
      <c r="I6061" s="6" t="n">
        <v>0</v>
      </c>
      <c r="J6061" s="40" t="n">
        <f aca="false">H6061-I6061</f>
        <v>4.19</v>
      </c>
      <c r="K6061" s="41" t="n">
        <v>34</v>
      </c>
      <c r="L6061" s="42" t="n">
        <f aca="false">J6061*K6061</f>
        <v>142.46</v>
      </c>
      <c r="M6061" s="43" t="n">
        <f aca="false">H6061*17.34*(1+'Chart of Accounts'!$E$67)</f>
        <v>83.189517</v>
      </c>
    </row>
    <row r="6062" customFormat="false" ht="15" hidden="false" customHeight="false" outlineLevel="0" collapsed="false">
      <c r="B6062" s="7" t="s">
        <v>6559</v>
      </c>
      <c r="C6062" s="39" t="n">
        <v>45940</v>
      </c>
      <c r="D6062" s="7" t="s">
        <v>407</v>
      </c>
      <c r="E6062" s="7" t="s">
        <v>159</v>
      </c>
      <c r="F6062" s="7" t="s">
        <v>260</v>
      </c>
      <c r="G6062" s="7" t="s">
        <v>502</v>
      </c>
      <c r="H6062" s="6" t="n">
        <v>1.05</v>
      </c>
      <c r="I6062" s="6" t="n">
        <v>0</v>
      </c>
      <c r="J6062" s="40" t="n">
        <f aca="false">H6062-I6062</f>
        <v>1.05</v>
      </c>
      <c r="K6062" s="41" t="n">
        <v>135</v>
      </c>
      <c r="L6062" s="42" t="n">
        <f aca="false">J6062*K6062</f>
        <v>141.75</v>
      </c>
      <c r="M6062" s="43" t="n">
        <f aca="false">H6062*79.8*(1+'Chart of Accounts'!$E$67)</f>
        <v>95.93955</v>
      </c>
    </row>
    <row r="6063" customFormat="false" ht="15" hidden="false" customHeight="false" outlineLevel="0" collapsed="false">
      <c r="B6063" s="7" t="s">
        <v>6560</v>
      </c>
      <c r="C6063" s="39" t="n">
        <v>45940</v>
      </c>
      <c r="D6063" s="7" t="s">
        <v>409</v>
      </c>
      <c r="E6063" s="7" t="s">
        <v>154</v>
      </c>
      <c r="F6063" s="7" t="s">
        <v>214</v>
      </c>
      <c r="G6063" s="7" t="s">
        <v>505</v>
      </c>
      <c r="H6063" s="6" t="n">
        <v>3.41</v>
      </c>
      <c r="I6063" s="6" t="n">
        <v>0.102</v>
      </c>
      <c r="J6063" s="40" t="n">
        <f aca="false">H6063-I6063</f>
        <v>3.308</v>
      </c>
      <c r="K6063" s="41" t="n">
        <v>26.5</v>
      </c>
      <c r="L6063" s="42" t="n">
        <f aca="false">J6063*K6063</f>
        <v>87.662</v>
      </c>
      <c r="M6063" s="43" t="n">
        <f aca="false">H6063*15.67*(1+'Chart of Accounts'!$E$67)</f>
        <v>61.1827315</v>
      </c>
    </row>
    <row r="6064" customFormat="false" ht="15" hidden="false" customHeight="false" outlineLevel="0" collapsed="false">
      <c r="B6064" s="7" t="s">
        <v>6561</v>
      </c>
      <c r="C6064" s="39" t="n">
        <v>45940</v>
      </c>
      <c r="D6064" s="7" t="s">
        <v>411</v>
      </c>
      <c r="E6064" s="7" t="s">
        <v>154</v>
      </c>
      <c r="F6064" s="7" t="s">
        <v>177</v>
      </c>
      <c r="G6064" s="7" t="s">
        <v>505</v>
      </c>
      <c r="H6064" s="6" t="n">
        <v>4.38</v>
      </c>
      <c r="I6064" s="6" t="n">
        <v>0</v>
      </c>
      <c r="J6064" s="40" t="n">
        <f aca="false">H6064-I6064</f>
        <v>4.38</v>
      </c>
      <c r="K6064" s="41" t="n">
        <v>26.5</v>
      </c>
      <c r="L6064" s="42" t="n">
        <f aca="false">J6064*K6064</f>
        <v>116.07</v>
      </c>
      <c r="M6064" s="43" t="n">
        <f aca="false">H6064*14.56*(1+'Chart of Accounts'!$E$67)</f>
        <v>73.019856</v>
      </c>
    </row>
    <row r="6065" customFormat="false" ht="15" hidden="false" customHeight="false" outlineLevel="0" collapsed="false">
      <c r="B6065" s="7" t="s">
        <v>6562</v>
      </c>
      <c r="C6065" s="39" t="n">
        <v>45941</v>
      </c>
      <c r="D6065" s="7" t="s">
        <v>288</v>
      </c>
      <c r="E6065" s="7" t="s">
        <v>156</v>
      </c>
      <c r="F6065" s="7" t="s">
        <v>220</v>
      </c>
      <c r="G6065" s="7" t="s">
        <v>505</v>
      </c>
      <c r="H6065" s="6" t="n">
        <v>4.03</v>
      </c>
      <c r="I6065" s="6" t="n">
        <v>0</v>
      </c>
      <c r="J6065" s="40" t="n">
        <f aca="false">H6065-I6065</f>
        <v>4.03</v>
      </c>
      <c r="K6065" s="41" t="n">
        <v>34</v>
      </c>
      <c r="L6065" s="42" t="n">
        <f aca="false">J6065*K6065</f>
        <v>137.02</v>
      </c>
      <c r="M6065" s="43" t="n">
        <f aca="false">H6065*16.43*(1+'Chart of Accounts'!$E$67)</f>
        <v>75.8137705</v>
      </c>
    </row>
    <row r="6066" customFormat="false" ht="15" hidden="false" customHeight="false" outlineLevel="0" collapsed="false">
      <c r="B6066" s="7" t="s">
        <v>6563</v>
      </c>
      <c r="C6066" s="39" t="n">
        <v>45941</v>
      </c>
      <c r="D6066" s="7" t="s">
        <v>321</v>
      </c>
      <c r="E6066" s="7" t="s">
        <v>154</v>
      </c>
      <c r="F6066" s="7" t="s">
        <v>218</v>
      </c>
      <c r="G6066" s="7" t="s">
        <v>505</v>
      </c>
      <c r="H6066" s="6" t="n">
        <v>4.36</v>
      </c>
      <c r="I6066" s="6" t="n">
        <v>0.131</v>
      </c>
      <c r="J6066" s="40" t="n">
        <f aca="false">H6066-I6066</f>
        <v>4.229</v>
      </c>
      <c r="K6066" s="41" t="n">
        <v>26.5</v>
      </c>
      <c r="L6066" s="42" t="n">
        <f aca="false">J6066*K6066</f>
        <v>112.0685</v>
      </c>
      <c r="M6066" s="43" t="n">
        <f aca="false">H6066*16.19*(1+'Chart of Accounts'!$E$67)</f>
        <v>80.823718</v>
      </c>
    </row>
    <row r="6067" customFormat="false" ht="15" hidden="false" customHeight="false" outlineLevel="0" collapsed="false">
      <c r="B6067" s="7" t="s">
        <v>6564</v>
      </c>
      <c r="C6067" s="39" t="n">
        <v>45941</v>
      </c>
      <c r="D6067" s="7" t="s">
        <v>359</v>
      </c>
      <c r="E6067" s="7" t="s">
        <v>156</v>
      </c>
      <c r="F6067" s="7" t="s">
        <v>224</v>
      </c>
      <c r="G6067" s="7" t="s">
        <v>505</v>
      </c>
      <c r="H6067" s="6" t="n">
        <v>4.06</v>
      </c>
      <c r="I6067" s="6" t="n">
        <v>0</v>
      </c>
      <c r="J6067" s="40" t="n">
        <f aca="false">H6067-I6067</f>
        <v>4.06</v>
      </c>
      <c r="K6067" s="41" t="n">
        <v>34</v>
      </c>
      <c r="L6067" s="42" t="n">
        <f aca="false">J6067*K6067</f>
        <v>138.04</v>
      </c>
      <c r="M6067" s="43" t="n">
        <f aca="false">H6067*14.93*(1+'Chart of Accounts'!$E$67)</f>
        <v>69.405091</v>
      </c>
    </row>
    <row r="6068" customFormat="false" ht="15" hidden="false" customHeight="false" outlineLevel="0" collapsed="false">
      <c r="B6068" s="7" t="s">
        <v>6565</v>
      </c>
      <c r="C6068" s="39" t="n">
        <v>45941</v>
      </c>
      <c r="D6068" s="7" t="s">
        <v>387</v>
      </c>
      <c r="E6068" s="7" t="s">
        <v>154</v>
      </c>
      <c r="F6068" s="7" t="s">
        <v>196</v>
      </c>
      <c r="G6068" s="7" t="s">
        <v>505</v>
      </c>
      <c r="H6068" s="6" t="n">
        <v>3.75</v>
      </c>
      <c r="I6068" s="6" t="n">
        <v>0.112</v>
      </c>
      <c r="J6068" s="40" t="n">
        <f aca="false">H6068-I6068</f>
        <v>3.638</v>
      </c>
      <c r="K6068" s="41" t="n">
        <v>26.5</v>
      </c>
      <c r="L6068" s="42" t="n">
        <f aca="false">J6068*K6068</f>
        <v>96.407</v>
      </c>
      <c r="M6068" s="43" t="n">
        <f aca="false">H6068*15.05*(1+'Chart of Accounts'!$E$67)</f>
        <v>64.6209375</v>
      </c>
    </row>
    <row r="6069" customFormat="false" ht="15" hidden="false" customHeight="false" outlineLevel="0" collapsed="false">
      <c r="B6069" s="7" t="s">
        <v>6566</v>
      </c>
      <c r="C6069" s="39" t="n">
        <v>45941</v>
      </c>
      <c r="D6069" s="7" t="s">
        <v>391</v>
      </c>
      <c r="E6069" s="7" t="s">
        <v>156</v>
      </c>
      <c r="F6069" s="7" t="s">
        <v>222</v>
      </c>
      <c r="G6069" s="7" t="s">
        <v>505</v>
      </c>
      <c r="H6069" s="6" t="n">
        <v>3.65</v>
      </c>
      <c r="I6069" s="6" t="n">
        <v>0</v>
      </c>
      <c r="J6069" s="40" t="n">
        <f aca="false">H6069-I6069</f>
        <v>3.65</v>
      </c>
      <c r="K6069" s="41" t="n">
        <v>34</v>
      </c>
      <c r="L6069" s="42" t="n">
        <f aca="false">J6069*K6069</f>
        <v>124.1</v>
      </c>
      <c r="M6069" s="43" t="n">
        <f aca="false">H6069*17.84*(1+'Chart of Accounts'!$E$67)</f>
        <v>74.55782</v>
      </c>
    </row>
    <row r="6070" customFormat="false" ht="15" hidden="false" customHeight="false" outlineLevel="0" collapsed="false">
      <c r="B6070" s="7" t="s">
        <v>6567</v>
      </c>
      <c r="C6070" s="39" t="n">
        <v>45941</v>
      </c>
      <c r="D6070" s="7" t="s">
        <v>395</v>
      </c>
      <c r="E6070" s="7" t="s">
        <v>156</v>
      </c>
      <c r="F6070" s="7" t="s">
        <v>242</v>
      </c>
      <c r="G6070" s="7" t="s">
        <v>505</v>
      </c>
      <c r="H6070" s="6" t="n">
        <v>3.99</v>
      </c>
      <c r="I6070" s="6" t="n">
        <v>0</v>
      </c>
      <c r="J6070" s="40" t="n">
        <f aca="false">H6070-I6070</f>
        <v>3.99</v>
      </c>
      <c r="K6070" s="41" t="n">
        <v>34</v>
      </c>
      <c r="L6070" s="42" t="n">
        <f aca="false">J6070*K6070</f>
        <v>135.66</v>
      </c>
      <c r="M6070" s="43" t="n">
        <f aca="false">H6070*17.99*(1+'Chart of Accounts'!$E$67)</f>
        <v>82.1882145</v>
      </c>
    </row>
    <row r="6071" customFormat="false" ht="15" hidden="false" customHeight="false" outlineLevel="0" collapsed="false">
      <c r="B6071" s="7" t="s">
        <v>6568</v>
      </c>
      <c r="C6071" s="39" t="n">
        <v>45941</v>
      </c>
      <c r="D6071" s="7" t="s">
        <v>401</v>
      </c>
      <c r="E6071" s="7" t="s">
        <v>156</v>
      </c>
      <c r="F6071" s="7" t="s">
        <v>254</v>
      </c>
      <c r="G6071" s="7" t="s">
        <v>505</v>
      </c>
      <c r="H6071" s="6" t="n">
        <v>3.61</v>
      </c>
      <c r="I6071" s="6" t="n">
        <v>0</v>
      </c>
      <c r="J6071" s="40" t="n">
        <f aca="false">H6071-I6071</f>
        <v>3.61</v>
      </c>
      <c r="K6071" s="41" t="n">
        <v>34</v>
      </c>
      <c r="L6071" s="42" t="n">
        <f aca="false">J6071*K6071</f>
        <v>122.74</v>
      </c>
      <c r="M6071" s="43" t="n">
        <f aca="false">H6071*17.1*(1+'Chart of Accounts'!$E$67)</f>
        <v>70.681995</v>
      </c>
    </row>
    <row r="6072" customFormat="false" ht="15" hidden="false" customHeight="false" outlineLevel="0" collapsed="false">
      <c r="B6072" s="7" t="s">
        <v>6569</v>
      </c>
      <c r="C6072" s="39" t="n">
        <v>45942</v>
      </c>
      <c r="D6072" s="7" t="s">
        <v>288</v>
      </c>
      <c r="E6072" s="7" t="s">
        <v>156</v>
      </c>
      <c r="F6072" s="7" t="s">
        <v>184</v>
      </c>
      <c r="G6072" s="7" t="s">
        <v>505</v>
      </c>
      <c r="H6072" s="6" t="n">
        <v>3.77</v>
      </c>
      <c r="I6072" s="6" t="n">
        <v>0</v>
      </c>
      <c r="J6072" s="40" t="n">
        <f aca="false">H6072-I6072</f>
        <v>3.77</v>
      </c>
      <c r="K6072" s="41" t="n">
        <v>34</v>
      </c>
      <c r="L6072" s="42" t="n">
        <f aca="false">J6072*K6072</f>
        <v>128.18</v>
      </c>
      <c r="M6072" s="43" t="n">
        <f aca="false">H6072*17.34*(1+'Chart of Accounts'!$E$67)</f>
        <v>74.850711</v>
      </c>
    </row>
    <row r="6073" customFormat="false" ht="15" hidden="false" customHeight="false" outlineLevel="0" collapsed="false">
      <c r="B6073" s="7" t="s">
        <v>6570</v>
      </c>
      <c r="C6073" s="39" t="n">
        <v>45942</v>
      </c>
      <c r="D6073" s="7" t="s">
        <v>321</v>
      </c>
      <c r="E6073" s="7" t="s">
        <v>154</v>
      </c>
      <c r="F6073" s="7" t="s">
        <v>218</v>
      </c>
      <c r="G6073" s="7" t="s">
        <v>505</v>
      </c>
      <c r="H6073" s="6" t="n">
        <v>4.04</v>
      </c>
      <c r="I6073" s="6" t="n">
        <v>0</v>
      </c>
      <c r="J6073" s="40" t="n">
        <f aca="false">H6073-I6073</f>
        <v>4.04</v>
      </c>
      <c r="K6073" s="41" t="n">
        <v>26.5</v>
      </c>
      <c r="L6073" s="42" t="n">
        <f aca="false">J6073*K6073</f>
        <v>107.06</v>
      </c>
      <c r="M6073" s="43" t="n">
        <f aca="false">H6073*16.19*(1+'Chart of Accounts'!$E$67)</f>
        <v>74.891702</v>
      </c>
    </row>
    <row r="6074" customFormat="false" ht="15" hidden="false" customHeight="false" outlineLevel="0" collapsed="false">
      <c r="B6074" s="7" t="s">
        <v>6571</v>
      </c>
      <c r="C6074" s="39" t="n">
        <v>45942</v>
      </c>
      <c r="D6074" s="7" t="s">
        <v>359</v>
      </c>
      <c r="E6074" s="7" t="s">
        <v>156</v>
      </c>
      <c r="F6074" s="7" t="s">
        <v>240</v>
      </c>
      <c r="G6074" s="7" t="s">
        <v>505</v>
      </c>
      <c r="H6074" s="6" t="n">
        <v>4.2</v>
      </c>
      <c r="I6074" s="6" t="n">
        <v>0</v>
      </c>
      <c r="J6074" s="40" t="n">
        <f aca="false">H6074-I6074</f>
        <v>4.2</v>
      </c>
      <c r="K6074" s="41" t="n">
        <v>34</v>
      </c>
      <c r="L6074" s="42" t="n">
        <f aca="false">J6074*K6074</f>
        <v>142.8</v>
      </c>
      <c r="M6074" s="43" t="n">
        <f aca="false">H6074*16.96*(1+'Chart of Accounts'!$E$67)</f>
        <v>81.56064</v>
      </c>
    </row>
    <row r="6075" customFormat="false" ht="15" hidden="false" customHeight="false" outlineLevel="0" collapsed="false">
      <c r="B6075" s="7" t="s">
        <v>6572</v>
      </c>
      <c r="C6075" s="39" t="n">
        <v>45942</v>
      </c>
      <c r="D6075" s="7" t="s">
        <v>391</v>
      </c>
      <c r="E6075" s="7" t="s">
        <v>156</v>
      </c>
      <c r="F6075" s="7" t="s">
        <v>222</v>
      </c>
      <c r="G6075" s="7" t="s">
        <v>505</v>
      </c>
      <c r="H6075" s="6" t="n">
        <v>4.02</v>
      </c>
      <c r="I6075" s="6" t="n">
        <v>0</v>
      </c>
      <c r="J6075" s="40" t="n">
        <f aca="false">H6075-I6075</f>
        <v>4.02</v>
      </c>
      <c r="K6075" s="41" t="n">
        <v>34</v>
      </c>
      <c r="L6075" s="42" t="n">
        <f aca="false">J6075*K6075</f>
        <v>136.68</v>
      </c>
      <c r="M6075" s="43" t="n">
        <f aca="false">H6075*17.84*(1+'Chart of Accounts'!$E$67)</f>
        <v>82.115736</v>
      </c>
    </row>
    <row r="6076" customFormat="false" ht="15" hidden="false" customHeight="false" outlineLevel="0" collapsed="false">
      <c r="B6076" s="7" t="s">
        <v>6573</v>
      </c>
      <c r="C6076" s="39" t="n">
        <v>45942</v>
      </c>
      <c r="D6076" s="7" t="s">
        <v>395</v>
      </c>
      <c r="E6076" s="7" t="s">
        <v>156</v>
      </c>
      <c r="F6076" s="7" t="s">
        <v>242</v>
      </c>
      <c r="G6076" s="7" t="s">
        <v>505</v>
      </c>
      <c r="H6076" s="6" t="n">
        <v>3.67</v>
      </c>
      <c r="I6076" s="6" t="n">
        <v>0</v>
      </c>
      <c r="J6076" s="40" t="n">
        <f aca="false">H6076-I6076</f>
        <v>3.67</v>
      </c>
      <c r="K6076" s="41" t="n">
        <v>34</v>
      </c>
      <c r="L6076" s="42" t="n">
        <f aca="false">J6076*K6076</f>
        <v>124.78</v>
      </c>
      <c r="M6076" s="43" t="n">
        <f aca="false">H6076*17.99*(1+'Chart of Accounts'!$E$67)</f>
        <v>75.5966785</v>
      </c>
    </row>
    <row r="6077" customFormat="false" ht="15" hidden="false" customHeight="false" outlineLevel="0" collapsed="false">
      <c r="B6077" s="7" t="s">
        <v>6574</v>
      </c>
      <c r="C6077" s="39" t="n">
        <v>45942</v>
      </c>
      <c r="D6077" s="7" t="s">
        <v>401</v>
      </c>
      <c r="E6077" s="7" t="s">
        <v>156</v>
      </c>
      <c r="F6077" s="7" t="s">
        <v>254</v>
      </c>
      <c r="G6077" s="7" t="s">
        <v>505</v>
      </c>
      <c r="H6077" s="6" t="n">
        <v>3.6</v>
      </c>
      <c r="I6077" s="6" t="n">
        <v>0</v>
      </c>
      <c r="J6077" s="40" t="n">
        <f aca="false">H6077-I6077</f>
        <v>3.6</v>
      </c>
      <c r="K6077" s="41" t="n">
        <v>34</v>
      </c>
      <c r="L6077" s="42" t="n">
        <f aca="false">J6077*K6077</f>
        <v>122.4</v>
      </c>
      <c r="M6077" s="43" t="n">
        <f aca="false">H6077*17.1*(1+'Chart of Accounts'!$E$67)</f>
        <v>70.4862</v>
      </c>
    </row>
    <row r="6078" customFormat="false" ht="15" hidden="false" customHeight="false" outlineLevel="0" collapsed="false">
      <c r="B6078" s="7" t="s">
        <v>6575</v>
      </c>
      <c r="C6078" s="39" t="n">
        <v>45943</v>
      </c>
      <c r="D6078" s="7" t="s">
        <v>288</v>
      </c>
      <c r="E6078" s="7" t="s">
        <v>156</v>
      </c>
      <c r="F6078" s="7" t="s">
        <v>201</v>
      </c>
      <c r="G6078" s="7" t="s">
        <v>505</v>
      </c>
      <c r="H6078" s="6" t="n">
        <v>3.67</v>
      </c>
      <c r="I6078" s="6" t="n">
        <v>0</v>
      </c>
      <c r="J6078" s="40" t="n">
        <f aca="false">H6078-I6078</f>
        <v>3.67</v>
      </c>
      <c r="K6078" s="41" t="n">
        <v>34</v>
      </c>
      <c r="L6078" s="42" t="n">
        <f aca="false">J6078*K6078</f>
        <v>124.78</v>
      </c>
      <c r="M6078" s="43" t="n">
        <f aca="false">H6078*15.19*(1+'Chart of Accounts'!$E$67)</f>
        <v>63.8306585</v>
      </c>
    </row>
    <row r="6079" customFormat="false" ht="15" hidden="false" customHeight="false" outlineLevel="0" collapsed="false">
      <c r="B6079" s="7" t="s">
        <v>6576</v>
      </c>
      <c r="C6079" s="39" t="n">
        <v>45943</v>
      </c>
      <c r="D6079" s="7" t="s">
        <v>291</v>
      </c>
      <c r="E6079" s="7" t="s">
        <v>154</v>
      </c>
      <c r="F6079" s="7" t="s">
        <v>194</v>
      </c>
      <c r="G6079" s="7" t="s">
        <v>505</v>
      </c>
      <c r="H6079" s="6" t="n">
        <v>4.33</v>
      </c>
      <c r="I6079" s="6" t="n">
        <v>0</v>
      </c>
      <c r="J6079" s="40" t="n">
        <f aca="false">H6079-I6079</f>
        <v>4.33</v>
      </c>
      <c r="K6079" s="41" t="n">
        <v>26.5</v>
      </c>
      <c r="L6079" s="42" t="n">
        <f aca="false">J6079*K6079</f>
        <v>114.745</v>
      </c>
      <c r="M6079" s="43" t="n">
        <f aca="false">H6079*16*(1+'Chart of Accounts'!$E$67)</f>
        <v>79.3256</v>
      </c>
    </row>
    <row r="6080" customFormat="false" ht="15" hidden="false" customHeight="false" outlineLevel="0" collapsed="false">
      <c r="B6080" s="7" t="s">
        <v>6577</v>
      </c>
      <c r="C6080" s="39" t="n">
        <v>45943</v>
      </c>
      <c r="D6080" s="7" t="s">
        <v>295</v>
      </c>
      <c r="E6080" s="7" t="s">
        <v>154</v>
      </c>
      <c r="F6080" s="7" t="s">
        <v>214</v>
      </c>
      <c r="G6080" s="7" t="s">
        <v>505</v>
      </c>
      <c r="H6080" s="6" t="n">
        <v>4.19</v>
      </c>
      <c r="I6080" s="6" t="n">
        <v>0</v>
      </c>
      <c r="J6080" s="40" t="n">
        <f aca="false">H6080-I6080</f>
        <v>4.19</v>
      </c>
      <c r="K6080" s="41" t="n">
        <v>26.5</v>
      </c>
      <c r="L6080" s="42" t="n">
        <f aca="false">J6080*K6080</f>
        <v>111.035</v>
      </c>
      <c r="M6080" s="43" t="n">
        <f aca="false">H6080*15.67*(1+'Chart of Accounts'!$E$67)</f>
        <v>75.1776085</v>
      </c>
    </row>
    <row r="6081" customFormat="false" ht="15" hidden="false" customHeight="false" outlineLevel="0" collapsed="false">
      <c r="B6081" s="7" t="s">
        <v>6578</v>
      </c>
      <c r="C6081" s="39" t="n">
        <v>45943</v>
      </c>
      <c r="D6081" s="7" t="s">
        <v>297</v>
      </c>
      <c r="E6081" s="7" t="s">
        <v>156</v>
      </c>
      <c r="F6081" s="7" t="s">
        <v>201</v>
      </c>
      <c r="G6081" s="7" t="s">
        <v>505</v>
      </c>
      <c r="H6081" s="6" t="n">
        <v>3.16</v>
      </c>
      <c r="I6081" s="6" t="n">
        <v>0</v>
      </c>
      <c r="J6081" s="40" t="n">
        <f aca="false">H6081-I6081</f>
        <v>3.16</v>
      </c>
      <c r="K6081" s="41" t="n">
        <v>34</v>
      </c>
      <c r="L6081" s="42" t="n">
        <f aca="false">J6081*K6081</f>
        <v>107.44</v>
      </c>
      <c r="M6081" s="43" t="n">
        <f aca="false">H6081*15.19*(1+'Chart of Accounts'!$E$67)</f>
        <v>54.960458</v>
      </c>
    </row>
    <row r="6082" customFormat="false" ht="15" hidden="false" customHeight="false" outlineLevel="0" collapsed="false">
      <c r="B6082" s="7" t="s">
        <v>6579</v>
      </c>
      <c r="C6082" s="39" t="n">
        <v>45943</v>
      </c>
      <c r="D6082" s="7" t="s">
        <v>303</v>
      </c>
      <c r="E6082" s="7" t="s">
        <v>154</v>
      </c>
      <c r="F6082" s="7" t="s">
        <v>240</v>
      </c>
      <c r="G6082" s="7" t="s">
        <v>505</v>
      </c>
      <c r="H6082" s="6" t="n">
        <v>4.09</v>
      </c>
      <c r="I6082" s="6" t="n">
        <v>0</v>
      </c>
      <c r="J6082" s="40" t="n">
        <f aca="false">H6082-I6082</f>
        <v>4.09</v>
      </c>
      <c r="K6082" s="41" t="n">
        <v>26.5</v>
      </c>
      <c r="L6082" s="42" t="n">
        <f aca="false">J6082*K6082</f>
        <v>108.385</v>
      </c>
      <c r="M6082" s="43" t="n">
        <f aca="false">H6082*16.96*(1+'Chart of Accounts'!$E$67)</f>
        <v>79.424528</v>
      </c>
    </row>
    <row r="6083" customFormat="false" ht="15" hidden="false" customHeight="false" outlineLevel="0" collapsed="false">
      <c r="B6083" s="7" t="s">
        <v>6580</v>
      </c>
      <c r="C6083" s="39" t="n">
        <v>45943</v>
      </c>
      <c r="D6083" s="7" t="s">
        <v>305</v>
      </c>
      <c r="E6083" s="7" t="s">
        <v>154</v>
      </c>
      <c r="F6083" s="7" t="s">
        <v>205</v>
      </c>
      <c r="G6083" s="7" t="s">
        <v>505</v>
      </c>
      <c r="H6083" s="6" t="n">
        <v>4.19</v>
      </c>
      <c r="I6083" s="6" t="n">
        <v>0</v>
      </c>
      <c r="J6083" s="40" t="n">
        <f aca="false">H6083-I6083</f>
        <v>4.19</v>
      </c>
      <c r="K6083" s="41" t="n">
        <v>26.5</v>
      </c>
      <c r="L6083" s="42" t="n">
        <f aca="false">J6083*K6083</f>
        <v>111.035</v>
      </c>
      <c r="M6083" s="43" t="n">
        <f aca="false">H6083*16.36*(1+'Chart of Accounts'!$E$67)</f>
        <v>78.487918</v>
      </c>
    </row>
    <row r="6084" customFormat="false" ht="15" hidden="false" customHeight="false" outlineLevel="0" collapsed="false">
      <c r="B6084" s="7" t="s">
        <v>6581</v>
      </c>
      <c r="C6084" s="39" t="n">
        <v>45943</v>
      </c>
      <c r="D6084" s="7" t="s">
        <v>307</v>
      </c>
      <c r="E6084" s="7" t="s">
        <v>157</v>
      </c>
      <c r="F6084" s="7" t="s">
        <v>264</v>
      </c>
      <c r="G6084" s="7" t="s">
        <v>502</v>
      </c>
      <c r="H6084" s="6" t="n">
        <v>1.09</v>
      </c>
      <c r="I6084" s="6" t="n">
        <v>0</v>
      </c>
      <c r="J6084" s="40" t="n">
        <f aca="false">H6084-I6084</f>
        <v>1.09</v>
      </c>
      <c r="K6084" s="41" t="n">
        <v>165</v>
      </c>
      <c r="L6084" s="42" t="n">
        <f aca="false">J6084*K6084</f>
        <v>179.85</v>
      </c>
      <c r="M6084" s="43" t="n">
        <f aca="false">H6084*55.55*(1+'Chart of Accounts'!$E$67)</f>
        <v>69.3291775</v>
      </c>
    </row>
    <row r="6085" customFormat="false" ht="15" hidden="false" customHeight="false" outlineLevel="0" collapsed="false">
      <c r="B6085" s="7" t="s">
        <v>6582</v>
      </c>
      <c r="C6085" s="39" t="n">
        <v>45943</v>
      </c>
      <c r="D6085" s="7" t="s">
        <v>309</v>
      </c>
      <c r="E6085" s="7" t="s">
        <v>159</v>
      </c>
      <c r="F6085" s="7" t="s">
        <v>252</v>
      </c>
      <c r="G6085" s="7" t="s">
        <v>502</v>
      </c>
      <c r="H6085" s="6" t="n">
        <v>1.01</v>
      </c>
      <c r="I6085" s="6" t="n">
        <v>0</v>
      </c>
      <c r="J6085" s="40" t="n">
        <f aca="false">H6085-I6085</f>
        <v>1.01</v>
      </c>
      <c r="K6085" s="41" t="n">
        <v>135</v>
      </c>
      <c r="L6085" s="42" t="n">
        <f aca="false">J6085*K6085</f>
        <v>136.35</v>
      </c>
      <c r="M6085" s="43" t="n">
        <f aca="false">H6085*57.54*(1+'Chart of Accounts'!$E$67)</f>
        <v>66.542133</v>
      </c>
    </row>
    <row r="6086" customFormat="false" ht="15" hidden="false" customHeight="false" outlineLevel="0" collapsed="false">
      <c r="B6086" s="7" t="s">
        <v>6583</v>
      </c>
      <c r="C6086" s="39" t="n">
        <v>45943</v>
      </c>
      <c r="D6086" s="7" t="s">
        <v>311</v>
      </c>
      <c r="E6086" s="7" t="s">
        <v>154</v>
      </c>
      <c r="F6086" s="7" t="s">
        <v>196</v>
      </c>
      <c r="G6086" s="7" t="s">
        <v>505</v>
      </c>
      <c r="H6086" s="6" t="n">
        <v>2.85</v>
      </c>
      <c r="I6086" s="6" t="n">
        <v>0</v>
      </c>
      <c r="J6086" s="40" t="n">
        <f aca="false">H6086-I6086</f>
        <v>2.85</v>
      </c>
      <c r="K6086" s="41" t="n">
        <v>26.5</v>
      </c>
      <c r="L6086" s="42" t="n">
        <f aca="false">J6086*K6086</f>
        <v>75.525</v>
      </c>
      <c r="M6086" s="43" t="n">
        <f aca="false">H6086*15.05*(1+'Chart of Accounts'!$E$67)</f>
        <v>49.1119125</v>
      </c>
    </row>
    <row r="6087" customFormat="false" ht="15" hidden="false" customHeight="false" outlineLevel="0" collapsed="false">
      <c r="B6087" s="7" t="s">
        <v>6584</v>
      </c>
      <c r="C6087" s="39" t="n">
        <v>45943</v>
      </c>
      <c r="D6087" s="7" t="s">
        <v>313</v>
      </c>
      <c r="E6087" s="7" t="s">
        <v>156</v>
      </c>
      <c r="F6087" s="7" t="s">
        <v>184</v>
      </c>
      <c r="G6087" s="7" t="s">
        <v>505</v>
      </c>
      <c r="H6087" s="6" t="n">
        <v>4.25</v>
      </c>
      <c r="I6087" s="6" t="n">
        <v>0</v>
      </c>
      <c r="J6087" s="40" t="n">
        <f aca="false">H6087-I6087</f>
        <v>4.25</v>
      </c>
      <c r="K6087" s="41" t="n">
        <v>34</v>
      </c>
      <c r="L6087" s="42" t="n">
        <f aca="false">J6087*K6087</f>
        <v>144.5</v>
      </c>
      <c r="M6087" s="43" t="n">
        <f aca="false">H6087*17.34*(1+'Chart of Accounts'!$E$67)</f>
        <v>84.380775</v>
      </c>
    </row>
    <row r="6088" customFormat="false" ht="15" hidden="false" customHeight="false" outlineLevel="0" collapsed="false">
      <c r="B6088" s="7" t="s">
        <v>6585</v>
      </c>
      <c r="C6088" s="39" t="n">
        <v>45943</v>
      </c>
      <c r="D6088" s="7" t="s">
        <v>315</v>
      </c>
      <c r="E6088" s="7" t="s">
        <v>159</v>
      </c>
      <c r="F6088" s="7" t="s">
        <v>216</v>
      </c>
      <c r="G6088" s="7" t="s">
        <v>502</v>
      </c>
      <c r="H6088" s="6" t="n">
        <v>1.04</v>
      </c>
      <c r="I6088" s="6" t="n">
        <v>0.073</v>
      </c>
      <c r="J6088" s="40" t="n">
        <f aca="false">H6088-I6088</f>
        <v>0.967</v>
      </c>
      <c r="K6088" s="41" t="n">
        <v>135</v>
      </c>
      <c r="L6088" s="42" t="n">
        <f aca="false">J6088*K6088</f>
        <v>130.545</v>
      </c>
      <c r="M6088" s="43" t="n">
        <f aca="false">H6088*61.79*(1+'Chart of Accounts'!$E$67)</f>
        <v>73.579532</v>
      </c>
    </row>
    <row r="6089" customFormat="false" ht="15" hidden="false" customHeight="false" outlineLevel="0" collapsed="false">
      <c r="B6089" s="7" t="s">
        <v>6586</v>
      </c>
      <c r="C6089" s="39" t="n">
        <v>45943</v>
      </c>
      <c r="D6089" s="7" t="s">
        <v>317</v>
      </c>
      <c r="E6089" s="7" t="s">
        <v>156</v>
      </c>
      <c r="F6089" s="7" t="s">
        <v>240</v>
      </c>
      <c r="G6089" s="7" t="s">
        <v>505</v>
      </c>
      <c r="H6089" s="6" t="n">
        <v>2.76</v>
      </c>
      <c r="I6089" s="6" t="n">
        <v>0</v>
      </c>
      <c r="J6089" s="40" t="n">
        <f aca="false">H6089-I6089</f>
        <v>2.76</v>
      </c>
      <c r="K6089" s="41" t="n">
        <v>34</v>
      </c>
      <c r="L6089" s="42" t="n">
        <f aca="false">J6089*K6089</f>
        <v>93.84</v>
      </c>
      <c r="M6089" s="43" t="n">
        <f aca="false">H6089*16.96*(1+'Chart of Accounts'!$E$67)</f>
        <v>53.596992</v>
      </c>
    </row>
    <row r="6090" customFormat="false" ht="15" hidden="false" customHeight="false" outlineLevel="0" collapsed="false">
      <c r="B6090" s="7" t="s">
        <v>6587</v>
      </c>
      <c r="C6090" s="39" t="n">
        <v>45943</v>
      </c>
      <c r="D6090" s="7" t="s">
        <v>321</v>
      </c>
      <c r="E6090" s="7" t="s">
        <v>154</v>
      </c>
      <c r="F6090" s="7" t="s">
        <v>218</v>
      </c>
      <c r="G6090" s="7" t="s">
        <v>505</v>
      </c>
      <c r="H6090" s="6" t="n">
        <v>3.68</v>
      </c>
      <c r="I6090" s="6" t="n">
        <v>0</v>
      </c>
      <c r="J6090" s="40" t="n">
        <f aca="false">H6090-I6090</f>
        <v>3.68</v>
      </c>
      <c r="K6090" s="41" t="n">
        <v>26.5</v>
      </c>
      <c r="L6090" s="42" t="n">
        <f aca="false">J6090*K6090</f>
        <v>97.52</v>
      </c>
      <c r="M6090" s="43" t="n">
        <f aca="false">H6090*16.19*(1+'Chart of Accounts'!$E$67)</f>
        <v>68.218184</v>
      </c>
    </row>
    <row r="6091" customFormat="false" ht="15" hidden="false" customHeight="false" outlineLevel="0" collapsed="false">
      <c r="B6091" s="7" t="s">
        <v>6588</v>
      </c>
      <c r="C6091" s="39" t="n">
        <v>45943</v>
      </c>
      <c r="D6091" s="7" t="s">
        <v>325</v>
      </c>
      <c r="E6091" s="7" t="s">
        <v>154</v>
      </c>
      <c r="F6091" s="7" t="s">
        <v>232</v>
      </c>
      <c r="G6091" s="7" t="s">
        <v>505</v>
      </c>
      <c r="H6091" s="6" t="n">
        <v>3.1</v>
      </c>
      <c r="I6091" s="6" t="n">
        <v>0</v>
      </c>
      <c r="J6091" s="40" t="n">
        <f aca="false">H6091-I6091</f>
        <v>3.1</v>
      </c>
      <c r="K6091" s="41" t="n">
        <v>26.5</v>
      </c>
      <c r="L6091" s="42" t="n">
        <f aca="false">J6091*K6091</f>
        <v>82.15</v>
      </c>
      <c r="M6091" s="43" t="n">
        <f aca="false">H6091*16.17*(1+'Chart of Accounts'!$E$67)</f>
        <v>57.395415</v>
      </c>
    </row>
    <row r="6092" customFormat="false" ht="15" hidden="false" customHeight="false" outlineLevel="0" collapsed="false">
      <c r="B6092" s="7" t="s">
        <v>6589</v>
      </c>
      <c r="C6092" s="39" t="n">
        <v>45943</v>
      </c>
      <c r="D6092" s="7" t="s">
        <v>329</v>
      </c>
      <c r="E6092" s="7" t="s">
        <v>156</v>
      </c>
      <c r="F6092" s="7" t="s">
        <v>220</v>
      </c>
      <c r="G6092" s="7" t="s">
        <v>505</v>
      </c>
      <c r="H6092" s="6" t="n">
        <v>3.86</v>
      </c>
      <c r="I6092" s="6" t="n">
        <v>0</v>
      </c>
      <c r="J6092" s="40" t="n">
        <f aca="false">H6092-I6092</f>
        <v>3.86</v>
      </c>
      <c r="K6092" s="41" t="n">
        <v>34</v>
      </c>
      <c r="L6092" s="42" t="n">
        <f aca="false">J6092*K6092</f>
        <v>131.24</v>
      </c>
      <c r="M6092" s="43" t="n">
        <f aca="false">H6092*16.43*(1+'Chart of Accounts'!$E$67)</f>
        <v>72.615671</v>
      </c>
    </row>
    <row r="6093" customFormat="false" ht="15" hidden="false" customHeight="false" outlineLevel="0" collapsed="false">
      <c r="B6093" s="7" t="s">
        <v>6590</v>
      </c>
      <c r="C6093" s="39" t="n">
        <v>45943</v>
      </c>
      <c r="D6093" s="7" t="s">
        <v>331</v>
      </c>
      <c r="E6093" s="7" t="s">
        <v>156</v>
      </c>
      <c r="F6093" s="7" t="s">
        <v>224</v>
      </c>
      <c r="G6093" s="7" t="s">
        <v>505</v>
      </c>
      <c r="H6093" s="6" t="n">
        <v>4.24</v>
      </c>
      <c r="I6093" s="6" t="n">
        <v>0</v>
      </c>
      <c r="J6093" s="40" t="n">
        <f aca="false">H6093-I6093</f>
        <v>4.24</v>
      </c>
      <c r="K6093" s="41" t="n">
        <v>34</v>
      </c>
      <c r="L6093" s="42" t="n">
        <f aca="false">J6093*K6093</f>
        <v>144.16</v>
      </c>
      <c r="M6093" s="43" t="n">
        <f aca="false">H6093*14.93*(1+'Chart of Accounts'!$E$67)</f>
        <v>72.482164</v>
      </c>
    </row>
    <row r="6094" customFormat="false" ht="15" hidden="false" customHeight="false" outlineLevel="0" collapsed="false">
      <c r="B6094" s="7" t="s">
        <v>6591</v>
      </c>
      <c r="C6094" s="39" t="n">
        <v>45943</v>
      </c>
      <c r="D6094" s="7" t="s">
        <v>333</v>
      </c>
      <c r="E6094" s="7" t="s">
        <v>154</v>
      </c>
      <c r="F6094" s="7" t="s">
        <v>236</v>
      </c>
      <c r="G6094" s="7" t="s">
        <v>505</v>
      </c>
      <c r="H6094" s="6" t="n">
        <v>3.42</v>
      </c>
      <c r="I6094" s="6" t="n">
        <v>0</v>
      </c>
      <c r="J6094" s="40" t="n">
        <f aca="false">H6094-I6094</f>
        <v>3.42</v>
      </c>
      <c r="K6094" s="41" t="n">
        <v>26.5</v>
      </c>
      <c r="L6094" s="42" t="n">
        <f aca="false">J6094*K6094</f>
        <v>90.63</v>
      </c>
      <c r="M6094" s="43" t="n">
        <f aca="false">H6094*15.49*(1+'Chart of Accounts'!$E$67)</f>
        <v>60.657291</v>
      </c>
    </row>
    <row r="6095" customFormat="false" ht="15" hidden="false" customHeight="false" outlineLevel="0" collapsed="false">
      <c r="B6095" s="7" t="s">
        <v>6592</v>
      </c>
      <c r="C6095" s="39" t="n">
        <v>45943</v>
      </c>
      <c r="D6095" s="7" t="s">
        <v>335</v>
      </c>
      <c r="E6095" s="7" t="s">
        <v>154</v>
      </c>
      <c r="F6095" s="7" t="s">
        <v>177</v>
      </c>
      <c r="G6095" s="7" t="s">
        <v>505</v>
      </c>
      <c r="H6095" s="6" t="n">
        <v>3.65</v>
      </c>
      <c r="I6095" s="6" t="n">
        <v>0</v>
      </c>
      <c r="J6095" s="40" t="n">
        <f aca="false">H6095-I6095</f>
        <v>3.65</v>
      </c>
      <c r="K6095" s="41" t="n">
        <v>26.5</v>
      </c>
      <c r="L6095" s="42" t="n">
        <f aca="false">J6095*K6095</f>
        <v>96.725</v>
      </c>
      <c r="M6095" s="43" t="n">
        <f aca="false">H6095*14.56*(1+'Chart of Accounts'!$E$67)</f>
        <v>60.84988</v>
      </c>
    </row>
    <row r="6096" customFormat="false" ht="15" hidden="false" customHeight="false" outlineLevel="0" collapsed="false">
      <c r="B6096" s="7" t="s">
        <v>6593</v>
      </c>
      <c r="C6096" s="39" t="n">
        <v>45943</v>
      </c>
      <c r="D6096" s="7" t="s">
        <v>339</v>
      </c>
      <c r="E6096" s="7" t="s">
        <v>154</v>
      </c>
      <c r="F6096" s="7" t="s">
        <v>242</v>
      </c>
      <c r="G6096" s="7" t="s">
        <v>505</v>
      </c>
      <c r="H6096" s="6" t="n">
        <v>3.19</v>
      </c>
      <c r="I6096" s="6" t="n">
        <v>0</v>
      </c>
      <c r="J6096" s="40" t="n">
        <f aca="false">H6096-I6096</f>
        <v>3.19</v>
      </c>
      <c r="K6096" s="41" t="n">
        <v>26.5</v>
      </c>
      <c r="L6096" s="42" t="n">
        <f aca="false">J6096*K6096</f>
        <v>84.535</v>
      </c>
      <c r="M6096" s="43" t="n">
        <f aca="false">H6096*17.99*(1+'Chart of Accounts'!$E$67)</f>
        <v>65.7093745</v>
      </c>
    </row>
    <row r="6097" customFormat="false" ht="15" hidden="false" customHeight="false" outlineLevel="0" collapsed="false">
      <c r="B6097" s="7" t="s">
        <v>6594</v>
      </c>
      <c r="C6097" s="39" t="n">
        <v>45943</v>
      </c>
      <c r="D6097" s="7" t="s">
        <v>341</v>
      </c>
      <c r="E6097" s="7" t="s">
        <v>156</v>
      </c>
      <c r="F6097" s="7" t="s">
        <v>222</v>
      </c>
      <c r="G6097" s="7" t="s">
        <v>505</v>
      </c>
      <c r="H6097" s="6" t="n">
        <v>2.93</v>
      </c>
      <c r="I6097" s="6" t="n">
        <v>0</v>
      </c>
      <c r="J6097" s="40" t="n">
        <f aca="false">H6097-I6097</f>
        <v>2.93</v>
      </c>
      <c r="K6097" s="41" t="n">
        <v>34</v>
      </c>
      <c r="L6097" s="42" t="n">
        <f aca="false">J6097*K6097</f>
        <v>99.62</v>
      </c>
      <c r="M6097" s="43" t="n">
        <f aca="false">H6097*17.84*(1+'Chart of Accounts'!$E$67)</f>
        <v>59.850524</v>
      </c>
    </row>
    <row r="6098" customFormat="false" ht="15" hidden="false" customHeight="false" outlineLevel="0" collapsed="false">
      <c r="B6098" s="7" t="s">
        <v>6595</v>
      </c>
      <c r="C6098" s="39" t="n">
        <v>45943</v>
      </c>
      <c r="D6098" s="7" t="s">
        <v>343</v>
      </c>
      <c r="E6098" s="7" t="s">
        <v>154</v>
      </c>
      <c r="F6098" s="7" t="s">
        <v>220</v>
      </c>
      <c r="G6098" s="7" t="s">
        <v>505</v>
      </c>
      <c r="H6098" s="6" t="n">
        <v>3.83</v>
      </c>
      <c r="I6098" s="6" t="n">
        <v>0</v>
      </c>
      <c r="J6098" s="40" t="n">
        <f aca="false">H6098-I6098</f>
        <v>3.83</v>
      </c>
      <c r="K6098" s="41" t="n">
        <v>26.5</v>
      </c>
      <c r="L6098" s="42" t="n">
        <f aca="false">J6098*K6098</f>
        <v>101.495</v>
      </c>
      <c r="M6098" s="43" t="n">
        <f aca="false">H6098*16.43*(1+'Chart of Accounts'!$E$67)</f>
        <v>72.0513005</v>
      </c>
    </row>
    <row r="6099" customFormat="false" ht="15" hidden="false" customHeight="false" outlineLevel="0" collapsed="false">
      <c r="B6099" s="7" t="s">
        <v>6596</v>
      </c>
      <c r="C6099" s="39" t="n">
        <v>45943</v>
      </c>
      <c r="D6099" s="7" t="s">
        <v>347</v>
      </c>
      <c r="E6099" s="7" t="s">
        <v>154</v>
      </c>
      <c r="F6099" s="7" t="s">
        <v>238</v>
      </c>
      <c r="G6099" s="7" t="s">
        <v>505</v>
      </c>
      <c r="H6099" s="6" t="n">
        <v>4.6</v>
      </c>
      <c r="I6099" s="6" t="n">
        <v>0.138</v>
      </c>
      <c r="J6099" s="40" t="n">
        <f aca="false">H6099-I6099</f>
        <v>4.462</v>
      </c>
      <c r="K6099" s="41" t="n">
        <v>26.5</v>
      </c>
      <c r="L6099" s="42" t="n">
        <f aca="false">J6099*K6099</f>
        <v>118.243</v>
      </c>
      <c r="M6099" s="43" t="n">
        <f aca="false">H6099*15.85*(1+'Chart of Accounts'!$E$67)</f>
        <v>83.48195</v>
      </c>
    </row>
    <row r="6100" customFormat="false" ht="15" hidden="false" customHeight="false" outlineLevel="0" collapsed="false">
      <c r="B6100" s="7" t="s">
        <v>6597</v>
      </c>
      <c r="C6100" s="39" t="n">
        <v>45943</v>
      </c>
      <c r="D6100" s="7" t="s">
        <v>349</v>
      </c>
      <c r="E6100" s="7" t="s">
        <v>154</v>
      </c>
      <c r="F6100" s="7" t="s">
        <v>244</v>
      </c>
      <c r="G6100" s="7" t="s">
        <v>505</v>
      </c>
      <c r="H6100" s="6" t="n">
        <v>3.65</v>
      </c>
      <c r="I6100" s="6" t="n">
        <v>0</v>
      </c>
      <c r="J6100" s="40" t="n">
        <f aca="false">H6100-I6100</f>
        <v>3.65</v>
      </c>
      <c r="K6100" s="41" t="n">
        <v>26.5</v>
      </c>
      <c r="L6100" s="42" t="n">
        <f aca="false">J6100*K6100</f>
        <v>96.725</v>
      </c>
      <c r="M6100" s="43" t="n">
        <f aca="false">H6100*16.39*(1+'Chart of Accounts'!$E$67)</f>
        <v>68.4979075</v>
      </c>
    </row>
    <row r="6101" customFormat="false" ht="15" hidden="false" customHeight="false" outlineLevel="0" collapsed="false">
      <c r="B6101" s="7" t="s">
        <v>6598</v>
      </c>
      <c r="C6101" s="39" t="n">
        <v>45943</v>
      </c>
      <c r="D6101" s="7" t="s">
        <v>351</v>
      </c>
      <c r="E6101" s="7" t="s">
        <v>154</v>
      </c>
      <c r="F6101" s="7" t="s">
        <v>201</v>
      </c>
      <c r="G6101" s="7" t="s">
        <v>505</v>
      </c>
      <c r="H6101" s="6" t="n">
        <v>3.13</v>
      </c>
      <c r="I6101" s="6" t="n">
        <v>0</v>
      </c>
      <c r="J6101" s="40" t="n">
        <f aca="false">H6101-I6101</f>
        <v>3.13</v>
      </c>
      <c r="K6101" s="41" t="n">
        <v>26.5</v>
      </c>
      <c r="L6101" s="42" t="n">
        <f aca="false">J6101*K6101</f>
        <v>82.945</v>
      </c>
      <c r="M6101" s="43" t="n">
        <f aca="false">H6101*15.19*(1+'Chart of Accounts'!$E$67)</f>
        <v>54.4386815</v>
      </c>
    </row>
    <row r="6102" customFormat="false" ht="15" hidden="false" customHeight="false" outlineLevel="0" collapsed="false">
      <c r="B6102" s="7" t="s">
        <v>6599</v>
      </c>
      <c r="C6102" s="39" t="n">
        <v>45943</v>
      </c>
      <c r="D6102" s="7" t="s">
        <v>353</v>
      </c>
      <c r="E6102" s="7" t="s">
        <v>154</v>
      </c>
      <c r="F6102" s="7" t="s">
        <v>254</v>
      </c>
      <c r="G6102" s="7" t="s">
        <v>505</v>
      </c>
      <c r="H6102" s="6" t="n">
        <v>3.36</v>
      </c>
      <c r="I6102" s="6" t="n">
        <v>0</v>
      </c>
      <c r="J6102" s="40" t="n">
        <f aca="false">H6102-I6102</f>
        <v>3.36</v>
      </c>
      <c r="K6102" s="41" t="n">
        <v>26.5</v>
      </c>
      <c r="L6102" s="42" t="n">
        <f aca="false">J6102*K6102</f>
        <v>89.04</v>
      </c>
      <c r="M6102" s="43" t="n">
        <f aca="false">H6102*17.1*(1+'Chart of Accounts'!$E$67)</f>
        <v>65.78712</v>
      </c>
    </row>
    <row r="6103" customFormat="false" ht="15" hidden="false" customHeight="false" outlineLevel="0" collapsed="false">
      <c r="B6103" s="7" t="s">
        <v>6600</v>
      </c>
      <c r="C6103" s="39" t="n">
        <v>45943</v>
      </c>
      <c r="D6103" s="7" t="s">
        <v>355</v>
      </c>
      <c r="E6103" s="7" t="s">
        <v>154</v>
      </c>
      <c r="F6103" s="7" t="s">
        <v>201</v>
      </c>
      <c r="G6103" s="7" t="s">
        <v>505</v>
      </c>
      <c r="H6103" s="6" t="n">
        <v>3.61</v>
      </c>
      <c r="I6103" s="6" t="n">
        <v>0</v>
      </c>
      <c r="J6103" s="40" t="n">
        <f aca="false">H6103-I6103</f>
        <v>3.61</v>
      </c>
      <c r="K6103" s="41" t="n">
        <v>26.5</v>
      </c>
      <c r="L6103" s="42" t="n">
        <f aca="false">J6103*K6103</f>
        <v>95.665</v>
      </c>
      <c r="M6103" s="43" t="n">
        <f aca="false">H6103*15.19*(1+'Chart of Accounts'!$E$67)</f>
        <v>62.7871055</v>
      </c>
    </row>
    <row r="6104" customFormat="false" ht="15" hidden="false" customHeight="false" outlineLevel="0" collapsed="false">
      <c r="B6104" s="7" t="s">
        <v>6601</v>
      </c>
      <c r="C6104" s="39" t="n">
        <v>45943</v>
      </c>
      <c r="D6104" s="7" t="s">
        <v>357</v>
      </c>
      <c r="E6104" s="7" t="s">
        <v>154</v>
      </c>
      <c r="F6104" s="7" t="s">
        <v>177</v>
      </c>
      <c r="G6104" s="7" t="s">
        <v>505</v>
      </c>
      <c r="H6104" s="6" t="n">
        <v>3.4</v>
      </c>
      <c r="I6104" s="6" t="n">
        <v>0.102</v>
      </c>
      <c r="J6104" s="40" t="n">
        <f aca="false">H6104-I6104</f>
        <v>3.298</v>
      </c>
      <c r="K6104" s="41" t="n">
        <v>26.5</v>
      </c>
      <c r="L6104" s="42" t="n">
        <f aca="false">J6104*K6104</f>
        <v>87.397</v>
      </c>
      <c r="M6104" s="43" t="n">
        <f aca="false">H6104*14.56*(1+'Chart of Accounts'!$E$67)</f>
        <v>56.68208</v>
      </c>
    </row>
    <row r="6105" customFormat="false" ht="15" hidden="false" customHeight="false" outlineLevel="0" collapsed="false">
      <c r="B6105" s="7" t="s">
        <v>6602</v>
      </c>
      <c r="C6105" s="39" t="n">
        <v>45943</v>
      </c>
      <c r="D6105" s="7" t="s">
        <v>359</v>
      </c>
      <c r="E6105" s="7" t="s">
        <v>156</v>
      </c>
      <c r="F6105" s="7" t="s">
        <v>244</v>
      </c>
      <c r="G6105" s="7" t="s">
        <v>505</v>
      </c>
      <c r="H6105" s="6" t="n">
        <v>4.31</v>
      </c>
      <c r="I6105" s="6" t="n">
        <v>0</v>
      </c>
      <c r="J6105" s="40" t="n">
        <f aca="false">H6105-I6105</f>
        <v>4.31</v>
      </c>
      <c r="K6105" s="41" t="n">
        <v>34</v>
      </c>
      <c r="L6105" s="42" t="n">
        <f aca="false">J6105*K6105</f>
        <v>146.54</v>
      </c>
      <c r="M6105" s="43" t="n">
        <f aca="false">H6105*16.39*(1+'Chart of Accounts'!$E$67)</f>
        <v>80.8838305</v>
      </c>
    </row>
    <row r="6106" customFormat="false" ht="15" hidden="false" customHeight="false" outlineLevel="0" collapsed="false">
      <c r="B6106" s="7" t="s">
        <v>6603</v>
      </c>
      <c r="C6106" s="39" t="n">
        <v>45943</v>
      </c>
      <c r="D6106" s="7" t="s">
        <v>363</v>
      </c>
      <c r="E6106" s="7" t="s">
        <v>156</v>
      </c>
      <c r="F6106" s="7" t="s">
        <v>246</v>
      </c>
      <c r="G6106" s="7" t="s">
        <v>505</v>
      </c>
      <c r="H6106" s="6" t="n">
        <v>4.31</v>
      </c>
      <c r="I6106" s="6" t="n">
        <v>0</v>
      </c>
      <c r="J6106" s="40" t="n">
        <f aca="false">H6106-I6106</f>
        <v>4.31</v>
      </c>
      <c r="K6106" s="41" t="n">
        <v>34</v>
      </c>
      <c r="L6106" s="42" t="n">
        <f aca="false">J6106*K6106</f>
        <v>146.54</v>
      </c>
      <c r="M6106" s="43" t="n">
        <f aca="false">H6106*16.48*(1+'Chart of Accounts'!$E$67)</f>
        <v>81.327976</v>
      </c>
    </row>
    <row r="6107" customFormat="false" ht="15" hidden="false" customHeight="false" outlineLevel="0" collapsed="false">
      <c r="B6107" s="7" t="s">
        <v>6604</v>
      </c>
      <c r="C6107" s="39" t="n">
        <v>45943</v>
      </c>
      <c r="D6107" s="7" t="s">
        <v>365</v>
      </c>
      <c r="E6107" s="7" t="s">
        <v>154</v>
      </c>
      <c r="F6107" s="7" t="s">
        <v>194</v>
      </c>
      <c r="G6107" s="7" t="s">
        <v>505</v>
      </c>
      <c r="H6107" s="6" t="n">
        <v>4.32</v>
      </c>
      <c r="I6107" s="6" t="n">
        <v>0</v>
      </c>
      <c r="J6107" s="40" t="n">
        <f aca="false">H6107-I6107</f>
        <v>4.32</v>
      </c>
      <c r="K6107" s="41" t="n">
        <v>26.5</v>
      </c>
      <c r="L6107" s="42" t="n">
        <f aca="false">J6107*K6107</f>
        <v>114.48</v>
      </c>
      <c r="M6107" s="43" t="n">
        <f aca="false">H6107*16*(1+'Chart of Accounts'!$E$67)</f>
        <v>79.1424</v>
      </c>
    </row>
    <row r="6108" customFormat="false" ht="15" hidden="false" customHeight="false" outlineLevel="0" collapsed="false">
      <c r="B6108" s="7" t="s">
        <v>6605</v>
      </c>
      <c r="C6108" s="39" t="n">
        <v>45943</v>
      </c>
      <c r="D6108" s="7" t="s">
        <v>371</v>
      </c>
      <c r="E6108" s="7" t="s">
        <v>154</v>
      </c>
      <c r="F6108" s="7" t="s">
        <v>232</v>
      </c>
      <c r="G6108" s="7" t="s">
        <v>505</v>
      </c>
      <c r="H6108" s="6" t="n">
        <v>4.53</v>
      </c>
      <c r="I6108" s="6" t="n">
        <v>0</v>
      </c>
      <c r="J6108" s="40" t="n">
        <f aca="false">H6108-I6108</f>
        <v>4.53</v>
      </c>
      <c r="K6108" s="41" t="n">
        <v>26.5</v>
      </c>
      <c r="L6108" s="42" t="n">
        <f aca="false">J6108*K6108</f>
        <v>120.045</v>
      </c>
      <c r="M6108" s="43" t="n">
        <f aca="false">H6108*16.17*(1+'Chart of Accounts'!$E$67)</f>
        <v>83.8713645</v>
      </c>
    </row>
    <row r="6109" customFormat="false" ht="15" hidden="false" customHeight="false" outlineLevel="0" collapsed="false">
      <c r="B6109" s="7" t="s">
        <v>6606</v>
      </c>
      <c r="C6109" s="39" t="n">
        <v>45943</v>
      </c>
      <c r="D6109" s="7" t="s">
        <v>375</v>
      </c>
      <c r="E6109" s="7" t="s">
        <v>156</v>
      </c>
      <c r="F6109" s="7" t="s">
        <v>196</v>
      </c>
      <c r="G6109" s="7" t="s">
        <v>505</v>
      </c>
      <c r="H6109" s="6" t="n">
        <v>2.8</v>
      </c>
      <c r="I6109" s="6" t="n">
        <v>0</v>
      </c>
      <c r="J6109" s="40" t="n">
        <f aca="false">H6109-I6109</f>
        <v>2.8</v>
      </c>
      <c r="K6109" s="41" t="n">
        <v>34</v>
      </c>
      <c r="L6109" s="42" t="n">
        <f aca="false">J6109*K6109</f>
        <v>95.2</v>
      </c>
      <c r="M6109" s="43" t="n">
        <f aca="false">H6109*15.05*(1+'Chart of Accounts'!$E$67)</f>
        <v>48.2503</v>
      </c>
    </row>
    <row r="6110" customFormat="false" ht="15" hidden="false" customHeight="false" outlineLevel="0" collapsed="false">
      <c r="B6110" s="7" t="s">
        <v>6607</v>
      </c>
      <c r="C6110" s="39" t="n">
        <v>45943</v>
      </c>
      <c r="D6110" s="7" t="s">
        <v>379</v>
      </c>
      <c r="E6110" s="7" t="s">
        <v>156</v>
      </c>
      <c r="F6110" s="7" t="s">
        <v>224</v>
      </c>
      <c r="G6110" s="7" t="s">
        <v>505</v>
      </c>
      <c r="H6110" s="6" t="n">
        <v>4.35</v>
      </c>
      <c r="I6110" s="6" t="n">
        <v>0</v>
      </c>
      <c r="J6110" s="40" t="n">
        <f aca="false">H6110-I6110</f>
        <v>4.35</v>
      </c>
      <c r="K6110" s="41" t="n">
        <v>34</v>
      </c>
      <c r="L6110" s="42" t="n">
        <f aca="false">J6110*K6110</f>
        <v>147.9</v>
      </c>
      <c r="M6110" s="43" t="n">
        <f aca="false">H6110*14.93*(1+'Chart of Accounts'!$E$67)</f>
        <v>74.3625975</v>
      </c>
    </row>
    <row r="6111" customFormat="false" ht="15" hidden="false" customHeight="false" outlineLevel="0" collapsed="false">
      <c r="B6111" s="7" t="s">
        <v>6608</v>
      </c>
      <c r="C6111" s="39" t="n">
        <v>45943</v>
      </c>
      <c r="D6111" s="7" t="s">
        <v>385</v>
      </c>
      <c r="E6111" s="7" t="s">
        <v>156</v>
      </c>
      <c r="F6111" s="7" t="s">
        <v>238</v>
      </c>
      <c r="G6111" s="7" t="s">
        <v>505</v>
      </c>
      <c r="H6111" s="6" t="n">
        <v>4.36</v>
      </c>
      <c r="I6111" s="6" t="n">
        <v>0</v>
      </c>
      <c r="J6111" s="40" t="n">
        <f aca="false">H6111-I6111</f>
        <v>4.36</v>
      </c>
      <c r="K6111" s="41" t="n">
        <v>34</v>
      </c>
      <c r="L6111" s="42" t="n">
        <f aca="false">J6111*K6111</f>
        <v>148.24</v>
      </c>
      <c r="M6111" s="43" t="n">
        <f aca="false">H6111*15.85*(1+'Chart of Accounts'!$E$67)</f>
        <v>79.12637</v>
      </c>
    </row>
    <row r="6112" customFormat="false" ht="15" hidden="false" customHeight="false" outlineLevel="0" collapsed="false">
      <c r="B6112" s="7" t="s">
        <v>6609</v>
      </c>
      <c r="C6112" s="39" t="n">
        <v>45943</v>
      </c>
      <c r="D6112" s="7" t="s">
        <v>387</v>
      </c>
      <c r="E6112" s="7" t="s">
        <v>154</v>
      </c>
      <c r="F6112" s="7" t="s">
        <v>196</v>
      </c>
      <c r="G6112" s="7" t="s">
        <v>505</v>
      </c>
      <c r="H6112" s="6" t="n">
        <v>4.04</v>
      </c>
      <c r="I6112" s="6" t="n">
        <v>0</v>
      </c>
      <c r="J6112" s="40" t="n">
        <f aca="false">H6112-I6112</f>
        <v>4.04</v>
      </c>
      <c r="K6112" s="41" t="n">
        <v>26.5</v>
      </c>
      <c r="L6112" s="42" t="n">
        <f aca="false">J6112*K6112</f>
        <v>107.06</v>
      </c>
      <c r="M6112" s="43" t="n">
        <f aca="false">H6112*15.05*(1+'Chart of Accounts'!$E$67)</f>
        <v>69.61829</v>
      </c>
    </row>
    <row r="6113" customFormat="false" ht="15" hidden="false" customHeight="false" outlineLevel="0" collapsed="false">
      <c r="B6113" s="7" t="s">
        <v>6610</v>
      </c>
      <c r="C6113" s="39" t="n">
        <v>45943</v>
      </c>
      <c r="D6113" s="7" t="s">
        <v>389</v>
      </c>
      <c r="E6113" s="7" t="s">
        <v>154</v>
      </c>
      <c r="F6113" s="7" t="s">
        <v>246</v>
      </c>
      <c r="G6113" s="7" t="s">
        <v>505</v>
      </c>
      <c r="H6113" s="6" t="n">
        <v>4.1</v>
      </c>
      <c r="I6113" s="6" t="n">
        <v>0</v>
      </c>
      <c r="J6113" s="40" t="n">
        <f aca="false">H6113-I6113</f>
        <v>4.1</v>
      </c>
      <c r="K6113" s="41" t="n">
        <v>26.5</v>
      </c>
      <c r="L6113" s="42" t="n">
        <f aca="false">J6113*K6113</f>
        <v>108.65</v>
      </c>
      <c r="M6113" s="43" t="n">
        <f aca="false">H6113*16.48*(1+'Chart of Accounts'!$E$67)</f>
        <v>77.36536</v>
      </c>
    </row>
    <row r="6114" customFormat="false" ht="15" hidden="false" customHeight="false" outlineLevel="0" collapsed="false">
      <c r="B6114" s="7" t="s">
        <v>6611</v>
      </c>
      <c r="C6114" s="39" t="n">
        <v>45943</v>
      </c>
      <c r="D6114" s="7" t="s">
        <v>395</v>
      </c>
      <c r="E6114" s="7" t="s">
        <v>156</v>
      </c>
      <c r="F6114" s="7" t="s">
        <v>242</v>
      </c>
      <c r="G6114" s="7" t="s">
        <v>505</v>
      </c>
      <c r="H6114" s="6" t="n">
        <v>4.29</v>
      </c>
      <c r="I6114" s="6" t="n">
        <v>0</v>
      </c>
      <c r="J6114" s="40" t="n">
        <f aca="false">H6114-I6114</f>
        <v>4.29</v>
      </c>
      <c r="K6114" s="41" t="n">
        <v>34</v>
      </c>
      <c r="L6114" s="42" t="n">
        <f aca="false">J6114*K6114</f>
        <v>145.86</v>
      </c>
      <c r="M6114" s="43" t="n">
        <f aca="false">H6114*17.99*(1+'Chart of Accounts'!$E$67)</f>
        <v>88.3677795</v>
      </c>
    </row>
    <row r="6115" customFormat="false" ht="15" hidden="false" customHeight="false" outlineLevel="0" collapsed="false">
      <c r="B6115" s="7" t="s">
        <v>6612</v>
      </c>
      <c r="C6115" s="39" t="n">
        <v>45943</v>
      </c>
      <c r="D6115" s="7" t="s">
        <v>399</v>
      </c>
      <c r="E6115" s="7" t="s">
        <v>154</v>
      </c>
      <c r="F6115" s="7" t="s">
        <v>218</v>
      </c>
      <c r="G6115" s="7" t="s">
        <v>505</v>
      </c>
      <c r="H6115" s="6" t="n">
        <v>3.04</v>
      </c>
      <c r="I6115" s="6" t="n">
        <v>0.091</v>
      </c>
      <c r="J6115" s="40" t="n">
        <f aca="false">H6115-I6115</f>
        <v>2.949</v>
      </c>
      <c r="K6115" s="41" t="n">
        <v>26.5</v>
      </c>
      <c r="L6115" s="42" t="n">
        <f aca="false">J6115*K6115</f>
        <v>78.1485</v>
      </c>
      <c r="M6115" s="43" t="n">
        <f aca="false">H6115*16.19*(1+'Chart of Accounts'!$E$67)</f>
        <v>56.354152</v>
      </c>
    </row>
    <row r="6116" customFormat="false" ht="15" hidden="false" customHeight="false" outlineLevel="0" collapsed="false">
      <c r="B6116" s="7" t="s">
        <v>6613</v>
      </c>
      <c r="C6116" s="39" t="n">
        <v>45943</v>
      </c>
      <c r="D6116" s="7" t="s">
        <v>403</v>
      </c>
      <c r="E6116" s="7" t="s">
        <v>156</v>
      </c>
      <c r="F6116" s="7" t="s">
        <v>184</v>
      </c>
      <c r="G6116" s="7" t="s">
        <v>505</v>
      </c>
      <c r="H6116" s="6" t="n">
        <v>3.7</v>
      </c>
      <c r="I6116" s="6" t="n">
        <v>0</v>
      </c>
      <c r="J6116" s="40" t="n">
        <f aca="false">H6116-I6116</f>
        <v>3.7</v>
      </c>
      <c r="K6116" s="41" t="n">
        <v>34</v>
      </c>
      <c r="L6116" s="42" t="n">
        <f aca="false">J6116*K6116</f>
        <v>125.8</v>
      </c>
      <c r="M6116" s="43" t="n">
        <f aca="false">H6116*17.34*(1+'Chart of Accounts'!$E$67)</f>
        <v>73.46091</v>
      </c>
    </row>
    <row r="6117" customFormat="false" ht="15" hidden="false" customHeight="false" outlineLevel="0" collapsed="false">
      <c r="B6117" s="7" t="s">
        <v>6614</v>
      </c>
      <c r="C6117" s="39" t="n">
        <v>45943</v>
      </c>
      <c r="D6117" s="7" t="s">
        <v>409</v>
      </c>
      <c r="E6117" s="7" t="s">
        <v>154</v>
      </c>
      <c r="F6117" s="7" t="s">
        <v>214</v>
      </c>
      <c r="G6117" s="7" t="s">
        <v>505</v>
      </c>
      <c r="H6117" s="6" t="n">
        <v>3.06</v>
      </c>
      <c r="I6117" s="6" t="n">
        <v>0</v>
      </c>
      <c r="J6117" s="40" t="n">
        <f aca="false">H6117-I6117</f>
        <v>3.06</v>
      </c>
      <c r="K6117" s="41" t="n">
        <v>26.5</v>
      </c>
      <c r="L6117" s="42" t="n">
        <f aca="false">J6117*K6117</f>
        <v>81.09</v>
      </c>
      <c r="M6117" s="43" t="n">
        <f aca="false">H6117*15.67*(1+'Chart of Accounts'!$E$67)</f>
        <v>54.902979</v>
      </c>
    </row>
    <row r="6118" customFormat="false" ht="15" hidden="false" customHeight="false" outlineLevel="0" collapsed="false">
      <c r="B6118" s="7" t="s">
        <v>6615</v>
      </c>
      <c r="C6118" s="39" t="n">
        <v>45943</v>
      </c>
      <c r="D6118" s="7" t="s">
        <v>411</v>
      </c>
      <c r="E6118" s="7" t="s">
        <v>154</v>
      </c>
      <c r="F6118" s="7" t="s">
        <v>177</v>
      </c>
      <c r="G6118" s="7" t="s">
        <v>505</v>
      </c>
      <c r="H6118" s="6" t="n">
        <v>5.05</v>
      </c>
      <c r="I6118" s="6" t="n">
        <v>0</v>
      </c>
      <c r="J6118" s="40" t="n">
        <f aca="false">H6118-I6118</f>
        <v>5.05</v>
      </c>
      <c r="K6118" s="41" t="n">
        <v>26.5</v>
      </c>
      <c r="L6118" s="42" t="n">
        <f aca="false">J6118*K6118</f>
        <v>133.825</v>
      </c>
      <c r="M6118" s="43" t="n">
        <f aca="false">H6118*14.56*(1+'Chart of Accounts'!$E$67)</f>
        <v>84.18956</v>
      </c>
    </row>
    <row r="6119" customFormat="false" ht="15" hidden="false" customHeight="false" outlineLevel="0" collapsed="false">
      <c r="B6119" s="7" t="s">
        <v>6616</v>
      </c>
      <c r="C6119" s="39" t="n">
        <v>45944</v>
      </c>
      <c r="D6119" s="7" t="s">
        <v>288</v>
      </c>
      <c r="E6119" s="7" t="s">
        <v>156</v>
      </c>
      <c r="F6119" s="7" t="s">
        <v>238</v>
      </c>
      <c r="G6119" s="7" t="s">
        <v>505</v>
      </c>
      <c r="H6119" s="6" t="n">
        <v>4.05</v>
      </c>
      <c r="I6119" s="6" t="n">
        <v>0</v>
      </c>
      <c r="J6119" s="40" t="n">
        <f aca="false">H6119-I6119</f>
        <v>4.05</v>
      </c>
      <c r="K6119" s="41" t="n">
        <v>34</v>
      </c>
      <c r="L6119" s="42" t="n">
        <f aca="false">J6119*K6119</f>
        <v>137.7</v>
      </c>
      <c r="M6119" s="43" t="n">
        <f aca="false">H6119*15.85*(1+'Chart of Accounts'!$E$67)</f>
        <v>73.5004125</v>
      </c>
    </row>
    <row r="6120" customFormat="false" ht="15" hidden="false" customHeight="false" outlineLevel="0" collapsed="false">
      <c r="B6120" s="7" t="s">
        <v>6617</v>
      </c>
      <c r="C6120" s="39" t="n">
        <v>45944</v>
      </c>
      <c r="D6120" s="7" t="s">
        <v>293</v>
      </c>
      <c r="E6120" s="7" t="s">
        <v>157</v>
      </c>
      <c r="F6120" s="7" t="s">
        <v>198</v>
      </c>
      <c r="G6120" s="7" t="s">
        <v>502</v>
      </c>
      <c r="H6120" s="6" t="n">
        <v>0.92</v>
      </c>
      <c r="I6120" s="6" t="n">
        <v>0</v>
      </c>
      <c r="J6120" s="40" t="n">
        <f aca="false">H6120-I6120</f>
        <v>0.92</v>
      </c>
      <c r="K6120" s="41" t="n">
        <v>165</v>
      </c>
      <c r="L6120" s="42" t="n">
        <f aca="false">J6120*K6120</f>
        <v>151.8</v>
      </c>
      <c r="M6120" s="43" t="n">
        <f aca="false">H6120*48.09*(1+'Chart of Accounts'!$E$67)</f>
        <v>50.658006</v>
      </c>
    </row>
    <row r="6121" customFormat="false" ht="15" hidden="false" customHeight="false" outlineLevel="0" collapsed="false">
      <c r="B6121" s="7" t="s">
        <v>6618</v>
      </c>
      <c r="C6121" s="39" t="n">
        <v>45944</v>
      </c>
      <c r="D6121" s="7" t="s">
        <v>301</v>
      </c>
      <c r="E6121" s="7" t="s">
        <v>157</v>
      </c>
      <c r="F6121" s="7" t="s">
        <v>209</v>
      </c>
      <c r="G6121" s="7" t="s">
        <v>502</v>
      </c>
      <c r="H6121" s="6" t="n">
        <v>1.09</v>
      </c>
      <c r="I6121" s="6" t="n">
        <v>0.055</v>
      </c>
      <c r="J6121" s="40" t="n">
        <f aca="false">H6121-I6121</f>
        <v>1.035</v>
      </c>
      <c r="K6121" s="41" t="n">
        <v>165</v>
      </c>
      <c r="L6121" s="42" t="n">
        <f aca="false">J6121*K6121</f>
        <v>170.775</v>
      </c>
      <c r="M6121" s="43" t="n">
        <f aca="false">H6121*73.58*(1+'Chart of Accounts'!$E$67)</f>
        <v>91.831519</v>
      </c>
    </row>
    <row r="6122" customFormat="false" ht="15" hidden="false" customHeight="false" outlineLevel="0" collapsed="false">
      <c r="B6122" s="7" t="s">
        <v>6619</v>
      </c>
      <c r="C6122" s="39" t="n">
        <v>45944</v>
      </c>
      <c r="D6122" s="7" t="s">
        <v>313</v>
      </c>
      <c r="E6122" s="7" t="s">
        <v>156</v>
      </c>
      <c r="F6122" s="7" t="s">
        <v>184</v>
      </c>
      <c r="G6122" s="7" t="s">
        <v>505</v>
      </c>
      <c r="H6122" s="6" t="n">
        <v>4.19</v>
      </c>
      <c r="I6122" s="6" t="n">
        <v>0</v>
      </c>
      <c r="J6122" s="40" t="n">
        <f aca="false">H6122-I6122</f>
        <v>4.19</v>
      </c>
      <c r="K6122" s="41" t="n">
        <v>34</v>
      </c>
      <c r="L6122" s="42" t="n">
        <f aca="false">J6122*K6122</f>
        <v>142.46</v>
      </c>
      <c r="M6122" s="43" t="n">
        <f aca="false">H6122*17.34*(1+'Chart of Accounts'!$E$67)</f>
        <v>83.189517</v>
      </c>
    </row>
    <row r="6123" customFormat="false" ht="15" hidden="false" customHeight="false" outlineLevel="0" collapsed="false">
      <c r="B6123" s="7" t="s">
        <v>6620</v>
      </c>
      <c r="C6123" s="39" t="n">
        <v>45944</v>
      </c>
      <c r="D6123" s="7" t="s">
        <v>319</v>
      </c>
      <c r="E6123" s="7" t="s">
        <v>157</v>
      </c>
      <c r="F6123" s="7" t="s">
        <v>234</v>
      </c>
      <c r="G6123" s="7" t="s">
        <v>502</v>
      </c>
      <c r="H6123" s="6" t="n">
        <v>1.09</v>
      </c>
      <c r="I6123" s="6" t="n">
        <v>0</v>
      </c>
      <c r="J6123" s="40" t="n">
        <f aca="false">H6123-I6123</f>
        <v>1.09</v>
      </c>
      <c r="K6123" s="41" t="n">
        <v>165</v>
      </c>
      <c r="L6123" s="42" t="n">
        <f aca="false">J6123*K6123</f>
        <v>179.85</v>
      </c>
      <c r="M6123" s="43" t="n">
        <f aca="false">H6123*89.53*(1+'Chart of Accounts'!$E$67)</f>
        <v>111.7379165</v>
      </c>
    </row>
    <row r="6124" customFormat="false" ht="15" hidden="false" customHeight="false" outlineLevel="0" collapsed="false">
      <c r="B6124" s="7" t="s">
        <v>6621</v>
      </c>
      <c r="C6124" s="39" t="n">
        <v>45944</v>
      </c>
      <c r="D6124" s="7" t="s">
        <v>321</v>
      </c>
      <c r="E6124" s="7" t="s">
        <v>154</v>
      </c>
      <c r="F6124" s="7" t="s">
        <v>218</v>
      </c>
      <c r="G6124" s="7" t="s">
        <v>505</v>
      </c>
      <c r="H6124" s="6" t="n">
        <v>4.38</v>
      </c>
      <c r="I6124" s="6" t="n">
        <v>0</v>
      </c>
      <c r="J6124" s="40" t="n">
        <f aca="false">H6124-I6124</f>
        <v>4.38</v>
      </c>
      <c r="K6124" s="41" t="n">
        <v>26.5</v>
      </c>
      <c r="L6124" s="42" t="n">
        <f aca="false">J6124*K6124</f>
        <v>116.07</v>
      </c>
      <c r="M6124" s="43" t="n">
        <f aca="false">H6124*16.19*(1+'Chart of Accounts'!$E$67)</f>
        <v>81.194469</v>
      </c>
    </row>
    <row r="6125" customFormat="false" ht="15" hidden="false" customHeight="false" outlineLevel="0" collapsed="false">
      <c r="B6125" s="7" t="s">
        <v>6622</v>
      </c>
      <c r="C6125" s="39" t="n">
        <v>45944</v>
      </c>
      <c r="D6125" s="7" t="s">
        <v>323</v>
      </c>
      <c r="E6125" s="7" t="s">
        <v>159</v>
      </c>
      <c r="F6125" s="7" t="s">
        <v>260</v>
      </c>
      <c r="G6125" s="7" t="s">
        <v>502</v>
      </c>
      <c r="H6125" s="6" t="n">
        <v>0.91</v>
      </c>
      <c r="I6125" s="6" t="n">
        <v>0</v>
      </c>
      <c r="J6125" s="40" t="n">
        <f aca="false">H6125-I6125</f>
        <v>0.91</v>
      </c>
      <c r="K6125" s="41" t="n">
        <v>135</v>
      </c>
      <c r="L6125" s="42" t="n">
        <f aca="false">J6125*K6125</f>
        <v>122.85</v>
      </c>
      <c r="M6125" s="43" t="n">
        <f aca="false">H6125*79.8*(1+'Chart of Accounts'!$E$67)</f>
        <v>83.14761</v>
      </c>
    </row>
    <row r="6126" customFormat="false" ht="15" hidden="false" customHeight="false" outlineLevel="0" collapsed="false">
      <c r="B6126" s="7" t="s">
        <v>6623</v>
      </c>
      <c r="C6126" s="39" t="n">
        <v>45944</v>
      </c>
      <c r="D6126" s="7" t="s">
        <v>327</v>
      </c>
      <c r="E6126" s="7" t="s">
        <v>157</v>
      </c>
      <c r="F6126" s="7" t="s">
        <v>228</v>
      </c>
      <c r="G6126" s="7" t="s">
        <v>502</v>
      </c>
      <c r="H6126" s="6" t="n">
        <v>0.93</v>
      </c>
      <c r="I6126" s="6" t="n">
        <v>0</v>
      </c>
      <c r="J6126" s="40" t="n">
        <f aca="false">H6126-I6126</f>
        <v>0.93</v>
      </c>
      <c r="K6126" s="41" t="n">
        <v>165</v>
      </c>
      <c r="L6126" s="42" t="n">
        <f aca="false">J6126*K6126</f>
        <v>153.45</v>
      </c>
      <c r="M6126" s="43" t="n">
        <f aca="false">H6126*51.07*(1+'Chart of Accounts'!$E$67)</f>
        <v>54.3818895</v>
      </c>
    </row>
    <row r="6127" customFormat="false" ht="15" hidden="false" customHeight="false" outlineLevel="0" collapsed="false">
      <c r="B6127" s="7" t="s">
        <v>6624</v>
      </c>
      <c r="C6127" s="39" t="n">
        <v>45944</v>
      </c>
      <c r="D6127" s="7" t="s">
        <v>329</v>
      </c>
      <c r="E6127" s="7" t="s">
        <v>156</v>
      </c>
      <c r="F6127" s="7" t="s">
        <v>220</v>
      </c>
      <c r="G6127" s="7" t="s">
        <v>505</v>
      </c>
      <c r="H6127" s="6" t="n">
        <v>4.28</v>
      </c>
      <c r="I6127" s="6" t="n">
        <v>0</v>
      </c>
      <c r="J6127" s="40" t="n">
        <f aca="false">H6127-I6127</f>
        <v>4.28</v>
      </c>
      <c r="K6127" s="41" t="n">
        <v>34</v>
      </c>
      <c r="L6127" s="42" t="n">
        <f aca="false">J6127*K6127</f>
        <v>145.52</v>
      </c>
      <c r="M6127" s="43" t="n">
        <f aca="false">H6127*16.43*(1+'Chart of Accounts'!$E$67)</f>
        <v>80.516858</v>
      </c>
    </row>
    <row r="6128" customFormat="false" ht="15" hidden="false" customHeight="false" outlineLevel="0" collapsed="false">
      <c r="B6128" s="7" t="s">
        <v>6625</v>
      </c>
      <c r="C6128" s="39" t="n">
        <v>45944</v>
      </c>
      <c r="D6128" s="7" t="s">
        <v>349</v>
      </c>
      <c r="E6128" s="7" t="s">
        <v>154</v>
      </c>
      <c r="F6128" s="7" t="s">
        <v>244</v>
      </c>
      <c r="G6128" s="7" t="s">
        <v>505</v>
      </c>
      <c r="H6128" s="6" t="n">
        <v>3.62</v>
      </c>
      <c r="I6128" s="6" t="n">
        <v>0</v>
      </c>
      <c r="J6128" s="40" t="n">
        <f aca="false">H6128-I6128</f>
        <v>3.62</v>
      </c>
      <c r="K6128" s="41" t="n">
        <v>26.5</v>
      </c>
      <c r="L6128" s="42" t="n">
        <f aca="false">J6128*K6128</f>
        <v>95.93</v>
      </c>
      <c r="M6128" s="43" t="n">
        <f aca="false">H6128*16.39*(1+'Chart of Accounts'!$E$67)</f>
        <v>67.934911</v>
      </c>
    </row>
    <row r="6129" customFormat="false" ht="15" hidden="false" customHeight="false" outlineLevel="0" collapsed="false">
      <c r="B6129" s="7" t="s">
        <v>6626</v>
      </c>
      <c r="C6129" s="39" t="n">
        <v>45944</v>
      </c>
      <c r="D6129" s="7" t="s">
        <v>359</v>
      </c>
      <c r="E6129" s="7" t="s">
        <v>156</v>
      </c>
      <c r="F6129" s="7" t="s">
        <v>214</v>
      </c>
      <c r="G6129" s="7" t="s">
        <v>505</v>
      </c>
      <c r="H6129" s="6" t="n">
        <v>3.61</v>
      </c>
      <c r="I6129" s="6" t="n">
        <v>0</v>
      </c>
      <c r="J6129" s="40" t="n">
        <f aca="false">H6129-I6129</f>
        <v>3.61</v>
      </c>
      <c r="K6129" s="41" t="n">
        <v>34</v>
      </c>
      <c r="L6129" s="42" t="n">
        <f aca="false">J6129*K6129</f>
        <v>122.74</v>
      </c>
      <c r="M6129" s="43" t="n">
        <f aca="false">H6129*15.67*(1+'Chart of Accounts'!$E$67)</f>
        <v>64.7711615</v>
      </c>
    </row>
    <row r="6130" customFormat="false" ht="15" hidden="false" customHeight="false" outlineLevel="0" collapsed="false">
      <c r="B6130" s="7" t="s">
        <v>6627</v>
      </c>
      <c r="C6130" s="39" t="n">
        <v>45944</v>
      </c>
      <c r="D6130" s="7" t="s">
        <v>361</v>
      </c>
      <c r="E6130" s="7" t="s">
        <v>157</v>
      </c>
      <c r="F6130" s="7" t="s">
        <v>209</v>
      </c>
      <c r="G6130" s="7" t="s">
        <v>502</v>
      </c>
      <c r="H6130" s="6" t="n">
        <v>0.96</v>
      </c>
      <c r="I6130" s="6" t="n">
        <v>0</v>
      </c>
      <c r="J6130" s="40" t="n">
        <f aca="false">H6130-I6130</f>
        <v>0.96</v>
      </c>
      <c r="K6130" s="41" t="n">
        <v>165</v>
      </c>
      <c r="L6130" s="42" t="n">
        <f aca="false">J6130*K6130</f>
        <v>158.4</v>
      </c>
      <c r="M6130" s="43" t="n">
        <f aca="false">H6130*73.58*(1+'Chart of Accounts'!$E$67)</f>
        <v>80.879136</v>
      </c>
    </row>
    <row r="6131" customFormat="false" ht="15" hidden="false" customHeight="false" outlineLevel="0" collapsed="false">
      <c r="B6131" s="7" t="s">
        <v>6628</v>
      </c>
      <c r="C6131" s="39" t="n">
        <v>45944</v>
      </c>
      <c r="D6131" s="7" t="s">
        <v>365</v>
      </c>
      <c r="E6131" s="7" t="s">
        <v>154</v>
      </c>
      <c r="F6131" s="7" t="s">
        <v>194</v>
      </c>
      <c r="G6131" s="7" t="s">
        <v>505</v>
      </c>
      <c r="H6131" s="6" t="n">
        <v>3.88</v>
      </c>
      <c r="I6131" s="6" t="n">
        <v>0.116</v>
      </c>
      <c r="J6131" s="40" t="n">
        <f aca="false">H6131-I6131</f>
        <v>3.764</v>
      </c>
      <c r="K6131" s="41" t="n">
        <v>26.5</v>
      </c>
      <c r="L6131" s="42" t="n">
        <f aca="false">J6131*K6131</f>
        <v>99.746</v>
      </c>
      <c r="M6131" s="43" t="n">
        <f aca="false">H6131*16*(1+'Chart of Accounts'!$E$67)</f>
        <v>71.0816</v>
      </c>
    </row>
    <row r="6132" customFormat="false" ht="15" hidden="false" customHeight="false" outlineLevel="0" collapsed="false">
      <c r="B6132" s="7" t="s">
        <v>6629</v>
      </c>
      <c r="C6132" s="39" t="n">
        <v>45944</v>
      </c>
      <c r="D6132" s="7" t="s">
        <v>369</v>
      </c>
      <c r="E6132" s="7" t="s">
        <v>159</v>
      </c>
      <c r="F6132" s="7" t="s">
        <v>258</v>
      </c>
      <c r="G6132" s="7" t="s">
        <v>502</v>
      </c>
      <c r="H6132" s="6" t="n">
        <v>1.1</v>
      </c>
      <c r="I6132" s="6" t="n">
        <v>0</v>
      </c>
      <c r="J6132" s="40" t="n">
        <f aca="false">H6132-I6132</f>
        <v>1.1</v>
      </c>
      <c r="K6132" s="41" t="n">
        <v>135</v>
      </c>
      <c r="L6132" s="42" t="n">
        <f aca="false">J6132*K6132</f>
        <v>148.5</v>
      </c>
      <c r="M6132" s="43" t="n">
        <f aca="false">H6132*61.61*(1+'Chart of Accounts'!$E$67)</f>
        <v>77.597795</v>
      </c>
    </row>
    <row r="6133" customFormat="false" ht="15" hidden="false" customHeight="false" outlineLevel="0" collapsed="false">
      <c r="B6133" s="7" t="s">
        <v>6630</v>
      </c>
      <c r="C6133" s="39" t="n">
        <v>45944</v>
      </c>
      <c r="D6133" s="7" t="s">
        <v>381</v>
      </c>
      <c r="E6133" s="7" t="s">
        <v>157</v>
      </c>
      <c r="F6133" s="7" t="s">
        <v>234</v>
      </c>
      <c r="G6133" s="7" t="s">
        <v>502</v>
      </c>
      <c r="H6133" s="6" t="n">
        <v>0.96</v>
      </c>
      <c r="I6133" s="6" t="n">
        <v>0</v>
      </c>
      <c r="J6133" s="40" t="n">
        <f aca="false">H6133-I6133</f>
        <v>0.96</v>
      </c>
      <c r="K6133" s="41" t="n">
        <v>165</v>
      </c>
      <c r="L6133" s="42" t="n">
        <f aca="false">J6133*K6133</f>
        <v>158.4</v>
      </c>
      <c r="M6133" s="43" t="n">
        <f aca="false">H6133*89.53*(1+'Chart of Accounts'!$E$67)</f>
        <v>98.411376</v>
      </c>
    </row>
    <row r="6134" customFormat="false" ht="15" hidden="false" customHeight="false" outlineLevel="0" collapsed="false">
      <c r="B6134" s="7" t="s">
        <v>6631</v>
      </c>
      <c r="C6134" s="39" t="n">
        <v>45944</v>
      </c>
      <c r="D6134" s="7" t="s">
        <v>383</v>
      </c>
      <c r="E6134" s="7" t="s">
        <v>157</v>
      </c>
      <c r="F6134" s="7" t="s">
        <v>230</v>
      </c>
      <c r="G6134" s="7" t="s">
        <v>502</v>
      </c>
      <c r="H6134" s="6" t="n">
        <v>1.07</v>
      </c>
      <c r="I6134" s="6" t="n">
        <v>0</v>
      </c>
      <c r="J6134" s="40" t="n">
        <f aca="false">H6134-I6134</f>
        <v>1.07</v>
      </c>
      <c r="K6134" s="41" t="n">
        <v>165</v>
      </c>
      <c r="L6134" s="42" t="n">
        <f aca="false">J6134*K6134</f>
        <v>176.55</v>
      </c>
      <c r="M6134" s="43" t="n">
        <f aca="false">H6134*48.78*(1+'Chart of Accounts'!$E$67)</f>
        <v>59.762817</v>
      </c>
    </row>
    <row r="6135" customFormat="false" ht="15" hidden="false" customHeight="false" outlineLevel="0" collapsed="false">
      <c r="B6135" s="7" t="s">
        <v>6632</v>
      </c>
      <c r="C6135" s="39" t="n">
        <v>45944</v>
      </c>
      <c r="D6135" s="7" t="s">
        <v>389</v>
      </c>
      <c r="E6135" s="7" t="s">
        <v>154</v>
      </c>
      <c r="F6135" s="7" t="s">
        <v>246</v>
      </c>
      <c r="G6135" s="7" t="s">
        <v>505</v>
      </c>
      <c r="H6135" s="6" t="n">
        <v>4.28</v>
      </c>
      <c r="I6135" s="6" t="n">
        <v>0</v>
      </c>
      <c r="J6135" s="40" t="n">
        <f aca="false">H6135-I6135</f>
        <v>4.28</v>
      </c>
      <c r="K6135" s="41" t="n">
        <v>26.5</v>
      </c>
      <c r="L6135" s="42" t="n">
        <f aca="false">J6135*K6135</f>
        <v>113.42</v>
      </c>
      <c r="M6135" s="43" t="n">
        <f aca="false">H6135*16.48*(1+'Chart of Accounts'!$E$67)</f>
        <v>80.761888</v>
      </c>
    </row>
    <row r="6136" customFormat="false" ht="15" hidden="false" customHeight="false" outlineLevel="0" collapsed="false">
      <c r="B6136" s="7" t="s">
        <v>6633</v>
      </c>
      <c r="C6136" s="39" t="n">
        <v>45944</v>
      </c>
      <c r="D6136" s="7" t="s">
        <v>391</v>
      </c>
      <c r="E6136" s="7" t="s">
        <v>156</v>
      </c>
      <c r="F6136" s="7" t="s">
        <v>222</v>
      </c>
      <c r="G6136" s="7" t="s">
        <v>505</v>
      </c>
      <c r="H6136" s="6" t="n">
        <v>3.88</v>
      </c>
      <c r="I6136" s="6" t="n">
        <v>0</v>
      </c>
      <c r="J6136" s="40" t="n">
        <f aca="false">H6136-I6136</f>
        <v>3.88</v>
      </c>
      <c r="K6136" s="41" t="n">
        <v>34</v>
      </c>
      <c r="L6136" s="42" t="n">
        <f aca="false">J6136*K6136</f>
        <v>131.92</v>
      </c>
      <c r="M6136" s="43" t="n">
        <f aca="false">H6136*17.84*(1+'Chart of Accounts'!$E$67)</f>
        <v>79.255984</v>
      </c>
    </row>
    <row r="6137" customFormat="false" ht="15" hidden="false" customHeight="false" outlineLevel="0" collapsed="false">
      <c r="B6137" s="7" t="s">
        <v>6634</v>
      </c>
      <c r="C6137" s="39" t="n">
        <v>45944</v>
      </c>
      <c r="D6137" s="7" t="s">
        <v>395</v>
      </c>
      <c r="E6137" s="7" t="s">
        <v>156</v>
      </c>
      <c r="F6137" s="7" t="s">
        <v>242</v>
      </c>
      <c r="G6137" s="7" t="s">
        <v>505</v>
      </c>
      <c r="H6137" s="6" t="n">
        <v>3.72</v>
      </c>
      <c r="I6137" s="6" t="n">
        <v>0</v>
      </c>
      <c r="J6137" s="40" t="n">
        <f aca="false">H6137-I6137</f>
        <v>3.72</v>
      </c>
      <c r="K6137" s="41" t="n">
        <v>34</v>
      </c>
      <c r="L6137" s="42" t="n">
        <f aca="false">J6137*K6137</f>
        <v>126.48</v>
      </c>
      <c r="M6137" s="43" t="n">
        <f aca="false">H6137*17.99*(1+'Chart of Accounts'!$E$67)</f>
        <v>76.626606</v>
      </c>
    </row>
    <row r="6138" customFormat="false" ht="15" hidden="false" customHeight="false" outlineLevel="0" collapsed="false">
      <c r="B6138" s="7" t="s">
        <v>6635</v>
      </c>
      <c r="C6138" s="39" t="n">
        <v>45944</v>
      </c>
      <c r="D6138" s="7" t="s">
        <v>397</v>
      </c>
      <c r="E6138" s="7" t="s">
        <v>159</v>
      </c>
      <c r="F6138" s="7" t="s">
        <v>203</v>
      </c>
      <c r="G6138" s="7" t="s">
        <v>502</v>
      </c>
      <c r="H6138" s="6" t="n">
        <v>1.09</v>
      </c>
      <c r="I6138" s="6" t="n">
        <v>0</v>
      </c>
      <c r="J6138" s="40" t="n">
        <f aca="false">H6138-I6138</f>
        <v>1.09</v>
      </c>
      <c r="K6138" s="41" t="n">
        <v>135</v>
      </c>
      <c r="L6138" s="42" t="n">
        <f aca="false">J6138*K6138</f>
        <v>147.15</v>
      </c>
      <c r="M6138" s="43" t="n">
        <f aca="false">H6138*49.43*(1+'Chart of Accounts'!$E$67)</f>
        <v>61.6911115</v>
      </c>
    </row>
    <row r="6139" customFormat="false" ht="15" hidden="false" customHeight="false" outlineLevel="0" collapsed="false">
      <c r="B6139" s="7" t="s">
        <v>6636</v>
      </c>
      <c r="C6139" s="39" t="n">
        <v>45944</v>
      </c>
      <c r="D6139" s="7" t="s">
        <v>401</v>
      </c>
      <c r="E6139" s="7" t="s">
        <v>156</v>
      </c>
      <c r="F6139" s="7" t="s">
        <v>254</v>
      </c>
      <c r="G6139" s="7" t="s">
        <v>505</v>
      </c>
      <c r="H6139" s="6" t="n">
        <v>4.4</v>
      </c>
      <c r="I6139" s="6" t="n">
        <v>0</v>
      </c>
      <c r="J6139" s="40" t="n">
        <f aca="false">H6139-I6139</f>
        <v>4.4</v>
      </c>
      <c r="K6139" s="41" t="n">
        <v>34</v>
      </c>
      <c r="L6139" s="42" t="n">
        <f aca="false">J6139*K6139</f>
        <v>149.6</v>
      </c>
      <c r="M6139" s="43" t="n">
        <f aca="false">H6139*17.1*(1+'Chart of Accounts'!$E$67)</f>
        <v>86.1498</v>
      </c>
    </row>
    <row r="6140" customFormat="false" ht="15" hidden="false" customHeight="false" outlineLevel="0" collapsed="false">
      <c r="B6140" s="7" t="s">
        <v>6637</v>
      </c>
      <c r="C6140" s="39" t="n">
        <v>45944</v>
      </c>
      <c r="D6140" s="7" t="s">
        <v>407</v>
      </c>
      <c r="E6140" s="7" t="s">
        <v>159</v>
      </c>
      <c r="F6140" s="7" t="s">
        <v>260</v>
      </c>
      <c r="G6140" s="7" t="s">
        <v>502</v>
      </c>
      <c r="H6140" s="6" t="n">
        <v>1.07</v>
      </c>
      <c r="I6140" s="6" t="n">
        <v>0</v>
      </c>
      <c r="J6140" s="40" t="n">
        <f aca="false">H6140-I6140</f>
        <v>1.07</v>
      </c>
      <c r="K6140" s="41" t="n">
        <v>135</v>
      </c>
      <c r="L6140" s="42" t="n">
        <f aca="false">J6140*K6140</f>
        <v>144.45</v>
      </c>
      <c r="M6140" s="43" t="n">
        <f aca="false">H6140*79.8*(1+'Chart of Accounts'!$E$67)</f>
        <v>97.76697</v>
      </c>
    </row>
    <row r="6141" customFormat="false" ht="15" hidden="false" customHeight="false" outlineLevel="0" collapsed="false">
      <c r="B6141" s="7" t="s">
        <v>6638</v>
      </c>
      <c r="C6141" s="39" t="n">
        <v>45945</v>
      </c>
      <c r="D6141" s="7" t="s">
        <v>288</v>
      </c>
      <c r="E6141" s="7" t="s">
        <v>156</v>
      </c>
      <c r="F6141" s="7" t="s">
        <v>205</v>
      </c>
      <c r="G6141" s="7" t="s">
        <v>505</v>
      </c>
      <c r="H6141" s="6" t="n">
        <v>3.98</v>
      </c>
      <c r="I6141" s="6" t="n">
        <v>0</v>
      </c>
      <c r="J6141" s="40" t="n">
        <f aca="false">H6141-I6141</f>
        <v>3.98</v>
      </c>
      <c r="K6141" s="41" t="n">
        <v>34</v>
      </c>
      <c r="L6141" s="42" t="n">
        <f aca="false">J6141*K6141</f>
        <v>135.32</v>
      </c>
      <c r="M6141" s="43" t="n">
        <f aca="false">H6141*16.36*(1+'Chart of Accounts'!$E$67)</f>
        <v>74.554156</v>
      </c>
    </row>
    <row r="6142" customFormat="false" ht="15" hidden="false" customHeight="false" outlineLevel="0" collapsed="false">
      <c r="B6142" s="7" t="s">
        <v>6639</v>
      </c>
      <c r="C6142" s="39" t="n">
        <v>45945</v>
      </c>
      <c r="D6142" s="7" t="s">
        <v>291</v>
      </c>
      <c r="E6142" s="7" t="s">
        <v>154</v>
      </c>
      <c r="F6142" s="7" t="s">
        <v>194</v>
      </c>
      <c r="G6142" s="7" t="s">
        <v>505</v>
      </c>
      <c r="H6142" s="6" t="n">
        <v>4.8</v>
      </c>
      <c r="I6142" s="6" t="n">
        <v>0.144</v>
      </c>
      <c r="J6142" s="40" t="n">
        <f aca="false">H6142-I6142</f>
        <v>4.656</v>
      </c>
      <c r="K6142" s="41" t="n">
        <v>26.5</v>
      </c>
      <c r="L6142" s="42" t="n">
        <f aca="false">J6142*K6142</f>
        <v>123.384</v>
      </c>
      <c r="M6142" s="43" t="n">
        <f aca="false">H6142*16*(1+'Chart of Accounts'!$E$67)</f>
        <v>87.936</v>
      </c>
    </row>
    <row r="6143" customFormat="false" ht="15" hidden="false" customHeight="false" outlineLevel="0" collapsed="false">
      <c r="B6143" s="7" t="s">
        <v>6640</v>
      </c>
      <c r="C6143" s="39" t="n">
        <v>45945</v>
      </c>
      <c r="D6143" s="7" t="s">
        <v>295</v>
      </c>
      <c r="E6143" s="7" t="s">
        <v>154</v>
      </c>
      <c r="F6143" s="7" t="s">
        <v>214</v>
      </c>
      <c r="G6143" s="7" t="s">
        <v>505</v>
      </c>
      <c r="H6143" s="6" t="n">
        <v>4.38</v>
      </c>
      <c r="I6143" s="6" t="n">
        <v>0</v>
      </c>
      <c r="J6143" s="40" t="n">
        <f aca="false">H6143-I6143</f>
        <v>4.38</v>
      </c>
      <c r="K6143" s="41" t="n">
        <v>26.5</v>
      </c>
      <c r="L6143" s="42" t="n">
        <f aca="false">J6143*K6143</f>
        <v>116.07</v>
      </c>
      <c r="M6143" s="43" t="n">
        <f aca="false">H6143*15.67*(1+'Chart of Accounts'!$E$67)</f>
        <v>78.586617</v>
      </c>
    </row>
    <row r="6144" customFormat="false" ht="15" hidden="false" customHeight="false" outlineLevel="0" collapsed="false">
      <c r="B6144" s="7" t="s">
        <v>6641</v>
      </c>
      <c r="C6144" s="39" t="n">
        <v>45945</v>
      </c>
      <c r="D6144" s="7" t="s">
        <v>305</v>
      </c>
      <c r="E6144" s="7" t="s">
        <v>154</v>
      </c>
      <c r="F6144" s="7" t="s">
        <v>205</v>
      </c>
      <c r="G6144" s="7" t="s">
        <v>505</v>
      </c>
      <c r="H6144" s="6" t="n">
        <v>4</v>
      </c>
      <c r="I6144" s="6" t="n">
        <v>0</v>
      </c>
      <c r="J6144" s="40" t="n">
        <f aca="false">H6144-I6144</f>
        <v>4</v>
      </c>
      <c r="K6144" s="41" t="n">
        <v>26.5</v>
      </c>
      <c r="L6144" s="42" t="n">
        <f aca="false">J6144*K6144</f>
        <v>106</v>
      </c>
      <c r="M6144" s="43" t="n">
        <f aca="false">H6144*16.36*(1+'Chart of Accounts'!$E$67)</f>
        <v>74.9288</v>
      </c>
    </row>
    <row r="6145" customFormat="false" ht="15" hidden="false" customHeight="false" outlineLevel="0" collapsed="false">
      <c r="B6145" s="7" t="s">
        <v>6642</v>
      </c>
      <c r="C6145" s="39" t="n">
        <v>45945</v>
      </c>
      <c r="D6145" s="7" t="s">
        <v>307</v>
      </c>
      <c r="E6145" s="7" t="s">
        <v>157</v>
      </c>
      <c r="F6145" s="7" t="s">
        <v>264</v>
      </c>
      <c r="G6145" s="7" t="s">
        <v>502</v>
      </c>
      <c r="H6145" s="6" t="n">
        <v>0.93</v>
      </c>
      <c r="I6145" s="6" t="n">
        <v>0</v>
      </c>
      <c r="J6145" s="40" t="n">
        <f aca="false">H6145-I6145</f>
        <v>0.93</v>
      </c>
      <c r="K6145" s="41" t="n">
        <v>165</v>
      </c>
      <c r="L6145" s="42" t="n">
        <f aca="false">J6145*K6145</f>
        <v>153.45</v>
      </c>
      <c r="M6145" s="43" t="n">
        <f aca="false">H6145*55.55*(1+'Chart of Accounts'!$E$67)</f>
        <v>59.1524175</v>
      </c>
    </row>
    <row r="6146" customFormat="false" ht="15" hidden="false" customHeight="false" outlineLevel="0" collapsed="false">
      <c r="B6146" s="7" t="s">
        <v>6643</v>
      </c>
      <c r="C6146" s="39" t="n">
        <v>45945</v>
      </c>
      <c r="D6146" s="7" t="s">
        <v>309</v>
      </c>
      <c r="E6146" s="7" t="s">
        <v>159</v>
      </c>
      <c r="F6146" s="7" t="s">
        <v>252</v>
      </c>
      <c r="G6146" s="7" t="s">
        <v>502</v>
      </c>
      <c r="H6146" s="6" t="n">
        <v>1.06</v>
      </c>
      <c r="I6146" s="6" t="n">
        <v>0</v>
      </c>
      <c r="J6146" s="40" t="n">
        <f aca="false">H6146-I6146</f>
        <v>1.06</v>
      </c>
      <c r="K6146" s="41" t="n">
        <v>135</v>
      </c>
      <c r="L6146" s="42" t="n">
        <f aca="false">J6146*K6146</f>
        <v>143.1</v>
      </c>
      <c r="M6146" s="43" t="n">
        <f aca="false">H6146*57.54*(1+'Chart of Accounts'!$E$67)</f>
        <v>69.836298</v>
      </c>
    </row>
    <row r="6147" customFormat="false" ht="15" hidden="false" customHeight="false" outlineLevel="0" collapsed="false">
      <c r="B6147" s="7" t="s">
        <v>6644</v>
      </c>
      <c r="C6147" s="39" t="n">
        <v>45945</v>
      </c>
      <c r="D6147" s="7" t="s">
        <v>313</v>
      </c>
      <c r="E6147" s="7" t="s">
        <v>156</v>
      </c>
      <c r="F6147" s="7" t="s">
        <v>184</v>
      </c>
      <c r="G6147" s="7" t="s">
        <v>505</v>
      </c>
      <c r="H6147" s="6" t="n">
        <v>3.94</v>
      </c>
      <c r="I6147" s="6" t="n">
        <v>0</v>
      </c>
      <c r="J6147" s="40" t="n">
        <f aca="false">H6147-I6147</f>
        <v>3.94</v>
      </c>
      <c r="K6147" s="41" t="n">
        <v>34</v>
      </c>
      <c r="L6147" s="42" t="n">
        <f aca="false">J6147*K6147</f>
        <v>133.96</v>
      </c>
      <c r="M6147" s="43" t="n">
        <f aca="false">H6147*17.34*(1+'Chart of Accounts'!$E$67)</f>
        <v>78.225942</v>
      </c>
    </row>
    <row r="6148" customFormat="false" ht="15" hidden="false" customHeight="false" outlineLevel="0" collapsed="false">
      <c r="B6148" s="7" t="s">
        <v>6645</v>
      </c>
      <c r="C6148" s="39" t="n">
        <v>45945</v>
      </c>
      <c r="D6148" s="7" t="s">
        <v>315</v>
      </c>
      <c r="E6148" s="7" t="s">
        <v>159</v>
      </c>
      <c r="F6148" s="7" t="s">
        <v>216</v>
      </c>
      <c r="G6148" s="7" t="s">
        <v>502</v>
      </c>
      <c r="H6148" s="6" t="n">
        <v>0.93</v>
      </c>
      <c r="I6148" s="6" t="n">
        <v>0.065</v>
      </c>
      <c r="J6148" s="40" t="n">
        <f aca="false">H6148-I6148</f>
        <v>0.865</v>
      </c>
      <c r="K6148" s="41" t="n">
        <v>135</v>
      </c>
      <c r="L6148" s="42" t="n">
        <f aca="false">J6148*K6148</f>
        <v>116.775</v>
      </c>
      <c r="M6148" s="43" t="n">
        <f aca="false">H6148*61.79*(1+'Chart of Accounts'!$E$67)</f>
        <v>65.7970815</v>
      </c>
    </row>
    <row r="6149" customFormat="false" ht="15" hidden="false" customHeight="false" outlineLevel="0" collapsed="false">
      <c r="B6149" s="7" t="s">
        <v>6646</v>
      </c>
      <c r="C6149" s="39" t="n">
        <v>45945</v>
      </c>
      <c r="D6149" s="7" t="s">
        <v>321</v>
      </c>
      <c r="E6149" s="7" t="s">
        <v>154</v>
      </c>
      <c r="F6149" s="7" t="s">
        <v>218</v>
      </c>
      <c r="G6149" s="7" t="s">
        <v>505</v>
      </c>
      <c r="H6149" s="6" t="n">
        <v>4.23</v>
      </c>
      <c r="I6149" s="6" t="n">
        <v>0</v>
      </c>
      <c r="J6149" s="40" t="n">
        <f aca="false">H6149-I6149</f>
        <v>4.23</v>
      </c>
      <c r="K6149" s="41" t="n">
        <v>26.5</v>
      </c>
      <c r="L6149" s="42" t="n">
        <f aca="false">J6149*K6149</f>
        <v>112.095</v>
      </c>
      <c r="M6149" s="43" t="n">
        <f aca="false">H6149*16.19*(1+'Chart of Accounts'!$E$67)</f>
        <v>78.4138365</v>
      </c>
    </row>
    <row r="6150" customFormat="false" ht="15" hidden="false" customHeight="false" outlineLevel="0" collapsed="false">
      <c r="B6150" s="7" t="s">
        <v>6647</v>
      </c>
      <c r="C6150" s="39" t="n">
        <v>45945</v>
      </c>
      <c r="D6150" s="7" t="s">
        <v>329</v>
      </c>
      <c r="E6150" s="7" t="s">
        <v>156</v>
      </c>
      <c r="F6150" s="7" t="s">
        <v>220</v>
      </c>
      <c r="G6150" s="7" t="s">
        <v>505</v>
      </c>
      <c r="H6150" s="6" t="n">
        <v>4.19</v>
      </c>
      <c r="I6150" s="6" t="n">
        <v>0</v>
      </c>
      <c r="J6150" s="40" t="n">
        <f aca="false">H6150-I6150</f>
        <v>4.19</v>
      </c>
      <c r="K6150" s="41" t="n">
        <v>34</v>
      </c>
      <c r="L6150" s="42" t="n">
        <f aca="false">J6150*K6150</f>
        <v>142.46</v>
      </c>
      <c r="M6150" s="43" t="n">
        <f aca="false">H6150*16.43*(1+'Chart of Accounts'!$E$67)</f>
        <v>78.8237465</v>
      </c>
    </row>
    <row r="6151" customFormat="false" ht="15" hidden="false" customHeight="false" outlineLevel="0" collapsed="false">
      <c r="B6151" s="7" t="s">
        <v>6648</v>
      </c>
      <c r="C6151" s="39" t="n">
        <v>45945</v>
      </c>
      <c r="D6151" s="7" t="s">
        <v>333</v>
      </c>
      <c r="E6151" s="7" t="s">
        <v>154</v>
      </c>
      <c r="F6151" s="7" t="s">
        <v>236</v>
      </c>
      <c r="G6151" s="7" t="s">
        <v>505</v>
      </c>
      <c r="H6151" s="6" t="n">
        <v>3.38</v>
      </c>
      <c r="I6151" s="6" t="n">
        <v>0</v>
      </c>
      <c r="J6151" s="40" t="n">
        <f aca="false">H6151-I6151</f>
        <v>3.38</v>
      </c>
      <c r="K6151" s="41" t="n">
        <v>26.5</v>
      </c>
      <c r="L6151" s="42" t="n">
        <f aca="false">J6151*K6151</f>
        <v>89.57</v>
      </c>
      <c r="M6151" s="43" t="n">
        <f aca="false">H6151*15.49*(1+'Chart of Accounts'!$E$67)</f>
        <v>59.947849</v>
      </c>
    </row>
    <row r="6152" customFormat="false" ht="15" hidden="false" customHeight="false" outlineLevel="0" collapsed="false">
      <c r="B6152" s="7" t="s">
        <v>6649</v>
      </c>
      <c r="C6152" s="39" t="n">
        <v>45945</v>
      </c>
      <c r="D6152" s="7" t="s">
        <v>335</v>
      </c>
      <c r="E6152" s="7" t="s">
        <v>154</v>
      </c>
      <c r="F6152" s="7" t="s">
        <v>177</v>
      </c>
      <c r="G6152" s="7" t="s">
        <v>505</v>
      </c>
      <c r="H6152" s="6" t="n">
        <v>4.13</v>
      </c>
      <c r="I6152" s="6" t="n">
        <v>0</v>
      </c>
      <c r="J6152" s="40" t="n">
        <f aca="false">H6152-I6152</f>
        <v>4.13</v>
      </c>
      <c r="K6152" s="41" t="n">
        <v>26.5</v>
      </c>
      <c r="L6152" s="42" t="n">
        <f aca="false">J6152*K6152</f>
        <v>109.445</v>
      </c>
      <c r="M6152" s="43" t="n">
        <f aca="false">H6152*14.56*(1+'Chart of Accounts'!$E$67)</f>
        <v>68.852056</v>
      </c>
    </row>
    <row r="6153" customFormat="false" ht="15" hidden="false" customHeight="false" outlineLevel="0" collapsed="false">
      <c r="B6153" s="7" t="s">
        <v>6650</v>
      </c>
      <c r="C6153" s="39" t="n">
        <v>45945</v>
      </c>
      <c r="D6153" s="7" t="s">
        <v>339</v>
      </c>
      <c r="E6153" s="7" t="s">
        <v>154</v>
      </c>
      <c r="F6153" s="7" t="s">
        <v>242</v>
      </c>
      <c r="G6153" s="7" t="s">
        <v>505</v>
      </c>
      <c r="H6153" s="6" t="n">
        <v>3.55</v>
      </c>
      <c r="I6153" s="6" t="n">
        <v>0.106</v>
      </c>
      <c r="J6153" s="40" t="n">
        <f aca="false">H6153-I6153</f>
        <v>3.444</v>
      </c>
      <c r="K6153" s="41" t="n">
        <v>26.5</v>
      </c>
      <c r="L6153" s="42" t="n">
        <f aca="false">J6153*K6153</f>
        <v>91.266</v>
      </c>
      <c r="M6153" s="43" t="n">
        <f aca="false">H6153*17.99*(1+'Chart of Accounts'!$E$67)</f>
        <v>73.1248525</v>
      </c>
    </row>
    <row r="6154" customFormat="false" ht="15" hidden="false" customHeight="false" outlineLevel="0" collapsed="false">
      <c r="B6154" s="7" t="s">
        <v>6651</v>
      </c>
      <c r="C6154" s="39" t="n">
        <v>45945</v>
      </c>
      <c r="D6154" s="7" t="s">
        <v>347</v>
      </c>
      <c r="E6154" s="7" t="s">
        <v>154</v>
      </c>
      <c r="F6154" s="7" t="s">
        <v>238</v>
      </c>
      <c r="G6154" s="7" t="s">
        <v>505</v>
      </c>
      <c r="H6154" s="6" t="n">
        <v>4.86</v>
      </c>
      <c r="I6154" s="6" t="n">
        <v>0</v>
      </c>
      <c r="J6154" s="40" t="n">
        <f aca="false">H6154-I6154</f>
        <v>4.86</v>
      </c>
      <c r="K6154" s="41" t="n">
        <v>26.5</v>
      </c>
      <c r="L6154" s="42" t="n">
        <f aca="false">J6154*K6154</f>
        <v>128.79</v>
      </c>
      <c r="M6154" s="43" t="n">
        <f aca="false">H6154*15.85*(1+'Chart of Accounts'!$E$67)</f>
        <v>88.200495</v>
      </c>
    </row>
    <row r="6155" customFormat="false" ht="15" hidden="false" customHeight="false" outlineLevel="0" collapsed="false">
      <c r="B6155" s="7" t="s">
        <v>6652</v>
      </c>
      <c r="C6155" s="39" t="n">
        <v>45945</v>
      </c>
      <c r="D6155" s="7" t="s">
        <v>349</v>
      </c>
      <c r="E6155" s="7" t="s">
        <v>154</v>
      </c>
      <c r="F6155" s="7" t="s">
        <v>244</v>
      </c>
      <c r="G6155" s="7" t="s">
        <v>505</v>
      </c>
      <c r="H6155" s="6" t="n">
        <v>4.04</v>
      </c>
      <c r="I6155" s="6" t="n">
        <v>0</v>
      </c>
      <c r="J6155" s="40" t="n">
        <f aca="false">H6155-I6155</f>
        <v>4.04</v>
      </c>
      <c r="K6155" s="41" t="n">
        <v>26.5</v>
      </c>
      <c r="L6155" s="42" t="n">
        <f aca="false">J6155*K6155</f>
        <v>107.06</v>
      </c>
      <c r="M6155" s="43" t="n">
        <f aca="false">H6155*16.39*(1+'Chart of Accounts'!$E$67)</f>
        <v>75.816862</v>
      </c>
    </row>
    <row r="6156" customFormat="false" ht="15" hidden="false" customHeight="false" outlineLevel="0" collapsed="false">
      <c r="B6156" s="7" t="s">
        <v>6653</v>
      </c>
      <c r="C6156" s="39" t="n">
        <v>45945</v>
      </c>
      <c r="D6156" s="7" t="s">
        <v>353</v>
      </c>
      <c r="E6156" s="7" t="s">
        <v>154</v>
      </c>
      <c r="F6156" s="7" t="s">
        <v>254</v>
      </c>
      <c r="G6156" s="7" t="s">
        <v>505</v>
      </c>
      <c r="H6156" s="6" t="n">
        <v>3</v>
      </c>
      <c r="I6156" s="6" t="n">
        <v>0</v>
      </c>
      <c r="J6156" s="40" t="n">
        <f aca="false">H6156-I6156</f>
        <v>3</v>
      </c>
      <c r="K6156" s="41" t="n">
        <v>26.5</v>
      </c>
      <c r="L6156" s="42" t="n">
        <f aca="false">J6156*K6156</f>
        <v>79.5</v>
      </c>
      <c r="M6156" s="43" t="n">
        <f aca="false">H6156*17.1*(1+'Chart of Accounts'!$E$67)</f>
        <v>58.7385</v>
      </c>
    </row>
    <row r="6157" customFormat="false" ht="15" hidden="false" customHeight="false" outlineLevel="0" collapsed="false">
      <c r="B6157" s="7" t="s">
        <v>6654</v>
      </c>
      <c r="C6157" s="39" t="n">
        <v>45945</v>
      </c>
      <c r="D6157" s="7" t="s">
        <v>355</v>
      </c>
      <c r="E6157" s="7" t="s">
        <v>154</v>
      </c>
      <c r="F6157" s="7" t="s">
        <v>201</v>
      </c>
      <c r="G6157" s="7" t="s">
        <v>505</v>
      </c>
      <c r="H6157" s="6" t="n">
        <v>3.15</v>
      </c>
      <c r="I6157" s="6" t="n">
        <v>0</v>
      </c>
      <c r="J6157" s="40" t="n">
        <f aca="false">H6157-I6157</f>
        <v>3.15</v>
      </c>
      <c r="K6157" s="41" t="n">
        <v>26.5</v>
      </c>
      <c r="L6157" s="42" t="n">
        <f aca="false">J6157*K6157</f>
        <v>83.475</v>
      </c>
      <c r="M6157" s="43" t="n">
        <f aca="false">H6157*15.19*(1+'Chart of Accounts'!$E$67)</f>
        <v>54.7865325</v>
      </c>
    </row>
    <row r="6158" customFormat="false" ht="15" hidden="false" customHeight="false" outlineLevel="0" collapsed="false">
      <c r="B6158" s="7" t="s">
        <v>6655</v>
      </c>
      <c r="C6158" s="39" t="n">
        <v>45945</v>
      </c>
      <c r="D6158" s="7" t="s">
        <v>357</v>
      </c>
      <c r="E6158" s="7" t="s">
        <v>154</v>
      </c>
      <c r="F6158" s="7" t="s">
        <v>205</v>
      </c>
      <c r="G6158" s="7" t="s">
        <v>505</v>
      </c>
      <c r="H6158" s="6" t="n">
        <v>3.33</v>
      </c>
      <c r="I6158" s="6" t="n">
        <v>0</v>
      </c>
      <c r="J6158" s="40" t="n">
        <f aca="false">H6158-I6158</f>
        <v>3.33</v>
      </c>
      <c r="K6158" s="41" t="n">
        <v>26.5</v>
      </c>
      <c r="L6158" s="42" t="n">
        <f aca="false">J6158*K6158</f>
        <v>88.245</v>
      </c>
      <c r="M6158" s="43" t="n">
        <f aca="false">H6158*16.36*(1+'Chart of Accounts'!$E$67)</f>
        <v>62.378226</v>
      </c>
    </row>
    <row r="6159" customFormat="false" ht="15" hidden="false" customHeight="false" outlineLevel="0" collapsed="false">
      <c r="B6159" s="7" t="s">
        <v>6656</v>
      </c>
      <c r="C6159" s="39" t="n">
        <v>45945</v>
      </c>
      <c r="D6159" s="7" t="s">
        <v>359</v>
      </c>
      <c r="E6159" s="7" t="s">
        <v>156</v>
      </c>
      <c r="F6159" s="7" t="s">
        <v>238</v>
      </c>
      <c r="G6159" s="7" t="s">
        <v>505</v>
      </c>
      <c r="H6159" s="6" t="n">
        <v>4.02</v>
      </c>
      <c r="I6159" s="6" t="n">
        <v>0</v>
      </c>
      <c r="J6159" s="40" t="n">
        <f aca="false">H6159-I6159</f>
        <v>4.02</v>
      </c>
      <c r="K6159" s="41" t="n">
        <v>34</v>
      </c>
      <c r="L6159" s="42" t="n">
        <f aca="false">J6159*K6159</f>
        <v>136.68</v>
      </c>
      <c r="M6159" s="43" t="n">
        <f aca="false">H6159*15.85*(1+'Chart of Accounts'!$E$67)</f>
        <v>72.955965</v>
      </c>
    </row>
    <row r="6160" customFormat="false" ht="15" hidden="false" customHeight="false" outlineLevel="0" collapsed="false">
      <c r="B6160" s="7" t="s">
        <v>6657</v>
      </c>
      <c r="C6160" s="39" t="n">
        <v>45945</v>
      </c>
      <c r="D6160" s="7" t="s">
        <v>365</v>
      </c>
      <c r="E6160" s="7" t="s">
        <v>154</v>
      </c>
      <c r="F6160" s="7" t="s">
        <v>194</v>
      </c>
      <c r="G6160" s="7" t="s">
        <v>505</v>
      </c>
      <c r="H6160" s="6" t="n">
        <v>4.39</v>
      </c>
      <c r="I6160" s="6" t="n">
        <v>0</v>
      </c>
      <c r="J6160" s="40" t="n">
        <f aca="false">H6160-I6160</f>
        <v>4.39</v>
      </c>
      <c r="K6160" s="41" t="n">
        <v>26.5</v>
      </c>
      <c r="L6160" s="42" t="n">
        <f aca="false">J6160*K6160</f>
        <v>116.335</v>
      </c>
      <c r="M6160" s="43" t="n">
        <f aca="false">H6160*16*(1+'Chart of Accounts'!$E$67)</f>
        <v>80.4248</v>
      </c>
    </row>
    <row r="6161" customFormat="false" ht="15" hidden="false" customHeight="false" outlineLevel="0" collapsed="false">
      <c r="B6161" s="7" t="s">
        <v>6658</v>
      </c>
      <c r="C6161" s="39" t="n">
        <v>45945</v>
      </c>
      <c r="D6161" s="7" t="s">
        <v>371</v>
      </c>
      <c r="E6161" s="7" t="s">
        <v>154</v>
      </c>
      <c r="F6161" s="7" t="s">
        <v>232</v>
      </c>
      <c r="G6161" s="7" t="s">
        <v>505</v>
      </c>
      <c r="H6161" s="6" t="n">
        <v>4.22</v>
      </c>
      <c r="I6161" s="6" t="n">
        <v>0</v>
      </c>
      <c r="J6161" s="40" t="n">
        <f aca="false">H6161-I6161</f>
        <v>4.22</v>
      </c>
      <c r="K6161" s="41" t="n">
        <v>26.5</v>
      </c>
      <c r="L6161" s="42" t="n">
        <f aca="false">J6161*K6161</f>
        <v>111.83</v>
      </c>
      <c r="M6161" s="43" t="n">
        <f aca="false">H6161*16.17*(1+'Chart of Accounts'!$E$67)</f>
        <v>78.131823</v>
      </c>
    </row>
    <row r="6162" customFormat="false" ht="15" hidden="false" customHeight="false" outlineLevel="0" collapsed="false">
      <c r="B6162" s="7" t="s">
        <v>6659</v>
      </c>
      <c r="C6162" s="39" t="n">
        <v>45945</v>
      </c>
      <c r="D6162" s="7" t="s">
        <v>379</v>
      </c>
      <c r="E6162" s="7" t="s">
        <v>156</v>
      </c>
      <c r="F6162" s="7" t="s">
        <v>224</v>
      </c>
      <c r="G6162" s="7" t="s">
        <v>505</v>
      </c>
      <c r="H6162" s="6" t="n">
        <v>5.13</v>
      </c>
      <c r="I6162" s="6" t="n">
        <v>0</v>
      </c>
      <c r="J6162" s="40" t="n">
        <f aca="false">H6162-I6162</f>
        <v>5.13</v>
      </c>
      <c r="K6162" s="41" t="n">
        <v>34</v>
      </c>
      <c r="L6162" s="42" t="n">
        <f aca="false">J6162*K6162</f>
        <v>174.42</v>
      </c>
      <c r="M6162" s="43" t="n">
        <f aca="false">H6162*14.93*(1+'Chart of Accounts'!$E$67)</f>
        <v>87.6965805</v>
      </c>
    </row>
    <row r="6163" customFormat="false" ht="15" hidden="false" customHeight="false" outlineLevel="0" collapsed="false">
      <c r="B6163" s="7" t="s">
        <v>6660</v>
      </c>
      <c r="C6163" s="39" t="n">
        <v>45945</v>
      </c>
      <c r="D6163" s="7" t="s">
        <v>385</v>
      </c>
      <c r="E6163" s="7" t="s">
        <v>156</v>
      </c>
      <c r="F6163" s="7" t="s">
        <v>238</v>
      </c>
      <c r="G6163" s="7" t="s">
        <v>505</v>
      </c>
      <c r="H6163" s="6" t="n">
        <v>4.3</v>
      </c>
      <c r="I6163" s="6" t="n">
        <v>0</v>
      </c>
      <c r="J6163" s="40" t="n">
        <f aca="false">H6163-I6163</f>
        <v>4.3</v>
      </c>
      <c r="K6163" s="41" t="n">
        <v>34</v>
      </c>
      <c r="L6163" s="42" t="n">
        <f aca="false">J6163*K6163</f>
        <v>146.2</v>
      </c>
      <c r="M6163" s="43" t="n">
        <f aca="false">H6163*15.85*(1+'Chart of Accounts'!$E$67)</f>
        <v>78.037475</v>
      </c>
    </row>
    <row r="6164" customFormat="false" ht="15" hidden="false" customHeight="false" outlineLevel="0" collapsed="false">
      <c r="B6164" s="7" t="s">
        <v>6661</v>
      </c>
      <c r="C6164" s="39" t="n">
        <v>45945</v>
      </c>
      <c r="D6164" s="7" t="s">
        <v>387</v>
      </c>
      <c r="E6164" s="7" t="s">
        <v>154</v>
      </c>
      <c r="F6164" s="7" t="s">
        <v>196</v>
      </c>
      <c r="G6164" s="7" t="s">
        <v>505</v>
      </c>
      <c r="H6164" s="6" t="n">
        <v>3.82</v>
      </c>
      <c r="I6164" s="6" t="n">
        <v>0</v>
      </c>
      <c r="J6164" s="40" t="n">
        <f aca="false">H6164-I6164</f>
        <v>3.82</v>
      </c>
      <c r="K6164" s="41" t="n">
        <v>26.5</v>
      </c>
      <c r="L6164" s="42" t="n">
        <f aca="false">J6164*K6164</f>
        <v>101.23</v>
      </c>
      <c r="M6164" s="43" t="n">
        <f aca="false">H6164*15.05*(1+'Chart of Accounts'!$E$67)</f>
        <v>65.827195</v>
      </c>
    </row>
    <row r="6165" customFormat="false" ht="15" hidden="false" customHeight="false" outlineLevel="0" collapsed="false">
      <c r="B6165" s="7" t="s">
        <v>6662</v>
      </c>
      <c r="C6165" s="39" t="n">
        <v>45945</v>
      </c>
      <c r="D6165" s="7" t="s">
        <v>389</v>
      </c>
      <c r="E6165" s="7" t="s">
        <v>154</v>
      </c>
      <c r="F6165" s="7" t="s">
        <v>246</v>
      </c>
      <c r="G6165" s="7" t="s">
        <v>505</v>
      </c>
      <c r="H6165" s="6" t="n">
        <v>4.29</v>
      </c>
      <c r="I6165" s="6" t="n">
        <v>0</v>
      </c>
      <c r="J6165" s="40" t="n">
        <f aca="false">H6165-I6165</f>
        <v>4.29</v>
      </c>
      <c r="K6165" s="41" t="n">
        <v>26.5</v>
      </c>
      <c r="L6165" s="42" t="n">
        <f aca="false">J6165*K6165</f>
        <v>113.685</v>
      </c>
      <c r="M6165" s="43" t="n">
        <f aca="false">H6165*16.48*(1+'Chart of Accounts'!$E$67)</f>
        <v>80.950584</v>
      </c>
    </row>
    <row r="6166" customFormat="false" ht="15" hidden="false" customHeight="false" outlineLevel="0" collapsed="false">
      <c r="B6166" s="7" t="s">
        <v>6663</v>
      </c>
      <c r="C6166" s="39" t="n">
        <v>45945</v>
      </c>
      <c r="D6166" s="7" t="s">
        <v>391</v>
      </c>
      <c r="E6166" s="7" t="s">
        <v>156</v>
      </c>
      <c r="F6166" s="7" t="s">
        <v>222</v>
      </c>
      <c r="G6166" s="7" t="s">
        <v>505</v>
      </c>
      <c r="H6166" s="6" t="n">
        <v>3.85</v>
      </c>
      <c r="I6166" s="6" t="n">
        <v>0</v>
      </c>
      <c r="J6166" s="40" t="n">
        <f aca="false">H6166-I6166</f>
        <v>3.85</v>
      </c>
      <c r="K6166" s="41" t="n">
        <v>34</v>
      </c>
      <c r="L6166" s="42" t="n">
        <f aca="false">J6166*K6166</f>
        <v>130.9</v>
      </c>
      <c r="M6166" s="43" t="n">
        <f aca="false">H6166*17.84*(1+'Chart of Accounts'!$E$67)</f>
        <v>78.64318</v>
      </c>
    </row>
    <row r="6167" customFormat="false" ht="15" hidden="false" customHeight="false" outlineLevel="0" collapsed="false">
      <c r="B6167" s="7" t="s">
        <v>6664</v>
      </c>
      <c r="C6167" s="39" t="n">
        <v>45945</v>
      </c>
      <c r="D6167" s="7" t="s">
        <v>393</v>
      </c>
      <c r="E6167" s="7" t="s">
        <v>157</v>
      </c>
      <c r="F6167" s="7" t="s">
        <v>203</v>
      </c>
      <c r="G6167" s="7" t="s">
        <v>502</v>
      </c>
      <c r="H6167" s="6" t="n">
        <v>0.9</v>
      </c>
      <c r="I6167" s="6" t="n">
        <v>0</v>
      </c>
      <c r="J6167" s="40" t="n">
        <f aca="false">H6167-I6167</f>
        <v>0.9</v>
      </c>
      <c r="K6167" s="41" t="n">
        <v>165</v>
      </c>
      <c r="L6167" s="42" t="n">
        <f aca="false">J6167*K6167</f>
        <v>148.5</v>
      </c>
      <c r="M6167" s="43" t="n">
        <f aca="false">H6167*49.43*(1+'Chart of Accounts'!$E$67)</f>
        <v>50.937615</v>
      </c>
    </row>
    <row r="6168" customFormat="false" ht="15" hidden="false" customHeight="false" outlineLevel="0" collapsed="false">
      <c r="B6168" s="7" t="s">
        <v>6665</v>
      </c>
      <c r="C6168" s="39" t="n">
        <v>45945</v>
      </c>
      <c r="D6168" s="7" t="s">
        <v>395</v>
      </c>
      <c r="E6168" s="7" t="s">
        <v>156</v>
      </c>
      <c r="F6168" s="7" t="s">
        <v>242</v>
      </c>
      <c r="G6168" s="7" t="s">
        <v>505</v>
      </c>
      <c r="H6168" s="6" t="n">
        <v>3.68</v>
      </c>
      <c r="I6168" s="6" t="n">
        <v>0</v>
      </c>
      <c r="J6168" s="40" t="n">
        <f aca="false">H6168-I6168</f>
        <v>3.68</v>
      </c>
      <c r="K6168" s="41" t="n">
        <v>34</v>
      </c>
      <c r="L6168" s="42" t="n">
        <f aca="false">J6168*K6168</f>
        <v>125.12</v>
      </c>
      <c r="M6168" s="43" t="n">
        <f aca="false">H6168*17.99*(1+'Chart of Accounts'!$E$67)</f>
        <v>75.802664</v>
      </c>
    </row>
    <row r="6169" customFormat="false" ht="15" hidden="false" customHeight="false" outlineLevel="0" collapsed="false">
      <c r="B6169" s="7" t="s">
        <v>6666</v>
      </c>
      <c r="C6169" s="39" t="n">
        <v>45945</v>
      </c>
      <c r="D6169" s="7" t="s">
        <v>399</v>
      </c>
      <c r="E6169" s="7" t="s">
        <v>154</v>
      </c>
      <c r="F6169" s="7" t="s">
        <v>214</v>
      </c>
      <c r="G6169" s="7" t="s">
        <v>505</v>
      </c>
      <c r="H6169" s="6" t="n">
        <v>3.26</v>
      </c>
      <c r="I6169" s="6" t="n">
        <v>0</v>
      </c>
      <c r="J6169" s="40" t="n">
        <f aca="false">H6169-I6169</f>
        <v>3.26</v>
      </c>
      <c r="K6169" s="41" t="n">
        <v>26.5</v>
      </c>
      <c r="L6169" s="42" t="n">
        <f aca="false">J6169*K6169</f>
        <v>86.39</v>
      </c>
      <c r="M6169" s="43" t="n">
        <f aca="false">H6169*15.67*(1+'Chart of Accounts'!$E$67)</f>
        <v>58.491409</v>
      </c>
    </row>
    <row r="6170" customFormat="false" ht="15" hidden="false" customHeight="false" outlineLevel="0" collapsed="false">
      <c r="B6170" s="7" t="s">
        <v>6667</v>
      </c>
      <c r="C6170" s="39" t="n">
        <v>45945</v>
      </c>
      <c r="D6170" s="7" t="s">
        <v>401</v>
      </c>
      <c r="E6170" s="7" t="s">
        <v>156</v>
      </c>
      <c r="F6170" s="7" t="s">
        <v>254</v>
      </c>
      <c r="G6170" s="7" t="s">
        <v>505</v>
      </c>
      <c r="H6170" s="6" t="n">
        <v>4.4</v>
      </c>
      <c r="I6170" s="6" t="n">
        <v>0</v>
      </c>
      <c r="J6170" s="40" t="n">
        <f aca="false">H6170-I6170</f>
        <v>4.4</v>
      </c>
      <c r="K6170" s="41" t="n">
        <v>34</v>
      </c>
      <c r="L6170" s="42" t="n">
        <f aca="false">J6170*K6170</f>
        <v>149.6</v>
      </c>
      <c r="M6170" s="43" t="n">
        <f aca="false">H6170*17.1*(1+'Chart of Accounts'!$E$67)</f>
        <v>86.1498</v>
      </c>
    </row>
    <row r="6171" customFormat="false" ht="15" hidden="false" customHeight="false" outlineLevel="0" collapsed="false">
      <c r="B6171" s="7" t="s">
        <v>6668</v>
      </c>
      <c r="C6171" s="39" t="n">
        <v>45945</v>
      </c>
      <c r="D6171" s="7" t="s">
        <v>403</v>
      </c>
      <c r="E6171" s="7" t="s">
        <v>156</v>
      </c>
      <c r="F6171" s="7" t="s">
        <v>184</v>
      </c>
      <c r="G6171" s="7" t="s">
        <v>505</v>
      </c>
      <c r="H6171" s="6" t="n">
        <v>4.04</v>
      </c>
      <c r="I6171" s="6" t="n">
        <v>0</v>
      </c>
      <c r="J6171" s="40" t="n">
        <f aca="false">H6171-I6171</f>
        <v>4.04</v>
      </c>
      <c r="K6171" s="41" t="n">
        <v>34</v>
      </c>
      <c r="L6171" s="42" t="n">
        <f aca="false">J6171*K6171</f>
        <v>137.36</v>
      </c>
      <c r="M6171" s="43" t="n">
        <f aca="false">H6171*17.34*(1+'Chart of Accounts'!$E$67)</f>
        <v>80.211372</v>
      </c>
    </row>
    <row r="6172" customFormat="false" ht="15" hidden="false" customHeight="false" outlineLevel="0" collapsed="false">
      <c r="B6172" s="7" t="s">
        <v>6669</v>
      </c>
      <c r="C6172" s="39" t="n">
        <v>45945</v>
      </c>
      <c r="D6172" s="7" t="s">
        <v>409</v>
      </c>
      <c r="E6172" s="7" t="s">
        <v>154</v>
      </c>
      <c r="F6172" s="7" t="s">
        <v>214</v>
      </c>
      <c r="G6172" s="7" t="s">
        <v>505</v>
      </c>
      <c r="H6172" s="6" t="n">
        <v>3.64</v>
      </c>
      <c r="I6172" s="6" t="n">
        <v>0</v>
      </c>
      <c r="J6172" s="40" t="n">
        <f aca="false">H6172-I6172</f>
        <v>3.64</v>
      </c>
      <c r="K6172" s="41" t="n">
        <v>26.5</v>
      </c>
      <c r="L6172" s="42" t="n">
        <f aca="false">J6172*K6172</f>
        <v>96.46</v>
      </c>
      <c r="M6172" s="43" t="n">
        <f aca="false">H6172*15.67*(1+'Chart of Accounts'!$E$67)</f>
        <v>65.309426</v>
      </c>
    </row>
    <row r="6173" customFormat="false" ht="15" hidden="false" customHeight="false" outlineLevel="0" collapsed="false">
      <c r="B6173" s="7" t="s">
        <v>6670</v>
      </c>
      <c r="C6173" s="39" t="n">
        <v>45946</v>
      </c>
      <c r="D6173" s="7" t="s">
        <v>288</v>
      </c>
      <c r="E6173" s="7" t="s">
        <v>156</v>
      </c>
      <c r="F6173" s="7" t="s">
        <v>196</v>
      </c>
      <c r="G6173" s="7" t="s">
        <v>505</v>
      </c>
      <c r="H6173" s="6" t="n">
        <v>4.34</v>
      </c>
      <c r="I6173" s="6" t="n">
        <v>0</v>
      </c>
      <c r="J6173" s="40" t="n">
        <f aca="false">H6173-I6173</f>
        <v>4.34</v>
      </c>
      <c r="K6173" s="41" t="n">
        <v>34</v>
      </c>
      <c r="L6173" s="42" t="n">
        <f aca="false">J6173*K6173</f>
        <v>147.56</v>
      </c>
      <c r="M6173" s="43" t="n">
        <f aca="false">H6173*15.05*(1+'Chart of Accounts'!$E$67)</f>
        <v>74.787965</v>
      </c>
    </row>
    <row r="6174" customFormat="false" ht="15" hidden="false" customHeight="false" outlineLevel="0" collapsed="false">
      <c r="B6174" s="7" t="s">
        <v>6671</v>
      </c>
      <c r="C6174" s="39" t="n">
        <v>45946</v>
      </c>
      <c r="D6174" s="7" t="s">
        <v>297</v>
      </c>
      <c r="E6174" s="7" t="s">
        <v>156</v>
      </c>
      <c r="F6174" s="7" t="s">
        <v>201</v>
      </c>
      <c r="G6174" s="7" t="s">
        <v>505</v>
      </c>
      <c r="H6174" s="6" t="n">
        <v>3.15</v>
      </c>
      <c r="I6174" s="6" t="n">
        <v>0</v>
      </c>
      <c r="J6174" s="40" t="n">
        <f aca="false">H6174-I6174</f>
        <v>3.15</v>
      </c>
      <c r="K6174" s="41" t="n">
        <v>34</v>
      </c>
      <c r="L6174" s="42" t="n">
        <f aca="false">J6174*K6174</f>
        <v>107.1</v>
      </c>
      <c r="M6174" s="43" t="n">
        <f aca="false">H6174*15.19*(1+'Chart of Accounts'!$E$67)</f>
        <v>54.7865325</v>
      </c>
    </row>
    <row r="6175" customFormat="false" ht="15" hidden="false" customHeight="false" outlineLevel="0" collapsed="false">
      <c r="B6175" s="7" t="s">
        <v>6672</v>
      </c>
      <c r="C6175" s="39" t="n">
        <v>45946</v>
      </c>
      <c r="D6175" s="7" t="s">
        <v>303</v>
      </c>
      <c r="E6175" s="7" t="s">
        <v>154</v>
      </c>
      <c r="F6175" s="7" t="s">
        <v>240</v>
      </c>
      <c r="G6175" s="7" t="s">
        <v>505</v>
      </c>
      <c r="H6175" s="6" t="n">
        <v>4.26</v>
      </c>
      <c r="I6175" s="6" t="n">
        <v>0</v>
      </c>
      <c r="J6175" s="40" t="n">
        <f aca="false">H6175-I6175</f>
        <v>4.26</v>
      </c>
      <c r="K6175" s="41" t="n">
        <v>26.5</v>
      </c>
      <c r="L6175" s="42" t="n">
        <f aca="false">J6175*K6175</f>
        <v>112.89</v>
      </c>
      <c r="M6175" s="43" t="n">
        <f aca="false">H6175*16.96*(1+'Chart of Accounts'!$E$67)</f>
        <v>82.725792</v>
      </c>
    </row>
    <row r="6176" customFormat="false" ht="15" hidden="false" customHeight="false" outlineLevel="0" collapsed="false">
      <c r="B6176" s="7" t="s">
        <v>6673</v>
      </c>
      <c r="C6176" s="39" t="n">
        <v>45946</v>
      </c>
      <c r="D6176" s="7" t="s">
        <v>311</v>
      </c>
      <c r="E6176" s="7" t="s">
        <v>154</v>
      </c>
      <c r="F6176" s="7" t="s">
        <v>196</v>
      </c>
      <c r="G6176" s="7" t="s">
        <v>505</v>
      </c>
      <c r="H6176" s="6" t="n">
        <v>2.73</v>
      </c>
      <c r="I6176" s="6" t="n">
        <v>0</v>
      </c>
      <c r="J6176" s="40" t="n">
        <f aca="false">H6176-I6176</f>
        <v>2.73</v>
      </c>
      <c r="K6176" s="41" t="n">
        <v>26.5</v>
      </c>
      <c r="L6176" s="42" t="n">
        <f aca="false">J6176*K6176</f>
        <v>72.345</v>
      </c>
      <c r="M6176" s="43" t="n">
        <f aca="false">H6176*15.05*(1+'Chart of Accounts'!$E$67)</f>
        <v>47.0440425</v>
      </c>
    </row>
    <row r="6177" customFormat="false" ht="15" hidden="false" customHeight="false" outlineLevel="0" collapsed="false">
      <c r="B6177" s="7" t="s">
        <v>6674</v>
      </c>
      <c r="C6177" s="39" t="n">
        <v>45946</v>
      </c>
      <c r="D6177" s="7" t="s">
        <v>313</v>
      </c>
      <c r="E6177" s="7" t="s">
        <v>156</v>
      </c>
      <c r="F6177" s="7" t="s">
        <v>184</v>
      </c>
      <c r="G6177" s="7" t="s">
        <v>505</v>
      </c>
      <c r="H6177" s="6" t="n">
        <v>4.21</v>
      </c>
      <c r="I6177" s="6" t="n">
        <v>0</v>
      </c>
      <c r="J6177" s="40" t="n">
        <f aca="false">H6177-I6177</f>
        <v>4.21</v>
      </c>
      <c r="K6177" s="41" t="n">
        <v>34</v>
      </c>
      <c r="L6177" s="42" t="n">
        <f aca="false">J6177*K6177</f>
        <v>143.14</v>
      </c>
      <c r="M6177" s="43" t="n">
        <f aca="false">H6177*17.34*(1+'Chart of Accounts'!$E$67)</f>
        <v>83.586603</v>
      </c>
    </row>
    <row r="6178" customFormat="false" ht="15" hidden="false" customHeight="false" outlineLevel="0" collapsed="false">
      <c r="B6178" s="7" t="s">
        <v>6675</v>
      </c>
      <c r="C6178" s="39" t="n">
        <v>45946</v>
      </c>
      <c r="D6178" s="7" t="s">
        <v>317</v>
      </c>
      <c r="E6178" s="7" t="s">
        <v>156</v>
      </c>
      <c r="F6178" s="7" t="s">
        <v>184</v>
      </c>
      <c r="G6178" s="7" t="s">
        <v>505</v>
      </c>
      <c r="H6178" s="6" t="n">
        <v>3.29</v>
      </c>
      <c r="I6178" s="6" t="n">
        <v>0</v>
      </c>
      <c r="J6178" s="40" t="n">
        <f aca="false">H6178-I6178</f>
        <v>3.29</v>
      </c>
      <c r="K6178" s="41" t="n">
        <v>34</v>
      </c>
      <c r="L6178" s="42" t="n">
        <f aca="false">J6178*K6178</f>
        <v>111.86</v>
      </c>
      <c r="M6178" s="43" t="n">
        <f aca="false">H6178*17.34*(1+'Chart of Accounts'!$E$67)</f>
        <v>65.320647</v>
      </c>
    </row>
    <row r="6179" customFormat="false" ht="15" hidden="false" customHeight="false" outlineLevel="0" collapsed="false">
      <c r="B6179" s="7" t="s">
        <v>6676</v>
      </c>
      <c r="C6179" s="39" t="n">
        <v>45946</v>
      </c>
      <c r="D6179" s="7" t="s">
        <v>321</v>
      </c>
      <c r="E6179" s="7" t="s">
        <v>154</v>
      </c>
      <c r="F6179" s="7" t="s">
        <v>218</v>
      </c>
      <c r="G6179" s="7" t="s">
        <v>505</v>
      </c>
      <c r="H6179" s="6" t="n">
        <v>3.81</v>
      </c>
      <c r="I6179" s="6" t="n">
        <v>0</v>
      </c>
      <c r="J6179" s="40" t="n">
        <f aca="false">H6179-I6179</f>
        <v>3.81</v>
      </c>
      <c r="K6179" s="41" t="n">
        <v>26.5</v>
      </c>
      <c r="L6179" s="42" t="n">
        <f aca="false">J6179*K6179</f>
        <v>100.965</v>
      </c>
      <c r="M6179" s="43" t="n">
        <f aca="false">H6179*16.19*(1+'Chart of Accounts'!$E$67)</f>
        <v>70.6280655</v>
      </c>
    </row>
    <row r="6180" customFormat="false" ht="15" hidden="false" customHeight="false" outlineLevel="0" collapsed="false">
      <c r="B6180" s="7" t="s">
        <v>6677</v>
      </c>
      <c r="C6180" s="39" t="n">
        <v>45946</v>
      </c>
      <c r="D6180" s="7" t="s">
        <v>325</v>
      </c>
      <c r="E6180" s="7" t="s">
        <v>154</v>
      </c>
      <c r="F6180" s="7" t="s">
        <v>244</v>
      </c>
      <c r="G6180" s="7" t="s">
        <v>505</v>
      </c>
      <c r="H6180" s="6" t="n">
        <v>3.29</v>
      </c>
      <c r="I6180" s="6" t="n">
        <v>0</v>
      </c>
      <c r="J6180" s="40" t="n">
        <f aca="false">H6180-I6180</f>
        <v>3.29</v>
      </c>
      <c r="K6180" s="41" t="n">
        <v>26.5</v>
      </c>
      <c r="L6180" s="42" t="n">
        <f aca="false">J6180*K6180</f>
        <v>87.185</v>
      </c>
      <c r="M6180" s="43" t="n">
        <f aca="false">H6180*16.39*(1+'Chart of Accounts'!$E$67)</f>
        <v>61.7419495</v>
      </c>
    </row>
    <row r="6181" customFormat="false" ht="15" hidden="false" customHeight="false" outlineLevel="0" collapsed="false">
      <c r="B6181" s="7" t="s">
        <v>6678</v>
      </c>
      <c r="C6181" s="39" t="n">
        <v>45946</v>
      </c>
      <c r="D6181" s="7" t="s">
        <v>331</v>
      </c>
      <c r="E6181" s="7" t="s">
        <v>156</v>
      </c>
      <c r="F6181" s="7" t="s">
        <v>224</v>
      </c>
      <c r="G6181" s="7" t="s">
        <v>505</v>
      </c>
      <c r="H6181" s="6" t="n">
        <v>3.66</v>
      </c>
      <c r="I6181" s="6" t="n">
        <v>0</v>
      </c>
      <c r="J6181" s="40" t="n">
        <f aca="false">H6181-I6181</f>
        <v>3.66</v>
      </c>
      <c r="K6181" s="41" t="n">
        <v>34</v>
      </c>
      <c r="L6181" s="42" t="n">
        <f aca="false">J6181*K6181</f>
        <v>124.44</v>
      </c>
      <c r="M6181" s="43" t="n">
        <f aca="false">H6181*14.93*(1+'Chart of Accounts'!$E$67)</f>
        <v>62.567151</v>
      </c>
    </row>
    <row r="6182" customFormat="false" ht="15" hidden="false" customHeight="false" outlineLevel="0" collapsed="false">
      <c r="B6182" s="7" t="s">
        <v>6679</v>
      </c>
      <c r="C6182" s="39" t="n">
        <v>45946</v>
      </c>
      <c r="D6182" s="7" t="s">
        <v>341</v>
      </c>
      <c r="E6182" s="7" t="s">
        <v>156</v>
      </c>
      <c r="F6182" s="7" t="s">
        <v>222</v>
      </c>
      <c r="G6182" s="7" t="s">
        <v>505</v>
      </c>
      <c r="H6182" s="6" t="n">
        <v>2.9</v>
      </c>
      <c r="I6182" s="6" t="n">
        <v>0</v>
      </c>
      <c r="J6182" s="40" t="n">
        <f aca="false">H6182-I6182</f>
        <v>2.9</v>
      </c>
      <c r="K6182" s="41" t="n">
        <v>34</v>
      </c>
      <c r="L6182" s="42" t="n">
        <f aca="false">J6182*K6182</f>
        <v>98.6</v>
      </c>
      <c r="M6182" s="43" t="n">
        <f aca="false">H6182*17.84*(1+'Chart of Accounts'!$E$67)</f>
        <v>59.23772</v>
      </c>
    </row>
    <row r="6183" customFormat="false" ht="15" hidden="false" customHeight="false" outlineLevel="0" collapsed="false">
      <c r="B6183" s="7" t="s">
        <v>6680</v>
      </c>
      <c r="C6183" s="39" t="n">
        <v>45946</v>
      </c>
      <c r="D6183" s="7" t="s">
        <v>343</v>
      </c>
      <c r="E6183" s="7" t="s">
        <v>154</v>
      </c>
      <c r="F6183" s="7" t="s">
        <v>244</v>
      </c>
      <c r="G6183" s="7" t="s">
        <v>505</v>
      </c>
      <c r="H6183" s="6" t="n">
        <v>3.98</v>
      </c>
      <c r="I6183" s="6" t="n">
        <v>0</v>
      </c>
      <c r="J6183" s="40" t="n">
        <f aca="false">H6183-I6183</f>
        <v>3.98</v>
      </c>
      <c r="K6183" s="41" t="n">
        <v>26.5</v>
      </c>
      <c r="L6183" s="42" t="n">
        <f aca="false">J6183*K6183</f>
        <v>105.47</v>
      </c>
      <c r="M6183" s="43" t="n">
        <f aca="false">H6183*16.39*(1+'Chart of Accounts'!$E$67)</f>
        <v>74.690869</v>
      </c>
    </row>
    <row r="6184" customFormat="false" ht="15" hidden="false" customHeight="false" outlineLevel="0" collapsed="false">
      <c r="B6184" s="7" t="s">
        <v>6681</v>
      </c>
      <c r="C6184" s="39" t="n">
        <v>45946</v>
      </c>
      <c r="D6184" s="7" t="s">
        <v>349</v>
      </c>
      <c r="E6184" s="7" t="s">
        <v>154</v>
      </c>
      <c r="F6184" s="7" t="s">
        <v>244</v>
      </c>
      <c r="G6184" s="7" t="s">
        <v>505</v>
      </c>
      <c r="H6184" s="6" t="n">
        <v>4.27</v>
      </c>
      <c r="I6184" s="6" t="n">
        <v>0.128</v>
      </c>
      <c r="J6184" s="40" t="n">
        <f aca="false">H6184-I6184</f>
        <v>4.142</v>
      </c>
      <c r="K6184" s="41" t="n">
        <v>26.5</v>
      </c>
      <c r="L6184" s="42" t="n">
        <f aca="false">J6184*K6184</f>
        <v>109.763</v>
      </c>
      <c r="M6184" s="43" t="n">
        <f aca="false">H6184*16.39*(1+'Chart of Accounts'!$E$67)</f>
        <v>80.1331685</v>
      </c>
    </row>
    <row r="6185" customFormat="false" ht="15" hidden="false" customHeight="false" outlineLevel="0" collapsed="false">
      <c r="B6185" s="7" t="s">
        <v>6682</v>
      </c>
      <c r="C6185" s="39" t="n">
        <v>45946</v>
      </c>
      <c r="D6185" s="7" t="s">
        <v>351</v>
      </c>
      <c r="E6185" s="7" t="s">
        <v>154</v>
      </c>
      <c r="F6185" s="7" t="s">
        <v>201</v>
      </c>
      <c r="G6185" s="7" t="s">
        <v>505</v>
      </c>
      <c r="H6185" s="6" t="n">
        <v>2.78</v>
      </c>
      <c r="I6185" s="6" t="n">
        <v>0</v>
      </c>
      <c r="J6185" s="40" t="n">
        <f aca="false">H6185-I6185</f>
        <v>2.78</v>
      </c>
      <c r="K6185" s="41" t="n">
        <v>26.5</v>
      </c>
      <c r="L6185" s="42" t="n">
        <f aca="false">J6185*K6185</f>
        <v>73.67</v>
      </c>
      <c r="M6185" s="43" t="n">
        <f aca="false">H6185*15.19*(1+'Chart of Accounts'!$E$67)</f>
        <v>48.351289</v>
      </c>
    </row>
    <row r="6186" customFormat="false" ht="15" hidden="false" customHeight="false" outlineLevel="0" collapsed="false">
      <c r="B6186" s="7" t="s">
        <v>6683</v>
      </c>
      <c r="C6186" s="39" t="n">
        <v>45946</v>
      </c>
      <c r="D6186" s="7" t="s">
        <v>359</v>
      </c>
      <c r="E6186" s="7" t="s">
        <v>156</v>
      </c>
      <c r="F6186" s="7" t="s">
        <v>238</v>
      </c>
      <c r="G6186" s="7" t="s">
        <v>505</v>
      </c>
      <c r="H6186" s="6" t="n">
        <v>4.17</v>
      </c>
      <c r="I6186" s="6" t="n">
        <v>0</v>
      </c>
      <c r="J6186" s="40" t="n">
        <f aca="false">H6186-I6186</f>
        <v>4.17</v>
      </c>
      <c r="K6186" s="41" t="n">
        <v>34</v>
      </c>
      <c r="L6186" s="42" t="n">
        <f aca="false">J6186*K6186</f>
        <v>141.78</v>
      </c>
      <c r="M6186" s="43" t="n">
        <f aca="false">H6186*15.85*(1+'Chart of Accounts'!$E$67)</f>
        <v>75.6782025</v>
      </c>
    </row>
    <row r="6187" customFormat="false" ht="15" hidden="false" customHeight="false" outlineLevel="0" collapsed="false">
      <c r="B6187" s="7" t="s">
        <v>6684</v>
      </c>
      <c r="C6187" s="39" t="n">
        <v>45946</v>
      </c>
      <c r="D6187" s="7" t="s">
        <v>363</v>
      </c>
      <c r="E6187" s="7" t="s">
        <v>156</v>
      </c>
      <c r="F6187" s="7" t="s">
        <v>246</v>
      </c>
      <c r="G6187" s="7" t="s">
        <v>505</v>
      </c>
      <c r="H6187" s="6" t="n">
        <v>3.62</v>
      </c>
      <c r="I6187" s="6" t="n">
        <v>0</v>
      </c>
      <c r="J6187" s="40" t="n">
        <f aca="false">H6187-I6187</f>
        <v>3.62</v>
      </c>
      <c r="K6187" s="41" t="n">
        <v>34</v>
      </c>
      <c r="L6187" s="42" t="n">
        <f aca="false">J6187*K6187</f>
        <v>123.08</v>
      </c>
      <c r="M6187" s="43" t="n">
        <f aca="false">H6187*16.48*(1+'Chart of Accounts'!$E$67)</f>
        <v>68.307952</v>
      </c>
    </row>
    <row r="6188" customFormat="false" ht="15" hidden="false" customHeight="false" outlineLevel="0" collapsed="false">
      <c r="B6188" s="7" t="s">
        <v>6685</v>
      </c>
      <c r="C6188" s="39" t="n">
        <v>45946</v>
      </c>
      <c r="D6188" s="7" t="s">
        <v>365</v>
      </c>
      <c r="E6188" s="7" t="s">
        <v>154</v>
      </c>
      <c r="F6188" s="7" t="s">
        <v>194</v>
      </c>
      <c r="G6188" s="7" t="s">
        <v>505</v>
      </c>
      <c r="H6188" s="6" t="n">
        <v>4.09</v>
      </c>
      <c r="I6188" s="6" t="n">
        <v>0</v>
      </c>
      <c r="J6188" s="40" t="n">
        <f aca="false">H6188-I6188</f>
        <v>4.09</v>
      </c>
      <c r="K6188" s="41" t="n">
        <v>26.5</v>
      </c>
      <c r="L6188" s="42" t="n">
        <f aca="false">J6188*K6188</f>
        <v>108.385</v>
      </c>
      <c r="M6188" s="43" t="n">
        <f aca="false">H6188*16*(1+'Chart of Accounts'!$E$67)</f>
        <v>74.9288</v>
      </c>
    </row>
    <row r="6189" customFormat="false" ht="15" hidden="false" customHeight="false" outlineLevel="0" collapsed="false">
      <c r="B6189" s="7" t="s">
        <v>6686</v>
      </c>
      <c r="C6189" s="39" t="n">
        <v>45946</v>
      </c>
      <c r="D6189" s="7" t="s">
        <v>375</v>
      </c>
      <c r="E6189" s="7" t="s">
        <v>156</v>
      </c>
      <c r="F6189" s="7" t="s">
        <v>196</v>
      </c>
      <c r="G6189" s="7" t="s">
        <v>505</v>
      </c>
      <c r="H6189" s="6" t="n">
        <v>3.24</v>
      </c>
      <c r="I6189" s="6" t="n">
        <v>0</v>
      </c>
      <c r="J6189" s="40" t="n">
        <f aca="false">H6189-I6189</f>
        <v>3.24</v>
      </c>
      <c r="K6189" s="41" t="n">
        <v>34</v>
      </c>
      <c r="L6189" s="42" t="n">
        <f aca="false">J6189*K6189</f>
        <v>110.16</v>
      </c>
      <c r="M6189" s="43" t="n">
        <f aca="false">H6189*15.05*(1+'Chart of Accounts'!$E$67)</f>
        <v>55.83249</v>
      </c>
    </row>
    <row r="6190" customFormat="false" ht="15" hidden="false" customHeight="false" outlineLevel="0" collapsed="false">
      <c r="B6190" s="7" t="s">
        <v>6687</v>
      </c>
      <c r="C6190" s="39" t="n">
        <v>45946</v>
      </c>
      <c r="D6190" s="7" t="s">
        <v>377</v>
      </c>
      <c r="E6190" s="7" t="s">
        <v>154</v>
      </c>
      <c r="F6190" s="7" t="s">
        <v>214</v>
      </c>
      <c r="G6190" s="7" t="s">
        <v>505</v>
      </c>
      <c r="H6190" s="6" t="n">
        <v>4.07</v>
      </c>
      <c r="I6190" s="6" t="n">
        <v>0</v>
      </c>
      <c r="J6190" s="40" t="n">
        <f aca="false">H6190-I6190</f>
        <v>4.07</v>
      </c>
      <c r="K6190" s="41" t="n">
        <v>26.5</v>
      </c>
      <c r="L6190" s="42" t="n">
        <f aca="false">J6190*K6190</f>
        <v>107.855</v>
      </c>
      <c r="M6190" s="43" t="n">
        <f aca="false">H6190*15.67*(1+'Chart of Accounts'!$E$67)</f>
        <v>73.0245505</v>
      </c>
    </row>
    <row r="6191" customFormat="false" ht="15" hidden="false" customHeight="false" outlineLevel="0" collapsed="false">
      <c r="B6191" s="7" t="s">
        <v>6688</v>
      </c>
      <c r="C6191" s="39" t="n">
        <v>45946</v>
      </c>
      <c r="D6191" s="7" t="s">
        <v>387</v>
      </c>
      <c r="E6191" s="7" t="s">
        <v>154</v>
      </c>
      <c r="F6191" s="7" t="s">
        <v>196</v>
      </c>
      <c r="G6191" s="7" t="s">
        <v>505</v>
      </c>
      <c r="H6191" s="6" t="n">
        <v>3.99</v>
      </c>
      <c r="I6191" s="6" t="n">
        <v>0</v>
      </c>
      <c r="J6191" s="40" t="n">
        <f aca="false">H6191-I6191</f>
        <v>3.99</v>
      </c>
      <c r="K6191" s="41" t="n">
        <v>26.5</v>
      </c>
      <c r="L6191" s="42" t="n">
        <f aca="false">J6191*K6191</f>
        <v>105.735</v>
      </c>
      <c r="M6191" s="43" t="n">
        <f aca="false">H6191*15.05*(1+'Chart of Accounts'!$E$67)</f>
        <v>68.7566775</v>
      </c>
    </row>
    <row r="6192" customFormat="false" ht="15" hidden="false" customHeight="false" outlineLevel="0" collapsed="false">
      <c r="B6192" s="7" t="s">
        <v>6689</v>
      </c>
      <c r="C6192" s="39" t="n">
        <v>45946</v>
      </c>
      <c r="D6192" s="7" t="s">
        <v>389</v>
      </c>
      <c r="E6192" s="7" t="s">
        <v>154</v>
      </c>
      <c r="F6192" s="7" t="s">
        <v>246</v>
      </c>
      <c r="G6192" s="7" t="s">
        <v>505</v>
      </c>
      <c r="H6192" s="6" t="n">
        <v>3.87</v>
      </c>
      <c r="I6192" s="6" t="n">
        <v>0</v>
      </c>
      <c r="J6192" s="40" t="n">
        <f aca="false">H6192-I6192</f>
        <v>3.87</v>
      </c>
      <c r="K6192" s="41" t="n">
        <v>26.5</v>
      </c>
      <c r="L6192" s="42" t="n">
        <f aca="false">J6192*K6192</f>
        <v>102.555</v>
      </c>
      <c r="M6192" s="43" t="n">
        <f aca="false">H6192*16.48*(1+'Chart of Accounts'!$E$67)</f>
        <v>73.025352</v>
      </c>
    </row>
    <row r="6193" customFormat="false" ht="15" hidden="false" customHeight="false" outlineLevel="0" collapsed="false">
      <c r="B6193" s="7" t="s">
        <v>6690</v>
      </c>
      <c r="C6193" s="39" t="n">
        <v>45946</v>
      </c>
      <c r="D6193" s="7" t="s">
        <v>391</v>
      </c>
      <c r="E6193" s="7" t="s">
        <v>156</v>
      </c>
      <c r="F6193" s="7" t="s">
        <v>222</v>
      </c>
      <c r="G6193" s="7" t="s">
        <v>505</v>
      </c>
      <c r="H6193" s="6" t="n">
        <v>3.94</v>
      </c>
      <c r="I6193" s="6" t="n">
        <v>0</v>
      </c>
      <c r="J6193" s="40" t="n">
        <f aca="false">H6193-I6193</f>
        <v>3.94</v>
      </c>
      <c r="K6193" s="41" t="n">
        <v>34</v>
      </c>
      <c r="L6193" s="42" t="n">
        <f aca="false">J6193*K6193</f>
        <v>133.96</v>
      </c>
      <c r="M6193" s="43" t="n">
        <f aca="false">H6193*17.84*(1+'Chart of Accounts'!$E$67)</f>
        <v>80.481592</v>
      </c>
    </row>
    <row r="6194" customFormat="false" ht="15" hidden="false" customHeight="false" outlineLevel="0" collapsed="false">
      <c r="B6194" s="7" t="s">
        <v>6691</v>
      </c>
      <c r="C6194" s="39" t="n">
        <v>45946</v>
      </c>
      <c r="D6194" s="7" t="s">
        <v>395</v>
      </c>
      <c r="E6194" s="7" t="s">
        <v>156</v>
      </c>
      <c r="F6194" s="7" t="s">
        <v>242</v>
      </c>
      <c r="G6194" s="7" t="s">
        <v>505</v>
      </c>
      <c r="H6194" s="6" t="n">
        <v>3.61</v>
      </c>
      <c r="I6194" s="6" t="n">
        <v>0</v>
      </c>
      <c r="J6194" s="40" t="n">
        <f aca="false">H6194-I6194</f>
        <v>3.61</v>
      </c>
      <c r="K6194" s="41" t="n">
        <v>34</v>
      </c>
      <c r="L6194" s="42" t="n">
        <f aca="false">J6194*K6194</f>
        <v>122.74</v>
      </c>
      <c r="M6194" s="43" t="n">
        <f aca="false">H6194*17.99*(1+'Chart of Accounts'!$E$67)</f>
        <v>74.3607655</v>
      </c>
    </row>
    <row r="6195" customFormat="false" ht="15" hidden="false" customHeight="false" outlineLevel="0" collapsed="false">
      <c r="B6195" s="7" t="s">
        <v>6692</v>
      </c>
      <c r="C6195" s="39" t="n">
        <v>45946</v>
      </c>
      <c r="D6195" s="7" t="s">
        <v>401</v>
      </c>
      <c r="E6195" s="7" t="s">
        <v>156</v>
      </c>
      <c r="F6195" s="7" t="s">
        <v>254</v>
      </c>
      <c r="G6195" s="7" t="s">
        <v>505</v>
      </c>
      <c r="H6195" s="6" t="n">
        <v>4.14</v>
      </c>
      <c r="I6195" s="6" t="n">
        <v>0</v>
      </c>
      <c r="J6195" s="40" t="n">
        <f aca="false">H6195-I6195</f>
        <v>4.14</v>
      </c>
      <c r="K6195" s="41" t="n">
        <v>34</v>
      </c>
      <c r="L6195" s="42" t="n">
        <f aca="false">J6195*K6195</f>
        <v>140.76</v>
      </c>
      <c r="M6195" s="43" t="n">
        <f aca="false">H6195*17.1*(1+'Chart of Accounts'!$E$67)</f>
        <v>81.05913</v>
      </c>
    </row>
    <row r="6196" customFormat="false" ht="15" hidden="false" customHeight="false" outlineLevel="0" collapsed="false">
      <c r="B6196" s="7" t="s">
        <v>6693</v>
      </c>
      <c r="C6196" s="39" t="n">
        <v>45947</v>
      </c>
      <c r="D6196" s="7" t="s">
        <v>288</v>
      </c>
      <c r="E6196" s="7" t="s">
        <v>156</v>
      </c>
      <c r="F6196" s="7" t="s">
        <v>244</v>
      </c>
      <c r="G6196" s="7" t="s">
        <v>505</v>
      </c>
      <c r="H6196" s="6" t="n">
        <v>3.88</v>
      </c>
      <c r="I6196" s="6" t="n">
        <v>0</v>
      </c>
      <c r="J6196" s="40" t="n">
        <f aca="false">H6196-I6196</f>
        <v>3.88</v>
      </c>
      <c r="K6196" s="41" t="n">
        <v>34</v>
      </c>
      <c r="L6196" s="42" t="n">
        <f aca="false">J6196*K6196</f>
        <v>131.92</v>
      </c>
      <c r="M6196" s="43" t="n">
        <f aca="false">H6196*16.39*(1+'Chart of Accounts'!$E$67)</f>
        <v>72.814214</v>
      </c>
    </row>
    <row r="6197" customFormat="false" ht="15" hidden="false" customHeight="false" outlineLevel="0" collapsed="false">
      <c r="B6197" s="7" t="s">
        <v>6694</v>
      </c>
      <c r="C6197" s="39" t="n">
        <v>45947</v>
      </c>
      <c r="D6197" s="7" t="s">
        <v>291</v>
      </c>
      <c r="E6197" s="7" t="s">
        <v>154</v>
      </c>
      <c r="F6197" s="7" t="s">
        <v>194</v>
      </c>
      <c r="G6197" s="7" t="s">
        <v>505</v>
      </c>
      <c r="H6197" s="6" t="n">
        <v>4.36</v>
      </c>
      <c r="I6197" s="6" t="n">
        <v>0</v>
      </c>
      <c r="J6197" s="40" t="n">
        <f aca="false">H6197-I6197</f>
        <v>4.36</v>
      </c>
      <c r="K6197" s="41" t="n">
        <v>26.5</v>
      </c>
      <c r="L6197" s="42" t="n">
        <f aca="false">J6197*K6197</f>
        <v>115.54</v>
      </c>
      <c r="M6197" s="43" t="n">
        <f aca="false">H6197*16*(1+'Chart of Accounts'!$E$67)</f>
        <v>79.8752</v>
      </c>
    </row>
    <row r="6198" customFormat="false" ht="15" hidden="false" customHeight="false" outlineLevel="0" collapsed="false">
      <c r="B6198" s="7" t="s">
        <v>6695</v>
      </c>
      <c r="C6198" s="39" t="n">
        <v>45947</v>
      </c>
      <c r="D6198" s="7" t="s">
        <v>293</v>
      </c>
      <c r="E6198" s="7" t="s">
        <v>157</v>
      </c>
      <c r="F6198" s="7" t="s">
        <v>198</v>
      </c>
      <c r="G6198" s="7" t="s">
        <v>502</v>
      </c>
      <c r="H6198" s="6" t="n">
        <v>0.94</v>
      </c>
      <c r="I6198" s="6" t="n">
        <v>0</v>
      </c>
      <c r="J6198" s="40" t="n">
        <f aca="false">H6198-I6198</f>
        <v>0.94</v>
      </c>
      <c r="K6198" s="41" t="n">
        <v>165</v>
      </c>
      <c r="L6198" s="42" t="n">
        <f aca="false">J6198*K6198</f>
        <v>155.1</v>
      </c>
      <c r="M6198" s="43" t="n">
        <f aca="false">H6198*48.09*(1+'Chart of Accounts'!$E$67)</f>
        <v>51.759267</v>
      </c>
    </row>
    <row r="6199" customFormat="false" ht="15" hidden="false" customHeight="false" outlineLevel="0" collapsed="false">
      <c r="B6199" s="7" t="s">
        <v>6696</v>
      </c>
      <c r="C6199" s="39" t="n">
        <v>45947</v>
      </c>
      <c r="D6199" s="7" t="s">
        <v>295</v>
      </c>
      <c r="E6199" s="7" t="s">
        <v>154</v>
      </c>
      <c r="F6199" s="7" t="s">
        <v>214</v>
      </c>
      <c r="G6199" s="7" t="s">
        <v>505</v>
      </c>
      <c r="H6199" s="6" t="n">
        <v>3.92</v>
      </c>
      <c r="I6199" s="6" t="n">
        <v>0</v>
      </c>
      <c r="J6199" s="40" t="n">
        <f aca="false">H6199-I6199</f>
        <v>3.92</v>
      </c>
      <c r="K6199" s="41" t="n">
        <v>26.5</v>
      </c>
      <c r="L6199" s="42" t="n">
        <f aca="false">J6199*K6199</f>
        <v>103.88</v>
      </c>
      <c r="M6199" s="43" t="n">
        <f aca="false">H6199*15.67*(1+'Chart of Accounts'!$E$67)</f>
        <v>70.333228</v>
      </c>
    </row>
    <row r="6200" customFormat="false" ht="15" hidden="false" customHeight="false" outlineLevel="0" collapsed="false">
      <c r="B6200" s="7" t="s">
        <v>6697</v>
      </c>
      <c r="C6200" s="39" t="n">
        <v>45947</v>
      </c>
      <c r="D6200" s="7" t="s">
        <v>301</v>
      </c>
      <c r="E6200" s="7" t="s">
        <v>157</v>
      </c>
      <c r="F6200" s="7" t="s">
        <v>209</v>
      </c>
      <c r="G6200" s="7" t="s">
        <v>502</v>
      </c>
      <c r="H6200" s="6" t="n">
        <v>0.92</v>
      </c>
      <c r="I6200" s="6" t="n">
        <v>0</v>
      </c>
      <c r="J6200" s="40" t="n">
        <f aca="false">H6200-I6200</f>
        <v>0.92</v>
      </c>
      <c r="K6200" s="41" t="n">
        <v>165</v>
      </c>
      <c r="L6200" s="42" t="n">
        <f aca="false">J6200*K6200</f>
        <v>151.8</v>
      </c>
      <c r="M6200" s="43" t="n">
        <f aca="false">H6200*73.58*(1+'Chart of Accounts'!$E$67)</f>
        <v>77.509172</v>
      </c>
    </row>
    <row r="6201" customFormat="false" ht="15" hidden="false" customHeight="false" outlineLevel="0" collapsed="false">
      <c r="B6201" s="7" t="s">
        <v>6698</v>
      </c>
      <c r="C6201" s="39" t="n">
        <v>45947</v>
      </c>
      <c r="D6201" s="7" t="s">
        <v>305</v>
      </c>
      <c r="E6201" s="7" t="s">
        <v>154</v>
      </c>
      <c r="F6201" s="7" t="s">
        <v>205</v>
      </c>
      <c r="G6201" s="7" t="s">
        <v>505</v>
      </c>
      <c r="H6201" s="6" t="n">
        <v>3.91</v>
      </c>
      <c r="I6201" s="6" t="n">
        <v>0</v>
      </c>
      <c r="J6201" s="40" t="n">
        <f aca="false">H6201-I6201</f>
        <v>3.91</v>
      </c>
      <c r="K6201" s="41" t="n">
        <v>26.5</v>
      </c>
      <c r="L6201" s="42" t="n">
        <f aca="false">J6201*K6201</f>
        <v>103.615</v>
      </c>
      <c r="M6201" s="43" t="n">
        <f aca="false">H6201*16.36*(1+'Chart of Accounts'!$E$67)</f>
        <v>73.242902</v>
      </c>
    </row>
    <row r="6202" customFormat="false" ht="15" hidden="false" customHeight="false" outlineLevel="0" collapsed="false">
      <c r="B6202" s="7" t="s">
        <v>6699</v>
      </c>
      <c r="C6202" s="39" t="n">
        <v>45947</v>
      </c>
      <c r="D6202" s="7" t="s">
        <v>307</v>
      </c>
      <c r="E6202" s="7" t="s">
        <v>157</v>
      </c>
      <c r="F6202" s="7" t="s">
        <v>264</v>
      </c>
      <c r="G6202" s="7" t="s">
        <v>502</v>
      </c>
      <c r="H6202" s="6" t="n">
        <v>0.97</v>
      </c>
      <c r="I6202" s="6" t="n">
        <v>0</v>
      </c>
      <c r="J6202" s="40" t="n">
        <f aca="false">H6202-I6202</f>
        <v>0.97</v>
      </c>
      <c r="K6202" s="41" t="n">
        <v>165</v>
      </c>
      <c r="L6202" s="42" t="n">
        <f aca="false">J6202*K6202</f>
        <v>160.05</v>
      </c>
      <c r="M6202" s="43" t="n">
        <f aca="false">H6202*55.55*(1+'Chart of Accounts'!$E$67)</f>
        <v>61.6966075</v>
      </c>
    </row>
    <row r="6203" customFormat="false" ht="15" hidden="false" customHeight="false" outlineLevel="0" collapsed="false">
      <c r="B6203" s="7" t="s">
        <v>6700</v>
      </c>
      <c r="C6203" s="39" t="n">
        <v>45947</v>
      </c>
      <c r="D6203" s="7" t="s">
        <v>309</v>
      </c>
      <c r="E6203" s="7" t="s">
        <v>159</v>
      </c>
      <c r="F6203" s="7" t="s">
        <v>252</v>
      </c>
      <c r="G6203" s="7" t="s">
        <v>502</v>
      </c>
      <c r="H6203" s="6" t="n">
        <v>0.99</v>
      </c>
      <c r="I6203" s="6" t="n">
        <v>0</v>
      </c>
      <c r="J6203" s="40" t="n">
        <f aca="false">H6203-I6203</f>
        <v>0.99</v>
      </c>
      <c r="K6203" s="41" t="n">
        <v>135</v>
      </c>
      <c r="L6203" s="42" t="n">
        <f aca="false">J6203*K6203</f>
        <v>133.65</v>
      </c>
      <c r="M6203" s="43" t="n">
        <f aca="false">H6203*57.54*(1+'Chart of Accounts'!$E$67)</f>
        <v>65.224467</v>
      </c>
    </row>
    <row r="6204" customFormat="false" ht="15" hidden="false" customHeight="false" outlineLevel="0" collapsed="false">
      <c r="B6204" s="7" t="s">
        <v>6701</v>
      </c>
      <c r="C6204" s="39" t="n">
        <v>45947</v>
      </c>
      <c r="D6204" s="7" t="s">
        <v>313</v>
      </c>
      <c r="E6204" s="7" t="s">
        <v>156</v>
      </c>
      <c r="F6204" s="7" t="s">
        <v>184</v>
      </c>
      <c r="G6204" s="7" t="s">
        <v>505</v>
      </c>
      <c r="H6204" s="6" t="n">
        <v>4.15</v>
      </c>
      <c r="I6204" s="6" t="n">
        <v>0</v>
      </c>
      <c r="J6204" s="40" t="n">
        <f aca="false">H6204-I6204</f>
        <v>4.15</v>
      </c>
      <c r="K6204" s="41" t="n">
        <v>34</v>
      </c>
      <c r="L6204" s="42" t="n">
        <f aca="false">J6204*K6204</f>
        <v>141.1</v>
      </c>
      <c r="M6204" s="43" t="n">
        <f aca="false">H6204*17.34*(1+'Chart of Accounts'!$E$67)</f>
        <v>82.395345</v>
      </c>
    </row>
    <row r="6205" customFormat="false" ht="15" hidden="false" customHeight="false" outlineLevel="0" collapsed="false">
      <c r="B6205" s="7" t="s">
        <v>6702</v>
      </c>
      <c r="C6205" s="39" t="n">
        <v>45947</v>
      </c>
      <c r="D6205" s="7" t="s">
        <v>315</v>
      </c>
      <c r="E6205" s="7" t="s">
        <v>159</v>
      </c>
      <c r="F6205" s="7" t="s">
        <v>216</v>
      </c>
      <c r="G6205" s="7" t="s">
        <v>502</v>
      </c>
      <c r="H6205" s="6" t="n">
        <v>0.92</v>
      </c>
      <c r="I6205" s="6" t="n">
        <v>0</v>
      </c>
      <c r="J6205" s="40" t="n">
        <f aca="false">H6205-I6205</f>
        <v>0.92</v>
      </c>
      <c r="K6205" s="41" t="n">
        <v>135</v>
      </c>
      <c r="L6205" s="42" t="n">
        <f aca="false">J6205*K6205</f>
        <v>124.2</v>
      </c>
      <c r="M6205" s="43" t="n">
        <f aca="false">H6205*61.79*(1+'Chart of Accounts'!$E$67)</f>
        <v>65.089586</v>
      </c>
    </row>
    <row r="6206" customFormat="false" ht="15" hidden="false" customHeight="false" outlineLevel="0" collapsed="false">
      <c r="B6206" s="7" t="s">
        <v>6703</v>
      </c>
      <c r="C6206" s="39" t="n">
        <v>45947</v>
      </c>
      <c r="D6206" s="7" t="s">
        <v>319</v>
      </c>
      <c r="E6206" s="7" t="s">
        <v>157</v>
      </c>
      <c r="F6206" s="7" t="s">
        <v>234</v>
      </c>
      <c r="G6206" s="7" t="s">
        <v>502</v>
      </c>
      <c r="H6206" s="6" t="n">
        <v>1.09</v>
      </c>
      <c r="I6206" s="6" t="n">
        <v>0</v>
      </c>
      <c r="J6206" s="40" t="n">
        <f aca="false">H6206-I6206</f>
        <v>1.09</v>
      </c>
      <c r="K6206" s="41" t="n">
        <v>165</v>
      </c>
      <c r="L6206" s="42" t="n">
        <f aca="false">J6206*K6206</f>
        <v>179.85</v>
      </c>
      <c r="M6206" s="43" t="n">
        <f aca="false">H6206*89.53*(1+'Chart of Accounts'!$E$67)</f>
        <v>111.7379165</v>
      </c>
    </row>
    <row r="6207" customFormat="false" ht="15" hidden="false" customHeight="false" outlineLevel="0" collapsed="false">
      <c r="B6207" s="7" t="s">
        <v>6704</v>
      </c>
      <c r="C6207" s="39" t="n">
        <v>45947</v>
      </c>
      <c r="D6207" s="7" t="s">
        <v>321</v>
      </c>
      <c r="E6207" s="7" t="s">
        <v>154</v>
      </c>
      <c r="F6207" s="7" t="s">
        <v>218</v>
      </c>
      <c r="G6207" s="7" t="s">
        <v>505</v>
      </c>
      <c r="H6207" s="6" t="n">
        <v>4.35</v>
      </c>
      <c r="I6207" s="6" t="n">
        <v>0.13</v>
      </c>
      <c r="J6207" s="40" t="n">
        <f aca="false">H6207-I6207</f>
        <v>4.22</v>
      </c>
      <c r="K6207" s="41" t="n">
        <v>26.5</v>
      </c>
      <c r="L6207" s="42" t="n">
        <f aca="false">J6207*K6207</f>
        <v>111.83</v>
      </c>
      <c r="M6207" s="43" t="n">
        <f aca="false">H6207*16.19*(1+'Chart of Accounts'!$E$67)</f>
        <v>80.6383425</v>
      </c>
    </row>
    <row r="6208" customFormat="false" ht="15" hidden="false" customHeight="false" outlineLevel="0" collapsed="false">
      <c r="B6208" s="7" t="s">
        <v>6705</v>
      </c>
      <c r="C6208" s="39" t="n">
        <v>45947</v>
      </c>
      <c r="D6208" s="7" t="s">
        <v>323</v>
      </c>
      <c r="E6208" s="7" t="s">
        <v>159</v>
      </c>
      <c r="F6208" s="7" t="s">
        <v>216</v>
      </c>
      <c r="G6208" s="7" t="s">
        <v>502</v>
      </c>
      <c r="H6208" s="6" t="n">
        <v>0.92</v>
      </c>
      <c r="I6208" s="6" t="n">
        <v>0</v>
      </c>
      <c r="J6208" s="40" t="n">
        <f aca="false">H6208-I6208</f>
        <v>0.92</v>
      </c>
      <c r="K6208" s="41" t="n">
        <v>135</v>
      </c>
      <c r="L6208" s="42" t="n">
        <f aca="false">J6208*K6208</f>
        <v>124.2</v>
      </c>
      <c r="M6208" s="43" t="n">
        <f aca="false">H6208*61.79*(1+'Chart of Accounts'!$E$67)</f>
        <v>65.089586</v>
      </c>
    </row>
    <row r="6209" customFormat="false" ht="15" hidden="false" customHeight="false" outlineLevel="0" collapsed="false">
      <c r="B6209" s="7" t="s">
        <v>6706</v>
      </c>
      <c r="C6209" s="39" t="n">
        <v>45947</v>
      </c>
      <c r="D6209" s="7" t="s">
        <v>329</v>
      </c>
      <c r="E6209" s="7" t="s">
        <v>156</v>
      </c>
      <c r="F6209" s="7" t="s">
        <v>220</v>
      </c>
      <c r="G6209" s="7" t="s">
        <v>505</v>
      </c>
      <c r="H6209" s="6" t="n">
        <v>3.77</v>
      </c>
      <c r="I6209" s="6" t="n">
        <v>0</v>
      </c>
      <c r="J6209" s="40" t="n">
        <f aca="false">H6209-I6209</f>
        <v>3.77</v>
      </c>
      <c r="K6209" s="41" t="n">
        <v>34</v>
      </c>
      <c r="L6209" s="42" t="n">
        <f aca="false">J6209*K6209</f>
        <v>128.18</v>
      </c>
      <c r="M6209" s="43" t="n">
        <f aca="false">H6209*16.43*(1+'Chart of Accounts'!$E$67)</f>
        <v>70.9225595</v>
      </c>
    </row>
    <row r="6210" customFormat="false" ht="15" hidden="false" customHeight="false" outlineLevel="0" collapsed="false">
      <c r="B6210" s="7" t="s">
        <v>6707</v>
      </c>
      <c r="C6210" s="39" t="n">
        <v>45947</v>
      </c>
      <c r="D6210" s="7" t="s">
        <v>333</v>
      </c>
      <c r="E6210" s="7" t="s">
        <v>154</v>
      </c>
      <c r="F6210" s="7" t="s">
        <v>236</v>
      </c>
      <c r="G6210" s="7" t="s">
        <v>505</v>
      </c>
      <c r="H6210" s="6" t="n">
        <v>3.64</v>
      </c>
      <c r="I6210" s="6" t="n">
        <v>0</v>
      </c>
      <c r="J6210" s="40" t="n">
        <f aca="false">H6210-I6210</f>
        <v>3.64</v>
      </c>
      <c r="K6210" s="41" t="n">
        <v>26.5</v>
      </c>
      <c r="L6210" s="42" t="n">
        <f aca="false">J6210*K6210</f>
        <v>96.46</v>
      </c>
      <c r="M6210" s="43" t="n">
        <f aca="false">H6210*15.49*(1+'Chart of Accounts'!$E$67)</f>
        <v>64.559222</v>
      </c>
    </row>
    <row r="6211" customFormat="false" ht="15" hidden="false" customHeight="false" outlineLevel="0" collapsed="false">
      <c r="B6211" s="7" t="s">
        <v>6708</v>
      </c>
      <c r="C6211" s="39" t="n">
        <v>45947</v>
      </c>
      <c r="D6211" s="7" t="s">
        <v>335</v>
      </c>
      <c r="E6211" s="7" t="s">
        <v>154</v>
      </c>
      <c r="F6211" s="7" t="s">
        <v>177</v>
      </c>
      <c r="G6211" s="7" t="s">
        <v>505</v>
      </c>
      <c r="H6211" s="6" t="n">
        <v>4.31</v>
      </c>
      <c r="I6211" s="6" t="n">
        <v>0</v>
      </c>
      <c r="J6211" s="40" t="n">
        <f aca="false">H6211-I6211</f>
        <v>4.31</v>
      </c>
      <c r="K6211" s="41" t="n">
        <v>26.5</v>
      </c>
      <c r="L6211" s="42" t="n">
        <f aca="false">J6211*K6211</f>
        <v>114.215</v>
      </c>
      <c r="M6211" s="43" t="n">
        <f aca="false">H6211*14.56*(1+'Chart of Accounts'!$E$67)</f>
        <v>71.852872</v>
      </c>
    </row>
    <row r="6212" customFormat="false" ht="15" hidden="false" customHeight="false" outlineLevel="0" collapsed="false">
      <c r="B6212" s="7" t="s">
        <v>6709</v>
      </c>
      <c r="C6212" s="39" t="n">
        <v>45947</v>
      </c>
      <c r="D6212" s="7" t="s">
        <v>339</v>
      </c>
      <c r="E6212" s="7" t="s">
        <v>154</v>
      </c>
      <c r="F6212" s="7" t="s">
        <v>242</v>
      </c>
      <c r="G6212" s="7" t="s">
        <v>505</v>
      </c>
      <c r="H6212" s="6" t="n">
        <v>3.47</v>
      </c>
      <c r="I6212" s="6" t="n">
        <v>0</v>
      </c>
      <c r="J6212" s="40" t="n">
        <f aca="false">H6212-I6212</f>
        <v>3.47</v>
      </c>
      <c r="K6212" s="41" t="n">
        <v>26.5</v>
      </c>
      <c r="L6212" s="42" t="n">
        <f aca="false">J6212*K6212</f>
        <v>91.955</v>
      </c>
      <c r="M6212" s="43" t="n">
        <f aca="false">H6212*17.99*(1+'Chart of Accounts'!$E$67)</f>
        <v>71.4769685</v>
      </c>
    </row>
    <row r="6213" customFormat="false" ht="15" hidden="false" customHeight="false" outlineLevel="0" collapsed="false">
      <c r="B6213" s="7" t="s">
        <v>6710</v>
      </c>
      <c r="C6213" s="39" t="n">
        <v>45947</v>
      </c>
      <c r="D6213" s="7" t="s">
        <v>347</v>
      </c>
      <c r="E6213" s="7" t="s">
        <v>154</v>
      </c>
      <c r="F6213" s="7" t="s">
        <v>238</v>
      </c>
      <c r="G6213" s="7" t="s">
        <v>505</v>
      </c>
      <c r="H6213" s="6" t="n">
        <v>5.01</v>
      </c>
      <c r="I6213" s="6" t="n">
        <v>0</v>
      </c>
      <c r="J6213" s="40" t="n">
        <f aca="false">H6213-I6213</f>
        <v>5.01</v>
      </c>
      <c r="K6213" s="41" t="n">
        <v>26.5</v>
      </c>
      <c r="L6213" s="42" t="n">
        <f aca="false">J6213*K6213</f>
        <v>132.765</v>
      </c>
      <c r="M6213" s="43" t="n">
        <f aca="false">H6213*15.85*(1+'Chart of Accounts'!$E$67)</f>
        <v>90.9227325</v>
      </c>
    </row>
    <row r="6214" customFormat="false" ht="15" hidden="false" customHeight="false" outlineLevel="0" collapsed="false">
      <c r="B6214" s="7" t="s">
        <v>6711</v>
      </c>
      <c r="C6214" s="39" t="n">
        <v>45947</v>
      </c>
      <c r="D6214" s="7" t="s">
        <v>349</v>
      </c>
      <c r="E6214" s="7" t="s">
        <v>154</v>
      </c>
      <c r="F6214" s="7" t="s">
        <v>244</v>
      </c>
      <c r="G6214" s="7" t="s">
        <v>505</v>
      </c>
      <c r="H6214" s="6" t="n">
        <v>4.28</v>
      </c>
      <c r="I6214" s="6" t="n">
        <v>0</v>
      </c>
      <c r="J6214" s="40" t="n">
        <f aca="false">H6214-I6214</f>
        <v>4.28</v>
      </c>
      <c r="K6214" s="41" t="n">
        <v>26.5</v>
      </c>
      <c r="L6214" s="42" t="n">
        <f aca="false">J6214*K6214</f>
        <v>113.42</v>
      </c>
      <c r="M6214" s="43" t="n">
        <f aca="false">H6214*16.39*(1+'Chart of Accounts'!$E$67)</f>
        <v>80.320834</v>
      </c>
    </row>
    <row r="6215" customFormat="false" ht="15" hidden="false" customHeight="false" outlineLevel="0" collapsed="false">
      <c r="B6215" s="7" t="s">
        <v>6712</v>
      </c>
      <c r="C6215" s="39" t="n">
        <v>45947</v>
      </c>
      <c r="D6215" s="7" t="s">
        <v>353</v>
      </c>
      <c r="E6215" s="7" t="s">
        <v>154</v>
      </c>
      <c r="F6215" s="7" t="s">
        <v>254</v>
      </c>
      <c r="G6215" s="7" t="s">
        <v>505</v>
      </c>
      <c r="H6215" s="6" t="n">
        <v>3.01</v>
      </c>
      <c r="I6215" s="6" t="n">
        <v>0</v>
      </c>
      <c r="J6215" s="40" t="n">
        <f aca="false">H6215-I6215</f>
        <v>3.01</v>
      </c>
      <c r="K6215" s="41" t="n">
        <v>26.5</v>
      </c>
      <c r="L6215" s="42" t="n">
        <f aca="false">J6215*K6215</f>
        <v>79.765</v>
      </c>
      <c r="M6215" s="43" t="n">
        <f aca="false">H6215*17.1*(1+'Chart of Accounts'!$E$67)</f>
        <v>58.934295</v>
      </c>
    </row>
    <row r="6216" customFormat="false" ht="15" hidden="false" customHeight="false" outlineLevel="0" collapsed="false">
      <c r="B6216" s="7" t="s">
        <v>6713</v>
      </c>
      <c r="C6216" s="39" t="n">
        <v>45947</v>
      </c>
      <c r="D6216" s="7" t="s">
        <v>355</v>
      </c>
      <c r="E6216" s="7" t="s">
        <v>154</v>
      </c>
      <c r="F6216" s="7" t="s">
        <v>201</v>
      </c>
      <c r="G6216" s="7" t="s">
        <v>505</v>
      </c>
      <c r="H6216" s="6" t="n">
        <v>3.4</v>
      </c>
      <c r="I6216" s="6" t="n">
        <v>0</v>
      </c>
      <c r="J6216" s="40" t="n">
        <f aca="false">H6216-I6216</f>
        <v>3.4</v>
      </c>
      <c r="K6216" s="41" t="n">
        <v>26.5</v>
      </c>
      <c r="L6216" s="42" t="n">
        <f aca="false">J6216*K6216</f>
        <v>90.1</v>
      </c>
      <c r="M6216" s="43" t="n">
        <f aca="false">H6216*15.19*(1+'Chart of Accounts'!$E$67)</f>
        <v>59.13467</v>
      </c>
    </row>
    <row r="6217" customFormat="false" ht="15" hidden="false" customHeight="false" outlineLevel="0" collapsed="false">
      <c r="B6217" s="7" t="s">
        <v>6714</v>
      </c>
      <c r="C6217" s="39" t="n">
        <v>45947</v>
      </c>
      <c r="D6217" s="7" t="s">
        <v>357</v>
      </c>
      <c r="E6217" s="7" t="s">
        <v>154</v>
      </c>
      <c r="F6217" s="7" t="s">
        <v>201</v>
      </c>
      <c r="G6217" s="7" t="s">
        <v>505</v>
      </c>
      <c r="H6217" s="6" t="n">
        <v>3.21</v>
      </c>
      <c r="I6217" s="6" t="n">
        <v>0.096</v>
      </c>
      <c r="J6217" s="40" t="n">
        <f aca="false">H6217-I6217</f>
        <v>3.114</v>
      </c>
      <c r="K6217" s="41" t="n">
        <v>26.5</v>
      </c>
      <c r="L6217" s="42" t="n">
        <f aca="false">J6217*K6217</f>
        <v>82.521</v>
      </c>
      <c r="M6217" s="43" t="n">
        <f aca="false">H6217*15.19*(1+'Chart of Accounts'!$E$67)</f>
        <v>55.8300855</v>
      </c>
    </row>
    <row r="6218" customFormat="false" ht="15" hidden="false" customHeight="false" outlineLevel="0" collapsed="false">
      <c r="B6218" s="7" t="s">
        <v>6715</v>
      </c>
      <c r="C6218" s="39" t="n">
        <v>45947</v>
      </c>
      <c r="D6218" s="7" t="s">
        <v>359</v>
      </c>
      <c r="E6218" s="7" t="s">
        <v>156</v>
      </c>
      <c r="F6218" s="7" t="s">
        <v>232</v>
      </c>
      <c r="G6218" s="7" t="s">
        <v>505</v>
      </c>
      <c r="H6218" s="6" t="n">
        <v>4.33</v>
      </c>
      <c r="I6218" s="6" t="n">
        <v>0</v>
      </c>
      <c r="J6218" s="40" t="n">
        <f aca="false">H6218-I6218</f>
        <v>4.33</v>
      </c>
      <c r="K6218" s="41" t="n">
        <v>34</v>
      </c>
      <c r="L6218" s="42" t="n">
        <f aca="false">J6218*K6218</f>
        <v>147.22</v>
      </c>
      <c r="M6218" s="43" t="n">
        <f aca="false">H6218*16.17*(1+'Chart of Accounts'!$E$67)</f>
        <v>80.1684345</v>
      </c>
    </row>
    <row r="6219" customFormat="false" ht="15" hidden="false" customHeight="false" outlineLevel="0" collapsed="false">
      <c r="B6219" s="7" t="s">
        <v>6716</v>
      </c>
      <c r="C6219" s="39" t="n">
        <v>45947</v>
      </c>
      <c r="D6219" s="7" t="s">
        <v>361</v>
      </c>
      <c r="E6219" s="7" t="s">
        <v>157</v>
      </c>
      <c r="F6219" s="7" t="s">
        <v>209</v>
      </c>
      <c r="G6219" s="7" t="s">
        <v>502</v>
      </c>
      <c r="H6219" s="6" t="n">
        <v>1.04</v>
      </c>
      <c r="I6219" s="6" t="n">
        <v>0</v>
      </c>
      <c r="J6219" s="40" t="n">
        <f aca="false">H6219-I6219</f>
        <v>1.04</v>
      </c>
      <c r="K6219" s="41" t="n">
        <v>165</v>
      </c>
      <c r="L6219" s="42" t="n">
        <f aca="false">J6219*K6219</f>
        <v>171.6</v>
      </c>
      <c r="M6219" s="43" t="n">
        <f aca="false">H6219*73.58*(1+'Chart of Accounts'!$E$67)</f>
        <v>87.619064</v>
      </c>
    </row>
    <row r="6220" customFormat="false" ht="15" hidden="false" customHeight="false" outlineLevel="0" collapsed="false">
      <c r="B6220" s="7" t="s">
        <v>6717</v>
      </c>
      <c r="C6220" s="39" t="n">
        <v>45947</v>
      </c>
      <c r="D6220" s="7" t="s">
        <v>365</v>
      </c>
      <c r="E6220" s="7" t="s">
        <v>154</v>
      </c>
      <c r="F6220" s="7" t="s">
        <v>194</v>
      </c>
      <c r="G6220" s="7" t="s">
        <v>505</v>
      </c>
      <c r="H6220" s="6" t="n">
        <v>3.92</v>
      </c>
      <c r="I6220" s="6" t="n">
        <v>0</v>
      </c>
      <c r="J6220" s="40" t="n">
        <f aca="false">H6220-I6220</f>
        <v>3.92</v>
      </c>
      <c r="K6220" s="41" t="n">
        <v>26.5</v>
      </c>
      <c r="L6220" s="42" t="n">
        <f aca="false">J6220*K6220</f>
        <v>103.88</v>
      </c>
      <c r="M6220" s="43" t="n">
        <f aca="false">H6220*16*(1+'Chart of Accounts'!$E$67)</f>
        <v>71.8144</v>
      </c>
    </row>
    <row r="6221" customFormat="false" ht="15" hidden="false" customHeight="false" outlineLevel="0" collapsed="false">
      <c r="B6221" s="7" t="s">
        <v>6718</v>
      </c>
      <c r="C6221" s="39" t="n">
        <v>45947</v>
      </c>
      <c r="D6221" s="7" t="s">
        <v>369</v>
      </c>
      <c r="E6221" s="7" t="s">
        <v>159</v>
      </c>
      <c r="F6221" s="7" t="s">
        <v>258</v>
      </c>
      <c r="G6221" s="7" t="s">
        <v>502</v>
      </c>
      <c r="H6221" s="6" t="n">
        <v>1.07</v>
      </c>
      <c r="I6221" s="6" t="n">
        <v>0</v>
      </c>
      <c r="J6221" s="40" t="n">
        <f aca="false">H6221-I6221</f>
        <v>1.07</v>
      </c>
      <c r="K6221" s="41" t="n">
        <v>135</v>
      </c>
      <c r="L6221" s="42" t="n">
        <f aca="false">J6221*K6221</f>
        <v>144.45</v>
      </c>
      <c r="M6221" s="43" t="n">
        <f aca="false">H6221*61.61*(1+'Chart of Accounts'!$E$67)</f>
        <v>75.4814915</v>
      </c>
    </row>
    <row r="6222" customFormat="false" ht="15" hidden="false" customHeight="false" outlineLevel="0" collapsed="false">
      <c r="B6222" s="7" t="s">
        <v>6719</v>
      </c>
      <c r="C6222" s="39" t="n">
        <v>45947</v>
      </c>
      <c r="D6222" s="7" t="s">
        <v>371</v>
      </c>
      <c r="E6222" s="7" t="s">
        <v>154</v>
      </c>
      <c r="F6222" s="7" t="s">
        <v>232</v>
      </c>
      <c r="G6222" s="7" t="s">
        <v>505</v>
      </c>
      <c r="H6222" s="6" t="n">
        <v>4.49</v>
      </c>
      <c r="I6222" s="6" t="n">
        <v>0.135</v>
      </c>
      <c r="J6222" s="40" t="n">
        <f aca="false">H6222-I6222</f>
        <v>4.355</v>
      </c>
      <c r="K6222" s="41" t="n">
        <v>26.5</v>
      </c>
      <c r="L6222" s="42" t="n">
        <f aca="false">J6222*K6222</f>
        <v>115.4075</v>
      </c>
      <c r="M6222" s="43" t="n">
        <f aca="false">H6222*16.17*(1+'Chart of Accounts'!$E$67)</f>
        <v>83.1307785</v>
      </c>
    </row>
    <row r="6223" customFormat="false" ht="15" hidden="false" customHeight="false" outlineLevel="0" collapsed="false">
      <c r="B6223" s="7" t="s">
        <v>6720</v>
      </c>
      <c r="C6223" s="39" t="n">
        <v>45947</v>
      </c>
      <c r="D6223" s="7" t="s">
        <v>379</v>
      </c>
      <c r="E6223" s="7" t="s">
        <v>156</v>
      </c>
      <c r="F6223" s="7" t="s">
        <v>224</v>
      </c>
      <c r="G6223" s="7" t="s">
        <v>505</v>
      </c>
      <c r="H6223" s="6" t="n">
        <v>4.22</v>
      </c>
      <c r="I6223" s="6" t="n">
        <v>0</v>
      </c>
      <c r="J6223" s="40" t="n">
        <f aca="false">H6223-I6223</f>
        <v>4.22</v>
      </c>
      <c r="K6223" s="41" t="n">
        <v>34</v>
      </c>
      <c r="L6223" s="42" t="n">
        <f aca="false">J6223*K6223</f>
        <v>143.48</v>
      </c>
      <c r="M6223" s="43" t="n">
        <f aca="false">H6223*14.93*(1+'Chart of Accounts'!$E$67)</f>
        <v>72.140267</v>
      </c>
    </row>
    <row r="6224" customFormat="false" ht="15" hidden="false" customHeight="false" outlineLevel="0" collapsed="false">
      <c r="B6224" s="7" t="s">
        <v>6721</v>
      </c>
      <c r="C6224" s="39" t="n">
        <v>45947</v>
      </c>
      <c r="D6224" s="7" t="s">
        <v>381</v>
      </c>
      <c r="E6224" s="7" t="s">
        <v>157</v>
      </c>
      <c r="F6224" s="7" t="s">
        <v>234</v>
      </c>
      <c r="G6224" s="7" t="s">
        <v>502</v>
      </c>
      <c r="H6224" s="6" t="n">
        <v>1.08</v>
      </c>
      <c r="I6224" s="6" t="n">
        <v>0</v>
      </c>
      <c r="J6224" s="40" t="n">
        <f aca="false">H6224-I6224</f>
        <v>1.08</v>
      </c>
      <c r="K6224" s="41" t="n">
        <v>165</v>
      </c>
      <c r="L6224" s="42" t="n">
        <f aca="false">J6224*K6224</f>
        <v>178.2</v>
      </c>
      <c r="M6224" s="43" t="n">
        <f aca="false">H6224*89.53*(1+'Chart of Accounts'!$E$67)</f>
        <v>110.712798</v>
      </c>
    </row>
    <row r="6225" customFormat="false" ht="15" hidden="false" customHeight="false" outlineLevel="0" collapsed="false">
      <c r="B6225" s="7" t="s">
        <v>6722</v>
      </c>
      <c r="C6225" s="39" t="n">
        <v>45947</v>
      </c>
      <c r="D6225" s="7" t="s">
        <v>383</v>
      </c>
      <c r="E6225" s="7" t="s">
        <v>157</v>
      </c>
      <c r="F6225" s="7" t="s">
        <v>230</v>
      </c>
      <c r="G6225" s="7" t="s">
        <v>502</v>
      </c>
      <c r="H6225" s="6" t="n">
        <v>0.93</v>
      </c>
      <c r="I6225" s="6" t="n">
        <v>0</v>
      </c>
      <c r="J6225" s="40" t="n">
        <f aca="false">H6225-I6225</f>
        <v>0.93</v>
      </c>
      <c r="K6225" s="41" t="n">
        <v>165</v>
      </c>
      <c r="L6225" s="42" t="n">
        <f aca="false">J6225*K6225</f>
        <v>153.45</v>
      </c>
      <c r="M6225" s="43" t="n">
        <f aca="false">H6225*48.78*(1+'Chart of Accounts'!$E$67)</f>
        <v>51.943383</v>
      </c>
    </row>
    <row r="6226" customFormat="false" ht="15" hidden="false" customHeight="false" outlineLevel="0" collapsed="false">
      <c r="B6226" s="7" t="s">
        <v>6723</v>
      </c>
      <c r="C6226" s="39" t="n">
        <v>45947</v>
      </c>
      <c r="D6226" s="7" t="s">
        <v>385</v>
      </c>
      <c r="E6226" s="7" t="s">
        <v>156</v>
      </c>
      <c r="F6226" s="7" t="s">
        <v>238</v>
      </c>
      <c r="G6226" s="7" t="s">
        <v>505</v>
      </c>
      <c r="H6226" s="6" t="n">
        <v>4.23</v>
      </c>
      <c r="I6226" s="6" t="n">
        <v>0</v>
      </c>
      <c r="J6226" s="40" t="n">
        <f aca="false">H6226-I6226</f>
        <v>4.23</v>
      </c>
      <c r="K6226" s="41" t="n">
        <v>34</v>
      </c>
      <c r="L6226" s="42" t="n">
        <f aca="false">J6226*K6226</f>
        <v>143.82</v>
      </c>
      <c r="M6226" s="43" t="n">
        <f aca="false">H6226*15.85*(1+'Chart of Accounts'!$E$67)</f>
        <v>76.7670975</v>
      </c>
    </row>
    <row r="6227" customFormat="false" ht="15" hidden="false" customHeight="false" outlineLevel="0" collapsed="false">
      <c r="B6227" s="7" t="s">
        <v>6724</v>
      </c>
      <c r="C6227" s="39" t="n">
        <v>45947</v>
      </c>
      <c r="D6227" s="7" t="s">
        <v>387</v>
      </c>
      <c r="E6227" s="7" t="s">
        <v>154</v>
      </c>
      <c r="F6227" s="7" t="s">
        <v>196</v>
      </c>
      <c r="G6227" s="7" t="s">
        <v>505</v>
      </c>
      <c r="H6227" s="6" t="n">
        <v>3.98</v>
      </c>
      <c r="I6227" s="6" t="n">
        <v>0</v>
      </c>
      <c r="J6227" s="40" t="n">
        <f aca="false">H6227-I6227</f>
        <v>3.98</v>
      </c>
      <c r="K6227" s="41" t="n">
        <v>26.5</v>
      </c>
      <c r="L6227" s="42" t="n">
        <f aca="false">J6227*K6227</f>
        <v>105.47</v>
      </c>
      <c r="M6227" s="43" t="n">
        <f aca="false">H6227*15.05*(1+'Chart of Accounts'!$E$67)</f>
        <v>68.584355</v>
      </c>
    </row>
    <row r="6228" customFormat="false" ht="15" hidden="false" customHeight="false" outlineLevel="0" collapsed="false">
      <c r="B6228" s="7" t="s">
        <v>6725</v>
      </c>
      <c r="C6228" s="39" t="n">
        <v>45947</v>
      </c>
      <c r="D6228" s="7" t="s">
        <v>389</v>
      </c>
      <c r="E6228" s="7" t="s">
        <v>154</v>
      </c>
      <c r="F6228" s="7" t="s">
        <v>246</v>
      </c>
      <c r="G6228" s="7" t="s">
        <v>505</v>
      </c>
      <c r="H6228" s="6" t="n">
        <v>4.21</v>
      </c>
      <c r="I6228" s="6" t="n">
        <v>0.126</v>
      </c>
      <c r="J6228" s="40" t="n">
        <f aca="false">H6228-I6228</f>
        <v>4.084</v>
      </c>
      <c r="K6228" s="41" t="n">
        <v>26.5</v>
      </c>
      <c r="L6228" s="42" t="n">
        <f aca="false">J6228*K6228</f>
        <v>108.226</v>
      </c>
      <c r="M6228" s="43" t="n">
        <f aca="false">H6228*16.48*(1+'Chart of Accounts'!$E$67)</f>
        <v>79.441016</v>
      </c>
    </row>
    <row r="6229" customFormat="false" ht="15" hidden="false" customHeight="false" outlineLevel="0" collapsed="false">
      <c r="B6229" s="7" t="s">
        <v>6726</v>
      </c>
      <c r="C6229" s="39" t="n">
        <v>45947</v>
      </c>
      <c r="D6229" s="7" t="s">
        <v>391</v>
      </c>
      <c r="E6229" s="7" t="s">
        <v>156</v>
      </c>
      <c r="F6229" s="7" t="s">
        <v>222</v>
      </c>
      <c r="G6229" s="7" t="s">
        <v>505</v>
      </c>
      <c r="H6229" s="6" t="n">
        <v>4.22</v>
      </c>
      <c r="I6229" s="6" t="n">
        <v>0</v>
      </c>
      <c r="J6229" s="40" t="n">
        <f aca="false">H6229-I6229</f>
        <v>4.22</v>
      </c>
      <c r="K6229" s="41" t="n">
        <v>34</v>
      </c>
      <c r="L6229" s="42" t="n">
        <f aca="false">J6229*K6229</f>
        <v>143.48</v>
      </c>
      <c r="M6229" s="43" t="n">
        <f aca="false">H6229*17.84*(1+'Chart of Accounts'!$E$67)</f>
        <v>86.201096</v>
      </c>
    </row>
    <row r="6230" customFormat="false" ht="15" hidden="false" customHeight="false" outlineLevel="0" collapsed="false">
      <c r="B6230" s="7" t="s">
        <v>6727</v>
      </c>
      <c r="C6230" s="39" t="n">
        <v>45947</v>
      </c>
      <c r="D6230" s="7" t="s">
        <v>395</v>
      </c>
      <c r="E6230" s="7" t="s">
        <v>156</v>
      </c>
      <c r="F6230" s="7" t="s">
        <v>242</v>
      </c>
      <c r="G6230" s="7" t="s">
        <v>505</v>
      </c>
      <c r="H6230" s="6" t="n">
        <v>3.86</v>
      </c>
      <c r="I6230" s="6" t="n">
        <v>0</v>
      </c>
      <c r="J6230" s="40" t="n">
        <f aca="false">H6230-I6230</f>
        <v>3.86</v>
      </c>
      <c r="K6230" s="41" t="n">
        <v>34</v>
      </c>
      <c r="L6230" s="42" t="n">
        <f aca="false">J6230*K6230</f>
        <v>131.24</v>
      </c>
      <c r="M6230" s="43" t="n">
        <f aca="false">H6230*17.99*(1+'Chart of Accounts'!$E$67)</f>
        <v>79.510403</v>
      </c>
    </row>
    <row r="6231" customFormat="false" ht="15" hidden="false" customHeight="false" outlineLevel="0" collapsed="false">
      <c r="B6231" s="7" t="s">
        <v>6728</v>
      </c>
      <c r="C6231" s="39" t="n">
        <v>45947</v>
      </c>
      <c r="D6231" s="7" t="s">
        <v>397</v>
      </c>
      <c r="E6231" s="7" t="s">
        <v>159</v>
      </c>
      <c r="F6231" s="7" t="s">
        <v>203</v>
      </c>
      <c r="G6231" s="7" t="s">
        <v>502</v>
      </c>
      <c r="H6231" s="6" t="n">
        <v>0.97</v>
      </c>
      <c r="I6231" s="6" t="n">
        <v>0</v>
      </c>
      <c r="J6231" s="40" t="n">
        <f aca="false">H6231-I6231</f>
        <v>0.97</v>
      </c>
      <c r="K6231" s="41" t="n">
        <v>135</v>
      </c>
      <c r="L6231" s="42" t="n">
        <f aca="false">J6231*K6231</f>
        <v>130.95</v>
      </c>
      <c r="M6231" s="43" t="n">
        <f aca="false">H6231*49.43*(1+'Chart of Accounts'!$E$67)</f>
        <v>54.8994295</v>
      </c>
    </row>
    <row r="6232" customFormat="false" ht="15" hidden="false" customHeight="false" outlineLevel="0" collapsed="false">
      <c r="B6232" s="7" t="s">
        <v>6729</v>
      </c>
      <c r="C6232" s="39" t="n">
        <v>45947</v>
      </c>
      <c r="D6232" s="7" t="s">
        <v>399</v>
      </c>
      <c r="E6232" s="7" t="s">
        <v>154</v>
      </c>
      <c r="F6232" s="7" t="s">
        <v>236</v>
      </c>
      <c r="G6232" s="7" t="s">
        <v>505</v>
      </c>
      <c r="H6232" s="6" t="n">
        <v>3.23</v>
      </c>
      <c r="I6232" s="6" t="n">
        <v>0</v>
      </c>
      <c r="J6232" s="40" t="n">
        <f aca="false">H6232-I6232</f>
        <v>3.23</v>
      </c>
      <c r="K6232" s="41" t="n">
        <v>26.5</v>
      </c>
      <c r="L6232" s="42" t="n">
        <f aca="false">J6232*K6232</f>
        <v>85.595</v>
      </c>
      <c r="M6232" s="43" t="n">
        <f aca="false">H6232*15.49*(1+'Chart of Accounts'!$E$67)</f>
        <v>57.2874415</v>
      </c>
    </row>
    <row r="6233" customFormat="false" ht="15" hidden="false" customHeight="false" outlineLevel="0" collapsed="false">
      <c r="B6233" s="7" t="s">
        <v>6730</v>
      </c>
      <c r="C6233" s="39" t="n">
        <v>45947</v>
      </c>
      <c r="D6233" s="7" t="s">
        <v>401</v>
      </c>
      <c r="E6233" s="7" t="s">
        <v>156</v>
      </c>
      <c r="F6233" s="7" t="s">
        <v>254</v>
      </c>
      <c r="G6233" s="7" t="s">
        <v>505</v>
      </c>
      <c r="H6233" s="6" t="n">
        <v>4.11</v>
      </c>
      <c r="I6233" s="6" t="n">
        <v>0</v>
      </c>
      <c r="J6233" s="40" t="n">
        <f aca="false">H6233-I6233</f>
        <v>4.11</v>
      </c>
      <c r="K6233" s="41" t="n">
        <v>34</v>
      </c>
      <c r="L6233" s="42" t="n">
        <f aca="false">J6233*K6233</f>
        <v>139.74</v>
      </c>
      <c r="M6233" s="43" t="n">
        <f aca="false">H6233*17.1*(1+'Chart of Accounts'!$E$67)</f>
        <v>80.471745</v>
      </c>
    </row>
    <row r="6234" customFormat="false" ht="15" hidden="false" customHeight="false" outlineLevel="0" collapsed="false">
      <c r="B6234" s="7" t="s">
        <v>6731</v>
      </c>
      <c r="C6234" s="39" t="n">
        <v>45947</v>
      </c>
      <c r="D6234" s="7" t="s">
        <v>403</v>
      </c>
      <c r="E6234" s="7" t="s">
        <v>156</v>
      </c>
      <c r="F6234" s="7" t="s">
        <v>184</v>
      </c>
      <c r="G6234" s="7" t="s">
        <v>505</v>
      </c>
      <c r="H6234" s="6" t="n">
        <v>3.97</v>
      </c>
      <c r="I6234" s="6" t="n">
        <v>0</v>
      </c>
      <c r="J6234" s="40" t="n">
        <f aca="false">H6234-I6234</f>
        <v>3.97</v>
      </c>
      <c r="K6234" s="41" t="n">
        <v>34</v>
      </c>
      <c r="L6234" s="42" t="n">
        <f aca="false">J6234*K6234</f>
        <v>134.98</v>
      </c>
      <c r="M6234" s="43" t="n">
        <f aca="false">H6234*17.34*(1+'Chart of Accounts'!$E$67)</f>
        <v>78.821571</v>
      </c>
    </row>
    <row r="6235" customFormat="false" ht="15" hidden="false" customHeight="false" outlineLevel="0" collapsed="false">
      <c r="B6235" s="7" t="s">
        <v>6732</v>
      </c>
      <c r="C6235" s="39" t="n">
        <v>45947</v>
      </c>
      <c r="D6235" s="7" t="s">
        <v>407</v>
      </c>
      <c r="E6235" s="7" t="s">
        <v>159</v>
      </c>
      <c r="F6235" s="7" t="s">
        <v>260</v>
      </c>
      <c r="G6235" s="7" t="s">
        <v>502</v>
      </c>
      <c r="H6235" s="6" t="n">
        <v>0.93</v>
      </c>
      <c r="I6235" s="6" t="n">
        <v>0</v>
      </c>
      <c r="J6235" s="40" t="n">
        <f aca="false">H6235-I6235</f>
        <v>0.93</v>
      </c>
      <c r="K6235" s="41" t="n">
        <v>135</v>
      </c>
      <c r="L6235" s="42" t="n">
        <f aca="false">J6235*K6235</f>
        <v>125.55</v>
      </c>
      <c r="M6235" s="43" t="n">
        <f aca="false">H6235*79.8*(1+'Chart of Accounts'!$E$67)</f>
        <v>84.97503</v>
      </c>
    </row>
    <row r="6236" customFormat="false" ht="15" hidden="false" customHeight="false" outlineLevel="0" collapsed="false">
      <c r="B6236" s="7" t="s">
        <v>6733</v>
      </c>
      <c r="C6236" s="39" t="n">
        <v>45947</v>
      </c>
      <c r="D6236" s="7" t="s">
        <v>409</v>
      </c>
      <c r="E6236" s="7" t="s">
        <v>154</v>
      </c>
      <c r="F6236" s="7" t="s">
        <v>214</v>
      </c>
      <c r="G6236" s="7" t="s">
        <v>505</v>
      </c>
      <c r="H6236" s="6" t="n">
        <v>3.49</v>
      </c>
      <c r="I6236" s="6" t="n">
        <v>0</v>
      </c>
      <c r="J6236" s="40" t="n">
        <f aca="false">H6236-I6236</f>
        <v>3.49</v>
      </c>
      <c r="K6236" s="41" t="n">
        <v>26.5</v>
      </c>
      <c r="L6236" s="42" t="n">
        <f aca="false">J6236*K6236</f>
        <v>92.485</v>
      </c>
      <c r="M6236" s="43" t="n">
        <f aca="false">H6236*15.67*(1+'Chart of Accounts'!$E$67)</f>
        <v>62.6181035</v>
      </c>
    </row>
    <row r="6237" customFormat="false" ht="15" hidden="false" customHeight="false" outlineLevel="0" collapsed="false">
      <c r="B6237" s="7" t="s">
        <v>6734</v>
      </c>
      <c r="C6237" s="39" t="n">
        <v>45947</v>
      </c>
      <c r="D6237" s="7" t="s">
        <v>411</v>
      </c>
      <c r="E6237" s="7" t="s">
        <v>154</v>
      </c>
      <c r="F6237" s="7" t="s">
        <v>177</v>
      </c>
      <c r="G6237" s="7" t="s">
        <v>505</v>
      </c>
      <c r="H6237" s="6" t="n">
        <v>4.59</v>
      </c>
      <c r="I6237" s="6" t="n">
        <v>0.138</v>
      </c>
      <c r="J6237" s="40" t="n">
        <f aca="false">H6237-I6237</f>
        <v>4.452</v>
      </c>
      <c r="K6237" s="41" t="n">
        <v>26.5</v>
      </c>
      <c r="L6237" s="42" t="n">
        <f aca="false">J6237*K6237</f>
        <v>117.978</v>
      </c>
      <c r="M6237" s="43" t="n">
        <f aca="false">H6237*14.56*(1+'Chart of Accounts'!$E$67)</f>
        <v>76.520808</v>
      </c>
    </row>
    <row r="6238" customFormat="false" ht="15" hidden="false" customHeight="false" outlineLevel="0" collapsed="false">
      <c r="B6238" s="7" t="s">
        <v>6735</v>
      </c>
      <c r="C6238" s="39" t="n">
        <v>45948</v>
      </c>
      <c r="D6238" s="7" t="s">
        <v>288</v>
      </c>
      <c r="E6238" s="7" t="s">
        <v>156</v>
      </c>
      <c r="F6238" s="7" t="s">
        <v>177</v>
      </c>
      <c r="G6238" s="7" t="s">
        <v>505</v>
      </c>
      <c r="H6238" s="6" t="n">
        <v>3.89</v>
      </c>
      <c r="I6238" s="6" t="n">
        <v>0</v>
      </c>
      <c r="J6238" s="40" t="n">
        <f aca="false">H6238-I6238</f>
        <v>3.89</v>
      </c>
      <c r="K6238" s="41" t="n">
        <v>34</v>
      </c>
      <c r="L6238" s="42" t="n">
        <f aca="false">J6238*K6238</f>
        <v>132.26</v>
      </c>
      <c r="M6238" s="43" t="n">
        <f aca="false">H6238*14.56*(1+'Chart of Accounts'!$E$67)</f>
        <v>64.850968</v>
      </c>
    </row>
    <row r="6239" customFormat="false" ht="15" hidden="false" customHeight="false" outlineLevel="0" collapsed="false">
      <c r="B6239" s="7" t="s">
        <v>6736</v>
      </c>
      <c r="C6239" s="39" t="n">
        <v>45948</v>
      </c>
      <c r="D6239" s="7" t="s">
        <v>321</v>
      </c>
      <c r="E6239" s="7" t="s">
        <v>154</v>
      </c>
      <c r="F6239" s="7" t="s">
        <v>218</v>
      </c>
      <c r="G6239" s="7" t="s">
        <v>505</v>
      </c>
      <c r="H6239" s="6" t="n">
        <v>3.65</v>
      </c>
      <c r="I6239" s="6" t="n">
        <v>0.11</v>
      </c>
      <c r="J6239" s="40" t="n">
        <f aca="false">H6239-I6239</f>
        <v>3.54</v>
      </c>
      <c r="K6239" s="41" t="n">
        <v>26.5</v>
      </c>
      <c r="L6239" s="42" t="n">
        <f aca="false">J6239*K6239</f>
        <v>93.81</v>
      </c>
      <c r="M6239" s="43" t="n">
        <f aca="false">H6239*16.19*(1+'Chart of Accounts'!$E$67)</f>
        <v>67.6620575</v>
      </c>
    </row>
    <row r="6240" customFormat="false" ht="15" hidden="false" customHeight="false" outlineLevel="0" collapsed="false">
      <c r="B6240" s="7" t="s">
        <v>6737</v>
      </c>
      <c r="C6240" s="39" t="n">
        <v>45948</v>
      </c>
      <c r="D6240" s="7" t="s">
        <v>359</v>
      </c>
      <c r="E6240" s="7" t="s">
        <v>156</v>
      </c>
      <c r="F6240" s="7" t="s">
        <v>242</v>
      </c>
      <c r="G6240" s="7" t="s">
        <v>505</v>
      </c>
      <c r="H6240" s="6" t="n">
        <v>3.91</v>
      </c>
      <c r="I6240" s="6" t="n">
        <v>0</v>
      </c>
      <c r="J6240" s="40" t="n">
        <f aca="false">H6240-I6240</f>
        <v>3.91</v>
      </c>
      <c r="K6240" s="41" t="n">
        <v>34</v>
      </c>
      <c r="L6240" s="42" t="n">
        <f aca="false">J6240*K6240</f>
        <v>132.94</v>
      </c>
      <c r="M6240" s="43" t="n">
        <f aca="false">H6240*17.99*(1+'Chart of Accounts'!$E$67)</f>
        <v>80.5403305</v>
      </c>
    </row>
    <row r="6241" customFormat="false" ht="15" hidden="false" customHeight="false" outlineLevel="0" collapsed="false">
      <c r="B6241" s="7" t="s">
        <v>6738</v>
      </c>
      <c r="C6241" s="39" t="n">
        <v>45948</v>
      </c>
      <c r="D6241" s="7" t="s">
        <v>387</v>
      </c>
      <c r="E6241" s="7" t="s">
        <v>154</v>
      </c>
      <c r="F6241" s="7" t="s">
        <v>196</v>
      </c>
      <c r="G6241" s="7" t="s">
        <v>505</v>
      </c>
      <c r="H6241" s="6" t="n">
        <v>4.11</v>
      </c>
      <c r="I6241" s="6" t="n">
        <v>0</v>
      </c>
      <c r="J6241" s="40" t="n">
        <f aca="false">H6241-I6241</f>
        <v>4.11</v>
      </c>
      <c r="K6241" s="41" t="n">
        <v>26.5</v>
      </c>
      <c r="L6241" s="42" t="n">
        <f aca="false">J6241*K6241</f>
        <v>108.915</v>
      </c>
      <c r="M6241" s="43" t="n">
        <f aca="false">H6241*15.05*(1+'Chart of Accounts'!$E$67)</f>
        <v>70.8245475</v>
      </c>
    </row>
    <row r="6242" customFormat="false" ht="15" hidden="false" customHeight="false" outlineLevel="0" collapsed="false">
      <c r="B6242" s="7" t="s">
        <v>6739</v>
      </c>
      <c r="C6242" s="39" t="n">
        <v>45948</v>
      </c>
      <c r="D6242" s="7" t="s">
        <v>391</v>
      </c>
      <c r="E6242" s="7" t="s">
        <v>156</v>
      </c>
      <c r="F6242" s="7" t="s">
        <v>222</v>
      </c>
      <c r="G6242" s="7" t="s">
        <v>505</v>
      </c>
      <c r="H6242" s="6" t="n">
        <v>3.65</v>
      </c>
      <c r="I6242" s="6" t="n">
        <v>0</v>
      </c>
      <c r="J6242" s="40" t="n">
        <f aca="false">H6242-I6242</f>
        <v>3.65</v>
      </c>
      <c r="K6242" s="41" t="n">
        <v>34</v>
      </c>
      <c r="L6242" s="42" t="n">
        <f aca="false">J6242*K6242</f>
        <v>124.1</v>
      </c>
      <c r="M6242" s="43" t="n">
        <f aca="false">H6242*17.84*(1+'Chart of Accounts'!$E$67)</f>
        <v>74.55782</v>
      </c>
    </row>
    <row r="6243" customFormat="false" ht="15" hidden="false" customHeight="false" outlineLevel="0" collapsed="false">
      <c r="B6243" s="7" t="s">
        <v>6740</v>
      </c>
      <c r="C6243" s="39" t="n">
        <v>45948</v>
      </c>
      <c r="D6243" s="7" t="s">
        <v>395</v>
      </c>
      <c r="E6243" s="7" t="s">
        <v>156</v>
      </c>
      <c r="F6243" s="7" t="s">
        <v>242</v>
      </c>
      <c r="G6243" s="7" t="s">
        <v>505</v>
      </c>
      <c r="H6243" s="6" t="n">
        <v>4.38</v>
      </c>
      <c r="I6243" s="6" t="n">
        <v>0</v>
      </c>
      <c r="J6243" s="40" t="n">
        <f aca="false">H6243-I6243</f>
        <v>4.38</v>
      </c>
      <c r="K6243" s="41" t="n">
        <v>34</v>
      </c>
      <c r="L6243" s="42" t="n">
        <f aca="false">J6243*K6243</f>
        <v>148.92</v>
      </c>
      <c r="M6243" s="43" t="n">
        <f aca="false">H6243*17.99*(1+'Chart of Accounts'!$E$67)</f>
        <v>90.221649</v>
      </c>
    </row>
    <row r="6244" customFormat="false" ht="15" hidden="false" customHeight="false" outlineLevel="0" collapsed="false">
      <c r="B6244" s="7" t="s">
        <v>6741</v>
      </c>
      <c r="C6244" s="39" t="n">
        <v>45948</v>
      </c>
      <c r="D6244" s="7" t="s">
        <v>401</v>
      </c>
      <c r="E6244" s="7" t="s">
        <v>156</v>
      </c>
      <c r="F6244" s="7" t="s">
        <v>254</v>
      </c>
      <c r="G6244" s="7" t="s">
        <v>505</v>
      </c>
      <c r="H6244" s="6" t="n">
        <v>4.31</v>
      </c>
      <c r="I6244" s="6" t="n">
        <v>0</v>
      </c>
      <c r="J6244" s="40" t="n">
        <f aca="false">H6244-I6244</f>
        <v>4.31</v>
      </c>
      <c r="K6244" s="41" t="n">
        <v>34</v>
      </c>
      <c r="L6244" s="42" t="n">
        <f aca="false">J6244*K6244</f>
        <v>146.54</v>
      </c>
      <c r="M6244" s="43" t="n">
        <f aca="false">H6244*17.1*(1+'Chart of Accounts'!$E$67)</f>
        <v>84.387645</v>
      </c>
    </row>
    <row r="6245" customFormat="false" ht="15" hidden="false" customHeight="false" outlineLevel="0" collapsed="false">
      <c r="B6245" s="7" t="s">
        <v>6742</v>
      </c>
      <c r="C6245" s="39" t="n">
        <v>45949</v>
      </c>
      <c r="D6245" s="7" t="s">
        <v>288</v>
      </c>
      <c r="E6245" s="7" t="s">
        <v>156</v>
      </c>
      <c r="F6245" s="7" t="s">
        <v>240</v>
      </c>
      <c r="G6245" s="7" t="s">
        <v>505</v>
      </c>
      <c r="H6245" s="6" t="n">
        <v>3.84</v>
      </c>
      <c r="I6245" s="6" t="n">
        <v>0</v>
      </c>
      <c r="J6245" s="40" t="n">
        <f aca="false">H6245-I6245</f>
        <v>3.84</v>
      </c>
      <c r="K6245" s="41" t="n">
        <v>34</v>
      </c>
      <c r="L6245" s="42" t="n">
        <f aca="false">J6245*K6245</f>
        <v>130.56</v>
      </c>
      <c r="M6245" s="43" t="n">
        <f aca="false">H6245*16.96*(1+'Chart of Accounts'!$E$67)</f>
        <v>74.569728</v>
      </c>
    </row>
    <row r="6246" customFormat="false" ht="15" hidden="false" customHeight="false" outlineLevel="0" collapsed="false">
      <c r="B6246" s="7" t="s">
        <v>6743</v>
      </c>
      <c r="C6246" s="39" t="n">
        <v>45949</v>
      </c>
      <c r="D6246" s="7" t="s">
        <v>321</v>
      </c>
      <c r="E6246" s="7" t="s">
        <v>154</v>
      </c>
      <c r="F6246" s="7" t="s">
        <v>218</v>
      </c>
      <c r="G6246" s="7" t="s">
        <v>505</v>
      </c>
      <c r="H6246" s="6" t="n">
        <v>3.91</v>
      </c>
      <c r="I6246" s="6" t="n">
        <v>0</v>
      </c>
      <c r="J6246" s="40" t="n">
        <f aca="false">H6246-I6246</f>
        <v>3.91</v>
      </c>
      <c r="K6246" s="41" t="n">
        <v>26.5</v>
      </c>
      <c r="L6246" s="42" t="n">
        <f aca="false">J6246*K6246</f>
        <v>103.615</v>
      </c>
      <c r="M6246" s="43" t="n">
        <f aca="false">H6246*16.19*(1+'Chart of Accounts'!$E$67)</f>
        <v>72.4818205</v>
      </c>
    </row>
    <row r="6247" customFormat="false" ht="15" hidden="false" customHeight="false" outlineLevel="0" collapsed="false">
      <c r="B6247" s="7" t="s">
        <v>6744</v>
      </c>
      <c r="C6247" s="39" t="n">
        <v>45949</v>
      </c>
      <c r="D6247" s="7" t="s">
        <v>359</v>
      </c>
      <c r="E6247" s="7" t="s">
        <v>156</v>
      </c>
      <c r="F6247" s="7" t="s">
        <v>244</v>
      </c>
      <c r="G6247" s="7" t="s">
        <v>505</v>
      </c>
      <c r="H6247" s="6" t="n">
        <v>3.81</v>
      </c>
      <c r="I6247" s="6" t="n">
        <v>0</v>
      </c>
      <c r="J6247" s="40" t="n">
        <f aca="false">H6247-I6247</f>
        <v>3.81</v>
      </c>
      <c r="K6247" s="41" t="n">
        <v>34</v>
      </c>
      <c r="L6247" s="42" t="n">
        <f aca="false">J6247*K6247</f>
        <v>129.54</v>
      </c>
      <c r="M6247" s="43" t="n">
        <f aca="false">H6247*16.39*(1+'Chart of Accounts'!$E$67)</f>
        <v>71.5005555</v>
      </c>
    </row>
    <row r="6248" customFormat="false" ht="15" hidden="false" customHeight="false" outlineLevel="0" collapsed="false">
      <c r="B6248" s="7" t="s">
        <v>6745</v>
      </c>
      <c r="C6248" s="39" t="n">
        <v>45949</v>
      </c>
      <c r="D6248" s="7" t="s">
        <v>387</v>
      </c>
      <c r="E6248" s="7" t="s">
        <v>154</v>
      </c>
      <c r="F6248" s="7" t="s">
        <v>196</v>
      </c>
      <c r="G6248" s="7" t="s">
        <v>505</v>
      </c>
      <c r="H6248" s="6" t="n">
        <v>3.72</v>
      </c>
      <c r="I6248" s="6" t="n">
        <v>0</v>
      </c>
      <c r="J6248" s="40" t="n">
        <f aca="false">H6248-I6248</f>
        <v>3.72</v>
      </c>
      <c r="K6248" s="41" t="n">
        <v>26.5</v>
      </c>
      <c r="L6248" s="42" t="n">
        <f aca="false">J6248*K6248</f>
        <v>98.58</v>
      </c>
      <c r="M6248" s="43" t="n">
        <f aca="false">H6248*15.05*(1+'Chart of Accounts'!$E$67)</f>
        <v>64.10397</v>
      </c>
    </row>
    <row r="6249" customFormat="false" ht="15" hidden="false" customHeight="false" outlineLevel="0" collapsed="false">
      <c r="B6249" s="7" t="s">
        <v>6746</v>
      </c>
      <c r="C6249" s="39" t="n">
        <v>45949</v>
      </c>
      <c r="D6249" s="7" t="s">
        <v>391</v>
      </c>
      <c r="E6249" s="7" t="s">
        <v>156</v>
      </c>
      <c r="F6249" s="7" t="s">
        <v>222</v>
      </c>
      <c r="G6249" s="7" t="s">
        <v>505</v>
      </c>
      <c r="H6249" s="6" t="n">
        <v>4.27</v>
      </c>
      <c r="I6249" s="6" t="n">
        <v>0</v>
      </c>
      <c r="J6249" s="40" t="n">
        <f aca="false">H6249-I6249</f>
        <v>4.27</v>
      </c>
      <c r="K6249" s="41" t="n">
        <v>34</v>
      </c>
      <c r="L6249" s="42" t="n">
        <f aca="false">J6249*K6249</f>
        <v>145.18</v>
      </c>
      <c r="M6249" s="43" t="n">
        <f aca="false">H6249*17.84*(1+'Chart of Accounts'!$E$67)</f>
        <v>87.222436</v>
      </c>
    </row>
    <row r="6250" customFormat="false" ht="15" hidden="false" customHeight="false" outlineLevel="0" collapsed="false">
      <c r="B6250" s="7" t="s">
        <v>6747</v>
      </c>
      <c r="C6250" s="39" t="n">
        <v>45949</v>
      </c>
      <c r="D6250" s="7" t="s">
        <v>395</v>
      </c>
      <c r="E6250" s="7" t="s">
        <v>156</v>
      </c>
      <c r="F6250" s="7" t="s">
        <v>242</v>
      </c>
      <c r="G6250" s="7" t="s">
        <v>505</v>
      </c>
      <c r="H6250" s="6" t="n">
        <v>3.94</v>
      </c>
      <c r="I6250" s="6" t="n">
        <v>0</v>
      </c>
      <c r="J6250" s="40" t="n">
        <f aca="false">H6250-I6250</f>
        <v>3.94</v>
      </c>
      <c r="K6250" s="41" t="n">
        <v>34</v>
      </c>
      <c r="L6250" s="42" t="n">
        <f aca="false">J6250*K6250</f>
        <v>133.96</v>
      </c>
      <c r="M6250" s="43" t="n">
        <f aca="false">H6250*17.99*(1+'Chart of Accounts'!$E$67)</f>
        <v>81.158287</v>
      </c>
    </row>
    <row r="6251" customFormat="false" ht="15" hidden="false" customHeight="false" outlineLevel="0" collapsed="false">
      <c r="B6251" s="7" t="s">
        <v>6748</v>
      </c>
      <c r="C6251" s="39" t="n">
        <v>45949</v>
      </c>
      <c r="D6251" s="7" t="s">
        <v>401</v>
      </c>
      <c r="E6251" s="7" t="s">
        <v>156</v>
      </c>
      <c r="F6251" s="7" t="s">
        <v>254</v>
      </c>
      <c r="G6251" s="7" t="s">
        <v>505</v>
      </c>
      <c r="H6251" s="6" t="n">
        <v>4.31</v>
      </c>
      <c r="I6251" s="6" t="n">
        <v>0</v>
      </c>
      <c r="J6251" s="40" t="n">
        <f aca="false">H6251-I6251</f>
        <v>4.31</v>
      </c>
      <c r="K6251" s="41" t="n">
        <v>34</v>
      </c>
      <c r="L6251" s="42" t="n">
        <f aca="false">J6251*K6251</f>
        <v>146.54</v>
      </c>
      <c r="M6251" s="43" t="n">
        <f aca="false">H6251*17.1*(1+'Chart of Accounts'!$E$67)</f>
        <v>84.387645</v>
      </c>
    </row>
    <row r="6252" customFormat="false" ht="15" hidden="false" customHeight="false" outlineLevel="0" collapsed="false">
      <c r="B6252" s="7" t="s">
        <v>6749</v>
      </c>
      <c r="C6252" s="39" t="n">
        <v>45950</v>
      </c>
      <c r="D6252" s="7" t="s">
        <v>288</v>
      </c>
      <c r="E6252" s="7" t="s">
        <v>156</v>
      </c>
      <c r="F6252" s="7" t="s">
        <v>214</v>
      </c>
      <c r="G6252" s="7" t="s">
        <v>505</v>
      </c>
      <c r="H6252" s="6" t="n">
        <v>4.36</v>
      </c>
      <c r="I6252" s="6" t="n">
        <v>0</v>
      </c>
      <c r="J6252" s="40" t="n">
        <f aca="false">H6252-I6252</f>
        <v>4.36</v>
      </c>
      <c r="K6252" s="41" t="n">
        <v>34</v>
      </c>
      <c r="L6252" s="42" t="n">
        <f aca="false">J6252*K6252</f>
        <v>148.24</v>
      </c>
      <c r="M6252" s="43" t="n">
        <f aca="false">H6252*15.67*(1+'Chart of Accounts'!$E$67)</f>
        <v>78.227774</v>
      </c>
    </row>
    <row r="6253" customFormat="false" ht="15" hidden="false" customHeight="false" outlineLevel="0" collapsed="false">
      <c r="B6253" s="7" t="s">
        <v>6750</v>
      </c>
      <c r="C6253" s="39" t="n">
        <v>45950</v>
      </c>
      <c r="D6253" s="7" t="s">
        <v>291</v>
      </c>
      <c r="E6253" s="7" t="s">
        <v>154</v>
      </c>
      <c r="F6253" s="7" t="s">
        <v>194</v>
      </c>
      <c r="G6253" s="7" t="s">
        <v>505</v>
      </c>
      <c r="H6253" s="6" t="n">
        <v>4.39</v>
      </c>
      <c r="I6253" s="6" t="n">
        <v>0</v>
      </c>
      <c r="J6253" s="40" t="n">
        <f aca="false">H6253-I6253</f>
        <v>4.39</v>
      </c>
      <c r="K6253" s="41" t="n">
        <v>26.5</v>
      </c>
      <c r="L6253" s="42" t="n">
        <f aca="false">J6253*K6253</f>
        <v>116.335</v>
      </c>
      <c r="M6253" s="43" t="n">
        <f aca="false">H6253*16*(1+'Chart of Accounts'!$E$67)</f>
        <v>80.4248</v>
      </c>
    </row>
    <row r="6254" customFormat="false" ht="15" hidden="false" customHeight="false" outlineLevel="0" collapsed="false">
      <c r="B6254" s="7" t="s">
        <v>6751</v>
      </c>
      <c r="C6254" s="39" t="n">
        <v>45950</v>
      </c>
      <c r="D6254" s="7" t="s">
        <v>295</v>
      </c>
      <c r="E6254" s="7" t="s">
        <v>154</v>
      </c>
      <c r="F6254" s="7" t="s">
        <v>214</v>
      </c>
      <c r="G6254" s="7" t="s">
        <v>505</v>
      </c>
      <c r="H6254" s="6" t="n">
        <v>3.98</v>
      </c>
      <c r="I6254" s="6" t="n">
        <v>0</v>
      </c>
      <c r="J6254" s="40" t="n">
        <f aca="false">H6254-I6254</f>
        <v>3.98</v>
      </c>
      <c r="K6254" s="41" t="n">
        <v>26.5</v>
      </c>
      <c r="L6254" s="42" t="n">
        <f aca="false">J6254*K6254</f>
        <v>105.47</v>
      </c>
      <c r="M6254" s="43" t="n">
        <f aca="false">H6254*15.67*(1+'Chart of Accounts'!$E$67)</f>
        <v>71.409757</v>
      </c>
    </row>
    <row r="6255" customFormat="false" ht="15" hidden="false" customHeight="false" outlineLevel="0" collapsed="false">
      <c r="B6255" s="7" t="s">
        <v>6752</v>
      </c>
      <c r="C6255" s="39" t="n">
        <v>45950</v>
      </c>
      <c r="D6255" s="7" t="s">
        <v>297</v>
      </c>
      <c r="E6255" s="7" t="s">
        <v>156</v>
      </c>
      <c r="F6255" s="7" t="s">
        <v>201</v>
      </c>
      <c r="G6255" s="7" t="s">
        <v>505</v>
      </c>
      <c r="H6255" s="6" t="n">
        <v>2.78</v>
      </c>
      <c r="I6255" s="6" t="n">
        <v>0</v>
      </c>
      <c r="J6255" s="40" t="n">
        <f aca="false">H6255-I6255</f>
        <v>2.78</v>
      </c>
      <c r="K6255" s="41" t="n">
        <v>34</v>
      </c>
      <c r="L6255" s="42" t="n">
        <f aca="false">J6255*K6255</f>
        <v>94.52</v>
      </c>
      <c r="M6255" s="43" t="n">
        <f aca="false">H6255*15.19*(1+'Chart of Accounts'!$E$67)</f>
        <v>48.351289</v>
      </c>
    </row>
    <row r="6256" customFormat="false" ht="15" hidden="false" customHeight="false" outlineLevel="0" collapsed="false">
      <c r="B6256" s="7" t="s">
        <v>6753</v>
      </c>
      <c r="C6256" s="39" t="n">
        <v>45950</v>
      </c>
      <c r="D6256" s="7" t="s">
        <v>303</v>
      </c>
      <c r="E6256" s="7" t="s">
        <v>154</v>
      </c>
      <c r="F6256" s="7" t="s">
        <v>240</v>
      </c>
      <c r="G6256" s="7" t="s">
        <v>505</v>
      </c>
      <c r="H6256" s="6" t="n">
        <v>4</v>
      </c>
      <c r="I6256" s="6" t="n">
        <v>0.12</v>
      </c>
      <c r="J6256" s="40" t="n">
        <f aca="false">H6256-I6256</f>
        <v>3.88</v>
      </c>
      <c r="K6256" s="41" t="n">
        <v>26.5</v>
      </c>
      <c r="L6256" s="42" t="n">
        <f aca="false">J6256*K6256</f>
        <v>102.82</v>
      </c>
      <c r="M6256" s="43" t="n">
        <f aca="false">H6256*16.96*(1+'Chart of Accounts'!$E$67)</f>
        <v>77.6768</v>
      </c>
    </row>
    <row r="6257" customFormat="false" ht="15" hidden="false" customHeight="false" outlineLevel="0" collapsed="false">
      <c r="B6257" s="7" t="s">
        <v>6754</v>
      </c>
      <c r="C6257" s="39" t="n">
        <v>45950</v>
      </c>
      <c r="D6257" s="7" t="s">
        <v>305</v>
      </c>
      <c r="E6257" s="7" t="s">
        <v>154</v>
      </c>
      <c r="F6257" s="7" t="s">
        <v>205</v>
      </c>
      <c r="G6257" s="7" t="s">
        <v>505</v>
      </c>
      <c r="H6257" s="6" t="n">
        <v>4.32</v>
      </c>
      <c r="I6257" s="6" t="n">
        <v>0</v>
      </c>
      <c r="J6257" s="40" t="n">
        <f aca="false">H6257-I6257</f>
        <v>4.32</v>
      </c>
      <c r="K6257" s="41" t="n">
        <v>26.5</v>
      </c>
      <c r="L6257" s="42" t="n">
        <f aca="false">J6257*K6257</f>
        <v>114.48</v>
      </c>
      <c r="M6257" s="43" t="n">
        <f aca="false">H6257*16.36*(1+'Chart of Accounts'!$E$67)</f>
        <v>80.923104</v>
      </c>
    </row>
    <row r="6258" customFormat="false" ht="15" hidden="false" customHeight="false" outlineLevel="0" collapsed="false">
      <c r="B6258" s="7" t="s">
        <v>6755</v>
      </c>
      <c r="C6258" s="39" t="n">
        <v>45950</v>
      </c>
      <c r="D6258" s="7" t="s">
        <v>307</v>
      </c>
      <c r="E6258" s="7" t="s">
        <v>157</v>
      </c>
      <c r="F6258" s="7" t="s">
        <v>264</v>
      </c>
      <c r="G6258" s="7" t="s">
        <v>502</v>
      </c>
      <c r="H6258" s="6" t="n">
        <v>1</v>
      </c>
      <c r="I6258" s="6" t="n">
        <v>0</v>
      </c>
      <c r="J6258" s="40" t="n">
        <f aca="false">H6258-I6258</f>
        <v>1</v>
      </c>
      <c r="K6258" s="41" t="n">
        <v>165</v>
      </c>
      <c r="L6258" s="42" t="n">
        <f aca="false">J6258*K6258</f>
        <v>165</v>
      </c>
      <c r="M6258" s="43" t="n">
        <f aca="false">H6258*55.55*(1+'Chart of Accounts'!$E$67)</f>
        <v>63.60475</v>
      </c>
    </row>
    <row r="6259" customFormat="false" ht="15" hidden="false" customHeight="false" outlineLevel="0" collapsed="false">
      <c r="B6259" s="7" t="s">
        <v>6756</v>
      </c>
      <c r="C6259" s="39" t="n">
        <v>45950</v>
      </c>
      <c r="D6259" s="7" t="s">
        <v>309</v>
      </c>
      <c r="E6259" s="7" t="s">
        <v>159</v>
      </c>
      <c r="F6259" s="7" t="s">
        <v>252</v>
      </c>
      <c r="G6259" s="7" t="s">
        <v>502</v>
      </c>
      <c r="H6259" s="6" t="n">
        <v>1.02</v>
      </c>
      <c r="I6259" s="6" t="n">
        <v>0.071</v>
      </c>
      <c r="J6259" s="40" t="n">
        <f aca="false">H6259-I6259</f>
        <v>0.949</v>
      </c>
      <c r="K6259" s="41" t="n">
        <v>135</v>
      </c>
      <c r="L6259" s="42" t="n">
        <f aca="false">J6259*K6259</f>
        <v>128.115</v>
      </c>
      <c r="M6259" s="43" t="n">
        <f aca="false">H6259*57.54*(1+'Chart of Accounts'!$E$67)</f>
        <v>67.200966</v>
      </c>
    </row>
    <row r="6260" customFormat="false" ht="15" hidden="false" customHeight="false" outlineLevel="0" collapsed="false">
      <c r="B6260" s="7" t="s">
        <v>6757</v>
      </c>
      <c r="C6260" s="39" t="n">
        <v>45950</v>
      </c>
      <c r="D6260" s="7" t="s">
        <v>311</v>
      </c>
      <c r="E6260" s="7" t="s">
        <v>154</v>
      </c>
      <c r="F6260" s="7" t="s">
        <v>196</v>
      </c>
      <c r="G6260" s="7" t="s">
        <v>505</v>
      </c>
      <c r="H6260" s="6" t="n">
        <v>2.9</v>
      </c>
      <c r="I6260" s="6" t="n">
        <v>0</v>
      </c>
      <c r="J6260" s="40" t="n">
        <f aca="false">H6260-I6260</f>
        <v>2.9</v>
      </c>
      <c r="K6260" s="41" t="n">
        <v>26.5</v>
      </c>
      <c r="L6260" s="42" t="n">
        <f aca="false">J6260*K6260</f>
        <v>76.85</v>
      </c>
      <c r="M6260" s="43" t="n">
        <f aca="false">H6260*15.05*(1+'Chart of Accounts'!$E$67)</f>
        <v>49.973525</v>
      </c>
    </row>
    <row r="6261" customFormat="false" ht="15" hidden="false" customHeight="false" outlineLevel="0" collapsed="false">
      <c r="B6261" s="7" t="s">
        <v>6758</v>
      </c>
      <c r="C6261" s="39" t="n">
        <v>45950</v>
      </c>
      <c r="D6261" s="7" t="s">
        <v>313</v>
      </c>
      <c r="E6261" s="7" t="s">
        <v>156</v>
      </c>
      <c r="F6261" s="7" t="s">
        <v>184</v>
      </c>
      <c r="G6261" s="7" t="s">
        <v>505</v>
      </c>
      <c r="H6261" s="6" t="n">
        <v>3.6</v>
      </c>
      <c r="I6261" s="6" t="n">
        <v>0</v>
      </c>
      <c r="J6261" s="40" t="n">
        <f aca="false">H6261-I6261</f>
        <v>3.6</v>
      </c>
      <c r="K6261" s="41" t="n">
        <v>34</v>
      </c>
      <c r="L6261" s="42" t="n">
        <f aca="false">J6261*K6261</f>
        <v>122.4</v>
      </c>
      <c r="M6261" s="43" t="n">
        <f aca="false">H6261*17.34*(1+'Chart of Accounts'!$E$67)</f>
        <v>71.47548</v>
      </c>
    </row>
    <row r="6262" customFormat="false" ht="15" hidden="false" customHeight="false" outlineLevel="0" collapsed="false">
      <c r="B6262" s="7" t="s">
        <v>6759</v>
      </c>
      <c r="C6262" s="39" t="n">
        <v>45950</v>
      </c>
      <c r="D6262" s="7" t="s">
        <v>315</v>
      </c>
      <c r="E6262" s="7" t="s">
        <v>159</v>
      </c>
      <c r="F6262" s="7" t="s">
        <v>216</v>
      </c>
      <c r="G6262" s="7" t="s">
        <v>502</v>
      </c>
      <c r="H6262" s="6" t="n">
        <v>1.09</v>
      </c>
      <c r="I6262" s="6" t="n">
        <v>0.076</v>
      </c>
      <c r="J6262" s="40" t="n">
        <f aca="false">H6262-I6262</f>
        <v>1.014</v>
      </c>
      <c r="K6262" s="41" t="n">
        <v>135</v>
      </c>
      <c r="L6262" s="42" t="n">
        <f aca="false">J6262*K6262</f>
        <v>136.89</v>
      </c>
      <c r="M6262" s="43" t="n">
        <f aca="false">H6262*61.79*(1+'Chart of Accounts'!$E$67)</f>
        <v>77.1170095</v>
      </c>
    </row>
    <row r="6263" customFormat="false" ht="15" hidden="false" customHeight="false" outlineLevel="0" collapsed="false">
      <c r="B6263" s="7" t="s">
        <v>6760</v>
      </c>
      <c r="C6263" s="39" t="n">
        <v>45950</v>
      </c>
      <c r="D6263" s="7" t="s">
        <v>317</v>
      </c>
      <c r="E6263" s="7" t="s">
        <v>156</v>
      </c>
      <c r="F6263" s="7" t="s">
        <v>194</v>
      </c>
      <c r="G6263" s="7" t="s">
        <v>505</v>
      </c>
      <c r="H6263" s="6" t="n">
        <v>2.82</v>
      </c>
      <c r="I6263" s="6" t="n">
        <v>0</v>
      </c>
      <c r="J6263" s="40" t="n">
        <f aca="false">H6263-I6263</f>
        <v>2.82</v>
      </c>
      <c r="K6263" s="41" t="n">
        <v>34</v>
      </c>
      <c r="L6263" s="42" t="n">
        <f aca="false">J6263*K6263</f>
        <v>95.88</v>
      </c>
      <c r="M6263" s="43" t="n">
        <f aca="false">H6263*16*(1+'Chart of Accounts'!$E$67)</f>
        <v>51.6624</v>
      </c>
    </row>
    <row r="6264" customFormat="false" ht="15" hidden="false" customHeight="false" outlineLevel="0" collapsed="false">
      <c r="B6264" s="7" t="s">
        <v>6761</v>
      </c>
      <c r="C6264" s="39" t="n">
        <v>45950</v>
      </c>
      <c r="D6264" s="7" t="s">
        <v>321</v>
      </c>
      <c r="E6264" s="7" t="s">
        <v>154</v>
      </c>
      <c r="F6264" s="7" t="s">
        <v>218</v>
      </c>
      <c r="G6264" s="7" t="s">
        <v>505</v>
      </c>
      <c r="H6264" s="6" t="n">
        <v>3.86</v>
      </c>
      <c r="I6264" s="6" t="n">
        <v>0</v>
      </c>
      <c r="J6264" s="40" t="n">
        <f aca="false">H6264-I6264</f>
        <v>3.86</v>
      </c>
      <c r="K6264" s="41" t="n">
        <v>26.5</v>
      </c>
      <c r="L6264" s="42" t="n">
        <f aca="false">J6264*K6264</f>
        <v>102.29</v>
      </c>
      <c r="M6264" s="43" t="n">
        <f aca="false">H6264*16.19*(1+'Chart of Accounts'!$E$67)</f>
        <v>71.554943</v>
      </c>
    </row>
    <row r="6265" customFormat="false" ht="15" hidden="false" customHeight="false" outlineLevel="0" collapsed="false">
      <c r="B6265" s="7" t="s">
        <v>6762</v>
      </c>
      <c r="C6265" s="39" t="n">
        <v>45950</v>
      </c>
      <c r="D6265" s="7" t="s">
        <v>329</v>
      </c>
      <c r="E6265" s="7" t="s">
        <v>156</v>
      </c>
      <c r="F6265" s="7" t="s">
        <v>220</v>
      </c>
      <c r="G6265" s="7" t="s">
        <v>505</v>
      </c>
      <c r="H6265" s="6" t="n">
        <v>4.15</v>
      </c>
      <c r="I6265" s="6" t="n">
        <v>0</v>
      </c>
      <c r="J6265" s="40" t="n">
        <f aca="false">H6265-I6265</f>
        <v>4.15</v>
      </c>
      <c r="K6265" s="41" t="n">
        <v>34</v>
      </c>
      <c r="L6265" s="42" t="n">
        <f aca="false">J6265*K6265</f>
        <v>141.1</v>
      </c>
      <c r="M6265" s="43" t="n">
        <f aca="false">H6265*16.43*(1+'Chart of Accounts'!$E$67)</f>
        <v>78.0712525</v>
      </c>
    </row>
    <row r="6266" customFormat="false" ht="15" hidden="false" customHeight="false" outlineLevel="0" collapsed="false">
      <c r="B6266" s="7" t="s">
        <v>6763</v>
      </c>
      <c r="C6266" s="39" t="n">
        <v>45950</v>
      </c>
      <c r="D6266" s="7" t="s">
        <v>331</v>
      </c>
      <c r="E6266" s="7" t="s">
        <v>156</v>
      </c>
      <c r="F6266" s="7" t="s">
        <v>224</v>
      </c>
      <c r="G6266" s="7" t="s">
        <v>505</v>
      </c>
      <c r="H6266" s="6" t="n">
        <v>3.65</v>
      </c>
      <c r="I6266" s="6" t="n">
        <v>0</v>
      </c>
      <c r="J6266" s="40" t="n">
        <f aca="false">H6266-I6266</f>
        <v>3.65</v>
      </c>
      <c r="K6266" s="41" t="n">
        <v>34</v>
      </c>
      <c r="L6266" s="42" t="n">
        <f aca="false">J6266*K6266</f>
        <v>124.1</v>
      </c>
      <c r="M6266" s="43" t="n">
        <f aca="false">H6266*14.93*(1+'Chart of Accounts'!$E$67)</f>
        <v>62.3962025</v>
      </c>
    </row>
    <row r="6267" customFormat="false" ht="15" hidden="false" customHeight="false" outlineLevel="0" collapsed="false">
      <c r="B6267" s="7" t="s">
        <v>6764</v>
      </c>
      <c r="C6267" s="39" t="n">
        <v>45950</v>
      </c>
      <c r="D6267" s="7" t="s">
        <v>333</v>
      </c>
      <c r="E6267" s="7" t="s">
        <v>154</v>
      </c>
      <c r="F6267" s="7" t="s">
        <v>236</v>
      </c>
      <c r="G6267" s="7" t="s">
        <v>505</v>
      </c>
      <c r="H6267" s="6" t="n">
        <v>3.31</v>
      </c>
      <c r="I6267" s="6" t="n">
        <v>0</v>
      </c>
      <c r="J6267" s="40" t="n">
        <f aca="false">H6267-I6267</f>
        <v>3.31</v>
      </c>
      <c r="K6267" s="41" t="n">
        <v>26.5</v>
      </c>
      <c r="L6267" s="42" t="n">
        <f aca="false">J6267*K6267</f>
        <v>87.715</v>
      </c>
      <c r="M6267" s="43" t="n">
        <f aca="false">H6267*15.49*(1+'Chart of Accounts'!$E$67)</f>
        <v>58.7063255</v>
      </c>
    </row>
    <row r="6268" customFormat="false" ht="15" hidden="false" customHeight="false" outlineLevel="0" collapsed="false">
      <c r="B6268" s="7" t="s">
        <v>6765</v>
      </c>
      <c r="C6268" s="39" t="n">
        <v>45950</v>
      </c>
      <c r="D6268" s="7" t="s">
        <v>335</v>
      </c>
      <c r="E6268" s="7" t="s">
        <v>154</v>
      </c>
      <c r="F6268" s="7" t="s">
        <v>177</v>
      </c>
      <c r="G6268" s="7" t="s">
        <v>505</v>
      </c>
      <c r="H6268" s="6" t="n">
        <v>3.73</v>
      </c>
      <c r="I6268" s="6" t="n">
        <v>0</v>
      </c>
      <c r="J6268" s="40" t="n">
        <f aca="false">H6268-I6268</f>
        <v>3.73</v>
      </c>
      <c r="K6268" s="41" t="n">
        <v>26.5</v>
      </c>
      <c r="L6268" s="42" t="n">
        <f aca="false">J6268*K6268</f>
        <v>98.845</v>
      </c>
      <c r="M6268" s="43" t="n">
        <f aca="false">H6268*14.56*(1+'Chart of Accounts'!$E$67)</f>
        <v>62.183576</v>
      </c>
    </row>
    <row r="6269" customFormat="false" ht="15" hidden="false" customHeight="false" outlineLevel="0" collapsed="false">
      <c r="B6269" s="7" t="s">
        <v>6766</v>
      </c>
      <c r="C6269" s="39" t="n">
        <v>45950</v>
      </c>
      <c r="D6269" s="7" t="s">
        <v>339</v>
      </c>
      <c r="E6269" s="7" t="s">
        <v>154</v>
      </c>
      <c r="F6269" s="7" t="s">
        <v>242</v>
      </c>
      <c r="G6269" s="7" t="s">
        <v>505</v>
      </c>
      <c r="H6269" s="6" t="n">
        <v>3.58</v>
      </c>
      <c r="I6269" s="6" t="n">
        <v>0</v>
      </c>
      <c r="J6269" s="40" t="n">
        <f aca="false">H6269-I6269</f>
        <v>3.58</v>
      </c>
      <c r="K6269" s="41" t="n">
        <v>26.5</v>
      </c>
      <c r="L6269" s="42" t="n">
        <f aca="false">J6269*K6269</f>
        <v>94.87</v>
      </c>
      <c r="M6269" s="43" t="n">
        <f aca="false">H6269*17.99*(1+'Chart of Accounts'!$E$67)</f>
        <v>73.742809</v>
      </c>
    </row>
    <row r="6270" customFormat="false" ht="15" hidden="false" customHeight="false" outlineLevel="0" collapsed="false">
      <c r="B6270" s="7" t="s">
        <v>6767</v>
      </c>
      <c r="C6270" s="39" t="n">
        <v>45950</v>
      </c>
      <c r="D6270" s="7" t="s">
        <v>341</v>
      </c>
      <c r="E6270" s="7" t="s">
        <v>156</v>
      </c>
      <c r="F6270" s="7" t="s">
        <v>222</v>
      </c>
      <c r="G6270" s="7" t="s">
        <v>505</v>
      </c>
      <c r="H6270" s="6" t="n">
        <v>2.86</v>
      </c>
      <c r="I6270" s="6" t="n">
        <v>0</v>
      </c>
      <c r="J6270" s="40" t="n">
        <f aca="false">H6270-I6270</f>
        <v>2.86</v>
      </c>
      <c r="K6270" s="41" t="n">
        <v>34</v>
      </c>
      <c r="L6270" s="42" t="n">
        <f aca="false">J6270*K6270</f>
        <v>97.24</v>
      </c>
      <c r="M6270" s="43" t="n">
        <f aca="false">H6270*17.84*(1+'Chart of Accounts'!$E$67)</f>
        <v>58.420648</v>
      </c>
    </row>
    <row r="6271" customFormat="false" ht="15" hidden="false" customHeight="false" outlineLevel="0" collapsed="false">
      <c r="B6271" s="7" t="s">
        <v>6768</v>
      </c>
      <c r="C6271" s="39" t="n">
        <v>45950</v>
      </c>
      <c r="D6271" s="7" t="s">
        <v>343</v>
      </c>
      <c r="E6271" s="7" t="s">
        <v>154</v>
      </c>
      <c r="F6271" s="7" t="s">
        <v>201</v>
      </c>
      <c r="G6271" s="7" t="s">
        <v>505</v>
      </c>
      <c r="H6271" s="6" t="n">
        <v>4.29</v>
      </c>
      <c r="I6271" s="6" t="n">
        <v>0</v>
      </c>
      <c r="J6271" s="40" t="n">
        <f aca="false">H6271-I6271</f>
        <v>4.29</v>
      </c>
      <c r="K6271" s="41" t="n">
        <v>26.5</v>
      </c>
      <c r="L6271" s="42" t="n">
        <f aca="false">J6271*K6271</f>
        <v>113.685</v>
      </c>
      <c r="M6271" s="43" t="n">
        <f aca="false">H6271*15.19*(1+'Chart of Accounts'!$E$67)</f>
        <v>74.6140395</v>
      </c>
    </row>
    <row r="6272" customFormat="false" ht="15" hidden="false" customHeight="false" outlineLevel="0" collapsed="false">
      <c r="B6272" s="7" t="s">
        <v>6769</v>
      </c>
      <c r="C6272" s="39" t="n">
        <v>45950</v>
      </c>
      <c r="D6272" s="7" t="s">
        <v>347</v>
      </c>
      <c r="E6272" s="7" t="s">
        <v>154</v>
      </c>
      <c r="F6272" s="7" t="s">
        <v>238</v>
      </c>
      <c r="G6272" s="7" t="s">
        <v>505</v>
      </c>
      <c r="H6272" s="6" t="n">
        <v>4.39</v>
      </c>
      <c r="I6272" s="6" t="n">
        <v>0</v>
      </c>
      <c r="J6272" s="40" t="n">
        <f aca="false">H6272-I6272</f>
        <v>4.39</v>
      </c>
      <c r="K6272" s="41" t="n">
        <v>26.5</v>
      </c>
      <c r="L6272" s="42" t="n">
        <f aca="false">J6272*K6272</f>
        <v>116.335</v>
      </c>
      <c r="M6272" s="43" t="n">
        <f aca="false">H6272*15.85*(1+'Chart of Accounts'!$E$67)</f>
        <v>79.6708175</v>
      </c>
    </row>
    <row r="6273" customFormat="false" ht="15" hidden="false" customHeight="false" outlineLevel="0" collapsed="false">
      <c r="B6273" s="7" t="s">
        <v>6770</v>
      </c>
      <c r="C6273" s="39" t="n">
        <v>45950</v>
      </c>
      <c r="D6273" s="7" t="s">
        <v>349</v>
      </c>
      <c r="E6273" s="7" t="s">
        <v>154</v>
      </c>
      <c r="F6273" s="7" t="s">
        <v>244</v>
      </c>
      <c r="G6273" s="7" t="s">
        <v>505</v>
      </c>
      <c r="H6273" s="6" t="n">
        <v>4.35</v>
      </c>
      <c r="I6273" s="6" t="n">
        <v>0.13</v>
      </c>
      <c r="J6273" s="40" t="n">
        <f aca="false">H6273-I6273</f>
        <v>4.22</v>
      </c>
      <c r="K6273" s="41" t="n">
        <v>26.5</v>
      </c>
      <c r="L6273" s="42" t="n">
        <f aca="false">J6273*K6273</f>
        <v>111.83</v>
      </c>
      <c r="M6273" s="43" t="n">
        <f aca="false">H6273*16.39*(1+'Chart of Accounts'!$E$67)</f>
        <v>81.6344925</v>
      </c>
    </row>
    <row r="6274" customFormat="false" ht="15" hidden="false" customHeight="false" outlineLevel="0" collapsed="false">
      <c r="B6274" s="7" t="s">
        <v>6771</v>
      </c>
      <c r="C6274" s="39" t="n">
        <v>45950</v>
      </c>
      <c r="D6274" s="7" t="s">
        <v>351</v>
      </c>
      <c r="E6274" s="7" t="s">
        <v>154</v>
      </c>
      <c r="F6274" s="7" t="s">
        <v>201</v>
      </c>
      <c r="G6274" s="7" t="s">
        <v>505</v>
      </c>
      <c r="H6274" s="6" t="n">
        <v>3.16</v>
      </c>
      <c r="I6274" s="6" t="n">
        <v>0</v>
      </c>
      <c r="J6274" s="40" t="n">
        <f aca="false">H6274-I6274</f>
        <v>3.16</v>
      </c>
      <c r="K6274" s="41" t="n">
        <v>26.5</v>
      </c>
      <c r="L6274" s="42" t="n">
        <f aca="false">J6274*K6274</f>
        <v>83.74</v>
      </c>
      <c r="M6274" s="43" t="n">
        <f aca="false">H6274*15.19*(1+'Chart of Accounts'!$E$67)</f>
        <v>54.960458</v>
      </c>
    </row>
    <row r="6275" customFormat="false" ht="15" hidden="false" customHeight="false" outlineLevel="0" collapsed="false">
      <c r="B6275" s="7" t="s">
        <v>6772</v>
      </c>
      <c r="C6275" s="39" t="n">
        <v>45950</v>
      </c>
      <c r="D6275" s="7" t="s">
        <v>353</v>
      </c>
      <c r="E6275" s="7" t="s">
        <v>154</v>
      </c>
      <c r="F6275" s="7" t="s">
        <v>254</v>
      </c>
      <c r="G6275" s="7" t="s">
        <v>505</v>
      </c>
      <c r="H6275" s="6" t="n">
        <v>3.43</v>
      </c>
      <c r="I6275" s="6" t="n">
        <v>0</v>
      </c>
      <c r="J6275" s="40" t="n">
        <f aca="false">H6275-I6275</f>
        <v>3.43</v>
      </c>
      <c r="K6275" s="41" t="n">
        <v>26.5</v>
      </c>
      <c r="L6275" s="42" t="n">
        <f aca="false">J6275*K6275</f>
        <v>90.895</v>
      </c>
      <c r="M6275" s="43" t="n">
        <f aca="false">H6275*17.1*(1+'Chart of Accounts'!$E$67)</f>
        <v>67.157685</v>
      </c>
    </row>
    <row r="6276" customFormat="false" ht="15" hidden="false" customHeight="false" outlineLevel="0" collapsed="false">
      <c r="B6276" s="7" t="s">
        <v>6773</v>
      </c>
      <c r="C6276" s="39" t="n">
        <v>45950</v>
      </c>
      <c r="D6276" s="7" t="s">
        <v>355</v>
      </c>
      <c r="E6276" s="7" t="s">
        <v>154</v>
      </c>
      <c r="F6276" s="7" t="s">
        <v>201</v>
      </c>
      <c r="G6276" s="7" t="s">
        <v>505</v>
      </c>
      <c r="H6276" s="6" t="n">
        <v>3.65</v>
      </c>
      <c r="I6276" s="6" t="n">
        <v>0</v>
      </c>
      <c r="J6276" s="40" t="n">
        <f aca="false">H6276-I6276</f>
        <v>3.65</v>
      </c>
      <c r="K6276" s="41" t="n">
        <v>26.5</v>
      </c>
      <c r="L6276" s="42" t="n">
        <f aca="false">J6276*K6276</f>
        <v>96.725</v>
      </c>
      <c r="M6276" s="43" t="n">
        <f aca="false">H6276*15.19*(1+'Chart of Accounts'!$E$67)</f>
        <v>63.4828075</v>
      </c>
    </row>
    <row r="6277" customFormat="false" ht="15" hidden="false" customHeight="false" outlineLevel="0" collapsed="false">
      <c r="B6277" s="7" t="s">
        <v>6774</v>
      </c>
      <c r="C6277" s="39" t="n">
        <v>45950</v>
      </c>
      <c r="D6277" s="7" t="s">
        <v>357</v>
      </c>
      <c r="E6277" s="7" t="s">
        <v>154</v>
      </c>
      <c r="F6277" s="7" t="s">
        <v>246</v>
      </c>
      <c r="G6277" s="7" t="s">
        <v>505</v>
      </c>
      <c r="H6277" s="6" t="n">
        <v>3.52</v>
      </c>
      <c r="I6277" s="6" t="n">
        <v>0</v>
      </c>
      <c r="J6277" s="40" t="n">
        <f aca="false">H6277-I6277</f>
        <v>3.52</v>
      </c>
      <c r="K6277" s="41" t="n">
        <v>26.5</v>
      </c>
      <c r="L6277" s="42" t="n">
        <f aca="false">J6277*K6277</f>
        <v>93.28</v>
      </c>
      <c r="M6277" s="43" t="n">
        <f aca="false">H6277*16.48*(1+'Chart of Accounts'!$E$67)</f>
        <v>66.420992</v>
      </c>
    </row>
    <row r="6278" customFormat="false" ht="15" hidden="false" customHeight="false" outlineLevel="0" collapsed="false">
      <c r="B6278" s="7" t="s">
        <v>6775</v>
      </c>
      <c r="C6278" s="39" t="n">
        <v>45950</v>
      </c>
      <c r="D6278" s="7" t="s">
        <v>359</v>
      </c>
      <c r="E6278" s="7" t="s">
        <v>156</v>
      </c>
      <c r="F6278" s="7" t="s">
        <v>236</v>
      </c>
      <c r="G6278" s="7" t="s">
        <v>505</v>
      </c>
      <c r="H6278" s="6" t="n">
        <v>3.83</v>
      </c>
      <c r="I6278" s="6" t="n">
        <v>0</v>
      </c>
      <c r="J6278" s="40" t="n">
        <f aca="false">H6278-I6278</f>
        <v>3.83</v>
      </c>
      <c r="K6278" s="41" t="n">
        <v>34</v>
      </c>
      <c r="L6278" s="42" t="n">
        <f aca="false">J6278*K6278</f>
        <v>130.22</v>
      </c>
      <c r="M6278" s="43" t="n">
        <f aca="false">H6278*15.49*(1+'Chart of Accounts'!$E$67)</f>
        <v>67.9290715</v>
      </c>
    </row>
    <row r="6279" customFormat="false" ht="15" hidden="false" customHeight="false" outlineLevel="0" collapsed="false">
      <c r="B6279" s="7" t="s">
        <v>6776</v>
      </c>
      <c r="C6279" s="39" t="n">
        <v>45950</v>
      </c>
      <c r="D6279" s="7" t="s">
        <v>363</v>
      </c>
      <c r="E6279" s="7" t="s">
        <v>156</v>
      </c>
      <c r="F6279" s="7" t="s">
        <v>246</v>
      </c>
      <c r="G6279" s="7" t="s">
        <v>505</v>
      </c>
      <c r="H6279" s="6" t="n">
        <v>3.79</v>
      </c>
      <c r="I6279" s="6" t="n">
        <v>0</v>
      </c>
      <c r="J6279" s="40" t="n">
        <f aca="false">H6279-I6279</f>
        <v>3.79</v>
      </c>
      <c r="K6279" s="41" t="n">
        <v>34</v>
      </c>
      <c r="L6279" s="42" t="n">
        <f aca="false">J6279*K6279</f>
        <v>128.86</v>
      </c>
      <c r="M6279" s="43" t="n">
        <f aca="false">H6279*16.48*(1+'Chart of Accounts'!$E$67)</f>
        <v>71.515784</v>
      </c>
    </row>
    <row r="6280" customFormat="false" ht="15" hidden="false" customHeight="false" outlineLevel="0" collapsed="false">
      <c r="B6280" s="7" t="s">
        <v>6777</v>
      </c>
      <c r="C6280" s="39" t="n">
        <v>45950</v>
      </c>
      <c r="D6280" s="7" t="s">
        <v>365</v>
      </c>
      <c r="E6280" s="7" t="s">
        <v>154</v>
      </c>
      <c r="F6280" s="7" t="s">
        <v>194</v>
      </c>
      <c r="G6280" s="7" t="s">
        <v>505</v>
      </c>
      <c r="H6280" s="6" t="n">
        <v>4.27</v>
      </c>
      <c r="I6280" s="6" t="n">
        <v>0.128</v>
      </c>
      <c r="J6280" s="40" t="n">
        <f aca="false">H6280-I6280</f>
        <v>4.142</v>
      </c>
      <c r="K6280" s="41" t="n">
        <v>26.5</v>
      </c>
      <c r="L6280" s="42" t="n">
        <f aca="false">J6280*K6280</f>
        <v>109.763</v>
      </c>
      <c r="M6280" s="43" t="n">
        <f aca="false">H6280*16*(1+'Chart of Accounts'!$E$67)</f>
        <v>78.2264</v>
      </c>
    </row>
    <row r="6281" customFormat="false" ht="15" hidden="false" customHeight="false" outlineLevel="0" collapsed="false">
      <c r="B6281" s="7" t="s">
        <v>6778</v>
      </c>
      <c r="C6281" s="39" t="n">
        <v>45950</v>
      </c>
      <c r="D6281" s="7" t="s">
        <v>371</v>
      </c>
      <c r="E6281" s="7" t="s">
        <v>154</v>
      </c>
      <c r="F6281" s="7" t="s">
        <v>232</v>
      </c>
      <c r="G6281" s="7" t="s">
        <v>505</v>
      </c>
      <c r="H6281" s="6" t="n">
        <v>4.75</v>
      </c>
      <c r="I6281" s="6" t="n">
        <v>0</v>
      </c>
      <c r="J6281" s="40" t="n">
        <f aca="false">H6281-I6281</f>
        <v>4.75</v>
      </c>
      <c r="K6281" s="41" t="n">
        <v>26.5</v>
      </c>
      <c r="L6281" s="42" t="n">
        <f aca="false">J6281*K6281</f>
        <v>125.875</v>
      </c>
      <c r="M6281" s="43" t="n">
        <f aca="false">H6281*16.17*(1+'Chart of Accounts'!$E$67)</f>
        <v>87.9445875</v>
      </c>
    </row>
    <row r="6282" customFormat="false" ht="15" hidden="false" customHeight="false" outlineLevel="0" collapsed="false">
      <c r="B6282" s="7" t="s">
        <v>6779</v>
      </c>
      <c r="C6282" s="39" t="n">
        <v>45950</v>
      </c>
      <c r="D6282" s="7" t="s">
        <v>375</v>
      </c>
      <c r="E6282" s="7" t="s">
        <v>156</v>
      </c>
      <c r="F6282" s="7" t="s">
        <v>196</v>
      </c>
      <c r="G6282" s="7" t="s">
        <v>505</v>
      </c>
      <c r="H6282" s="6" t="n">
        <v>3.24</v>
      </c>
      <c r="I6282" s="6" t="n">
        <v>0</v>
      </c>
      <c r="J6282" s="40" t="n">
        <f aca="false">H6282-I6282</f>
        <v>3.24</v>
      </c>
      <c r="K6282" s="41" t="n">
        <v>34</v>
      </c>
      <c r="L6282" s="42" t="n">
        <f aca="false">J6282*K6282</f>
        <v>110.16</v>
      </c>
      <c r="M6282" s="43" t="n">
        <f aca="false">H6282*15.05*(1+'Chart of Accounts'!$E$67)</f>
        <v>55.83249</v>
      </c>
    </row>
    <row r="6283" customFormat="false" ht="15" hidden="false" customHeight="false" outlineLevel="0" collapsed="false">
      <c r="B6283" s="7" t="s">
        <v>6780</v>
      </c>
      <c r="C6283" s="39" t="n">
        <v>45950</v>
      </c>
      <c r="D6283" s="7" t="s">
        <v>377</v>
      </c>
      <c r="E6283" s="7" t="s">
        <v>154</v>
      </c>
      <c r="F6283" s="7" t="s">
        <v>214</v>
      </c>
      <c r="G6283" s="7" t="s">
        <v>505</v>
      </c>
      <c r="H6283" s="6" t="n">
        <v>4.39</v>
      </c>
      <c r="I6283" s="6" t="n">
        <v>0.132</v>
      </c>
      <c r="J6283" s="40" t="n">
        <f aca="false">H6283-I6283</f>
        <v>4.258</v>
      </c>
      <c r="K6283" s="41" t="n">
        <v>26.5</v>
      </c>
      <c r="L6283" s="42" t="n">
        <f aca="false">J6283*K6283</f>
        <v>112.837</v>
      </c>
      <c r="M6283" s="43" t="n">
        <f aca="false">H6283*15.67*(1+'Chart of Accounts'!$E$67)</f>
        <v>78.7660385</v>
      </c>
    </row>
    <row r="6284" customFormat="false" ht="15" hidden="false" customHeight="false" outlineLevel="0" collapsed="false">
      <c r="B6284" s="7" t="s">
        <v>6781</v>
      </c>
      <c r="C6284" s="39" t="n">
        <v>45950</v>
      </c>
      <c r="D6284" s="7" t="s">
        <v>379</v>
      </c>
      <c r="E6284" s="7" t="s">
        <v>156</v>
      </c>
      <c r="F6284" s="7" t="s">
        <v>224</v>
      </c>
      <c r="G6284" s="7" t="s">
        <v>505</v>
      </c>
      <c r="H6284" s="6" t="n">
        <v>5.13</v>
      </c>
      <c r="I6284" s="6" t="n">
        <v>0</v>
      </c>
      <c r="J6284" s="40" t="n">
        <f aca="false">H6284-I6284</f>
        <v>5.13</v>
      </c>
      <c r="K6284" s="41" t="n">
        <v>34</v>
      </c>
      <c r="L6284" s="42" t="n">
        <f aca="false">J6284*K6284</f>
        <v>174.42</v>
      </c>
      <c r="M6284" s="43" t="n">
        <f aca="false">H6284*14.93*(1+'Chart of Accounts'!$E$67)</f>
        <v>87.6965805</v>
      </c>
    </row>
    <row r="6285" customFormat="false" ht="15" hidden="false" customHeight="false" outlineLevel="0" collapsed="false">
      <c r="B6285" s="7" t="s">
        <v>6782</v>
      </c>
      <c r="C6285" s="39" t="n">
        <v>45950</v>
      </c>
      <c r="D6285" s="7" t="s">
        <v>385</v>
      </c>
      <c r="E6285" s="7" t="s">
        <v>156</v>
      </c>
      <c r="F6285" s="7" t="s">
        <v>238</v>
      </c>
      <c r="G6285" s="7" t="s">
        <v>505</v>
      </c>
      <c r="H6285" s="6" t="n">
        <v>3.92</v>
      </c>
      <c r="I6285" s="6" t="n">
        <v>0</v>
      </c>
      <c r="J6285" s="40" t="n">
        <f aca="false">H6285-I6285</f>
        <v>3.92</v>
      </c>
      <c r="K6285" s="41" t="n">
        <v>34</v>
      </c>
      <c r="L6285" s="42" t="n">
        <f aca="false">J6285*K6285</f>
        <v>133.28</v>
      </c>
      <c r="M6285" s="43" t="n">
        <f aca="false">H6285*15.85*(1+'Chart of Accounts'!$E$67)</f>
        <v>71.14114</v>
      </c>
    </row>
    <row r="6286" customFormat="false" ht="15" hidden="false" customHeight="false" outlineLevel="0" collapsed="false">
      <c r="B6286" s="7" t="s">
        <v>6783</v>
      </c>
      <c r="C6286" s="39" t="n">
        <v>45950</v>
      </c>
      <c r="D6286" s="7" t="s">
        <v>387</v>
      </c>
      <c r="E6286" s="7" t="s">
        <v>154</v>
      </c>
      <c r="F6286" s="7" t="s">
        <v>196</v>
      </c>
      <c r="G6286" s="7" t="s">
        <v>505</v>
      </c>
      <c r="H6286" s="6" t="n">
        <v>3.94</v>
      </c>
      <c r="I6286" s="6" t="n">
        <v>0.118</v>
      </c>
      <c r="J6286" s="40" t="n">
        <f aca="false">H6286-I6286</f>
        <v>3.822</v>
      </c>
      <c r="K6286" s="41" t="n">
        <v>26.5</v>
      </c>
      <c r="L6286" s="42" t="n">
        <f aca="false">J6286*K6286</f>
        <v>101.283</v>
      </c>
      <c r="M6286" s="43" t="n">
        <f aca="false">H6286*15.05*(1+'Chart of Accounts'!$E$67)</f>
        <v>67.895065</v>
      </c>
    </row>
    <row r="6287" customFormat="false" ht="15" hidden="false" customHeight="false" outlineLevel="0" collapsed="false">
      <c r="B6287" s="7" t="s">
        <v>6784</v>
      </c>
      <c r="C6287" s="39" t="n">
        <v>45950</v>
      </c>
      <c r="D6287" s="7" t="s">
        <v>389</v>
      </c>
      <c r="E6287" s="7" t="s">
        <v>154</v>
      </c>
      <c r="F6287" s="7" t="s">
        <v>246</v>
      </c>
      <c r="G6287" s="7" t="s">
        <v>505</v>
      </c>
      <c r="H6287" s="6" t="n">
        <v>3.97</v>
      </c>
      <c r="I6287" s="6" t="n">
        <v>0.119</v>
      </c>
      <c r="J6287" s="40" t="n">
        <f aca="false">H6287-I6287</f>
        <v>3.851</v>
      </c>
      <c r="K6287" s="41" t="n">
        <v>26.5</v>
      </c>
      <c r="L6287" s="42" t="n">
        <f aca="false">J6287*K6287</f>
        <v>102.0515</v>
      </c>
      <c r="M6287" s="43" t="n">
        <f aca="false">H6287*16.48*(1+'Chart of Accounts'!$E$67)</f>
        <v>74.912312</v>
      </c>
    </row>
    <row r="6288" customFormat="false" ht="15" hidden="false" customHeight="false" outlineLevel="0" collapsed="false">
      <c r="B6288" s="7" t="s">
        <v>6785</v>
      </c>
      <c r="C6288" s="39" t="n">
        <v>45950</v>
      </c>
      <c r="D6288" s="7" t="s">
        <v>391</v>
      </c>
      <c r="E6288" s="7" t="s">
        <v>156</v>
      </c>
      <c r="F6288" s="7" t="s">
        <v>222</v>
      </c>
      <c r="G6288" s="7" t="s">
        <v>505</v>
      </c>
      <c r="H6288" s="6" t="n">
        <v>3.77</v>
      </c>
      <c r="I6288" s="6" t="n">
        <v>0</v>
      </c>
      <c r="J6288" s="40" t="n">
        <f aca="false">H6288-I6288</f>
        <v>3.77</v>
      </c>
      <c r="K6288" s="41" t="n">
        <v>34</v>
      </c>
      <c r="L6288" s="42" t="n">
        <f aca="false">J6288*K6288</f>
        <v>128.18</v>
      </c>
      <c r="M6288" s="43" t="n">
        <f aca="false">H6288*17.84*(1+'Chart of Accounts'!$E$67)</f>
        <v>77.009036</v>
      </c>
    </row>
    <row r="6289" customFormat="false" ht="15" hidden="false" customHeight="false" outlineLevel="0" collapsed="false">
      <c r="B6289" s="7" t="s">
        <v>6786</v>
      </c>
      <c r="C6289" s="39" t="n">
        <v>45950</v>
      </c>
      <c r="D6289" s="7" t="s">
        <v>395</v>
      </c>
      <c r="E6289" s="7" t="s">
        <v>156</v>
      </c>
      <c r="F6289" s="7" t="s">
        <v>242</v>
      </c>
      <c r="G6289" s="7" t="s">
        <v>505</v>
      </c>
      <c r="H6289" s="6" t="n">
        <v>3.76</v>
      </c>
      <c r="I6289" s="6" t="n">
        <v>0</v>
      </c>
      <c r="J6289" s="40" t="n">
        <f aca="false">H6289-I6289</f>
        <v>3.76</v>
      </c>
      <c r="K6289" s="41" t="n">
        <v>34</v>
      </c>
      <c r="L6289" s="42" t="n">
        <f aca="false">J6289*K6289</f>
        <v>127.84</v>
      </c>
      <c r="M6289" s="43" t="n">
        <f aca="false">H6289*17.99*(1+'Chart of Accounts'!$E$67)</f>
        <v>77.450548</v>
      </c>
    </row>
    <row r="6290" customFormat="false" ht="15" hidden="false" customHeight="false" outlineLevel="0" collapsed="false">
      <c r="B6290" s="7" t="s">
        <v>6787</v>
      </c>
      <c r="C6290" s="39" t="n">
        <v>45950</v>
      </c>
      <c r="D6290" s="7" t="s">
        <v>401</v>
      </c>
      <c r="E6290" s="7" t="s">
        <v>156</v>
      </c>
      <c r="F6290" s="7" t="s">
        <v>254</v>
      </c>
      <c r="G6290" s="7" t="s">
        <v>505</v>
      </c>
      <c r="H6290" s="6" t="n">
        <v>3.83</v>
      </c>
      <c r="I6290" s="6" t="n">
        <v>0</v>
      </c>
      <c r="J6290" s="40" t="n">
        <f aca="false">H6290-I6290</f>
        <v>3.83</v>
      </c>
      <c r="K6290" s="41" t="n">
        <v>34</v>
      </c>
      <c r="L6290" s="42" t="n">
        <f aca="false">J6290*K6290</f>
        <v>130.22</v>
      </c>
      <c r="M6290" s="43" t="n">
        <f aca="false">H6290*17.1*(1+'Chart of Accounts'!$E$67)</f>
        <v>74.989485</v>
      </c>
    </row>
    <row r="6291" customFormat="false" ht="15" hidden="false" customHeight="false" outlineLevel="0" collapsed="false">
      <c r="B6291" s="7" t="s">
        <v>6788</v>
      </c>
      <c r="C6291" s="39" t="n">
        <v>45950</v>
      </c>
      <c r="D6291" s="7" t="s">
        <v>403</v>
      </c>
      <c r="E6291" s="7" t="s">
        <v>156</v>
      </c>
      <c r="F6291" s="7" t="s">
        <v>184</v>
      </c>
      <c r="G6291" s="7" t="s">
        <v>505</v>
      </c>
      <c r="H6291" s="6" t="n">
        <v>4.27</v>
      </c>
      <c r="I6291" s="6" t="n">
        <v>0</v>
      </c>
      <c r="J6291" s="40" t="n">
        <f aca="false">H6291-I6291</f>
        <v>4.27</v>
      </c>
      <c r="K6291" s="41" t="n">
        <v>34</v>
      </c>
      <c r="L6291" s="42" t="n">
        <f aca="false">J6291*K6291</f>
        <v>145.18</v>
      </c>
      <c r="M6291" s="43" t="n">
        <f aca="false">H6291*17.34*(1+'Chart of Accounts'!$E$67)</f>
        <v>84.777861</v>
      </c>
    </row>
    <row r="6292" customFormat="false" ht="15" hidden="false" customHeight="false" outlineLevel="0" collapsed="false">
      <c r="B6292" s="7" t="s">
        <v>6789</v>
      </c>
      <c r="C6292" s="39" t="n">
        <v>45950</v>
      </c>
      <c r="D6292" s="7" t="s">
        <v>409</v>
      </c>
      <c r="E6292" s="7" t="s">
        <v>154</v>
      </c>
      <c r="F6292" s="7" t="s">
        <v>214</v>
      </c>
      <c r="G6292" s="7" t="s">
        <v>505</v>
      </c>
      <c r="H6292" s="6" t="n">
        <v>3.25</v>
      </c>
      <c r="I6292" s="6" t="n">
        <v>0.098</v>
      </c>
      <c r="J6292" s="40" t="n">
        <f aca="false">H6292-I6292</f>
        <v>3.152</v>
      </c>
      <c r="K6292" s="41" t="n">
        <v>26.5</v>
      </c>
      <c r="L6292" s="42" t="n">
        <f aca="false">J6292*K6292</f>
        <v>83.528</v>
      </c>
      <c r="M6292" s="43" t="n">
        <f aca="false">H6292*15.67*(1+'Chart of Accounts'!$E$67)</f>
        <v>58.3119875</v>
      </c>
    </row>
    <row r="6293" customFormat="false" ht="15" hidden="false" customHeight="false" outlineLevel="0" collapsed="false">
      <c r="B6293" s="7" t="s">
        <v>6790</v>
      </c>
      <c r="C6293" s="39" t="n">
        <v>45950</v>
      </c>
      <c r="D6293" s="7" t="s">
        <v>411</v>
      </c>
      <c r="E6293" s="7" t="s">
        <v>154</v>
      </c>
      <c r="F6293" s="7" t="s">
        <v>177</v>
      </c>
      <c r="G6293" s="7" t="s">
        <v>505</v>
      </c>
      <c r="H6293" s="6" t="n">
        <v>4.95</v>
      </c>
      <c r="I6293" s="6" t="n">
        <v>0</v>
      </c>
      <c r="J6293" s="40" t="n">
        <f aca="false">H6293-I6293</f>
        <v>4.95</v>
      </c>
      <c r="K6293" s="41" t="n">
        <v>26.5</v>
      </c>
      <c r="L6293" s="42" t="n">
        <f aca="false">J6293*K6293</f>
        <v>131.175</v>
      </c>
      <c r="M6293" s="43" t="n">
        <f aca="false">H6293*14.56*(1+'Chart of Accounts'!$E$67)</f>
        <v>82.52244</v>
      </c>
    </row>
    <row r="6294" customFormat="false" ht="15" hidden="false" customHeight="false" outlineLevel="0" collapsed="false">
      <c r="B6294" s="7" t="s">
        <v>6791</v>
      </c>
      <c r="C6294" s="39" t="n">
        <v>45951</v>
      </c>
      <c r="D6294" s="7" t="s">
        <v>288</v>
      </c>
      <c r="E6294" s="7" t="s">
        <v>156</v>
      </c>
      <c r="F6294" s="7" t="s">
        <v>246</v>
      </c>
      <c r="G6294" s="7" t="s">
        <v>505</v>
      </c>
      <c r="H6294" s="6" t="n">
        <v>3.95</v>
      </c>
      <c r="I6294" s="6" t="n">
        <v>0</v>
      </c>
      <c r="J6294" s="40" t="n">
        <f aca="false">H6294-I6294</f>
        <v>3.95</v>
      </c>
      <c r="K6294" s="41" t="n">
        <v>34</v>
      </c>
      <c r="L6294" s="42" t="n">
        <f aca="false">J6294*K6294</f>
        <v>134.3</v>
      </c>
      <c r="M6294" s="43" t="n">
        <f aca="false">H6294*16.48*(1+'Chart of Accounts'!$E$67)</f>
        <v>74.53492</v>
      </c>
    </row>
    <row r="6295" customFormat="false" ht="15" hidden="false" customHeight="false" outlineLevel="0" collapsed="false">
      <c r="B6295" s="7" t="s">
        <v>6792</v>
      </c>
      <c r="C6295" s="39" t="n">
        <v>45951</v>
      </c>
      <c r="D6295" s="7" t="s">
        <v>293</v>
      </c>
      <c r="E6295" s="7" t="s">
        <v>157</v>
      </c>
      <c r="F6295" s="7" t="s">
        <v>198</v>
      </c>
      <c r="G6295" s="7" t="s">
        <v>502</v>
      </c>
      <c r="H6295" s="6" t="n">
        <v>0.94</v>
      </c>
      <c r="I6295" s="6" t="n">
        <v>0</v>
      </c>
      <c r="J6295" s="40" t="n">
        <f aca="false">H6295-I6295</f>
        <v>0.94</v>
      </c>
      <c r="K6295" s="41" t="n">
        <v>165</v>
      </c>
      <c r="L6295" s="42" t="n">
        <f aca="false">J6295*K6295</f>
        <v>155.1</v>
      </c>
      <c r="M6295" s="43" t="n">
        <f aca="false">H6295*48.09*(1+'Chart of Accounts'!$E$67)</f>
        <v>51.759267</v>
      </c>
    </row>
    <row r="6296" customFormat="false" ht="15" hidden="false" customHeight="false" outlineLevel="0" collapsed="false">
      <c r="B6296" s="7" t="s">
        <v>6793</v>
      </c>
      <c r="C6296" s="39" t="n">
        <v>45951</v>
      </c>
      <c r="D6296" s="7" t="s">
        <v>301</v>
      </c>
      <c r="E6296" s="7" t="s">
        <v>157</v>
      </c>
      <c r="F6296" s="7" t="s">
        <v>209</v>
      </c>
      <c r="G6296" s="7" t="s">
        <v>502</v>
      </c>
      <c r="H6296" s="6" t="n">
        <v>1.05</v>
      </c>
      <c r="I6296" s="6" t="n">
        <v>0.053</v>
      </c>
      <c r="J6296" s="40" t="n">
        <f aca="false">H6296-I6296</f>
        <v>0.997</v>
      </c>
      <c r="K6296" s="41" t="n">
        <v>165</v>
      </c>
      <c r="L6296" s="42" t="n">
        <f aca="false">J6296*K6296</f>
        <v>164.505</v>
      </c>
      <c r="M6296" s="43" t="n">
        <f aca="false">H6296*73.58*(1+'Chart of Accounts'!$E$67)</f>
        <v>88.461555</v>
      </c>
    </row>
    <row r="6297" customFormat="false" ht="15" hidden="false" customHeight="false" outlineLevel="0" collapsed="false">
      <c r="B6297" s="7" t="s">
        <v>6794</v>
      </c>
      <c r="C6297" s="39" t="n">
        <v>45951</v>
      </c>
      <c r="D6297" s="7" t="s">
        <v>313</v>
      </c>
      <c r="E6297" s="7" t="s">
        <v>156</v>
      </c>
      <c r="F6297" s="7" t="s">
        <v>184</v>
      </c>
      <c r="G6297" s="7" t="s">
        <v>505</v>
      </c>
      <c r="H6297" s="6" t="n">
        <v>4.3</v>
      </c>
      <c r="I6297" s="6" t="n">
        <v>0</v>
      </c>
      <c r="J6297" s="40" t="n">
        <f aca="false">H6297-I6297</f>
        <v>4.3</v>
      </c>
      <c r="K6297" s="41" t="n">
        <v>34</v>
      </c>
      <c r="L6297" s="42" t="n">
        <f aca="false">J6297*K6297</f>
        <v>146.2</v>
      </c>
      <c r="M6297" s="43" t="n">
        <f aca="false">H6297*17.34*(1+'Chart of Accounts'!$E$67)</f>
        <v>85.37349</v>
      </c>
    </row>
    <row r="6298" customFormat="false" ht="15" hidden="false" customHeight="false" outlineLevel="0" collapsed="false">
      <c r="B6298" s="7" t="s">
        <v>6795</v>
      </c>
      <c r="C6298" s="39" t="n">
        <v>45951</v>
      </c>
      <c r="D6298" s="7" t="s">
        <v>319</v>
      </c>
      <c r="E6298" s="7" t="s">
        <v>157</v>
      </c>
      <c r="F6298" s="7" t="s">
        <v>234</v>
      </c>
      <c r="G6298" s="7" t="s">
        <v>502</v>
      </c>
      <c r="H6298" s="6" t="n">
        <v>1.1</v>
      </c>
      <c r="I6298" s="6" t="n">
        <v>0</v>
      </c>
      <c r="J6298" s="40" t="n">
        <f aca="false">H6298-I6298</f>
        <v>1.1</v>
      </c>
      <c r="K6298" s="41" t="n">
        <v>165</v>
      </c>
      <c r="L6298" s="42" t="n">
        <f aca="false">J6298*K6298</f>
        <v>181.5</v>
      </c>
      <c r="M6298" s="43" t="n">
        <f aca="false">H6298*89.53*(1+'Chart of Accounts'!$E$67)</f>
        <v>112.763035</v>
      </c>
    </row>
    <row r="6299" customFormat="false" ht="15" hidden="false" customHeight="false" outlineLevel="0" collapsed="false">
      <c r="B6299" s="7" t="s">
        <v>6796</v>
      </c>
      <c r="C6299" s="39" t="n">
        <v>45951</v>
      </c>
      <c r="D6299" s="7" t="s">
        <v>321</v>
      </c>
      <c r="E6299" s="7" t="s">
        <v>154</v>
      </c>
      <c r="F6299" s="7" t="s">
        <v>218</v>
      </c>
      <c r="G6299" s="7" t="s">
        <v>505</v>
      </c>
      <c r="H6299" s="6" t="n">
        <v>3.78</v>
      </c>
      <c r="I6299" s="6" t="n">
        <v>0.113</v>
      </c>
      <c r="J6299" s="40" t="n">
        <f aca="false">H6299-I6299</f>
        <v>3.667</v>
      </c>
      <c r="K6299" s="41" t="n">
        <v>26.5</v>
      </c>
      <c r="L6299" s="42" t="n">
        <f aca="false">J6299*K6299</f>
        <v>97.1755</v>
      </c>
      <c r="M6299" s="43" t="n">
        <f aca="false">H6299*16.19*(1+'Chart of Accounts'!$E$67)</f>
        <v>70.071939</v>
      </c>
    </row>
    <row r="6300" customFormat="false" ht="15" hidden="false" customHeight="false" outlineLevel="0" collapsed="false">
      <c r="B6300" s="7" t="s">
        <v>6797</v>
      </c>
      <c r="C6300" s="39" t="n">
        <v>45951</v>
      </c>
      <c r="D6300" s="7" t="s">
        <v>323</v>
      </c>
      <c r="E6300" s="7" t="s">
        <v>159</v>
      </c>
      <c r="F6300" s="7" t="s">
        <v>234</v>
      </c>
      <c r="G6300" s="7" t="s">
        <v>502</v>
      </c>
      <c r="H6300" s="6" t="n">
        <v>1.04</v>
      </c>
      <c r="I6300" s="6" t="n">
        <v>0</v>
      </c>
      <c r="J6300" s="40" t="n">
        <f aca="false">H6300-I6300</f>
        <v>1.04</v>
      </c>
      <c r="K6300" s="41" t="n">
        <v>135</v>
      </c>
      <c r="L6300" s="42" t="n">
        <f aca="false">J6300*K6300</f>
        <v>140.4</v>
      </c>
      <c r="M6300" s="43" t="n">
        <f aca="false">H6300*89.53*(1+'Chart of Accounts'!$E$67)</f>
        <v>106.612324</v>
      </c>
    </row>
    <row r="6301" customFormat="false" ht="15" hidden="false" customHeight="false" outlineLevel="0" collapsed="false">
      <c r="B6301" s="7" t="s">
        <v>6798</v>
      </c>
      <c r="C6301" s="39" t="n">
        <v>45951</v>
      </c>
      <c r="D6301" s="7" t="s">
        <v>327</v>
      </c>
      <c r="E6301" s="7" t="s">
        <v>157</v>
      </c>
      <c r="F6301" s="7" t="s">
        <v>228</v>
      </c>
      <c r="G6301" s="7" t="s">
        <v>502</v>
      </c>
      <c r="H6301" s="6" t="n">
        <v>1.07</v>
      </c>
      <c r="I6301" s="6" t="n">
        <v>0</v>
      </c>
      <c r="J6301" s="40" t="n">
        <f aca="false">H6301-I6301</f>
        <v>1.07</v>
      </c>
      <c r="K6301" s="41" t="n">
        <v>165</v>
      </c>
      <c r="L6301" s="42" t="n">
        <f aca="false">J6301*K6301</f>
        <v>176.55</v>
      </c>
      <c r="M6301" s="43" t="n">
        <f aca="false">H6301*51.07*(1+'Chart of Accounts'!$E$67)</f>
        <v>62.5684105</v>
      </c>
    </row>
    <row r="6302" customFormat="false" ht="15" hidden="false" customHeight="false" outlineLevel="0" collapsed="false">
      <c r="B6302" s="7" t="s">
        <v>6799</v>
      </c>
      <c r="C6302" s="39" t="n">
        <v>45951</v>
      </c>
      <c r="D6302" s="7" t="s">
        <v>329</v>
      </c>
      <c r="E6302" s="7" t="s">
        <v>156</v>
      </c>
      <c r="F6302" s="7" t="s">
        <v>220</v>
      </c>
      <c r="G6302" s="7" t="s">
        <v>505</v>
      </c>
      <c r="H6302" s="6" t="n">
        <v>4.26</v>
      </c>
      <c r="I6302" s="6" t="n">
        <v>0</v>
      </c>
      <c r="J6302" s="40" t="n">
        <f aca="false">H6302-I6302</f>
        <v>4.26</v>
      </c>
      <c r="K6302" s="41" t="n">
        <v>34</v>
      </c>
      <c r="L6302" s="42" t="n">
        <f aca="false">J6302*K6302</f>
        <v>144.84</v>
      </c>
      <c r="M6302" s="43" t="n">
        <f aca="false">H6302*16.43*(1+'Chart of Accounts'!$E$67)</f>
        <v>80.140611</v>
      </c>
    </row>
    <row r="6303" customFormat="false" ht="15" hidden="false" customHeight="false" outlineLevel="0" collapsed="false">
      <c r="B6303" s="7" t="s">
        <v>6800</v>
      </c>
      <c r="C6303" s="39" t="n">
        <v>45951</v>
      </c>
      <c r="D6303" s="7" t="s">
        <v>349</v>
      </c>
      <c r="E6303" s="7" t="s">
        <v>154</v>
      </c>
      <c r="F6303" s="7" t="s">
        <v>244</v>
      </c>
      <c r="G6303" s="7" t="s">
        <v>505</v>
      </c>
      <c r="H6303" s="6" t="n">
        <v>3.84</v>
      </c>
      <c r="I6303" s="6" t="n">
        <v>0</v>
      </c>
      <c r="J6303" s="40" t="n">
        <f aca="false">H6303-I6303</f>
        <v>3.84</v>
      </c>
      <c r="K6303" s="41" t="n">
        <v>26.5</v>
      </c>
      <c r="L6303" s="42" t="n">
        <f aca="false">J6303*K6303</f>
        <v>101.76</v>
      </c>
      <c r="M6303" s="43" t="n">
        <f aca="false">H6303*16.39*(1+'Chart of Accounts'!$E$67)</f>
        <v>72.063552</v>
      </c>
    </row>
    <row r="6304" customFormat="false" ht="15" hidden="false" customHeight="false" outlineLevel="0" collapsed="false">
      <c r="B6304" s="7" t="s">
        <v>6801</v>
      </c>
      <c r="C6304" s="39" t="n">
        <v>45951</v>
      </c>
      <c r="D6304" s="7" t="s">
        <v>359</v>
      </c>
      <c r="E6304" s="7" t="s">
        <v>156</v>
      </c>
      <c r="F6304" s="7" t="s">
        <v>238</v>
      </c>
      <c r="G6304" s="7" t="s">
        <v>505</v>
      </c>
      <c r="H6304" s="6" t="n">
        <v>3.65</v>
      </c>
      <c r="I6304" s="6" t="n">
        <v>0</v>
      </c>
      <c r="J6304" s="40" t="n">
        <f aca="false">H6304-I6304</f>
        <v>3.65</v>
      </c>
      <c r="K6304" s="41" t="n">
        <v>34</v>
      </c>
      <c r="L6304" s="42" t="n">
        <f aca="false">J6304*K6304</f>
        <v>124.1</v>
      </c>
      <c r="M6304" s="43" t="n">
        <f aca="false">H6304*15.85*(1+'Chart of Accounts'!$E$67)</f>
        <v>66.2411125</v>
      </c>
    </row>
    <row r="6305" customFormat="false" ht="15" hidden="false" customHeight="false" outlineLevel="0" collapsed="false">
      <c r="B6305" s="7" t="s">
        <v>6802</v>
      </c>
      <c r="C6305" s="39" t="n">
        <v>45951</v>
      </c>
      <c r="D6305" s="7" t="s">
        <v>361</v>
      </c>
      <c r="E6305" s="7" t="s">
        <v>157</v>
      </c>
      <c r="F6305" s="7" t="s">
        <v>209</v>
      </c>
      <c r="G6305" s="7" t="s">
        <v>502</v>
      </c>
      <c r="H6305" s="6" t="n">
        <v>1.03</v>
      </c>
      <c r="I6305" s="6" t="n">
        <v>0</v>
      </c>
      <c r="J6305" s="40" t="n">
        <f aca="false">H6305-I6305</f>
        <v>1.03</v>
      </c>
      <c r="K6305" s="41" t="n">
        <v>165</v>
      </c>
      <c r="L6305" s="42" t="n">
        <f aca="false">J6305*K6305</f>
        <v>169.95</v>
      </c>
      <c r="M6305" s="43" t="n">
        <f aca="false">H6305*73.58*(1+'Chart of Accounts'!$E$67)</f>
        <v>86.776573</v>
      </c>
    </row>
    <row r="6306" customFormat="false" ht="15" hidden="false" customHeight="false" outlineLevel="0" collapsed="false">
      <c r="B6306" s="7" t="s">
        <v>6803</v>
      </c>
      <c r="C6306" s="39" t="n">
        <v>45951</v>
      </c>
      <c r="D6306" s="7" t="s">
        <v>365</v>
      </c>
      <c r="E6306" s="7" t="s">
        <v>154</v>
      </c>
      <c r="F6306" s="7" t="s">
        <v>194</v>
      </c>
      <c r="G6306" s="7" t="s">
        <v>505</v>
      </c>
      <c r="H6306" s="6" t="n">
        <v>3.73</v>
      </c>
      <c r="I6306" s="6" t="n">
        <v>0</v>
      </c>
      <c r="J6306" s="40" t="n">
        <f aca="false">H6306-I6306</f>
        <v>3.73</v>
      </c>
      <c r="K6306" s="41" t="n">
        <v>26.5</v>
      </c>
      <c r="L6306" s="42" t="n">
        <f aca="false">J6306*K6306</f>
        <v>98.845</v>
      </c>
      <c r="M6306" s="43" t="n">
        <f aca="false">H6306*16*(1+'Chart of Accounts'!$E$67)</f>
        <v>68.3336</v>
      </c>
    </row>
    <row r="6307" customFormat="false" ht="15" hidden="false" customHeight="false" outlineLevel="0" collapsed="false">
      <c r="B6307" s="7" t="s">
        <v>6804</v>
      </c>
      <c r="C6307" s="39" t="n">
        <v>45951</v>
      </c>
      <c r="D6307" s="7" t="s">
        <v>369</v>
      </c>
      <c r="E6307" s="7" t="s">
        <v>159</v>
      </c>
      <c r="F6307" s="7" t="s">
        <v>258</v>
      </c>
      <c r="G6307" s="7" t="s">
        <v>502</v>
      </c>
      <c r="H6307" s="6" t="n">
        <v>0.94</v>
      </c>
      <c r="I6307" s="6" t="n">
        <v>0</v>
      </c>
      <c r="J6307" s="40" t="n">
        <f aca="false">H6307-I6307</f>
        <v>0.94</v>
      </c>
      <c r="K6307" s="41" t="n">
        <v>135</v>
      </c>
      <c r="L6307" s="42" t="n">
        <f aca="false">J6307*K6307</f>
        <v>126.9</v>
      </c>
      <c r="M6307" s="43" t="n">
        <f aca="false">H6307*61.61*(1+'Chart of Accounts'!$E$67)</f>
        <v>66.310843</v>
      </c>
    </row>
    <row r="6308" customFormat="false" ht="15" hidden="false" customHeight="false" outlineLevel="0" collapsed="false">
      <c r="B6308" s="7" t="s">
        <v>6805</v>
      </c>
      <c r="C6308" s="39" t="n">
        <v>45951</v>
      </c>
      <c r="D6308" s="7" t="s">
        <v>381</v>
      </c>
      <c r="E6308" s="7" t="s">
        <v>157</v>
      </c>
      <c r="F6308" s="7" t="s">
        <v>234</v>
      </c>
      <c r="G6308" s="7" t="s">
        <v>502</v>
      </c>
      <c r="H6308" s="6" t="n">
        <v>1.03</v>
      </c>
      <c r="I6308" s="6" t="n">
        <v>0</v>
      </c>
      <c r="J6308" s="40" t="n">
        <f aca="false">H6308-I6308</f>
        <v>1.03</v>
      </c>
      <c r="K6308" s="41" t="n">
        <v>165</v>
      </c>
      <c r="L6308" s="42" t="n">
        <f aca="false">J6308*K6308</f>
        <v>169.95</v>
      </c>
      <c r="M6308" s="43" t="n">
        <f aca="false">H6308*89.53*(1+'Chart of Accounts'!$E$67)</f>
        <v>105.5872055</v>
      </c>
    </row>
    <row r="6309" customFormat="false" ht="15" hidden="false" customHeight="false" outlineLevel="0" collapsed="false">
      <c r="B6309" s="7" t="s">
        <v>6806</v>
      </c>
      <c r="C6309" s="39" t="n">
        <v>45951</v>
      </c>
      <c r="D6309" s="7" t="s">
        <v>383</v>
      </c>
      <c r="E6309" s="7" t="s">
        <v>157</v>
      </c>
      <c r="F6309" s="7" t="s">
        <v>230</v>
      </c>
      <c r="G6309" s="7" t="s">
        <v>502</v>
      </c>
      <c r="H6309" s="6" t="n">
        <v>0.9</v>
      </c>
      <c r="I6309" s="6" t="n">
        <v>0</v>
      </c>
      <c r="J6309" s="40" t="n">
        <f aca="false">H6309-I6309</f>
        <v>0.9</v>
      </c>
      <c r="K6309" s="41" t="n">
        <v>165</v>
      </c>
      <c r="L6309" s="42" t="n">
        <f aca="false">J6309*K6309</f>
        <v>148.5</v>
      </c>
      <c r="M6309" s="43" t="n">
        <f aca="false">H6309*48.78*(1+'Chart of Accounts'!$E$67)</f>
        <v>50.26779</v>
      </c>
    </row>
    <row r="6310" customFormat="false" ht="15" hidden="false" customHeight="false" outlineLevel="0" collapsed="false">
      <c r="B6310" s="7" t="s">
        <v>6807</v>
      </c>
      <c r="C6310" s="39" t="n">
        <v>45951</v>
      </c>
      <c r="D6310" s="7" t="s">
        <v>387</v>
      </c>
      <c r="E6310" s="7" t="s">
        <v>154</v>
      </c>
      <c r="F6310" s="7" t="s">
        <v>196</v>
      </c>
      <c r="G6310" s="7" t="s">
        <v>505</v>
      </c>
      <c r="H6310" s="6" t="n">
        <v>4.25</v>
      </c>
      <c r="I6310" s="6" t="n">
        <v>0</v>
      </c>
      <c r="J6310" s="40" t="n">
        <f aca="false">H6310-I6310</f>
        <v>4.25</v>
      </c>
      <c r="K6310" s="41" t="n">
        <v>26.5</v>
      </c>
      <c r="L6310" s="42" t="n">
        <f aca="false">J6310*K6310</f>
        <v>112.625</v>
      </c>
      <c r="M6310" s="43" t="n">
        <f aca="false">H6310*15.05*(1+'Chart of Accounts'!$E$67)</f>
        <v>73.2370625</v>
      </c>
    </row>
    <row r="6311" customFormat="false" ht="15" hidden="false" customHeight="false" outlineLevel="0" collapsed="false">
      <c r="B6311" s="7" t="s">
        <v>6808</v>
      </c>
      <c r="C6311" s="39" t="n">
        <v>45951</v>
      </c>
      <c r="D6311" s="7" t="s">
        <v>389</v>
      </c>
      <c r="E6311" s="7" t="s">
        <v>154</v>
      </c>
      <c r="F6311" s="7" t="s">
        <v>246</v>
      </c>
      <c r="G6311" s="7" t="s">
        <v>505</v>
      </c>
      <c r="H6311" s="6" t="n">
        <v>3.89</v>
      </c>
      <c r="I6311" s="6" t="n">
        <v>0</v>
      </c>
      <c r="J6311" s="40" t="n">
        <f aca="false">H6311-I6311</f>
        <v>3.89</v>
      </c>
      <c r="K6311" s="41" t="n">
        <v>26.5</v>
      </c>
      <c r="L6311" s="42" t="n">
        <f aca="false">J6311*K6311</f>
        <v>103.085</v>
      </c>
      <c r="M6311" s="43" t="n">
        <f aca="false">H6311*16.48*(1+'Chart of Accounts'!$E$67)</f>
        <v>73.402744</v>
      </c>
    </row>
    <row r="6312" customFormat="false" ht="15" hidden="false" customHeight="false" outlineLevel="0" collapsed="false">
      <c r="B6312" s="7" t="s">
        <v>6809</v>
      </c>
      <c r="C6312" s="39" t="n">
        <v>45951</v>
      </c>
      <c r="D6312" s="7" t="s">
        <v>391</v>
      </c>
      <c r="E6312" s="7" t="s">
        <v>156</v>
      </c>
      <c r="F6312" s="7" t="s">
        <v>222</v>
      </c>
      <c r="G6312" s="7" t="s">
        <v>505</v>
      </c>
      <c r="H6312" s="6" t="n">
        <v>3.74</v>
      </c>
      <c r="I6312" s="6" t="n">
        <v>0</v>
      </c>
      <c r="J6312" s="40" t="n">
        <f aca="false">H6312-I6312</f>
        <v>3.74</v>
      </c>
      <c r="K6312" s="41" t="n">
        <v>34</v>
      </c>
      <c r="L6312" s="42" t="n">
        <f aca="false">J6312*K6312</f>
        <v>127.16</v>
      </c>
      <c r="M6312" s="43" t="n">
        <f aca="false">H6312*17.84*(1+'Chart of Accounts'!$E$67)</f>
        <v>76.396232</v>
      </c>
    </row>
    <row r="6313" customFormat="false" ht="15" hidden="false" customHeight="false" outlineLevel="0" collapsed="false">
      <c r="B6313" s="7" t="s">
        <v>6810</v>
      </c>
      <c r="C6313" s="39" t="n">
        <v>45951</v>
      </c>
      <c r="D6313" s="7" t="s">
        <v>395</v>
      </c>
      <c r="E6313" s="7" t="s">
        <v>156</v>
      </c>
      <c r="F6313" s="7" t="s">
        <v>242</v>
      </c>
      <c r="G6313" s="7" t="s">
        <v>505</v>
      </c>
      <c r="H6313" s="6" t="n">
        <v>4.34</v>
      </c>
      <c r="I6313" s="6" t="n">
        <v>0</v>
      </c>
      <c r="J6313" s="40" t="n">
        <f aca="false">H6313-I6313</f>
        <v>4.34</v>
      </c>
      <c r="K6313" s="41" t="n">
        <v>34</v>
      </c>
      <c r="L6313" s="42" t="n">
        <f aca="false">J6313*K6313</f>
        <v>147.56</v>
      </c>
      <c r="M6313" s="43" t="n">
        <f aca="false">H6313*17.99*(1+'Chart of Accounts'!$E$67)</f>
        <v>89.397707</v>
      </c>
    </row>
    <row r="6314" customFormat="false" ht="15" hidden="false" customHeight="false" outlineLevel="0" collapsed="false">
      <c r="B6314" s="7" t="s">
        <v>6811</v>
      </c>
      <c r="C6314" s="39" t="n">
        <v>45951</v>
      </c>
      <c r="D6314" s="7" t="s">
        <v>397</v>
      </c>
      <c r="E6314" s="7" t="s">
        <v>159</v>
      </c>
      <c r="F6314" s="7" t="s">
        <v>203</v>
      </c>
      <c r="G6314" s="7" t="s">
        <v>502</v>
      </c>
      <c r="H6314" s="6" t="n">
        <v>0.93</v>
      </c>
      <c r="I6314" s="6" t="n">
        <v>0</v>
      </c>
      <c r="J6314" s="40" t="n">
        <f aca="false">H6314-I6314</f>
        <v>0.93</v>
      </c>
      <c r="K6314" s="41" t="n">
        <v>135</v>
      </c>
      <c r="L6314" s="42" t="n">
        <f aca="false">J6314*K6314</f>
        <v>125.55</v>
      </c>
      <c r="M6314" s="43" t="n">
        <f aca="false">H6314*49.43*(1+'Chart of Accounts'!$E$67)</f>
        <v>52.6355355</v>
      </c>
    </row>
    <row r="6315" customFormat="false" ht="15" hidden="false" customHeight="false" outlineLevel="0" collapsed="false">
      <c r="B6315" s="7" t="s">
        <v>6812</v>
      </c>
      <c r="C6315" s="39" t="n">
        <v>45951</v>
      </c>
      <c r="D6315" s="7" t="s">
        <v>401</v>
      </c>
      <c r="E6315" s="7" t="s">
        <v>156</v>
      </c>
      <c r="F6315" s="7" t="s">
        <v>254</v>
      </c>
      <c r="G6315" s="7" t="s">
        <v>505</v>
      </c>
      <c r="H6315" s="6" t="n">
        <v>3.66</v>
      </c>
      <c r="I6315" s="6" t="n">
        <v>0</v>
      </c>
      <c r="J6315" s="40" t="n">
        <f aca="false">H6315-I6315</f>
        <v>3.66</v>
      </c>
      <c r="K6315" s="41" t="n">
        <v>34</v>
      </c>
      <c r="L6315" s="42" t="n">
        <f aca="false">J6315*K6315</f>
        <v>124.44</v>
      </c>
      <c r="M6315" s="43" t="n">
        <f aca="false">H6315*17.1*(1+'Chart of Accounts'!$E$67)</f>
        <v>71.66097</v>
      </c>
    </row>
    <row r="6316" customFormat="false" ht="15" hidden="false" customHeight="false" outlineLevel="0" collapsed="false">
      <c r="B6316" s="7" t="s">
        <v>6813</v>
      </c>
      <c r="C6316" s="39" t="n">
        <v>45951</v>
      </c>
      <c r="D6316" s="7" t="s">
        <v>407</v>
      </c>
      <c r="E6316" s="7" t="s">
        <v>159</v>
      </c>
      <c r="F6316" s="7" t="s">
        <v>260</v>
      </c>
      <c r="G6316" s="7" t="s">
        <v>502</v>
      </c>
      <c r="H6316" s="6" t="n">
        <v>0.96</v>
      </c>
      <c r="I6316" s="6" t="n">
        <v>0</v>
      </c>
      <c r="J6316" s="40" t="n">
        <f aca="false">H6316-I6316</f>
        <v>0.96</v>
      </c>
      <c r="K6316" s="41" t="n">
        <v>135</v>
      </c>
      <c r="L6316" s="42" t="n">
        <f aca="false">J6316*K6316</f>
        <v>129.6</v>
      </c>
      <c r="M6316" s="43" t="n">
        <f aca="false">H6316*79.8*(1+'Chart of Accounts'!$E$67)</f>
        <v>87.71616</v>
      </c>
    </row>
    <row r="6317" customFormat="false" ht="15" hidden="false" customHeight="false" outlineLevel="0" collapsed="false">
      <c r="B6317" s="7" t="s">
        <v>6814</v>
      </c>
      <c r="C6317" s="39" t="n">
        <v>45952</v>
      </c>
      <c r="D6317" s="7" t="s">
        <v>288</v>
      </c>
      <c r="E6317" s="7" t="s">
        <v>156</v>
      </c>
      <c r="F6317" s="7" t="s">
        <v>184</v>
      </c>
      <c r="G6317" s="7" t="s">
        <v>505</v>
      </c>
      <c r="H6317" s="6" t="n">
        <v>3.82</v>
      </c>
      <c r="I6317" s="6" t="n">
        <v>0</v>
      </c>
      <c r="J6317" s="40" t="n">
        <f aca="false">H6317-I6317</f>
        <v>3.82</v>
      </c>
      <c r="K6317" s="41" t="n">
        <v>34</v>
      </c>
      <c r="L6317" s="42" t="n">
        <f aca="false">J6317*K6317</f>
        <v>129.88</v>
      </c>
      <c r="M6317" s="43" t="n">
        <f aca="false">H6317*17.34*(1+'Chart of Accounts'!$E$67)</f>
        <v>75.843426</v>
      </c>
    </row>
    <row r="6318" customFormat="false" ht="15" hidden="false" customHeight="false" outlineLevel="0" collapsed="false">
      <c r="B6318" s="7" t="s">
        <v>6815</v>
      </c>
      <c r="C6318" s="39" t="n">
        <v>45952</v>
      </c>
      <c r="D6318" s="7" t="s">
        <v>291</v>
      </c>
      <c r="E6318" s="7" t="s">
        <v>154</v>
      </c>
      <c r="F6318" s="7" t="s">
        <v>194</v>
      </c>
      <c r="G6318" s="7" t="s">
        <v>505</v>
      </c>
      <c r="H6318" s="6" t="n">
        <v>4.36</v>
      </c>
      <c r="I6318" s="6" t="n">
        <v>0</v>
      </c>
      <c r="J6318" s="40" t="n">
        <f aca="false">H6318-I6318</f>
        <v>4.36</v>
      </c>
      <c r="K6318" s="41" t="n">
        <v>26.5</v>
      </c>
      <c r="L6318" s="42" t="n">
        <f aca="false">J6318*K6318</f>
        <v>115.54</v>
      </c>
      <c r="M6318" s="43" t="n">
        <f aca="false">H6318*16*(1+'Chart of Accounts'!$E$67)</f>
        <v>79.8752</v>
      </c>
    </row>
    <row r="6319" customFormat="false" ht="15" hidden="false" customHeight="false" outlineLevel="0" collapsed="false">
      <c r="B6319" s="7" t="s">
        <v>6816</v>
      </c>
      <c r="C6319" s="39" t="n">
        <v>45952</v>
      </c>
      <c r="D6319" s="7" t="s">
        <v>295</v>
      </c>
      <c r="E6319" s="7" t="s">
        <v>154</v>
      </c>
      <c r="F6319" s="7" t="s">
        <v>214</v>
      </c>
      <c r="G6319" s="7" t="s">
        <v>505</v>
      </c>
      <c r="H6319" s="6" t="n">
        <v>3.8</v>
      </c>
      <c r="I6319" s="6" t="n">
        <v>0</v>
      </c>
      <c r="J6319" s="40" t="n">
        <f aca="false">H6319-I6319</f>
        <v>3.8</v>
      </c>
      <c r="K6319" s="41" t="n">
        <v>26.5</v>
      </c>
      <c r="L6319" s="42" t="n">
        <f aca="false">J6319*K6319</f>
        <v>100.7</v>
      </c>
      <c r="M6319" s="43" t="n">
        <f aca="false">H6319*15.67*(1+'Chart of Accounts'!$E$67)</f>
        <v>68.18017</v>
      </c>
    </row>
    <row r="6320" customFormat="false" ht="15" hidden="false" customHeight="false" outlineLevel="0" collapsed="false">
      <c r="B6320" s="7" t="s">
        <v>6817</v>
      </c>
      <c r="C6320" s="39" t="n">
        <v>45952</v>
      </c>
      <c r="D6320" s="7" t="s">
        <v>305</v>
      </c>
      <c r="E6320" s="7" t="s">
        <v>154</v>
      </c>
      <c r="F6320" s="7" t="s">
        <v>205</v>
      </c>
      <c r="G6320" s="7" t="s">
        <v>505</v>
      </c>
      <c r="H6320" s="6" t="n">
        <v>3.8</v>
      </c>
      <c r="I6320" s="6" t="n">
        <v>0</v>
      </c>
      <c r="J6320" s="40" t="n">
        <f aca="false">H6320-I6320</f>
        <v>3.8</v>
      </c>
      <c r="K6320" s="41" t="n">
        <v>26.5</v>
      </c>
      <c r="L6320" s="42" t="n">
        <f aca="false">J6320*K6320</f>
        <v>100.7</v>
      </c>
      <c r="M6320" s="43" t="n">
        <f aca="false">H6320*16.36*(1+'Chart of Accounts'!$E$67)</f>
        <v>71.18236</v>
      </c>
    </row>
    <row r="6321" customFormat="false" ht="15" hidden="false" customHeight="false" outlineLevel="0" collapsed="false">
      <c r="B6321" s="7" t="s">
        <v>6818</v>
      </c>
      <c r="C6321" s="39" t="n">
        <v>45952</v>
      </c>
      <c r="D6321" s="7" t="s">
        <v>307</v>
      </c>
      <c r="E6321" s="7" t="s">
        <v>157</v>
      </c>
      <c r="F6321" s="7" t="s">
        <v>264</v>
      </c>
      <c r="G6321" s="7" t="s">
        <v>502</v>
      </c>
      <c r="H6321" s="6" t="n">
        <v>0.97</v>
      </c>
      <c r="I6321" s="6" t="n">
        <v>0</v>
      </c>
      <c r="J6321" s="40" t="n">
        <f aca="false">H6321-I6321</f>
        <v>0.97</v>
      </c>
      <c r="K6321" s="41" t="n">
        <v>165</v>
      </c>
      <c r="L6321" s="42" t="n">
        <f aca="false">J6321*K6321</f>
        <v>160.05</v>
      </c>
      <c r="M6321" s="43" t="n">
        <f aca="false">H6321*55.55*(1+'Chart of Accounts'!$E$67)</f>
        <v>61.6966075</v>
      </c>
    </row>
    <row r="6322" customFormat="false" ht="15" hidden="false" customHeight="false" outlineLevel="0" collapsed="false">
      <c r="B6322" s="7" t="s">
        <v>6819</v>
      </c>
      <c r="C6322" s="39" t="n">
        <v>45952</v>
      </c>
      <c r="D6322" s="7" t="s">
        <v>309</v>
      </c>
      <c r="E6322" s="7" t="s">
        <v>159</v>
      </c>
      <c r="F6322" s="7" t="s">
        <v>252</v>
      </c>
      <c r="G6322" s="7" t="s">
        <v>502</v>
      </c>
      <c r="H6322" s="6" t="n">
        <v>1.07</v>
      </c>
      <c r="I6322" s="6" t="n">
        <v>0</v>
      </c>
      <c r="J6322" s="40" t="n">
        <f aca="false">H6322-I6322</f>
        <v>1.07</v>
      </c>
      <c r="K6322" s="41" t="n">
        <v>135</v>
      </c>
      <c r="L6322" s="42" t="n">
        <f aca="false">J6322*K6322</f>
        <v>144.45</v>
      </c>
      <c r="M6322" s="43" t="n">
        <f aca="false">H6322*57.54*(1+'Chart of Accounts'!$E$67)</f>
        <v>70.495131</v>
      </c>
    </row>
    <row r="6323" customFormat="false" ht="15" hidden="false" customHeight="false" outlineLevel="0" collapsed="false">
      <c r="B6323" s="7" t="s">
        <v>6820</v>
      </c>
      <c r="C6323" s="39" t="n">
        <v>45952</v>
      </c>
      <c r="D6323" s="7" t="s">
        <v>313</v>
      </c>
      <c r="E6323" s="7" t="s">
        <v>156</v>
      </c>
      <c r="F6323" s="7" t="s">
        <v>184</v>
      </c>
      <c r="G6323" s="7" t="s">
        <v>505</v>
      </c>
      <c r="H6323" s="6" t="n">
        <v>4.18</v>
      </c>
      <c r="I6323" s="6" t="n">
        <v>0</v>
      </c>
      <c r="J6323" s="40" t="n">
        <f aca="false">H6323-I6323</f>
        <v>4.18</v>
      </c>
      <c r="K6323" s="41" t="n">
        <v>34</v>
      </c>
      <c r="L6323" s="42" t="n">
        <f aca="false">J6323*K6323</f>
        <v>142.12</v>
      </c>
      <c r="M6323" s="43" t="n">
        <f aca="false">H6323*17.34*(1+'Chart of Accounts'!$E$67)</f>
        <v>82.990974</v>
      </c>
    </row>
    <row r="6324" customFormat="false" ht="15" hidden="false" customHeight="false" outlineLevel="0" collapsed="false">
      <c r="B6324" s="7" t="s">
        <v>6821</v>
      </c>
      <c r="C6324" s="39" t="n">
        <v>45952</v>
      </c>
      <c r="D6324" s="7" t="s">
        <v>315</v>
      </c>
      <c r="E6324" s="7" t="s">
        <v>159</v>
      </c>
      <c r="F6324" s="7" t="s">
        <v>216</v>
      </c>
      <c r="G6324" s="7" t="s">
        <v>502</v>
      </c>
      <c r="H6324" s="6" t="n">
        <v>1.06</v>
      </c>
      <c r="I6324" s="6" t="n">
        <v>0.074</v>
      </c>
      <c r="J6324" s="40" t="n">
        <f aca="false">H6324-I6324</f>
        <v>0.986</v>
      </c>
      <c r="K6324" s="41" t="n">
        <v>135</v>
      </c>
      <c r="L6324" s="42" t="n">
        <f aca="false">J6324*K6324</f>
        <v>133.11</v>
      </c>
      <c r="M6324" s="43" t="n">
        <f aca="false">H6324*61.79*(1+'Chart of Accounts'!$E$67)</f>
        <v>74.994523</v>
      </c>
    </row>
    <row r="6325" customFormat="false" ht="15" hidden="false" customHeight="false" outlineLevel="0" collapsed="false">
      <c r="B6325" s="7" t="s">
        <v>6822</v>
      </c>
      <c r="C6325" s="39" t="n">
        <v>45952</v>
      </c>
      <c r="D6325" s="7" t="s">
        <v>321</v>
      </c>
      <c r="E6325" s="7" t="s">
        <v>154</v>
      </c>
      <c r="F6325" s="7" t="s">
        <v>218</v>
      </c>
      <c r="G6325" s="7" t="s">
        <v>505</v>
      </c>
      <c r="H6325" s="6" t="n">
        <v>4.28</v>
      </c>
      <c r="I6325" s="6" t="n">
        <v>0</v>
      </c>
      <c r="J6325" s="40" t="n">
        <f aca="false">H6325-I6325</f>
        <v>4.28</v>
      </c>
      <c r="K6325" s="41" t="n">
        <v>26.5</v>
      </c>
      <c r="L6325" s="42" t="n">
        <f aca="false">J6325*K6325</f>
        <v>113.42</v>
      </c>
      <c r="M6325" s="43" t="n">
        <f aca="false">H6325*16.19*(1+'Chart of Accounts'!$E$67)</f>
        <v>79.340714</v>
      </c>
    </row>
    <row r="6326" customFormat="false" ht="15" hidden="false" customHeight="false" outlineLevel="0" collapsed="false">
      <c r="B6326" s="7" t="s">
        <v>6823</v>
      </c>
      <c r="C6326" s="39" t="n">
        <v>45952</v>
      </c>
      <c r="D6326" s="7" t="s">
        <v>329</v>
      </c>
      <c r="E6326" s="7" t="s">
        <v>156</v>
      </c>
      <c r="F6326" s="7" t="s">
        <v>220</v>
      </c>
      <c r="G6326" s="7" t="s">
        <v>505</v>
      </c>
      <c r="H6326" s="6" t="n">
        <v>4.25</v>
      </c>
      <c r="I6326" s="6" t="n">
        <v>0</v>
      </c>
      <c r="J6326" s="40" t="n">
        <f aca="false">H6326-I6326</f>
        <v>4.25</v>
      </c>
      <c r="K6326" s="41" t="n">
        <v>34</v>
      </c>
      <c r="L6326" s="42" t="n">
        <f aca="false">J6326*K6326</f>
        <v>144.5</v>
      </c>
      <c r="M6326" s="43" t="n">
        <f aca="false">H6326*16.43*(1+'Chart of Accounts'!$E$67)</f>
        <v>79.9524875</v>
      </c>
    </row>
    <row r="6327" customFormat="false" ht="15" hidden="false" customHeight="false" outlineLevel="0" collapsed="false">
      <c r="B6327" s="7" t="s">
        <v>6824</v>
      </c>
      <c r="C6327" s="39" t="n">
        <v>45952</v>
      </c>
      <c r="D6327" s="7" t="s">
        <v>333</v>
      </c>
      <c r="E6327" s="7" t="s">
        <v>154</v>
      </c>
      <c r="F6327" s="7" t="s">
        <v>236</v>
      </c>
      <c r="G6327" s="7" t="s">
        <v>505</v>
      </c>
      <c r="H6327" s="6" t="n">
        <v>3.42</v>
      </c>
      <c r="I6327" s="6" t="n">
        <v>0</v>
      </c>
      <c r="J6327" s="40" t="n">
        <f aca="false">H6327-I6327</f>
        <v>3.42</v>
      </c>
      <c r="K6327" s="41" t="n">
        <v>26.5</v>
      </c>
      <c r="L6327" s="42" t="n">
        <f aca="false">J6327*K6327</f>
        <v>90.63</v>
      </c>
      <c r="M6327" s="43" t="n">
        <f aca="false">H6327*15.49*(1+'Chart of Accounts'!$E$67)</f>
        <v>60.657291</v>
      </c>
    </row>
    <row r="6328" customFormat="false" ht="15" hidden="false" customHeight="false" outlineLevel="0" collapsed="false">
      <c r="B6328" s="7" t="s">
        <v>6825</v>
      </c>
      <c r="C6328" s="39" t="n">
        <v>45952</v>
      </c>
      <c r="D6328" s="7" t="s">
        <v>335</v>
      </c>
      <c r="E6328" s="7" t="s">
        <v>154</v>
      </c>
      <c r="F6328" s="7" t="s">
        <v>177</v>
      </c>
      <c r="G6328" s="7" t="s">
        <v>505</v>
      </c>
      <c r="H6328" s="6" t="n">
        <v>4.3</v>
      </c>
      <c r="I6328" s="6" t="n">
        <v>0</v>
      </c>
      <c r="J6328" s="40" t="n">
        <f aca="false">H6328-I6328</f>
        <v>4.3</v>
      </c>
      <c r="K6328" s="41" t="n">
        <v>26.5</v>
      </c>
      <c r="L6328" s="42" t="n">
        <f aca="false">J6328*K6328</f>
        <v>113.95</v>
      </c>
      <c r="M6328" s="43" t="n">
        <f aca="false">H6328*14.56*(1+'Chart of Accounts'!$E$67)</f>
        <v>71.68616</v>
      </c>
    </row>
    <row r="6329" customFormat="false" ht="15" hidden="false" customHeight="false" outlineLevel="0" collapsed="false">
      <c r="B6329" s="7" t="s">
        <v>6826</v>
      </c>
      <c r="C6329" s="39" t="n">
        <v>45952</v>
      </c>
      <c r="D6329" s="7" t="s">
        <v>339</v>
      </c>
      <c r="E6329" s="7" t="s">
        <v>154</v>
      </c>
      <c r="F6329" s="7" t="s">
        <v>242</v>
      </c>
      <c r="G6329" s="7" t="s">
        <v>505</v>
      </c>
      <c r="H6329" s="6" t="n">
        <v>3.61</v>
      </c>
      <c r="I6329" s="6" t="n">
        <v>0.108</v>
      </c>
      <c r="J6329" s="40" t="n">
        <f aca="false">H6329-I6329</f>
        <v>3.502</v>
      </c>
      <c r="K6329" s="41" t="n">
        <v>26.5</v>
      </c>
      <c r="L6329" s="42" t="n">
        <f aca="false">J6329*K6329</f>
        <v>92.803</v>
      </c>
      <c r="M6329" s="43" t="n">
        <f aca="false">H6329*17.99*(1+'Chart of Accounts'!$E$67)</f>
        <v>74.3607655</v>
      </c>
    </row>
    <row r="6330" customFormat="false" ht="15" hidden="false" customHeight="false" outlineLevel="0" collapsed="false">
      <c r="B6330" s="7" t="s">
        <v>6827</v>
      </c>
      <c r="C6330" s="39" t="n">
        <v>45952</v>
      </c>
      <c r="D6330" s="7" t="s">
        <v>347</v>
      </c>
      <c r="E6330" s="7" t="s">
        <v>154</v>
      </c>
      <c r="F6330" s="7" t="s">
        <v>238</v>
      </c>
      <c r="G6330" s="7" t="s">
        <v>505</v>
      </c>
      <c r="H6330" s="6" t="n">
        <v>4.96</v>
      </c>
      <c r="I6330" s="6" t="n">
        <v>0</v>
      </c>
      <c r="J6330" s="40" t="n">
        <f aca="false">H6330-I6330</f>
        <v>4.96</v>
      </c>
      <c r="K6330" s="41" t="n">
        <v>26.5</v>
      </c>
      <c r="L6330" s="42" t="n">
        <f aca="false">J6330*K6330</f>
        <v>131.44</v>
      </c>
      <c r="M6330" s="43" t="n">
        <f aca="false">H6330*15.85*(1+'Chart of Accounts'!$E$67)</f>
        <v>90.01532</v>
      </c>
    </row>
    <row r="6331" customFormat="false" ht="15" hidden="false" customHeight="false" outlineLevel="0" collapsed="false">
      <c r="B6331" s="7" t="s">
        <v>6828</v>
      </c>
      <c r="C6331" s="39" t="n">
        <v>45952</v>
      </c>
      <c r="D6331" s="7" t="s">
        <v>349</v>
      </c>
      <c r="E6331" s="7" t="s">
        <v>154</v>
      </c>
      <c r="F6331" s="7" t="s">
        <v>244</v>
      </c>
      <c r="G6331" s="7" t="s">
        <v>505</v>
      </c>
      <c r="H6331" s="6" t="n">
        <v>4.19</v>
      </c>
      <c r="I6331" s="6" t="n">
        <v>0</v>
      </c>
      <c r="J6331" s="40" t="n">
        <f aca="false">H6331-I6331</f>
        <v>4.19</v>
      </c>
      <c r="K6331" s="41" t="n">
        <v>26.5</v>
      </c>
      <c r="L6331" s="42" t="n">
        <f aca="false">J6331*K6331</f>
        <v>111.035</v>
      </c>
      <c r="M6331" s="43" t="n">
        <f aca="false">H6331*16.39*(1+'Chart of Accounts'!$E$67)</f>
        <v>78.6318445</v>
      </c>
    </row>
    <row r="6332" customFormat="false" ht="15" hidden="false" customHeight="false" outlineLevel="0" collapsed="false">
      <c r="B6332" s="7" t="s">
        <v>6829</v>
      </c>
      <c r="C6332" s="39" t="n">
        <v>45952</v>
      </c>
      <c r="D6332" s="7" t="s">
        <v>353</v>
      </c>
      <c r="E6332" s="7" t="s">
        <v>154</v>
      </c>
      <c r="F6332" s="7" t="s">
        <v>254</v>
      </c>
      <c r="G6332" s="7" t="s">
        <v>505</v>
      </c>
      <c r="H6332" s="6" t="n">
        <v>3.08</v>
      </c>
      <c r="I6332" s="6" t="n">
        <v>0</v>
      </c>
      <c r="J6332" s="40" t="n">
        <f aca="false">H6332-I6332</f>
        <v>3.08</v>
      </c>
      <c r="K6332" s="41" t="n">
        <v>26.5</v>
      </c>
      <c r="L6332" s="42" t="n">
        <f aca="false">J6332*K6332</f>
        <v>81.62</v>
      </c>
      <c r="M6332" s="43" t="n">
        <f aca="false">H6332*17.1*(1+'Chart of Accounts'!$E$67)</f>
        <v>60.30486</v>
      </c>
    </row>
    <row r="6333" customFormat="false" ht="15" hidden="false" customHeight="false" outlineLevel="0" collapsed="false">
      <c r="B6333" s="7" t="s">
        <v>6830</v>
      </c>
      <c r="C6333" s="39" t="n">
        <v>45952</v>
      </c>
      <c r="D6333" s="7" t="s">
        <v>355</v>
      </c>
      <c r="E6333" s="7" t="s">
        <v>154</v>
      </c>
      <c r="F6333" s="7" t="s">
        <v>201</v>
      </c>
      <c r="G6333" s="7" t="s">
        <v>505</v>
      </c>
      <c r="H6333" s="6" t="n">
        <v>3.18</v>
      </c>
      <c r="I6333" s="6" t="n">
        <v>0</v>
      </c>
      <c r="J6333" s="40" t="n">
        <f aca="false">H6333-I6333</f>
        <v>3.18</v>
      </c>
      <c r="K6333" s="41" t="n">
        <v>26.5</v>
      </c>
      <c r="L6333" s="42" t="n">
        <f aca="false">J6333*K6333</f>
        <v>84.27</v>
      </c>
      <c r="M6333" s="43" t="n">
        <f aca="false">H6333*15.19*(1+'Chart of Accounts'!$E$67)</f>
        <v>55.308309</v>
      </c>
    </row>
    <row r="6334" customFormat="false" ht="15" hidden="false" customHeight="false" outlineLevel="0" collapsed="false">
      <c r="B6334" s="7" t="s">
        <v>6831</v>
      </c>
      <c r="C6334" s="39" t="n">
        <v>45952</v>
      </c>
      <c r="D6334" s="7" t="s">
        <v>357</v>
      </c>
      <c r="E6334" s="7" t="s">
        <v>154</v>
      </c>
      <c r="F6334" s="7" t="s">
        <v>254</v>
      </c>
      <c r="G6334" s="7" t="s">
        <v>505</v>
      </c>
      <c r="H6334" s="6" t="n">
        <v>3.3</v>
      </c>
      <c r="I6334" s="6" t="n">
        <v>0</v>
      </c>
      <c r="J6334" s="40" t="n">
        <f aca="false">H6334-I6334</f>
        <v>3.3</v>
      </c>
      <c r="K6334" s="41" t="n">
        <v>26.5</v>
      </c>
      <c r="L6334" s="42" t="n">
        <f aca="false">J6334*K6334</f>
        <v>87.45</v>
      </c>
      <c r="M6334" s="43" t="n">
        <f aca="false">H6334*17.1*(1+'Chart of Accounts'!$E$67)</f>
        <v>64.61235</v>
      </c>
    </row>
    <row r="6335" customFormat="false" ht="15" hidden="false" customHeight="false" outlineLevel="0" collapsed="false">
      <c r="B6335" s="7" t="s">
        <v>6832</v>
      </c>
      <c r="C6335" s="39" t="n">
        <v>45952</v>
      </c>
      <c r="D6335" s="7" t="s">
        <v>359</v>
      </c>
      <c r="E6335" s="7" t="s">
        <v>156</v>
      </c>
      <c r="F6335" s="7" t="s">
        <v>254</v>
      </c>
      <c r="G6335" s="7" t="s">
        <v>505</v>
      </c>
      <c r="H6335" s="6" t="n">
        <v>4.33</v>
      </c>
      <c r="I6335" s="6" t="n">
        <v>0</v>
      </c>
      <c r="J6335" s="40" t="n">
        <f aca="false">H6335-I6335</f>
        <v>4.33</v>
      </c>
      <c r="K6335" s="41" t="n">
        <v>34</v>
      </c>
      <c r="L6335" s="42" t="n">
        <f aca="false">J6335*K6335</f>
        <v>147.22</v>
      </c>
      <c r="M6335" s="43" t="n">
        <f aca="false">H6335*17.1*(1+'Chart of Accounts'!$E$67)</f>
        <v>84.779235</v>
      </c>
    </row>
    <row r="6336" customFormat="false" ht="15" hidden="false" customHeight="false" outlineLevel="0" collapsed="false">
      <c r="B6336" s="7" t="s">
        <v>6833</v>
      </c>
      <c r="C6336" s="39" t="n">
        <v>45952</v>
      </c>
      <c r="D6336" s="7" t="s">
        <v>365</v>
      </c>
      <c r="E6336" s="7" t="s">
        <v>154</v>
      </c>
      <c r="F6336" s="7" t="s">
        <v>194</v>
      </c>
      <c r="G6336" s="7" t="s">
        <v>505</v>
      </c>
      <c r="H6336" s="6" t="n">
        <v>3.65</v>
      </c>
      <c r="I6336" s="6" t="n">
        <v>0</v>
      </c>
      <c r="J6336" s="40" t="n">
        <f aca="false">H6336-I6336</f>
        <v>3.65</v>
      </c>
      <c r="K6336" s="41" t="n">
        <v>26.5</v>
      </c>
      <c r="L6336" s="42" t="n">
        <f aca="false">J6336*K6336</f>
        <v>96.725</v>
      </c>
      <c r="M6336" s="43" t="n">
        <f aca="false">H6336*16*(1+'Chart of Accounts'!$E$67)</f>
        <v>66.868</v>
      </c>
    </row>
    <row r="6337" customFormat="false" ht="15" hidden="false" customHeight="false" outlineLevel="0" collapsed="false">
      <c r="B6337" s="7" t="s">
        <v>6834</v>
      </c>
      <c r="C6337" s="39" t="n">
        <v>45952</v>
      </c>
      <c r="D6337" s="7" t="s">
        <v>371</v>
      </c>
      <c r="E6337" s="7" t="s">
        <v>154</v>
      </c>
      <c r="F6337" s="7" t="s">
        <v>232</v>
      </c>
      <c r="G6337" s="7" t="s">
        <v>505</v>
      </c>
      <c r="H6337" s="6" t="n">
        <v>4.57</v>
      </c>
      <c r="I6337" s="6" t="n">
        <v>0</v>
      </c>
      <c r="J6337" s="40" t="n">
        <f aca="false">H6337-I6337</f>
        <v>4.57</v>
      </c>
      <c r="K6337" s="41" t="n">
        <v>26.5</v>
      </c>
      <c r="L6337" s="42" t="n">
        <f aca="false">J6337*K6337</f>
        <v>121.105</v>
      </c>
      <c r="M6337" s="43" t="n">
        <f aca="false">H6337*16.17*(1+'Chart of Accounts'!$E$67)</f>
        <v>84.6119505</v>
      </c>
    </row>
    <row r="6338" customFormat="false" ht="15" hidden="false" customHeight="false" outlineLevel="0" collapsed="false">
      <c r="B6338" s="7" t="s">
        <v>6835</v>
      </c>
      <c r="C6338" s="39" t="n">
        <v>45952</v>
      </c>
      <c r="D6338" s="7" t="s">
        <v>379</v>
      </c>
      <c r="E6338" s="7" t="s">
        <v>156</v>
      </c>
      <c r="F6338" s="7" t="s">
        <v>224</v>
      </c>
      <c r="G6338" s="7" t="s">
        <v>505</v>
      </c>
      <c r="H6338" s="6" t="n">
        <v>4.75</v>
      </c>
      <c r="I6338" s="6" t="n">
        <v>0</v>
      </c>
      <c r="J6338" s="40" t="n">
        <f aca="false">H6338-I6338</f>
        <v>4.75</v>
      </c>
      <c r="K6338" s="41" t="n">
        <v>34</v>
      </c>
      <c r="L6338" s="42" t="n">
        <f aca="false">J6338*K6338</f>
        <v>161.5</v>
      </c>
      <c r="M6338" s="43" t="n">
        <f aca="false">H6338*14.93*(1+'Chart of Accounts'!$E$67)</f>
        <v>81.2005375</v>
      </c>
    </row>
    <row r="6339" customFormat="false" ht="15" hidden="false" customHeight="false" outlineLevel="0" collapsed="false">
      <c r="B6339" s="7" t="s">
        <v>6836</v>
      </c>
      <c r="C6339" s="39" t="n">
        <v>45952</v>
      </c>
      <c r="D6339" s="7" t="s">
        <v>385</v>
      </c>
      <c r="E6339" s="7" t="s">
        <v>156</v>
      </c>
      <c r="F6339" s="7" t="s">
        <v>238</v>
      </c>
      <c r="G6339" s="7" t="s">
        <v>505</v>
      </c>
      <c r="H6339" s="6" t="n">
        <v>3.61</v>
      </c>
      <c r="I6339" s="6" t="n">
        <v>0</v>
      </c>
      <c r="J6339" s="40" t="n">
        <f aca="false">H6339-I6339</f>
        <v>3.61</v>
      </c>
      <c r="K6339" s="41" t="n">
        <v>34</v>
      </c>
      <c r="L6339" s="42" t="n">
        <f aca="false">J6339*K6339</f>
        <v>122.74</v>
      </c>
      <c r="M6339" s="43" t="n">
        <f aca="false">H6339*15.85*(1+'Chart of Accounts'!$E$67)</f>
        <v>65.5151825</v>
      </c>
    </row>
    <row r="6340" customFormat="false" ht="15" hidden="false" customHeight="false" outlineLevel="0" collapsed="false">
      <c r="B6340" s="7" t="s">
        <v>6837</v>
      </c>
      <c r="C6340" s="39" t="n">
        <v>45952</v>
      </c>
      <c r="D6340" s="7" t="s">
        <v>387</v>
      </c>
      <c r="E6340" s="7" t="s">
        <v>154</v>
      </c>
      <c r="F6340" s="7" t="s">
        <v>196</v>
      </c>
      <c r="G6340" s="7" t="s">
        <v>505</v>
      </c>
      <c r="H6340" s="6" t="n">
        <v>3.81</v>
      </c>
      <c r="I6340" s="6" t="n">
        <v>0</v>
      </c>
      <c r="J6340" s="40" t="n">
        <f aca="false">H6340-I6340</f>
        <v>3.81</v>
      </c>
      <c r="K6340" s="41" t="n">
        <v>26.5</v>
      </c>
      <c r="L6340" s="42" t="n">
        <f aca="false">J6340*K6340</f>
        <v>100.965</v>
      </c>
      <c r="M6340" s="43" t="n">
        <f aca="false">H6340*15.05*(1+'Chart of Accounts'!$E$67)</f>
        <v>65.6548725</v>
      </c>
    </row>
    <row r="6341" customFormat="false" ht="15" hidden="false" customHeight="false" outlineLevel="0" collapsed="false">
      <c r="B6341" s="7" t="s">
        <v>6838</v>
      </c>
      <c r="C6341" s="39" t="n">
        <v>45952</v>
      </c>
      <c r="D6341" s="7" t="s">
        <v>389</v>
      </c>
      <c r="E6341" s="7" t="s">
        <v>154</v>
      </c>
      <c r="F6341" s="7" t="s">
        <v>246</v>
      </c>
      <c r="G6341" s="7" t="s">
        <v>505</v>
      </c>
      <c r="H6341" s="6" t="n">
        <v>3.96</v>
      </c>
      <c r="I6341" s="6" t="n">
        <v>0</v>
      </c>
      <c r="J6341" s="40" t="n">
        <f aca="false">H6341-I6341</f>
        <v>3.96</v>
      </c>
      <c r="K6341" s="41" t="n">
        <v>26.5</v>
      </c>
      <c r="L6341" s="42" t="n">
        <f aca="false">J6341*K6341</f>
        <v>104.94</v>
      </c>
      <c r="M6341" s="43" t="n">
        <f aca="false">H6341*16.48*(1+'Chart of Accounts'!$E$67)</f>
        <v>74.723616</v>
      </c>
    </row>
    <row r="6342" customFormat="false" ht="15" hidden="false" customHeight="false" outlineLevel="0" collapsed="false">
      <c r="B6342" s="7" t="s">
        <v>6839</v>
      </c>
      <c r="C6342" s="39" t="n">
        <v>45952</v>
      </c>
      <c r="D6342" s="7" t="s">
        <v>391</v>
      </c>
      <c r="E6342" s="7" t="s">
        <v>156</v>
      </c>
      <c r="F6342" s="7" t="s">
        <v>222</v>
      </c>
      <c r="G6342" s="7" t="s">
        <v>505</v>
      </c>
      <c r="H6342" s="6" t="n">
        <v>4.07</v>
      </c>
      <c r="I6342" s="6" t="n">
        <v>0</v>
      </c>
      <c r="J6342" s="40" t="n">
        <f aca="false">H6342-I6342</f>
        <v>4.07</v>
      </c>
      <c r="K6342" s="41" t="n">
        <v>34</v>
      </c>
      <c r="L6342" s="42" t="n">
        <f aca="false">J6342*K6342</f>
        <v>138.38</v>
      </c>
      <c r="M6342" s="43" t="n">
        <f aca="false">H6342*17.84*(1+'Chart of Accounts'!$E$67)</f>
        <v>83.137076</v>
      </c>
    </row>
    <row r="6343" customFormat="false" ht="15" hidden="false" customHeight="false" outlineLevel="0" collapsed="false">
      <c r="B6343" s="7" t="s">
        <v>6840</v>
      </c>
      <c r="C6343" s="39" t="n">
        <v>45952</v>
      </c>
      <c r="D6343" s="7" t="s">
        <v>393</v>
      </c>
      <c r="E6343" s="7" t="s">
        <v>157</v>
      </c>
      <c r="F6343" s="7" t="s">
        <v>203</v>
      </c>
      <c r="G6343" s="7" t="s">
        <v>502</v>
      </c>
      <c r="H6343" s="6" t="n">
        <v>1.04</v>
      </c>
      <c r="I6343" s="6" t="n">
        <v>0</v>
      </c>
      <c r="J6343" s="40" t="n">
        <f aca="false">H6343-I6343</f>
        <v>1.04</v>
      </c>
      <c r="K6343" s="41" t="n">
        <v>165</v>
      </c>
      <c r="L6343" s="42" t="n">
        <f aca="false">J6343*K6343</f>
        <v>171.6</v>
      </c>
      <c r="M6343" s="43" t="n">
        <f aca="false">H6343*49.43*(1+'Chart of Accounts'!$E$67)</f>
        <v>58.861244</v>
      </c>
    </row>
    <row r="6344" customFormat="false" ht="15" hidden="false" customHeight="false" outlineLevel="0" collapsed="false">
      <c r="B6344" s="7" t="s">
        <v>6841</v>
      </c>
      <c r="C6344" s="39" t="n">
        <v>45952</v>
      </c>
      <c r="D6344" s="7" t="s">
        <v>395</v>
      </c>
      <c r="E6344" s="7" t="s">
        <v>156</v>
      </c>
      <c r="F6344" s="7" t="s">
        <v>242</v>
      </c>
      <c r="G6344" s="7" t="s">
        <v>505</v>
      </c>
      <c r="H6344" s="6" t="n">
        <v>4.18</v>
      </c>
      <c r="I6344" s="6" t="n">
        <v>0</v>
      </c>
      <c r="J6344" s="40" t="n">
        <f aca="false">H6344-I6344</f>
        <v>4.18</v>
      </c>
      <c r="K6344" s="41" t="n">
        <v>34</v>
      </c>
      <c r="L6344" s="42" t="n">
        <f aca="false">J6344*K6344</f>
        <v>142.12</v>
      </c>
      <c r="M6344" s="43" t="n">
        <f aca="false">H6344*17.99*(1+'Chart of Accounts'!$E$67)</f>
        <v>86.101939</v>
      </c>
    </row>
    <row r="6345" customFormat="false" ht="15" hidden="false" customHeight="false" outlineLevel="0" collapsed="false">
      <c r="B6345" s="7" t="s">
        <v>6842</v>
      </c>
      <c r="C6345" s="39" t="n">
        <v>45952</v>
      </c>
      <c r="D6345" s="7" t="s">
        <v>399</v>
      </c>
      <c r="E6345" s="7" t="s">
        <v>154</v>
      </c>
      <c r="F6345" s="7" t="s">
        <v>201</v>
      </c>
      <c r="G6345" s="7" t="s">
        <v>505</v>
      </c>
      <c r="H6345" s="6" t="n">
        <v>3.63</v>
      </c>
      <c r="I6345" s="6" t="n">
        <v>0</v>
      </c>
      <c r="J6345" s="40" t="n">
        <f aca="false">H6345-I6345</f>
        <v>3.63</v>
      </c>
      <c r="K6345" s="41" t="n">
        <v>26.5</v>
      </c>
      <c r="L6345" s="42" t="n">
        <f aca="false">J6345*K6345</f>
        <v>96.195</v>
      </c>
      <c r="M6345" s="43" t="n">
        <f aca="false">H6345*15.19*(1+'Chart of Accounts'!$E$67)</f>
        <v>63.1349565</v>
      </c>
    </row>
    <row r="6346" customFormat="false" ht="15" hidden="false" customHeight="false" outlineLevel="0" collapsed="false">
      <c r="B6346" s="7" t="s">
        <v>6843</v>
      </c>
      <c r="C6346" s="39" t="n">
        <v>45952</v>
      </c>
      <c r="D6346" s="7" t="s">
        <v>401</v>
      </c>
      <c r="E6346" s="7" t="s">
        <v>156</v>
      </c>
      <c r="F6346" s="7" t="s">
        <v>254</v>
      </c>
      <c r="G6346" s="7" t="s">
        <v>505</v>
      </c>
      <c r="H6346" s="6" t="n">
        <v>4.01</v>
      </c>
      <c r="I6346" s="6" t="n">
        <v>0</v>
      </c>
      <c r="J6346" s="40" t="n">
        <f aca="false">H6346-I6346</f>
        <v>4.01</v>
      </c>
      <c r="K6346" s="41" t="n">
        <v>34</v>
      </c>
      <c r="L6346" s="42" t="n">
        <f aca="false">J6346*K6346</f>
        <v>136.34</v>
      </c>
      <c r="M6346" s="43" t="n">
        <f aca="false">H6346*17.1*(1+'Chart of Accounts'!$E$67)</f>
        <v>78.513795</v>
      </c>
    </row>
    <row r="6347" customFormat="false" ht="15" hidden="false" customHeight="false" outlineLevel="0" collapsed="false">
      <c r="B6347" s="7" t="s">
        <v>6844</v>
      </c>
      <c r="C6347" s="39" t="n">
        <v>45952</v>
      </c>
      <c r="D6347" s="7" t="s">
        <v>403</v>
      </c>
      <c r="E6347" s="7" t="s">
        <v>156</v>
      </c>
      <c r="F6347" s="7" t="s">
        <v>184</v>
      </c>
      <c r="G6347" s="7" t="s">
        <v>505</v>
      </c>
      <c r="H6347" s="6" t="n">
        <v>3.68</v>
      </c>
      <c r="I6347" s="6" t="n">
        <v>0</v>
      </c>
      <c r="J6347" s="40" t="n">
        <f aca="false">H6347-I6347</f>
        <v>3.68</v>
      </c>
      <c r="K6347" s="41" t="n">
        <v>34</v>
      </c>
      <c r="L6347" s="42" t="n">
        <f aca="false">J6347*K6347</f>
        <v>125.12</v>
      </c>
      <c r="M6347" s="43" t="n">
        <f aca="false">H6347*17.34*(1+'Chart of Accounts'!$E$67)</f>
        <v>73.063824</v>
      </c>
    </row>
    <row r="6348" customFormat="false" ht="15" hidden="false" customHeight="false" outlineLevel="0" collapsed="false">
      <c r="B6348" s="7" t="s">
        <v>6845</v>
      </c>
      <c r="C6348" s="39" t="n">
        <v>45952</v>
      </c>
      <c r="D6348" s="7" t="s">
        <v>409</v>
      </c>
      <c r="E6348" s="7" t="s">
        <v>154</v>
      </c>
      <c r="F6348" s="7" t="s">
        <v>214</v>
      </c>
      <c r="G6348" s="7" t="s">
        <v>505</v>
      </c>
      <c r="H6348" s="6" t="n">
        <v>3.59</v>
      </c>
      <c r="I6348" s="6" t="n">
        <v>0</v>
      </c>
      <c r="J6348" s="40" t="n">
        <f aca="false">H6348-I6348</f>
        <v>3.59</v>
      </c>
      <c r="K6348" s="41" t="n">
        <v>26.5</v>
      </c>
      <c r="L6348" s="42" t="n">
        <f aca="false">J6348*K6348</f>
        <v>95.135</v>
      </c>
      <c r="M6348" s="43" t="n">
        <f aca="false">H6348*15.67*(1+'Chart of Accounts'!$E$67)</f>
        <v>64.4123185</v>
      </c>
    </row>
    <row r="6349" customFormat="false" ht="15" hidden="false" customHeight="false" outlineLevel="0" collapsed="false">
      <c r="B6349" s="7" t="s">
        <v>6846</v>
      </c>
      <c r="C6349" s="39" t="n">
        <v>45952</v>
      </c>
      <c r="D6349" s="7" t="s">
        <v>411</v>
      </c>
      <c r="E6349" s="7" t="s">
        <v>154</v>
      </c>
      <c r="F6349" s="7" t="s">
        <v>177</v>
      </c>
      <c r="G6349" s="7" t="s">
        <v>505</v>
      </c>
      <c r="H6349" s="6" t="n">
        <v>4.92</v>
      </c>
      <c r="I6349" s="6" t="n">
        <v>0</v>
      </c>
      <c r="J6349" s="40" t="n">
        <f aca="false">H6349-I6349</f>
        <v>4.92</v>
      </c>
      <c r="K6349" s="41" t="n">
        <v>26.5</v>
      </c>
      <c r="L6349" s="42" t="n">
        <f aca="false">J6349*K6349</f>
        <v>130.38</v>
      </c>
      <c r="M6349" s="43" t="n">
        <f aca="false">H6349*14.56*(1+'Chart of Accounts'!$E$67)</f>
        <v>82.022304</v>
      </c>
    </row>
    <row r="6350" customFormat="false" ht="15" hidden="false" customHeight="false" outlineLevel="0" collapsed="false">
      <c r="B6350" s="7" t="s">
        <v>6847</v>
      </c>
      <c r="C6350" s="39" t="n">
        <v>45953</v>
      </c>
      <c r="D6350" s="7" t="s">
        <v>288</v>
      </c>
      <c r="E6350" s="7" t="s">
        <v>156</v>
      </c>
      <c r="F6350" s="7" t="s">
        <v>246</v>
      </c>
      <c r="G6350" s="7" t="s">
        <v>505</v>
      </c>
      <c r="H6350" s="6" t="n">
        <v>3.73</v>
      </c>
      <c r="I6350" s="6" t="n">
        <v>0</v>
      </c>
      <c r="J6350" s="40" t="n">
        <f aca="false">H6350-I6350</f>
        <v>3.73</v>
      </c>
      <c r="K6350" s="41" t="n">
        <v>34</v>
      </c>
      <c r="L6350" s="42" t="n">
        <f aca="false">J6350*K6350</f>
        <v>126.82</v>
      </c>
      <c r="M6350" s="43" t="n">
        <f aca="false">H6350*16.48*(1+'Chart of Accounts'!$E$67)</f>
        <v>70.383608</v>
      </c>
    </row>
    <row r="6351" customFormat="false" ht="15" hidden="false" customHeight="false" outlineLevel="0" collapsed="false">
      <c r="B6351" s="7" t="s">
        <v>6848</v>
      </c>
      <c r="C6351" s="39" t="n">
        <v>45953</v>
      </c>
      <c r="D6351" s="7" t="s">
        <v>297</v>
      </c>
      <c r="E6351" s="7" t="s">
        <v>156</v>
      </c>
      <c r="F6351" s="7" t="s">
        <v>201</v>
      </c>
      <c r="G6351" s="7" t="s">
        <v>505</v>
      </c>
      <c r="H6351" s="6" t="n">
        <v>2.89</v>
      </c>
      <c r="I6351" s="6" t="n">
        <v>0</v>
      </c>
      <c r="J6351" s="40" t="n">
        <f aca="false">H6351-I6351</f>
        <v>2.89</v>
      </c>
      <c r="K6351" s="41" t="n">
        <v>34</v>
      </c>
      <c r="L6351" s="42" t="n">
        <f aca="false">J6351*K6351</f>
        <v>98.26</v>
      </c>
      <c r="M6351" s="43" t="n">
        <f aca="false">H6351*15.19*(1+'Chart of Accounts'!$E$67)</f>
        <v>50.2644695</v>
      </c>
    </row>
    <row r="6352" customFormat="false" ht="15" hidden="false" customHeight="false" outlineLevel="0" collapsed="false">
      <c r="B6352" s="7" t="s">
        <v>6849</v>
      </c>
      <c r="C6352" s="39" t="n">
        <v>45953</v>
      </c>
      <c r="D6352" s="7" t="s">
        <v>303</v>
      </c>
      <c r="E6352" s="7" t="s">
        <v>154</v>
      </c>
      <c r="F6352" s="7" t="s">
        <v>240</v>
      </c>
      <c r="G6352" s="7" t="s">
        <v>505</v>
      </c>
      <c r="H6352" s="6" t="n">
        <v>3.73</v>
      </c>
      <c r="I6352" s="6" t="n">
        <v>0</v>
      </c>
      <c r="J6352" s="40" t="n">
        <f aca="false">H6352-I6352</f>
        <v>3.73</v>
      </c>
      <c r="K6352" s="41" t="n">
        <v>26.5</v>
      </c>
      <c r="L6352" s="42" t="n">
        <f aca="false">J6352*K6352</f>
        <v>98.845</v>
      </c>
      <c r="M6352" s="43" t="n">
        <f aca="false">H6352*16.96*(1+'Chart of Accounts'!$E$67)</f>
        <v>72.433616</v>
      </c>
    </row>
    <row r="6353" customFormat="false" ht="15" hidden="false" customHeight="false" outlineLevel="0" collapsed="false">
      <c r="B6353" s="7" t="s">
        <v>6850</v>
      </c>
      <c r="C6353" s="39" t="n">
        <v>45953</v>
      </c>
      <c r="D6353" s="7" t="s">
        <v>311</v>
      </c>
      <c r="E6353" s="7" t="s">
        <v>154</v>
      </c>
      <c r="F6353" s="7" t="s">
        <v>196</v>
      </c>
      <c r="G6353" s="7" t="s">
        <v>505</v>
      </c>
      <c r="H6353" s="6" t="n">
        <v>2.84</v>
      </c>
      <c r="I6353" s="6" t="n">
        <v>0.085</v>
      </c>
      <c r="J6353" s="40" t="n">
        <f aca="false">H6353-I6353</f>
        <v>2.755</v>
      </c>
      <c r="K6353" s="41" t="n">
        <v>26.5</v>
      </c>
      <c r="L6353" s="42" t="n">
        <f aca="false">J6353*K6353</f>
        <v>73.0075</v>
      </c>
      <c r="M6353" s="43" t="n">
        <f aca="false">H6353*15.05*(1+'Chart of Accounts'!$E$67)</f>
        <v>48.93959</v>
      </c>
    </row>
    <row r="6354" customFormat="false" ht="15" hidden="false" customHeight="false" outlineLevel="0" collapsed="false">
      <c r="B6354" s="7" t="s">
        <v>6851</v>
      </c>
      <c r="C6354" s="39" t="n">
        <v>45953</v>
      </c>
      <c r="D6354" s="7" t="s">
        <v>313</v>
      </c>
      <c r="E6354" s="7" t="s">
        <v>156</v>
      </c>
      <c r="F6354" s="7" t="s">
        <v>184</v>
      </c>
      <c r="G6354" s="7" t="s">
        <v>505</v>
      </c>
      <c r="H6354" s="6" t="n">
        <v>3.68</v>
      </c>
      <c r="I6354" s="6" t="n">
        <v>0</v>
      </c>
      <c r="J6354" s="40" t="n">
        <f aca="false">H6354-I6354</f>
        <v>3.68</v>
      </c>
      <c r="K6354" s="41" t="n">
        <v>34</v>
      </c>
      <c r="L6354" s="42" t="n">
        <f aca="false">J6354*K6354</f>
        <v>125.12</v>
      </c>
      <c r="M6354" s="43" t="n">
        <f aca="false">H6354*17.34*(1+'Chart of Accounts'!$E$67)</f>
        <v>73.063824</v>
      </c>
    </row>
    <row r="6355" customFormat="false" ht="15" hidden="false" customHeight="false" outlineLevel="0" collapsed="false">
      <c r="B6355" s="7" t="s">
        <v>6852</v>
      </c>
      <c r="C6355" s="39" t="n">
        <v>45953</v>
      </c>
      <c r="D6355" s="7" t="s">
        <v>317</v>
      </c>
      <c r="E6355" s="7" t="s">
        <v>156</v>
      </c>
      <c r="F6355" s="7" t="s">
        <v>222</v>
      </c>
      <c r="G6355" s="7" t="s">
        <v>505</v>
      </c>
      <c r="H6355" s="6" t="n">
        <v>2.76</v>
      </c>
      <c r="I6355" s="6" t="n">
        <v>0</v>
      </c>
      <c r="J6355" s="40" t="n">
        <f aca="false">H6355-I6355</f>
        <v>2.76</v>
      </c>
      <c r="K6355" s="41" t="n">
        <v>34</v>
      </c>
      <c r="L6355" s="42" t="n">
        <f aca="false">J6355*K6355</f>
        <v>93.84</v>
      </c>
      <c r="M6355" s="43" t="n">
        <f aca="false">H6355*17.84*(1+'Chart of Accounts'!$E$67)</f>
        <v>56.377968</v>
      </c>
    </row>
    <row r="6356" customFormat="false" ht="15" hidden="false" customHeight="false" outlineLevel="0" collapsed="false">
      <c r="B6356" s="7" t="s">
        <v>6853</v>
      </c>
      <c r="C6356" s="39" t="n">
        <v>45953</v>
      </c>
      <c r="D6356" s="7" t="s">
        <v>321</v>
      </c>
      <c r="E6356" s="7" t="s">
        <v>154</v>
      </c>
      <c r="F6356" s="7" t="s">
        <v>218</v>
      </c>
      <c r="G6356" s="7" t="s">
        <v>505</v>
      </c>
      <c r="H6356" s="6" t="n">
        <v>4.27</v>
      </c>
      <c r="I6356" s="6" t="n">
        <v>0</v>
      </c>
      <c r="J6356" s="40" t="n">
        <f aca="false">H6356-I6356</f>
        <v>4.27</v>
      </c>
      <c r="K6356" s="41" t="n">
        <v>26.5</v>
      </c>
      <c r="L6356" s="42" t="n">
        <f aca="false">J6356*K6356</f>
        <v>113.155</v>
      </c>
      <c r="M6356" s="43" t="n">
        <f aca="false">H6356*16.19*(1+'Chart of Accounts'!$E$67)</f>
        <v>79.1553385</v>
      </c>
    </row>
    <row r="6357" customFormat="false" ht="15" hidden="false" customHeight="false" outlineLevel="0" collapsed="false">
      <c r="B6357" s="7" t="s">
        <v>6854</v>
      </c>
      <c r="C6357" s="39" t="n">
        <v>45953</v>
      </c>
      <c r="D6357" s="7" t="s">
        <v>325</v>
      </c>
      <c r="E6357" s="7" t="s">
        <v>154</v>
      </c>
      <c r="F6357" s="7" t="s">
        <v>201</v>
      </c>
      <c r="G6357" s="7" t="s">
        <v>505</v>
      </c>
      <c r="H6357" s="6" t="n">
        <v>3.25</v>
      </c>
      <c r="I6357" s="6" t="n">
        <v>0</v>
      </c>
      <c r="J6357" s="40" t="n">
        <f aca="false">H6357-I6357</f>
        <v>3.25</v>
      </c>
      <c r="K6357" s="41" t="n">
        <v>26.5</v>
      </c>
      <c r="L6357" s="42" t="n">
        <f aca="false">J6357*K6357</f>
        <v>86.125</v>
      </c>
      <c r="M6357" s="43" t="n">
        <f aca="false">H6357*15.19*(1+'Chart of Accounts'!$E$67)</f>
        <v>56.5257875</v>
      </c>
    </row>
    <row r="6358" customFormat="false" ht="15" hidden="false" customHeight="false" outlineLevel="0" collapsed="false">
      <c r="B6358" s="7" t="s">
        <v>6855</v>
      </c>
      <c r="C6358" s="39" t="n">
        <v>45953</v>
      </c>
      <c r="D6358" s="7" t="s">
        <v>329</v>
      </c>
      <c r="E6358" s="7" t="s">
        <v>156</v>
      </c>
      <c r="F6358" s="7" t="s">
        <v>220</v>
      </c>
      <c r="G6358" s="7" t="s">
        <v>505</v>
      </c>
      <c r="H6358" s="6" t="n">
        <v>4.08</v>
      </c>
      <c r="I6358" s="6" t="n">
        <v>0</v>
      </c>
      <c r="J6358" s="40" t="n">
        <f aca="false">H6358-I6358</f>
        <v>4.08</v>
      </c>
      <c r="K6358" s="41" t="n">
        <v>34</v>
      </c>
      <c r="L6358" s="42" t="n">
        <f aca="false">J6358*K6358</f>
        <v>138.72</v>
      </c>
      <c r="M6358" s="43" t="n">
        <f aca="false">H6358*16.43*(1+'Chart of Accounts'!$E$67)</f>
        <v>76.754388</v>
      </c>
    </row>
    <row r="6359" customFormat="false" ht="15" hidden="false" customHeight="false" outlineLevel="0" collapsed="false">
      <c r="B6359" s="7" t="s">
        <v>6856</v>
      </c>
      <c r="C6359" s="39" t="n">
        <v>45953</v>
      </c>
      <c r="D6359" s="7" t="s">
        <v>331</v>
      </c>
      <c r="E6359" s="7" t="s">
        <v>156</v>
      </c>
      <c r="F6359" s="7" t="s">
        <v>224</v>
      </c>
      <c r="G6359" s="7" t="s">
        <v>505</v>
      </c>
      <c r="H6359" s="6" t="n">
        <v>3.8</v>
      </c>
      <c r="I6359" s="6" t="n">
        <v>0</v>
      </c>
      <c r="J6359" s="40" t="n">
        <f aca="false">H6359-I6359</f>
        <v>3.8</v>
      </c>
      <c r="K6359" s="41" t="n">
        <v>34</v>
      </c>
      <c r="L6359" s="42" t="n">
        <f aca="false">J6359*K6359</f>
        <v>129.2</v>
      </c>
      <c r="M6359" s="43" t="n">
        <f aca="false">H6359*14.93*(1+'Chart of Accounts'!$E$67)</f>
        <v>64.96043</v>
      </c>
    </row>
    <row r="6360" customFormat="false" ht="15" hidden="false" customHeight="false" outlineLevel="0" collapsed="false">
      <c r="B6360" s="7" t="s">
        <v>6857</v>
      </c>
      <c r="C6360" s="39" t="n">
        <v>45953</v>
      </c>
      <c r="D6360" s="7" t="s">
        <v>341</v>
      </c>
      <c r="E6360" s="7" t="s">
        <v>156</v>
      </c>
      <c r="F6360" s="7" t="s">
        <v>222</v>
      </c>
      <c r="G6360" s="7" t="s">
        <v>505</v>
      </c>
      <c r="H6360" s="6" t="n">
        <v>3</v>
      </c>
      <c r="I6360" s="6" t="n">
        <v>0</v>
      </c>
      <c r="J6360" s="40" t="n">
        <f aca="false">H6360-I6360</f>
        <v>3</v>
      </c>
      <c r="K6360" s="41" t="n">
        <v>34</v>
      </c>
      <c r="L6360" s="42" t="n">
        <f aca="false">J6360*K6360</f>
        <v>102</v>
      </c>
      <c r="M6360" s="43" t="n">
        <f aca="false">H6360*17.84*(1+'Chart of Accounts'!$E$67)</f>
        <v>61.2804</v>
      </c>
    </row>
    <row r="6361" customFormat="false" ht="15" hidden="false" customHeight="false" outlineLevel="0" collapsed="false">
      <c r="B6361" s="7" t="s">
        <v>6858</v>
      </c>
      <c r="C6361" s="39" t="n">
        <v>45953</v>
      </c>
      <c r="D6361" s="7" t="s">
        <v>343</v>
      </c>
      <c r="E6361" s="7" t="s">
        <v>154</v>
      </c>
      <c r="F6361" s="7" t="s">
        <v>246</v>
      </c>
      <c r="G6361" s="7" t="s">
        <v>505</v>
      </c>
      <c r="H6361" s="6" t="n">
        <v>4.1</v>
      </c>
      <c r="I6361" s="6" t="n">
        <v>0</v>
      </c>
      <c r="J6361" s="40" t="n">
        <f aca="false">H6361-I6361</f>
        <v>4.1</v>
      </c>
      <c r="K6361" s="41" t="n">
        <v>26.5</v>
      </c>
      <c r="L6361" s="42" t="n">
        <f aca="false">J6361*K6361</f>
        <v>108.65</v>
      </c>
      <c r="M6361" s="43" t="n">
        <f aca="false">H6361*16.48*(1+'Chart of Accounts'!$E$67)</f>
        <v>77.36536</v>
      </c>
    </row>
    <row r="6362" customFormat="false" ht="15" hidden="false" customHeight="false" outlineLevel="0" collapsed="false">
      <c r="B6362" s="7" t="s">
        <v>6859</v>
      </c>
      <c r="C6362" s="39" t="n">
        <v>45953</v>
      </c>
      <c r="D6362" s="7" t="s">
        <v>349</v>
      </c>
      <c r="E6362" s="7" t="s">
        <v>154</v>
      </c>
      <c r="F6362" s="7" t="s">
        <v>244</v>
      </c>
      <c r="G6362" s="7" t="s">
        <v>505</v>
      </c>
      <c r="H6362" s="6" t="n">
        <v>4.07</v>
      </c>
      <c r="I6362" s="6" t="n">
        <v>0</v>
      </c>
      <c r="J6362" s="40" t="n">
        <f aca="false">H6362-I6362</f>
        <v>4.07</v>
      </c>
      <c r="K6362" s="41" t="n">
        <v>26.5</v>
      </c>
      <c r="L6362" s="42" t="n">
        <f aca="false">J6362*K6362</f>
        <v>107.855</v>
      </c>
      <c r="M6362" s="43" t="n">
        <f aca="false">H6362*16.39*(1+'Chart of Accounts'!$E$67)</f>
        <v>76.3798585</v>
      </c>
    </row>
    <row r="6363" customFormat="false" ht="15" hidden="false" customHeight="false" outlineLevel="0" collapsed="false">
      <c r="B6363" s="7" t="s">
        <v>6860</v>
      </c>
      <c r="C6363" s="39" t="n">
        <v>45953</v>
      </c>
      <c r="D6363" s="7" t="s">
        <v>351</v>
      </c>
      <c r="E6363" s="7" t="s">
        <v>154</v>
      </c>
      <c r="F6363" s="7" t="s">
        <v>201</v>
      </c>
      <c r="G6363" s="7" t="s">
        <v>505</v>
      </c>
      <c r="H6363" s="6" t="n">
        <v>2.88</v>
      </c>
      <c r="I6363" s="6" t="n">
        <v>0</v>
      </c>
      <c r="J6363" s="40" t="n">
        <f aca="false">H6363-I6363</f>
        <v>2.88</v>
      </c>
      <c r="K6363" s="41" t="n">
        <v>26.5</v>
      </c>
      <c r="L6363" s="42" t="n">
        <f aca="false">J6363*K6363</f>
        <v>76.32</v>
      </c>
      <c r="M6363" s="43" t="n">
        <f aca="false">H6363*15.19*(1+'Chart of Accounts'!$E$67)</f>
        <v>50.090544</v>
      </c>
    </row>
    <row r="6364" customFormat="false" ht="15" hidden="false" customHeight="false" outlineLevel="0" collapsed="false">
      <c r="B6364" s="7" t="s">
        <v>6861</v>
      </c>
      <c r="C6364" s="39" t="n">
        <v>45953</v>
      </c>
      <c r="D6364" s="7" t="s">
        <v>359</v>
      </c>
      <c r="E6364" s="7" t="s">
        <v>156</v>
      </c>
      <c r="F6364" s="7" t="s">
        <v>250</v>
      </c>
      <c r="G6364" s="7" t="s">
        <v>505</v>
      </c>
      <c r="H6364" s="6" t="n">
        <v>3.95</v>
      </c>
      <c r="I6364" s="6" t="n">
        <v>0</v>
      </c>
      <c r="J6364" s="40" t="n">
        <f aca="false">H6364-I6364</f>
        <v>3.95</v>
      </c>
      <c r="K6364" s="41" t="n">
        <v>34</v>
      </c>
      <c r="L6364" s="42" t="n">
        <f aca="false">J6364*K6364</f>
        <v>134.3</v>
      </c>
      <c r="M6364" s="43" t="n">
        <f aca="false">H6364*16.88*(1+'Chart of Accounts'!$E$67)</f>
        <v>76.34402</v>
      </c>
    </row>
    <row r="6365" customFormat="false" ht="15" hidden="false" customHeight="false" outlineLevel="0" collapsed="false">
      <c r="B6365" s="7" t="s">
        <v>6862</v>
      </c>
      <c r="C6365" s="39" t="n">
        <v>45953</v>
      </c>
      <c r="D6365" s="7" t="s">
        <v>363</v>
      </c>
      <c r="E6365" s="7" t="s">
        <v>156</v>
      </c>
      <c r="F6365" s="7" t="s">
        <v>246</v>
      </c>
      <c r="G6365" s="7" t="s">
        <v>505</v>
      </c>
      <c r="H6365" s="6" t="n">
        <v>3.77</v>
      </c>
      <c r="I6365" s="6" t="n">
        <v>0</v>
      </c>
      <c r="J6365" s="40" t="n">
        <f aca="false">H6365-I6365</f>
        <v>3.77</v>
      </c>
      <c r="K6365" s="41" t="n">
        <v>34</v>
      </c>
      <c r="L6365" s="42" t="n">
        <f aca="false">J6365*K6365</f>
        <v>128.18</v>
      </c>
      <c r="M6365" s="43" t="n">
        <f aca="false">H6365*16.48*(1+'Chart of Accounts'!$E$67)</f>
        <v>71.138392</v>
      </c>
    </row>
    <row r="6366" customFormat="false" ht="15" hidden="false" customHeight="false" outlineLevel="0" collapsed="false">
      <c r="B6366" s="7" t="s">
        <v>6863</v>
      </c>
      <c r="C6366" s="39" t="n">
        <v>45953</v>
      </c>
      <c r="D6366" s="7" t="s">
        <v>365</v>
      </c>
      <c r="E6366" s="7" t="s">
        <v>154</v>
      </c>
      <c r="F6366" s="7" t="s">
        <v>194</v>
      </c>
      <c r="G6366" s="7" t="s">
        <v>505</v>
      </c>
      <c r="H6366" s="6" t="n">
        <v>4.07</v>
      </c>
      <c r="I6366" s="6" t="n">
        <v>0</v>
      </c>
      <c r="J6366" s="40" t="n">
        <f aca="false">H6366-I6366</f>
        <v>4.07</v>
      </c>
      <c r="K6366" s="41" t="n">
        <v>26.5</v>
      </c>
      <c r="L6366" s="42" t="n">
        <f aca="false">J6366*K6366</f>
        <v>107.855</v>
      </c>
      <c r="M6366" s="43" t="n">
        <f aca="false">H6366*16*(1+'Chart of Accounts'!$E$67)</f>
        <v>74.5624</v>
      </c>
    </row>
    <row r="6367" customFormat="false" ht="15" hidden="false" customHeight="false" outlineLevel="0" collapsed="false">
      <c r="B6367" s="7" t="s">
        <v>6864</v>
      </c>
      <c r="C6367" s="39" t="n">
        <v>45953</v>
      </c>
      <c r="D6367" s="7" t="s">
        <v>375</v>
      </c>
      <c r="E6367" s="7" t="s">
        <v>156</v>
      </c>
      <c r="F6367" s="7" t="s">
        <v>196</v>
      </c>
      <c r="G6367" s="7" t="s">
        <v>505</v>
      </c>
      <c r="H6367" s="6" t="n">
        <v>2.91</v>
      </c>
      <c r="I6367" s="6" t="n">
        <v>0</v>
      </c>
      <c r="J6367" s="40" t="n">
        <f aca="false">H6367-I6367</f>
        <v>2.91</v>
      </c>
      <c r="K6367" s="41" t="n">
        <v>34</v>
      </c>
      <c r="L6367" s="42" t="n">
        <f aca="false">J6367*K6367</f>
        <v>98.94</v>
      </c>
      <c r="M6367" s="43" t="n">
        <f aca="false">H6367*15.05*(1+'Chart of Accounts'!$E$67)</f>
        <v>50.1458475</v>
      </c>
    </row>
    <row r="6368" customFormat="false" ht="15" hidden="false" customHeight="false" outlineLevel="0" collapsed="false">
      <c r="B6368" s="7" t="s">
        <v>6865</v>
      </c>
      <c r="C6368" s="39" t="n">
        <v>45953</v>
      </c>
      <c r="D6368" s="7" t="s">
        <v>377</v>
      </c>
      <c r="E6368" s="7" t="s">
        <v>154</v>
      </c>
      <c r="F6368" s="7" t="s">
        <v>214</v>
      </c>
      <c r="G6368" s="7" t="s">
        <v>505</v>
      </c>
      <c r="H6368" s="6" t="n">
        <v>3.87</v>
      </c>
      <c r="I6368" s="6" t="n">
        <v>0</v>
      </c>
      <c r="J6368" s="40" t="n">
        <f aca="false">H6368-I6368</f>
        <v>3.87</v>
      </c>
      <c r="K6368" s="41" t="n">
        <v>26.5</v>
      </c>
      <c r="L6368" s="42" t="n">
        <f aca="false">J6368*K6368</f>
        <v>102.555</v>
      </c>
      <c r="M6368" s="43" t="n">
        <f aca="false">H6368*15.67*(1+'Chart of Accounts'!$E$67)</f>
        <v>69.4361205</v>
      </c>
    </row>
    <row r="6369" customFormat="false" ht="15" hidden="false" customHeight="false" outlineLevel="0" collapsed="false">
      <c r="B6369" s="7" t="s">
        <v>6866</v>
      </c>
      <c r="C6369" s="39" t="n">
        <v>45953</v>
      </c>
      <c r="D6369" s="7" t="s">
        <v>387</v>
      </c>
      <c r="E6369" s="7" t="s">
        <v>154</v>
      </c>
      <c r="F6369" s="7" t="s">
        <v>196</v>
      </c>
      <c r="G6369" s="7" t="s">
        <v>505</v>
      </c>
      <c r="H6369" s="6" t="n">
        <v>4.37</v>
      </c>
      <c r="I6369" s="6" t="n">
        <v>0</v>
      </c>
      <c r="J6369" s="40" t="n">
        <f aca="false">H6369-I6369</f>
        <v>4.37</v>
      </c>
      <c r="K6369" s="41" t="n">
        <v>26.5</v>
      </c>
      <c r="L6369" s="42" t="n">
        <f aca="false">J6369*K6369</f>
        <v>115.805</v>
      </c>
      <c r="M6369" s="43" t="n">
        <f aca="false">H6369*15.05*(1+'Chart of Accounts'!$E$67)</f>
        <v>75.3049325</v>
      </c>
    </row>
    <row r="6370" customFormat="false" ht="15" hidden="false" customHeight="false" outlineLevel="0" collapsed="false">
      <c r="B6370" s="7" t="s">
        <v>6867</v>
      </c>
      <c r="C6370" s="39" t="n">
        <v>45953</v>
      </c>
      <c r="D6370" s="7" t="s">
        <v>389</v>
      </c>
      <c r="E6370" s="7" t="s">
        <v>154</v>
      </c>
      <c r="F6370" s="7" t="s">
        <v>246</v>
      </c>
      <c r="G6370" s="7" t="s">
        <v>505</v>
      </c>
      <c r="H6370" s="6" t="n">
        <v>3.87</v>
      </c>
      <c r="I6370" s="6" t="n">
        <v>0</v>
      </c>
      <c r="J6370" s="40" t="n">
        <f aca="false">H6370-I6370</f>
        <v>3.87</v>
      </c>
      <c r="K6370" s="41" t="n">
        <v>26.5</v>
      </c>
      <c r="L6370" s="42" t="n">
        <f aca="false">J6370*K6370</f>
        <v>102.555</v>
      </c>
      <c r="M6370" s="43" t="n">
        <f aca="false">H6370*16.48*(1+'Chart of Accounts'!$E$67)</f>
        <v>73.025352</v>
      </c>
    </row>
    <row r="6371" customFormat="false" ht="15" hidden="false" customHeight="false" outlineLevel="0" collapsed="false">
      <c r="B6371" s="7" t="s">
        <v>6868</v>
      </c>
      <c r="C6371" s="39" t="n">
        <v>45953</v>
      </c>
      <c r="D6371" s="7" t="s">
        <v>391</v>
      </c>
      <c r="E6371" s="7" t="s">
        <v>156</v>
      </c>
      <c r="F6371" s="7" t="s">
        <v>222</v>
      </c>
      <c r="G6371" s="7" t="s">
        <v>505</v>
      </c>
      <c r="H6371" s="6" t="n">
        <v>4.19</v>
      </c>
      <c r="I6371" s="6" t="n">
        <v>0</v>
      </c>
      <c r="J6371" s="40" t="n">
        <f aca="false">H6371-I6371</f>
        <v>4.19</v>
      </c>
      <c r="K6371" s="41" t="n">
        <v>34</v>
      </c>
      <c r="L6371" s="42" t="n">
        <f aca="false">J6371*K6371</f>
        <v>142.46</v>
      </c>
      <c r="M6371" s="43" t="n">
        <f aca="false">H6371*17.84*(1+'Chart of Accounts'!$E$67)</f>
        <v>85.588292</v>
      </c>
    </row>
    <row r="6372" customFormat="false" ht="15" hidden="false" customHeight="false" outlineLevel="0" collapsed="false">
      <c r="B6372" s="7" t="s">
        <v>6869</v>
      </c>
      <c r="C6372" s="39" t="n">
        <v>45953</v>
      </c>
      <c r="D6372" s="7" t="s">
        <v>395</v>
      </c>
      <c r="E6372" s="7" t="s">
        <v>156</v>
      </c>
      <c r="F6372" s="7" t="s">
        <v>242</v>
      </c>
      <c r="G6372" s="7" t="s">
        <v>505</v>
      </c>
      <c r="H6372" s="6" t="n">
        <v>4.03</v>
      </c>
      <c r="I6372" s="6" t="n">
        <v>0</v>
      </c>
      <c r="J6372" s="40" t="n">
        <f aca="false">H6372-I6372</f>
        <v>4.03</v>
      </c>
      <c r="K6372" s="41" t="n">
        <v>34</v>
      </c>
      <c r="L6372" s="42" t="n">
        <f aca="false">J6372*K6372</f>
        <v>137.02</v>
      </c>
      <c r="M6372" s="43" t="n">
        <f aca="false">H6372*17.99*(1+'Chart of Accounts'!$E$67)</f>
        <v>83.0121565</v>
      </c>
    </row>
    <row r="6373" customFormat="false" ht="15" hidden="false" customHeight="false" outlineLevel="0" collapsed="false">
      <c r="B6373" s="7" t="s">
        <v>6870</v>
      </c>
      <c r="C6373" s="39" t="n">
        <v>45953</v>
      </c>
      <c r="D6373" s="7" t="s">
        <v>401</v>
      </c>
      <c r="E6373" s="7" t="s">
        <v>156</v>
      </c>
      <c r="F6373" s="7" t="s">
        <v>254</v>
      </c>
      <c r="G6373" s="7" t="s">
        <v>505</v>
      </c>
      <c r="H6373" s="6" t="n">
        <v>3.95</v>
      </c>
      <c r="I6373" s="6" t="n">
        <v>0</v>
      </c>
      <c r="J6373" s="40" t="n">
        <f aca="false">H6373-I6373</f>
        <v>3.95</v>
      </c>
      <c r="K6373" s="41" t="n">
        <v>34</v>
      </c>
      <c r="L6373" s="42" t="n">
        <f aca="false">J6373*K6373</f>
        <v>134.3</v>
      </c>
      <c r="M6373" s="43" t="n">
        <f aca="false">H6373*17.1*(1+'Chart of Accounts'!$E$67)</f>
        <v>77.339025</v>
      </c>
    </row>
    <row r="6374" customFormat="false" ht="15" hidden="false" customHeight="false" outlineLevel="0" collapsed="false">
      <c r="B6374" s="7" t="s">
        <v>6871</v>
      </c>
      <c r="C6374" s="39" t="n">
        <v>45954</v>
      </c>
      <c r="D6374" s="7" t="s">
        <v>291</v>
      </c>
      <c r="E6374" s="7" t="s">
        <v>154</v>
      </c>
      <c r="F6374" s="7" t="s">
        <v>194</v>
      </c>
      <c r="G6374" s="7" t="s">
        <v>505</v>
      </c>
      <c r="H6374" s="6" t="n">
        <v>4.45</v>
      </c>
      <c r="I6374" s="6" t="n">
        <v>0</v>
      </c>
      <c r="J6374" s="40" t="n">
        <f aca="false">H6374-I6374</f>
        <v>4.45</v>
      </c>
      <c r="K6374" s="41" t="n">
        <v>26.5</v>
      </c>
      <c r="L6374" s="42" t="n">
        <f aca="false">J6374*K6374</f>
        <v>117.925</v>
      </c>
      <c r="M6374" s="43" t="n">
        <f aca="false">H6374*16*(1+'Chart of Accounts'!$E$67)</f>
        <v>81.524</v>
      </c>
    </row>
    <row r="6375" customFormat="false" ht="15" hidden="false" customHeight="false" outlineLevel="0" collapsed="false">
      <c r="B6375" s="7" t="s">
        <v>6872</v>
      </c>
      <c r="C6375" s="39" t="n">
        <v>45954</v>
      </c>
      <c r="D6375" s="7" t="s">
        <v>293</v>
      </c>
      <c r="E6375" s="7" t="s">
        <v>157</v>
      </c>
      <c r="F6375" s="7" t="s">
        <v>198</v>
      </c>
      <c r="G6375" s="7" t="s">
        <v>502</v>
      </c>
      <c r="H6375" s="6" t="n">
        <v>1.06</v>
      </c>
      <c r="I6375" s="6" t="n">
        <v>0</v>
      </c>
      <c r="J6375" s="40" t="n">
        <f aca="false">H6375-I6375</f>
        <v>1.06</v>
      </c>
      <c r="K6375" s="41" t="n">
        <v>165</v>
      </c>
      <c r="L6375" s="42" t="n">
        <f aca="false">J6375*K6375</f>
        <v>174.9</v>
      </c>
      <c r="M6375" s="43" t="n">
        <f aca="false">H6375*48.09*(1+'Chart of Accounts'!$E$67)</f>
        <v>58.366833</v>
      </c>
    </row>
    <row r="6376" customFormat="false" ht="15" hidden="false" customHeight="false" outlineLevel="0" collapsed="false">
      <c r="B6376" s="7" t="s">
        <v>6873</v>
      </c>
      <c r="C6376" s="39" t="n">
        <v>45954</v>
      </c>
      <c r="D6376" s="7" t="s">
        <v>295</v>
      </c>
      <c r="E6376" s="7" t="s">
        <v>154</v>
      </c>
      <c r="F6376" s="7" t="s">
        <v>214</v>
      </c>
      <c r="G6376" s="7" t="s">
        <v>505</v>
      </c>
      <c r="H6376" s="6" t="n">
        <v>4.29</v>
      </c>
      <c r="I6376" s="6" t="n">
        <v>0</v>
      </c>
      <c r="J6376" s="40" t="n">
        <f aca="false">H6376-I6376</f>
        <v>4.29</v>
      </c>
      <c r="K6376" s="41" t="n">
        <v>26.5</v>
      </c>
      <c r="L6376" s="42" t="n">
        <f aca="false">J6376*K6376</f>
        <v>113.685</v>
      </c>
      <c r="M6376" s="43" t="n">
        <f aca="false">H6376*15.67*(1+'Chart of Accounts'!$E$67)</f>
        <v>76.9718235</v>
      </c>
    </row>
    <row r="6377" customFormat="false" ht="15" hidden="false" customHeight="false" outlineLevel="0" collapsed="false">
      <c r="B6377" s="7" t="s">
        <v>6874</v>
      </c>
      <c r="C6377" s="39" t="n">
        <v>45954</v>
      </c>
      <c r="D6377" s="7" t="s">
        <v>301</v>
      </c>
      <c r="E6377" s="7" t="s">
        <v>157</v>
      </c>
      <c r="F6377" s="7" t="s">
        <v>209</v>
      </c>
      <c r="G6377" s="7" t="s">
        <v>502</v>
      </c>
      <c r="H6377" s="6" t="n">
        <v>0.97</v>
      </c>
      <c r="I6377" s="6" t="n">
        <v>0</v>
      </c>
      <c r="J6377" s="40" t="n">
        <f aca="false">H6377-I6377</f>
        <v>0.97</v>
      </c>
      <c r="K6377" s="41" t="n">
        <v>165</v>
      </c>
      <c r="L6377" s="42" t="n">
        <f aca="false">J6377*K6377</f>
        <v>160.05</v>
      </c>
      <c r="M6377" s="43" t="n">
        <f aca="false">H6377*73.58*(1+'Chart of Accounts'!$E$67)</f>
        <v>81.721627</v>
      </c>
    </row>
    <row r="6378" customFormat="false" ht="15" hidden="false" customHeight="false" outlineLevel="0" collapsed="false">
      <c r="B6378" s="7" t="s">
        <v>6875</v>
      </c>
      <c r="C6378" s="39" t="n">
        <v>45954</v>
      </c>
      <c r="D6378" s="7" t="s">
        <v>305</v>
      </c>
      <c r="E6378" s="7" t="s">
        <v>154</v>
      </c>
      <c r="F6378" s="7" t="s">
        <v>205</v>
      </c>
      <c r="G6378" s="7" t="s">
        <v>505</v>
      </c>
      <c r="H6378" s="6" t="n">
        <v>4.04</v>
      </c>
      <c r="I6378" s="6" t="n">
        <v>0</v>
      </c>
      <c r="J6378" s="40" t="n">
        <f aca="false">H6378-I6378</f>
        <v>4.04</v>
      </c>
      <c r="K6378" s="41" t="n">
        <v>26.5</v>
      </c>
      <c r="L6378" s="42" t="n">
        <f aca="false">J6378*K6378</f>
        <v>107.06</v>
      </c>
      <c r="M6378" s="43" t="n">
        <f aca="false">H6378*16.36*(1+'Chart of Accounts'!$E$67)</f>
        <v>75.678088</v>
      </c>
    </row>
    <row r="6379" customFormat="false" ht="15" hidden="false" customHeight="false" outlineLevel="0" collapsed="false">
      <c r="B6379" s="7" t="s">
        <v>6876</v>
      </c>
      <c r="C6379" s="39" t="n">
        <v>45954</v>
      </c>
      <c r="D6379" s="7" t="s">
        <v>307</v>
      </c>
      <c r="E6379" s="7" t="s">
        <v>157</v>
      </c>
      <c r="F6379" s="7" t="s">
        <v>264</v>
      </c>
      <c r="G6379" s="7" t="s">
        <v>502</v>
      </c>
      <c r="H6379" s="6" t="n">
        <v>0.9</v>
      </c>
      <c r="I6379" s="6" t="n">
        <v>0</v>
      </c>
      <c r="J6379" s="40" t="n">
        <f aca="false">H6379-I6379</f>
        <v>0.9</v>
      </c>
      <c r="K6379" s="41" t="n">
        <v>165</v>
      </c>
      <c r="L6379" s="42" t="n">
        <f aca="false">J6379*K6379</f>
        <v>148.5</v>
      </c>
      <c r="M6379" s="43" t="n">
        <f aca="false">H6379*55.55*(1+'Chart of Accounts'!$E$67)</f>
        <v>57.244275</v>
      </c>
    </row>
    <row r="6380" customFormat="false" ht="15" hidden="false" customHeight="false" outlineLevel="0" collapsed="false">
      <c r="B6380" s="7" t="s">
        <v>6877</v>
      </c>
      <c r="C6380" s="39" t="n">
        <v>45954</v>
      </c>
      <c r="D6380" s="7" t="s">
        <v>309</v>
      </c>
      <c r="E6380" s="7" t="s">
        <v>159</v>
      </c>
      <c r="F6380" s="7" t="s">
        <v>252</v>
      </c>
      <c r="G6380" s="7" t="s">
        <v>502</v>
      </c>
      <c r="H6380" s="6" t="n">
        <v>1.05</v>
      </c>
      <c r="I6380" s="6" t="n">
        <v>0</v>
      </c>
      <c r="J6380" s="40" t="n">
        <f aca="false">H6380-I6380</f>
        <v>1.05</v>
      </c>
      <c r="K6380" s="41" t="n">
        <v>135</v>
      </c>
      <c r="L6380" s="42" t="n">
        <f aca="false">J6380*K6380</f>
        <v>141.75</v>
      </c>
      <c r="M6380" s="43" t="n">
        <f aca="false">H6380*57.54*(1+'Chart of Accounts'!$E$67)</f>
        <v>69.177465</v>
      </c>
    </row>
    <row r="6381" customFormat="false" ht="15" hidden="false" customHeight="false" outlineLevel="0" collapsed="false">
      <c r="B6381" s="7" t="s">
        <v>6878</v>
      </c>
      <c r="C6381" s="39" t="n">
        <v>45954</v>
      </c>
      <c r="D6381" s="7" t="s">
        <v>313</v>
      </c>
      <c r="E6381" s="7" t="s">
        <v>156</v>
      </c>
      <c r="F6381" s="7" t="s">
        <v>184</v>
      </c>
      <c r="G6381" s="7" t="s">
        <v>505</v>
      </c>
      <c r="H6381" s="6" t="n">
        <v>3.73</v>
      </c>
      <c r="I6381" s="6" t="n">
        <v>0</v>
      </c>
      <c r="J6381" s="40" t="n">
        <f aca="false">H6381-I6381</f>
        <v>3.73</v>
      </c>
      <c r="K6381" s="41" t="n">
        <v>34</v>
      </c>
      <c r="L6381" s="42" t="n">
        <f aca="false">J6381*K6381</f>
        <v>126.82</v>
      </c>
      <c r="M6381" s="43" t="n">
        <f aca="false">H6381*17.34*(1+'Chart of Accounts'!$E$67)</f>
        <v>74.056539</v>
      </c>
    </row>
    <row r="6382" customFormat="false" ht="15" hidden="false" customHeight="false" outlineLevel="0" collapsed="false">
      <c r="B6382" s="7" t="s">
        <v>6879</v>
      </c>
      <c r="C6382" s="39" t="n">
        <v>45954</v>
      </c>
      <c r="D6382" s="7" t="s">
        <v>315</v>
      </c>
      <c r="E6382" s="7" t="s">
        <v>159</v>
      </c>
      <c r="F6382" s="7" t="s">
        <v>216</v>
      </c>
      <c r="G6382" s="7" t="s">
        <v>502</v>
      </c>
      <c r="H6382" s="6" t="n">
        <v>0.93</v>
      </c>
      <c r="I6382" s="6" t="n">
        <v>0</v>
      </c>
      <c r="J6382" s="40" t="n">
        <f aca="false">H6382-I6382</f>
        <v>0.93</v>
      </c>
      <c r="K6382" s="41" t="n">
        <v>135</v>
      </c>
      <c r="L6382" s="42" t="n">
        <f aca="false">J6382*K6382</f>
        <v>125.55</v>
      </c>
      <c r="M6382" s="43" t="n">
        <f aca="false">H6382*61.79*(1+'Chart of Accounts'!$E$67)</f>
        <v>65.7970815</v>
      </c>
    </row>
    <row r="6383" customFormat="false" ht="15" hidden="false" customHeight="false" outlineLevel="0" collapsed="false">
      <c r="B6383" s="7" t="s">
        <v>6880</v>
      </c>
      <c r="C6383" s="39" t="n">
        <v>45954</v>
      </c>
      <c r="D6383" s="7" t="s">
        <v>319</v>
      </c>
      <c r="E6383" s="7" t="s">
        <v>157</v>
      </c>
      <c r="F6383" s="7" t="s">
        <v>234</v>
      </c>
      <c r="G6383" s="7" t="s">
        <v>502</v>
      </c>
      <c r="H6383" s="6" t="n">
        <v>0.95</v>
      </c>
      <c r="I6383" s="6" t="n">
        <v>0.048</v>
      </c>
      <c r="J6383" s="40" t="n">
        <f aca="false">H6383-I6383</f>
        <v>0.902</v>
      </c>
      <c r="K6383" s="41" t="n">
        <v>165</v>
      </c>
      <c r="L6383" s="42" t="n">
        <f aca="false">J6383*K6383</f>
        <v>148.83</v>
      </c>
      <c r="M6383" s="43" t="n">
        <f aca="false">H6383*89.53*(1+'Chart of Accounts'!$E$67)</f>
        <v>97.3862575</v>
      </c>
    </row>
    <row r="6384" customFormat="false" ht="15" hidden="false" customHeight="false" outlineLevel="0" collapsed="false">
      <c r="B6384" s="7" t="s">
        <v>6881</v>
      </c>
      <c r="C6384" s="39" t="n">
        <v>45954</v>
      </c>
      <c r="D6384" s="7" t="s">
        <v>321</v>
      </c>
      <c r="E6384" s="7" t="s">
        <v>154</v>
      </c>
      <c r="F6384" s="7" t="s">
        <v>218</v>
      </c>
      <c r="G6384" s="7" t="s">
        <v>505</v>
      </c>
      <c r="H6384" s="6" t="n">
        <v>4.28</v>
      </c>
      <c r="I6384" s="6" t="n">
        <v>0</v>
      </c>
      <c r="J6384" s="40" t="n">
        <f aca="false">H6384-I6384</f>
        <v>4.28</v>
      </c>
      <c r="K6384" s="41" t="n">
        <v>26.5</v>
      </c>
      <c r="L6384" s="42" t="n">
        <f aca="false">J6384*K6384</f>
        <v>113.42</v>
      </c>
      <c r="M6384" s="43" t="n">
        <f aca="false">H6384*16.19*(1+'Chart of Accounts'!$E$67)</f>
        <v>79.340714</v>
      </c>
    </row>
    <row r="6385" customFormat="false" ht="15" hidden="false" customHeight="false" outlineLevel="0" collapsed="false">
      <c r="B6385" s="7" t="s">
        <v>6882</v>
      </c>
      <c r="C6385" s="39" t="n">
        <v>45954</v>
      </c>
      <c r="D6385" s="7" t="s">
        <v>323</v>
      </c>
      <c r="E6385" s="7" t="s">
        <v>159</v>
      </c>
      <c r="F6385" s="7" t="s">
        <v>258</v>
      </c>
      <c r="G6385" s="7" t="s">
        <v>502</v>
      </c>
      <c r="H6385" s="6" t="n">
        <v>1.08</v>
      </c>
      <c r="I6385" s="6" t="n">
        <v>0</v>
      </c>
      <c r="J6385" s="40" t="n">
        <f aca="false">H6385-I6385</f>
        <v>1.08</v>
      </c>
      <c r="K6385" s="41" t="n">
        <v>135</v>
      </c>
      <c r="L6385" s="42" t="n">
        <f aca="false">J6385*K6385</f>
        <v>145.8</v>
      </c>
      <c r="M6385" s="43" t="n">
        <f aca="false">H6385*61.61*(1+'Chart of Accounts'!$E$67)</f>
        <v>76.186926</v>
      </c>
    </row>
    <row r="6386" customFormat="false" ht="15" hidden="false" customHeight="false" outlineLevel="0" collapsed="false">
      <c r="B6386" s="7" t="s">
        <v>6883</v>
      </c>
      <c r="C6386" s="39" t="n">
        <v>45954</v>
      </c>
      <c r="D6386" s="7" t="s">
        <v>327</v>
      </c>
      <c r="E6386" s="7" t="s">
        <v>157</v>
      </c>
      <c r="F6386" s="7" t="s">
        <v>228</v>
      </c>
      <c r="G6386" s="7" t="s">
        <v>502</v>
      </c>
      <c r="H6386" s="6" t="n">
        <v>1.02</v>
      </c>
      <c r="I6386" s="6" t="n">
        <v>0</v>
      </c>
      <c r="J6386" s="40" t="n">
        <f aca="false">H6386-I6386</f>
        <v>1.02</v>
      </c>
      <c r="K6386" s="41" t="n">
        <v>165</v>
      </c>
      <c r="L6386" s="42" t="n">
        <f aca="false">J6386*K6386</f>
        <v>168.3</v>
      </c>
      <c r="M6386" s="43" t="n">
        <f aca="false">H6386*51.07*(1+'Chart of Accounts'!$E$67)</f>
        <v>59.644653</v>
      </c>
    </row>
    <row r="6387" customFormat="false" ht="15" hidden="false" customHeight="false" outlineLevel="0" collapsed="false">
      <c r="B6387" s="7" t="s">
        <v>6884</v>
      </c>
      <c r="C6387" s="39" t="n">
        <v>45954</v>
      </c>
      <c r="D6387" s="7" t="s">
        <v>329</v>
      </c>
      <c r="E6387" s="7" t="s">
        <v>156</v>
      </c>
      <c r="F6387" s="7" t="s">
        <v>220</v>
      </c>
      <c r="G6387" s="7" t="s">
        <v>505</v>
      </c>
      <c r="H6387" s="6" t="n">
        <v>4.12</v>
      </c>
      <c r="I6387" s="6" t="n">
        <v>0</v>
      </c>
      <c r="J6387" s="40" t="n">
        <f aca="false">H6387-I6387</f>
        <v>4.12</v>
      </c>
      <c r="K6387" s="41" t="n">
        <v>34</v>
      </c>
      <c r="L6387" s="42" t="n">
        <f aca="false">J6387*K6387</f>
        <v>140.08</v>
      </c>
      <c r="M6387" s="43" t="n">
        <f aca="false">H6387*16.43*(1+'Chart of Accounts'!$E$67)</f>
        <v>77.506882</v>
      </c>
    </row>
    <row r="6388" customFormat="false" ht="15" hidden="false" customHeight="false" outlineLevel="0" collapsed="false">
      <c r="B6388" s="7" t="s">
        <v>6885</v>
      </c>
      <c r="C6388" s="39" t="n">
        <v>45954</v>
      </c>
      <c r="D6388" s="7" t="s">
        <v>333</v>
      </c>
      <c r="E6388" s="7" t="s">
        <v>154</v>
      </c>
      <c r="F6388" s="7" t="s">
        <v>236</v>
      </c>
      <c r="G6388" s="7" t="s">
        <v>505</v>
      </c>
      <c r="H6388" s="6" t="n">
        <v>3.3</v>
      </c>
      <c r="I6388" s="6" t="n">
        <v>0</v>
      </c>
      <c r="J6388" s="40" t="n">
        <f aca="false">H6388-I6388</f>
        <v>3.3</v>
      </c>
      <c r="K6388" s="41" t="n">
        <v>26.5</v>
      </c>
      <c r="L6388" s="42" t="n">
        <f aca="false">J6388*K6388</f>
        <v>87.45</v>
      </c>
      <c r="M6388" s="43" t="n">
        <f aca="false">H6388*15.49*(1+'Chart of Accounts'!$E$67)</f>
        <v>58.528965</v>
      </c>
    </row>
    <row r="6389" customFormat="false" ht="15" hidden="false" customHeight="false" outlineLevel="0" collapsed="false">
      <c r="B6389" s="7" t="s">
        <v>6886</v>
      </c>
      <c r="C6389" s="39" t="n">
        <v>45954</v>
      </c>
      <c r="D6389" s="7" t="s">
        <v>335</v>
      </c>
      <c r="E6389" s="7" t="s">
        <v>154</v>
      </c>
      <c r="F6389" s="7" t="s">
        <v>177</v>
      </c>
      <c r="G6389" s="7" t="s">
        <v>505</v>
      </c>
      <c r="H6389" s="6" t="n">
        <v>3.81</v>
      </c>
      <c r="I6389" s="6" t="n">
        <v>0</v>
      </c>
      <c r="J6389" s="40" t="n">
        <f aca="false">H6389-I6389</f>
        <v>3.81</v>
      </c>
      <c r="K6389" s="41" t="n">
        <v>26.5</v>
      </c>
      <c r="L6389" s="42" t="n">
        <f aca="false">J6389*K6389</f>
        <v>100.965</v>
      </c>
      <c r="M6389" s="43" t="n">
        <f aca="false">H6389*14.56*(1+'Chart of Accounts'!$E$67)</f>
        <v>63.517272</v>
      </c>
    </row>
    <row r="6390" customFormat="false" ht="15" hidden="false" customHeight="false" outlineLevel="0" collapsed="false">
      <c r="B6390" s="7" t="s">
        <v>6887</v>
      </c>
      <c r="C6390" s="39" t="n">
        <v>45954</v>
      </c>
      <c r="D6390" s="7" t="s">
        <v>339</v>
      </c>
      <c r="E6390" s="7" t="s">
        <v>154</v>
      </c>
      <c r="F6390" s="7" t="s">
        <v>242</v>
      </c>
      <c r="G6390" s="7" t="s">
        <v>505</v>
      </c>
      <c r="H6390" s="6" t="n">
        <v>3.56</v>
      </c>
      <c r="I6390" s="6" t="n">
        <v>0</v>
      </c>
      <c r="J6390" s="40" t="n">
        <f aca="false">H6390-I6390</f>
        <v>3.56</v>
      </c>
      <c r="K6390" s="41" t="n">
        <v>26.5</v>
      </c>
      <c r="L6390" s="42" t="n">
        <f aca="false">J6390*K6390</f>
        <v>94.34</v>
      </c>
      <c r="M6390" s="43" t="n">
        <f aca="false">H6390*17.99*(1+'Chart of Accounts'!$E$67)</f>
        <v>73.330838</v>
      </c>
    </row>
    <row r="6391" customFormat="false" ht="15" hidden="false" customHeight="false" outlineLevel="0" collapsed="false">
      <c r="B6391" s="7" t="s">
        <v>6888</v>
      </c>
      <c r="C6391" s="39" t="n">
        <v>45954</v>
      </c>
      <c r="D6391" s="7" t="s">
        <v>347</v>
      </c>
      <c r="E6391" s="7" t="s">
        <v>154</v>
      </c>
      <c r="F6391" s="7" t="s">
        <v>238</v>
      </c>
      <c r="G6391" s="7" t="s">
        <v>505</v>
      </c>
      <c r="H6391" s="6" t="n">
        <v>4.38</v>
      </c>
      <c r="I6391" s="6" t="n">
        <v>0</v>
      </c>
      <c r="J6391" s="40" t="n">
        <f aca="false">H6391-I6391</f>
        <v>4.38</v>
      </c>
      <c r="K6391" s="41" t="n">
        <v>26.5</v>
      </c>
      <c r="L6391" s="42" t="n">
        <f aca="false">J6391*K6391</f>
        <v>116.07</v>
      </c>
      <c r="M6391" s="43" t="n">
        <f aca="false">H6391*15.85*(1+'Chart of Accounts'!$E$67)</f>
        <v>79.489335</v>
      </c>
    </row>
    <row r="6392" customFormat="false" ht="15" hidden="false" customHeight="false" outlineLevel="0" collapsed="false">
      <c r="B6392" s="7" t="s">
        <v>6889</v>
      </c>
      <c r="C6392" s="39" t="n">
        <v>45954</v>
      </c>
      <c r="D6392" s="7" t="s">
        <v>353</v>
      </c>
      <c r="E6392" s="7" t="s">
        <v>154</v>
      </c>
      <c r="F6392" s="7" t="s">
        <v>254</v>
      </c>
      <c r="G6392" s="7" t="s">
        <v>505</v>
      </c>
      <c r="H6392" s="6" t="n">
        <v>3.41</v>
      </c>
      <c r="I6392" s="6" t="n">
        <v>0</v>
      </c>
      <c r="J6392" s="40" t="n">
        <f aca="false">H6392-I6392</f>
        <v>3.41</v>
      </c>
      <c r="K6392" s="41" t="n">
        <v>26.5</v>
      </c>
      <c r="L6392" s="42" t="n">
        <f aca="false">J6392*K6392</f>
        <v>90.365</v>
      </c>
      <c r="M6392" s="43" t="n">
        <f aca="false">H6392*17.1*(1+'Chart of Accounts'!$E$67)</f>
        <v>66.766095</v>
      </c>
    </row>
    <row r="6393" customFormat="false" ht="15" hidden="false" customHeight="false" outlineLevel="0" collapsed="false">
      <c r="B6393" s="7" t="s">
        <v>6890</v>
      </c>
      <c r="C6393" s="39" t="n">
        <v>45954</v>
      </c>
      <c r="D6393" s="7" t="s">
        <v>355</v>
      </c>
      <c r="E6393" s="7" t="s">
        <v>154</v>
      </c>
      <c r="F6393" s="7" t="s">
        <v>201</v>
      </c>
      <c r="G6393" s="7" t="s">
        <v>505</v>
      </c>
      <c r="H6393" s="6" t="n">
        <v>3.38</v>
      </c>
      <c r="I6393" s="6" t="n">
        <v>0</v>
      </c>
      <c r="J6393" s="40" t="n">
        <f aca="false">H6393-I6393</f>
        <v>3.38</v>
      </c>
      <c r="K6393" s="41" t="n">
        <v>26.5</v>
      </c>
      <c r="L6393" s="42" t="n">
        <f aca="false">J6393*K6393</f>
        <v>89.57</v>
      </c>
      <c r="M6393" s="43" t="n">
        <f aca="false">H6393*15.19*(1+'Chart of Accounts'!$E$67)</f>
        <v>58.786819</v>
      </c>
    </row>
    <row r="6394" customFormat="false" ht="15" hidden="false" customHeight="false" outlineLevel="0" collapsed="false">
      <c r="B6394" s="7" t="s">
        <v>6891</v>
      </c>
      <c r="C6394" s="39" t="n">
        <v>45954</v>
      </c>
      <c r="D6394" s="7" t="s">
        <v>357</v>
      </c>
      <c r="E6394" s="7" t="s">
        <v>154</v>
      </c>
      <c r="F6394" s="7" t="s">
        <v>205</v>
      </c>
      <c r="G6394" s="7" t="s">
        <v>505</v>
      </c>
      <c r="H6394" s="6" t="n">
        <v>3.36</v>
      </c>
      <c r="I6394" s="6" t="n">
        <v>0</v>
      </c>
      <c r="J6394" s="40" t="n">
        <f aca="false">H6394-I6394</f>
        <v>3.36</v>
      </c>
      <c r="K6394" s="41" t="n">
        <v>26.5</v>
      </c>
      <c r="L6394" s="42" t="n">
        <f aca="false">J6394*K6394</f>
        <v>89.04</v>
      </c>
      <c r="M6394" s="43" t="n">
        <f aca="false">H6394*16.36*(1+'Chart of Accounts'!$E$67)</f>
        <v>62.940192</v>
      </c>
    </row>
    <row r="6395" customFormat="false" ht="15" hidden="false" customHeight="false" outlineLevel="0" collapsed="false">
      <c r="B6395" s="7" t="s">
        <v>6892</v>
      </c>
      <c r="C6395" s="39" t="n">
        <v>45954</v>
      </c>
      <c r="D6395" s="7" t="s">
        <v>359</v>
      </c>
      <c r="E6395" s="7" t="s">
        <v>156</v>
      </c>
      <c r="F6395" s="7" t="s">
        <v>250</v>
      </c>
      <c r="G6395" s="7" t="s">
        <v>505</v>
      </c>
      <c r="H6395" s="6" t="n">
        <v>3.97</v>
      </c>
      <c r="I6395" s="6" t="n">
        <v>0</v>
      </c>
      <c r="J6395" s="40" t="n">
        <f aca="false">H6395-I6395</f>
        <v>3.97</v>
      </c>
      <c r="K6395" s="41" t="n">
        <v>34</v>
      </c>
      <c r="L6395" s="42" t="n">
        <f aca="false">J6395*K6395</f>
        <v>134.98</v>
      </c>
      <c r="M6395" s="43" t="n">
        <f aca="false">H6395*16.88*(1+'Chart of Accounts'!$E$67)</f>
        <v>76.730572</v>
      </c>
    </row>
    <row r="6396" customFormat="false" ht="15" hidden="false" customHeight="false" outlineLevel="0" collapsed="false">
      <c r="B6396" s="7" t="s">
        <v>6893</v>
      </c>
      <c r="C6396" s="39" t="n">
        <v>45954</v>
      </c>
      <c r="D6396" s="7" t="s">
        <v>361</v>
      </c>
      <c r="E6396" s="7" t="s">
        <v>157</v>
      </c>
      <c r="F6396" s="7" t="s">
        <v>209</v>
      </c>
      <c r="G6396" s="7" t="s">
        <v>502</v>
      </c>
      <c r="H6396" s="6" t="n">
        <v>1.07</v>
      </c>
      <c r="I6396" s="6" t="n">
        <v>0</v>
      </c>
      <c r="J6396" s="40" t="n">
        <f aca="false">H6396-I6396</f>
        <v>1.07</v>
      </c>
      <c r="K6396" s="41" t="n">
        <v>165</v>
      </c>
      <c r="L6396" s="42" t="n">
        <f aca="false">J6396*K6396</f>
        <v>176.55</v>
      </c>
      <c r="M6396" s="43" t="n">
        <f aca="false">H6396*73.58*(1+'Chart of Accounts'!$E$67)</f>
        <v>90.146537</v>
      </c>
    </row>
    <row r="6397" customFormat="false" ht="15" hidden="false" customHeight="false" outlineLevel="0" collapsed="false">
      <c r="B6397" s="7" t="s">
        <v>6894</v>
      </c>
      <c r="C6397" s="39" t="n">
        <v>45954</v>
      </c>
      <c r="D6397" s="7" t="s">
        <v>365</v>
      </c>
      <c r="E6397" s="7" t="s">
        <v>154</v>
      </c>
      <c r="F6397" s="7" t="s">
        <v>194</v>
      </c>
      <c r="G6397" s="7" t="s">
        <v>505</v>
      </c>
      <c r="H6397" s="6" t="n">
        <v>3.62</v>
      </c>
      <c r="I6397" s="6" t="n">
        <v>0</v>
      </c>
      <c r="J6397" s="40" t="n">
        <f aca="false">H6397-I6397</f>
        <v>3.62</v>
      </c>
      <c r="K6397" s="41" t="n">
        <v>26.5</v>
      </c>
      <c r="L6397" s="42" t="n">
        <f aca="false">J6397*K6397</f>
        <v>95.93</v>
      </c>
      <c r="M6397" s="43" t="n">
        <f aca="false">H6397*16*(1+'Chart of Accounts'!$E$67)</f>
        <v>66.3184</v>
      </c>
    </row>
    <row r="6398" customFormat="false" ht="15" hidden="false" customHeight="false" outlineLevel="0" collapsed="false">
      <c r="B6398" s="7" t="s">
        <v>6895</v>
      </c>
      <c r="C6398" s="39" t="n">
        <v>45954</v>
      </c>
      <c r="D6398" s="7" t="s">
        <v>369</v>
      </c>
      <c r="E6398" s="7" t="s">
        <v>159</v>
      </c>
      <c r="F6398" s="7" t="s">
        <v>258</v>
      </c>
      <c r="G6398" s="7" t="s">
        <v>502</v>
      </c>
      <c r="H6398" s="6" t="n">
        <v>1.03</v>
      </c>
      <c r="I6398" s="6" t="n">
        <v>0</v>
      </c>
      <c r="J6398" s="40" t="n">
        <f aca="false">H6398-I6398</f>
        <v>1.03</v>
      </c>
      <c r="K6398" s="41" t="n">
        <v>135</v>
      </c>
      <c r="L6398" s="42" t="n">
        <f aca="false">J6398*K6398</f>
        <v>139.05</v>
      </c>
      <c r="M6398" s="43" t="n">
        <f aca="false">H6398*61.61*(1+'Chart of Accounts'!$E$67)</f>
        <v>72.6597535</v>
      </c>
    </row>
    <row r="6399" customFormat="false" ht="15" hidden="false" customHeight="false" outlineLevel="0" collapsed="false">
      <c r="B6399" s="7" t="s">
        <v>6896</v>
      </c>
      <c r="C6399" s="39" t="n">
        <v>45954</v>
      </c>
      <c r="D6399" s="7" t="s">
        <v>371</v>
      </c>
      <c r="E6399" s="7" t="s">
        <v>154</v>
      </c>
      <c r="F6399" s="7" t="s">
        <v>232</v>
      </c>
      <c r="G6399" s="7" t="s">
        <v>505</v>
      </c>
      <c r="H6399" s="6" t="n">
        <v>4.3</v>
      </c>
      <c r="I6399" s="6" t="n">
        <v>0</v>
      </c>
      <c r="J6399" s="40" t="n">
        <f aca="false">H6399-I6399</f>
        <v>4.3</v>
      </c>
      <c r="K6399" s="41" t="n">
        <v>26.5</v>
      </c>
      <c r="L6399" s="42" t="n">
        <f aca="false">J6399*K6399</f>
        <v>113.95</v>
      </c>
      <c r="M6399" s="43" t="n">
        <f aca="false">H6399*16.17*(1+'Chart of Accounts'!$E$67)</f>
        <v>79.612995</v>
      </c>
    </row>
    <row r="6400" customFormat="false" ht="15" hidden="false" customHeight="false" outlineLevel="0" collapsed="false">
      <c r="B6400" s="7" t="s">
        <v>6897</v>
      </c>
      <c r="C6400" s="39" t="n">
        <v>45954</v>
      </c>
      <c r="D6400" s="7" t="s">
        <v>379</v>
      </c>
      <c r="E6400" s="7" t="s">
        <v>156</v>
      </c>
      <c r="F6400" s="7" t="s">
        <v>224</v>
      </c>
      <c r="G6400" s="7" t="s">
        <v>505</v>
      </c>
      <c r="H6400" s="6" t="n">
        <v>4.98</v>
      </c>
      <c r="I6400" s="6" t="n">
        <v>0</v>
      </c>
      <c r="J6400" s="40" t="n">
        <f aca="false">H6400-I6400</f>
        <v>4.98</v>
      </c>
      <c r="K6400" s="41" t="n">
        <v>34</v>
      </c>
      <c r="L6400" s="42" t="n">
        <f aca="false">J6400*K6400</f>
        <v>169.32</v>
      </c>
      <c r="M6400" s="43" t="n">
        <f aca="false">H6400*14.93*(1+'Chart of Accounts'!$E$67)</f>
        <v>85.132353</v>
      </c>
    </row>
    <row r="6401" customFormat="false" ht="15" hidden="false" customHeight="false" outlineLevel="0" collapsed="false">
      <c r="B6401" s="7" t="s">
        <v>6898</v>
      </c>
      <c r="C6401" s="39" t="n">
        <v>45954</v>
      </c>
      <c r="D6401" s="7" t="s">
        <v>381</v>
      </c>
      <c r="E6401" s="7" t="s">
        <v>157</v>
      </c>
      <c r="F6401" s="7" t="s">
        <v>234</v>
      </c>
      <c r="G6401" s="7" t="s">
        <v>502</v>
      </c>
      <c r="H6401" s="6" t="n">
        <v>0.93</v>
      </c>
      <c r="I6401" s="6" t="n">
        <v>0</v>
      </c>
      <c r="J6401" s="40" t="n">
        <f aca="false">H6401-I6401</f>
        <v>0.93</v>
      </c>
      <c r="K6401" s="41" t="n">
        <v>165</v>
      </c>
      <c r="L6401" s="42" t="n">
        <f aca="false">J6401*K6401</f>
        <v>153.45</v>
      </c>
      <c r="M6401" s="43" t="n">
        <f aca="false">H6401*89.53*(1+'Chart of Accounts'!$E$67)</f>
        <v>95.3360205</v>
      </c>
    </row>
    <row r="6402" customFormat="false" ht="15" hidden="false" customHeight="false" outlineLevel="0" collapsed="false">
      <c r="B6402" s="7" t="s">
        <v>6899</v>
      </c>
      <c r="C6402" s="39" t="n">
        <v>45954</v>
      </c>
      <c r="D6402" s="7" t="s">
        <v>383</v>
      </c>
      <c r="E6402" s="7" t="s">
        <v>157</v>
      </c>
      <c r="F6402" s="7" t="s">
        <v>230</v>
      </c>
      <c r="G6402" s="7" t="s">
        <v>502</v>
      </c>
      <c r="H6402" s="6" t="n">
        <v>1.04</v>
      </c>
      <c r="I6402" s="6" t="n">
        <v>0.052</v>
      </c>
      <c r="J6402" s="40" t="n">
        <f aca="false">H6402-I6402</f>
        <v>0.988</v>
      </c>
      <c r="K6402" s="41" t="n">
        <v>165</v>
      </c>
      <c r="L6402" s="42" t="n">
        <f aca="false">J6402*K6402</f>
        <v>163.02</v>
      </c>
      <c r="M6402" s="43" t="n">
        <f aca="false">H6402*48.78*(1+'Chart of Accounts'!$E$67)</f>
        <v>58.087224</v>
      </c>
    </row>
    <row r="6403" customFormat="false" ht="15" hidden="false" customHeight="false" outlineLevel="0" collapsed="false">
      <c r="B6403" s="7" t="s">
        <v>6900</v>
      </c>
      <c r="C6403" s="39" t="n">
        <v>45954</v>
      </c>
      <c r="D6403" s="7" t="s">
        <v>385</v>
      </c>
      <c r="E6403" s="7" t="s">
        <v>156</v>
      </c>
      <c r="F6403" s="7" t="s">
        <v>238</v>
      </c>
      <c r="G6403" s="7" t="s">
        <v>505</v>
      </c>
      <c r="H6403" s="6" t="n">
        <v>3.86</v>
      </c>
      <c r="I6403" s="6" t="n">
        <v>0</v>
      </c>
      <c r="J6403" s="40" t="n">
        <f aca="false">H6403-I6403</f>
        <v>3.86</v>
      </c>
      <c r="K6403" s="41" t="n">
        <v>34</v>
      </c>
      <c r="L6403" s="42" t="n">
        <f aca="false">J6403*K6403</f>
        <v>131.24</v>
      </c>
      <c r="M6403" s="43" t="n">
        <f aca="false">H6403*15.85*(1+'Chart of Accounts'!$E$67)</f>
        <v>70.052245</v>
      </c>
    </row>
    <row r="6404" customFormat="false" ht="15" hidden="false" customHeight="false" outlineLevel="0" collapsed="false">
      <c r="B6404" s="7" t="s">
        <v>6901</v>
      </c>
      <c r="C6404" s="39" t="n">
        <v>45954</v>
      </c>
      <c r="D6404" s="7" t="s">
        <v>387</v>
      </c>
      <c r="E6404" s="7" t="s">
        <v>154</v>
      </c>
      <c r="F6404" s="7" t="s">
        <v>196</v>
      </c>
      <c r="G6404" s="7" t="s">
        <v>505</v>
      </c>
      <c r="H6404" s="6" t="n">
        <v>3.94</v>
      </c>
      <c r="I6404" s="6" t="n">
        <v>0</v>
      </c>
      <c r="J6404" s="40" t="n">
        <f aca="false">H6404-I6404</f>
        <v>3.94</v>
      </c>
      <c r="K6404" s="41" t="n">
        <v>26.5</v>
      </c>
      <c r="L6404" s="42" t="n">
        <f aca="false">J6404*K6404</f>
        <v>104.41</v>
      </c>
      <c r="M6404" s="43" t="n">
        <f aca="false">H6404*15.05*(1+'Chart of Accounts'!$E$67)</f>
        <v>67.895065</v>
      </c>
    </row>
    <row r="6405" customFormat="false" ht="15" hidden="false" customHeight="false" outlineLevel="0" collapsed="false">
      <c r="B6405" s="7" t="s">
        <v>6902</v>
      </c>
      <c r="C6405" s="39" t="n">
        <v>45954</v>
      </c>
      <c r="D6405" s="7" t="s">
        <v>389</v>
      </c>
      <c r="E6405" s="7" t="s">
        <v>154</v>
      </c>
      <c r="F6405" s="7" t="s">
        <v>246</v>
      </c>
      <c r="G6405" s="7" t="s">
        <v>505</v>
      </c>
      <c r="H6405" s="6" t="n">
        <v>3.72</v>
      </c>
      <c r="I6405" s="6" t="n">
        <v>0.112</v>
      </c>
      <c r="J6405" s="40" t="n">
        <f aca="false">H6405-I6405</f>
        <v>3.608</v>
      </c>
      <c r="K6405" s="41" t="n">
        <v>26.5</v>
      </c>
      <c r="L6405" s="42" t="n">
        <f aca="false">J6405*K6405</f>
        <v>95.612</v>
      </c>
      <c r="M6405" s="43" t="n">
        <f aca="false">H6405*16.48*(1+'Chart of Accounts'!$E$67)</f>
        <v>70.194912</v>
      </c>
    </row>
    <row r="6406" customFormat="false" ht="15" hidden="false" customHeight="false" outlineLevel="0" collapsed="false">
      <c r="B6406" s="7" t="s">
        <v>6903</v>
      </c>
      <c r="C6406" s="39" t="n">
        <v>45954</v>
      </c>
      <c r="D6406" s="7" t="s">
        <v>391</v>
      </c>
      <c r="E6406" s="7" t="s">
        <v>156</v>
      </c>
      <c r="F6406" s="7" t="s">
        <v>222</v>
      </c>
      <c r="G6406" s="7" t="s">
        <v>505</v>
      </c>
      <c r="H6406" s="6" t="n">
        <v>4.39</v>
      </c>
      <c r="I6406" s="6" t="n">
        <v>0</v>
      </c>
      <c r="J6406" s="40" t="n">
        <f aca="false">H6406-I6406</f>
        <v>4.39</v>
      </c>
      <c r="K6406" s="41" t="n">
        <v>34</v>
      </c>
      <c r="L6406" s="42" t="n">
        <f aca="false">J6406*K6406</f>
        <v>149.26</v>
      </c>
      <c r="M6406" s="43" t="n">
        <f aca="false">H6406*17.84*(1+'Chart of Accounts'!$E$67)</f>
        <v>89.673652</v>
      </c>
    </row>
    <row r="6407" customFormat="false" ht="15" hidden="false" customHeight="false" outlineLevel="0" collapsed="false">
      <c r="B6407" s="7" t="s">
        <v>6904</v>
      </c>
      <c r="C6407" s="39" t="n">
        <v>45954</v>
      </c>
      <c r="D6407" s="7" t="s">
        <v>395</v>
      </c>
      <c r="E6407" s="7" t="s">
        <v>156</v>
      </c>
      <c r="F6407" s="7" t="s">
        <v>242</v>
      </c>
      <c r="G6407" s="7" t="s">
        <v>505</v>
      </c>
      <c r="H6407" s="6" t="n">
        <v>3.69</v>
      </c>
      <c r="I6407" s="6" t="n">
        <v>0</v>
      </c>
      <c r="J6407" s="40" t="n">
        <f aca="false">H6407-I6407</f>
        <v>3.69</v>
      </c>
      <c r="K6407" s="41" t="n">
        <v>34</v>
      </c>
      <c r="L6407" s="42" t="n">
        <f aca="false">J6407*K6407</f>
        <v>125.46</v>
      </c>
      <c r="M6407" s="43" t="n">
        <f aca="false">H6407*17.99*(1+'Chart of Accounts'!$E$67)</f>
        <v>76.0086495</v>
      </c>
    </row>
    <row r="6408" customFormat="false" ht="15" hidden="false" customHeight="false" outlineLevel="0" collapsed="false">
      <c r="B6408" s="7" t="s">
        <v>6905</v>
      </c>
      <c r="C6408" s="39" t="n">
        <v>45954</v>
      </c>
      <c r="D6408" s="7" t="s">
        <v>397</v>
      </c>
      <c r="E6408" s="7" t="s">
        <v>159</v>
      </c>
      <c r="F6408" s="7" t="s">
        <v>203</v>
      </c>
      <c r="G6408" s="7" t="s">
        <v>502</v>
      </c>
      <c r="H6408" s="6" t="n">
        <v>0.95</v>
      </c>
      <c r="I6408" s="6" t="n">
        <v>0</v>
      </c>
      <c r="J6408" s="40" t="n">
        <f aca="false">H6408-I6408</f>
        <v>0.95</v>
      </c>
      <c r="K6408" s="41" t="n">
        <v>135</v>
      </c>
      <c r="L6408" s="42" t="n">
        <f aca="false">J6408*K6408</f>
        <v>128.25</v>
      </c>
      <c r="M6408" s="43" t="n">
        <f aca="false">H6408*49.43*(1+'Chart of Accounts'!$E$67)</f>
        <v>53.7674825</v>
      </c>
    </row>
    <row r="6409" customFormat="false" ht="15" hidden="false" customHeight="false" outlineLevel="0" collapsed="false">
      <c r="B6409" s="7" t="s">
        <v>6906</v>
      </c>
      <c r="C6409" s="39" t="n">
        <v>45954</v>
      </c>
      <c r="D6409" s="7" t="s">
        <v>399</v>
      </c>
      <c r="E6409" s="7" t="s">
        <v>154</v>
      </c>
      <c r="F6409" s="7" t="s">
        <v>196</v>
      </c>
      <c r="G6409" s="7" t="s">
        <v>505</v>
      </c>
      <c r="H6409" s="6" t="n">
        <v>3.2</v>
      </c>
      <c r="I6409" s="6" t="n">
        <v>0</v>
      </c>
      <c r="J6409" s="40" t="n">
        <f aca="false">H6409-I6409</f>
        <v>3.2</v>
      </c>
      <c r="K6409" s="41" t="n">
        <v>26.5</v>
      </c>
      <c r="L6409" s="42" t="n">
        <f aca="false">J6409*K6409</f>
        <v>84.8</v>
      </c>
      <c r="M6409" s="43" t="n">
        <f aca="false">H6409*15.05*(1+'Chart of Accounts'!$E$67)</f>
        <v>55.1432</v>
      </c>
    </row>
    <row r="6410" customFormat="false" ht="15" hidden="false" customHeight="false" outlineLevel="0" collapsed="false">
      <c r="B6410" s="7" t="s">
        <v>6907</v>
      </c>
      <c r="C6410" s="39" t="n">
        <v>45954</v>
      </c>
      <c r="D6410" s="7" t="s">
        <v>401</v>
      </c>
      <c r="E6410" s="7" t="s">
        <v>156</v>
      </c>
      <c r="F6410" s="7" t="s">
        <v>254</v>
      </c>
      <c r="G6410" s="7" t="s">
        <v>505</v>
      </c>
      <c r="H6410" s="6" t="n">
        <v>3.82</v>
      </c>
      <c r="I6410" s="6" t="n">
        <v>0</v>
      </c>
      <c r="J6410" s="40" t="n">
        <f aca="false">H6410-I6410</f>
        <v>3.82</v>
      </c>
      <c r="K6410" s="41" t="n">
        <v>34</v>
      </c>
      <c r="L6410" s="42" t="n">
        <f aca="false">J6410*K6410</f>
        <v>129.88</v>
      </c>
      <c r="M6410" s="43" t="n">
        <f aca="false">H6410*17.1*(1+'Chart of Accounts'!$E$67)</f>
        <v>74.79369</v>
      </c>
    </row>
    <row r="6411" customFormat="false" ht="15" hidden="false" customHeight="false" outlineLevel="0" collapsed="false">
      <c r="B6411" s="7" t="s">
        <v>6908</v>
      </c>
      <c r="C6411" s="39" t="n">
        <v>45954</v>
      </c>
      <c r="D6411" s="7" t="s">
        <v>403</v>
      </c>
      <c r="E6411" s="7" t="s">
        <v>156</v>
      </c>
      <c r="F6411" s="7" t="s">
        <v>184</v>
      </c>
      <c r="G6411" s="7" t="s">
        <v>505</v>
      </c>
      <c r="H6411" s="6" t="n">
        <v>4.2</v>
      </c>
      <c r="I6411" s="6" t="n">
        <v>0</v>
      </c>
      <c r="J6411" s="40" t="n">
        <f aca="false">H6411-I6411</f>
        <v>4.2</v>
      </c>
      <c r="K6411" s="41" t="n">
        <v>34</v>
      </c>
      <c r="L6411" s="42" t="n">
        <f aca="false">J6411*K6411</f>
        <v>142.8</v>
      </c>
      <c r="M6411" s="43" t="n">
        <f aca="false">H6411*17.34*(1+'Chart of Accounts'!$E$67)</f>
        <v>83.38806</v>
      </c>
    </row>
    <row r="6412" customFormat="false" ht="15" hidden="false" customHeight="false" outlineLevel="0" collapsed="false">
      <c r="B6412" s="7" t="s">
        <v>6909</v>
      </c>
      <c r="C6412" s="39" t="n">
        <v>45954</v>
      </c>
      <c r="D6412" s="7" t="s">
        <v>407</v>
      </c>
      <c r="E6412" s="7" t="s">
        <v>159</v>
      </c>
      <c r="F6412" s="7" t="s">
        <v>260</v>
      </c>
      <c r="G6412" s="7" t="s">
        <v>502</v>
      </c>
      <c r="H6412" s="6" t="n">
        <v>1.03</v>
      </c>
      <c r="I6412" s="6" t="n">
        <v>0</v>
      </c>
      <c r="J6412" s="40" t="n">
        <f aca="false">H6412-I6412</f>
        <v>1.03</v>
      </c>
      <c r="K6412" s="41" t="n">
        <v>135</v>
      </c>
      <c r="L6412" s="42" t="n">
        <f aca="false">J6412*K6412</f>
        <v>139.05</v>
      </c>
      <c r="M6412" s="43" t="n">
        <f aca="false">H6412*79.8*(1+'Chart of Accounts'!$E$67)</f>
        <v>94.11213</v>
      </c>
    </row>
    <row r="6413" customFormat="false" ht="15" hidden="false" customHeight="false" outlineLevel="0" collapsed="false">
      <c r="B6413" s="7" t="s">
        <v>6910</v>
      </c>
      <c r="C6413" s="39" t="n">
        <v>45954</v>
      </c>
      <c r="D6413" s="7" t="s">
        <v>409</v>
      </c>
      <c r="E6413" s="7" t="s">
        <v>154</v>
      </c>
      <c r="F6413" s="7" t="s">
        <v>214</v>
      </c>
      <c r="G6413" s="7" t="s">
        <v>505</v>
      </c>
      <c r="H6413" s="6" t="n">
        <v>3.63</v>
      </c>
      <c r="I6413" s="6" t="n">
        <v>0</v>
      </c>
      <c r="J6413" s="40" t="n">
        <f aca="false">H6413-I6413</f>
        <v>3.63</v>
      </c>
      <c r="K6413" s="41" t="n">
        <v>26.5</v>
      </c>
      <c r="L6413" s="42" t="n">
        <f aca="false">J6413*K6413</f>
        <v>96.195</v>
      </c>
      <c r="M6413" s="43" t="n">
        <f aca="false">H6413*15.67*(1+'Chart of Accounts'!$E$67)</f>
        <v>65.1300045</v>
      </c>
    </row>
    <row r="6414" customFormat="false" ht="15" hidden="false" customHeight="false" outlineLevel="0" collapsed="false">
      <c r="B6414" s="7" t="s">
        <v>6911</v>
      </c>
      <c r="C6414" s="39" t="n">
        <v>45954</v>
      </c>
      <c r="D6414" s="7" t="s">
        <v>411</v>
      </c>
      <c r="E6414" s="7" t="s">
        <v>154</v>
      </c>
      <c r="F6414" s="7" t="s">
        <v>177</v>
      </c>
      <c r="G6414" s="7" t="s">
        <v>505</v>
      </c>
      <c r="H6414" s="6" t="n">
        <v>4.59</v>
      </c>
      <c r="I6414" s="6" t="n">
        <v>0</v>
      </c>
      <c r="J6414" s="40" t="n">
        <f aca="false">H6414-I6414</f>
        <v>4.59</v>
      </c>
      <c r="K6414" s="41" t="n">
        <v>26.5</v>
      </c>
      <c r="L6414" s="42" t="n">
        <f aca="false">J6414*K6414</f>
        <v>121.635</v>
      </c>
      <c r="M6414" s="43" t="n">
        <f aca="false">H6414*14.56*(1+'Chart of Accounts'!$E$67)</f>
        <v>76.520808</v>
      </c>
    </row>
    <row r="6415" customFormat="false" ht="15" hidden="false" customHeight="false" outlineLevel="0" collapsed="false">
      <c r="B6415" s="7" t="s">
        <v>6912</v>
      </c>
      <c r="C6415" s="39" t="n">
        <v>45955</v>
      </c>
      <c r="D6415" s="7" t="s">
        <v>288</v>
      </c>
      <c r="E6415" s="7" t="s">
        <v>156</v>
      </c>
      <c r="F6415" s="7" t="s">
        <v>184</v>
      </c>
      <c r="G6415" s="7" t="s">
        <v>505</v>
      </c>
      <c r="H6415" s="6" t="n">
        <v>4.08</v>
      </c>
      <c r="I6415" s="6" t="n">
        <v>0</v>
      </c>
      <c r="J6415" s="40" t="n">
        <f aca="false">H6415-I6415</f>
        <v>4.08</v>
      </c>
      <c r="K6415" s="41" t="n">
        <v>34</v>
      </c>
      <c r="L6415" s="42" t="n">
        <f aca="false">J6415*K6415</f>
        <v>138.72</v>
      </c>
      <c r="M6415" s="43" t="n">
        <f aca="false">H6415*17.34*(1+'Chart of Accounts'!$E$67)</f>
        <v>81.005544</v>
      </c>
    </row>
    <row r="6416" customFormat="false" ht="15" hidden="false" customHeight="false" outlineLevel="0" collapsed="false">
      <c r="B6416" s="7" t="s">
        <v>6913</v>
      </c>
      <c r="C6416" s="39" t="n">
        <v>45955</v>
      </c>
      <c r="D6416" s="7" t="s">
        <v>321</v>
      </c>
      <c r="E6416" s="7" t="s">
        <v>154</v>
      </c>
      <c r="F6416" s="7" t="s">
        <v>218</v>
      </c>
      <c r="G6416" s="7" t="s">
        <v>505</v>
      </c>
      <c r="H6416" s="6" t="n">
        <v>4.3</v>
      </c>
      <c r="I6416" s="6" t="n">
        <v>0</v>
      </c>
      <c r="J6416" s="40" t="n">
        <f aca="false">H6416-I6416</f>
        <v>4.3</v>
      </c>
      <c r="K6416" s="41" t="n">
        <v>26.5</v>
      </c>
      <c r="L6416" s="42" t="n">
        <f aca="false">J6416*K6416</f>
        <v>113.95</v>
      </c>
      <c r="M6416" s="43" t="n">
        <f aca="false">H6416*16.19*(1+'Chart of Accounts'!$E$67)</f>
        <v>79.711465</v>
      </c>
    </row>
    <row r="6417" customFormat="false" ht="15" hidden="false" customHeight="false" outlineLevel="0" collapsed="false">
      <c r="B6417" s="7" t="s">
        <v>6914</v>
      </c>
      <c r="C6417" s="39" t="n">
        <v>45955</v>
      </c>
      <c r="D6417" s="7" t="s">
        <v>359</v>
      </c>
      <c r="E6417" s="7" t="s">
        <v>156</v>
      </c>
      <c r="F6417" s="7" t="s">
        <v>246</v>
      </c>
      <c r="G6417" s="7" t="s">
        <v>505</v>
      </c>
      <c r="H6417" s="6" t="n">
        <v>4.29</v>
      </c>
      <c r="I6417" s="6" t="n">
        <v>0</v>
      </c>
      <c r="J6417" s="40" t="n">
        <f aca="false">H6417-I6417</f>
        <v>4.29</v>
      </c>
      <c r="K6417" s="41" t="n">
        <v>34</v>
      </c>
      <c r="L6417" s="42" t="n">
        <f aca="false">J6417*K6417</f>
        <v>145.86</v>
      </c>
      <c r="M6417" s="43" t="n">
        <f aca="false">H6417*16.48*(1+'Chart of Accounts'!$E$67)</f>
        <v>80.950584</v>
      </c>
    </row>
    <row r="6418" customFormat="false" ht="15" hidden="false" customHeight="false" outlineLevel="0" collapsed="false">
      <c r="B6418" s="7" t="s">
        <v>6915</v>
      </c>
      <c r="C6418" s="39" t="n">
        <v>45955</v>
      </c>
      <c r="D6418" s="7" t="s">
        <v>387</v>
      </c>
      <c r="E6418" s="7" t="s">
        <v>154</v>
      </c>
      <c r="F6418" s="7" t="s">
        <v>196</v>
      </c>
      <c r="G6418" s="7" t="s">
        <v>505</v>
      </c>
      <c r="H6418" s="6" t="n">
        <v>4.4</v>
      </c>
      <c r="I6418" s="6" t="n">
        <v>0</v>
      </c>
      <c r="J6418" s="40" t="n">
        <f aca="false">H6418-I6418</f>
        <v>4.4</v>
      </c>
      <c r="K6418" s="41" t="n">
        <v>26.5</v>
      </c>
      <c r="L6418" s="42" t="n">
        <f aca="false">J6418*K6418</f>
        <v>116.6</v>
      </c>
      <c r="M6418" s="43" t="n">
        <f aca="false">H6418*15.05*(1+'Chart of Accounts'!$E$67)</f>
        <v>75.8219</v>
      </c>
    </row>
    <row r="6419" customFormat="false" ht="15" hidden="false" customHeight="false" outlineLevel="0" collapsed="false">
      <c r="B6419" s="7" t="s">
        <v>6916</v>
      </c>
      <c r="C6419" s="39" t="n">
        <v>45955</v>
      </c>
      <c r="D6419" s="7" t="s">
        <v>391</v>
      </c>
      <c r="E6419" s="7" t="s">
        <v>156</v>
      </c>
      <c r="F6419" s="7" t="s">
        <v>222</v>
      </c>
      <c r="G6419" s="7" t="s">
        <v>505</v>
      </c>
      <c r="H6419" s="6" t="n">
        <v>4.09</v>
      </c>
      <c r="I6419" s="6" t="n">
        <v>0</v>
      </c>
      <c r="J6419" s="40" t="n">
        <f aca="false">H6419-I6419</f>
        <v>4.09</v>
      </c>
      <c r="K6419" s="41" t="n">
        <v>34</v>
      </c>
      <c r="L6419" s="42" t="n">
        <f aca="false">J6419*K6419</f>
        <v>139.06</v>
      </c>
      <c r="M6419" s="43" t="n">
        <f aca="false">H6419*17.84*(1+'Chart of Accounts'!$E$67)</f>
        <v>83.545612</v>
      </c>
    </row>
    <row r="6420" customFormat="false" ht="15" hidden="false" customHeight="false" outlineLevel="0" collapsed="false">
      <c r="B6420" s="7" t="s">
        <v>6917</v>
      </c>
      <c r="C6420" s="39" t="n">
        <v>45955</v>
      </c>
      <c r="D6420" s="7" t="s">
        <v>395</v>
      </c>
      <c r="E6420" s="7" t="s">
        <v>156</v>
      </c>
      <c r="F6420" s="7" t="s">
        <v>242</v>
      </c>
      <c r="G6420" s="7" t="s">
        <v>505</v>
      </c>
      <c r="H6420" s="6" t="n">
        <v>3.75</v>
      </c>
      <c r="I6420" s="6" t="n">
        <v>0</v>
      </c>
      <c r="J6420" s="40" t="n">
        <f aca="false">H6420-I6420</f>
        <v>3.75</v>
      </c>
      <c r="K6420" s="41" t="n">
        <v>34</v>
      </c>
      <c r="L6420" s="42" t="n">
        <f aca="false">J6420*K6420</f>
        <v>127.5</v>
      </c>
      <c r="M6420" s="43" t="n">
        <f aca="false">H6420*17.99*(1+'Chart of Accounts'!$E$67)</f>
        <v>77.2445625</v>
      </c>
    </row>
    <row r="6421" customFormat="false" ht="15" hidden="false" customHeight="false" outlineLevel="0" collapsed="false">
      <c r="B6421" s="7" t="s">
        <v>6918</v>
      </c>
      <c r="C6421" s="39" t="n">
        <v>45955</v>
      </c>
      <c r="D6421" s="7" t="s">
        <v>401</v>
      </c>
      <c r="E6421" s="7" t="s">
        <v>156</v>
      </c>
      <c r="F6421" s="7" t="s">
        <v>254</v>
      </c>
      <c r="G6421" s="7" t="s">
        <v>505</v>
      </c>
      <c r="H6421" s="6" t="n">
        <v>3.78</v>
      </c>
      <c r="I6421" s="6" t="n">
        <v>0</v>
      </c>
      <c r="J6421" s="40" t="n">
        <f aca="false">H6421-I6421</f>
        <v>3.78</v>
      </c>
      <c r="K6421" s="41" t="n">
        <v>34</v>
      </c>
      <c r="L6421" s="42" t="n">
        <f aca="false">J6421*K6421</f>
        <v>128.52</v>
      </c>
      <c r="M6421" s="43" t="n">
        <f aca="false">H6421*17.1*(1+'Chart of Accounts'!$E$67)</f>
        <v>74.01051</v>
      </c>
    </row>
    <row r="6422" customFormat="false" ht="15" hidden="false" customHeight="false" outlineLevel="0" collapsed="false">
      <c r="B6422" s="7" t="s">
        <v>6919</v>
      </c>
      <c r="C6422" s="39" t="n">
        <v>45956</v>
      </c>
      <c r="D6422" s="7" t="s">
        <v>288</v>
      </c>
      <c r="E6422" s="7" t="s">
        <v>156</v>
      </c>
      <c r="F6422" s="7" t="s">
        <v>218</v>
      </c>
      <c r="G6422" s="7" t="s">
        <v>505</v>
      </c>
      <c r="H6422" s="6" t="n">
        <v>3.66</v>
      </c>
      <c r="I6422" s="6" t="n">
        <v>0</v>
      </c>
      <c r="J6422" s="40" t="n">
        <f aca="false">H6422-I6422</f>
        <v>3.66</v>
      </c>
      <c r="K6422" s="41" t="n">
        <v>34</v>
      </c>
      <c r="L6422" s="42" t="n">
        <f aca="false">J6422*K6422</f>
        <v>124.44</v>
      </c>
      <c r="M6422" s="43" t="n">
        <f aca="false">H6422*16.19*(1+'Chart of Accounts'!$E$67)</f>
        <v>67.847433</v>
      </c>
    </row>
    <row r="6423" customFormat="false" ht="15" hidden="false" customHeight="false" outlineLevel="0" collapsed="false">
      <c r="B6423" s="7" t="s">
        <v>6920</v>
      </c>
      <c r="C6423" s="39" t="n">
        <v>45956</v>
      </c>
      <c r="D6423" s="7" t="s">
        <v>321</v>
      </c>
      <c r="E6423" s="7" t="s">
        <v>154</v>
      </c>
      <c r="F6423" s="7" t="s">
        <v>218</v>
      </c>
      <c r="G6423" s="7" t="s">
        <v>505</v>
      </c>
      <c r="H6423" s="6" t="n">
        <v>3.94</v>
      </c>
      <c r="I6423" s="6" t="n">
        <v>0</v>
      </c>
      <c r="J6423" s="40" t="n">
        <f aca="false">H6423-I6423</f>
        <v>3.94</v>
      </c>
      <c r="K6423" s="41" t="n">
        <v>26.5</v>
      </c>
      <c r="L6423" s="42" t="n">
        <f aca="false">J6423*K6423</f>
        <v>104.41</v>
      </c>
      <c r="M6423" s="43" t="n">
        <f aca="false">H6423*16.19*(1+'Chart of Accounts'!$E$67)</f>
        <v>73.037947</v>
      </c>
    </row>
    <row r="6424" customFormat="false" ht="15" hidden="false" customHeight="false" outlineLevel="0" collapsed="false">
      <c r="B6424" s="7" t="s">
        <v>6921</v>
      </c>
      <c r="C6424" s="39" t="n">
        <v>45956</v>
      </c>
      <c r="D6424" s="7" t="s">
        <v>359</v>
      </c>
      <c r="E6424" s="7" t="s">
        <v>156</v>
      </c>
      <c r="F6424" s="7" t="s">
        <v>240</v>
      </c>
      <c r="G6424" s="7" t="s">
        <v>505</v>
      </c>
      <c r="H6424" s="6" t="n">
        <v>4.26</v>
      </c>
      <c r="I6424" s="6" t="n">
        <v>0</v>
      </c>
      <c r="J6424" s="40" t="n">
        <f aca="false">H6424-I6424</f>
        <v>4.26</v>
      </c>
      <c r="K6424" s="41" t="n">
        <v>34</v>
      </c>
      <c r="L6424" s="42" t="n">
        <f aca="false">J6424*K6424</f>
        <v>144.84</v>
      </c>
      <c r="M6424" s="43" t="n">
        <f aca="false">H6424*16.96*(1+'Chart of Accounts'!$E$67)</f>
        <v>82.725792</v>
      </c>
    </row>
    <row r="6425" customFormat="false" ht="15" hidden="false" customHeight="false" outlineLevel="0" collapsed="false">
      <c r="B6425" s="7" t="s">
        <v>6922</v>
      </c>
      <c r="C6425" s="39" t="n">
        <v>45956</v>
      </c>
      <c r="D6425" s="7" t="s">
        <v>387</v>
      </c>
      <c r="E6425" s="7" t="s">
        <v>154</v>
      </c>
      <c r="F6425" s="7" t="s">
        <v>196</v>
      </c>
      <c r="G6425" s="7" t="s">
        <v>505</v>
      </c>
      <c r="H6425" s="6" t="n">
        <v>4.4</v>
      </c>
      <c r="I6425" s="6" t="n">
        <v>0</v>
      </c>
      <c r="J6425" s="40" t="n">
        <f aca="false">H6425-I6425</f>
        <v>4.4</v>
      </c>
      <c r="K6425" s="41" t="n">
        <v>26.5</v>
      </c>
      <c r="L6425" s="42" t="n">
        <f aca="false">J6425*K6425</f>
        <v>116.6</v>
      </c>
      <c r="M6425" s="43" t="n">
        <f aca="false">H6425*15.05*(1+'Chart of Accounts'!$E$67)</f>
        <v>75.8219</v>
      </c>
    </row>
    <row r="6426" customFormat="false" ht="15" hidden="false" customHeight="false" outlineLevel="0" collapsed="false">
      <c r="B6426" s="7" t="s">
        <v>6923</v>
      </c>
      <c r="C6426" s="39" t="n">
        <v>45956</v>
      </c>
      <c r="D6426" s="7" t="s">
        <v>391</v>
      </c>
      <c r="E6426" s="7" t="s">
        <v>156</v>
      </c>
      <c r="F6426" s="7" t="s">
        <v>222</v>
      </c>
      <c r="G6426" s="7" t="s">
        <v>505</v>
      </c>
      <c r="H6426" s="6" t="n">
        <v>4.22</v>
      </c>
      <c r="I6426" s="6" t="n">
        <v>0</v>
      </c>
      <c r="J6426" s="40" t="n">
        <f aca="false">H6426-I6426</f>
        <v>4.22</v>
      </c>
      <c r="K6426" s="41" t="n">
        <v>34</v>
      </c>
      <c r="L6426" s="42" t="n">
        <f aca="false">J6426*K6426</f>
        <v>143.48</v>
      </c>
      <c r="M6426" s="43" t="n">
        <f aca="false">H6426*17.84*(1+'Chart of Accounts'!$E$67)</f>
        <v>86.201096</v>
      </c>
    </row>
    <row r="6427" customFormat="false" ht="15" hidden="false" customHeight="false" outlineLevel="0" collapsed="false">
      <c r="B6427" s="7" t="s">
        <v>6924</v>
      </c>
      <c r="C6427" s="39" t="n">
        <v>45956</v>
      </c>
      <c r="D6427" s="7" t="s">
        <v>395</v>
      </c>
      <c r="E6427" s="7" t="s">
        <v>156</v>
      </c>
      <c r="F6427" s="7" t="s">
        <v>242</v>
      </c>
      <c r="G6427" s="7" t="s">
        <v>505</v>
      </c>
      <c r="H6427" s="6" t="n">
        <v>4.27</v>
      </c>
      <c r="I6427" s="6" t="n">
        <v>0</v>
      </c>
      <c r="J6427" s="40" t="n">
        <f aca="false">H6427-I6427</f>
        <v>4.27</v>
      </c>
      <c r="K6427" s="41" t="n">
        <v>34</v>
      </c>
      <c r="L6427" s="42" t="n">
        <f aca="false">J6427*K6427</f>
        <v>145.18</v>
      </c>
      <c r="M6427" s="43" t="n">
        <f aca="false">H6427*17.99*(1+'Chart of Accounts'!$E$67)</f>
        <v>87.9558085</v>
      </c>
    </row>
    <row r="6428" customFormat="false" ht="15" hidden="false" customHeight="false" outlineLevel="0" collapsed="false">
      <c r="B6428" s="7" t="s">
        <v>6925</v>
      </c>
      <c r="C6428" s="39" t="n">
        <v>45956</v>
      </c>
      <c r="D6428" s="7" t="s">
        <v>401</v>
      </c>
      <c r="E6428" s="7" t="s">
        <v>156</v>
      </c>
      <c r="F6428" s="7" t="s">
        <v>254</v>
      </c>
      <c r="G6428" s="7" t="s">
        <v>505</v>
      </c>
      <c r="H6428" s="6" t="n">
        <v>3.63</v>
      </c>
      <c r="I6428" s="6" t="n">
        <v>0</v>
      </c>
      <c r="J6428" s="40" t="n">
        <f aca="false">H6428-I6428</f>
        <v>3.63</v>
      </c>
      <c r="K6428" s="41" t="n">
        <v>34</v>
      </c>
      <c r="L6428" s="42" t="n">
        <f aca="false">J6428*K6428</f>
        <v>123.42</v>
      </c>
      <c r="M6428" s="43" t="n">
        <f aca="false">H6428*17.1*(1+'Chart of Accounts'!$E$67)</f>
        <v>71.073585</v>
      </c>
    </row>
    <row r="6429" customFormat="false" ht="15" hidden="false" customHeight="false" outlineLevel="0" collapsed="false">
      <c r="B6429" s="7" t="s">
        <v>6926</v>
      </c>
      <c r="C6429" s="39" t="n">
        <v>45957</v>
      </c>
      <c r="D6429" s="7" t="s">
        <v>288</v>
      </c>
      <c r="E6429" s="7" t="s">
        <v>156</v>
      </c>
      <c r="F6429" s="7" t="s">
        <v>220</v>
      </c>
      <c r="G6429" s="7" t="s">
        <v>505</v>
      </c>
      <c r="H6429" s="6" t="n">
        <v>4.01</v>
      </c>
      <c r="I6429" s="6" t="n">
        <v>0</v>
      </c>
      <c r="J6429" s="40" t="n">
        <f aca="false">H6429-I6429</f>
        <v>4.01</v>
      </c>
      <c r="K6429" s="41" t="n">
        <v>34</v>
      </c>
      <c r="L6429" s="42" t="n">
        <f aca="false">J6429*K6429</f>
        <v>136.34</v>
      </c>
      <c r="M6429" s="43" t="n">
        <f aca="false">H6429*16.43*(1+'Chart of Accounts'!$E$67)</f>
        <v>75.4375235</v>
      </c>
    </row>
    <row r="6430" customFormat="false" ht="15" hidden="false" customHeight="false" outlineLevel="0" collapsed="false">
      <c r="B6430" s="7" t="s">
        <v>6927</v>
      </c>
      <c r="C6430" s="39" t="n">
        <v>45957</v>
      </c>
      <c r="D6430" s="7" t="s">
        <v>291</v>
      </c>
      <c r="E6430" s="7" t="s">
        <v>154</v>
      </c>
      <c r="F6430" s="7" t="s">
        <v>194</v>
      </c>
      <c r="G6430" s="7" t="s">
        <v>505</v>
      </c>
      <c r="H6430" s="6" t="n">
        <v>4.21</v>
      </c>
      <c r="I6430" s="6" t="n">
        <v>0</v>
      </c>
      <c r="J6430" s="40" t="n">
        <f aca="false">H6430-I6430</f>
        <v>4.21</v>
      </c>
      <c r="K6430" s="41" t="n">
        <v>26.5</v>
      </c>
      <c r="L6430" s="42" t="n">
        <f aca="false">J6430*K6430</f>
        <v>111.565</v>
      </c>
      <c r="M6430" s="43" t="n">
        <f aca="false">H6430*16*(1+'Chart of Accounts'!$E$67)</f>
        <v>77.1272</v>
      </c>
    </row>
    <row r="6431" customFormat="false" ht="15" hidden="false" customHeight="false" outlineLevel="0" collapsed="false">
      <c r="B6431" s="7" t="s">
        <v>6928</v>
      </c>
      <c r="C6431" s="39" t="n">
        <v>45957</v>
      </c>
      <c r="D6431" s="7" t="s">
        <v>295</v>
      </c>
      <c r="E6431" s="7" t="s">
        <v>154</v>
      </c>
      <c r="F6431" s="7" t="s">
        <v>214</v>
      </c>
      <c r="G6431" s="7" t="s">
        <v>505</v>
      </c>
      <c r="H6431" s="6" t="n">
        <v>3.78</v>
      </c>
      <c r="I6431" s="6" t="n">
        <v>0</v>
      </c>
      <c r="J6431" s="40" t="n">
        <f aca="false">H6431-I6431</f>
        <v>3.78</v>
      </c>
      <c r="K6431" s="41" t="n">
        <v>26.5</v>
      </c>
      <c r="L6431" s="42" t="n">
        <f aca="false">J6431*K6431</f>
        <v>100.17</v>
      </c>
      <c r="M6431" s="43" t="n">
        <f aca="false">H6431*15.67*(1+'Chart of Accounts'!$E$67)</f>
        <v>67.821327</v>
      </c>
    </row>
    <row r="6432" customFormat="false" ht="15" hidden="false" customHeight="false" outlineLevel="0" collapsed="false">
      <c r="B6432" s="7" t="s">
        <v>6929</v>
      </c>
      <c r="C6432" s="39" t="n">
        <v>45957</v>
      </c>
      <c r="D6432" s="7" t="s">
        <v>297</v>
      </c>
      <c r="E6432" s="7" t="s">
        <v>156</v>
      </c>
      <c r="F6432" s="7" t="s">
        <v>201</v>
      </c>
      <c r="G6432" s="7" t="s">
        <v>505</v>
      </c>
      <c r="H6432" s="6" t="n">
        <v>2.89</v>
      </c>
      <c r="I6432" s="6" t="n">
        <v>0</v>
      </c>
      <c r="J6432" s="40" t="n">
        <f aca="false">H6432-I6432</f>
        <v>2.89</v>
      </c>
      <c r="K6432" s="41" t="n">
        <v>34</v>
      </c>
      <c r="L6432" s="42" t="n">
        <f aca="false">J6432*K6432</f>
        <v>98.26</v>
      </c>
      <c r="M6432" s="43" t="n">
        <f aca="false">H6432*15.19*(1+'Chart of Accounts'!$E$67)</f>
        <v>50.2644695</v>
      </c>
    </row>
    <row r="6433" customFormat="false" ht="15" hidden="false" customHeight="false" outlineLevel="0" collapsed="false">
      <c r="B6433" s="7" t="s">
        <v>6930</v>
      </c>
      <c r="C6433" s="39" t="n">
        <v>45957</v>
      </c>
      <c r="D6433" s="7" t="s">
        <v>303</v>
      </c>
      <c r="E6433" s="7" t="s">
        <v>154</v>
      </c>
      <c r="F6433" s="7" t="s">
        <v>240</v>
      </c>
      <c r="G6433" s="7" t="s">
        <v>505</v>
      </c>
      <c r="H6433" s="6" t="n">
        <v>3.67</v>
      </c>
      <c r="I6433" s="6" t="n">
        <v>0</v>
      </c>
      <c r="J6433" s="40" t="n">
        <f aca="false">H6433-I6433</f>
        <v>3.67</v>
      </c>
      <c r="K6433" s="41" t="n">
        <v>26.5</v>
      </c>
      <c r="L6433" s="42" t="n">
        <f aca="false">J6433*K6433</f>
        <v>97.255</v>
      </c>
      <c r="M6433" s="43" t="n">
        <f aca="false">H6433*16.96*(1+'Chart of Accounts'!$E$67)</f>
        <v>71.268464</v>
      </c>
    </row>
    <row r="6434" customFormat="false" ht="15" hidden="false" customHeight="false" outlineLevel="0" collapsed="false">
      <c r="B6434" s="7" t="s">
        <v>6931</v>
      </c>
      <c r="C6434" s="39" t="n">
        <v>45957</v>
      </c>
      <c r="D6434" s="7" t="s">
        <v>305</v>
      </c>
      <c r="E6434" s="7" t="s">
        <v>154</v>
      </c>
      <c r="F6434" s="7" t="s">
        <v>205</v>
      </c>
      <c r="G6434" s="7" t="s">
        <v>505</v>
      </c>
      <c r="H6434" s="6" t="n">
        <v>4.22</v>
      </c>
      <c r="I6434" s="6" t="n">
        <v>0</v>
      </c>
      <c r="J6434" s="40" t="n">
        <f aca="false">H6434-I6434</f>
        <v>4.22</v>
      </c>
      <c r="K6434" s="41" t="n">
        <v>26.5</v>
      </c>
      <c r="L6434" s="42" t="n">
        <f aca="false">J6434*K6434</f>
        <v>111.83</v>
      </c>
      <c r="M6434" s="43" t="n">
        <f aca="false">H6434*16.36*(1+'Chart of Accounts'!$E$67)</f>
        <v>79.049884</v>
      </c>
    </row>
    <row r="6435" customFormat="false" ht="15" hidden="false" customHeight="false" outlineLevel="0" collapsed="false">
      <c r="B6435" s="7" t="s">
        <v>6932</v>
      </c>
      <c r="C6435" s="39" t="n">
        <v>45957</v>
      </c>
      <c r="D6435" s="7" t="s">
        <v>307</v>
      </c>
      <c r="E6435" s="7" t="s">
        <v>157</v>
      </c>
      <c r="F6435" s="7" t="s">
        <v>264</v>
      </c>
      <c r="G6435" s="7" t="s">
        <v>502</v>
      </c>
      <c r="H6435" s="6" t="n">
        <v>0.91</v>
      </c>
      <c r="I6435" s="6" t="n">
        <v>0</v>
      </c>
      <c r="J6435" s="40" t="n">
        <f aca="false">H6435-I6435</f>
        <v>0.91</v>
      </c>
      <c r="K6435" s="41" t="n">
        <v>165</v>
      </c>
      <c r="L6435" s="42" t="n">
        <f aca="false">J6435*K6435</f>
        <v>150.15</v>
      </c>
      <c r="M6435" s="43" t="n">
        <f aca="false">H6435*55.55*(1+'Chart of Accounts'!$E$67)</f>
        <v>57.8803225</v>
      </c>
    </row>
    <row r="6436" customFormat="false" ht="15" hidden="false" customHeight="false" outlineLevel="0" collapsed="false">
      <c r="B6436" s="7" t="s">
        <v>6933</v>
      </c>
      <c r="C6436" s="39" t="n">
        <v>45957</v>
      </c>
      <c r="D6436" s="7" t="s">
        <v>309</v>
      </c>
      <c r="E6436" s="7" t="s">
        <v>159</v>
      </c>
      <c r="F6436" s="7" t="s">
        <v>252</v>
      </c>
      <c r="G6436" s="7" t="s">
        <v>502</v>
      </c>
      <c r="H6436" s="6" t="n">
        <v>0.92</v>
      </c>
      <c r="I6436" s="6" t="n">
        <v>0.064</v>
      </c>
      <c r="J6436" s="40" t="n">
        <f aca="false">H6436-I6436</f>
        <v>0.856</v>
      </c>
      <c r="K6436" s="41" t="n">
        <v>135</v>
      </c>
      <c r="L6436" s="42" t="n">
        <f aca="false">J6436*K6436</f>
        <v>115.56</v>
      </c>
      <c r="M6436" s="43" t="n">
        <f aca="false">H6436*57.54*(1+'Chart of Accounts'!$E$67)</f>
        <v>60.612636</v>
      </c>
    </row>
    <row r="6437" customFormat="false" ht="15" hidden="false" customHeight="false" outlineLevel="0" collapsed="false">
      <c r="B6437" s="7" t="s">
        <v>6934</v>
      </c>
      <c r="C6437" s="39" t="n">
        <v>45957</v>
      </c>
      <c r="D6437" s="7" t="s">
        <v>311</v>
      </c>
      <c r="E6437" s="7" t="s">
        <v>154</v>
      </c>
      <c r="F6437" s="7" t="s">
        <v>196</v>
      </c>
      <c r="G6437" s="7" t="s">
        <v>505</v>
      </c>
      <c r="H6437" s="6" t="n">
        <v>2.99</v>
      </c>
      <c r="I6437" s="6" t="n">
        <v>0</v>
      </c>
      <c r="J6437" s="40" t="n">
        <f aca="false">H6437-I6437</f>
        <v>2.99</v>
      </c>
      <c r="K6437" s="41" t="n">
        <v>26.5</v>
      </c>
      <c r="L6437" s="42" t="n">
        <f aca="false">J6437*K6437</f>
        <v>79.235</v>
      </c>
      <c r="M6437" s="43" t="n">
        <f aca="false">H6437*15.05*(1+'Chart of Accounts'!$E$67)</f>
        <v>51.5244275</v>
      </c>
    </row>
    <row r="6438" customFormat="false" ht="15" hidden="false" customHeight="false" outlineLevel="0" collapsed="false">
      <c r="B6438" s="7" t="s">
        <v>6935</v>
      </c>
      <c r="C6438" s="39" t="n">
        <v>45957</v>
      </c>
      <c r="D6438" s="7" t="s">
        <v>313</v>
      </c>
      <c r="E6438" s="7" t="s">
        <v>156</v>
      </c>
      <c r="F6438" s="7" t="s">
        <v>184</v>
      </c>
      <c r="G6438" s="7" t="s">
        <v>505</v>
      </c>
      <c r="H6438" s="6" t="n">
        <v>3.68</v>
      </c>
      <c r="I6438" s="6" t="n">
        <v>0</v>
      </c>
      <c r="J6438" s="40" t="n">
        <f aca="false">H6438-I6438</f>
        <v>3.68</v>
      </c>
      <c r="K6438" s="41" t="n">
        <v>34</v>
      </c>
      <c r="L6438" s="42" t="n">
        <f aca="false">J6438*K6438</f>
        <v>125.12</v>
      </c>
      <c r="M6438" s="43" t="n">
        <f aca="false">H6438*17.34*(1+'Chart of Accounts'!$E$67)</f>
        <v>73.063824</v>
      </c>
    </row>
    <row r="6439" customFormat="false" ht="15" hidden="false" customHeight="false" outlineLevel="0" collapsed="false">
      <c r="B6439" s="7" t="s">
        <v>6936</v>
      </c>
      <c r="C6439" s="39" t="n">
        <v>45957</v>
      </c>
      <c r="D6439" s="7" t="s">
        <v>315</v>
      </c>
      <c r="E6439" s="7" t="s">
        <v>159</v>
      </c>
      <c r="F6439" s="7" t="s">
        <v>216</v>
      </c>
      <c r="G6439" s="7" t="s">
        <v>502</v>
      </c>
      <c r="H6439" s="6" t="n">
        <v>1.08</v>
      </c>
      <c r="I6439" s="6" t="n">
        <v>0</v>
      </c>
      <c r="J6439" s="40" t="n">
        <f aca="false">H6439-I6439</f>
        <v>1.08</v>
      </c>
      <c r="K6439" s="41" t="n">
        <v>135</v>
      </c>
      <c r="L6439" s="42" t="n">
        <f aca="false">J6439*K6439</f>
        <v>145.8</v>
      </c>
      <c r="M6439" s="43" t="n">
        <f aca="false">H6439*61.79*(1+'Chart of Accounts'!$E$67)</f>
        <v>76.409514</v>
      </c>
    </row>
    <row r="6440" customFormat="false" ht="15" hidden="false" customHeight="false" outlineLevel="0" collapsed="false">
      <c r="B6440" s="7" t="s">
        <v>6937</v>
      </c>
      <c r="C6440" s="39" t="n">
        <v>45957</v>
      </c>
      <c r="D6440" s="7" t="s">
        <v>317</v>
      </c>
      <c r="E6440" s="7" t="s">
        <v>156</v>
      </c>
      <c r="F6440" s="7" t="s">
        <v>194</v>
      </c>
      <c r="G6440" s="7" t="s">
        <v>505</v>
      </c>
      <c r="H6440" s="6" t="n">
        <v>2.73</v>
      </c>
      <c r="I6440" s="6" t="n">
        <v>0</v>
      </c>
      <c r="J6440" s="40" t="n">
        <f aca="false">H6440-I6440</f>
        <v>2.73</v>
      </c>
      <c r="K6440" s="41" t="n">
        <v>34</v>
      </c>
      <c r="L6440" s="42" t="n">
        <f aca="false">J6440*K6440</f>
        <v>92.82</v>
      </c>
      <c r="M6440" s="43" t="n">
        <f aca="false">H6440*16*(1+'Chart of Accounts'!$E$67)</f>
        <v>50.0136</v>
      </c>
    </row>
    <row r="6441" customFormat="false" ht="15" hidden="false" customHeight="false" outlineLevel="0" collapsed="false">
      <c r="B6441" s="7" t="s">
        <v>6938</v>
      </c>
      <c r="C6441" s="39" t="n">
        <v>45957</v>
      </c>
      <c r="D6441" s="7" t="s">
        <v>321</v>
      </c>
      <c r="E6441" s="7" t="s">
        <v>154</v>
      </c>
      <c r="F6441" s="7" t="s">
        <v>218</v>
      </c>
      <c r="G6441" s="7" t="s">
        <v>505</v>
      </c>
      <c r="H6441" s="6" t="n">
        <v>3.96</v>
      </c>
      <c r="I6441" s="6" t="n">
        <v>0</v>
      </c>
      <c r="J6441" s="40" t="n">
        <f aca="false">H6441-I6441</f>
        <v>3.96</v>
      </c>
      <c r="K6441" s="41" t="n">
        <v>26.5</v>
      </c>
      <c r="L6441" s="42" t="n">
        <f aca="false">J6441*K6441</f>
        <v>104.94</v>
      </c>
      <c r="M6441" s="43" t="n">
        <f aca="false">H6441*16.19*(1+'Chart of Accounts'!$E$67)</f>
        <v>73.408698</v>
      </c>
    </row>
    <row r="6442" customFormat="false" ht="15" hidden="false" customHeight="false" outlineLevel="0" collapsed="false">
      <c r="B6442" s="7" t="s">
        <v>6939</v>
      </c>
      <c r="C6442" s="39" t="n">
        <v>45957</v>
      </c>
      <c r="D6442" s="7" t="s">
        <v>325</v>
      </c>
      <c r="E6442" s="7" t="s">
        <v>154</v>
      </c>
      <c r="F6442" s="7" t="s">
        <v>238</v>
      </c>
      <c r="G6442" s="7" t="s">
        <v>505</v>
      </c>
      <c r="H6442" s="6" t="n">
        <v>3.23</v>
      </c>
      <c r="I6442" s="6" t="n">
        <v>0</v>
      </c>
      <c r="J6442" s="40" t="n">
        <f aca="false">H6442-I6442</f>
        <v>3.23</v>
      </c>
      <c r="K6442" s="41" t="n">
        <v>26.5</v>
      </c>
      <c r="L6442" s="42" t="n">
        <f aca="false">J6442*K6442</f>
        <v>85.595</v>
      </c>
      <c r="M6442" s="43" t="n">
        <f aca="false">H6442*15.85*(1+'Chart of Accounts'!$E$67)</f>
        <v>58.6188475</v>
      </c>
    </row>
    <row r="6443" customFormat="false" ht="15" hidden="false" customHeight="false" outlineLevel="0" collapsed="false">
      <c r="B6443" s="7" t="s">
        <v>6940</v>
      </c>
      <c r="C6443" s="39" t="n">
        <v>45957</v>
      </c>
      <c r="D6443" s="7" t="s">
        <v>329</v>
      </c>
      <c r="E6443" s="7" t="s">
        <v>156</v>
      </c>
      <c r="F6443" s="7" t="s">
        <v>220</v>
      </c>
      <c r="G6443" s="7" t="s">
        <v>505</v>
      </c>
      <c r="H6443" s="6" t="n">
        <v>3.71</v>
      </c>
      <c r="I6443" s="6" t="n">
        <v>0</v>
      </c>
      <c r="J6443" s="40" t="n">
        <f aca="false">H6443-I6443</f>
        <v>3.71</v>
      </c>
      <c r="K6443" s="41" t="n">
        <v>34</v>
      </c>
      <c r="L6443" s="42" t="n">
        <f aca="false">J6443*K6443</f>
        <v>126.14</v>
      </c>
      <c r="M6443" s="43" t="n">
        <f aca="false">H6443*16.43*(1+'Chart of Accounts'!$E$67)</f>
        <v>69.7938185</v>
      </c>
    </row>
    <row r="6444" customFormat="false" ht="15" hidden="false" customHeight="false" outlineLevel="0" collapsed="false">
      <c r="B6444" s="7" t="s">
        <v>6941</v>
      </c>
      <c r="C6444" s="39" t="n">
        <v>45957</v>
      </c>
      <c r="D6444" s="7" t="s">
        <v>331</v>
      </c>
      <c r="E6444" s="7" t="s">
        <v>156</v>
      </c>
      <c r="F6444" s="7" t="s">
        <v>224</v>
      </c>
      <c r="G6444" s="7" t="s">
        <v>505</v>
      </c>
      <c r="H6444" s="6" t="n">
        <v>3.92</v>
      </c>
      <c r="I6444" s="6" t="n">
        <v>0</v>
      </c>
      <c r="J6444" s="40" t="n">
        <f aca="false">H6444-I6444</f>
        <v>3.92</v>
      </c>
      <c r="K6444" s="41" t="n">
        <v>34</v>
      </c>
      <c r="L6444" s="42" t="n">
        <f aca="false">J6444*K6444</f>
        <v>133.28</v>
      </c>
      <c r="M6444" s="43" t="n">
        <f aca="false">H6444*14.93*(1+'Chart of Accounts'!$E$67)</f>
        <v>67.011812</v>
      </c>
    </row>
    <row r="6445" customFormat="false" ht="15" hidden="false" customHeight="false" outlineLevel="0" collapsed="false">
      <c r="B6445" s="7" t="s">
        <v>6942</v>
      </c>
      <c r="C6445" s="39" t="n">
        <v>45957</v>
      </c>
      <c r="D6445" s="7" t="s">
        <v>333</v>
      </c>
      <c r="E6445" s="7" t="s">
        <v>154</v>
      </c>
      <c r="F6445" s="7" t="s">
        <v>236</v>
      </c>
      <c r="G6445" s="7" t="s">
        <v>505</v>
      </c>
      <c r="H6445" s="6" t="n">
        <v>3.52</v>
      </c>
      <c r="I6445" s="6" t="n">
        <v>0</v>
      </c>
      <c r="J6445" s="40" t="n">
        <f aca="false">H6445-I6445</f>
        <v>3.52</v>
      </c>
      <c r="K6445" s="41" t="n">
        <v>26.5</v>
      </c>
      <c r="L6445" s="42" t="n">
        <f aca="false">J6445*K6445</f>
        <v>93.28</v>
      </c>
      <c r="M6445" s="43" t="n">
        <f aca="false">H6445*15.49*(1+'Chart of Accounts'!$E$67)</f>
        <v>62.430896</v>
      </c>
    </row>
    <row r="6446" customFormat="false" ht="15" hidden="false" customHeight="false" outlineLevel="0" collapsed="false">
      <c r="B6446" s="7" t="s">
        <v>6943</v>
      </c>
      <c r="C6446" s="39" t="n">
        <v>45957</v>
      </c>
      <c r="D6446" s="7" t="s">
        <v>335</v>
      </c>
      <c r="E6446" s="7" t="s">
        <v>154</v>
      </c>
      <c r="F6446" s="7" t="s">
        <v>177</v>
      </c>
      <c r="G6446" s="7" t="s">
        <v>505</v>
      </c>
      <c r="H6446" s="6" t="n">
        <v>4.16</v>
      </c>
      <c r="I6446" s="6" t="n">
        <v>0</v>
      </c>
      <c r="J6446" s="40" t="n">
        <f aca="false">H6446-I6446</f>
        <v>4.16</v>
      </c>
      <c r="K6446" s="41" t="n">
        <v>26.5</v>
      </c>
      <c r="L6446" s="42" t="n">
        <f aca="false">J6446*K6446</f>
        <v>110.24</v>
      </c>
      <c r="M6446" s="43" t="n">
        <f aca="false">H6446*14.56*(1+'Chart of Accounts'!$E$67)</f>
        <v>69.352192</v>
      </c>
    </row>
    <row r="6447" customFormat="false" ht="15" hidden="false" customHeight="false" outlineLevel="0" collapsed="false">
      <c r="B6447" s="7" t="s">
        <v>6944</v>
      </c>
      <c r="C6447" s="39" t="n">
        <v>45957</v>
      </c>
      <c r="D6447" s="7" t="s">
        <v>339</v>
      </c>
      <c r="E6447" s="7" t="s">
        <v>154</v>
      </c>
      <c r="F6447" s="7" t="s">
        <v>242</v>
      </c>
      <c r="G6447" s="7" t="s">
        <v>505</v>
      </c>
      <c r="H6447" s="6" t="n">
        <v>3.5</v>
      </c>
      <c r="I6447" s="6" t="n">
        <v>0</v>
      </c>
      <c r="J6447" s="40" t="n">
        <f aca="false">H6447-I6447</f>
        <v>3.5</v>
      </c>
      <c r="K6447" s="41" t="n">
        <v>26.5</v>
      </c>
      <c r="L6447" s="42" t="n">
        <f aca="false">J6447*K6447</f>
        <v>92.75</v>
      </c>
      <c r="M6447" s="43" t="n">
        <f aca="false">H6447*17.99*(1+'Chart of Accounts'!$E$67)</f>
        <v>72.094925</v>
      </c>
    </row>
    <row r="6448" customFormat="false" ht="15" hidden="false" customHeight="false" outlineLevel="0" collapsed="false">
      <c r="B6448" s="7" t="s">
        <v>6945</v>
      </c>
      <c r="C6448" s="39" t="n">
        <v>45957</v>
      </c>
      <c r="D6448" s="7" t="s">
        <v>341</v>
      </c>
      <c r="E6448" s="7" t="s">
        <v>156</v>
      </c>
      <c r="F6448" s="7" t="s">
        <v>222</v>
      </c>
      <c r="G6448" s="7" t="s">
        <v>505</v>
      </c>
      <c r="H6448" s="6" t="n">
        <v>2.79</v>
      </c>
      <c r="I6448" s="6" t="n">
        <v>0</v>
      </c>
      <c r="J6448" s="40" t="n">
        <f aca="false">H6448-I6448</f>
        <v>2.79</v>
      </c>
      <c r="K6448" s="41" t="n">
        <v>34</v>
      </c>
      <c r="L6448" s="42" t="n">
        <f aca="false">J6448*K6448</f>
        <v>94.86</v>
      </c>
      <c r="M6448" s="43" t="n">
        <f aca="false">H6448*17.84*(1+'Chart of Accounts'!$E$67)</f>
        <v>56.990772</v>
      </c>
    </row>
    <row r="6449" customFormat="false" ht="15" hidden="false" customHeight="false" outlineLevel="0" collapsed="false">
      <c r="B6449" s="7" t="s">
        <v>6946</v>
      </c>
      <c r="C6449" s="39" t="n">
        <v>45957</v>
      </c>
      <c r="D6449" s="7" t="s">
        <v>343</v>
      </c>
      <c r="E6449" s="7" t="s">
        <v>154</v>
      </c>
      <c r="F6449" s="7" t="s">
        <v>244</v>
      </c>
      <c r="G6449" s="7" t="s">
        <v>505</v>
      </c>
      <c r="H6449" s="6" t="n">
        <v>4.06</v>
      </c>
      <c r="I6449" s="6" t="n">
        <v>0</v>
      </c>
      <c r="J6449" s="40" t="n">
        <f aca="false">H6449-I6449</f>
        <v>4.06</v>
      </c>
      <c r="K6449" s="41" t="n">
        <v>26.5</v>
      </c>
      <c r="L6449" s="42" t="n">
        <f aca="false">J6449*K6449</f>
        <v>107.59</v>
      </c>
      <c r="M6449" s="43" t="n">
        <f aca="false">H6449*16.39*(1+'Chart of Accounts'!$E$67)</f>
        <v>76.192193</v>
      </c>
    </row>
    <row r="6450" customFormat="false" ht="15" hidden="false" customHeight="false" outlineLevel="0" collapsed="false">
      <c r="B6450" s="7" t="s">
        <v>6947</v>
      </c>
      <c r="C6450" s="39" t="n">
        <v>45957</v>
      </c>
      <c r="D6450" s="7" t="s">
        <v>347</v>
      </c>
      <c r="E6450" s="7" t="s">
        <v>154</v>
      </c>
      <c r="F6450" s="7" t="s">
        <v>238</v>
      </c>
      <c r="G6450" s="7" t="s">
        <v>505</v>
      </c>
      <c r="H6450" s="6" t="n">
        <v>4.24</v>
      </c>
      <c r="I6450" s="6" t="n">
        <v>0</v>
      </c>
      <c r="J6450" s="40" t="n">
        <f aca="false">H6450-I6450</f>
        <v>4.24</v>
      </c>
      <c r="K6450" s="41" t="n">
        <v>26.5</v>
      </c>
      <c r="L6450" s="42" t="n">
        <f aca="false">J6450*K6450</f>
        <v>112.36</v>
      </c>
      <c r="M6450" s="43" t="n">
        <f aca="false">H6450*15.85*(1+'Chart of Accounts'!$E$67)</f>
        <v>76.94858</v>
      </c>
    </row>
    <row r="6451" customFormat="false" ht="15" hidden="false" customHeight="false" outlineLevel="0" collapsed="false">
      <c r="B6451" s="7" t="s">
        <v>6948</v>
      </c>
      <c r="C6451" s="39" t="n">
        <v>45957</v>
      </c>
      <c r="D6451" s="7" t="s">
        <v>351</v>
      </c>
      <c r="E6451" s="7" t="s">
        <v>154</v>
      </c>
      <c r="F6451" s="7" t="s">
        <v>201</v>
      </c>
      <c r="G6451" s="7" t="s">
        <v>505</v>
      </c>
      <c r="H6451" s="6" t="n">
        <v>2.92</v>
      </c>
      <c r="I6451" s="6" t="n">
        <v>0</v>
      </c>
      <c r="J6451" s="40" t="n">
        <f aca="false">H6451-I6451</f>
        <v>2.92</v>
      </c>
      <c r="K6451" s="41" t="n">
        <v>26.5</v>
      </c>
      <c r="L6451" s="42" t="n">
        <f aca="false">J6451*K6451</f>
        <v>77.38</v>
      </c>
      <c r="M6451" s="43" t="n">
        <f aca="false">H6451*15.19*(1+'Chart of Accounts'!$E$67)</f>
        <v>50.786246</v>
      </c>
    </row>
    <row r="6452" customFormat="false" ht="15" hidden="false" customHeight="false" outlineLevel="0" collapsed="false">
      <c r="B6452" s="7" t="s">
        <v>6949</v>
      </c>
      <c r="C6452" s="39" t="n">
        <v>45957</v>
      </c>
      <c r="D6452" s="7" t="s">
        <v>353</v>
      </c>
      <c r="E6452" s="7" t="s">
        <v>154</v>
      </c>
      <c r="F6452" s="7" t="s">
        <v>254</v>
      </c>
      <c r="G6452" s="7" t="s">
        <v>505</v>
      </c>
      <c r="H6452" s="6" t="n">
        <v>3.22</v>
      </c>
      <c r="I6452" s="6" t="n">
        <v>0</v>
      </c>
      <c r="J6452" s="40" t="n">
        <f aca="false">H6452-I6452</f>
        <v>3.22</v>
      </c>
      <c r="K6452" s="41" t="n">
        <v>26.5</v>
      </c>
      <c r="L6452" s="42" t="n">
        <f aca="false">J6452*K6452</f>
        <v>85.33</v>
      </c>
      <c r="M6452" s="43" t="n">
        <f aca="false">H6452*17.1*(1+'Chart of Accounts'!$E$67)</f>
        <v>63.04599</v>
      </c>
    </row>
    <row r="6453" customFormat="false" ht="15" hidden="false" customHeight="false" outlineLevel="0" collapsed="false">
      <c r="B6453" s="7" t="s">
        <v>6950</v>
      </c>
      <c r="C6453" s="39" t="n">
        <v>45957</v>
      </c>
      <c r="D6453" s="7" t="s">
        <v>355</v>
      </c>
      <c r="E6453" s="7" t="s">
        <v>154</v>
      </c>
      <c r="F6453" s="7" t="s">
        <v>201</v>
      </c>
      <c r="G6453" s="7" t="s">
        <v>505</v>
      </c>
      <c r="H6453" s="6" t="n">
        <v>3.3</v>
      </c>
      <c r="I6453" s="6" t="n">
        <v>0</v>
      </c>
      <c r="J6453" s="40" t="n">
        <f aca="false">H6453-I6453</f>
        <v>3.3</v>
      </c>
      <c r="K6453" s="41" t="n">
        <v>26.5</v>
      </c>
      <c r="L6453" s="42" t="n">
        <f aca="false">J6453*K6453</f>
        <v>87.45</v>
      </c>
      <c r="M6453" s="43" t="n">
        <f aca="false">H6453*15.19*(1+'Chart of Accounts'!$E$67)</f>
        <v>57.395415</v>
      </c>
    </row>
    <row r="6454" customFormat="false" ht="15" hidden="false" customHeight="false" outlineLevel="0" collapsed="false">
      <c r="B6454" s="7" t="s">
        <v>6951</v>
      </c>
      <c r="C6454" s="39" t="n">
        <v>45957</v>
      </c>
      <c r="D6454" s="7" t="s">
        <v>357</v>
      </c>
      <c r="E6454" s="7" t="s">
        <v>154</v>
      </c>
      <c r="F6454" s="7" t="s">
        <v>242</v>
      </c>
      <c r="G6454" s="7" t="s">
        <v>505</v>
      </c>
      <c r="H6454" s="6" t="n">
        <v>3.16</v>
      </c>
      <c r="I6454" s="6" t="n">
        <v>0</v>
      </c>
      <c r="J6454" s="40" t="n">
        <f aca="false">H6454-I6454</f>
        <v>3.16</v>
      </c>
      <c r="K6454" s="41" t="n">
        <v>26.5</v>
      </c>
      <c r="L6454" s="42" t="n">
        <f aca="false">J6454*K6454</f>
        <v>83.74</v>
      </c>
      <c r="M6454" s="43" t="n">
        <f aca="false">H6454*17.99*(1+'Chart of Accounts'!$E$67)</f>
        <v>65.091418</v>
      </c>
    </row>
    <row r="6455" customFormat="false" ht="15" hidden="false" customHeight="false" outlineLevel="0" collapsed="false">
      <c r="B6455" s="7" t="s">
        <v>6952</v>
      </c>
      <c r="C6455" s="39" t="n">
        <v>45957</v>
      </c>
      <c r="D6455" s="7" t="s">
        <v>363</v>
      </c>
      <c r="E6455" s="7" t="s">
        <v>156</v>
      </c>
      <c r="F6455" s="7" t="s">
        <v>246</v>
      </c>
      <c r="G6455" s="7" t="s">
        <v>505</v>
      </c>
      <c r="H6455" s="6" t="n">
        <v>3.98</v>
      </c>
      <c r="I6455" s="6" t="n">
        <v>0</v>
      </c>
      <c r="J6455" s="40" t="n">
        <f aca="false">H6455-I6455</f>
        <v>3.98</v>
      </c>
      <c r="K6455" s="41" t="n">
        <v>34</v>
      </c>
      <c r="L6455" s="42" t="n">
        <f aca="false">J6455*K6455</f>
        <v>135.32</v>
      </c>
      <c r="M6455" s="43" t="n">
        <f aca="false">H6455*16.48*(1+'Chart of Accounts'!$E$67)</f>
        <v>75.101008</v>
      </c>
    </row>
    <row r="6456" customFormat="false" ht="15" hidden="false" customHeight="false" outlineLevel="0" collapsed="false">
      <c r="B6456" s="7" t="s">
        <v>6953</v>
      </c>
      <c r="C6456" s="39" t="n">
        <v>45957</v>
      </c>
      <c r="D6456" s="7" t="s">
        <v>365</v>
      </c>
      <c r="E6456" s="7" t="s">
        <v>154</v>
      </c>
      <c r="F6456" s="7" t="s">
        <v>194</v>
      </c>
      <c r="G6456" s="7" t="s">
        <v>505</v>
      </c>
      <c r="H6456" s="6" t="n">
        <v>4.04</v>
      </c>
      <c r="I6456" s="6" t="n">
        <v>0</v>
      </c>
      <c r="J6456" s="40" t="n">
        <f aca="false">H6456-I6456</f>
        <v>4.04</v>
      </c>
      <c r="K6456" s="41" t="n">
        <v>26.5</v>
      </c>
      <c r="L6456" s="42" t="n">
        <f aca="false">J6456*K6456</f>
        <v>107.06</v>
      </c>
      <c r="M6456" s="43" t="n">
        <f aca="false">H6456*16*(1+'Chart of Accounts'!$E$67)</f>
        <v>74.0128</v>
      </c>
    </row>
    <row r="6457" customFormat="false" ht="15" hidden="false" customHeight="false" outlineLevel="0" collapsed="false">
      <c r="B6457" s="7" t="s">
        <v>6954</v>
      </c>
      <c r="C6457" s="39" t="n">
        <v>45957</v>
      </c>
      <c r="D6457" s="7" t="s">
        <v>371</v>
      </c>
      <c r="E6457" s="7" t="s">
        <v>154</v>
      </c>
      <c r="F6457" s="7" t="s">
        <v>232</v>
      </c>
      <c r="G6457" s="7" t="s">
        <v>505</v>
      </c>
      <c r="H6457" s="6" t="n">
        <v>4.59</v>
      </c>
      <c r="I6457" s="6" t="n">
        <v>0</v>
      </c>
      <c r="J6457" s="40" t="n">
        <f aca="false">H6457-I6457</f>
        <v>4.59</v>
      </c>
      <c r="K6457" s="41" t="n">
        <v>26.5</v>
      </c>
      <c r="L6457" s="42" t="n">
        <f aca="false">J6457*K6457</f>
        <v>121.635</v>
      </c>
      <c r="M6457" s="43" t="n">
        <f aca="false">H6457*16.17*(1+'Chart of Accounts'!$E$67)</f>
        <v>84.9822435</v>
      </c>
    </row>
    <row r="6458" customFormat="false" ht="15" hidden="false" customHeight="false" outlineLevel="0" collapsed="false">
      <c r="B6458" s="7" t="s">
        <v>6955</v>
      </c>
      <c r="C6458" s="39" t="n">
        <v>45957</v>
      </c>
      <c r="D6458" s="7" t="s">
        <v>375</v>
      </c>
      <c r="E6458" s="7" t="s">
        <v>156</v>
      </c>
      <c r="F6458" s="7" t="s">
        <v>196</v>
      </c>
      <c r="G6458" s="7" t="s">
        <v>505</v>
      </c>
      <c r="H6458" s="6" t="n">
        <v>3.04</v>
      </c>
      <c r="I6458" s="6" t="n">
        <v>0</v>
      </c>
      <c r="J6458" s="40" t="n">
        <f aca="false">H6458-I6458</f>
        <v>3.04</v>
      </c>
      <c r="K6458" s="41" t="n">
        <v>34</v>
      </c>
      <c r="L6458" s="42" t="n">
        <f aca="false">J6458*K6458</f>
        <v>103.36</v>
      </c>
      <c r="M6458" s="43" t="n">
        <f aca="false">H6458*15.05*(1+'Chart of Accounts'!$E$67)</f>
        <v>52.38604</v>
      </c>
    </row>
    <row r="6459" customFormat="false" ht="15" hidden="false" customHeight="false" outlineLevel="0" collapsed="false">
      <c r="B6459" s="7" t="s">
        <v>6956</v>
      </c>
      <c r="C6459" s="39" t="n">
        <v>45957</v>
      </c>
      <c r="D6459" s="7" t="s">
        <v>377</v>
      </c>
      <c r="E6459" s="7" t="s">
        <v>154</v>
      </c>
      <c r="F6459" s="7" t="s">
        <v>214</v>
      </c>
      <c r="G6459" s="7" t="s">
        <v>505</v>
      </c>
      <c r="H6459" s="6" t="n">
        <v>3.61</v>
      </c>
      <c r="I6459" s="6" t="n">
        <v>0</v>
      </c>
      <c r="J6459" s="40" t="n">
        <f aca="false">H6459-I6459</f>
        <v>3.61</v>
      </c>
      <c r="K6459" s="41" t="n">
        <v>26.5</v>
      </c>
      <c r="L6459" s="42" t="n">
        <f aca="false">J6459*K6459</f>
        <v>95.665</v>
      </c>
      <c r="M6459" s="43" t="n">
        <f aca="false">H6459*15.67*(1+'Chart of Accounts'!$E$67)</f>
        <v>64.7711615</v>
      </c>
    </row>
    <row r="6460" customFormat="false" ht="15" hidden="false" customHeight="false" outlineLevel="0" collapsed="false">
      <c r="B6460" s="7" t="s">
        <v>6957</v>
      </c>
      <c r="C6460" s="39" t="n">
        <v>45957</v>
      </c>
      <c r="D6460" s="7" t="s">
        <v>379</v>
      </c>
      <c r="E6460" s="7" t="s">
        <v>156</v>
      </c>
      <c r="F6460" s="7" t="s">
        <v>224</v>
      </c>
      <c r="G6460" s="7" t="s">
        <v>505</v>
      </c>
      <c r="H6460" s="6" t="n">
        <v>4.67</v>
      </c>
      <c r="I6460" s="6" t="n">
        <v>0</v>
      </c>
      <c r="J6460" s="40" t="n">
        <f aca="false">H6460-I6460</f>
        <v>4.67</v>
      </c>
      <c r="K6460" s="41" t="n">
        <v>34</v>
      </c>
      <c r="L6460" s="42" t="n">
        <f aca="false">J6460*K6460</f>
        <v>158.78</v>
      </c>
      <c r="M6460" s="43" t="n">
        <f aca="false">H6460*14.93*(1+'Chart of Accounts'!$E$67)</f>
        <v>79.8329495</v>
      </c>
    </row>
    <row r="6461" customFormat="false" ht="15" hidden="false" customHeight="false" outlineLevel="0" collapsed="false">
      <c r="B6461" s="7" t="s">
        <v>6958</v>
      </c>
      <c r="C6461" s="39" t="n">
        <v>45957</v>
      </c>
      <c r="D6461" s="7" t="s">
        <v>385</v>
      </c>
      <c r="E6461" s="7" t="s">
        <v>156</v>
      </c>
      <c r="F6461" s="7" t="s">
        <v>238</v>
      </c>
      <c r="G6461" s="7" t="s">
        <v>505</v>
      </c>
      <c r="H6461" s="6" t="n">
        <v>3.86</v>
      </c>
      <c r="I6461" s="6" t="n">
        <v>0</v>
      </c>
      <c r="J6461" s="40" t="n">
        <f aca="false">H6461-I6461</f>
        <v>3.86</v>
      </c>
      <c r="K6461" s="41" t="n">
        <v>34</v>
      </c>
      <c r="L6461" s="42" t="n">
        <f aca="false">J6461*K6461</f>
        <v>131.24</v>
      </c>
      <c r="M6461" s="43" t="n">
        <f aca="false">H6461*15.85*(1+'Chart of Accounts'!$E$67)</f>
        <v>70.052245</v>
      </c>
    </row>
    <row r="6462" customFormat="false" ht="15" hidden="false" customHeight="false" outlineLevel="0" collapsed="false">
      <c r="B6462" s="7" t="s">
        <v>6959</v>
      </c>
      <c r="C6462" s="39" t="n">
        <v>45957</v>
      </c>
      <c r="D6462" s="7" t="s">
        <v>387</v>
      </c>
      <c r="E6462" s="7" t="s">
        <v>154</v>
      </c>
      <c r="F6462" s="7" t="s">
        <v>196</v>
      </c>
      <c r="G6462" s="7" t="s">
        <v>505</v>
      </c>
      <c r="H6462" s="6" t="n">
        <v>3.91</v>
      </c>
      <c r="I6462" s="6" t="n">
        <v>0</v>
      </c>
      <c r="J6462" s="40" t="n">
        <f aca="false">H6462-I6462</f>
        <v>3.91</v>
      </c>
      <c r="K6462" s="41" t="n">
        <v>26.5</v>
      </c>
      <c r="L6462" s="42" t="n">
        <f aca="false">J6462*K6462</f>
        <v>103.615</v>
      </c>
      <c r="M6462" s="43" t="n">
        <f aca="false">H6462*15.05*(1+'Chart of Accounts'!$E$67)</f>
        <v>67.3780975</v>
      </c>
    </row>
    <row r="6463" customFormat="false" ht="15" hidden="false" customHeight="false" outlineLevel="0" collapsed="false">
      <c r="B6463" s="7" t="s">
        <v>6960</v>
      </c>
      <c r="C6463" s="39" t="n">
        <v>45957</v>
      </c>
      <c r="D6463" s="7" t="s">
        <v>389</v>
      </c>
      <c r="E6463" s="7" t="s">
        <v>154</v>
      </c>
      <c r="F6463" s="7" t="s">
        <v>246</v>
      </c>
      <c r="G6463" s="7" t="s">
        <v>505</v>
      </c>
      <c r="H6463" s="6" t="n">
        <v>3.76</v>
      </c>
      <c r="I6463" s="6" t="n">
        <v>0</v>
      </c>
      <c r="J6463" s="40" t="n">
        <f aca="false">H6463-I6463</f>
        <v>3.76</v>
      </c>
      <c r="K6463" s="41" t="n">
        <v>26.5</v>
      </c>
      <c r="L6463" s="42" t="n">
        <f aca="false">J6463*K6463</f>
        <v>99.64</v>
      </c>
      <c r="M6463" s="43" t="n">
        <f aca="false">H6463*16.48*(1+'Chart of Accounts'!$E$67)</f>
        <v>70.949696</v>
      </c>
    </row>
    <row r="6464" customFormat="false" ht="15" hidden="false" customHeight="false" outlineLevel="0" collapsed="false">
      <c r="B6464" s="7" t="s">
        <v>6961</v>
      </c>
      <c r="C6464" s="39" t="n">
        <v>45957</v>
      </c>
      <c r="D6464" s="7" t="s">
        <v>391</v>
      </c>
      <c r="E6464" s="7" t="s">
        <v>156</v>
      </c>
      <c r="F6464" s="7" t="s">
        <v>222</v>
      </c>
      <c r="G6464" s="7" t="s">
        <v>505</v>
      </c>
      <c r="H6464" s="6" t="n">
        <v>4.01</v>
      </c>
      <c r="I6464" s="6" t="n">
        <v>0</v>
      </c>
      <c r="J6464" s="40" t="n">
        <f aca="false">H6464-I6464</f>
        <v>4.01</v>
      </c>
      <c r="K6464" s="41" t="n">
        <v>34</v>
      </c>
      <c r="L6464" s="42" t="n">
        <f aca="false">J6464*K6464</f>
        <v>136.34</v>
      </c>
      <c r="M6464" s="43" t="n">
        <f aca="false">H6464*17.84*(1+'Chart of Accounts'!$E$67)</f>
        <v>81.911468</v>
      </c>
    </row>
    <row r="6465" customFormat="false" ht="15" hidden="false" customHeight="false" outlineLevel="0" collapsed="false">
      <c r="B6465" s="7" t="s">
        <v>6962</v>
      </c>
      <c r="C6465" s="39" t="n">
        <v>45957</v>
      </c>
      <c r="D6465" s="7" t="s">
        <v>395</v>
      </c>
      <c r="E6465" s="7" t="s">
        <v>156</v>
      </c>
      <c r="F6465" s="7" t="s">
        <v>242</v>
      </c>
      <c r="G6465" s="7" t="s">
        <v>505</v>
      </c>
      <c r="H6465" s="6" t="n">
        <v>4.2</v>
      </c>
      <c r="I6465" s="6" t="n">
        <v>0</v>
      </c>
      <c r="J6465" s="40" t="n">
        <f aca="false">H6465-I6465</f>
        <v>4.2</v>
      </c>
      <c r="K6465" s="41" t="n">
        <v>34</v>
      </c>
      <c r="L6465" s="42" t="n">
        <f aca="false">J6465*K6465</f>
        <v>142.8</v>
      </c>
      <c r="M6465" s="43" t="n">
        <f aca="false">H6465*17.99*(1+'Chart of Accounts'!$E$67)</f>
        <v>86.51391</v>
      </c>
    </row>
    <row r="6466" customFormat="false" ht="15" hidden="false" customHeight="false" outlineLevel="0" collapsed="false">
      <c r="B6466" s="7" t="s">
        <v>6963</v>
      </c>
      <c r="C6466" s="39" t="n">
        <v>45957</v>
      </c>
      <c r="D6466" s="7" t="s">
        <v>399</v>
      </c>
      <c r="E6466" s="7" t="s">
        <v>154</v>
      </c>
      <c r="F6466" s="7" t="s">
        <v>224</v>
      </c>
      <c r="G6466" s="7" t="s">
        <v>505</v>
      </c>
      <c r="H6466" s="6" t="n">
        <v>3.56</v>
      </c>
      <c r="I6466" s="6" t="n">
        <v>0</v>
      </c>
      <c r="J6466" s="40" t="n">
        <f aca="false">H6466-I6466</f>
        <v>3.56</v>
      </c>
      <c r="K6466" s="41" t="n">
        <v>26.5</v>
      </c>
      <c r="L6466" s="42" t="n">
        <f aca="false">J6466*K6466</f>
        <v>94.34</v>
      </c>
      <c r="M6466" s="43" t="n">
        <f aca="false">H6466*14.93*(1+'Chart of Accounts'!$E$67)</f>
        <v>60.857666</v>
      </c>
    </row>
    <row r="6467" customFormat="false" ht="15" hidden="false" customHeight="false" outlineLevel="0" collapsed="false">
      <c r="B6467" s="7" t="s">
        <v>6964</v>
      </c>
      <c r="C6467" s="39" t="n">
        <v>45957</v>
      </c>
      <c r="D6467" s="7" t="s">
        <v>401</v>
      </c>
      <c r="E6467" s="7" t="s">
        <v>156</v>
      </c>
      <c r="F6467" s="7" t="s">
        <v>254</v>
      </c>
      <c r="G6467" s="7" t="s">
        <v>505</v>
      </c>
      <c r="H6467" s="6" t="n">
        <v>4.28</v>
      </c>
      <c r="I6467" s="6" t="n">
        <v>0</v>
      </c>
      <c r="J6467" s="40" t="n">
        <f aca="false">H6467-I6467</f>
        <v>4.28</v>
      </c>
      <c r="K6467" s="41" t="n">
        <v>34</v>
      </c>
      <c r="L6467" s="42" t="n">
        <f aca="false">J6467*K6467</f>
        <v>145.52</v>
      </c>
      <c r="M6467" s="43" t="n">
        <f aca="false">H6467*17.1*(1+'Chart of Accounts'!$E$67)</f>
        <v>83.80026</v>
      </c>
    </row>
    <row r="6468" customFormat="false" ht="15" hidden="false" customHeight="false" outlineLevel="0" collapsed="false">
      <c r="B6468" s="7" t="s">
        <v>6965</v>
      </c>
      <c r="C6468" s="39" t="n">
        <v>45957</v>
      </c>
      <c r="D6468" s="7" t="s">
        <v>403</v>
      </c>
      <c r="E6468" s="7" t="s">
        <v>156</v>
      </c>
      <c r="F6468" s="7" t="s">
        <v>184</v>
      </c>
      <c r="G6468" s="7" t="s">
        <v>505</v>
      </c>
      <c r="H6468" s="6" t="n">
        <v>3.71</v>
      </c>
      <c r="I6468" s="6" t="n">
        <v>0</v>
      </c>
      <c r="J6468" s="40" t="n">
        <f aca="false">H6468-I6468</f>
        <v>3.71</v>
      </c>
      <c r="K6468" s="41" t="n">
        <v>34</v>
      </c>
      <c r="L6468" s="42" t="n">
        <f aca="false">J6468*K6468</f>
        <v>126.14</v>
      </c>
      <c r="M6468" s="43" t="n">
        <f aca="false">H6468*17.34*(1+'Chart of Accounts'!$E$67)</f>
        <v>73.659453</v>
      </c>
    </row>
    <row r="6469" customFormat="false" ht="15" hidden="false" customHeight="false" outlineLevel="0" collapsed="false">
      <c r="B6469" s="7" t="s">
        <v>6966</v>
      </c>
      <c r="C6469" s="39" t="n">
        <v>45957</v>
      </c>
      <c r="D6469" s="7" t="s">
        <v>409</v>
      </c>
      <c r="E6469" s="7" t="s">
        <v>154</v>
      </c>
      <c r="F6469" s="7" t="s">
        <v>214</v>
      </c>
      <c r="G6469" s="7" t="s">
        <v>505</v>
      </c>
      <c r="H6469" s="6" t="n">
        <v>3.17</v>
      </c>
      <c r="I6469" s="6" t="n">
        <v>0</v>
      </c>
      <c r="J6469" s="40" t="n">
        <f aca="false">H6469-I6469</f>
        <v>3.17</v>
      </c>
      <c r="K6469" s="41" t="n">
        <v>26.5</v>
      </c>
      <c r="L6469" s="42" t="n">
        <f aca="false">J6469*K6469</f>
        <v>84.005</v>
      </c>
      <c r="M6469" s="43" t="n">
        <f aca="false">H6469*15.67*(1+'Chart of Accounts'!$E$67)</f>
        <v>56.8766155</v>
      </c>
    </row>
    <row r="6470" customFormat="false" ht="15" hidden="false" customHeight="false" outlineLevel="0" collapsed="false">
      <c r="B6470" s="7" t="s">
        <v>6967</v>
      </c>
      <c r="C6470" s="39" t="n">
        <v>45957</v>
      </c>
      <c r="D6470" s="7" t="s">
        <v>411</v>
      </c>
      <c r="E6470" s="7" t="s">
        <v>154</v>
      </c>
      <c r="F6470" s="7" t="s">
        <v>177</v>
      </c>
      <c r="G6470" s="7" t="s">
        <v>505</v>
      </c>
      <c r="H6470" s="6" t="n">
        <v>4.85</v>
      </c>
      <c r="I6470" s="6" t="n">
        <v>0</v>
      </c>
      <c r="J6470" s="40" t="n">
        <f aca="false">H6470-I6470</f>
        <v>4.85</v>
      </c>
      <c r="K6470" s="41" t="n">
        <v>26.5</v>
      </c>
      <c r="L6470" s="42" t="n">
        <f aca="false">J6470*K6470</f>
        <v>128.525</v>
      </c>
      <c r="M6470" s="43" t="n">
        <f aca="false">H6470*14.56*(1+'Chart of Accounts'!$E$67)</f>
        <v>80.85532</v>
      </c>
    </row>
    <row r="6471" customFormat="false" ht="15" hidden="false" customHeight="false" outlineLevel="0" collapsed="false">
      <c r="B6471" s="7" t="s">
        <v>6968</v>
      </c>
      <c r="C6471" s="39" t="n">
        <v>45958</v>
      </c>
      <c r="D6471" s="7" t="s">
        <v>288</v>
      </c>
      <c r="E6471" s="7" t="s">
        <v>156</v>
      </c>
      <c r="F6471" s="7" t="s">
        <v>238</v>
      </c>
      <c r="G6471" s="7" t="s">
        <v>505</v>
      </c>
      <c r="H6471" s="6" t="n">
        <v>4.15</v>
      </c>
      <c r="I6471" s="6" t="n">
        <v>0</v>
      </c>
      <c r="J6471" s="40" t="n">
        <f aca="false">H6471-I6471</f>
        <v>4.15</v>
      </c>
      <c r="K6471" s="41" t="n">
        <v>34</v>
      </c>
      <c r="L6471" s="42" t="n">
        <f aca="false">J6471*K6471</f>
        <v>141.1</v>
      </c>
      <c r="M6471" s="43" t="n">
        <f aca="false">H6471*15.85*(1+'Chart of Accounts'!$E$67)</f>
        <v>75.3152375</v>
      </c>
    </row>
    <row r="6472" customFormat="false" ht="15" hidden="false" customHeight="false" outlineLevel="0" collapsed="false">
      <c r="B6472" s="7" t="s">
        <v>6969</v>
      </c>
      <c r="C6472" s="39" t="n">
        <v>45958</v>
      </c>
      <c r="D6472" s="7" t="s">
        <v>293</v>
      </c>
      <c r="E6472" s="7" t="s">
        <v>157</v>
      </c>
      <c r="F6472" s="7" t="s">
        <v>198</v>
      </c>
      <c r="G6472" s="7" t="s">
        <v>502</v>
      </c>
      <c r="H6472" s="6" t="n">
        <v>0.94</v>
      </c>
      <c r="I6472" s="6" t="n">
        <v>0.047</v>
      </c>
      <c r="J6472" s="40" t="n">
        <f aca="false">H6472-I6472</f>
        <v>0.893</v>
      </c>
      <c r="K6472" s="41" t="n">
        <v>165</v>
      </c>
      <c r="L6472" s="42" t="n">
        <f aca="false">J6472*K6472</f>
        <v>147.345</v>
      </c>
      <c r="M6472" s="43" t="n">
        <f aca="false">H6472*48.09*(1+'Chart of Accounts'!$E$67)</f>
        <v>51.759267</v>
      </c>
    </row>
    <row r="6473" customFormat="false" ht="15" hidden="false" customHeight="false" outlineLevel="0" collapsed="false">
      <c r="B6473" s="7" t="s">
        <v>6970</v>
      </c>
      <c r="C6473" s="39" t="n">
        <v>45958</v>
      </c>
      <c r="D6473" s="7" t="s">
        <v>301</v>
      </c>
      <c r="E6473" s="7" t="s">
        <v>157</v>
      </c>
      <c r="F6473" s="7" t="s">
        <v>209</v>
      </c>
      <c r="G6473" s="7" t="s">
        <v>502</v>
      </c>
      <c r="H6473" s="6" t="n">
        <v>1.05</v>
      </c>
      <c r="I6473" s="6" t="n">
        <v>0</v>
      </c>
      <c r="J6473" s="40" t="n">
        <f aca="false">H6473-I6473</f>
        <v>1.05</v>
      </c>
      <c r="K6473" s="41" t="n">
        <v>165</v>
      </c>
      <c r="L6473" s="42" t="n">
        <f aca="false">J6473*K6473</f>
        <v>173.25</v>
      </c>
      <c r="M6473" s="43" t="n">
        <f aca="false">H6473*73.58*(1+'Chart of Accounts'!$E$67)</f>
        <v>88.461555</v>
      </c>
    </row>
    <row r="6474" customFormat="false" ht="15" hidden="false" customHeight="false" outlineLevel="0" collapsed="false">
      <c r="B6474" s="7" t="s">
        <v>6971</v>
      </c>
      <c r="C6474" s="39" t="n">
        <v>45958</v>
      </c>
      <c r="D6474" s="7" t="s">
        <v>319</v>
      </c>
      <c r="E6474" s="7" t="s">
        <v>157</v>
      </c>
      <c r="F6474" s="7" t="s">
        <v>234</v>
      </c>
      <c r="G6474" s="7" t="s">
        <v>502</v>
      </c>
      <c r="H6474" s="6" t="n">
        <v>1.09</v>
      </c>
      <c r="I6474" s="6" t="n">
        <v>0</v>
      </c>
      <c r="J6474" s="40" t="n">
        <f aca="false">H6474-I6474</f>
        <v>1.09</v>
      </c>
      <c r="K6474" s="41" t="n">
        <v>165</v>
      </c>
      <c r="L6474" s="42" t="n">
        <f aca="false">J6474*K6474</f>
        <v>179.85</v>
      </c>
      <c r="M6474" s="43" t="n">
        <f aca="false">H6474*89.53*(1+'Chart of Accounts'!$E$67)</f>
        <v>111.7379165</v>
      </c>
    </row>
    <row r="6475" customFormat="false" ht="15" hidden="false" customHeight="false" outlineLevel="0" collapsed="false">
      <c r="B6475" s="7" t="s">
        <v>6972</v>
      </c>
      <c r="C6475" s="39" t="n">
        <v>45958</v>
      </c>
      <c r="D6475" s="7" t="s">
        <v>321</v>
      </c>
      <c r="E6475" s="7" t="s">
        <v>154</v>
      </c>
      <c r="F6475" s="7" t="s">
        <v>218</v>
      </c>
      <c r="G6475" s="7" t="s">
        <v>505</v>
      </c>
      <c r="H6475" s="6" t="n">
        <v>4.27</v>
      </c>
      <c r="I6475" s="6" t="n">
        <v>0.128</v>
      </c>
      <c r="J6475" s="40" t="n">
        <f aca="false">H6475-I6475</f>
        <v>4.142</v>
      </c>
      <c r="K6475" s="41" t="n">
        <v>26.5</v>
      </c>
      <c r="L6475" s="42" t="n">
        <f aca="false">J6475*K6475</f>
        <v>109.763</v>
      </c>
      <c r="M6475" s="43" t="n">
        <f aca="false">H6475*16.19*(1+'Chart of Accounts'!$E$67)</f>
        <v>79.1553385</v>
      </c>
    </row>
    <row r="6476" customFormat="false" ht="15" hidden="false" customHeight="false" outlineLevel="0" collapsed="false">
      <c r="B6476" s="7" t="s">
        <v>6973</v>
      </c>
      <c r="C6476" s="39" t="n">
        <v>45958</v>
      </c>
      <c r="D6476" s="7" t="s">
        <v>323</v>
      </c>
      <c r="E6476" s="7" t="s">
        <v>159</v>
      </c>
      <c r="F6476" s="7" t="s">
        <v>203</v>
      </c>
      <c r="G6476" s="7" t="s">
        <v>502</v>
      </c>
      <c r="H6476" s="6" t="n">
        <v>1.1</v>
      </c>
      <c r="I6476" s="6" t="n">
        <v>0</v>
      </c>
      <c r="J6476" s="40" t="n">
        <f aca="false">H6476-I6476</f>
        <v>1.1</v>
      </c>
      <c r="K6476" s="41" t="n">
        <v>135</v>
      </c>
      <c r="L6476" s="42" t="n">
        <f aca="false">J6476*K6476</f>
        <v>148.5</v>
      </c>
      <c r="M6476" s="43" t="n">
        <f aca="false">H6476*49.43*(1+'Chart of Accounts'!$E$67)</f>
        <v>62.257085</v>
      </c>
    </row>
    <row r="6477" customFormat="false" ht="15" hidden="false" customHeight="false" outlineLevel="0" collapsed="false">
      <c r="B6477" s="7" t="s">
        <v>6974</v>
      </c>
      <c r="C6477" s="39" t="n">
        <v>45958</v>
      </c>
      <c r="D6477" s="7" t="s">
        <v>327</v>
      </c>
      <c r="E6477" s="7" t="s">
        <v>157</v>
      </c>
      <c r="F6477" s="7" t="s">
        <v>228</v>
      </c>
      <c r="G6477" s="7" t="s">
        <v>502</v>
      </c>
      <c r="H6477" s="6" t="n">
        <v>1.01</v>
      </c>
      <c r="I6477" s="6" t="n">
        <v>0</v>
      </c>
      <c r="J6477" s="40" t="n">
        <f aca="false">H6477-I6477</f>
        <v>1.01</v>
      </c>
      <c r="K6477" s="41" t="n">
        <v>165</v>
      </c>
      <c r="L6477" s="42" t="n">
        <f aca="false">J6477*K6477</f>
        <v>166.65</v>
      </c>
      <c r="M6477" s="43" t="n">
        <f aca="false">H6477*51.07*(1+'Chart of Accounts'!$E$67)</f>
        <v>59.0599015</v>
      </c>
    </row>
    <row r="6478" customFormat="false" ht="15" hidden="false" customHeight="false" outlineLevel="0" collapsed="false">
      <c r="B6478" s="7" t="s">
        <v>6975</v>
      </c>
      <c r="C6478" s="39" t="n">
        <v>45958</v>
      </c>
      <c r="D6478" s="7" t="s">
        <v>329</v>
      </c>
      <c r="E6478" s="7" t="s">
        <v>156</v>
      </c>
      <c r="F6478" s="7" t="s">
        <v>220</v>
      </c>
      <c r="G6478" s="7" t="s">
        <v>505</v>
      </c>
      <c r="H6478" s="6" t="n">
        <v>4.31</v>
      </c>
      <c r="I6478" s="6" t="n">
        <v>0</v>
      </c>
      <c r="J6478" s="40" t="n">
        <f aca="false">H6478-I6478</f>
        <v>4.31</v>
      </c>
      <c r="K6478" s="41" t="n">
        <v>34</v>
      </c>
      <c r="L6478" s="42" t="n">
        <f aca="false">J6478*K6478</f>
        <v>146.54</v>
      </c>
      <c r="M6478" s="43" t="n">
        <f aca="false">H6478*16.43*(1+'Chart of Accounts'!$E$67)</f>
        <v>81.0812285</v>
      </c>
    </row>
    <row r="6479" customFormat="false" ht="15" hidden="false" customHeight="false" outlineLevel="0" collapsed="false">
      <c r="B6479" s="7" t="s">
        <v>6976</v>
      </c>
      <c r="C6479" s="39" t="n">
        <v>45958</v>
      </c>
      <c r="D6479" s="7" t="s">
        <v>349</v>
      </c>
      <c r="E6479" s="7" t="s">
        <v>154</v>
      </c>
      <c r="F6479" s="7" t="s">
        <v>244</v>
      </c>
      <c r="G6479" s="7" t="s">
        <v>505</v>
      </c>
      <c r="H6479" s="6" t="n">
        <v>3.97</v>
      </c>
      <c r="I6479" s="6" t="n">
        <v>0</v>
      </c>
      <c r="J6479" s="40" t="n">
        <f aca="false">H6479-I6479</f>
        <v>3.97</v>
      </c>
      <c r="K6479" s="41" t="n">
        <v>26.5</v>
      </c>
      <c r="L6479" s="42" t="n">
        <f aca="false">J6479*K6479</f>
        <v>105.205</v>
      </c>
      <c r="M6479" s="43" t="n">
        <f aca="false">H6479*16.39*(1+'Chart of Accounts'!$E$67)</f>
        <v>74.5032035</v>
      </c>
    </row>
    <row r="6480" customFormat="false" ht="15" hidden="false" customHeight="false" outlineLevel="0" collapsed="false">
      <c r="B6480" s="7" t="s">
        <v>6977</v>
      </c>
      <c r="C6480" s="39" t="n">
        <v>45958</v>
      </c>
      <c r="D6480" s="7" t="s">
        <v>359</v>
      </c>
      <c r="E6480" s="7" t="s">
        <v>156</v>
      </c>
      <c r="F6480" s="7" t="s">
        <v>222</v>
      </c>
      <c r="G6480" s="7" t="s">
        <v>505</v>
      </c>
      <c r="H6480" s="6" t="n">
        <v>3.6</v>
      </c>
      <c r="I6480" s="6" t="n">
        <v>0</v>
      </c>
      <c r="J6480" s="40" t="n">
        <f aca="false">H6480-I6480</f>
        <v>3.6</v>
      </c>
      <c r="K6480" s="41" t="n">
        <v>34</v>
      </c>
      <c r="L6480" s="42" t="n">
        <f aca="false">J6480*K6480</f>
        <v>122.4</v>
      </c>
      <c r="M6480" s="43" t="n">
        <f aca="false">H6480*17.84*(1+'Chart of Accounts'!$E$67)</f>
        <v>73.53648</v>
      </c>
    </row>
    <row r="6481" customFormat="false" ht="15" hidden="false" customHeight="false" outlineLevel="0" collapsed="false">
      <c r="B6481" s="7" t="s">
        <v>6978</v>
      </c>
      <c r="C6481" s="39" t="n">
        <v>45958</v>
      </c>
      <c r="D6481" s="7" t="s">
        <v>361</v>
      </c>
      <c r="E6481" s="7" t="s">
        <v>157</v>
      </c>
      <c r="F6481" s="7" t="s">
        <v>209</v>
      </c>
      <c r="G6481" s="7" t="s">
        <v>502</v>
      </c>
      <c r="H6481" s="6" t="n">
        <v>0.93</v>
      </c>
      <c r="I6481" s="6" t="n">
        <v>0</v>
      </c>
      <c r="J6481" s="40" t="n">
        <f aca="false">H6481-I6481</f>
        <v>0.93</v>
      </c>
      <c r="K6481" s="41" t="n">
        <v>165</v>
      </c>
      <c r="L6481" s="42" t="n">
        <f aca="false">J6481*K6481</f>
        <v>153.45</v>
      </c>
      <c r="M6481" s="43" t="n">
        <f aca="false">H6481*73.58*(1+'Chart of Accounts'!$E$67)</f>
        <v>78.351663</v>
      </c>
    </row>
    <row r="6482" customFormat="false" ht="15" hidden="false" customHeight="false" outlineLevel="0" collapsed="false">
      <c r="B6482" s="7" t="s">
        <v>6979</v>
      </c>
      <c r="C6482" s="39" t="n">
        <v>45958</v>
      </c>
      <c r="D6482" s="7" t="s">
        <v>365</v>
      </c>
      <c r="E6482" s="7" t="s">
        <v>154</v>
      </c>
      <c r="F6482" s="7" t="s">
        <v>194</v>
      </c>
      <c r="G6482" s="7" t="s">
        <v>505</v>
      </c>
      <c r="H6482" s="6" t="n">
        <v>3.76</v>
      </c>
      <c r="I6482" s="6" t="n">
        <v>0</v>
      </c>
      <c r="J6482" s="40" t="n">
        <f aca="false">H6482-I6482</f>
        <v>3.76</v>
      </c>
      <c r="K6482" s="41" t="n">
        <v>26.5</v>
      </c>
      <c r="L6482" s="42" t="n">
        <f aca="false">J6482*K6482</f>
        <v>99.64</v>
      </c>
      <c r="M6482" s="43" t="n">
        <f aca="false">H6482*16*(1+'Chart of Accounts'!$E$67)</f>
        <v>68.8832</v>
      </c>
    </row>
    <row r="6483" customFormat="false" ht="15" hidden="false" customHeight="false" outlineLevel="0" collapsed="false">
      <c r="B6483" s="7" t="s">
        <v>6980</v>
      </c>
      <c r="C6483" s="39" t="n">
        <v>45958</v>
      </c>
      <c r="D6483" s="7" t="s">
        <v>369</v>
      </c>
      <c r="E6483" s="7" t="s">
        <v>159</v>
      </c>
      <c r="F6483" s="7" t="s">
        <v>258</v>
      </c>
      <c r="G6483" s="7" t="s">
        <v>502</v>
      </c>
      <c r="H6483" s="6" t="n">
        <v>1.09</v>
      </c>
      <c r="I6483" s="6" t="n">
        <v>0</v>
      </c>
      <c r="J6483" s="40" t="n">
        <f aca="false">H6483-I6483</f>
        <v>1.09</v>
      </c>
      <c r="K6483" s="41" t="n">
        <v>135</v>
      </c>
      <c r="L6483" s="42" t="n">
        <f aca="false">J6483*K6483</f>
        <v>147.15</v>
      </c>
      <c r="M6483" s="43" t="n">
        <f aca="false">H6483*61.61*(1+'Chart of Accounts'!$E$67)</f>
        <v>76.8923605</v>
      </c>
    </row>
    <row r="6484" customFormat="false" ht="15" hidden="false" customHeight="false" outlineLevel="0" collapsed="false">
      <c r="B6484" s="7" t="s">
        <v>6981</v>
      </c>
      <c r="C6484" s="39" t="n">
        <v>45958</v>
      </c>
      <c r="D6484" s="7" t="s">
        <v>381</v>
      </c>
      <c r="E6484" s="7" t="s">
        <v>157</v>
      </c>
      <c r="F6484" s="7" t="s">
        <v>234</v>
      </c>
      <c r="G6484" s="7" t="s">
        <v>502</v>
      </c>
      <c r="H6484" s="6" t="n">
        <v>1.03</v>
      </c>
      <c r="I6484" s="6" t="n">
        <v>0</v>
      </c>
      <c r="J6484" s="40" t="n">
        <f aca="false">H6484-I6484</f>
        <v>1.03</v>
      </c>
      <c r="K6484" s="41" t="n">
        <v>165</v>
      </c>
      <c r="L6484" s="42" t="n">
        <f aca="false">J6484*K6484</f>
        <v>169.95</v>
      </c>
      <c r="M6484" s="43" t="n">
        <f aca="false">H6484*89.53*(1+'Chart of Accounts'!$E$67)</f>
        <v>105.5872055</v>
      </c>
    </row>
    <row r="6485" customFormat="false" ht="15" hidden="false" customHeight="false" outlineLevel="0" collapsed="false">
      <c r="B6485" s="7" t="s">
        <v>6982</v>
      </c>
      <c r="C6485" s="39" t="n">
        <v>45958</v>
      </c>
      <c r="D6485" s="7" t="s">
        <v>383</v>
      </c>
      <c r="E6485" s="7" t="s">
        <v>157</v>
      </c>
      <c r="F6485" s="7" t="s">
        <v>230</v>
      </c>
      <c r="G6485" s="7" t="s">
        <v>502</v>
      </c>
      <c r="H6485" s="6" t="n">
        <v>1.04</v>
      </c>
      <c r="I6485" s="6" t="n">
        <v>0</v>
      </c>
      <c r="J6485" s="40" t="n">
        <f aca="false">H6485-I6485</f>
        <v>1.04</v>
      </c>
      <c r="K6485" s="41" t="n">
        <v>165</v>
      </c>
      <c r="L6485" s="42" t="n">
        <f aca="false">J6485*K6485</f>
        <v>171.6</v>
      </c>
      <c r="M6485" s="43" t="n">
        <f aca="false">H6485*48.78*(1+'Chart of Accounts'!$E$67)</f>
        <v>58.087224</v>
      </c>
    </row>
    <row r="6486" customFormat="false" ht="15" hidden="false" customHeight="false" outlineLevel="0" collapsed="false">
      <c r="B6486" s="7" t="s">
        <v>6983</v>
      </c>
      <c r="C6486" s="39" t="n">
        <v>45958</v>
      </c>
      <c r="D6486" s="7" t="s">
        <v>387</v>
      </c>
      <c r="E6486" s="7" t="s">
        <v>154</v>
      </c>
      <c r="F6486" s="7" t="s">
        <v>196</v>
      </c>
      <c r="G6486" s="7" t="s">
        <v>505</v>
      </c>
      <c r="H6486" s="6" t="n">
        <v>3.69</v>
      </c>
      <c r="I6486" s="6" t="n">
        <v>0</v>
      </c>
      <c r="J6486" s="40" t="n">
        <f aca="false">H6486-I6486</f>
        <v>3.69</v>
      </c>
      <c r="K6486" s="41" t="n">
        <v>26.5</v>
      </c>
      <c r="L6486" s="42" t="n">
        <f aca="false">J6486*K6486</f>
        <v>97.785</v>
      </c>
      <c r="M6486" s="43" t="n">
        <f aca="false">H6486*15.05*(1+'Chart of Accounts'!$E$67)</f>
        <v>63.5870025</v>
      </c>
    </row>
    <row r="6487" customFormat="false" ht="15" hidden="false" customHeight="false" outlineLevel="0" collapsed="false">
      <c r="B6487" s="7" t="s">
        <v>6984</v>
      </c>
      <c r="C6487" s="39" t="n">
        <v>45958</v>
      </c>
      <c r="D6487" s="7" t="s">
        <v>389</v>
      </c>
      <c r="E6487" s="7" t="s">
        <v>154</v>
      </c>
      <c r="F6487" s="7" t="s">
        <v>246</v>
      </c>
      <c r="G6487" s="7" t="s">
        <v>505</v>
      </c>
      <c r="H6487" s="6" t="n">
        <v>4.38</v>
      </c>
      <c r="I6487" s="6" t="n">
        <v>0</v>
      </c>
      <c r="J6487" s="40" t="n">
        <f aca="false">H6487-I6487</f>
        <v>4.38</v>
      </c>
      <c r="K6487" s="41" t="n">
        <v>26.5</v>
      </c>
      <c r="L6487" s="42" t="n">
        <f aca="false">J6487*K6487</f>
        <v>116.07</v>
      </c>
      <c r="M6487" s="43" t="n">
        <f aca="false">H6487*16.48*(1+'Chart of Accounts'!$E$67)</f>
        <v>82.648848</v>
      </c>
    </row>
    <row r="6488" customFormat="false" ht="15" hidden="false" customHeight="false" outlineLevel="0" collapsed="false">
      <c r="B6488" s="7" t="s">
        <v>6985</v>
      </c>
      <c r="C6488" s="39" t="n">
        <v>45958</v>
      </c>
      <c r="D6488" s="7" t="s">
        <v>391</v>
      </c>
      <c r="E6488" s="7" t="s">
        <v>156</v>
      </c>
      <c r="F6488" s="7" t="s">
        <v>222</v>
      </c>
      <c r="G6488" s="7" t="s">
        <v>505</v>
      </c>
      <c r="H6488" s="6" t="n">
        <v>4.08</v>
      </c>
      <c r="I6488" s="6" t="n">
        <v>0</v>
      </c>
      <c r="J6488" s="40" t="n">
        <f aca="false">H6488-I6488</f>
        <v>4.08</v>
      </c>
      <c r="K6488" s="41" t="n">
        <v>34</v>
      </c>
      <c r="L6488" s="42" t="n">
        <f aca="false">J6488*K6488</f>
        <v>138.72</v>
      </c>
      <c r="M6488" s="43" t="n">
        <f aca="false">H6488*17.84*(1+'Chart of Accounts'!$E$67)</f>
        <v>83.341344</v>
      </c>
    </row>
    <row r="6489" customFormat="false" ht="15" hidden="false" customHeight="false" outlineLevel="0" collapsed="false">
      <c r="B6489" s="7" t="s">
        <v>6986</v>
      </c>
      <c r="C6489" s="39" t="n">
        <v>45958</v>
      </c>
      <c r="D6489" s="7" t="s">
        <v>395</v>
      </c>
      <c r="E6489" s="7" t="s">
        <v>156</v>
      </c>
      <c r="F6489" s="7" t="s">
        <v>242</v>
      </c>
      <c r="G6489" s="7" t="s">
        <v>505</v>
      </c>
      <c r="H6489" s="6" t="n">
        <v>4.03</v>
      </c>
      <c r="I6489" s="6" t="n">
        <v>0</v>
      </c>
      <c r="J6489" s="40" t="n">
        <f aca="false">H6489-I6489</f>
        <v>4.03</v>
      </c>
      <c r="K6489" s="41" t="n">
        <v>34</v>
      </c>
      <c r="L6489" s="42" t="n">
        <f aca="false">J6489*K6489</f>
        <v>137.02</v>
      </c>
      <c r="M6489" s="43" t="n">
        <f aca="false">H6489*17.99*(1+'Chart of Accounts'!$E$67)</f>
        <v>83.0121565</v>
      </c>
    </row>
    <row r="6490" customFormat="false" ht="15" hidden="false" customHeight="false" outlineLevel="0" collapsed="false">
      <c r="B6490" s="7" t="s">
        <v>6987</v>
      </c>
      <c r="C6490" s="39" t="n">
        <v>45958</v>
      </c>
      <c r="D6490" s="7" t="s">
        <v>397</v>
      </c>
      <c r="E6490" s="7" t="s">
        <v>159</v>
      </c>
      <c r="F6490" s="7" t="s">
        <v>203</v>
      </c>
      <c r="G6490" s="7" t="s">
        <v>502</v>
      </c>
      <c r="H6490" s="6" t="n">
        <v>1.1</v>
      </c>
      <c r="I6490" s="6" t="n">
        <v>0</v>
      </c>
      <c r="J6490" s="40" t="n">
        <f aca="false">H6490-I6490</f>
        <v>1.1</v>
      </c>
      <c r="K6490" s="41" t="n">
        <v>135</v>
      </c>
      <c r="L6490" s="42" t="n">
        <f aca="false">J6490*K6490</f>
        <v>148.5</v>
      </c>
      <c r="M6490" s="43" t="n">
        <f aca="false">H6490*49.43*(1+'Chart of Accounts'!$E$67)</f>
        <v>62.257085</v>
      </c>
    </row>
    <row r="6491" customFormat="false" ht="15" hidden="false" customHeight="false" outlineLevel="0" collapsed="false">
      <c r="B6491" s="7" t="s">
        <v>6988</v>
      </c>
      <c r="C6491" s="39" t="n">
        <v>45958</v>
      </c>
      <c r="D6491" s="7" t="s">
        <v>401</v>
      </c>
      <c r="E6491" s="7" t="s">
        <v>156</v>
      </c>
      <c r="F6491" s="7" t="s">
        <v>254</v>
      </c>
      <c r="G6491" s="7" t="s">
        <v>505</v>
      </c>
      <c r="H6491" s="6" t="n">
        <v>3.82</v>
      </c>
      <c r="I6491" s="6" t="n">
        <v>0</v>
      </c>
      <c r="J6491" s="40" t="n">
        <f aca="false">H6491-I6491</f>
        <v>3.82</v>
      </c>
      <c r="K6491" s="41" t="n">
        <v>34</v>
      </c>
      <c r="L6491" s="42" t="n">
        <f aca="false">J6491*K6491</f>
        <v>129.88</v>
      </c>
      <c r="M6491" s="43" t="n">
        <f aca="false">H6491*17.1*(1+'Chart of Accounts'!$E$67)</f>
        <v>74.79369</v>
      </c>
    </row>
    <row r="6492" customFormat="false" ht="15" hidden="false" customHeight="false" outlineLevel="0" collapsed="false">
      <c r="B6492" s="7" t="s">
        <v>6989</v>
      </c>
      <c r="C6492" s="39" t="n">
        <v>45958</v>
      </c>
      <c r="D6492" s="7" t="s">
        <v>407</v>
      </c>
      <c r="E6492" s="7" t="s">
        <v>159</v>
      </c>
      <c r="F6492" s="7" t="s">
        <v>260</v>
      </c>
      <c r="G6492" s="7" t="s">
        <v>502</v>
      </c>
      <c r="H6492" s="6" t="n">
        <v>1.06</v>
      </c>
      <c r="I6492" s="6" t="n">
        <v>0</v>
      </c>
      <c r="J6492" s="40" t="n">
        <f aca="false">H6492-I6492</f>
        <v>1.06</v>
      </c>
      <c r="K6492" s="41" t="n">
        <v>135</v>
      </c>
      <c r="L6492" s="42" t="n">
        <f aca="false">J6492*K6492</f>
        <v>143.1</v>
      </c>
      <c r="M6492" s="43" t="n">
        <f aca="false">H6492*79.8*(1+'Chart of Accounts'!$E$67)</f>
        <v>96.85326</v>
      </c>
    </row>
    <row r="6493" customFormat="false" ht="15" hidden="false" customHeight="false" outlineLevel="0" collapsed="false">
      <c r="B6493" s="7" t="s">
        <v>6990</v>
      </c>
      <c r="C6493" s="39" t="n">
        <v>45959</v>
      </c>
      <c r="D6493" s="7" t="s">
        <v>288</v>
      </c>
      <c r="E6493" s="7" t="s">
        <v>156</v>
      </c>
      <c r="F6493" s="7" t="s">
        <v>194</v>
      </c>
      <c r="G6493" s="7" t="s">
        <v>505</v>
      </c>
      <c r="H6493" s="6" t="n">
        <v>3.64</v>
      </c>
      <c r="I6493" s="6" t="n">
        <v>0</v>
      </c>
      <c r="J6493" s="40" t="n">
        <f aca="false">H6493-I6493</f>
        <v>3.64</v>
      </c>
      <c r="K6493" s="41" t="n">
        <v>34</v>
      </c>
      <c r="L6493" s="42" t="n">
        <f aca="false">J6493*K6493</f>
        <v>123.76</v>
      </c>
      <c r="M6493" s="43" t="n">
        <f aca="false">H6493*16*(1+'Chart of Accounts'!$E$67)</f>
        <v>66.6848</v>
      </c>
    </row>
    <row r="6494" customFormat="false" ht="15" hidden="false" customHeight="false" outlineLevel="0" collapsed="false">
      <c r="B6494" s="7" t="s">
        <v>6991</v>
      </c>
      <c r="C6494" s="39" t="n">
        <v>45959</v>
      </c>
      <c r="D6494" s="7" t="s">
        <v>291</v>
      </c>
      <c r="E6494" s="7" t="s">
        <v>154</v>
      </c>
      <c r="F6494" s="7" t="s">
        <v>194</v>
      </c>
      <c r="G6494" s="7" t="s">
        <v>505</v>
      </c>
      <c r="H6494" s="6" t="n">
        <v>4.7</v>
      </c>
      <c r="I6494" s="6" t="n">
        <v>0</v>
      </c>
      <c r="J6494" s="40" t="n">
        <f aca="false">H6494-I6494</f>
        <v>4.7</v>
      </c>
      <c r="K6494" s="41" t="n">
        <v>26.5</v>
      </c>
      <c r="L6494" s="42" t="n">
        <f aca="false">J6494*K6494</f>
        <v>124.55</v>
      </c>
      <c r="M6494" s="43" t="n">
        <f aca="false">H6494*16*(1+'Chart of Accounts'!$E$67)</f>
        <v>86.104</v>
      </c>
    </row>
    <row r="6495" customFormat="false" ht="15" hidden="false" customHeight="false" outlineLevel="0" collapsed="false">
      <c r="B6495" s="7" t="s">
        <v>6992</v>
      </c>
      <c r="C6495" s="39" t="n">
        <v>45959</v>
      </c>
      <c r="D6495" s="7" t="s">
        <v>295</v>
      </c>
      <c r="E6495" s="7" t="s">
        <v>154</v>
      </c>
      <c r="F6495" s="7" t="s">
        <v>214</v>
      </c>
      <c r="G6495" s="7" t="s">
        <v>505</v>
      </c>
      <c r="H6495" s="6" t="n">
        <v>4.34</v>
      </c>
      <c r="I6495" s="6" t="n">
        <v>0</v>
      </c>
      <c r="J6495" s="40" t="n">
        <f aca="false">H6495-I6495</f>
        <v>4.34</v>
      </c>
      <c r="K6495" s="41" t="n">
        <v>26.5</v>
      </c>
      <c r="L6495" s="42" t="n">
        <f aca="false">J6495*K6495</f>
        <v>115.01</v>
      </c>
      <c r="M6495" s="43" t="n">
        <f aca="false">H6495*15.67*(1+'Chart of Accounts'!$E$67)</f>
        <v>77.868931</v>
      </c>
    </row>
    <row r="6496" customFormat="false" ht="15" hidden="false" customHeight="false" outlineLevel="0" collapsed="false">
      <c r="B6496" s="7" t="s">
        <v>6993</v>
      </c>
      <c r="C6496" s="39" t="n">
        <v>45959</v>
      </c>
      <c r="D6496" s="7" t="s">
        <v>305</v>
      </c>
      <c r="E6496" s="7" t="s">
        <v>154</v>
      </c>
      <c r="F6496" s="7" t="s">
        <v>205</v>
      </c>
      <c r="G6496" s="7" t="s">
        <v>505</v>
      </c>
      <c r="H6496" s="6" t="n">
        <v>4.11</v>
      </c>
      <c r="I6496" s="6" t="n">
        <v>0</v>
      </c>
      <c r="J6496" s="40" t="n">
        <f aca="false">H6496-I6496</f>
        <v>4.11</v>
      </c>
      <c r="K6496" s="41" t="n">
        <v>26.5</v>
      </c>
      <c r="L6496" s="42" t="n">
        <f aca="false">J6496*K6496</f>
        <v>108.915</v>
      </c>
      <c r="M6496" s="43" t="n">
        <f aca="false">H6496*16.36*(1+'Chart of Accounts'!$E$67)</f>
        <v>76.989342</v>
      </c>
    </row>
    <row r="6497" customFormat="false" ht="15" hidden="false" customHeight="false" outlineLevel="0" collapsed="false">
      <c r="B6497" s="7" t="s">
        <v>6994</v>
      </c>
      <c r="C6497" s="39" t="n">
        <v>45959</v>
      </c>
      <c r="D6497" s="7" t="s">
        <v>307</v>
      </c>
      <c r="E6497" s="7" t="s">
        <v>157</v>
      </c>
      <c r="F6497" s="7" t="s">
        <v>264</v>
      </c>
      <c r="G6497" s="7" t="s">
        <v>502</v>
      </c>
      <c r="H6497" s="6" t="n">
        <v>0.97</v>
      </c>
      <c r="I6497" s="6" t="n">
        <v>0</v>
      </c>
      <c r="J6497" s="40" t="n">
        <f aca="false">H6497-I6497</f>
        <v>0.97</v>
      </c>
      <c r="K6497" s="41" t="n">
        <v>165</v>
      </c>
      <c r="L6497" s="42" t="n">
        <f aca="false">J6497*K6497</f>
        <v>160.05</v>
      </c>
      <c r="M6497" s="43" t="n">
        <f aca="false">H6497*55.55*(1+'Chart of Accounts'!$E$67)</f>
        <v>61.6966075</v>
      </c>
    </row>
    <row r="6498" customFormat="false" ht="15" hidden="false" customHeight="false" outlineLevel="0" collapsed="false">
      <c r="B6498" s="7" t="s">
        <v>6995</v>
      </c>
      <c r="C6498" s="39" t="n">
        <v>45959</v>
      </c>
      <c r="D6498" s="7" t="s">
        <v>309</v>
      </c>
      <c r="E6498" s="7" t="s">
        <v>159</v>
      </c>
      <c r="F6498" s="7" t="s">
        <v>252</v>
      </c>
      <c r="G6498" s="7" t="s">
        <v>502</v>
      </c>
      <c r="H6498" s="6" t="n">
        <v>1.05</v>
      </c>
      <c r="I6498" s="6" t="n">
        <v>0.074</v>
      </c>
      <c r="J6498" s="40" t="n">
        <f aca="false">H6498-I6498</f>
        <v>0.976</v>
      </c>
      <c r="K6498" s="41" t="n">
        <v>135</v>
      </c>
      <c r="L6498" s="42" t="n">
        <f aca="false">J6498*K6498</f>
        <v>131.76</v>
      </c>
      <c r="M6498" s="43" t="n">
        <f aca="false">H6498*57.54*(1+'Chart of Accounts'!$E$67)</f>
        <v>69.177465</v>
      </c>
    </row>
    <row r="6499" customFormat="false" ht="15" hidden="false" customHeight="false" outlineLevel="0" collapsed="false">
      <c r="B6499" s="7" t="s">
        <v>6996</v>
      </c>
      <c r="C6499" s="39" t="n">
        <v>45959</v>
      </c>
      <c r="D6499" s="7" t="s">
        <v>313</v>
      </c>
      <c r="E6499" s="7" t="s">
        <v>156</v>
      </c>
      <c r="F6499" s="7" t="s">
        <v>184</v>
      </c>
      <c r="G6499" s="7" t="s">
        <v>505</v>
      </c>
      <c r="H6499" s="6" t="n">
        <v>3.9</v>
      </c>
      <c r="I6499" s="6" t="n">
        <v>0</v>
      </c>
      <c r="J6499" s="40" t="n">
        <f aca="false">H6499-I6499</f>
        <v>3.9</v>
      </c>
      <c r="K6499" s="41" t="n">
        <v>34</v>
      </c>
      <c r="L6499" s="42" t="n">
        <f aca="false">J6499*K6499</f>
        <v>132.6</v>
      </c>
      <c r="M6499" s="43" t="n">
        <f aca="false">H6499*17.34*(1+'Chart of Accounts'!$E$67)</f>
        <v>77.43177</v>
      </c>
    </row>
    <row r="6500" customFormat="false" ht="15" hidden="false" customHeight="false" outlineLevel="0" collapsed="false">
      <c r="B6500" s="7" t="s">
        <v>6997</v>
      </c>
      <c r="C6500" s="39" t="n">
        <v>45959</v>
      </c>
      <c r="D6500" s="7" t="s">
        <v>315</v>
      </c>
      <c r="E6500" s="7" t="s">
        <v>159</v>
      </c>
      <c r="F6500" s="7" t="s">
        <v>216</v>
      </c>
      <c r="G6500" s="7" t="s">
        <v>502</v>
      </c>
      <c r="H6500" s="6" t="n">
        <v>1.02</v>
      </c>
      <c r="I6500" s="6" t="n">
        <v>0.071</v>
      </c>
      <c r="J6500" s="40" t="n">
        <f aca="false">H6500-I6500</f>
        <v>0.949</v>
      </c>
      <c r="K6500" s="41" t="n">
        <v>135</v>
      </c>
      <c r="L6500" s="42" t="n">
        <f aca="false">J6500*K6500</f>
        <v>128.115</v>
      </c>
      <c r="M6500" s="43" t="n">
        <f aca="false">H6500*61.79*(1+'Chart of Accounts'!$E$67)</f>
        <v>72.164541</v>
      </c>
    </row>
    <row r="6501" customFormat="false" ht="15" hidden="false" customHeight="false" outlineLevel="0" collapsed="false">
      <c r="B6501" s="7" t="s">
        <v>6998</v>
      </c>
      <c r="C6501" s="39" t="n">
        <v>45959</v>
      </c>
      <c r="D6501" s="7" t="s">
        <v>321</v>
      </c>
      <c r="E6501" s="7" t="s">
        <v>154</v>
      </c>
      <c r="F6501" s="7" t="s">
        <v>218</v>
      </c>
      <c r="G6501" s="7" t="s">
        <v>505</v>
      </c>
      <c r="H6501" s="6" t="n">
        <v>4.28</v>
      </c>
      <c r="I6501" s="6" t="n">
        <v>0</v>
      </c>
      <c r="J6501" s="40" t="n">
        <f aca="false">H6501-I6501</f>
        <v>4.28</v>
      </c>
      <c r="K6501" s="41" t="n">
        <v>26.5</v>
      </c>
      <c r="L6501" s="42" t="n">
        <f aca="false">J6501*K6501</f>
        <v>113.42</v>
      </c>
      <c r="M6501" s="43" t="n">
        <f aca="false">H6501*16.19*(1+'Chart of Accounts'!$E$67)</f>
        <v>79.340714</v>
      </c>
    </row>
    <row r="6502" customFormat="false" ht="15" hidden="false" customHeight="false" outlineLevel="0" collapsed="false">
      <c r="B6502" s="7" t="s">
        <v>6999</v>
      </c>
      <c r="C6502" s="39" t="n">
        <v>45959</v>
      </c>
      <c r="D6502" s="7" t="s">
        <v>329</v>
      </c>
      <c r="E6502" s="7" t="s">
        <v>156</v>
      </c>
      <c r="F6502" s="7" t="s">
        <v>220</v>
      </c>
      <c r="G6502" s="7" t="s">
        <v>505</v>
      </c>
      <c r="H6502" s="6" t="n">
        <v>3.76</v>
      </c>
      <c r="I6502" s="6" t="n">
        <v>0</v>
      </c>
      <c r="J6502" s="40" t="n">
        <f aca="false">H6502-I6502</f>
        <v>3.76</v>
      </c>
      <c r="K6502" s="41" t="n">
        <v>34</v>
      </c>
      <c r="L6502" s="42" t="n">
        <f aca="false">J6502*K6502</f>
        <v>127.84</v>
      </c>
      <c r="M6502" s="43" t="n">
        <f aca="false">H6502*16.43*(1+'Chart of Accounts'!$E$67)</f>
        <v>70.734436</v>
      </c>
    </row>
    <row r="6503" customFormat="false" ht="15" hidden="false" customHeight="false" outlineLevel="0" collapsed="false">
      <c r="B6503" s="7" t="s">
        <v>7000</v>
      </c>
      <c r="C6503" s="39" t="n">
        <v>45959</v>
      </c>
      <c r="D6503" s="7" t="s">
        <v>333</v>
      </c>
      <c r="E6503" s="7" t="s">
        <v>154</v>
      </c>
      <c r="F6503" s="7" t="s">
        <v>236</v>
      </c>
      <c r="G6503" s="7" t="s">
        <v>505</v>
      </c>
      <c r="H6503" s="6" t="n">
        <v>3.32</v>
      </c>
      <c r="I6503" s="6" t="n">
        <v>0</v>
      </c>
      <c r="J6503" s="40" t="n">
        <f aca="false">H6503-I6503</f>
        <v>3.32</v>
      </c>
      <c r="K6503" s="41" t="n">
        <v>26.5</v>
      </c>
      <c r="L6503" s="42" t="n">
        <f aca="false">J6503*K6503</f>
        <v>87.98</v>
      </c>
      <c r="M6503" s="43" t="n">
        <f aca="false">H6503*15.49*(1+'Chart of Accounts'!$E$67)</f>
        <v>58.883686</v>
      </c>
    </row>
    <row r="6504" customFormat="false" ht="15" hidden="false" customHeight="false" outlineLevel="0" collapsed="false">
      <c r="B6504" s="7" t="s">
        <v>7001</v>
      </c>
      <c r="C6504" s="39" t="n">
        <v>45959</v>
      </c>
      <c r="D6504" s="7" t="s">
        <v>335</v>
      </c>
      <c r="E6504" s="7" t="s">
        <v>154</v>
      </c>
      <c r="F6504" s="7" t="s">
        <v>177</v>
      </c>
      <c r="G6504" s="7" t="s">
        <v>505</v>
      </c>
      <c r="H6504" s="6" t="n">
        <v>3.93</v>
      </c>
      <c r="I6504" s="6" t="n">
        <v>0</v>
      </c>
      <c r="J6504" s="40" t="n">
        <f aca="false">H6504-I6504</f>
        <v>3.93</v>
      </c>
      <c r="K6504" s="41" t="n">
        <v>26.5</v>
      </c>
      <c r="L6504" s="42" t="n">
        <f aca="false">J6504*K6504</f>
        <v>104.145</v>
      </c>
      <c r="M6504" s="43" t="n">
        <f aca="false">H6504*14.56*(1+'Chart of Accounts'!$E$67)</f>
        <v>65.517816</v>
      </c>
    </row>
    <row r="6505" customFormat="false" ht="15" hidden="false" customHeight="false" outlineLevel="0" collapsed="false">
      <c r="B6505" s="7" t="s">
        <v>7002</v>
      </c>
      <c r="C6505" s="39" t="n">
        <v>45959</v>
      </c>
      <c r="D6505" s="7" t="s">
        <v>339</v>
      </c>
      <c r="E6505" s="7" t="s">
        <v>154</v>
      </c>
      <c r="F6505" s="7" t="s">
        <v>242</v>
      </c>
      <c r="G6505" s="7" t="s">
        <v>505</v>
      </c>
      <c r="H6505" s="6" t="n">
        <v>3.03</v>
      </c>
      <c r="I6505" s="6" t="n">
        <v>0</v>
      </c>
      <c r="J6505" s="40" t="n">
        <f aca="false">H6505-I6505</f>
        <v>3.03</v>
      </c>
      <c r="K6505" s="41" t="n">
        <v>26.5</v>
      </c>
      <c r="L6505" s="42" t="n">
        <f aca="false">J6505*K6505</f>
        <v>80.295</v>
      </c>
      <c r="M6505" s="43" t="n">
        <f aca="false">H6505*17.99*(1+'Chart of Accounts'!$E$67)</f>
        <v>62.4136065</v>
      </c>
    </row>
    <row r="6506" customFormat="false" ht="15" hidden="false" customHeight="false" outlineLevel="0" collapsed="false">
      <c r="B6506" s="7" t="s">
        <v>7003</v>
      </c>
      <c r="C6506" s="39" t="n">
        <v>45959</v>
      </c>
      <c r="D6506" s="7" t="s">
        <v>347</v>
      </c>
      <c r="E6506" s="7" t="s">
        <v>154</v>
      </c>
      <c r="F6506" s="7" t="s">
        <v>238</v>
      </c>
      <c r="G6506" s="7" t="s">
        <v>505</v>
      </c>
      <c r="H6506" s="6" t="n">
        <v>4.23</v>
      </c>
      <c r="I6506" s="6" t="n">
        <v>0</v>
      </c>
      <c r="J6506" s="40" t="n">
        <f aca="false">H6506-I6506</f>
        <v>4.23</v>
      </c>
      <c r="K6506" s="41" t="n">
        <v>26.5</v>
      </c>
      <c r="L6506" s="42" t="n">
        <f aca="false">J6506*K6506</f>
        <v>112.095</v>
      </c>
      <c r="M6506" s="43" t="n">
        <f aca="false">H6506*15.85*(1+'Chart of Accounts'!$E$67)</f>
        <v>76.7670975</v>
      </c>
    </row>
    <row r="6507" customFormat="false" ht="15" hidden="false" customHeight="false" outlineLevel="0" collapsed="false">
      <c r="B6507" s="7" t="s">
        <v>7004</v>
      </c>
      <c r="C6507" s="39" t="n">
        <v>45959</v>
      </c>
      <c r="D6507" s="7" t="s">
        <v>349</v>
      </c>
      <c r="E6507" s="7" t="s">
        <v>154</v>
      </c>
      <c r="F6507" s="7" t="s">
        <v>244</v>
      </c>
      <c r="G6507" s="7" t="s">
        <v>505</v>
      </c>
      <c r="H6507" s="6" t="n">
        <v>4.29</v>
      </c>
      <c r="I6507" s="6" t="n">
        <v>0</v>
      </c>
      <c r="J6507" s="40" t="n">
        <f aca="false">H6507-I6507</f>
        <v>4.29</v>
      </c>
      <c r="K6507" s="41" t="n">
        <v>26.5</v>
      </c>
      <c r="L6507" s="42" t="n">
        <f aca="false">J6507*K6507</f>
        <v>113.685</v>
      </c>
      <c r="M6507" s="43" t="n">
        <f aca="false">H6507*16.39*(1+'Chart of Accounts'!$E$67)</f>
        <v>80.5084995</v>
      </c>
    </row>
    <row r="6508" customFormat="false" ht="15" hidden="false" customHeight="false" outlineLevel="0" collapsed="false">
      <c r="B6508" s="7" t="s">
        <v>7005</v>
      </c>
      <c r="C6508" s="39" t="n">
        <v>45959</v>
      </c>
      <c r="D6508" s="7" t="s">
        <v>353</v>
      </c>
      <c r="E6508" s="7" t="s">
        <v>154</v>
      </c>
      <c r="F6508" s="7" t="s">
        <v>254</v>
      </c>
      <c r="G6508" s="7" t="s">
        <v>505</v>
      </c>
      <c r="H6508" s="6" t="n">
        <v>3.35</v>
      </c>
      <c r="I6508" s="6" t="n">
        <v>0</v>
      </c>
      <c r="J6508" s="40" t="n">
        <f aca="false">H6508-I6508</f>
        <v>3.35</v>
      </c>
      <c r="K6508" s="41" t="n">
        <v>26.5</v>
      </c>
      <c r="L6508" s="42" t="n">
        <f aca="false">J6508*K6508</f>
        <v>88.775</v>
      </c>
      <c r="M6508" s="43" t="n">
        <f aca="false">H6508*17.1*(1+'Chart of Accounts'!$E$67)</f>
        <v>65.591325</v>
      </c>
    </row>
    <row r="6509" customFormat="false" ht="15" hidden="false" customHeight="false" outlineLevel="0" collapsed="false">
      <c r="B6509" s="7" t="s">
        <v>7006</v>
      </c>
      <c r="C6509" s="39" t="n">
        <v>45959</v>
      </c>
      <c r="D6509" s="7" t="s">
        <v>355</v>
      </c>
      <c r="E6509" s="7" t="s">
        <v>154</v>
      </c>
      <c r="F6509" s="7" t="s">
        <v>201</v>
      </c>
      <c r="G6509" s="7" t="s">
        <v>505</v>
      </c>
      <c r="H6509" s="6" t="n">
        <v>3.12</v>
      </c>
      <c r="I6509" s="6" t="n">
        <v>0</v>
      </c>
      <c r="J6509" s="40" t="n">
        <f aca="false">H6509-I6509</f>
        <v>3.12</v>
      </c>
      <c r="K6509" s="41" t="n">
        <v>26.5</v>
      </c>
      <c r="L6509" s="42" t="n">
        <f aca="false">J6509*K6509</f>
        <v>82.68</v>
      </c>
      <c r="M6509" s="43" t="n">
        <f aca="false">H6509*15.19*(1+'Chart of Accounts'!$E$67)</f>
        <v>54.264756</v>
      </c>
    </row>
    <row r="6510" customFormat="false" ht="15" hidden="false" customHeight="false" outlineLevel="0" collapsed="false">
      <c r="B6510" s="7" t="s">
        <v>7007</v>
      </c>
      <c r="C6510" s="39" t="n">
        <v>45959</v>
      </c>
      <c r="D6510" s="7" t="s">
        <v>357</v>
      </c>
      <c r="E6510" s="7" t="s">
        <v>154</v>
      </c>
      <c r="F6510" s="7" t="s">
        <v>177</v>
      </c>
      <c r="G6510" s="7" t="s">
        <v>505</v>
      </c>
      <c r="H6510" s="6" t="n">
        <v>3.2</v>
      </c>
      <c r="I6510" s="6" t="n">
        <v>0</v>
      </c>
      <c r="J6510" s="40" t="n">
        <f aca="false">H6510-I6510</f>
        <v>3.2</v>
      </c>
      <c r="K6510" s="41" t="n">
        <v>26.5</v>
      </c>
      <c r="L6510" s="42" t="n">
        <f aca="false">J6510*K6510</f>
        <v>84.8</v>
      </c>
      <c r="M6510" s="43" t="n">
        <f aca="false">H6510*14.56*(1+'Chart of Accounts'!$E$67)</f>
        <v>53.34784</v>
      </c>
    </row>
    <row r="6511" customFormat="false" ht="15" hidden="false" customHeight="false" outlineLevel="0" collapsed="false">
      <c r="B6511" s="7" t="s">
        <v>7008</v>
      </c>
      <c r="C6511" s="39" t="n">
        <v>45959</v>
      </c>
      <c r="D6511" s="7" t="s">
        <v>359</v>
      </c>
      <c r="E6511" s="7" t="s">
        <v>156</v>
      </c>
      <c r="F6511" s="7" t="s">
        <v>244</v>
      </c>
      <c r="G6511" s="7" t="s">
        <v>505</v>
      </c>
      <c r="H6511" s="6" t="n">
        <v>3.62</v>
      </c>
      <c r="I6511" s="6" t="n">
        <v>0</v>
      </c>
      <c r="J6511" s="40" t="n">
        <f aca="false">H6511-I6511</f>
        <v>3.62</v>
      </c>
      <c r="K6511" s="41" t="n">
        <v>34</v>
      </c>
      <c r="L6511" s="42" t="n">
        <f aca="false">J6511*K6511</f>
        <v>123.08</v>
      </c>
      <c r="M6511" s="43" t="n">
        <f aca="false">H6511*16.39*(1+'Chart of Accounts'!$E$67)</f>
        <v>67.934911</v>
      </c>
    </row>
    <row r="6512" customFormat="false" ht="15" hidden="false" customHeight="false" outlineLevel="0" collapsed="false">
      <c r="B6512" s="7" t="s">
        <v>7009</v>
      </c>
      <c r="C6512" s="39" t="n">
        <v>45959</v>
      </c>
      <c r="D6512" s="7" t="s">
        <v>365</v>
      </c>
      <c r="E6512" s="7" t="s">
        <v>154</v>
      </c>
      <c r="F6512" s="7" t="s">
        <v>194</v>
      </c>
      <c r="G6512" s="7" t="s">
        <v>505</v>
      </c>
      <c r="H6512" s="6" t="n">
        <v>4.37</v>
      </c>
      <c r="I6512" s="6" t="n">
        <v>0</v>
      </c>
      <c r="J6512" s="40" t="n">
        <f aca="false">H6512-I6512</f>
        <v>4.37</v>
      </c>
      <c r="K6512" s="41" t="n">
        <v>26.5</v>
      </c>
      <c r="L6512" s="42" t="n">
        <f aca="false">J6512*K6512</f>
        <v>115.805</v>
      </c>
      <c r="M6512" s="43" t="n">
        <f aca="false">H6512*16*(1+'Chart of Accounts'!$E$67)</f>
        <v>80.0584</v>
      </c>
    </row>
    <row r="6513" customFormat="false" ht="15" hidden="false" customHeight="false" outlineLevel="0" collapsed="false">
      <c r="B6513" s="7" t="s">
        <v>7010</v>
      </c>
      <c r="C6513" s="39" t="n">
        <v>45959</v>
      </c>
      <c r="D6513" s="7" t="s">
        <v>371</v>
      </c>
      <c r="E6513" s="7" t="s">
        <v>154</v>
      </c>
      <c r="F6513" s="7" t="s">
        <v>232</v>
      </c>
      <c r="G6513" s="7" t="s">
        <v>505</v>
      </c>
      <c r="H6513" s="6" t="n">
        <v>4.8</v>
      </c>
      <c r="I6513" s="6" t="n">
        <v>0.144</v>
      </c>
      <c r="J6513" s="40" t="n">
        <f aca="false">H6513-I6513</f>
        <v>4.656</v>
      </c>
      <c r="K6513" s="41" t="n">
        <v>26.5</v>
      </c>
      <c r="L6513" s="42" t="n">
        <f aca="false">J6513*K6513</f>
        <v>123.384</v>
      </c>
      <c r="M6513" s="43" t="n">
        <f aca="false">H6513*16.17*(1+'Chart of Accounts'!$E$67)</f>
        <v>88.87032</v>
      </c>
    </row>
    <row r="6514" customFormat="false" ht="15" hidden="false" customHeight="false" outlineLevel="0" collapsed="false">
      <c r="B6514" s="7" t="s">
        <v>7011</v>
      </c>
      <c r="C6514" s="39" t="n">
        <v>45959</v>
      </c>
      <c r="D6514" s="7" t="s">
        <v>379</v>
      </c>
      <c r="E6514" s="7" t="s">
        <v>156</v>
      </c>
      <c r="F6514" s="7" t="s">
        <v>224</v>
      </c>
      <c r="G6514" s="7" t="s">
        <v>505</v>
      </c>
      <c r="H6514" s="6" t="n">
        <v>4.84</v>
      </c>
      <c r="I6514" s="6" t="n">
        <v>0</v>
      </c>
      <c r="J6514" s="40" t="n">
        <f aca="false">H6514-I6514</f>
        <v>4.84</v>
      </c>
      <c r="K6514" s="41" t="n">
        <v>34</v>
      </c>
      <c r="L6514" s="42" t="n">
        <f aca="false">J6514*K6514</f>
        <v>164.56</v>
      </c>
      <c r="M6514" s="43" t="n">
        <f aca="false">H6514*14.93*(1+'Chart of Accounts'!$E$67)</f>
        <v>82.739074</v>
      </c>
    </row>
    <row r="6515" customFormat="false" ht="15" hidden="false" customHeight="false" outlineLevel="0" collapsed="false">
      <c r="B6515" s="7" t="s">
        <v>7012</v>
      </c>
      <c r="C6515" s="39" t="n">
        <v>45959</v>
      </c>
      <c r="D6515" s="7" t="s">
        <v>385</v>
      </c>
      <c r="E6515" s="7" t="s">
        <v>156</v>
      </c>
      <c r="F6515" s="7" t="s">
        <v>238</v>
      </c>
      <c r="G6515" s="7" t="s">
        <v>505</v>
      </c>
      <c r="H6515" s="6" t="n">
        <v>3.91</v>
      </c>
      <c r="I6515" s="6" t="n">
        <v>0</v>
      </c>
      <c r="J6515" s="40" t="n">
        <f aca="false">H6515-I6515</f>
        <v>3.91</v>
      </c>
      <c r="K6515" s="41" t="n">
        <v>34</v>
      </c>
      <c r="L6515" s="42" t="n">
        <f aca="false">J6515*K6515</f>
        <v>132.94</v>
      </c>
      <c r="M6515" s="43" t="n">
        <f aca="false">H6515*15.85*(1+'Chart of Accounts'!$E$67)</f>
        <v>70.9596575</v>
      </c>
    </row>
    <row r="6516" customFormat="false" ht="15" hidden="false" customHeight="false" outlineLevel="0" collapsed="false">
      <c r="B6516" s="7" t="s">
        <v>7013</v>
      </c>
      <c r="C6516" s="39" t="n">
        <v>45959</v>
      </c>
      <c r="D6516" s="7" t="s">
        <v>387</v>
      </c>
      <c r="E6516" s="7" t="s">
        <v>154</v>
      </c>
      <c r="F6516" s="7" t="s">
        <v>196</v>
      </c>
      <c r="G6516" s="7" t="s">
        <v>505</v>
      </c>
      <c r="H6516" s="6" t="n">
        <v>3.92</v>
      </c>
      <c r="I6516" s="6" t="n">
        <v>0</v>
      </c>
      <c r="J6516" s="40" t="n">
        <f aca="false">H6516-I6516</f>
        <v>3.92</v>
      </c>
      <c r="K6516" s="41" t="n">
        <v>26.5</v>
      </c>
      <c r="L6516" s="42" t="n">
        <f aca="false">J6516*K6516</f>
        <v>103.88</v>
      </c>
      <c r="M6516" s="43" t="n">
        <f aca="false">H6516*15.05*(1+'Chart of Accounts'!$E$67)</f>
        <v>67.55042</v>
      </c>
    </row>
    <row r="6517" customFormat="false" ht="15" hidden="false" customHeight="false" outlineLevel="0" collapsed="false">
      <c r="B6517" s="7" t="s">
        <v>7014</v>
      </c>
      <c r="C6517" s="39" t="n">
        <v>45959</v>
      </c>
      <c r="D6517" s="7" t="s">
        <v>389</v>
      </c>
      <c r="E6517" s="7" t="s">
        <v>154</v>
      </c>
      <c r="F6517" s="7" t="s">
        <v>246</v>
      </c>
      <c r="G6517" s="7" t="s">
        <v>505</v>
      </c>
      <c r="H6517" s="6" t="n">
        <v>4.02</v>
      </c>
      <c r="I6517" s="6" t="n">
        <v>0</v>
      </c>
      <c r="J6517" s="40" t="n">
        <f aca="false">H6517-I6517</f>
        <v>4.02</v>
      </c>
      <c r="K6517" s="41" t="n">
        <v>26.5</v>
      </c>
      <c r="L6517" s="42" t="n">
        <f aca="false">J6517*K6517</f>
        <v>106.53</v>
      </c>
      <c r="M6517" s="43" t="n">
        <f aca="false">H6517*16.48*(1+'Chart of Accounts'!$E$67)</f>
        <v>75.855792</v>
      </c>
    </row>
    <row r="6518" customFormat="false" ht="15" hidden="false" customHeight="false" outlineLevel="0" collapsed="false">
      <c r="B6518" s="7" t="s">
        <v>7015</v>
      </c>
      <c r="C6518" s="39" t="n">
        <v>45959</v>
      </c>
      <c r="D6518" s="7" t="s">
        <v>391</v>
      </c>
      <c r="E6518" s="7" t="s">
        <v>156</v>
      </c>
      <c r="F6518" s="7" t="s">
        <v>222</v>
      </c>
      <c r="G6518" s="7" t="s">
        <v>505</v>
      </c>
      <c r="H6518" s="6" t="n">
        <v>3.7</v>
      </c>
      <c r="I6518" s="6" t="n">
        <v>0</v>
      </c>
      <c r="J6518" s="40" t="n">
        <f aca="false">H6518-I6518</f>
        <v>3.7</v>
      </c>
      <c r="K6518" s="41" t="n">
        <v>34</v>
      </c>
      <c r="L6518" s="42" t="n">
        <f aca="false">J6518*K6518</f>
        <v>125.8</v>
      </c>
      <c r="M6518" s="43" t="n">
        <f aca="false">H6518*17.84*(1+'Chart of Accounts'!$E$67)</f>
        <v>75.57916</v>
      </c>
    </row>
    <row r="6519" customFormat="false" ht="15" hidden="false" customHeight="false" outlineLevel="0" collapsed="false">
      <c r="B6519" s="7" t="s">
        <v>7016</v>
      </c>
      <c r="C6519" s="39" t="n">
        <v>45959</v>
      </c>
      <c r="D6519" s="7" t="s">
        <v>393</v>
      </c>
      <c r="E6519" s="7" t="s">
        <v>157</v>
      </c>
      <c r="F6519" s="7" t="s">
        <v>203</v>
      </c>
      <c r="G6519" s="7" t="s">
        <v>502</v>
      </c>
      <c r="H6519" s="6" t="n">
        <v>0.94</v>
      </c>
      <c r="I6519" s="6" t="n">
        <v>0</v>
      </c>
      <c r="J6519" s="40" t="n">
        <f aca="false">H6519-I6519</f>
        <v>0.94</v>
      </c>
      <c r="K6519" s="41" t="n">
        <v>165</v>
      </c>
      <c r="L6519" s="42" t="n">
        <f aca="false">J6519*K6519</f>
        <v>155.1</v>
      </c>
      <c r="M6519" s="43" t="n">
        <f aca="false">H6519*49.43*(1+'Chart of Accounts'!$E$67)</f>
        <v>53.201509</v>
      </c>
    </row>
    <row r="6520" customFormat="false" ht="15" hidden="false" customHeight="false" outlineLevel="0" collapsed="false">
      <c r="B6520" s="7" t="s">
        <v>7017</v>
      </c>
      <c r="C6520" s="39" t="n">
        <v>45959</v>
      </c>
      <c r="D6520" s="7" t="s">
        <v>395</v>
      </c>
      <c r="E6520" s="7" t="s">
        <v>156</v>
      </c>
      <c r="F6520" s="7" t="s">
        <v>242</v>
      </c>
      <c r="G6520" s="7" t="s">
        <v>505</v>
      </c>
      <c r="H6520" s="6" t="n">
        <v>4.32</v>
      </c>
      <c r="I6520" s="6" t="n">
        <v>0</v>
      </c>
      <c r="J6520" s="40" t="n">
        <f aca="false">H6520-I6520</f>
        <v>4.32</v>
      </c>
      <c r="K6520" s="41" t="n">
        <v>34</v>
      </c>
      <c r="L6520" s="42" t="n">
        <f aca="false">J6520*K6520</f>
        <v>146.88</v>
      </c>
      <c r="M6520" s="43" t="n">
        <f aca="false">H6520*17.99*(1+'Chart of Accounts'!$E$67)</f>
        <v>88.985736</v>
      </c>
    </row>
    <row r="6521" customFormat="false" ht="15" hidden="false" customHeight="false" outlineLevel="0" collapsed="false">
      <c r="B6521" s="7" t="s">
        <v>7018</v>
      </c>
      <c r="C6521" s="39" t="n">
        <v>45959</v>
      </c>
      <c r="D6521" s="7" t="s">
        <v>399</v>
      </c>
      <c r="E6521" s="7" t="s">
        <v>154</v>
      </c>
      <c r="F6521" s="7" t="s">
        <v>256</v>
      </c>
      <c r="G6521" s="7" t="s">
        <v>505</v>
      </c>
      <c r="H6521" s="6" t="n">
        <v>3.22</v>
      </c>
      <c r="I6521" s="6" t="n">
        <v>0</v>
      </c>
      <c r="J6521" s="40" t="n">
        <f aca="false">H6521-I6521</f>
        <v>3.22</v>
      </c>
      <c r="K6521" s="41" t="n">
        <v>26.5</v>
      </c>
      <c r="L6521" s="42" t="n">
        <f aca="false">J6521*K6521</f>
        <v>85.33</v>
      </c>
      <c r="M6521" s="43" t="n">
        <f aca="false">H6521*15.63*(1+'Chart of Accounts'!$E$67)</f>
        <v>57.626247</v>
      </c>
    </row>
    <row r="6522" customFormat="false" ht="15" hidden="false" customHeight="false" outlineLevel="0" collapsed="false">
      <c r="B6522" s="7" t="s">
        <v>7019</v>
      </c>
      <c r="C6522" s="39" t="n">
        <v>45959</v>
      </c>
      <c r="D6522" s="7" t="s">
        <v>401</v>
      </c>
      <c r="E6522" s="7" t="s">
        <v>156</v>
      </c>
      <c r="F6522" s="7" t="s">
        <v>254</v>
      </c>
      <c r="G6522" s="7" t="s">
        <v>505</v>
      </c>
      <c r="H6522" s="6" t="n">
        <v>4.11</v>
      </c>
      <c r="I6522" s="6" t="n">
        <v>0</v>
      </c>
      <c r="J6522" s="40" t="n">
        <f aca="false">H6522-I6522</f>
        <v>4.11</v>
      </c>
      <c r="K6522" s="41" t="n">
        <v>34</v>
      </c>
      <c r="L6522" s="42" t="n">
        <f aca="false">J6522*K6522</f>
        <v>139.74</v>
      </c>
      <c r="M6522" s="43" t="n">
        <f aca="false">H6522*17.1*(1+'Chart of Accounts'!$E$67)</f>
        <v>80.471745</v>
      </c>
    </row>
    <row r="6523" customFormat="false" ht="15" hidden="false" customHeight="false" outlineLevel="0" collapsed="false">
      <c r="B6523" s="7" t="s">
        <v>7020</v>
      </c>
      <c r="C6523" s="39" t="n">
        <v>45959</v>
      </c>
      <c r="D6523" s="7" t="s">
        <v>403</v>
      </c>
      <c r="E6523" s="7" t="s">
        <v>156</v>
      </c>
      <c r="F6523" s="7" t="s">
        <v>184</v>
      </c>
      <c r="G6523" s="7" t="s">
        <v>505</v>
      </c>
      <c r="H6523" s="6" t="n">
        <v>4.26</v>
      </c>
      <c r="I6523" s="6" t="n">
        <v>0</v>
      </c>
      <c r="J6523" s="40" t="n">
        <f aca="false">H6523-I6523</f>
        <v>4.26</v>
      </c>
      <c r="K6523" s="41" t="n">
        <v>34</v>
      </c>
      <c r="L6523" s="42" t="n">
        <f aca="false">J6523*K6523</f>
        <v>144.84</v>
      </c>
      <c r="M6523" s="43" t="n">
        <f aca="false">H6523*17.34*(1+'Chart of Accounts'!$E$67)</f>
        <v>84.579318</v>
      </c>
    </row>
    <row r="6524" customFormat="false" ht="15" hidden="false" customHeight="false" outlineLevel="0" collapsed="false">
      <c r="B6524" s="7" t="s">
        <v>7021</v>
      </c>
      <c r="C6524" s="39" t="n">
        <v>45959</v>
      </c>
      <c r="D6524" s="7" t="s">
        <v>409</v>
      </c>
      <c r="E6524" s="7" t="s">
        <v>154</v>
      </c>
      <c r="F6524" s="7" t="s">
        <v>214</v>
      </c>
      <c r="G6524" s="7" t="s">
        <v>505</v>
      </c>
      <c r="H6524" s="6" t="n">
        <v>3.12</v>
      </c>
      <c r="I6524" s="6" t="n">
        <v>0</v>
      </c>
      <c r="J6524" s="40" t="n">
        <f aca="false">H6524-I6524</f>
        <v>3.12</v>
      </c>
      <c r="K6524" s="41" t="n">
        <v>26.5</v>
      </c>
      <c r="L6524" s="42" t="n">
        <f aca="false">J6524*K6524</f>
        <v>82.68</v>
      </c>
      <c r="M6524" s="43" t="n">
        <f aca="false">H6524*15.67*(1+'Chart of Accounts'!$E$67)</f>
        <v>55.979508</v>
      </c>
    </row>
    <row r="6525" customFormat="false" ht="15" hidden="false" customHeight="false" outlineLevel="0" collapsed="false">
      <c r="B6525" s="7" t="s">
        <v>7022</v>
      </c>
      <c r="C6525" s="39" t="n">
        <v>45959</v>
      </c>
      <c r="D6525" s="7" t="s">
        <v>411</v>
      </c>
      <c r="E6525" s="7" t="s">
        <v>154</v>
      </c>
      <c r="F6525" s="7" t="s">
        <v>177</v>
      </c>
      <c r="G6525" s="7" t="s">
        <v>505</v>
      </c>
      <c r="H6525" s="6" t="n">
        <v>4.82</v>
      </c>
      <c r="I6525" s="6" t="n">
        <v>0</v>
      </c>
      <c r="J6525" s="40" t="n">
        <f aca="false">H6525-I6525</f>
        <v>4.82</v>
      </c>
      <c r="K6525" s="41" t="n">
        <v>26.5</v>
      </c>
      <c r="L6525" s="42" t="n">
        <f aca="false">J6525*K6525</f>
        <v>127.73</v>
      </c>
      <c r="M6525" s="43" t="n">
        <f aca="false">H6525*14.56*(1+'Chart of Accounts'!$E$67)</f>
        <v>80.355184</v>
      </c>
    </row>
    <row r="6526" customFormat="false" ht="15" hidden="false" customHeight="false" outlineLevel="0" collapsed="false">
      <c r="B6526" s="7" t="s">
        <v>7023</v>
      </c>
      <c r="C6526" s="39" t="n">
        <v>45960</v>
      </c>
      <c r="D6526" s="7" t="s">
        <v>288</v>
      </c>
      <c r="E6526" s="7" t="s">
        <v>156</v>
      </c>
      <c r="F6526" s="7" t="s">
        <v>238</v>
      </c>
      <c r="G6526" s="7" t="s">
        <v>505</v>
      </c>
      <c r="H6526" s="6" t="n">
        <v>4.13</v>
      </c>
      <c r="I6526" s="6" t="n">
        <v>0</v>
      </c>
      <c r="J6526" s="40" t="n">
        <f aca="false">H6526-I6526</f>
        <v>4.13</v>
      </c>
      <c r="K6526" s="41" t="n">
        <v>34</v>
      </c>
      <c r="L6526" s="42" t="n">
        <f aca="false">J6526*K6526</f>
        <v>140.42</v>
      </c>
      <c r="M6526" s="43" t="n">
        <f aca="false">H6526*15.85*(1+'Chart of Accounts'!$E$67)</f>
        <v>74.9522725</v>
      </c>
    </row>
    <row r="6527" customFormat="false" ht="15" hidden="false" customHeight="false" outlineLevel="0" collapsed="false">
      <c r="B6527" s="7" t="s">
        <v>7024</v>
      </c>
      <c r="C6527" s="39" t="n">
        <v>45960</v>
      </c>
      <c r="D6527" s="7" t="s">
        <v>297</v>
      </c>
      <c r="E6527" s="7" t="s">
        <v>156</v>
      </c>
      <c r="F6527" s="7" t="s">
        <v>201</v>
      </c>
      <c r="G6527" s="7" t="s">
        <v>505</v>
      </c>
      <c r="H6527" s="6" t="n">
        <v>3.05</v>
      </c>
      <c r="I6527" s="6" t="n">
        <v>0</v>
      </c>
      <c r="J6527" s="40" t="n">
        <f aca="false">H6527-I6527</f>
        <v>3.05</v>
      </c>
      <c r="K6527" s="41" t="n">
        <v>34</v>
      </c>
      <c r="L6527" s="42" t="n">
        <f aca="false">J6527*K6527</f>
        <v>103.7</v>
      </c>
      <c r="M6527" s="43" t="n">
        <f aca="false">H6527*15.19*(1+'Chart of Accounts'!$E$67)</f>
        <v>53.0472775</v>
      </c>
    </row>
    <row r="6528" customFormat="false" ht="15" hidden="false" customHeight="false" outlineLevel="0" collapsed="false">
      <c r="B6528" s="7" t="s">
        <v>7025</v>
      </c>
      <c r="C6528" s="39" t="n">
        <v>45960</v>
      </c>
      <c r="D6528" s="7" t="s">
        <v>299</v>
      </c>
      <c r="E6528" s="7" t="s">
        <v>154</v>
      </c>
      <c r="F6528" s="7" t="s">
        <v>205</v>
      </c>
      <c r="G6528" s="7" t="s">
        <v>505</v>
      </c>
      <c r="H6528" s="6" t="n">
        <v>2.83</v>
      </c>
      <c r="I6528" s="6" t="n">
        <v>0.085</v>
      </c>
      <c r="J6528" s="40" t="n">
        <f aca="false">H6528-I6528</f>
        <v>2.745</v>
      </c>
      <c r="K6528" s="41" t="n">
        <v>26.5</v>
      </c>
      <c r="L6528" s="42" t="n">
        <f aca="false">J6528*K6528</f>
        <v>72.7425</v>
      </c>
      <c r="M6528" s="43" t="n">
        <f aca="false">H6528*16.36*(1+'Chart of Accounts'!$E$67)</f>
        <v>53.012126</v>
      </c>
    </row>
    <row r="6529" customFormat="false" ht="15" hidden="false" customHeight="false" outlineLevel="0" collapsed="false">
      <c r="B6529" s="7" t="s">
        <v>7026</v>
      </c>
      <c r="C6529" s="39" t="n">
        <v>45960</v>
      </c>
      <c r="D6529" s="7" t="s">
        <v>303</v>
      </c>
      <c r="E6529" s="7" t="s">
        <v>154</v>
      </c>
      <c r="F6529" s="7" t="s">
        <v>240</v>
      </c>
      <c r="G6529" s="7" t="s">
        <v>505</v>
      </c>
      <c r="H6529" s="6" t="n">
        <v>4.04</v>
      </c>
      <c r="I6529" s="6" t="n">
        <v>0</v>
      </c>
      <c r="J6529" s="40" t="n">
        <f aca="false">H6529-I6529</f>
        <v>4.04</v>
      </c>
      <c r="K6529" s="41" t="n">
        <v>26.5</v>
      </c>
      <c r="L6529" s="42" t="n">
        <f aca="false">J6529*K6529</f>
        <v>107.06</v>
      </c>
      <c r="M6529" s="43" t="n">
        <f aca="false">H6529*16.96*(1+'Chart of Accounts'!$E$67)</f>
        <v>78.453568</v>
      </c>
    </row>
    <row r="6530" customFormat="false" ht="15" hidden="false" customHeight="false" outlineLevel="0" collapsed="false">
      <c r="B6530" s="7" t="s">
        <v>7027</v>
      </c>
      <c r="C6530" s="39" t="n">
        <v>45960</v>
      </c>
      <c r="D6530" s="7" t="s">
        <v>311</v>
      </c>
      <c r="E6530" s="7" t="s">
        <v>154</v>
      </c>
      <c r="F6530" s="7" t="s">
        <v>196</v>
      </c>
      <c r="G6530" s="7" t="s">
        <v>505</v>
      </c>
      <c r="H6530" s="6" t="n">
        <v>3.19</v>
      </c>
      <c r="I6530" s="6" t="n">
        <v>0.096</v>
      </c>
      <c r="J6530" s="40" t="n">
        <f aca="false">H6530-I6530</f>
        <v>3.094</v>
      </c>
      <c r="K6530" s="41" t="n">
        <v>26.5</v>
      </c>
      <c r="L6530" s="42" t="n">
        <f aca="false">J6530*K6530</f>
        <v>81.991</v>
      </c>
      <c r="M6530" s="43" t="n">
        <f aca="false">H6530*15.05*(1+'Chart of Accounts'!$E$67)</f>
        <v>54.9708775</v>
      </c>
    </row>
    <row r="6531" customFormat="false" ht="15" hidden="false" customHeight="false" outlineLevel="0" collapsed="false">
      <c r="B6531" s="7" t="s">
        <v>7028</v>
      </c>
      <c r="C6531" s="39" t="n">
        <v>45960</v>
      </c>
      <c r="D6531" s="7" t="s">
        <v>313</v>
      </c>
      <c r="E6531" s="7" t="s">
        <v>156</v>
      </c>
      <c r="F6531" s="7" t="s">
        <v>184</v>
      </c>
      <c r="G6531" s="7" t="s">
        <v>505</v>
      </c>
      <c r="H6531" s="6" t="n">
        <v>4.09</v>
      </c>
      <c r="I6531" s="6" t="n">
        <v>0</v>
      </c>
      <c r="J6531" s="40" t="n">
        <f aca="false">H6531-I6531</f>
        <v>4.09</v>
      </c>
      <c r="K6531" s="41" t="n">
        <v>34</v>
      </c>
      <c r="L6531" s="42" t="n">
        <f aca="false">J6531*K6531</f>
        <v>139.06</v>
      </c>
      <c r="M6531" s="43" t="n">
        <f aca="false">H6531*17.34*(1+'Chart of Accounts'!$E$67)</f>
        <v>81.204087</v>
      </c>
    </row>
    <row r="6532" customFormat="false" ht="15" hidden="false" customHeight="false" outlineLevel="0" collapsed="false">
      <c r="B6532" s="7" t="s">
        <v>7029</v>
      </c>
      <c r="C6532" s="39" t="n">
        <v>45960</v>
      </c>
      <c r="D6532" s="7" t="s">
        <v>317</v>
      </c>
      <c r="E6532" s="7" t="s">
        <v>156</v>
      </c>
      <c r="F6532" s="7" t="s">
        <v>218</v>
      </c>
      <c r="G6532" s="7" t="s">
        <v>505</v>
      </c>
      <c r="H6532" s="6" t="n">
        <v>2.78</v>
      </c>
      <c r="I6532" s="6" t="n">
        <v>0</v>
      </c>
      <c r="J6532" s="40" t="n">
        <f aca="false">H6532-I6532</f>
        <v>2.78</v>
      </c>
      <c r="K6532" s="41" t="n">
        <v>34</v>
      </c>
      <c r="L6532" s="42" t="n">
        <f aca="false">J6532*K6532</f>
        <v>94.52</v>
      </c>
      <c r="M6532" s="43" t="n">
        <f aca="false">H6532*16.19*(1+'Chart of Accounts'!$E$67)</f>
        <v>51.534389</v>
      </c>
    </row>
    <row r="6533" customFormat="false" ht="15" hidden="false" customHeight="false" outlineLevel="0" collapsed="false">
      <c r="B6533" s="7" t="s">
        <v>7030</v>
      </c>
      <c r="C6533" s="39" t="n">
        <v>45960</v>
      </c>
      <c r="D6533" s="7" t="s">
        <v>321</v>
      </c>
      <c r="E6533" s="7" t="s">
        <v>154</v>
      </c>
      <c r="F6533" s="7" t="s">
        <v>218</v>
      </c>
      <c r="G6533" s="7" t="s">
        <v>505</v>
      </c>
      <c r="H6533" s="6" t="n">
        <v>3.71</v>
      </c>
      <c r="I6533" s="6" t="n">
        <v>0</v>
      </c>
      <c r="J6533" s="40" t="n">
        <f aca="false">H6533-I6533</f>
        <v>3.71</v>
      </c>
      <c r="K6533" s="41" t="n">
        <v>26.5</v>
      </c>
      <c r="L6533" s="42" t="n">
        <f aca="false">J6533*K6533</f>
        <v>98.315</v>
      </c>
      <c r="M6533" s="43" t="n">
        <f aca="false">H6533*16.19*(1+'Chart of Accounts'!$E$67)</f>
        <v>68.7743105</v>
      </c>
    </row>
    <row r="6534" customFormat="false" ht="15" hidden="false" customHeight="false" outlineLevel="0" collapsed="false">
      <c r="B6534" s="7" t="s">
        <v>7031</v>
      </c>
      <c r="C6534" s="39" t="n">
        <v>45960</v>
      </c>
      <c r="D6534" s="7" t="s">
        <v>325</v>
      </c>
      <c r="E6534" s="7" t="s">
        <v>154</v>
      </c>
      <c r="F6534" s="7" t="s">
        <v>238</v>
      </c>
      <c r="G6534" s="7" t="s">
        <v>505</v>
      </c>
      <c r="H6534" s="6" t="n">
        <v>2.73</v>
      </c>
      <c r="I6534" s="6" t="n">
        <v>0</v>
      </c>
      <c r="J6534" s="40" t="n">
        <f aca="false">H6534-I6534</f>
        <v>2.73</v>
      </c>
      <c r="K6534" s="41" t="n">
        <v>26.5</v>
      </c>
      <c r="L6534" s="42" t="n">
        <f aca="false">J6534*K6534</f>
        <v>72.345</v>
      </c>
      <c r="M6534" s="43" t="n">
        <f aca="false">H6534*15.85*(1+'Chart of Accounts'!$E$67)</f>
        <v>49.5447225</v>
      </c>
    </row>
    <row r="6535" customFormat="false" ht="15" hidden="false" customHeight="false" outlineLevel="0" collapsed="false">
      <c r="B6535" s="7" t="s">
        <v>7032</v>
      </c>
      <c r="C6535" s="39" t="n">
        <v>45960</v>
      </c>
      <c r="D6535" s="7" t="s">
        <v>329</v>
      </c>
      <c r="E6535" s="7" t="s">
        <v>156</v>
      </c>
      <c r="F6535" s="7" t="s">
        <v>220</v>
      </c>
      <c r="G6535" s="7" t="s">
        <v>505</v>
      </c>
      <c r="H6535" s="6" t="n">
        <v>4.2</v>
      </c>
      <c r="I6535" s="6" t="n">
        <v>0</v>
      </c>
      <c r="J6535" s="40" t="n">
        <f aca="false">H6535-I6535</f>
        <v>4.2</v>
      </c>
      <c r="K6535" s="41" t="n">
        <v>34</v>
      </c>
      <c r="L6535" s="42" t="n">
        <f aca="false">J6535*K6535</f>
        <v>142.8</v>
      </c>
      <c r="M6535" s="43" t="n">
        <f aca="false">H6535*16.43*(1+'Chart of Accounts'!$E$67)</f>
        <v>79.01187</v>
      </c>
    </row>
    <row r="6536" customFormat="false" ht="15" hidden="false" customHeight="false" outlineLevel="0" collapsed="false">
      <c r="B6536" s="7" t="s">
        <v>7033</v>
      </c>
      <c r="C6536" s="39" t="n">
        <v>45960</v>
      </c>
      <c r="D6536" s="7" t="s">
        <v>331</v>
      </c>
      <c r="E6536" s="7" t="s">
        <v>156</v>
      </c>
      <c r="F6536" s="7" t="s">
        <v>224</v>
      </c>
      <c r="G6536" s="7" t="s">
        <v>505</v>
      </c>
      <c r="H6536" s="6" t="n">
        <v>4.23</v>
      </c>
      <c r="I6536" s="6" t="n">
        <v>0</v>
      </c>
      <c r="J6536" s="40" t="n">
        <f aca="false">H6536-I6536</f>
        <v>4.23</v>
      </c>
      <c r="K6536" s="41" t="n">
        <v>34</v>
      </c>
      <c r="L6536" s="42" t="n">
        <f aca="false">J6536*K6536</f>
        <v>143.82</v>
      </c>
      <c r="M6536" s="43" t="n">
        <f aca="false">H6536*14.93*(1+'Chart of Accounts'!$E$67)</f>
        <v>72.3112155</v>
      </c>
    </row>
    <row r="6537" customFormat="false" ht="15" hidden="false" customHeight="false" outlineLevel="0" collapsed="false">
      <c r="B6537" s="7" t="s">
        <v>7034</v>
      </c>
      <c r="C6537" s="39" t="n">
        <v>45960</v>
      </c>
      <c r="D6537" s="7" t="s">
        <v>341</v>
      </c>
      <c r="E6537" s="7" t="s">
        <v>156</v>
      </c>
      <c r="F6537" s="7" t="s">
        <v>222</v>
      </c>
      <c r="G6537" s="7" t="s">
        <v>505</v>
      </c>
      <c r="H6537" s="6" t="n">
        <v>2.71</v>
      </c>
      <c r="I6537" s="6" t="n">
        <v>0</v>
      </c>
      <c r="J6537" s="40" t="n">
        <f aca="false">H6537-I6537</f>
        <v>2.71</v>
      </c>
      <c r="K6537" s="41" t="n">
        <v>34</v>
      </c>
      <c r="L6537" s="42" t="n">
        <f aca="false">J6537*K6537</f>
        <v>92.14</v>
      </c>
      <c r="M6537" s="43" t="n">
        <f aca="false">H6537*17.84*(1+'Chart of Accounts'!$E$67)</f>
        <v>55.356628</v>
      </c>
    </row>
    <row r="6538" customFormat="false" ht="15" hidden="false" customHeight="false" outlineLevel="0" collapsed="false">
      <c r="B6538" s="7" t="s">
        <v>7035</v>
      </c>
      <c r="C6538" s="39" t="n">
        <v>45960</v>
      </c>
      <c r="D6538" s="7" t="s">
        <v>343</v>
      </c>
      <c r="E6538" s="7" t="s">
        <v>154</v>
      </c>
      <c r="F6538" s="7" t="s">
        <v>244</v>
      </c>
      <c r="G6538" s="7" t="s">
        <v>505</v>
      </c>
      <c r="H6538" s="6" t="n">
        <v>4.16</v>
      </c>
      <c r="I6538" s="6" t="n">
        <v>0</v>
      </c>
      <c r="J6538" s="40" t="n">
        <f aca="false">H6538-I6538</f>
        <v>4.16</v>
      </c>
      <c r="K6538" s="41" t="n">
        <v>26.5</v>
      </c>
      <c r="L6538" s="42" t="n">
        <f aca="false">J6538*K6538</f>
        <v>110.24</v>
      </c>
      <c r="M6538" s="43" t="n">
        <f aca="false">H6538*16.39*(1+'Chart of Accounts'!$E$67)</f>
        <v>78.068848</v>
      </c>
    </row>
    <row r="6539" customFormat="false" ht="15" hidden="false" customHeight="false" outlineLevel="0" collapsed="false">
      <c r="B6539" s="7" t="s">
        <v>7036</v>
      </c>
      <c r="C6539" s="39" t="n">
        <v>45960</v>
      </c>
      <c r="D6539" s="7" t="s">
        <v>349</v>
      </c>
      <c r="E6539" s="7" t="s">
        <v>154</v>
      </c>
      <c r="F6539" s="7" t="s">
        <v>244</v>
      </c>
      <c r="G6539" s="7" t="s">
        <v>505</v>
      </c>
      <c r="H6539" s="6" t="n">
        <v>3.7</v>
      </c>
      <c r="I6539" s="6" t="n">
        <v>0</v>
      </c>
      <c r="J6539" s="40" t="n">
        <f aca="false">H6539-I6539</f>
        <v>3.7</v>
      </c>
      <c r="K6539" s="41" t="n">
        <v>26.5</v>
      </c>
      <c r="L6539" s="42" t="n">
        <f aca="false">J6539*K6539</f>
        <v>98.05</v>
      </c>
      <c r="M6539" s="43" t="n">
        <f aca="false">H6539*16.39*(1+'Chart of Accounts'!$E$67)</f>
        <v>69.436235</v>
      </c>
    </row>
    <row r="6540" customFormat="false" ht="15" hidden="false" customHeight="false" outlineLevel="0" collapsed="false">
      <c r="B6540" s="7" t="s">
        <v>7037</v>
      </c>
      <c r="C6540" s="39" t="n">
        <v>45960</v>
      </c>
      <c r="D6540" s="7" t="s">
        <v>351</v>
      </c>
      <c r="E6540" s="7" t="s">
        <v>154</v>
      </c>
      <c r="F6540" s="7" t="s">
        <v>201</v>
      </c>
      <c r="G6540" s="7" t="s">
        <v>505</v>
      </c>
      <c r="H6540" s="6" t="n">
        <v>3.3</v>
      </c>
      <c r="I6540" s="6" t="n">
        <v>0</v>
      </c>
      <c r="J6540" s="40" t="n">
        <f aca="false">H6540-I6540</f>
        <v>3.3</v>
      </c>
      <c r="K6540" s="41" t="n">
        <v>26.5</v>
      </c>
      <c r="L6540" s="42" t="n">
        <f aca="false">J6540*K6540</f>
        <v>87.45</v>
      </c>
      <c r="M6540" s="43" t="n">
        <f aca="false">H6540*15.19*(1+'Chart of Accounts'!$E$67)</f>
        <v>57.395415</v>
      </c>
    </row>
    <row r="6541" customFormat="false" ht="15" hidden="false" customHeight="false" outlineLevel="0" collapsed="false">
      <c r="B6541" s="7" t="s">
        <v>7038</v>
      </c>
      <c r="C6541" s="39" t="n">
        <v>45960</v>
      </c>
      <c r="D6541" s="7" t="s">
        <v>359</v>
      </c>
      <c r="E6541" s="7" t="s">
        <v>156</v>
      </c>
      <c r="F6541" s="7" t="s">
        <v>201</v>
      </c>
      <c r="G6541" s="7" t="s">
        <v>505</v>
      </c>
      <c r="H6541" s="6" t="n">
        <v>4.35</v>
      </c>
      <c r="I6541" s="6" t="n">
        <v>0</v>
      </c>
      <c r="J6541" s="40" t="n">
        <f aca="false">H6541-I6541</f>
        <v>4.35</v>
      </c>
      <c r="K6541" s="41" t="n">
        <v>34</v>
      </c>
      <c r="L6541" s="42" t="n">
        <f aca="false">J6541*K6541</f>
        <v>147.9</v>
      </c>
      <c r="M6541" s="43" t="n">
        <f aca="false">H6541*15.19*(1+'Chart of Accounts'!$E$67)</f>
        <v>75.6575925</v>
      </c>
    </row>
    <row r="6542" customFormat="false" ht="15" hidden="false" customHeight="false" outlineLevel="0" collapsed="false">
      <c r="B6542" s="7" t="s">
        <v>7039</v>
      </c>
      <c r="C6542" s="39" t="n">
        <v>45960</v>
      </c>
      <c r="D6542" s="7" t="s">
        <v>363</v>
      </c>
      <c r="E6542" s="7" t="s">
        <v>156</v>
      </c>
      <c r="F6542" s="7" t="s">
        <v>246</v>
      </c>
      <c r="G6542" s="7" t="s">
        <v>505</v>
      </c>
      <c r="H6542" s="6" t="n">
        <v>4.37</v>
      </c>
      <c r="I6542" s="6" t="n">
        <v>0</v>
      </c>
      <c r="J6542" s="40" t="n">
        <f aca="false">H6542-I6542</f>
        <v>4.37</v>
      </c>
      <c r="K6542" s="41" t="n">
        <v>34</v>
      </c>
      <c r="L6542" s="42" t="n">
        <f aca="false">J6542*K6542</f>
        <v>148.58</v>
      </c>
      <c r="M6542" s="43" t="n">
        <f aca="false">H6542*16.48*(1+'Chart of Accounts'!$E$67)</f>
        <v>82.460152</v>
      </c>
    </row>
    <row r="6543" customFormat="false" ht="15" hidden="false" customHeight="false" outlineLevel="0" collapsed="false">
      <c r="B6543" s="7" t="s">
        <v>7040</v>
      </c>
      <c r="C6543" s="39" t="n">
        <v>45960</v>
      </c>
      <c r="D6543" s="7" t="s">
        <v>365</v>
      </c>
      <c r="E6543" s="7" t="s">
        <v>154</v>
      </c>
      <c r="F6543" s="7" t="s">
        <v>194</v>
      </c>
      <c r="G6543" s="7" t="s">
        <v>505</v>
      </c>
      <c r="H6543" s="6" t="n">
        <v>3.92</v>
      </c>
      <c r="I6543" s="6" t="n">
        <v>0</v>
      </c>
      <c r="J6543" s="40" t="n">
        <f aca="false">H6543-I6543</f>
        <v>3.92</v>
      </c>
      <c r="K6543" s="41" t="n">
        <v>26.5</v>
      </c>
      <c r="L6543" s="42" t="n">
        <f aca="false">J6543*K6543</f>
        <v>103.88</v>
      </c>
      <c r="M6543" s="43" t="n">
        <f aca="false">H6543*16*(1+'Chart of Accounts'!$E$67)</f>
        <v>71.8144</v>
      </c>
    </row>
    <row r="6544" customFormat="false" ht="15" hidden="false" customHeight="false" outlineLevel="0" collapsed="false">
      <c r="B6544" s="7" t="s">
        <v>7041</v>
      </c>
      <c r="C6544" s="39" t="n">
        <v>45960</v>
      </c>
      <c r="D6544" s="7" t="s">
        <v>375</v>
      </c>
      <c r="E6544" s="7" t="s">
        <v>156</v>
      </c>
      <c r="F6544" s="7" t="s">
        <v>196</v>
      </c>
      <c r="G6544" s="7" t="s">
        <v>505</v>
      </c>
      <c r="H6544" s="6" t="n">
        <v>3.28</v>
      </c>
      <c r="I6544" s="6" t="n">
        <v>0</v>
      </c>
      <c r="J6544" s="40" t="n">
        <f aca="false">H6544-I6544</f>
        <v>3.28</v>
      </c>
      <c r="K6544" s="41" t="n">
        <v>34</v>
      </c>
      <c r="L6544" s="42" t="n">
        <f aca="false">J6544*K6544</f>
        <v>111.52</v>
      </c>
      <c r="M6544" s="43" t="n">
        <f aca="false">H6544*15.05*(1+'Chart of Accounts'!$E$67)</f>
        <v>56.52178</v>
      </c>
    </row>
    <row r="6545" customFormat="false" ht="15" hidden="false" customHeight="false" outlineLevel="0" collapsed="false">
      <c r="B6545" s="7" t="s">
        <v>7042</v>
      </c>
      <c r="C6545" s="39" t="n">
        <v>45960</v>
      </c>
      <c r="D6545" s="7" t="s">
        <v>377</v>
      </c>
      <c r="E6545" s="7" t="s">
        <v>154</v>
      </c>
      <c r="F6545" s="7" t="s">
        <v>214</v>
      </c>
      <c r="G6545" s="7" t="s">
        <v>505</v>
      </c>
      <c r="H6545" s="6" t="n">
        <v>3.7</v>
      </c>
      <c r="I6545" s="6" t="n">
        <v>0</v>
      </c>
      <c r="J6545" s="40" t="n">
        <f aca="false">H6545-I6545</f>
        <v>3.7</v>
      </c>
      <c r="K6545" s="41" t="n">
        <v>26.5</v>
      </c>
      <c r="L6545" s="42" t="n">
        <f aca="false">J6545*K6545</f>
        <v>98.05</v>
      </c>
      <c r="M6545" s="43" t="n">
        <f aca="false">H6545*15.67*(1+'Chart of Accounts'!$E$67)</f>
        <v>66.385955</v>
      </c>
    </row>
    <row r="6546" customFormat="false" ht="15" hidden="false" customHeight="false" outlineLevel="0" collapsed="false">
      <c r="B6546" s="7" t="s">
        <v>7043</v>
      </c>
      <c r="C6546" s="39" t="n">
        <v>45960</v>
      </c>
      <c r="D6546" s="7" t="s">
        <v>387</v>
      </c>
      <c r="E6546" s="7" t="s">
        <v>154</v>
      </c>
      <c r="F6546" s="7" t="s">
        <v>196</v>
      </c>
      <c r="G6546" s="7" t="s">
        <v>505</v>
      </c>
      <c r="H6546" s="6" t="n">
        <v>3.99</v>
      </c>
      <c r="I6546" s="6" t="n">
        <v>0</v>
      </c>
      <c r="J6546" s="40" t="n">
        <f aca="false">H6546-I6546</f>
        <v>3.99</v>
      </c>
      <c r="K6546" s="41" t="n">
        <v>26.5</v>
      </c>
      <c r="L6546" s="42" t="n">
        <f aca="false">J6546*K6546</f>
        <v>105.735</v>
      </c>
      <c r="M6546" s="43" t="n">
        <f aca="false">H6546*15.05*(1+'Chart of Accounts'!$E$67)</f>
        <v>68.7566775</v>
      </c>
    </row>
    <row r="6547" customFormat="false" ht="15" hidden="false" customHeight="false" outlineLevel="0" collapsed="false">
      <c r="B6547" s="7" t="s">
        <v>7044</v>
      </c>
      <c r="C6547" s="39" t="n">
        <v>45960</v>
      </c>
      <c r="D6547" s="7" t="s">
        <v>389</v>
      </c>
      <c r="E6547" s="7" t="s">
        <v>154</v>
      </c>
      <c r="F6547" s="7" t="s">
        <v>246</v>
      </c>
      <c r="G6547" s="7" t="s">
        <v>505</v>
      </c>
      <c r="H6547" s="6" t="n">
        <v>4.32</v>
      </c>
      <c r="I6547" s="6" t="n">
        <v>0.13</v>
      </c>
      <c r="J6547" s="40" t="n">
        <f aca="false">H6547-I6547</f>
        <v>4.19</v>
      </c>
      <c r="K6547" s="41" t="n">
        <v>26.5</v>
      </c>
      <c r="L6547" s="42" t="n">
        <f aca="false">J6547*K6547</f>
        <v>111.035</v>
      </c>
      <c r="M6547" s="43" t="n">
        <f aca="false">H6547*16.48*(1+'Chart of Accounts'!$E$67)</f>
        <v>81.516672</v>
      </c>
    </row>
    <row r="6548" customFormat="false" ht="15" hidden="false" customHeight="false" outlineLevel="0" collapsed="false">
      <c r="B6548" s="7" t="s">
        <v>7045</v>
      </c>
      <c r="C6548" s="39" t="n">
        <v>45960</v>
      </c>
      <c r="D6548" s="7" t="s">
        <v>391</v>
      </c>
      <c r="E6548" s="7" t="s">
        <v>156</v>
      </c>
      <c r="F6548" s="7" t="s">
        <v>222</v>
      </c>
      <c r="G6548" s="7" t="s">
        <v>505</v>
      </c>
      <c r="H6548" s="6" t="n">
        <v>3.81</v>
      </c>
      <c r="I6548" s="6" t="n">
        <v>0</v>
      </c>
      <c r="J6548" s="40" t="n">
        <f aca="false">H6548-I6548</f>
        <v>3.81</v>
      </c>
      <c r="K6548" s="41" t="n">
        <v>34</v>
      </c>
      <c r="L6548" s="42" t="n">
        <f aca="false">J6548*K6548</f>
        <v>129.54</v>
      </c>
      <c r="M6548" s="43" t="n">
        <f aca="false">H6548*17.84*(1+'Chart of Accounts'!$E$67)</f>
        <v>77.826108</v>
      </c>
    </row>
    <row r="6549" customFormat="false" ht="15" hidden="false" customHeight="false" outlineLevel="0" collapsed="false">
      <c r="B6549" s="7" t="s">
        <v>7046</v>
      </c>
      <c r="C6549" s="39" t="n">
        <v>45960</v>
      </c>
      <c r="D6549" s="7" t="s">
        <v>395</v>
      </c>
      <c r="E6549" s="7" t="s">
        <v>156</v>
      </c>
      <c r="F6549" s="7" t="s">
        <v>242</v>
      </c>
      <c r="G6549" s="7" t="s">
        <v>505</v>
      </c>
      <c r="H6549" s="6" t="n">
        <v>3.73</v>
      </c>
      <c r="I6549" s="6" t="n">
        <v>0</v>
      </c>
      <c r="J6549" s="40" t="n">
        <f aca="false">H6549-I6549</f>
        <v>3.73</v>
      </c>
      <c r="K6549" s="41" t="n">
        <v>34</v>
      </c>
      <c r="L6549" s="42" t="n">
        <f aca="false">J6549*K6549</f>
        <v>126.82</v>
      </c>
      <c r="M6549" s="43" t="n">
        <f aca="false">H6549*17.99*(1+'Chart of Accounts'!$E$67)</f>
        <v>76.8325915</v>
      </c>
    </row>
    <row r="6550" customFormat="false" ht="15" hidden="false" customHeight="false" outlineLevel="0" collapsed="false">
      <c r="B6550" s="7" t="s">
        <v>7047</v>
      </c>
      <c r="C6550" s="39" t="n">
        <v>45960</v>
      </c>
      <c r="D6550" s="7" t="s">
        <v>401</v>
      </c>
      <c r="E6550" s="7" t="s">
        <v>156</v>
      </c>
      <c r="F6550" s="7" t="s">
        <v>254</v>
      </c>
      <c r="G6550" s="7" t="s">
        <v>505</v>
      </c>
      <c r="H6550" s="6" t="n">
        <v>3.61</v>
      </c>
      <c r="I6550" s="6" t="n">
        <v>0</v>
      </c>
      <c r="J6550" s="40" t="n">
        <f aca="false">H6550-I6550</f>
        <v>3.61</v>
      </c>
      <c r="K6550" s="41" t="n">
        <v>34</v>
      </c>
      <c r="L6550" s="42" t="n">
        <f aca="false">J6550*K6550</f>
        <v>122.74</v>
      </c>
      <c r="M6550" s="43" t="n">
        <f aca="false">H6550*17.1*(1+'Chart of Accounts'!$E$67)</f>
        <v>70.681995</v>
      </c>
    </row>
    <row r="6551" customFormat="false" ht="15" hidden="false" customHeight="false" outlineLevel="0" collapsed="false">
      <c r="B6551" s="7" t="s">
        <v>7048</v>
      </c>
      <c r="C6551" s="39" t="n">
        <v>45961</v>
      </c>
      <c r="D6551" s="7" t="s">
        <v>288</v>
      </c>
      <c r="E6551" s="7" t="s">
        <v>156</v>
      </c>
      <c r="F6551" s="7" t="s">
        <v>250</v>
      </c>
      <c r="G6551" s="7" t="s">
        <v>505</v>
      </c>
      <c r="H6551" s="6" t="n">
        <v>3.96</v>
      </c>
      <c r="I6551" s="6" t="n">
        <v>0</v>
      </c>
      <c r="J6551" s="40" t="n">
        <f aca="false">H6551-I6551</f>
        <v>3.96</v>
      </c>
      <c r="K6551" s="41" t="n">
        <v>34</v>
      </c>
      <c r="L6551" s="42" t="n">
        <f aca="false">J6551*K6551</f>
        <v>134.64</v>
      </c>
      <c r="M6551" s="43" t="n">
        <f aca="false">H6551*16.88*(1+'Chart of Accounts'!$E$67)</f>
        <v>76.537296</v>
      </c>
    </row>
    <row r="6552" customFormat="false" ht="15" hidden="false" customHeight="false" outlineLevel="0" collapsed="false">
      <c r="B6552" s="7" t="s">
        <v>7049</v>
      </c>
      <c r="C6552" s="39" t="n">
        <v>45961</v>
      </c>
      <c r="D6552" s="7" t="s">
        <v>291</v>
      </c>
      <c r="E6552" s="7" t="s">
        <v>154</v>
      </c>
      <c r="F6552" s="7" t="s">
        <v>194</v>
      </c>
      <c r="G6552" s="7" t="s">
        <v>505</v>
      </c>
      <c r="H6552" s="6" t="n">
        <v>4.38</v>
      </c>
      <c r="I6552" s="6" t="n">
        <v>0</v>
      </c>
      <c r="J6552" s="40" t="n">
        <f aca="false">H6552-I6552</f>
        <v>4.38</v>
      </c>
      <c r="K6552" s="41" t="n">
        <v>26.5</v>
      </c>
      <c r="L6552" s="42" t="n">
        <f aca="false">J6552*K6552</f>
        <v>116.07</v>
      </c>
      <c r="M6552" s="43" t="n">
        <f aca="false">H6552*16*(1+'Chart of Accounts'!$E$67)</f>
        <v>80.2416</v>
      </c>
    </row>
    <row r="6553" customFormat="false" ht="15" hidden="false" customHeight="false" outlineLevel="0" collapsed="false">
      <c r="B6553" s="7" t="s">
        <v>7050</v>
      </c>
      <c r="C6553" s="39" t="n">
        <v>45961</v>
      </c>
      <c r="D6553" s="7" t="s">
        <v>293</v>
      </c>
      <c r="E6553" s="7" t="s">
        <v>157</v>
      </c>
      <c r="F6553" s="7" t="s">
        <v>198</v>
      </c>
      <c r="G6553" s="7" t="s">
        <v>502</v>
      </c>
      <c r="H6553" s="6" t="n">
        <v>1.02</v>
      </c>
      <c r="I6553" s="6" t="n">
        <v>0</v>
      </c>
      <c r="J6553" s="40" t="n">
        <f aca="false">H6553-I6553</f>
        <v>1.02</v>
      </c>
      <c r="K6553" s="41" t="n">
        <v>165</v>
      </c>
      <c r="L6553" s="42" t="n">
        <f aca="false">J6553*K6553</f>
        <v>168.3</v>
      </c>
      <c r="M6553" s="43" t="n">
        <f aca="false">H6553*48.09*(1+'Chart of Accounts'!$E$67)</f>
        <v>56.164311</v>
      </c>
    </row>
    <row r="6554" customFormat="false" ht="15" hidden="false" customHeight="false" outlineLevel="0" collapsed="false">
      <c r="B6554" s="7" t="s">
        <v>7051</v>
      </c>
      <c r="C6554" s="39" t="n">
        <v>45961</v>
      </c>
      <c r="D6554" s="7" t="s">
        <v>295</v>
      </c>
      <c r="E6554" s="7" t="s">
        <v>154</v>
      </c>
      <c r="F6554" s="7" t="s">
        <v>214</v>
      </c>
      <c r="G6554" s="7" t="s">
        <v>505</v>
      </c>
      <c r="H6554" s="6" t="n">
        <v>4.26</v>
      </c>
      <c r="I6554" s="6" t="n">
        <v>0</v>
      </c>
      <c r="J6554" s="40" t="n">
        <f aca="false">H6554-I6554</f>
        <v>4.26</v>
      </c>
      <c r="K6554" s="41" t="n">
        <v>26.5</v>
      </c>
      <c r="L6554" s="42" t="n">
        <f aca="false">J6554*K6554</f>
        <v>112.89</v>
      </c>
      <c r="M6554" s="43" t="n">
        <f aca="false">H6554*15.67*(1+'Chart of Accounts'!$E$67)</f>
        <v>76.433559</v>
      </c>
    </row>
    <row r="6555" customFormat="false" ht="15" hidden="false" customHeight="false" outlineLevel="0" collapsed="false">
      <c r="B6555" s="7" t="s">
        <v>7052</v>
      </c>
      <c r="C6555" s="39" t="n">
        <v>45961</v>
      </c>
      <c r="D6555" s="7" t="s">
        <v>301</v>
      </c>
      <c r="E6555" s="7" t="s">
        <v>157</v>
      </c>
      <c r="F6555" s="7" t="s">
        <v>209</v>
      </c>
      <c r="G6555" s="7" t="s">
        <v>502</v>
      </c>
      <c r="H6555" s="6" t="n">
        <v>1.06</v>
      </c>
      <c r="I6555" s="6" t="n">
        <v>0</v>
      </c>
      <c r="J6555" s="40" t="n">
        <f aca="false">H6555-I6555</f>
        <v>1.06</v>
      </c>
      <c r="K6555" s="41" t="n">
        <v>165</v>
      </c>
      <c r="L6555" s="42" t="n">
        <f aca="false">J6555*K6555</f>
        <v>174.9</v>
      </c>
      <c r="M6555" s="43" t="n">
        <f aca="false">H6555*73.58*(1+'Chart of Accounts'!$E$67)</f>
        <v>89.304046</v>
      </c>
    </row>
    <row r="6556" customFormat="false" ht="15" hidden="false" customHeight="false" outlineLevel="0" collapsed="false">
      <c r="B6556" s="7" t="s">
        <v>7053</v>
      </c>
      <c r="C6556" s="39" t="n">
        <v>45961</v>
      </c>
      <c r="D6556" s="7" t="s">
        <v>305</v>
      </c>
      <c r="E6556" s="7" t="s">
        <v>154</v>
      </c>
      <c r="F6556" s="7" t="s">
        <v>205</v>
      </c>
      <c r="G6556" s="7" t="s">
        <v>505</v>
      </c>
      <c r="H6556" s="6" t="n">
        <v>3.86</v>
      </c>
      <c r="I6556" s="6" t="n">
        <v>0</v>
      </c>
      <c r="J6556" s="40" t="n">
        <f aca="false">H6556-I6556</f>
        <v>3.86</v>
      </c>
      <c r="K6556" s="41" t="n">
        <v>26.5</v>
      </c>
      <c r="L6556" s="42" t="n">
        <f aca="false">J6556*K6556</f>
        <v>102.29</v>
      </c>
      <c r="M6556" s="43" t="n">
        <f aca="false">H6556*16.36*(1+'Chart of Accounts'!$E$67)</f>
        <v>72.306292</v>
      </c>
    </row>
    <row r="6557" customFormat="false" ht="15" hidden="false" customHeight="false" outlineLevel="0" collapsed="false">
      <c r="B6557" s="7" t="s">
        <v>7054</v>
      </c>
      <c r="C6557" s="39" t="n">
        <v>45961</v>
      </c>
      <c r="D6557" s="7" t="s">
        <v>307</v>
      </c>
      <c r="E6557" s="7" t="s">
        <v>157</v>
      </c>
      <c r="F6557" s="7" t="s">
        <v>264</v>
      </c>
      <c r="G6557" s="7" t="s">
        <v>502</v>
      </c>
      <c r="H6557" s="6" t="n">
        <v>1.09</v>
      </c>
      <c r="I6557" s="6" t="n">
        <v>0</v>
      </c>
      <c r="J6557" s="40" t="n">
        <f aca="false">H6557-I6557</f>
        <v>1.09</v>
      </c>
      <c r="K6557" s="41" t="n">
        <v>165</v>
      </c>
      <c r="L6557" s="42" t="n">
        <f aca="false">J6557*K6557</f>
        <v>179.85</v>
      </c>
      <c r="M6557" s="43" t="n">
        <f aca="false">H6557*55.55*(1+'Chart of Accounts'!$E$67)</f>
        <v>69.3291775</v>
      </c>
    </row>
    <row r="6558" customFormat="false" ht="15" hidden="false" customHeight="false" outlineLevel="0" collapsed="false">
      <c r="B6558" s="7" t="s">
        <v>7055</v>
      </c>
      <c r="C6558" s="39" t="n">
        <v>45961</v>
      </c>
      <c r="D6558" s="7" t="s">
        <v>309</v>
      </c>
      <c r="E6558" s="7" t="s">
        <v>159</v>
      </c>
      <c r="F6558" s="7" t="s">
        <v>252</v>
      </c>
      <c r="G6558" s="7" t="s">
        <v>502</v>
      </c>
      <c r="H6558" s="6" t="n">
        <v>1</v>
      </c>
      <c r="I6558" s="6" t="n">
        <v>0</v>
      </c>
      <c r="J6558" s="40" t="n">
        <f aca="false">H6558-I6558</f>
        <v>1</v>
      </c>
      <c r="K6558" s="41" t="n">
        <v>135</v>
      </c>
      <c r="L6558" s="42" t="n">
        <f aca="false">J6558*K6558</f>
        <v>135</v>
      </c>
      <c r="M6558" s="43" t="n">
        <f aca="false">H6558*57.54*(1+'Chart of Accounts'!$E$67)</f>
        <v>65.8833</v>
      </c>
    </row>
    <row r="6559" customFormat="false" ht="15" hidden="false" customHeight="false" outlineLevel="0" collapsed="false">
      <c r="B6559" s="7" t="s">
        <v>7056</v>
      </c>
      <c r="C6559" s="39" t="n">
        <v>45961</v>
      </c>
      <c r="D6559" s="7" t="s">
        <v>315</v>
      </c>
      <c r="E6559" s="7" t="s">
        <v>159</v>
      </c>
      <c r="F6559" s="7" t="s">
        <v>216</v>
      </c>
      <c r="G6559" s="7" t="s">
        <v>502</v>
      </c>
      <c r="H6559" s="6" t="n">
        <v>0.95</v>
      </c>
      <c r="I6559" s="6" t="n">
        <v>0.067</v>
      </c>
      <c r="J6559" s="40" t="n">
        <f aca="false">H6559-I6559</f>
        <v>0.883</v>
      </c>
      <c r="K6559" s="41" t="n">
        <v>135</v>
      </c>
      <c r="L6559" s="42" t="n">
        <f aca="false">J6559*K6559</f>
        <v>119.205</v>
      </c>
      <c r="M6559" s="43" t="n">
        <f aca="false">H6559*61.79*(1+'Chart of Accounts'!$E$67)</f>
        <v>67.2120725</v>
      </c>
    </row>
    <row r="6560" customFormat="false" ht="15" hidden="false" customHeight="false" outlineLevel="0" collapsed="false">
      <c r="B6560" s="7" t="s">
        <v>7057</v>
      </c>
      <c r="C6560" s="39" t="n">
        <v>45961</v>
      </c>
      <c r="D6560" s="7" t="s">
        <v>319</v>
      </c>
      <c r="E6560" s="7" t="s">
        <v>157</v>
      </c>
      <c r="F6560" s="7" t="s">
        <v>234</v>
      </c>
      <c r="G6560" s="7" t="s">
        <v>502</v>
      </c>
      <c r="H6560" s="6" t="n">
        <v>1.09</v>
      </c>
      <c r="I6560" s="6" t="n">
        <v>0</v>
      </c>
      <c r="J6560" s="40" t="n">
        <f aca="false">H6560-I6560</f>
        <v>1.09</v>
      </c>
      <c r="K6560" s="41" t="n">
        <v>165</v>
      </c>
      <c r="L6560" s="42" t="n">
        <f aca="false">J6560*K6560</f>
        <v>179.85</v>
      </c>
      <c r="M6560" s="43" t="n">
        <f aca="false">H6560*89.53*(1+'Chart of Accounts'!$E$67)</f>
        <v>111.7379165</v>
      </c>
    </row>
    <row r="6561" customFormat="false" ht="15" hidden="false" customHeight="false" outlineLevel="0" collapsed="false">
      <c r="B6561" s="7" t="s">
        <v>7058</v>
      </c>
      <c r="C6561" s="39" t="n">
        <v>45961</v>
      </c>
      <c r="D6561" s="7" t="s">
        <v>321</v>
      </c>
      <c r="E6561" s="7" t="s">
        <v>154</v>
      </c>
      <c r="F6561" s="7" t="s">
        <v>218</v>
      </c>
      <c r="G6561" s="7" t="s">
        <v>505</v>
      </c>
      <c r="H6561" s="6" t="n">
        <v>4.25</v>
      </c>
      <c r="I6561" s="6" t="n">
        <v>0</v>
      </c>
      <c r="J6561" s="40" t="n">
        <f aca="false">H6561-I6561</f>
        <v>4.25</v>
      </c>
      <c r="K6561" s="41" t="n">
        <v>26.5</v>
      </c>
      <c r="L6561" s="42" t="n">
        <f aca="false">J6561*K6561</f>
        <v>112.625</v>
      </c>
      <c r="M6561" s="43" t="n">
        <f aca="false">H6561*16.19*(1+'Chart of Accounts'!$E$67)</f>
        <v>78.7845875</v>
      </c>
    </row>
    <row r="6562" customFormat="false" ht="15" hidden="false" customHeight="false" outlineLevel="0" collapsed="false">
      <c r="B6562" s="7" t="s">
        <v>7059</v>
      </c>
      <c r="C6562" s="39" t="n">
        <v>45961</v>
      </c>
      <c r="D6562" s="7" t="s">
        <v>323</v>
      </c>
      <c r="E6562" s="7" t="s">
        <v>159</v>
      </c>
      <c r="F6562" s="7" t="s">
        <v>258</v>
      </c>
      <c r="G6562" s="7" t="s">
        <v>502</v>
      </c>
      <c r="H6562" s="6" t="n">
        <v>1.01</v>
      </c>
      <c r="I6562" s="6" t="n">
        <v>0.071</v>
      </c>
      <c r="J6562" s="40" t="n">
        <f aca="false">H6562-I6562</f>
        <v>0.939</v>
      </c>
      <c r="K6562" s="41" t="n">
        <v>135</v>
      </c>
      <c r="L6562" s="42" t="n">
        <f aca="false">J6562*K6562</f>
        <v>126.765</v>
      </c>
      <c r="M6562" s="43" t="n">
        <f aca="false">H6562*61.61*(1+'Chart of Accounts'!$E$67)</f>
        <v>71.2488845</v>
      </c>
    </row>
    <row r="6563" customFormat="false" ht="15" hidden="false" customHeight="false" outlineLevel="0" collapsed="false">
      <c r="B6563" s="7" t="s">
        <v>7060</v>
      </c>
      <c r="C6563" s="39" t="n">
        <v>45961</v>
      </c>
      <c r="D6563" s="7" t="s">
        <v>327</v>
      </c>
      <c r="E6563" s="7" t="s">
        <v>157</v>
      </c>
      <c r="F6563" s="7" t="s">
        <v>228</v>
      </c>
      <c r="G6563" s="7" t="s">
        <v>502</v>
      </c>
      <c r="H6563" s="6" t="n">
        <v>1.1</v>
      </c>
      <c r="I6563" s="6" t="n">
        <v>0.055</v>
      </c>
      <c r="J6563" s="40" t="n">
        <f aca="false">H6563-I6563</f>
        <v>1.045</v>
      </c>
      <c r="K6563" s="41" t="n">
        <v>165</v>
      </c>
      <c r="L6563" s="42" t="n">
        <f aca="false">J6563*K6563</f>
        <v>172.425</v>
      </c>
      <c r="M6563" s="43" t="n">
        <f aca="false">H6563*51.07*(1+'Chart of Accounts'!$E$67)</f>
        <v>64.322665</v>
      </c>
    </row>
    <row r="6564" customFormat="false" ht="15" hidden="false" customHeight="false" outlineLevel="0" collapsed="false">
      <c r="B6564" s="7" t="s">
        <v>7061</v>
      </c>
      <c r="C6564" s="39" t="n">
        <v>45961</v>
      </c>
      <c r="D6564" s="7" t="s">
        <v>329</v>
      </c>
      <c r="E6564" s="7" t="s">
        <v>156</v>
      </c>
      <c r="F6564" s="7" t="s">
        <v>220</v>
      </c>
      <c r="G6564" s="7" t="s">
        <v>505</v>
      </c>
      <c r="H6564" s="6" t="n">
        <v>4.32</v>
      </c>
      <c r="I6564" s="6" t="n">
        <v>0</v>
      </c>
      <c r="J6564" s="40" t="n">
        <f aca="false">H6564-I6564</f>
        <v>4.32</v>
      </c>
      <c r="K6564" s="41" t="n">
        <v>34</v>
      </c>
      <c r="L6564" s="42" t="n">
        <f aca="false">J6564*K6564</f>
        <v>146.88</v>
      </c>
      <c r="M6564" s="43" t="n">
        <f aca="false">H6564*16.43*(1+'Chart of Accounts'!$E$67)</f>
        <v>81.269352</v>
      </c>
    </row>
    <row r="6565" customFormat="false" ht="15" hidden="false" customHeight="false" outlineLevel="0" collapsed="false">
      <c r="B6565" s="7" t="s">
        <v>7062</v>
      </c>
      <c r="C6565" s="39" t="n">
        <v>45961</v>
      </c>
      <c r="D6565" s="7" t="s">
        <v>333</v>
      </c>
      <c r="E6565" s="7" t="s">
        <v>154</v>
      </c>
      <c r="F6565" s="7" t="s">
        <v>236</v>
      </c>
      <c r="G6565" s="7" t="s">
        <v>505</v>
      </c>
      <c r="H6565" s="6" t="n">
        <v>3.65</v>
      </c>
      <c r="I6565" s="6" t="n">
        <v>0</v>
      </c>
      <c r="J6565" s="40" t="n">
        <f aca="false">H6565-I6565</f>
        <v>3.65</v>
      </c>
      <c r="K6565" s="41" t="n">
        <v>26.5</v>
      </c>
      <c r="L6565" s="42" t="n">
        <f aca="false">J6565*K6565</f>
        <v>96.725</v>
      </c>
      <c r="M6565" s="43" t="n">
        <f aca="false">H6565*15.49*(1+'Chart of Accounts'!$E$67)</f>
        <v>64.7365825</v>
      </c>
    </row>
    <row r="6566" customFormat="false" ht="15" hidden="false" customHeight="false" outlineLevel="0" collapsed="false">
      <c r="B6566" s="7" t="s">
        <v>7063</v>
      </c>
      <c r="C6566" s="39" t="n">
        <v>45961</v>
      </c>
      <c r="D6566" s="7" t="s">
        <v>335</v>
      </c>
      <c r="E6566" s="7" t="s">
        <v>154</v>
      </c>
      <c r="F6566" s="7" t="s">
        <v>177</v>
      </c>
      <c r="G6566" s="7" t="s">
        <v>505</v>
      </c>
      <c r="H6566" s="6" t="n">
        <v>3.72</v>
      </c>
      <c r="I6566" s="6" t="n">
        <v>0</v>
      </c>
      <c r="J6566" s="40" t="n">
        <f aca="false">H6566-I6566</f>
        <v>3.72</v>
      </c>
      <c r="K6566" s="41" t="n">
        <v>26.5</v>
      </c>
      <c r="L6566" s="42" t="n">
        <f aca="false">J6566*K6566</f>
        <v>98.58</v>
      </c>
      <c r="M6566" s="43" t="n">
        <f aca="false">H6566*14.56*(1+'Chart of Accounts'!$E$67)</f>
        <v>62.016864</v>
      </c>
    </row>
    <row r="6567" customFormat="false" ht="15" hidden="false" customHeight="false" outlineLevel="0" collapsed="false">
      <c r="B6567" s="7" t="s">
        <v>7064</v>
      </c>
      <c r="C6567" s="39" t="n">
        <v>45961</v>
      </c>
      <c r="D6567" s="7" t="s">
        <v>339</v>
      </c>
      <c r="E6567" s="7" t="s">
        <v>154</v>
      </c>
      <c r="F6567" s="7" t="s">
        <v>242</v>
      </c>
      <c r="G6567" s="7" t="s">
        <v>505</v>
      </c>
      <c r="H6567" s="6" t="n">
        <v>3.04</v>
      </c>
      <c r="I6567" s="6" t="n">
        <v>0</v>
      </c>
      <c r="J6567" s="40" t="n">
        <f aca="false">H6567-I6567</f>
        <v>3.04</v>
      </c>
      <c r="K6567" s="41" t="n">
        <v>26.5</v>
      </c>
      <c r="L6567" s="42" t="n">
        <f aca="false">J6567*K6567</f>
        <v>80.56</v>
      </c>
      <c r="M6567" s="43" t="n">
        <f aca="false">H6567*17.99*(1+'Chart of Accounts'!$E$67)</f>
        <v>62.619592</v>
      </c>
    </row>
    <row r="6568" customFormat="false" ht="15" hidden="false" customHeight="false" outlineLevel="0" collapsed="false">
      <c r="B6568" s="7" t="s">
        <v>7065</v>
      </c>
      <c r="C6568" s="39" t="n">
        <v>45961</v>
      </c>
      <c r="D6568" s="7" t="s">
        <v>347</v>
      </c>
      <c r="E6568" s="7" t="s">
        <v>154</v>
      </c>
      <c r="F6568" s="7" t="s">
        <v>238</v>
      </c>
      <c r="G6568" s="7" t="s">
        <v>505</v>
      </c>
      <c r="H6568" s="6" t="n">
        <v>4.82</v>
      </c>
      <c r="I6568" s="6" t="n">
        <v>0</v>
      </c>
      <c r="J6568" s="40" t="n">
        <f aca="false">H6568-I6568</f>
        <v>4.82</v>
      </c>
      <c r="K6568" s="41" t="n">
        <v>26.5</v>
      </c>
      <c r="L6568" s="42" t="n">
        <f aca="false">J6568*K6568</f>
        <v>127.73</v>
      </c>
      <c r="M6568" s="43" t="n">
        <f aca="false">H6568*15.85*(1+'Chart of Accounts'!$E$67)</f>
        <v>87.474565</v>
      </c>
    </row>
    <row r="6569" customFormat="false" ht="15" hidden="false" customHeight="false" outlineLevel="0" collapsed="false">
      <c r="B6569" s="7" t="s">
        <v>7066</v>
      </c>
      <c r="C6569" s="39" t="n">
        <v>45961</v>
      </c>
      <c r="D6569" s="7" t="s">
        <v>349</v>
      </c>
      <c r="E6569" s="7" t="s">
        <v>154</v>
      </c>
      <c r="F6569" s="7" t="s">
        <v>244</v>
      </c>
      <c r="G6569" s="7" t="s">
        <v>505</v>
      </c>
      <c r="H6569" s="6" t="n">
        <v>4.18</v>
      </c>
      <c r="I6569" s="6" t="n">
        <v>0</v>
      </c>
      <c r="J6569" s="40" t="n">
        <f aca="false">H6569-I6569</f>
        <v>4.18</v>
      </c>
      <c r="K6569" s="41" t="n">
        <v>26.5</v>
      </c>
      <c r="L6569" s="42" t="n">
        <f aca="false">J6569*K6569</f>
        <v>110.77</v>
      </c>
      <c r="M6569" s="43" t="n">
        <f aca="false">H6569*16.39*(1+'Chart of Accounts'!$E$67)</f>
        <v>78.444179</v>
      </c>
    </row>
    <row r="6570" customFormat="false" ht="15" hidden="false" customHeight="false" outlineLevel="0" collapsed="false">
      <c r="B6570" s="7" t="s">
        <v>7067</v>
      </c>
      <c r="C6570" s="39" t="n">
        <v>45961</v>
      </c>
      <c r="D6570" s="7" t="s">
        <v>353</v>
      </c>
      <c r="E6570" s="7" t="s">
        <v>154</v>
      </c>
      <c r="F6570" s="7" t="s">
        <v>254</v>
      </c>
      <c r="G6570" s="7" t="s">
        <v>505</v>
      </c>
      <c r="H6570" s="6" t="n">
        <v>3.08</v>
      </c>
      <c r="I6570" s="6" t="n">
        <v>0</v>
      </c>
      <c r="J6570" s="40" t="n">
        <f aca="false">H6570-I6570</f>
        <v>3.08</v>
      </c>
      <c r="K6570" s="41" t="n">
        <v>26.5</v>
      </c>
      <c r="L6570" s="42" t="n">
        <f aca="false">J6570*K6570</f>
        <v>81.62</v>
      </c>
      <c r="M6570" s="43" t="n">
        <f aca="false">H6570*17.1*(1+'Chart of Accounts'!$E$67)</f>
        <v>60.30486</v>
      </c>
    </row>
    <row r="6571" customFormat="false" ht="15" hidden="false" customHeight="false" outlineLevel="0" collapsed="false">
      <c r="B6571" s="7" t="s">
        <v>7068</v>
      </c>
      <c r="C6571" s="39" t="n">
        <v>45961</v>
      </c>
      <c r="D6571" s="7" t="s">
        <v>355</v>
      </c>
      <c r="E6571" s="7" t="s">
        <v>154</v>
      </c>
      <c r="F6571" s="7" t="s">
        <v>201</v>
      </c>
      <c r="G6571" s="7" t="s">
        <v>505</v>
      </c>
      <c r="H6571" s="6" t="n">
        <v>3.33</v>
      </c>
      <c r="I6571" s="6" t="n">
        <v>0</v>
      </c>
      <c r="J6571" s="40" t="n">
        <f aca="false">H6571-I6571</f>
        <v>3.33</v>
      </c>
      <c r="K6571" s="41" t="n">
        <v>26.5</v>
      </c>
      <c r="L6571" s="42" t="n">
        <f aca="false">J6571*K6571</f>
        <v>88.245</v>
      </c>
      <c r="M6571" s="43" t="n">
        <f aca="false">H6571*15.19*(1+'Chart of Accounts'!$E$67)</f>
        <v>57.9171915</v>
      </c>
    </row>
    <row r="6572" customFormat="false" ht="15" hidden="false" customHeight="false" outlineLevel="0" collapsed="false">
      <c r="B6572" s="7" t="s">
        <v>7069</v>
      </c>
      <c r="C6572" s="39" t="n">
        <v>45961</v>
      </c>
      <c r="D6572" s="7" t="s">
        <v>357</v>
      </c>
      <c r="E6572" s="7" t="s">
        <v>154</v>
      </c>
      <c r="F6572" s="7" t="s">
        <v>250</v>
      </c>
      <c r="G6572" s="7" t="s">
        <v>505</v>
      </c>
      <c r="H6572" s="6" t="n">
        <v>3.36</v>
      </c>
      <c r="I6572" s="6" t="n">
        <v>0</v>
      </c>
      <c r="J6572" s="40" t="n">
        <f aca="false">H6572-I6572</f>
        <v>3.36</v>
      </c>
      <c r="K6572" s="41" t="n">
        <v>26.5</v>
      </c>
      <c r="L6572" s="42" t="n">
        <f aca="false">J6572*K6572</f>
        <v>89.04</v>
      </c>
      <c r="M6572" s="43" t="n">
        <f aca="false">H6572*16.88*(1+'Chart of Accounts'!$E$67)</f>
        <v>64.940736</v>
      </c>
    </row>
    <row r="6573" customFormat="false" ht="15" hidden="false" customHeight="false" outlineLevel="0" collapsed="false">
      <c r="B6573" s="7" t="s">
        <v>7070</v>
      </c>
      <c r="C6573" s="39" t="n">
        <v>45961</v>
      </c>
      <c r="D6573" s="7" t="s">
        <v>359</v>
      </c>
      <c r="E6573" s="7" t="s">
        <v>156</v>
      </c>
      <c r="F6573" s="7" t="s">
        <v>236</v>
      </c>
      <c r="G6573" s="7" t="s">
        <v>505</v>
      </c>
      <c r="H6573" s="6" t="n">
        <v>3.95</v>
      </c>
      <c r="I6573" s="6" t="n">
        <v>0</v>
      </c>
      <c r="J6573" s="40" t="n">
        <f aca="false">H6573-I6573</f>
        <v>3.95</v>
      </c>
      <c r="K6573" s="41" t="n">
        <v>34</v>
      </c>
      <c r="L6573" s="42" t="n">
        <f aca="false">J6573*K6573</f>
        <v>134.3</v>
      </c>
      <c r="M6573" s="43" t="n">
        <f aca="false">H6573*15.49*(1+'Chart of Accounts'!$E$67)</f>
        <v>70.0573975</v>
      </c>
    </row>
    <row r="6574" customFormat="false" ht="15" hidden="false" customHeight="false" outlineLevel="0" collapsed="false">
      <c r="B6574" s="7" t="s">
        <v>7071</v>
      </c>
      <c r="C6574" s="39" t="n">
        <v>45961</v>
      </c>
      <c r="D6574" s="7" t="s">
        <v>361</v>
      </c>
      <c r="E6574" s="7" t="s">
        <v>157</v>
      </c>
      <c r="F6574" s="7" t="s">
        <v>209</v>
      </c>
      <c r="G6574" s="7" t="s">
        <v>502</v>
      </c>
      <c r="H6574" s="6" t="n">
        <v>1.05</v>
      </c>
      <c r="I6574" s="6" t="n">
        <v>0</v>
      </c>
      <c r="J6574" s="40" t="n">
        <f aca="false">H6574-I6574</f>
        <v>1.05</v>
      </c>
      <c r="K6574" s="41" t="n">
        <v>165</v>
      </c>
      <c r="L6574" s="42" t="n">
        <f aca="false">J6574*K6574</f>
        <v>173.25</v>
      </c>
      <c r="M6574" s="43" t="n">
        <f aca="false">H6574*73.58*(1+'Chart of Accounts'!$E$67)</f>
        <v>88.461555</v>
      </c>
    </row>
    <row r="6575" customFormat="false" ht="15" hidden="false" customHeight="false" outlineLevel="0" collapsed="false">
      <c r="B6575" s="7" t="s">
        <v>7072</v>
      </c>
      <c r="C6575" s="39" t="n">
        <v>45961</v>
      </c>
      <c r="D6575" s="7" t="s">
        <v>369</v>
      </c>
      <c r="E6575" s="7" t="s">
        <v>159</v>
      </c>
      <c r="F6575" s="7" t="s">
        <v>258</v>
      </c>
      <c r="G6575" s="7" t="s">
        <v>502</v>
      </c>
      <c r="H6575" s="6" t="n">
        <v>1.09</v>
      </c>
      <c r="I6575" s="6" t="n">
        <v>0.076</v>
      </c>
      <c r="J6575" s="40" t="n">
        <f aca="false">H6575-I6575</f>
        <v>1.014</v>
      </c>
      <c r="K6575" s="41" t="n">
        <v>135</v>
      </c>
      <c r="L6575" s="42" t="n">
        <f aca="false">J6575*K6575</f>
        <v>136.89</v>
      </c>
      <c r="M6575" s="43" t="n">
        <f aca="false">H6575*61.61*(1+'Chart of Accounts'!$E$67)</f>
        <v>76.8923605</v>
      </c>
    </row>
    <row r="6576" customFormat="false" ht="15" hidden="false" customHeight="false" outlineLevel="0" collapsed="false">
      <c r="B6576" s="7" t="s">
        <v>7073</v>
      </c>
      <c r="C6576" s="39" t="n">
        <v>45961</v>
      </c>
      <c r="D6576" s="7" t="s">
        <v>371</v>
      </c>
      <c r="E6576" s="7" t="s">
        <v>154</v>
      </c>
      <c r="F6576" s="7" t="s">
        <v>232</v>
      </c>
      <c r="G6576" s="7" t="s">
        <v>505</v>
      </c>
      <c r="H6576" s="6" t="n">
        <v>4.37</v>
      </c>
      <c r="I6576" s="6" t="n">
        <v>0</v>
      </c>
      <c r="J6576" s="40" t="n">
        <f aca="false">H6576-I6576</f>
        <v>4.37</v>
      </c>
      <c r="K6576" s="41" t="n">
        <v>26.5</v>
      </c>
      <c r="L6576" s="42" t="n">
        <f aca="false">J6576*K6576</f>
        <v>115.805</v>
      </c>
      <c r="M6576" s="43" t="n">
        <f aca="false">H6576*16.17*(1+'Chart of Accounts'!$E$67)</f>
        <v>80.9090205</v>
      </c>
    </row>
    <row r="6577" customFormat="false" ht="15" hidden="false" customHeight="false" outlineLevel="0" collapsed="false">
      <c r="B6577" s="7" t="s">
        <v>7074</v>
      </c>
      <c r="C6577" s="39" t="n">
        <v>45961</v>
      </c>
      <c r="D6577" s="7" t="s">
        <v>373</v>
      </c>
      <c r="E6577" s="7" t="s">
        <v>154</v>
      </c>
      <c r="F6577" s="7" t="s">
        <v>240</v>
      </c>
      <c r="G6577" s="7" t="s">
        <v>505</v>
      </c>
      <c r="H6577" s="6" t="n">
        <v>3.38</v>
      </c>
      <c r="I6577" s="6" t="n">
        <v>0</v>
      </c>
      <c r="J6577" s="40" t="n">
        <f aca="false">H6577-I6577</f>
        <v>3.38</v>
      </c>
      <c r="K6577" s="41" t="n">
        <v>26.5</v>
      </c>
      <c r="L6577" s="42" t="n">
        <f aca="false">J6577*K6577</f>
        <v>89.57</v>
      </c>
      <c r="M6577" s="43" t="n">
        <f aca="false">H6577*16.96*(1+'Chart of Accounts'!$E$67)</f>
        <v>65.636896</v>
      </c>
    </row>
    <row r="6578" customFormat="false" ht="15" hidden="false" customHeight="false" outlineLevel="0" collapsed="false">
      <c r="B6578" s="7" t="s">
        <v>7075</v>
      </c>
      <c r="C6578" s="39" t="n">
        <v>45961</v>
      </c>
      <c r="D6578" s="7" t="s">
        <v>379</v>
      </c>
      <c r="E6578" s="7" t="s">
        <v>156</v>
      </c>
      <c r="F6578" s="7" t="s">
        <v>224</v>
      </c>
      <c r="G6578" s="7" t="s">
        <v>505</v>
      </c>
      <c r="H6578" s="6" t="n">
        <v>4.77</v>
      </c>
      <c r="I6578" s="6" t="n">
        <v>0</v>
      </c>
      <c r="J6578" s="40" t="n">
        <f aca="false">H6578-I6578</f>
        <v>4.77</v>
      </c>
      <c r="K6578" s="41" t="n">
        <v>34</v>
      </c>
      <c r="L6578" s="42" t="n">
        <f aca="false">J6578*K6578</f>
        <v>162.18</v>
      </c>
      <c r="M6578" s="43" t="n">
        <f aca="false">H6578*14.93*(1+'Chart of Accounts'!$E$67)</f>
        <v>81.5424345</v>
      </c>
    </row>
    <row r="6579" customFormat="false" ht="15" hidden="false" customHeight="false" outlineLevel="0" collapsed="false">
      <c r="B6579" s="7" t="s">
        <v>7076</v>
      </c>
      <c r="C6579" s="39" t="n">
        <v>45961</v>
      </c>
      <c r="D6579" s="7" t="s">
        <v>381</v>
      </c>
      <c r="E6579" s="7" t="s">
        <v>157</v>
      </c>
      <c r="F6579" s="7" t="s">
        <v>234</v>
      </c>
      <c r="G6579" s="7" t="s">
        <v>502</v>
      </c>
      <c r="H6579" s="6" t="n">
        <v>0.95</v>
      </c>
      <c r="I6579" s="6" t="n">
        <v>0</v>
      </c>
      <c r="J6579" s="40" t="n">
        <f aca="false">H6579-I6579</f>
        <v>0.95</v>
      </c>
      <c r="K6579" s="41" t="n">
        <v>165</v>
      </c>
      <c r="L6579" s="42" t="n">
        <f aca="false">J6579*K6579</f>
        <v>156.75</v>
      </c>
      <c r="M6579" s="43" t="n">
        <f aca="false">H6579*89.53*(1+'Chart of Accounts'!$E$67)</f>
        <v>97.3862575</v>
      </c>
    </row>
    <row r="6580" customFormat="false" ht="15" hidden="false" customHeight="false" outlineLevel="0" collapsed="false">
      <c r="B6580" s="7" t="s">
        <v>7077</v>
      </c>
      <c r="C6580" s="39" t="n">
        <v>45961</v>
      </c>
      <c r="D6580" s="7" t="s">
        <v>383</v>
      </c>
      <c r="E6580" s="7" t="s">
        <v>157</v>
      </c>
      <c r="F6580" s="7" t="s">
        <v>230</v>
      </c>
      <c r="G6580" s="7" t="s">
        <v>502</v>
      </c>
      <c r="H6580" s="6" t="n">
        <v>1.08</v>
      </c>
      <c r="I6580" s="6" t="n">
        <v>0</v>
      </c>
      <c r="J6580" s="40" t="n">
        <f aca="false">H6580-I6580</f>
        <v>1.08</v>
      </c>
      <c r="K6580" s="41" t="n">
        <v>165</v>
      </c>
      <c r="L6580" s="42" t="n">
        <f aca="false">J6580*K6580</f>
        <v>178.2</v>
      </c>
      <c r="M6580" s="43" t="n">
        <f aca="false">H6580*48.78*(1+'Chart of Accounts'!$E$67)</f>
        <v>60.321348</v>
      </c>
    </row>
    <row r="6581" customFormat="false" ht="15" hidden="false" customHeight="false" outlineLevel="0" collapsed="false">
      <c r="B6581" s="7" t="s">
        <v>7078</v>
      </c>
      <c r="C6581" s="39" t="n">
        <v>45961</v>
      </c>
      <c r="D6581" s="7" t="s">
        <v>385</v>
      </c>
      <c r="E6581" s="7" t="s">
        <v>156</v>
      </c>
      <c r="F6581" s="7" t="s">
        <v>238</v>
      </c>
      <c r="G6581" s="7" t="s">
        <v>505</v>
      </c>
      <c r="H6581" s="6" t="n">
        <v>4.22</v>
      </c>
      <c r="I6581" s="6" t="n">
        <v>0</v>
      </c>
      <c r="J6581" s="40" t="n">
        <f aca="false">H6581-I6581</f>
        <v>4.22</v>
      </c>
      <c r="K6581" s="41" t="n">
        <v>34</v>
      </c>
      <c r="L6581" s="42" t="n">
        <f aca="false">J6581*K6581</f>
        <v>143.48</v>
      </c>
      <c r="M6581" s="43" t="n">
        <f aca="false">H6581*15.85*(1+'Chart of Accounts'!$E$67)</f>
        <v>76.585615</v>
      </c>
    </row>
    <row r="6582" customFormat="false" ht="15" hidden="false" customHeight="false" outlineLevel="0" collapsed="false">
      <c r="B6582" s="7" t="s">
        <v>7079</v>
      </c>
      <c r="C6582" s="39" t="n">
        <v>45961</v>
      </c>
      <c r="D6582" s="7" t="s">
        <v>387</v>
      </c>
      <c r="E6582" s="7" t="s">
        <v>154</v>
      </c>
      <c r="F6582" s="7" t="s">
        <v>196</v>
      </c>
      <c r="G6582" s="7" t="s">
        <v>505</v>
      </c>
      <c r="H6582" s="6" t="n">
        <v>3.63</v>
      </c>
      <c r="I6582" s="6" t="n">
        <v>0</v>
      </c>
      <c r="J6582" s="40" t="n">
        <f aca="false">H6582-I6582</f>
        <v>3.63</v>
      </c>
      <c r="K6582" s="41" t="n">
        <v>26.5</v>
      </c>
      <c r="L6582" s="42" t="n">
        <f aca="false">J6582*K6582</f>
        <v>96.195</v>
      </c>
      <c r="M6582" s="43" t="n">
        <f aca="false">H6582*15.05*(1+'Chart of Accounts'!$E$67)</f>
        <v>62.5530675</v>
      </c>
    </row>
    <row r="6583" customFormat="false" ht="15" hidden="false" customHeight="false" outlineLevel="0" collapsed="false">
      <c r="B6583" s="7" t="s">
        <v>7080</v>
      </c>
      <c r="C6583" s="39" t="n">
        <v>45961</v>
      </c>
      <c r="D6583" s="7" t="s">
        <v>389</v>
      </c>
      <c r="E6583" s="7" t="s">
        <v>154</v>
      </c>
      <c r="F6583" s="7" t="s">
        <v>246</v>
      </c>
      <c r="G6583" s="7" t="s">
        <v>505</v>
      </c>
      <c r="H6583" s="6" t="n">
        <v>4.03</v>
      </c>
      <c r="I6583" s="6" t="n">
        <v>0.121</v>
      </c>
      <c r="J6583" s="40" t="n">
        <f aca="false">H6583-I6583</f>
        <v>3.909</v>
      </c>
      <c r="K6583" s="41" t="n">
        <v>26.5</v>
      </c>
      <c r="L6583" s="42" t="n">
        <f aca="false">J6583*K6583</f>
        <v>103.5885</v>
      </c>
      <c r="M6583" s="43" t="n">
        <f aca="false">H6583*16.48*(1+'Chart of Accounts'!$E$67)</f>
        <v>76.044488</v>
      </c>
    </row>
    <row r="6584" customFormat="false" ht="15" hidden="false" customHeight="false" outlineLevel="0" collapsed="false">
      <c r="B6584" s="7" t="s">
        <v>7081</v>
      </c>
      <c r="C6584" s="39" t="n">
        <v>45961</v>
      </c>
      <c r="D6584" s="7" t="s">
        <v>391</v>
      </c>
      <c r="E6584" s="7" t="s">
        <v>156</v>
      </c>
      <c r="F6584" s="7" t="s">
        <v>222</v>
      </c>
      <c r="G6584" s="7" t="s">
        <v>505</v>
      </c>
      <c r="H6584" s="6" t="n">
        <v>4.13</v>
      </c>
      <c r="I6584" s="6" t="n">
        <v>0</v>
      </c>
      <c r="J6584" s="40" t="n">
        <f aca="false">H6584-I6584</f>
        <v>4.13</v>
      </c>
      <c r="K6584" s="41" t="n">
        <v>34</v>
      </c>
      <c r="L6584" s="42" t="n">
        <f aca="false">J6584*K6584</f>
        <v>140.42</v>
      </c>
      <c r="M6584" s="43" t="n">
        <f aca="false">H6584*17.84*(1+'Chart of Accounts'!$E$67)</f>
        <v>84.362684</v>
      </c>
    </row>
    <row r="6585" customFormat="false" ht="15" hidden="false" customHeight="false" outlineLevel="0" collapsed="false">
      <c r="B6585" s="7" t="s">
        <v>7082</v>
      </c>
      <c r="C6585" s="39" t="n">
        <v>45961</v>
      </c>
      <c r="D6585" s="7" t="s">
        <v>395</v>
      </c>
      <c r="E6585" s="7" t="s">
        <v>156</v>
      </c>
      <c r="F6585" s="7" t="s">
        <v>242</v>
      </c>
      <c r="G6585" s="7" t="s">
        <v>505</v>
      </c>
      <c r="H6585" s="6" t="n">
        <v>3.96</v>
      </c>
      <c r="I6585" s="6" t="n">
        <v>0</v>
      </c>
      <c r="J6585" s="40" t="n">
        <f aca="false">H6585-I6585</f>
        <v>3.96</v>
      </c>
      <c r="K6585" s="41" t="n">
        <v>34</v>
      </c>
      <c r="L6585" s="42" t="n">
        <f aca="false">J6585*K6585</f>
        <v>134.64</v>
      </c>
      <c r="M6585" s="43" t="n">
        <f aca="false">H6585*17.99*(1+'Chart of Accounts'!$E$67)</f>
        <v>81.570258</v>
      </c>
    </row>
    <row r="6586" customFormat="false" ht="15" hidden="false" customHeight="false" outlineLevel="0" collapsed="false">
      <c r="B6586" s="7" t="s">
        <v>7083</v>
      </c>
      <c r="C6586" s="39" t="n">
        <v>45961</v>
      </c>
      <c r="D6586" s="7" t="s">
        <v>397</v>
      </c>
      <c r="E6586" s="7" t="s">
        <v>159</v>
      </c>
      <c r="F6586" s="7" t="s">
        <v>203</v>
      </c>
      <c r="G6586" s="7" t="s">
        <v>502</v>
      </c>
      <c r="H6586" s="6" t="n">
        <v>1.01</v>
      </c>
      <c r="I6586" s="6" t="n">
        <v>0</v>
      </c>
      <c r="J6586" s="40" t="n">
        <f aca="false">H6586-I6586</f>
        <v>1.01</v>
      </c>
      <c r="K6586" s="41" t="n">
        <v>135</v>
      </c>
      <c r="L6586" s="42" t="n">
        <f aca="false">J6586*K6586</f>
        <v>136.35</v>
      </c>
      <c r="M6586" s="43" t="n">
        <f aca="false">H6586*49.43*(1+'Chart of Accounts'!$E$67)</f>
        <v>57.1633235</v>
      </c>
    </row>
    <row r="6587" customFormat="false" ht="15" hidden="false" customHeight="false" outlineLevel="0" collapsed="false">
      <c r="B6587" s="7" t="s">
        <v>7084</v>
      </c>
      <c r="C6587" s="39" t="n">
        <v>45961</v>
      </c>
      <c r="D6587" s="7" t="s">
        <v>399</v>
      </c>
      <c r="E6587" s="7" t="s">
        <v>154</v>
      </c>
      <c r="F6587" s="7" t="s">
        <v>256</v>
      </c>
      <c r="G6587" s="7" t="s">
        <v>505</v>
      </c>
      <c r="H6587" s="6" t="n">
        <v>3.1</v>
      </c>
      <c r="I6587" s="6" t="n">
        <v>0</v>
      </c>
      <c r="J6587" s="40" t="n">
        <f aca="false">H6587-I6587</f>
        <v>3.1</v>
      </c>
      <c r="K6587" s="41" t="n">
        <v>26.5</v>
      </c>
      <c r="L6587" s="42" t="n">
        <f aca="false">J6587*K6587</f>
        <v>82.15</v>
      </c>
      <c r="M6587" s="43" t="n">
        <f aca="false">H6587*15.63*(1+'Chart of Accounts'!$E$67)</f>
        <v>55.478685</v>
      </c>
    </row>
    <row r="6588" customFormat="false" ht="15" hidden="false" customHeight="false" outlineLevel="0" collapsed="false">
      <c r="B6588" s="7" t="s">
        <v>7085</v>
      </c>
      <c r="C6588" s="39" t="n">
        <v>45961</v>
      </c>
      <c r="D6588" s="7" t="s">
        <v>401</v>
      </c>
      <c r="E6588" s="7" t="s">
        <v>156</v>
      </c>
      <c r="F6588" s="7" t="s">
        <v>254</v>
      </c>
      <c r="G6588" s="7" t="s">
        <v>505</v>
      </c>
      <c r="H6588" s="6" t="n">
        <v>3.83</v>
      </c>
      <c r="I6588" s="6" t="n">
        <v>0</v>
      </c>
      <c r="J6588" s="40" t="n">
        <f aca="false">H6588-I6588</f>
        <v>3.83</v>
      </c>
      <c r="K6588" s="41" t="n">
        <v>34</v>
      </c>
      <c r="L6588" s="42" t="n">
        <f aca="false">J6588*K6588</f>
        <v>130.22</v>
      </c>
      <c r="M6588" s="43" t="n">
        <f aca="false">H6588*17.1*(1+'Chart of Accounts'!$E$67)</f>
        <v>74.989485</v>
      </c>
    </row>
    <row r="6589" customFormat="false" ht="15" hidden="false" customHeight="false" outlineLevel="0" collapsed="false">
      <c r="B6589" s="7" t="s">
        <v>7086</v>
      </c>
      <c r="C6589" s="39" t="n">
        <v>45961</v>
      </c>
      <c r="D6589" s="7" t="s">
        <v>403</v>
      </c>
      <c r="E6589" s="7" t="s">
        <v>156</v>
      </c>
      <c r="F6589" s="7" t="s">
        <v>184</v>
      </c>
      <c r="G6589" s="7" t="s">
        <v>505</v>
      </c>
      <c r="H6589" s="6" t="n">
        <v>4.24</v>
      </c>
      <c r="I6589" s="6" t="n">
        <v>0</v>
      </c>
      <c r="J6589" s="40" t="n">
        <f aca="false">H6589-I6589</f>
        <v>4.24</v>
      </c>
      <c r="K6589" s="41" t="n">
        <v>34</v>
      </c>
      <c r="L6589" s="42" t="n">
        <f aca="false">J6589*K6589</f>
        <v>144.16</v>
      </c>
      <c r="M6589" s="43" t="n">
        <f aca="false">H6589*17.34*(1+'Chart of Accounts'!$E$67)</f>
        <v>84.182232</v>
      </c>
    </row>
    <row r="6590" customFormat="false" ht="15" hidden="false" customHeight="false" outlineLevel="0" collapsed="false">
      <c r="B6590" s="7" t="s">
        <v>7087</v>
      </c>
      <c r="C6590" s="39" t="n">
        <v>45961</v>
      </c>
      <c r="D6590" s="7" t="s">
        <v>407</v>
      </c>
      <c r="E6590" s="7" t="s">
        <v>159</v>
      </c>
      <c r="F6590" s="7" t="s">
        <v>260</v>
      </c>
      <c r="G6590" s="7" t="s">
        <v>502</v>
      </c>
      <c r="H6590" s="6" t="n">
        <v>1.04</v>
      </c>
      <c r="I6590" s="6" t="n">
        <v>0</v>
      </c>
      <c r="J6590" s="40" t="n">
        <f aca="false">H6590-I6590</f>
        <v>1.04</v>
      </c>
      <c r="K6590" s="41" t="n">
        <v>135</v>
      </c>
      <c r="L6590" s="42" t="n">
        <f aca="false">J6590*K6590</f>
        <v>140.4</v>
      </c>
      <c r="M6590" s="43" t="n">
        <f aca="false">H6590*79.8*(1+'Chart of Accounts'!$E$67)</f>
        <v>95.02584</v>
      </c>
    </row>
    <row r="6591" customFormat="false" ht="15" hidden="false" customHeight="false" outlineLevel="0" collapsed="false">
      <c r="B6591" s="7" t="s">
        <v>7088</v>
      </c>
      <c r="C6591" s="39" t="n">
        <v>45961</v>
      </c>
      <c r="D6591" s="7" t="s">
        <v>409</v>
      </c>
      <c r="E6591" s="7" t="s">
        <v>154</v>
      </c>
      <c r="F6591" s="7" t="s">
        <v>214</v>
      </c>
      <c r="G6591" s="7" t="s">
        <v>505</v>
      </c>
      <c r="H6591" s="6" t="n">
        <v>3.44</v>
      </c>
      <c r="I6591" s="6" t="n">
        <v>0</v>
      </c>
      <c r="J6591" s="40" t="n">
        <f aca="false">H6591-I6591</f>
        <v>3.44</v>
      </c>
      <c r="K6591" s="41" t="n">
        <v>26.5</v>
      </c>
      <c r="L6591" s="42" t="n">
        <f aca="false">J6591*K6591</f>
        <v>91.16</v>
      </c>
      <c r="M6591" s="43" t="n">
        <f aca="false">H6591*15.67*(1+'Chart of Accounts'!$E$67)</f>
        <v>61.720996</v>
      </c>
    </row>
    <row r="6592" customFormat="false" ht="15" hidden="false" customHeight="false" outlineLevel="0" collapsed="false">
      <c r="B6592" s="7" t="s">
        <v>7089</v>
      </c>
      <c r="C6592" s="39" t="n">
        <v>45961</v>
      </c>
      <c r="D6592" s="7" t="s">
        <v>411</v>
      </c>
      <c r="E6592" s="7" t="s">
        <v>154</v>
      </c>
      <c r="F6592" s="7" t="s">
        <v>177</v>
      </c>
      <c r="G6592" s="7" t="s">
        <v>505</v>
      </c>
      <c r="H6592" s="6" t="n">
        <v>4.99</v>
      </c>
      <c r="I6592" s="6" t="n">
        <v>0.15</v>
      </c>
      <c r="J6592" s="40" t="n">
        <f aca="false">H6592-I6592</f>
        <v>4.84</v>
      </c>
      <c r="K6592" s="41" t="n">
        <v>26.5</v>
      </c>
      <c r="L6592" s="42" t="n">
        <f aca="false">J6592*K6592</f>
        <v>128.26</v>
      </c>
      <c r="M6592" s="43" t="n">
        <f aca="false">H6592*14.56*(1+'Chart of Accounts'!$E$67)</f>
        <v>83.189288</v>
      </c>
    </row>
    <row r="6593" customFormat="false" ht="15" hidden="false" customHeight="false" outlineLevel="0" collapsed="false">
      <c r="B6593" s="7" t="s">
        <v>7090</v>
      </c>
      <c r="C6593" s="39" t="n">
        <v>45962</v>
      </c>
      <c r="D6593" s="7" t="s">
        <v>288</v>
      </c>
      <c r="E6593" s="7" t="s">
        <v>156</v>
      </c>
      <c r="F6593" s="7" t="s">
        <v>205</v>
      </c>
      <c r="G6593" s="7" t="s">
        <v>505</v>
      </c>
      <c r="H6593" s="6" t="n">
        <v>3.99</v>
      </c>
      <c r="I6593" s="6" t="n">
        <v>0</v>
      </c>
      <c r="J6593" s="40" t="n">
        <f aca="false">H6593-I6593</f>
        <v>3.99</v>
      </c>
      <c r="K6593" s="41" t="n">
        <v>34</v>
      </c>
      <c r="L6593" s="42" t="n">
        <f aca="false">J6593*K6593</f>
        <v>135.66</v>
      </c>
      <c r="M6593" s="43" t="n">
        <f aca="false">H6593*16.36*(1+'Chart of Accounts'!$E$67)</f>
        <v>74.741478</v>
      </c>
    </row>
    <row r="6594" customFormat="false" ht="15" hidden="false" customHeight="false" outlineLevel="0" collapsed="false">
      <c r="B6594" s="7" t="s">
        <v>7091</v>
      </c>
      <c r="C6594" s="39" t="n">
        <v>45962</v>
      </c>
      <c r="D6594" s="7" t="s">
        <v>321</v>
      </c>
      <c r="E6594" s="7" t="s">
        <v>154</v>
      </c>
      <c r="F6594" s="7" t="s">
        <v>218</v>
      </c>
      <c r="G6594" s="7" t="s">
        <v>505</v>
      </c>
      <c r="H6594" s="6" t="n">
        <v>4.39</v>
      </c>
      <c r="I6594" s="6" t="n">
        <v>0</v>
      </c>
      <c r="J6594" s="40" t="n">
        <f aca="false">H6594-I6594</f>
        <v>4.39</v>
      </c>
      <c r="K6594" s="41" t="n">
        <v>26.5</v>
      </c>
      <c r="L6594" s="42" t="n">
        <f aca="false">J6594*K6594</f>
        <v>116.335</v>
      </c>
      <c r="M6594" s="43" t="n">
        <f aca="false">H6594*16.19*(1+'Chart of Accounts'!$E$67)</f>
        <v>81.3798445</v>
      </c>
    </row>
    <row r="6595" customFormat="false" ht="15" hidden="false" customHeight="false" outlineLevel="0" collapsed="false">
      <c r="B6595" s="7" t="s">
        <v>7092</v>
      </c>
      <c r="C6595" s="39" t="n">
        <v>45962</v>
      </c>
      <c r="D6595" s="7" t="s">
        <v>359</v>
      </c>
      <c r="E6595" s="7" t="s">
        <v>156</v>
      </c>
      <c r="F6595" s="7" t="s">
        <v>205</v>
      </c>
      <c r="G6595" s="7" t="s">
        <v>505</v>
      </c>
      <c r="H6595" s="6" t="n">
        <v>3.67</v>
      </c>
      <c r="I6595" s="6" t="n">
        <v>0</v>
      </c>
      <c r="J6595" s="40" t="n">
        <f aca="false">H6595-I6595</f>
        <v>3.67</v>
      </c>
      <c r="K6595" s="41" t="n">
        <v>34</v>
      </c>
      <c r="L6595" s="42" t="n">
        <f aca="false">J6595*K6595</f>
        <v>124.78</v>
      </c>
      <c r="M6595" s="43" t="n">
        <f aca="false">H6595*16.36*(1+'Chart of Accounts'!$E$67)</f>
        <v>68.747174</v>
      </c>
    </row>
    <row r="6596" customFormat="false" ht="15" hidden="false" customHeight="false" outlineLevel="0" collapsed="false">
      <c r="B6596" s="7" t="s">
        <v>7093</v>
      </c>
      <c r="C6596" s="39" t="n">
        <v>45962</v>
      </c>
      <c r="D6596" s="7" t="s">
        <v>387</v>
      </c>
      <c r="E6596" s="7" t="s">
        <v>154</v>
      </c>
      <c r="F6596" s="7" t="s">
        <v>196</v>
      </c>
      <c r="G6596" s="7" t="s">
        <v>505</v>
      </c>
      <c r="H6596" s="6" t="n">
        <v>3.72</v>
      </c>
      <c r="I6596" s="6" t="n">
        <v>0</v>
      </c>
      <c r="J6596" s="40" t="n">
        <f aca="false">H6596-I6596</f>
        <v>3.72</v>
      </c>
      <c r="K6596" s="41" t="n">
        <v>26.5</v>
      </c>
      <c r="L6596" s="42" t="n">
        <f aca="false">J6596*K6596</f>
        <v>98.58</v>
      </c>
      <c r="M6596" s="43" t="n">
        <f aca="false">H6596*15.05*(1+'Chart of Accounts'!$E$67)</f>
        <v>64.10397</v>
      </c>
    </row>
    <row r="6597" customFormat="false" ht="15" hidden="false" customHeight="false" outlineLevel="0" collapsed="false">
      <c r="B6597" s="7" t="s">
        <v>7094</v>
      </c>
      <c r="C6597" s="39" t="n">
        <v>45962</v>
      </c>
      <c r="D6597" s="7" t="s">
        <v>391</v>
      </c>
      <c r="E6597" s="7" t="s">
        <v>156</v>
      </c>
      <c r="F6597" s="7" t="s">
        <v>222</v>
      </c>
      <c r="G6597" s="7" t="s">
        <v>505</v>
      </c>
      <c r="H6597" s="6" t="n">
        <v>4.27</v>
      </c>
      <c r="I6597" s="6" t="n">
        <v>0</v>
      </c>
      <c r="J6597" s="40" t="n">
        <f aca="false">H6597-I6597</f>
        <v>4.27</v>
      </c>
      <c r="K6597" s="41" t="n">
        <v>34</v>
      </c>
      <c r="L6597" s="42" t="n">
        <f aca="false">J6597*K6597</f>
        <v>145.18</v>
      </c>
      <c r="M6597" s="43" t="n">
        <f aca="false">H6597*17.84*(1+'Chart of Accounts'!$E$67)</f>
        <v>87.222436</v>
      </c>
    </row>
    <row r="6598" customFormat="false" ht="15" hidden="false" customHeight="false" outlineLevel="0" collapsed="false">
      <c r="B6598" s="7" t="s">
        <v>7095</v>
      </c>
      <c r="C6598" s="39" t="n">
        <v>45962</v>
      </c>
      <c r="D6598" s="7" t="s">
        <v>395</v>
      </c>
      <c r="E6598" s="7" t="s">
        <v>156</v>
      </c>
      <c r="F6598" s="7" t="s">
        <v>242</v>
      </c>
      <c r="G6598" s="7" t="s">
        <v>505</v>
      </c>
      <c r="H6598" s="6" t="n">
        <v>3.76</v>
      </c>
      <c r="I6598" s="6" t="n">
        <v>0</v>
      </c>
      <c r="J6598" s="40" t="n">
        <f aca="false">H6598-I6598</f>
        <v>3.76</v>
      </c>
      <c r="K6598" s="41" t="n">
        <v>34</v>
      </c>
      <c r="L6598" s="42" t="n">
        <f aca="false">J6598*K6598</f>
        <v>127.84</v>
      </c>
      <c r="M6598" s="43" t="n">
        <f aca="false">H6598*17.99*(1+'Chart of Accounts'!$E$67)</f>
        <v>77.450548</v>
      </c>
    </row>
    <row r="6599" customFormat="false" ht="15" hidden="false" customHeight="false" outlineLevel="0" collapsed="false">
      <c r="B6599" s="7" t="s">
        <v>7096</v>
      </c>
      <c r="C6599" s="39" t="n">
        <v>45962</v>
      </c>
      <c r="D6599" s="7" t="s">
        <v>401</v>
      </c>
      <c r="E6599" s="7" t="s">
        <v>156</v>
      </c>
      <c r="F6599" s="7" t="s">
        <v>254</v>
      </c>
      <c r="G6599" s="7" t="s">
        <v>505</v>
      </c>
      <c r="H6599" s="6" t="n">
        <v>3.63</v>
      </c>
      <c r="I6599" s="6" t="n">
        <v>0</v>
      </c>
      <c r="J6599" s="40" t="n">
        <f aca="false">H6599-I6599</f>
        <v>3.63</v>
      </c>
      <c r="K6599" s="41" t="n">
        <v>34</v>
      </c>
      <c r="L6599" s="42" t="n">
        <f aca="false">J6599*K6599</f>
        <v>123.42</v>
      </c>
      <c r="M6599" s="43" t="n">
        <f aca="false">H6599*17.1*(1+'Chart of Accounts'!$E$67)</f>
        <v>71.073585</v>
      </c>
    </row>
    <row r="6600" customFormat="false" ht="15" hidden="false" customHeight="false" outlineLevel="0" collapsed="false">
      <c r="B6600" s="7" t="s">
        <v>7097</v>
      </c>
      <c r="C6600" s="39" t="n">
        <v>45963</v>
      </c>
      <c r="D6600" s="7" t="s">
        <v>288</v>
      </c>
      <c r="E6600" s="7" t="s">
        <v>156</v>
      </c>
      <c r="F6600" s="7" t="s">
        <v>220</v>
      </c>
      <c r="G6600" s="7" t="s">
        <v>505</v>
      </c>
      <c r="H6600" s="6" t="n">
        <v>3.84</v>
      </c>
      <c r="I6600" s="6" t="n">
        <v>0</v>
      </c>
      <c r="J6600" s="40" t="n">
        <f aca="false">H6600-I6600</f>
        <v>3.84</v>
      </c>
      <c r="K6600" s="41" t="n">
        <v>34</v>
      </c>
      <c r="L6600" s="42" t="n">
        <f aca="false">J6600*K6600</f>
        <v>130.56</v>
      </c>
      <c r="M6600" s="43" t="n">
        <f aca="false">H6600*16.43*(1+'Chart of Accounts'!$E$67)</f>
        <v>72.239424</v>
      </c>
    </row>
    <row r="6601" customFormat="false" ht="15" hidden="false" customHeight="false" outlineLevel="0" collapsed="false">
      <c r="B6601" s="7" t="s">
        <v>7098</v>
      </c>
      <c r="C6601" s="39" t="n">
        <v>45963</v>
      </c>
      <c r="D6601" s="7" t="s">
        <v>321</v>
      </c>
      <c r="E6601" s="7" t="s">
        <v>154</v>
      </c>
      <c r="F6601" s="7" t="s">
        <v>218</v>
      </c>
      <c r="G6601" s="7" t="s">
        <v>505</v>
      </c>
      <c r="H6601" s="6" t="n">
        <v>3.83</v>
      </c>
      <c r="I6601" s="6" t="n">
        <v>0</v>
      </c>
      <c r="J6601" s="40" t="n">
        <f aca="false">H6601-I6601</f>
        <v>3.83</v>
      </c>
      <c r="K6601" s="41" t="n">
        <v>26.5</v>
      </c>
      <c r="L6601" s="42" t="n">
        <f aca="false">J6601*K6601</f>
        <v>101.495</v>
      </c>
      <c r="M6601" s="43" t="n">
        <f aca="false">H6601*16.19*(1+'Chart of Accounts'!$E$67)</f>
        <v>70.9988165</v>
      </c>
    </row>
    <row r="6602" customFormat="false" ht="15" hidden="false" customHeight="false" outlineLevel="0" collapsed="false">
      <c r="B6602" s="7" t="s">
        <v>7099</v>
      </c>
      <c r="C6602" s="39" t="n">
        <v>45963</v>
      </c>
      <c r="D6602" s="7" t="s">
        <v>359</v>
      </c>
      <c r="E6602" s="7" t="s">
        <v>156</v>
      </c>
      <c r="F6602" s="7" t="s">
        <v>246</v>
      </c>
      <c r="G6602" s="7" t="s">
        <v>505</v>
      </c>
      <c r="H6602" s="6" t="n">
        <v>3.99</v>
      </c>
      <c r="I6602" s="6" t="n">
        <v>0</v>
      </c>
      <c r="J6602" s="40" t="n">
        <f aca="false">H6602-I6602</f>
        <v>3.99</v>
      </c>
      <c r="K6602" s="41" t="n">
        <v>34</v>
      </c>
      <c r="L6602" s="42" t="n">
        <f aca="false">J6602*K6602</f>
        <v>135.66</v>
      </c>
      <c r="M6602" s="43" t="n">
        <f aca="false">H6602*16.48*(1+'Chart of Accounts'!$E$67)</f>
        <v>75.289704</v>
      </c>
    </row>
    <row r="6603" customFormat="false" ht="15" hidden="false" customHeight="false" outlineLevel="0" collapsed="false">
      <c r="B6603" s="7" t="s">
        <v>7100</v>
      </c>
      <c r="C6603" s="39" t="n">
        <v>45963</v>
      </c>
      <c r="D6603" s="7" t="s">
        <v>387</v>
      </c>
      <c r="E6603" s="7" t="s">
        <v>154</v>
      </c>
      <c r="F6603" s="7" t="s">
        <v>196</v>
      </c>
      <c r="G6603" s="7" t="s">
        <v>505</v>
      </c>
      <c r="H6603" s="6" t="n">
        <v>3.7</v>
      </c>
      <c r="I6603" s="6" t="n">
        <v>0</v>
      </c>
      <c r="J6603" s="40" t="n">
        <f aca="false">H6603-I6603</f>
        <v>3.7</v>
      </c>
      <c r="K6603" s="41" t="n">
        <v>26.5</v>
      </c>
      <c r="L6603" s="42" t="n">
        <f aca="false">J6603*K6603</f>
        <v>98.05</v>
      </c>
      <c r="M6603" s="43" t="n">
        <f aca="false">H6603*15.05*(1+'Chart of Accounts'!$E$67)</f>
        <v>63.759325</v>
      </c>
    </row>
    <row r="6604" customFormat="false" ht="15" hidden="false" customHeight="false" outlineLevel="0" collapsed="false">
      <c r="B6604" s="7" t="s">
        <v>7101</v>
      </c>
      <c r="C6604" s="39" t="n">
        <v>45963</v>
      </c>
      <c r="D6604" s="7" t="s">
        <v>391</v>
      </c>
      <c r="E6604" s="7" t="s">
        <v>156</v>
      </c>
      <c r="F6604" s="7" t="s">
        <v>222</v>
      </c>
      <c r="G6604" s="7" t="s">
        <v>505</v>
      </c>
      <c r="H6604" s="6" t="n">
        <v>4.34</v>
      </c>
      <c r="I6604" s="6" t="n">
        <v>0</v>
      </c>
      <c r="J6604" s="40" t="n">
        <f aca="false">H6604-I6604</f>
        <v>4.34</v>
      </c>
      <c r="K6604" s="41" t="n">
        <v>34</v>
      </c>
      <c r="L6604" s="42" t="n">
        <f aca="false">J6604*K6604</f>
        <v>147.56</v>
      </c>
      <c r="M6604" s="43" t="n">
        <f aca="false">H6604*17.84*(1+'Chart of Accounts'!$E$67)</f>
        <v>88.652312</v>
      </c>
    </row>
    <row r="6605" customFormat="false" ht="15" hidden="false" customHeight="false" outlineLevel="0" collapsed="false">
      <c r="B6605" s="7" t="s">
        <v>7102</v>
      </c>
      <c r="C6605" s="39" t="n">
        <v>45963</v>
      </c>
      <c r="D6605" s="7" t="s">
        <v>395</v>
      </c>
      <c r="E6605" s="7" t="s">
        <v>156</v>
      </c>
      <c r="F6605" s="7" t="s">
        <v>242</v>
      </c>
      <c r="G6605" s="7" t="s">
        <v>505</v>
      </c>
      <c r="H6605" s="6" t="n">
        <v>3.98</v>
      </c>
      <c r="I6605" s="6" t="n">
        <v>0</v>
      </c>
      <c r="J6605" s="40" t="n">
        <f aca="false">H6605-I6605</f>
        <v>3.98</v>
      </c>
      <c r="K6605" s="41" t="n">
        <v>34</v>
      </c>
      <c r="L6605" s="42" t="n">
        <f aca="false">J6605*K6605</f>
        <v>135.32</v>
      </c>
      <c r="M6605" s="43" t="n">
        <f aca="false">H6605*17.99*(1+'Chart of Accounts'!$E$67)</f>
        <v>81.982229</v>
      </c>
    </row>
    <row r="6606" customFormat="false" ht="15" hidden="false" customHeight="false" outlineLevel="0" collapsed="false">
      <c r="B6606" s="7" t="s">
        <v>7103</v>
      </c>
      <c r="C6606" s="39" t="n">
        <v>45963</v>
      </c>
      <c r="D6606" s="7" t="s">
        <v>401</v>
      </c>
      <c r="E6606" s="7" t="s">
        <v>156</v>
      </c>
      <c r="F6606" s="7" t="s">
        <v>254</v>
      </c>
      <c r="G6606" s="7" t="s">
        <v>505</v>
      </c>
      <c r="H6606" s="6" t="n">
        <v>4.09</v>
      </c>
      <c r="I6606" s="6" t="n">
        <v>0</v>
      </c>
      <c r="J6606" s="40" t="n">
        <f aca="false">H6606-I6606</f>
        <v>4.09</v>
      </c>
      <c r="K6606" s="41" t="n">
        <v>34</v>
      </c>
      <c r="L6606" s="42" t="n">
        <f aca="false">J6606*K6606</f>
        <v>139.06</v>
      </c>
      <c r="M6606" s="43" t="n">
        <f aca="false">H6606*17.1*(1+'Chart of Accounts'!$E$67)</f>
        <v>80.080155</v>
      </c>
    </row>
    <row r="6607" customFormat="false" ht="15" hidden="false" customHeight="false" outlineLevel="0" collapsed="false">
      <c r="B6607" s="7" t="s">
        <v>7104</v>
      </c>
      <c r="C6607" s="39" t="n">
        <v>45964</v>
      </c>
      <c r="D6607" s="7" t="s">
        <v>288</v>
      </c>
      <c r="E6607" s="7" t="s">
        <v>156</v>
      </c>
      <c r="F6607" s="7" t="s">
        <v>232</v>
      </c>
      <c r="G6607" s="7" t="s">
        <v>505</v>
      </c>
      <c r="H6607" s="6" t="n">
        <v>4.38</v>
      </c>
      <c r="I6607" s="6" t="n">
        <v>0</v>
      </c>
      <c r="J6607" s="40" t="n">
        <f aca="false">H6607-I6607</f>
        <v>4.38</v>
      </c>
      <c r="K6607" s="41" t="n">
        <v>34</v>
      </c>
      <c r="L6607" s="42" t="n">
        <f aca="false">J6607*K6607</f>
        <v>148.92</v>
      </c>
      <c r="M6607" s="43" t="n">
        <f aca="false">H6607*16.17*(1+'Chart of Accounts'!$E$67)</f>
        <v>81.094167</v>
      </c>
    </row>
    <row r="6608" customFormat="false" ht="15" hidden="false" customHeight="false" outlineLevel="0" collapsed="false">
      <c r="B6608" s="7" t="s">
        <v>7105</v>
      </c>
      <c r="C6608" s="39" t="n">
        <v>45964</v>
      </c>
      <c r="D6608" s="7" t="s">
        <v>291</v>
      </c>
      <c r="E6608" s="7" t="s">
        <v>154</v>
      </c>
      <c r="F6608" s="7" t="s">
        <v>194</v>
      </c>
      <c r="G6608" s="7" t="s">
        <v>505</v>
      </c>
      <c r="H6608" s="6" t="n">
        <v>4.85</v>
      </c>
      <c r="I6608" s="6" t="n">
        <v>0</v>
      </c>
      <c r="J6608" s="40" t="n">
        <f aca="false">H6608-I6608</f>
        <v>4.85</v>
      </c>
      <c r="K6608" s="41" t="n">
        <v>26.5</v>
      </c>
      <c r="L6608" s="42" t="n">
        <f aca="false">J6608*K6608</f>
        <v>128.525</v>
      </c>
      <c r="M6608" s="43" t="n">
        <f aca="false">H6608*16*(1+'Chart of Accounts'!$E$67)</f>
        <v>88.852</v>
      </c>
    </row>
    <row r="6609" customFormat="false" ht="15" hidden="false" customHeight="false" outlineLevel="0" collapsed="false">
      <c r="B6609" s="7" t="s">
        <v>7106</v>
      </c>
      <c r="C6609" s="39" t="n">
        <v>45964</v>
      </c>
      <c r="D6609" s="7" t="s">
        <v>295</v>
      </c>
      <c r="E6609" s="7" t="s">
        <v>154</v>
      </c>
      <c r="F6609" s="7" t="s">
        <v>214</v>
      </c>
      <c r="G6609" s="7" t="s">
        <v>505</v>
      </c>
      <c r="H6609" s="6" t="n">
        <v>4.03</v>
      </c>
      <c r="I6609" s="6" t="n">
        <v>0</v>
      </c>
      <c r="J6609" s="40" t="n">
        <f aca="false">H6609-I6609</f>
        <v>4.03</v>
      </c>
      <c r="K6609" s="41" t="n">
        <v>26.5</v>
      </c>
      <c r="L6609" s="42" t="n">
        <f aca="false">J6609*K6609</f>
        <v>106.795</v>
      </c>
      <c r="M6609" s="43" t="n">
        <f aca="false">H6609*15.67*(1+'Chart of Accounts'!$E$67)</f>
        <v>72.3068645</v>
      </c>
    </row>
    <row r="6610" customFormat="false" ht="15" hidden="false" customHeight="false" outlineLevel="0" collapsed="false">
      <c r="B6610" s="7" t="s">
        <v>7107</v>
      </c>
      <c r="C6610" s="39" t="n">
        <v>45964</v>
      </c>
      <c r="D6610" s="7" t="s">
        <v>297</v>
      </c>
      <c r="E6610" s="7" t="s">
        <v>156</v>
      </c>
      <c r="F6610" s="7" t="s">
        <v>201</v>
      </c>
      <c r="G6610" s="7" t="s">
        <v>505</v>
      </c>
      <c r="H6610" s="6" t="n">
        <v>2.93</v>
      </c>
      <c r="I6610" s="6" t="n">
        <v>0</v>
      </c>
      <c r="J6610" s="40" t="n">
        <f aca="false">H6610-I6610</f>
        <v>2.93</v>
      </c>
      <c r="K6610" s="41" t="n">
        <v>34</v>
      </c>
      <c r="L6610" s="42" t="n">
        <f aca="false">J6610*K6610</f>
        <v>99.62</v>
      </c>
      <c r="M6610" s="43" t="n">
        <f aca="false">H6610*15.19*(1+'Chart of Accounts'!$E$67)</f>
        <v>50.9601715</v>
      </c>
    </row>
    <row r="6611" customFormat="false" ht="15" hidden="false" customHeight="false" outlineLevel="0" collapsed="false">
      <c r="B6611" s="7" t="s">
        <v>7108</v>
      </c>
      <c r="C6611" s="39" t="n">
        <v>45964</v>
      </c>
      <c r="D6611" s="7" t="s">
        <v>299</v>
      </c>
      <c r="E6611" s="7" t="s">
        <v>154</v>
      </c>
      <c r="F6611" s="7" t="s">
        <v>205</v>
      </c>
      <c r="G6611" s="7" t="s">
        <v>505</v>
      </c>
      <c r="H6611" s="6" t="n">
        <v>3.19</v>
      </c>
      <c r="I6611" s="6" t="n">
        <v>0</v>
      </c>
      <c r="J6611" s="40" t="n">
        <f aca="false">H6611-I6611</f>
        <v>3.19</v>
      </c>
      <c r="K6611" s="41" t="n">
        <v>26.5</v>
      </c>
      <c r="L6611" s="42" t="n">
        <f aca="false">J6611*K6611</f>
        <v>84.535</v>
      </c>
      <c r="M6611" s="43" t="n">
        <f aca="false">H6611*16.36*(1+'Chart of Accounts'!$E$67)</f>
        <v>59.755718</v>
      </c>
    </row>
    <row r="6612" customFormat="false" ht="15" hidden="false" customHeight="false" outlineLevel="0" collapsed="false">
      <c r="B6612" s="7" t="s">
        <v>7109</v>
      </c>
      <c r="C6612" s="39" t="n">
        <v>45964</v>
      </c>
      <c r="D6612" s="7" t="s">
        <v>303</v>
      </c>
      <c r="E6612" s="7" t="s">
        <v>154</v>
      </c>
      <c r="F6612" s="7" t="s">
        <v>240</v>
      </c>
      <c r="G6612" s="7" t="s">
        <v>505</v>
      </c>
      <c r="H6612" s="6" t="n">
        <v>3.6</v>
      </c>
      <c r="I6612" s="6" t="n">
        <v>0</v>
      </c>
      <c r="J6612" s="40" t="n">
        <f aca="false">H6612-I6612</f>
        <v>3.6</v>
      </c>
      <c r="K6612" s="41" t="n">
        <v>26.5</v>
      </c>
      <c r="L6612" s="42" t="n">
        <f aca="false">J6612*K6612</f>
        <v>95.4</v>
      </c>
      <c r="M6612" s="43" t="n">
        <f aca="false">H6612*16.96*(1+'Chart of Accounts'!$E$67)</f>
        <v>69.90912</v>
      </c>
    </row>
    <row r="6613" customFormat="false" ht="15" hidden="false" customHeight="false" outlineLevel="0" collapsed="false">
      <c r="B6613" s="7" t="s">
        <v>7110</v>
      </c>
      <c r="C6613" s="39" t="n">
        <v>45964</v>
      </c>
      <c r="D6613" s="7" t="s">
        <v>305</v>
      </c>
      <c r="E6613" s="7" t="s">
        <v>154</v>
      </c>
      <c r="F6613" s="7" t="s">
        <v>205</v>
      </c>
      <c r="G6613" s="7" t="s">
        <v>505</v>
      </c>
      <c r="H6613" s="6" t="n">
        <v>4.18</v>
      </c>
      <c r="I6613" s="6" t="n">
        <v>0</v>
      </c>
      <c r="J6613" s="40" t="n">
        <f aca="false">H6613-I6613</f>
        <v>4.18</v>
      </c>
      <c r="K6613" s="41" t="n">
        <v>26.5</v>
      </c>
      <c r="L6613" s="42" t="n">
        <f aca="false">J6613*K6613</f>
        <v>110.77</v>
      </c>
      <c r="M6613" s="43" t="n">
        <f aca="false">H6613*16.36*(1+'Chart of Accounts'!$E$67)</f>
        <v>78.300596</v>
      </c>
    </row>
    <row r="6614" customFormat="false" ht="15" hidden="false" customHeight="false" outlineLevel="0" collapsed="false">
      <c r="B6614" s="7" t="s">
        <v>7111</v>
      </c>
      <c r="C6614" s="39" t="n">
        <v>45964</v>
      </c>
      <c r="D6614" s="7" t="s">
        <v>307</v>
      </c>
      <c r="E6614" s="7" t="s">
        <v>157</v>
      </c>
      <c r="F6614" s="7" t="s">
        <v>264</v>
      </c>
      <c r="G6614" s="7" t="s">
        <v>502</v>
      </c>
      <c r="H6614" s="6" t="n">
        <v>1.07</v>
      </c>
      <c r="I6614" s="6" t="n">
        <v>0</v>
      </c>
      <c r="J6614" s="40" t="n">
        <f aca="false">H6614-I6614</f>
        <v>1.07</v>
      </c>
      <c r="K6614" s="41" t="n">
        <v>165</v>
      </c>
      <c r="L6614" s="42" t="n">
        <f aca="false">J6614*K6614</f>
        <v>176.55</v>
      </c>
      <c r="M6614" s="43" t="n">
        <f aca="false">H6614*55.55*(1+'Chart of Accounts'!$E$67)</f>
        <v>68.0570825</v>
      </c>
    </row>
    <row r="6615" customFormat="false" ht="15" hidden="false" customHeight="false" outlineLevel="0" collapsed="false">
      <c r="B6615" s="7" t="s">
        <v>7112</v>
      </c>
      <c r="C6615" s="39" t="n">
        <v>45964</v>
      </c>
      <c r="D6615" s="7" t="s">
        <v>309</v>
      </c>
      <c r="E6615" s="7" t="s">
        <v>159</v>
      </c>
      <c r="F6615" s="7" t="s">
        <v>252</v>
      </c>
      <c r="G6615" s="7" t="s">
        <v>502</v>
      </c>
      <c r="H6615" s="6" t="n">
        <v>1.02</v>
      </c>
      <c r="I6615" s="6" t="n">
        <v>0</v>
      </c>
      <c r="J6615" s="40" t="n">
        <f aca="false">H6615-I6615</f>
        <v>1.02</v>
      </c>
      <c r="K6615" s="41" t="n">
        <v>135</v>
      </c>
      <c r="L6615" s="42" t="n">
        <f aca="false">J6615*K6615</f>
        <v>137.7</v>
      </c>
      <c r="M6615" s="43" t="n">
        <f aca="false">H6615*57.54*(1+'Chart of Accounts'!$E$67)</f>
        <v>67.200966</v>
      </c>
    </row>
    <row r="6616" customFormat="false" ht="15" hidden="false" customHeight="false" outlineLevel="0" collapsed="false">
      <c r="B6616" s="7" t="s">
        <v>7113</v>
      </c>
      <c r="C6616" s="39" t="n">
        <v>45964</v>
      </c>
      <c r="D6616" s="7" t="s">
        <v>311</v>
      </c>
      <c r="E6616" s="7" t="s">
        <v>154</v>
      </c>
      <c r="F6616" s="7" t="s">
        <v>196</v>
      </c>
      <c r="G6616" s="7" t="s">
        <v>505</v>
      </c>
      <c r="H6616" s="6" t="n">
        <v>3.1</v>
      </c>
      <c r="I6616" s="6" t="n">
        <v>0.093</v>
      </c>
      <c r="J6616" s="40" t="n">
        <f aca="false">H6616-I6616</f>
        <v>3.007</v>
      </c>
      <c r="K6616" s="41" t="n">
        <v>26.5</v>
      </c>
      <c r="L6616" s="42" t="n">
        <f aca="false">J6616*K6616</f>
        <v>79.6855</v>
      </c>
      <c r="M6616" s="43" t="n">
        <f aca="false">H6616*15.05*(1+'Chart of Accounts'!$E$67)</f>
        <v>53.419975</v>
      </c>
    </row>
    <row r="6617" customFormat="false" ht="15" hidden="false" customHeight="false" outlineLevel="0" collapsed="false">
      <c r="B6617" s="7" t="s">
        <v>7114</v>
      </c>
      <c r="C6617" s="39" t="n">
        <v>45964</v>
      </c>
      <c r="D6617" s="7" t="s">
        <v>313</v>
      </c>
      <c r="E6617" s="7" t="s">
        <v>156</v>
      </c>
      <c r="F6617" s="7" t="s">
        <v>184</v>
      </c>
      <c r="G6617" s="7" t="s">
        <v>505</v>
      </c>
      <c r="H6617" s="6" t="n">
        <v>3.99</v>
      </c>
      <c r="I6617" s="6" t="n">
        <v>0</v>
      </c>
      <c r="J6617" s="40" t="n">
        <f aca="false">H6617-I6617</f>
        <v>3.99</v>
      </c>
      <c r="K6617" s="41" t="n">
        <v>34</v>
      </c>
      <c r="L6617" s="42" t="n">
        <f aca="false">J6617*K6617</f>
        <v>135.66</v>
      </c>
      <c r="M6617" s="43" t="n">
        <f aca="false">H6617*17.34*(1+'Chart of Accounts'!$E$67)</f>
        <v>79.218657</v>
      </c>
    </row>
    <row r="6618" customFormat="false" ht="15" hidden="false" customHeight="false" outlineLevel="0" collapsed="false">
      <c r="B6618" s="7" t="s">
        <v>7115</v>
      </c>
      <c r="C6618" s="39" t="n">
        <v>45964</v>
      </c>
      <c r="D6618" s="7" t="s">
        <v>315</v>
      </c>
      <c r="E6618" s="7" t="s">
        <v>159</v>
      </c>
      <c r="F6618" s="7" t="s">
        <v>216</v>
      </c>
      <c r="G6618" s="7" t="s">
        <v>502</v>
      </c>
      <c r="H6618" s="6" t="n">
        <v>0.9</v>
      </c>
      <c r="I6618" s="6" t="n">
        <v>0</v>
      </c>
      <c r="J6618" s="40" t="n">
        <f aca="false">H6618-I6618</f>
        <v>0.9</v>
      </c>
      <c r="K6618" s="41" t="n">
        <v>135</v>
      </c>
      <c r="L6618" s="42" t="n">
        <f aca="false">J6618*K6618</f>
        <v>121.5</v>
      </c>
      <c r="M6618" s="43" t="n">
        <f aca="false">H6618*61.79*(1+'Chart of Accounts'!$E$67)</f>
        <v>63.674595</v>
      </c>
    </row>
    <row r="6619" customFormat="false" ht="15" hidden="false" customHeight="false" outlineLevel="0" collapsed="false">
      <c r="B6619" s="7" t="s">
        <v>7116</v>
      </c>
      <c r="C6619" s="39" t="n">
        <v>45964</v>
      </c>
      <c r="D6619" s="7" t="s">
        <v>317</v>
      </c>
      <c r="E6619" s="7" t="s">
        <v>156</v>
      </c>
      <c r="F6619" s="7" t="s">
        <v>222</v>
      </c>
      <c r="G6619" s="7" t="s">
        <v>505</v>
      </c>
      <c r="H6619" s="6" t="n">
        <v>2.71</v>
      </c>
      <c r="I6619" s="6" t="n">
        <v>0</v>
      </c>
      <c r="J6619" s="40" t="n">
        <f aca="false">H6619-I6619</f>
        <v>2.71</v>
      </c>
      <c r="K6619" s="41" t="n">
        <v>34</v>
      </c>
      <c r="L6619" s="42" t="n">
        <f aca="false">J6619*K6619</f>
        <v>92.14</v>
      </c>
      <c r="M6619" s="43" t="n">
        <f aca="false">H6619*17.84*(1+'Chart of Accounts'!$E$67)</f>
        <v>55.356628</v>
      </c>
    </row>
    <row r="6620" customFormat="false" ht="15" hidden="false" customHeight="false" outlineLevel="0" collapsed="false">
      <c r="B6620" s="7" t="s">
        <v>7117</v>
      </c>
      <c r="C6620" s="39" t="n">
        <v>45964</v>
      </c>
      <c r="D6620" s="7" t="s">
        <v>325</v>
      </c>
      <c r="E6620" s="7" t="s">
        <v>154</v>
      </c>
      <c r="F6620" s="7" t="s">
        <v>246</v>
      </c>
      <c r="G6620" s="7" t="s">
        <v>505</v>
      </c>
      <c r="H6620" s="6" t="n">
        <v>3.06</v>
      </c>
      <c r="I6620" s="6" t="n">
        <v>0.092</v>
      </c>
      <c r="J6620" s="40" t="n">
        <f aca="false">H6620-I6620</f>
        <v>2.968</v>
      </c>
      <c r="K6620" s="41" t="n">
        <v>26.5</v>
      </c>
      <c r="L6620" s="42" t="n">
        <f aca="false">J6620*K6620</f>
        <v>78.652</v>
      </c>
      <c r="M6620" s="43" t="n">
        <f aca="false">H6620*16.48*(1+'Chart of Accounts'!$E$67)</f>
        <v>57.740976</v>
      </c>
    </row>
    <row r="6621" customFormat="false" ht="15" hidden="false" customHeight="false" outlineLevel="0" collapsed="false">
      <c r="B6621" s="7" t="s">
        <v>7118</v>
      </c>
      <c r="C6621" s="39" t="n">
        <v>45964</v>
      </c>
      <c r="D6621" s="7" t="s">
        <v>329</v>
      </c>
      <c r="E6621" s="7" t="s">
        <v>156</v>
      </c>
      <c r="F6621" s="7" t="s">
        <v>220</v>
      </c>
      <c r="G6621" s="7" t="s">
        <v>505</v>
      </c>
      <c r="H6621" s="6" t="n">
        <v>3.67</v>
      </c>
      <c r="I6621" s="6" t="n">
        <v>0</v>
      </c>
      <c r="J6621" s="40" t="n">
        <f aca="false">H6621-I6621</f>
        <v>3.67</v>
      </c>
      <c r="K6621" s="41" t="n">
        <v>34</v>
      </c>
      <c r="L6621" s="42" t="n">
        <f aca="false">J6621*K6621</f>
        <v>124.78</v>
      </c>
      <c r="M6621" s="43" t="n">
        <f aca="false">H6621*16.43*(1+'Chart of Accounts'!$E$67)</f>
        <v>69.0413245</v>
      </c>
    </row>
    <row r="6622" customFormat="false" ht="15" hidden="false" customHeight="false" outlineLevel="0" collapsed="false">
      <c r="B6622" s="7" t="s">
        <v>7119</v>
      </c>
      <c r="C6622" s="39" t="n">
        <v>45964</v>
      </c>
      <c r="D6622" s="7" t="s">
        <v>331</v>
      </c>
      <c r="E6622" s="7" t="s">
        <v>156</v>
      </c>
      <c r="F6622" s="7" t="s">
        <v>224</v>
      </c>
      <c r="G6622" s="7" t="s">
        <v>505</v>
      </c>
      <c r="H6622" s="6" t="n">
        <v>4.07</v>
      </c>
      <c r="I6622" s="6" t="n">
        <v>0</v>
      </c>
      <c r="J6622" s="40" t="n">
        <f aca="false">H6622-I6622</f>
        <v>4.07</v>
      </c>
      <c r="K6622" s="41" t="n">
        <v>34</v>
      </c>
      <c r="L6622" s="42" t="n">
        <f aca="false">J6622*K6622</f>
        <v>138.38</v>
      </c>
      <c r="M6622" s="43" t="n">
        <f aca="false">H6622*14.93*(1+'Chart of Accounts'!$E$67)</f>
        <v>69.5760395</v>
      </c>
    </row>
    <row r="6623" customFormat="false" ht="15" hidden="false" customHeight="false" outlineLevel="0" collapsed="false">
      <c r="B6623" s="7" t="s">
        <v>7120</v>
      </c>
      <c r="C6623" s="39" t="n">
        <v>45964</v>
      </c>
      <c r="D6623" s="7" t="s">
        <v>333</v>
      </c>
      <c r="E6623" s="7" t="s">
        <v>154</v>
      </c>
      <c r="F6623" s="7" t="s">
        <v>236</v>
      </c>
      <c r="G6623" s="7" t="s">
        <v>505</v>
      </c>
      <c r="H6623" s="6" t="n">
        <v>3.63</v>
      </c>
      <c r="I6623" s="6" t="n">
        <v>0</v>
      </c>
      <c r="J6623" s="40" t="n">
        <f aca="false">H6623-I6623</f>
        <v>3.63</v>
      </c>
      <c r="K6623" s="41" t="n">
        <v>26.5</v>
      </c>
      <c r="L6623" s="42" t="n">
        <f aca="false">J6623*K6623</f>
        <v>96.195</v>
      </c>
      <c r="M6623" s="43" t="n">
        <f aca="false">H6623*15.49*(1+'Chart of Accounts'!$E$67)</f>
        <v>64.3818615</v>
      </c>
    </row>
    <row r="6624" customFormat="false" ht="15" hidden="false" customHeight="false" outlineLevel="0" collapsed="false">
      <c r="B6624" s="7" t="s">
        <v>7121</v>
      </c>
      <c r="C6624" s="39" t="n">
        <v>45964</v>
      </c>
      <c r="D6624" s="7" t="s">
        <v>335</v>
      </c>
      <c r="E6624" s="7" t="s">
        <v>154</v>
      </c>
      <c r="F6624" s="7" t="s">
        <v>177</v>
      </c>
      <c r="G6624" s="7" t="s">
        <v>505</v>
      </c>
      <c r="H6624" s="6" t="n">
        <v>3.9</v>
      </c>
      <c r="I6624" s="6" t="n">
        <v>0</v>
      </c>
      <c r="J6624" s="40" t="n">
        <f aca="false">H6624-I6624</f>
        <v>3.9</v>
      </c>
      <c r="K6624" s="41" t="n">
        <v>26.5</v>
      </c>
      <c r="L6624" s="42" t="n">
        <f aca="false">J6624*K6624</f>
        <v>103.35</v>
      </c>
      <c r="M6624" s="43" t="n">
        <f aca="false">H6624*14.56*(1+'Chart of Accounts'!$E$67)</f>
        <v>65.01768</v>
      </c>
    </row>
    <row r="6625" customFormat="false" ht="15" hidden="false" customHeight="false" outlineLevel="0" collapsed="false">
      <c r="B6625" s="7" t="s">
        <v>7122</v>
      </c>
      <c r="C6625" s="39" t="n">
        <v>45964</v>
      </c>
      <c r="D6625" s="7" t="s">
        <v>339</v>
      </c>
      <c r="E6625" s="7" t="s">
        <v>154</v>
      </c>
      <c r="F6625" s="7" t="s">
        <v>242</v>
      </c>
      <c r="G6625" s="7" t="s">
        <v>505</v>
      </c>
      <c r="H6625" s="6" t="n">
        <v>3.46</v>
      </c>
      <c r="I6625" s="6" t="n">
        <v>0</v>
      </c>
      <c r="J6625" s="40" t="n">
        <f aca="false">H6625-I6625</f>
        <v>3.46</v>
      </c>
      <c r="K6625" s="41" t="n">
        <v>26.5</v>
      </c>
      <c r="L6625" s="42" t="n">
        <f aca="false">J6625*K6625</f>
        <v>91.69</v>
      </c>
      <c r="M6625" s="43" t="n">
        <f aca="false">H6625*17.99*(1+'Chart of Accounts'!$E$67)</f>
        <v>71.270983</v>
      </c>
    </row>
    <row r="6626" customFormat="false" ht="15" hidden="false" customHeight="false" outlineLevel="0" collapsed="false">
      <c r="B6626" s="7" t="s">
        <v>7123</v>
      </c>
      <c r="C6626" s="39" t="n">
        <v>45964</v>
      </c>
      <c r="D6626" s="7" t="s">
        <v>341</v>
      </c>
      <c r="E6626" s="7" t="s">
        <v>156</v>
      </c>
      <c r="F6626" s="7" t="s">
        <v>222</v>
      </c>
      <c r="G6626" s="7" t="s">
        <v>505</v>
      </c>
      <c r="H6626" s="6" t="n">
        <v>3.15</v>
      </c>
      <c r="I6626" s="6" t="n">
        <v>0</v>
      </c>
      <c r="J6626" s="40" t="n">
        <f aca="false">H6626-I6626</f>
        <v>3.15</v>
      </c>
      <c r="K6626" s="41" t="n">
        <v>34</v>
      </c>
      <c r="L6626" s="42" t="n">
        <f aca="false">J6626*K6626</f>
        <v>107.1</v>
      </c>
      <c r="M6626" s="43" t="n">
        <f aca="false">H6626*17.84*(1+'Chart of Accounts'!$E$67)</f>
        <v>64.34442</v>
      </c>
    </row>
    <row r="6627" customFormat="false" ht="15" hidden="false" customHeight="false" outlineLevel="0" collapsed="false">
      <c r="B6627" s="7" t="s">
        <v>7124</v>
      </c>
      <c r="C6627" s="39" t="n">
        <v>45964</v>
      </c>
      <c r="D6627" s="7" t="s">
        <v>343</v>
      </c>
      <c r="E6627" s="7" t="s">
        <v>154</v>
      </c>
      <c r="F6627" s="7" t="s">
        <v>205</v>
      </c>
      <c r="G6627" s="7" t="s">
        <v>505</v>
      </c>
      <c r="H6627" s="6" t="n">
        <v>3.61</v>
      </c>
      <c r="I6627" s="6" t="n">
        <v>0</v>
      </c>
      <c r="J6627" s="40" t="n">
        <f aca="false">H6627-I6627</f>
        <v>3.61</v>
      </c>
      <c r="K6627" s="41" t="n">
        <v>26.5</v>
      </c>
      <c r="L6627" s="42" t="n">
        <f aca="false">J6627*K6627</f>
        <v>95.665</v>
      </c>
      <c r="M6627" s="43" t="n">
        <f aca="false">H6627*16.36*(1+'Chart of Accounts'!$E$67)</f>
        <v>67.623242</v>
      </c>
    </row>
    <row r="6628" customFormat="false" ht="15" hidden="false" customHeight="false" outlineLevel="0" collapsed="false">
      <c r="B6628" s="7" t="s">
        <v>7125</v>
      </c>
      <c r="C6628" s="39" t="n">
        <v>45964</v>
      </c>
      <c r="D6628" s="7" t="s">
        <v>347</v>
      </c>
      <c r="E6628" s="7" t="s">
        <v>154</v>
      </c>
      <c r="F6628" s="7" t="s">
        <v>238</v>
      </c>
      <c r="G6628" s="7" t="s">
        <v>505</v>
      </c>
      <c r="H6628" s="6" t="n">
        <v>4.52</v>
      </c>
      <c r="I6628" s="6" t="n">
        <v>0</v>
      </c>
      <c r="J6628" s="40" t="n">
        <f aca="false">H6628-I6628</f>
        <v>4.52</v>
      </c>
      <c r="K6628" s="41" t="n">
        <v>26.5</v>
      </c>
      <c r="L6628" s="42" t="n">
        <f aca="false">J6628*K6628</f>
        <v>119.78</v>
      </c>
      <c r="M6628" s="43" t="n">
        <f aca="false">H6628*15.85*(1+'Chart of Accounts'!$E$67)</f>
        <v>82.03009</v>
      </c>
    </row>
    <row r="6629" customFormat="false" ht="15" hidden="false" customHeight="false" outlineLevel="0" collapsed="false">
      <c r="B6629" s="7" t="s">
        <v>7126</v>
      </c>
      <c r="C6629" s="39" t="n">
        <v>45964</v>
      </c>
      <c r="D6629" s="7" t="s">
        <v>349</v>
      </c>
      <c r="E6629" s="7" t="s">
        <v>154</v>
      </c>
      <c r="F6629" s="7" t="s">
        <v>244</v>
      </c>
      <c r="G6629" s="7" t="s">
        <v>505</v>
      </c>
      <c r="H6629" s="6" t="n">
        <v>4.15</v>
      </c>
      <c r="I6629" s="6" t="n">
        <v>0</v>
      </c>
      <c r="J6629" s="40" t="n">
        <f aca="false">H6629-I6629</f>
        <v>4.15</v>
      </c>
      <c r="K6629" s="41" t="n">
        <v>26.5</v>
      </c>
      <c r="L6629" s="42" t="n">
        <f aca="false">J6629*K6629</f>
        <v>109.975</v>
      </c>
      <c r="M6629" s="43" t="n">
        <f aca="false">H6629*16.39*(1+'Chart of Accounts'!$E$67)</f>
        <v>77.8811825</v>
      </c>
    </row>
    <row r="6630" customFormat="false" ht="15" hidden="false" customHeight="false" outlineLevel="0" collapsed="false">
      <c r="B6630" s="7" t="s">
        <v>7127</v>
      </c>
      <c r="C6630" s="39" t="n">
        <v>45964</v>
      </c>
      <c r="D6630" s="7" t="s">
        <v>351</v>
      </c>
      <c r="E6630" s="7" t="s">
        <v>154</v>
      </c>
      <c r="F6630" s="7" t="s">
        <v>201</v>
      </c>
      <c r="G6630" s="7" t="s">
        <v>505</v>
      </c>
      <c r="H6630" s="6" t="n">
        <v>2.82</v>
      </c>
      <c r="I6630" s="6" t="n">
        <v>0</v>
      </c>
      <c r="J6630" s="40" t="n">
        <f aca="false">H6630-I6630</f>
        <v>2.82</v>
      </c>
      <c r="K6630" s="41" t="n">
        <v>26.5</v>
      </c>
      <c r="L6630" s="42" t="n">
        <f aca="false">J6630*K6630</f>
        <v>74.73</v>
      </c>
      <c r="M6630" s="43" t="n">
        <f aca="false">H6630*15.19*(1+'Chart of Accounts'!$E$67)</f>
        <v>49.046991</v>
      </c>
    </row>
    <row r="6631" customFormat="false" ht="15" hidden="false" customHeight="false" outlineLevel="0" collapsed="false">
      <c r="B6631" s="7" t="s">
        <v>7128</v>
      </c>
      <c r="C6631" s="39" t="n">
        <v>45964</v>
      </c>
      <c r="D6631" s="7" t="s">
        <v>353</v>
      </c>
      <c r="E6631" s="7" t="s">
        <v>154</v>
      </c>
      <c r="F6631" s="7" t="s">
        <v>254</v>
      </c>
      <c r="G6631" s="7" t="s">
        <v>505</v>
      </c>
      <c r="H6631" s="6" t="n">
        <v>3.09</v>
      </c>
      <c r="I6631" s="6" t="n">
        <v>0</v>
      </c>
      <c r="J6631" s="40" t="n">
        <f aca="false">H6631-I6631</f>
        <v>3.09</v>
      </c>
      <c r="K6631" s="41" t="n">
        <v>26.5</v>
      </c>
      <c r="L6631" s="42" t="n">
        <f aca="false">J6631*K6631</f>
        <v>81.885</v>
      </c>
      <c r="M6631" s="43" t="n">
        <f aca="false">H6631*17.1*(1+'Chart of Accounts'!$E$67)</f>
        <v>60.500655</v>
      </c>
    </row>
    <row r="6632" customFormat="false" ht="15" hidden="false" customHeight="false" outlineLevel="0" collapsed="false">
      <c r="B6632" s="7" t="s">
        <v>7129</v>
      </c>
      <c r="C6632" s="39" t="n">
        <v>45964</v>
      </c>
      <c r="D6632" s="7" t="s">
        <v>355</v>
      </c>
      <c r="E6632" s="7" t="s">
        <v>154</v>
      </c>
      <c r="F6632" s="7" t="s">
        <v>201</v>
      </c>
      <c r="G6632" s="7" t="s">
        <v>505</v>
      </c>
      <c r="H6632" s="6" t="n">
        <v>3.66</v>
      </c>
      <c r="I6632" s="6" t="n">
        <v>0</v>
      </c>
      <c r="J6632" s="40" t="n">
        <f aca="false">H6632-I6632</f>
        <v>3.66</v>
      </c>
      <c r="K6632" s="41" t="n">
        <v>26.5</v>
      </c>
      <c r="L6632" s="42" t="n">
        <f aca="false">J6632*K6632</f>
        <v>96.99</v>
      </c>
      <c r="M6632" s="43" t="n">
        <f aca="false">H6632*15.19*(1+'Chart of Accounts'!$E$67)</f>
        <v>63.656733</v>
      </c>
    </row>
    <row r="6633" customFormat="false" ht="15" hidden="false" customHeight="false" outlineLevel="0" collapsed="false">
      <c r="B6633" s="7" t="s">
        <v>7130</v>
      </c>
      <c r="C6633" s="39" t="n">
        <v>45964</v>
      </c>
      <c r="D6633" s="7" t="s">
        <v>357</v>
      </c>
      <c r="E6633" s="7" t="s">
        <v>154</v>
      </c>
      <c r="F6633" s="7" t="s">
        <v>184</v>
      </c>
      <c r="G6633" s="7" t="s">
        <v>505</v>
      </c>
      <c r="H6633" s="6" t="n">
        <v>3.34</v>
      </c>
      <c r="I6633" s="6" t="n">
        <v>0</v>
      </c>
      <c r="J6633" s="40" t="n">
        <f aca="false">H6633-I6633</f>
        <v>3.34</v>
      </c>
      <c r="K6633" s="41" t="n">
        <v>26.5</v>
      </c>
      <c r="L6633" s="42" t="n">
        <f aca="false">J6633*K6633</f>
        <v>88.51</v>
      </c>
      <c r="M6633" s="43" t="n">
        <f aca="false">H6633*17.34*(1+'Chart of Accounts'!$E$67)</f>
        <v>66.313362</v>
      </c>
    </row>
    <row r="6634" customFormat="false" ht="15" hidden="false" customHeight="false" outlineLevel="0" collapsed="false">
      <c r="B6634" s="7" t="s">
        <v>7131</v>
      </c>
      <c r="C6634" s="39" t="n">
        <v>45964</v>
      </c>
      <c r="D6634" s="7" t="s">
        <v>359</v>
      </c>
      <c r="E6634" s="7" t="s">
        <v>156</v>
      </c>
      <c r="F6634" s="7" t="s">
        <v>244</v>
      </c>
      <c r="G6634" s="7" t="s">
        <v>505</v>
      </c>
      <c r="H6634" s="6" t="n">
        <v>4.27</v>
      </c>
      <c r="I6634" s="6" t="n">
        <v>0</v>
      </c>
      <c r="J6634" s="40" t="n">
        <f aca="false">H6634-I6634</f>
        <v>4.27</v>
      </c>
      <c r="K6634" s="41" t="n">
        <v>34</v>
      </c>
      <c r="L6634" s="42" t="n">
        <f aca="false">J6634*K6634</f>
        <v>145.18</v>
      </c>
      <c r="M6634" s="43" t="n">
        <f aca="false">H6634*16.39*(1+'Chart of Accounts'!$E$67)</f>
        <v>80.1331685</v>
      </c>
    </row>
    <row r="6635" customFormat="false" ht="15" hidden="false" customHeight="false" outlineLevel="0" collapsed="false">
      <c r="B6635" s="7" t="s">
        <v>7132</v>
      </c>
      <c r="C6635" s="39" t="n">
        <v>45964</v>
      </c>
      <c r="D6635" s="7" t="s">
        <v>363</v>
      </c>
      <c r="E6635" s="7" t="s">
        <v>156</v>
      </c>
      <c r="F6635" s="7" t="s">
        <v>246</v>
      </c>
      <c r="G6635" s="7" t="s">
        <v>505</v>
      </c>
      <c r="H6635" s="6" t="n">
        <v>4.08</v>
      </c>
      <c r="I6635" s="6" t="n">
        <v>0</v>
      </c>
      <c r="J6635" s="40" t="n">
        <f aca="false">H6635-I6635</f>
        <v>4.08</v>
      </c>
      <c r="K6635" s="41" t="n">
        <v>34</v>
      </c>
      <c r="L6635" s="42" t="n">
        <f aca="false">J6635*K6635</f>
        <v>138.72</v>
      </c>
      <c r="M6635" s="43" t="n">
        <f aca="false">H6635*16.48*(1+'Chart of Accounts'!$E$67)</f>
        <v>76.987968</v>
      </c>
    </row>
    <row r="6636" customFormat="false" ht="15" hidden="false" customHeight="false" outlineLevel="0" collapsed="false">
      <c r="B6636" s="7" t="s">
        <v>7133</v>
      </c>
      <c r="C6636" s="39" t="n">
        <v>45964</v>
      </c>
      <c r="D6636" s="7" t="s">
        <v>365</v>
      </c>
      <c r="E6636" s="7" t="s">
        <v>154</v>
      </c>
      <c r="F6636" s="7" t="s">
        <v>194</v>
      </c>
      <c r="G6636" s="7" t="s">
        <v>505</v>
      </c>
      <c r="H6636" s="6" t="n">
        <v>4.08</v>
      </c>
      <c r="I6636" s="6" t="n">
        <v>0</v>
      </c>
      <c r="J6636" s="40" t="n">
        <f aca="false">H6636-I6636</f>
        <v>4.08</v>
      </c>
      <c r="K6636" s="41" t="n">
        <v>26.5</v>
      </c>
      <c r="L6636" s="42" t="n">
        <f aca="false">J6636*K6636</f>
        <v>108.12</v>
      </c>
      <c r="M6636" s="43" t="n">
        <f aca="false">H6636*16*(1+'Chart of Accounts'!$E$67)</f>
        <v>74.7456</v>
      </c>
    </row>
    <row r="6637" customFormat="false" ht="15" hidden="false" customHeight="false" outlineLevel="0" collapsed="false">
      <c r="B6637" s="7" t="s">
        <v>7134</v>
      </c>
      <c r="C6637" s="39" t="n">
        <v>45964</v>
      </c>
      <c r="D6637" s="7" t="s">
        <v>371</v>
      </c>
      <c r="E6637" s="7" t="s">
        <v>154</v>
      </c>
      <c r="F6637" s="7" t="s">
        <v>232</v>
      </c>
      <c r="G6637" s="7" t="s">
        <v>505</v>
      </c>
      <c r="H6637" s="6" t="n">
        <v>4.31</v>
      </c>
      <c r="I6637" s="6" t="n">
        <v>0.129</v>
      </c>
      <c r="J6637" s="40" t="n">
        <f aca="false">H6637-I6637</f>
        <v>4.181</v>
      </c>
      <c r="K6637" s="41" t="n">
        <v>26.5</v>
      </c>
      <c r="L6637" s="42" t="n">
        <f aca="false">J6637*K6637</f>
        <v>110.7965</v>
      </c>
      <c r="M6637" s="43" t="n">
        <f aca="false">H6637*16.17*(1+'Chart of Accounts'!$E$67)</f>
        <v>79.7981415</v>
      </c>
    </row>
    <row r="6638" customFormat="false" ht="15" hidden="false" customHeight="false" outlineLevel="0" collapsed="false">
      <c r="B6638" s="7" t="s">
        <v>7135</v>
      </c>
      <c r="C6638" s="39" t="n">
        <v>45964</v>
      </c>
      <c r="D6638" s="7" t="s">
        <v>373</v>
      </c>
      <c r="E6638" s="7" t="s">
        <v>154</v>
      </c>
      <c r="F6638" s="7" t="s">
        <v>240</v>
      </c>
      <c r="G6638" s="7" t="s">
        <v>505</v>
      </c>
      <c r="H6638" s="6" t="n">
        <v>3.56</v>
      </c>
      <c r="I6638" s="6" t="n">
        <v>0</v>
      </c>
      <c r="J6638" s="40" t="n">
        <f aca="false">H6638-I6638</f>
        <v>3.56</v>
      </c>
      <c r="K6638" s="41" t="n">
        <v>26.5</v>
      </c>
      <c r="L6638" s="42" t="n">
        <f aca="false">J6638*K6638</f>
        <v>94.34</v>
      </c>
      <c r="M6638" s="43" t="n">
        <f aca="false">H6638*16.96*(1+'Chart of Accounts'!$E$67)</f>
        <v>69.132352</v>
      </c>
    </row>
    <row r="6639" customFormat="false" ht="15" hidden="false" customHeight="false" outlineLevel="0" collapsed="false">
      <c r="B6639" s="7" t="s">
        <v>7136</v>
      </c>
      <c r="C6639" s="39" t="n">
        <v>45964</v>
      </c>
      <c r="D6639" s="7" t="s">
        <v>375</v>
      </c>
      <c r="E6639" s="7" t="s">
        <v>156</v>
      </c>
      <c r="F6639" s="7" t="s">
        <v>196</v>
      </c>
      <c r="G6639" s="7" t="s">
        <v>505</v>
      </c>
      <c r="H6639" s="6" t="n">
        <v>3.29</v>
      </c>
      <c r="I6639" s="6" t="n">
        <v>0</v>
      </c>
      <c r="J6639" s="40" t="n">
        <f aca="false">H6639-I6639</f>
        <v>3.29</v>
      </c>
      <c r="K6639" s="41" t="n">
        <v>34</v>
      </c>
      <c r="L6639" s="42" t="n">
        <f aca="false">J6639*K6639</f>
        <v>111.86</v>
      </c>
      <c r="M6639" s="43" t="n">
        <f aca="false">H6639*15.05*(1+'Chart of Accounts'!$E$67)</f>
        <v>56.6941025</v>
      </c>
    </row>
    <row r="6640" customFormat="false" ht="15" hidden="false" customHeight="false" outlineLevel="0" collapsed="false">
      <c r="B6640" s="7" t="s">
        <v>7137</v>
      </c>
      <c r="C6640" s="39" t="n">
        <v>45964</v>
      </c>
      <c r="D6640" s="7" t="s">
        <v>377</v>
      </c>
      <c r="E6640" s="7" t="s">
        <v>154</v>
      </c>
      <c r="F6640" s="7" t="s">
        <v>214</v>
      </c>
      <c r="G6640" s="7" t="s">
        <v>505</v>
      </c>
      <c r="H6640" s="6" t="n">
        <v>3.76</v>
      </c>
      <c r="I6640" s="6" t="n">
        <v>0.113</v>
      </c>
      <c r="J6640" s="40" t="n">
        <f aca="false">H6640-I6640</f>
        <v>3.647</v>
      </c>
      <c r="K6640" s="41" t="n">
        <v>26.5</v>
      </c>
      <c r="L6640" s="42" t="n">
        <f aca="false">J6640*K6640</f>
        <v>96.6455</v>
      </c>
      <c r="M6640" s="43" t="n">
        <f aca="false">H6640*15.67*(1+'Chart of Accounts'!$E$67)</f>
        <v>67.462484</v>
      </c>
    </row>
    <row r="6641" customFormat="false" ht="15" hidden="false" customHeight="false" outlineLevel="0" collapsed="false">
      <c r="B6641" s="7" t="s">
        <v>7138</v>
      </c>
      <c r="C6641" s="39" t="n">
        <v>45964</v>
      </c>
      <c r="D6641" s="7" t="s">
        <v>379</v>
      </c>
      <c r="E6641" s="7" t="s">
        <v>156</v>
      </c>
      <c r="F6641" s="7" t="s">
        <v>224</v>
      </c>
      <c r="G6641" s="7" t="s">
        <v>505</v>
      </c>
      <c r="H6641" s="6" t="n">
        <v>4.56</v>
      </c>
      <c r="I6641" s="6" t="n">
        <v>0</v>
      </c>
      <c r="J6641" s="40" t="n">
        <f aca="false">H6641-I6641</f>
        <v>4.56</v>
      </c>
      <c r="K6641" s="41" t="n">
        <v>34</v>
      </c>
      <c r="L6641" s="42" t="n">
        <f aca="false">J6641*K6641</f>
        <v>155.04</v>
      </c>
      <c r="M6641" s="43" t="n">
        <f aca="false">H6641*14.93*(1+'Chart of Accounts'!$E$67)</f>
        <v>77.952516</v>
      </c>
    </row>
    <row r="6642" customFormat="false" ht="15" hidden="false" customHeight="false" outlineLevel="0" collapsed="false">
      <c r="B6642" s="7" t="s">
        <v>7139</v>
      </c>
      <c r="C6642" s="39" t="n">
        <v>45964</v>
      </c>
      <c r="D6642" s="7" t="s">
        <v>385</v>
      </c>
      <c r="E6642" s="7" t="s">
        <v>156</v>
      </c>
      <c r="F6642" s="7" t="s">
        <v>238</v>
      </c>
      <c r="G6642" s="7" t="s">
        <v>505</v>
      </c>
      <c r="H6642" s="6" t="n">
        <v>3.82</v>
      </c>
      <c r="I6642" s="6" t="n">
        <v>0</v>
      </c>
      <c r="J6642" s="40" t="n">
        <f aca="false">H6642-I6642</f>
        <v>3.82</v>
      </c>
      <c r="K6642" s="41" t="n">
        <v>34</v>
      </c>
      <c r="L6642" s="42" t="n">
        <f aca="false">J6642*K6642</f>
        <v>129.88</v>
      </c>
      <c r="M6642" s="43" t="n">
        <f aca="false">H6642*15.85*(1+'Chart of Accounts'!$E$67)</f>
        <v>69.326315</v>
      </c>
    </row>
    <row r="6643" customFormat="false" ht="15" hidden="false" customHeight="false" outlineLevel="0" collapsed="false">
      <c r="B6643" s="7" t="s">
        <v>7140</v>
      </c>
      <c r="C6643" s="39" t="n">
        <v>45964</v>
      </c>
      <c r="D6643" s="7" t="s">
        <v>387</v>
      </c>
      <c r="E6643" s="7" t="s">
        <v>154</v>
      </c>
      <c r="F6643" s="7" t="s">
        <v>196</v>
      </c>
      <c r="G6643" s="7" t="s">
        <v>505</v>
      </c>
      <c r="H6643" s="6" t="n">
        <v>3.73</v>
      </c>
      <c r="I6643" s="6" t="n">
        <v>0</v>
      </c>
      <c r="J6643" s="40" t="n">
        <f aca="false">H6643-I6643</f>
        <v>3.73</v>
      </c>
      <c r="K6643" s="41" t="n">
        <v>26.5</v>
      </c>
      <c r="L6643" s="42" t="n">
        <f aca="false">J6643*K6643</f>
        <v>98.845</v>
      </c>
      <c r="M6643" s="43" t="n">
        <f aca="false">H6643*15.05*(1+'Chart of Accounts'!$E$67)</f>
        <v>64.2762925</v>
      </c>
    </row>
    <row r="6644" customFormat="false" ht="15" hidden="false" customHeight="false" outlineLevel="0" collapsed="false">
      <c r="B6644" s="7" t="s">
        <v>7141</v>
      </c>
      <c r="C6644" s="39" t="n">
        <v>45964</v>
      </c>
      <c r="D6644" s="7" t="s">
        <v>389</v>
      </c>
      <c r="E6644" s="7" t="s">
        <v>154</v>
      </c>
      <c r="F6644" s="7" t="s">
        <v>246</v>
      </c>
      <c r="G6644" s="7" t="s">
        <v>505</v>
      </c>
      <c r="H6644" s="6" t="n">
        <v>3.7</v>
      </c>
      <c r="I6644" s="6" t="n">
        <v>0</v>
      </c>
      <c r="J6644" s="40" t="n">
        <f aca="false">H6644-I6644</f>
        <v>3.7</v>
      </c>
      <c r="K6644" s="41" t="n">
        <v>26.5</v>
      </c>
      <c r="L6644" s="42" t="n">
        <f aca="false">J6644*K6644</f>
        <v>98.05</v>
      </c>
      <c r="M6644" s="43" t="n">
        <f aca="false">H6644*16.48*(1+'Chart of Accounts'!$E$67)</f>
        <v>69.81752</v>
      </c>
    </row>
    <row r="6645" customFormat="false" ht="15" hidden="false" customHeight="false" outlineLevel="0" collapsed="false">
      <c r="B6645" s="7" t="s">
        <v>7142</v>
      </c>
      <c r="C6645" s="39" t="n">
        <v>45964</v>
      </c>
      <c r="D6645" s="7" t="s">
        <v>391</v>
      </c>
      <c r="E6645" s="7" t="s">
        <v>156</v>
      </c>
      <c r="F6645" s="7" t="s">
        <v>222</v>
      </c>
      <c r="G6645" s="7" t="s">
        <v>505</v>
      </c>
      <c r="H6645" s="6" t="n">
        <v>3.84</v>
      </c>
      <c r="I6645" s="6" t="n">
        <v>0</v>
      </c>
      <c r="J6645" s="40" t="n">
        <f aca="false">H6645-I6645</f>
        <v>3.84</v>
      </c>
      <c r="K6645" s="41" t="n">
        <v>34</v>
      </c>
      <c r="L6645" s="42" t="n">
        <f aca="false">J6645*K6645</f>
        <v>130.56</v>
      </c>
      <c r="M6645" s="43" t="n">
        <f aca="false">H6645*17.84*(1+'Chart of Accounts'!$E$67)</f>
        <v>78.438912</v>
      </c>
    </row>
    <row r="6646" customFormat="false" ht="15" hidden="false" customHeight="false" outlineLevel="0" collapsed="false">
      <c r="B6646" s="7" t="s">
        <v>7143</v>
      </c>
      <c r="C6646" s="39" t="n">
        <v>45964</v>
      </c>
      <c r="D6646" s="7" t="s">
        <v>395</v>
      </c>
      <c r="E6646" s="7" t="s">
        <v>156</v>
      </c>
      <c r="F6646" s="7" t="s">
        <v>242</v>
      </c>
      <c r="G6646" s="7" t="s">
        <v>505</v>
      </c>
      <c r="H6646" s="6" t="n">
        <v>4.39</v>
      </c>
      <c r="I6646" s="6" t="n">
        <v>0</v>
      </c>
      <c r="J6646" s="40" t="n">
        <f aca="false">H6646-I6646</f>
        <v>4.39</v>
      </c>
      <c r="K6646" s="41" t="n">
        <v>34</v>
      </c>
      <c r="L6646" s="42" t="n">
        <f aca="false">J6646*K6646</f>
        <v>149.26</v>
      </c>
      <c r="M6646" s="43" t="n">
        <f aca="false">H6646*17.99*(1+'Chart of Accounts'!$E$67)</f>
        <v>90.4276345</v>
      </c>
    </row>
    <row r="6647" customFormat="false" ht="15" hidden="false" customHeight="false" outlineLevel="0" collapsed="false">
      <c r="B6647" s="7" t="s">
        <v>7144</v>
      </c>
      <c r="C6647" s="39" t="n">
        <v>45964</v>
      </c>
      <c r="D6647" s="7" t="s">
        <v>399</v>
      </c>
      <c r="E6647" s="7" t="s">
        <v>154</v>
      </c>
      <c r="F6647" s="7" t="s">
        <v>177</v>
      </c>
      <c r="G6647" s="7" t="s">
        <v>505</v>
      </c>
      <c r="H6647" s="6" t="n">
        <v>3.4</v>
      </c>
      <c r="I6647" s="6" t="n">
        <v>0</v>
      </c>
      <c r="J6647" s="40" t="n">
        <f aca="false">H6647-I6647</f>
        <v>3.4</v>
      </c>
      <c r="K6647" s="41" t="n">
        <v>26.5</v>
      </c>
      <c r="L6647" s="42" t="n">
        <f aca="false">J6647*K6647</f>
        <v>90.1</v>
      </c>
      <c r="M6647" s="43" t="n">
        <f aca="false">H6647*14.56*(1+'Chart of Accounts'!$E$67)</f>
        <v>56.68208</v>
      </c>
    </row>
    <row r="6648" customFormat="false" ht="15" hidden="false" customHeight="false" outlineLevel="0" collapsed="false">
      <c r="B6648" s="7" t="s">
        <v>7145</v>
      </c>
      <c r="C6648" s="39" t="n">
        <v>45964</v>
      </c>
      <c r="D6648" s="7" t="s">
        <v>401</v>
      </c>
      <c r="E6648" s="7" t="s">
        <v>156</v>
      </c>
      <c r="F6648" s="7" t="s">
        <v>254</v>
      </c>
      <c r="G6648" s="7" t="s">
        <v>505</v>
      </c>
      <c r="H6648" s="6" t="n">
        <v>4.36</v>
      </c>
      <c r="I6648" s="6" t="n">
        <v>0</v>
      </c>
      <c r="J6648" s="40" t="n">
        <f aca="false">H6648-I6648</f>
        <v>4.36</v>
      </c>
      <c r="K6648" s="41" t="n">
        <v>34</v>
      </c>
      <c r="L6648" s="42" t="n">
        <f aca="false">J6648*K6648</f>
        <v>148.24</v>
      </c>
      <c r="M6648" s="43" t="n">
        <f aca="false">H6648*17.1*(1+'Chart of Accounts'!$E$67)</f>
        <v>85.36662</v>
      </c>
    </row>
    <row r="6649" customFormat="false" ht="15" hidden="false" customHeight="false" outlineLevel="0" collapsed="false">
      <c r="B6649" s="7" t="s">
        <v>7146</v>
      </c>
      <c r="C6649" s="39" t="n">
        <v>45964</v>
      </c>
      <c r="D6649" s="7" t="s">
        <v>403</v>
      </c>
      <c r="E6649" s="7" t="s">
        <v>156</v>
      </c>
      <c r="F6649" s="7" t="s">
        <v>184</v>
      </c>
      <c r="G6649" s="7" t="s">
        <v>505</v>
      </c>
      <c r="H6649" s="6" t="n">
        <v>3.98</v>
      </c>
      <c r="I6649" s="6" t="n">
        <v>0</v>
      </c>
      <c r="J6649" s="40" t="n">
        <f aca="false">H6649-I6649</f>
        <v>3.98</v>
      </c>
      <c r="K6649" s="41" t="n">
        <v>34</v>
      </c>
      <c r="L6649" s="42" t="n">
        <f aca="false">J6649*K6649</f>
        <v>135.32</v>
      </c>
      <c r="M6649" s="43" t="n">
        <f aca="false">H6649*17.34*(1+'Chart of Accounts'!$E$67)</f>
        <v>79.020114</v>
      </c>
    </row>
    <row r="6650" customFormat="false" ht="15" hidden="false" customHeight="false" outlineLevel="0" collapsed="false">
      <c r="B6650" s="7" t="s">
        <v>7147</v>
      </c>
      <c r="C6650" s="39" t="n">
        <v>45964</v>
      </c>
      <c r="D6650" s="7" t="s">
        <v>409</v>
      </c>
      <c r="E6650" s="7" t="s">
        <v>154</v>
      </c>
      <c r="F6650" s="7" t="s">
        <v>214</v>
      </c>
      <c r="G6650" s="7" t="s">
        <v>505</v>
      </c>
      <c r="H6650" s="6" t="n">
        <v>3.58</v>
      </c>
      <c r="I6650" s="6" t="n">
        <v>0</v>
      </c>
      <c r="J6650" s="40" t="n">
        <f aca="false">H6650-I6650</f>
        <v>3.58</v>
      </c>
      <c r="K6650" s="41" t="n">
        <v>26.5</v>
      </c>
      <c r="L6650" s="42" t="n">
        <f aca="false">J6650*K6650</f>
        <v>94.87</v>
      </c>
      <c r="M6650" s="43" t="n">
        <f aca="false">H6650*15.67*(1+'Chart of Accounts'!$E$67)</f>
        <v>64.232897</v>
      </c>
    </row>
    <row r="6651" customFormat="false" ht="15" hidden="false" customHeight="false" outlineLevel="0" collapsed="false">
      <c r="B6651" s="7" t="s">
        <v>7148</v>
      </c>
      <c r="C6651" s="39" t="n">
        <v>45964</v>
      </c>
      <c r="D6651" s="7" t="s">
        <v>411</v>
      </c>
      <c r="E6651" s="7" t="s">
        <v>154</v>
      </c>
      <c r="F6651" s="7" t="s">
        <v>177</v>
      </c>
      <c r="G6651" s="7" t="s">
        <v>505</v>
      </c>
      <c r="H6651" s="6" t="n">
        <v>4.33</v>
      </c>
      <c r="I6651" s="6" t="n">
        <v>0</v>
      </c>
      <c r="J6651" s="40" t="n">
        <f aca="false">H6651-I6651</f>
        <v>4.33</v>
      </c>
      <c r="K6651" s="41" t="n">
        <v>26.5</v>
      </c>
      <c r="L6651" s="42" t="n">
        <f aca="false">J6651*K6651</f>
        <v>114.745</v>
      </c>
      <c r="M6651" s="43" t="n">
        <f aca="false">H6651*14.56*(1+'Chart of Accounts'!$E$67)</f>
        <v>72.186296</v>
      </c>
    </row>
    <row r="6652" customFormat="false" ht="15" hidden="false" customHeight="false" outlineLevel="0" collapsed="false">
      <c r="B6652" s="7" t="s">
        <v>7149</v>
      </c>
      <c r="C6652" s="39" t="n">
        <v>45965</v>
      </c>
      <c r="D6652" s="7" t="s">
        <v>288</v>
      </c>
      <c r="E6652" s="7" t="s">
        <v>156</v>
      </c>
      <c r="F6652" s="7" t="s">
        <v>236</v>
      </c>
      <c r="G6652" s="7" t="s">
        <v>505</v>
      </c>
      <c r="H6652" s="6" t="n">
        <v>3.96</v>
      </c>
      <c r="I6652" s="6" t="n">
        <v>0</v>
      </c>
      <c r="J6652" s="40" t="n">
        <f aca="false">H6652-I6652</f>
        <v>3.96</v>
      </c>
      <c r="K6652" s="41" t="n">
        <v>34</v>
      </c>
      <c r="L6652" s="42" t="n">
        <f aca="false">J6652*K6652</f>
        <v>134.64</v>
      </c>
      <c r="M6652" s="43" t="n">
        <f aca="false">H6652*15.49*(1+'Chart of Accounts'!$E$67)</f>
        <v>70.234758</v>
      </c>
    </row>
    <row r="6653" customFormat="false" ht="15" hidden="false" customHeight="false" outlineLevel="0" collapsed="false">
      <c r="B6653" s="7" t="s">
        <v>7150</v>
      </c>
      <c r="C6653" s="39" t="n">
        <v>45965</v>
      </c>
      <c r="D6653" s="7" t="s">
        <v>293</v>
      </c>
      <c r="E6653" s="7" t="s">
        <v>157</v>
      </c>
      <c r="F6653" s="7" t="s">
        <v>198</v>
      </c>
      <c r="G6653" s="7" t="s">
        <v>502</v>
      </c>
      <c r="H6653" s="6" t="n">
        <v>1.06</v>
      </c>
      <c r="I6653" s="6" t="n">
        <v>0</v>
      </c>
      <c r="J6653" s="40" t="n">
        <f aca="false">H6653-I6653</f>
        <v>1.06</v>
      </c>
      <c r="K6653" s="41" t="n">
        <v>165</v>
      </c>
      <c r="L6653" s="42" t="n">
        <f aca="false">J6653*K6653</f>
        <v>174.9</v>
      </c>
      <c r="M6653" s="43" t="n">
        <f aca="false">H6653*48.09*(1+'Chart of Accounts'!$E$67)</f>
        <v>58.366833</v>
      </c>
    </row>
    <row r="6654" customFormat="false" ht="15" hidden="false" customHeight="false" outlineLevel="0" collapsed="false">
      <c r="B6654" s="7" t="s">
        <v>7151</v>
      </c>
      <c r="C6654" s="39" t="n">
        <v>45965</v>
      </c>
      <c r="D6654" s="7" t="s">
        <v>301</v>
      </c>
      <c r="E6654" s="7" t="s">
        <v>157</v>
      </c>
      <c r="F6654" s="7" t="s">
        <v>209</v>
      </c>
      <c r="G6654" s="7" t="s">
        <v>502</v>
      </c>
      <c r="H6654" s="6" t="n">
        <v>1.02</v>
      </c>
      <c r="I6654" s="6" t="n">
        <v>0</v>
      </c>
      <c r="J6654" s="40" t="n">
        <f aca="false">H6654-I6654</f>
        <v>1.02</v>
      </c>
      <c r="K6654" s="41" t="n">
        <v>165</v>
      </c>
      <c r="L6654" s="42" t="n">
        <f aca="false">J6654*K6654</f>
        <v>168.3</v>
      </c>
      <c r="M6654" s="43" t="n">
        <f aca="false">H6654*73.58*(1+'Chart of Accounts'!$E$67)</f>
        <v>85.934082</v>
      </c>
    </row>
    <row r="6655" customFormat="false" ht="15" hidden="false" customHeight="false" outlineLevel="0" collapsed="false">
      <c r="B6655" s="7" t="s">
        <v>7152</v>
      </c>
      <c r="C6655" s="39" t="n">
        <v>45965</v>
      </c>
      <c r="D6655" s="7" t="s">
        <v>313</v>
      </c>
      <c r="E6655" s="7" t="s">
        <v>156</v>
      </c>
      <c r="F6655" s="7" t="s">
        <v>184</v>
      </c>
      <c r="G6655" s="7" t="s">
        <v>505</v>
      </c>
      <c r="H6655" s="6" t="n">
        <v>4.24</v>
      </c>
      <c r="I6655" s="6" t="n">
        <v>0</v>
      </c>
      <c r="J6655" s="40" t="n">
        <f aca="false">H6655-I6655</f>
        <v>4.24</v>
      </c>
      <c r="K6655" s="41" t="n">
        <v>34</v>
      </c>
      <c r="L6655" s="42" t="n">
        <f aca="false">J6655*K6655</f>
        <v>144.16</v>
      </c>
      <c r="M6655" s="43" t="n">
        <f aca="false">H6655*17.34*(1+'Chart of Accounts'!$E$67)</f>
        <v>84.182232</v>
      </c>
    </row>
    <row r="6656" customFormat="false" ht="15" hidden="false" customHeight="false" outlineLevel="0" collapsed="false">
      <c r="B6656" s="7" t="s">
        <v>7153</v>
      </c>
      <c r="C6656" s="39" t="n">
        <v>45965</v>
      </c>
      <c r="D6656" s="7" t="s">
        <v>319</v>
      </c>
      <c r="E6656" s="7" t="s">
        <v>157</v>
      </c>
      <c r="F6656" s="7" t="s">
        <v>234</v>
      </c>
      <c r="G6656" s="7" t="s">
        <v>502</v>
      </c>
      <c r="H6656" s="6" t="n">
        <v>0.98</v>
      </c>
      <c r="I6656" s="6" t="n">
        <v>0</v>
      </c>
      <c r="J6656" s="40" t="n">
        <f aca="false">H6656-I6656</f>
        <v>0.98</v>
      </c>
      <c r="K6656" s="41" t="n">
        <v>165</v>
      </c>
      <c r="L6656" s="42" t="n">
        <f aca="false">J6656*K6656</f>
        <v>161.7</v>
      </c>
      <c r="M6656" s="43" t="n">
        <f aca="false">H6656*89.53*(1+'Chart of Accounts'!$E$67)</f>
        <v>100.461613</v>
      </c>
    </row>
    <row r="6657" customFormat="false" ht="15" hidden="false" customHeight="false" outlineLevel="0" collapsed="false">
      <c r="B6657" s="7" t="s">
        <v>7154</v>
      </c>
      <c r="C6657" s="39" t="n">
        <v>45965</v>
      </c>
      <c r="D6657" s="7" t="s">
        <v>321</v>
      </c>
      <c r="E6657" s="7" t="s">
        <v>154</v>
      </c>
      <c r="F6657" s="7" t="s">
        <v>218</v>
      </c>
      <c r="G6657" s="7" t="s">
        <v>505</v>
      </c>
      <c r="H6657" s="6" t="n">
        <v>4.06</v>
      </c>
      <c r="I6657" s="6" t="n">
        <v>0</v>
      </c>
      <c r="J6657" s="40" t="n">
        <f aca="false">H6657-I6657</f>
        <v>4.06</v>
      </c>
      <c r="K6657" s="41" t="n">
        <v>26.5</v>
      </c>
      <c r="L6657" s="42" t="n">
        <f aca="false">J6657*K6657</f>
        <v>107.59</v>
      </c>
      <c r="M6657" s="43" t="n">
        <f aca="false">H6657*16.19*(1+'Chart of Accounts'!$E$67)</f>
        <v>75.262453</v>
      </c>
    </row>
    <row r="6658" customFormat="false" ht="15" hidden="false" customHeight="false" outlineLevel="0" collapsed="false">
      <c r="B6658" s="7" t="s">
        <v>7155</v>
      </c>
      <c r="C6658" s="39" t="n">
        <v>45965</v>
      </c>
      <c r="D6658" s="7" t="s">
        <v>323</v>
      </c>
      <c r="E6658" s="7" t="s">
        <v>159</v>
      </c>
      <c r="F6658" s="7" t="s">
        <v>230</v>
      </c>
      <c r="G6658" s="7" t="s">
        <v>502</v>
      </c>
      <c r="H6658" s="6" t="n">
        <v>1.1</v>
      </c>
      <c r="I6658" s="6" t="n">
        <v>0.077</v>
      </c>
      <c r="J6658" s="40" t="n">
        <f aca="false">H6658-I6658</f>
        <v>1.023</v>
      </c>
      <c r="K6658" s="41" t="n">
        <v>135</v>
      </c>
      <c r="L6658" s="42" t="n">
        <f aca="false">J6658*K6658</f>
        <v>138.105</v>
      </c>
      <c r="M6658" s="43" t="n">
        <f aca="false">H6658*48.78*(1+'Chart of Accounts'!$E$67)</f>
        <v>61.43841</v>
      </c>
    </row>
    <row r="6659" customFormat="false" ht="15" hidden="false" customHeight="false" outlineLevel="0" collapsed="false">
      <c r="B6659" s="7" t="s">
        <v>7156</v>
      </c>
      <c r="C6659" s="39" t="n">
        <v>45965</v>
      </c>
      <c r="D6659" s="7" t="s">
        <v>329</v>
      </c>
      <c r="E6659" s="7" t="s">
        <v>156</v>
      </c>
      <c r="F6659" s="7" t="s">
        <v>220</v>
      </c>
      <c r="G6659" s="7" t="s">
        <v>505</v>
      </c>
      <c r="H6659" s="6" t="n">
        <v>3.99</v>
      </c>
      <c r="I6659" s="6" t="n">
        <v>0</v>
      </c>
      <c r="J6659" s="40" t="n">
        <f aca="false">H6659-I6659</f>
        <v>3.99</v>
      </c>
      <c r="K6659" s="41" t="n">
        <v>34</v>
      </c>
      <c r="L6659" s="42" t="n">
        <f aca="false">J6659*K6659</f>
        <v>135.66</v>
      </c>
      <c r="M6659" s="43" t="n">
        <f aca="false">H6659*16.43*(1+'Chart of Accounts'!$E$67)</f>
        <v>75.0612765</v>
      </c>
    </row>
    <row r="6660" customFormat="false" ht="15" hidden="false" customHeight="false" outlineLevel="0" collapsed="false">
      <c r="B6660" s="7" t="s">
        <v>7157</v>
      </c>
      <c r="C6660" s="39" t="n">
        <v>45965</v>
      </c>
      <c r="D6660" s="7" t="s">
        <v>349</v>
      </c>
      <c r="E6660" s="7" t="s">
        <v>154</v>
      </c>
      <c r="F6660" s="7" t="s">
        <v>244</v>
      </c>
      <c r="G6660" s="7" t="s">
        <v>505</v>
      </c>
      <c r="H6660" s="6" t="n">
        <v>3.77</v>
      </c>
      <c r="I6660" s="6" t="n">
        <v>0</v>
      </c>
      <c r="J6660" s="40" t="n">
        <f aca="false">H6660-I6660</f>
        <v>3.77</v>
      </c>
      <c r="K6660" s="41" t="n">
        <v>26.5</v>
      </c>
      <c r="L6660" s="42" t="n">
        <f aca="false">J6660*K6660</f>
        <v>99.905</v>
      </c>
      <c r="M6660" s="43" t="n">
        <f aca="false">H6660*16.39*(1+'Chart of Accounts'!$E$67)</f>
        <v>70.7498935</v>
      </c>
    </row>
    <row r="6661" customFormat="false" ht="15" hidden="false" customHeight="false" outlineLevel="0" collapsed="false">
      <c r="B6661" s="7" t="s">
        <v>7158</v>
      </c>
      <c r="C6661" s="39" t="n">
        <v>45965</v>
      </c>
      <c r="D6661" s="7" t="s">
        <v>359</v>
      </c>
      <c r="E6661" s="7" t="s">
        <v>156</v>
      </c>
      <c r="F6661" s="7" t="s">
        <v>236</v>
      </c>
      <c r="G6661" s="7" t="s">
        <v>505</v>
      </c>
      <c r="H6661" s="6" t="n">
        <v>3.86</v>
      </c>
      <c r="I6661" s="6" t="n">
        <v>0</v>
      </c>
      <c r="J6661" s="40" t="n">
        <f aca="false">H6661-I6661</f>
        <v>3.86</v>
      </c>
      <c r="K6661" s="41" t="n">
        <v>34</v>
      </c>
      <c r="L6661" s="42" t="n">
        <f aca="false">J6661*K6661</f>
        <v>131.24</v>
      </c>
      <c r="M6661" s="43" t="n">
        <f aca="false">H6661*15.49*(1+'Chart of Accounts'!$E$67)</f>
        <v>68.461153</v>
      </c>
    </row>
    <row r="6662" customFormat="false" ht="15" hidden="false" customHeight="false" outlineLevel="0" collapsed="false">
      <c r="B6662" s="7" t="s">
        <v>7159</v>
      </c>
      <c r="C6662" s="39" t="n">
        <v>45965</v>
      </c>
      <c r="D6662" s="7" t="s">
        <v>361</v>
      </c>
      <c r="E6662" s="7" t="s">
        <v>157</v>
      </c>
      <c r="F6662" s="7" t="s">
        <v>209</v>
      </c>
      <c r="G6662" s="7" t="s">
        <v>502</v>
      </c>
      <c r="H6662" s="6" t="n">
        <v>0.98</v>
      </c>
      <c r="I6662" s="6" t="n">
        <v>0</v>
      </c>
      <c r="J6662" s="40" t="n">
        <f aca="false">H6662-I6662</f>
        <v>0.98</v>
      </c>
      <c r="K6662" s="41" t="n">
        <v>165</v>
      </c>
      <c r="L6662" s="42" t="n">
        <f aca="false">J6662*K6662</f>
        <v>161.7</v>
      </c>
      <c r="M6662" s="43" t="n">
        <f aca="false">H6662*73.58*(1+'Chart of Accounts'!$E$67)</f>
        <v>82.564118</v>
      </c>
    </row>
    <row r="6663" customFormat="false" ht="15" hidden="false" customHeight="false" outlineLevel="0" collapsed="false">
      <c r="B6663" s="7" t="s">
        <v>7160</v>
      </c>
      <c r="C6663" s="39" t="n">
        <v>45965</v>
      </c>
      <c r="D6663" s="7" t="s">
        <v>365</v>
      </c>
      <c r="E6663" s="7" t="s">
        <v>154</v>
      </c>
      <c r="F6663" s="7" t="s">
        <v>194</v>
      </c>
      <c r="G6663" s="7" t="s">
        <v>505</v>
      </c>
      <c r="H6663" s="6" t="n">
        <v>3.9</v>
      </c>
      <c r="I6663" s="6" t="n">
        <v>0</v>
      </c>
      <c r="J6663" s="40" t="n">
        <f aca="false">H6663-I6663</f>
        <v>3.9</v>
      </c>
      <c r="K6663" s="41" t="n">
        <v>26.5</v>
      </c>
      <c r="L6663" s="42" t="n">
        <f aca="false">J6663*K6663</f>
        <v>103.35</v>
      </c>
      <c r="M6663" s="43" t="n">
        <f aca="false">H6663*16*(1+'Chart of Accounts'!$E$67)</f>
        <v>71.448</v>
      </c>
    </row>
    <row r="6664" customFormat="false" ht="15" hidden="false" customHeight="false" outlineLevel="0" collapsed="false">
      <c r="B6664" s="7" t="s">
        <v>7161</v>
      </c>
      <c r="C6664" s="39" t="n">
        <v>45965</v>
      </c>
      <c r="D6664" s="7" t="s">
        <v>369</v>
      </c>
      <c r="E6664" s="7" t="s">
        <v>159</v>
      </c>
      <c r="F6664" s="7" t="s">
        <v>258</v>
      </c>
      <c r="G6664" s="7" t="s">
        <v>502</v>
      </c>
      <c r="H6664" s="6" t="n">
        <v>1.03</v>
      </c>
      <c r="I6664" s="6" t="n">
        <v>0</v>
      </c>
      <c r="J6664" s="40" t="n">
        <f aca="false">H6664-I6664</f>
        <v>1.03</v>
      </c>
      <c r="K6664" s="41" t="n">
        <v>135</v>
      </c>
      <c r="L6664" s="42" t="n">
        <f aca="false">J6664*K6664</f>
        <v>139.05</v>
      </c>
      <c r="M6664" s="43" t="n">
        <f aca="false">H6664*61.61*(1+'Chart of Accounts'!$E$67)</f>
        <v>72.6597535</v>
      </c>
    </row>
    <row r="6665" customFormat="false" ht="15" hidden="false" customHeight="false" outlineLevel="0" collapsed="false">
      <c r="B6665" s="7" t="s">
        <v>7162</v>
      </c>
      <c r="C6665" s="39" t="n">
        <v>45965</v>
      </c>
      <c r="D6665" s="7" t="s">
        <v>381</v>
      </c>
      <c r="E6665" s="7" t="s">
        <v>157</v>
      </c>
      <c r="F6665" s="7" t="s">
        <v>234</v>
      </c>
      <c r="G6665" s="7" t="s">
        <v>502</v>
      </c>
      <c r="H6665" s="6" t="n">
        <v>1.07</v>
      </c>
      <c r="I6665" s="6" t="n">
        <v>0</v>
      </c>
      <c r="J6665" s="40" t="n">
        <f aca="false">H6665-I6665</f>
        <v>1.07</v>
      </c>
      <c r="K6665" s="41" t="n">
        <v>165</v>
      </c>
      <c r="L6665" s="42" t="n">
        <f aca="false">J6665*K6665</f>
        <v>176.55</v>
      </c>
      <c r="M6665" s="43" t="n">
        <f aca="false">H6665*89.53*(1+'Chart of Accounts'!$E$67)</f>
        <v>109.6876795</v>
      </c>
    </row>
    <row r="6666" customFormat="false" ht="15" hidden="false" customHeight="false" outlineLevel="0" collapsed="false">
      <c r="B6666" s="7" t="s">
        <v>7163</v>
      </c>
      <c r="C6666" s="39" t="n">
        <v>45965</v>
      </c>
      <c r="D6666" s="7" t="s">
        <v>383</v>
      </c>
      <c r="E6666" s="7" t="s">
        <v>157</v>
      </c>
      <c r="F6666" s="7" t="s">
        <v>230</v>
      </c>
      <c r="G6666" s="7" t="s">
        <v>502</v>
      </c>
      <c r="H6666" s="6" t="n">
        <v>0.9</v>
      </c>
      <c r="I6666" s="6" t="n">
        <v>0.045</v>
      </c>
      <c r="J6666" s="40" t="n">
        <f aca="false">H6666-I6666</f>
        <v>0.855</v>
      </c>
      <c r="K6666" s="41" t="n">
        <v>165</v>
      </c>
      <c r="L6666" s="42" t="n">
        <f aca="false">J6666*K6666</f>
        <v>141.075</v>
      </c>
      <c r="M6666" s="43" t="n">
        <f aca="false">H6666*48.78*(1+'Chart of Accounts'!$E$67)</f>
        <v>50.26779</v>
      </c>
    </row>
    <row r="6667" customFormat="false" ht="15" hidden="false" customHeight="false" outlineLevel="0" collapsed="false">
      <c r="B6667" s="7" t="s">
        <v>7164</v>
      </c>
      <c r="C6667" s="39" t="n">
        <v>45965</v>
      </c>
      <c r="D6667" s="7" t="s">
        <v>387</v>
      </c>
      <c r="E6667" s="7" t="s">
        <v>154</v>
      </c>
      <c r="F6667" s="7" t="s">
        <v>196</v>
      </c>
      <c r="G6667" s="7" t="s">
        <v>505</v>
      </c>
      <c r="H6667" s="6" t="n">
        <v>3.69</v>
      </c>
      <c r="I6667" s="6" t="n">
        <v>0</v>
      </c>
      <c r="J6667" s="40" t="n">
        <f aca="false">H6667-I6667</f>
        <v>3.69</v>
      </c>
      <c r="K6667" s="41" t="n">
        <v>26.5</v>
      </c>
      <c r="L6667" s="42" t="n">
        <f aca="false">J6667*K6667</f>
        <v>97.785</v>
      </c>
      <c r="M6667" s="43" t="n">
        <f aca="false">H6667*15.05*(1+'Chart of Accounts'!$E$67)</f>
        <v>63.5870025</v>
      </c>
    </row>
    <row r="6668" customFormat="false" ht="15" hidden="false" customHeight="false" outlineLevel="0" collapsed="false">
      <c r="B6668" s="7" t="s">
        <v>7165</v>
      </c>
      <c r="C6668" s="39" t="n">
        <v>45965</v>
      </c>
      <c r="D6668" s="7" t="s">
        <v>389</v>
      </c>
      <c r="E6668" s="7" t="s">
        <v>154</v>
      </c>
      <c r="F6668" s="7" t="s">
        <v>246</v>
      </c>
      <c r="G6668" s="7" t="s">
        <v>505</v>
      </c>
      <c r="H6668" s="6" t="n">
        <v>3.79</v>
      </c>
      <c r="I6668" s="6" t="n">
        <v>0</v>
      </c>
      <c r="J6668" s="40" t="n">
        <f aca="false">H6668-I6668</f>
        <v>3.79</v>
      </c>
      <c r="K6668" s="41" t="n">
        <v>26.5</v>
      </c>
      <c r="L6668" s="42" t="n">
        <f aca="false">J6668*K6668</f>
        <v>100.435</v>
      </c>
      <c r="M6668" s="43" t="n">
        <f aca="false">H6668*16.48*(1+'Chart of Accounts'!$E$67)</f>
        <v>71.515784</v>
      </c>
    </row>
    <row r="6669" customFormat="false" ht="15" hidden="false" customHeight="false" outlineLevel="0" collapsed="false">
      <c r="B6669" s="7" t="s">
        <v>7166</v>
      </c>
      <c r="C6669" s="39" t="n">
        <v>45965</v>
      </c>
      <c r="D6669" s="7" t="s">
        <v>391</v>
      </c>
      <c r="E6669" s="7" t="s">
        <v>156</v>
      </c>
      <c r="F6669" s="7" t="s">
        <v>222</v>
      </c>
      <c r="G6669" s="7" t="s">
        <v>505</v>
      </c>
      <c r="H6669" s="6" t="n">
        <v>3.62</v>
      </c>
      <c r="I6669" s="6" t="n">
        <v>0</v>
      </c>
      <c r="J6669" s="40" t="n">
        <f aca="false">H6669-I6669</f>
        <v>3.62</v>
      </c>
      <c r="K6669" s="41" t="n">
        <v>34</v>
      </c>
      <c r="L6669" s="42" t="n">
        <f aca="false">J6669*K6669</f>
        <v>123.08</v>
      </c>
      <c r="M6669" s="43" t="n">
        <f aca="false">H6669*17.84*(1+'Chart of Accounts'!$E$67)</f>
        <v>73.945016</v>
      </c>
    </row>
    <row r="6670" customFormat="false" ht="15" hidden="false" customHeight="false" outlineLevel="0" collapsed="false">
      <c r="B6670" s="7" t="s">
        <v>7167</v>
      </c>
      <c r="C6670" s="39" t="n">
        <v>45965</v>
      </c>
      <c r="D6670" s="7" t="s">
        <v>395</v>
      </c>
      <c r="E6670" s="7" t="s">
        <v>156</v>
      </c>
      <c r="F6670" s="7" t="s">
        <v>242</v>
      </c>
      <c r="G6670" s="7" t="s">
        <v>505</v>
      </c>
      <c r="H6670" s="6" t="n">
        <v>3.76</v>
      </c>
      <c r="I6670" s="6" t="n">
        <v>0</v>
      </c>
      <c r="J6670" s="40" t="n">
        <f aca="false">H6670-I6670</f>
        <v>3.76</v>
      </c>
      <c r="K6670" s="41" t="n">
        <v>34</v>
      </c>
      <c r="L6670" s="42" t="n">
        <f aca="false">J6670*K6670</f>
        <v>127.84</v>
      </c>
      <c r="M6670" s="43" t="n">
        <f aca="false">H6670*17.99*(1+'Chart of Accounts'!$E$67)</f>
        <v>77.450548</v>
      </c>
    </row>
    <row r="6671" customFormat="false" ht="15" hidden="false" customHeight="false" outlineLevel="0" collapsed="false">
      <c r="B6671" s="7" t="s">
        <v>7168</v>
      </c>
      <c r="C6671" s="39" t="n">
        <v>45965</v>
      </c>
      <c r="D6671" s="7" t="s">
        <v>397</v>
      </c>
      <c r="E6671" s="7" t="s">
        <v>159</v>
      </c>
      <c r="F6671" s="7" t="s">
        <v>203</v>
      </c>
      <c r="G6671" s="7" t="s">
        <v>502</v>
      </c>
      <c r="H6671" s="6" t="n">
        <v>1.01</v>
      </c>
      <c r="I6671" s="6" t="n">
        <v>0</v>
      </c>
      <c r="J6671" s="40" t="n">
        <f aca="false">H6671-I6671</f>
        <v>1.01</v>
      </c>
      <c r="K6671" s="41" t="n">
        <v>135</v>
      </c>
      <c r="L6671" s="42" t="n">
        <f aca="false">J6671*K6671</f>
        <v>136.35</v>
      </c>
      <c r="M6671" s="43" t="n">
        <f aca="false">H6671*49.43*(1+'Chart of Accounts'!$E$67)</f>
        <v>57.1633235</v>
      </c>
    </row>
    <row r="6672" customFormat="false" ht="15" hidden="false" customHeight="false" outlineLevel="0" collapsed="false">
      <c r="B6672" s="7" t="s">
        <v>7169</v>
      </c>
      <c r="C6672" s="39" t="n">
        <v>45965</v>
      </c>
      <c r="D6672" s="7" t="s">
        <v>401</v>
      </c>
      <c r="E6672" s="7" t="s">
        <v>156</v>
      </c>
      <c r="F6672" s="7" t="s">
        <v>254</v>
      </c>
      <c r="G6672" s="7" t="s">
        <v>505</v>
      </c>
      <c r="H6672" s="6" t="n">
        <v>4.29</v>
      </c>
      <c r="I6672" s="6" t="n">
        <v>0</v>
      </c>
      <c r="J6672" s="40" t="n">
        <f aca="false">H6672-I6672</f>
        <v>4.29</v>
      </c>
      <c r="K6672" s="41" t="n">
        <v>34</v>
      </c>
      <c r="L6672" s="42" t="n">
        <f aca="false">J6672*K6672</f>
        <v>145.86</v>
      </c>
      <c r="M6672" s="43" t="n">
        <f aca="false">H6672*17.1*(1+'Chart of Accounts'!$E$67)</f>
        <v>83.996055</v>
      </c>
    </row>
    <row r="6673" customFormat="false" ht="15" hidden="false" customHeight="false" outlineLevel="0" collapsed="false">
      <c r="B6673" s="7" t="s">
        <v>7170</v>
      </c>
      <c r="C6673" s="39" t="n">
        <v>45965</v>
      </c>
      <c r="D6673" s="7" t="s">
        <v>407</v>
      </c>
      <c r="E6673" s="7" t="s">
        <v>159</v>
      </c>
      <c r="F6673" s="7" t="s">
        <v>260</v>
      </c>
      <c r="G6673" s="7" t="s">
        <v>502</v>
      </c>
      <c r="H6673" s="6" t="n">
        <v>1.09</v>
      </c>
      <c r="I6673" s="6" t="n">
        <v>0</v>
      </c>
      <c r="J6673" s="40" t="n">
        <f aca="false">H6673-I6673</f>
        <v>1.09</v>
      </c>
      <c r="K6673" s="41" t="n">
        <v>135</v>
      </c>
      <c r="L6673" s="42" t="n">
        <f aca="false">J6673*K6673</f>
        <v>147.15</v>
      </c>
      <c r="M6673" s="43" t="n">
        <f aca="false">H6673*79.8*(1+'Chart of Accounts'!$E$67)</f>
        <v>99.59439</v>
      </c>
    </row>
    <row r="6674" customFormat="false" ht="15" hidden="false" customHeight="false" outlineLevel="0" collapsed="false">
      <c r="B6674" s="7" t="s">
        <v>7171</v>
      </c>
      <c r="C6674" s="39" t="n">
        <v>45966</v>
      </c>
      <c r="D6674" s="7" t="s">
        <v>288</v>
      </c>
      <c r="E6674" s="7" t="s">
        <v>156</v>
      </c>
      <c r="F6674" s="7" t="s">
        <v>240</v>
      </c>
      <c r="G6674" s="7" t="s">
        <v>505</v>
      </c>
      <c r="H6674" s="6" t="n">
        <v>4.03</v>
      </c>
      <c r="I6674" s="6" t="n">
        <v>0</v>
      </c>
      <c r="J6674" s="40" t="n">
        <f aca="false">H6674-I6674</f>
        <v>4.03</v>
      </c>
      <c r="K6674" s="41" t="n">
        <v>34</v>
      </c>
      <c r="L6674" s="42" t="n">
        <f aca="false">J6674*K6674</f>
        <v>137.02</v>
      </c>
      <c r="M6674" s="43" t="n">
        <f aca="false">H6674*16.96*(1+'Chart of Accounts'!$E$67)</f>
        <v>78.259376</v>
      </c>
    </row>
    <row r="6675" customFormat="false" ht="15" hidden="false" customHeight="false" outlineLevel="0" collapsed="false">
      <c r="B6675" s="7" t="s">
        <v>7172</v>
      </c>
      <c r="C6675" s="39" t="n">
        <v>45966</v>
      </c>
      <c r="D6675" s="7" t="s">
        <v>291</v>
      </c>
      <c r="E6675" s="7" t="s">
        <v>154</v>
      </c>
      <c r="F6675" s="7" t="s">
        <v>194</v>
      </c>
      <c r="G6675" s="7" t="s">
        <v>505</v>
      </c>
      <c r="H6675" s="6" t="n">
        <v>4.96</v>
      </c>
      <c r="I6675" s="6" t="n">
        <v>0</v>
      </c>
      <c r="J6675" s="40" t="n">
        <f aca="false">H6675-I6675</f>
        <v>4.96</v>
      </c>
      <c r="K6675" s="41" t="n">
        <v>26.5</v>
      </c>
      <c r="L6675" s="42" t="n">
        <f aca="false">J6675*K6675</f>
        <v>131.44</v>
      </c>
      <c r="M6675" s="43" t="n">
        <f aca="false">H6675*16*(1+'Chart of Accounts'!$E$67)</f>
        <v>90.8672</v>
      </c>
    </row>
    <row r="6676" customFormat="false" ht="15" hidden="false" customHeight="false" outlineLevel="0" collapsed="false">
      <c r="B6676" s="7" t="s">
        <v>7173</v>
      </c>
      <c r="C6676" s="39" t="n">
        <v>45966</v>
      </c>
      <c r="D6676" s="7" t="s">
        <v>295</v>
      </c>
      <c r="E6676" s="7" t="s">
        <v>154</v>
      </c>
      <c r="F6676" s="7" t="s">
        <v>214</v>
      </c>
      <c r="G6676" s="7" t="s">
        <v>505</v>
      </c>
      <c r="H6676" s="6" t="n">
        <v>3.86</v>
      </c>
      <c r="I6676" s="6" t="n">
        <v>0</v>
      </c>
      <c r="J6676" s="40" t="n">
        <f aca="false">H6676-I6676</f>
        <v>3.86</v>
      </c>
      <c r="K6676" s="41" t="n">
        <v>26.5</v>
      </c>
      <c r="L6676" s="42" t="n">
        <f aca="false">J6676*K6676</f>
        <v>102.29</v>
      </c>
      <c r="M6676" s="43" t="n">
        <f aca="false">H6676*15.67*(1+'Chart of Accounts'!$E$67)</f>
        <v>69.256699</v>
      </c>
    </row>
    <row r="6677" customFormat="false" ht="15" hidden="false" customHeight="false" outlineLevel="0" collapsed="false">
      <c r="B6677" s="7" t="s">
        <v>7174</v>
      </c>
      <c r="C6677" s="39" t="n">
        <v>45966</v>
      </c>
      <c r="D6677" s="7" t="s">
        <v>305</v>
      </c>
      <c r="E6677" s="7" t="s">
        <v>154</v>
      </c>
      <c r="F6677" s="7" t="s">
        <v>205</v>
      </c>
      <c r="G6677" s="7" t="s">
        <v>505</v>
      </c>
      <c r="H6677" s="6" t="n">
        <v>4.07</v>
      </c>
      <c r="I6677" s="6" t="n">
        <v>0</v>
      </c>
      <c r="J6677" s="40" t="n">
        <f aca="false">H6677-I6677</f>
        <v>4.07</v>
      </c>
      <c r="K6677" s="41" t="n">
        <v>26.5</v>
      </c>
      <c r="L6677" s="42" t="n">
        <f aca="false">J6677*K6677</f>
        <v>107.855</v>
      </c>
      <c r="M6677" s="43" t="n">
        <f aca="false">H6677*16.36*(1+'Chart of Accounts'!$E$67)</f>
        <v>76.240054</v>
      </c>
    </row>
    <row r="6678" customFormat="false" ht="15" hidden="false" customHeight="false" outlineLevel="0" collapsed="false">
      <c r="B6678" s="7" t="s">
        <v>7175</v>
      </c>
      <c r="C6678" s="39" t="n">
        <v>45966</v>
      </c>
      <c r="D6678" s="7" t="s">
        <v>307</v>
      </c>
      <c r="E6678" s="7" t="s">
        <v>157</v>
      </c>
      <c r="F6678" s="7" t="s">
        <v>264</v>
      </c>
      <c r="G6678" s="7" t="s">
        <v>502</v>
      </c>
      <c r="H6678" s="6" t="n">
        <v>1.05</v>
      </c>
      <c r="I6678" s="6" t="n">
        <v>0</v>
      </c>
      <c r="J6678" s="40" t="n">
        <f aca="false">H6678-I6678</f>
        <v>1.05</v>
      </c>
      <c r="K6678" s="41" t="n">
        <v>165</v>
      </c>
      <c r="L6678" s="42" t="n">
        <f aca="false">J6678*K6678</f>
        <v>173.25</v>
      </c>
      <c r="M6678" s="43" t="n">
        <f aca="false">H6678*55.55*(1+'Chart of Accounts'!$E$67)</f>
        <v>66.7849875</v>
      </c>
    </row>
    <row r="6679" customFormat="false" ht="15" hidden="false" customHeight="false" outlineLevel="0" collapsed="false">
      <c r="B6679" s="7" t="s">
        <v>7176</v>
      </c>
      <c r="C6679" s="39" t="n">
        <v>45966</v>
      </c>
      <c r="D6679" s="7" t="s">
        <v>309</v>
      </c>
      <c r="E6679" s="7" t="s">
        <v>159</v>
      </c>
      <c r="F6679" s="7" t="s">
        <v>252</v>
      </c>
      <c r="G6679" s="7" t="s">
        <v>502</v>
      </c>
      <c r="H6679" s="6" t="n">
        <v>0.96</v>
      </c>
      <c r="I6679" s="6" t="n">
        <v>0</v>
      </c>
      <c r="J6679" s="40" t="n">
        <f aca="false">H6679-I6679</f>
        <v>0.96</v>
      </c>
      <c r="K6679" s="41" t="n">
        <v>135</v>
      </c>
      <c r="L6679" s="42" t="n">
        <f aca="false">J6679*K6679</f>
        <v>129.6</v>
      </c>
      <c r="M6679" s="43" t="n">
        <f aca="false">H6679*57.54*(1+'Chart of Accounts'!$E$67)</f>
        <v>63.247968</v>
      </c>
    </row>
    <row r="6680" customFormat="false" ht="15" hidden="false" customHeight="false" outlineLevel="0" collapsed="false">
      <c r="B6680" s="7" t="s">
        <v>7177</v>
      </c>
      <c r="C6680" s="39" t="n">
        <v>45966</v>
      </c>
      <c r="D6680" s="7" t="s">
        <v>315</v>
      </c>
      <c r="E6680" s="7" t="s">
        <v>159</v>
      </c>
      <c r="F6680" s="7" t="s">
        <v>216</v>
      </c>
      <c r="G6680" s="7" t="s">
        <v>502</v>
      </c>
      <c r="H6680" s="6" t="n">
        <v>0.92</v>
      </c>
      <c r="I6680" s="6" t="n">
        <v>0</v>
      </c>
      <c r="J6680" s="40" t="n">
        <f aca="false">H6680-I6680</f>
        <v>0.92</v>
      </c>
      <c r="K6680" s="41" t="n">
        <v>135</v>
      </c>
      <c r="L6680" s="42" t="n">
        <f aca="false">J6680*K6680</f>
        <v>124.2</v>
      </c>
      <c r="M6680" s="43" t="n">
        <f aca="false">H6680*61.79*(1+'Chart of Accounts'!$E$67)</f>
        <v>65.089586</v>
      </c>
    </row>
    <row r="6681" customFormat="false" ht="15" hidden="false" customHeight="false" outlineLevel="0" collapsed="false">
      <c r="B6681" s="7" t="s">
        <v>7178</v>
      </c>
      <c r="C6681" s="39" t="n">
        <v>45966</v>
      </c>
      <c r="D6681" s="7" t="s">
        <v>321</v>
      </c>
      <c r="E6681" s="7" t="s">
        <v>154</v>
      </c>
      <c r="F6681" s="7" t="s">
        <v>218</v>
      </c>
      <c r="G6681" s="7" t="s">
        <v>505</v>
      </c>
      <c r="H6681" s="6" t="n">
        <v>4.1</v>
      </c>
      <c r="I6681" s="6" t="n">
        <v>0</v>
      </c>
      <c r="J6681" s="40" t="n">
        <f aca="false">H6681-I6681</f>
        <v>4.1</v>
      </c>
      <c r="K6681" s="41" t="n">
        <v>26.5</v>
      </c>
      <c r="L6681" s="42" t="n">
        <f aca="false">J6681*K6681</f>
        <v>108.65</v>
      </c>
      <c r="M6681" s="43" t="n">
        <f aca="false">H6681*16.19*(1+'Chart of Accounts'!$E$67)</f>
        <v>76.003955</v>
      </c>
    </row>
    <row r="6682" customFormat="false" ht="15" hidden="false" customHeight="false" outlineLevel="0" collapsed="false">
      <c r="B6682" s="7" t="s">
        <v>7179</v>
      </c>
      <c r="C6682" s="39" t="n">
        <v>45966</v>
      </c>
      <c r="D6682" s="7" t="s">
        <v>329</v>
      </c>
      <c r="E6682" s="7" t="s">
        <v>156</v>
      </c>
      <c r="F6682" s="7" t="s">
        <v>220</v>
      </c>
      <c r="G6682" s="7" t="s">
        <v>505</v>
      </c>
      <c r="H6682" s="6" t="n">
        <v>4.27</v>
      </c>
      <c r="I6682" s="6" t="n">
        <v>0</v>
      </c>
      <c r="J6682" s="40" t="n">
        <f aca="false">H6682-I6682</f>
        <v>4.27</v>
      </c>
      <c r="K6682" s="41" t="n">
        <v>34</v>
      </c>
      <c r="L6682" s="42" t="n">
        <f aca="false">J6682*K6682</f>
        <v>145.18</v>
      </c>
      <c r="M6682" s="43" t="n">
        <f aca="false">H6682*16.43*(1+'Chart of Accounts'!$E$67)</f>
        <v>80.3287345</v>
      </c>
    </row>
    <row r="6683" customFormat="false" ht="15" hidden="false" customHeight="false" outlineLevel="0" collapsed="false">
      <c r="B6683" s="7" t="s">
        <v>7180</v>
      </c>
      <c r="C6683" s="39" t="n">
        <v>45966</v>
      </c>
      <c r="D6683" s="7" t="s">
        <v>333</v>
      </c>
      <c r="E6683" s="7" t="s">
        <v>154</v>
      </c>
      <c r="F6683" s="7" t="s">
        <v>236</v>
      </c>
      <c r="G6683" s="7" t="s">
        <v>505</v>
      </c>
      <c r="H6683" s="6" t="n">
        <v>3.65</v>
      </c>
      <c r="I6683" s="6" t="n">
        <v>0</v>
      </c>
      <c r="J6683" s="40" t="n">
        <f aca="false">H6683-I6683</f>
        <v>3.65</v>
      </c>
      <c r="K6683" s="41" t="n">
        <v>26.5</v>
      </c>
      <c r="L6683" s="42" t="n">
        <f aca="false">J6683*K6683</f>
        <v>96.725</v>
      </c>
      <c r="M6683" s="43" t="n">
        <f aca="false">H6683*15.49*(1+'Chart of Accounts'!$E$67)</f>
        <v>64.7365825</v>
      </c>
    </row>
    <row r="6684" customFormat="false" ht="15" hidden="false" customHeight="false" outlineLevel="0" collapsed="false">
      <c r="B6684" s="7" t="s">
        <v>7181</v>
      </c>
      <c r="C6684" s="39" t="n">
        <v>45966</v>
      </c>
      <c r="D6684" s="7" t="s">
        <v>335</v>
      </c>
      <c r="E6684" s="7" t="s">
        <v>154</v>
      </c>
      <c r="F6684" s="7" t="s">
        <v>177</v>
      </c>
      <c r="G6684" s="7" t="s">
        <v>505</v>
      </c>
      <c r="H6684" s="6" t="n">
        <v>4.24</v>
      </c>
      <c r="I6684" s="6" t="n">
        <v>0.127</v>
      </c>
      <c r="J6684" s="40" t="n">
        <f aca="false">H6684-I6684</f>
        <v>4.113</v>
      </c>
      <c r="K6684" s="41" t="n">
        <v>26.5</v>
      </c>
      <c r="L6684" s="42" t="n">
        <f aca="false">J6684*K6684</f>
        <v>108.9945</v>
      </c>
      <c r="M6684" s="43" t="n">
        <f aca="false">H6684*14.56*(1+'Chart of Accounts'!$E$67)</f>
        <v>70.685888</v>
      </c>
    </row>
    <row r="6685" customFormat="false" ht="15" hidden="false" customHeight="false" outlineLevel="0" collapsed="false">
      <c r="B6685" s="7" t="s">
        <v>7182</v>
      </c>
      <c r="C6685" s="39" t="n">
        <v>45966</v>
      </c>
      <c r="D6685" s="7" t="s">
        <v>339</v>
      </c>
      <c r="E6685" s="7" t="s">
        <v>154</v>
      </c>
      <c r="F6685" s="7" t="s">
        <v>242</v>
      </c>
      <c r="G6685" s="7" t="s">
        <v>505</v>
      </c>
      <c r="H6685" s="6" t="n">
        <v>3.41</v>
      </c>
      <c r="I6685" s="6" t="n">
        <v>0</v>
      </c>
      <c r="J6685" s="40" t="n">
        <f aca="false">H6685-I6685</f>
        <v>3.41</v>
      </c>
      <c r="K6685" s="41" t="n">
        <v>26.5</v>
      </c>
      <c r="L6685" s="42" t="n">
        <f aca="false">J6685*K6685</f>
        <v>90.365</v>
      </c>
      <c r="M6685" s="43" t="n">
        <f aca="false">H6685*17.99*(1+'Chart of Accounts'!$E$67)</f>
        <v>70.2410555</v>
      </c>
    </row>
    <row r="6686" customFormat="false" ht="15" hidden="false" customHeight="false" outlineLevel="0" collapsed="false">
      <c r="B6686" s="7" t="s">
        <v>7183</v>
      </c>
      <c r="C6686" s="39" t="n">
        <v>45966</v>
      </c>
      <c r="D6686" s="7" t="s">
        <v>347</v>
      </c>
      <c r="E6686" s="7" t="s">
        <v>154</v>
      </c>
      <c r="F6686" s="7" t="s">
        <v>238</v>
      </c>
      <c r="G6686" s="7" t="s">
        <v>505</v>
      </c>
      <c r="H6686" s="6" t="n">
        <v>4.55</v>
      </c>
      <c r="I6686" s="6" t="n">
        <v>0</v>
      </c>
      <c r="J6686" s="40" t="n">
        <f aca="false">H6686-I6686</f>
        <v>4.55</v>
      </c>
      <c r="K6686" s="41" t="n">
        <v>26.5</v>
      </c>
      <c r="L6686" s="42" t="n">
        <f aca="false">J6686*K6686</f>
        <v>120.575</v>
      </c>
      <c r="M6686" s="43" t="n">
        <f aca="false">H6686*15.85*(1+'Chart of Accounts'!$E$67)</f>
        <v>82.5745375</v>
      </c>
    </row>
    <row r="6687" customFormat="false" ht="15" hidden="false" customHeight="false" outlineLevel="0" collapsed="false">
      <c r="B6687" s="7" t="s">
        <v>7184</v>
      </c>
      <c r="C6687" s="39" t="n">
        <v>45966</v>
      </c>
      <c r="D6687" s="7" t="s">
        <v>349</v>
      </c>
      <c r="E6687" s="7" t="s">
        <v>154</v>
      </c>
      <c r="F6687" s="7" t="s">
        <v>244</v>
      </c>
      <c r="G6687" s="7" t="s">
        <v>505</v>
      </c>
      <c r="H6687" s="6" t="n">
        <v>3.68</v>
      </c>
      <c r="I6687" s="6" t="n">
        <v>0.11</v>
      </c>
      <c r="J6687" s="40" t="n">
        <f aca="false">H6687-I6687</f>
        <v>3.57</v>
      </c>
      <c r="K6687" s="41" t="n">
        <v>26.5</v>
      </c>
      <c r="L6687" s="42" t="n">
        <f aca="false">J6687*K6687</f>
        <v>94.605</v>
      </c>
      <c r="M6687" s="43" t="n">
        <f aca="false">H6687*16.39*(1+'Chart of Accounts'!$E$67)</f>
        <v>69.060904</v>
      </c>
    </row>
    <row r="6688" customFormat="false" ht="15" hidden="false" customHeight="false" outlineLevel="0" collapsed="false">
      <c r="B6688" s="7" t="s">
        <v>7185</v>
      </c>
      <c r="C6688" s="39" t="n">
        <v>45966</v>
      </c>
      <c r="D6688" s="7" t="s">
        <v>353</v>
      </c>
      <c r="E6688" s="7" t="s">
        <v>154</v>
      </c>
      <c r="F6688" s="7" t="s">
        <v>254</v>
      </c>
      <c r="G6688" s="7" t="s">
        <v>505</v>
      </c>
      <c r="H6688" s="6" t="n">
        <v>3.36</v>
      </c>
      <c r="I6688" s="6" t="n">
        <v>0.101</v>
      </c>
      <c r="J6688" s="40" t="n">
        <f aca="false">H6688-I6688</f>
        <v>3.259</v>
      </c>
      <c r="K6688" s="41" t="n">
        <v>26.5</v>
      </c>
      <c r="L6688" s="42" t="n">
        <f aca="false">J6688*K6688</f>
        <v>86.3635</v>
      </c>
      <c r="M6688" s="43" t="n">
        <f aca="false">H6688*17.1*(1+'Chart of Accounts'!$E$67)</f>
        <v>65.78712</v>
      </c>
    </row>
    <row r="6689" customFormat="false" ht="15" hidden="false" customHeight="false" outlineLevel="0" collapsed="false">
      <c r="B6689" s="7" t="s">
        <v>7186</v>
      </c>
      <c r="C6689" s="39" t="n">
        <v>45966</v>
      </c>
      <c r="D6689" s="7" t="s">
        <v>355</v>
      </c>
      <c r="E6689" s="7" t="s">
        <v>154</v>
      </c>
      <c r="F6689" s="7" t="s">
        <v>201</v>
      </c>
      <c r="G6689" s="7" t="s">
        <v>505</v>
      </c>
      <c r="H6689" s="6" t="n">
        <v>3.3</v>
      </c>
      <c r="I6689" s="6" t="n">
        <v>0</v>
      </c>
      <c r="J6689" s="40" t="n">
        <f aca="false">H6689-I6689</f>
        <v>3.3</v>
      </c>
      <c r="K6689" s="41" t="n">
        <v>26.5</v>
      </c>
      <c r="L6689" s="42" t="n">
        <f aca="false">J6689*K6689</f>
        <v>87.45</v>
      </c>
      <c r="M6689" s="43" t="n">
        <f aca="false">H6689*15.19*(1+'Chart of Accounts'!$E$67)</f>
        <v>57.395415</v>
      </c>
    </row>
    <row r="6690" customFormat="false" ht="15" hidden="false" customHeight="false" outlineLevel="0" collapsed="false">
      <c r="B6690" s="7" t="s">
        <v>7187</v>
      </c>
      <c r="C6690" s="39" t="n">
        <v>45966</v>
      </c>
      <c r="D6690" s="7" t="s">
        <v>357</v>
      </c>
      <c r="E6690" s="7" t="s">
        <v>154</v>
      </c>
      <c r="F6690" s="7" t="s">
        <v>201</v>
      </c>
      <c r="G6690" s="7" t="s">
        <v>505</v>
      </c>
      <c r="H6690" s="6" t="n">
        <v>3.6</v>
      </c>
      <c r="I6690" s="6" t="n">
        <v>0</v>
      </c>
      <c r="J6690" s="40" t="n">
        <f aca="false">H6690-I6690</f>
        <v>3.6</v>
      </c>
      <c r="K6690" s="41" t="n">
        <v>26.5</v>
      </c>
      <c r="L6690" s="42" t="n">
        <f aca="false">J6690*K6690</f>
        <v>95.4</v>
      </c>
      <c r="M6690" s="43" t="n">
        <f aca="false">H6690*15.19*(1+'Chart of Accounts'!$E$67)</f>
        <v>62.61318</v>
      </c>
    </row>
    <row r="6691" customFormat="false" ht="15" hidden="false" customHeight="false" outlineLevel="0" collapsed="false">
      <c r="B6691" s="7" t="s">
        <v>7188</v>
      </c>
      <c r="C6691" s="39" t="n">
        <v>45966</v>
      </c>
      <c r="D6691" s="7" t="s">
        <v>359</v>
      </c>
      <c r="E6691" s="7" t="s">
        <v>156</v>
      </c>
      <c r="F6691" s="7" t="s">
        <v>244</v>
      </c>
      <c r="G6691" s="7" t="s">
        <v>505</v>
      </c>
      <c r="H6691" s="6" t="n">
        <v>4.24</v>
      </c>
      <c r="I6691" s="6" t="n">
        <v>0</v>
      </c>
      <c r="J6691" s="40" t="n">
        <f aca="false">H6691-I6691</f>
        <v>4.24</v>
      </c>
      <c r="K6691" s="41" t="n">
        <v>34</v>
      </c>
      <c r="L6691" s="42" t="n">
        <f aca="false">J6691*K6691</f>
        <v>144.16</v>
      </c>
      <c r="M6691" s="43" t="n">
        <f aca="false">H6691*16.39*(1+'Chart of Accounts'!$E$67)</f>
        <v>79.570172</v>
      </c>
    </row>
    <row r="6692" customFormat="false" ht="15" hidden="false" customHeight="false" outlineLevel="0" collapsed="false">
      <c r="B6692" s="7" t="s">
        <v>7189</v>
      </c>
      <c r="C6692" s="39" t="n">
        <v>45966</v>
      </c>
      <c r="D6692" s="7" t="s">
        <v>365</v>
      </c>
      <c r="E6692" s="7" t="s">
        <v>154</v>
      </c>
      <c r="F6692" s="7" t="s">
        <v>194</v>
      </c>
      <c r="G6692" s="7" t="s">
        <v>505</v>
      </c>
      <c r="H6692" s="6" t="n">
        <v>3.66</v>
      </c>
      <c r="I6692" s="6" t="n">
        <v>0</v>
      </c>
      <c r="J6692" s="40" t="n">
        <f aca="false">H6692-I6692</f>
        <v>3.66</v>
      </c>
      <c r="K6692" s="41" t="n">
        <v>26.5</v>
      </c>
      <c r="L6692" s="42" t="n">
        <f aca="false">J6692*K6692</f>
        <v>96.99</v>
      </c>
      <c r="M6692" s="43" t="n">
        <f aca="false">H6692*16*(1+'Chart of Accounts'!$E$67)</f>
        <v>67.0512</v>
      </c>
    </row>
    <row r="6693" customFormat="false" ht="15" hidden="false" customHeight="false" outlineLevel="0" collapsed="false">
      <c r="B6693" s="7" t="s">
        <v>7190</v>
      </c>
      <c r="C6693" s="39" t="n">
        <v>45966</v>
      </c>
      <c r="D6693" s="7" t="s">
        <v>371</v>
      </c>
      <c r="E6693" s="7" t="s">
        <v>154</v>
      </c>
      <c r="F6693" s="7" t="s">
        <v>232</v>
      </c>
      <c r="G6693" s="7" t="s">
        <v>505</v>
      </c>
      <c r="H6693" s="6" t="n">
        <v>4.26</v>
      </c>
      <c r="I6693" s="6" t="n">
        <v>0</v>
      </c>
      <c r="J6693" s="40" t="n">
        <f aca="false">H6693-I6693</f>
        <v>4.26</v>
      </c>
      <c r="K6693" s="41" t="n">
        <v>26.5</v>
      </c>
      <c r="L6693" s="42" t="n">
        <f aca="false">J6693*K6693</f>
        <v>112.89</v>
      </c>
      <c r="M6693" s="43" t="n">
        <f aca="false">H6693*16.17*(1+'Chart of Accounts'!$E$67)</f>
        <v>78.872409</v>
      </c>
    </row>
    <row r="6694" customFormat="false" ht="15" hidden="false" customHeight="false" outlineLevel="0" collapsed="false">
      <c r="B6694" s="7" t="s">
        <v>7191</v>
      </c>
      <c r="C6694" s="39" t="n">
        <v>45966</v>
      </c>
      <c r="D6694" s="7" t="s">
        <v>379</v>
      </c>
      <c r="E6694" s="7" t="s">
        <v>156</v>
      </c>
      <c r="F6694" s="7" t="s">
        <v>224</v>
      </c>
      <c r="G6694" s="7" t="s">
        <v>505</v>
      </c>
      <c r="H6694" s="6" t="n">
        <v>5.09</v>
      </c>
      <c r="I6694" s="6" t="n">
        <v>0</v>
      </c>
      <c r="J6694" s="40" t="n">
        <f aca="false">H6694-I6694</f>
        <v>5.09</v>
      </c>
      <c r="K6694" s="41" t="n">
        <v>34</v>
      </c>
      <c r="L6694" s="42" t="n">
        <f aca="false">J6694*K6694</f>
        <v>173.06</v>
      </c>
      <c r="M6694" s="43" t="n">
        <f aca="false">H6694*14.93*(1+'Chart of Accounts'!$E$67)</f>
        <v>87.0127865</v>
      </c>
    </row>
    <row r="6695" customFormat="false" ht="15" hidden="false" customHeight="false" outlineLevel="0" collapsed="false">
      <c r="B6695" s="7" t="s">
        <v>7192</v>
      </c>
      <c r="C6695" s="39" t="n">
        <v>45966</v>
      </c>
      <c r="D6695" s="7" t="s">
        <v>385</v>
      </c>
      <c r="E6695" s="7" t="s">
        <v>156</v>
      </c>
      <c r="F6695" s="7" t="s">
        <v>238</v>
      </c>
      <c r="G6695" s="7" t="s">
        <v>505</v>
      </c>
      <c r="H6695" s="6" t="n">
        <v>3.85</v>
      </c>
      <c r="I6695" s="6" t="n">
        <v>0</v>
      </c>
      <c r="J6695" s="40" t="n">
        <f aca="false">H6695-I6695</f>
        <v>3.85</v>
      </c>
      <c r="K6695" s="41" t="n">
        <v>34</v>
      </c>
      <c r="L6695" s="42" t="n">
        <f aca="false">J6695*K6695</f>
        <v>130.9</v>
      </c>
      <c r="M6695" s="43" t="n">
        <f aca="false">H6695*15.85*(1+'Chart of Accounts'!$E$67)</f>
        <v>69.8707625</v>
      </c>
    </row>
    <row r="6696" customFormat="false" ht="15" hidden="false" customHeight="false" outlineLevel="0" collapsed="false">
      <c r="B6696" s="7" t="s">
        <v>7193</v>
      </c>
      <c r="C6696" s="39" t="n">
        <v>45966</v>
      </c>
      <c r="D6696" s="7" t="s">
        <v>387</v>
      </c>
      <c r="E6696" s="7" t="s">
        <v>154</v>
      </c>
      <c r="F6696" s="7" t="s">
        <v>196</v>
      </c>
      <c r="G6696" s="7" t="s">
        <v>505</v>
      </c>
      <c r="H6696" s="6" t="n">
        <v>4.06</v>
      </c>
      <c r="I6696" s="6" t="n">
        <v>0</v>
      </c>
      <c r="J6696" s="40" t="n">
        <f aca="false">H6696-I6696</f>
        <v>4.06</v>
      </c>
      <c r="K6696" s="41" t="n">
        <v>26.5</v>
      </c>
      <c r="L6696" s="42" t="n">
        <f aca="false">J6696*K6696</f>
        <v>107.59</v>
      </c>
      <c r="M6696" s="43" t="n">
        <f aca="false">H6696*15.05*(1+'Chart of Accounts'!$E$67)</f>
        <v>69.962935</v>
      </c>
    </row>
    <row r="6697" customFormat="false" ht="15" hidden="false" customHeight="false" outlineLevel="0" collapsed="false">
      <c r="B6697" s="7" t="s">
        <v>7194</v>
      </c>
      <c r="C6697" s="39" t="n">
        <v>45966</v>
      </c>
      <c r="D6697" s="7" t="s">
        <v>389</v>
      </c>
      <c r="E6697" s="7" t="s">
        <v>154</v>
      </c>
      <c r="F6697" s="7" t="s">
        <v>246</v>
      </c>
      <c r="G6697" s="7" t="s">
        <v>505</v>
      </c>
      <c r="H6697" s="6" t="n">
        <v>3.84</v>
      </c>
      <c r="I6697" s="6" t="n">
        <v>0</v>
      </c>
      <c r="J6697" s="40" t="n">
        <f aca="false">H6697-I6697</f>
        <v>3.84</v>
      </c>
      <c r="K6697" s="41" t="n">
        <v>26.5</v>
      </c>
      <c r="L6697" s="42" t="n">
        <f aca="false">J6697*K6697</f>
        <v>101.76</v>
      </c>
      <c r="M6697" s="43" t="n">
        <f aca="false">H6697*16.48*(1+'Chart of Accounts'!$E$67)</f>
        <v>72.459264</v>
      </c>
    </row>
    <row r="6698" customFormat="false" ht="15" hidden="false" customHeight="false" outlineLevel="0" collapsed="false">
      <c r="B6698" s="7" t="s">
        <v>7195</v>
      </c>
      <c r="C6698" s="39" t="n">
        <v>45966</v>
      </c>
      <c r="D6698" s="7" t="s">
        <v>391</v>
      </c>
      <c r="E6698" s="7" t="s">
        <v>156</v>
      </c>
      <c r="F6698" s="7" t="s">
        <v>222</v>
      </c>
      <c r="G6698" s="7" t="s">
        <v>505</v>
      </c>
      <c r="H6698" s="6" t="n">
        <v>3.85</v>
      </c>
      <c r="I6698" s="6" t="n">
        <v>0</v>
      </c>
      <c r="J6698" s="40" t="n">
        <f aca="false">H6698-I6698</f>
        <v>3.85</v>
      </c>
      <c r="K6698" s="41" t="n">
        <v>34</v>
      </c>
      <c r="L6698" s="42" t="n">
        <f aca="false">J6698*K6698</f>
        <v>130.9</v>
      </c>
      <c r="M6698" s="43" t="n">
        <f aca="false">H6698*17.84*(1+'Chart of Accounts'!$E$67)</f>
        <v>78.64318</v>
      </c>
    </row>
    <row r="6699" customFormat="false" ht="15" hidden="false" customHeight="false" outlineLevel="0" collapsed="false">
      <c r="B6699" s="7" t="s">
        <v>7196</v>
      </c>
      <c r="C6699" s="39" t="n">
        <v>45966</v>
      </c>
      <c r="D6699" s="7" t="s">
        <v>393</v>
      </c>
      <c r="E6699" s="7" t="s">
        <v>157</v>
      </c>
      <c r="F6699" s="7" t="s">
        <v>203</v>
      </c>
      <c r="G6699" s="7" t="s">
        <v>502</v>
      </c>
      <c r="H6699" s="6" t="n">
        <v>0.98</v>
      </c>
      <c r="I6699" s="6" t="n">
        <v>0</v>
      </c>
      <c r="J6699" s="40" t="n">
        <f aca="false">H6699-I6699</f>
        <v>0.98</v>
      </c>
      <c r="K6699" s="41" t="n">
        <v>165</v>
      </c>
      <c r="L6699" s="42" t="n">
        <f aca="false">J6699*K6699</f>
        <v>161.7</v>
      </c>
      <c r="M6699" s="43" t="n">
        <f aca="false">H6699*49.43*(1+'Chart of Accounts'!$E$67)</f>
        <v>55.465403</v>
      </c>
    </row>
    <row r="6700" customFormat="false" ht="15" hidden="false" customHeight="false" outlineLevel="0" collapsed="false">
      <c r="B6700" s="7" t="s">
        <v>7197</v>
      </c>
      <c r="C6700" s="39" t="n">
        <v>45966</v>
      </c>
      <c r="D6700" s="7" t="s">
        <v>395</v>
      </c>
      <c r="E6700" s="7" t="s">
        <v>156</v>
      </c>
      <c r="F6700" s="7" t="s">
        <v>242</v>
      </c>
      <c r="G6700" s="7" t="s">
        <v>505</v>
      </c>
      <c r="H6700" s="6" t="n">
        <v>3.77</v>
      </c>
      <c r="I6700" s="6" t="n">
        <v>0</v>
      </c>
      <c r="J6700" s="40" t="n">
        <f aca="false">H6700-I6700</f>
        <v>3.77</v>
      </c>
      <c r="K6700" s="41" t="n">
        <v>34</v>
      </c>
      <c r="L6700" s="42" t="n">
        <f aca="false">J6700*K6700</f>
        <v>128.18</v>
      </c>
      <c r="M6700" s="43" t="n">
        <f aca="false">H6700*17.99*(1+'Chart of Accounts'!$E$67)</f>
        <v>77.6565335</v>
      </c>
    </row>
    <row r="6701" customFormat="false" ht="15" hidden="false" customHeight="false" outlineLevel="0" collapsed="false">
      <c r="B6701" s="7" t="s">
        <v>7198</v>
      </c>
      <c r="C6701" s="39" t="n">
        <v>45966</v>
      </c>
      <c r="D6701" s="7" t="s">
        <v>399</v>
      </c>
      <c r="E6701" s="7" t="s">
        <v>154</v>
      </c>
      <c r="F6701" s="7" t="s">
        <v>250</v>
      </c>
      <c r="G6701" s="7" t="s">
        <v>505</v>
      </c>
      <c r="H6701" s="6" t="n">
        <v>3.63</v>
      </c>
      <c r="I6701" s="6" t="n">
        <v>0.109</v>
      </c>
      <c r="J6701" s="40" t="n">
        <f aca="false">H6701-I6701</f>
        <v>3.521</v>
      </c>
      <c r="K6701" s="41" t="n">
        <v>26.5</v>
      </c>
      <c r="L6701" s="42" t="n">
        <f aca="false">J6701*K6701</f>
        <v>93.3065</v>
      </c>
      <c r="M6701" s="43" t="n">
        <f aca="false">H6701*16.88*(1+'Chart of Accounts'!$E$67)</f>
        <v>70.159188</v>
      </c>
    </row>
    <row r="6702" customFormat="false" ht="15" hidden="false" customHeight="false" outlineLevel="0" collapsed="false">
      <c r="B6702" s="7" t="s">
        <v>7199</v>
      </c>
      <c r="C6702" s="39" t="n">
        <v>45966</v>
      </c>
      <c r="D6702" s="7" t="s">
        <v>401</v>
      </c>
      <c r="E6702" s="7" t="s">
        <v>156</v>
      </c>
      <c r="F6702" s="7" t="s">
        <v>254</v>
      </c>
      <c r="G6702" s="7" t="s">
        <v>505</v>
      </c>
      <c r="H6702" s="6" t="n">
        <v>4.18</v>
      </c>
      <c r="I6702" s="6" t="n">
        <v>0</v>
      </c>
      <c r="J6702" s="40" t="n">
        <f aca="false">H6702-I6702</f>
        <v>4.18</v>
      </c>
      <c r="K6702" s="41" t="n">
        <v>34</v>
      </c>
      <c r="L6702" s="42" t="n">
        <f aca="false">J6702*K6702</f>
        <v>142.12</v>
      </c>
      <c r="M6702" s="43" t="n">
        <f aca="false">H6702*17.1*(1+'Chart of Accounts'!$E$67)</f>
        <v>81.84231</v>
      </c>
    </row>
    <row r="6703" customFormat="false" ht="15" hidden="false" customHeight="false" outlineLevel="0" collapsed="false">
      <c r="B6703" s="7" t="s">
        <v>7200</v>
      </c>
      <c r="C6703" s="39" t="n">
        <v>45966</v>
      </c>
      <c r="D6703" s="7" t="s">
        <v>403</v>
      </c>
      <c r="E6703" s="7" t="s">
        <v>156</v>
      </c>
      <c r="F6703" s="7" t="s">
        <v>184</v>
      </c>
      <c r="G6703" s="7" t="s">
        <v>505</v>
      </c>
      <c r="H6703" s="6" t="n">
        <v>3.66</v>
      </c>
      <c r="I6703" s="6" t="n">
        <v>0</v>
      </c>
      <c r="J6703" s="40" t="n">
        <f aca="false">H6703-I6703</f>
        <v>3.66</v>
      </c>
      <c r="K6703" s="41" t="n">
        <v>34</v>
      </c>
      <c r="L6703" s="42" t="n">
        <f aca="false">J6703*K6703</f>
        <v>124.44</v>
      </c>
      <c r="M6703" s="43" t="n">
        <f aca="false">H6703*17.34*(1+'Chart of Accounts'!$E$67)</f>
        <v>72.666738</v>
      </c>
    </row>
    <row r="6704" customFormat="false" ht="15" hidden="false" customHeight="false" outlineLevel="0" collapsed="false">
      <c r="B6704" s="7" t="s">
        <v>7201</v>
      </c>
      <c r="C6704" s="39" t="n">
        <v>45966</v>
      </c>
      <c r="D6704" s="7" t="s">
        <v>409</v>
      </c>
      <c r="E6704" s="7" t="s">
        <v>154</v>
      </c>
      <c r="F6704" s="7" t="s">
        <v>214</v>
      </c>
      <c r="G6704" s="7" t="s">
        <v>505</v>
      </c>
      <c r="H6704" s="6" t="n">
        <v>3.38</v>
      </c>
      <c r="I6704" s="6" t="n">
        <v>0</v>
      </c>
      <c r="J6704" s="40" t="n">
        <f aca="false">H6704-I6704</f>
        <v>3.38</v>
      </c>
      <c r="K6704" s="41" t="n">
        <v>26.5</v>
      </c>
      <c r="L6704" s="42" t="n">
        <f aca="false">J6704*K6704</f>
        <v>89.57</v>
      </c>
      <c r="M6704" s="43" t="n">
        <f aca="false">H6704*15.67*(1+'Chart of Accounts'!$E$67)</f>
        <v>60.644467</v>
      </c>
    </row>
    <row r="6705" customFormat="false" ht="15" hidden="false" customHeight="false" outlineLevel="0" collapsed="false">
      <c r="B6705" s="7" t="s">
        <v>7202</v>
      </c>
      <c r="C6705" s="39" t="n">
        <v>45966</v>
      </c>
      <c r="D6705" s="7" t="s">
        <v>411</v>
      </c>
      <c r="E6705" s="7" t="s">
        <v>154</v>
      </c>
      <c r="F6705" s="7" t="s">
        <v>177</v>
      </c>
      <c r="G6705" s="7" t="s">
        <v>505</v>
      </c>
      <c r="H6705" s="6" t="n">
        <v>5.07</v>
      </c>
      <c r="I6705" s="6" t="n">
        <v>0</v>
      </c>
      <c r="J6705" s="40" t="n">
        <f aca="false">H6705-I6705</f>
        <v>5.07</v>
      </c>
      <c r="K6705" s="41" t="n">
        <v>26.5</v>
      </c>
      <c r="L6705" s="42" t="n">
        <f aca="false">J6705*K6705</f>
        <v>134.355</v>
      </c>
      <c r="M6705" s="43" t="n">
        <f aca="false">H6705*14.56*(1+'Chart of Accounts'!$E$67)</f>
        <v>84.522984</v>
      </c>
    </row>
    <row r="6706" customFormat="false" ht="15" hidden="false" customHeight="false" outlineLevel="0" collapsed="false">
      <c r="B6706" s="7" t="s">
        <v>7203</v>
      </c>
      <c r="C6706" s="39" t="n">
        <v>45967</v>
      </c>
      <c r="D6706" s="7" t="s">
        <v>288</v>
      </c>
      <c r="E6706" s="7" t="s">
        <v>156</v>
      </c>
      <c r="F6706" s="7" t="s">
        <v>196</v>
      </c>
      <c r="G6706" s="7" t="s">
        <v>505</v>
      </c>
      <c r="H6706" s="6" t="n">
        <v>3.77</v>
      </c>
      <c r="I6706" s="6" t="n">
        <v>0</v>
      </c>
      <c r="J6706" s="40" t="n">
        <f aca="false">H6706-I6706</f>
        <v>3.77</v>
      </c>
      <c r="K6706" s="41" t="n">
        <v>34</v>
      </c>
      <c r="L6706" s="42" t="n">
        <f aca="false">J6706*K6706</f>
        <v>128.18</v>
      </c>
      <c r="M6706" s="43" t="n">
        <f aca="false">H6706*15.05*(1+'Chart of Accounts'!$E$67)</f>
        <v>64.9655825</v>
      </c>
    </row>
    <row r="6707" customFormat="false" ht="15" hidden="false" customHeight="false" outlineLevel="0" collapsed="false">
      <c r="B6707" s="7" t="s">
        <v>7204</v>
      </c>
      <c r="C6707" s="39" t="n">
        <v>45967</v>
      </c>
      <c r="D6707" s="7" t="s">
        <v>297</v>
      </c>
      <c r="E6707" s="7" t="s">
        <v>156</v>
      </c>
      <c r="F6707" s="7" t="s">
        <v>201</v>
      </c>
      <c r="G6707" s="7" t="s">
        <v>505</v>
      </c>
      <c r="H6707" s="6" t="n">
        <v>2.82</v>
      </c>
      <c r="I6707" s="6" t="n">
        <v>0</v>
      </c>
      <c r="J6707" s="40" t="n">
        <f aca="false">H6707-I6707</f>
        <v>2.82</v>
      </c>
      <c r="K6707" s="41" t="n">
        <v>34</v>
      </c>
      <c r="L6707" s="42" t="n">
        <f aca="false">J6707*K6707</f>
        <v>95.88</v>
      </c>
      <c r="M6707" s="43" t="n">
        <f aca="false">H6707*15.19*(1+'Chart of Accounts'!$E$67)</f>
        <v>49.046991</v>
      </c>
    </row>
    <row r="6708" customFormat="false" ht="15" hidden="false" customHeight="false" outlineLevel="0" collapsed="false">
      <c r="B6708" s="7" t="s">
        <v>7205</v>
      </c>
      <c r="C6708" s="39" t="n">
        <v>45967</v>
      </c>
      <c r="D6708" s="7" t="s">
        <v>299</v>
      </c>
      <c r="E6708" s="7" t="s">
        <v>154</v>
      </c>
      <c r="F6708" s="7" t="s">
        <v>205</v>
      </c>
      <c r="G6708" s="7" t="s">
        <v>505</v>
      </c>
      <c r="H6708" s="6" t="n">
        <v>2.86</v>
      </c>
      <c r="I6708" s="6" t="n">
        <v>0</v>
      </c>
      <c r="J6708" s="40" t="n">
        <f aca="false">H6708-I6708</f>
        <v>2.86</v>
      </c>
      <c r="K6708" s="41" t="n">
        <v>26.5</v>
      </c>
      <c r="L6708" s="42" t="n">
        <f aca="false">J6708*K6708</f>
        <v>75.79</v>
      </c>
      <c r="M6708" s="43" t="n">
        <f aca="false">H6708*16.36*(1+'Chart of Accounts'!$E$67)</f>
        <v>53.574092</v>
      </c>
    </row>
    <row r="6709" customFormat="false" ht="15" hidden="false" customHeight="false" outlineLevel="0" collapsed="false">
      <c r="B6709" s="7" t="s">
        <v>7206</v>
      </c>
      <c r="C6709" s="39" t="n">
        <v>45967</v>
      </c>
      <c r="D6709" s="7" t="s">
        <v>311</v>
      </c>
      <c r="E6709" s="7" t="s">
        <v>154</v>
      </c>
      <c r="F6709" s="7" t="s">
        <v>196</v>
      </c>
      <c r="G6709" s="7" t="s">
        <v>505</v>
      </c>
      <c r="H6709" s="6" t="n">
        <v>2.98</v>
      </c>
      <c r="I6709" s="6" t="n">
        <v>0</v>
      </c>
      <c r="J6709" s="40" t="n">
        <f aca="false">H6709-I6709</f>
        <v>2.98</v>
      </c>
      <c r="K6709" s="41" t="n">
        <v>26.5</v>
      </c>
      <c r="L6709" s="42" t="n">
        <f aca="false">J6709*K6709</f>
        <v>78.97</v>
      </c>
      <c r="M6709" s="43" t="n">
        <f aca="false">H6709*15.05*(1+'Chart of Accounts'!$E$67)</f>
        <v>51.352105</v>
      </c>
    </row>
    <row r="6710" customFormat="false" ht="15" hidden="false" customHeight="false" outlineLevel="0" collapsed="false">
      <c r="B6710" s="7" t="s">
        <v>7207</v>
      </c>
      <c r="C6710" s="39" t="n">
        <v>45967</v>
      </c>
      <c r="D6710" s="7" t="s">
        <v>313</v>
      </c>
      <c r="E6710" s="7" t="s">
        <v>156</v>
      </c>
      <c r="F6710" s="7" t="s">
        <v>184</v>
      </c>
      <c r="G6710" s="7" t="s">
        <v>505</v>
      </c>
      <c r="H6710" s="6" t="n">
        <v>4.4</v>
      </c>
      <c r="I6710" s="6" t="n">
        <v>0</v>
      </c>
      <c r="J6710" s="40" t="n">
        <f aca="false">H6710-I6710</f>
        <v>4.4</v>
      </c>
      <c r="K6710" s="41" t="n">
        <v>34</v>
      </c>
      <c r="L6710" s="42" t="n">
        <f aca="false">J6710*K6710</f>
        <v>149.6</v>
      </c>
      <c r="M6710" s="43" t="n">
        <f aca="false">H6710*17.34*(1+'Chart of Accounts'!$E$67)</f>
        <v>87.35892</v>
      </c>
    </row>
    <row r="6711" customFormat="false" ht="15" hidden="false" customHeight="false" outlineLevel="0" collapsed="false">
      <c r="B6711" s="7" t="s">
        <v>7208</v>
      </c>
      <c r="C6711" s="39" t="n">
        <v>45967</v>
      </c>
      <c r="D6711" s="7" t="s">
        <v>317</v>
      </c>
      <c r="E6711" s="7" t="s">
        <v>156</v>
      </c>
      <c r="F6711" s="7" t="s">
        <v>220</v>
      </c>
      <c r="G6711" s="7" t="s">
        <v>505</v>
      </c>
      <c r="H6711" s="6" t="n">
        <v>3.18</v>
      </c>
      <c r="I6711" s="6" t="n">
        <v>0</v>
      </c>
      <c r="J6711" s="40" t="n">
        <f aca="false">H6711-I6711</f>
        <v>3.18</v>
      </c>
      <c r="K6711" s="41" t="n">
        <v>34</v>
      </c>
      <c r="L6711" s="42" t="n">
        <f aca="false">J6711*K6711</f>
        <v>108.12</v>
      </c>
      <c r="M6711" s="43" t="n">
        <f aca="false">H6711*16.43*(1+'Chart of Accounts'!$E$67)</f>
        <v>59.823273</v>
      </c>
    </row>
    <row r="6712" customFormat="false" ht="15" hidden="false" customHeight="false" outlineLevel="0" collapsed="false">
      <c r="B6712" s="7" t="s">
        <v>7209</v>
      </c>
      <c r="C6712" s="39" t="n">
        <v>45967</v>
      </c>
      <c r="D6712" s="7" t="s">
        <v>321</v>
      </c>
      <c r="E6712" s="7" t="s">
        <v>154</v>
      </c>
      <c r="F6712" s="7" t="s">
        <v>218</v>
      </c>
      <c r="G6712" s="7" t="s">
        <v>505</v>
      </c>
      <c r="H6712" s="6" t="n">
        <v>3.6</v>
      </c>
      <c r="I6712" s="6" t="n">
        <v>0</v>
      </c>
      <c r="J6712" s="40" t="n">
        <f aca="false">H6712-I6712</f>
        <v>3.6</v>
      </c>
      <c r="K6712" s="41" t="n">
        <v>26.5</v>
      </c>
      <c r="L6712" s="42" t="n">
        <f aca="false">J6712*K6712</f>
        <v>95.4</v>
      </c>
      <c r="M6712" s="43" t="n">
        <f aca="false">H6712*16.19*(1+'Chart of Accounts'!$E$67)</f>
        <v>66.73518</v>
      </c>
    </row>
    <row r="6713" customFormat="false" ht="15" hidden="false" customHeight="false" outlineLevel="0" collapsed="false">
      <c r="B6713" s="7" t="s">
        <v>7210</v>
      </c>
      <c r="C6713" s="39" t="n">
        <v>45967</v>
      </c>
      <c r="D6713" s="7" t="s">
        <v>325</v>
      </c>
      <c r="E6713" s="7" t="s">
        <v>154</v>
      </c>
      <c r="F6713" s="7" t="s">
        <v>238</v>
      </c>
      <c r="G6713" s="7" t="s">
        <v>505</v>
      </c>
      <c r="H6713" s="6" t="n">
        <v>2.8</v>
      </c>
      <c r="I6713" s="6" t="n">
        <v>0</v>
      </c>
      <c r="J6713" s="40" t="n">
        <f aca="false">H6713-I6713</f>
        <v>2.8</v>
      </c>
      <c r="K6713" s="41" t="n">
        <v>26.5</v>
      </c>
      <c r="L6713" s="42" t="n">
        <f aca="false">J6713*K6713</f>
        <v>74.2</v>
      </c>
      <c r="M6713" s="43" t="n">
        <f aca="false">H6713*15.85*(1+'Chart of Accounts'!$E$67)</f>
        <v>50.8151</v>
      </c>
    </row>
    <row r="6714" customFormat="false" ht="15" hidden="false" customHeight="false" outlineLevel="0" collapsed="false">
      <c r="B6714" s="7" t="s">
        <v>7211</v>
      </c>
      <c r="C6714" s="39" t="n">
        <v>45967</v>
      </c>
      <c r="D6714" s="7" t="s">
        <v>329</v>
      </c>
      <c r="E6714" s="7" t="s">
        <v>156</v>
      </c>
      <c r="F6714" s="7" t="s">
        <v>220</v>
      </c>
      <c r="G6714" s="7" t="s">
        <v>505</v>
      </c>
      <c r="H6714" s="6" t="n">
        <v>3.77</v>
      </c>
      <c r="I6714" s="6" t="n">
        <v>0</v>
      </c>
      <c r="J6714" s="40" t="n">
        <f aca="false">H6714-I6714</f>
        <v>3.77</v>
      </c>
      <c r="K6714" s="41" t="n">
        <v>34</v>
      </c>
      <c r="L6714" s="42" t="n">
        <f aca="false">J6714*K6714</f>
        <v>128.18</v>
      </c>
      <c r="M6714" s="43" t="n">
        <f aca="false">H6714*16.43*(1+'Chart of Accounts'!$E$67)</f>
        <v>70.9225595</v>
      </c>
    </row>
    <row r="6715" customFormat="false" ht="15" hidden="false" customHeight="false" outlineLevel="0" collapsed="false">
      <c r="B6715" s="7" t="s">
        <v>7212</v>
      </c>
      <c r="C6715" s="39" t="n">
        <v>45967</v>
      </c>
      <c r="D6715" s="7" t="s">
        <v>331</v>
      </c>
      <c r="E6715" s="7" t="s">
        <v>156</v>
      </c>
      <c r="F6715" s="7" t="s">
        <v>224</v>
      </c>
      <c r="G6715" s="7" t="s">
        <v>505</v>
      </c>
      <c r="H6715" s="6" t="n">
        <v>4.17</v>
      </c>
      <c r="I6715" s="6" t="n">
        <v>0</v>
      </c>
      <c r="J6715" s="40" t="n">
        <f aca="false">H6715-I6715</f>
        <v>4.17</v>
      </c>
      <c r="K6715" s="41" t="n">
        <v>34</v>
      </c>
      <c r="L6715" s="42" t="n">
        <f aca="false">J6715*K6715</f>
        <v>141.78</v>
      </c>
      <c r="M6715" s="43" t="n">
        <f aca="false">H6715*14.93*(1+'Chart of Accounts'!$E$67)</f>
        <v>71.2855245</v>
      </c>
    </row>
    <row r="6716" customFormat="false" ht="15" hidden="false" customHeight="false" outlineLevel="0" collapsed="false">
      <c r="B6716" s="7" t="s">
        <v>7213</v>
      </c>
      <c r="C6716" s="39" t="n">
        <v>45967</v>
      </c>
      <c r="D6716" s="7" t="s">
        <v>341</v>
      </c>
      <c r="E6716" s="7" t="s">
        <v>156</v>
      </c>
      <c r="F6716" s="7" t="s">
        <v>222</v>
      </c>
      <c r="G6716" s="7" t="s">
        <v>505</v>
      </c>
      <c r="H6716" s="6" t="n">
        <v>3.11</v>
      </c>
      <c r="I6716" s="6" t="n">
        <v>0</v>
      </c>
      <c r="J6716" s="40" t="n">
        <f aca="false">H6716-I6716</f>
        <v>3.11</v>
      </c>
      <c r="K6716" s="41" t="n">
        <v>34</v>
      </c>
      <c r="L6716" s="42" t="n">
        <f aca="false">J6716*K6716</f>
        <v>105.74</v>
      </c>
      <c r="M6716" s="43" t="n">
        <f aca="false">H6716*17.84*(1+'Chart of Accounts'!$E$67)</f>
        <v>63.527348</v>
      </c>
    </row>
    <row r="6717" customFormat="false" ht="15" hidden="false" customHeight="false" outlineLevel="0" collapsed="false">
      <c r="B6717" s="7" t="s">
        <v>7214</v>
      </c>
      <c r="C6717" s="39" t="n">
        <v>45967</v>
      </c>
      <c r="D6717" s="7" t="s">
        <v>343</v>
      </c>
      <c r="E6717" s="7" t="s">
        <v>154</v>
      </c>
      <c r="F6717" s="7" t="s">
        <v>205</v>
      </c>
      <c r="G6717" s="7" t="s">
        <v>505</v>
      </c>
      <c r="H6717" s="6" t="n">
        <v>3.92</v>
      </c>
      <c r="I6717" s="6" t="n">
        <v>0</v>
      </c>
      <c r="J6717" s="40" t="n">
        <f aca="false">H6717-I6717</f>
        <v>3.92</v>
      </c>
      <c r="K6717" s="41" t="n">
        <v>26.5</v>
      </c>
      <c r="L6717" s="42" t="n">
        <f aca="false">J6717*K6717</f>
        <v>103.88</v>
      </c>
      <c r="M6717" s="43" t="n">
        <f aca="false">H6717*16.36*(1+'Chart of Accounts'!$E$67)</f>
        <v>73.430224</v>
      </c>
    </row>
    <row r="6718" customFormat="false" ht="15" hidden="false" customHeight="false" outlineLevel="0" collapsed="false">
      <c r="B6718" s="7" t="s">
        <v>7215</v>
      </c>
      <c r="C6718" s="39" t="n">
        <v>45967</v>
      </c>
      <c r="D6718" s="7" t="s">
        <v>349</v>
      </c>
      <c r="E6718" s="7" t="s">
        <v>154</v>
      </c>
      <c r="F6718" s="7" t="s">
        <v>244</v>
      </c>
      <c r="G6718" s="7" t="s">
        <v>505</v>
      </c>
      <c r="H6718" s="6" t="n">
        <v>4.34</v>
      </c>
      <c r="I6718" s="6" t="n">
        <v>0</v>
      </c>
      <c r="J6718" s="40" t="n">
        <f aca="false">H6718-I6718</f>
        <v>4.34</v>
      </c>
      <c r="K6718" s="41" t="n">
        <v>26.5</v>
      </c>
      <c r="L6718" s="42" t="n">
        <f aca="false">J6718*K6718</f>
        <v>115.01</v>
      </c>
      <c r="M6718" s="43" t="n">
        <f aca="false">H6718*16.39*(1+'Chart of Accounts'!$E$67)</f>
        <v>81.446827</v>
      </c>
    </row>
    <row r="6719" customFormat="false" ht="15" hidden="false" customHeight="false" outlineLevel="0" collapsed="false">
      <c r="B6719" s="7" t="s">
        <v>7216</v>
      </c>
      <c r="C6719" s="39" t="n">
        <v>45967</v>
      </c>
      <c r="D6719" s="7" t="s">
        <v>351</v>
      </c>
      <c r="E6719" s="7" t="s">
        <v>154</v>
      </c>
      <c r="F6719" s="7" t="s">
        <v>201</v>
      </c>
      <c r="G6719" s="7" t="s">
        <v>505</v>
      </c>
      <c r="H6719" s="6" t="n">
        <v>3.19</v>
      </c>
      <c r="I6719" s="6" t="n">
        <v>0</v>
      </c>
      <c r="J6719" s="40" t="n">
        <f aca="false">H6719-I6719</f>
        <v>3.19</v>
      </c>
      <c r="K6719" s="41" t="n">
        <v>26.5</v>
      </c>
      <c r="L6719" s="42" t="n">
        <f aca="false">J6719*K6719</f>
        <v>84.535</v>
      </c>
      <c r="M6719" s="43" t="n">
        <f aca="false">H6719*15.19*(1+'Chart of Accounts'!$E$67)</f>
        <v>55.4822345</v>
      </c>
    </row>
    <row r="6720" customFormat="false" ht="15" hidden="false" customHeight="false" outlineLevel="0" collapsed="false">
      <c r="B6720" s="7" t="s">
        <v>7217</v>
      </c>
      <c r="C6720" s="39" t="n">
        <v>45967</v>
      </c>
      <c r="D6720" s="7" t="s">
        <v>359</v>
      </c>
      <c r="E6720" s="7" t="s">
        <v>156</v>
      </c>
      <c r="F6720" s="7" t="s">
        <v>250</v>
      </c>
      <c r="G6720" s="7" t="s">
        <v>505</v>
      </c>
      <c r="H6720" s="6" t="n">
        <v>3.97</v>
      </c>
      <c r="I6720" s="6" t="n">
        <v>0</v>
      </c>
      <c r="J6720" s="40" t="n">
        <f aca="false">H6720-I6720</f>
        <v>3.97</v>
      </c>
      <c r="K6720" s="41" t="n">
        <v>34</v>
      </c>
      <c r="L6720" s="42" t="n">
        <f aca="false">J6720*K6720</f>
        <v>134.98</v>
      </c>
      <c r="M6720" s="43" t="n">
        <f aca="false">H6720*16.88*(1+'Chart of Accounts'!$E$67)</f>
        <v>76.730572</v>
      </c>
    </row>
    <row r="6721" customFormat="false" ht="15" hidden="false" customHeight="false" outlineLevel="0" collapsed="false">
      <c r="B6721" s="7" t="s">
        <v>7218</v>
      </c>
      <c r="C6721" s="39" t="n">
        <v>45967</v>
      </c>
      <c r="D6721" s="7" t="s">
        <v>363</v>
      </c>
      <c r="E6721" s="7" t="s">
        <v>156</v>
      </c>
      <c r="F6721" s="7" t="s">
        <v>246</v>
      </c>
      <c r="G6721" s="7" t="s">
        <v>505</v>
      </c>
      <c r="H6721" s="6" t="n">
        <v>3.81</v>
      </c>
      <c r="I6721" s="6" t="n">
        <v>0</v>
      </c>
      <c r="J6721" s="40" t="n">
        <f aca="false">H6721-I6721</f>
        <v>3.81</v>
      </c>
      <c r="K6721" s="41" t="n">
        <v>34</v>
      </c>
      <c r="L6721" s="42" t="n">
        <f aca="false">J6721*K6721</f>
        <v>129.54</v>
      </c>
      <c r="M6721" s="43" t="n">
        <f aca="false">H6721*16.48*(1+'Chart of Accounts'!$E$67)</f>
        <v>71.893176</v>
      </c>
    </row>
    <row r="6722" customFormat="false" ht="15" hidden="false" customHeight="false" outlineLevel="0" collapsed="false">
      <c r="B6722" s="7" t="s">
        <v>7219</v>
      </c>
      <c r="C6722" s="39" t="n">
        <v>45967</v>
      </c>
      <c r="D6722" s="7" t="s">
        <v>365</v>
      </c>
      <c r="E6722" s="7" t="s">
        <v>154</v>
      </c>
      <c r="F6722" s="7" t="s">
        <v>194</v>
      </c>
      <c r="G6722" s="7" t="s">
        <v>505</v>
      </c>
      <c r="H6722" s="6" t="n">
        <v>4.1</v>
      </c>
      <c r="I6722" s="6" t="n">
        <v>0</v>
      </c>
      <c r="J6722" s="40" t="n">
        <f aca="false">H6722-I6722</f>
        <v>4.1</v>
      </c>
      <c r="K6722" s="41" t="n">
        <v>26.5</v>
      </c>
      <c r="L6722" s="42" t="n">
        <f aca="false">J6722*K6722</f>
        <v>108.65</v>
      </c>
      <c r="M6722" s="43" t="n">
        <f aca="false">H6722*16*(1+'Chart of Accounts'!$E$67)</f>
        <v>75.112</v>
      </c>
    </row>
    <row r="6723" customFormat="false" ht="15" hidden="false" customHeight="false" outlineLevel="0" collapsed="false">
      <c r="B6723" s="7" t="s">
        <v>7220</v>
      </c>
      <c r="C6723" s="39" t="n">
        <v>45967</v>
      </c>
      <c r="D6723" s="7" t="s">
        <v>375</v>
      </c>
      <c r="E6723" s="7" t="s">
        <v>156</v>
      </c>
      <c r="F6723" s="7" t="s">
        <v>196</v>
      </c>
      <c r="G6723" s="7" t="s">
        <v>505</v>
      </c>
      <c r="H6723" s="6" t="n">
        <v>3.02</v>
      </c>
      <c r="I6723" s="6" t="n">
        <v>0</v>
      </c>
      <c r="J6723" s="40" t="n">
        <f aca="false">H6723-I6723</f>
        <v>3.02</v>
      </c>
      <c r="K6723" s="41" t="n">
        <v>34</v>
      </c>
      <c r="L6723" s="42" t="n">
        <f aca="false">J6723*K6723</f>
        <v>102.68</v>
      </c>
      <c r="M6723" s="43" t="n">
        <f aca="false">H6723*15.05*(1+'Chart of Accounts'!$E$67)</f>
        <v>52.041395</v>
      </c>
    </row>
    <row r="6724" customFormat="false" ht="15" hidden="false" customHeight="false" outlineLevel="0" collapsed="false">
      <c r="B6724" s="7" t="s">
        <v>7221</v>
      </c>
      <c r="C6724" s="39" t="n">
        <v>45967</v>
      </c>
      <c r="D6724" s="7" t="s">
        <v>377</v>
      </c>
      <c r="E6724" s="7" t="s">
        <v>154</v>
      </c>
      <c r="F6724" s="7" t="s">
        <v>214</v>
      </c>
      <c r="G6724" s="7" t="s">
        <v>505</v>
      </c>
      <c r="H6724" s="6" t="n">
        <v>3.71</v>
      </c>
      <c r="I6724" s="6" t="n">
        <v>0.111</v>
      </c>
      <c r="J6724" s="40" t="n">
        <f aca="false">H6724-I6724</f>
        <v>3.599</v>
      </c>
      <c r="K6724" s="41" t="n">
        <v>26.5</v>
      </c>
      <c r="L6724" s="42" t="n">
        <f aca="false">J6724*K6724</f>
        <v>95.3735</v>
      </c>
      <c r="M6724" s="43" t="n">
        <f aca="false">H6724*15.67*(1+'Chart of Accounts'!$E$67)</f>
        <v>66.5653765</v>
      </c>
    </row>
    <row r="6725" customFormat="false" ht="15" hidden="false" customHeight="false" outlineLevel="0" collapsed="false">
      <c r="B6725" s="7" t="s">
        <v>7222</v>
      </c>
      <c r="C6725" s="39" t="n">
        <v>45967</v>
      </c>
      <c r="D6725" s="7" t="s">
        <v>387</v>
      </c>
      <c r="E6725" s="7" t="s">
        <v>154</v>
      </c>
      <c r="F6725" s="7" t="s">
        <v>196</v>
      </c>
      <c r="G6725" s="7" t="s">
        <v>505</v>
      </c>
      <c r="H6725" s="6" t="n">
        <v>3.68</v>
      </c>
      <c r="I6725" s="6" t="n">
        <v>0.11</v>
      </c>
      <c r="J6725" s="40" t="n">
        <f aca="false">H6725-I6725</f>
        <v>3.57</v>
      </c>
      <c r="K6725" s="41" t="n">
        <v>26.5</v>
      </c>
      <c r="L6725" s="42" t="n">
        <f aca="false">J6725*K6725</f>
        <v>94.605</v>
      </c>
      <c r="M6725" s="43" t="n">
        <f aca="false">H6725*15.05*(1+'Chart of Accounts'!$E$67)</f>
        <v>63.41468</v>
      </c>
    </row>
    <row r="6726" customFormat="false" ht="15" hidden="false" customHeight="false" outlineLevel="0" collapsed="false">
      <c r="B6726" s="7" t="s">
        <v>7223</v>
      </c>
      <c r="C6726" s="39" t="n">
        <v>45967</v>
      </c>
      <c r="D6726" s="7" t="s">
        <v>389</v>
      </c>
      <c r="E6726" s="7" t="s">
        <v>154</v>
      </c>
      <c r="F6726" s="7" t="s">
        <v>246</v>
      </c>
      <c r="G6726" s="7" t="s">
        <v>505</v>
      </c>
      <c r="H6726" s="6" t="n">
        <v>3.94</v>
      </c>
      <c r="I6726" s="6" t="n">
        <v>0</v>
      </c>
      <c r="J6726" s="40" t="n">
        <f aca="false">H6726-I6726</f>
        <v>3.94</v>
      </c>
      <c r="K6726" s="41" t="n">
        <v>26.5</v>
      </c>
      <c r="L6726" s="42" t="n">
        <f aca="false">J6726*K6726</f>
        <v>104.41</v>
      </c>
      <c r="M6726" s="43" t="n">
        <f aca="false">H6726*16.48*(1+'Chart of Accounts'!$E$67)</f>
        <v>74.346224</v>
      </c>
    </row>
    <row r="6727" customFormat="false" ht="15" hidden="false" customHeight="false" outlineLevel="0" collapsed="false">
      <c r="B6727" s="7" t="s">
        <v>7224</v>
      </c>
      <c r="C6727" s="39" t="n">
        <v>45967</v>
      </c>
      <c r="D6727" s="7" t="s">
        <v>391</v>
      </c>
      <c r="E6727" s="7" t="s">
        <v>156</v>
      </c>
      <c r="F6727" s="7" t="s">
        <v>222</v>
      </c>
      <c r="G6727" s="7" t="s">
        <v>505</v>
      </c>
      <c r="H6727" s="6" t="n">
        <v>3.74</v>
      </c>
      <c r="I6727" s="6" t="n">
        <v>0</v>
      </c>
      <c r="J6727" s="40" t="n">
        <f aca="false">H6727-I6727</f>
        <v>3.74</v>
      </c>
      <c r="K6727" s="41" t="n">
        <v>34</v>
      </c>
      <c r="L6727" s="42" t="n">
        <f aca="false">J6727*K6727</f>
        <v>127.16</v>
      </c>
      <c r="M6727" s="43" t="n">
        <f aca="false">H6727*17.84*(1+'Chart of Accounts'!$E$67)</f>
        <v>76.396232</v>
      </c>
    </row>
    <row r="6728" customFormat="false" ht="15" hidden="false" customHeight="false" outlineLevel="0" collapsed="false">
      <c r="B6728" s="7" t="s">
        <v>7225</v>
      </c>
      <c r="C6728" s="39" t="n">
        <v>45967</v>
      </c>
      <c r="D6728" s="7" t="s">
        <v>395</v>
      </c>
      <c r="E6728" s="7" t="s">
        <v>156</v>
      </c>
      <c r="F6728" s="7" t="s">
        <v>242</v>
      </c>
      <c r="G6728" s="7" t="s">
        <v>505</v>
      </c>
      <c r="H6728" s="6" t="n">
        <v>4.37</v>
      </c>
      <c r="I6728" s="6" t="n">
        <v>0</v>
      </c>
      <c r="J6728" s="40" t="n">
        <f aca="false">H6728-I6728</f>
        <v>4.37</v>
      </c>
      <c r="K6728" s="41" t="n">
        <v>34</v>
      </c>
      <c r="L6728" s="42" t="n">
        <f aca="false">J6728*K6728</f>
        <v>148.58</v>
      </c>
      <c r="M6728" s="43" t="n">
        <f aca="false">H6728*17.99*(1+'Chart of Accounts'!$E$67)</f>
        <v>90.0156635</v>
      </c>
    </row>
    <row r="6729" customFormat="false" ht="15" hidden="false" customHeight="false" outlineLevel="0" collapsed="false">
      <c r="B6729" s="7" t="s">
        <v>7226</v>
      </c>
      <c r="C6729" s="39" t="n">
        <v>45967</v>
      </c>
      <c r="D6729" s="7" t="s">
        <v>401</v>
      </c>
      <c r="E6729" s="7" t="s">
        <v>156</v>
      </c>
      <c r="F6729" s="7" t="s">
        <v>254</v>
      </c>
      <c r="G6729" s="7" t="s">
        <v>505</v>
      </c>
      <c r="H6729" s="6" t="n">
        <v>4.07</v>
      </c>
      <c r="I6729" s="6" t="n">
        <v>0</v>
      </c>
      <c r="J6729" s="40" t="n">
        <f aca="false">H6729-I6729</f>
        <v>4.07</v>
      </c>
      <c r="K6729" s="41" t="n">
        <v>34</v>
      </c>
      <c r="L6729" s="42" t="n">
        <f aca="false">J6729*K6729</f>
        <v>138.38</v>
      </c>
      <c r="M6729" s="43" t="n">
        <f aca="false">H6729*17.1*(1+'Chart of Accounts'!$E$67)</f>
        <v>79.688565</v>
      </c>
    </row>
    <row r="6730" customFormat="false" ht="15" hidden="false" customHeight="false" outlineLevel="0" collapsed="false">
      <c r="B6730" s="7" t="s">
        <v>7227</v>
      </c>
      <c r="C6730" s="39" t="n">
        <v>45968</v>
      </c>
      <c r="D6730" s="7" t="s">
        <v>288</v>
      </c>
      <c r="E6730" s="7" t="s">
        <v>156</v>
      </c>
      <c r="F6730" s="7" t="s">
        <v>224</v>
      </c>
      <c r="G6730" s="7" t="s">
        <v>505</v>
      </c>
      <c r="H6730" s="6" t="n">
        <v>4.24</v>
      </c>
      <c r="I6730" s="6" t="n">
        <v>0</v>
      </c>
      <c r="J6730" s="40" t="n">
        <f aca="false">H6730-I6730</f>
        <v>4.24</v>
      </c>
      <c r="K6730" s="41" t="n">
        <v>34</v>
      </c>
      <c r="L6730" s="42" t="n">
        <f aca="false">J6730*K6730</f>
        <v>144.16</v>
      </c>
      <c r="M6730" s="43" t="n">
        <f aca="false">H6730*14.93*(1+'Chart of Accounts'!$E$67)</f>
        <v>72.482164</v>
      </c>
    </row>
    <row r="6731" customFormat="false" ht="15" hidden="false" customHeight="false" outlineLevel="0" collapsed="false">
      <c r="B6731" s="7" t="s">
        <v>7228</v>
      </c>
      <c r="C6731" s="39" t="n">
        <v>45968</v>
      </c>
      <c r="D6731" s="7" t="s">
        <v>291</v>
      </c>
      <c r="E6731" s="7" t="s">
        <v>154</v>
      </c>
      <c r="F6731" s="7" t="s">
        <v>194</v>
      </c>
      <c r="G6731" s="7" t="s">
        <v>505</v>
      </c>
      <c r="H6731" s="6" t="n">
        <v>4.51</v>
      </c>
      <c r="I6731" s="6" t="n">
        <v>0</v>
      </c>
      <c r="J6731" s="40" t="n">
        <f aca="false">H6731-I6731</f>
        <v>4.51</v>
      </c>
      <c r="K6731" s="41" t="n">
        <v>26.5</v>
      </c>
      <c r="L6731" s="42" t="n">
        <f aca="false">J6731*K6731</f>
        <v>119.515</v>
      </c>
      <c r="M6731" s="43" t="n">
        <f aca="false">H6731*16*(1+'Chart of Accounts'!$E$67)</f>
        <v>82.6232</v>
      </c>
    </row>
    <row r="6732" customFormat="false" ht="15" hidden="false" customHeight="false" outlineLevel="0" collapsed="false">
      <c r="B6732" s="7" t="s">
        <v>7229</v>
      </c>
      <c r="C6732" s="39" t="n">
        <v>45968</v>
      </c>
      <c r="D6732" s="7" t="s">
        <v>293</v>
      </c>
      <c r="E6732" s="7" t="s">
        <v>157</v>
      </c>
      <c r="F6732" s="7" t="s">
        <v>198</v>
      </c>
      <c r="G6732" s="7" t="s">
        <v>502</v>
      </c>
      <c r="H6732" s="6" t="n">
        <v>1.08</v>
      </c>
      <c r="I6732" s="6" t="n">
        <v>0</v>
      </c>
      <c r="J6732" s="40" t="n">
        <f aca="false">H6732-I6732</f>
        <v>1.08</v>
      </c>
      <c r="K6732" s="41" t="n">
        <v>165</v>
      </c>
      <c r="L6732" s="42" t="n">
        <f aca="false">J6732*K6732</f>
        <v>178.2</v>
      </c>
      <c r="M6732" s="43" t="n">
        <f aca="false">H6732*48.09*(1+'Chart of Accounts'!$E$67)</f>
        <v>59.468094</v>
      </c>
    </row>
    <row r="6733" customFormat="false" ht="15" hidden="false" customHeight="false" outlineLevel="0" collapsed="false">
      <c r="B6733" s="7" t="s">
        <v>7230</v>
      </c>
      <c r="C6733" s="39" t="n">
        <v>45968</v>
      </c>
      <c r="D6733" s="7" t="s">
        <v>295</v>
      </c>
      <c r="E6733" s="7" t="s">
        <v>154</v>
      </c>
      <c r="F6733" s="7" t="s">
        <v>214</v>
      </c>
      <c r="G6733" s="7" t="s">
        <v>505</v>
      </c>
      <c r="H6733" s="6" t="n">
        <v>3.86</v>
      </c>
      <c r="I6733" s="6" t="n">
        <v>0</v>
      </c>
      <c r="J6733" s="40" t="n">
        <f aca="false">H6733-I6733</f>
        <v>3.86</v>
      </c>
      <c r="K6733" s="41" t="n">
        <v>26.5</v>
      </c>
      <c r="L6733" s="42" t="n">
        <f aca="false">J6733*K6733</f>
        <v>102.29</v>
      </c>
      <c r="M6733" s="43" t="n">
        <f aca="false">H6733*15.67*(1+'Chart of Accounts'!$E$67)</f>
        <v>69.256699</v>
      </c>
    </row>
    <row r="6734" customFormat="false" ht="15" hidden="false" customHeight="false" outlineLevel="0" collapsed="false">
      <c r="B6734" s="7" t="s">
        <v>7231</v>
      </c>
      <c r="C6734" s="39" t="n">
        <v>45968</v>
      </c>
      <c r="D6734" s="7" t="s">
        <v>301</v>
      </c>
      <c r="E6734" s="7" t="s">
        <v>157</v>
      </c>
      <c r="F6734" s="7" t="s">
        <v>209</v>
      </c>
      <c r="G6734" s="7" t="s">
        <v>502</v>
      </c>
      <c r="H6734" s="6" t="n">
        <v>0.91</v>
      </c>
      <c r="I6734" s="6" t="n">
        <v>0</v>
      </c>
      <c r="J6734" s="40" t="n">
        <f aca="false">H6734-I6734</f>
        <v>0.91</v>
      </c>
      <c r="K6734" s="41" t="n">
        <v>165</v>
      </c>
      <c r="L6734" s="42" t="n">
        <f aca="false">J6734*K6734</f>
        <v>150.15</v>
      </c>
      <c r="M6734" s="43" t="n">
        <f aca="false">H6734*73.58*(1+'Chart of Accounts'!$E$67)</f>
        <v>76.666681</v>
      </c>
    </row>
    <row r="6735" customFormat="false" ht="15" hidden="false" customHeight="false" outlineLevel="0" collapsed="false">
      <c r="B6735" s="7" t="s">
        <v>7232</v>
      </c>
      <c r="C6735" s="39" t="n">
        <v>45968</v>
      </c>
      <c r="D6735" s="7" t="s">
        <v>305</v>
      </c>
      <c r="E6735" s="7" t="s">
        <v>154</v>
      </c>
      <c r="F6735" s="7" t="s">
        <v>205</v>
      </c>
      <c r="G6735" s="7" t="s">
        <v>505</v>
      </c>
      <c r="H6735" s="6" t="n">
        <v>3.62</v>
      </c>
      <c r="I6735" s="6" t="n">
        <v>0</v>
      </c>
      <c r="J6735" s="40" t="n">
        <f aca="false">H6735-I6735</f>
        <v>3.62</v>
      </c>
      <c r="K6735" s="41" t="n">
        <v>26.5</v>
      </c>
      <c r="L6735" s="42" t="n">
        <f aca="false">J6735*K6735</f>
        <v>95.93</v>
      </c>
      <c r="M6735" s="43" t="n">
        <f aca="false">H6735*16.36*(1+'Chart of Accounts'!$E$67)</f>
        <v>67.810564</v>
      </c>
    </row>
    <row r="6736" customFormat="false" ht="15" hidden="false" customHeight="false" outlineLevel="0" collapsed="false">
      <c r="B6736" s="7" t="s">
        <v>7233</v>
      </c>
      <c r="C6736" s="39" t="n">
        <v>45968</v>
      </c>
      <c r="D6736" s="7" t="s">
        <v>307</v>
      </c>
      <c r="E6736" s="7" t="s">
        <v>157</v>
      </c>
      <c r="F6736" s="7" t="s">
        <v>264</v>
      </c>
      <c r="G6736" s="7" t="s">
        <v>502</v>
      </c>
      <c r="H6736" s="6" t="n">
        <v>0.96</v>
      </c>
      <c r="I6736" s="6" t="n">
        <v>0</v>
      </c>
      <c r="J6736" s="40" t="n">
        <f aca="false">H6736-I6736</f>
        <v>0.96</v>
      </c>
      <c r="K6736" s="41" t="n">
        <v>165</v>
      </c>
      <c r="L6736" s="42" t="n">
        <f aca="false">J6736*K6736</f>
        <v>158.4</v>
      </c>
      <c r="M6736" s="43" t="n">
        <f aca="false">H6736*55.55*(1+'Chart of Accounts'!$E$67)</f>
        <v>61.06056</v>
      </c>
    </row>
    <row r="6737" customFormat="false" ht="15" hidden="false" customHeight="false" outlineLevel="0" collapsed="false">
      <c r="B6737" s="7" t="s">
        <v>7234</v>
      </c>
      <c r="C6737" s="39" t="n">
        <v>45968</v>
      </c>
      <c r="D6737" s="7" t="s">
        <v>309</v>
      </c>
      <c r="E6737" s="7" t="s">
        <v>159</v>
      </c>
      <c r="F6737" s="7" t="s">
        <v>252</v>
      </c>
      <c r="G6737" s="7" t="s">
        <v>502</v>
      </c>
      <c r="H6737" s="6" t="n">
        <v>0.94</v>
      </c>
      <c r="I6737" s="6" t="n">
        <v>0</v>
      </c>
      <c r="J6737" s="40" t="n">
        <f aca="false">H6737-I6737</f>
        <v>0.94</v>
      </c>
      <c r="K6737" s="41" t="n">
        <v>135</v>
      </c>
      <c r="L6737" s="42" t="n">
        <f aca="false">J6737*K6737</f>
        <v>126.9</v>
      </c>
      <c r="M6737" s="43" t="n">
        <f aca="false">H6737*57.54*(1+'Chart of Accounts'!$E$67)</f>
        <v>61.930302</v>
      </c>
    </row>
    <row r="6738" customFormat="false" ht="15" hidden="false" customHeight="false" outlineLevel="0" collapsed="false">
      <c r="B6738" s="7" t="s">
        <v>7235</v>
      </c>
      <c r="C6738" s="39" t="n">
        <v>45968</v>
      </c>
      <c r="D6738" s="7" t="s">
        <v>313</v>
      </c>
      <c r="E6738" s="7" t="s">
        <v>156</v>
      </c>
      <c r="F6738" s="7" t="s">
        <v>184</v>
      </c>
      <c r="G6738" s="7" t="s">
        <v>505</v>
      </c>
      <c r="H6738" s="6" t="n">
        <v>4.18</v>
      </c>
      <c r="I6738" s="6" t="n">
        <v>0</v>
      </c>
      <c r="J6738" s="40" t="n">
        <f aca="false">H6738-I6738</f>
        <v>4.18</v>
      </c>
      <c r="K6738" s="41" t="n">
        <v>34</v>
      </c>
      <c r="L6738" s="42" t="n">
        <f aca="false">J6738*K6738</f>
        <v>142.12</v>
      </c>
      <c r="M6738" s="43" t="n">
        <f aca="false">H6738*17.34*(1+'Chart of Accounts'!$E$67)</f>
        <v>82.990974</v>
      </c>
    </row>
    <row r="6739" customFormat="false" ht="15" hidden="false" customHeight="false" outlineLevel="0" collapsed="false">
      <c r="B6739" s="7" t="s">
        <v>7236</v>
      </c>
      <c r="C6739" s="39" t="n">
        <v>45968</v>
      </c>
      <c r="D6739" s="7" t="s">
        <v>315</v>
      </c>
      <c r="E6739" s="7" t="s">
        <v>159</v>
      </c>
      <c r="F6739" s="7" t="s">
        <v>216</v>
      </c>
      <c r="G6739" s="7" t="s">
        <v>502</v>
      </c>
      <c r="H6739" s="6" t="n">
        <v>0.99</v>
      </c>
      <c r="I6739" s="6" t="n">
        <v>0</v>
      </c>
      <c r="J6739" s="40" t="n">
        <f aca="false">H6739-I6739</f>
        <v>0.99</v>
      </c>
      <c r="K6739" s="41" t="n">
        <v>135</v>
      </c>
      <c r="L6739" s="42" t="n">
        <f aca="false">J6739*K6739</f>
        <v>133.65</v>
      </c>
      <c r="M6739" s="43" t="n">
        <f aca="false">H6739*61.79*(1+'Chart of Accounts'!$E$67)</f>
        <v>70.0420545</v>
      </c>
    </row>
    <row r="6740" customFormat="false" ht="15" hidden="false" customHeight="false" outlineLevel="0" collapsed="false">
      <c r="B6740" s="7" t="s">
        <v>7237</v>
      </c>
      <c r="C6740" s="39" t="n">
        <v>45968</v>
      </c>
      <c r="D6740" s="7" t="s">
        <v>319</v>
      </c>
      <c r="E6740" s="7" t="s">
        <v>157</v>
      </c>
      <c r="F6740" s="7" t="s">
        <v>234</v>
      </c>
      <c r="G6740" s="7" t="s">
        <v>502</v>
      </c>
      <c r="H6740" s="6" t="n">
        <v>0.92</v>
      </c>
      <c r="I6740" s="6" t="n">
        <v>0</v>
      </c>
      <c r="J6740" s="40" t="n">
        <f aca="false">H6740-I6740</f>
        <v>0.92</v>
      </c>
      <c r="K6740" s="41" t="n">
        <v>165</v>
      </c>
      <c r="L6740" s="42" t="n">
        <f aca="false">J6740*K6740</f>
        <v>151.8</v>
      </c>
      <c r="M6740" s="43" t="n">
        <f aca="false">H6740*89.53*(1+'Chart of Accounts'!$E$67)</f>
        <v>94.310902</v>
      </c>
    </row>
    <row r="6741" customFormat="false" ht="15" hidden="false" customHeight="false" outlineLevel="0" collapsed="false">
      <c r="B6741" s="7" t="s">
        <v>7238</v>
      </c>
      <c r="C6741" s="39" t="n">
        <v>45968</v>
      </c>
      <c r="D6741" s="7" t="s">
        <v>321</v>
      </c>
      <c r="E6741" s="7" t="s">
        <v>154</v>
      </c>
      <c r="F6741" s="7" t="s">
        <v>218</v>
      </c>
      <c r="G6741" s="7" t="s">
        <v>505</v>
      </c>
      <c r="H6741" s="6" t="n">
        <v>4.37</v>
      </c>
      <c r="I6741" s="6" t="n">
        <v>0</v>
      </c>
      <c r="J6741" s="40" t="n">
        <f aca="false">H6741-I6741</f>
        <v>4.37</v>
      </c>
      <c r="K6741" s="41" t="n">
        <v>26.5</v>
      </c>
      <c r="L6741" s="42" t="n">
        <f aca="false">J6741*K6741</f>
        <v>115.805</v>
      </c>
      <c r="M6741" s="43" t="n">
        <f aca="false">H6741*16.19*(1+'Chart of Accounts'!$E$67)</f>
        <v>81.0090935</v>
      </c>
    </row>
    <row r="6742" customFormat="false" ht="15" hidden="false" customHeight="false" outlineLevel="0" collapsed="false">
      <c r="B6742" s="7" t="s">
        <v>7239</v>
      </c>
      <c r="C6742" s="39" t="n">
        <v>45968</v>
      </c>
      <c r="D6742" s="7" t="s">
        <v>323</v>
      </c>
      <c r="E6742" s="7" t="s">
        <v>159</v>
      </c>
      <c r="F6742" s="7" t="s">
        <v>234</v>
      </c>
      <c r="G6742" s="7" t="s">
        <v>502</v>
      </c>
      <c r="H6742" s="6" t="n">
        <v>0.96</v>
      </c>
      <c r="I6742" s="6" t="n">
        <v>0.067</v>
      </c>
      <c r="J6742" s="40" t="n">
        <f aca="false">H6742-I6742</f>
        <v>0.893</v>
      </c>
      <c r="K6742" s="41" t="n">
        <v>135</v>
      </c>
      <c r="L6742" s="42" t="n">
        <f aca="false">J6742*K6742</f>
        <v>120.555</v>
      </c>
      <c r="M6742" s="43" t="n">
        <f aca="false">H6742*89.53*(1+'Chart of Accounts'!$E$67)</f>
        <v>98.411376</v>
      </c>
    </row>
    <row r="6743" customFormat="false" ht="15" hidden="false" customHeight="false" outlineLevel="0" collapsed="false">
      <c r="B6743" s="7" t="s">
        <v>7240</v>
      </c>
      <c r="C6743" s="39" t="n">
        <v>45968</v>
      </c>
      <c r="D6743" s="7" t="s">
        <v>327</v>
      </c>
      <c r="E6743" s="7" t="s">
        <v>157</v>
      </c>
      <c r="F6743" s="7" t="s">
        <v>228</v>
      </c>
      <c r="G6743" s="7" t="s">
        <v>502</v>
      </c>
      <c r="H6743" s="6" t="n">
        <v>1.01</v>
      </c>
      <c r="I6743" s="6" t="n">
        <v>0</v>
      </c>
      <c r="J6743" s="40" t="n">
        <f aca="false">H6743-I6743</f>
        <v>1.01</v>
      </c>
      <c r="K6743" s="41" t="n">
        <v>165</v>
      </c>
      <c r="L6743" s="42" t="n">
        <f aca="false">J6743*K6743</f>
        <v>166.65</v>
      </c>
      <c r="M6743" s="43" t="n">
        <f aca="false">H6743*51.07*(1+'Chart of Accounts'!$E$67)</f>
        <v>59.0599015</v>
      </c>
    </row>
    <row r="6744" customFormat="false" ht="15" hidden="false" customHeight="false" outlineLevel="0" collapsed="false">
      <c r="B6744" s="7" t="s">
        <v>7241</v>
      </c>
      <c r="C6744" s="39" t="n">
        <v>45968</v>
      </c>
      <c r="D6744" s="7" t="s">
        <v>329</v>
      </c>
      <c r="E6744" s="7" t="s">
        <v>156</v>
      </c>
      <c r="F6744" s="7" t="s">
        <v>220</v>
      </c>
      <c r="G6744" s="7" t="s">
        <v>505</v>
      </c>
      <c r="H6744" s="6" t="n">
        <v>3.63</v>
      </c>
      <c r="I6744" s="6" t="n">
        <v>0</v>
      </c>
      <c r="J6744" s="40" t="n">
        <f aca="false">H6744-I6744</f>
        <v>3.63</v>
      </c>
      <c r="K6744" s="41" t="n">
        <v>34</v>
      </c>
      <c r="L6744" s="42" t="n">
        <f aca="false">J6744*K6744</f>
        <v>123.42</v>
      </c>
      <c r="M6744" s="43" t="n">
        <f aca="false">H6744*16.43*(1+'Chart of Accounts'!$E$67)</f>
        <v>68.2888305</v>
      </c>
    </row>
    <row r="6745" customFormat="false" ht="15" hidden="false" customHeight="false" outlineLevel="0" collapsed="false">
      <c r="B6745" s="7" t="s">
        <v>7242</v>
      </c>
      <c r="C6745" s="39" t="n">
        <v>45968</v>
      </c>
      <c r="D6745" s="7" t="s">
        <v>333</v>
      </c>
      <c r="E6745" s="7" t="s">
        <v>154</v>
      </c>
      <c r="F6745" s="7" t="s">
        <v>236</v>
      </c>
      <c r="G6745" s="7" t="s">
        <v>505</v>
      </c>
      <c r="H6745" s="6" t="n">
        <v>3.34</v>
      </c>
      <c r="I6745" s="6" t="n">
        <v>0</v>
      </c>
      <c r="J6745" s="40" t="n">
        <f aca="false">H6745-I6745</f>
        <v>3.34</v>
      </c>
      <c r="K6745" s="41" t="n">
        <v>26.5</v>
      </c>
      <c r="L6745" s="42" t="n">
        <f aca="false">J6745*K6745</f>
        <v>88.51</v>
      </c>
      <c r="M6745" s="43" t="n">
        <f aca="false">H6745*15.49*(1+'Chart of Accounts'!$E$67)</f>
        <v>59.238407</v>
      </c>
    </row>
    <row r="6746" customFormat="false" ht="15" hidden="false" customHeight="false" outlineLevel="0" collapsed="false">
      <c r="B6746" s="7" t="s">
        <v>7243</v>
      </c>
      <c r="C6746" s="39" t="n">
        <v>45968</v>
      </c>
      <c r="D6746" s="7" t="s">
        <v>335</v>
      </c>
      <c r="E6746" s="7" t="s">
        <v>154</v>
      </c>
      <c r="F6746" s="7" t="s">
        <v>177</v>
      </c>
      <c r="G6746" s="7" t="s">
        <v>505</v>
      </c>
      <c r="H6746" s="6" t="n">
        <v>3.67</v>
      </c>
      <c r="I6746" s="6" t="n">
        <v>0</v>
      </c>
      <c r="J6746" s="40" t="n">
        <f aca="false">H6746-I6746</f>
        <v>3.67</v>
      </c>
      <c r="K6746" s="41" t="n">
        <v>26.5</v>
      </c>
      <c r="L6746" s="42" t="n">
        <f aca="false">J6746*K6746</f>
        <v>97.255</v>
      </c>
      <c r="M6746" s="43" t="n">
        <f aca="false">H6746*14.56*(1+'Chart of Accounts'!$E$67)</f>
        <v>61.183304</v>
      </c>
    </row>
    <row r="6747" customFormat="false" ht="15" hidden="false" customHeight="false" outlineLevel="0" collapsed="false">
      <c r="B6747" s="7" t="s">
        <v>7244</v>
      </c>
      <c r="C6747" s="39" t="n">
        <v>45968</v>
      </c>
      <c r="D6747" s="7" t="s">
        <v>339</v>
      </c>
      <c r="E6747" s="7" t="s">
        <v>154</v>
      </c>
      <c r="F6747" s="7" t="s">
        <v>242</v>
      </c>
      <c r="G6747" s="7" t="s">
        <v>505</v>
      </c>
      <c r="H6747" s="6" t="n">
        <v>3.53</v>
      </c>
      <c r="I6747" s="6" t="n">
        <v>0.106</v>
      </c>
      <c r="J6747" s="40" t="n">
        <f aca="false">H6747-I6747</f>
        <v>3.424</v>
      </c>
      <c r="K6747" s="41" t="n">
        <v>26.5</v>
      </c>
      <c r="L6747" s="42" t="n">
        <f aca="false">J6747*K6747</f>
        <v>90.736</v>
      </c>
      <c r="M6747" s="43" t="n">
        <f aca="false">H6747*17.99*(1+'Chart of Accounts'!$E$67)</f>
        <v>72.7128815</v>
      </c>
    </row>
    <row r="6748" customFormat="false" ht="15" hidden="false" customHeight="false" outlineLevel="0" collapsed="false">
      <c r="B6748" s="7" t="s">
        <v>7245</v>
      </c>
      <c r="C6748" s="39" t="n">
        <v>45968</v>
      </c>
      <c r="D6748" s="7" t="s">
        <v>347</v>
      </c>
      <c r="E6748" s="7" t="s">
        <v>154</v>
      </c>
      <c r="F6748" s="7" t="s">
        <v>238</v>
      </c>
      <c r="G6748" s="7" t="s">
        <v>505</v>
      </c>
      <c r="H6748" s="6" t="n">
        <v>5.04</v>
      </c>
      <c r="I6748" s="6" t="n">
        <v>0</v>
      </c>
      <c r="J6748" s="40" t="n">
        <f aca="false">H6748-I6748</f>
        <v>5.04</v>
      </c>
      <c r="K6748" s="41" t="n">
        <v>26.5</v>
      </c>
      <c r="L6748" s="42" t="n">
        <f aca="false">J6748*K6748</f>
        <v>133.56</v>
      </c>
      <c r="M6748" s="43" t="n">
        <f aca="false">H6748*15.85*(1+'Chart of Accounts'!$E$67)</f>
        <v>91.46718</v>
      </c>
    </row>
    <row r="6749" customFormat="false" ht="15" hidden="false" customHeight="false" outlineLevel="0" collapsed="false">
      <c r="B6749" s="7" t="s">
        <v>7246</v>
      </c>
      <c r="C6749" s="39" t="n">
        <v>45968</v>
      </c>
      <c r="D6749" s="7" t="s">
        <v>349</v>
      </c>
      <c r="E6749" s="7" t="s">
        <v>154</v>
      </c>
      <c r="F6749" s="7" t="s">
        <v>244</v>
      </c>
      <c r="G6749" s="7" t="s">
        <v>505</v>
      </c>
      <c r="H6749" s="6" t="n">
        <v>4.29</v>
      </c>
      <c r="I6749" s="6" t="n">
        <v>0</v>
      </c>
      <c r="J6749" s="40" t="n">
        <f aca="false">H6749-I6749</f>
        <v>4.29</v>
      </c>
      <c r="K6749" s="41" t="n">
        <v>26.5</v>
      </c>
      <c r="L6749" s="42" t="n">
        <f aca="false">J6749*K6749</f>
        <v>113.685</v>
      </c>
      <c r="M6749" s="43" t="n">
        <f aca="false">H6749*16.39*(1+'Chart of Accounts'!$E$67)</f>
        <v>80.5084995</v>
      </c>
    </row>
    <row r="6750" customFormat="false" ht="15" hidden="false" customHeight="false" outlineLevel="0" collapsed="false">
      <c r="B6750" s="7" t="s">
        <v>7247</v>
      </c>
      <c r="C6750" s="39" t="n">
        <v>45968</v>
      </c>
      <c r="D6750" s="7" t="s">
        <v>353</v>
      </c>
      <c r="E6750" s="7" t="s">
        <v>154</v>
      </c>
      <c r="F6750" s="7" t="s">
        <v>254</v>
      </c>
      <c r="G6750" s="7" t="s">
        <v>505</v>
      </c>
      <c r="H6750" s="6" t="n">
        <v>3.34</v>
      </c>
      <c r="I6750" s="6" t="n">
        <v>0</v>
      </c>
      <c r="J6750" s="40" t="n">
        <f aca="false">H6750-I6750</f>
        <v>3.34</v>
      </c>
      <c r="K6750" s="41" t="n">
        <v>26.5</v>
      </c>
      <c r="L6750" s="42" t="n">
        <f aca="false">J6750*K6750</f>
        <v>88.51</v>
      </c>
      <c r="M6750" s="43" t="n">
        <f aca="false">H6750*17.1*(1+'Chart of Accounts'!$E$67)</f>
        <v>65.39553</v>
      </c>
    </row>
    <row r="6751" customFormat="false" ht="15" hidden="false" customHeight="false" outlineLevel="0" collapsed="false">
      <c r="B6751" s="7" t="s">
        <v>7248</v>
      </c>
      <c r="C6751" s="39" t="n">
        <v>45968</v>
      </c>
      <c r="D6751" s="7" t="s">
        <v>355</v>
      </c>
      <c r="E6751" s="7" t="s">
        <v>154</v>
      </c>
      <c r="F6751" s="7" t="s">
        <v>201</v>
      </c>
      <c r="G6751" s="7" t="s">
        <v>505</v>
      </c>
      <c r="H6751" s="6" t="n">
        <v>3.25</v>
      </c>
      <c r="I6751" s="6" t="n">
        <v>0</v>
      </c>
      <c r="J6751" s="40" t="n">
        <f aca="false">H6751-I6751</f>
        <v>3.25</v>
      </c>
      <c r="K6751" s="41" t="n">
        <v>26.5</v>
      </c>
      <c r="L6751" s="42" t="n">
        <f aca="false">J6751*K6751</f>
        <v>86.125</v>
      </c>
      <c r="M6751" s="43" t="n">
        <f aca="false">H6751*15.19*(1+'Chart of Accounts'!$E$67)</f>
        <v>56.5257875</v>
      </c>
    </row>
    <row r="6752" customFormat="false" ht="15" hidden="false" customHeight="false" outlineLevel="0" collapsed="false">
      <c r="B6752" s="7" t="s">
        <v>7249</v>
      </c>
      <c r="C6752" s="39" t="n">
        <v>45968</v>
      </c>
      <c r="D6752" s="7" t="s">
        <v>357</v>
      </c>
      <c r="E6752" s="7" t="s">
        <v>154</v>
      </c>
      <c r="F6752" s="7" t="s">
        <v>184</v>
      </c>
      <c r="G6752" s="7" t="s">
        <v>505</v>
      </c>
      <c r="H6752" s="6" t="n">
        <v>3.29</v>
      </c>
      <c r="I6752" s="6" t="n">
        <v>0</v>
      </c>
      <c r="J6752" s="40" t="n">
        <f aca="false">H6752-I6752</f>
        <v>3.29</v>
      </c>
      <c r="K6752" s="41" t="n">
        <v>26.5</v>
      </c>
      <c r="L6752" s="42" t="n">
        <f aca="false">J6752*K6752</f>
        <v>87.185</v>
      </c>
      <c r="M6752" s="43" t="n">
        <f aca="false">H6752*17.34*(1+'Chart of Accounts'!$E$67)</f>
        <v>65.320647</v>
      </c>
    </row>
    <row r="6753" customFormat="false" ht="15" hidden="false" customHeight="false" outlineLevel="0" collapsed="false">
      <c r="B6753" s="7" t="s">
        <v>7250</v>
      </c>
      <c r="C6753" s="39" t="n">
        <v>45968</v>
      </c>
      <c r="D6753" s="7" t="s">
        <v>359</v>
      </c>
      <c r="E6753" s="7" t="s">
        <v>156</v>
      </c>
      <c r="F6753" s="7" t="s">
        <v>232</v>
      </c>
      <c r="G6753" s="7" t="s">
        <v>505</v>
      </c>
      <c r="H6753" s="6" t="n">
        <v>3.92</v>
      </c>
      <c r="I6753" s="6" t="n">
        <v>0</v>
      </c>
      <c r="J6753" s="40" t="n">
        <f aca="false">H6753-I6753</f>
        <v>3.92</v>
      </c>
      <c r="K6753" s="41" t="n">
        <v>34</v>
      </c>
      <c r="L6753" s="42" t="n">
        <f aca="false">J6753*K6753</f>
        <v>133.28</v>
      </c>
      <c r="M6753" s="43" t="n">
        <f aca="false">H6753*16.17*(1+'Chart of Accounts'!$E$67)</f>
        <v>72.577428</v>
      </c>
    </row>
    <row r="6754" customFormat="false" ht="15" hidden="false" customHeight="false" outlineLevel="0" collapsed="false">
      <c r="B6754" s="7" t="s">
        <v>7251</v>
      </c>
      <c r="C6754" s="39" t="n">
        <v>45968</v>
      </c>
      <c r="D6754" s="7" t="s">
        <v>361</v>
      </c>
      <c r="E6754" s="7" t="s">
        <v>157</v>
      </c>
      <c r="F6754" s="7" t="s">
        <v>209</v>
      </c>
      <c r="G6754" s="7" t="s">
        <v>502</v>
      </c>
      <c r="H6754" s="6" t="n">
        <v>1.06</v>
      </c>
      <c r="I6754" s="6" t="n">
        <v>0</v>
      </c>
      <c r="J6754" s="40" t="n">
        <f aca="false">H6754-I6754</f>
        <v>1.06</v>
      </c>
      <c r="K6754" s="41" t="n">
        <v>165</v>
      </c>
      <c r="L6754" s="42" t="n">
        <f aca="false">J6754*K6754</f>
        <v>174.9</v>
      </c>
      <c r="M6754" s="43" t="n">
        <f aca="false">H6754*73.58*(1+'Chart of Accounts'!$E$67)</f>
        <v>89.304046</v>
      </c>
    </row>
    <row r="6755" customFormat="false" ht="15" hidden="false" customHeight="false" outlineLevel="0" collapsed="false">
      <c r="B6755" s="7" t="s">
        <v>7252</v>
      </c>
      <c r="C6755" s="39" t="n">
        <v>45968</v>
      </c>
      <c r="D6755" s="7" t="s">
        <v>365</v>
      </c>
      <c r="E6755" s="7" t="s">
        <v>154</v>
      </c>
      <c r="F6755" s="7" t="s">
        <v>194</v>
      </c>
      <c r="G6755" s="7" t="s">
        <v>505</v>
      </c>
      <c r="H6755" s="6" t="n">
        <v>4.24</v>
      </c>
      <c r="I6755" s="6" t="n">
        <v>0</v>
      </c>
      <c r="J6755" s="40" t="n">
        <f aca="false">H6755-I6755</f>
        <v>4.24</v>
      </c>
      <c r="K6755" s="41" t="n">
        <v>26.5</v>
      </c>
      <c r="L6755" s="42" t="n">
        <f aca="false">J6755*K6755</f>
        <v>112.36</v>
      </c>
      <c r="M6755" s="43" t="n">
        <f aca="false">H6755*16*(1+'Chart of Accounts'!$E$67)</f>
        <v>77.6768</v>
      </c>
    </row>
    <row r="6756" customFormat="false" ht="15" hidden="false" customHeight="false" outlineLevel="0" collapsed="false">
      <c r="B6756" s="7" t="s">
        <v>7253</v>
      </c>
      <c r="C6756" s="39" t="n">
        <v>45968</v>
      </c>
      <c r="D6756" s="7" t="s">
        <v>369</v>
      </c>
      <c r="E6756" s="7" t="s">
        <v>159</v>
      </c>
      <c r="F6756" s="7" t="s">
        <v>258</v>
      </c>
      <c r="G6756" s="7" t="s">
        <v>502</v>
      </c>
      <c r="H6756" s="6" t="n">
        <v>0.96</v>
      </c>
      <c r="I6756" s="6" t="n">
        <v>0</v>
      </c>
      <c r="J6756" s="40" t="n">
        <f aca="false">H6756-I6756</f>
        <v>0.96</v>
      </c>
      <c r="K6756" s="41" t="n">
        <v>135</v>
      </c>
      <c r="L6756" s="42" t="n">
        <f aca="false">J6756*K6756</f>
        <v>129.6</v>
      </c>
      <c r="M6756" s="43" t="n">
        <f aca="false">H6756*61.61*(1+'Chart of Accounts'!$E$67)</f>
        <v>67.721712</v>
      </c>
    </row>
    <row r="6757" customFormat="false" ht="15" hidden="false" customHeight="false" outlineLevel="0" collapsed="false">
      <c r="B6757" s="7" t="s">
        <v>7254</v>
      </c>
      <c r="C6757" s="39" t="n">
        <v>45968</v>
      </c>
      <c r="D6757" s="7" t="s">
        <v>371</v>
      </c>
      <c r="E6757" s="7" t="s">
        <v>154</v>
      </c>
      <c r="F6757" s="7" t="s">
        <v>232</v>
      </c>
      <c r="G6757" s="7" t="s">
        <v>505</v>
      </c>
      <c r="H6757" s="6" t="n">
        <v>4.65</v>
      </c>
      <c r="I6757" s="6" t="n">
        <v>0.14</v>
      </c>
      <c r="J6757" s="40" t="n">
        <f aca="false">H6757-I6757</f>
        <v>4.51</v>
      </c>
      <c r="K6757" s="41" t="n">
        <v>26.5</v>
      </c>
      <c r="L6757" s="42" t="n">
        <f aca="false">J6757*K6757</f>
        <v>119.515</v>
      </c>
      <c r="M6757" s="43" t="n">
        <f aca="false">H6757*16.17*(1+'Chart of Accounts'!$E$67)</f>
        <v>86.0931225</v>
      </c>
    </row>
    <row r="6758" customFormat="false" ht="15" hidden="false" customHeight="false" outlineLevel="0" collapsed="false">
      <c r="B6758" s="7" t="s">
        <v>7255</v>
      </c>
      <c r="C6758" s="39" t="n">
        <v>45968</v>
      </c>
      <c r="D6758" s="7" t="s">
        <v>379</v>
      </c>
      <c r="E6758" s="7" t="s">
        <v>156</v>
      </c>
      <c r="F6758" s="7" t="s">
        <v>224</v>
      </c>
      <c r="G6758" s="7" t="s">
        <v>505</v>
      </c>
      <c r="H6758" s="6" t="n">
        <v>5.06</v>
      </c>
      <c r="I6758" s="6" t="n">
        <v>0</v>
      </c>
      <c r="J6758" s="40" t="n">
        <f aca="false">H6758-I6758</f>
        <v>5.06</v>
      </c>
      <c r="K6758" s="41" t="n">
        <v>34</v>
      </c>
      <c r="L6758" s="42" t="n">
        <f aca="false">J6758*K6758</f>
        <v>172.04</v>
      </c>
      <c r="M6758" s="43" t="n">
        <f aca="false">H6758*14.93*(1+'Chart of Accounts'!$E$67)</f>
        <v>86.499941</v>
      </c>
    </row>
    <row r="6759" customFormat="false" ht="15" hidden="false" customHeight="false" outlineLevel="0" collapsed="false">
      <c r="B6759" s="7" t="s">
        <v>7256</v>
      </c>
      <c r="C6759" s="39" t="n">
        <v>45968</v>
      </c>
      <c r="D6759" s="7" t="s">
        <v>381</v>
      </c>
      <c r="E6759" s="7" t="s">
        <v>157</v>
      </c>
      <c r="F6759" s="7" t="s">
        <v>234</v>
      </c>
      <c r="G6759" s="7" t="s">
        <v>502</v>
      </c>
      <c r="H6759" s="6" t="n">
        <v>1.01</v>
      </c>
      <c r="I6759" s="6" t="n">
        <v>0</v>
      </c>
      <c r="J6759" s="40" t="n">
        <f aca="false">H6759-I6759</f>
        <v>1.01</v>
      </c>
      <c r="K6759" s="41" t="n">
        <v>165</v>
      </c>
      <c r="L6759" s="42" t="n">
        <f aca="false">J6759*K6759</f>
        <v>166.65</v>
      </c>
      <c r="M6759" s="43" t="n">
        <f aca="false">H6759*89.53*(1+'Chart of Accounts'!$E$67)</f>
        <v>103.5369685</v>
      </c>
    </row>
    <row r="6760" customFormat="false" ht="15" hidden="false" customHeight="false" outlineLevel="0" collapsed="false">
      <c r="B6760" s="7" t="s">
        <v>7257</v>
      </c>
      <c r="C6760" s="39" t="n">
        <v>45968</v>
      </c>
      <c r="D6760" s="7" t="s">
        <v>383</v>
      </c>
      <c r="E6760" s="7" t="s">
        <v>157</v>
      </c>
      <c r="F6760" s="7" t="s">
        <v>230</v>
      </c>
      <c r="G6760" s="7" t="s">
        <v>502</v>
      </c>
      <c r="H6760" s="6" t="n">
        <v>1.01</v>
      </c>
      <c r="I6760" s="6" t="n">
        <v>0</v>
      </c>
      <c r="J6760" s="40" t="n">
        <f aca="false">H6760-I6760</f>
        <v>1.01</v>
      </c>
      <c r="K6760" s="41" t="n">
        <v>165</v>
      </c>
      <c r="L6760" s="42" t="n">
        <f aca="false">J6760*K6760</f>
        <v>166.65</v>
      </c>
      <c r="M6760" s="43" t="n">
        <f aca="false">H6760*48.78*(1+'Chart of Accounts'!$E$67)</f>
        <v>56.411631</v>
      </c>
    </row>
    <row r="6761" customFormat="false" ht="15" hidden="false" customHeight="false" outlineLevel="0" collapsed="false">
      <c r="B6761" s="7" t="s">
        <v>7258</v>
      </c>
      <c r="C6761" s="39" t="n">
        <v>45968</v>
      </c>
      <c r="D6761" s="7" t="s">
        <v>385</v>
      </c>
      <c r="E6761" s="7" t="s">
        <v>156</v>
      </c>
      <c r="F6761" s="7" t="s">
        <v>238</v>
      </c>
      <c r="G6761" s="7" t="s">
        <v>505</v>
      </c>
      <c r="H6761" s="6" t="n">
        <v>4.23</v>
      </c>
      <c r="I6761" s="6" t="n">
        <v>0</v>
      </c>
      <c r="J6761" s="40" t="n">
        <f aca="false">H6761-I6761</f>
        <v>4.23</v>
      </c>
      <c r="K6761" s="41" t="n">
        <v>34</v>
      </c>
      <c r="L6761" s="42" t="n">
        <f aca="false">J6761*K6761</f>
        <v>143.82</v>
      </c>
      <c r="M6761" s="43" t="n">
        <f aca="false">H6761*15.85*(1+'Chart of Accounts'!$E$67)</f>
        <v>76.7670975</v>
      </c>
    </row>
    <row r="6762" customFormat="false" ht="15" hidden="false" customHeight="false" outlineLevel="0" collapsed="false">
      <c r="B6762" s="7" t="s">
        <v>7259</v>
      </c>
      <c r="C6762" s="39" t="n">
        <v>45968</v>
      </c>
      <c r="D6762" s="7" t="s">
        <v>387</v>
      </c>
      <c r="E6762" s="7" t="s">
        <v>154</v>
      </c>
      <c r="F6762" s="7" t="s">
        <v>196</v>
      </c>
      <c r="G6762" s="7" t="s">
        <v>505</v>
      </c>
      <c r="H6762" s="6" t="n">
        <v>4</v>
      </c>
      <c r="I6762" s="6" t="n">
        <v>0</v>
      </c>
      <c r="J6762" s="40" t="n">
        <f aca="false">H6762-I6762</f>
        <v>4</v>
      </c>
      <c r="K6762" s="41" t="n">
        <v>26.5</v>
      </c>
      <c r="L6762" s="42" t="n">
        <f aca="false">J6762*K6762</f>
        <v>106</v>
      </c>
      <c r="M6762" s="43" t="n">
        <f aca="false">H6762*15.05*(1+'Chart of Accounts'!$E$67)</f>
        <v>68.929</v>
      </c>
    </row>
    <row r="6763" customFormat="false" ht="15" hidden="false" customHeight="false" outlineLevel="0" collapsed="false">
      <c r="B6763" s="7" t="s">
        <v>7260</v>
      </c>
      <c r="C6763" s="39" t="n">
        <v>45968</v>
      </c>
      <c r="D6763" s="7" t="s">
        <v>389</v>
      </c>
      <c r="E6763" s="7" t="s">
        <v>154</v>
      </c>
      <c r="F6763" s="7" t="s">
        <v>246</v>
      </c>
      <c r="G6763" s="7" t="s">
        <v>505</v>
      </c>
      <c r="H6763" s="6" t="n">
        <v>4.31</v>
      </c>
      <c r="I6763" s="6" t="n">
        <v>0.129</v>
      </c>
      <c r="J6763" s="40" t="n">
        <f aca="false">H6763-I6763</f>
        <v>4.181</v>
      </c>
      <c r="K6763" s="41" t="n">
        <v>26.5</v>
      </c>
      <c r="L6763" s="42" t="n">
        <f aca="false">J6763*K6763</f>
        <v>110.7965</v>
      </c>
      <c r="M6763" s="43" t="n">
        <f aca="false">H6763*16.48*(1+'Chart of Accounts'!$E$67)</f>
        <v>81.327976</v>
      </c>
    </row>
    <row r="6764" customFormat="false" ht="15" hidden="false" customHeight="false" outlineLevel="0" collapsed="false">
      <c r="B6764" s="7" t="s">
        <v>7261</v>
      </c>
      <c r="C6764" s="39" t="n">
        <v>45968</v>
      </c>
      <c r="D6764" s="7" t="s">
        <v>391</v>
      </c>
      <c r="E6764" s="7" t="s">
        <v>156</v>
      </c>
      <c r="F6764" s="7" t="s">
        <v>222</v>
      </c>
      <c r="G6764" s="7" t="s">
        <v>505</v>
      </c>
      <c r="H6764" s="6" t="n">
        <v>3.83</v>
      </c>
      <c r="I6764" s="6" t="n">
        <v>0</v>
      </c>
      <c r="J6764" s="40" t="n">
        <f aca="false">H6764-I6764</f>
        <v>3.83</v>
      </c>
      <c r="K6764" s="41" t="n">
        <v>34</v>
      </c>
      <c r="L6764" s="42" t="n">
        <f aca="false">J6764*K6764</f>
        <v>130.22</v>
      </c>
      <c r="M6764" s="43" t="n">
        <f aca="false">H6764*17.84*(1+'Chart of Accounts'!$E$67)</f>
        <v>78.234644</v>
      </c>
    </row>
    <row r="6765" customFormat="false" ht="15" hidden="false" customHeight="false" outlineLevel="0" collapsed="false">
      <c r="B6765" s="7" t="s">
        <v>7262</v>
      </c>
      <c r="C6765" s="39" t="n">
        <v>45968</v>
      </c>
      <c r="D6765" s="7" t="s">
        <v>395</v>
      </c>
      <c r="E6765" s="7" t="s">
        <v>156</v>
      </c>
      <c r="F6765" s="7" t="s">
        <v>242</v>
      </c>
      <c r="G6765" s="7" t="s">
        <v>505</v>
      </c>
      <c r="H6765" s="6" t="n">
        <v>3.71</v>
      </c>
      <c r="I6765" s="6" t="n">
        <v>0</v>
      </c>
      <c r="J6765" s="40" t="n">
        <f aca="false">H6765-I6765</f>
        <v>3.71</v>
      </c>
      <c r="K6765" s="41" t="n">
        <v>34</v>
      </c>
      <c r="L6765" s="42" t="n">
        <f aca="false">J6765*K6765</f>
        <v>126.14</v>
      </c>
      <c r="M6765" s="43" t="n">
        <f aca="false">H6765*17.99*(1+'Chart of Accounts'!$E$67)</f>
        <v>76.4206205</v>
      </c>
    </row>
    <row r="6766" customFormat="false" ht="15" hidden="false" customHeight="false" outlineLevel="0" collapsed="false">
      <c r="B6766" s="7" t="s">
        <v>7263</v>
      </c>
      <c r="C6766" s="39" t="n">
        <v>45968</v>
      </c>
      <c r="D6766" s="7" t="s">
        <v>397</v>
      </c>
      <c r="E6766" s="7" t="s">
        <v>159</v>
      </c>
      <c r="F6766" s="7" t="s">
        <v>203</v>
      </c>
      <c r="G6766" s="7" t="s">
        <v>502</v>
      </c>
      <c r="H6766" s="6" t="n">
        <v>0.96</v>
      </c>
      <c r="I6766" s="6" t="n">
        <v>0</v>
      </c>
      <c r="J6766" s="40" t="n">
        <f aca="false">H6766-I6766</f>
        <v>0.96</v>
      </c>
      <c r="K6766" s="41" t="n">
        <v>135</v>
      </c>
      <c r="L6766" s="42" t="n">
        <f aca="false">J6766*K6766</f>
        <v>129.6</v>
      </c>
      <c r="M6766" s="43" t="n">
        <f aca="false">H6766*49.43*(1+'Chart of Accounts'!$E$67)</f>
        <v>54.333456</v>
      </c>
    </row>
    <row r="6767" customFormat="false" ht="15" hidden="false" customHeight="false" outlineLevel="0" collapsed="false">
      <c r="B6767" s="7" t="s">
        <v>7264</v>
      </c>
      <c r="C6767" s="39" t="n">
        <v>45968</v>
      </c>
      <c r="D6767" s="7" t="s">
        <v>399</v>
      </c>
      <c r="E6767" s="7" t="s">
        <v>154</v>
      </c>
      <c r="F6767" s="7" t="s">
        <v>236</v>
      </c>
      <c r="G6767" s="7" t="s">
        <v>505</v>
      </c>
      <c r="H6767" s="6" t="n">
        <v>3.65</v>
      </c>
      <c r="I6767" s="6" t="n">
        <v>0.11</v>
      </c>
      <c r="J6767" s="40" t="n">
        <f aca="false">H6767-I6767</f>
        <v>3.54</v>
      </c>
      <c r="K6767" s="41" t="n">
        <v>26.5</v>
      </c>
      <c r="L6767" s="42" t="n">
        <f aca="false">J6767*K6767</f>
        <v>93.81</v>
      </c>
      <c r="M6767" s="43" t="n">
        <f aca="false">H6767*15.49*(1+'Chart of Accounts'!$E$67)</f>
        <v>64.7365825</v>
      </c>
    </row>
    <row r="6768" customFormat="false" ht="15" hidden="false" customHeight="false" outlineLevel="0" collapsed="false">
      <c r="B6768" s="7" t="s">
        <v>7265</v>
      </c>
      <c r="C6768" s="39" t="n">
        <v>45968</v>
      </c>
      <c r="D6768" s="7" t="s">
        <v>401</v>
      </c>
      <c r="E6768" s="7" t="s">
        <v>156</v>
      </c>
      <c r="F6768" s="7" t="s">
        <v>254</v>
      </c>
      <c r="G6768" s="7" t="s">
        <v>505</v>
      </c>
      <c r="H6768" s="6" t="n">
        <v>3.68</v>
      </c>
      <c r="I6768" s="6" t="n">
        <v>0</v>
      </c>
      <c r="J6768" s="40" t="n">
        <f aca="false">H6768-I6768</f>
        <v>3.68</v>
      </c>
      <c r="K6768" s="41" t="n">
        <v>34</v>
      </c>
      <c r="L6768" s="42" t="n">
        <f aca="false">J6768*K6768</f>
        <v>125.12</v>
      </c>
      <c r="M6768" s="43" t="n">
        <f aca="false">H6768*17.1*(1+'Chart of Accounts'!$E$67)</f>
        <v>72.05256</v>
      </c>
    </row>
    <row r="6769" customFormat="false" ht="15" hidden="false" customHeight="false" outlineLevel="0" collapsed="false">
      <c r="B6769" s="7" t="s">
        <v>7266</v>
      </c>
      <c r="C6769" s="39" t="n">
        <v>45968</v>
      </c>
      <c r="D6769" s="7" t="s">
        <v>403</v>
      </c>
      <c r="E6769" s="7" t="s">
        <v>156</v>
      </c>
      <c r="F6769" s="7" t="s">
        <v>184</v>
      </c>
      <c r="G6769" s="7" t="s">
        <v>505</v>
      </c>
      <c r="H6769" s="6" t="n">
        <v>4.35</v>
      </c>
      <c r="I6769" s="6" t="n">
        <v>0</v>
      </c>
      <c r="J6769" s="40" t="n">
        <f aca="false">H6769-I6769</f>
        <v>4.35</v>
      </c>
      <c r="K6769" s="41" t="n">
        <v>34</v>
      </c>
      <c r="L6769" s="42" t="n">
        <f aca="false">J6769*K6769</f>
        <v>147.9</v>
      </c>
      <c r="M6769" s="43" t="n">
        <f aca="false">H6769*17.34*(1+'Chart of Accounts'!$E$67)</f>
        <v>86.366205</v>
      </c>
    </row>
    <row r="6770" customFormat="false" ht="15" hidden="false" customHeight="false" outlineLevel="0" collapsed="false">
      <c r="B6770" s="7" t="s">
        <v>7267</v>
      </c>
      <c r="C6770" s="39" t="n">
        <v>45968</v>
      </c>
      <c r="D6770" s="7" t="s">
        <v>407</v>
      </c>
      <c r="E6770" s="7" t="s">
        <v>159</v>
      </c>
      <c r="F6770" s="7" t="s">
        <v>260</v>
      </c>
      <c r="G6770" s="7" t="s">
        <v>502</v>
      </c>
      <c r="H6770" s="6" t="n">
        <v>1.03</v>
      </c>
      <c r="I6770" s="6" t="n">
        <v>0</v>
      </c>
      <c r="J6770" s="40" t="n">
        <f aca="false">H6770-I6770</f>
        <v>1.03</v>
      </c>
      <c r="K6770" s="41" t="n">
        <v>135</v>
      </c>
      <c r="L6770" s="42" t="n">
        <f aca="false">J6770*K6770</f>
        <v>139.05</v>
      </c>
      <c r="M6770" s="43" t="n">
        <f aca="false">H6770*79.8*(1+'Chart of Accounts'!$E$67)</f>
        <v>94.11213</v>
      </c>
    </row>
    <row r="6771" customFormat="false" ht="15" hidden="false" customHeight="false" outlineLevel="0" collapsed="false">
      <c r="B6771" s="7" t="s">
        <v>7268</v>
      </c>
      <c r="C6771" s="39" t="n">
        <v>45968</v>
      </c>
      <c r="D6771" s="7" t="s">
        <v>409</v>
      </c>
      <c r="E6771" s="7" t="s">
        <v>154</v>
      </c>
      <c r="F6771" s="7" t="s">
        <v>214</v>
      </c>
      <c r="G6771" s="7" t="s">
        <v>505</v>
      </c>
      <c r="H6771" s="6" t="n">
        <v>3.19</v>
      </c>
      <c r="I6771" s="6" t="n">
        <v>0</v>
      </c>
      <c r="J6771" s="40" t="n">
        <f aca="false">H6771-I6771</f>
        <v>3.19</v>
      </c>
      <c r="K6771" s="41" t="n">
        <v>26.5</v>
      </c>
      <c r="L6771" s="42" t="n">
        <f aca="false">J6771*K6771</f>
        <v>84.535</v>
      </c>
      <c r="M6771" s="43" t="n">
        <f aca="false">H6771*15.67*(1+'Chart of Accounts'!$E$67)</f>
        <v>57.2354585</v>
      </c>
    </row>
    <row r="6772" customFormat="false" ht="15" hidden="false" customHeight="false" outlineLevel="0" collapsed="false">
      <c r="B6772" s="7" t="s">
        <v>7269</v>
      </c>
      <c r="C6772" s="39" t="n">
        <v>45968</v>
      </c>
      <c r="D6772" s="7" t="s">
        <v>411</v>
      </c>
      <c r="E6772" s="7" t="s">
        <v>154</v>
      </c>
      <c r="F6772" s="7" t="s">
        <v>177</v>
      </c>
      <c r="G6772" s="7" t="s">
        <v>505</v>
      </c>
      <c r="H6772" s="6" t="n">
        <v>4.22</v>
      </c>
      <c r="I6772" s="6" t="n">
        <v>0</v>
      </c>
      <c r="J6772" s="40" t="n">
        <f aca="false">H6772-I6772</f>
        <v>4.22</v>
      </c>
      <c r="K6772" s="41" t="n">
        <v>26.5</v>
      </c>
      <c r="L6772" s="42" t="n">
        <f aca="false">J6772*K6772</f>
        <v>111.83</v>
      </c>
      <c r="M6772" s="43" t="n">
        <f aca="false">H6772*14.56*(1+'Chart of Accounts'!$E$67)</f>
        <v>70.352464</v>
      </c>
    </row>
    <row r="6773" customFormat="false" ht="15" hidden="false" customHeight="false" outlineLevel="0" collapsed="false">
      <c r="B6773" s="7" t="s">
        <v>7270</v>
      </c>
      <c r="C6773" s="39" t="n">
        <v>45969</v>
      </c>
      <c r="D6773" s="7" t="s">
        <v>288</v>
      </c>
      <c r="E6773" s="7" t="s">
        <v>156</v>
      </c>
      <c r="F6773" s="7" t="s">
        <v>205</v>
      </c>
      <c r="G6773" s="7" t="s">
        <v>505</v>
      </c>
      <c r="H6773" s="6" t="n">
        <v>3.96</v>
      </c>
      <c r="I6773" s="6" t="n">
        <v>0</v>
      </c>
      <c r="J6773" s="40" t="n">
        <f aca="false">H6773-I6773</f>
        <v>3.96</v>
      </c>
      <c r="K6773" s="41" t="n">
        <v>34</v>
      </c>
      <c r="L6773" s="42" t="n">
        <f aca="false">J6773*K6773</f>
        <v>134.64</v>
      </c>
      <c r="M6773" s="43" t="n">
        <f aca="false">H6773*16.36*(1+'Chart of Accounts'!$E$67)</f>
        <v>74.179512</v>
      </c>
    </row>
    <row r="6774" customFormat="false" ht="15" hidden="false" customHeight="false" outlineLevel="0" collapsed="false">
      <c r="B6774" s="7" t="s">
        <v>7271</v>
      </c>
      <c r="C6774" s="39" t="n">
        <v>45969</v>
      </c>
      <c r="D6774" s="7" t="s">
        <v>321</v>
      </c>
      <c r="E6774" s="7" t="s">
        <v>154</v>
      </c>
      <c r="F6774" s="7" t="s">
        <v>218</v>
      </c>
      <c r="G6774" s="7" t="s">
        <v>505</v>
      </c>
      <c r="H6774" s="6" t="n">
        <v>3.75</v>
      </c>
      <c r="I6774" s="6" t="n">
        <v>0</v>
      </c>
      <c r="J6774" s="40" t="n">
        <f aca="false">H6774-I6774</f>
        <v>3.75</v>
      </c>
      <c r="K6774" s="41" t="n">
        <v>26.5</v>
      </c>
      <c r="L6774" s="42" t="n">
        <f aca="false">J6774*K6774</f>
        <v>99.375</v>
      </c>
      <c r="M6774" s="43" t="n">
        <f aca="false">H6774*16.19*(1+'Chart of Accounts'!$E$67)</f>
        <v>69.5158125</v>
      </c>
    </row>
    <row r="6775" customFormat="false" ht="15" hidden="false" customHeight="false" outlineLevel="0" collapsed="false">
      <c r="B6775" s="7" t="s">
        <v>7272</v>
      </c>
      <c r="C6775" s="39" t="n">
        <v>45969</v>
      </c>
      <c r="D6775" s="7" t="s">
        <v>359</v>
      </c>
      <c r="E6775" s="7" t="s">
        <v>156</v>
      </c>
      <c r="F6775" s="7" t="s">
        <v>222</v>
      </c>
      <c r="G6775" s="7" t="s">
        <v>505</v>
      </c>
      <c r="H6775" s="6" t="n">
        <v>4.33</v>
      </c>
      <c r="I6775" s="6" t="n">
        <v>0</v>
      </c>
      <c r="J6775" s="40" t="n">
        <f aca="false">H6775-I6775</f>
        <v>4.33</v>
      </c>
      <c r="K6775" s="41" t="n">
        <v>34</v>
      </c>
      <c r="L6775" s="42" t="n">
        <f aca="false">J6775*K6775</f>
        <v>147.22</v>
      </c>
      <c r="M6775" s="43" t="n">
        <f aca="false">H6775*17.84*(1+'Chart of Accounts'!$E$67)</f>
        <v>88.448044</v>
      </c>
    </row>
    <row r="6776" customFormat="false" ht="15" hidden="false" customHeight="false" outlineLevel="0" collapsed="false">
      <c r="B6776" s="7" t="s">
        <v>7273</v>
      </c>
      <c r="C6776" s="39" t="n">
        <v>45969</v>
      </c>
      <c r="D6776" s="7" t="s">
        <v>387</v>
      </c>
      <c r="E6776" s="7" t="s">
        <v>154</v>
      </c>
      <c r="F6776" s="7" t="s">
        <v>196</v>
      </c>
      <c r="G6776" s="7" t="s">
        <v>505</v>
      </c>
      <c r="H6776" s="6" t="n">
        <v>4.31</v>
      </c>
      <c r="I6776" s="6" t="n">
        <v>0</v>
      </c>
      <c r="J6776" s="40" t="n">
        <f aca="false">H6776-I6776</f>
        <v>4.31</v>
      </c>
      <c r="K6776" s="41" t="n">
        <v>26.5</v>
      </c>
      <c r="L6776" s="42" t="n">
        <f aca="false">J6776*K6776</f>
        <v>114.215</v>
      </c>
      <c r="M6776" s="43" t="n">
        <f aca="false">H6776*15.05*(1+'Chart of Accounts'!$E$67)</f>
        <v>74.2709975</v>
      </c>
    </row>
    <row r="6777" customFormat="false" ht="15" hidden="false" customHeight="false" outlineLevel="0" collapsed="false">
      <c r="B6777" s="7" t="s">
        <v>7274</v>
      </c>
      <c r="C6777" s="39" t="n">
        <v>45969</v>
      </c>
      <c r="D6777" s="7" t="s">
        <v>391</v>
      </c>
      <c r="E6777" s="7" t="s">
        <v>156</v>
      </c>
      <c r="F6777" s="7" t="s">
        <v>222</v>
      </c>
      <c r="G6777" s="7" t="s">
        <v>505</v>
      </c>
      <c r="H6777" s="6" t="n">
        <v>4.17</v>
      </c>
      <c r="I6777" s="6" t="n">
        <v>0</v>
      </c>
      <c r="J6777" s="40" t="n">
        <f aca="false">H6777-I6777</f>
        <v>4.17</v>
      </c>
      <c r="K6777" s="41" t="n">
        <v>34</v>
      </c>
      <c r="L6777" s="42" t="n">
        <f aca="false">J6777*K6777</f>
        <v>141.78</v>
      </c>
      <c r="M6777" s="43" t="n">
        <f aca="false">H6777*17.84*(1+'Chart of Accounts'!$E$67)</f>
        <v>85.179756</v>
      </c>
    </row>
    <row r="6778" customFormat="false" ht="15" hidden="false" customHeight="false" outlineLevel="0" collapsed="false">
      <c r="B6778" s="7" t="s">
        <v>7275</v>
      </c>
      <c r="C6778" s="39" t="n">
        <v>45969</v>
      </c>
      <c r="D6778" s="7" t="s">
        <v>395</v>
      </c>
      <c r="E6778" s="7" t="s">
        <v>156</v>
      </c>
      <c r="F6778" s="7" t="s">
        <v>242</v>
      </c>
      <c r="G6778" s="7" t="s">
        <v>505</v>
      </c>
      <c r="H6778" s="6" t="n">
        <v>3.65</v>
      </c>
      <c r="I6778" s="6" t="n">
        <v>0</v>
      </c>
      <c r="J6778" s="40" t="n">
        <f aca="false">H6778-I6778</f>
        <v>3.65</v>
      </c>
      <c r="K6778" s="41" t="n">
        <v>34</v>
      </c>
      <c r="L6778" s="42" t="n">
        <f aca="false">J6778*K6778</f>
        <v>124.1</v>
      </c>
      <c r="M6778" s="43" t="n">
        <f aca="false">H6778*17.99*(1+'Chart of Accounts'!$E$67)</f>
        <v>75.1847075</v>
      </c>
    </row>
    <row r="6779" customFormat="false" ht="15" hidden="false" customHeight="false" outlineLevel="0" collapsed="false">
      <c r="B6779" s="7" t="s">
        <v>7276</v>
      </c>
      <c r="C6779" s="39" t="n">
        <v>45969</v>
      </c>
      <c r="D6779" s="7" t="s">
        <v>401</v>
      </c>
      <c r="E6779" s="7" t="s">
        <v>156</v>
      </c>
      <c r="F6779" s="7" t="s">
        <v>254</v>
      </c>
      <c r="G6779" s="7" t="s">
        <v>505</v>
      </c>
      <c r="H6779" s="6" t="n">
        <v>3.71</v>
      </c>
      <c r="I6779" s="6" t="n">
        <v>0</v>
      </c>
      <c r="J6779" s="40" t="n">
        <f aca="false">H6779-I6779</f>
        <v>3.71</v>
      </c>
      <c r="K6779" s="41" t="n">
        <v>34</v>
      </c>
      <c r="L6779" s="42" t="n">
        <f aca="false">J6779*K6779</f>
        <v>126.14</v>
      </c>
      <c r="M6779" s="43" t="n">
        <f aca="false">H6779*17.1*(1+'Chart of Accounts'!$E$67)</f>
        <v>72.639945</v>
      </c>
    </row>
    <row r="6780" customFormat="false" ht="15" hidden="false" customHeight="false" outlineLevel="0" collapsed="false">
      <c r="B6780" s="7" t="s">
        <v>7277</v>
      </c>
      <c r="C6780" s="39" t="n">
        <v>45970</v>
      </c>
      <c r="D6780" s="7" t="s">
        <v>288</v>
      </c>
      <c r="E6780" s="7" t="s">
        <v>156</v>
      </c>
      <c r="F6780" s="7" t="s">
        <v>242</v>
      </c>
      <c r="G6780" s="7" t="s">
        <v>505</v>
      </c>
      <c r="H6780" s="6" t="n">
        <v>4.02</v>
      </c>
      <c r="I6780" s="6" t="n">
        <v>0</v>
      </c>
      <c r="J6780" s="40" t="n">
        <f aca="false">H6780-I6780</f>
        <v>4.02</v>
      </c>
      <c r="K6780" s="41" t="n">
        <v>34</v>
      </c>
      <c r="L6780" s="42" t="n">
        <f aca="false">J6780*K6780</f>
        <v>136.68</v>
      </c>
      <c r="M6780" s="43" t="n">
        <f aca="false">H6780*17.99*(1+'Chart of Accounts'!$E$67)</f>
        <v>82.806171</v>
      </c>
    </row>
    <row r="6781" customFormat="false" ht="15" hidden="false" customHeight="false" outlineLevel="0" collapsed="false">
      <c r="B6781" s="7" t="s">
        <v>7278</v>
      </c>
      <c r="C6781" s="39" t="n">
        <v>45970</v>
      </c>
      <c r="D6781" s="7" t="s">
        <v>321</v>
      </c>
      <c r="E6781" s="7" t="s">
        <v>154</v>
      </c>
      <c r="F6781" s="7" t="s">
        <v>218</v>
      </c>
      <c r="G6781" s="7" t="s">
        <v>505</v>
      </c>
      <c r="H6781" s="6" t="n">
        <v>4.13</v>
      </c>
      <c r="I6781" s="6" t="n">
        <v>0</v>
      </c>
      <c r="J6781" s="40" t="n">
        <f aca="false">H6781-I6781</f>
        <v>4.13</v>
      </c>
      <c r="K6781" s="41" t="n">
        <v>26.5</v>
      </c>
      <c r="L6781" s="42" t="n">
        <f aca="false">J6781*K6781</f>
        <v>109.445</v>
      </c>
      <c r="M6781" s="43" t="n">
        <f aca="false">H6781*16.19*(1+'Chart of Accounts'!$E$67)</f>
        <v>76.5600815</v>
      </c>
    </row>
    <row r="6782" customFormat="false" ht="15" hidden="false" customHeight="false" outlineLevel="0" collapsed="false">
      <c r="B6782" s="7" t="s">
        <v>7279</v>
      </c>
      <c r="C6782" s="39" t="n">
        <v>45970</v>
      </c>
      <c r="D6782" s="7" t="s">
        <v>359</v>
      </c>
      <c r="E6782" s="7" t="s">
        <v>156</v>
      </c>
      <c r="F6782" s="7" t="s">
        <v>194</v>
      </c>
      <c r="G6782" s="7" t="s">
        <v>505</v>
      </c>
      <c r="H6782" s="6" t="n">
        <v>3.91</v>
      </c>
      <c r="I6782" s="6" t="n">
        <v>0</v>
      </c>
      <c r="J6782" s="40" t="n">
        <f aca="false">H6782-I6782</f>
        <v>3.91</v>
      </c>
      <c r="K6782" s="41" t="n">
        <v>34</v>
      </c>
      <c r="L6782" s="42" t="n">
        <f aca="false">J6782*K6782</f>
        <v>132.94</v>
      </c>
      <c r="M6782" s="43" t="n">
        <f aca="false">H6782*16*(1+'Chart of Accounts'!$E$67)</f>
        <v>71.6312</v>
      </c>
    </row>
    <row r="6783" customFormat="false" ht="15" hidden="false" customHeight="false" outlineLevel="0" collapsed="false">
      <c r="B6783" s="7" t="s">
        <v>7280</v>
      </c>
      <c r="C6783" s="39" t="n">
        <v>45970</v>
      </c>
      <c r="D6783" s="7" t="s">
        <v>387</v>
      </c>
      <c r="E6783" s="7" t="s">
        <v>154</v>
      </c>
      <c r="F6783" s="7" t="s">
        <v>196</v>
      </c>
      <c r="G6783" s="7" t="s">
        <v>505</v>
      </c>
      <c r="H6783" s="6" t="n">
        <v>3.76</v>
      </c>
      <c r="I6783" s="6" t="n">
        <v>0</v>
      </c>
      <c r="J6783" s="40" t="n">
        <f aca="false">H6783-I6783</f>
        <v>3.76</v>
      </c>
      <c r="K6783" s="41" t="n">
        <v>26.5</v>
      </c>
      <c r="L6783" s="42" t="n">
        <f aca="false">J6783*K6783</f>
        <v>99.64</v>
      </c>
      <c r="M6783" s="43" t="n">
        <f aca="false">H6783*15.05*(1+'Chart of Accounts'!$E$67)</f>
        <v>64.79326</v>
      </c>
    </row>
    <row r="6784" customFormat="false" ht="15" hidden="false" customHeight="false" outlineLevel="0" collapsed="false">
      <c r="B6784" s="7" t="s">
        <v>7281</v>
      </c>
      <c r="C6784" s="39" t="n">
        <v>45970</v>
      </c>
      <c r="D6784" s="7" t="s">
        <v>391</v>
      </c>
      <c r="E6784" s="7" t="s">
        <v>156</v>
      </c>
      <c r="F6784" s="7" t="s">
        <v>222</v>
      </c>
      <c r="G6784" s="7" t="s">
        <v>505</v>
      </c>
      <c r="H6784" s="6" t="n">
        <v>3.9</v>
      </c>
      <c r="I6784" s="6" t="n">
        <v>0</v>
      </c>
      <c r="J6784" s="40" t="n">
        <f aca="false">H6784-I6784</f>
        <v>3.9</v>
      </c>
      <c r="K6784" s="41" t="n">
        <v>34</v>
      </c>
      <c r="L6784" s="42" t="n">
        <f aca="false">J6784*K6784</f>
        <v>132.6</v>
      </c>
      <c r="M6784" s="43" t="n">
        <f aca="false">H6784*17.84*(1+'Chart of Accounts'!$E$67)</f>
        <v>79.66452</v>
      </c>
    </row>
    <row r="6785" customFormat="false" ht="15" hidden="false" customHeight="false" outlineLevel="0" collapsed="false">
      <c r="B6785" s="7" t="s">
        <v>7282</v>
      </c>
      <c r="C6785" s="39" t="n">
        <v>45970</v>
      </c>
      <c r="D6785" s="7" t="s">
        <v>395</v>
      </c>
      <c r="E6785" s="7" t="s">
        <v>156</v>
      </c>
      <c r="F6785" s="7" t="s">
        <v>242</v>
      </c>
      <c r="G6785" s="7" t="s">
        <v>505</v>
      </c>
      <c r="H6785" s="6" t="n">
        <v>4.06</v>
      </c>
      <c r="I6785" s="6" t="n">
        <v>0</v>
      </c>
      <c r="J6785" s="40" t="n">
        <f aca="false">H6785-I6785</f>
        <v>4.06</v>
      </c>
      <c r="K6785" s="41" t="n">
        <v>34</v>
      </c>
      <c r="L6785" s="42" t="n">
        <f aca="false">J6785*K6785</f>
        <v>138.04</v>
      </c>
      <c r="M6785" s="43" t="n">
        <f aca="false">H6785*17.99*(1+'Chart of Accounts'!$E$67)</f>
        <v>83.630113</v>
      </c>
    </row>
    <row r="6786" customFormat="false" ht="15" hidden="false" customHeight="false" outlineLevel="0" collapsed="false">
      <c r="B6786" s="7" t="s">
        <v>7283</v>
      </c>
      <c r="C6786" s="39" t="n">
        <v>45971</v>
      </c>
      <c r="D6786" s="7" t="s">
        <v>288</v>
      </c>
      <c r="E6786" s="7" t="s">
        <v>156</v>
      </c>
      <c r="F6786" s="7" t="s">
        <v>240</v>
      </c>
      <c r="G6786" s="7" t="s">
        <v>505</v>
      </c>
      <c r="H6786" s="6" t="n">
        <v>3.86</v>
      </c>
      <c r="I6786" s="6" t="n">
        <v>0</v>
      </c>
      <c r="J6786" s="40" t="n">
        <f aca="false">H6786-I6786</f>
        <v>3.86</v>
      </c>
      <c r="K6786" s="41" t="n">
        <v>34</v>
      </c>
      <c r="L6786" s="42" t="n">
        <f aca="false">J6786*K6786</f>
        <v>131.24</v>
      </c>
      <c r="M6786" s="43" t="n">
        <f aca="false">H6786*16.96*(1+'Chart of Accounts'!$E$67)</f>
        <v>74.958112</v>
      </c>
    </row>
    <row r="6787" customFormat="false" ht="15" hidden="false" customHeight="false" outlineLevel="0" collapsed="false">
      <c r="B6787" s="7" t="s">
        <v>7284</v>
      </c>
      <c r="C6787" s="39" t="n">
        <v>45971</v>
      </c>
      <c r="D6787" s="7" t="s">
        <v>291</v>
      </c>
      <c r="E6787" s="7" t="s">
        <v>154</v>
      </c>
      <c r="F6787" s="7" t="s">
        <v>194</v>
      </c>
      <c r="G6787" s="7" t="s">
        <v>505</v>
      </c>
      <c r="H6787" s="6" t="n">
        <v>4.73</v>
      </c>
      <c r="I6787" s="6" t="n">
        <v>0</v>
      </c>
      <c r="J6787" s="40" t="n">
        <f aca="false">H6787-I6787</f>
        <v>4.73</v>
      </c>
      <c r="K6787" s="41" t="n">
        <v>26.5</v>
      </c>
      <c r="L6787" s="42" t="n">
        <f aca="false">J6787*K6787</f>
        <v>125.345</v>
      </c>
      <c r="M6787" s="43" t="n">
        <f aca="false">H6787*16*(1+'Chart of Accounts'!$E$67)</f>
        <v>86.6536</v>
      </c>
    </row>
    <row r="6788" customFormat="false" ht="15" hidden="false" customHeight="false" outlineLevel="0" collapsed="false">
      <c r="B6788" s="7" t="s">
        <v>7285</v>
      </c>
      <c r="C6788" s="39" t="n">
        <v>45971</v>
      </c>
      <c r="D6788" s="7" t="s">
        <v>295</v>
      </c>
      <c r="E6788" s="7" t="s">
        <v>154</v>
      </c>
      <c r="F6788" s="7" t="s">
        <v>214</v>
      </c>
      <c r="G6788" s="7" t="s">
        <v>505</v>
      </c>
      <c r="H6788" s="6" t="n">
        <v>4.14</v>
      </c>
      <c r="I6788" s="6" t="n">
        <v>0.124</v>
      </c>
      <c r="J6788" s="40" t="n">
        <f aca="false">H6788-I6788</f>
        <v>4.016</v>
      </c>
      <c r="K6788" s="41" t="n">
        <v>26.5</v>
      </c>
      <c r="L6788" s="42" t="n">
        <f aca="false">J6788*K6788</f>
        <v>106.424</v>
      </c>
      <c r="M6788" s="43" t="n">
        <f aca="false">H6788*15.67*(1+'Chart of Accounts'!$E$67)</f>
        <v>74.280501</v>
      </c>
    </row>
    <row r="6789" customFormat="false" ht="15" hidden="false" customHeight="false" outlineLevel="0" collapsed="false">
      <c r="B6789" s="7" t="s">
        <v>7286</v>
      </c>
      <c r="C6789" s="39" t="n">
        <v>45971</v>
      </c>
      <c r="D6789" s="7" t="s">
        <v>297</v>
      </c>
      <c r="E6789" s="7" t="s">
        <v>156</v>
      </c>
      <c r="F6789" s="7" t="s">
        <v>201</v>
      </c>
      <c r="G6789" s="7" t="s">
        <v>505</v>
      </c>
      <c r="H6789" s="6" t="n">
        <v>3.07</v>
      </c>
      <c r="I6789" s="6" t="n">
        <v>0</v>
      </c>
      <c r="J6789" s="40" t="n">
        <f aca="false">H6789-I6789</f>
        <v>3.07</v>
      </c>
      <c r="K6789" s="41" t="n">
        <v>34</v>
      </c>
      <c r="L6789" s="42" t="n">
        <f aca="false">J6789*K6789</f>
        <v>104.38</v>
      </c>
      <c r="M6789" s="43" t="n">
        <f aca="false">H6789*15.19*(1+'Chart of Accounts'!$E$67)</f>
        <v>53.3951285</v>
      </c>
    </row>
    <row r="6790" customFormat="false" ht="15" hidden="false" customHeight="false" outlineLevel="0" collapsed="false">
      <c r="B6790" s="7" t="s">
        <v>7287</v>
      </c>
      <c r="C6790" s="39" t="n">
        <v>45971</v>
      </c>
      <c r="D6790" s="7" t="s">
        <v>299</v>
      </c>
      <c r="E6790" s="7" t="s">
        <v>154</v>
      </c>
      <c r="F6790" s="7" t="s">
        <v>205</v>
      </c>
      <c r="G6790" s="7" t="s">
        <v>505</v>
      </c>
      <c r="H6790" s="6" t="n">
        <v>2.94</v>
      </c>
      <c r="I6790" s="6" t="n">
        <v>0</v>
      </c>
      <c r="J6790" s="40" t="n">
        <f aca="false">H6790-I6790</f>
        <v>2.94</v>
      </c>
      <c r="K6790" s="41" t="n">
        <v>26.5</v>
      </c>
      <c r="L6790" s="42" t="n">
        <f aca="false">J6790*K6790</f>
        <v>77.91</v>
      </c>
      <c r="M6790" s="43" t="n">
        <f aca="false">H6790*16.36*(1+'Chart of Accounts'!$E$67)</f>
        <v>55.072668</v>
      </c>
    </row>
    <row r="6791" customFormat="false" ht="15" hidden="false" customHeight="false" outlineLevel="0" collapsed="false">
      <c r="B6791" s="7" t="s">
        <v>7288</v>
      </c>
      <c r="C6791" s="39" t="n">
        <v>45971</v>
      </c>
      <c r="D6791" s="7" t="s">
        <v>303</v>
      </c>
      <c r="E6791" s="7" t="s">
        <v>154</v>
      </c>
      <c r="F6791" s="7" t="s">
        <v>240</v>
      </c>
      <c r="G6791" s="7" t="s">
        <v>505</v>
      </c>
      <c r="H6791" s="6" t="n">
        <v>3.65</v>
      </c>
      <c r="I6791" s="6" t="n">
        <v>0</v>
      </c>
      <c r="J6791" s="40" t="n">
        <f aca="false">H6791-I6791</f>
        <v>3.65</v>
      </c>
      <c r="K6791" s="41" t="n">
        <v>26.5</v>
      </c>
      <c r="L6791" s="42" t="n">
        <f aca="false">J6791*K6791</f>
        <v>96.725</v>
      </c>
      <c r="M6791" s="43" t="n">
        <f aca="false">H6791*16.96*(1+'Chart of Accounts'!$E$67)</f>
        <v>70.88008</v>
      </c>
    </row>
    <row r="6792" customFormat="false" ht="15" hidden="false" customHeight="false" outlineLevel="0" collapsed="false">
      <c r="B6792" s="7" t="s">
        <v>7289</v>
      </c>
      <c r="C6792" s="39" t="n">
        <v>45971</v>
      </c>
      <c r="D6792" s="7" t="s">
        <v>305</v>
      </c>
      <c r="E6792" s="7" t="s">
        <v>154</v>
      </c>
      <c r="F6792" s="7" t="s">
        <v>205</v>
      </c>
      <c r="G6792" s="7" t="s">
        <v>505</v>
      </c>
      <c r="H6792" s="6" t="n">
        <v>3.91</v>
      </c>
      <c r="I6792" s="6" t="n">
        <v>0.117</v>
      </c>
      <c r="J6792" s="40" t="n">
        <f aca="false">H6792-I6792</f>
        <v>3.793</v>
      </c>
      <c r="K6792" s="41" t="n">
        <v>26.5</v>
      </c>
      <c r="L6792" s="42" t="n">
        <f aca="false">J6792*K6792</f>
        <v>100.5145</v>
      </c>
      <c r="M6792" s="43" t="n">
        <f aca="false">H6792*16.36*(1+'Chart of Accounts'!$E$67)</f>
        <v>73.242902</v>
      </c>
    </row>
    <row r="6793" customFormat="false" ht="15" hidden="false" customHeight="false" outlineLevel="0" collapsed="false">
      <c r="B6793" s="7" t="s">
        <v>7290</v>
      </c>
      <c r="C6793" s="39" t="n">
        <v>45971</v>
      </c>
      <c r="D6793" s="7" t="s">
        <v>307</v>
      </c>
      <c r="E6793" s="7" t="s">
        <v>157</v>
      </c>
      <c r="F6793" s="7" t="s">
        <v>264</v>
      </c>
      <c r="G6793" s="7" t="s">
        <v>502</v>
      </c>
      <c r="H6793" s="6" t="n">
        <v>0.96</v>
      </c>
      <c r="I6793" s="6" t="n">
        <v>0</v>
      </c>
      <c r="J6793" s="40" t="n">
        <f aca="false">H6793-I6793</f>
        <v>0.96</v>
      </c>
      <c r="K6793" s="41" t="n">
        <v>165</v>
      </c>
      <c r="L6793" s="42" t="n">
        <f aca="false">J6793*K6793</f>
        <v>158.4</v>
      </c>
      <c r="M6793" s="43" t="n">
        <f aca="false">H6793*55.55*(1+'Chart of Accounts'!$E$67)</f>
        <v>61.06056</v>
      </c>
    </row>
    <row r="6794" customFormat="false" ht="15" hidden="false" customHeight="false" outlineLevel="0" collapsed="false">
      <c r="B6794" s="7" t="s">
        <v>7291</v>
      </c>
      <c r="C6794" s="39" t="n">
        <v>45971</v>
      </c>
      <c r="D6794" s="7" t="s">
        <v>309</v>
      </c>
      <c r="E6794" s="7" t="s">
        <v>159</v>
      </c>
      <c r="F6794" s="7" t="s">
        <v>252</v>
      </c>
      <c r="G6794" s="7" t="s">
        <v>502</v>
      </c>
      <c r="H6794" s="6" t="n">
        <v>1.04</v>
      </c>
      <c r="I6794" s="6" t="n">
        <v>0</v>
      </c>
      <c r="J6794" s="40" t="n">
        <f aca="false">H6794-I6794</f>
        <v>1.04</v>
      </c>
      <c r="K6794" s="41" t="n">
        <v>135</v>
      </c>
      <c r="L6794" s="42" t="n">
        <f aca="false">J6794*K6794</f>
        <v>140.4</v>
      </c>
      <c r="M6794" s="43" t="n">
        <f aca="false">H6794*57.54*(1+'Chart of Accounts'!$E$67)</f>
        <v>68.518632</v>
      </c>
    </row>
    <row r="6795" customFormat="false" ht="15" hidden="false" customHeight="false" outlineLevel="0" collapsed="false">
      <c r="B6795" s="7" t="s">
        <v>7292</v>
      </c>
      <c r="C6795" s="39" t="n">
        <v>45971</v>
      </c>
      <c r="D6795" s="7" t="s">
        <v>311</v>
      </c>
      <c r="E6795" s="7" t="s">
        <v>154</v>
      </c>
      <c r="F6795" s="7" t="s">
        <v>196</v>
      </c>
      <c r="G6795" s="7" t="s">
        <v>505</v>
      </c>
      <c r="H6795" s="6" t="n">
        <v>3</v>
      </c>
      <c r="I6795" s="6" t="n">
        <v>0</v>
      </c>
      <c r="J6795" s="40" t="n">
        <f aca="false">H6795-I6795</f>
        <v>3</v>
      </c>
      <c r="K6795" s="41" t="n">
        <v>26.5</v>
      </c>
      <c r="L6795" s="42" t="n">
        <f aca="false">J6795*K6795</f>
        <v>79.5</v>
      </c>
      <c r="M6795" s="43" t="n">
        <f aca="false">H6795*15.05*(1+'Chart of Accounts'!$E$67)</f>
        <v>51.69675</v>
      </c>
    </row>
    <row r="6796" customFormat="false" ht="15" hidden="false" customHeight="false" outlineLevel="0" collapsed="false">
      <c r="B6796" s="7" t="s">
        <v>7293</v>
      </c>
      <c r="C6796" s="39" t="n">
        <v>45971</v>
      </c>
      <c r="D6796" s="7" t="s">
        <v>313</v>
      </c>
      <c r="E6796" s="7" t="s">
        <v>156</v>
      </c>
      <c r="F6796" s="7" t="s">
        <v>184</v>
      </c>
      <c r="G6796" s="7" t="s">
        <v>505</v>
      </c>
      <c r="H6796" s="6" t="n">
        <v>3.86</v>
      </c>
      <c r="I6796" s="6" t="n">
        <v>0</v>
      </c>
      <c r="J6796" s="40" t="n">
        <f aca="false">H6796-I6796</f>
        <v>3.86</v>
      </c>
      <c r="K6796" s="41" t="n">
        <v>34</v>
      </c>
      <c r="L6796" s="42" t="n">
        <f aca="false">J6796*K6796</f>
        <v>131.24</v>
      </c>
      <c r="M6796" s="43" t="n">
        <f aca="false">H6796*17.34*(1+'Chart of Accounts'!$E$67)</f>
        <v>76.637598</v>
      </c>
    </row>
    <row r="6797" customFormat="false" ht="15" hidden="false" customHeight="false" outlineLevel="0" collapsed="false">
      <c r="B6797" s="7" t="s">
        <v>7294</v>
      </c>
      <c r="C6797" s="39" t="n">
        <v>45971</v>
      </c>
      <c r="D6797" s="7" t="s">
        <v>315</v>
      </c>
      <c r="E6797" s="7" t="s">
        <v>159</v>
      </c>
      <c r="F6797" s="7" t="s">
        <v>216</v>
      </c>
      <c r="G6797" s="7" t="s">
        <v>502</v>
      </c>
      <c r="H6797" s="6" t="n">
        <v>1</v>
      </c>
      <c r="I6797" s="6" t="n">
        <v>0</v>
      </c>
      <c r="J6797" s="40" t="n">
        <f aca="false">H6797-I6797</f>
        <v>1</v>
      </c>
      <c r="K6797" s="41" t="n">
        <v>135</v>
      </c>
      <c r="L6797" s="42" t="n">
        <f aca="false">J6797*K6797</f>
        <v>135</v>
      </c>
      <c r="M6797" s="43" t="n">
        <f aca="false">H6797*61.79*(1+'Chart of Accounts'!$E$67)</f>
        <v>70.74955</v>
      </c>
    </row>
    <row r="6798" customFormat="false" ht="15" hidden="false" customHeight="false" outlineLevel="0" collapsed="false">
      <c r="B6798" s="7" t="s">
        <v>7295</v>
      </c>
      <c r="C6798" s="39" t="n">
        <v>45971</v>
      </c>
      <c r="D6798" s="7" t="s">
        <v>317</v>
      </c>
      <c r="E6798" s="7" t="s">
        <v>156</v>
      </c>
      <c r="F6798" s="7" t="s">
        <v>177</v>
      </c>
      <c r="G6798" s="7" t="s">
        <v>505</v>
      </c>
      <c r="H6798" s="6" t="n">
        <v>2.85</v>
      </c>
      <c r="I6798" s="6" t="n">
        <v>0</v>
      </c>
      <c r="J6798" s="40" t="n">
        <f aca="false">H6798-I6798</f>
        <v>2.85</v>
      </c>
      <c r="K6798" s="41" t="n">
        <v>34</v>
      </c>
      <c r="L6798" s="42" t="n">
        <f aca="false">J6798*K6798</f>
        <v>96.9</v>
      </c>
      <c r="M6798" s="43" t="n">
        <f aca="false">H6798*14.56*(1+'Chart of Accounts'!$E$67)</f>
        <v>47.51292</v>
      </c>
    </row>
    <row r="6799" customFormat="false" ht="15" hidden="false" customHeight="false" outlineLevel="0" collapsed="false">
      <c r="B6799" s="7" t="s">
        <v>7296</v>
      </c>
      <c r="C6799" s="39" t="n">
        <v>45971</v>
      </c>
      <c r="D6799" s="7" t="s">
        <v>321</v>
      </c>
      <c r="E6799" s="7" t="s">
        <v>154</v>
      </c>
      <c r="F6799" s="7" t="s">
        <v>218</v>
      </c>
      <c r="G6799" s="7" t="s">
        <v>505</v>
      </c>
      <c r="H6799" s="6" t="n">
        <v>3.91</v>
      </c>
      <c r="I6799" s="6" t="n">
        <v>0</v>
      </c>
      <c r="J6799" s="40" t="n">
        <f aca="false">H6799-I6799</f>
        <v>3.91</v>
      </c>
      <c r="K6799" s="41" t="n">
        <v>26.5</v>
      </c>
      <c r="L6799" s="42" t="n">
        <f aca="false">J6799*K6799</f>
        <v>103.615</v>
      </c>
      <c r="M6799" s="43" t="n">
        <f aca="false">H6799*16.19*(1+'Chart of Accounts'!$E$67)</f>
        <v>72.4818205</v>
      </c>
    </row>
    <row r="6800" customFormat="false" ht="15" hidden="false" customHeight="false" outlineLevel="0" collapsed="false">
      <c r="B6800" s="7" t="s">
        <v>7297</v>
      </c>
      <c r="C6800" s="39" t="n">
        <v>45971</v>
      </c>
      <c r="D6800" s="7" t="s">
        <v>325</v>
      </c>
      <c r="E6800" s="7" t="s">
        <v>154</v>
      </c>
      <c r="F6800" s="7" t="s">
        <v>201</v>
      </c>
      <c r="G6800" s="7" t="s">
        <v>505</v>
      </c>
      <c r="H6800" s="6" t="n">
        <v>3.19</v>
      </c>
      <c r="I6800" s="6" t="n">
        <v>0</v>
      </c>
      <c r="J6800" s="40" t="n">
        <f aca="false">H6800-I6800</f>
        <v>3.19</v>
      </c>
      <c r="K6800" s="41" t="n">
        <v>26.5</v>
      </c>
      <c r="L6800" s="42" t="n">
        <f aca="false">J6800*K6800</f>
        <v>84.535</v>
      </c>
      <c r="M6800" s="43" t="n">
        <f aca="false">H6800*15.19*(1+'Chart of Accounts'!$E$67)</f>
        <v>55.4822345</v>
      </c>
    </row>
    <row r="6801" customFormat="false" ht="15" hidden="false" customHeight="false" outlineLevel="0" collapsed="false">
      <c r="B6801" s="7" t="s">
        <v>7298</v>
      </c>
      <c r="C6801" s="39" t="n">
        <v>45971</v>
      </c>
      <c r="D6801" s="7" t="s">
        <v>329</v>
      </c>
      <c r="E6801" s="7" t="s">
        <v>156</v>
      </c>
      <c r="F6801" s="7" t="s">
        <v>220</v>
      </c>
      <c r="G6801" s="7" t="s">
        <v>505</v>
      </c>
      <c r="H6801" s="6" t="n">
        <v>3.65</v>
      </c>
      <c r="I6801" s="6" t="n">
        <v>0</v>
      </c>
      <c r="J6801" s="40" t="n">
        <f aca="false">H6801-I6801</f>
        <v>3.65</v>
      </c>
      <c r="K6801" s="41" t="n">
        <v>34</v>
      </c>
      <c r="L6801" s="42" t="n">
        <f aca="false">J6801*K6801</f>
        <v>124.1</v>
      </c>
      <c r="M6801" s="43" t="n">
        <f aca="false">H6801*16.43*(1+'Chart of Accounts'!$E$67)</f>
        <v>68.6650775</v>
      </c>
    </row>
    <row r="6802" customFormat="false" ht="15" hidden="false" customHeight="false" outlineLevel="0" collapsed="false">
      <c r="B6802" s="7" t="s">
        <v>7299</v>
      </c>
      <c r="C6802" s="39" t="n">
        <v>45971</v>
      </c>
      <c r="D6802" s="7" t="s">
        <v>331</v>
      </c>
      <c r="E6802" s="7" t="s">
        <v>156</v>
      </c>
      <c r="F6802" s="7" t="s">
        <v>224</v>
      </c>
      <c r="G6802" s="7" t="s">
        <v>505</v>
      </c>
      <c r="H6802" s="6" t="n">
        <v>3.8</v>
      </c>
      <c r="I6802" s="6" t="n">
        <v>0</v>
      </c>
      <c r="J6802" s="40" t="n">
        <f aca="false">H6802-I6802</f>
        <v>3.8</v>
      </c>
      <c r="K6802" s="41" t="n">
        <v>34</v>
      </c>
      <c r="L6802" s="42" t="n">
        <f aca="false">J6802*K6802</f>
        <v>129.2</v>
      </c>
      <c r="M6802" s="43" t="n">
        <f aca="false">H6802*14.93*(1+'Chart of Accounts'!$E$67)</f>
        <v>64.96043</v>
      </c>
    </row>
    <row r="6803" customFormat="false" ht="15" hidden="false" customHeight="false" outlineLevel="0" collapsed="false">
      <c r="B6803" s="7" t="s">
        <v>7300</v>
      </c>
      <c r="C6803" s="39" t="n">
        <v>45971</v>
      </c>
      <c r="D6803" s="7" t="s">
        <v>333</v>
      </c>
      <c r="E6803" s="7" t="s">
        <v>154</v>
      </c>
      <c r="F6803" s="7" t="s">
        <v>236</v>
      </c>
      <c r="G6803" s="7" t="s">
        <v>505</v>
      </c>
      <c r="H6803" s="6" t="n">
        <v>3.17</v>
      </c>
      <c r="I6803" s="6" t="n">
        <v>0.095</v>
      </c>
      <c r="J6803" s="40" t="n">
        <f aca="false">H6803-I6803</f>
        <v>3.075</v>
      </c>
      <c r="K6803" s="41" t="n">
        <v>26.5</v>
      </c>
      <c r="L6803" s="42" t="n">
        <f aca="false">J6803*K6803</f>
        <v>81.4875</v>
      </c>
      <c r="M6803" s="43" t="n">
        <f aca="false">H6803*15.49*(1+'Chart of Accounts'!$E$67)</f>
        <v>56.2232785</v>
      </c>
    </row>
    <row r="6804" customFormat="false" ht="15" hidden="false" customHeight="false" outlineLevel="0" collapsed="false">
      <c r="B6804" s="7" t="s">
        <v>7301</v>
      </c>
      <c r="C6804" s="39" t="n">
        <v>45971</v>
      </c>
      <c r="D6804" s="7" t="s">
        <v>335</v>
      </c>
      <c r="E6804" s="7" t="s">
        <v>154</v>
      </c>
      <c r="F6804" s="7" t="s">
        <v>177</v>
      </c>
      <c r="G6804" s="7" t="s">
        <v>505</v>
      </c>
      <c r="H6804" s="6" t="n">
        <v>4.01</v>
      </c>
      <c r="I6804" s="6" t="n">
        <v>0</v>
      </c>
      <c r="J6804" s="40" t="n">
        <f aca="false">H6804-I6804</f>
        <v>4.01</v>
      </c>
      <c r="K6804" s="41" t="n">
        <v>26.5</v>
      </c>
      <c r="L6804" s="42" t="n">
        <f aca="false">J6804*K6804</f>
        <v>106.265</v>
      </c>
      <c r="M6804" s="43" t="n">
        <f aca="false">H6804*14.56*(1+'Chart of Accounts'!$E$67)</f>
        <v>66.851512</v>
      </c>
    </row>
    <row r="6805" customFormat="false" ht="15" hidden="false" customHeight="false" outlineLevel="0" collapsed="false">
      <c r="B6805" s="7" t="s">
        <v>7302</v>
      </c>
      <c r="C6805" s="39" t="n">
        <v>45971</v>
      </c>
      <c r="D6805" s="7" t="s">
        <v>339</v>
      </c>
      <c r="E6805" s="7" t="s">
        <v>154</v>
      </c>
      <c r="F6805" s="7" t="s">
        <v>242</v>
      </c>
      <c r="G6805" s="7" t="s">
        <v>505</v>
      </c>
      <c r="H6805" s="6" t="n">
        <v>3</v>
      </c>
      <c r="I6805" s="6" t="n">
        <v>0</v>
      </c>
      <c r="J6805" s="40" t="n">
        <f aca="false">H6805-I6805</f>
        <v>3</v>
      </c>
      <c r="K6805" s="41" t="n">
        <v>26.5</v>
      </c>
      <c r="L6805" s="42" t="n">
        <f aca="false">J6805*K6805</f>
        <v>79.5</v>
      </c>
      <c r="M6805" s="43" t="n">
        <f aca="false">H6805*17.99*(1+'Chart of Accounts'!$E$67)</f>
        <v>61.79565</v>
      </c>
    </row>
    <row r="6806" customFormat="false" ht="15" hidden="false" customHeight="false" outlineLevel="0" collapsed="false">
      <c r="B6806" s="7" t="s">
        <v>7303</v>
      </c>
      <c r="C6806" s="39" t="n">
        <v>45971</v>
      </c>
      <c r="D6806" s="7" t="s">
        <v>341</v>
      </c>
      <c r="E6806" s="7" t="s">
        <v>156</v>
      </c>
      <c r="F6806" s="7" t="s">
        <v>222</v>
      </c>
      <c r="G6806" s="7" t="s">
        <v>505</v>
      </c>
      <c r="H6806" s="6" t="n">
        <v>2.82</v>
      </c>
      <c r="I6806" s="6" t="n">
        <v>0</v>
      </c>
      <c r="J6806" s="40" t="n">
        <f aca="false">H6806-I6806</f>
        <v>2.82</v>
      </c>
      <c r="K6806" s="41" t="n">
        <v>34</v>
      </c>
      <c r="L6806" s="42" t="n">
        <f aca="false">J6806*K6806</f>
        <v>95.88</v>
      </c>
      <c r="M6806" s="43" t="n">
        <f aca="false">H6806*17.84*(1+'Chart of Accounts'!$E$67)</f>
        <v>57.603576</v>
      </c>
    </row>
    <row r="6807" customFormat="false" ht="15" hidden="false" customHeight="false" outlineLevel="0" collapsed="false">
      <c r="B6807" s="7" t="s">
        <v>7304</v>
      </c>
      <c r="C6807" s="39" t="n">
        <v>45971</v>
      </c>
      <c r="D6807" s="7" t="s">
        <v>343</v>
      </c>
      <c r="E6807" s="7" t="s">
        <v>154</v>
      </c>
      <c r="F6807" s="7" t="s">
        <v>218</v>
      </c>
      <c r="G6807" s="7" t="s">
        <v>505</v>
      </c>
      <c r="H6807" s="6" t="n">
        <v>3.94</v>
      </c>
      <c r="I6807" s="6" t="n">
        <v>0</v>
      </c>
      <c r="J6807" s="40" t="n">
        <f aca="false">H6807-I6807</f>
        <v>3.94</v>
      </c>
      <c r="K6807" s="41" t="n">
        <v>26.5</v>
      </c>
      <c r="L6807" s="42" t="n">
        <f aca="false">J6807*K6807</f>
        <v>104.41</v>
      </c>
      <c r="M6807" s="43" t="n">
        <f aca="false">H6807*16.19*(1+'Chart of Accounts'!$E$67)</f>
        <v>73.037947</v>
      </c>
    </row>
    <row r="6808" customFormat="false" ht="15" hidden="false" customHeight="false" outlineLevel="0" collapsed="false">
      <c r="B6808" s="7" t="s">
        <v>7305</v>
      </c>
      <c r="C6808" s="39" t="n">
        <v>45971</v>
      </c>
      <c r="D6808" s="7" t="s">
        <v>347</v>
      </c>
      <c r="E6808" s="7" t="s">
        <v>154</v>
      </c>
      <c r="F6808" s="7" t="s">
        <v>238</v>
      </c>
      <c r="G6808" s="7" t="s">
        <v>505</v>
      </c>
      <c r="H6808" s="6" t="n">
        <v>4.97</v>
      </c>
      <c r="I6808" s="6" t="n">
        <v>0</v>
      </c>
      <c r="J6808" s="40" t="n">
        <f aca="false">H6808-I6808</f>
        <v>4.97</v>
      </c>
      <c r="K6808" s="41" t="n">
        <v>26.5</v>
      </c>
      <c r="L6808" s="42" t="n">
        <f aca="false">J6808*K6808</f>
        <v>131.705</v>
      </c>
      <c r="M6808" s="43" t="n">
        <f aca="false">H6808*15.85*(1+'Chart of Accounts'!$E$67)</f>
        <v>90.1968025</v>
      </c>
    </row>
    <row r="6809" customFormat="false" ht="15" hidden="false" customHeight="false" outlineLevel="0" collapsed="false">
      <c r="B6809" s="7" t="s">
        <v>7306</v>
      </c>
      <c r="C6809" s="39" t="n">
        <v>45971</v>
      </c>
      <c r="D6809" s="7" t="s">
        <v>349</v>
      </c>
      <c r="E6809" s="7" t="s">
        <v>154</v>
      </c>
      <c r="F6809" s="7" t="s">
        <v>244</v>
      </c>
      <c r="G6809" s="7" t="s">
        <v>505</v>
      </c>
      <c r="H6809" s="6" t="n">
        <v>3.96</v>
      </c>
      <c r="I6809" s="6" t="n">
        <v>0</v>
      </c>
      <c r="J6809" s="40" t="n">
        <f aca="false">H6809-I6809</f>
        <v>3.96</v>
      </c>
      <c r="K6809" s="41" t="n">
        <v>26.5</v>
      </c>
      <c r="L6809" s="42" t="n">
        <f aca="false">J6809*K6809</f>
        <v>104.94</v>
      </c>
      <c r="M6809" s="43" t="n">
        <f aca="false">H6809*16.39*(1+'Chart of Accounts'!$E$67)</f>
        <v>74.315538</v>
      </c>
    </row>
    <row r="6810" customFormat="false" ht="15" hidden="false" customHeight="false" outlineLevel="0" collapsed="false">
      <c r="B6810" s="7" t="s">
        <v>7307</v>
      </c>
      <c r="C6810" s="39" t="n">
        <v>45971</v>
      </c>
      <c r="D6810" s="7" t="s">
        <v>351</v>
      </c>
      <c r="E6810" s="7" t="s">
        <v>154</v>
      </c>
      <c r="F6810" s="7" t="s">
        <v>201</v>
      </c>
      <c r="G6810" s="7" t="s">
        <v>505</v>
      </c>
      <c r="H6810" s="6" t="n">
        <v>2.73</v>
      </c>
      <c r="I6810" s="6" t="n">
        <v>0</v>
      </c>
      <c r="J6810" s="40" t="n">
        <f aca="false">H6810-I6810</f>
        <v>2.73</v>
      </c>
      <c r="K6810" s="41" t="n">
        <v>26.5</v>
      </c>
      <c r="L6810" s="42" t="n">
        <f aca="false">J6810*K6810</f>
        <v>72.345</v>
      </c>
      <c r="M6810" s="43" t="n">
        <f aca="false">H6810*15.19*(1+'Chart of Accounts'!$E$67)</f>
        <v>47.4816615</v>
      </c>
    </row>
    <row r="6811" customFormat="false" ht="15" hidden="false" customHeight="false" outlineLevel="0" collapsed="false">
      <c r="B6811" s="7" t="s">
        <v>7308</v>
      </c>
      <c r="C6811" s="39" t="n">
        <v>45971</v>
      </c>
      <c r="D6811" s="7" t="s">
        <v>353</v>
      </c>
      <c r="E6811" s="7" t="s">
        <v>154</v>
      </c>
      <c r="F6811" s="7" t="s">
        <v>254</v>
      </c>
      <c r="G6811" s="7" t="s">
        <v>505</v>
      </c>
      <c r="H6811" s="6" t="n">
        <v>3.18</v>
      </c>
      <c r="I6811" s="6" t="n">
        <v>0</v>
      </c>
      <c r="J6811" s="40" t="n">
        <f aca="false">H6811-I6811</f>
        <v>3.18</v>
      </c>
      <c r="K6811" s="41" t="n">
        <v>26.5</v>
      </c>
      <c r="L6811" s="42" t="n">
        <f aca="false">J6811*K6811</f>
        <v>84.27</v>
      </c>
      <c r="M6811" s="43" t="n">
        <f aca="false">H6811*17.1*(1+'Chart of Accounts'!$E$67)</f>
        <v>62.26281</v>
      </c>
    </row>
    <row r="6812" customFormat="false" ht="15" hidden="false" customHeight="false" outlineLevel="0" collapsed="false">
      <c r="B6812" s="7" t="s">
        <v>7309</v>
      </c>
      <c r="C6812" s="39" t="n">
        <v>45971</v>
      </c>
      <c r="D6812" s="7" t="s">
        <v>355</v>
      </c>
      <c r="E6812" s="7" t="s">
        <v>154</v>
      </c>
      <c r="F6812" s="7" t="s">
        <v>201</v>
      </c>
      <c r="G6812" s="7" t="s">
        <v>505</v>
      </c>
      <c r="H6812" s="6" t="n">
        <v>3.27</v>
      </c>
      <c r="I6812" s="6" t="n">
        <v>0</v>
      </c>
      <c r="J6812" s="40" t="n">
        <f aca="false">H6812-I6812</f>
        <v>3.27</v>
      </c>
      <c r="K6812" s="41" t="n">
        <v>26.5</v>
      </c>
      <c r="L6812" s="42" t="n">
        <f aca="false">J6812*K6812</f>
        <v>86.655</v>
      </c>
      <c r="M6812" s="43" t="n">
        <f aca="false">H6812*15.19*(1+'Chart of Accounts'!$E$67)</f>
        <v>56.8736385</v>
      </c>
    </row>
    <row r="6813" customFormat="false" ht="15" hidden="false" customHeight="false" outlineLevel="0" collapsed="false">
      <c r="B6813" s="7" t="s">
        <v>7310</v>
      </c>
      <c r="C6813" s="39" t="n">
        <v>45971</v>
      </c>
      <c r="D6813" s="7" t="s">
        <v>357</v>
      </c>
      <c r="E6813" s="7" t="s">
        <v>154</v>
      </c>
      <c r="F6813" s="7" t="s">
        <v>254</v>
      </c>
      <c r="G6813" s="7" t="s">
        <v>505</v>
      </c>
      <c r="H6813" s="6" t="n">
        <v>3.22</v>
      </c>
      <c r="I6813" s="6" t="n">
        <v>0</v>
      </c>
      <c r="J6813" s="40" t="n">
        <f aca="false">H6813-I6813</f>
        <v>3.22</v>
      </c>
      <c r="K6813" s="41" t="n">
        <v>26.5</v>
      </c>
      <c r="L6813" s="42" t="n">
        <f aca="false">J6813*K6813</f>
        <v>85.33</v>
      </c>
      <c r="M6813" s="43" t="n">
        <f aca="false">H6813*17.1*(1+'Chart of Accounts'!$E$67)</f>
        <v>63.04599</v>
      </c>
    </row>
    <row r="6814" customFormat="false" ht="15" hidden="false" customHeight="false" outlineLevel="0" collapsed="false">
      <c r="B6814" s="7" t="s">
        <v>7311</v>
      </c>
      <c r="C6814" s="39" t="n">
        <v>45971</v>
      </c>
      <c r="D6814" s="7" t="s">
        <v>359</v>
      </c>
      <c r="E6814" s="7" t="s">
        <v>156</v>
      </c>
      <c r="F6814" s="7" t="s">
        <v>220</v>
      </c>
      <c r="G6814" s="7" t="s">
        <v>505</v>
      </c>
      <c r="H6814" s="6" t="n">
        <v>3.78</v>
      </c>
      <c r="I6814" s="6" t="n">
        <v>0</v>
      </c>
      <c r="J6814" s="40" t="n">
        <f aca="false">H6814-I6814</f>
        <v>3.78</v>
      </c>
      <c r="K6814" s="41" t="n">
        <v>34</v>
      </c>
      <c r="L6814" s="42" t="n">
        <f aca="false">J6814*K6814</f>
        <v>128.52</v>
      </c>
      <c r="M6814" s="43" t="n">
        <f aca="false">H6814*16.43*(1+'Chart of Accounts'!$E$67)</f>
        <v>71.110683</v>
      </c>
    </row>
    <row r="6815" customFormat="false" ht="15" hidden="false" customHeight="false" outlineLevel="0" collapsed="false">
      <c r="B6815" s="7" t="s">
        <v>7312</v>
      </c>
      <c r="C6815" s="39" t="n">
        <v>45971</v>
      </c>
      <c r="D6815" s="7" t="s">
        <v>363</v>
      </c>
      <c r="E6815" s="7" t="s">
        <v>156</v>
      </c>
      <c r="F6815" s="7" t="s">
        <v>246</v>
      </c>
      <c r="G6815" s="7" t="s">
        <v>505</v>
      </c>
      <c r="H6815" s="6" t="n">
        <v>3.77</v>
      </c>
      <c r="I6815" s="6" t="n">
        <v>0</v>
      </c>
      <c r="J6815" s="40" t="n">
        <f aca="false">H6815-I6815</f>
        <v>3.77</v>
      </c>
      <c r="K6815" s="41" t="n">
        <v>34</v>
      </c>
      <c r="L6815" s="42" t="n">
        <f aca="false">J6815*K6815</f>
        <v>128.18</v>
      </c>
      <c r="M6815" s="43" t="n">
        <f aca="false">H6815*16.48*(1+'Chart of Accounts'!$E$67)</f>
        <v>71.138392</v>
      </c>
    </row>
    <row r="6816" customFormat="false" ht="15" hidden="false" customHeight="false" outlineLevel="0" collapsed="false">
      <c r="B6816" s="7" t="s">
        <v>7313</v>
      </c>
      <c r="C6816" s="39" t="n">
        <v>45971</v>
      </c>
      <c r="D6816" s="7" t="s">
        <v>365</v>
      </c>
      <c r="E6816" s="7" t="s">
        <v>154</v>
      </c>
      <c r="F6816" s="7" t="s">
        <v>194</v>
      </c>
      <c r="G6816" s="7" t="s">
        <v>505</v>
      </c>
      <c r="H6816" s="6" t="n">
        <v>4.22</v>
      </c>
      <c r="I6816" s="6" t="n">
        <v>0</v>
      </c>
      <c r="J6816" s="40" t="n">
        <f aca="false">H6816-I6816</f>
        <v>4.22</v>
      </c>
      <c r="K6816" s="41" t="n">
        <v>26.5</v>
      </c>
      <c r="L6816" s="42" t="n">
        <f aca="false">J6816*K6816</f>
        <v>111.83</v>
      </c>
      <c r="M6816" s="43" t="n">
        <f aca="false">H6816*16*(1+'Chart of Accounts'!$E$67)</f>
        <v>77.3104</v>
      </c>
    </row>
    <row r="6817" customFormat="false" ht="15" hidden="false" customHeight="false" outlineLevel="0" collapsed="false">
      <c r="B6817" s="7" t="s">
        <v>7314</v>
      </c>
      <c r="C6817" s="39" t="n">
        <v>45971</v>
      </c>
      <c r="D6817" s="7" t="s">
        <v>371</v>
      </c>
      <c r="E6817" s="7" t="s">
        <v>154</v>
      </c>
      <c r="F6817" s="7" t="s">
        <v>232</v>
      </c>
      <c r="G6817" s="7" t="s">
        <v>505</v>
      </c>
      <c r="H6817" s="6" t="n">
        <v>4.64</v>
      </c>
      <c r="I6817" s="6" t="n">
        <v>0</v>
      </c>
      <c r="J6817" s="40" t="n">
        <f aca="false">H6817-I6817</f>
        <v>4.64</v>
      </c>
      <c r="K6817" s="41" t="n">
        <v>26.5</v>
      </c>
      <c r="L6817" s="42" t="n">
        <f aca="false">J6817*K6817</f>
        <v>122.96</v>
      </c>
      <c r="M6817" s="43" t="n">
        <f aca="false">H6817*16.17*(1+'Chart of Accounts'!$E$67)</f>
        <v>85.907976</v>
      </c>
    </row>
    <row r="6818" customFormat="false" ht="15" hidden="false" customHeight="false" outlineLevel="0" collapsed="false">
      <c r="B6818" s="7" t="s">
        <v>7315</v>
      </c>
      <c r="C6818" s="39" t="n">
        <v>45971</v>
      </c>
      <c r="D6818" s="7" t="s">
        <v>375</v>
      </c>
      <c r="E6818" s="7" t="s">
        <v>156</v>
      </c>
      <c r="F6818" s="7" t="s">
        <v>196</v>
      </c>
      <c r="G6818" s="7" t="s">
        <v>505</v>
      </c>
      <c r="H6818" s="6" t="n">
        <v>3.19</v>
      </c>
      <c r="I6818" s="6" t="n">
        <v>0</v>
      </c>
      <c r="J6818" s="40" t="n">
        <f aca="false">H6818-I6818</f>
        <v>3.19</v>
      </c>
      <c r="K6818" s="41" t="n">
        <v>34</v>
      </c>
      <c r="L6818" s="42" t="n">
        <f aca="false">J6818*K6818</f>
        <v>108.46</v>
      </c>
      <c r="M6818" s="43" t="n">
        <f aca="false">H6818*15.05*(1+'Chart of Accounts'!$E$67)</f>
        <v>54.9708775</v>
      </c>
    </row>
    <row r="6819" customFormat="false" ht="15" hidden="false" customHeight="false" outlineLevel="0" collapsed="false">
      <c r="B6819" s="7" t="s">
        <v>7316</v>
      </c>
      <c r="C6819" s="39" t="n">
        <v>45971</v>
      </c>
      <c r="D6819" s="7" t="s">
        <v>377</v>
      </c>
      <c r="E6819" s="7" t="s">
        <v>154</v>
      </c>
      <c r="F6819" s="7" t="s">
        <v>214</v>
      </c>
      <c r="G6819" s="7" t="s">
        <v>505</v>
      </c>
      <c r="H6819" s="6" t="n">
        <v>4.27</v>
      </c>
      <c r="I6819" s="6" t="n">
        <v>0</v>
      </c>
      <c r="J6819" s="40" t="n">
        <f aca="false">H6819-I6819</f>
        <v>4.27</v>
      </c>
      <c r="K6819" s="41" t="n">
        <v>26.5</v>
      </c>
      <c r="L6819" s="42" t="n">
        <f aca="false">J6819*K6819</f>
        <v>113.155</v>
      </c>
      <c r="M6819" s="43" t="n">
        <f aca="false">H6819*15.67*(1+'Chart of Accounts'!$E$67)</f>
        <v>76.6129805</v>
      </c>
    </row>
    <row r="6820" customFormat="false" ht="15" hidden="false" customHeight="false" outlineLevel="0" collapsed="false">
      <c r="B6820" s="7" t="s">
        <v>7317</v>
      </c>
      <c r="C6820" s="39" t="n">
        <v>45971</v>
      </c>
      <c r="D6820" s="7" t="s">
        <v>379</v>
      </c>
      <c r="E6820" s="7" t="s">
        <v>156</v>
      </c>
      <c r="F6820" s="7" t="s">
        <v>224</v>
      </c>
      <c r="G6820" s="7" t="s">
        <v>505</v>
      </c>
      <c r="H6820" s="6" t="n">
        <v>4.45</v>
      </c>
      <c r="I6820" s="6" t="n">
        <v>0</v>
      </c>
      <c r="J6820" s="40" t="n">
        <f aca="false">H6820-I6820</f>
        <v>4.45</v>
      </c>
      <c r="K6820" s="41" t="n">
        <v>34</v>
      </c>
      <c r="L6820" s="42" t="n">
        <f aca="false">J6820*K6820</f>
        <v>151.3</v>
      </c>
      <c r="M6820" s="43" t="n">
        <f aca="false">H6820*14.93*(1+'Chart of Accounts'!$E$67)</f>
        <v>76.0720825</v>
      </c>
    </row>
    <row r="6821" customFormat="false" ht="15" hidden="false" customHeight="false" outlineLevel="0" collapsed="false">
      <c r="B6821" s="7" t="s">
        <v>7318</v>
      </c>
      <c r="C6821" s="39" t="n">
        <v>45971</v>
      </c>
      <c r="D6821" s="7" t="s">
        <v>387</v>
      </c>
      <c r="E6821" s="7" t="s">
        <v>154</v>
      </c>
      <c r="F6821" s="7" t="s">
        <v>196</v>
      </c>
      <c r="G6821" s="7" t="s">
        <v>505</v>
      </c>
      <c r="H6821" s="6" t="n">
        <v>4.33</v>
      </c>
      <c r="I6821" s="6" t="n">
        <v>0</v>
      </c>
      <c r="J6821" s="40" t="n">
        <f aca="false">H6821-I6821</f>
        <v>4.33</v>
      </c>
      <c r="K6821" s="41" t="n">
        <v>26.5</v>
      </c>
      <c r="L6821" s="42" t="n">
        <f aca="false">J6821*K6821</f>
        <v>114.745</v>
      </c>
      <c r="M6821" s="43" t="n">
        <f aca="false">H6821*15.05*(1+'Chart of Accounts'!$E$67)</f>
        <v>74.6156425</v>
      </c>
    </row>
    <row r="6822" customFormat="false" ht="15" hidden="false" customHeight="false" outlineLevel="0" collapsed="false">
      <c r="B6822" s="7" t="s">
        <v>7319</v>
      </c>
      <c r="C6822" s="39" t="n">
        <v>45971</v>
      </c>
      <c r="D6822" s="7" t="s">
        <v>389</v>
      </c>
      <c r="E6822" s="7" t="s">
        <v>154</v>
      </c>
      <c r="F6822" s="7" t="s">
        <v>246</v>
      </c>
      <c r="G6822" s="7" t="s">
        <v>505</v>
      </c>
      <c r="H6822" s="6" t="n">
        <v>4.22</v>
      </c>
      <c r="I6822" s="6" t="n">
        <v>0</v>
      </c>
      <c r="J6822" s="40" t="n">
        <f aca="false">H6822-I6822</f>
        <v>4.22</v>
      </c>
      <c r="K6822" s="41" t="n">
        <v>26.5</v>
      </c>
      <c r="L6822" s="42" t="n">
        <f aca="false">J6822*K6822</f>
        <v>111.83</v>
      </c>
      <c r="M6822" s="43" t="n">
        <f aca="false">H6822*16.48*(1+'Chart of Accounts'!$E$67)</f>
        <v>79.629712</v>
      </c>
    </row>
    <row r="6823" customFormat="false" ht="15" hidden="false" customHeight="false" outlineLevel="0" collapsed="false">
      <c r="B6823" s="7" t="s">
        <v>7320</v>
      </c>
      <c r="C6823" s="39" t="n">
        <v>45971</v>
      </c>
      <c r="D6823" s="7" t="s">
        <v>391</v>
      </c>
      <c r="E6823" s="7" t="s">
        <v>156</v>
      </c>
      <c r="F6823" s="7" t="s">
        <v>222</v>
      </c>
      <c r="G6823" s="7" t="s">
        <v>505</v>
      </c>
      <c r="H6823" s="6" t="n">
        <v>4.39</v>
      </c>
      <c r="I6823" s="6" t="n">
        <v>0</v>
      </c>
      <c r="J6823" s="40" t="n">
        <f aca="false">H6823-I6823</f>
        <v>4.39</v>
      </c>
      <c r="K6823" s="41" t="n">
        <v>34</v>
      </c>
      <c r="L6823" s="42" t="n">
        <f aca="false">J6823*K6823</f>
        <v>149.26</v>
      </c>
      <c r="M6823" s="43" t="n">
        <f aca="false">H6823*17.84*(1+'Chart of Accounts'!$E$67)</f>
        <v>89.673652</v>
      </c>
    </row>
    <row r="6824" customFormat="false" ht="15" hidden="false" customHeight="false" outlineLevel="0" collapsed="false">
      <c r="B6824" s="7" t="s">
        <v>7321</v>
      </c>
      <c r="C6824" s="39" t="n">
        <v>45971</v>
      </c>
      <c r="D6824" s="7" t="s">
        <v>395</v>
      </c>
      <c r="E6824" s="7" t="s">
        <v>156</v>
      </c>
      <c r="F6824" s="7" t="s">
        <v>242</v>
      </c>
      <c r="G6824" s="7" t="s">
        <v>505</v>
      </c>
      <c r="H6824" s="6" t="n">
        <v>3.86</v>
      </c>
      <c r="I6824" s="6" t="n">
        <v>0</v>
      </c>
      <c r="J6824" s="40" t="n">
        <f aca="false">H6824-I6824</f>
        <v>3.86</v>
      </c>
      <c r="K6824" s="41" t="n">
        <v>34</v>
      </c>
      <c r="L6824" s="42" t="n">
        <f aca="false">J6824*K6824</f>
        <v>131.24</v>
      </c>
      <c r="M6824" s="43" t="n">
        <f aca="false">H6824*17.99*(1+'Chart of Accounts'!$E$67)</f>
        <v>79.510403</v>
      </c>
    </row>
    <row r="6825" customFormat="false" ht="15" hidden="false" customHeight="false" outlineLevel="0" collapsed="false">
      <c r="B6825" s="7" t="s">
        <v>7322</v>
      </c>
      <c r="C6825" s="39" t="n">
        <v>45971</v>
      </c>
      <c r="D6825" s="7" t="s">
        <v>399</v>
      </c>
      <c r="E6825" s="7" t="s">
        <v>154</v>
      </c>
      <c r="F6825" s="7" t="s">
        <v>224</v>
      </c>
      <c r="G6825" s="7" t="s">
        <v>505</v>
      </c>
      <c r="H6825" s="6" t="n">
        <v>3.38</v>
      </c>
      <c r="I6825" s="6" t="n">
        <v>0</v>
      </c>
      <c r="J6825" s="40" t="n">
        <f aca="false">H6825-I6825</f>
        <v>3.38</v>
      </c>
      <c r="K6825" s="41" t="n">
        <v>26.5</v>
      </c>
      <c r="L6825" s="42" t="n">
        <f aca="false">J6825*K6825</f>
        <v>89.57</v>
      </c>
      <c r="M6825" s="43" t="n">
        <f aca="false">H6825*14.93*(1+'Chart of Accounts'!$E$67)</f>
        <v>57.780593</v>
      </c>
    </row>
    <row r="6826" customFormat="false" ht="15" hidden="false" customHeight="false" outlineLevel="0" collapsed="false">
      <c r="B6826" s="7" t="s">
        <v>7323</v>
      </c>
      <c r="C6826" s="39" t="n">
        <v>45971</v>
      </c>
      <c r="D6826" s="7" t="s">
        <v>401</v>
      </c>
      <c r="E6826" s="7" t="s">
        <v>156</v>
      </c>
      <c r="F6826" s="7" t="s">
        <v>254</v>
      </c>
      <c r="G6826" s="7" t="s">
        <v>505</v>
      </c>
      <c r="H6826" s="6" t="n">
        <v>4.1</v>
      </c>
      <c r="I6826" s="6" t="n">
        <v>0</v>
      </c>
      <c r="J6826" s="40" t="n">
        <f aca="false">H6826-I6826</f>
        <v>4.1</v>
      </c>
      <c r="K6826" s="41" t="n">
        <v>34</v>
      </c>
      <c r="L6826" s="42" t="n">
        <f aca="false">J6826*K6826</f>
        <v>139.4</v>
      </c>
      <c r="M6826" s="43" t="n">
        <f aca="false">H6826*17.1*(1+'Chart of Accounts'!$E$67)</f>
        <v>80.27595</v>
      </c>
    </row>
    <row r="6827" customFormat="false" ht="15" hidden="false" customHeight="false" outlineLevel="0" collapsed="false">
      <c r="B6827" s="7" t="s">
        <v>7324</v>
      </c>
      <c r="C6827" s="39" t="n">
        <v>45971</v>
      </c>
      <c r="D6827" s="7" t="s">
        <v>409</v>
      </c>
      <c r="E6827" s="7" t="s">
        <v>154</v>
      </c>
      <c r="F6827" s="7" t="s">
        <v>214</v>
      </c>
      <c r="G6827" s="7" t="s">
        <v>505</v>
      </c>
      <c r="H6827" s="6" t="n">
        <v>3.41</v>
      </c>
      <c r="I6827" s="6" t="n">
        <v>0</v>
      </c>
      <c r="J6827" s="40" t="n">
        <f aca="false">H6827-I6827</f>
        <v>3.41</v>
      </c>
      <c r="K6827" s="41" t="n">
        <v>26.5</v>
      </c>
      <c r="L6827" s="42" t="n">
        <f aca="false">J6827*K6827</f>
        <v>90.365</v>
      </c>
      <c r="M6827" s="43" t="n">
        <f aca="false">H6827*15.67*(1+'Chart of Accounts'!$E$67)</f>
        <v>61.1827315</v>
      </c>
    </row>
    <row r="6828" customFormat="false" ht="15" hidden="false" customHeight="false" outlineLevel="0" collapsed="false">
      <c r="B6828" s="7" t="s">
        <v>7325</v>
      </c>
      <c r="C6828" s="39" t="n">
        <v>45971</v>
      </c>
      <c r="D6828" s="7" t="s">
        <v>411</v>
      </c>
      <c r="E6828" s="7" t="s">
        <v>154</v>
      </c>
      <c r="F6828" s="7" t="s">
        <v>177</v>
      </c>
      <c r="G6828" s="7" t="s">
        <v>505</v>
      </c>
      <c r="H6828" s="6" t="n">
        <v>4.95</v>
      </c>
      <c r="I6828" s="6" t="n">
        <v>0</v>
      </c>
      <c r="J6828" s="40" t="n">
        <f aca="false">H6828-I6828</f>
        <v>4.95</v>
      </c>
      <c r="K6828" s="41" t="n">
        <v>26.5</v>
      </c>
      <c r="L6828" s="42" t="n">
        <f aca="false">J6828*K6828</f>
        <v>131.175</v>
      </c>
      <c r="M6828" s="43" t="n">
        <f aca="false">H6828*14.56*(1+'Chart of Accounts'!$E$67)</f>
        <v>82.52244</v>
      </c>
    </row>
    <row r="6829" customFormat="false" ht="15" hidden="false" customHeight="false" outlineLevel="0" collapsed="false">
      <c r="B6829" s="7" t="s">
        <v>7326</v>
      </c>
      <c r="C6829" s="39" t="n">
        <v>45972</v>
      </c>
      <c r="D6829" s="7" t="s">
        <v>288</v>
      </c>
      <c r="E6829" s="7" t="s">
        <v>156</v>
      </c>
      <c r="F6829" s="7" t="s">
        <v>254</v>
      </c>
      <c r="G6829" s="7" t="s">
        <v>505</v>
      </c>
      <c r="H6829" s="6" t="n">
        <v>3.67</v>
      </c>
      <c r="I6829" s="6" t="n">
        <v>0</v>
      </c>
      <c r="J6829" s="40" t="n">
        <f aca="false">H6829-I6829</f>
        <v>3.67</v>
      </c>
      <c r="K6829" s="41" t="n">
        <v>34</v>
      </c>
      <c r="L6829" s="42" t="n">
        <f aca="false">J6829*K6829</f>
        <v>124.78</v>
      </c>
      <c r="M6829" s="43" t="n">
        <f aca="false">H6829*17.1*(1+'Chart of Accounts'!$E$67)</f>
        <v>71.856765</v>
      </c>
    </row>
    <row r="6830" customFormat="false" ht="15" hidden="false" customHeight="false" outlineLevel="0" collapsed="false">
      <c r="B6830" s="7" t="s">
        <v>7327</v>
      </c>
      <c r="C6830" s="39" t="n">
        <v>45972</v>
      </c>
      <c r="D6830" s="7" t="s">
        <v>293</v>
      </c>
      <c r="E6830" s="7" t="s">
        <v>157</v>
      </c>
      <c r="F6830" s="7" t="s">
        <v>198</v>
      </c>
      <c r="G6830" s="7" t="s">
        <v>502</v>
      </c>
      <c r="H6830" s="6" t="n">
        <v>0.93</v>
      </c>
      <c r="I6830" s="6" t="n">
        <v>0</v>
      </c>
      <c r="J6830" s="40" t="n">
        <f aca="false">H6830-I6830</f>
        <v>0.93</v>
      </c>
      <c r="K6830" s="41" t="n">
        <v>165</v>
      </c>
      <c r="L6830" s="42" t="n">
        <f aca="false">J6830*K6830</f>
        <v>153.45</v>
      </c>
      <c r="M6830" s="43" t="n">
        <f aca="false">H6830*48.09*(1+'Chart of Accounts'!$E$67)</f>
        <v>51.2086365</v>
      </c>
    </row>
    <row r="6831" customFormat="false" ht="15" hidden="false" customHeight="false" outlineLevel="0" collapsed="false">
      <c r="B6831" s="7" t="s">
        <v>7328</v>
      </c>
      <c r="C6831" s="39" t="n">
        <v>45972</v>
      </c>
      <c r="D6831" s="7" t="s">
        <v>301</v>
      </c>
      <c r="E6831" s="7" t="s">
        <v>157</v>
      </c>
      <c r="F6831" s="7" t="s">
        <v>209</v>
      </c>
      <c r="G6831" s="7" t="s">
        <v>502</v>
      </c>
      <c r="H6831" s="6" t="n">
        <v>1.07</v>
      </c>
      <c r="I6831" s="6" t="n">
        <v>0</v>
      </c>
      <c r="J6831" s="40" t="n">
        <f aca="false">H6831-I6831</f>
        <v>1.07</v>
      </c>
      <c r="K6831" s="41" t="n">
        <v>165</v>
      </c>
      <c r="L6831" s="42" t="n">
        <f aca="false">J6831*K6831</f>
        <v>176.55</v>
      </c>
      <c r="M6831" s="43" t="n">
        <f aca="false">H6831*73.58*(1+'Chart of Accounts'!$E$67)</f>
        <v>90.146537</v>
      </c>
    </row>
    <row r="6832" customFormat="false" ht="15" hidden="false" customHeight="false" outlineLevel="0" collapsed="false">
      <c r="B6832" s="7" t="s">
        <v>7329</v>
      </c>
      <c r="C6832" s="39" t="n">
        <v>45972</v>
      </c>
      <c r="D6832" s="7" t="s">
        <v>313</v>
      </c>
      <c r="E6832" s="7" t="s">
        <v>156</v>
      </c>
      <c r="F6832" s="7" t="s">
        <v>184</v>
      </c>
      <c r="G6832" s="7" t="s">
        <v>505</v>
      </c>
      <c r="H6832" s="6" t="n">
        <v>3.72</v>
      </c>
      <c r="I6832" s="6" t="n">
        <v>0</v>
      </c>
      <c r="J6832" s="40" t="n">
        <f aca="false">H6832-I6832</f>
        <v>3.72</v>
      </c>
      <c r="K6832" s="41" t="n">
        <v>34</v>
      </c>
      <c r="L6832" s="42" t="n">
        <f aca="false">J6832*K6832</f>
        <v>126.48</v>
      </c>
      <c r="M6832" s="43" t="n">
        <f aca="false">H6832*17.34*(1+'Chart of Accounts'!$E$67)</f>
        <v>73.857996</v>
      </c>
    </row>
    <row r="6833" customFormat="false" ht="15" hidden="false" customHeight="false" outlineLevel="0" collapsed="false">
      <c r="B6833" s="7" t="s">
        <v>7330</v>
      </c>
      <c r="C6833" s="39" t="n">
        <v>45972</v>
      </c>
      <c r="D6833" s="7" t="s">
        <v>319</v>
      </c>
      <c r="E6833" s="7" t="s">
        <v>157</v>
      </c>
      <c r="F6833" s="7" t="s">
        <v>234</v>
      </c>
      <c r="G6833" s="7" t="s">
        <v>502</v>
      </c>
      <c r="H6833" s="6" t="n">
        <v>0.99</v>
      </c>
      <c r="I6833" s="6" t="n">
        <v>0</v>
      </c>
      <c r="J6833" s="40" t="n">
        <f aca="false">H6833-I6833</f>
        <v>0.99</v>
      </c>
      <c r="K6833" s="41" t="n">
        <v>165</v>
      </c>
      <c r="L6833" s="42" t="n">
        <f aca="false">J6833*K6833</f>
        <v>163.35</v>
      </c>
      <c r="M6833" s="43" t="n">
        <f aca="false">H6833*89.53*(1+'Chart of Accounts'!$E$67)</f>
        <v>101.4867315</v>
      </c>
    </row>
    <row r="6834" customFormat="false" ht="15" hidden="false" customHeight="false" outlineLevel="0" collapsed="false">
      <c r="B6834" s="7" t="s">
        <v>7331</v>
      </c>
      <c r="C6834" s="39" t="n">
        <v>45972</v>
      </c>
      <c r="D6834" s="7" t="s">
        <v>321</v>
      </c>
      <c r="E6834" s="7" t="s">
        <v>154</v>
      </c>
      <c r="F6834" s="7" t="s">
        <v>218</v>
      </c>
      <c r="G6834" s="7" t="s">
        <v>505</v>
      </c>
      <c r="H6834" s="6" t="n">
        <v>3.95</v>
      </c>
      <c r="I6834" s="6" t="n">
        <v>0</v>
      </c>
      <c r="J6834" s="40" t="n">
        <f aca="false">H6834-I6834</f>
        <v>3.95</v>
      </c>
      <c r="K6834" s="41" t="n">
        <v>26.5</v>
      </c>
      <c r="L6834" s="42" t="n">
        <f aca="false">J6834*K6834</f>
        <v>104.675</v>
      </c>
      <c r="M6834" s="43" t="n">
        <f aca="false">H6834*16.19*(1+'Chart of Accounts'!$E$67)</f>
        <v>73.2233225</v>
      </c>
    </row>
    <row r="6835" customFormat="false" ht="15" hidden="false" customHeight="false" outlineLevel="0" collapsed="false">
      <c r="B6835" s="7" t="s">
        <v>7332</v>
      </c>
      <c r="C6835" s="39" t="n">
        <v>45972</v>
      </c>
      <c r="D6835" s="7" t="s">
        <v>323</v>
      </c>
      <c r="E6835" s="7" t="s">
        <v>159</v>
      </c>
      <c r="F6835" s="7" t="s">
        <v>198</v>
      </c>
      <c r="G6835" s="7" t="s">
        <v>502</v>
      </c>
      <c r="H6835" s="6" t="n">
        <v>1.09</v>
      </c>
      <c r="I6835" s="6" t="n">
        <v>0</v>
      </c>
      <c r="J6835" s="40" t="n">
        <f aca="false">H6835-I6835</f>
        <v>1.09</v>
      </c>
      <c r="K6835" s="41" t="n">
        <v>135</v>
      </c>
      <c r="L6835" s="42" t="n">
        <f aca="false">J6835*K6835</f>
        <v>147.15</v>
      </c>
      <c r="M6835" s="43" t="n">
        <f aca="false">H6835*48.09*(1+'Chart of Accounts'!$E$67)</f>
        <v>60.0187245</v>
      </c>
    </row>
    <row r="6836" customFormat="false" ht="15" hidden="false" customHeight="false" outlineLevel="0" collapsed="false">
      <c r="B6836" s="7" t="s">
        <v>7333</v>
      </c>
      <c r="C6836" s="39" t="n">
        <v>45972</v>
      </c>
      <c r="D6836" s="7" t="s">
        <v>327</v>
      </c>
      <c r="E6836" s="7" t="s">
        <v>157</v>
      </c>
      <c r="F6836" s="7" t="s">
        <v>228</v>
      </c>
      <c r="G6836" s="7" t="s">
        <v>502</v>
      </c>
      <c r="H6836" s="6" t="n">
        <v>0.99</v>
      </c>
      <c r="I6836" s="6" t="n">
        <v>0</v>
      </c>
      <c r="J6836" s="40" t="n">
        <f aca="false">H6836-I6836</f>
        <v>0.99</v>
      </c>
      <c r="K6836" s="41" t="n">
        <v>165</v>
      </c>
      <c r="L6836" s="42" t="n">
        <f aca="false">J6836*K6836</f>
        <v>163.35</v>
      </c>
      <c r="M6836" s="43" t="n">
        <f aca="false">H6836*51.07*(1+'Chart of Accounts'!$E$67)</f>
        <v>57.8903985</v>
      </c>
    </row>
    <row r="6837" customFormat="false" ht="15" hidden="false" customHeight="false" outlineLevel="0" collapsed="false">
      <c r="B6837" s="7" t="s">
        <v>7334</v>
      </c>
      <c r="C6837" s="39" t="n">
        <v>45972</v>
      </c>
      <c r="D6837" s="7" t="s">
        <v>329</v>
      </c>
      <c r="E6837" s="7" t="s">
        <v>156</v>
      </c>
      <c r="F6837" s="7" t="s">
        <v>220</v>
      </c>
      <c r="G6837" s="7" t="s">
        <v>505</v>
      </c>
      <c r="H6837" s="6" t="n">
        <v>4.02</v>
      </c>
      <c r="I6837" s="6" t="n">
        <v>0</v>
      </c>
      <c r="J6837" s="40" t="n">
        <f aca="false">H6837-I6837</f>
        <v>4.02</v>
      </c>
      <c r="K6837" s="41" t="n">
        <v>34</v>
      </c>
      <c r="L6837" s="42" t="n">
        <f aca="false">J6837*K6837</f>
        <v>136.68</v>
      </c>
      <c r="M6837" s="43" t="n">
        <f aca="false">H6837*16.43*(1+'Chart of Accounts'!$E$67)</f>
        <v>75.625647</v>
      </c>
    </row>
    <row r="6838" customFormat="false" ht="15" hidden="false" customHeight="false" outlineLevel="0" collapsed="false">
      <c r="B6838" s="7" t="s">
        <v>7335</v>
      </c>
      <c r="C6838" s="39" t="n">
        <v>45972</v>
      </c>
      <c r="D6838" s="7" t="s">
        <v>349</v>
      </c>
      <c r="E6838" s="7" t="s">
        <v>154</v>
      </c>
      <c r="F6838" s="7" t="s">
        <v>244</v>
      </c>
      <c r="G6838" s="7" t="s">
        <v>505</v>
      </c>
      <c r="H6838" s="6" t="n">
        <v>4.02</v>
      </c>
      <c r="I6838" s="6" t="n">
        <v>0</v>
      </c>
      <c r="J6838" s="40" t="n">
        <f aca="false">H6838-I6838</f>
        <v>4.02</v>
      </c>
      <c r="K6838" s="41" t="n">
        <v>26.5</v>
      </c>
      <c r="L6838" s="42" t="n">
        <f aca="false">J6838*K6838</f>
        <v>106.53</v>
      </c>
      <c r="M6838" s="43" t="n">
        <f aca="false">H6838*16.39*(1+'Chart of Accounts'!$E$67)</f>
        <v>75.441531</v>
      </c>
    </row>
    <row r="6839" customFormat="false" ht="15" hidden="false" customHeight="false" outlineLevel="0" collapsed="false">
      <c r="B6839" s="7" t="s">
        <v>7336</v>
      </c>
      <c r="C6839" s="39" t="n">
        <v>45972</v>
      </c>
      <c r="D6839" s="7" t="s">
        <v>359</v>
      </c>
      <c r="E6839" s="7" t="s">
        <v>156</v>
      </c>
      <c r="F6839" s="7" t="s">
        <v>236</v>
      </c>
      <c r="G6839" s="7" t="s">
        <v>505</v>
      </c>
      <c r="H6839" s="6" t="n">
        <v>3.86</v>
      </c>
      <c r="I6839" s="6" t="n">
        <v>0</v>
      </c>
      <c r="J6839" s="40" t="n">
        <f aca="false">H6839-I6839</f>
        <v>3.86</v>
      </c>
      <c r="K6839" s="41" t="n">
        <v>34</v>
      </c>
      <c r="L6839" s="42" t="n">
        <f aca="false">J6839*K6839</f>
        <v>131.24</v>
      </c>
      <c r="M6839" s="43" t="n">
        <f aca="false">H6839*15.49*(1+'Chart of Accounts'!$E$67)</f>
        <v>68.461153</v>
      </c>
    </row>
    <row r="6840" customFormat="false" ht="15" hidden="false" customHeight="false" outlineLevel="0" collapsed="false">
      <c r="B6840" s="7" t="s">
        <v>7337</v>
      </c>
      <c r="C6840" s="39" t="n">
        <v>45972</v>
      </c>
      <c r="D6840" s="7" t="s">
        <v>361</v>
      </c>
      <c r="E6840" s="7" t="s">
        <v>157</v>
      </c>
      <c r="F6840" s="7" t="s">
        <v>209</v>
      </c>
      <c r="G6840" s="7" t="s">
        <v>502</v>
      </c>
      <c r="H6840" s="6" t="n">
        <v>1.06</v>
      </c>
      <c r="I6840" s="6" t="n">
        <v>0</v>
      </c>
      <c r="J6840" s="40" t="n">
        <f aca="false">H6840-I6840</f>
        <v>1.06</v>
      </c>
      <c r="K6840" s="41" t="n">
        <v>165</v>
      </c>
      <c r="L6840" s="42" t="n">
        <f aca="false">J6840*K6840</f>
        <v>174.9</v>
      </c>
      <c r="M6840" s="43" t="n">
        <f aca="false">H6840*73.58*(1+'Chart of Accounts'!$E$67)</f>
        <v>89.304046</v>
      </c>
    </row>
    <row r="6841" customFormat="false" ht="15" hidden="false" customHeight="false" outlineLevel="0" collapsed="false">
      <c r="B6841" s="7" t="s">
        <v>7338</v>
      </c>
      <c r="C6841" s="39" t="n">
        <v>45972</v>
      </c>
      <c r="D6841" s="7" t="s">
        <v>365</v>
      </c>
      <c r="E6841" s="7" t="s">
        <v>154</v>
      </c>
      <c r="F6841" s="7" t="s">
        <v>194</v>
      </c>
      <c r="G6841" s="7" t="s">
        <v>505</v>
      </c>
      <c r="H6841" s="6" t="n">
        <v>3.73</v>
      </c>
      <c r="I6841" s="6" t="n">
        <v>0</v>
      </c>
      <c r="J6841" s="40" t="n">
        <f aca="false">H6841-I6841</f>
        <v>3.73</v>
      </c>
      <c r="K6841" s="41" t="n">
        <v>26.5</v>
      </c>
      <c r="L6841" s="42" t="n">
        <f aca="false">J6841*K6841</f>
        <v>98.845</v>
      </c>
      <c r="M6841" s="43" t="n">
        <f aca="false">H6841*16*(1+'Chart of Accounts'!$E$67)</f>
        <v>68.3336</v>
      </c>
    </row>
    <row r="6842" customFormat="false" ht="15" hidden="false" customHeight="false" outlineLevel="0" collapsed="false">
      <c r="B6842" s="7" t="s">
        <v>7339</v>
      </c>
      <c r="C6842" s="39" t="n">
        <v>45972</v>
      </c>
      <c r="D6842" s="7" t="s">
        <v>369</v>
      </c>
      <c r="E6842" s="7" t="s">
        <v>159</v>
      </c>
      <c r="F6842" s="7" t="s">
        <v>258</v>
      </c>
      <c r="G6842" s="7" t="s">
        <v>502</v>
      </c>
      <c r="H6842" s="6" t="n">
        <v>1.09</v>
      </c>
      <c r="I6842" s="6" t="n">
        <v>0</v>
      </c>
      <c r="J6842" s="40" t="n">
        <f aca="false">H6842-I6842</f>
        <v>1.09</v>
      </c>
      <c r="K6842" s="41" t="n">
        <v>135</v>
      </c>
      <c r="L6842" s="42" t="n">
        <f aca="false">J6842*K6842</f>
        <v>147.15</v>
      </c>
      <c r="M6842" s="43" t="n">
        <f aca="false">H6842*61.61*(1+'Chart of Accounts'!$E$67)</f>
        <v>76.8923605</v>
      </c>
    </row>
    <row r="6843" customFormat="false" ht="15" hidden="false" customHeight="false" outlineLevel="0" collapsed="false">
      <c r="B6843" s="7" t="s">
        <v>7340</v>
      </c>
      <c r="C6843" s="39" t="n">
        <v>45972</v>
      </c>
      <c r="D6843" s="7" t="s">
        <v>381</v>
      </c>
      <c r="E6843" s="7" t="s">
        <v>157</v>
      </c>
      <c r="F6843" s="7" t="s">
        <v>234</v>
      </c>
      <c r="G6843" s="7" t="s">
        <v>502</v>
      </c>
      <c r="H6843" s="6" t="n">
        <v>0.97</v>
      </c>
      <c r="I6843" s="6" t="n">
        <v>0</v>
      </c>
      <c r="J6843" s="40" t="n">
        <f aca="false">H6843-I6843</f>
        <v>0.97</v>
      </c>
      <c r="K6843" s="41" t="n">
        <v>165</v>
      </c>
      <c r="L6843" s="42" t="n">
        <f aca="false">J6843*K6843</f>
        <v>160.05</v>
      </c>
      <c r="M6843" s="43" t="n">
        <f aca="false">H6843*89.53*(1+'Chart of Accounts'!$E$67)</f>
        <v>99.4364945</v>
      </c>
    </row>
    <row r="6844" customFormat="false" ht="15" hidden="false" customHeight="false" outlineLevel="0" collapsed="false">
      <c r="B6844" s="7" t="s">
        <v>7341</v>
      </c>
      <c r="C6844" s="39" t="n">
        <v>45972</v>
      </c>
      <c r="D6844" s="7" t="s">
        <v>383</v>
      </c>
      <c r="E6844" s="7" t="s">
        <v>157</v>
      </c>
      <c r="F6844" s="7" t="s">
        <v>230</v>
      </c>
      <c r="G6844" s="7" t="s">
        <v>502</v>
      </c>
      <c r="H6844" s="6" t="n">
        <v>1.05</v>
      </c>
      <c r="I6844" s="6" t="n">
        <v>0</v>
      </c>
      <c r="J6844" s="40" t="n">
        <f aca="false">H6844-I6844</f>
        <v>1.05</v>
      </c>
      <c r="K6844" s="41" t="n">
        <v>165</v>
      </c>
      <c r="L6844" s="42" t="n">
        <f aca="false">J6844*K6844</f>
        <v>173.25</v>
      </c>
      <c r="M6844" s="43" t="n">
        <f aca="false">H6844*48.78*(1+'Chart of Accounts'!$E$67)</f>
        <v>58.645755</v>
      </c>
    </row>
    <row r="6845" customFormat="false" ht="15" hidden="false" customHeight="false" outlineLevel="0" collapsed="false">
      <c r="B6845" s="7" t="s">
        <v>7342</v>
      </c>
      <c r="C6845" s="39" t="n">
        <v>45972</v>
      </c>
      <c r="D6845" s="7" t="s">
        <v>387</v>
      </c>
      <c r="E6845" s="7" t="s">
        <v>154</v>
      </c>
      <c r="F6845" s="7" t="s">
        <v>196</v>
      </c>
      <c r="G6845" s="7" t="s">
        <v>505</v>
      </c>
      <c r="H6845" s="6" t="n">
        <v>3.98</v>
      </c>
      <c r="I6845" s="6" t="n">
        <v>0</v>
      </c>
      <c r="J6845" s="40" t="n">
        <f aca="false">H6845-I6845</f>
        <v>3.98</v>
      </c>
      <c r="K6845" s="41" t="n">
        <v>26.5</v>
      </c>
      <c r="L6845" s="42" t="n">
        <f aca="false">J6845*K6845</f>
        <v>105.47</v>
      </c>
      <c r="M6845" s="43" t="n">
        <f aca="false">H6845*15.05*(1+'Chart of Accounts'!$E$67)</f>
        <v>68.584355</v>
      </c>
    </row>
    <row r="6846" customFormat="false" ht="15" hidden="false" customHeight="false" outlineLevel="0" collapsed="false">
      <c r="B6846" s="7" t="s">
        <v>7343</v>
      </c>
      <c r="C6846" s="39" t="n">
        <v>45972</v>
      </c>
      <c r="D6846" s="7" t="s">
        <v>389</v>
      </c>
      <c r="E6846" s="7" t="s">
        <v>154</v>
      </c>
      <c r="F6846" s="7" t="s">
        <v>246</v>
      </c>
      <c r="G6846" s="7" t="s">
        <v>505</v>
      </c>
      <c r="H6846" s="6" t="n">
        <v>4.28</v>
      </c>
      <c r="I6846" s="6" t="n">
        <v>0</v>
      </c>
      <c r="J6846" s="40" t="n">
        <f aca="false">H6846-I6846</f>
        <v>4.28</v>
      </c>
      <c r="K6846" s="41" t="n">
        <v>26.5</v>
      </c>
      <c r="L6846" s="42" t="n">
        <f aca="false">J6846*K6846</f>
        <v>113.42</v>
      </c>
      <c r="M6846" s="43" t="n">
        <f aca="false">H6846*16.48*(1+'Chart of Accounts'!$E$67)</f>
        <v>80.761888</v>
      </c>
    </row>
    <row r="6847" customFormat="false" ht="15" hidden="false" customHeight="false" outlineLevel="0" collapsed="false">
      <c r="B6847" s="7" t="s">
        <v>7344</v>
      </c>
      <c r="C6847" s="39" t="n">
        <v>45972</v>
      </c>
      <c r="D6847" s="7" t="s">
        <v>391</v>
      </c>
      <c r="E6847" s="7" t="s">
        <v>156</v>
      </c>
      <c r="F6847" s="7" t="s">
        <v>222</v>
      </c>
      <c r="G6847" s="7" t="s">
        <v>505</v>
      </c>
      <c r="H6847" s="6" t="n">
        <v>3.91</v>
      </c>
      <c r="I6847" s="6" t="n">
        <v>0</v>
      </c>
      <c r="J6847" s="40" t="n">
        <f aca="false">H6847-I6847</f>
        <v>3.91</v>
      </c>
      <c r="K6847" s="41" t="n">
        <v>34</v>
      </c>
      <c r="L6847" s="42" t="n">
        <f aca="false">J6847*K6847</f>
        <v>132.94</v>
      </c>
      <c r="M6847" s="43" t="n">
        <f aca="false">H6847*17.84*(1+'Chart of Accounts'!$E$67)</f>
        <v>79.868788</v>
      </c>
    </row>
    <row r="6848" customFormat="false" ht="15" hidden="false" customHeight="false" outlineLevel="0" collapsed="false">
      <c r="B6848" s="7" t="s">
        <v>7345</v>
      </c>
      <c r="C6848" s="39" t="n">
        <v>45972</v>
      </c>
      <c r="D6848" s="7" t="s">
        <v>395</v>
      </c>
      <c r="E6848" s="7" t="s">
        <v>156</v>
      </c>
      <c r="F6848" s="7" t="s">
        <v>242</v>
      </c>
      <c r="G6848" s="7" t="s">
        <v>505</v>
      </c>
      <c r="H6848" s="6" t="n">
        <v>4.13</v>
      </c>
      <c r="I6848" s="6" t="n">
        <v>0</v>
      </c>
      <c r="J6848" s="40" t="n">
        <f aca="false">H6848-I6848</f>
        <v>4.13</v>
      </c>
      <c r="K6848" s="41" t="n">
        <v>34</v>
      </c>
      <c r="L6848" s="42" t="n">
        <f aca="false">J6848*K6848</f>
        <v>140.42</v>
      </c>
      <c r="M6848" s="43" t="n">
        <f aca="false">H6848*17.99*(1+'Chart of Accounts'!$E$67)</f>
        <v>85.0720115</v>
      </c>
    </row>
    <row r="6849" customFormat="false" ht="15" hidden="false" customHeight="false" outlineLevel="0" collapsed="false">
      <c r="B6849" s="7" t="s">
        <v>7346</v>
      </c>
      <c r="C6849" s="39" t="n">
        <v>45972</v>
      </c>
      <c r="D6849" s="7" t="s">
        <v>397</v>
      </c>
      <c r="E6849" s="7" t="s">
        <v>159</v>
      </c>
      <c r="F6849" s="7" t="s">
        <v>203</v>
      </c>
      <c r="G6849" s="7" t="s">
        <v>502</v>
      </c>
      <c r="H6849" s="6" t="n">
        <v>0.97</v>
      </c>
      <c r="I6849" s="6" t="n">
        <v>0</v>
      </c>
      <c r="J6849" s="40" t="n">
        <f aca="false">H6849-I6849</f>
        <v>0.97</v>
      </c>
      <c r="K6849" s="41" t="n">
        <v>135</v>
      </c>
      <c r="L6849" s="42" t="n">
        <f aca="false">J6849*K6849</f>
        <v>130.95</v>
      </c>
      <c r="M6849" s="43" t="n">
        <f aca="false">H6849*49.43*(1+'Chart of Accounts'!$E$67)</f>
        <v>54.8994295</v>
      </c>
    </row>
    <row r="6850" customFormat="false" ht="15" hidden="false" customHeight="false" outlineLevel="0" collapsed="false">
      <c r="B6850" s="7" t="s">
        <v>7347</v>
      </c>
      <c r="C6850" s="39" t="n">
        <v>45972</v>
      </c>
      <c r="D6850" s="7" t="s">
        <v>401</v>
      </c>
      <c r="E6850" s="7" t="s">
        <v>156</v>
      </c>
      <c r="F6850" s="7" t="s">
        <v>254</v>
      </c>
      <c r="G6850" s="7" t="s">
        <v>505</v>
      </c>
      <c r="H6850" s="6" t="n">
        <v>4.31</v>
      </c>
      <c r="I6850" s="6" t="n">
        <v>0</v>
      </c>
      <c r="J6850" s="40" t="n">
        <f aca="false">H6850-I6850</f>
        <v>4.31</v>
      </c>
      <c r="K6850" s="41" t="n">
        <v>34</v>
      </c>
      <c r="L6850" s="42" t="n">
        <f aca="false">J6850*K6850</f>
        <v>146.54</v>
      </c>
      <c r="M6850" s="43" t="n">
        <f aca="false">H6850*17.1*(1+'Chart of Accounts'!$E$67)</f>
        <v>84.387645</v>
      </c>
    </row>
    <row r="6851" customFormat="false" ht="15" hidden="false" customHeight="false" outlineLevel="0" collapsed="false">
      <c r="B6851" s="7" t="s">
        <v>7348</v>
      </c>
      <c r="C6851" s="39" t="n">
        <v>45972</v>
      </c>
      <c r="D6851" s="7" t="s">
        <v>407</v>
      </c>
      <c r="E6851" s="7" t="s">
        <v>159</v>
      </c>
      <c r="F6851" s="7" t="s">
        <v>260</v>
      </c>
      <c r="G6851" s="7" t="s">
        <v>502</v>
      </c>
      <c r="H6851" s="6" t="n">
        <v>1</v>
      </c>
      <c r="I6851" s="6" t="n">
        <v>0.07</v>
      </c>
      <c r="J6851" s="40" t="n">
        <f aca="false">H6851-I6851</f>
        <v>0.93</v>
      </c>
      <c r="K6851" s="41" t="n">
        <v>135</v>
      </c>
      <c r="L6851" s="42" t="n">
        <f aca="false">J6851*K6851</f>
        <v>125.55</v>
      </c>
      <c r="M6851" s="43" t="n">
        <f aca="false">H6851*79.8*(1+'Chart of Accounts'!$E$67)</f>
        <v>91.371</v>
      </c>
    </row>
    <row r="6852" customFormat="false" ht="15" hidden="false" customHeight="false" outlineLevel="0" collapsed="false">
      <c r="B6852" s="7" t="s">
        <v>7349</v>
      </c>
      <c r="C6852" s="39" t="n">
        <v>45973</v>
      </c>
      <c r="D6852" s="7" t="s">
        <v>288</v>
      </c>
      <c r="E6852" s="7" t="s">
        <v>156</v>
      </c>
      <c r="F6852" s="7" t="s">
        <v>224</v>
      </c>
      <c r="G6852" s="7" t="s">
        <v>505</v>
      </c>
      <c r="H6852" s="6" t="n">
        <v>3.91</v>
      </c>
      <c r="I6852" s="6" t="n">
        <v>0</v>
      </c>
      <c r="J6852" s="40" t="n">
        <f aca="false">H6852-I6852</f>
        <v>3.91</v>
      </c>
      <c r="K6852" s="41" t="n">
        <v>34</v>
      </c>
      <c r="L6852" s="42" t="n">
        <f aca="false">J6852*K6852</f>
        <v>132.94</v>
      </c>
      <c r="M6852" s="43" t="n">
        <f aca="false">H6852*14.93*(1+'Chart of Accounts'!$E$67)</f>
        <v>66.8408635</v>
      </c>
    </row>
    <row r="6853" customFormat="false" ht="15" hidden="false" customHeight="false" outlineLevel="0" collapsed="false">
      <c r="B6853" s="7" t="s">
        <v>7350</v>
      </c>
      <c r="C6853" s="39" t="n">
        <v>45973</v>
      </c>
      <c r="D6853" s="7" t="s">
        <v>291</v>
      </c>
      <c r="E6853" s="7" t="s">
        <v>154</v>
      </c>
      <c r="F6853" s="7" t="s">
        <v>194</v>
      </c>
      <c r="G6853" s="7" t="s">
        <v>505</v>
      </c>
      <c r="H6853" s="6" t="n">
        <v>4.59</v>
      </c>
      <c r="I6853" s="6" t="n">
        <v>0</v>
      </c>
      <c r="J6853" s="40" t="n">
        <f aca="false">H6853-I6853</f>
        <v>4.59</v>
      </c>
      <c r="K6853" s="41" t="n">
        <v>26.5</v>
      </c>
      <c r="L6853" s="42" t="n">
        <f aca="false">J6853*K6853</f>
        <v>121.635</v>
      </c>
      <c r="M6853" s="43" t="n">
        <f aca="false">H6853*16*(1+'Chart of Accounts'!$E$67)</f>
        <v>84.0888</v>
      </c>
    </row>
    <row r="6854" customFormat="false" ht="15" hidden="false" customHeight="false" outlineLevel="0" collapsed="false">
      <c r="B6854" s="7" t="s">
        <v>7351</v>
      </c>
      <c r="C6854" s="39" t="n">
        <v>45973</v>
      </c>
      <c r="D6854" s="7" t="s">
        <v>295</v>
      </c>
      <c r="E6854" s="7" t="s">
        <v>154</v>
      </c>
      <c r="F6854" s="7" t="s">
        <v>214</v>
      </c>
      <c r="G6854" s="7" t="s">
        <v>505</v>
      </c>
      <c r="H6854" s="6" t="n">
        <v>4.35</v>
      </c>
      <c r="I6854" s="6" t="n">
        <v>0</v>
      </c>
      <c r="J6854" s="40" t="n">
        <f aca="false">H6854-I6854</f>
        <v>4.35</v>
      </c>
      <c r="K6854" s="41" t="n">
        <v>26.5</v>
      </c>
      <c r="L6854" s="42" t="n">
        <f aca="false">J6854*K6854</f>
        <v>115.275</v>
      </c>
      <c r="M6854" s="43" t="n">
        <f aca="false">H6854*15.67*(1+'Chart of Accounts'!$E$67)</f>
        <v>78.0483525</v>
      </c>
    </row>
    <row r="6855" customFormat="false" ht="15" hidden="false" customHeight="false" outlineLevel="0" collapsed="false">
      <c r="B6855" s="7" t="s">
        <v>7352</v>
      </c>
      <c r="C6855" s="39" t="n">
        <v>45973</v>
      </c>
      <c r="D6855" s="7" t="s">
        <v>305</v>
      </c>
      <c r="E6855" s="7" t="s">
        <v>154</v>
      </c>
      <c r="F6855" s="7" t="s">
        <v>205</v>
      </c>
      <c r="G6855" s="7" t="s">
        <v>505</v>
      </c>
      <c r="H6855" s="6" t="n">
        <v>3.97</v>
      </c>
      <c r="I6855" s="6" t="n">
        <v>0</v>
      </c>
      <c r="J6855" s="40" t="n">
        <f aca="false">H6855-I6855</f>
        <v>3.97</v>
      </c>
      <c r="K6855" s="41" t="n">
        <v>26.5</v>
      </c>
      <c r="L6855" s="42" t="n">
        <f aca="false">J6855*K6855</f>
        <v>105.205</v>
      </c>
      <c r="M6855" s="43" t="n">
        <f aca="false">H6855*16.36*(1+'Chart of Accounts'!$E$67)</f>
        <v>74.366834</v>
      </c>
    </row>
    <row r="6856" customFormat="false" ht="15" hidden="false" customHeight="false" outlineLevel="0" collapsed="false">
      <c r="B6856" s="7" t="s">
        <v>7353</v>
      </c>
      <c r="C6856" s="39" t="n">
        <v>45973</v>
      </c>
      <c r="D6856" s="7" t="s">
        <v>307</v>
      </c>
      <c r="E6856" s="7" t="s">
        <v>157</v>
      </c>
      <c r="F6856" s="7" t="s">
        <v>264</v>
      </c>
      <c r="G6856" s="7" t="s">
        <v>502</v>
      </c>
      <c r="H6856" s="6" t="n">
        <v>0.92</v>
      </c>
      <c r="I6856" s="6" t="n">
        <v>0</v>
      </c>
      <c r="J6856" s="40" t="n">
        <f aca="false">H6856-I6856</f>
        <v>0.92</v>
      </c>
      <c r="K6856" s="41" t="n">
        <v>165</v>
      </c>
      <c r="L6856" s="42" t="n">
        <f aca="false">J6856*K6856</f>
        <v>151.8</v>
      </c>
      <c r="M6856" s="43" t="n">
        <f aca="false">H6856*55.55*(1+'Chart of Accounts'!$E$67)</f>
        <v>58.51637</v>
      </c>
    </row>
    <row r="6857" customFormat="false" ht="15" hidden="false" customHeight="false" outlineLevel="0" collapsed="false">
      <c r="B6857" s="7" t="s">
        <v>7354</v>
      </c>
      <c r="C6857" s="39" t="n">
        <v>45973</v>
      </c>
      <c r="D6857" s="7" t="s">
        <v>309</v>
      </c>
      <c r="E6857" s="7" t="s">
        <v>159</v>
      </c>
      <c r="F6857" s="7" t="s">
        <v>252</v>
      </c>
      <c r="G6857" s="7" t="s">
        <v>502</v>
      </c>
      <c r="H6857" s="6" t="n">
        <v>0.91</v>
      </c>
      <c r="I6857" s="6" t="n">
        <v>0</v>
      </c>
      <c r="J6857" s="40" t="n">
        <f aca="false">H6857-I6857</f>
        <v>0.91</v>
      </c>
      <c r="K6857" s="41" t="n">
        <v>135</v>
      </c>
      <c r="L6857" s="42" t="n">
        <f aca="false">J6857*K6857</f>
        <v>122.85</v>
      </c>
      <c r="M6857" s="43" t="n">
        <f aca="false">H6857*57.54*(1+'Chart of Accounts'!$E$67)</f>
        <v>59.953803</v>
      </c>
    </row>
    <row r="6858" customFormat="false" ht="15" hidden="false" customHeight="false" outlineLevel="0" collapsed="false">
      <c r="B6858" s="7" t="s">
        <v>7355</v>
      </c>
      <c r="C6858" s="39" t="n">
        <v>45973</v>
      </c>
      <c r="D6858" s="7" t="s">
        <v>313</v>
      </c>
      <c r="E6858" s="7" t="s">
        <v>156</v>
      </c>
      <c r="F6858" s="7" t="s">
        <v>184</v>
      </c>
      <c r="G6858" s="7" t="s">
        <v>505</v>
      </c>
      <c r="H6858" s="6" t="n">
        <v>3.98</v>
      </c>
      <c r="I6858" s="6" t="n">
        <v>0</v>
      </c>
      <c r="J6858" s="40" t="n">
        <f aca="false">H6858-I6858</f>
        <v>3.98</v>
      </c>
      <c r="K6858" s="41" t="n">
        <v>34</v>
      </c>
      <c r="L6858" s="42" t="n">
        <f aca="false">J6858*K6858</f>
        <v>135.32</v>
      </c>
      <c r="M6858" s="43" t="n">
        <f aca="false">H6858*17.34*(1+'Chart of Accounts'!$E$67)</f>
        <v>79.020114</v>
      </c>
    </row>
    <row r="6859" customFormat="false" ht="15" hidden="false" customHeight="false" outlineLevel="0" collapsed="false">
      <c r="B6859" s="7" t="s">
        <v>7356</v>
      </c>
      <c r="C6859" s="39" t="n">
        <v>45973</v>
      </c>
      <c r="D6859" s="7" t="s">
        <v>315</v>
      </c>
      <c r="E6859" s="7" t="s">
        <v>159</v>
      </c>
      <c r="F6859" s="7" t="s">
        <v>216</v>
      </c>
      <c r="G6859" s="7" t="s">
        <v>502</v>
      </c>
      <c r="H6859" s="6" t="n">
        <v>1.04</v>
      </c>
      <c r="I6859" s="6" t="n">
        <v>0</v>
      </c>
      <c r="J6859" s="40" t="n">
        <f aca="false">H6859-I6859</f>
        <v>1.04</v>
      </c>
      <c r="K6859" s="41" t="n">
        <v>135</v>
      </c>
      <c r="L6859" s="42" t="n">
        <f aca="false">J6859*K6859</f>
        <v>140.4</v>
      </c>
      <c r="M6859" s="43" t="n">
        <f aca="false">H6859*61.79*(1+'Chart of Accounts'!$E$67)</f>
        <v>73.579532</v>
      </c>
    </row>
    <row r="6860" customFormat="false" ht="15" hidden="false" customHeight="false" outlineLevel="0" collapsed="false">
      <c r="B6860" s="7" t="s">
        <v>7357</v>
      </c>
      <c r="C6860" s="39" t="n">
        <v>45973</v>
      </c>
      <c r="D6860" s="7" t="s">
        <v>321</v>
      </c>
      <c r="E6860" s="7" t="s">
        <v>154</v>
      </c>
      <c r="F6860" s="7" t="s">
        <v>218</v>
      </c>
      <c r="G6860" s="7" t="s">
        <v>505</v>
      </c>
      <c r="H6860" s="6" t="n">
        <v>3.85</v>
      </c>
      <c r="I6860" s="6" t="n">
        <v>0</v>
      </c>
      <c r="J6860" s="40" t="n">
        <f aca="false">H6860-I6860</f>
        <v>3.85</v>
      </c>
      <c r="K6860" s="41" t="n">
        <v>26.5</v>
      </c>
      <c r="L6860" s="42" t="n">
        <f aca="false">J6860*K6860</f>
        <v>102.025</v>
      </c>
      <c r="M6860" s="43" t="n">
        <f aca="false">H6860*16.19*(1+'Chart of Accounts'!$E$67)</f>
        <v>71.3695675</v>
      </c>
    </row>
    <row r="6861" customFormat="false" ht="15" hidden="false" customHeight="false" outlineLevel="0" collapsed="false">
      <c r="B6861" s="7" t="s">
        <v>7358</v>
      </c>
      <c r="C6861" s="39" t="n">
        <v>45973</v>
      </c>
      <c r="D6861" s="7" t="s">
        <v>329</v>
      </c>
      <c r="E6861" s="7" t="s">
        <v>156</v>
      </c>
      <c r="F6861" s="7" t="s">
        <v>220</v>
      </c>
      <c r="G6861" s="7" t="s">
        <v>505</v>
      </c>
      <c r="H6861" s="6" t="n">
        <v>4.03</v>
      </c>
      <c r="I6861" s="6" t="n">
        <v>0</v>
      </c>
      <c r="J6861" s="40" t="n">
        <f aca="false">H6861-I6861</f>
        <v>4.03</v>
      </c>
      <c r="K6861" s="41" t="n">
        <v>34</v>
      </c>
      <c r="L6861" s="42" t="n">
        <f aca="false">J6861*K6861</f>
        <v>137.02</v>
      </c>
      <c r="M6861" s="43" t="n">
        <f aca="false">H6861*16.43*(1+'Chart of Accounts'!$E$67)</f>
        <v>75.8137705</v>
      </c>
    </row>
    <row r="6862" customFormat="false" ht="15" hidden="false" customHeight="false" outlineLevel="0" collapsed="false">
      <c r="B6862" s="7" t="s">
        <v>7359</v>
      </c>
      <c r="C6862" s="39" t="n">
        <v>45973</v>
      </c>
      <c r="D6862" s="7" t="s">
        <v>333</v>
      </c>
      <c r="E6862" s="7" t="s">
        <v>154</v>
      </c>
      <c r="F6862" s="7" t="s">
        <v>236</v>
      </c>
      <c r="G6862" s="7" t="s">
        <v>505</v>
      </c>
      <c r="H6862" s="6" t="n">
        <v>3.59</v>
      </c>
      <c r="I6862" s="6" t="n">
        <v>0</v>
      </c>
      <c r="J6862" s="40" t="n">
        <f aca="false">H6862-I6862</f>
        <v>3.59</v>
      </c>
      <c r="K6862" s="41" t="n">
        <v>26.5</v>
      </c>
      <c r="L6862" s="42" t="n">
        <f aca="false">J6862*K6862</f>
        <v>95.135</v>
      </c>
      <c r="M6862" s="43" t="n">
        <f aca="false">H6862*15.49*(1+'Chart of Accounts'!$E$67)</f>
        <v>63.6724195</v>
      </c>
    </row>
    <row r="6863" customFormat="false" ht="15" hidden="false" customHeight="false" outlineLevel="0" collapsed="false">
      <c r="B6863" s="7" t="s">
        <v>7360</v>
      </c>
      <c r="C6863" s="39" t="n">
        <v>45973</v>
      </c>
      <c r="D6863" s="7" t="s">
        <v>335</v>
      </c>
      <c r="E6863" s="7" t="s">
        <v>154</v>
      </c>
      <c r="F6863" s="7" t="s">
        <v>177</v>
      </c>
      <c r="G6863" s="7" t="s">
        <v>505</v>
      </c>
      <c r="H6863" s="6" t="n">
        <v>3.96</v>
      </c>
      <c r="I6863" s="6" t="n">
        <v>0</v>
      </c>
      <c r="J6863" s="40" t="n">
        <f aca="false">H6863-I6863</f>
        <v>3.96</v>
      </c>
      <c r="K6863" s="41" t="n">
        <v>26.5</v>
      </c>
      <c r="L6863" s="42" t="n">
        <f aca="false">J6863*K6863</f>
        <v>104.94</v>
      </c>
      <c r="M6863" s="43" t="n">
        <f aca="false">H6863*14.56*(1+'Chart of Accounts'!$E$67)</f>
        <v>66.017952</v>
      </c>
    </row>
    <row r="6864" customFormat="false" ht="15" hidden="false" customHeight="false" outlineLevel="0" collapsed="false">
      <c r="B6864" s="7" t="s">
        <v>7361</v>
      </c>
      <c r="C6864" s="39" t="n">
        <v>45973</v>
      </c>
      <c r="D6864" s="7" t="s">
        <v>339</v>
      </c>
      <c r="E6864" s="7" t="s">
        <v>154</v>
      </c>
      <c r="F6864" s="7" t="s">
        <v>242</v>
      </c>
      <c r="G6864" s="7" t="s">
        <v>505</v>
      </c>
      <c r="H6864" s="6" t="n">
        <v>3.42</v>
      </c>
      <c r="I6864" s="6" t="n">
        <v>0</v>
      </c>
      <c r="J6864" s="40" t="n">
        <f aca="false">H6864-I6864</f>
        <v>3.42</v>
      </c>
      <c r="K6864" s="41" t="n">
        <v>26.5</v>
      </c>
      <c r="L6864" s="42" t="n">
        <f aca="false">J6864*K6864</f>
        <v>90.63</v>
      </c>
      <c r="M6864" s="43" t="n">
        <f aca="false">H6864*17.99*(1+'Chart of Accounts'!$E$67)</f>
        <v>70.447041</v>
      </c>
    </row>
    <row r="6865" customFormat="false" ht="15" hidden="false" customHeight="false" outlineLevel="0" collapsed="false">
      <c r="B6865" s="7" t="s">
        <v>7362</v>
      </c>
      <c r="C6865" s="39" t="n">
        <v>45973</v>
      </c>
      <c r="D6865" s="7" t="s">
        <v>347</v>
      </c>
      <c r="E6865" s="7" t="s">
        <v>154</v>
      </c>
      <c r="F6865" s="7" t="s">
        <v>238</v>
      </c>
      <c r="G6865" s="7" t="s">
        <v>505</v>
      </c>
      <c r="H6865" s="6" t="n">
        <v>4.49</v>
      </c>
      <c r="I6865" s="6" t="n">
        <v>0.135</v>
      </c>
      <c r="J6865" s="40" t="n">
        <f aca="false">H6865-I6865</f>
        <v>4.355</v>
      </c>
      <c r="K6865" s="41" t="n">
        <v>26.5</v>
      </c>
      <c r="L6865" s="42" t="n">
        <f aca="false">J6865*K6865</f>
        <v>115.4075</v>
      </c>
      <c r="M6865" s="43" t="n">
        <f aca="false">H6865*15.85*(1+'Chart of Accounts'!$E$67)</f>
        <v>81.4856425</v>
      </c>
    </row>
    <row r="6866" customFormat="false" ht="15" hidden="false" customHeight="false" outlineLevel="0" collapsed="false">
      <c r="B6866" s="7" t="s">
        <v>7363</v>
      </c>
      <c r="C6866" s="39" t="n">
        <v>45973</v>
      </c>
      <c r="D6866" s="7" t="s">
        <v>349</v>
      </c>
      <c r="E6866" s="7" t="s">
        <v>154</v>
      </c>
      <c r="F6866" s="7" t="s">
        <v>244</v>
      </c>
      <c r="G6866" s="7" t="s">
        <v>505</v>
      </c>
      <c r="H6866" s="6" t="n">
        <v>4.25</v>
      </c>
      <c r="I6866" s="6" t="n">
        <v>0</v>
      </c>
      <c r="J6866" s="40" t="n">
        <f aca="false">H6866-I6866</f>
        <v>4.25</v>
      </c>
      <c r="K6866" s="41" t="n">
        <v>26.5</v>
      </c>
      <c r="L6866" s="42" t="n">
        <f aca="false">J6866*K6866</f>
        <v>112.625</v>
      </c>
      <c r="M6866" s="43" t="n">
        <f aca="false">H6866*16.39*(1+'Chart of Accounts'!$E$67)</f>
        <v>79.7578375</v>
      </c>
    </row>
    <row r="6867" customFormat="false" ht="15" hidden="false" customHeight="false" outlineLevel="0" collapsed="false">
      <c r="B6867" s="7" t="s">
        <v>7364</v>
      </c>
      <c r="C6867" s="39" t="n">
        <v>45973</v>
      </c>
      <c r="D6867" s="7" t="s">
        <v>353</v>
      </c>
      <c r="E6867" s="7" t="s">
        <v>154</v>
      </c>
      <c r="F6867" s="7" t="s">
        <v>254</v>
      </c>
      <c r="G6867" s="7" t="s">
        <v>505</v>
      </c>
      <c r="H6867" s="6" t="n">
        <v>3.46</v>
      </c>
      <c r="I6867" s="6" t="n">
        <v>0</v>
      </c>
      <c r="J6867" s="40" t="n">
        <f aca="false">H6867-I6867</f>
        <v>3.46</v>
      </c>
      <c r="K6867" s="41" t="n">
        <v>26.5</v>
      </c>
      <c r="L6867" s="42" t="n">
        <f aca="false">J6867*K6867</f>
        <v>91.69</v>
      </c>
      <c r="M6867" s="43" t="n">
        <f aca="false">H6867*17.1*(1+'Chart of Accounts'!$E$67)</f>
        <v>67.74507</v>
      </c>
    </row>
    <row r="6868" customFormat="false" ht="15" hidden="false" customHeight="false" outlineLevel="0" collapsed="false">
      <c r="B6868" s="7" t="s">
        <v>7365</v>
      </c>
      <c r="C6868" s="39" t="n">
        <v>45973</v>
      </c>
      <c r="D6868" s="7" t="s">
        <v>355</v>
      </c>
      <c r="E6868" s="7" t="s">
        <v>154</v>
      </c>
      <c r="F6868" s="7" t="s">
        <v>201</v>
      </c>
      <c r="G6868" s="7" t="s">
        <v>505</v>
      </c>
      <c r="H6868" s="6" t="n">
        <v>3.31</v>
      </c>
      <c r="I6868" s="6" t="n">
        <v>0</v>
      </c>
      <c r="J6868" s="40" t="n">
        <f aca="false">H6868-I6868</f>
        <v>3.31</v>
      </c>
      <c r="K6868" s="41" t="n">
        <v>26.5</v>
      </c>
      <c r="L6868" s="42" t="n">
        <f aca="false">J6868*K6868</f>
        <v>87.715</v>
      </c>
      <c r="M6868" s="43" t="n">
        <f aca="false">H6868*15.19*(1+'Chart of Accounts'!$E$67)</f>
        <v>57.5693405</v>
      </c>
    </row>
    <row r="6869" customFormat="false" ht="15" hidden="false" customHeight="false" outlineLevel="0" collapsed="false">
      <c r="B6869" s="7" t="s">
        <v>7366</v>
      </c>
      <c r="C6869" s="39" t="n">
        <v>45973</v>
      </c>
      <c r="D6869" s="7" t="s">
        <v>357</v>
      </c>
      <c r="E6869" s="7" t="s">
        <v>154</v>
      </c>
      <c r="F6869" s="7" t="s">
        <v>246</v>
      </c>
      <c r="G6869" s="7" t="s">
        <v>505</v>
      </c>
      <c r="H6869" s="6" t="n">
        <v>3.21</v>
      </c>
      <c r="I6869" s="6" t="n">
        <v>0</v>
      </c>
      <c r="J6869" s="40" t="n">
        <f aca="false">H6869-I6869</f>
        <v>3.21</v>
      </c>
      <c r="K6869" s="41" t="n">
        <v>26.5</v>
      </c>
      <c r="L6869" s="42" t="n">
        <f aca="false">J6869*K6869</f>
        <v>85.065</v>
      </c>
      <c r="M6869" s="43" t="n">
        <f aca="false">H6869*16.48*(1+'Chart of Accounts'!$E$67)</f>
        <v>60.571416</v>
      </c>
    </row>
    <row r="6870" customFormat="false" ht="15" hidden="false" customHeight="false" outlineLevel="0" collapsed="false">
      <c r="B6870" s="7" t="s">
        <v>7367</v>
      </c>
      <c r="C6870" s="39" t="n">
        <v>45973</v>
      </c>
      <c r="D6870" s="7" t="s">
        <v>359</v>
      </c>
      <c r="E6870" s="7" t="s">
        <v>156</v>
      </c>
      <c r="F6870" s="7" t="s">
        <v>256</v>
      </c>
      <c r="G6870" s="7" t="s">
        <v>505</v>
      </c>
      <c r="H6870" s="6" t="n">
        <v>3.9</v>
      </c>
      <c r="I6870" s="6" t="n">
        <v>0</v>
      </c>
      <c r="J6870" s="40" t="n">
        <f aca="false">H6870-I6870</f>
        <v>3.9</v>
      </c>
      <c r="K6870" s="41" t="n">
        <v>34</v>
      </c>
      <c r="L6870" s="42" t="n">
        <f aca="false">J6870*K6870</f>
        <v>132.6</v>
      </c>
      <c r="M6870" s="43" t="n">
        <f aca="false">H6870*15.63*(1+'Chart of Accounts'!$E$67)</f>
        <v>69.795765</v>
      </c>
    </row>
    <row r="6871" customFormat="false" ht="15" hidden="false" customHeight="false" outlineLevel="0" collapsed="false">
      <c r="B6871" s="7" t="s">
        <v>7368</v>
      </c>
      <c r="C6871" s="39" t="n">
        <v>45973</v>
      </c>
      <c r="D6871" s="7" t="s">
        <v>365</v>
      </c>
      <c r="E6871" s="7" t="s">
        <v>154</v>
      </c>
      <c r="F6871" s="7" t="s">
        <v>194</v>
      </c>
      <c r="G6871" s="7" t="s">
        <v>505</v>
      </c>
      <c r="H6871" s="6" t="n">
        <v>3.92</v>
      </c>
      <c r="I6871" s="6" t="n">
        <v>0</v>
      </c>
      <c r="J6871" s="40" t="n">
        <f aca="false">H6871-I6871</f>
        <v>3.92</v>
      </c>
      <c r="K6871" s="41" t="n">
        <v>26.5</v>
      </c>
      <c r="L6871" s="42" t="n">
        <f aca="false">J6871*K6871</f>
        <v>103.88</v>
      </c>
      <c r="M6871" s="43" t="n">
        <f aca="false">H6871*16*(1+'Chart of Accounts'!$E$67)</f>
        <v>71.8144</v>
      </c>
    </row>
    <row r="6872" customFormat="false" ht="15" hidden="false" customHeight="false" outlineLevel="0" collapsed="false">
      <c r="B6872" s="7" t="s">
        <v>7369</v>
      </c>
      <c r="C6872" s="39" t="n">
        <v>45973</v>
      </c>
      <c r="D6872" s="7" t="s">
        <v>371</v>
      </c>
      <c r="E6872" s="7" t="s">
        <v>154</v>
      </c>
      <c r="F6872" s="7" t="s">
        <v>232</v>
      </c>
      <c r="G6872" s="7" t="s">
        <v>505</v>
      </c>
      <c r="H6872" s="6" t="n">
        <v>4.71</v>
      </c>
      <c r="I6872" s="6" t="n">
        <v>0</v>
      </c>
      <c r="J6872" s="40" t="n">
        <f aca="false">H6872-I6872</f>
        <v>4.71</v>
      </c>
      <c r="K6872" s="41" t="n">
        <v>26.5</v>
      </c>
      <c r="L6872" s="42" t="n">
        <f aca="false">J6872*K6872</f>
        <v>124.815</v>
      </c>
      <c r="M6872" s="43" t="n">
        <f aca="false">H6872*16.17*(1+'Chart of Accounts'!$E$67)</f>
        <v>87.2040015</v>
      </c>
    </row>
    <row r="6873" customFormat="false" ht="15" hidden="false" customHeight="false" outlineLevel="0" collapsed="false">
      <c r="B6873" s="7" t="s">
        <v>7370</v>
      </c>
      <c r="C6873" s="39" t="n">
        <v>45973</v>
      </c>
      <c r="D6873" s="7" t="s">
        <v>379</v>
      </c>
      <c r="E6873" s="7" t="s">
        <v>156</v>
      </c>
      <c r="F6873" s="7" t="s">
        <v>224</v>
      </c>
      <c r="G6873" s="7" t="s">
        <v>505</v>
      </c>
      <c r="H6873" s="6" t="n">
        <v>4.22</v>
      </c>
      <c r="I6873" s="6" t="n">
        <v>0</v>
      </c>
      <c r="J6873" s="40" t="n">
        <f aca="false">H6873-I6873</f>
        <v>4.22</v>
      </c>
      <c r="K6873" s="41" t="n">
        <v>34</v>
      </c>
      <c r="L6873" s="42" t="n">
        <f aca="false">J6873*K6873</f>
        <v>143.48</v>
      </c>
      <c r="M6873" s="43" t="n">
        <f aca="false">H6873*14.93*(1+'Chart of Accounts'!$E$67)</f>
        <v>72.140267</v>
      </c>
    </row>
    <row r="6874" customFormat="false" ht="15" hidden="false" customHeight="false" outlineLevel="0" collapsed="false">
      <c r="B6874" s="7" t="s">
        <v>7371</v>
      </c>
      <c r="C6874" s="39" t="n">
        <v>45973</v>
      </c>
      <c r="D6874" s="7" t="s">
        <v>385</v>
      </c>
      <c r="E6874" s="7" t="s">
        <v>156</v>
      </c>
      <c r="F6874" s="7" t="s">
        <v>238</v>
      </c>
      <c r="G6874" s="7" t="s">
        <v>505</v>
      </c>
      <c r="H6874" s="6" t="n">
        <v>3.98</v>
      </c>
      <c r="I6874" s="6" t="n">
        <v>0</v>
      </c>
      <c r="J6874" s="40" t="n">
        <f aca="false">H6874-I6874</f>
        <v>3.98</v>
      </c>
      <c r="K6874" s="41" t="n">
        <v>34</v>
      </c>
      <c r="L6874" s="42" t="n">
        <f aca="false">J6874*K6874</f>
        <v>135.32</v>
      </c>
      <c r="M6874" s="43" t="n">
        <f aca="false">H6874*15.85*(1+'Chart of Accounts'!$E$67)</f>
        <v>72.230035</v>
      </c>
    </row>
    <row r="6875" customFormat="false" ht="15" hidden="false" customHeight="false" outlineLevel="0" collapsed="false">
      <c r="B6875" s="7" t="s">
        <v>7372</v>
      </c>
      <c r="C6875" s="39" t="n">
        <v>45973</v>
      </c>
      <c r="D6875" s="7" t="s">
        <v>387</v>
      </c>
      <c r="E6875" s="7" t="s">
        <v>154</v>
      </c>
      <c r="F6875" s="7" t="s">
        <v>196</v>
      </c>
      <c r="G6875" s="7" t="s">
        <v>505</v>
      </c>
      <c r="H6875" s="6" t="n">
        <v>3.92</v>
      </c>
      <c r="I6875" s="6" t="n">
        <v>0.118</v>
      </c>
      <c r="J6875" s="40" t="n">
        <f aca="false">H6875-I6875</f>
        <v>3.802</v>
      </c>
      <c r="K6875" s="41" t="n">
        <v>26.5</v>
      </c>
      <c r="L6875" s="42" t="n">
        <f aca="false">J6875*K6875</f>
        <v>100.753</v>
      </c>
      <c r="M6875" s="43" t="n">
        <f aca="false">H6875*15.05*(1+'Chart of Accounts'!$E$67)</f>
        <v>67.55042</v>
      </c>
    </row>
    <row r="6876" customFormat="false" ht="15" hidden="false" customHeight="false" outlineLevel="0" collapsed="false">
      <c r="B6876" s="7" t="s">
        <v>7373</v>
      </c>
      <c r="C6876" s="39" t="n">
        <v>45973</v>
      </c>
      <c r="D6876" s="7" t="s">
        <v>389</v>
      </c>
      <c r="E6876" s="7" t="s">
        <v>154</v>
      </c>
      <c r="F6876" s="7" t="s">
        <v>246</v>
      </c>
      <c r="G6876" s="7" t="s">
        <v>505</v>
      </c>
      <c r="H6876" s="6" t="n">
        <v>4.11</v>
      </c>
      <c r="I6876" s="6" t="n">
        <v>0.123</v>
      </c>
      <c r="J6876" s="40" t="n">
        <f aca="false">H6876-I6876</f>
        <v>3.987</v>
      </c>
      <c r="K6876" s="41" t="n">
        <v>26.5</v>
      </c>
      <c r="L6876" s="42" t="n">
        <f aca="false">J6876*K6876</f>
        <v>105.6555</v>
      </c>
      <c r="M6876" s="43" t="n">
        <f aca="false">H6876*16.48*(1+'Chart of Accounts'!$E$67)</f>
        <v>77.554056</v>
      </c>
    </row>
    <row r="6877" customFormat="false" ht="15" hidden="false" customHeight="false" outlineLevel="0" collapsed="false">
      <c r="B6877" s="7" t="s">
        <v>7374</v>
      </c>
      <c r="C6877" s="39" t="n">
        <v>45973</v>
      </c>
      <c r="D6877" s="7" t="s">
        <v>391</v>
      </c>
      <c r="E6877" s="7" t="s">
        <v>156</v>
      </c>
      <c r="F6877" s="7" t="s">
        <v>222</v>
      </c>
      <c r="G6877" s="7" t="s">
        <v>505</v>
      </c>
      <c r="H6877" s="6" t="n">
        <v>4.28</v>
      </c>
      <c r="I6877" s="6" t="n">
        <v>0</v>
      </c>
      <c r="J6877" s="40" t="n">
        <f aca="false">H6877-I6877</f>
        <v>4.28</v>
      </c>
      <c r="K6877" s="41" t="n">
        <v>34</v>
      </c>
      <c r="L6877" s="42" t="n">
        <f aca="false">J6877*K6877</f>
        <v>145.52</v>
      </c>
      <c r="M6877" s="43" t="n">
        <f aca="false">H6877*17.84*(1+'Chart of Accounts'!$E$67)</f>
        <v>87.426704</v>
      </c>
    </row>
    <row r="6878" customFormat="false" ht="15" hidden="false" customHeight="false" outlineLevel="0" collapsed="false">
      <c r="B6878" s="7" t="s">
        <v>7375</v>
      </c>
      <c r="C6878" s="39" t="n">
        <v>45973</v>
      </c>
      <c r="D6878" s="7" t="s">
        <v>393</v>
      </c>
      <c r="E6878" s="7" t="s">
        <v>157</v>
      </c>
      <c r="F6878" s="7" t="s">
        <v>203</v>
      </c>
      <c r="G6878" s="7" t="s">
        <v>502</v>
      </c>
      <c r="H6878" s="6" t="n">
        <v>1.06</v>
      </c>
      <c r="I6878" s="6" t="n">
        <v>0</v>
      </c>
      <c r="J6878" s="40" t="n">
        <f aca="false">H6878-I6878</f>
        <v>1.06</v>
      </c>
      <c r="K6878" s="41" t="n">
        <v>165</v>
      </c>
      <c r="L6878" s="42" t="n">
        <f aca="false">J6878*K6878</f>
        <v>174.9</v>
      </c>
      <c r="M6878" s="43" t="n">
        <f aca="false">H6878*49.43*(1+'Chart of Accounts'!$E$67)</f>
        <v>59.993191</v>
      </c>
    </row>
    <row r="6879" customFormat="false" ht="15" hidden="false" customHeight="false" outlineLevel="0" collapsed="false">
      <c r="B6879" s="7" t="s">
        <v>7376</v>
      </c>
      <c r="C6879" s="39" t="n">
        <v>45973</v>
      </c>
      <c r="D6879" s="7" t="s">
        <v>395</v>
      </c>
      <c r="E6879" s="7" t="s">
        <v>156</v>
      </c>
      <c r="F6879" s="7" t="s">
        <v>242</v>
      </c>
      <c r="G6879" s="7" t="s">
        <v>505</v>
      </c>
      <c r="H6879" s="6" t="n">
        <v>4.12</v>
      </c>
      <c r="I6879" s="6" t="n">
        <v>0</v>
      </c>
      <c r="J6879" s="40" t="n">
        <f aca="false">H6879-I6879</f>
        <v>4.12</v>
      </c>
      <c r="K6879" s="41" t="n">
        <v>34</v>
      </c>
      <c r="L6879" s="42" t="n">
        <f aca="false">J6879*K6879</f>
        <v>140.08</v>
      </c>
      <c r="M6879" s="43" t="n">
        <f aca="false">H6879*17.99*(1+'Chart of Accounts'!$E$67)</f>
        <v>84.866026</v>
      </c>
    </row>
    <row r="6880" customFormat="false" ht="15" hidden="false" customHeight="false" outlineLevel="0" collapsed="false">
      <c r="B6880" s="7" t="s">
        <v>7377</v>
      </c>
      <c r="C6880" s="39" t="n">
        <v>45973</v>
      </c>
      <c r="D6880" s="7" t="s">
        <v>399</v>
      </c>
      <c r="E6880" s="7" t="s">
        <v>154</v>
      </c>
      <c r="F6880" s="7" t="s">
        <v>196</v>
      </c>
      <c r="G6880" s="7" t="s">
        <v>505</v>
      </c>
      <c r="H6880" s="6" t="n">
        <v>3.56</v>
      </c>
      <c r="I6880" s="6" t="n">
        <v>0</v>
      </c>
      <c r="J6880" s="40" t="n">
        <f aca="false">H6880-I6880</f>
        <v>3.56</v>
      </c>
      <c r="K6880" s="41" t="n">
        <v>26.5</v>
      </c>
      <c r="L6880" s="42" t="n">
        <f aca="false">J6880*K6880</f>
        <v>94.34</v>
      </c>
      <c r="M6880" s="43" t="n">
        <f aca="false">H6880*15.05*(1+'Chart of Accounts'!$E$67)</f>
        <v>61.34681</v>
      </c>
    </row>
    <row r="6881" customFormat="false" ht="15" hidden="false" customHeight="false" outlineLevel="0" collapsed="false">
      <c r="B6881" s="7" t="s">
        <v>7378</v>
      </c>
      <c r="C6881" s="39" t="n">
        <v>45973</v>
      </c>
      <c r="D6881" s="7" t="s">
        <v>401</v>
      </c>
      <c r="E6881" s="7" t="s">
        <v>156</v>
      </c>
      <c r="F6881" s="7" t="s">
        <v>254</v>
      </c>
      <c r="G6881" s="7" t="s">
        <v>505</v>
      </c>
      <c r="H6881" s="6" t="n">
        <v>3.71</v>
      </c>
      <c r="I6881" s="6" t="n">
        <v>0</v>
      </c>
      <c r="J6881" s="40" t="n">
        <f aca="false">H6881-I6881</f>
        <v>3.71</v>
      </c>
      <c r="K6881" s="41" t="n">
        <v>34</v>
      </c>
      <c r="L6881" s="42" t="n">
        <f aca="false">J6881*K6881</f>
        <v>126.14</v>
      </c>
      <c r="M6881" s="43" t="n">
        <f aca="false">H6881*17.1*(1+'Chart of Accounts'!$E$67)</f>
        <v>72.639945</v>
      </c>
    </row>
    <row r="6882" customFormat="false" ht="15" hidden="false" customHeight="false" outlineLevel="0" collapsed="false">
      <c r="B6882" s="7" t="s">
        <v>7379</v>
      </c>
      <c r="C6882" s="39" t="n">
        <v>45973</v>
      </c>
      <c r="D6882" s="7" t="s">
        <v>403</v>
      </c>
      <c r="E6882" s="7" t="s">
        <v>156</v>
      </c>
      <c r="F6882" s="7" t="s">
        <v>184</v>
      </c>
      <c r="G6882" s="7" t="s">
        <v>505</v>
      </c>
      <c r="H6882" s="6" t="n">
        <v>3.99</v>
      </c>
      <c r="I6882" s="6" t="n">
        <v>0</v>
      </c>
      <c r="J6882" s="40" t="n">
        <f aca="false">H6882-I6882</f>
        <v>3.99</v>
      </c>
      <c r="K6882" s="41" t="n">
        <v>34</v>
      </c>
      <c r="L6882" s="42" t="n">
        <f aca="false">J6882*K6882</f>
        <v>135.66</v>
      </c>
      <c r="M6882" s="43" t="n">
        <f aca="false">H6882*17.34*(1+'Chart of Accounts'!$E$67)</f>
        <v>79.218657</v>
      </c>
    </row>
    <row r="6883" customFormat="false" ht="15" hidden="false" customHeight="false" outlineLevel="0" collapsed="false">
      <c r="B6883" s="7" t="s">
        <v>7380</v>
      </c>
      <c r="C6883" s="39" t="n">
        <v>45973</v>
      </c>
      <c r="D6883" s="7" t="s">
        <v>409</v>
      </c>
      <c r="E6883" s="7" t="s">
        <v>154</v>
      </c>
      <c r="F6883" s="7" t="s">
        <v>214</v>
      </c>
      <c r="G6883" s="7" t="s">
        <v>505</v>
      </c>
      <c r="H6883" s="6" t="n">
        <v>3.51</v>
      </c>
      <c r="I6883" s="6" t="n">
        <v>0.105</v>
      </c>
      <c r="J6883" s="40" t="n">
        <f aca="false">H6883-I6883</f>
        <v>3.405</v>
      </c>
      <c r="K6883" s="41" t="n">
        <v>26.5</v>
      </c>
      <c r="L6883" s="42" t="n">
        <f aca="false">J6883*K6883</f>
        <v>90.2325</v>
      </c>
      <c r="M6883" s="43" t="n">
        <f aca="false">H6883*15.67*(1+'Chart of Accounts'!$E$67)</f>
        <v>62.9769465</v>
      </c>
    </row>
    <row r="6884" customFormat="false" ht="15" hidden="false" customHeight="false" outlineLevel="0" collapsed="false">
      <c r="B6884" s="7" t="s">
        <v>7381</v>
      </c>
      <c r="C6884" s="39" t="n">
        <v>45973</v>
      </c>
      <c r="D6884" s="7" t="s">
        <v>411</v>
      </c>
      <c r="E6884" s="7" t="s">
        <v>154</v>
      </c>
      <c r="F6884" s="7" t="s">
        <v>177</v>
      </c>
      <c r="G6884" s="7" t="s">
        <v>505</v>
      </c>
      <c r="H6884" s="6" t="n">
        <v>4.31</v>
      </c>
      <c r="I6884" s="6" t="n">
        <v>0.129</v>
      </c>
      <c r="J6884" s="40" t="n">
        <f aca="false">H6884-I6884</f>
        <v>4.181</v>
      </c>
      <c r="K6884" s="41" t="n">
        <v>26.5</v>
      </c>
      <c r="L6884" s="42" t="n">
        <f aca="false">J6884*K6884</f>
        <v>110.7965</v>
      </c>
      <c r="M6884" s="43" t="n">
        <f aca="false">H6884*14.56*(1+'Chart of Accounts'!$E$67)</f>
        <v>71.852872</v>
      </c>
    </row>
    <row r="6885" customFormat="false" ht="15" hidden="false" customHeight="false" outlineLevel="0" collapsed="false">
      <c r="B6885" s="7" t="s">
        <v>7382</v>
      </c>
      <c r="C6885" s="39" t="n">
        <v>45974</v>
      </c>
      <c r="D6885" s="7" t="s">
        <v>288</v>
      </c>
      <c r="E6885" s="7" t="s">
        <v>156</v>
      </c>
      <c r="F6885" s="7" t="s">
        <v>246</v>
      </c>
      <c r="G6885" s="7" t="s">
        <v>505</v>
      </c>
      <c r="H6885" s="6" t="n">
        <v>3.98</v>
      </c>
      <c r="I6885" s="6" t="n">
        <v>0</v>
      </c>
      <c r="J6885" s="40" t="n">
        <f aca="false">H6885-I6885</f>
        <v>3.98</v>
      </c>
      <c r="K6885" s="41" t="n">
        <v>34</v>
      </c>
      <c r="L6885" s="42" t="n">
        <f aca="false">J6885*K6885</f>
        <v>135.32</v>
      </c>
      <c r="M6885" s="43" t="n">
        <f aca="false">H6885*16.48*(1+'Chart of Accounts'!$E$67)</f>
        <v>75.101008</v>
      </c>
    </row>
    <row r="6886" customFormat="false" ht="15" hidden="false" customHeight="false" outlineLevel="0" collapsed="false">
      <c r="B6886" s="7" t="s">
        <v>7383</v>
      </c>
      <c r="C6886" s="39" t="n">
        <v>45974</v>
      </c>
      <c r="D6886" s="7" t="s">
        <v>297</v>
      </c>
      <c r="E6886" s="7" t="s">
        <v>156</v>
      </c>
      <c r="F6886" s="7" t="s">
        <v>201</v>
      </c>
      <c r="G6886" s="7" t="s">
        <v>505</v>
      </c>
      <c r="H6886" s="6" t="n">
        <v>3.03</v>
      </c>
      <c r="I6886" s="6" t="n">
        <v>0</v>
      </c>
      <c r="J6886" s="40" t="n">
        <f aca="false">H6886-I6886</f>
        <v>3.03</v>
      </c>
      <c r="K6886" s="41" t="n">
        <v>34</v>
      </c>
      <c r="L6886" s="42" t="n">
        <f aca="false">J6886*K6886</f>
        <v>103.02</v>
      </c>
      <c r="M6886" s="43" t="n">
        <f aca="false">H6886*15.19*(1+'Chart of Accounts'!$E$67)</f>
        <v>52.6994265</v>
      </c>
    </row>
    <row r="6887" customFormat="false" ht="15" hidden="false" customHeight="false" outlineLevel="0" collapsed="false">
      <c r="B6887" s="7" t="s">
        <v>7384</v>
      </c>
      <c r="C6887" s="39" t="n">
        <v>45974</v>
      </c>
      <c r="D6887" s="7" t="s">
        <v>299</v>
      </c>
      <c r="E6887" s="7" t="s">
        <v>154</v>
      </c>
      <c r="F6887" s="7" t="s">
        <v>205</v>
      </c>
      <c r="G6887" s="7" t="s">
        <v>505</v>
      </c>
      <c r="H6887" s="6" t="n">
        <v>3.24</v>
      </c>
      <c r="I6887" s="6" t="n">
        <v>0</v>
      </c>
      <c r="J6887" s="40" t="n">
        <f aca="false">H6887-I6887</f>
        <v>3.24</v>
      </c>
      <c r="K6887" s="41" t="n">
        <v>26.5</v>
      </c>
      <c r="L6887" s="42" t="n">
        <f aca="false">J6887*K6887</f>
        <v>85.86</v>
      </c>
      <c r="M6887" s="43" t="n">
        <f aca="false">H6887*16.36*(1+'Chart of Accounts'!$E$67)</f>
        <v>60.692328</v>
      </c>
    </row>
    <row r="6888" customFormat="false" ht="15" hidden="false" customHeight="false" outlineLevel="0" collapsed="false">
      <c r="B6888" s="7" t="s">
        <v>7385</v>
      </c>
      <c r="C6888" s="39" t="n">
        <v>45974</v>
      </c>
      <c r="D6888" s="7" t="s">
        <v>303</v>
      </c>
      <c r="E6888" s="7" t="s">
        <v>154</v>
      </c>
      <c r="F6888" s="7" t="s">
        <v>240</v>
      </c>
      <c r="G6888" s="7" t="s">
        <v>505</v>
      </c>
      <c r="H6888" s="6" t="n">
        <v>3.95</v>
      </c>
      <c r="I6888" s="6" t="n">
        <v>0</v>
      </c>
      <c r="J6888" s="40" t="n">
        <f aca="false">H6888-I6888</f>
        <v>3.95</v>
      </c>
      <c r="K6888" s="41" t="n">
        <v>26.5</v>
      </c>
      <c r="L6888" s="42" t="n">
        <f aca="false">J6888*K6888</f>
        <v>104.675</v>
      </c>
      <c r="M6888" s="43" t="n">
        <f aca="false">H6888*16.96*(1+'Chart of Accounts'!$E$67)</f>
        <v>76.70584</v>
      </c>
    </row>
    <row r="6889" customFormat="false" ht="15" hidden="false" customHeight="false" outlineLevel="0" collapsed="false">
      <c r="B6889" s="7" t="s">
        <v>7386</v>
      </c>
      <c r="C6889" s="39" t="n">
        <v>45974</v>
      </c>
      <c r="D6889" s="7" t="s">
        <v>311</v>
      </c>
      <c r="E6889" s="7" t="s">
        <v>154</v>
      </c>
      <c r="F6889" s="7" t="s">
        <v>196</v>
      </c>
      <c r="G6889" s="7" t="s">
        <v>505</v>
      </c>
      <c r="H6889" s="6" t="n">
        <v>3.25</v>
      </c>
      <c r="I6889" s="6" t="n">
        <v>0</v>
      </c>
      <c r="J6889" s="40" t="n">
        <f aca="false">H6889-I6889</f>
        <v>3.25</v>
      </c>
      <c r="K6889" s="41" t="n">
        <v>26.5</v>
      </c>
      <c r="L6889" s="42" t="n">
        <f aca="false">J6889*K6889</f>
        <v>86.125</v>
      </c>
      <c r="M6889" s="43" t="n">
        <f aca="false">H6889*15.05*(1+'Chart of Accounts'!$E$67)</f>
        <v>56.0048125</v>
      </c>
    </row>
    <row r="6890" customFormat="false" ht="15" hidden="false" customHeight="false" outlineLevel="0" collapsed="false">
      <c r="B6890" s="7" t="s">
        <v>7387</v>
      </c>
      <c r="C6890" s="39" t="n">
        <v>45974</v>
      </c>
      <c r="D6890" s="7" t="s">
        <v>313</v>
      </c>
      <c r="E6890" s="7" t="s">
        <v>156</v>
      </c>
      <c r="F6890" s="7" t="s">
        <v>184</v>
      </c>
      <c r="G6890" s="7" t="s">
        <v>505</v>
      </c>
      <c r="H6890" s="6" t="n">
        <v>3.94</v>
      </c>
      <c r="I6890" s="6" t="n">
        <v>0</v>
      </c>
      <c r="J6890" s="40" t="n">
        <f aca="false">H6890-I6890</f>
        <v>3.94</v>
      </c>
      <c r="K6890" s="41" t="n">
        <v>34</v>
      </c>
      <c r="L6890" s="42" t="n">
        <f aca="false">J6890*K6890</f>
        <v>133.96</v>
      </c>
      <c r="M6890" s="43" t="n">
        <f aca="false">H6890*17.34*(1+'Chart of Accounts'!$E$67)</f>
        <v>78.225942</v>
      </c>
    </row>
    <row r="6891" customFormat="false" ht="15" hidden="false" customHeight="false" outlineLevel="0" collapsed="false">
      <c r="B6891" s="7" t="s">
        <v>7388</v>
      </c>
      <c r="C6891" s="39" t="n">
        <v>45974</v>
      </c>
      <c r="D6891" s="7" t="s">
        <v>317</v>
      </c>
      <c r="E6891" s="7" t="s">
        <v>156</v>
      </c>
      <c r="F6891" s="7" t="s">
        <v>218</v>
      </c>
      <c r="G6891" s="7" t="s">
        <v>505</v>
      </c>
      <c r="H6891" s="6" t="n">
        <v>2.95</v>
      </c>
      <c r="I6891" s="6" t="n">
        <v>0</v>
      </c>
      <c r="J6891" s="40" t="n">
        <f aca="false">H6891-I6891</f>
        <v>2.95</v>
      </c>
      <c r="K6891" s="41" t="n">
        <v>34</v>
      </c>
      <c r="L6891" s="42" t="n">
        <f aca="false">J6891*K6891</f>
        <v>100.3</v>
      </c>
      <c r="M6891" s="43" t="n">
        <f aca="false">H6891*16.19*(1+'Chart of Accounts'!$E$67)</f>
        <v>54.6857725</v>
      </c>
    </row>
    <row r="6892" customFormat="false" ht="15" hidden="false" customHeight="false" outlineLevel="0" collapsed="false">
      <c r="B6892" s="7" t="s">
        <v>7389</v>
      </c>
      <c r="C6892" s="39" t="n">
        <v>45974</v>
      </c>
      <c r="D6892" s="7" t="s">
        <v>321</v>
      </c>
      <c r="E6892" s="7" t="s">
        <v>154</v>
      </c>
      <c r="F6892" s="7" t="s">
        <v>218</v>
      </c>
      <c r="G6892" s="7" t="s">
        <v>505</v>
      </c>
      <c r="H6892" s="6" t="n">
        <v>3.75</v>
      </c>
      <c r="I6892" s="6" t="n">
        <v>0</v>
      </c>
      <c r="J6892" s="40" t="n">
        <f aca="false">H6892-I6892</f>
        <v>3.75</v>
      </c>
      <c r="K6892" s="41" t="n">
        <v>26.5</v>
      </c>
      <c r="L6892" s="42" t="n">
        <f aca="false">J6892*K6892</f>
        <v>99.375</v>
      </c>
      <c r="M6892" s="43" t="n">
        <f aca="false">H6892*16.19*(1+'Chart of Accounts'!$E$67)</f>
        <v>69.5158125</v>
      </c>
    </row>
    <row r="6893" customFormat="false" ht="15" hidden="false" customHeight="false" outlineLevel="0" collapsed="false">
      <c r="B6893" s="7" t="s">
        <v>7390</v>
      </c>
      <c r="C6893" s="39" t="n">
        <v>45974</v>
      </c>
      <c r="D6893" s="7" t="s">
        <v>325</v>
      </c>
      <c r="E6893" s="7" t="s">
        <v>154</v>
      </c>
      <c r="F6893" s="7" t="s">
        <v>196</v>
      </c>
      <c r="G6893" s="7" t="s">
        <v>505</v>
      </c>
      <c r="H6893" s="6" t="n">
        <v>3.18</v>
      </c>
      <c r="I6893" s="6" t="n">
        <v>0</v>
      </c>
      <c r="J6893" s="40" t="n">
        <f aca="false">H6893-I6893</f>
        <v>3.18</v>
      </c>
      <c r="K6893" s="41" t="n">
        <v>26.5</v>
      </c>
      <c r="L6893" s="42" t="n">
        <f aca="false">J6893*K6893</f>
        <v>84.27</v>
      </c>
      <c r="M6893" s="43" t="n">
        <f aca="false">H6893*15.05*(1+'Chart of Accounts'!$E$67)</f>
        <v>54.798555</v>
      </c>
    </row>
    <row r="6894" customFormat="false" ht="15" hidden="false" customHeight="false" outlineLevel="0" collapsed="false">
      <c r="B6894" s="7" t="s">
        <v>7391</v>
      </c>
      <c r="C6894" s="39" t="n">
        <v>45974</v>
      </c>
      <c r="D6894" s="7" t="s">
        <v>329</v>
      </c>
      <c r="E6894" s="7" t="s">
        <v>156</v>
      </c>
      <c r="F6894" s="7" t="s">
        <v>220</v>
      </c>
      <c r="G6894" s="7" t="s">
        <v>505</v>
      </c>
      <c r="H6894" s="6" t="n">
        <v>4.27</v>
      </c>
      <c r="I6894" s="6" t="n">
        <v>0</v>
      </c>
      <c r="J6894" s="40" t="n">
        <f aca="false">H6894-I6894</f>
        <v>4.27</v>
      </c>
      <c r="K6894" s="41" t="n">
        <v>34</v>
      </c>
      <c r="L6894" s="42" t="n">
        <f aca="false">J6894*K6894</f>
        <v>145.18</v>
      </c>
      <c r="M6894" s="43" t="n">
        <f aca="false">H6894*16.43*(1+'Chart of Accounts'!$E$67)</f>
        <v>80.3287345</v>
      </c>
    </row>
    <row r="6895" customFormat="false" ht="15" hidden="false" customHeight="false" outlineLevel="0" collapsed="false">
      <c r="B6895" s="7" t="s">
        <v>7392</v>
      </c>
      <c r="C6895" s="39" t="n">
        <v>45974</v>
      </c>
      <c r="D6895" s="7" t="s">
        <v>331</v>
      </c>
      <c r="E6895" s="7" t="s">
        <v>156</v>
      </c>
      <c r="F6895" s="7" t="s">
        <v>224</v>
      </c>
      <c r="G6895" s="7" t="s">
        <v>505</v>
      </c>
      <c r="H6895" s="6" t="n">
        <v>3.68</v>
      </c>
      <c r="I6895" s="6" t="n">
        <v>0</v>
      </c>
      <c r="J6895" s="40" t="n">
        <f aca="false">H6895-I6895</f>
        <v>3.68</v>
      </c>
      <c r="K6895" s="41" t="n">
        <v>34</v>
      </c>
      <c r="L6895" s="42" t="n">
        <f aca="false">J6895*K6895</f>
        <v>125.12</v>
      </c>
      <c r="M6895" s="43" t="n">
        <f aca="false">H6895*14.93*(1+'Chart of Accounts'!$E$67)</f>
        <v>62.909048</v>
      </c>
    </row>
    <row r="6896" customFormat="false" ht="15" hidden="false" customHeight="false" outlineLevel="0" collapsed="false">
      <c r="B6896" s="7" t="s">
        <v>7393</v>
      </c>
      <c r="C6896" s="39" t="n">
        <v>45974</v>
      </c>
      <c r="D6896" s="7" t="s">
        <v>341</v>
      </c>
      <c r="E6896" s="7" t="s">
        <v>156</v>
      </c>
      <c r="F6896" s="7" t="s">
        <v>222</v>
      </c>
      <c r="G6896" s="7" t="s">
        <v>505</v>
      </c>
      <c r="H6896" s="6" t="n">
        <v>3.11</v>
      </c>
      <c r="I6896" s="6" t="n">
        <v>0</v>
      </c>
      <c r="J6896" s="40" t="n">
        <f aca="false">H6896-I6896</f>
        <v>3.11</v>
      </c>
      <c r="K6896" s="41" t="n">
        <v>34</v>
      </c>
      <c r="L6896" s="42" t="n">
        <f aca="false">J6896*K6896</f>
        <v>105.74</v>
      </c>
      <c r="M6896" s="43" t="n">
        <f aca="false">H6896*17.84*(1+'Chart of Accounts'!$E$67)</f>
        <v>63.527348</v>
      </c>
    </row>
    <row r="6897" customFormat="false" ht="15" hidden="false" customHeight="false" outlineLevel="0" collapsed="false">
      <c r="B6897" s="7" t="s">
        <v>7394</v>
      </c>
      <c r="C6897" s="39" t="n">
        <v>45974</v>
      </c>
      <c r="D6897" s="7" t="s">
        <v>343</v>
      </c>
      <c r="E6897" s="7" t="s">
        <v>154</v>
      </c>
      <c r="F6897" s="7" t="s">
        <v>256</v>
      </c>
      <c r="G6897" s="7" t="s">
        <v>505</v>
      </c>
      <c r="H6897" s="6" t="n">
        <v>4.32</v>
      </c>
      <c r="I6897" s="6" t="n">
        <v>0.13</v>
      </c>
      <c r="J6897" s="40" t="n">
        <f aca="false">H6897-I6897</f>
        <v>4.19</v>
      </c>
      <c r="K6897" s="41" t="n">
        <v>26.5</v>
      </c>
      <c r="L6897" s="42" t="n">
        <f aca="false">J6897*K6897</f>
        <v>111.035</v>
      </c>
      <c r="M6897" s="43" t="n">
        <f aca="false">H6897*15.63*(1+'Chart of Accounts'!$E$67)</f>
        <v>77.312232</v>
      </c>
    </row>
    <row r="6898" customFormat="false" ht="15" hidden="false" customHeight="false" outlineLevel="0" collapsed="false">
      <c r="B6898" s="7" t="s">
        <v>7395</v>
      </c>
      <c r="C6898" s="39" t="n">
        <v>45974</v>
      </c>
      <c r="D6898" s="7" t="s">
        <v>349</v>
      </c>
      <c r="E6898" s="7" t="s">
        <v>154</v>
      </c>
      <c r="F6898" s="7" t="s">
        <v>244</v>
      </c>
      <c r="G6898" s="7" t="s">
        <v>505</v>
      </c>
      <c r="H6898" s="6" t="n">
        <v>3.98</v>
      </c>
      <c r="I6898" s="6" t="n">
        <v>0</v>
      </c>
      <c r="J6898" s="40" t="n">
        <f aca="false">H6898-I6898</f>
        <v>3.98</v>
      </c>
      <c r="K6898" s="41" t="n">
        <v>26.5</v>
      </c>
      <c r="L6898" s="42" t="n">
        <f aca="false">J6898*K6898</f>
        <v>105.47</v>
      </c>
      <c r="M6898" s="43" t="n">
        <f aca="false">H6898*16.39*(1+'Chart of Accounts'!$E$67)</f>
        <v>74.690869</v>
      </c>
    </row>
    <row r="6899" customFormat="false" ht="15" hidden="false" customHeight="false" outlineLevel="0" collapsed="false">
      <c r="B6899" s="7" t="s">
        <v>7396</v>
      </c>
      <c r="C6899" s="39" t="n">
        <v>45974</v>
      </c>
      <c r="D6899" s="7" t="s">
        <v>351</v>
      </c>
      <c r="E6899" s="7" t="s">
        <v>154</v>
      </c>
      <c r="F6899" s="7" t="s">
        <v>201</v>
      </c>
      <c r="G6899" s="7" t="s">
        <v>505</v>
      </c>
      <c r="H6899" s="6" t="n">
        <v>2.83</v>
      </c>
      <c r="I6899" s="6" t="n">
        <v>0</v>
      </c>
      <c r="J6899" s="40" t="n">
        <f aca="false">H6899-I6899</f>
        <v>2.83</v>
      </c>
      <c r="K6899" s="41" t="n">
        <v>26.5</v>
      </c>
      <c r="L6899" s="42" t="n">
        <f aca="false">J6899*K6899</f>
        <v>74.995</v>
      </c>
      <c r="M6899" s="43" t="n">
        <f aca="false">H6899*15.19*(1+'Chart of Accounts'!$E$67)</f>
        <v>49.2209165</v>
      </c>
    </row>
    <row r="6900" customFormat="false" ht="15" hidden="false" customHeight="false" outlineLevel="0" collapsed="false">
      <c r="B6900" s="7" t="s">
        <v>7397</v>
      </c>
      <c r="C6900" s="39" t="n">
        <v>45974</v>
      </c>
      <c r="D6900" s="7" t="s">
        <v>359</v>
      </c>
      <c r="E6900" s="7" t="s">
        <v>156</v>
      </c>
      <c r="F6900" s="7" t="s">
        <v>244</v>
      </c>
      <c r="G6900" s="7" t="s">
        <v>505</v>
      </c>
      <c r="H6900" s="6" t="n">
        <v>3.81</v>
      </c>
      <c r="I6900" s="6" t="n">
        <v>0</v>
      </c>
      <c r="J6900" s="40" t="n">
        <f aca="false">H6900-I6900</f>
        <v>3.81</v>
      </c>
      <c r="K6900" s="41" t="n">
        <v>34</v>
      </c>
      <c r="L6900" s="42" t="n">
        <f aca="false">J6900*K6900</f>
        <v>129.54</v>
      </c>
      <c r="M6900" s="43" t="n">
        <f aca="false">H6900*16.39*(1+'Chart of Accounts'!$E$67)</f>
        <v>71.5005555</v>
      </c>
    </row>
    <row r="6901" customFormat="false" ht="15" hidden="false" customHeight="false" outlineLevel="0" collapsed="false">
      <c r="B6901" s="7" t="s">
        <v>7398</v>
      </c>
      <c r="C6901" s="39" t="n">
        <v>45974</v>
      </c>
      <c r="D6901" s="7" t="s">
        <v>363</v>
      </c>
      <c r="E6901" s="7" t="s">
        <v>156</v>
      </c>
      <c r="F6901" s="7" t="s">
        <v>246</v>
      </c>
      <c r="G6901" s="7" t="s">
        <v>505</v>
      </c>
      <c r="H6901" s="6" t="n">
        <v>3.68</v>
      </c>
      <c r="I6901" s="6" t="n">
        <v>0</v>
      </c>
      <c r="J6901" s="40" t="n">
        <f aca="false">H6901-I6901</f>
        <v>3.68</v>
      </c>
      <c r="K6901" s="41" t="n">
        <v>34</v>
      </c>
      <c r="L6901" s="42" t="n">
        <f aca="false">J6901*K6901</f>
        <v>125.12</v>
      </c>
      <c r="M6901" s="43" t="n">
        <f aca="false">H6901*16.48*(1+'Chart of Accounts'!$E$67)</f>
        <v>69.440128</v>
      </c>
    </row>
    <row r="6902" customFormat="false" ht="15" hidden="false" customHeight="false" outlineLevel="0" collapsed="false">
      <c r="B6902" s="7" t="s">
        <v>7399</v>
      </c>
      <c r="C6902" s="39" t="n">
        <v>45974</v>
      </c>
      <c r="D6902" s="7" t="s">
        <v>365</v>
      </c>
      <c r="E6902" s="7" t="s">
        <v>154</v>
      </c>
      <c r="F6902" s="7" t="s">
        <v>194</v>
      </c>
      <c r="G6902" s="7" t="s">
        <v>505</v>
      </c>
      <c r="H6902" s="6" t="n">
        <v>4.31</v>
      </c>
      <c r="I6902" s="6" t="n">
        <v>0</v>
      </c>
      <c r="J6902" s="40" t="n">
        <f aca="false">H6902-I6902</f>
        <v>4.31</v>
      </c>
      <c r="K6902" s="41" t="n">
        <v>26.5</v>
      </c>
      <c r="L6902" s="42" t="n">
        <f aca="false">J6902*K6902</f>
        <v>114.215</v>
      </c>
      <c r="M6902" s="43" t="n">
        <f aca="false">H6902*16*(1+'Chart of Accounts'!$E$67)</f>
        <v>78.9592</v>
      </c>
    </row>
    <row r="6903" customFormat="false" ht="15" hidden="false" customHeight="false" outlineLevel="0" collapsed="false">
      <c r="B6903" s="7" t="s">
        <v>7400</v>
      </c>
      <c r="C6903" s="39" t="n">
        <v>45974</v>
      </c>
      <c r="D6903" s="7" t="s">
        <v>375</v>
      </c>
      <c r="E6903" s="7" t="s">
        <v>156</v>
      </c>
      <c r="F6903" s="7" t="s">
        <v>196</v>
      </c>
      <c r="G6903" s="7" t="s">
        <v>505</v>
      </c>
      <c r="H6903" s="6" t="n">
        <v>3.12</v>
      </c>
      <c r="I6903" s="6" t="n">
        <v>0</v>
      </c>
      <c r="J6903" s="40" t="n">
        <f aca="false">H6903-I6903</f>
        <v>3.12</v>
      </c>
      <c r="K6903" s="41" t="n">
        <v>34</v>
      </c>
      <c r="L6903" s="42" t="n">
        <f aca="false">J6903*K6903</f>
        <v>106.08</v>
      </c>
      <c r="M6903" s="43" t="n">
        <f aca="false">H6903*15.05*(1+'Chart of Accounts'!$E$67)</f>
        <v>53.76462</v>
      </c>
    </row>
    <row r="6904" customFormat="false" ht="15" hidden="false" customHeight="false" outlineLevel="0" collapsed="false">
      <c r="B6904" s="7" t="s">
        <v>7401</v>
      </c>
      <c r="C6904" s="39" t="n">
        <v>45974</v>
      </c>
      <c r="D6904" s="7" t="s">
        <v>377</v>
      </c>
      <c r="E6904" s="7" t="s">
        <v>154</v>
      </c>
      <c r="F6904" s="7" t="s">
        <v>214</v>
      </c>
      <c r="G6904" s="7" t="s">
        <v>505</v>
      </c>
      <c r="H6904" s="6" t="n">
        <v>4.38</v>
      </c>
      <c r="I6904" s="6" t="n">
        <v>0</v>
      </c>
      <c r="J6904" s="40" t="n">
        <f aca="false">H6904-I6904</f>
        <v>4.38</v>
      </c>
      <c r="K6904" s="41" t="n">
        <v>26.5</v>
      </c>
      <c r="L6904" s="42" t="n">
        <f aca="false">J6904*K6904</f>
        <v>116.07</v>
      </c>
      <c r="M6904" s="43" t="n">
        <f aca="false">H6904*15.67*(1+'Chart of Accounts'!$E$67)</f>
        <v>78.586617</v>
      </c>
    </row>
    <row r="6905" customFormat="false" ht="15" hidden="false" customHeight="false" outlineLevel="0" collapsed="false">
      <c r="B6905" s="7" t="s">
        <v>7402</v>
      </c>
      <c r="C6905" s="39" t="n">
        <v>45974</v>
      </c>
      <c r="D6905" s="7" t="s">
        <v>387</v>
      </c>
      <c r="E6905" s="7" t="s">
        <v>154</v>
      </c>
      <c r="F6905" s="7" t="s">
        <v>196</v>
      </c>
      <c r="G6905" s="7" t="s">
        <v>505</v>
      </c>
      <c r="H6905" s="6" t="n">
        <v>3.76</v>
      </c>
      <c r="I6905" s="6" t="n">
        <v>0</v>
      </c>
      <c r="J6905" s="40" t="n">
        <f aca="false">H6905-I6905</f>
        <v>3.76</v>
      </c>
      <c r="K6905" s="41" t="n">
        <v>26.5</v>
      </c>
      <c r="L6905" s="42" t="n">
        <f aca="false">J6905*K6905</f>
        <v>99.64</v>
      </c>
      <c r="M6905" s="43" t="n">
        <f aca="false">H6905*15.05*(1+'Chart of Accounts'!$E$67)</f>
        <v>64.79326</v>
      </c>
    </row>
    <row r="6906" customFormat="false" ht="15" hidden="false" customHeight="false" outlineLevel="0" collapsed="false">
      <c r="B6906" s="7" t="s">
        <v>7403</v>
      </c>
      <c r="C6906" s="39" t="n">
        <v>45974</v>
      </c>
      <c r="D6906" s="7" t="s">
        <v>389</v>
      </c>
      <c r="E6906" s="7" t="s">
        <v>154</v>
      </c>
      <c r="F6906" s="7" t="s">
        <v>246</v>
      </c>
      <c r="G6906" s="7" t="s">
        <v>505</v>
      </c>
      <c r="H6906" s="6" t="n">
        <v>3.86</v>
      </c>
      <c r="I6906" s="6" t="n">
        <v>0</v>
      </c>
      <c r="J6906" s="40" t="n">
        <f aca="false">H6906-I6906</f>
        <v>3.86</v>
      </c>
      <c r="K6906" s="41" t="n">
        <v>26.5</v>
      </c>
      <c r="L6906" s="42" t="n">
        <f aca="false">J6906*K6906</f>
        <v>102.29</v>
      </c>
      <c r="M6906" s="43" t="n">
        <f aca="false">H6906*16.48*(1+'Chart of Accounts'!$E$67)</f>
        <v>72.836656</v>
      </c>
    </row>
    <row r="6907" customFormat="false" ht="15" hidden="false" customHeight="false" outlineLevel="0" collapsed="false">
      <c r="B6907" s="7" t="s">
        <v>7404</v>
      </c>
      <c r="C6907" s="39" t="n">
        <v>45974</v>
      </c>
      <c r="D6907" s="7" t="s">
        <v>391</v>
      </c>
      <c r="E6907" s="7" t="s">
        <v>156</v>
      </c>
      <c r="F6907" s="7" t="s">
        <v>222</v>
      </c>
      <c r="G6907" s="7" t="s">
        <v>505</v>
      </c>
      <c r="H6907" s="6" t="n">
        <v>4.22</v>
      </c>
      <c r="I6907" s="6" t="n">
        <v>0</v>
      </c>
      <c r="J6907" s="40" t="n">
        <f aca="false">H6907-I6907</f>
        <v>4.22</v>
      </c>
      <c r="K6907" s="41" t="n">
        <v>34</v>
      </c>
      <c r="L6907" s="42" t="n">
        <f aca="false">J6907*K6907</f>
        <v>143.48</v>
      </c>
      <c r="M6907" s="43" t="n">
        <f aca="false">H6907*17.84*(1+'Chart of Accounts'!$E$67)</f>
        <v>86.201096</v>
      </c>
    </row>
    <row r="6908" customFormat="false" ht="15" hidden="false" customHeight="false" outlineLevel="0" collapsed="false">
      <c r="B6908" s="7" t="s">
        <v>7405</v>
      </c>
      <c r="C6908" s="39" t="n">
        <v>45974</v>
      </c>
      <c r="D6908" s="7" t="s">
        <v>395</v>
      </c>
      <c r="E6908" s="7" t="s">
        <v>156</v>
      </c>
      <c r="F6908" s="7" t="s">
        <v>242</v>
      </c>
      <c r="G6908" s="7" t="s">
        <v>505</v>
      </c>
      <c r="H6908" s="6" t="n">
        <v>4.07</v>
      </c>
      <c r="I6908" s="6" t="n">
        <v>0</v>
      </c>
      <c r="J6908" s="40" t="n">
        <f aca="false">H6908-I6908</f>
        <v>4.07</v>
      </c>
      <c r="K6908" s="41" t="n">
        <v>34</v>
      </c>
      <c r="L6908" s="42" t="n">
        <f aca="false">J6908*K6908</f>
        <v>138.38</v>
      </c>
      <c r="M6908" s="43" t="n">
        <f aca="false">H6908*17.99*(1+'Chart of Accounts'!$E$67)</f>
        <v>83.8360985</v>
      </c>
    </row>
    <row r="6909" customFormat="false" ht="15" hidden="false" customHeight="false" outlineLevel="0" collapsed="false">
      <c r="B6909" s="7" t="s">
        <v>7406</v>
      </c>
      <c r="C6909" s="39" t="n">
        <v>45974</v>
      </c>
      <c r="D6909" s="7" t="s">
        <v>401</v>
      </c>
      <c r="E6909" s="7" t="s">
        <v>156</v>
      </c>
      <c r="F6909" s="7" t="s">
        <v>254</v>
      </c>
      <c r="G6909" s="7" t="s">
        <v>505</v>
      </c>
      <c r="H6909" s="6" t="n">
        <v>4.09</v>
      </c>
      <c r="I6909" s="6" t="n">
        <v>0</v>
      </c>
      <c r="J6909" s="40" t="n">
        <f aca="false">H6909-I6909</f>
        <v>4.09</v>
      </c>
      <c r="K6909" s="41" t="n">
        <v>34</v>
      </c>
      <c r="L6909" s="42" t="n">
        <f aca="false">J6909*K6909</f>
        <v>139.06</v>
      </c>
      <c r="M6909" s="43" t="n">
        <f aca="false">H6909*17.1*(1+'Chart of Accounts'!$E$67)</f>
        <v>80.080155</v>
      </c>
    </row>
    <row r="6910" customFormat="false" ht="15" hidden="false" customHeight="false" outlineLevel="0" collapsed="false">
      <c r="B6910" s="7" t="s">
        <v>7407</v>
      </c>
      <c r="C6910" s="39" t="n">
        <v>45975</v>
      </c>
      <c r="D6910" s="7" t="s">
        <v>288</v>
      </c>
      <c r="E6910" s="7" t="s">
        <v>156</v>
      </c>
      <c r="F6910" s="7" t="s">
        <v>222</v>
      </c>
      <c r="G6910" s="7" t="s">
        <v>505</v>
      </c>
      <c r="H6910" s="6" t="n">
        <v>3.71</v>
      </c>
      <c r="I6910" s="6" t="n">
        <v>0</v>
      </c>
      <c r="J6910" s="40" t="n">
        <f aca="false">H6910-I6910</f>
        <v>3.71</v>
      </c>
      <c r="K6910" s="41" t="n">
        <v>34</v>
      </c>
      <c r="L6910" s="42" t="n">
        <f aca="false">J6910*K6910</f>
        <v>126.14</v>
      </c>
      <c r="M6910" s="43" t="n">
        <f aca="false">H6910*17.84*(1+'Chart of Accounts'!$E$67)</f>
        <v>75.783428</v>
      </c>
    </row>
    <row r="6911" customFormat="false" ht="15" hidden="false" customHeight="false" outlineLevel="0" collapsed="false">
      <c r="B6911" s="7" t="s">
        <v>7408</v>
      </c>
      <c r="C6911" s="39" t="n">
        <v>45975</v>
      </c>
      <c r="D6911" s="7" t="s">
        <v>291</v>
      </c>
      <c r="E6911" s="7" t="s">
        <v>154</v>
      </c>
      <c r="F6911" s="7" t="s">
        <v>194</v>
      </c>
      <c r="G6911" s="7" t="s">
        <v>505</v>
      </c>
      <c r="H6911" s="6" t="n">
        <v>4.79</v>
      </c>
      <c r="I6911" s="6" t="n">
        <v>0</v>
      </c>
      <c r="J6911" s="40" t="n">
        <f aca="false">H6911-I6911</f>
        <v>4.79</v>
      </c>
      <c r="K6911" s="41" t="n">
        <v>26.5</v>
      </c>
      <c r="L6911" s="42" t="n">
        <f aca="false">J6911*K6911</f>
        <v>126.935</v>
      </c>
      <c r="M6911" s="43" t="n">
        <f aca="false">H6911*16*(1+'Chart of Accounts'!$E$67)</f>
        <v>87.7528</v>
      </c>
    </row>
    <row r="6912" customFormat="false" ht="15" hidden="false" customHeight="false" outlineLevel="0" collapsed="false">
      <c r="B6912" s="7" t="s">
        <v>7409</v>
      </c>
      <c r="C6912" s="39" t="n">
        <v>45975</v>
      </c>
      <c r="D6912" s="7" t="s">
        <v>293</v>
      </c>
      <c r="E6912" s="7" t="s">
        <v>157</v>
      </c>
      <c r="F6912" s="7" t="s">
        <v>198</v>
      </c>
      <c r="G6912" s="7" t="s">
        <v>502</v>
      </c>
      <c r="H6912" s="6" t="n">
        <v>0.95</v>
      </c>
      <c r="I6912" s="6" t="n">
        <v>0</v>
      </c>
      <c r="J6912" s="40" t="n">
        <f aca="false">H6912-I6912</f>
        <v>0.95</v>
      </c>
      <c r="K6912" s="41" t="n">
        <v>165</v>
      </c>
      <c r="L6912" s="42" t="n">
        <f aca="false">J6912*K6912</f>
        <v>156.75</v>
      </c>
      <c r="M6912" s="43" t="n">
        <f aca="false">H6912*48.09*(1+'Chart of Accounts'!$E$67)</f>
        <v>52.3098975</v>
      </c>
    </row>
    <row r="6913" customFormat="false" ht="15" hidden="false" customHeight="false" outlineLevel="0" collapsed="false">
      <c r="B6913" s="7" t="s">
        <v>7410</v>
      </c>
      <c r="C6913" s="39" t="n">
        <v>45975</v>
      </c>
      <c r="D6913" s="7" t="s">
        <v>295</v>
      </c>
      <c r="E6913" s="7" t="s">
        <v>154</v>
      </c>
      <c r="F6913" s="7" t="s">
        <v>214</v>
      </c>
      <c r="G6913" s="7" t="s">
        <v>505</v>
      </c>
      <c r="H6913" s="6" t="n">
        <v>3.83</v>
      </c>
      <c r="I6913" s="6" t="n">
        <v>0</v>
      </c>
      <c r="J6913" s="40" t="n">
        <f aca="false">H6913-I6913</f>
        <v>3.83</v>
      </c>
      <c r="K6913" s="41" t="n">
        <v>26.5</v>
      </c>
      <c r="L6913" s="42" t="n">
        <f aca="false">J6913*K6913</f>
        <v>101.495</v>
      </c>
      <c r="M6913" s="43" t="n">
        <f aca="false">H6913*15.67*(1+'Chart of Accounts'!$E$67)</f>
        <v>68.7184345</v>
      </c>
    </row>
    <row r="6914" customFormat="false" ht="15" hidden="false" customHeight="false" outlineLevel="0" collapsed="false">
      <c r="B6914" s="7" t="s">
        <v>7411</v>
      </c>
      <c r="C6914" s="39" t="n">
        <v>45975</v>
      </c>
      <c r="D6914" s="7" t="s">
        <v>301</v>
      </c>
      <c r="E6914" s="7" t="s">
        <v>157</v>
      </c>
      <c r="F6914" s="7" t="s">
        <v>209</v>
      </c>
      <c r="G6914" s="7" t="s">
        <v>502</v>
      </c>
      <c r="H6914" s="6" t="n">
        <v>1.06</v>
      </c>
      <c r="I6914" s="6" t="n">
        <v>0</v>
      </c>
      <c r="J6914" s="40" t="n">
        <f aca="false">H6914-I6914</f>
        <v>1.06</v>
      </c>
      <c r="K6914" s="41" t="n">
        <v>165</v>
      </c>
      <c r="L6914" s="42" t="n">
        <f aca="false">J6914*K6914</f>
        <v>174.9</v>
      </c>
      <c r="M6914" s="43" t="n">
        <f aca="false">H6914*73.58*(1+'Chart of Accounts'!$E$67)</f>
        <v>89.304046</v>
      </c>
    </row>
    <row r="6915" customFormat="false" ht="15" hidden="false" customHeight="false" outlineLevel="0" collapsed="false">
      <c r="B6915" s="7" t="s">
        <v>7412</v>
      </c>
      <c r="C6915" s="39" t="n">
        <v>45975</v>
      </c>
      <c r="D6915" s="7" t="s">
        <v>305</v>
      </c>
      <c r="E6915" s="7" t="s">
        <v>154</v>
      </c>
      <c r="F6915" s="7" t="s">
        <v>205</v>
      </c>
      <c r="G6915" s="7" t="s">
        <v>505</v>
      </c>
      <c r="H6915" s="6" t="n">
        <v>4.36</v>
      </c>
      <c r="I6915" s="6" t="n">
        <v>0.131</v>
      </c>
      <c r="J6915" s="40" t="n">
        <f aca="false">H6915-I6915</f>
        <v>4.229</v>
      </c>
      <c r="K6915" s="41" t="n">
        <v>26.5</v>
      </c>
      <c r="L6915" s="42" t="n">
        <f aca="false">J6915*K6915</f>
        <v>112.0685</v>
      </c>
      <c r="M6915" s="43" t="n">
        <f aca="false">H6915*16.36*(1+'Chart of Accounts'!$E$67)</f>
        <v>81.672392</v>
      </c>
    </row>
    <row r="6916" customFormat="false" ht="15" hidden="false" customHeight="false" outlineLevel="0" collapsed="false">
      <c r="B6916" s="7" t="s">
        <v>7413</v>
      </c>
      <c r="C6916" s="39" t="n">
        <v>45975</v>
      </c>
      <c r="D6916" s="7" t="s">
        <v>307</v>
      </c>
      <c r="E6916" s="7" t="s">
        <v>157</v>
      </c>
      <c r="F6916" s="7" t="s">
        <v>264</v>
      </c>
      <c r="G6916" s="7" t="s">
        <v>502</v>
      </c>
      <c r="H6916" s="6" t="n">
        <v>0.94</v>
      </c>
      <c r="I6916" s="6" t="n">
        <v>0</v>
      </c>
      <c r="J6916" s="40" t="n">
        <f aca="false">H6916-I6916</f>
        <v>0.94</v>
      </c>
      <c r="K6916" s="41" t="n">
        <v>165</v>
      </c>
      <c r="L6916" s="42" t="n">
        <f aca="false">J6916*K6916</f>
        <v>155.1</v>
      </c>
      <c r="M6916" s="43" t="n">
        <f aca="false">H6916*55.55*(1+'Chart of Accounts'!$E$67)</f>
        <v>59.788465</v>
      </c>
    </row>
    <row r="6917" customFormat="false" ht="15" hidden="false" customHeight="false" outlineLevel="0" collapsed="false">
      <c r="B6917" s="7" t="s">
        <v>7414</v>
      </c>
      <c r="C6917" s="39" t="n">
        <v>45975</v>
      </c>
      <c r="D6917" s="7" t="s">
        <v>309</v>
      </c>
      <c r="E6917" s="7" t="s">
        <v>159</v>
      </c>
      <c r="F6917" s="7" t="s">
        <v>252</v>
      </c>
      <c r="G6917" s="7" t="s">
        <v>502</v>
      </c>
      <c r="H6917" s="6" t="n">
        <v>0.94</v>
      </c>
      <c r="I6917" s="6" t="n">
        <v>0</v>
      </c>
      <c r="J6917" s="40" t="n">
        <f aca="false">H6917-I6917</f>
        <v>0.94</v>
      </c>
      <c r="K6917" s="41" t="n">
        <v>135</v>
      </c>
      <c r="L6917" s="42" t="n">
        <f aca="false">J6917*K6917</f>
        <v>126.9</v>
      </c>
      <c r="M6917" s="43" t="n">
        <f aca="false">H6917*57.54*(1+'Chart of Accounts'!$E$67)</f>
        <v>61.930302</v>
      </c>
    </row>
    <row r="6918" customFormat="false" ht="15" hidden="false" customHeight="false" outlineLevel="0" collapsed="false">
      <c r="B6918" s="7" t="s">
        <v>7415</v>
      </c>
      <c r="C6918" s="39" t="n">
        <v>45975</v>
      </c>
      <c r="D6918" s="7" t="s">
        <v>313</v>
      </c>
      <c r="E6918" s="7" t="s">
        <v>156</v>
      </c>
      <c r="F6918" s="7" t="s">
        <v>184</v>
      </c>
      <c r="G6918" s="7" t="s">
        <v>505</v>
      </c>
      <c r="H6918" s="6" t="n">
        <v>4.29</v>
      </c>
      <c r="I6918" s="6" t="n">
        <v>0</v>
      </c>
      <c r="J6918" s="40" t="n">
        <f aca="false">H6918-I6918</f>
        <v>4.29</v>
      </c>
      <c r="K6918" s="41" t="n">
        <v>34</v>
      </c>
      <c r="L6918" s="42" t="n">
        <f aca="false">J6918*K6918</f>
        <v>145.86</v>
      </c>
      <c r="M6918" s="43" t="n">
        <f aca="false">H6918*17.34*(1+'Chart of Accounts'!$E$67)</f>
        <v>85.174947</v>
      </c>
    </row>
    <row r="6919" customFormat="false" ht="15" hidden="false" customHeight="false" outlineLevel="0" collapsed="false">
      <c r="B6919" s="7" t="s">
        <v>7416</v>
      </c>
      <c r="C6919" s="39" t="n">
        <v>45975</v>
      </c>
      <c r="D6919" s="7" t="s">
        <v>315</v>
      </c>
      <c r="E6919" s="7" t="s">
        <v>159</v>
      </c>
      <c r="F6919" s="7" t="s">
        <v>216</v>
      </c>
      <c r="G6919" s="7" t="s">
        <v>502</v>
      </c>
      <c r="H6919" s="6" t="n">
        <v>0.97</v>
      </c>
      <c r="I6919" s="6" t="n">
        <v>0</v>
      </c>
      <c r="J6919" s="40" t="n">
        <f aca="false">H6919-I6919</f>
        <v>0.97</v>
      </c>
      <c r="K6919" s="41" t="n">
        <v>135</v>
      </c>
      <c r="L6919" s="42" t="n">
        <f aca="false">J6919*K6919</f>
        <v>130.95</v>
      </c>
      <c r="M6919" s="43" t="n">
        <f aca="false">H6919*61.79*(1+'Chart of Accounts'!$E$67)</f>
        <v>68.6270635</v>
      </c>
    </row>
    <row r="6920" customFormat="false" ht="15" hidden="false" customHeight="false" outlineLevel="0" collapsed="false">
      <c r="B6920" s="7" t="s">
        <v>7417</v>
      </c>
      <c r="C6920" s="39" t="n">
        <v>45975</v>
      </c>
      <c r="D6920" s="7" t="s">
        <v>319</v>
      </c>
      <c r="E6920" s="7" t="s">
        <v>157</v>
      </c>
      <c r="F6920" s="7" t="s">
        <v>234</v>
      </c>
      <c r="G6920" s="7" t="s">
        <v>502</v>
      </c>
      <c r="H6920" s="6" t="n">
        <v>1.08</v>
      </c>
      <c r="I6920" s="6" t="n">
        <v>0</v>
      </c>
      <c r="J6920" s="40" t="n">
        <f aca="false">H6920-I6920</f>
        <v>1.08</v>
      </c>
      <c r="K6920" s="41" t="n">
        <v>165</v>
      </c>
      <c r="L6920" s="42" t="n">
        <f aca="false">J6920*K6920</f>
        <v>178.2</v>
      </c>
      <c r="M6920" s="43" t="n">
        <f aca="false">H6920*89.53*(1+'Chart of Accounts'!$E$67)</f>
        <v>110.712798</v>
      </c>
    </row>
    <row r="6921" customFormat="false" ht="15" hidden="false" customHeight="false" outlineLevel="0" collapsed="false">
      <c r="B6921" s="7" t="s">
        <v>7418</v>
      </c>
      <c r="C6921" s="39" t="n">
        <v>45975</v>
      </c>
      <c r="D6921" s="7" t="s">
        <v>321</v>
      </c>
      <c r="E6921" s="7" t="s">
        <v>154</v>
      </c>
      <c r="F6921" s="7" t="s">
        <v>218</v>
      </c>
      <c r="G6921" s="7" t="s">
        <v>505</v>
      </c>
      <c r="H6921" s="6" t="n">
        <v>3.79</v>
      </c>
      <c r="I6921" s="6" t="n">
        <v>0</v>
      </c>
      <c r="J6921" s="40" t="n">
        <f aca="false">H6921-I6921</f>
        <v>3.79</v>
      </c>
      <c r="K6921" s="41" t="n">
        <v>26.5</v>
      </c>
      <c r="L6921" s="42" t="n">
        <f aca="false">J6921*K6921</f>
        <v>100.435</v>
      </c>
      <c r="M6921" s="43" t="n">
        <f aca="false">H6921*16.19*(1+'Chart of Accounts'!$E$67)</f>
        <v>70.2573145</v>
      </c>
    </row>
    <row r="6922" customFormat="false" ht="15" hidden="false" customHeight="false" outlineLevel="0" collapsed="false">
      <c r="B6922" s="7" t="s">
        <v>7419</v>
      </c>
      <c r="C6922" s="39" t="n">
        <v>45975</v>
      </c>
      <c r="D6922" s="7" t="s">
        <v>323</v>
      </c>
      <c r="E6922" s="7" t="s">
        <v>159</v>
      </c>
      <c r="F6922" s="7" t="s">
        <v>187</v>
      </c>
      <c r="G6922" s="7" t="s">
        <v>502</v>
      </c>
      <c r="H6922" s="6" t="n">
        <v>1.05</v>
      </c>
      <c r="I6922" s="6" t="n">
        <v>0.074</v>
      </c>
      <c r="J6922" s="40" t="n">
        <f aca="false">H6922-I6922</f>
        <v>0.976</v>
      </c>
      <c r="K6922" s="41" t="n">
        <v>135</v>
      </c>
      <c r="L6922" s="42" t="n">
        <f aca="false">J6922*K6922</f>
        <v>131.76</v>
      </c>
      <c r="M6922" s="43" t="n">
        <f aca="false">H6922*66.48*(1+'Chart of Accounts'!$E$67)</f>
        <v>79.92558</v>
      </c>
    </row>
    <row r="6923" customFormat="false" ht="15" hidden="false" customHeight="false" outlineLevel="0" collapsed="false">
      <c r="B6923" s="7" t="s">
        <v>7420</v>
      </c>
      <c r="C6923" s="39" t="n">
        <v>45975</v>
      </c>
      <c r="D6923" s="7" t="s">
        <v>327</v>
      </c>
      <c r="E6923" s="7" t="s">
        <v>157</v>
      </c>
      <c r="F6923" s="7" t="s">
        <v>228</v>
      </c>
      <c r="G6923" s="7" t="s">
        <v>502</v>
      </c>
      <c r="H6923" s="6" t="n">
        <v>1.07</v>
      </c>
      <c r="I6923" s="6" t="n">
        <v>0</v>
      </c>
      <c r="J6923" s="40" t="n">
        <f aca="false">H6923-I6923</f>
        <v>1.07</v>
      </c>
      <c r="K6923" s="41" t="n">
        <v>165</v>
      </c>
      <c r="L6923" s="42" t="n">
        <f aca="false">J6923*K6923</f>
        <v>176.55</v>
      </c>
      <c r="M6923" s="43" t="n">
        <f aca="false">H6923*51.07*(1+'Chart of Accounts'!$E$67)</f>
        <v>62.5684105</v>
      </c>
    </row>
    <row r="6924" customFormat="false" ht="15" hidden="false" customHeight="false" outlineLevel="0" collapsed="false">
      <c r="B6924" s="7" t="s">
        <v>7421</v>
      </c>
      <c r="C6924" s="39" t="n">
        <v>45975</v>
      </c>
      <c r="D6924" s="7" t="s">
        <v>329</v>
      </c>
      <c r="E6924" s="7" t="s">
        <v>156</v>
      </c>
      <c r="F6924" s="7" t="s">
        <v>220</v>
      </c>
      <c r="G6924" s="7" t="s">
        <v>505</v>
      </c>
      <c r="H6924" s="6" t="n">
        <v>4.16</v>
      </c>
      <c r="I6924" s="6" t="n">
        <v>0</v>
      </c>
      <c r="J6924" s="40" t="n">
        <f aca="false">H6924-I6924</f>
        <v>4.16</v>
      </c>
      <c r="K6924" s="41" t="n">
        <v>34</v>
      </c>
      <c r="L6924" s="42" t="n">
        <f aca="false">J6924*K6924</f>
        <v>141.44</v>
      </c>
      <c r="M6924" s="43" t="n">
        <f aca="false">H6924*16.43*(1+'Chart of Accounts'!$E$67)</f>
        <v>78.259376</v>
      </c>
    </row>
    <row r="6925" customFormat="false" ht="15" hidden="false" customHeight="false" outlineLevel="0" collapsed="false">
      <c r="B6925" s="7" t="s">
        <v>7422</v>
      </c>
      <c r="C6925" s="39" t="n">
        <v>45975</v>
      </c>
      <c r="D6925" s="7" t="s">
        <v>333</v>
      </c>
      <c r="E6925" s="7" t="s">
        <v>154</v>
      </c>
      <c r="F6925" s="7" t="s">
        <v>236</v>
      </c>
      <c r="G6925" s="7" t="s">
        <v>505</v>
      </c>
      <c r="H6925" s="6" t="n">
        <v>3.55</v>
      </c>
      <c r="I6925" s="6" t="n">
        <v>0</v>
      </c>
      <c r="J6925" s="40" t="n">
        <f aca="false">H6925-I6925</f>
        <v>3.55</v>
      </c>
      <c r="K6925" s="41" t="n">
        <v>26.5</v>
      </c>
      <c r="L6925" s="42" t="n">
        <f aca="false">J6925*K6925</f>
        <v>94.075</v>
      </c>
      <c r="M6925" s="43" t="n">
        <f aca="false">H6925*15.49*(1+'Chart of Accounts'!$E$67)</f>
        <v>62.9629775</v>
      </c>
    </row>
    <row r="6926" customFormat="false" ht="15" hidden="false" customHeight="false" outlineLevel="0" collapsed="false">
      <c r="B6926" s="7" t="s">
        <v>7423</v>
      </c>
      <c r="C6926" s="39" t="n">
        <v>45975</v>
      </c>
      <c r="D6926" s="7" t="s">
        <v>335</v>
      </c>
      <c r="E6926" s="7" t="s">
        <v>154</v>
      </c>
      <c r="F6926" s="7" t="s">
        <v>177</v>
      </c>
      <c r="G6926" s="7" t="s">
        <v>505</v>
      </c>
      <c r="H6926" s="6" t="n">
        <v>3.9</v>
      </c>
      <c r="I6926" s="6" t="n">
        <v>0</v>
      </c>
      <c r="J6926" s="40" t="n">
        <f aca="false">H6926-I6926</f>
        <v>3.9</v>
      </c>
      <c r="K6926" s="41" t="n">
        <v>26.5</v>
      </c>
      <c r="L6926" s="42" t="n">
        <f aca="false">J6926*K6926</f>
        <v>103.35</v>
      </c>
      <c r="M6926" s="43" t="n">
        <f aca="false">H6926*14.56*(1+'Chart of Accounts'!$E$67)</f>
        <v>65.01768</v>
      </c>
    </row>
    <row r="6927" customFormat="false" ht="15" hidden="false" customHeight="false" outlineLevel="0" collapsed="false">
      <c r="B6927" s="7" t="s">
        <v>7424</v>
      </c>
      <c r="C6927" s="39" t="n">
        <v>45975</v>
      </c>
      <c r="D6927" s="7" t="s">
        <v>339</v>
      </c>
      <c r="E6927" s="7" t="s">
        <v>154</v>
      </c>
      <c r="F6927" s="7" t="s">
        <v>242</v>
      </c>
      <c r="G6927" s="7" t="s">
        <v>505</v>
      </c>
      <c r="H6927" s="6" t="n">
        <v>3.37</v>
      </c>
      <c r="I6927" s="6" t="n">
        <v>0</v>
      </c>
      <c r="J6927" s="40" t="n">
        <f aca="false">H6927-I6927</f>
        <v>3.37</v>
      </c>
      <c r="K6927" s="41" t="n">
        <v>26.5</v>
      </c>
      <c r="L6927" s="42" t="n">
        <f aca="false">J6927*K6927</f>
        <v>89.305</v>
      </c>
      <c r="M6927" s="43" t="n">
        <f aca="false">H6927*17.99*(1+'Chart of Accounts'!$E$67)</f>
        <v>69.4171135</v>
      </c>
    </row>
    <row r="6928" customFormat="false" ht="15" hidden="false" customHeight="false" outlineLevel="0" collapsed="false">
      <c r="B6928" s="7" t="s">
        <v>7425</v>
      </c>
      <c r="C6928" s="39" t="n">
        <v>45975</v>
      </c>
      <c r="D6928" s="7" t="s">
        <v>347</v>
      </c>
      <c r="E6928" s="7" t="s">
        <v>154</v>
      </c>
      <c r="F6928" s="7" t="s">
        <v>238</v>
      </c>
      <c r="G6928" s="7" t="s">
        <v>505</v>
      </c>
      <c r="H6928" s="6" t="n">
        <v>4.43</v>
      </c>
      <c r="I6928" s="6" t="n">
        <v>0</v>
      </c>
      <c r="J6928" s="40" t="n">
        <f aca="false">H6928-I6928</f>
        <v>4.43</v>
      </c>
      <c r="K6928" s="41" t="n">
        <v>26.5</v>
      </c>
      <c r="L6928" s="42" t="n">
        <f aca="false">J6928*K6928</f>
        <v>117.395</v>
      </c>
      <c r="M6928" s="43" t="n">
        <f aca="false">H6928*15.85*(1+'Chart of Accounts'!$E$67)</f>
        <v>80.3967475</v>
      </c>
    </row>
    <row r="6929" customFormat="false" ht="15" hidden="false" customHeight="false" outlineLevel="0" collapsed="false">
      <c r="B6929" s="7" t="s">
        <v>7426</v>
      </c>
      <c r="C6929" s="39" t="n">
        <v>45975</v>
      </c>
      <c r="D6929" s="7" t="s">
        <v>349</v>
      </c>
      <c r="E6929" s="7" t="s">
        <v>154</v>
      </c>
      <c r="F6929" s="7" t="s">
        <v>244</v>
      </c>
      <c r="G6929" s="7" t="s">
        <v>505</v>
      </c>
      <c r="H6929" s="6" t="n">
        <v>4.36</v>
      </c>
      <c r="I6929" s="6" t="n">
        <v>0</v>
      </c>
      <c r="J6929" s="40" t="n">
        <f aca="false">H6929-I6929</f>
        <v>4.36</v>
      </c>
      <c r="K6929" s="41" t="n">
        <v>26.5</v>
      </c>
      <c r="L6929" s="42" t="n">
        <f aca="false">J6929*K6929</f>
        <v>115.54</v>
      </c>
      <c r="M6929" s="43" t="n">
        <f aca="false">H6929*16.39*(1+'Chart of Accounts'!$E$67)</f>
        <v>81.822158</v>
      </c>
    </row>
    <row r="6930" customFormat="false" ht="15" hidden="false" customHeight="false" outlineLevel="0" collapsed="false">
      <c r="B6930" s="7" t="s">
        <v>7427</v>
      </c>
      <c r="C6930" s="39" t="n">
        <v>45975</v>
      </c>
      <c r="D6930" s="7" t="s">
        <v>353</v>
      </c>
      <c r="E6930" s="7" t="s">
        <v>154</v>
      </c>
      <c r="F6930" s="7" t="s">
        <v>254</v>
      </c>
      <c r="G6930" s="7" t="s">
        <v>505</v>
      </c>
      <c r="H6930" s="6" t="n">
        <v>3.53</v>
      </c>
      <c r="I6930" s="6" t="n">
        <v>0</v>
      </c>
      <c r="J6930" s="40" t="n">
        <f aca="false">H6930-I6930</f>
        <v>3.53</v>
      </c>
      <c r="K6930" s="41" t="n">
        <v>26.5</v>
      </c>
      <c r="L6930" s="42" t="n">
        <f aca="false">J6930*K6930</f>
        <v>93.545</v>
      </c>
      <c r="M6930" s="43" t="n">
        <f aca="false">H6930*17.1*(1+'Chart of Accounts'!$E$67)</f>
        <v>69.115635</v>
      </c>
    </row>
    <row r="6931" customFormat="false" ht="15" hidden="false" customHeight="false" outlineLevel="0" collapsed="false">
      <c r="B6931" s="7" t="s">
        <v>7428</v>
      </c>
      <c r="C6931" s="39" t="n">
        <v>45975</v>
      </c>
      <c r="D6931" s="7" t="s">
        <v>355</v>
      </c>
      <c r="E6931" s="7" t="s">
        <v>154</v>
      </c>
      <c r="F6931" s="7" t="s">
        <v>201</v>
      </c>
      <c r="G6931" s="7" t="s">
        <v>505</v>
      </c>
      <c r="H6931" s="6" t="n">
        <v>3.26</v>
      </c>
      <c r="I6931" s="6" t="n">
        <v>0</v>
      </c>
      <c r="J6931" s="40" t="n">
        <f aca="false">H6931-I6931</f>
        <v>3.26</v>
      </c>
      <c r="K6931" s="41" t="n">
        <v>26.5</v>
      </c>
      <c r="L6931" s="42" t="n">
        <f aca="false">J6931*K6931</f>
        <v>86.39</v>
      </c>
      <c r="M6931" s="43" t="n">
        <f aca="false">H6931*15.19*(1+'Chart of Accounts'!$E$67)</f>
        <v>56.699713</v>
      </c>
    </row>
    <row r="6932" customFormat="false" ht="15" hidden="false" customHeight="false" outlineLevel="0" collapsed="false">
      <c r="B6932" s="7" t="s">
        <v>7429</v>
      </c>
      <c r="C6932" s="39" t="n">
        <v>45975</v>
      </c>
      <c r="D6932" s="7" t="s">
        <v>357</v>
      </c>
      <c r="E6932" s="7" t="s">
        <v>154</v>
      </c>
      <c r="F6932" s="7" t="s">
        <v>222</v>
      </c>
      <c r="G6932" s="7" t="s">
        <v>505</v>
      </c>
      <c r="H6932" s="6" t="n">
        <v>3.42</v>
      </c>
      <c r="I6932" s="6" t="n">
        <v>0</v>
      </c>
      <c r="J6932" s="40" t="n">
        <f aca="false">H6932-I6932</f>
        <v>3.42</v>
      </c>
      <c r="K6932" s="41" t="n">
        <v>26.5</v>
      </c>
      <c r="L6932" s="42" t="n">
        <f aca="false">J6932*K6932</f>
        <v>90.63</v>
      </c>
      <c r="M6932" s="43" t="n">
        <f aca="false">H6932*17.84*(1+'Chart of Accounts'!$E$67)</f>
        <v>69.859656</v>
      </c>
    </row>
    <row r="6933" customFormat="false" ht="15" hidden="false" customHeight="false" outlineLevel="0" collapsed="false">
      <c r="B6933" s="7" t="s">
        <v>7430</v>
      </c>
      <c r="C6933" s="39" t="n">
        <v>45975</v>
      </c>
      <c r="D6933" s="7" t="s">
        <v>359</v>
      </c>
      <c r="E6933" s="7" t="s">
        <v>156</v>
      </c>
      <c r="F6933" s="7" t="s">
        <v>254</v>
      </c>
      <c r="G6933" s="7" t="s">
        <v>505</v>
      </c>
      <c r="H6933" s="6" t="n">
        <v>4.34</v>
      </c>
      <c r="I6933" s="6" t="n">
        <v>0</v>
      </c>
      <c r="J6933" s="40" t="n">
        <f aca="false">H6933-I6933</f>
        <v>4.34</v>
      </c>
      <c r="K6933" s="41" t="n">
        <v>34</v>
      </c>
      <c r="L6933" s="42" t="n">
        <f aca="false">J6933*K6933</f>
        <v>147.56</v>
      </c>
      <c r="M6933" s="43" t="n">
        <f aca="false">H6933*17.1*(1+'Chart of Accounts'!$E$67)</f>
        <v>84.97503</v>
      </c>
    </row>
    <row r="6934" customFormat="false" ht="15" hidden="false" customHeight="false" outlineLevel="0" collapsed="false">
      <c r="B6934" s="7" t="s">
        <v>7431</v>
      </c>
      <c r="C6934" s="39" t="n">
        <v>45975</v>
      </c>
      <c r="D6934" s="7" t="s">
        <v>365</v>
      </c>
      <c r="E6934" s="7" t="s">
        <v>154</v>
      </c>
      <c r="F6934" s="7" t="s">
        <v>194</v>
      </c>
      <c r="G6934" s="7" t="s">
        <v>505</v>
      </c>
      <c r="H6934" s="6" t="n">
        <v>4.36</v>
      </c>
      <c r="I6934" s="6" t="n">
        <v>0.131</v>
      </c>
      <c r="J6934" s="40" t="n">
        <f aca="false">H6934-I6934</f>
        <v>4.229</v>
      </c>
      <c r="K6934" s="41" t="n">
        <v>26.5</v>
      </c>
      <c r="L6934" s="42" t="n">
        <f aca="false">J6934*K6934</f>
        <v>112.0685</v>
      </c>
      <c r="M6934" s="43" t="n">
        <f aca="false">H6934*16*(1+'Chart of Accounts'!$E$67)</f>
        <v>79.8752</v>
      </c>
    </row>
    <row r="6935" customFormat="false" ht="15" hidden="false" customHeight="false" outlineLevel="0" collapsed="false">
      <c r="B6935" s="7" t="s">
        <v>7432</v>
      </c>
      <c r="C6935" s="39" t="n">
        <v>45975</v>
      </c>
      <c r="D6935" s="7" t="s">
        <v>369</v>
      </c>
      <c r="E6935" s="7" t="s">
        <v>159</v>
      </c>
      <c r="F6935" s="7" t="s">
        <v>258</v>
      </c>
      <c r="G6935" s="7" t="s">
        <v>502</v>
      </c>
      <c r="H6935" s="6" t="n">
        <v>1.03</v>
      </c>
      <c r="I6935" s="6" t="n">
        <v>0</v>
      </c>
      <c r="J6935" s="40" t="n">
        <f aca="false">H6935-I6935</f>
        <v>1.03</v>
      </c>
      <c r="K6935" s="41" t="n">
        <v>135</v>
      </c>
      <c r="L6935" s="42" t="n">
        <f aca="false">J6935*K6935</f>
        <v>139.05</v>
      </c>
      <c r="M6935" s="43" t="n">
        <f aca="false">H6935*61.61*(1+'Chart of Accounts'!$E$67)</f>
        <v>72.6597535</v>
      </c>
    </row>
    <row r="6936" customFormat="false" ht="15" hidden="false" customHeight="false" outlineLevel="0" collapsed="false">
      <c r="B6936" s="7" t="s">
        <v>7433</v>
      </c>
      <c r="C6936" s="39" t="n">
        <v>45975</v>
      </c>
      <c r="D6936" s="7" t="s">
        <v>371</v>
      </c>
      <c r="E6936" s="7" t="s">
        <v>154</v>
      </c>
      <c r="F6936" s="7" t="s">
        <v>232</v>
      </c>
      <c r="G6936" s="7" t="s">
        <v>505</v>
      </c>
      <c r="H6936" s="6" t="n">
        <v>4.8</v>
      </c>
      <c r="I6936" s="6" t="n">
        <v>0</v>
      </c>
      <c r="J6936" s="40" t="n">
        <f aca="false">H6936-I6936</f>
        <v>4.8</v>
      </c>
      <c r="K6936" s="41" t="n">
        <v>26.5</v>
      </c>
      <c r="L6936" s="42" t="n">
        <f aca="false">J6936*K6936</f>
        <v>127.2</v>
      </c>
      <c r="M6936" s="43" t="n">
        <f aca="false">H6936*16.17*(1+'Chart of Accounts'!$E$67)</f>
        <v>88.87032</v>
      </c>
    </row>
    <row r="6937" customFormat="false" ht="15" hidden="false" customHeight="false" outlineLevel="0" collapsed="false">
      <c r="B6937" s="7" t="s">
        <v>7434</v>
      </c>
      <c r="C6937" s="39" t="n">
        <v>45975</v>
      </c>
      <c r="D6937" s="7" t="s">
        <v>379</v>
      </c>
      <c r="E6937" s="7" t="s">
        <v>156</v>
      </c>
      <c r="F6937" s="7" t="s">
        <v>224</v>
      </c>
      <c r="G6937" s="7" t="s">
        <v>505</v>
      </c>
      <c r="H6937" s="6" t="n">
        <v>4.29</v>
      </c>
      <c r="I6937" s="6" t="n">
        <v>0</v>
      </c>
      <c r="J6937" s="40" t="n">
        <f aca="false">H6937-I6937</f>
        <v>4.29</v>
      </c>
      <c r="K6937" s="41" t="n">
        <v>34</v>
      </c>
      <c r="L6937" s="42" t="n">
        <f aca="false">J6937*K6937</f>
        <v>145.86</v>
      </c>
      <c r="M6937" s="43" t="n">
        <f aca="false">H6937*14.93*(1+'Chart of Accounts'!$E$67)</f>
        <v>73.3369065</v>
      </c>
    </row>
    <row r="6938" customFormat="false" ht="15" hidden="false" customHeight="false" outlineLevel="0" collapsed="false">
      <c r="B6938" s="7" t="s">
        <v>7435</v>
      </c>
      <c r="C6938" s="39" t="n">
        <v>45975</v>
      </c>
      <c r="D6938" s="7" t="s">
        <v>381</v>
      </c>
      <c r="E6938" s="7" t="s">
        <v>157</v>
      </c>
      <c r="F6938" s="7" t="s">
        <v>234</v>
      </c>
      <c r="G6938" s="7" t="s">
        <v>502</v>
      </c>
      <c r="H6938" s="6" t="n">
        <v>0.95</v>
      </c>
      <c r="I6938" s="6" t="n">
        <v>0</v>
      </c>
      <c r="J6938" s="40" t="n">
        <f aca="false">H6938-I6938</f>
        <v>0.95</v>
      </c>
      <c r="K6938" s="41" t="n">
        <v>165</v>
      </c>
      <c r="L6938" s="42" t="n">
        <f aca="false">J6938*K6938</f>
        <v>156.75</v>
      </c>
      <c r="M6938" s="43" t="n">
        <f aca="false">H6938*89.53*(1+'Chart of Accounts'!$E$67)</f>
        <v>97.3862575</v>
      </c>
    </row>
    <row r="6939" customFormat="false" ht="15" hidden="false" customHeight="false" outlineLevel="0" collapsed="false">
      <c r="B6939" s="7" t="s">
        <v>7436</v>
      </c>
      <c r="C6939" s="39" t="n">
        <v>45975</v>
      </c>
      <c r="D6939" s="7" t="s">
        <v>383</v>
      </c>
      <c r="E6939" s="7" t="s">
        <v>157</v>
      </c>
      <c r="F6939" s="7" t="s">
        <v>230</v>
      </c>
      <c r="G6939" s="7" t="s">
        <v>502</v>
      </c>
      <c r="H6939" s="6" t="n">
        <v>0.91</v>
      </c>
      <c r="I6939" s="6" t="n">
        <v>0</v>
      </c>
      <c r="J6939" s="40" t="n">
        <f aca="false">H6939-I6939</f>
        <v>0.91</v>
      </c>
      <c r="K6939" s="41" t="n">
        <v>165</v>
      </c>
      <c r="L6939" s="42" t="n">
        <f aca="false">J6939*K6939</f>
        <v>150.15</v>
      </c>
      <c r="M6939" s="43" t="n">
        <f aca="false">H6939*48.78*(1+'Chart of Accounts'!$E$67)</f>
        <v>50.826321</v>
      </c>
    </row>
    <row r="6940" customFormat="false" ht="15" hidden="false" customHeight="false" outlineLevel="0" collapsed="false">
      <c r="B6940" s="7" t="s">
        <v>7437</v>
      </c>
      <c r="C6940" s="39" t="n">
        <v>45975</v>
      </c>
      <c r="D6940" s="7" t="s">
        <v>385</v>
      </c>
      <c r="E6940" s="7" t="s">
        <v>156</v>
      </c>
      <c r="F6940" s="7" t="s">
        <v>238</v>
      </c>
      <c r="G6940" s="7" t="s">
        <v>505</v>
      </c>
      <c r="H6940" s="6" t="n">
        <v>3.76</v>
      </c>
      <c r="I6940" s="6" t="n">
        <v>0</v>
      </c>
      <c r="J6940" s="40" t="n">
        <f aca="false">H6940-I6940</f>
        <v>3.76</v>
      </c>
      <c r="K6940" s="41" t="n">
        <v>34</v>
      </c>
      <c r="L6940" s="42" t="n">
        <f aca="false">J6940*K6940</f>
        <v>127.84</v>
      </c>
      <c r="M6940" s="43" t="n">
        <f aca="false">H6940*15.85*(1+'Chart of Accounts'!$E$67)</f>
        <v>68.23742</v>
      </c>
    </row>
    <row r="6941" customFormat="false" ht="15" hidden="false" customHeight="false" outlineLevel="0" collapsed="false">
      <c r="B6941" s="7" t="s">
        <v>7438</v>
      </c>
      <c r="C6941" s="39" t="n">
        <v>45975</v>
      </c>
      <c r="D6941" s="7" t="s">
        <v>387</v>
      </c>
      <c r="E6941" s="7" t="s">
        <v>154</v>
      </c>
      <c r="F6941" s="7" t="s">
        <v>196</v>
      </c>
      <c r="G6941" s="7" t="s">
        <v>505</v>
      </c>
      <c r="H6941" s="6" t="n">
        <v>3.62</v>
      </c>
      <c r="I6941" s="6" t="n">
        <v>0</v>
      </c>
      <c r="J6941" s="40" t="n">
        <f aca="false">H6941-I6941</f>
        <v>3.62</v>
      </c>
      <c r="K6941" s="41" t="n">
        <v>26.5</v>
      </c>
      <c r="L6941" s="42" t="n">
        <f aca="false">J6941*K6941</f>
        <v>95.93</v>
      </c>
      <c r="M6941" s="43" t="n">
        <f aca="false">H6941*15.05*(1+'Chart of Accounts'!$E$67)</f>
        <v>62.380745</v>
      </c>
    </row>
    <row r="6942" customFormat="false" ht="15" hidden="false" customHeight="false" outlineLevel="0" collapsed="false">
      <c r="B6942" s="7" t="s">
        <v>7439</v>
      </c>
      <c r="C6942" s="39" t="n">
        <v>45975</v>
      </c>
      <c r="D6942" s="7" t="s">
        <v>389</v>
      </c>
      <c r="E6942" s="7" t="s">
        <v>154</v>
      </c>
      <c r="F6942" s="7" t="s">
        <v>246</v>
      </c>
      <c r="G6942" s="7" t="s">
        <v>505</v>
      </c>
      <c r="H6942" s="6" t="n">
        <v>4.18</v>
      </c>
      <c r="I6942" s="6" t="n">
        <v>0</v>
      </c>
      <c r="J6942" s="40" t="n">
        <f aca="false">H6942-I6942</f>
        <v>4.18</v>
      </c>
      <c r="K6942" s="41" t="n">
        <v>26.5</v>
      </c>
      <c r="L6942" s="42" t="n">
        <f aca="false">J6942*K6942</f>
        <v>110.77</v>
      </c>
      <c r="M6942" s="43" t="n">
        <f aca="false">H6942*16.48*(1+'Chart of Accounts'!$E$67)</f>
        <v>78.874928</v>
      </c>
    </row>
    <row r="6943" customFormat="false" ht="15" hidden="false" customHeight="false" outlineLevel="0" collapsed="false">
      <c r="B6943" s="7" t="s">
        <v>7440</v>
      </c>
      <c r="C6943" s="39" t="n">
        <v>45975</v>
      </c>
      <c r="D6943" s="7" t="s">
        <v>391</v>
      </c>
      <c r="E6943" s="7" t="s">
        <v>156</v>
      </c>
      <c r="F6943" s="7" t="s">
        <v>222</v>
      </c>
      <c r="G6943" s="7" t="s">
        <v>505</v>
      </c>
      <c r="H6943" s="6" t="n">
        <v>4.13</v>
      </c>
      <c r="I6943" s="6" t="n">
        <v>0</v>
      </c>
      <c r="J6943" s="40" t="n">
        <f aca="false">H6943-I6943</f>
        <v>4.13</v>
      </c>
      <c r="K6943" s="41" t="n">
        <v>34</v>
      </c>
      <c r="L6943" s="42" t="n">
        <f aca="false">J6943*K6943</f>
        <v>140.42</v>
      </c>
      <c r="M6943" s="43" t="n">
        <f aca="false">H6943*17.84*(1+'Chart of Accounts'!$E$67)</f>
        <v>84.362684</v>
      </c>
    </row>
    <row r="6944" customFormat="false" ht="15" hidden="false" customHeight="false" outlineLevel="0" collapsed="false">
      <c r="B6944" s="7" t="s">
        <v>7441</v>
      </c>
      <c r="C6944" s="39" t="n">
        <v>45975</v>
      </c>
      <c r="D6944" s="7" t="s">
        <v>395</v>
      </c>
      <c r="E6944" s="7" t="s">
        <v>156</v>
      </c>
      <c r="F6944" s="7" t="s">
        <v>242</v>
      </c>
      <c r="G6944" s="7" t="s">
        <v>505</v>
      </c>
      <c r="H6944" s="6" t="n">
        <v>4.22</v>
      </c>
      <c r="I6944" s="6" t="n">
        <v>0</v>
      </c>
      <c r="J6944" s="40" t="n">
        <f aca="false">H6944-I6944</f>
        <v>4.22</v>
      </c>
      <c r="K6944" s="41" t="n">
        <v>34</v>
      </c>
      <c r="L6944" s="42" t="n">
        <f aca="false">J6944*K6944</f>
        <v>143.48</v>
      </c>
      <c r="M6944" s="43" t="n">
        <f aca="false">H6944*17.99*(1+'Chart of Accounts'!$E$67)</f>
        <v>86.925881</v>
      </c>
    </row>
    <row r="6945" customFormat="false" ht="15" hidden="false" customHeight="false" outlineLevel="0" collapsed="false">
      <c r="B6945" s="7" t="s">
        <v>7442</v>
      </c>
      <c r="C6945" s="39" t="n">
        <v>45975</v>
      </c>
      <c r="D6945" s="7" t="s">
        <v>397</v>
      </c>
      <c r="E6945" s="7" t="s">
        <v>159</v>
      </c>
      <c r="F6945" s="7" t="s">
        <v>203</v>
      </c>
      <c r="G6945" s="7" t="s">
        <v>502</v>
      </c>
      <c r="H6945" s="6" t="n">
        <v>1.09</v>
      </c>
      <c r="I6945" s="6" t="n">
        <v>0</v>
      </c>
      <c r="J6945" s="40" t="n">
        <f aca="false">H6945-I6945</f>
        <v>1.09</v>
      </c>
      <c r="K6945" s="41" t="n">
        <v>135</v>
      </c>
      <c r="L6945" s="42" t="n">
        <f aca="false">J6945*K6945</f>
        <v>147.15</v>
      </c>
      <c r="M6945" s="43" t="n">
        <f aca="false">H6945*49.43*(1+'Chart of Accounts'!$E$67)</f>
        <v>61.6911115</v>
      </c>
    </row>
    <row r="6946" customFormat="false" ht="15" hidden="false" customHeight="false" outlineLevel="0" collapsed="false">
      <c r="B6946" s="7" t="s">
        <v>7443</v>
      </c>
      <c r="C6946" s="39" t="n">
        <v>45975</v>
      </c>
      <c r="D6946" s="7" t="s">
        <v>399</v>
      </c>
      <c r="E6946" s="7" t="s">
        <v>154</v>
      </c>
      <c r="F6946" s="7" t="s">
        <v>256</v>
      </c>
      <c r="G6946" s="7" t="s">
        <v>505</v>
      </c>
      <c r="H6946" s="6" t="n">
        <v>3.5</v>
      </c>
      <c r="I6946" s="6" t="n">
        <v>0</v>
      </c>
      <c r="J6946" s="40" t="n">
        <f aca="false">H6946-I6946</f>
        <v>3.5</v>
      </c>
      <c r="K6946" s="41" t="n">
        <v>26.5</v>
      </c>
      <c r="L6946" s="42" t="n">
        <f aca="false">J6946*K6946</f>
        <v>92.75</v>
      </c>
      <c r="M6946" s="43" t="n">
        <f aca="false">H6946*15.63*(1+'Chart of Accounts'!$E$67)</f>
        <v>62.637225</v>
      </c>
    </row>
    <row r="6947" customFormat="false" ht="15" hidden="false" customHeight="false" outlineLevel="0" collapsed="false">
      <c r="B6947" s="7" t="s">
        <v>7444</v>
      </c>
      <c r="C6947" s="39" t="n">
        <v>45975</v>
      </c>
      <c r="D6947" s="7" t="s">
        <v>401</v>
      </c>
      <c r="E6947" s="7" t="s">
        <v>156</v>
      </c>
      <c r="F6947" s="7" t="s">
        <v>254</v>
      </c>
      <c r="G6947" s="7" t="s">
        <v>505</v>
      </c>
      <c r="H6947" s="6" t="n">
        <v>4.17</v>
      </c>
      <c r="I6947" s="6" t="n">
        <v>0</v>
      </c>
      <c r="J6947" s="40" t="n">
        <f aca="false">H6947-I6947</f>
        <v>4.17</v>
      </c>
      <c r="K6947" s="41" t="n">
        <v>34</v>
      </c>
      <c r="L6947" s="42" t="n">
        <f aca="false">J6947*K6947</f>
        <v>141.78</v>
      </c>
      <c r="M6947" s="43" t="n">
        <f aca="false">H6947*17.1*(1+'Chart of Accounts'!$E$67)</f>
        <v>81.646515</v>
      </c>
    </row>
    <row r="6948" customFormat="false" ht="15" hidden="false" customHeight="false" outlineLevel="0" collapsed="false">
      <c r="B6948" s="7" t="s">
        <v>7445</v>
      </c>
      <c r="C6948" s="39" t="n">
        <v>45975</v>
      </c>
      <c r="D6948" s="7" t="s">
        <v>403</v>
      </c>
      <c r="E6948" s="7" t="s">
        <v>156</v>
      </c>
      <c r="F6948" s="7" t="s">
        <v>184</v>
      </c>
      <c r="G6948" s="7" t="s">
        <v>505</v>
      </c>
      <c r="H6948" s="6" t="n">
        <v>3.75</v>
      </c>
      <c r="I6948" s="6" t="n">
        <v>0</v>
      </c>
      <c r="J6948" s="40" t="n">
        <f aca="false">H6948-I6948</f>
        <v>3.75</v>
      </c>
      <c r="K6948" s="41" t="n">
        <v>34</v>
      </c>
      <c r="L6948" s="42" t="n">
        <f aca="false">J6948*K6948</f>
        <v>127.5</v>
      </c>
      <c r="M6948" s="43" t="n">
        <f aca="false">H6948*17.34*(1+'Chart of Accounts'!$E$67)</f>
        <v>74.453625</v>
      </c>
    </row>
    <row r="6949" customFormat="false" ht="15" hidden="false" customHeight="false" outlineLevel="0" collapsed="false">
      <c r="B6949" s="7" t="s">
        <v>7446</v>
      </c>
      <c r="C6949" s="39" t="n">
        <v>45975</v>
      </c>
      <c r="D6949" s="7" t="s">
        <v>407</v>
      </c>
      <c r="E6949" s="7" t="s">
        <v>159</v>
      </c>
      <c r="F6949" s="7" t="s">
        <v>260</v>
      </c>
      <c r="G6949" s="7" t="s">
        <v>502</v>
      </c>
      <c r="H6949" s="6" t="n">
        <v>1.02</v>
      </c>
      <c r="I6949" s="6" t="n">
        <v>0</v>
      </c>
      <c r="J6949" s="40" t="n">
        <f aca="false">H6949-I6949</f>
        <v>1.02</v>
      </c>
      <c r="K6949" s="41" t="n">
        <v>135</v>
      </c>
      <c r="L6949" s="42" t="n">
        <f aca="false">J6949*K6949</f>
        <v>137.7</v>
      </c>
      <c r="M6949" s="43" t="n">
        <f aca="false">H6949*79.8*(1+'Chart of Accounts'!$E$67)</f>
        <v>93.19842</v>
      </c>
    </row>
    <row r="6950" customFormat="false" ht="15" hidden="false" customHeight="false" outlineLevel="0" collapsed="false">
      <c r="B6950" s="7" t="s">
        <v>7447</v>
      </c>
      <c r="C6950" s="39" t="n">
        <v>45975</v>
      </c>
      <c r="D6950" s="7" t="s">
        <v>409</v>
      </c>
      <c r="E6950" s="7" t="s">
        <v>154</v>
      </c>
      <c r="F6950" s="7" t="s">
        <v>214</v>
      </c>
      <c r="G6950" s="7" t="s">
        <v>505</v>
      </c>
      <c r="H6950" s="6" t="n">
        <v>3.29</v>
      </c>
      <c r="I6950" s="6" t="n">
        <v>0.099</v>
      </c>
      <c r="J6950" s="40" t="n">
        <f aca="false">H6950-I6950</f>
        <v>3.191</v>
      </c>
      <c r="K6950" s="41" t="n">
        <v>26.5</v>
      </c>
      <c r="L6950" s="42" t="n">
        <f aca="false">J6950*K6950</f>
        <v>84.5615</v>
      </c>
      <c r="M6950" s="43" t="n">
        <f aca="false">H6950*15.67*(1+'Chart of Accounts'!$E$67)</f>
        <v>59.0296735</v>
      </c>
    </row>
    <row r="6951" customFormat="false" ht="15" hidden="false" customHeight="false" outlineLevel="0" collapsed="false">
      <c r="B6951" s="7" t="s">
        <v>7448</v>
      </c>
      <c r="C6951" s="39" t="n">
        <v>45975</v>
      </c>
      <c r="D6951" s="7" t="s">
        <v>411</v>
      </c>
      <c r="E6951" s="7" t="s">
        <v>154</v>
      </c>
      <c r="F6951" s="7" t="s">
        <v>177</v>
      </c>
      <c r="G6951" s="7" t="s">
        <v>505</v>
      </c>
      <c r="H6951" s="6" t="n">
        <v>4.49</v>
      </c>
      <c r="I6951" s="6" t="n">
        <v>0</v>
      </c>
      <c r="J6951" s="40" t="n">
        <f aca="false">H6951-I6951</f>
        <v>4.49</v>
      </c>
      <c r="K6951" s="41" t="n">
        <v>26.5</v>
      </c>
      <c r="L6951" s="42" t="n">
        <f aca="false">J6951*K6951</f>
        <v>118.985</v>
      </c>
      <c r="M6951" s="43" t="n">
        <f aca="false">H6951*14.56*(1+'Chart of Accounts'!$E$67)</f>
        <v>74.853688</v>
      </c>
    </row>
    <row r="6952" customFormat="false" ht="15" hidden="false" customHeight="false" outlineLevel="0" collapsed="false">
      <c r="B6952" s="7" t="s">
        <v>7449</v>
      </c>
      <c r="C6952" s="39" t="n">
        <v>45976</v>
      </c>
      <c r="D6952" s="7" t="s">
        <v>288</v>
      </c>
      <c r="E6952" s="7" t="s">
        <v>156</v>
      </c>
      <c r="F6952" s="7" t="s">
        <v>184</v>
      </c>
      <c r="G6952" s="7" t="s">
        <v>505</v>
      </c>
      <c r="H6952" s="6" t="n">
        <v>3.74</v>
      </c>
      <c r="I6952" s="6" t="n">
        <v>0</v>
      </c>
      <c r="J6952" s="40" t="n">
        <f aca="false">H6952-I6952</f>
        <v>3.74</v>
      </c>
      <c r="K6952" s="41" t="n">
        <v>34</v>
      </c>
      <c r="L6952" s="42" t="n">
        <f aca="false">J6952*K6952</f>
        <v>127.16</v>
      </c>
      <c r="M6952" s="43" t="n">
        <f aca="false">H6952*17.34*(1+'Chart of Accounts'!$E$67)</f>
        <v>74.255082</v>
      </c>
    </row>
    <row r="6953" customFormat="false" ht="15" hidden="false" customHeight="false" outlineLevel="0" collapsed="false">
      <c r="B6953" s="7" t="s">
        <v>7450</v>
      </c>
      <c r="C6953" s="39" t="n">
        <v>45976</v>
      </c>
      <c r="D6953" s="7" t="s">
        <v>321</v>
      </c>
      <c r="E6953" s="7" t="s">
        <v>154</v>
      </c>
      <c r="F6953" s="7" t="s">
        <v>218</v>
      </c>
      <c r="G6953" s="7" t="s">
        <v>505</v>
      </c>
      <c r="H6953" s="6" t="n">
        <v>4.28</v>
      </c>
      <c r="I6953" s="6" t="n">
        <v>0</v>
      </c>
      <c r="J6953" s="40" t="n">
        <f aca="false">H6953-I6953</f>
        <v>4.28</v>
      </c>
      <c r="K6953" s="41" t="n">
        <v>26.5</v>
      </c>
      <c r="L6953" s="42" t="n">
        <f aca="false">J6953*K6953</f>
        <v>113.42</v>
      </c>
      <c r="M6953" s="43" t="n">
        <f aca="false">H6953*16.19*(1+'Chart of Accounts'!$E$67)</f>
        <v>79.340714</v>
      </c>
    </row>
    <row r="6954" customFormat="false" ht="15" hidden="false" customHeight="false" outlineLevel="0" collapsed="false">
      <c r="B6954" s="7" t="s">
        <v>7451</v>
      </c>
      <c r="C6954" s="39" t="n">
        <v>45976</v>
      </c>
      <c r="D6954" s="7" t="s">
        <v>359</v>
      </c>
      <c r="E6954" s="7" t="s">
        <v>156</v>
      </c>
      <c r="F6954" s="7" t="s">
        <v>250</v>
      </c>
      <c r="G6954" s="7" t="s">
        <v>505</v>
      </c>
      <c r="H6954" s="6" t="n">
        <v>4.38</v>
      </c>
      <c r="I6954" s="6" t="n">
        <v>0</v>
      </c>
      <c r="J6954" s="40" t="n">
        <f aca="false">H6954-I6954</f>
        <v>4.38</v>
      </c>
      <c r="K6954" s="41" t="n">
        <v>34</v>
      </c>
      <c r="L6954" s="42" t="n">
        <f aca="false">J6954*K6954</f>
        <v>148.92</v>
      </c>
      <c r="M6954" s="43" t="n">
        <f aca="false">H6954*16.88*(1+'Chart of Accounts'!$E$67)</f>
        <v>84.654888</v>
      </c>
    </row>
    <row r="6955" customFormat="false" ht="15" hidden="false" customHeight="false" outlineLevel="0" collapsed="false">
      <c r="B6955" s="7" t="s">
        <v>7452</v>
      </c>
      <c r="C6955" s="39" t="n">
        <v>45976</v>
      </c>
      <c r="D6955" s="7" t="s">
        <v>387</v>
      </c>
      <c r="E6955" s="7" t="s">
        <v>154</v>
      </c>
      <c r="F6955" s="7" t="s">
        <v>196</v>
      </c>
      <c r="G6955" s="7" t="s">
        <v>505</v>
      </c>
      <c r="H6955" s="6" t="n">
        <v>3.66</v>
      </c>
      <c r="I6955" s="6" t="n">
        <v>0</v>
      </c>
      <c r="J6955" s="40" t="n">
        <f aca="false">H6955-I6955</f>
        <v>3.66</v>
      </c>
      <c r="K6955" s="41" t="n">
        <v>26.5</v>
      </c>
      <c r="L6955" s="42" t="n">
        <f aca="false">J6955*K6955</f>
        <v>96.99</v>
      </c>
      <c r="M6955" s="43" t="n">
        <f aca="false">H6955*15.05*(1+'Chart of Accounts'!$E$67)</f>
        <v>63.070035</v>
      </c>
    </row>
    <row r="6956" customFormat="false" ht="15" hidden="false" customHeight="false" outlineLevel="0" collapsed="false">
      <c r="B6956" s="7" t="s">
        <v>7453</v>
      </c>
      <c r="C6956" s="39" t="n">
        <v>45976</v>
      </c>
      <c r="D6956" s="7" t="s">
        <v>391</v>
      </c>
      <c r="E6956" s="7" t="s">
        <v>156</v>
      </c>
      <c r="F6956" s="7" t="s">
        <v>222</v>
      </c>
      <c r="G6956" s="7" t="s">
        <v>505</v>
      </c>
      <c r="H6956" s="6" t="n">
        <v>4.38</v>
      </c>
      <c r="I6956" s="6" t="n">
        <v>0</v>
      </c>
      <c r="J6956" s="40" t="n">
        <f aca="false">H6956-I6956</f>
        <v>4.38</v>
      </c>
      <c r="K6956" s="41" t="n">
        <v>34</v>
      </c>
      <c r="L6956" s="42" t="n">
        <f aca="false">J6956*K6956</f>
        <v>148.92</v>
      </c>
      <c r="M6956" s="43" t="n">
        <f aca="false">H6956*17.84*(1+'Chart of Accounts'!$E$67)</f>
        <v>89.469384</v>
      </c>
    </row>
    <row r="6957" customFormat="false" ht="15" hidden="false" customHeight="false" outlineLevel="0" collapsed="false">
      <c r="B6957" s="7" t="s">
        <v>7454</v>
      </c>
      <c r="C6957" s="39" t="n">
        <v>45976</v>
      </c>
      <c r="D6957" s="7" t="s">
        <v>395</v>
      </c>
      <c r="E6957" s="7" t="s">
        <v>156</v>
      </c>
      <c r="F6957" s="7" t="s">
        <v>242</v>
      </c>
      <c r="G6957" s="7" t="s">
        <v>505</v>
      </c>
      <c r="H6957" s="6" t="n">
        <v>3.99</v>
      </c>
      <c r="I6957" s="6" t="n">
        <v>0</v>
      </c>
      <c r="J6957" s="40" t="n">
        <f aca="false">H6957-I6957</f>
        <v>3.99</v>
      </c>
      <c r="K6957" s="41" t="n">
        <v>34</v>
      </c>
      <c r="L6957" s="42" t="n">
        <f aca="false">J6957*K6957</f>
        <v>135.66</v>
      </c>
      <c r="M6957" s="43" t="n">
        <f aca="false">H6957*17.99*(1+'Chart of Accounts'!$E$67)</f>
        <v>82.1882145</v>
      </c>
    </row>
    <row r="6958" customFormat="false" ht="15" hidden="false" customHeight="false" outlineLevel="0" collapsed="false">
      <c r="B6958" s="7" t="s">
        <v>7455</v>
      </c>
      <c r="C6958" s="39" t="n">
        <v>45976</v>
      </c>
      <c r="D6958" s="7" t="s">
        <v>401</v>
      </c>
      <c r="E6958" s="7" t="s">
        <v>156</v>
      </c>
      <c r="F6958" s="7" t="s">
        <v>254</v>
      </c>
      <c r="G6958" s="7" t="s">
        <v>505</v>
      </c>
      <c r="H6958" s="6" t="n">
        <v>3.98</v>
      </c>
      <c r="I6958" s="6" t="n">
        <v>0</v>
      </c>
      <c r="J6958" s="40" t="n">
        <f aca="false">H6958-I6958</f>
        <v>3.98</v>
      </c>
      <c r="K6958" s="41" t="n">
        <v>34</v>
      </c>
      <c r="L6958" s="42" t="n">
        <f aca="false">J6958*K6958</f>
        <v>135.32</v>
      </c>
      <c r="M6958" s="43" t="n">
        <f aca="false">H6958*17.1*(1+'Chart of Accounts'!$E$67)</f>
        <v>77.92641</v>
      </c>
    </row>
    <row r="6959" customFormat="false" ht="15" hidden="false" customHeight="false" outlineLevel="0" collapsed="false">
      <c r="B6959" s="7" t="s">
        <v>7456</v>
      </c>
      <c r="C6959" s="39" t="n">
        <v>45977</v>
      </c>
      <c r="D6959" s="7" t="s">
        <v>288</v>
      </c>
      <c r="E6959" s="7" t="s">
        <v>156</v>
      </c>
      <c r="F6959" s="7" t="s">
        <v>236</v>
      </c>
      <c r="G6959" s="7" t="s">
        <v>505</v>
      </c>
      <c r="H6959" s="6" t="n">
        <v>3.72</v>
      </c>
      <c r="I6959" s="6" t="n">
        <v>0</v>
      </c>
      <c r="J6959" s="40" t="n">
        <f aca="false">H6959-I6959</f>
        <v>3.72</v>
      </c>
      <c r="K6959" s="41" t="n">
        <v>34</v>
      </c>
      <c r="L6959" s="42" t="n">
        <f aca="false">J6959*K6959</f>
        <v>126.48</v>
      </c>
      <c r="M6959" s="43" t="n">
        <f aca="false">H6959*15.49*(1+'Chart of Accounts'!$E$67)</f>
        <v>65.978106</v>
      </c>
    </row>
    <row r="6960" customFormat="false" ht="15" hidden="false" customHeight="false" outlineLevel="0" collapsed="false">
      <c r="B6960" s="7" t="s">
        <v>7457</v>
      </c>
      <c r="C6960" s="39" t="n">
        <v>45977</v>
      </c>
      <c r="D6960" s="7" t="s">
        <v>321</v>
      </c>
      <c r="E6960" s="7" t="s">
        <v>154</v>
      </c>
      <c r="F6960" s="7" t="s">
        <v>218</v>
      </c>
      <c r="G6960" s="7" t="s">
        <v>505</v>
      </c>
      <c r="H6960" s="6" t="n">
        <v>3.84</v>
      </c>
      <c r="I6960" s="6" t="n">
        <v>0</v>
      </c>
      <c r="J6960" s="40" t="n">
        <f aca="false">H6960-I6960</f>
        <v>3.84</v>
      </c>
      <c r="K6960" s="41" t="n">
        <v>26.5</v>
      </c>
      <c r="L6960" s="42" t="n">
        <f aca="false">J6960*K6960</f>
        <v>101.76</v>
      </c>
      <c r="M6960" s="43" t="n">
        <f aca="false">H6960*16.19*(1+'Chart of Accounts'!$E$67)</f>
        <v>71.184192</v>
      </c>
    </row>
    <row r="6961" customFormat="false" ht="15" hidden="false" customHeight="false" outlineLevel="0" collapsed="false">
      <c r="B6961" s="7" t="s">
        <v>7458</v>
      </c>
      <c r="C6961" s="39" t="n">
        <v>45977</v>
      </c>
      <c r="D6961" s="7" t="s">
        <v>359</v>
      </c>
      <c r="E6961" s="7" t="s">
        <v>156</v>
      </c>
      <c r="F6961" s="7" t="s">
        <v>240</v>
      </c>
      <c r="G6961" s="7" t="s">
        <v>505</v>
      </c>
      <c r="H6961" s="6" t="n">
        <v>4.22</v>
      </c>
      <c r="I6961" s="6" t="n">
        <v>0</v>
      </c>
      <c r="J6961" s="40" t="n">
        <f aca="false">H6961-I6961</f>
        <v>4.22</v>
      </c>
      <c r="K6961" s="41" t="n">
        <v>34</v>
      </c>
      <c r="L6961" s="42" t="n">
        <f aca="false">J6961*K6961</f>
        <v>143.48</v>
      </c>
      <c r="M6961" s="43" t="n">
        <f aca="false">H6961*16.96*(1+'Chart of Accounts'!$E$67)</f>
        <v>81.949024</v>
      </c>
    </row>
    <row r="6962" customFormat="false" ht="15" hidden="false" customHeight="false" outlineLevel="0" collapsed="false">
      <c r="B6962" s="7" t="s">
        <v>7459</v>
      </c>
      <c r="C6962" s="39" t="n">
        <v>45977</v>
      </c>
      <c r="D6962" s="7" t="s">
        <v>387</v>
      </c>
      <c r="E6962" s="7" t="s">
        <v>154</v>
      </c>
      <c r="F6962" s="7" t="s">
        <v>196</v>
      </c>
      <c r="G6962" s="7" t="s">
        <v>505</v>
      </c>
      <c r="H6962" s="6" t="n">
        <v>3.92</v>
      </c>
      <c r="I6962" s="6" t="n">
        <v>0</v>
      </c>
      <c r="J6962" s="40" t="n">
        <f aca="false">H6962-I6962</f>
        <v>3.92</v>
      </c>
      <c r="K6962" s="41" t="n">
        <v>26.5</v>
      </c>
      <c r="L6962" s="42" t="n">
        <f aca="false">J6962*K6962</f>
        <v>103.88</v>
      </c>
      <c r="M6962" s="43" t="n">
        <f aca="false">H6962*15.05*(1+'Chart of Accounts'!$E$67)</f>
        <v>67.55042</v>
      </c>
    </row>
    <row r="6963" customFormat="false" ht="15" hidden="false" customHeight="false" outlineLevel="0" collapsed="false">
      <c r="B6963" s="7" t="s">
        <v>7460</v>
      </c>
      <c r="C6963" s="39" t="n">
        <v>45977</v>
      </c>
      <c r="D6963" s="7" t="s">
        <v>391</v>
      </c>
      <c r="E6963" s="7" t="s">
        <v>156</v>
      </c>
      <c r="F6963" s="7" t="s">
        <v>222</v>
      </c>
      <c r="G6963" s="7" t="s">
        <v>505</v>
      </c>
      <c r="H6963" s="6" t="n">
        <v>3.71</v>
      </c>
      <c r="I6963" s="6" t="n">
        <v>0</v>
      </c>
      <c r="J6963" s="40" t="n">
        <f aca="false">H6963-I6963</f>
        <v>3.71</v>
      </c>
      <c r="K6963" s="41" t="n">
        <v>34</v>
      </c>
      <c r="L6963" s="42" t="n">
        <f aca="false">J6963*K6963</f>
        <v>126.14</v>
      </c>
      <c r="M6963" s="43" t="n">
        <f aca="false">H6963*17.84*(1+'Chart of Accounts'!$E$67)</f>
        <v>75.783428</v>
      </c>
    </row>
    <row r="6964" customFormat="false" ht="15" hidden="false" customHeight="false" outlineLevel="0" collapsed="false">
      <c r="B6964" s="7" t="s">
        <v>7461</v>
      </c>
      <c r="C6964" s="39" t="n">
        <v>45977</v>
      </c>
      <c r="D6964" s="7" t="s">
        <v>395</v>
      </c>
      <c r="E6964" s="7" t="s">
        <v>156</v>
      </c>
      <c r="F6964" s="7" t="s">
        <v>242</v>
      </c>
      <c r="G6964" s="7" t="s">
        <v>505</v>
      </c>
      <c r="H6964" s="6" t="n">
        <v>3.69</v>
      </c>
      <c r="I6964" s="6" t="n">
        <v>0</v>
      </c>
      <c r="J6964" s="40" t="n">
        <f aca="false">H6964-I6964</f>
        <v>3.69</v>
      </c>
      <c r="K6964" s="41" t="n">
        <v>34</v>
      </c>
      <c r="L6964" s="42" t="n">
        <f aca="false">J6964*K6964</f>
        <v>125.46</v>
      </c>
      <c r="M6964" s="43" t="n">
        <f aca="false">H6964*17.99*(1+'Chart of Accounts'!$E$67)</f>
        <v>76.0086495</v>
      </c>
    </row>
    <row r="6965" customFormat="false" ht="15" hidden="false" customHeight="false" outlineLevel="0" collapsed="false">
      <c r="B6965" s="7" t="s">
        <v>7462</v>
      </c>
      <c r="C6965" s="39" t="n">
        <v>45977</v>
      </c>
      <c r="D6965" s="7" t="s">
        <v>401</v>
      </c>
      <c r="E6965" s="7" t="s">
        <v>156</v>
      </c>
      <c r="F6965" s="7" t="s">
        <v>254</v>
      </c>
      <c r="G6965" s="7" t="s">
        <v>505</v>
      </c>
      <c r="H6965" s="6" t="n">
        <v>3.7</v>
      </c>
      <c r="I6965" s="6" t="n">
        <v>0</v>
      </c>
      <c r="J6965" s="40" t="n">
        <f aca="false">H6965-I6965</f>
        <v>3.7</v>
      </c>
      <c r="K6965" s="41" t="n">
        <v>34</v>
      </c>
      <c r="L6965" s="42" t="n">
        <f aca="false">J6965*K6965</f>
        <v>125.8</v>
      </c>
      <c r="M6965" s="43" t="n">
        <f aca="false">H6965*17.1*(1+'Chart of Accounts'!$E$67)</f>
        <v>72.44415</v>
      </c>
    </row>
    <row r="6966" customFormat="false" ht="15" hidden="false" customHeight="false" outlineLevel="0" collapsed="false">
      <c r="B6966" s="7" t="s">
        <v>7463</v>
      </c>
      <c r="C6966" s="39" t="n">
        <v>45978</v>
      </c>
      <c r="D6966" s="7" t="s">
        <v>288</v>
      </c>
      <c r="E6966" s="7" t="s">
        <v>156</v>
      </c>
      <c r="F6966" s="7" t="s">
        <v>256</v>
      </c>
      <c r="G6966" s="7" t="s">
        <v>505</v>
      </c>
      <c r="H6966" s="6" t="n">
        <v>4.23</v>
      </c>
      <c r="I6966" s="6" t="n">
        <v>0</v>
      </c>
      <c r="J6966" s="40" t="n">
        <f aca="false">H6966-I6966</f>
        <v>4.23</v>
      </c>
      <c r="K6966" s="41" t="n">
        <v>34</v>
      </c>
      <c r="L6966" s="42" t="n">
        <f aca="false">J6966*K6966</f>
        <v>143.82</v>
      </c>
      <c r="M6966" s="43" t="n">
        <f aca="false">H6966*15.63*(1+'Chart of Accounts'!$E$67)</f>
        <v>75.7015605</v>
      </c>
    </row>
    <row r="6967" customFormat="false" ht="15" hidden="false" customHeight="false" outlineLevel="0" collapsed="false">
      <c r="B6967" s="7" t="s">
        <v>7464</v>
      </c>
      <c r="C6967" s="39" t="n">
        <v>45978</v>
      </c>
      <c r="D6967" s="7" t="s">
        <v>291</v>
      </c>
      <c r="E6967" s="7" t="s">
        <v>154</v>
      </c>
      <c r="F6967" s="7" t="s">
        <v>194</v>
      </c>
      <c r="G6967" s="7" t="s">
        <v>505</v>
      </c>
      <c r="H6967" s="6" t="n">
        <v>4.77</v>
      </c>
      <c r="I6967" s="6" t="n">
        <v>0</v>
      </c>
      <c r="J6967" s="40" t="n">
        <f aca="false">H6967-I6967</f>
        <v>4.77</v>
      </c>
      <c r="K6967" s="41" t="n">
        <v>26.5</v>
      </c>
      <c r="L6967" s="42" t="n">
        <f aca="false">J6967*K6967</f>
        <v>126.405</v>
      </c>
      <c r="M6967" s="43" t="n">
        <f aca="false">H6967*16*(1+'Chart of Accounts'!$E$67)</f>
        <v>87.3864</v>
      </c>
    </row>
    <row r="6968" customFormat="false" ht="15" hidden="false" customHeight="false" outlineLevel="0" collapsed="false">
      <c r="B6968" s="7" t="s">
        <v>7465</v>
      </c>
      <c r="C6968" s="39" t="n">
        <v>45978</v>
      </c>
      <c r="D6968" s="7" t="s">
        <v>295</v>
      </c>
      <c r="E6968" s="7" t="s">
        <v>154</v>
      </c>
      <c r="F6968" s="7" t="s">
        <v>214</v>
      </c>
      <c r="G6968" s="7" t="s">
        <v>505</v>
      </c>
      <c r="H6968" s="6" t="n">
        <v>3.73</v>
      </c>
      <c r="I6968" s="6" t="n">
        <v>0</v>
      </c>
      <c r="J6968" s="40" t="n">
        <f aca="false">H6968-I6968</f>
        <v>3.73</v>
      </c>
      <c r="K6968" s="41" t="n">
        <v>26.5</v>
      </c>
      <c r="L6968" s="42" t="n">
        <f aca="false">J6968*K6968</f>
        <v>98.845</v>
      </c>
      <c r="M6968" s="43" t="n">
        <f aca="false">H6968*15.67*(1+'Chart of Accounts'!$E$67)</f>
        <v>66.9242195</v>
      </c>
    </row>
    <row r="6969" customFormat="false" ht="15" hidden="false" customHeight="false" outlineLevel="0" collapsed="false">
      <c r="B6969" s="7" t="s">
        <v>7466</v>
      </c>
      <c r="C6969" s="39" t="n">
        <v>45978</v>
      </c>
      <c r="D6969" s="7" t="s">
        <v>297</v>
      </c>
      <c r="E6969" s="7" t="s">
        <v>156</v>
      </c>
      <c r="F6969" s="7" t="s">
        <v>201</v>
      </c>
      <c r="G6969" s="7" t="s">
        <v>505</v>
      </c>
      <c r="H6969" s="6" t="n">
        <v>2.93</v>
      </c>
      <c r="I6969" s="6" t="n">
        <v>0</v>
      </c>
      <c r="J6969" s="40" t="n">
        <f aca="false">H6969-I6969</f>
        <v>2.93</v>
      </c>
      <c r="K6969" s="41" t="n">
        <v>34</v>
      </c>
      <c r="L6969" s="42" t="n">
        <f aca="false">J6969*K6969</f>
        <v>99.62</v>
      </c>
      <c r="M6969" s="43" t="n">
        <f aca="false">H6969*15.19*(1+'Chart of Accounts'!$E$67)</f>
        <v>50.9601715</v>
      </c>
    </row>
    <row r="6970" customFormat="false" ht="15" hidden="false" customHeight="false" outlineLevel="0" collapsed="false">
      <c r="B6970" s="7" t="s">
        <v>7467</v>
      </c>
      <c r="C6970" s="39" t="n">
        <v>45978</v>
      </c>
      <c r="D6970" s="7" t="s">
        <v>299</v>
      </c>
      <c r="E6970" s="7" t="s">
        <v>154</v>
      </c>
      <c r="F6970" s="7" t="s">
        <v>205</v>
      </c>
      <c r="G6970" s="7" t="s">
        <v>505</v>
      </c>
      <c r="H6970" s="6" t="n">
        <v>2.88</v>
      </c>
      <c r="I6970" s="6" t="n">
        <v>0</v>
      </c>
      <c r="J6970" s="40" t="n">
        <f aca="false">H6970-I6970</f>
        <v>2.88</v>
      </c>
      <c r="K6970" s="41" t="n">
        <v>26.5</v>
      </c>
      <c r="L6970" s="42" t="n">
        <f aca="false">J6970*K6970</f>
        <v>76.32</v>
      </c>
      <c r="M6970" s="43" t="n">
        <f aca="false">H6970*16.36*(1+'Chart of Accounts'!$E$67)</f>
        <v>53.948736</v>
      </c>
    </row>
    <row r="6971" customFormat="false" ht="15" hidden="false" customHeight="false" outlineLevel="0" collapsed="false">
      <c r="B6971" s="7" t="s">
        <v>7468</v>
      </c>
      <c r="C6971" s="39" t="n">
        <v>45978</v>
      </c>
      <c r="D6971" s="7" t="s">
        <v>303</v>
      </c>
      <c r="E6971" s="7" t="s">
        <v>154</v>
      </c>
      <c r="F6971" s="7" t="s">
        <v>240</v>
      </c>
      <c r="G6971" s="7" t="s">
        <v>505</v>
      </c>
      <c r="H6971" s="6" t="n">
        <v>4.29</v>
      </c>
      <c r="I6971" s="6" t="n">
        <v>0</v>
      </c>
      <c r="J6971" s="40" t="n">
        <f aca="false">H6971-I6971</f>
        <v>4.29</v>
      </c>
      <c r="K6971" s="41" t="n">
        <v>26.5</v>
      </c>
      <c r="L6971" s="42" t="n">
        <f aca="false">J6971*K6971</f>
        <v>113.685</v>
      </c>
      <c r="M6971" s="43" t="n">
        <f aca="false">H6971*16.96*(1+'Chart of Accounts'!$E$67)</f>
        <v>83.308368</v>
      </c>
    </row>
    <row r="6972" customFormat="false" ht="15" hidden="false" customHeight="false" outlineLevel="0" collapsed="false">
      <c r="B6972" s="7" t="s">
        <v>7469</v>
      </c>
      <c r="C6972" s="39" t="n">
        <v>45978</v>
      </c>
      <c r="D6972" s="7" t="s">
        <v>305</v>
      </c>
      <c r="E6972" s="7" t="s">
        <v>154</v>
      </c>
      <c r="F6972" s="7" t="s">
        <v>205</v>
      </c>
      <c r="G6972" s="7" t="s">
        <v>505</v>
      </c>
      <c r="H6972" s="6" t="n">
        <v>3.86</v>
      </c>
      <c r="I6972" s="6" t="n">
        <v>0</v>
      </c>
      <c r="J6972" s="40" t="n">
        <f aca="false">H6972-I6972</f>
        <v>3.86</v>
      </c>
      <c r="K6972" s="41" t="n">
        <v>26.5</v>
      </c>
      <c r="L6972" s="42" t="n">
        <f aca="false">J6972*K6972</f>
        <v>102.29</v>
      </c>
      <c r="M6972" s="43" t="n">
        <f aca="false">H6972*16.36*(1+'Chart of Accounts'!$E$67)</f>
        <v>72.306292</v>
      </c>
    </row>
    <row r="6973" customFormat="false" ht="15" hidden="false" customHeight="false" outlineLevel="0" collapsed="false">
      <c r="B6973" s="7" t="s">
        <v>7470</v>
      </c>
      <c r="C6973" s="39" t="n">
        <v>45978</v>
      </c>
      <c r="D6973" s="7" t="s">
        <v>307</v>
      </c>
      <c r="E6973" s="7" t="s">
        <v>157</v>
      </c>
      <c r="F6973" s="7" t="s">
        <v>264</v>
      </c>
      <c r="G6973" s="7" t="s">
        <v>502</v>
      </c>
      <c r="H6973" s="6" t="n">
        <v>0.97</v>
      </c>
      <c r="I6973" s="6" t="n">
        <v>0</v>
      </c>
      <c r="J6973" s="40" t="n">
        <f aca="false">H6973-I6973</f>
        <v>0.97</v>
      </c>
      <c r="K6973" s="41" t="n">
        <v>165</v>
      </c>
      <c r="L6973" s="42" t="n">
        <f aca="false">J6973*K6973</f>
        <v>160.05</v>
      </c>
      <c r="M6973" s="43" t="n">
        <f aca="false">H6973*55.55*(1+'Chart of Accounts'!$E$67)</f>
        <v>61.6966075</v>
      </c>
    </row>
    <row r="6974" customFormat="false" ht="15" hidden="false" customHeight="false" outlineLevel="0" collapsed="false">
      <c r="B6974" s="7" t="s">
        <v>7471</v>
      </c>
      <c r="C6974" s="39" t="n">
        <v>45978</v>
      </c>
      <c r="D6974" s="7" t="s">
        <v>309</v>
      </c>
      <c r="E6974" s="7" t="s">
        <v>159</v>
      </c>
      <c r="F6974" s="7" t="s">
        <v>252</v>
      </c>
      <c r="G6974" s="7" t="s">
        <v>502</v>
      </c>
      <c r="H6974" s="6" t="n">
        <v>0.94</v>
      </c>
      <c r="I6974" s="6" t="n">
        <v>0</v>
      </c>
      <c r="J6974" s="40" t="n">
        <f aca="false">H6974-I6974</f>
        <v>0.94</v>
      </c>
      <c r="K6974" s="41" t="n">
        <v>135</v>
      </c>
      <c r="L6974" s="42" t="n">
        <f aca="false">J6974*K6974</f>
        <v>126.9</v>
      </c>
      <c r="M6974" s="43" t="n">
        <f aca="false">H6974*57.54*(1+'Chart of Accounts'!$E$67)</f>
        <v>61.930302</v>
      </c>
    </row>
    <row r="6975" customFormat="false" ht="15" hidden="false" customHeight="false" outlineLevel="0" collapsed="false">
      <c r="B6975" s="7" t="s">
        <v>7472</v>
      </c>
      <c r="C6975" s="39" t="n">
        <v>45978</v>
      </c>
      <c r="D6975" s="7" t="s">
        <v>311</v>
      </c>
      <c r="E6975" s="7" t="s">
        <v>154</v>
      </c>
      <c r="F6975" s="7" t="s">
        <v>196</v>
      </c>
      <c r="G6975" s="7" t="s">
        <v>505</v>
      </c>
      <c r="H6975" s="6" t="n">
        <v>3.17</v>
      </c>
      <c r="I6975" s="6" t="n">
        <v>0</v>
      </c>
      <c r="J6975" s="40" t="n">
        <f aca="false">H6975-I6975</f>
        <v>3.17</v>
      </c>
      <c r="K6975" s="41" t="n">
        <v>26.5</v>
      </c>
      <c r="L6975" s="42" t="n">
        <f aca="false">J6975*K6975</f>
        <v>84.005</v>
      </c>
      <c r="M6975" s="43" t="n">
        <f aca="false">H6975*15.05*(1+'Chart of Accounts'!$E$67)</f>
        <v>54.6262325</v>
      </c>
    </row>
    <row r="6976" customFormat="false" ht="15" hidden="false" customHeight="false" outlineLevel="0" collapsed="false">
      <c r="B6976" s="7" t="s">
        <v>7473</v>
      </c>
      <c r="C6976" s="39" t="n">
        <v>45978</v>
      </c>
      <c r="D6976" s="7" t="s">
        <v>313</v>
      </c>
      <c r="E6976" s="7" t="s">
        <v>156</v>
      </c>
      <c r="F6976" s="7" t="s">
        <v>184</v>
      </c>
      <c r="G6976" s="7" t="s">
        <v>505</v>
      </c>
      <c r="H6976" s="6" t="n">
        <v>4.04</v>
      </c>
      <c r="I6976" s="6" t="n">
        <v>0</v>
      </c>
      <c r="J6976" s="40" t="n">
        <f aca="false">H6976-I6976</f>
        <v>4.04</v>
      </c>
      <c r="K6976" s="41" t="n">
        <v>34</v>
      </c>
      <c r="L6976" s="42" t="n">
        <f aca="false">J6976*K6976</f>
        <v>137.36</v>
      </c>
      <c r="M6976" s="43" t="n">
        <f aca="false">H6976*17.34*(1+'Chart of Accounts'!$E$67)</f>
        <v>80.211372</v>
      </c>
    </row>
    <row r="6977" customFormat="false" ht="15" hidden="false" customHeight="false" outlineLevel="0" collapsed="false">
      <c r="B6977" s="7" t="s">
        <v>7474</v>
      </c>
      <c r="C6977" s="39" t="n">
        <v>45978</v>
      </c>
      <c r="D6977" s="7" t="s">
        <v>315</v>
      </c>
      <c r="E6977" s="7" t="s">
        <v>159</v>
      </c>
      <c r="F6977" s="7" t="s">
        <v>216</v>
      </c>
      <c r="G6977" s="7" t="s">
        <v>502</v>
      </c>
      <c r="H6977" s="6" t="n">
        <v>1.08</v>
      </c>
      <c r="I6977" s="6" t="n">
        <v>0.076</v>
      </c>
      <c r="J6977" s="40" t="n">
        <f aca="false">H6977-I6977</f>
        <v>1.004</v>
      </c>
      <c r="K6977" s="41" t="n">
        <v>135</v>
      </c>
      <c r="L6977" s="42" t="n">
        <f aca="false">J6977*K6977</f>
        <v>135.54</v>
      </c>
      <c r="M6977" s="43" t="n">
        <f aca="false">H6977*61.79*(1+'Chart of Accounts'!$E$67)</f>
        <v>76.409514</v>
      </c>
    </row>
    <row r="6978" customFormat="false" ht="15" hidden="false" customHeight="false" outlineLevel="0" collapsed="false">
      <c r="B6978" s="7" t="s">
        <v>7475</v>
      </c>
      <c r="C6978" s="39" t="n">
        <v>45978</v>
      </c>
      <c r="D6978" s="7" t="s">
        <v>317</v>
      </c>
      <c r="E6978" s="7" t="s">
        <v>156</v>
      </c>
      <c r="F6978" s="7" t="s">
        <v>218</v>
      </c>
      <c r="G6978" s="7" t="s">
        <v>505</v>
      </c>
      <c r="H6978" s="6" t="n">
        <v>2.98</v>
      </c>
      <c r="I6978" s="6" t="n">
        <v>0</v>
      </c>
      <c r="J6978" s="40" t="n">
        <f aca="false">H6978-I6978</f>
        <v>2.98</v>
      </c>
      <c r="K6978" s="41" t="n">
        <v>34</v>
      </c>
      <c r="L6978" s="42" t="n">
        <f aca="false">J6978*K6978</f>
        <v>101.32</v>
      </c>
      <c r="M6978" s="43" t="n">
        <f aca="false">H6978*16.19*(1+'Chart of Accounts'!$E$67)</f>
        <v>55.241899</v>
      </c>
    </row>
    <row r="6979" customFormat="false" ht="15" hidden="false" customHeight="false" outlineLevel="0" collapsed="false">
      <c r="B6979" s="7" t="s">
        <v>7476</v>
      </c>
      <c r="C6979" s="39" t="n">
        <v>45978</v>
      </c>
      <c r="D6979" s="7" t="s">
        <v>321</v>
      </c>
      <c r="E6979" s="7" t="s">
        <v>154</v>
      </c>
      <c r="F6979" s="7" t="s">
        <v>218</v>
      </c>
      <c r="G6979" s="7" t="s">
        <v>505</v>
      </c>
      <c r="H6979" s="6" t="n">
        <v>4.34</v>
      </c>
      <c r="I6979" s="6" t="n">
        <v>0</v>
      </c>
      <c r="J6979" s="40" t="n">
        <f aca="false">H6979-I6979</f>
        <v>4.34</v>
      </c>
      <c r="K6979" s="41" t="n">
        <v>26.5</v>
      </c>
      <c r="L6979" s="42" t="n">
        <f aca="false">J6979*K6979</f>
        <v>115.01</v>
      </c>
      <c r="M6979" s="43" t="n">
        <f aca="false">H6979*16.19*(1+'Chart of Accounts'!$E$67)</f>
        <v>80.452967</v>
      </c>
    </row>
    <row r="6980" customFormat="false" ht="15" hidden="false" customHeight="false" outlineLevel="0" collapsed="false">
      <c r="B6980" s="7" t="s">
        <v>7477</v>
      </c>
      <c r="C6980" s="39" t="n">
        <v>45978</v>
      </c>
      <c r="D6980" s="7" t="s">
        <v>325</v>
      </c>
      <c r="E6980" s="7" t="s">
        <v>154</v>
      </c>
      <c r="F6980" s="7" t="s">
        <v>242</v>
      </c>
      <c r="G6980" s="7" t="s">
        <v>505</v>
      </c>
      <c r="H6980" s="6" t="n">
        <v>3.12</v>
      </c>
      <c r="I6980" s="6" t="n">
        <v>0</v>
      </c>
      <c r="J6980" s="40" t="n">
        <f aca="false">H6980-I6980</f>
        <v>3.12</v>
      </c>
      <c r="K6980" s="41" t="n">
        <v>26.5</v>
      </c>
      <c r="L6980" s="42" t="n">
        <f aca="false">J6980*K6980</f>
        <v>82.68</v>
      </c>
      <c r="M6980" s="43" t="n">
        <f aca="false">H6980*17.99*(1+'Chart of Accounts'!$E$67)</f>
        <v>64.267476</v>
      </c>
    </row>
    <row r="6981" customFormat="false" ht="15" hidden="false" customHeight="false" outlineLevel="0" collapsed="false">
      <c r="B6981" s="7" t="s">
        <v>7478</v>
      </c>
      <c r="C6981" s="39" t="n">
        <v>45978</v>
      </c>
      <c r="D6981" s="7" t="s">
        <v>329</v>
      </c>
      <c r="E6981" s="7" t="s">
        <v>156</v>
      </c>
      <c r="F6981" s="7" t="s">
        <v>220</v>
      </c>
      <c r="G6981" s="7" t="s">
        <v>505</v>
      </c>
      <c r="H6981" s="6" t="n">
        <v>4.26</v>
      </c>
      <c r="I6981" s="6" t="n">
        <v>0</v>
      </c>
      <c r="J6981" s="40" t="n">
        <f aca="false">H6981-I6981</f>
        <v>4.26</v>
      </c>
      <c r="K6981" s="41" t="n">
        <v>34</v>
      </c>
      <c r="L6981" s="42" t="n">
        <f aca="false">J6981*K6981</f>
        <v>144.84</v>
      </c>
      <c r="M6981" s="43" t="n">
        <f aca="false">H6981*16.43*(1+'Chart of Accounts'!$E$67)</f>
        <v>80.140611</v>
      </c>
    </row>
    <row r="6982" customFormat="false" ht="15" hidden="false" customHeight="false" outlineLevel="0" collapsed="false">
      <c r="B6982" s="7" t="s">
        <v>7479</v>
      </c>
      <c r="C6982" s="39" t="n">
        <v>45978</v>
      </c>
      <c r="D6982" s="7" t="s">
        <v>331</v>
      </c>
      <c r="E6982" s="7" t="s">
        <v>156</v>
      </c>
      <c r="F6982" s="7" t="s">
        <v>224</v>
      </c>
      <c r="G6982" s="7" t="s">
        <v>505</v>
      </c>
      <c r="H6982" s="6" t="n">
        <v>3.81</v>
      </c>
      <c r="I6982" s="6" t="n">
        <v>0</v>
      </c>
      <c r="J6982" s="40" t="n">
        <f aca="false">H6982-I6982</f>
        <v>3.81</v>
      </c>
      <c r="K6982" s="41" t="n">
        <v>34</v>
      </c>
      <c r="L6982" s="42" t="n">
        <f aca="false">J6982*K6982</f>
        <v>129.54</v>
      </c>
      <c r="M6982" s="43" t="n">
        <f aca="false">H6982*14.93*(1+'Chart of Accounts'!$E$67)</f>
        <v>65.1313785</v>
      </c>
    </row>
    <row r="6983" customFormat="false" ht="15" hidden="false" customHeight="false" outlineLevel="0" collapsed="false">
      <c r="B6983" s="7" t="s">
        <v>7480</v>
      </c>
      <c r="C6983" s="39" t="n">
        <v>45978</v>
      </c>
      <c r="D6983" s="7" t="s">
        <v>333</v>
      </c>
      <c r="E6983" s="7" t="s">
        <v>154</v>
      </c>
      <c r="F6983" s="7" t="s">
        <v>236</v>
      </c>
      <c r="G6983" s="7" t="s">
        <v>505</v>
      </c>
      <c r="H6983" s="6" t="n">
        <v>3.34</v>
      </c>
      <c r="I6983" s="6" t="n">
        <v>0</v>
      </c>
      <c r="J6983" s="40" t="n">
        <f aca="false">H6983-I6983</f>
        <v>3.34</v>
      </c>
      <c r="K6983" s="41" t="n">
        <v>26.5</v>
      </c>
      <c r="L6983" s="42" t="n">
        <f aca="false">J6983*K6983</f>
        <v>88.51</v>
      </c>
      <c r="M6983" s="43" t="n">
        <f aca="false">H6983*15.49*(1+'Chart of Accounts'!$E$67)</f>
        <v>59.238407</v>
      </c>
    </row>
    <row r="6984" customFormat="false" ht="15" hidden="false" customHeight="false" outlineLevel="0" collapsed="false">
      <c r="B6984" s="7" t="s">
        <v>7481</v>
      </c>
      <c r="C6984" s="39" t="n">
        <v>45978</v>
      </c>
      <c r="D6984" s="7" t="s">
        <v>335</v>
      </c>
      <c r="E6984" s="7" t="s">
        <v>154</v>
      </c>
      <c r="F6984" s="7" t="s">
        <v>177</v>
      </c>
      <c r="G6984" s="7" t="s">
        <v>505</v>
      </c>
      <c r="H6984" s="6" t="n">
        <v>3.65</v>
      </c>
      <c r="I6984" s="6" t="n">
        <v>0.11</v>
      </c>
      <c r="J6984" s="40" t="n">
        <f aca="false">H6984-I6984</f>
        <v>3.54</v>
      </c>
      <c r="K6984" s="41" t="n">
        <v>26.5</v>
      </c>
      <c r="L6984" s="42" t="n">
        <f aca="false">J6984*K6984</f>
        <v>93.81</v>
      </c>
      <c r="M6984" s="43" t="n">
        <f aca="false">H6984*14.56*(1+'Chart of Accounts'!$E$67)</f>
        <v>60.84988</v>
      </c>
    </row>
    <row r="6985" customFormat="false" ht="15" hidden="false" customHeight="false" outlineLevel="0" collapsed="false">
      <c r="B6985" s="7" t="s">
        <v>7482</v>
      </c>
      <c r="C6985" s="39" t="n">
        <v>45978</v>
      </c>
      <c r="D6985" s="7" t="s">
        <v>339</v>
      </c>
      <c r="E6985" s="7" t="s">
        <v>154</v>
      </c>
      <c r="F6985" s="7" t="s">
        <v>242</v>
      </c>
      <c r="G6985" s="7" t="s">
        <v>505</v>
      </c>
      <c r="H6985" s="6" t="n">
        <v>3.01</v>
      </c>
      <c r="I6985" s="6" t="n">
        <v>0</v>
      </c>
      <c r="J6985" s="40" t="n">
        <f aca="false">H6985-I6985</f>
        <v>3.01</v>
      </c>
      <c r="K6985" s="41" t="n">
        <v>26.5</v>
      </c>
      <c r="L6985" s="42" t="n">
        <f aca="false">J6985*K6985</f>
        <v>79.765</v>
      </c>
      <c r="M6985" s="43" t="n">
        <f aca="false">H6985*17.99*(1+'Chart of Accounts'!$E$67)</f>
        <v>62.0016355</v>
      </c>
    </row>
    <row r="6986" customFormat="false" ht="15" hidden="false" customHeight="false" outlineLevel="0" collapsed="false">
      <c r="B6986" s="7" t="s">
        <v>7483</v>
      </c>
      <c r="C6986" s="39" t="n">
        <v>45978</v>
      </c>
      <c r="D6986" s="7" t="s">
        <v>341</v>
      </c>
      <c r="E6986" s="7" t="s">
        <v>156</v>
      </c>
      <c r="F6986" s="7" t="s">
        <v>222</v>
      </c>
      <c r="G6986" s="7" t="s">
        <v>505</v>
      </c>
      <c r="H6986" s="6" t="n">
        <v>3</v>
      </c>
      <c r="I6986" s="6" t="n">
        <v>0</v>
      </c>
      <c r="J6986" s="40" t="n">
        <f aca="false">H6986-I6986</f>
        <v>3</v>
      </c>
      <c r="K6986" s="41" t="n">
        <v>34</v>
      </c>
      <c r="L6986" s="42" t="n">
        <f aca="false">J6986*K6986</f>
        <v>102</v>
      </c>
      <c r="M6986" s="43" t="n">
        <f aca="false">H6986*17.84*(1+'Chart of Accounts'!$E$67)</f>
        <v>61.2804</v>
      </c>
    </row>
    <row r="6987" customFormat="false" ht="15" hidden="false" customHeight="false" outlineLevel="0" collapsed="false">
      <c r="B6987" s="7" t="s">
        <v>7484</v>
      </c>
      <c r="C6987" s="39" t="n">
        <v>45978</v>
      </c>
      <c r="D6987" s="7" t="s">
        <v>343</v>
      </c>
      <c r="E6987" s="7" t="s">
        <v>154</v>
      </c>
      <c r="F6987" s="7" t="s">
        <v>232</v>
      </c>
      <c r="G6987" s="7" t="s">
        <v>505</v>
      </c>
      <c r="H6987" s="6" t="n">
        <v>3.76</v>
      </c>
      <c r="I6987" s="6" t="n">
        <v>0</v>
      </c>
      <c r="J6987" s="40" t="n">
        <f aca="false">H6987-I6987</f>
        <v>3.76</v>
      </c>
      <c r="K6987" s="41" t="n">
        <v>26.5</v>
      </c>
      <c r="L6987" s="42" t="n">
        <f aca="false">J6987*K6987</f>
        <v>99.64</v>
      </c>
      <c r="M6987" s="43" t="n">
        <f aca="false">H6987*16.17*(1+'Chart of Accounts'!$E$67)</f>
        <v>69.615084</v>
      </c>
    </row>
    <row r="6988" customFormat="false" ht="15" hidden="false" customHeight="false" outlineLevel="0" collapsed="false">
      <c r="B6988" s="7" t="s">
        <v>7485</v>
      </c>
      <c r="C6988" s="39" t="n">
        <v>45978</v>
      </c>
      <c r="D6988" s="7" t="s">
        <v>347</v>
      </c>
      <c r="E6988" s="7" t="s">
        <v>154</v>
      </c>
      <c r="F6988" s="7" t="s">
        <v>238</v>
      </c>
      <c r="G6988" s="7" t="s">
        <v>505</v>
      </c>
      <c r="H6988" s="6" t="n">
        <v>4.26</v>
      </c>
      <c r="I6988" s="6" t="n">
        <v>0</v>
      </c>
      <c r="J6988" s="40" t="n">
        <f aca="false">H6988-I6988</f>
        <v>4.26</v>
      </c>
      <c r="K6988" s="41" t="n">
        <v>26.5</v>
      </c>
      <c r="L6988" s="42" t="n">
        <f aca="false">J6988*K6988</f>
        <v>112.89</v>
      </c>
      <c r="M6988" s="43" t="n">
        <f aca="false">H6988*15.85*(1+'Chart of Accounts'!$E$67)</f>
        <v>77.311545</v>
      </c>
    </row>
    <row r="6989" customFormat="false" ht="15" hidden="false" customHeight="false" outlineLevel="0" collapsed="false">
      <c r="B6989" s="7" t="s">
        <v>7486</v>
      </c>
      <c r="C6989" s="39" t="n">
        <v>45978</v>
      </c>
      <c r="D6989" s="7" t="s">
        <v>349</v>
      </c>
      <c r="E6989" s="7" t="s">
        <v>154</v>
      </c>
      <c r="F6989" s="7" t="s">
        <v>244</v>
      </c>
      <c r="G6989" s="7" t="s">
        <v>505</v>
      </c>
      <c r="H6989" s="6" t="n">
        <v>4.37</v>
      </c>
      <c r="I6989" s="6" t="n">
        <v>0</v>
      </c>
      <c r="J6989" s="40" t="n">
        <f aca="false">H6989-I6989</f>
        <v>4.37</v>
      </c>
      <c r="K6989" s="41" t="n">
        <v>26.5</v>
      </c>
      <c r="L6989" s="42" t="n">
        <f aca="false">J6989*K6989</f>
        <v>115.805</v>
      </c>
      <c r="M6989" s="43" t="n">
        <f aca="false">H6989*16.39*(1+'Chart of Accounts'!$E$67)</f>
        <v>82.0098235</v>
      </c>
    </row>
    <row r="6990" customFormat="false" ht="15" hidden="false" customHeight="false" outlineLevel="0" collapsed="false">
      <c r="B6990" s="7" t="s">
        <v>7487</v>
      </c>
      <c r="C6990" s="39" t="n">
        <v>45978</v>
      </c>
      <c r="D6990" s="7" t="s">
        <v>351</v>
      </c>
      <c r="E6990" s="7" t="s">
        <v>154</v>
      </c>
      <c r="F6990" s="7" t="s">
        <v>201</v>
      </c>
      <c r="G6990" s="7" t="s">
        <v>505</v>
      </c>
      <c r="H6990" s="6" t="n">
        <v>2.75</v>
      </c>
      <c r="I6990" s="6" t="n">
        <v>0.082</v>
      </c>
      <c r="J6990" s="40" t="n">
        <f aca="false">H6990-I6990</f>
        <v>2.668</v>
      </c>
      <c r="K6990" s="41" t="n">
        <v>26.5</v>
      </c>
      <c r="L6990" s="42" t="n">
        <f aca="false">J6990*K6990</f>
        <v>70.702</v>
      </c>
      <c r="M6990" s="43" t="n">
        <f aca="false">H6990*15.19*(1+'Chart of Accounts'!$E$67)</f>
        <v>47.8295125</v>
      </c>
    </row>
    <row r="6991" customFormat="false" ht="15" hidden="false" customHeight="false" outlineLevel="0" collapsed="false">
      <c r="B6991" s="7" t="s">
        <v>7488</v>
      </c>
      <c r="C6991" s="39" t="n">
        <v>45978</v>
      </c>
      <c r="D6991" s="7" t="s">
        <v>353</v>
      </c>
      <c r="E6991" s="7" t="s">
        <v>154</v>
      </c>
      <c r="F6991" s="7" t="s">
        <v>254</v>
      </c>
      <c r="G6991" s="7" t="s">
        <v>505</v>
      </c>
      <c r="H6991" s="6" t="n">
        <v>3.15</v>
      </c>
      <c r="I6991" s="6" t="n">
        <v>0</v>
      </c>
      <c r="J6991" s="40" t="n">
        <f aca="false">H6991-I6991</f>
        <v>3.15</v>
      </c>
      <c r="K6991" s="41" t="n">
        <v>26.5</v>
      </c>
      <c r="L6991" s="42" t="n">
        <f aca="false">J6991*K6991</f>
        <v>83.475</v>
      </c>
      <c r="M6991" s="43" t="n">
        <f aca="false">H6991*17.1*(1+'Chart of Accounts'!$E$67)</f>
        <v>61.675425</v>
      </c>
    </row>
    <row r="6992" customFormat="false" ht="15" hidden="false" customHeight="false" outlineLevel="0" collapsed="false">
      <c r="B6992" s="7" t="s">
        <v>7489</v>
      </c>
      <c r="C6992" s="39" t="n">
        <v>45978</v>
      </c>
      <c r="D6992" s="7" t="s">
        <v>355</v>
      </c>
      <c r="E6992" s="7" t="s">
        <v>154</v>
      </c>
      <c r="F6992" s="7" t="s">
        <v>201</v>
      </c>
      <c r="G6992" s="7" t="s">
        <v>505</v>
      </c>
      <c r="H6992" s="6" t="n">
        <v>3.42</v>
      </c>
      <c r="I6992" s="6" t="n">
        <v>0.103</v>
      </c>
      <c r="J6992" s="40" t="n">
        <f aca="false">H6992-I6992</f>
        <v>3.317</v>
      </c>
      <c r="K6992" s="41" t="n">
        <v>26.5</v>
      </c>
      <c r="L6992" s="42" t="n">
        <f aca="false">J6992*K6992</f>
        <v>87.9005</v>
      </c>
      <c r="M6992" s="43" t="n">
        <f aca="false">H6992*15.19*(1+'Chart of Accounts'!$E$67)</f>
        <v>59.482521</v>
      </c>
    </row>
    <row r="6993" customFormat="false" ht="15" hidden="false" customHeight="false" outlineLevel="0" collapsed="false">
      <c r="B6993" s="7" t="s">
        <v>7490</v>
      </c>
      <c r="C6993" s="39" t="n">
        <v>45978</v>
      </c>
      <c r="D6993" s="7" t="s">
        <v>357</v>
      </c>
      <c r="E6993" s="7" t="s">
        <v>154</v>
      </c>
      <c r="F6993" s="7" t="s">
        <v>240</v>
      </c>
      <c r="G6993" s="7" t="s">
        <v>505</v>
      </c>
      <c r="H6993" s="6" t="n">
        <v>3.53</v>
      </c>
      <c r="I6993" s="6" t="n">
        <v>0.106</v>
      </c>
      <c r="J6993" s="40" t="n">
        <f aca="false">H6993-I6993</f>
        <v>3.424</v>
      </c>
      <c r="K6993" s="41" t="n">
        <v>26.5</v>
      </c>
      <c r="L6993" s="42" t="n">
        <f aca="false">J6993*K6993</f>
        <v>90.736</v>
      </c>
      <c r="M6993" s="43" t="n">
        <f aca="false">H6993*16.96*(1+'Chart of Accounts'!$E$67)</f>
        <v>68.549776</v>
      </c>
    </row>
    <row r="6994" customFormat="false" ht="15" hidden="false" customHeight="false" outlineLevel="0" collapsed="false">
      <c r="B6994" s="7" t="s">
        <v>7491</v>
      </c>
      <c r="C6994" s="39" t="n">
        <v>45978</v>
      </c>
      <c r="D6994" s="7" t="s">
        <v>359</v>
      </c>
      <c r="E6994" s="7" t="s">
        <v>156</v>
      </c>
      <c r="F6994" s="7" t="s">
        <v>244</v>
      </c>
      <c r="G6994" s="7" t="s">
        <v>505</v>
      </c>
      <c r="H6994" s="6" t="n">
        <v>4.09</v>
      </c>
      <c r="I6994" s="6" t="n">
        <v>0</v>
      </c>
      <c r="J6994" s="40" t="n">
        <f aca="false">H6994-I6994</f>
        <v>4.09</v>
      </c>
      <c r="K6994" s="41" t="n">
        <v>34</v>
      </c>
      <c r="L6994" s="42" t="n">
        <f aca="false">J6994*K6994</f>
        <v>139.06</v>
      </c>
      <c r="M6994" s="43" t="n">
        <f aca="false">H6994*16.39*(1+'Chart of Accounts'!$E$67)</f>
        <v>76.7551895</v>
      </c>
    </row>
    <row r="6995" customFormat="false" ht="15" hidden="false" customHeight="false" outlineLevel="0" collapsed="false">
      <c r="B6995" s="7" t="s">
        <v>7492</v>
      </c>
      <c r="C6995" s="39" t="n">
        <v>45978</v>
      </c>
      <c r="D6995" s="7" t="s">
        <v>363</v>
      </c>
      <c r="E6995" s="7" t="s">
        <v>156</v>
      </c>
      <c r="F6995" s="7" t="s">
        <v>246</v>
      </c>
      <c r="G6995" s="7" t="s">
        <v>505</v>
      </c>
      <c r="H6995" s="6" t="n">
        <v>3.84</v>
      </c>
      <c r="I6995" s="6" t="n">
        <v>0</v>
      </c>
      <c r="J6995" s="40" t="n">
        <f aca="false">H6995-I6995</f>
        <v>3.84</v>
      </c>
      <c r="K6995" s="41" t="n">
        <v>34</v>
      </c>
      <c r="L6995" s="42" t="n">
        <f aca="false">J6995*K6995</f>
        <v>130.56</v>
      </c>
      <c r="M6995" s="43" t="n">
        <f aca="false">H6995*16.48*(1+'Chart of Accounts'!$E$67)</f>
        <v>72.459264</v>
      </c>
    </row>
    <row r="6996" customFormat="false" ht="15" hidden="false" customHeight="false" outlineLevel="0" collapsed="false">
      <c r="B6996" s="7" t="s">
        <v>7493</v>
      </c>
      <c r="C6996" s="39" t="n">
        <v>45978</v>
      </c>
      <c r="D6996" s="7" t="s">
        <v>365</v>
      </c>
      <c r="E6996" s="7" t="s">
        <v>154</v>
      </c>
      <c r="F6996" s="7" t="s">
        <v>194</v>
      </c>
      <c r="G6996" s="7" t="s">
        <v>505</v>
      </c>
      <c r="H6996" s="6" t="n">
        <v>3.64</v>
      </c>
      <c r="I6996" s="6" t="n">
        <v>0</v>
      </c>
      <c r="J6996" s="40" t="n">
        <f aca="false">H6996-I6996</f>
        <v>3.64</v>
      </c>
      <c r="K6996" s="41" t="n">
        <v>26.5</v>
      </c>
      <c r="L6996" s="42" t="n">
        <f aca="false">J6996*K6996</f>
        <v>96.46</v>
      </c>
      <c r="M6996" s="43" t="n">
        <f aca="false">H6996*16*(1+'Chart of Accounts'!$E$67)</f>
        <v>66.6848</v>
      </c>
    </row>
    <row r="6997" customFormat="false" ht="15" hidden="false" customHeight="false" outlineLevel="0" collapsed="false">
      <c r="B6997" s="7" t="s">
        <v>7494</v>
      </c>
      <c r="C6997" s="39" t="n">
        <v>45978</v>
      </c>
      <c r="D6997" s="7" t="s">
        <v>371</v>
      </c>
      <c r="E6997" s="7" t="s">
        <v>154</v>
      </c>
      <c r="F6997" s="7" t="s">
        <v>232</v>
      </c>
      <c r="G6997" s="7" t="s">
        <v>505</v>
      </c>
      <c r="H6997" s="6" t="n">
        <v>4.2</v>
      </c>
      <c r="I6997" s="6" t="n">
        <v>0</v>
      </c>
      <c r="J6997" s="40" t="n">
        <f aca="false">H6997-I6997</f>
        <v>4.2</v>
      </c>
      <c r="K6997" s="41" t="n">
        <v>26.5</v>
      </c>
      <c r="L6997" s="42" t="n">
        <f aca="false">J6997*K6997</f>
        <v>111.3</v>
      </c>
      <c r="M6997" s="43" t="n">
        <f aca="false">H6997*16.17*(1+'Chart of Accounts'!$E$67)</f>
        <v>77.76153</v>
      </c>
    </row>
    <row r="6998" customFormat="false" ht="15" hidden="false" customHeight="false" outlineLevel="0" collapsed="false">
      <c r="B6998" s="7" t="s">
        <v>7495</v>
      </c>
      <c r="C6998" s="39" t="n">
        <v>45978</v>
      </c>
      <c r="D6998" s="7" t="s">
        <v>375</v>
      </c>
      <c r="E6998" s="7" t="s">
        <v>156</v>
      </c>
      <c r="F6998" s="7" t="s">
        <v>196</v>
      </c>
      <c r="G6998" s="7" t="s">
        <v>505</v>
      </c>
      <c r="H6998" s="6" t="n">
        <v>3.09</v>
      </c>
      <c r="I6998" s="6" t="n">
        <v>0</v>
      </c>
      <c r="J6998" s="40" t="n">
        <f aca="false">H6998-I6998</f>
        <v>3.09</v>
      </c>
      <c r="K6998" s="41" t="n">
        <v>34</v>
      </c>
      <c r="L6998" s="42" t="n">
        <f aca="false">J6998*K6998</f>
        <v>105.06</v>
      </c>
      <c r="M6998" s="43" t="n">
        <f aca="false">H6998*15.05*(1+'Chart of Accounts'!$E$67)</f>
        <v>53.2476525</v>
      </c>
    </row>
    <row r="6999" customFormat="false" ht="15" hidden="false" customHeight="false" outlineLevel="0" collapsed="false">
      <c r="B6999" s="7" t="s">
        <v>7496</v>
      </c>
      <c r="C6999" s="39" t="n">
        <v>45978</v>
      </c>
      <c r="D6999" s="7" t="s">
        <v>377</v>
      </c>
      <c r="E6999" s="7" t="s">
        <v>154</v>
      </c>
      <c r="F6999" s="7" t="s">
        <v>214</v>
      </c>
      <c r="G6999" s="7" t="s">
        <v>505</v>
      </c>
      <c r="H6999" s="6" t="n">
        <v>3.66</v>
      </c>
      <c r="I6999" s="6" t="n">
        <v>0</v>
      </c>
      <c r="J6999" s="40" t="n">
        <f aca="false">H6999-I6999</f>
        <v>3.66</v>
      </c>
      <c r="K6999" s="41" t="n">
        <v>26.5</v>
      </c>
      <c r="L6999" s="42" t="n">
        <f aca="false">J6999*K6999</f>
        <v>96.99</v>
      </c>
      <c r="M6999" s="43" t="n">
        <f aca="false">H6999*15.67*(1+'Chart of Accounts'!$E$67)</f>
        <v>65.668269</v>
      </c>
    </row>
    <row r="7000" customFormat="false" ht="15" hidden="false" customHeight="false" outlineLevel="0" collapsed="false">
      <c r="B7000" s="7" t="s">
        <v>7497</v>
      </c>
      <c r="C7000" s="39" t="n">
        <v>45978</v>
      </c>
      <c r="D7000" s="7" t="s">
        <v>385</v>
      </c>
      <c r="E7000" s="7" t="s">
        <v>156</v>
      </c>
      <c r="F7000" s="7" t="s">
        <v>238</v>
      </c>
      <c r="G7000" s="7" t="s">
        <v>505</v>
      </c>
      <c r="H7000" s="6" t="n">
        <v>3.64</v>
      </c>
      <c r="I7000" s="6" t="n">
        <v>0</v>
      </c>
      <c r="J7000" s="40" t="n">
        <f aca="false">H7000-I7000</f>
        <v>3.64</v>
      </c>
      <c r="K7000" s="41" t="n">
        <v>34</v>
      </c>
      <c r="L7000" s="42" t="n">
        <f aca="false">J7000*K7000</f>
        <v>123.76</v>
      </c>
      <c r="M7000" s="43" t="n">
        <f aca="false">H7000*15.85*(1+'Chart of Accounts'!$E$67)</f>
        <v>66.05963</v>
      </c>
    </row>
    <row r="7001" customFormat="false" ht="15" hidden="false" customHeight="false" outlineLevel="0" collapsed="false">
      <c r="B7001" s="7" t="s">
        <v>7498</v>
      </c>
      <c r="C7001" s="39" t="n">
        <v>45978</v>
      </c>
      <c r="D7001" s="7" t="s">
        <v>387</v>
      </c>
      <c r="E7001" s="7" t="s">
        <v>154</v>
      </c>
      <c r="F7001" s="7" t="s">
        <v>196</v>
      </c>
      <c r="G7001" s="7" t="s">
        <v>505</v>
      </c>
      <c r="H7001" s="6" t="n">
        <v>4</v>
      </c>
      <c r="I7001" s="6" t="n">
        <v>0</v>
      </c>
      <c r="J7001" s="40" t="n">
        <f aca="false">H7001-I7001</f>
        <v>4</v>
      </c>
      <c r="K7001" s="41" t="n">
        <v>26.5</v>
      </c>
      <c r="L7001" s="42" t="n">
        <f aca="false">J7001*K7001</f>
        <v>106</v>
      </c>
      <c r="M7001" s="43" t="n">
        <f aca="false">H7001*15.05*(1+'Chart of Accounts'!$E$67)</f>
        <v>68.929</v>
      </c>
    </row>
    <row r="7002" customFormat="false" ht="15" hidden="false" customHeight="false" outlineLevel="0" collapsed="false">
      <c r="B7002" s="7" t="s">
        <v>7499</v>
      </c>
      <c r="C7002" s="39" t="n">
        <v>45978</v>
      </c>
      <c r="D7002" s="7" t="s">
        <v>389</v>
      </c>
      <c r="E7002" s="7" t="s">
        <v>154</v>
      </c>
      <c r="F7002" s="7" t="s">
        <v>246</v>
      </c>
      <c r="G7002" s="7" t="s">
        <v>505</v>
      </c>
      <c r="H7002" s="6" t="n">
        <v>4.15</v>
      </c>
      <c r="I7002" s="6" t="n">
        <v>0</v>
      </c>
      <c r="J7002" s="40" t="n">
        <f aca="false">H7002-I7002</f>
        <v>4.15</v>
      </c>
      <c r="K7002" s="41" t="n">
        <v>26.5</v>
      </c>
      <c r="L7002" s="42" t="n">
        <f aca="false">J7002*K7002</f>
        <v>109.975</v>
      </c>
      <c r="M7002" s="43" t="n">
        <f aca="false">H7002*16.48*(1+'Chart of Accounts'!$E$67)</f>
        <v>78.30884</v>
      </c>
    </row>
    <row r="7003" customFormat="false" ht="15" hidden="false" customHeight="false" outlineLevel="0" collapsed="false">
      <c r="B7003" s="7" t="s">
        <v>7500</v>
      </c>
      <c r="C7003" s="39" t="n">
        <v>45978</v>
      </c>
      <c r="D7003" s="7" t="s">
        <v>391</v>
      </c>
      <c r="E7003" s="7" t="s">
        <v>156</v>
      </c>
      <c r="F7003" s="7" t="s">
        <v>222</v>
      </c>
      <c r="G7003" s="7" t="s">
        <v>505</v>
      </c>
      <c r="H7003" s="6" t="n">
        <v>4.14</v>
      </c>
      <c r="I7003" s="6" t="n">
        <v>0</v>
      </c>
      <c r="J7003" s="40" t="n">
        <f aca="false">H7003-I7003</f>
        <v>4.14</v>
      </c>
      <c r="K7003" s="41" t="n">
        <v>34</v>
      </c>
      <c r="L7003" s="42" t="n">
        <f aca="false">J7003*K7003</f>
        <v>140.76</v>
      </c>
      <c r="M7003" s="43" t="n">
        <f aca="false">H7003*17.84*(1+'Chart of Accounts'!$E$67)</f>
        <v>84.566952</v>
      </c>
    </row>
    <row r="7004" customFormat="false" ht="15" hidden="false" customHeight="false" outlineLevel="0" collapsed="false">
      <c r="B7004" s="7" t="s">
        <v>7501</v>
      </c>
      <c r="C7004" s="39" t="n">
        <v>45978</v>
      </c>
      <c r="D7004" s="7" t="s">
        <v>395</v>
      </c>
      <c r="E7004" s="7" t="s">
        <v>156</v>
      </c>
      <c r="F7004" s="7" t="s">
        <v>242</v>
      </c>
      <c r="G7004" s="7" t="s">
        <v>505</v>
      </c>
      <c r="H7004" s="6" t="n">
        <v>3.83</v>
      </c>
      <c r="I7004" s="6" t="n">
        <v>0</v>
      </c>
      <c r="J7004" s="40" t="n">
        <f aca="false">H7004-I7004</f>
        <v>3.83</v>
      </c>
      <c r="K7004" s="41" t="n">
        <v>34</v>
      </c>
      <c r="L7004" s="42" t="n">
        <f aca="false">J7004*K7004</f>
        <v>130.22</v>
      </c>
      <c r="M7004" s="43" t="n">
        <f aca="false">H7004*17.99*(1+'Chart of Accounts'!$E$67)</f>
        <v>78.8924465</v>
      </c>
    </row>
    <row r="7005" customFormat="false" ht="15" hidden="false" customHeight="false" outlineLevel="0" collapsed="false">
      <c r="B7005" s="7" t="s">
        <v>7502</v>
      </c>
      <c r="C7005" s="39" t="n">
        <v>45978</v>
      </c>
      <c r="D7005" s="7" t="s">
        <v>399</v>
      </c>
      <c r="E7005" s="7" t="s">
        <v>154</v>
      </c>
      <c r="F7005" s="7" t="s">
        <v>242</v>
      </c>
      <c r="G7005" s="7" t="s">
        <v>505</v>
      </c>
      <c r="H7005" s="6" t="n">
        <v>3.1</v>
      </c>
      <c r="I7005" s="6" t="n">
        <v>0.093</v>
      </c>
      <c r="J7005" s="40" t="n">
        <f aca="false">H7005-I7005</f>
        <v>3.007</v>
      </c>
      <c r="K7005" s="41" t="n">
        <v>26.5</v>
      </c>
      <c r="L7005" s="42" t="n">
        <f aca="false">J7005*K7005</f>
        <v>79.6855</v>
      </c>
      <c r="M7005" s="43" t="n">
        <f aca="false">H7005*17.99*(1+'Chart of Accounts'!$E$67)</f>
        <v>63.855505</v>
      </c>
    </row>
    <row r="7006" customFormat="false" ht="15" hidden="false" customHeight="false" outlineLevel="0" collapsed="false">
      <c r="B7006" s="7" t="s">
        <v>7503</v>
      </c>
      <c r="C7006" s="39" t="n">
        <v>45978</v>
      </c>
      <c r="D7006" s="7" t="s">
        <v>401</v>
      </c>
      <c r="E7006" s="7" t="s">
        <v>156</v>
      </c>
      <c r="F7006" s="7" t="s">
        <v>254</v>
      </c>
      <c r="G7006" s="7" t="s">
        <v>505</v>
      </c>
      <c r="H7006" s="6" t="n">
        <v>3.85</v>
      </c>
      <c r="I7006" s="6" t="n">
        <v>0</v>
      </c>
      <c r="J7006" s="40" t="n">
        <f aca="false">H7006-I7006</f>
        <v>3.85</v>
      </c>
      <c r="K7006" s="41" t="n">
        <v>34</v>
      </c>
      <c r="L7006" s="42" t="n">
        <f aca="false">J7006*K7006</f>
        <v>130.9</v>
      </c>
      <c r="M7006" s="43" t="n">
        <f aca="false">H7006*17.1*(1+'Chart of Accounts'!$E$67)</f>
        <v>75.381075</v>
      </c>
    </row>
    <row r="7007" customFormat="false" ht="15" hidden="false" customHeight="false" outlineLevel="0" collapsed="false">
      <c r="B7007" s="7" t="s">
        <v>7504</v>
      </c>
      <c r="C7007" s="39" t="n">
        <v>45978</v>
      </c>
      <c r="D7007" s="7" t="s">
        <v>409</v>
      </c>
      <c r="E7007" s="7" t="s">
        <v>154</v>
      </c>
      <c r="F7007" s="7" t="s">
        <v>214</v>
      </c>
      <c r="G7007" s="7" t="s">
        <v>505</v>
      </c>
      <c r="H7007" s="6" t="n">
        <v>3.28</v>
      </c>
      <c r="I7007" s="6" t="n">
        <v>0</v>
      </c>
      <c r="J7007" s="40" t="n">
        <f aca="false">H7007-I7007</f>
        <v>3.28</v>
      </c>
      <c r="K7007" s="41" t="n">
        <v>26.5</v>
      </c>
      <c r="L7007" s="42" t="n">
        <f aca="false">J7007*K7007</f>
        <v>86.92</v>
      </c>
      <c r="M7007" s="43" t="n">
        <f aca="false">H7007*15.67*(1+'Chart of Accounts'!$E$67)</f>
        <v>58.850252</v>
      </c>
    </row>
    <row r="7008" customFormat="false" ht="15" hidden="false" customHeight="false" outlineLevel="0" collapsed="false">
      <c r="B7008" s="7" t="s">
        <v>7505</v>
      </c>
      <c r="C7008" s="39" t="n">
        <v>45978</v>
      </c>
      <c r="D7008" s="7" t="s">
        <v>411</v>
      </c>
      <c r="E7008" s="7" t="s">
        <v>154</v>
      </c>
      <c r="F7008" s="7" t="s">
        <v>177</v>
      </c>
      <c r="G7008" s="7" t="s">
        <v>505</v>
      </c>
      <c r="H7008" s="6" t="n">
        <v>4.68</v>
      </c>
      <c r="I7008" s="6" t="n">
        <v>0</v>
      </c>
      <c r="J7008" s="40" t="n">
        <f aca="false">H7008-I7008</f>
        <v>4.68</v>
      </c>
      <c r="K7008" s="41" t="n">
        <v>26.5</v>
      </c>
      <c r="L7008" s="42" t="n">
        <f aca="false">J7008*K7008</f>
        <v>124.02</v>
      </c>
      <c r="M7008" s="43" t="n">
        <f aca="false">H7008*14.56*(1+'Chart of Accounts'!$E$67)</f>
        <v>78.021216</v>
      </c>
    </row>
    <row r="7009" customFormat="false" ht="15" hidden="false" customHeight="false" outlineLevel="0" collapsed="false">
      <c r="B7009" s="7" t="s">
        <v>7506</v>
      </c>
      <c r="C7009" s="39" t="n">
        <v>45979</v>
      </c>
      <c r="D7009" s="7" t="s">
        <v>288</v>
      </c>
      <c r="E7009" s="7" t="s">
        <v>156</v>
      </c>
      <c r="F7009" s="7" t="s">
        <v>224</v>
      </c>
      <c r="G7009" s="7" t="s">
        <v>505</v>
      </c>
      <c r="H7009" s="6" t="n">
        <v>3.82</v>
      </c>
      <c r="I7009" s="6" t="n">
        <v>0</v>
      </c>
      <c r="J7009" s="40" t="n">
        <f aca="false">H7009-I7009</f>
        <v>3.82</v>
      </c>
      <c r="K7009" s="41" t="n">
        <v>34</v>
      </c>
      <c r="L7009" s="42" t="n">
        <f aca="false">J7009*K7009</f>
        <v>129.88</v>
      </c>
      <c r="M7009" s="43" t="n">
        <f aca="false">H7009*14.93*(1+'Chart of Accounts'!$E$67)</f>
        <v>65.302327</v>
      </c>
    </row>
    <row r="7010" customFormat="false" ht="15" hidden="false" customHeight="false" outlineLevel="0" collapsed="false">
      <c r="B7010" s="7" t="s">
        <v>7507</v>
      </c>
      <c r="C7010" s="39" t="n">
        <v>45979</v>
      </c>
      <c r="D7010" s="7" t="s">
        <v>293</v>
      </c>
      <c r="E7010" s="7" t="s">
        <v>157</v>
      </c>
      <c r="F7010" s="7" t="s">
        <v>198</v>
      </c>
      <c r="G7010" s="7" t="s">
        <v>502</v>
      </c>
      <c r="H7010" s="6" t="n">
        <v>1.1</v>
      </c>
      <c r="I7010" s="6" t="n">
        <v>0</v>
      </c>
      <c r="J7010" s="40" t="n">
        <f aca="false">H7010-I7010</f>
        <v>1.1</v>
      </c>
      <c r="K7010" s="41" t="n">
        <v>165</v>
      </c>
      <c r="L7010" s="42" t="n">
        <f aca="false">J7010*K7010</f>
        <v>181.5</v>
      </c>
      <c r="M7010" s="43" t="n">
        <f aca="false">H7010*48.09*(1+'Chart of Accounts'!$E$67)</f>
        <v>60.569355</v>
      </c>
    </row>
    <row r="7011" customFormat="false" ht="15" hidden="false" customHeight="false" outlineLevel="0" collapsed="false">
      <c r="B7011" s="7" t="s">
        <v>7508</v>
      </c>
      <c r="C7011" s="39" t="n">
        <v>45979</v>
      </c>
      <c r="D7011" s="7" t="s">
        <v>301</v>
      </c>
      <c r="E7011" s="7" t="s">
        <v>157</v>
      </c>
      <c r="F7011" s="7" t="s">
        <v>209</v>
      </c>
      <c r="G7011" s="7" t="s">
        <v>502</v>
      </c>
      <c r="H7011" s="6" t="n">
        <v>0.91</v>
      </c>
      <c r="I7011" s="6" t="n">
        <v>0</v>
      </c>
      <c r="J7011" s="40" t="n">
        <f aca="false">H7011-I7011</f>
        <v>0.91</v>
      </c>
      <c r="K7011" s="41" t="n">
        <v>165</v>
      </c>
      <c r="L7011" s="42" t="n">
        <f aca="false">J7011*K7011</f>
        <v>150.15</v>
      </c>
      <c r="M7011" s="43" t="n">
        <f aca="false">H7011*73.58*(1+'Chart of Accounts'!$E$67)</f>
        <v>76.666681</v>
      </c>
    </row>
    <row r="7012" customFormat="false" ht="15" hidden="false" customHeight="false" outlineLevel="0" collapsed="false">
      <c r="B7012" s="7" t="s">
        <v>7509</v>
      </c>
      <c r="C7012" s="39" t="n">
        <v>45979</v>
      </c>
      <c r="D7012" s="7" t="s">
        <v>313</v>
      </c>
      <c r="E7012" s="7" t="s">
        <v>156</v>
      </c>
      <c r="F7012" s="7" t="s">
        <v>184</v>
      </c>
      <c r="G7012" s="7" t="s">
        <v>505</v>
      </c>
      <c r="H7012" s="6" t="n">
        <v>3.68</v>
      </c>
      <c r="I7012" s="6" t="n">
        <v>0</v>
      </c>
      <c r="J7012" s="40" t="n">
        <f aca="false">H7012-I7012</f>
        <v>3.68</v>
      </c>
      <c r="K7012" s="41" t="n">
        <v>34</v>
      </c>
      <c r="L7012" s="42" t="n">
        <f aca="false">J7012*K7012</f>
        <v>125.12</v>
      </c>
      <c r="M7012" s="43" t="n">
        <f aca="false">H7012*17.34*(1+'Chart of Accounts'!$E$67)</f>
        <v>73.063824</v>
      </c>
    </row>
    <row r="7013" customFormat="false" ht="15" hidden="false" customHeight="false" outlineLevel="0" collapsed="false">
      <c r="B7013" s="7" t="s">
        <v>7510</v>
      </c>
      <c r="C7013" s="39" t="n">
        <v>45979</v>
      </c>
      <c r="D7013" s="7" t="s">
        <v>319</v>
      </c>
      <c r="E7013" s="7" t="s">
        <v>157</v>
      </c>
      <c r="F7013" s="7" t="s">
        <v>234</v>
      </c>
      <c r="G7013" s="7" t="s">
        <v>502</v>
      </c>
      <c r="H7013" s="6" t="n">
        <v>0.91</v>
      </c>
      <c r="I7013" s="6" t="n">
        <v>0</v>
      </c>
      <c r="J7013" s="40" t="n">
        <f aca="false">H7013-I7013</f>
        <v>0.91</v>
      </c>
      <c r="K7013" s="41" t="n">
        <v>165</v>
      </c>
      <c r="L7013" s="42" t="n">
        <f aca="false">J7013*K7013</f>
        <v>150.15</v>
      </c>
      <c r="M7013" s="43" t="n">
        <f aca="false">H7013*89.53*(1+'Chart of Accounts'!$E$67)</f>
        <v>93.2857835</v>
      </c>
    </row>
    <row r="7014" customFormat="false" ht="15" hidden="false" customHeight="false" outlineLevel="0" collapsed="false">
      <c r="B7014" s="7" t="s">
        <v>7511</v>
      </c>
      <c r="C7014" s="39" t="n">
        <v>45979</v>
      </c>
      <c r="D7014" s="7" t="s">
        <v>321</v>
      </c>
      <c r="E7014" s="7" t="s">
        <v>154</v>
      </c>
      <c r="F7014" s="7" t="s">
        <v>218</v>
      </c>
      <c r="G7014" s="7" t="s">
        <v>505</v>
      </c>
      <c r="H7014" s="6" t="n">
        <v>3.8</v>
      </c>
      <c r="I7014" s="6" t="n">
        <v>0</v>
      </c>
      <c r="J7014" s="40" t="n">
        <f aca="false">H7014-I7014</f>
        <v>3.8</v>
      </c>
      <c r="K7014" s="41" t="n">
        <v>26.5</v>
      </c>
      <c r="L7014" s="42" t="n">
        <f aca="false">J7014*K7014</f>
        <v>100.7</v>
      </c>
      <c r="M7014" s="43" t="n">
        <f aca="false">H7014*16.19*(1+'Chart of Accounts'!$E$67)</f>
        <v>70.44269</v>
      </c>
    </row>
    <row r="7015" customFormat="false" ht="15" hidden="false" customHeight="false" outlineLevel="0" collapsed="false">
      <c r="B7015" s="7" t="s">
        <v>7512</v>
      </c>
      <c r="C7015" s="39" t="n">
        <v>45979</v>
      </c>
      <c r="D7015" s="7" t="s">
        <v>323</v>
      </c>
      <c r="E7015" s="7" t="s">
        <v>159</v>
      </c>
      <c r="F7015" s="7" t="s">
        <v>203</v>
      </c>
      <c r="G7015" s="7" t="s">
        <v>502</v>
      </c>
      <c r="H7015" s="6" t="n">
        <v>0.92</v>
      </c>
      <c r="I7015" s="6" t="n">
        <v>0</v>
      </c>
      <c r="J7015" s="40" t="n">
        <f aca="false">H7015-I7015</f>
        <v>0.92</v>
      </c>
      <c r="K7015" s="41" t="n">
        <v>135</v>
      </c>
      <c r="L7015" s="42" t="n">
        <f aca="false">J7015*K7015</f>
        <v>124.2</v>
      </c>
      <c r="M7015" s="43" t="n">
        <f aca="false">H7015*49.43*(1+'Chart of Accounts'!$E$67)</f>
        <v>52.069562</v>
      </c>
    </row>
    <row r="7016" customFormat="false" ht="15" hidden="false" customHeight="false" outlineLevel="0" collapsed="false">
      <c r="B7016" s="7" t="s">
        <v>7513</v>
      </c>
      <c r="C7016" s="39" t="n">
        <v>45979</v>
      </c>
      <c r="D7016" s="7" t="s">
        <v>327</v>
      </c>
      <c r="E7016" s="7" t="s">
        <v>157</v>
      </c>
      <c r="F7016" s="7" t="s">
        <v>228</v>
      </c>
      <c r="G7016" s="7" t="s">
        <v>502</v>
      </c>
      <c r="H7016" s="6" t="n">
        <v>1</v>
      </c>
      <c r="I7016" s="6" t="n">
        <v>0.05</v>
      </c>
      <c r="J7016" s="40" t="n">
        <f aca="false">H7016-I7016</f>
        <v>0.95</v>
      </c>
      <c r="K7016" s="41" t="n">
        <v>165</v>
      </c>
      <c r="L7016" s="42" t="n">
        <f aca="false">J7016*K7016</f>
        <v>156.75</v>
      </c>
      <c r="M7016" s="43" t="n">
        <f aca="false">H7016*51.07*(1+'Chart of Accounts'!$E$67)</f>
        <v>58.47515</v>
      </c>
    </row>
    <row r="7017" customFormat="false" ht="15" hidden="false" customHeight="false" outlineLevel="0" collapsed="false">
      <c r="B7017" s="7" t="s">
        <v>7514</v>
      </c>
      <c r="C7017" s="39" t="n">
        <v>45979</v>
      </c>
      <c r="D7017" s="7" t="s">
        <v>329</v>
      </c>
      <c r="E7017" s="7" t="s">
        <v>156</v>
      </c>
      <c r="F7017" s="7" t="s">
        <v>220</v>
      </c>
      <c r="G7017" s="7" t="s">
        <v>505</v>
      </c>
      <c r="H7017" s="6" t="n">
        <v>3.77</v>
      </c>
      <c r="I7017" s="6" t="n">
        <v>0</v>
      </c>
      <c r="J7017" s="40" t="n">
        <f aca="false">H7017-I7017</f>
        <v>3.77</v>
      </c>
      <c r="K7017" s="41" t="n">
        <v>34</v>
      </c>
      <c r="L7017" s="42" t="n">
        <f aca="false">J7017*K7017</f>
        <v>128.18</v>
      </c>
      <c r="M7017" s="43" t="n">
        <f aca="false">H7017*16.43*(1+'Chart of Accounts'!$E$67)</f>
        <v>70.9225595</v>
      </c>
    </row>
    <row r="7018" customFormat="false" ht="15" hidden="false" customHeight="false" outlineLevel="0" collapsed="false">
      <c r="B7018" s="7" t="s">
        <v>7515</v>
      </c>
      <c r="C7018" s="39" t="n">
        <v>45979</v>
      </c>
      <c r="D7018" s="7" t="s">
        <v>349</v>
      </c>
      <c r="E7018" s="7" t="s">
        <v>154</v>
      </c>
      <c r="F7018" s="7" t="s">
        <v>244</v>
      </c>
      <c r="G7018" s="7" t="s">
        <v>505</v>
      </c>
      <c r="H7018" s="6" t="n">
        <v>3.87</v>
      </c>
      <c r="I7018" s="6" t="n">
        <v>0</v>
      </c>
      <c r="J7018" s="40" t="n">
        <f aca="false">H7018-I7018</f>
        <v>3.87</v>
      </c>
      <c r="K7018" s="41" t="n">
        <v>26.5</v>
      </c>
      <c r="L7018" s="42" t="n">
        <f aca="false">J7018*K7018</f>
        <v>102.555</v>
      </c>
      <c r="M7018" s="43" t="n">
        <f aca="false">H7018*16.39*(1+'Chart of Accounts'!$E$67)</f>
        <v>72.6265485</v>
      </c>
    </row>
    <row r="7019" customFormat="false" ht="15" hidden="false" customHeight="false" outlineLevel="0" collapsed="false">
      <c r="B7019" s="7" t="s">
        <v>7516</v>
      </c>
      <c r="C7019" s="39" t="n">
        <v>45979</v>
      </c>
      <c r="D7019" s="7" t="s">
        <v>359</v>
      </c>
      <c r="E7019" s="7" t="s">
        <v>156</v>
      </c>
      <c r="F7019" s="7" t="s">
        <v>205</v>
      </c>
      <c r="G7019" s="7" t="s">
        <v>505</v>
      </c>
      <c r="H7019" s="6" t="n">
        <v>3.87</v>
      </c>
      <c r="I7019" s="6" t="n">
        <v>0</v>
      </c>
      <c r="J7019" s="40" t="n">
        <f aca="false">H7019-I7019</f>
        <v>3.87</v>
      </c>
      <c r="K7019" s="41" t="n">
        <v>34</v>
      </c>
      <c r="L7019" s="42" t="n">
        <f aca="false">J7019*K7019</f>
        <v>131.58</v>
      </c>
      <c r="M7019" s="43" t="n">
        <f aca="false">H7019*16.36*(1+'Chart of Accounts'!$E$67)</f>
        <v>72.493614</v>
      </c>
    </row>
    <row r="7020" customFormat="false" ht="15" hidden="false" customHeight="false" outlineLevel="0" collapsed="false">
      <c r="B7020" s="7" t="s">
        <v>7517</v>
      </c>
      <c r="C7020" s="39" t="n">
        <v>45979</v>
      </c>
      <c r="D7020" s="7" t="s">
        <v>361</v>
      </c>
      <c r="E7020" s="7" t="s">
        <v>157</v>
      </c>
      <c r="F7020" s="7" t="s">
        <v>209</v>
      </c>
      <c r="G7020" s="7" t="s">
        <v>502</v>
      </c>
      <c r="H7020" s="6" t="n">
        <v>0.96</v>
      </c>
      <c r="I7020" s="6" t="n">
        <v>0</v>
      </c>
      <c r="J7020" s="40" t="n">
        <f aca="false">H7020-I7020</f>
        <v>0.96</v>
      </c>
      <c r="K7020" s="41" t="n">
        <v>165</v>
      </c>
      <c r="L7020" s="42" t="n">
        <f aca="false">J7020*K7020</f>
        <v>158.4</v>
      </c>
      <c r="M7020" s="43" t="n">
        <f aca="false">H7020*73.58*(1+'Chart of Accounts'!$E$67)</f>
        <v>80.879136</v>
      </c>
    </row>
    <row r="7021" customFormat="false" ht="15" hidden="false" customHeight="false" outlineLevel="0" collapsed="false">
      <c r="B7021" s="7" t="s">
        <v>7518</v>
      </c>
      <c r="C7021" s="39" t="n">
        <v>45979</v>
      </c>
      <c r="D7021" s="7" t="s">
        <v>369</v>
      </c>
      <c r="E7021" s="7" t="s">
        <v>159</v>
      </c>
      <c r="F7021" s="7" t="s">
        <v>258</v>
      </c>
      <c r="G7021" s="7" t="s">
        <v>502</v>
      </c>
      <c r="H7021" s="6" t="n">
        <v>1.02</v>
      </c>
      <c r="I7021" s="6" t="n">
        <v>0</v>
      </c>
      <c r="J7021" s="40" t="n">
        <f aca="false">H7021-I7021</f>
        <v>1.02</v>
      </c>
      <c r="K7021" s="41" t="n">
        <v>135</v>
      </c>
      <c r="L7021" s="42" t="n">
        <f aca="false">J7021*K7021</f>
        <v>137.7</v>
      </c>
      <c r="M7021" s="43" t="n">
        <f aca="false">H7021*61.61*(1+'Chart of Accounts'!$E$67)</f>
        <v>71.954319</v>
      </c>
    </row>
    <row r="7022" customFormat="false" ht="15" hidden="false" customHeight="false" outlineLevel="0" collapsed="false">
      <c r="B7022" s="7" t="s">
        <v>7519</v>
      </c>
      <c r="C7022" s="39" t="n">
        <v>45979</v>
      </c>
      <c r="D7022" s="7" t="s">
        <v>381</v>
      </c>
      <c r="E7022" s="7" t="s">
        <v>157</v>
      </c>
      <c r="F7022" s="7" t="s">
        <v>234</v>
      </c>
      <c r="G7022" s="7" t="s">
        <v>502</v>
      </c>
      <c r="H7022" s="6" t="n">
        <v>0.93</v>
      </c>
      <c r="I7022" s="6" t="n">
        <v>0</v>
      </c>
      <c r="J7022" s="40" t="n">
        <f aca="false">H7022-I7022</f>
        <v>0.93</v>
      </c>
      <c r="K7022" s="41" t="n">
        <v>165</v>
      </c>
      <c r="L7022" s="42" t="n">
        <f aca="false">J7022*K7022</f>
        <v>153.45</v>
      </c>
      <c r="M7022" s="43" t="n">
        <f aca="false">H7022*89.53*(1+'Chart of Accounts'!$E$67)</f>
        <v>95.3360205</v>
      </c>
    </row>
    <row r="7023" customFormat="false" ht="15" hidden="false" customHeight="false" outlineLevel="0" collapsed="false">
      <c r="B7023" s="7" t="s">
        <v>7520</v>
      </c>
      <c r="C7023" s="39" t="n">
        <v>45979</v>
      </c>
      <c r="D7023" s="7" t="s">
        <v>383</v>
      </c>
      <c r="E7023" s="7" t="s">
        <v>157</v>
      </c>
      <c r="F7023" s="7" t="s">
        <v>230</v>
      </c>
      <c r="G7023" s="7" t="s">
        <v>502</v>
      </c>
      <c r="H7023" s="6" t="n">
        <v>1.09</v>
      </c>
      <c r="I7023" s="6" t="n">
        <v>0</v>
      </c>
      <c r="J7023" s="40" t="n">
        <f aca="false">H7023-I7023</f>
        <v>1.09</v>
      </c>
      <c r="K7023" s="41" t="n">
        <v>165</v>
      </c>
      <c r="L7023" s="42" t="n">
        <f aca="false">J7023*K7023</f>
        <v>179.85</v>
      </c>
      <c r="M7023" s="43" t="n">
        <f aca="false">H7023*48.78*(1+'Chart of Accounts'!$E$67)</f>
        <v>60.879879</v>
      </c>
    </row>
    <row r="7024" customFormat="false" ht="15" hidden="false" customHeight="false" outlineLevel="0" collapsed="false">
      <c r="B7024" s="7" t="s">
        <v>7521</v>
      </c>
      <c r="C7024" s="39" t="n">
        <v>45979</v>
      </c>
      <c r="D7024" s="7" t="s">
        <v>387</v>
      </c>
      <c r="E7024" s="7" t="s">
        <v>154</v>
      </c>
      <c r="F7024" s="7" t="s">
        <v>196</v>
      </c>
      <c r="G7024" s="7" t="s">
        <v>505</v>
      </c>
      <c r="H7024" s="6" t="n">
        <v>4.11</v>
      </c>
      <c r="I7024" s="6" t="n">
        <v>0</v>
      </c>
      <c r="J7024" s="40" t="n">
        <f aca="false">H7024-I7024</f>
        <v>4.11</v>
      </c>
      <c r="K7024" s="41" t="n">
        <v>26.5</v>
      </c>
      <c r="L7024" s="42" t="n">
        <f aca="false">J7024*K7024</f>
        <v>108.915</v>
      </c>
      <c r="M7024" s="43" t="n">
        <f aca="false">H7024*15.05*(1+'Chart of Accounts'!$E$67)</f>
        <v>70.8245475</v>
      </c>
    </row>
    <row r="7025" customFormat="false" ht="15" hidden="false" customHeight="false" outlineLevel="0" collapsed="false">
      <c r="B7025" s="7" t="s">
        <v>7522</v>
      </c>
      <c r="C7025" s="39" t="n">
        <v>45979</v>
      </c>
      <c r="D7025" s="7" t="s">
        <v>389</v>
      </c>
      <c r="E7025" s="7" t="s">
        <v>154</v>
      </c>
      <c r="F7025" s="7" t="s">
        <v>246</v>
      </c>
      <c r="G7025" s="7" t="s">
        <v>505</v>
      </c>
      <c r="H7025" s="6" t="n">
        <v>4.26</v>
      </c>
      <c r="I7025" s="6" t="n">
        <v>0</v>
      </c>
      <c r="J7025" s="40" t="n">
        <f aca="false">H7025-I7025</f>
        <v>4.26</v>
      </c>
      <c r="K7025" s="41" t="n">
        <v>26.5</v>
      </c>
      <c r="L7025" s="42" t="n">
        <f aca="false">J7025*K7025</f>
        <v>112.89</v>
      </c>
      <c r="M7025" s="43" t="n">
        <f aca="false">H7025*16.48*(1+'Chart of Accounts'!$E$67)</f>
        <v>80.384496</v>
      </c>
    </row>
    <row r="7026" customFormat="false" ht="15" hidden="false" customHeight="false" outlineLevel="0" collapsed="false">
      <c r="B7026" s="7" t="s">
        <v>7523</v>
      </c>
      <c r="C7026" s="39" t="n">
        <v>45979</v>
      </c>
      <c r="D7026" s="7" t="s">
        <v>391</v>
      </c>
      <c r="E7026" s="7" t="s">
        <v>156</v>
      </c>
      <c r="F7026" s="7" t="s">
        <v>222</v>
      </c>
      <c r="G7026" s="7" t="s">
        <v>505</v>
      </c>
      <c r="H7026" s="6" t="n">
        <v>4.11</v>
      </c>
      <c r="I7026" s="6" t="n">
        <v>0</v>
      </c>
      <c r="J7026" s="40" t="n">
        <f aca="false">H7026-I7026</f>
        <v>4.11</v>
      </c>
      <c r="K7026" s="41" t="n">
        <v>34</v>
      </c>
      <c r="L7026" s="42" t="n">
        <f aca="false">J7026*K7026</f>
        <v>139.74</v>
      </c>
      <c r="M7026" s="43" t="n">
        <f aca="false">H7026*17.84*(1+'Chart of Accounts'!$E$67)</f>
        <v>83.954148</v>
      </c>
    </row>
    <row r="7027" customFormat="false" ht="15" hidden="false" customHeight="false" outlineLevel="0" collapsed="false">
      <c r="B7027" s="7" t="s">
        <v>7524</v>
      </c>
      <c r="C7027" s="39" t="n">
        <v>45979</v>
      </c>
      <c r="D7027" s="7" t="s">
        <v>395</v>
      </c>
      <c r="E7027" s="7" t="s">
        <v>156</v>
      </c>
      <c r="F7027" s="7" t="s">
        <v>242</v>
      </c>
      <c r="G7027" s="7" t="s">
        <v>505</v>
      </c>
      <c r="H7027" s="6" t="n">
        <v>4.26</v>
      </c>
      <c r="I7027" s="6" t="n">
        <v>0</v>
      </c>
      <c r="J7027" s="40" t="n">
        <f aca="false">H7027-I7027</f>
        <v>4.26</v>
      </c>
      <c r="K7027" s="41" t="n">
        <v>34</v>
      </c>
      <c r="L7027" s="42" t="n">
        <f aca="false">J7027*K7027</f>
        <v>144.84</v>
      </c>
      <c r="M7027" s="43" t="n">
        <f aca="false">H7027*17.99*(1+'Chart of Accounts'!$E$67)</f>
        <v>87.749823</v>
      </c>
    </row>
    <row r="7028" customFormat="false" ht="15" hidden="false" customHeight="false" outlineLevel="0" collapsed="false">
      <c r="B7028" s="7" t="s">
        <v>7525</v>
      </c>
      <c r="C7028" s="39" t="n">
        <v>45979</v>
      </c>
      <c r="D7028" s="7" t="s">
        <v>397</v>
      </c>
      <c r="E7028" s="7" t="s">
        <v>159</v>
      </c>
      <c r="F7028" s="7" t="s">
        <v>203</v>
      </c>
      <c r="G7028" s="7" t="s">
        <v>502</v>
      </c>
      <c r="H7028" s="6" t="n">
        <v>0.92</v>
      </c>
      <c r="I7028" s="6" t="n">
        <v>0</v>
      </c>
      <c r="J7028" s="40" t="n">
        <f aca="false">H7028-I7028</f>
        <v>0.92</v>
      </c>
      <c r="K7028" s="41" t="n">
        <v>135</v>
      </c>
      <c r="L7028" s="42" t="n">
        <f aca="false">J7028*K7028</f>
        <v>124.2</v>
      </c>
      <c r="M7028" s="43" t="n">
        <f aca="false">H7028*49.43*(1+'Chart of Accounts'!$E$67)</f>
        <v>52.069562</v>
      </c>
    </row>
    <row r="7029" customFormat="false" ht="15" hidden="false" customHeight="false" outlineLevel="0" collapsed="false">
      <c r="B7029" s="7" t="s">
        <v>7526</v>
      </c>
      <c r="C7029" s="39" t="n">
        <v>45979</v>
      </c>
      <c r="D7029" s="7" t="s">
        <v>401</v>
      </c>
      <c r="E7029" s="7" t="s">
        <v>156</v>
      </c>
      <c r="F7029" s="7" t="s">
        <v>254</v>
      </c>
      <c r="G7029" s="7" t="s">
        <v>505</v>
      </c>
      <c r="H7029" s="6" t="n">
        <v>4.39</v>
      </c>
      <c r="I7029" s="6" t="n">
        <v>0</v>
      </c>
      <c r="J7029" s="40" t="n">
        <f aca="false">H7029-I7029</f>
        <v>4.39</v>
      </c>
      <c r="K7029" s="41" t="n">
        <v>34</v>
      </c>
      <c r="L7029" s="42" t="n">
        <f aca="false">J7029*K7029</f>
        <v>149.26</v>
      </c>
      <c r="M7029" s="43" t="n">
        <f aca="false">H7029*17.1*(1+'Chart of Accounts'!$E$67)</f>
        <v>85.954005</v>
      </c>
    </row>
    <row r="7030" customFormat="false" ht="15" hidden="false" customHeight="false" outlineLevel="0" collapsed="false">
      <c r="B7030" s="7" t="s">
        <v>7527</v>
      </c>
      <c r="C7030" s="39" t="n">
        <v>45979</v>
      </c>
      <c r="D7030" s="7" t="s">
        <v>407</v>
      </c>
      <c r="E7030" s="7" t="s">
        <v>159</v>
      </c>
      <c r="F7030" s="7" t="s">
        <v>260</v>
      </c>
      <c r="G7030" s="7" t="s">
        <v>502</v>
      </c>
      <c r="H7030" s="6" t="n">
        <v>1.01</v>
      </c>
      <c r="I7030" s="6" t="n">
        <v>0</v>
      </c>
      <c r="J7030" s="40" t="n">
        <f aca="false">H7030-I7030</f>
        <v>1.01</v>
      </c>
      <c r="K7030" s="41" t="n">
        <v>135</v>
      </c>
      <c r="L7030" s="42" t="n">
        <f aca="false">J7030*K7030</f>
        <v>136.35</v>
      </c>
      <c r="M7030" s="43" t="n">
        <f aca="false">H7030*79.8*(1+'Chart of Accounts'!$E$67)</f>
        <v>92.28471</v>
      </c>
    </row>
    <row r="7031" customFormat="false" ht="15" hidden="false" customHeight="false" outlineLevel="0" collapsed="false">
      <c r="B7031" s="7" t="s">
        <v>7528</v>
      </c>
      <c r="C7031" s="39" t="n">
        <v>45980</v>
      </c>
      <c r="D7031" s="7" t="s">
        <v>288</v>
      </c>
      <c r="E7031" s="7" t="s">
        <v>156</v>
      </c>
      <c r="F7031" s="7" t="s">
        <v>232</v>
      </c>
      <c r="G7031" s="7" t="s">
        <v>505</v>
      </c>
      <c r="H7031" s="6" t="n">
        <v>4.32</v>
      </c>
      <c r="I7031" s="6" t="n">
        <v>0</v>
      </c>
      <c r="J7031" s="40" t="n">
        <f aca="false">H7031-I7031</f>
        <v>4.32</v>
      </c>
      <c r="K7031" s="41" t="n">
        <v>34</v>
      </c>
      <c r="L7031" s="42" t="n">
        <f aca="false">J7031*K7031</f>
        <v>146.88</v>
      </c>
      <c r="M7031" s="43" t="n">
        <f aca="false">H7031*16.17*(1+'Chart of Accounts'!$E$67)</f>
        <v>79.983288</v>
      </c>
    </row>
    <row r="7032" customFormat="false" ht="15" hidden="false" customHeight="false" outlineLevel="0" collapsed="false">
      <c r="B7032" s="7" t="s">
        <v>7529</v>
      </c>
      <c r="C7032" s="39" t="n">
        <v>45980</v>
      </c>
      <c r="D7032" s="7" t="s">
        <v>291</v>
      </c>
      <c r="E7032" s="7" t="s">
        <v>154</v>
      </c>
      <c r="F7032" s="7" t="s">
        <v>194</v>
      </c>
      <c r="G7032" s="7" t="s">
        <v>505</v>
      </c>
      <c r="H7032" s="6" t="n">
        <v>5.01</v>
      </c>
      <c r="I7032" s="6" t="n">
        <v>0</v>
      </c>
      <c r="J7032" s="40" t="n">
        <f aca="false">H7032-I7032</f>
        <v>5.01</v>
      </c>
      <c r="K7032" s="41" t="n">
        <v>26.5</v>
      </c>
      <c r="L7032" s="42" t="n">
        <f aca="false">J7032*K7032</f>
        <v>132.765</v>
      </c>
      <c r="M7032" s="43" t="n">
        <f aca="false">H7032*16*(1+'Chart of Accounts'!$E$67)</f>
        <v>91.7832</v>
      </c>
    </row>
    <row r="7033" customFormat="false" ht="15" hidden="false" customHeight="false" outlineLevel="0" collapsed="false">
      <c r="B7033" s="7" t="s">
        <v>7530</v>
      </c>
      <c r="C7033" s="39" t="n">
        <v>45980</v>
      </c>
      <c r="D7033" s="7" t="s">
        <v>295</v>
      </c>
      <c r="E7033" s="7" t="s">
        <v>154</v>
      </c>
      <c r="F7033" s="7" t="s">
        <v>214</v>
      </c>
      <c r="G7033" s="7" t="s">
        <v>505</v>
      </c>
      <c r="H7033" s="6" t="n">
        <v>3.93</v>
      </c>
      <c r="I7033" s="6" t="n">
        <v>0</v>
      </c>
      <c r="J7033" s="40" t="n">
        <f aca="false">H7033-I7033</f>
        <v>3.93</v>
      </c>
      <c r="K7033" s="41" t="n">
        <v>26.5</v>
      </c>
      <c r="L7033" s="42" t="n">
        <f aca="false">J7033*K7033</f>
        <v>104.145</v>
      </c>
      <c r="M7033" s="43" t="n">
        <f aca="false">H7033*15.67*(1+'Chart of Accounts'!$E$67)</f>
        <v>70.5126495</v>
      </c>
    </row>
    <row r="7034" customFormat="false" ht="15" hidden="false" customHeight="false" outlineLevel="0" collapsed="false">
      <c r="B7034" s="7" t="s">
        <v>7531</v>
      </c>
      <c r="C7034" s="39" t="n">
        <v>45980</v>
      </c>
      <c r="D7034" s="7" t="s">
        <v>305</v>
      </c>
      <c r="E7034" s="7" t="s">
        <v>154</v>
      </c>
      <c r="F7034" s="7" t="s">
        <v>205</v>
      </c>
      <c r="G7034" s="7" t="s">
        <v>505</v>
      </c>
      <c r="H7034" s="6" t="n">
        <v>4.23</v>
      </c>
      <c r="I7034" s="6" t="n">
        <v>0</v>
      </c>
      <c r="J7034" s="40" t="n">
        <f aca="false">H7034-I7034</f>
        <v>4.23</v>
      </c>
      <c r="K7034" s="41" t="n">
        <v>26.5</v>
      </c>
      <c r="L7034" s="42" t="n">
        <f aca="false">J7034*K7034</f>
        <v>112.095</v>
      </c>
      <c r="M7034" s="43" t="n">
        <f aca="false">H7034*16.36*(1+'Chart of Accounts'!$E$67)</f>
        <v>79.237206</v>
      </c>
    </row>
    <row r="7035" customFormat="false" ht="15" hidden="false" customHeight="false" outlineLevel="0" collapsed="false">
      <c r="B7035" s="7" t="s">
        <v>7532</v>
      </c>
      <c r="C7035" s="39" t="n">
        <v>45980</v>
      </c>
      <c r="D7035" s="7" t="s">
        <v>307</v>
      </c>
      <c r="E7035" s="7" t="s">
        <v>157</v>
      </c>
      <c r="F7035" s="7" t="s">
        <v>264</v>
      </c>
      <c r="G7035" s="7" t="s">
        <v>502</v>
      </c>
      <c r="H7035" s="6" t="n">
        <v>1.07</v>
      </c>
      <c r="I7035" s="6" t="n">
        <v>0</v>
      </c>
      <c r="J7035" s="40" t="n">
        <f aca="false">H7035-I7035</f>
        <v>1.07</v>
      </c>
      <c r="K7035" s="41" t="n">
        <v>165</v>
      </c>
      <c r="L7035" s="42" t="n">
        <f aca="false">J7035*K7035</f>
        <v>176.55</v>
      </c>
      <c r="M7035" s="43" t="n">
        <f aca="false">H7035*55.55*(1+'Chart of Accounts'!$E$67)</f>
        <v>68.0570825</v>
      </c>
    </row>
    <row r="7036" customFormat="false" ht="15" hidden="false" customHeight="false" outlineLevel="0" collapsed="false">
      <c r="B7036" s="7" t="s">
        <v>7533</v>
      </c>
      <c r="C7036" s="39" t="n">
        <v>45980</v>
      </c>
      <c r="D7036" s="7" t="s">
        <v>309</v>
      </c>
      <c r="E7036" s="7" t="s">
        <v>159</v>
      </c>
      <c r="F7036" s="7" t="s">
        <v>252</v>
      </c>
      <c r="G7036" s="7" t="s">
        <v>502</v>
      </c>
      <c r="H7036" s="6" t="n">
        <v>1.08</v>
      </c>
      <c r="I7036" s="6" t="n">
        <v>0</v>
      </c>
      <c r="J7036" s="40" t="n">
        <f aca="false">H7036-I7036</f>
        <v>1.08</v>
      </c>
      <c r="K7036" s="41" t="n">
        <v>135</v>
      </c>
      <c r="L7036" s="42" t="n">
        <f aca="false">J7036*K7036</f>
        <v>145.8</v>
      </c>
      <c r="M7036" s="43" t="n">
        <f aca="false">H7036*57.54*(1+'Chart of Accounts'!$E$67)</f>
        <v>71.153964</v>
      </c>
    </row>
    <row r="7037" customFormat="false" ht="15" hidden="false" customHeight="false" outlineLevel="0" collapsed="false">
      <c r="B7037" s="7" t="s">
        <v>7534</v>
      </c>
      <c r="C7037" s="39" t="n">
        <v>45980</v>
      </c>
      <c r="D7037" s="7" t="s">
        <v>313</v>
      </c>
      <c r="E7037" s="7" t="s">
        <v>156</v>
      </c>
      <c r="F7037" s="7" t="s">
        <v>184</v>
      </c>
      <c r="G7037" s="7" t="s">
        <v>505</v>
      </c>
      <c r="H7037" s="6" t="n">
        <v>4.34</v>
      </c>
      <c r="I7037" s="6" t="n">
        <v>0</v>
      </c>
      <c r="J7037" s="40" t="n">
        <f aca="false">H7037-I7037</f>
        <v>4.34</v>
      </c>
      <c r="K7037" s="41" t="n">
        <v>34</v>
      </c>
      <c r="L7037" s="42" t="n">
        <f aca="false">J7037*K7037</f>
        <v>147.56</v>
      </c>
      <c r="M7037" s="43" t="n">
        <f aca="false">H7037*17.34*(1+'Chart of Accounts'!$E$67)</f>
        <v>86.167662</v>
      </c>
    </row>
    <row r="7038" customFormat="false" ht="15" hidden="false" customHeight="false" outlineLevel="0" collapsed="false">
      <c r="B7038" s="7" t="s">
        <v>7535</v>
      </c>
      <c r="C7038" s="39" t="n">
        <v>45980</v>
      </c>
      <c r="D7038" s="7" t="s">
        <v>315</v>
      </c>
      <c r="E7038" s="7" t="s">
        <v>159</v>
      </c>
      <c r="F7038" s="7" t="s">
        <v>216</v>
      </c>
      <c r="G7038" s="7" t="s">
        <v>502</v>
      </c>
      <c r="H7038" s="6" t="n">
        <v>1.03</v>
      </c>
      <c r="I7038" s="6" t="n">
        <v>0</v>
      </c>
      <c r="J7038" s="40" t="n">
        <f aca="false">H7038-I7038</f>
        <v>1.03</v>
      </c>
      <c r="K7038" s="41" t="n">
        <v>135</v>
      </c>
      <c r="L7038" s="42" t="n">
        <f aca="false">J7038*K7038</f>
        <v>139.05</v>
      </c>
      <c r="M7038" s="43" t="n">
        <f aca="false">H7038*61.79*(1+'Chart of Accounts'!$E$67)</f>
        <v>72.8720365</v>
      </c>
    </row>
    <row r="7039" customFormat="false" ht="15" hidden="false" customHeight="false" outlineLevel="0" collapsed="false">
      <c r="B7039" s="7" t="s">
        <v>7536</v>
      </c>
      <c r="C7039" s="39" t="n">
        <v>45980</v>
      </c>
      <c r="D7039" s="7" t="s">
        <v>321</v>
      </c>
      <c r="E7039" s="7" t="s">
        <v>154</v>
      </c>
      <c r="F7039" s="7" t="s">
        <v>218</v>
      </c>
      <c r="G7039" s="7" t="s">
        <v>505</v>
      </c>
      <c r="H7039" s="6" t="n">
        <v>4.16</v>
      </c>
      <c r="I7039" s="6" t="n">
        <v>0</v>
      </c>
      <c r="J7039" s="40" t="n">
        <f aca="false">H7039-I7039</f>
        <v>4.16</v>
      </c>
      <c r="K7039" s="41" t="n">
        <v>26.5</v>
      </c>
      <c r="L7039" s="42" t="n">
        <f aca="false">J7039*K7039</f>
        <v>110.24</v>
      </c>
      <c r="M7039" s="43" t="n">
        <f aca="false">H7039*16.19*(1+'Chart of Accounts'!$E$67)</f>
        <v>77.116208</v>
      </c>
    </row>
    <row r="7040" customFormat="false" ht="15" hidden="false" customHeight="false" outlineLevel="0" collapsed="false">
      <c r="B7040" s="7" t="s">
        <v>7537</v>
      </c>
      <c r="C7040" s="39" t="n">
        <v>45980</v>
      </c>
      <c r="D7040" s="7" t="s">
        <v>329</v>
      </c>
      <c r="E7040" s="7" t="s">
        <v>156</v>
      </c>
      <c r="F7040" s="7" t="s">
        <v>220</v>
      </c>
      <c r="G7040" s="7" t="s">
        <v>505</v>
      </c>
      <c r="H7040" s="6" t="n">
        <v>4.21</v>
      </c>
      <c r="I7040" s="6" t="n">
        <v>0</v>
      </c>
      <c r="J7040" s="40" t="n">
        <f aca="false">H7040-I7040</f>
        <v>4.21</v>
      </c>
      <c r="K7040" s="41" t="n">
        <v>34</v>
      </c>
      <c r="L7040" s="42" t="n">
        <f aca="false">J7040*K7040</f>
        <v>143.14</v>
      </c>
      <c r="M7040" s="43" t="n">
        <f aca="false">H7040*16.43*(1+'Chart of Accounts'!$E$67)</f>
        <v>79.1999935</v>
      </c>
    </row>
    <row r="7041" customFormat="false" ht="15" hidden="false" customHeight="false" outlineLevel="0" collapsed="false">
      <c r="B7041" s="7" t="s">
        <v>7538</v>
      </c>
      <c r="C7041" s="39" t="n">
        <v>45980</v>
      </c>
      <c r="D7041" s="7" t="s">
        <v>333</v>
      </c>
      <c r="E7041" s="7" t="s">
        <v>154</v>
      </c>
      <c r="F7041" s="7" t="s">
        <v>236</v>
      </c>
      <c r="G7041" s="7" t="s">
        <v>505</v>
      </c>
      <c r="H7041" s="6" t="n">
        <v>3.59</v>
      </c>
      <c r="I7041" s="6" t="n">
        <v>0</v>
      </c>
      <c r="J7041" s="40" t="n">
        <f aca="false">H7041-I7041</f>
        <v>3.59</v>
      </c>
      <c r="K7041" s="41" t="n">
        <v>26.5</v>
      </c>
      <c r="L7041" s="42" t="n">
        <f aca="false">J7041*K7041</f>
        <v>95.135</v>
      </c>
      <c r="M7041" s="43" t="n">
        <f aca="false">H7041*15.49*(1+'Chart of Accounts'!$E$67)</f>
        <v>63.6724195</v>
      </c>
    </row>
    <row r="7042" customFormat="false" ht="15" hidden="false" customHeight="false" outlineLevel="0" collapsed="false">
      <c r="B7042" s="7" t="s">
        <v>7539</v>
      </c>
      <c r="C7042" s="39" t="n">
        <v>45980</v>
      </c>
      <c r="D7042" s="7" t="s">
        <v>335</v>
      </c>
      <c r="E7042" s="7" t="s">
        <v>154</v>
      </c>
      <c r="F7042" s="7" t="s">
        <v>177</v>
      </c>
      <c r="G7042" s="7" t="s">
        <v>505</v>
      </c>
      <c r="H7042" s="6" t="n">
        <v>3.76</v>
      </c>
      <c r="I7042" s="6" t="n">
        <v>0</v>
      </c>
      <c r="J7042" s="40" t="n">
        <f aca="false">H7042-I7042</f>
        <v>3.76</v>
      </c>
      <c r="K7042" s="41" t="n">
        <v>26.5</v>
      </c>
      <c r="L7042" s="42" t="n">
        <f aca="false">J7042*K7042</f>
        <v>99.64</v>
      </c>
      <c r="M7042" s="43" t="n">
        <f aca="false">H7042*14.56*(1+'Chart of Accounts'!$E$67)</f>
        <v>62.683712</v>
      </c>
    </row>
    <row r="7043" customFormat="false" ht="15" hidden="false" customHeight="false" outlineLevel="0" collapsed="false">
      <c r="B7043" s="7" t="s">
        <v>7540</v>
      </c>
      <c r="C7043" s="39" t="n">
        <v>45980</v>
      </c>
      <c r="D7043" s="7" t="s">
        <v>339</v>
      </c>
      <c r="E7043" s="7" t="s">
        <v>154</v>
      </c>
      <c r="F7043" s="7" t="s">
        <v>242</v>
      </c>
      <c r="G7043" s="7" t="s">
        <v>505</v>
      </c>
      <c r="H7043" s="6" t="n">
        <v>3.26</v>
      </c>
      <c r="I7043" s="6" t="n">
        <v>0</v>
      </c>
      <c r="J7043" s="40" t="n">
        <f aca="false">H7043-I7043</f>
        <v>3.26</v>
      </c>
      <c r="K7043" s="41" t="n">
        <v>26.5</v>
      </c>
      <c r="L7043" s="42" t="n">
        <f aca="false">J7043*K7043</f>
        <v>86.39</v>
      </c>
      <c r="M7043" s="43" t="n">
        <f aca="false">H7043*17.99*(1+'Chart of Accounts'!$E$67)</f>
        <v>67.151273</v>
      </c>
    </row>
    <row r="7044" customFormat="false" ht="15" hidden="false" customHeight="false" outlineLevel="0" collapsed="false">
      <c r="B7044" s="7" t="s">
        <v>7541</v>
      </c>
      <c r="C7044" s="39" t="n">
        <v>45980</v>
      </c>
      <c r="D7044" s="7" t="s">
        <v>347</v>
      </c>
      <c r="E7044" s="7" t="s">
        <v>154</v>
      </c>
      <c r="F7044" s="7" t="s">
        <v>238</v>
      </c>
      <c r="G7044" s="7" t="s">
        <v>505</v>
      </c>
      <c r="H7044" s="6" t="n">
        <v>4.3</v>
      </c>
      <c r="I7044" s="6" t="n">
        <v>0</v>
      </c>
      <c r="J7044" s="40" t="n">
        <f aca="false">H7044-I7044</f>
        <v>4.3</v>
      </c>
      <c r="K7044" s="41" t="n">
        <v>26.5</v>
      </c>
      <c r="L7044" s="42" t="n">
        <f aca="false">J7044*K7044</f>
        <v>113.95</v>
      </c>
      <c r="M7044" s="43" t="n">
        <f aca="false">H7044*15.85*(1+'Chart of Accounts'!$E$67)</f>
        <v>78.037475</v>
      </c>
    </row>
    <row r="7045" customFormat="false" ht="15" hidden="false" customHeight="false" outlineLevel="0" collapsed="false">
      <c r="B7045" s="7" t="s">
        <v>7542</v>
      </c>
      <c r="C7045" s="39" t="n">
        <v>45980</v>
      </c>
      <c r="D7045" s="7" t="s">
        <v>349</v>
      </c>
      <c r="E7045" s="7" t="s">
        <v>154</v>
      </c>
      <c r="F7045" s="7" t="s">
        <v>244</v>
      </c>
      <c r="G7045" s="7" t="s">
        <v>505</v>
      </c>
      <c r="H7045" s="6" t="n">
        <v>3.97</v>
      </c>
      <c r="I7045" s="6" t="n">
        <v>0</v>
      </c>
      <c r="J7045" s="40" t="n">
        <f aca="false">H7045-I7045</f>
        <v>3.97</v>
      </c>
      <c r="K7045" s="41" t="n">
        <v>26.5</v>
      </c>
      <c r="L7045" s="42" t="n">
        <f aca="false">J7045*K7045</f>
        <v>105.205</v>
      </c>
      <c r="M7045" s="43" t="n">
        <f aca="false">H7045*16.39*(1+'Chart of Accounts'!$E$67)</f>
        <v>74.5032035</v>
      </c>
    </row>
    <row r="7046" customFormat="false" ht="15" hidden="false" customHeight="false" outlineLevel="0" collapsed="false">
      <c r="B7046" s="7" t="s">
        <v>7543</v>
      </c>
      <c r="C7046" s="39" t="n">
        <v>45980</v>
      </c>
      <c r="D7046" s="7" t="s">
        <v>353</v>
      </c>
      <c r="E7046" s="7" t="s">
        <v>154</v>
      </c>
      <c r="F7046" s="7" t="s">
        <v>254</v>
      </c>
      <c r="G7046" s="7" t="s">
        <v>505</v>
      </c>
      <c r="H7046" s="6" t="n">
        <v>3.63</v>
      </c>
      <c r="I7046" s="6" t="n">
        <v>0</v>
      </c>
      <c r="J7046" s="40" t="n">
        <f aca="false">H7046-I7046</f>
        <v>3.63</v>
      </c>
      <c r="K7046" s="41" t="n">
        <v>26.5</v>
      </c>
      <c r="L7046" s="42" t="n">
        <f aca="false">J7046*K7046</f>
        <v>96.195</v>
      </c>
      <c r="M7046" s="43" t="n">
        <f aca="false">H7046*17.1*(1+'Chart of Accounts'!$E$67)</f>
        <v>71.073585</v>
      </c>
    </row>
    <row r="7047" customFormat="false" ht="15" hidden="false" customHeight="false" outlineLevel="0" collapsed="false">
      <c r="B7047" s="7" t="s">
        <v>7544</v>
      </c>
      <c r="C7047" s="39" t="n">
        <v>45980</v>
      </c>
      <c r="D7047" s="7" t="s">
        <v>355</v>
      </c>
      <c r="E7047" s="7" t="s">
        <v>154</v>
      </c>
      <c r="F7047" s="7" t="s">
        <v>201</v>
      </c>
      <c r="G7047" s="7" t="s">
        <v>505</v>
      </c>
      <c r="H7047" s="6" t="n">
        <v>3.15</v>
      </c>
      <c r="I7047" s="6" t="n">
        <v>0</v>
      </c>
      <c r="J7047" s="40" t="n">
        <f aca="false">H7047-I7047</f>
        <v>3.15</v>
      </c>
      <c r="K7047" s="41" t="n">
        <v>26.5</v>
      </c>
      <c r="L7047" s="42" t="n">
        <f aca="false">J7047*K7047</f>
        <v>83.475</v>
      </c>
      <c r="M7047" s="43" t="n">
        <f aca="false">H7047*15.19*(1+'Chart of Accounts'!$E$67)</f>
        <v>54.7865325</v>
      </c>
    </row>
    <row r="7048" customFormat="false" ht="15" hidden="false" customHeight="false" outlineLevel="0" collapsed="false">
      <c r="B7048" s="7" t="s">
        <v>7545</v>
      </c>
      <c r="C7048" s="39" t="n">
        <v>45980</v>
      </c>
      <c r="D7048" s="7" t="s">
        <v>357</v>
      </c>
      <c r="E7048" s="7" t="s">
        <v>154</v>
      </c>
      <c r="F7048" s="7" t="s">
        <v>244</v>
      </c>
      <c r="G7048" s="7" t="s">
        <v>505</v>
      </c>
      <c r="H7048" s="6" t="n">
        <v>3.19</v>
      </c>
      <c r="I7048" s="6" t="n">
        <v>0</v>
      </c>
      <c r="J7048" s="40" t="n">
        <f aca="false">H7048-I7048</f>
        <v>3.19</v>
      </c>
      <c r="K7048" s="41" t="n">
        <v>26.5</v>
      </c>
      <c r="L7048" s="42" t="n">
        <f aca="false">J7048*K7048</f>
        <v>84.535</v>
      </c>
      <c r="M7048" s="43" t="n">
        <f aca="false">H7048*16.39*(1+'Chart of Accounts'!$E$67)</f>
        <v>59.8652945</v>
      </c>
    </row>
    <row r="7049" customFormat="false" ht="15" hidden="false" customHeight="false" outlineLevel="0" collapsed="false">
      <c r="B7049" s="7" t="s">
        <v>7546</v>
      </c>
      <c r="C7049" s="39" t="n">
        <v>45980</v>
      </c>
      <c r="D7049" s="7" t="s">
        <v>359</v>
      </c>
      <c r="E7049" s="7" t="s">
        <v>156</v>
      </c>
      <c r="F7049" s="7" t="s">
        <v>238</v>
      </c>
      <c r="G7049" s="7" t="s">
        <v>505</v>
      </c>
      <c r="H7049" s="6" t="n">
        <v>3.8</v>
      </c>
      <c r="I7049" s="6" t="n">
        <v>0</v>
      </c>
      <c r="J7049" s="40" t="n">
        <f aca="false">H7049-I7049</f>
        <v>3.8</v>
      </c>
      <c r="K7049" s="41" t="n">
        <v>34</v>
      </c>
      <c r="L7049" s="42" t="n">
        <f aca="false">J7049*K7049</f>
        <v>129.2</v>
      </c>
      <c r="M7049" s="43" t="n">
        <f aca="false">H7049*15.85*(1+'Chart of Accounts'!$E$67)</f>
        <v>68.96335</v>
      </c>
    </row>
    <row r="7050" customFormat="false" ht="15" hidden="false" customHeight="false" outlineLevel="0" collapsed="false">
      <c r="B7050" s="7" t="s">
        <v>7547</v>
      </c>
      <c r="C7050" s="39" t="n">
        <v>45980</v>
      </c>
      <c r="D7050" s="7" t="s">
        <v>365</v>
      </c>
      <c r="E7050" s="7" t="s">
        <v>154</v>
      </c>
      <c r="F7050" s="7" t="s">
        <v>194</v>
      </c>
      <c r="G7050" s="7" t="s">
        <v>505</v>
      </c>
      <c r="H7050" s="6" t="n">
        <v>3.91</v>
      </c>
      <c r="I7050" s="6" t="n">
        <v>0</v>
      </c>
      <c r="J7050" s="40" t="n">
        <f aca="false">H7050-I7050</f>
        <v>3.91</v>
      </c>
      <c r="K7050" s="41" t="n">
        <v>26.5</v>
      </c>
      <c r="L7050" s="42" t="n">
        <f aca="false">J7050*K7050</f>
        <v>103.615</v>
      </c>
      <c r="M7050" s="43" t="n">
        <f aca="false">H7050*16*(1+'Chart of Accounts'!$E$67)</f>
        <v>71.6312</v>
      </c>
    </row>
    <row r="7051" customFormat="false" ht="15" hidden="false" customHeight="false" outlineLevel="0" collapsed="false">
      <c r="B7051" s="7" t="s">
        <v>7548</v>
      </c>
      <c r="C7051" s="39" t="n">
        <v>45980</v>
      </c>
      <c r="D7051" s="7" t="s">
        <v>371</v>
      </c>
      <c r="E7051" s="7" t="s">
        <v>154</v>
      </c>
      <c r="F7051" s="7" t="s">
        <v>232</v>
      </c>
      <c r="G7051" s="7" t="s">
        <v>505</v>
      </c>
      <c r="H7051" s="6" t="n">
        <v>4.64</v>
      </c>
      <c r="I7051" s="6" t="n">
        <v>0</v>
      </c>
      <c r="J7051" s="40" t="n">
        <f aca="false">H7051-I7051</f>
        <v>4.64</v>
      </c>
      <c r="K7051" s="41" t="n">
        <v>26.5</v>
      </c>
      <c r="L7051" s="42" t="n">
        <f aca="false">J7051*K7051</f>
        <v>122.96</v>
      </c>
      <c r="M7051" s="43" t="n">
        <f aca="false">H7051*16.17*(1+'Chart of Accounts'!$E$67)</f>
        <v>85.907976</v>
      </c>
    </row>
    <row r="7052" customFormat="false" ht="15" hidden="false" customHeight="false" outlineLevel="0" collapsed="false">
      <c r="B7052" s="7" t="s">
        <v>7549</v>
      </c>
      <c r="C7052" s="39" t="n">
        <v>45980</v>
      </c>
      <c r="D7052" s="7" t="s">
        <v>379</v>
      </c>
      <c r="E7052" s="7" t="s">
        <v>156</v>
      </c>
      <c r="F7052" s="7" t="s">
        <v>224</v>
      </c>
      <c r="G7052" s="7" t="s">
        <v>505</v>
      </c>
      <c r="H7052" s="6" t="n">
        <v>4.9</v>
      </c>
      <c r="I7052" s="6" t="n">
        <v>0</v>
      </c>
      <c r="J7052" s="40" t="n">
        <f aca="false">H7052-I7052</f>
        <v>4.9</v>
      </c>
      <c r="K7052" s="41" t="n">
        <v>34</v>
      </c>
      <c r="L7052" s="42" t="n">
        <f aca="false">J7052*K7052</f>
        <v>166.6</v>
      </c>
      <c r="M7052" s="43" t="n">
        <f aca="false">H7052*14.93*(1+'Chart of Accounts'!$E$67)</f>
        <v>83.764765</v>
      </c>
    </row>
    <row r="7053" customFormat="false" ht="15" hidden="false" customHeight="false" outlineLevel="0" collapsed="false">
      <c r="B7053" s="7" t="s">
        <v>7550</v>
      </c>
      <c r="C7053" s="39" t="n">
        <v>45980</v>
      </c>
      <c r="D7053" s="7" t="s">
        <v>385</v>
      </c>
      <c r="E7053" s="7" t="s">
        <v>156</v>
      </c>
      <c r="F7053" s="7" t="s">
        <v>238</v>
      </c>
      <c r="G7053" s="7" t="s">
        <v>505</v>
      </c>
      <c r="H7053" s="6" t="n">
        <v>3.66</v>
      </c>
      <c r="I7053" s="6" t="n">
        <v>0</v>
      </c>
      <c r="J7053" s="40" t="n">
        <f aca="false">H7053-I7053</f>
        <v>3.66</v>
      </c>
      <c r="K7053" s="41" t="n">
        <v>34</v>
      </c>
      <c r="L7053" s="42" t="n">
        <f aca="false">J7053*K7053</f>
        <v>124.44</v>
      </c>
      <c r="M7053" s="43" t="n">
        <f aca="false">H7053*15.85*(1+'Chart of Accounts'!$E$67)</f>
        <v>66.422595</v>
      </c>
    </row>
    <row r="7054" customFormat="false" ht="15" hidden="false" customHeight="false" outlineLevel="0" collapsed="false">
      <c r="B7054" s="7" t="s">
        <v>7551</v>
      </c>
      <c r="C7054" s="39" t="n">
        <v>45980</v>
      </c>
      <c r="D7054" s="7" t="s">
        <v>387</v>
      </c>
      <c r="E7054" s="7" t="s">
        <v>154</v>
      </c>
      <c r="F7054" s="7" t="s">
        <v>196</v>
      </c>
      <c r="G7054" s="7" t="s">
        <v>505</v>
      </c>
      <c r="H7054" s="6" t="n">
        <v>4.14</v>
      </c>
      <c r="I7054" s="6" t="n">
        <v>0.124</v>
      </c>
      <c r="J7054" s="40" t="n">
        <f aca="false">H7054-I7054</f>
        <v>4.016</v>
      </c>
      <c r="K7054" s="41" t="n">
        <v>26.5</v>
      </c>
      <c r="L7054" s="42" t="n">
        <f aca="false">J7054*K7054</f>
        <v>106.424</v>
      </c>
      <c r="M7054" s="43" t="n">
        <f aca="false">H7054*15.05*(1+'Chart of Accounts'!$E$67)</f>
        <v>71.341515</v>
      </c>
    </row>
    <row r="7055" customFormat="false" ht="15" hidden="false" customHeight="false" outlineLevel="0" collapsed="false">
      <c r="B7055" s="7" t="s">
        <v>7552</v>
      </c>
      <c r="C7055" s="39" t="n">
        <v>45980</v>
      </c>
      <c r="D7055" s="7" t="s">
        <v>389</v>
      </c>
      <c r="E7055" s="7" t="s">
        <v>154</v>
      </c>
      <c r="F7055" s="7" t="s">
        <v>246</v>
      </c>
      <c r="G7055" s="7" t="s">
        <v>505</v>
      </c>
      <c r="H7055" s="6" t="n">
        <v>4.32</v>
      </c>
      <c r="I7055" s="6" t="n">
        <v>0</v>
      </c>
      <c r="J7055" s="40" t="n">
        <f aca="false">H7055-I7055</f>
        <v>4.32</v>
      </c>
      <c r="K7055" s="41" t="n">
        <v>26.5</v>
      </c>
      <c r="L7055" s="42" t="n">
        <f aca="false">J7055*K7055</f>
        <v>114.48</v>
      </c>
      <c r="M7055" s="43" t="n">
        <f aca="false">H7055*16.48*(1+'Chart of Accounts'!$E$67)</f>
        <v>81.516672</v>
      </c>
    </row>
    <row r="7056" customFormat="false" ht="15" hidden="false" customHeight="false" outlineLevel="0" collapsed="false">
      <c r="B7056" s="7" t="s">
        <v>7553</v>
      </c>
      <c r="C7056" s="39" t="n">
        <v>45980</v>
      </c>
      <c r="D7056" s="7" t="s">
        <v>391</v>
      </c>
      <c r="E7056" s="7" t="s">
        <v>156</v>
      </c>
      <c r="F7056" s="7" t="s">
        <v>222</v>
      </c>
      <c r="G7056" s="7" t="s">
        <v>505</v>
      </c>
      <c r="H7056" s="6" t="n">
        <v>3.97</v>
      </c>
      <c r="I7056" s="6" t="n">
        <v>0</v>
      </c>
      <c r="J7056" s="40" t="n">
        <f aca="false">H7056-I7056</f>
        <v>3.97</v>
      </c>
      <c r="K7056" s="41" t="n">
        <v>34</v>
      </c>
      <c r="L7056" s="42" t="n">
        <f aca="false">J7056*K7056</f>
        <v>134.98</v>
      </c>
      <c r="M7056" s="43" t="n">
        <f aca="false">H7056*17.84*(1+'Chart of Accounts'!$E$67)</f>
        <v>81.094396</v>
      </c>
    </row>
    <row r="7057" customFormat="false" ht="15" hidden="false" customHeight="false" outlineLevel="0" collapsed="false">
      <c r="B7057" s="7" t="s">
        <v>7554</v>
      </c>
      <c r="C7057" s="39" t="n">
        <v>45980</v>
      </c>
      <c r="D7057" s="7" t="s">
        <v>393</v>
      </c>
      <c r="E7057" s="7" t="s">
        <v>157</v>
      </c>
      <c r="F7057" s="7" t="s">
        <v>203</v>
      </c>
      <c r="G7057" s="7" t="s">
        <v>502</v>
      </c>
      <c r="H7057" s="6" t="n">
        <v>1.06</v>
      </c>
      <c r="I7057" s="6" t="n">
        <v>0</v>
      </c>
      <c r="J7057" s="40" t="n">
        <f aca="false">H7057-I7057</f>
        <v>1.06</v>
      </c>
      <c r="K7057" s="41" t="n">
        <v>165</v>
      </c>
      <c r="L7057" s="42" t="n">
        <f aca="false">J7057*K7057</f>
        <v>174.9</v>
      </c>
      <c r="M7057" s="43" t="n">
        <f aca="false">H7057*49.43*(1+'Chart of Accounts'!$E$67)</f>
        <v>59.993191</v>
      </c>
    </row>
    <row r="7058" customFormat="false" ht="15" hidden="false" customHeight="false" outlineLevel="0" collapsed="false">
      <c r="B7058" s="7" t="s">
        <v>7555</v>
      </c>
      <c r="C7058" s="39" t="n">
        <v>45980</v>
      </c>
      <c r="D7058" s="7" t="s">
        <v>395</v>
      </c>
      <c r="E7058" s="7" t="s">
        <v>156</v>
      </c>
      <c r="F7058" s="7" t="s">
        <v>242</v>
      </c>
      <c r="G7058" s="7" t="s">
        <v>505</v>
      </c>
      <c r="H7058" s="6" t="n">
        <v>3.98</v>
      </c>
      <c r="I7058" s="6" t="n">
        <v>0</v>
      </c>
      <c r="J7058" s="40" t="n">
        <f aca="false">H7058-I7058</f>
        <v>3.98</v>
      </c>
      <c r="K7058" s="41" t="n">
        <v>34</v>
      </c>
      <c r="L7058" s="42" t="n">
        <f aca="false">J7058*K7058</f>
        <v>135.32</v>
      </c>
      <c r="M7058" s="43" t="n">
        <f aca="false">H7058*17.99*(1+'Chart of Accounts'!$E$67)</f>
        <v>81.982229</v>
      </c>
    </row>
    <row r="7059" customFormat="false" ht="15" hidden="false" customHeight="false" outlineLevel="0" collapsed="false">
      <c r="B7059" s="7" t="s">
        <v>7556</v>
      </c>
      <c r="C7059" s="39" t="n">
        <v>45980</v>
      </c>
      <c r="D7059" s="7" t="s">
        <v>399</v>
      </c>
      <c r="E7059" s="7" t="s">
        <v>154</v>
      </c>
      <c r="F7059" s="7" t="s">
        <v>246</v>
      </c>
      <c r="G7059" s="7" t="s">
        <v>505</v>
      </c>
      <c r="H7059" s="6" t="n">
        <v>3</v>
      </c>
      <c r="I7059" s="6" t="n">
        <v>0</v>
      </c>
      <c r="J7059" s="40" t="n">
        <f aca="false">H7059-I7059</f>
        <v>3</v>
      </c>
      <c r="K7059" s="41" t="n">
        <v>26.5</v>
      </c>
      <c r="L7059" s="42" t="n">
        <f aca="false">J7059*K7059</f>
        <v>79.5</v>
      </c>
      <c r="M7059" s="43" t="n">
        <f aca="false">H7059*16.48*(1+'Chart of Accounts'!$E$67)</f>
        <v>56.6088</v>
      </c>
    </row>
    <row r="7060" customFormat="false" ht="15" hidden="false" customHeight="false" outlineLevel="0" collapsed="false">
      <c r="B7060" s="7" t="s">
        <v>7557</v>
      </c>
      <c r="C7060" s="39" t="n">
        <v>45980</v>
      </c>
      <c r="D7060" s="7" t="s">
        <v>401</v>
      </c>
      <c r="E7060" s="7" t="s">
        <v>156</v>
      </c>
      <c r="F7060" s="7" t="s">
        <v>254</v>
      </c>
      <c r="G7060" s="7" t="s">
        <v>505</v>
      </c>
      <c r="H7060" s="6" t="n">
        <v>4.25</v>
      </c>
      <c r="I7060" s="6" t="n">
        <v>0</v>
      </c>
      <c r="J7060" s="40" t="n">
        <f aca="false">H7060-I7060</f>
        <v>4.25</v>
      </c>
      <c r="K7060" s="41" t="n">
        <v>34</v>
      </c>
      <c r="L7060" s="42" t="n">
        <f aca="false">J7060*K7060</f>
        <v>144.5</v>
      </c>
      <c r="M7060" s="43" t="n">
        <f aca="false">H7060*17.1*(1+'Chart of Accounts'!$E$67)</f>
        <v>83.212875</v>
      </c>
    </row>
    <row r="7061" customFormat="false" ht="15" hidden="false" customHeight="false" outlineLevel="0" collapsed="false">
      <c r="B7061" s="7" t="s">
        <v>7558</v>
      </c>
      <c r="C7061" s="39" t="n">
        <v>45980</v>
      </c>
      <c r="D7061" s="7" t="s">
        <v>403</v>
      </c>
      <c r="E7061" s="7" t="s">
        <v>156</v>
      </c>
      <c r="F7061" s="7" t="s">
        <v>184</v>
      </c>
      <c r="G7061" s="7" t="s">
        <v>505</v>
      </c>
      <c r="H7061" s="6" t="n">
        <v>3.62</v>
      </c>
      <c r="I7061" s="6" t="n">
        <v>0</v>
      </c>
      <c r="J7061" s="40" t="n">
        <f aca="false">H7061-I7061</f>
        <v>3.62</v>
      </c>
      <c r="K7061" s="41" t="n">
        <v>34</v>
      </c>
      <c r="L7061" s="42" t="n">
        <f aca="false">J7061*K7061</f>
        <v>123.08</v>
      </c>
      <c r="M7061" s="43" t="n">
        <f aca="false">H7061*17.34*(1+'Chart of Accounts'!$E$67)</f>
        <v>71.872566</v>
      </c>
    </row>
    <row r="7062" customFormat="false" ht="15" hidden="false" customHeight="false" outlineLevel="0" collapsed="false">
      <c r="B7062" s="7" t="s">
        <v>7559</v>
      </c>
      <c r="C7062" s="39" t="n">
        <v>45980</v>
      </c>
      <c r="D7062" s="7" t="s">
        <v>409</v>
      </c>
      <c r="E7062" s="7" t="s">
        <v>154</v>
      </c>
      <c r="F7062" s="7" t="s">
        <v>214</v>
      </c>
      <c r="G7062" s="7" t="s">
        <v>505</v>
      </c>
      <c r="H7062" s="6" t="n">
        <v>3.18</v>
      </c>
      <c r="I7062" s="6" t="n">
        <v>0.095</v>
      </c>
      <c r="J7062" s="40" t="n">
        <f aca="false">H7062-I7062</f>
        <v>3.085</v>
      </c>
      <c r="K7062" s="41" t="n">
        <v>26.5</v>
      </c>
      <c r="L7062" s="42" t="n">
        <f aca="false">J7062*K7062</f>
        <v>81.7525</v>
      </c>
      <c r="M7062" s="43" t="n">
        <f aca="false">H7062*15.67*(1+'Chart of Accounts'!$E$67)</f>
        <v>57.056037</v>
      </c>
    </row>
    <row r="7063" customFormat="false" ht="15" hidden="false" customHeight="false" outlineLevel="0" collapsed="false">
      <c r="B7063" s="7" t="s">
        <v>7560</v>
      </c>
      <c r="C7063" s="39" t="n">
        <v>45980</v>
      </c>
      <c r="D7063" s="7" t="s">
        <v>411</v>
      </c>
      <c r="E7063" s="7" t="s">
        <v>154</v>
      </c>
      <c r="F7063" s="7" t="s">
        <v>177</v>
      </c>
      <c r="G7063" s="7" t="s">
        <v>505</v>
      </c>
      <c r="H7063" s="6" t="n">
        <v>4.31</v>
      </c>
      <c r="I7063" s="6" t="n">
        <v>0</v>
      </c>
      <c r="J7063" s="40" t="n">
        <f aca="false">H7063-I7063</f>
        <v>4.31</v>
      </c>
      <c r="K7063" s="41" t="n">
        <v>26.5</v>
      </c>
      <c r="L7063" s="42" t="n">
        <f aca="false">J7063*K7063</f>
        <v>114.215</v>
      </c>
      <c r="M7063" s="43" t="n">
        <f aca="false">H7063*14.56*(1+'Chart of Accounts'!$E$67)</f>
        <v>71.852872</v>
      </c>
    </row>
    <row r="7064" customFormat="false" ht="15" hidden="false" customHeight="false" outlineLevel="0" collapsed="false">
      <c r="B7064" s="7" t="s">
        <v>7561</v>
      </c>
      <c r="C7064" s="39" t="n">
        <v>45981</v>
      </c>
      <c r="D7064" s="7" t="s">
        <v>288</v>
      </c>
      <c r="E7064" s="7" t="s">
        <v>156</v>
      </c>
      <c r="F7064" s="7" t="s">
        <v>240</v>
      </c>
      <c r="G7064" s="7" t="s">
        <v>505</v>
      </c>
      <c r="H7064" s="6" t="n">
        <v>4.07</v>
      </c>
      <c r="I7064" s="6" t="n">
        <v>0</v>
      </c>
      <c r="J7064" s="40" t="n">
        <f aca="false">H7064-I7064</f>
        <v>4.07</v>
      </c>
      <c r="K7064" s="41" t="n">
        <v>34</v>
      </c>
      <c r="L7064" s="42" t="n">
        <f aca="false">J7064*K7064</f>
        <v>138.38</v>
      </c>
      <c r="M7064" s="43" t="n">
        <f aca="false">H7064*16.96*(1+'Chart of Accounts'!$E$67)</f>
        <v>79.036144</v>
      </c>
    </row>
    <row r="7065" customFormat="false" ht="15" hidden="false" customHeight="false" outlineLevel="0" collapsed="false">
      <c r="B7065" s="7" t="s">
        <v>7562</v>
      </c>
      <c r="C7065" s="39" t="n">
        <v>45981</v>
      </c>
      <c r="D7065" s="7" t="s">
        <v>297</v>
      </c>
      <c r="E7065" s="7" t="s">
        <v>156</v>
      </c>
      <c r="F7065" s="7" t="s">
        <v>201</v>
      </c>
      <c r="G7065" s="7" t="s">
        <v>505</v>
      </c>
      <c r="H7065" s="6" t="n">
        <v>2.89</v>
      </c>
      <c r="I7065" s="6" t="n">
        <v>0</v>
      </c>
      <c r="J7065" s="40" t="n">
        <f aca="false">H7065-I7065</f>
        <v>2.89</v>
      </c>
      <c r="K7065" s="41" t="n">
        <v>34</v>
      </c>
      <c r="L7065" s="42" t="n">
        <f aca="false">J7065*K7065</f>
        <v>98.26</v>
      </c>
      <c r="M7065" s="43" t="n">
        <f aca="false">H7065*15.19*(1+'Chart of Accounts'!$E$67)</f>
        <v>50.2644695</v>
      </c>
    </row>
    <row r="7066" customFormat="false" ht="15" hidden="false" customHeight="false" outlineLevel="0" collapsed="false">
      <c r="B7066" s="7" t="s">
        <v>7563</v>
      </c>
      <c r="C7066" s="39" t="n">
        <v>45981</v>
      </c>
      <c r="D7066" s="7" t="s">
        <v>299</v>
      </c>
      <c r="E7066" s="7" t="s">
        <v>154</v>
      </c>
      <c r="F7066" s="7" t="s">
        <v>205</v>
      </c>
      <c r="G7066" s="7" t="s">
        <v>505</v>
      </c>
      <c r="H7066" s="6" t="n">
        <v>3.05</v>
      </c>
      <c r="I7066" s="6" t="n">
        <v>0</v>
      </c>
      <c r="J7066" s="40" t="n">
        <f aca="false">H7066-I7066</f>
        <v>3.05</v>
      </c>
      <c r="K7066" s="41" t="n">
        <v>26.5</v>
      </c>
      <c r="L7066" s="42" t="n">
        <f aca="false">J7066*K7066</f>
        <v>80.825</v>
      </c>
      <c r="M7066" s="43" t="n">
        <f aca="false">H7066*16.36*(1+'Chart of Accounts'!$E$67)</f>
        <v>57.13321</v>
      </c>
    </row>
    <row r="7067" customFormat="false" ht="15" hidden="false" customHeight="false" outlineLevel="0" collapsed="false">
      <c r="B7067" s="7" t="s">
        <v>7564</v>
      </c>
      <c r="C7067" s="39" t="n">
        <v>45981</v>
      </c>
      <c r="D7067" s="7" t="s">
        <v>303</v>
      </c>
      <c r="E7067" s="7" t="s">
        <v>154</v>
      </c>
      <c r="F7067" s="7" t="s">
        <v>240</v>
      </c>
      <c r="G7067" s="7" t="s">
        <v>505</v>
      </c>
      <c r="H7067" s="6" t="n">
        <v>4.27</v>
      </c>
      <c r="I7067" s="6" t="n">
        <v>0</v>
      </c>
      <c r="J7067" s="40" t="n">
        <f aca="false">H7067-I7067</f>
        <v>4.27</v>
      </c>
      <c r="K7067" s="41" t="n">
        <v>26.5</v>
      </c>
      <c r="L7067" s="42" t="n">
        <f aca="false">J7067*K7067</f>
        <v>113.155</v>
      </c>
      <c r="M7067" s="43" t="n">
        <f aca="false">H7067*16.96*(1+'Chart of Accounts'!$E$67)</f>
        <v>82.919984</v>
      </c>
    </row>
    <row r="7068" customFormat="false" ht="15" hidden="false" customHeight="false" outlineLevel="0" collapsed="false">
      <c r="B7068" s="7" t="s">
        <v>7565</v>
      </c>
      <c r="C7068" s="39" t="n">
        <v>45981</v>
      </c>
      <c r="D7068" s="7" t="s">
        <v>311</v>
      </c>
      <c r="E7068" s="7" t="s">
        <v>154</v>
      </c>
      <c r="F7068" s="7" t="s">
        <v>196</v>
      </c>
      <c r="G7068" s="7" t="s">
        <v>505</v>
      </c>
      <c r="H7068" s="6" t="n">
        <v>2.82</v>
      </c>
      <c r="I7068" s="6" t="n">
        <v>0</v>
      </c>
      <c r="J7068" s="40" t="n">
        <f aca="false">H7068-I7068</f>
        <v>2.82</v>
      </c>
      <c r="K7068" s="41" t="n">
        <v>26.5</v>
      </c>
      <c r="L7068" s="42" t="n">
        <f aca="false">J7068*K7068</f>
        <v>74.73</v>
      </c>
      <c r="M7068" s="43" t="n">
        <f aca="false">H7068*15.05*(1+'Chart of Accounts'!$E$67)</f>
        <v>48.594945</v>
      </c>
    </row>
    <row r="7069" customFormat="false" ht="15" hidden="false" customHeight="false" outlineLevel="0" collapsed="false">
      <c r="B7069" s="7" t="s">
        <v>7566</v>
      </c>
      <c r="C7069" s="39" t="n">
        <v>45981</v>
      </c>
      <c r="D7069" s="7" t="s">
        <v>313</v>
      </c>
      <c r="E7069" s="7" t="s">
        <v>156</v>
      </c>
      <c r="F7069" s="7" t="s">
        <v>184</v>
      </c>
      <c r="G7069" s="7" t="s">
        <v>505</v>
      </c>
      <c r="H7069" s="6" t="n">
        <v>3.97</v>
      </c>
      <c r="I7069" s="6" t="n">
        <v>0</v>
      </c>
      <c r="J7069" s="40" t="n">
        <f aca="false">H7069-I7069</f>
        <v>3.97</v>
      </c>
      <c r="K7069" s="41" t="n">
        <v>34</v>
      </c>
      <c r="L7069" s="42" t="n">
        <f aca="false">J7069*K7069</f>
        <v>134.98</v>
      </c>
      <c r="M7069" s="43" t="n">
        <f aca="false">H7069*17.34*(1+'Chart of Accounts'!$E$67)</f>
        <v>78.821571</v>
      </c>
    </row>
    <row r="7070" customFormat="false" ht="15" hidden="false" customHeight="false" outlineLevel="0" collapsed="false">
      <c r="B7070" s="7" t="s">
        <v>7567</v>
      </c>
      <c r="C7070" s="39" t="n">
        <v>45981</v>
      </c>
      <c r="D7070" s="7" t="s">
        <v>317</v>
      </c>
      <c r="E7070" s="7" t="s">
        <v>156</v>
      </c>
      <c r="F7070" s="7" t="s">
        <v>222</v>
      </c>
      <c r="G7070" s="7" t="s">
        <v>505</v>
      </c>
      <c r="H7070" s="6" t="n">
        <v>3.18</v>
      </c>
      <c r="I7070" s="6" t="n">
        <v>0</v>
      </c>
      <c r="J7070" s="40" t="n">
        <f aca="false">H7070-I7070</f>
        <v>3.18</v>
      </c>
      <c r="K7070" s="41" t="n">
        <v>34</v>
      </c>
      <c r="L7070" s="42" t="n">
        <f aca="false">J7070*K7070</f>
        <v>108.12</v>
      </c>
      <c r="M7070" s="43" t="n">
        <f aca="false">H7070*17.84*(1+'Chart of Accounts'!$E$67)</f>
        <v>64.957224</v>
      </c>
    </row>
    <row r="7071" customFormat="false" ht="15" hidden="false" customHeight="false" outlineLevel="0" collapsed="false">
      <c r="B7071" s="7" t="s">
        <v>7568</v>
      </c>
      <c r="C7071" s="39" t="n">
        <v>45981</v>
      </c>
      <c r="D7071" s="7" t="s">
        <v>321</v>
      </c>
      <c r="E7071" s="7" t="s">
        <v>154</v>
      </c>
      <c r="F7071" s="7" t="s">
        <v>218</v>
      </c>
      <c r="G7071" s="7" t="s">
        <v>505</v>
      </c>
      <c r="H7071" s="6" t="n">
        <v>3.92</v>
      </c>
      <c r="I7071" s="6" t="n">
        <v>0</v>
      </c>
      <c r="J7071" s="40" t="n">
        <f aca="false">H7071-I7071</f>
        <v>3.92</v>
      </c>
      <c r="K7071" s="41" t="n">
        <v>26.5</v>
      </c>
      <c r="L7071" s="42" t="n">
        <f aca="false">J7071*K7071</f>
        <v>103.88</v>
      </c>
      <c r="M7071" s="43" t="n">
        <f aca="false">H7071*16.19*(1+'Chart of Accounts'!$E$67)</f>
        <v>72.667196</v>
      </c>
    </row>
    <row r="7072" customFormat="false" ht="15" hidden="false" customHeight="false" outlineLevel="0" collapsed="false">
      <c r="B7072" s="7" t="s">
        <v>7569</v>
      </c>
      <c r="C7072" s="39" t="n">
        <v>45981</v>
      </c>
      <c r="D7072" s="7" t="s">
        <v>325</v>
      </c>
      <c r="E7072" s="7" t="s">
        <v>154</v>
      </c>
      <c r="F7072" s="7" t="s">
        <v>196</v>
      </c>
      <c r="G7072" s="7" t="s">
        <v>505</v>
      </c>
      <c r="H7072" s="6" t="n">
        <v>3.1</v>
      </c>
      <c r="I7072" s="6" t="n">
        <v>0</v>
      </c>
      <c r="J7072" s="40" t="n">
        <f aca="false">H7072-I7072</f>
        <v>3.1</v>
      </c>
      <c r="K7072" s="41" t="n">
        <v>26.5</v>
      </c>
      <c r="L7072" s="42" t="n">
        <f aca="false">J7072*K7072</f>
        <v>82.15</v>
      </c>
      <c r="M7072" s="43" t="n">
        <f aca="false">H7072*15.05*(1+'Chart of Accounts'!$E$67)</f>
        <v>53.419975</v>
      </c>
    </row>
    <row r="7073" customFormat="false" ht="15" hidden="false" customHeight="false" outlineLevel="0" collapsed="false">
      <c r="B7073" s="7" t="s">
        <v>7570</v>
      </c>
      <c r="C7073" s="39" t="n">
        <v>45981</v>
      </c>
      <c r="D7073" s="7" t="s">
        <v>329</v>
      </c>
      <c r="E7073" s="7" t="s">
        <v>156</v>
      </c>
      <c r="F7073" s="7" t="s">
        <v>220</v>
      </c>
      <c r="G7073" s="7" t="s">
        <v>505</v>
      </c>
      <c r="H7073" s="6" t="n">
        <v>3.93</v>
      </c>
      <c r="I7073" s="6" t="n">
        <v>0</v>
      </c>
      <c r="J7073" s="40" t="n">
        <f aca="false">H7073-I7073</f>
        <v>3.93</v>
      </c>
      <c r="K7073" s="41" t="n">
        <v>34</v>
      </c>
      <c r="L7073" s="42" t="n">
        <f aca="false">J7073*K7073</f>
        <v>133.62</v>
      </c>
      <c r="M7073" s="43" t="n">
        <f aca="false">H7073*16.43*(1+'Chart of Accounts'!$E$67)</f>
        <v>73.9325355</v>
      </c>
    </row>
    <row r="7074" customFormat="false" ht="15" hidden="false" customHeight="false" outlineLevel="0" collapsed="false">
      <c r="B7074" s="7" t="s">
        <v>7571</v>
      </c>
      <c r="C7074" s="39" t="n">
        <v>45981</v>
      </c>
      <c r="D7074" s="7" t="s">
        <v>331</v>
      </c>
      <c r="E7074" s="7" t="s">
        <v>156</v>
      </c>
      <c r="F7074" s="7" t="s">
        <v>224</v>
      </c>
      <c r="G7074" s="7" t="s">
        <v>505</v>
      </c>
      <c r="H7074" s="6" t="n">
        <v>4.05</v>
      </c>
      <c r="I7074" s="6" t="n">
        <v>0</v>
      </c>
      <c r="J7074" s="40" t="n">
        <f aca="false">H7074-I7074</f>
        <v>4.05</v>
      </c>
      <c r="K7074" s="41" t="n">
        <v>34</v>
      </c>
      <c r="L7074" s="42" t="n">
        <f aca="false">J7074*K7074</f>
        <v>137.7</v>
      </c>
      <c r="M7074" s="43" t="n">
        <f aca="false">H7074*14.93*(1+'Chart of Accounts'!$E$67)</f>
        <v>69.2341425</v>
      </c>
    </row>
    <row r="7075" customFormat="false" ht="15" hidden="false" customHeight="false" outlineLevel="0" collapsed="false">
      <c r="B7075" s="7" t="s">
        <v>7572</v>
      </c>
      <c r="C7075" s="39" t="n">
        <v>45981</v>
      </c>
      <c r="D7075" s="7" t="s">
        <v>341</v>
      </c>
      <c r="E7075" s="7" t="s">
        <v>156</v>
      </c>
      <c r="F7075" s="7" t="s">
        <v>222</v>
      </c>
      <c r="G7075" s="7" t="s">
        <v>505</v>
      </c>
      <c r="H7075" s="6" t="n">
        <v>3.29</v>
      </c>
      <c r="I7075" s="6" t="n">
        <v>0</v>
      </c>
      <c r="J7075" s="40" t="n">
        <f aca="false">H7075-I7075</f>
        <v>3.29</v>
      </c>
      <c r="K7075" s="41" t="n">
        <v>34</v>
      </c>
      <c r="L7075" s="42" t="n">
        <f aca="false">J7075*K7075</f>
        <v>111.86</v>
      </c>
      <c r="M7075" s="43" t="n">
        <f aca="false">H7075*17.84*(1+'Chart of Accounts'!$E$67)</f>
        <v>67.204172</v>
      </c>
    </row>
    <row r="7076" customFormat="false" ht="15" hidden="false" customHeight="false" outlineLevel="0" collapsed="false">
      <c r="B7076" s="7" t="s">
        <v>7573</v>
      </c>
      <c r="C7076" s="39" t="n">
        <v>45981</v>
      </c>
      <c r="D7076" s="7" t="s">
        <v>343</v>
      </c>
      <c r="E7076" s="7" t="s">
        <v>154</v>
      </c>
      <c r="F7076" s="7" t="s">
        <v>218</v>
      </c>
      <c r="G7076" s="7" t="s">
        <v>505</v>
      </c>
      <c r="H7076" s="6" t="n">
        <v>4.04</v>
      </c>
      <c r="I7076" s="6" t="n">
        <v>0</v>
      </c>
      <c r="J7076" s="40" t="n">
        <f aca="false">H7076-I7076</f>
        <v>4.04</v>
      </c>
      <c r="K7076" s="41" t="n">
        <v>26.5</v>
      </c>
      <c r="L7076" s="42" t="n">
        <f aca="false">J7076*K7076</f>
        <v>107.06</v>
      </c>
      <c r="M7076" s="43" t="n">
        <f aca="false">H7076*16.19*(1+'Chart of Accounts'!$E$67)</f>
        <v>74.891702</v>
      </c>
    </row>
    <row r="7077" customFormat="false" ht="15" hidden="false" customHeight="false" outlineLevel="0" collapsed="false">
      <c r="B7077" s="7" t="s">
        <v>7574</v>
      </c>
      <c r="C7077" s="39" t="n">
        <v>45981</v>
      </c>
      <c r="D7077" s="7" t="s">
        <v>349</v>
      </c>
      <c r="E7077" s="7" t="s">
        <v>154</v>
      </c>
      <c r="F7077" s="7" t="s">
        <v>244</v>
      </c>
      <c r="G7077" s="7" t="s">
        <v>505</v>
      </c>
      <c r="H7077" s="6" t="n">
        <v>3.63</v>
      </c>
      <c r="I7077" s="6" t="n">
        <v>0.109</v>
      </c>
      <c r="J7077" s="40" t="n">
        <f aca="false">H7077-I7077</f>
        <v>3.521</v>
      </c>
      <c r="K7077" s="41" t="n">
        <v>26.5</v>
      </c>
      <c r="L7077" s="42" t="n">
        <f aca="false">J7077*K7077</f>
        <v>93.3065</v>
      </c>
      <c r="M7077" s="43" t="n">
        <f aca="false">H7077*16.39*(1+'Chart of Accounts'!$E$67)</f>
        <v>68.1225765</v>
      </c>
    </row>
    <row r="7078" customFormat="false" ht="15" hidden="false" customHeight="false" outlineLevel="0" collapsed="false">
      <c r="B7078" s="7" t="s">
        <v>7575</v>
      </c>
      <c r="C7078" s="39" t="n">
        <v>45981</v>
      </c>
      <c r="D7078" s="7" t="s">
        <v>351</v>
      </c>
      <c r="E7078" s="7" t="s">
        <v>154</v>
      </c>
      <c r="F7078" s="7" t="s">
        <v>201</v>
      </c>
      <c r="G7078" s="7" t="s">
        <v>505</v>
      </c>
      <c r="H7078" s="6" t="n">
        <v>2.91</v>
      </c>
      <c r="I7078" s="6" t="n">
        <v>0.087</v>
      </c>
      <c r="J7078" s="40" t="n">
        <f aca="false">H7078-I7078</f>
        <v>2.823</v>
      </c>
      <c r="K7078" s="41" t="n">
        <v>26.5</v>
      </c>
      <c r="L7078" s="42" t="n">
        <f aca="false">J7078*K7078</f>
        <v>74.8095</v>
      </c>
      <c r="M7078" s="43" t="n">
        <f aca="false">H7078*15.19*(1+'Chart of Accounts'!$E$67)</f>
        <v>50.6123205</v>
      </c>
    </row>
    <row r="7079" customFormat="false" ht="15" hidden="false" customHeight="false" outlineLevel="0" collapsed="false">
      <c r="B7079" s="7" t="s">
        <v>7576</v>
      </c>
      <c r="C7079" s="39" t="n">
        <v>45981</v>
      </c>
      <c r="D7079" s="7" t="s">
        <v>359</v>
      </c>
      <c r="E7079" s="7" t="s">
        <v>156</v>
      </c>
      <c r="F7079" s="7" t="s">
        <v>250</v>
      </c>
      <c r="G7079" s="7" t="s">
        <v>505</v>
      </c>
      <c r="H7079" s="6" t="n">
        <v>3.92</v>
      </c>
      <c r="I7079" s="6" t="n">
        <v>0</v>
      </c>
      <c r="J7079" s="40" t="n">
        <f aca="false">H7079-I7079</f>
        <v>3.92</v>
      </c>
      <c r="K7079" s="41" t="n">
        <v>34</v>
      </c>
      <c r="L7079" s="42" t="n">
        <f aca="false">J7079*K7079</f>
        <v>133.28</v>
      </c>
      <c r="M7079" s="43" t="n">
        <f aca="false">H7079*16.88*(1+'Chart of Accounts'!$E$67)</f>
        <v>75.764192</v>
      </c>
    </row>
    <row r="7080" customFormat="false" ht="15" hidden="false" customHeight="false" outlineLevel="0" collapsed="false">
      <c r="B7080" s="7" t="s">
        <v>7577</v>
      </c>
      <c r="C7080" s="39" t="n">
        <v>45981</v>
      </c>
      <c r="D7080" s="7" t="s">
        <v>363</v>
      </c>
      <c r="E7080" s="7" t="s">
        <v>156</v>
      </c>
      <c r="F7080" s="7" t="s">
        <v>246</v>
      </c>
      <c r="G7080" s="7" t="s">
        <v>505</v>
      </c>
      <c r="H7080" s="6" t="n">
        <v>4.19</v>
      </c>
      <c r="I7080" s="6" t="n">
        <v>0</v>
      </c>
      <c r="J7080" s="40" t="n">
        <f aca="false">H7080-I7080</f>
        <v>4.19</v>
      </c>
      <c r="K7080" s="41" t="n">
        <v>34</v>
      </c>
      <c r="L7080" s="42" t="n">
        <f aca="false">J7080*K7080</f>
        <v>142.46</v>
      </c>
      <c r="M7080" s="43" t="n">
        <f aca="false">H7080*16.48*(1+'Chart of Accounts'!$E$67)</f>
        <v>79.063624</v>
      </c>
    </row>
    <row r="7081" customFormat="false" ht="15" hidden="false" customHeight="false" outlineLevel="0" collapsed="false">
      <c r="B7081" s="7" t="s">
        <v>7578</v>
      </c>
      <c r="C7081" s="39" t="n">
        <v>45981</v>
      </c>
      <c r="D7081" s="7" t="s">
        <v>365</v>
      </c>
      <c r="E7081" s="7" t="s">
        <v>154</v>
      </c>
      <c r="F7081" s="7" t="s">
        <v>194</v>
      </c>
      <c r="G7081" s="7" t="s">
        <v>505</v>
      </c>
      <c r="H7081" s="6" t="n">
        <v>3.76</v>
      </c>
      <c r="I7081" s="6" t="n">
        <v>0</v>
      </c>
      <c r="J7081" s="40" t="n">
        <f aca="false">H7081-I7081</f>
        <v>3.76</v>
      </c>
      <c r="K7081" s="41" t="n">
        <v>26.5</v>
      </c>
      <c r="L7081" s="42" t="n">
        <f aca="false">J7081*K7081</f>
        <v>99.64</v>
      </c>
      <c r="M7081" s="43" t="n">
        <f aca="false">H7081*16*(1+'Chart of Accounts'!$E$67)</f>
        <v>68.8832</v>
      </c>
    </row>
    <row r="7082" customFormat="false" ht="15" hidden="false" customHeight="false" outlineLevel="0" collapsed="false">
      <c r="B7082" s="7" t="s">
        <v>7579</v>
      </c>
      <c r="C7082" s="39" t="n">
        <v>45981</v>
      </c>
      <c r="D7082" s="7" t="s">
        <v>375</v>
      </c>
      <c r="E7082" s="7" t="s">
        <v>156</v>
      </c>
      <c r="F7082" s="7" t="s">
        <v>196</v>
      </c>
      <c r="G7082" s="7" t="s">
        <v>505</v>
      </c>
      <c r="H7082" s="6" t="n">
        <v>2.83</v>
      </c>
      <c r="I7082" s="6" t="n">
        <v>0</v>
      </c>
      <c r="J7082" s="40" t="n">
        <f aca="false">H7082-I7082</f>
        <v>2.83</v>
      </c>
      <c r="K7082" s="41" t="n">
        <v>34</v>
      </c>
      <c r="L7082" s="42" t="n">
        <f aca="false">J7082*K7082</f>
        <v>96.22</v>
      </c>
      <c r="M7082" s="43" t="n">
        <f aca="false">H7082*15.05*(1+'Chart of Accounts'!$E$67)</f>
        <v>48.7672675</v>
      </c>
    </row>
    <row r="7083" customFormat="false" ht="15" hidden="false" customHeight="false" outlineLevel="0" collapsed="false">
      <c r="B7083" s="7" t="s">
        <v>7580</v>
      </c>
      <c r="C7083" s="39" t="n">
        <v>45981</v>
      </c>
      <c r="D7083" s="7" t="s">
        <v>377</v>
      </c>
      <c r="E7083" s="7" t="s">
        <v>154</v>
      </c>
      <c r="F7083" s="7" t="s">
        <v>214</v>
      </c>
      <c r="G7083" s="7" t="s">
        <v>505</v>
      </c>
      <c r="H7083" s="6" t="n">
        <v>3.99</v>
      </c>
      <c r="I7083" s="6" t="n">
        <v>0</v>
      </c>
      <c r="J7083" s="40" t="n">
        <f aca="false">H7083-I7083</f>
        <v>3.99</v>
      </c>
      <c r="K7083" s="41" t="n">
        <v>26.5</v>
      </c>
      <c r="L7083" s="42" t="n">
        <f aca="false">J7083*K7083</f>
        <v>105.735</v>
      </c>
      <c r="M7083" s="43" t="n">
        <f aca="false">H7083*15.67*(1+'Chart of Accounts'!$E$67)</f>
        <v>71.5891785</v>
      </c>
    </row>
    <row r="7084" customFormat="false" ht="15" hidden="false" customHeight="false" outlineLevel="0" collapsed="false">
      <c r="B7084" s="7" t="s">
        <v>7581</v>
      </c>
      <c r="C7084" s="39" t="n">
        <v>45981</v>
      </c>
      <c r="D7084" s="7" t="s">
        <v>387</v>
      </c>
      <c r="E7084" s="7" t="s">
        <v>154</v>
      </c>
      <c r="F7084" s="7" t="s">
        <v>196</v>
      </c>
      <c r="G7084" s="7" t="s">
        <v>505</v>
      </c>
      <c r="H7084" s="6" t="n">
        <v>3.82</v>
      </c>
      <c r="I7084" s="6" t="n">
        <v>0</v>
      </c>
      <c r="J7084" s="40" t="n">
        <f aca="false">H7084-I7084</f>
        <v>3.82</v>
      </c>
      <c r="K7084" s="41" t="n">
        <v>26.5</v>
      </c>
      <c r="L7084" s="42" t="n">
        <f aca="false">J7084*K7084</f>
        <v>101.23</v>
      </c>
      <c r="M7084" s="43" t="n">
        <f aca="false">H7084*15.05*(1+'Chart of Accounts'!$E$67)</f>
        <v>65.827195</v>
      </c>
    </row>
    <row r="7085" customFormat="false" ht="15" hidden="false" customHeight="false" outlineLevel="0" collapsed="false">
      <c r="B7085" s="7" t="s">
        <v>7582</v>
      </c>
      <c r="C7085" s="39" t="n">
        <v>45981</v>
      </c>
      <c r="D7085" s="7" t="s">
        <v>389</v>
      </c>
      <c r="E7085" s="7" t="s">
        <v>154</v>
      </c>
      <c r="F7085" s="7" t="s">
        <v>246</v>
      </c>
      <c r="G7085" s="7" t="s">
        <v>505</v>
      </c>
      <c r="H7085" s="6" t="n">
        <v>4.26</v>
      </c>
      <c r="I7085" s="6" t="n">
        <v>0</v>
      </c>
      <c r="J7085" s="40" t="n">
        <f aca="false">H7085-I7085</f>
        <v>4.26</v>
      </c>
      <c r="K7085" s="41" t="n">
        <v>26.5</v>
      </c>
      <c r="L7085" s="42" t="n">
        <f aca="false">J7085*K7085</f>
        <v>112.89</v>
      </c>
      <c r="M7085" s="43" t="n">
        <f aca="false">H7085*16.48*(1+'Chart of Accounts'!$E$67)</f>
        <v>80.384496</v>
      </c>
    </row>
    <row r="7086" customFormat="false" ht="15" hidden="false" customHeight="false" outlineLevel="0" collapsed="false">
      <c r="B7086" s="7" t="s">
        <v>7583</v>
      </c>
      <c r="C7086" s="39" t="n">
        <v>45981</v>
      </c>
      <c r="D7086" s="7" t="s">
        <v>391</v>
      </c>
      <c r="E7086" s="7" t="s">
        <v>156</v>
      </c>
      <c r="F7086" s="7" t="s">
        <v>222</v>
      </c>
      <c r="G7086" s="7" t="s">
        <v>505</v>
      </c>
      <c r="H7086" s="6" t="n">
        <v>3.67</v>
      </c>
      <c r="I7086" s="6" t="n">
        <v>0</v>
      </c>
      <c r="J7086" s="40" t="n">
        <f aca="false">H7086-I7086</f>
        <v>3.67</v>
      </c>
      <c r="K7086" s="41" t="n">
        <v>34</v>
      </c>
      <c r="L7086" s="42" t="n">
        <f aca="false">J7086*K7086</f>
        <v>124.78</v>
      </c>
      <c r="M7086" s="43" t="n">
        <f aca="false">H7086*17.84*(1+'Chart of Accounts'!$E$67)</f>
        <v>74.966356</v>
      </c>
    </row>
    <row r="7087" customFormat="false" ht="15" hidden="false" customHeight="false" outlineLevel="0" collapsed="false">
      <c r="B7087" s="7" t="s">
        <v>7584</v>
      </c>
      <c r="C7087" s="39" t="n">
        <v>45981</v>
      </c>
      <c r="D7087" s="7" t="s">
        <v>395</v>
      </c>
      <c r="E7087" s="7" t="s">
        <v>156</v>
      </c>
      <c r="F7087" s="7" t="s">
        <v>242</v>
      </c>
      <c r="G7087" s="7" t="s">
        <v>505</v>
      </c>
      <c r="H7087" s="6" t="n">
        <v>3.95</v>
      </c>
      <c r="I7087" s="6" t="n">
        <v>0</v>
      </c>
      <c r="J7087" s="40" t="n">
        <f aca="false">H7087-I7087</f>
        <v>3.95</v>
      </c>
      <c r="K7087" s="41" t="n">
        <v>34</v>
      </c>
      <c r="L7087" s="42" t="n">
        <f aca="false">J7087*K7087</f>
        <v>134.3</v>
      </c>
      <c r="M7087" s="43" t="n">
        <f aca="false">H7087*17.99*(1+'Chart of Accounts'!$E$67)</f>
        <v>81.3642725</v>
      </c>
    </row>
    <row r="7088" customFormat="false" ht="15" hidden="false" customHeight="false" outlineLevel="0" collapsed="false">
      <c r="B7088" s="7" t="s">
        <v>7585</v>
      </c>
      <c r="C7088" s="39" t="n">
        <v>45981</v>
      </c>
      <c r="D7088" s="7" t="s">
        <v>401</v>
      </c>
      <c r="E7088" s="7" t="s">
        <v>156</v>
      </c>
      <c r="F7088" s="7" t="s">
        <v>254</v>
      </c>
      <c r="G7088" s="7" t="s">
        <v>505</v>
      </c>
      <c r="H7088" s="6" t="n">
        <v>4.4</v>
      </c>
      <c r="I7088" s="6" t="n">
        <v>0</v>
      </c>
      <c r="J7088" s="40" t="n">
        <f aca="false">H7088-I7088</f>
        <v>4.4</v>
      </c>
      <c r="K7088" s="41" t="n">
        <v>34</v>
      </c>
      <c r="L7088" s="42" t="n">
        <f aca="false">J7088*K7088</f>
        <v>149.6</v>
      </c>
      <c r="M7088" s="43" t="n">
        <f aca="false">H7088*17.1*(1+'Chart of Accounts'!$E$67)</f>
        <v>86.1498</v>
      </c>
    </row>
    <row r="7089" customFormat="false" ht="15" hidden="false" customHeight="false" outlineLevel="0" collapsed="false">
      <c r="B7089" s="7" t="s">
        <v>7586</v>
      </c>
      <c r="C7089" s="39" t="n">
        <v>45982</v>
      </c>
      <c r="D7089" s="7" t="s">
        <v>288</v>
      </c>
      <c r="E7089" s="7" t="s">
        <v>156</v>
      </c>
      <c r="F7089" s="7" t="s">
        <v>250</v>
      </c>
      <c r="G7089" s="7" t="s">
        <v>505</v>
      </c>
      <c r="H7089" s="6" t="n">
        <v>3.92</v>
      </c>
      <c r="I7089" s="6" t="n">
        <v>0</v>
      </c>
      <c r="J7089" s="40" t="n">
        <f aca="false">H7089-I7089</f>
        <v>3.92</v>
      </c>
      <c r="K7089" s="41" t="n">
        <v>34</v>
      </c>
      <c r="L7089" s="42" t="n">
        <f aca="false">J7089*K7089</f>
        <v>133.28</v>
      </c>
      <c r="M7089" s="43" t="n">
        <f aca="false">H7089*16.88*(1+'Chart of Accounts'!$E$67)</f>
        <v>75.764192</v>
      </c>
    </row>
    <row r="7090" customFormat="false" ht="15" hidden="false" customHeight="false" outlineLevel="0" collapsed="false">
      <c r="B7090" s="7" t="s">
        <v>7587</v>
      </c>
      <c r="C7090" s="39" t="n">
        <v>45982</v>
      </c>
      <c r="D7090" s="7" t="s">
        <v>291</v>
      </c>
      <c r="E7090" s="7" t="s">
        <v>154</v>
      </c>
      <c r="F7090" s="7" t="s">
        <v>194</v>
      </c>
      <c r="G7090" s="7" t="s">
        <v>505</v>
      </c>
      <c r="H7090" s="6" t="n">
        <v>4.75</v>
      </c>
      <c r="I7090" s="6" t="n">
        <v>0</v>
      </c>
      <c r="J7090" s="40" t="n">
        <f aca="false">H7090-I7090</f>
        <v>4.75</v>
      </c>
      <c r="K7090" s="41" t="n">
        <v>26.5</v>
      </c>
      <c r="L7090" s="42" t="n">
        <f aca="false">J7090*K7090</f>
        <v>125.875</v>
      </c>
      <c r="M7090" s="43" t="n">
        <f aca="false">H7090*16*(1+'Chart of Accounts'!$E$67)</f>
        <v>87.02</v>
      </c>
    </row>
    <row r="7091" customFormat="false" ht="15" hidden="false" customHeight="false" outlineLevel="0" collapsed="false">
      <c r="B7091" s="7" t="s">
        <v>7588</v>
      </c>
      <c r="C7091" s="39" t="n">
        <v>45982</v>
      </c>
      <c r="D7091" s="7" t="s">
        <v>293</v>
      </c>
      <c r="E7091" s="7" t="s">
        <v>157</v>
      </c>
      <c r="F7091" s="7" t="s">
        <v>198</v>
      </c>
      <c r="G7091" s="7" t="s">
        <v>502</v>
      </c>
      <c r="H7091" s="6" t="n">
        <v>0.91</v>
      </c>
      <c r="I7091" s="6" t="n">
        <v>0</v>
      </c>
      <c r="J7091" s="40" t="n">
        <f aca="false">H7091-I7091</f>
        <v>0.91</v>
      </c>
      <c r="K7091" s="41" t="n">
        <v>165</v>
      </c>
      <c r="L7091" s="42" t="n">
        <f aca="false">J7091*K7091</f>
        <v>150.15</v>
      </c>
      <c r="M7091" s="43" t="n">
        <f aca="false">H7091*48.09*(1+'Chart of Accounts'!$E$67)</f>
        <v>50.1073755</v>
      </c>
    </row>
    <row r="7092" customFormat="false" ht="15" hidden="false" customHeight="false" outlineLevel="0" collapsed="false">
      <c r="B7092" s="7" t="s">
        <v>7589</v>
      </c>
      <c r="C7092" s="39" t="n">
        <v>45982</v>
      </c>
      <c r="D7092" s="7" t="s">
        <v>295</v>
      </c>
      <c r="E7092" s="7" t="s">
        <v>154</v>
      </c>
      <c r="F7092" s="7" t="s">
        <v>214</v>
      </c>
      <c r="G7092" s="7" t="s">
        <v>505</v>
      </c>
      <c r="H7092" s="6" t="n">
        <v>3.73</v>
      </c>
      <c r="I7092" s="6" t="n">
        <v>0</v>
      </c>
      <c r="J7092" s="40" t="n">
        <f aca="false">H7092-I7092</f>
        <v>3.73</v>
      </c>
      <c r="K7092" s="41" t="n">
        <v>26.5</v>
      </c>
      <c r="L7092" s="42" t="n">
        <f aca="false">J7092*K7092</f>
        <v>98.845</v>
      </c>
      <c r="M7092" s="43" t="n">
        <f aca="false">H7092*15.67*(1+'Chart of Accounts'!$E$67)</f>
        <v>66.9242195</v>
      </c>
    </row>
    <row r="7093" customFormat="false" ht="15" hidden="false" customHeight="false" outlineLevel="0" collapsed="false">
      <c r="B7093" s="7" t="s">
        <v>7590</v>
      </c>
      <c r="C7093" s="39" t="n">
        <v>45982</v>
      </c>
      <c r="D7093" s="7" t="s">
        <v>301</v>
      </c>
      <c r="E7093" s="7" t="s">
        <v>157</v>
      </c>
      <c r="F7093" s="7" t="s">
        <v>209</v>
      </c>
      <c r="G7093" s="7" t="s">
        <v>502</v>
      </c>
      <c r="H7093" s="6" t="n">
        <v>1.01</v>
      </c>
      <c r="I7093" s="6" t="n">
        <v>0</v>
      </c>
      <c r="J7093" s="40" t="n">
        <f aca="false">H7093-I7093</f>
        <v>1.01</v>
      </c>
      <c r="K7093" s="41" t="n">
        <v>165</v>
      </c>
      <c r="L7093" s="42" t="n">
        <f aca="false">J7093*K7093</f>
        <v>166.65</v>
      </c>
      <c r="M7093" s="43" t="n">
        <f aca="false">H7093*73.58*(1+'Chart of Accounts'!$E$67)</f>
        <v>85.091591</v>
      </c>
    </row>
    <row r="7094" customFormat="false" ht="15" hidden="false" customHeight="false" outlineLevel="0" collapsed="false">
      <c r="B7094" s="7" t="s">
        <v>7591</v>
      </c>
      <c r="C7094" s="39" t="n">
        <v>45982</v>
      </c>
      <c r="D7094" s="7" t="s">
        <v>305</v>
      </c>
      <c r="E7094" s="7" t="s">
        <v>154</v>
      </c>
      <c r="F7094" s="7" t="s">
        <v>205</v>
      </c>
      <c r="G7094" s="7" t="s">
        <v>505</v>
      </c>
      <c r="H7094" s="6" t="n">
        <v>4.34</v>
      </c>
      <c r="I7094" s="6" t="n">
        <v>0</v>
      </c>
      <c r="J7094" s="40" t="n">
        <f aca="false">H7094-I7094</f>
        <v>4.34</v>
      </c>
      <c r="K7094" s="41" t="n">
        <v>26.5</v>
      </c>
      <c r="L7094" s="42" t="n">
        <f aca="false">J7094*K7094</f>
        <v>115.01</v>
      </c>
      <c r="M7094" s="43" t="n">
        <f aca="false">H7094*16.36*(1+'Chart of Accounts'!$E$67)</f>
        <v>81.297748</v>
      </c>
    </row>
    <row r="7095" customFormat="false" ht="15" hidden="false" customHeight="false" outlineLevel="0" collapsed="false">
      <c r="B7095" s="7" t="s">
        <v>7592</v>
      </c>
      <c r="C7095" s="39" t="n">
        <v>45982</v>
      </c>
      <c r="D7095" s="7" t="s">
        <v>307</v>
      </c>
      <c r="E7095" s="7" t="s">
        <v>157</v>
      </c>
      <c r="F7095" s="7" t="s">
        <v>264</v>
      </c>
      <c r="G7095" s="7" t="s">
        <v>502</v>
      </c>
      <c r="H7095" s="6" t="n">
        <v>0.91</v>
      </c>
      <c r="I7095" s="6" t="n">
        <v>0</v>
      </c>
      <c r="J7095" s="40" t="n">
        <f aca="false">H7095-I7095</f>
        <v>0.91</v>
      </c>
      <c r="K7095" s="41" t="n">
        <v>165</v>
      </c>
      <c r="L7095" s="42" t="n">
        <f aca="false">J7095*K7095</f>
        <v>150.15</v>
      </c>
      <c r="M7095" s="43" t="n">
        <f aca="false">H7095*55.55*(1+'Chart of Accounts'!$E$67)</f>
        <v>57.8803225</v>
      </c>
    </row>
    <row r="7096" customFormat="false" ht="15" hidden="false" customHeight="false" outlineLevel="0" collapsed="false">
      <c r="B7096" s="7" t="s">
        <v>7593</v>
      </c>
      <c r="C7096" s="39" t="n">
        <v>45982</v>
      </c>
      <c r="D7096" s="7" t="s">
        <v>309</v>
      </c>
      <c r="E7096" s="7" t="s">
        <v>159</v>
      </c>
      <c r="F7096" s="7" t="s">
        <v>252</v>
      </c>
      <c r="G7096" s="7" t="s">
        <v>502</v>
      </c>
      <c r="H7096" s="6" t="n">
        <v>1.02</v>
      </c>
      <c r="I7096" s="6" t="n">
        <v>0.071</v>
      </c>
      <c r="J7096" s="40" t="n">
        <f aca="false">H7096-I7096</f>
        <v>0.949</v>
      </c>
      <c r="K7096" s="41" t="n">
        <v>135</v>
      </c>
      <c r="L7096" s="42" t="n">
        <f aca="false">J7096*K7096</f>
        <v>128.115</v>
      </c>
      <c r="M7096" s="43" t="n">
        <f aca="false">H7096*57.54*(1+'Chart of Accounts'!$E$67)</f>
        <v>67.200966</v>
      </c>
    </row>
    <row r="7097" customFormat="false" ht="15" hidden="false" customHeight="false" outlineLevel="0" collapsed="false">
      <c r="B7097" s="7" t="s">
        <v>7594</v>
      </c>
      <c r="C7097" s="39" t="n">
        <v>45982</v>
      </c>
      <c r="D7097" s="7" t="s">
        <v>313</v>
      </c>
      <c r="E7097" s="7" t="s">
        <v>156</v>
      </c>
      <c r="F7097" s="7" t="s">
        <v>184</v>
      </c>
      <c r="G7097" s="7" t="s">
        <v>505</v>
      </c>
      <c r="H7097" s="6" t="n">
        <v>4.36</v>
      </c>
      <c r="I7097" s="6" t="n">
        <v>0</v>
      </c>
      <c r="J7097" s="40" t="n">
        <f aca="false">H7097-I7097</f>
        <v>4.36</v>
      </c>
      <c r="K7097" s="41" t="n">
        <v>34</v>
      </c>
      <c r="L7097" s="42" t="n">
        <f aca="false">J7097*K7097</f>
        <v>148.24</v>
      </c>
      <c r="M7097" s="43" t="n">
        <f aca="false">H7097*17.34*(1+'Chart of Accounts'!$E$67)</f>
        <v>86.564748</v>
      </c>
    </row>
    <row r="7098" customFormat="false" ht="15" hidden="false" customHeight="false" outlineLevel="0" collapsed="false">
      <c r="B7098" s="7" t="s">
        <v>7595</v>
      </c>
      <c r="C7098" s="39" t="n">
        <v>45982</v>
      </c>
      <c r="D7098" s="7" t="s">
        <v>315</v>
      </c>
      <c r="E7098" s="7" t="s">
        <v>159</v>
      </c>
      <c r="F7098" s="7" t="s">
        <v>216</v>
      </c>
      <c r="G7098" s="7" t="s">
        <v>502</v>
      </c>
      <c r="H7098" s="6" t="n">
        <v>1.08</v>
      </c>
      <c r="I7098" s="6" t="n">
        <v>0</v>
      </c>
      <c r="J7098" s="40" t="n">
        <f aca="false">H7098-I7098</f>
        <v>1.08</v>
      </c>
      <c r="K7098" s="41" t="n">
        <v>135</v>
      </c>
      <c r="L7098" s="42" t="n">
        <f aca="false">J7098*K7098</f>
        <v>145.8</v>
      </c>
      <c r="M7098" s="43" t="n">
        <f aca="false">H7098*61.79*(1+'Chart of Accounts'!$E$67)</f>
        <v>76.409514</v>
      </c>
    </row>
    <row r="7099" customFormat="false" ht="15" hidden="false" customHeight="false" outlineLevel="0" collapsed="false">
      <c r="B7099" s="7" t="s">
        <v>7596</v>
      </c>
      <c r="C7099" s="39" t="n">
        <v>45982</v>
      </c>
      <c r="D7099" s="7" t="s">
        <v>319</v>
      </c>
      <c r="E7099" s="7" t="s">
        <v>157</v>
      </c>
      <c r="F7099" s="7" t="s">
        <v>234</v>
      </c>
      <c r="G7099" s="7" t="s">
        <v>502</v>
      </c>
      <c r="H7099" s="6" t="n">
        <v>0.95</v>
      </c>
      <c r="I7099" s="6" t="n">
        <v>0.048</v>
      </c>
      <c r="J7099" s="40" t="n">
        <f aca="false">H7099-I7099</f>
        <v>0.902</v>
      </c>
      <c r="K7099" s="41" t="n">
        <v>165</v>
      </c>
      <c r="L7099" s="42" t="n">
        <f aca="false">J7099*K7099</f>
        <v>148.83</v>
      </c>
      <c r="M7099" s="43" t="n">
        <f aca="false">H7099*89.53*(1+'Chart of Accounts'!$E$67)</f>
        <v>97.3862575</v>
      </c>
    </row>
    <row r="7100" customFormat="false" ht="15" hidden="false" customHeight="false" outlineLevel="0" collapsed="false">
      <c r="B7100" s="7" t="s">
        <v>7597</v>
      </c>
      <c r="C7100" s="39" t="n">
        <v>45982</v>
      </c>
      <c r="D7100" s="7" t="s">
        <v>321</v>
      </c>
      <c r="E7100" s="7" t="s">
        <v>154</v>
      </c>
      <c r="F7100" s="7" t="s">
        <v>218</v>
      </c>
      <c r="G7100" s="7" t="s">
        <v>505</v>
      </c>
      <c r="H7100" s="6" t="n">
        <v>3.86</v>
      </c>
      <c r="I7100" s="6" t="n">
        <v>0.116</v>
      </c>
      <c r="J7100" s="40" t="n">
        <f aca="false">H7100-I7100</f>
        <v>3.744</v>
      </c>
      <c r="K7100" s="41" t="n">
        <v>26.5</v>
      </c>
      <c r="L7100" s="42" t="n">
        <f aca="false">J7100*K7100</f>
        <v>99.216</v>
      </c>
      <c r="M7100" s="43" t="n">
        <f aca="false">H7100*16.19*(1+'Chart of Accounts'!$E$67)</f>
        <v>71.554943</v>
      </c>
    </row>
    <row r="7101" customFormat="false" ht="15" hidden="false" customHeight="false" outlineLevel="0" collapsed="false">
      <c r="B7101" s="7" t="s">
        <v>7598</v>
      </c>
      <c r="C7101" s="39" t="n">
        <v>45982</v>
      </c>
      <c r="D7101" s="7" t="s">
        <v>323</v>
      </c>
      <c r="E7101" s="7" t="s">
        <v>159</v>
      </c>
      <c r="F7101" s="7" t="s">
        <v>198</v>
      </c>
      <c r="G7101" s="7" t="s">
        <v>502</v>
      </c>
      <c r="H7101" s="6" t="n">
        <v>1</v>
      </c>
      <c r="I7101" s="6" t="n">
        <v>0</v>
      </c>
      <c r="J7101" s="40" t="n">
        <f aca="false">H7101-I7101</f>
        <v>1</v>
      </c>
      <c r="K7101" s="41" t="n">
        <v>135</v>
      </c>
      <c r="L7101" s="42" t="n">
        <f aca="false">J7101*K7101</f>
        <v>135</v>
      </c>
      <c r="M7101" s="43" t="n">
        <f aca="false">H7101*48.09*(1+'Chart of Accounts'!$E$67)</f>
        <v>55.06305</v>
      </c>
    </row>
    <row r="7102" customFormat="false" ht="15" hidden="false" customHeight="false" outlineLevel="0" collapsed="false">
      <c r="B7102" s="7" t="s">
        <v>7599</v>
      </c>
      <c r="C7102" s="39" t="n">
        <v>45982</v>
      </c>
      <c r="D7102" s="7" t="s">
        <v>327</v>
      </c>
      <c r="E7102" s="7" t="s">
        <v>157</v>
      </c>
      <c r="F7102" s="7" t="s">
        <v>228</v>
      </c>
      <c r="G7102" s="7" t="s">
        <v>502</v>
      </c>
      <c r="H7102" s="6" t="n">
        <v>1.09</v>
      </c>
      <c r="I7102" s="6" t="n">
        <v>0</v>
      </c>
      <c r="J7102" s="40" t="n">
        <f aca="false">H7102-I7102</f>
        <v>1.09</v>
      </c>
      <c r="K7102" s="41" t="n">
        <v>165</v>
      </c>
      <c r="L7102" s="42" t="n">
        <f aca="false">J7102*K7102</f>
        <v>179.85</v>
      </c>
      <c r="M7102" s="43" t="n">
        <f aca="false">H7102*51.07*(1+'Chart of Accounts'!$E$67)</f>
        <v>63.7379135</v>
      </c>
    </row>
    <row r="7103" customFormat="false" ht="15" hidden="false" customHeight="false" outlineLevel="0" collapsed="false">
      <c r="B7103" s="7" t="s">
        <v>7600</v>
      </c>
      <c r="C7103" s="39" t="n">
        <v>45982</v>
      </c>
      <c r="D7103" s="7" t="s">
        <v>329</v>
      </c>
      <c r="E7103" s="7" t="s">
        <v>156</v>
      </c>
      <c r="F7103" s="7" t="s">
        <v>220</v>
      </c>
      <c r="G7103" s="7" t="s">
        <v>505</v>
      </c>
      <c r="H7103" s="6" t="n">
        <v>4.03</v>
      </c>
      <c r="I7103" s="6" t="n">
        <v>0</v>
      </c>
      <c r="J7103" s="40" t="n">
        <f aca="false">H7103-I7103</f>
        <v>4.03</v>
      </c>
      <c r="K7103" s="41" t="n">
        <v>34</v>
      </c>
      <c r="L7103" s="42" t="n">
        <f aca="false">J7103*K7103</f>
        <v>137.02</v>
      </c>
      <c r="M7103" s="43" t="n">
        <f aca="false">H7103*16.43*(1+'Chart of Accounts'!$E$67)</f>
        <v>75.8137705</v>
      </c>
    </row>
    <row r="7104" customFormat="false" ht="15" hidden="false" customHeight="false" outlineLevel="0" collapsed="false">
      <c r="B7104" s="7" t="s">
        <v>7601</v>
      </c>
      <c r="C7104" s="39" t="n">
        <v>45982</v>
      </c>
      <c r="D7104" s="7" t="s">
        <v>333</v>
      </c>
      <c r="E7104" s="7" t="s">
        <v>154</v>
      </c>
      <c r="F7104" s="7" t="s">
        <v>236</v>
      </c>
      <c r="G7104" s="7" t="s">
        <v>505</v>
      </c>
      <c r="H7104" s="6" t="n">
        <v>3.32</v>
      </c>
      <c r="I7104" s="6" t="n">
        <v>0</v>
      </c>
      <c r="J7104" s="40" t="n">
        <f aca="false">H7104-I7104</f>
        <v>3.32</v>
      </c>
      <c r="K7104" s="41" t="n">
        <v>26.5</v>
      </c>
      <c r="L7104" s="42" t="n">
        <f aca="false">J7104*K7104</f>
        <v>87.98</v>
      </c>
      <c r="M7104" s="43" t="n">
        <f aca="false">H7104*15.49*(1+'Chart of Accounts'!$E$67)</f>
        <v>58.883686</v>
      </c>
    </row>
    <row r="7105" customFormat="false" ht="15" hidden="false" customHeight="false" outlineLevel="0" collapsed="false">
      <c r="B7105" s="7" t="s">
        <v>7602</v>
      </c>
      <c r="C7105" s="39" t="n">
        <v>45982</v>
      </c>
      <c r="D7105" s="7" t="s">
        <v>335</v>
      </c>
      <c r="E7105" s="7" t="s">
        <v>154</v>
      </c>
      <c r="F7105" s="7" t="s">
        <v>177</v>
      </c>
      <c r="G7105" s="7" t="s">
        <v>505</v>
      </c>
      <c r="H7105" s="6" t="n">
        <v>4.23</v>
      </c>
      <c r="I7105" s="6" t="n">
        <v>0</v>
      </c>
      <c r="J7105" s="40" t="n">
        <f aca="false">H7105-I7105</f>
        <v>4.23</v>
      </c>
      <c r="K7105" s="41" t="n">
        <v>26.5</v>
      </c>
      <c r="L7105" s="42" t="n">
        <f aca="false">J7105*K7105</f>
        <v>112.095</v>
      </c>
      <c r="M7105" s="43" t="n">
        <f aca="false">H7105*14.56*(1+'Chart of Accounts'!$E$67)</f>
        <v>70.519176</v>
      </c>
    </row>
    <row r="7106" customFormat="false" ht="15" hidden="false" customHeight="false" outlineLevel="0" collapsed="false">
      <c r="B7106" s="7" t="s">
        <v>7603</v>
      </c>
      <c r="C7106" s="39" t="n">
        <v>45982</v>
      </c>
      <c r="D7106" s="7" t="s">
        <v>339</v>
      </c>
      <c r="E7106" s="7" t="s">
        <v>154</v>
      </c>
      <c r="F7106" s="7" t="s">
        <v>242</v>
      </c>
      <c r="G7106" s="7" t="s">
        <v>505</v>
      </c>
      <c r="H7106" s="6" t="n">
        <v>3.52</v>
      </c>
      <c r="I7106" s="6" t="n">
        <v>0</v>
      </c>
      <c r="J7106" s="40" t="n">
        <f aca="false">H7106-I7106</f>
        <v>3.52</v>
      </c>
      <c r="K7106" s="41" t="n">
        <v>26.5</v>
      </c>
      <c r="L7106" s="42" t="n">
        <f aca="false">J7106*K7106</f>
        <v>93.28</v>
      </c>
      <c r="M7106" s="43" t="n">
        <f aca="false">H7106*17.99*(1+'Chart of Accounts'!$E$67)</f>
        <v>72.506896</v>
      </c>
    </row>
    <row r="7107" customFormat="false" ht="15" hidden="false" customHeight="false" outlineLevel="0" collapsed="false">
      <c r="B7107" s="7" t="s">
        <v>7604</v>
      </c>
      <c r="C7107" s="39" t="n">
        <v>45982</v>
      </c>
      <c r="D7107" s="7" t="s">
        <v>347</v>
      </c>
      <c r="E7107" s="7" t="s">
        <v>154</v>
      </c>
      <c r="F7107" s="7" t="s">
        <v>238</v>
      </c>
      <c r="G7107" s="7" t="s">
        <v>505</v>
      </c>
      <c r="H7107" s="6" t="n">
        <v>5.06</v>
      </c>
      <c r="I7107" s="6" t="n">
        <v>0</v>
      </c>
      <c r="J7107" s="40" t="n">
        <f aca="false">H7107-I7107</f>
        <v>5.06</v>
      </c>
      <c r="K7107" s="41" t="n">
        <v>26.5</v>
      </c>
      <c r="L7107" s="42" t="n">
        <f aca="false">J7107*K7107</f>
        <v>134.09</v>
      </c>
      <c r="M7107" s="43" t="n">
        <f aca="false">H7107*15.85*(1+'Chart of Accounts'!$E$67)</f>
        <v>91.830145</v>
      </c>
    </row>
    <row r="7108" customFormat="false" ht="15" hidden="false" customHeight="false" outlineLevel="0" collapsed="false">
      <c r="B7108" s="7" t="s">
        <v>7605</v>
      </c>
      <c r="C7108" s="39" t="n">
        <v>45982</v>
      </c>
      <c r="D7108" s="7" t="s">
        <v>349</v>
      </c>
      <c r="E7108" s="7" t="s">
        <v>154</v>
      </c>
      <c r="F7108" s="7" t="s">
        <v>244</v>
      </c>
      <c r="G7108" s="7" t="s">
        <v>505</v>
      </c>
      <c r="H7108" s="6" t="n">
        <v>3.84</v>
      </c>
      <c r="I7108" s="6" t="n">
        <v>0</v>
      </c>
      <c r="J7108" s="40" t="n">
        <f aca="false">H7108-I7108</f>
        <v>3.84</v>
      </c>
      <c r="K7108" s="41" t="n">
        <v>26.5</v>
      </c>
      <c r="L7108" s="42" t="n">
        <f aca="false">J7108*K7108</f>
        <v>101.76</v>
      </c>
      <c r="M7108" s="43" t="n">
        <f aca="false">H7108*16.39*(1+'Chart of Accounts'!$E$67)</f>
        <v>72.063552</v>
      </c>
    </row>
    <row r="7109" customFormat="false" ht="15" hidden="false" customHeight="false" outlineLevel="0" collapsed="false">
      <c r="B7109" s="7" t="s">
        <v>7606</v>
      </c>
      <c r="C7109" s="39" t="n">
        <v>45982</v>
      </c>
      <c r="D7109" s="7" t="s">
        <v>353</v>
      </c>
      <c r="E7109" s="7" t="s">
        <v>154</v>
      </c>
      <c r="F7109" s="7" t="s">
        <v>254</v>
      </c>
      <c r="G7109" s="7" t="s">
        <v>505</v>
      </c>
      <c r="H7109" s="6" t="n">
        <v>3.11</v>
      </c>
      <c r="I7109" s="6" t="n">
        <v>0</v>
      </c>
      <c r="J7109" s="40" t="n">
        <f aca="false">H7109-I7109</f>
        <v>3.11</v>
      </c>
      <c r="K7109" s="41" t="n">
        <v>26.5</v>
      </c>
      <c r="L7109" s="42" t="n">
        <f aca="false">J7109*K7109</f>
        <v>82.415</v>
      </c>
      <c r="M7109" s="43" t="n">
        <f aca="false">H7109*17.1*(1+'Chart of Accounts'!$E$67)</f>
        <v>60.892245</v>
      </c>
    </row>
    <row r="7110" customFormat="false" ht="15" hidden="false" customHeight="false" outlineLevel="0" collapsed="false">
      <c r="B7110" s="7" t="s">
        <v>7607</v>
      </c>
      <c r="C7110" s="39" t="n">
        <v>45982</v>
      </c>
      <c r="D7110" s="7" t="s">
        <v>355</v>
      </c>
      <c r="E7110" s="7" t="s">
        <v>154</v>
      </c>
      <c r="F7110" s="7" t="s">
        <v>201</v>
      </c>
      <c r="G7110" s="7" t="s">
        <v>505</v>
      </c>
      <c r="H7110" s="6" t="n">
        <v>3.44</v>
      </c>
      <c r="I7110" s="6" t="n">
        <v>0.103</v>
      </c>
      <c r="J7110" s="40" t="n">
        <f aca="false">H7110-I7110</f>
        <v>3.337</v>
      </c>
      <c r="K7110" s="41" t="n">
        <v>26.5</v>
      </c>
      <c r="L7110" s="42" t="n">
        <f aca="false">J7110*K7110</f>
        <v>88.4305</v>
      </c>
      <c r="M7110" s="43" t="n">
        <f aca="false">H7110*15.19*(1+'Chart of Accounts'!$E$67)</f>
        <v>59.830372</v>
      </c>
    </row>
    <row r="7111" customFormat="false" ht="15" hidden="false" customHeight="false" outlineLevel="0" collapsed="false">
      <c r="B7111" s="7" t="s">
        <v>7608</v>
      </c>
      <c r="C7111" s="39" t="n">
        <v>45982</v>
      </c>
      <c r="D7111" s="7" t="s">
        <v>357</v>
      </c>
      <c r="E7111" s="7" t="s">
        <v>154</v>
      </c>
      <c r="F7111" s="7" t="s">
        <v>256</v>
      </c>
      <c r="G7111" s="7" t="s">
        <v>505</v>
      </c>
      <c r="H7111" s="6" t="n">
        <v>3.56</v>
      </c>
      <c r="I7111" s="6" t="n">
        <v>0</v>
      </c>
      <c r="J7111" s="40" t="n">
        <f aca="false">H7111-I7111</f>
        <v>3.56</v>
      </c>
      <c r="K7111" s="41" t="n">
        <v>26.5</v>
      </c>
      <c r="L7111" s="42" t="n">
        <f aca="false">J7111*K7111</f>
        <v>94.34</v>
      </c>
      <c r="M7111" s="43" t="n">
        <f aca="false">H7111*15.63*(1+'Chart of Accounts'!$E$67)</f>
        <v>63.711006</v>
      </c>
    </row>
    <row r="7112" customFormat="false" ht="15" hidden="false" customHeight="false" outlineLevel="0" collapsed="false">
      <c r="B7112" s="7" t="s">
        <v>7609</v>
      </c>
      <c r="C7112" s="39" t="n">
        <v>45982</v>
      </c>
      <c r="D7112" s="7" t="s">
        <v>359</v>
      </c>
      <c r="E7112" s="7" t="s">
        <v>156</v>
      </c>
      <c r="F7112" s="7" t="s">
        <v>194</v>
      </c>
      <c r="G7112" s="7" t="s">
        <v>505</v>
      </c>
      <c r="H7112" s="6" t="n">
        <v>3.71</v>
      </c>
      <c r="I7112" s="6" t="n">
        <v>0</v>
      </c>
      <c r="J7112" s="40" t="n">
        <f aca="false">H7112-I7112</f>
        <v>3.71</v>
      </c>
      <c r="K7112" s="41" t="n">
        <v>34</v>
      </c>
      <c r="L7112" s="42" t="n">
        <f aca="false">J7112*K7112</f>
        <v>126.14</v>
      </c>
      <c r="M7112" s="43" t="n">
        <f aca="false">H7112*16*(1+'Chart of Accounts'!$E$67)</f>
        <v>67.9672</v>
      </c>
    </row>
    <row r="7113" customFormat="false" ht="15" hidden="false" customHeight="false" outlineLevel="0" collapsed="false">
      <c r="B7113" s="7" t="s">
        <v>7610</v>
      </c>
      <c r="C7113" s="39" t="n">
        <v>45982</v>
      </c>
      <c r="D7113" s="7" t="s">
        <v>361</v>
      </c>
      <c r="E7113" s="7" t="s">
        <v>157</v>
      </c>
      <c r="F7113" s="7" t="s">
        <v>209</v>
      </c>
      <c r="G7113" s="7" t="s">
        <v>502</v>
      </c>
      <c r="H7113" s="6" t="n">
        <v>1.02</v>
      </c>
      <c r="I7113" s="6" t="n">
        <v>0</v>
      </c>
      <c r="J7113" s="40" t="n">
        <f aca="false">H7113-I7113</f>
        <v>1.02</v>
      </c>
      <c r="K7113" s="41" t="n">
        <v>165</v>
      </c>
      <c r="L7113" s="42" t="n">
        <f aca="false">J7113*K7113</f>
        <v>168.3</v>
      </c>
      <c r="M7113" s="43" t="n">
        <f aca="false">H7113*73.58*(1+'Chart of Accounts'!$E$67)</f>
        <v>85.934082</v>
      </c>
    </row>
    <row r="7114" customFormat="false" ht="15" hidden="false" customHeight="false" outlineLevel="0" collapsed="false">
      <c r="B7114" s="7" t="s">
        <v>7611</v>
      </c>
      <c r="C7114" s="39" t="n">
        <v>45982</v>
      </c>
      <c r="D7114" s="7" t="s">
        <v>365</v>
      </c>
      <c r="E7114" s="7" t="s">
        <v>154</v>
      </c>
      <c r="F7114" s="7" t="s">
        <v>194</v>
      </c>
      <c r="G7114" s="7" t="s">
        <v>505</v>
      </c>
      <c r="H7114" s="6" t="n">
        <v>4.01</v>
      </c>
      <c r="I7114" s="6" t="n">
        <v>0</v>
      </c>
      <c r="J7114" s="40" t="n">
        <f aca="false">H7114-I7114</f>
        <v>4.01</v>
      </c>
      <c r="K7114" s="41" t="n">
        <v>26.5</v>
      </c>
      <c r="L7114" s="42" t="n">
        <f aca="false">J7114*K7114</f>
        <v>106.265</v>
      </c>
      <c r="M7114" s="43" t="n">
        <f aca="false">H7114*16*(1+'Chart of Accounts'!$E$67)</f>
        <v>73.4632</v>
      </c>
    </row>
    <row r="7115" customFormat="false" ht="15" hidden="false" customHeight="false" outlineLevel="0" collapsed="false">
      <c r="B7115" s="7" t="s">
        <v>7612</v>
      </c>
      <c r="C7115" s="39" t="n">
        <v>45982</v>
      </c>
      <c r="D7115" s="7" t="s">
        <v>369</v>
      </c>
      <c r="E7115" s="7" t="s">
        <v>159</v>
      </c>
      <c r="F7115" s="7" t="s">
        <v>258</v>
      </c>
      <c r="G7115" s="7" t="s">
        <v>502</v>
      </c>
      <c r="H7115" s="6" t="n">
        <v>0.99</v>
      </c>
      <c r="I7115" s="6" t="n">
        <v>0</v>
      </c>
      <c r="J7115" s="40" t="n">
        <f aca="false">H7115-I7115</f>
        <v>0.99</v>
      </c>
      <c r="K7115" s="41" t="n">
        <v>135</v>
      </c>
      <c r="L7115" s="42" t="n">
        <f aca="false">J7115*K7115</f>
        <v>133.65</v>
      </c>
      <c r="M7115" s="43" t="n">
        <f aca="false">H7115*61.61*(1+'Chart of Accounts'!$E$67)</f>
        <v>69.8380155</v>
      </c>
    </row>
    <row r="7116" customFormat="false" ht="15" hidden="false" customHeight="false" outlineLevel="0" collapsed="false">
      <c r="B7116" s="7" t="s">
        <v>7613</v>
      </c>
      <c r="C7116" s="39" t="n">
        <v>45982</v>
      </c>
      <c r="D7116" s="7" t="s">
        <v>371</v>
      </c>
      <c r="E7116" s="7" t="s">
        <v>154</v>
      </c>
      <c r="F7116" s="7" t="s">
        <v>232</v>
      </c>
      <c r="G7116" s="7" t="s">
        <v>505</v>
      </c>
      <c r="H7116" s="6" t="n">
        <v>4.94</v>
      </c>
      <c r="I7116" s="6" t="n">
        <v>0</v>
      </c>
      <c r="J7116" s="40" t="n">
        <f aca="false">H7116-I7116</f>
        <v>4.94</v>
      </c>
      <c r="K7116" s="41" t="n">
        <v>26.5</v>
      </c>
      <c r="L7116" s="42" t="n">
        <f aca="false">J7116*K7116</f>
        <v>130.91</v>
      </c>
      <c r="M7116" s="43" t="n">
        <f aca="false">H7116*16.17*(1+'Chart of Accounts'!$E$67)</f>
        <v>91.462371</v>
      </c>
    </row>
    <row r="7117" customFormat="false" ht="15" hidden="false" customHeight="false" outlineLevel="0" collapsed="false">
      <c r="B7117" s="7" t="s">
        <v>7614</v>
      </c>
      <c r="C7117" s="39" t="n">
        <v>45982</v>
      </c>
      <c r="D7117" s="7" t="s">
        <v>379</v>
      </c>
      <c r="E7117" s="7" t="s">
        <v>156</v>
      </c>
      <c r="F7117" s="7" t="s">
        <v>224</v>
      </c>
      <c r="G7117" s="7" t="s">
        <v>505</v>
      </c>
      <c r="H7117" s="6" t="n">
        <v>4.67</v>
      </c>
      <c r="I7117" s="6" t="n">
        <v>0</v>
      </c>
      <c r="J7117" s="40" t="n">
        <f aca="false">H7117-I7117</f>
        <v>4.67</v>
      </c>
      <c r="K7117" s="41" t="n">
        <v>34</v>
      </c>
      <c r="L7117" s="42" t="n">
        <f aca="false">J7117*K7117</f>
        <v>158.78</v>
      </c>
      <c r="M7117" s="43" t="n">
        <f aca="false">H7117*14.93*(1+'Chart of Accounts'!$E$67)</f>
        <v>79.8329495</v>
      </c>
    </row>
    <row r="7118" customFormat="false" ht="15" hidden="false" customHeight="false" outlineLevel="0" collapsed="false">
      <c r="B7118" s="7" t="s">
        <v>7615</v>
      </c>
      <c r="C7118" s="39" t="n">
        <v>45982</v>
      </c>
      <c r="D7118" s="7" t="s">
        <v>381</v>
      </c>
      <c r="E7118" s="7" t="s">
        <v>157</v>
      </c>
      <c r="F7118" s="7" t="s">
        <v>234</v>
      </c>
      <c r="G7118" s="7" t="s">
        <v>502</v>
      </c>
      <c r="H7118" s="6" t="n">
        <v>1.1</v>
      </c>
      <c r="I7118" s="6" t="n">
        <v>0</v>
      </c>
      <c r="J7118" s="40" t="n">
        <f aca="false">H7118-I7118</f>
        <v>1.1</v>
      </c>
      <c r="K7118" s="41" t="n">
        <v>165</v>
      </c>
      <c r="L7118" s="42" t="n">
        <f aca="false">J7118*K7118</f>
        <v>181.5</v>
      </c>
      <c r="M7118" s="43" t="n">
        <f aca="false">H7118*89.53*(1+'Chart of Accounts'!$E$67)</f>
        <v>112.763035</v>
      </c>
    </row>
    <row r="7119" customFormat="false" ht="15" hidden="false" customHeight="false" outlineLevel="0" collapsed="false">
      <c r="B7119" s="7" t="s">
        <v>7616</v>
      </c>
      <c r="C7119" s="39" t="n">
        <v>45982</v>
      </c>
      <c r="D7119" s="7" t="s">
        <v>383</v>
      </c>
      <c r="E7119" s="7" t="s">
        <v>157</v>
      </c>
      <c r="F7119" s="7" t="s">
        <v>230</v>
      </c>
      <c r="G7119" s="7" t="s">
        <v>502</v>
      </c>
      <c r="H7119" s="6" t="n">
        <v>0.96</v>
      </c>
      <c r="I7119" s="6" t="n">
        <v>0</v>
      </c>
      <c r="J7119" s="40" t="n">
        <f aca="false">H7119-I7119</f>
        <v>0.96</v>
      </c>
      <c r="K7119" s="41" t="n">
        <v>165</v>
      </c>
      <c r="L7119" s="42" t="n">
        <f aca="false">J7119*K7119</f>
        <v>158.4</v>
      </c>
      <c r="M7119" s="43" t="n">
        <f aca="false">H7119*48.78*(1+'Chart of Accounts'!$E$67)</f>
        <v>53.618976</v>
      </c>
    </row>
    <row r="7120" customFormat="false" ht="15" hidden="false" customHeight="false" outlineLevel="0" collapsed="false">
      <c r="B7120" s="7" t="s">
        <v>7617</v>
      </c>
      <c r="C7120" s="39" t="n">
        <v>45982</v>
      </c>
      <c r="D7120" s="7" t="s">
        <v>385</v>
      </c>
      <c r="E7120" s="7" t="s">
        <v>156</v>
      </c>
      <c r="F7120" s="7" t="s">
        <v>238</v>
      </c>
      <c r="G7120" s="7" t="s">
        <v>505</v>
      </c>
      <c r="H7120" s="6" t="n">
        <v>3.88</v>
      </c>
      <c r="I7120" s="6" t="n">
        <v>0</v>
      </c>
      <c r="J7120" s="40" t="n">
        <f aca="false">H7120-I7120</f>
        <v>3.88</v>
      </c>
      <c r="K7120" s="41" t="n">
        <v>34</v>
      </c>
      <c r="L7120" s="42" t="n">
        <f aca="false">J7120*K7120</f>
        <v>131.92</v>
      </c>
      <c r="M7120" s="43" t="n">
        <f aca="false">H7120*15.85*(1+'Chart of Accounts'!$E$67)</f>
        <v>70.41521</v>
      </c>
    </row>
    <row r="7121" customFormat="false" ht="15" hidden="false" customHeight="false" outlineLevel="0" collapsed="false">
      <c r="B7121" s="7" t="s">
        <v>7618</v>
      </c>
      <c r="C7121" s="39" t="n">
        <v>45982</v>
      </c>
      <c r="D7121" s="7" t="s">
        <v>387</v>
      </c>
      <c r="E7121" s="7" t="s">
        <v>154</v>
      </c>
      <c r="F7121" s="7" t="s">
        <v>196</v>
      </c>
      <c r="G7121" s="7" t="s">
        <v>505</v>
      </c>
      <c r="H7121" s="6" t="n">
        <v>3.79</v>
      </c>
      <c r="I7121" s="6" t="n">
        <v>0</v>
      </c>
      <c r="J7121" s="40" t="n">
        <f aca="false">H7121-I7121</f>
        <v>3.79</v>
      </c>
      <c r="K7121" s="41" t="n">
        <v>26.5</v>
      </c>
      <c r="L7121" s="42" t="n">
        <f aca="false">J7121*K7121</f>
        <v>100.435</v>
      </c>
      <c r="M7121" s="43" t="n">
        <f aca="false">H7121*15.05*(1+'Chart of Accounts'!$E$67)</f>
        <v>65.3102275</v>
      </c>
    </row>
    <row r="7122" customFormat="false" ht="15" hidden="false" customHeight="false" outlineLevel="0" collapsed="false">
      <c r="B7122" s="7" t="s">
        <v>7619</v>
      </c>
      <c r="C7122" s="39" t="n">
        <v>45982</v>
      </c>
      <c r="D7122" s="7" t="s">
        <v>389</v>
      </c>
      <c r="E7122" s="7" t="s">
        <v>154</v>
      </c>
      <c r="F7122" s="7" t="s">
        <v>246</v>
      </c>
      <c r="G7122" s="7" t="s">
        <v>505</v>
      </c>
      <c r="H7122" s="6" t="n">
        <v>3.64</v>
      </c>
      <c r="I7122" s="6" t="n">
        <v>0</v>
      </c>
      <c r="J7122" s="40" t="n">
        <f aca="false">H7122-I7122</f>
        <v>3.64</v>
      </c>
      <c r="K7122" s="41" t="n">
        <v>26.5</v>
      </c>
      <c r="L7122" s="42" t="n">
        <f aca="false">J7122*K7122</f>
        <v>96.46</v>
      </c>
      <c r="M7122" s="43" t="n">
        <f aca="false">H7122*16.48*(1+'Chart of Accounts'!$E$67)</f>
        <v>68.685344</v>
      </c>
    </row>
    <row r="7123" customFormat="false" ht="15" hidden="false" customHeight="false" outlineLevel="0" collapsed="false">
      <c r="B7123" s="7" t="s">
        <v>7620</v>
      </c>
      <c r="C7123" s="39" t="n">
        <v>45982</v>
      </c>
      <c r="D7123" s="7" t="s">
        <v>391</v>
      </c>
      <c r="E7123" s="7" t="s">
        <v>156</v>
      </c>
      <c r="F7123" s="7" t="s">
        <v>222</v>
      </c>
      <c r="G7123" s="7" t="s">
        <v>505</v>
      </c>
      <c r="H7123" s="6" t="n">
        <v>4.13</v>
      </c>
      <c r="I7123" s="6" t="n">
        <v>0</v>
      </c>
      <c r="J7123" s="40" t="n">
        <f aca="false">H7123-I7123</f>
        <v>4.13</v>
      </c>
      <c r="K7123" s="41" t="n">
        <v>34</v>
      </c>
      <c r="L7123" s="42" t="n">
        <f aca="false">J7123*K7123</f>
        <v>140.42</v>
      </c>
      <c r="M7123" s="43" t="n">
        <f aca="false">H7123*17.84*(1+'Chart of Accounts'!$E$67)</f>
        <v>84.362684</v>
      </c>
    </row>
    <row r="7124" customFormat="false" ht="15" hidden="false" customHeight="false" outlineLevel="0" collapsed="false">
      <c r="B7124" s="7" t="s">
        <v>7621</v>
      </c>
      <c r="C7124" s="39" t="n">
        <v>45982</v>
      </c>
      <c r="D7124" s="7" t="s">
        <v>395</v>
      </c>
      <c r="E7124" s="7" t="s">
        <v>156</v>
      </c>
      <c r="F7124" s="7" t="s">
        <v>242</v>
      </c>
      <c r="G7124" s="7" t="s">
        <v>505</v>
      </c>
      <c r="H7124" s="6" t="n">
        <v>3.8</v>
      </c>
      <c r="I7124" s="6" t="n">
        <v>0</v>
      </c>
      <c r="J7124" s="40" t="n">
        <f aca="false">H7124-I7124</f>
        <v>3.8</v>
      </c>
      <c r="K7124" s="41" t="n">
        <v>34</v>
      </c>
      <c r="L7124" s="42" t="n">
        <f aca="false">J7124*K7124</f>
        <v>129.2</v>
      </c>
      <c r="M7124" s="43" t="n">
        <f aca="false">H7124*17.99*(1+'Chart of Accounts'!$E$67)</f>
        <v>78.27449</v>
      </c>
    </row>
    <row r="7125" customFormat="false" ht="15" hidden="false" customHeight="false" outlineLevel="0" collapsed="false">
      <c r="B7125" s="7" t="s">
        <v>7622</v>
      </c>
      <c r="C7125" s="39" t="n">
        <v>45982</v>
      </c>
      <c r="D7125" s="7" t="s">
        <v>397</v>
      </c>
      <c r="E7125" s="7" t="s">
        <v>159</v>
      </c>
      <c r="F7125" s="7" t="s">
        <v>203</v>
      </c>
      <c r="G7125" s="7" t="s">
        <v>502</v>
      </c>
      <c r="H7125" s="6" t="n">
        <v>0.96</v>
      </c>
      <c r="I7125" s="6" t="n">
        <v>0</v>
      </c>
      <c r="J7125" s="40" t="n">
        <f aca="false">H7125-I7125</f>
        <v>0.96</v>
      </c>
      <c r="K7125" s="41" t="n">
        <v>135</v>
      </c>
      <c r="L7125" s="42" t="n">
        <f aca="false">J7125*K7125</f>
        <v>129.6</v>
      </c>
      <c r="M7125" s="43" t="n">
        <f aca="false">H7125*49.43*(1+'Chart of Accounts'!$E$67)</f>
        <v>54.333456</v>
      </c>
    </row>
    <row r="7126" customFormat="false" ht="15" hidden="false" customHeight="false" outlineLevel="0" collapsed="false">
      <c r="B7126" s="7" t="s">
        <v>7623</v>
      </c>
      <c r="C7126" s="39" t="n">
        <v>45982</v>
      </c>
      <c r="D7126" s="7" t="s">
        <v>399</v>
      </c>
      <c r="E7126" s="7" t="s">
        <v>154</v>
      </c>
      <c r="F7126" s="7" t="s">
        <v>201</v>
      </c>
      <c r="G7126" s="7" t="s">
        <v>505</v>
      </c>
      <c r="H7126" s="6" t="n">
        <v>3.21</v>
      </c>
      <c r="I7126" s="6" t="n">
        <v>0</v>
      </c>
      <c r="J7126" s="40" t="n">
        <f aca="false">H7126-I7126</f>
        <v>3.21</v>
      </c>
      <c r="K7126" s="41" t="n">
        <v>26.5</v>
      </c>
      <c r="L7126" s="42" t="n">
        <f aca="false">J7126*K7126</f>
        <v>85.065</v>
      </c>
      <c r="M7126" s="43" t="n">
        <f aca="false">H7126*15.19*(1+'Chart of Accounts'!$E$67)</f>
        <v>55.8300855</v>
      </c>
    </row>
    <row r="7127" customFormat="false" ht="15" hidden="false" customHeight="false" outlineLevel="0" collapsed="false">
      <c r="B7127" s="7" t="s">
        <v>7624</v>
      </c>
      <c r="C7127" s="39" t="n">
        <v>45982</v>
      </c>
      <c r="D7127" s="7" t="s">
        <v>401</v>
      </c>
      <c r="E7127" s="7" t="s">
        <v>156</v>
      </c>
      <c r="F7127" s="7" t="s">
        <v>254</v>
      </c>
      <c r="G7127" s="7" t="s">
        <v>505</v>
      </c>
      <c r="H7127" s="6" t="n">
        <v>3.83</v>
      </c>
      <c r="I7127" s="6" t="n">
        <v>0</v>
      </c>
      <c r="J7127" s="40" t="n">
        <f aca="false">H7127-I7127</f>
        <v>3.83</v>
      </c>
      <c r="K7127" s="41" t="n">
        <v>34</v>
      </c>
      <c r="L7127" s="42" t="n">
        <f aca="false">J7127*K7127</f>
        <v>130.22</v>
      </c>
      <c r="M7127" s="43" t="n">
        <f aca="false">H7127*17.1*(1+'Chart of Accounts'!$E$67)</f>
        <v>74.989485</v>
      </c>
    </row>
    <row r="7128" customFormat="false" ht="15" hidden="false" customHeight="false" outlineLevel="0" collapsed="false">
      <c r="B7128" s="7" t="s">
        <v>7625</v>
      </c>
      <c r="C7128" s="39" t="n">
        <v>45982</v>
      </c>
      <c r="D7128" s="7" t="s">
        <v>403</v>
      </c>
      <c r="E7128" s="7" t="s">
        <v>156</v>
      </c>
      <c r="F7128" s="7" t="s">
        <v>184</v>
      </c>
      <c r="G7128" s="7" t="s">
        <v>505</v>
      </c>
      <c r="H7128" s="6" t="n">
        <v>4.17</v>
      </c>
      <c r="I7128" s="6" t="n">
        <v>0</v>
      </c>
      <c r="J7128" s="40" t="n">
        <f aca="false">H7128-I7128</f>
        <v>4.17</v>
      </c>
      <c r="K7128" s="41" t="n">
        <v>34</v>
      </c>
      <c r="L7128" s="42" t="n">
        <f aca="false">J7128*K7128</f>
        <v>141.78</v>
      </c>
      <c r="M7128" s="43" t="n">
        <f aca="false">H7128*17.34*(1+'Chart of Accounts'!$E$67)</f>
        <v>82.792431</v>
      </c>
    </row>
    <row r="7129" customFormat="false" ht="15" hidden="false" customHeight="false" outlineLevel="0" collapsed="false">
      <c r="B7129" s="7" t="s">
        <v>7626</v>
      </c>
      <c r="C7129" s="39" t="n">
        <v>45982</v>
      </c>
      <c r="D7129" s="7" t="s">
        <v>407</v>
      </c>
      <c r="E7129" s="7" t="s">
        <v>159</v>
      </c>
      <c r="F7129" s="7" t="s">
        <v>260</v>
      </c>
      <c r="G7129" s="7" t="s">
        <v>502</v>
      </c>
      <c r="H7129" s="6" t="n">
        <v>1.02</v>
      </c>
      <c r="I7129" s="6" t="n">
        <v>0</v>
      </c>
      <c r="J7129" s="40" t="n">
        <f aca="false">H7129-I7129</f>
        <v>1.02</v>
      </c>
      <c r="K7129" s="41" t="n">
        <v>135</v>
      </c>
      <c r="L7129" s="42" t="n">
        <f aca="false">J7129*K7129</f>
        <v>137.7</v>
      </c>
      <c r="M7129" s="43" t="n">
        <f aca="false">H7129*79.8*(1+'Chart of Accounts'!$E$67)</f>
        <v>93.19842</v>
      </c>
    </row>
    <row r="7130" customFormat="false" ht="15" hidden="false" customHeight="false" outlineLevel="0" collapsed="false">
      <c r="B7130" s="7" t="s">
        <v>7627</v>
      </c>
      <c r="C7130" s="39" t="n">
        <v>45982</v>
      </c>
      <c r="D7130" s="7" t="s">
        <v>409</v>
      </c>
      <c r="E7130" s="7" t="s">
        <v>154</v>
      </c>
      <c r="F7130" s="7" t="s">
        <v>214</v>
      </c>
      <c r="G7130" s="7" t="s">
        <v>505</v>
      </c>
      <c r="H7130" s="6" t="n">
        <v>3.24</v>
      </c>
      <c r="I7130" s="6" t="n">
        <v>0</v>
      </c>
      <c r="J7130" s="40" t="n">
        <f aca="false">H7130-I7130</f>
        <v>3.24</v>
      </c>
      <c r="K7130" s="41" t="n">
        <v>26.5</v>
      </c>
      <c r="L7130" s="42" t="n">
        <f aca="false">J7130*K7130</f>
        <v>85.86</v>
      </c>
      <c r="M7130" s="43" t="n">
        <f aca="false">H7130*15.67*(1+'Chart of Accounts'!$E$67)</f>
        <v>58.132566</v>
      </c>
    </row>
    <row r="7131" customFormat="false" ht="15" hidden="false" customHeight="false" outlineLevel="0" collapsed="false">
      <c r="B7131" s="7" t="s">
        <v>7628</v>
      </c>
      <c r="C7131" s="39" t="n">
        <v>45982</v>
      </c>
      <c r="D7131" s="7" t="s">
        <v>411</v>
      </c>
      <c r="E7131" s="7" t="s">
        <v>154</v>
      </c>
      <c r="F7131" s="7" t="s">
        <v>177</v>
      </c>
      <c r="G7131" s="7" t="s">
        <v>505</v>
      </c>
      <c r="H7131" s="6" t="n">
        <v>4.73</v>
      </c>
      <c r="I7131" s="6" t="n">
        <v>0</v>
      </c>
      <c r="J7131" s="40" t="n">
        <f aca="false">H7131-I7131</f>
        <v>4.73</v>
      </c>
      <c r="K7131" s="41" t="n">
        <v>26.5</v>
      </c>
      <c r="L7131" s="42" t="n">
        <f aca="false">J7131*K7131</f>
        <v>125.345</v>
      </c>
      <c r="M7131" s="43" t="n">
        <f aca="false">H7131*14.56*(1+'Chart of Accounts'!$E$67)</f>
        <v>78.854776</v>
      </c>
    </row>
    <row r="7132" customFormat="false" ht="15" hidden="false" customHeight="false" outlineLevel="0" collapsed="false">
      <c r="B7132" s="7" t="s">
        <v>7629</v>
      </c>
      <c r="C7132" s="39" t="n">
        <v>45983</v>
      </c>
      <c r="D7132" s="7" t="s">
        <v>288</v>
      </c>
      <c r="E7132" s="7" t="s">
        <v>156</v>
      </c>
      <c r="F7132" s="7" t="s">
        <v>250</v>
      </c>
      <c r="G7132" s="7" t="s">
        <v>505</v>
      </c>
      <c r="H7132" s="6" t="n">
        <v>3.65</v>
      </c>
      <c r="I7132" s="6" t="n">
        <v>0</v>
      </c>
      <c r="J7132" s="40" t="n">
        <f aca="false">H7132-I7132</f>
        <v>3.65</v>
      </c>
      <c r="K7132" s="41" t="n">
        <v>34</v>
      </c>
      <c r="L7132" s="42" t="n">
        <f aca="false">J7132*K7132</f>
        <v>124.1</v>
      </c>
      <c r="M7132" s="43" t="n">
        <f aca="false">H7132*16.88*(1+'Chart of Accounts'!$E$67)</f>
        <v>70.54574</v>
      </c>
    </row>
    <row r="7133" customFormat="false" ht="15" hidden="false" customHeight="false" outlineLevel="0" collapsed="false">
      <c r="B7133" s="7" t="s">
        <v>7630</v>
      </c>
      <c r="C7133" s="39" t="n">
        <v>45983</v>
      </c>
      <c r="D7133" s="7" t="s">
        <v>321</v>
      </c>
      <c r="E7133" s="7" t="s">
        <v>154</v>
      </c>
      <c r="F7133" s="7" t="s">
        <v>218</v>
      </c>
      <c r="G7133" s="7" t="s">
        <v>505</v>
      </c>
      <c r="H7133" s="6" t="n">
        <v>4.16</v>
      </c>
      <c r="I7133" s="6" t="n">
        <v>0</v>
      </c>
      <c r="J7133" s="40" t="n">
        <f aca="false">H7133-I7133</f>
        <v>4.16</v>
      </c>
      <c r="K7133" s="41" t="n">
        <v>26.5</v>
      </c>
      <c r="L7133" s="42" t="n">
        <f aca="false">J7133*K7133</f>
        <v>110.24</v>
      </c>
      <c r="M7133" s="43" t="n">
        <f aca="false">H7133*16.19*(1+'Chart of Accounts'!$E$67)</f>
        <v>77.116208</v>
      </c>
    </row>
    <row r="7134" customFormat="false" ht="15" hidden="false" customHeight="false" outlineLevel="0" collapsed="false">
      <c r="B7134" s="7" t="s">
        <v>7631</v>
      </c>
      <c r="C7134" s="39" t="n">
        <v>45983</v>
      </c>
      <c r="D7134" s="7" t="s">
        <v>359</v>
      </c>
      <c r="E7134" s="7" t="s">
        <v>156</v>
      </c>
      <c r="F7134" s="7" t="s">
        <v>214</v>
      </c>
      <c r="G7134" s="7" t="s">
        <v>505</v>
      </c>
      <c r="H7134" s="6" t="n">
        <v>4.35</v>
      </c>
      <c r="I7134" s="6" t="n">
        <v>0</v>
      </c>
      <c r="J7134" s="40" t="n">
        <f aca="false">H7134-I7134</f>
        <v>4.35</v>
      </c>
      <c r="K7134" s="41" t="n">
        <v>34</v>
      </c>
      <c r="L7134" s="42" t="n">
        <f aca="false">J7134*K7134</f>
        <v>147.9</v>
      </c>
      <c r="M7134" s="43" t="n">
        <f aca="false">H7134*15.67*(1+'Chart of Accounts'!$E$67)</f>
        <v>78.0483525</v>
      </c>
    </row>
    <row r="7135" customFormat="false" ht="15" hidden="false" customHeight="false" outlineLevel="0" collapsed="false">
      <c r="B7135" s="7" t="s">
        <v>7632</v>
      </c>
      <c r="C7135" s="39" t="n">
        <v>45983</v>
      </c>
      <c r="D7135" s="7" t="s">
        <v>387</v>
      </c>
      <c r="E7135" s="7" t="s">
        <v>154</v>
      </c>
      <c r="F7135" s="7" t="s">
        <v>196</v>
      </c>
      <c r="G7135" s="7" t="s">
        <v>505</v>
      </c>
      <c r="H7135" s="6" t="n">
        <v>4.22</v>
      </c>
      <c r="I7135" s="6" t="n">
        <v>0.127</v>
      </c>
      <c r="J7135" s="40" t="n">
        <f aca="false">H7135-I7135</f>
        <v>4.093</v>
      </c>
      <c r="K7135" s="41" t="n">
        <v>26.5</v>
      </c>
      <c r="L7135" s="42" t="n">
        <f aca="false">J7135*K7135</f>
        <v>108.4645</v>
      </c>
      <c r="M7135" s="43" t="n">
        <f aca="false">H7135*15.05*(1+'Chart of Accounts'!$E$67)</f>
        <v>72.720095</v>
      </c>
    </row>
    <row r="7136" customFormat="false" ht="15" hidden="false" customHeight="false" outlineLevel="0" collapsed="false">
      <c r="B7136" s="7" t="s">
        <v>7633</v>
      </c>
      <c r="C7136" s="39" t="n">
        <v>45983</v>
      </c>
      <c r="D7136" s="7" t="s">
        <v>391</v>
      </c>
      <c r="E7136" s="7" t="s">
        <v>156</v>
      </c>
      <c r="F7136" s="7" t="s">
        <v>222</v>
      </c>
      <c r="G7136" s="7" t="s">
        <v>505</v>
      </c>
      <c r="H7136" s="6" t="n">
        <v>4.39</v>
      </c>
      <c r="I7136" s="6" t="n">
        <v>0</v>
      </c>
      <c r="J7136" s="40" t="n">
        <f aca="false">H7136-I7136</f>
        <v>4.39</v>
      </c>
      <c r="K7136" s="41" t="n">
        <v>34</v>
      </c>
      <c r="L7136" s="42" t="n">
        <f aca="false">J7136*K7136</f>
        <v>149.26</v>
      </c>
      <c r="M7136" s="43" t="n">
        <f aca="false">H7136*17.84*(1+'Chart of Accounts'!$E$67)</f>
        <v>89.673652</v>
      </c>
    </row>
    <row r="7137" customFormat="false" ht="15" hidden="false" customHeight="false" outlineLevel="0" collapsed="false">
      <c r="B7137" s="7" t="s">
        <v>7634</v>
      </c>
      <c r="C7137" s="39" t="n">
        <v>45983</v>
      </c>
      <c r="D7137" s="7" t="s">
        <v>395</v>
      </c>
      <c r="E7137" s="7" t="s">
        <v>156</v>
      </c>
      <c r="F7137" s="7" t="s">
        <v>242</v>
      </c>
      <c r="G7137" s="7" t="s">
        <v>505</v>
      </c>
      <c r="H7137" s="6" t="n">
        <v>3.96</v>
      </c>
      <c r="I7137" s="6" t="n">
        <v>0</v>
      </c>
      <c r="J7137" s="40" t="n">
        <f aca="false">H7137-I7137</f>
        <v>3.96</v>
      </c>
      <c r="K7137" s="41" t="n">
        <v>34</v>
      </c>
      <c r="L7137" s="42" t="n">
        <f aca="false">J7137*K7137</f>
        <v>134.64</v>
      </c>
      <c r="M7137" s="43" t="n">
        <f aca="false">H7137*17.99*(1+'Chart of Accounts'!$E$67)</f>
        <v>81.570258</v>
      </c>
    </row>
    <row r="7138" customFormat="false" ht="15" hidden="false" customHeight="false" outlineLevel="0" collapsed="false">
      <c r="B7138" s="7" t="s">
        <v>7635</v>
      </c>
      <c r="C7138" s="39" t="n">
        <v>45983</v>
      </c>
      <c r="D7138" s="7" t="s">
        <v>401</v>
      </c>
      <c r="E7138" s="7" t="s">
        <v>156</v>
      </c>
      <c r="F7138" s="7" t="s">
        <v>254</v>
      </c>
      <c r="G7138" s="7" t="s">
        <v>505</v>
      </c>
      <c r="H7138" s="6" t="n">
        <v>4.12</v>
      </c>
      <c r="I7138" s="6" t="n">
        <v>0</v>
      </c>
      <c r="J7138" s="40" t="n">
        <f aca="false">H7138-I7138</f>
        <v>4.12</v>
      </c>
      <c r="K7138" s="41" t="n">
        <v>34</v>
      </c>
      <c r="L7138" s="42" t="n">
        <f aca="false">J7138*K7138</f>
        <v>140.08</v>
      </c>
      <c r="M7138" s="43" t="n">
        <f aca="false">H7138*17.1*(1+'Chart of Accounts'!$E$67)</f>
        <v>80.66754</v>
      </c>
    </row>
    <row r="7139" customFormat="false" ht="15" hidden="false" customHeight="false" outlineLevel="0" collapsed="false">
      <c r="B7139" s="7" t="s">
        <v>7636</v>
      </c>
      <c r="C7139" s="39" t="n">
        <v>45984</v>
      </c>
      <c r="D7139" s="7" t="s">
        <v>321</v>
      </c>
      <c r="E7139" s="7" t="s">
        <v>154</v>
      </c>
      <c r="F7139" s="7" t="s">
        <v>218</v>
      </c>
      <c r="G7139" s="7" t="s">
        <v>505</v>
      </c>
      <c r="H7139" s="6" t="n">
        <v>4.13</v>
      </c>
      <c r="I7139" s="6" t="n">
        <v>0</v>
      </c>
      <c r="J7139" s="40" t="n">
        <f aca="false">H7139-I7139</f>
        <v>4.13</v>
      </c>
      <c r="K7139" s="41" t="n">
        <v>26.5</v>
      </c>
      <c r="L7139" s="42" t="n">
        <f aca="false">J7139*K7139</f>
        <v>109.445</v>
      </c>
      <c r="M7139" s="43" t="n">
        <f aca="false">H7139*16.19*(1+'Chart of Accounts'!$E$67)</f>
        <v>76.5600815</v>
      </c>
    </row>
    <row r="7140" customFormat="false" ht="15" hidden="false" customHeight="false" outlineLevel="0" collapsed="false">
      <c r="B7140" s="7" t="s">
        <v>7637</v>
      </c>
      <c r="C7140" s="39" t="n">
        <v>45984</v>
      </c>
      <c r="D7140" s="7" t="s">
        <v>359</v>
      </c>
      <c r="E7140" s="7" t="s">
        <v>156</v>
      </c>
      <c r="F7140" s="7" t="s">
        <v>218</v>
      </c>
      <c r="G7140" s="7" t="s">
        <v>505</v>
      </c>
      <c r="H7140" s="6" t="n">
        <v>4.12</v>
      </c>
      <c r="I7140" s="6" t="n">
        <v>0</v>
      </c>
      <c r="J7140" s="40" t="n">
        <f aca="false">H7140-I7140</f>
        <v>4.12</v>
      </c>
      <c r="K7140" s="41" t="n">
        <v>34</v>
      </c>
      <c r="L7140" s="42" t="n">
        <f aca="false">J7140*K7140</f>
        <v>140.08</v>
      </c>
      <c r="M7140" s="43" t="n">
        <f aca="false">H7140*16.19*(1+'Chart of Accounts'!$E$67)</f>
        <v>76.374706</v>
      </c>
    </row>
    <row r="7141" customFormat="false" ht="15" hidden="false" customHeight="false" outlineLevel="0" collapsed="false">
      <c r="B7141" s="7" t="s">
        <v>7638</v>
      </c>
      <c r="C7141" s="39" t="n">
        <v>45984</v>
      </c>
      <c r="D7141" s="7" t="s">
        <v>387</v>
      </c>
      <c r="E7141" s="7" t="s">
        <v>154</v>
      </c>
      <c r="F7141" s="7" t="s">
        <v>196</v>
      </c>
      <c r="G7141" s="7" t="s">
        <v>505</v>
      </c>
      <c r="H7141" s="6" t="n">
        <v>4.25</v>
      </c>
      <c r="I7141" s="6" t="n">
        <v>0</v>
      </c>
      <c r="J7141" s="40" t="n">
        <f aca="false">H7141-I7141</f>
        <v>4.25</v>
      </c>
      <c r="K7141" s="41" t="n">
        <v>26.5</v>
      </c>
      <c r="L7141" s="42" t="n">
        <f aca="false">J7141*K7141</f>
        <v>112.625</v>
      </c>
      <c r="M7141" s="43" t="n">
        <f aca="false">H7141*15.05*(1+'Chart of Accounts'!$E$67)</f>
        <v>73.2370625</v>
      </c>
    </row>
    <row r="7142" customFormat="false" ht="15" hidden="false" customHeight="false" outlineLevel="0" collapsed="false">
      <c r="B7142" s="7" t="s">
        <v>7639</v>
      </c>
      <c r="C7142" s="39" t="n">
        <v>45984</v>
      </c>
      <c r="D7142" s="7" t="s">
        <v>391</v>
      </c>
      <c r="E7142" s="7" t="s">
        <v>156</v>
      </c>
      <c r="F7142" s="7" t="s">
        <v>222</v>
      </c>
      <c r="G7142" s="7" t="s">
        <v>505</v>
      </c>
      <c r="H7142" s="6" t="n">
        <v>3.94</v>
      </c>
      <c r="I7142" s="6" t="n">
        <v>0</v>
      </c>
      <c r="J7142" s="40" t="n">
        <f aca="false">H7142-I7142</f>
        <v>3.94</v>
      </c>
      <c r="K7142" s="41" t="n">
        <v>34</v>
      </c>
      <c r="L7142" s="42" t="n">
        <f aca="false">J7142*K7142</f>
        <v>133.96</v>
      </c>
      <c r="M7142" s="43" t="n">
        <f aca="false">H7142*17.84*(1+'Chart of Accounts'!$E$67)</f>
        <v>80.481592</v>
      </c>
    </row>
    <row r="7143" customFormat="false" ht="15" hidden="false" customHeight="false" outlineLevel="0" collapsed="false">
      <c r="B7143" s="7" t="s">
        <v>7640</v>
      </c>
      <c r="C7143" s="39" t="n">
        <v>45984</v>
      </c>
      <c r="D7143" s="7" t="s">
        <v>395</v>
      </c>
      <c r="E7143" s="7" t="s">
        <v>156</v>
      </c>
      <c r="F7143" s="7" t="s">
        <v>242</v>
      </c>
      <c r="G7143" s="7" t="s">
        <v>505</v>
      </c>
      <c r="H7143" s="6" t="n">
        <v>4.16</v>
      </c>
      <c r="I7143" s="6" t="n">
        <v>0</v>
      </c>
      <c r="J7143" s="40" t="n">
        <f aca="false">H7143-I7143</f>
        <v>4.16</v>
      </c>
      <c r="K7143" s="41" t="n">
        <v>34</v>
      </c>
      <c r="L7143" s="42" t="n">
        <f aca="false">J7143*K7143</f>
        <v>141.44</v>
      </c>
      <c r="M7143" s="43" t="n">
        <f aca="false">H7143*17.99*(1+'Chart of Accounts'!$E$67)</f>
        <v>85.689968</v>
      </c>
    </row>
    <row r="7144" customFormat="false" ht="15" hidden="false" customHeight="false" outlineLevel="0" collapsed="false">
      <c r="B7144" s="7" t="s">
        <v>7641</v>
      </c>
      <c r="C7144" s="39" t="n">
        <v>45985</v>
      </c>
      <c r="D7144" s="7" t="s">
        <v>288</v>
      </c>
      <c r="E7144" s="7" t="s">
        <v>156</v>
      </c>
      <c r="F7144" s="7" t="s">
        <v>246</v>
      </c>
      <c r="G7144" s="7" t="s">
        <v>505</v>
      </c>
      <c r="H7144" s="6" t="n">
        <v>4.38</v>
      </c>
      <c r="I7144" s="6" t="n">
        <v>0</v>
      </c>
      <c r="J7144" s="40" t="n">
        <f aca="false">H7144-I7144</f>
        <v>4.38</v>
      </c>
      <c r="K7144" s="41" t="n">
        <v>34</v>
      </c>
      <c r="L7144" s="42" t="n">
        <f aca="false">J7144*K7144</f>
        <v>148.92</v>
      </c>
      <c r="M7144" s="43" t="n">
        <f aca="false">H7144*16.48*(1+'Chart of Accounts'!$E$67)</f>
        <v>82.648848</v>
      </c>
    </row>
    <row r="7145" customFormat="false" ht="15" hidden="false" customHeight="false" outlineLevel="0" collapsed="false">
      <c r="B7145" s="7" t="s">
        <v>7642</v>
      </c>
      <c r="C7145" s="39" t="n">
        <v>45985</v>
      </c>
      <c r="D7145" s="7" t="s">
        <v>291</v>
      </c>
      <c r="E7145" s="7" t="s">
        <v>154</v>
      </c>
      <c r="F7145" s="7" t="s">
        <v>194</v>
      </c>
      <c r="G7145" s="7" t="s">
        <v>505</v>
      </c>
      <c r="H7145" s="6" t="n">
        <v>4.83</v>
      </c>
      <c r="I7145" s="6" t="n">
        <v>0</v>
      </c>
      <c r="J7145" s="40" t="n">
        <f aca="false">H7145-I7145</f>
        <v>4.83</v>
      </c>
      <c r="K7145" s="41" t="n">
        <v>26.5</v>
      </c>
      <c r="L7145" s="42" t="n">
        <f aca="false">J7145*K7145</f>
        <v>127.995</v>
      </c>
      <c r="M7145" s="43" t="n">
        <f aca="false">H7145*16*(1+'Chart of Accounts'!$E$67)</f>
        <v>88.4856</v>
      </c>
    </row>
    <row r="7146" customFormat="false" ht="15" hidden="false" customHeight="false" outlineLevel="0" collapsed="false">
      <c r="B7146" s="7" t="s">
        <v>7643</v>
      </c>
      <c r="C7146" s="39" t="n">
        <v>45985</v>
      </c>
      <c r="D7146" s="7" t="s">
        <v>295</v>
      </c>
      <c r="E7146" s="7" t="s">
        <v>154</v>
      </c>
      <c r="F7146" s="7" t="s">
        <v>214</v>
      </c>
      <c r="G7146" s="7" t="s">
        <v>505</v>
      </c>
      <c r="H7146" s="6" t="n">
        <v>3.68</v>
      </c>
      <c r="I7146" s="6" t="n">
        <v>0.11</v>
      </c>
      <c r="J7146" s="40" t="n">
        <f aca="false">H7146-I7146</f>
        <v>3.57</v>
      </c>
      <c r="K7146" s="41" t="n">
        <v>26.5</v>
      </c>
      <c r="L7146" s="42" t="n">
        <f aca="false">J7146*K7146</f>
        <v>94.605</v>
      </c>
      <c r="M7146" s="43" t="n">
        <f aca="false">H7146*15.67*(1+'Chart of Accounts'!$E$67)</f>
        <v>66.027112</v>
      </c>
    </row>
    <row r="7147" customFormat="false" ht="15" hidden="false" customHeight="false" outlineLevel="0" collapsed="false">
      <c r="B7147" s="7" t="s">
        <v>7644</v>
      </c>
      <c r="C7147" s="39" t="n">
        <v>45985</v>
      </c>
      <c r="D7147" s="7" t="s">
        <v>297</v>
      </c>
      <c r="E7147" s="7" t="s">
        <v>156</v>
      </c>
      <c r="F7147" s="7" t="s">
        <v>201</v>
      </c>
      <c r="G7147" s="7" t="s">
        <v>505</v>
      </c>
      <c r="H7147" s="6" t="n">
        <v>2.98</v>
      </c>
      <c r="I7147" s="6" t="n">
        <v>0</v>
      </c>
      <c r="J7147" s="40" t="n">
        <f aca="false">H7147-I7147</f>
        <v>2.98</v>
      </c>
      <c r="K7147" s="41" t="n">
        <v>34</v>
      </c>
      <c r="L7147" s="42" t="n">
        <f aca="false">J7147*K7147</f>
        <v>101.32</v>
      </c>
      <c r="M7147" s="43" t="n">
        <f aca="false">H7147*15.19*(1+'Chart of Accounts'!$E$67)</f>
        <v>51.829799</v>
      </c>
    </row>
    <row r="7148" customFormat="false" ht="15" hidden="false" customHeight="false" outlineLevel="0" collapsed="false">
      <c r="B7148" s="7" t="s">
        <v>7645</v>
      </c>
      <c r="C7148" s="39" t="n">
        <v>45985</v>
      </c>
      <c r="D7148" s="7" t="s">
        <v>299</v>
      </c>
      <c r="E7148" s="7" t="s">
        <v>154</v>
      </c>
      <c r="F7148" s="7" t="s">
        <v>205</v>
      </c>
      <c r="G7148" s="7" t="s">
        <v>505</v>
      </c>
      <c r="H7148" s="6" t="n">
        <v>2.77</v>
      </c>
      <c r="I7148" s="6" t="n">
        <v>0</v>
      </c>
      <c r="J7148" s="40" t="n">
        <f aca="false">H7148-I7148</f>
        <v>2.77</v>
      </c>
      <c r="K7148" s="41" t="n">
        <v>26.5</v>
      </c>
      <c r="L7148" s="42" t="n">
        <f aca="false">J7148*K7148</f>
        <v>73.405</v>
      </c>
      <c r="M7148" s="43" t="n">
        <f aca="false">H7148*16.36*(1+'Chart of Accounts'!$E$67)</f>
        <v>51.888194</v>
      </c>
    </row>
    <row r="7149" customFormat="false" ht="15" hidden="false" customHeight="false" outlineLevel="0" collapsed="false">
      <c r="B7149" s="7" t="s">
        <v>7646</v>
      </c>
      <c r="C7149" s="39" t="n">
        <v>45985</v>
      </c>
      <c r="D7149" s="7" t="s">
        <v>303</v>
      </c>
      <c r="E7149" s="7" t="s">
        <v>154</v>
      </c>
      <c r="F7149" s="7" t="s">
        <v>240</v>
      </c>
      <c r="G7149" s="7" t="s">
        <v>505</v>
      </c>
      <c r="H7149" s="6" t="n">
        <v>3.73</v>
      </c>
      <c r="I7149" s="6" t="n">
        <v>0</v>
      </c>
      <c r="J7149" s="40" t="n">
        <f aca="false">H7149-I7149</f>
        <v>3.73</v>
      </c>
      <c r="K7149" s="41" t="n">
        <v>26.5</v>
      </c>
      <c r="L7149" s="42" t="n">
        <f aca="false">J7149*K7149</f>
        <v>98.845</v>
      </c>
      <c r="M7149" s="43" t="n">
        <f aca="false">H7149*16.96*(1+'Chart of Accounts'!$E$67)</f>
        <v>72.433616</v>
      </c>
    </row>
    <row r="7150" customFormat="false" ht="15" hidden="false" customHeight="false" outlineLevel="0" collapsed="false">
      <c r="B7150" s="7" t="s">
        <v>7647</v>
      </c>
      <c r="C7150" s="39" t="n">
        <v>45985</v>
      </c>
      <c r="D7150" s="7" t="s">
        <v>305</v>
      </c>
      <c r="E7150" s="7" t="s">
        <v>154</v>
      </c>
      <c r="F7150" s="7" t="s">
        <v>205</v>
      </c>
      <c r="G7150" s="7" t="s">
        <v>505</v>
      </c>
      <c r="H7150" s="6" t="n">
        <v>3.74</v>
      </c>
      <c r="I7150" s="6" t="n">
        <v>0</v>
      </c>
      <c r="J7150" s="40" t="n">
        <f aca="false">H7150-I7150</f>
        <v>3.74</v>
      </c>
      <c r="K7150" s="41" t="n">
        <v>26.5</v>
      </c>
      <c r="L7150" s="42" t="n">
        <f aca="false">J7150*K7150</f>
        <v>99.11</v>
      </c>
      <c r="M7150" s="43" t="n">
        <f aca="false">H7150*16.36*(1+'Chart of Accounts'!$E$67)</f>
        <v>70.058428</v>
      </c>
    </row>
    <row r="7151" customFormat="false" ht="15" hidden="false" customHeight="false" outlineLevel="0" collapsed="false">
      <c r="B7151" s="7" t="s">
        <v>7648</v>
      </c>
      <c r="C7151" s="39" t="n">
        <v>45985</v>
      </c>
      <c r="D7151" s="7" t="s">
        <v>307</v>
      </c>
      <c r="E7151" s="7" t="s">
        <v>157</v>
      </c>
      <c r="F7151" s="7" t="s">
        <v>264</v>
      </c>
      <c r="G7151" s="7" t="s">
        <v>502</v>
      </c>
      <c r="H7151" s="6" t="n">
        <v>1.01</v>
      </c>
      <c r="I7151" s="6" t="n">
        <v>0</v>
      </c>
      <c r="J7151" s="40" t="n">
        <f aca="false">H7151-I7151</f>
        <v>1.01</v>
      </c>
      <c r="K7151" s="41" t="n">
        <v>165</v>
      </c>
      <c r="L7151" s="42" t="n">
        <f aca="false">J7151*K7151</f>
        <v>166.65</v>
      </c>
      <c r="M7151" s="43" t="n">
        <f aca="false">H7151*55.55*(1+'Chart of Accounts'!$E$67)</f>
        <v>64.2407975</v>
      </c>
    </row>
    <row r="7152" customFormat="false" ht="15" hidden="false" customHeight="false" outlineLevel="0" collapsed="false">
      <c r="B7152" s="7" t="s">
        <v>7649</v>
      </c>
      <c r="C7152" s="39" t="n">
        <v>45985</v>
      </c>
      <c r="D7152" s="7" t="s">
        <v>309</v>
      </c>
      <c r="E7152" s="7" t="s">
        <v>159</v>
      </c>
      <c r="F7152" s="7" t="s">
        <v>252</v>
      </c>
      <c r="G7152" s="7" t="s">
        <v>502</v>
      </c>
      <c r="H7152" s="6" t="n">
        <v>1.01</v>
      </c>
      <c r="I7152" s="6" t="n">
        <v>0</v>
      </c>
      <c r="J7152" s="40" t="n">
        <f aca="false">H7152-I7152</f>
        <v>1.01</v>
      </c>
      <c r="K7152" s="41" t="n">
        <v>135</v>
      </c>
      <c r="L7152" s="42" t="n">
        <f aca="false">J7152*K7152</f>
        <v>136.35</v>
      </c>
      <c r="M7152" s="43" t="n">
        <f aca="false">H7152*57.54*(1+'Chart of Accounts'!$E$67)</f>
        <v>66.542133</v>
      </c>
    </row>
    <row r="7153" customFormat="false" ht="15" hidden="false" customHeight="false" outlineLevel="0" collapsed="false">
      <c r="B7153" s="7" t="s">
        <v>7650</v>
      </c>
      <c r="C7153" s="39" t="n">
        <v>45985</v>
      </c>
      <c r="D7153" s="7" t="s">
        <v>311</v>
      </c>
      <c r="E7153" s="7" t="s">
        <v>154</v>
      </c>
      <c r="F7153" s="7" t="s">
        <v>196</v>
      </c>
      <c r="G7153" s="7" t="s">
        <v>505</v>
      </c>
      <c r="H7153" s="6" t="n">
        <v>3.06</v>
      </c>
      <c r="I7153" s="6" t="n">
        <v>0</v>
      </c>
      <c r="J7153" s="40" t="n">
        <f aca="false">H7153-I7153</f>
        <v>3.06</v>
      </c>
      <c r="K7153" s="41" t="n">
        <v>26.5</v>
      </c>
      <c r="L7153" s="42" t="n">
        <f aca="false">J7153*K7153</f>
        <v>81.09</v>
      </c>
      <c r="M7153" s="43" t="n">
        <f aca="false">H7153*15.05*(1+'Chart of Accounts'!$E$67)</f>
        <v>52.730685</v>
      </c>
    </row>
    <row r="7154" customFormat="false" ht="15" hidden="false" customHeight="false" outlineLevel="0" collapsed="false">
      <c r="B7154" s="7" t="s">
        <v>7651</v>
      </c>
      <c r="C7154" s="39" t="n">
        <v>45985</v>
      </c>
      <c r="D7154" s="7" t="s">
        <v>313</v>
      </c>
      <c r="E7154" s="7" t="s">
        <v>156</v>
      </c>
      <c r="F7154" s="7" t="s">
        <v>184</v>
      </c>
      <c r="G7154" s="7" t="s">
        <v>505</v>
      </c>
      <c r="H7154" s="6" t="n">
        <v>3.63</v>
      </c>
      <c r="I7154" s="6" t="n">
        <v>0</v>
      </c>
      <c r="J7154" s="40" t="n">
        <f aca="false">H7154-I7154</f>
        <v>3.63</v>
      </c>
      <c r="K7154" s="41" t="n">
        <v>34</v>
      </c>
      <c r="L7154" s="42" t="n">
        <f aca="false">J7154*K7154</f>
        <v>123.42</v>
      </c>
      <c r="M7154" s="43" t="n">
        <f aca="false">H7154*17.34*(1+'Chart of Accounts'!$E$67)</f>
        <v>72.071109</v>
      </c>
    </row>
    <row r="7155" customFormat="false" ht="15" hidden="false" customHeight="false" outlineLevel="0" collapsed="false">
      <c r="B7155" s="7" t="s">
        <v>7652</v>
      </c>
      <c r="C7155" s="39" t="n">
        <v>45985</v>
      </c>
      <c r="D7155" s="7" t="s">
        <v>315</v>
      </c>
      <c r="E7155" s="7" t="s">
        <v>159</v>
      </c>
      <c r="F7155" s="7" t="s">
        <v>216</v>
      </c>
      <c r="G7155" s="7" t="s">
        <v>502</v>
      </c>
      <c r="H7155" s="6" t="n">
        <v>1.02</v>
      </c>
      <c r="I7155" s="6" t="n">
        <v>0</v>
      </c>
      <c r="J7155" s="40" t="n">
        <f aca="false">H7155-I7155</f>
        <v>1.02</v>
      </c>
      <c r="K7155" s="41" t="n">
        <v>135</v>
      </c>
      <c r="L7155" s="42" t="n">
        <f aca="false">J7155*K7155</f>
        <v>137.7</v>
      </c>
      <c r="M7155" s="43" t="n">
        <f aca="false">H7155*61.79*(1+'Chart of Accounts'!$E$67)</f>
        <v>72.164541</v>
      </c>
    </row>
    <row r="7156" customFormat="false" ht="15" hidden="false" customHeight="false" outlineLevel="0" collapsed="false">
      <c r="B7156" s="7" t="s">
        <v>7653</v>
      </c>
      <c r="C7156" s="39" t="n">
        <v>45985</v>
      </c>
      <c r="D7156" s="7" t="s">
        <v>317</v>
      </c>
      <c r="E7156" s="7" t="s">
        <v>156</v>
      </c>
      <c r="F7156" s="7" t="s">
        <v>218</v>
      </c>
      <c r="G7156" s="7" t="s">
        <v>505</v>
      </c>
      <c r="H7156" s="6" t="n">
        <v>3.17</v>
      </c>
      <c r="I7156" s="6" t="n">
        <v>0</v>
      </c>
      <c r="J7156" s="40" t="n">
        <f aca="false">H7156-I7156</f>
        <v>3.17</v>
      </c>
      <c r="K7156" s="41" t="n">
        <v>34</v>
      </c>
      <c r="L7156" s="42" t="n">
        <f aca="false">J7156*K7156</f>
        <v>107.78</v>
      </c>
      <c r="M7156" s="43" t="n">
        <f aca="false">H7156*16.19*(1+'Chart of Accounts'!$E$67)</f>
        <v>58.7640335</v>
      </c>
    </row>
    <row r="7157" customFormat="false" ht="15" hidden="false" customHeight="false" outlineLevel="0" collapsed="false">
      <c r="B7157" s="7" t="s">
        <v>7654</v>
      </c>
      <c r="C7157" s="39" t="n">
        <v>45985</v>
      </c>
      <c r="D7157" s="7" t="s">
        <v>321</v>
      </c>
      <c r="E7157" s="7" t="s">
        <v>154</v>
      </c>
      <c r="F7157" s="7" t="s">
        <v>218</v>
      </c>
      <c r="G7157" s="7" t="s">
        <v>505</v>
      </c>
      <c r="H7157" s="6" t="n">
        <v>3.62</v>
      </c>
      <c r="I7157" s="6" t="n">
        <v>0</v>
      </c>
      <c r="J7157" s="40" t="n">
        <f aca="false">H7157-I7157</f>
        <v>3.62</v>
      </c>
      <c r="K7157" s="41" t="n">
        <v>26.5</v>
      </c>
      <c r="L7157" s="42" t="n">
        <f aca="false">J7157*K7157</f>
        <v>95.93</v>
      </c>
      <c r="M7157" s="43" t="n">
        <f aca="false">H7157*16.19*(1+'Chart of Accounts'!$E$67)</f>
        <v>67.105931</v>
      </c>
    </row>
    <row r="7158" customFormat="false" ht="15" hidden="false" customHeight="false" outlineLevel="0" collapsed="false">
      <c r="B7158" s="7" t="s">
        <v>7655</v>
      </c>
      <c r="C7158" s="39" t="n">
        <v>45985</v>
      </c>
      <c r="D7158" s="7" t="s">
        <v>325</v>
      </c>
      <c r="E7158" s="7" t="s">
        <v>154</v>
      </c>
      <c r="F7158" s="7" t="s">
        <v>240</v>
      </c>
      <c r="G7158" s="7" t="s">
        <v>505</v>
      </c>
      <c r="H7158" s="6" t="n">
        <v>2.82</v>
      </c>
      <c r="I7158" s="6" t="n">
        <v>0</v>
      </c>
      <c r="J7158" s="40" t="n">
        <f aca="false">H7158-I7158</f>
        <v>2.82</v>
      </c>
      <c r="K7158" s="41" t="n">
        <v>26.5</v>
      </c>
      <c r="L7158" s="42" t="n">
        <f aca="false">J7158*K7158</f>
        <v>74.73</v>
      </c>
      <c r="M7158" s="43" t="n">
        <f aca="false">H7158*16.96*(1+'Chart of Accounts'!$E$67)</f>
        <v>54.762144</v>
      </c>
    </row>
    <row r="7159" customFormat="false" ht="15" hidden="false" customHeight="false" outlineLevel="0" collapsed="false">
      <c r="B7159" s="7" t="s">
        <v>7656</v>
      </c>
      <c r="C7159" s="39" t="n">
        <v>45985</v>
      </c>
      <c r="D7159" s="7" t="s">
        <v>329</v>
      </c>
      <c r="E7159" s="7" t="s">
        <v>156</v>
      </c>
      <c r="F7159" s="7" t="s">
        <v>220</v>
      </c>
      <c r="G7159" s="7" t="s">
        <v>505</v>
      </c>
      <c r="H7159" s="6" t="n">
        <v>3.73</v>
      </c>
      <c r="I7159" s="6" t="n">
        <v>0</v>
      </c>
      <c r="J7159" s="40" t="n">
        <f aca="false">H7159-I7159</f>
        <v>3.73</v>
      </c>
      <c r="K7159" s="41" t="n">
        <v>34</v>
      </c>
      <c r="L7159" s="42" t="n">
        <f aca="false">J7159*K7159</f>
        <v>126.82</v>
      </c>
      <c r="M7159" s="43" t="n">
        <f aca="false">H7159*16.43*(1+'Chart of Accounts'!$E$67)</f>
        <v>70.1700655</v>
      </c>
    </row>
    <row r="7160" customFormat="false" ht="15" hidden="false" customHeight="false" outlineLevel="0" collapsed="false">
      <c r="B7160" s="7" t="s">
        <v>7657</v>
      </c>
      <c r="C7160" s="39" t="n">
        <v>45985</v>
      </c>
      <c r="D7160" s="7" t="s">
        <v>333</v>
      </c>
      <c r="E7160" s="7" t="s">
        <v>154</v>
      </c>
      <c r="F7160" s="7" t="s">
        <v>236</v>
      </c>
      <c r="G7160" s="7" t="s">
        <v>505</v>
      </c>
      <c r="H7160" s="6" t="n">
        <v>3.19</v>
      </c>
      <c r="I7160" s="6" t="n">
        <v>0</v>
      </c>
      <c r="J7160" s="40" t="n">
        <f aca="false">H7160-I7160</f>
        <v>3.19</v>
      </c>
      <c r="K7160" s="41" t="n">
        <v>26.5</v>
      </c>
      <c r="L7160" s="42" t="n">
        <f aca="false">J7160*K7160</f>
        <v>84.535</v>
      </c>
      <c r="M7160" s="43" t="n">
        <f aca="false">H7160*15.49*(1+'Chart of Accounts'!$E$67)</f>
        <v>56.5779995</v>
      </c>
    </row>
    <row r="7161" customFormat="false" ht="15" hidden="false" customHeight="false" outlineLevel="0" collapsed="false">
      <c r="B7161" s="7" t="s">
        <v>7658</v>
      </c>
      <c r="C7161" s="39" t="n">
        <v>45985</v>
      </c>
      <c r="D7161" s="7" t="s">
        <v>335</v>
      </c>
      <c r="E7161" s="7" t="s">
        <v>154</v>
      </c>
      <c r="F7161" s="7" t="s">
        <v>177</v>
      </c>
      <c r="G7161" s="7" t="s">
        <v>505</v>
      </c>
      <c r="H7161" s="6" t="n">
        <v>3.89</v>
      </c>
      <c r="I7161" s="6" t="n">
        <v>0</v>
      </c>
      <c r="J7161" s="40" t="n">
        <f aca="false">H7161-I7161</f>
        <v>3.89</v>
      </c>
      <c r="K7161" s="41" t="n">
        <v>26.5</v>
      </c>
      <c r="L7161" s="42" t="n">
        <f aca="false">J7161*K7161</f>
        <v>103.085</v>
      </c>
      <c r="M7161" s="43" t="n">
        <f aca="false">H7161*14.56*(1+'Chart of Accounts'!$E$67)</f>
        <v>64.850968</v>
      </c>
    </row>
    <row r="7162" customFormat="false" ht="15" hidden="false" customHeight="false" outlineLevel="0" collapsed="false">
      <c r="B7162" s="7" t="s">
        <v>7659</v>
      </c>
      <c r="C7162" s="39" t="n">
        <v>45985</v>
      </c>
      <c r="D7162" s="7" t="s">
        <v>339</v>
      </c>
      <c r="E7162" s="7" t="s">
        <v>154</v>
      </c>
      <c r="F7162" s="7" t="s">
        <v>242</v>
      </c>
      <c r="G7162" s="7" t="s">
        <v>505</v>
      </c>
      <c r="H7162" s="6" t="n">
        <v>3.4</v>
      </c>
      <c r="I7162" s="6" t="n">
        <v>0</v>
      </c>
      <c r="J7162" s="40" t="n">
        <f aca="false">H7162-I7162</f>
        <v>3.4</v>
      </c>
      <c r="K7162" s="41" t="n">
        <v>26.5</v>
      </c>
      <c r="L7162" s="42" t="n">
        <f aca="false">J7162*K7162</f>
        <v>90.1</v>
      </c>
      <c r="M7162" s="43" t="n">
        <f aca="false">H7162*17.99*(1+'Chart of Accounts'!$E$67)</f>
        <v>70.03507</v>
      </c>
    </row>
    <row r="7163" customFormat="false" ht="15" hidden="false" customHeight="false" outlineLevel="0" collapsed="false">
      <c r="B7163" s="7" t="s">
        <v>7660</v>
      </c>
      <c r="C7163" s="39" t="n">
        <v>45985</v>
      </c>
      <c r="D7163" s="7" t="s">
        <v>341</v>
      </c>
      <c r="E7163" s="7" t="s">
        <v>156</v>
      </c>
      <c r="F7163" s="7" t="s">
        <v>222</v>
      </c>
      <c r="G7163" s="7" t="s">
        <v>505</v>
      </c>
      <c r="H7163" s="6" t="n">
        <v>2.78</v>
      </c>
      <c r="I7163" s="6" t="n">
        <v>0</v>
      </c>
      <c r="J7163" s="40" t="n">
        <f aca="false">H7163-I7163</f>
        <v>2.78</v>
      </c>
      <c r="K7163" s="41" t="n">
        <v>34</v>
      </c>
      <c r="L7163" s="42" t="n">
        <f aca="false">J7163*K7163</f>
        <v>94.52</v>
      </c>
      <c r="M7163" s="43" t="n">
        <f aca="false">H7163*17.84*(1+'Chart of Accounts'!$E$67)</f>
        <v>56.786504</v>
      </c>
    </row>
    <row r="7164" customFormat="false" ht="15" hidden="false" customHeight="false" outlineLevel="0" collapsed="false">
      <c r="B7164" s="7" t="s">
        <v>7661</v>
      </c>
      <c r="C7164" s="39" t="n">
        <v>45985</v>
      </c>
      <c r="D7164" s="7" t="s">
        <v>343</v>
      </c>
      <c r="E7164" s="7" t="s">
        <v>154</v>
      </c>
      <c r="F7164" s="7" t="s">
        <v>254</v>
      </c>
      <c r="G7164" s="7" t="s">
        <v>505</v>
      </c>
      <c r="H7164" s="6" t="n">
        <v>3.62</v>
      </c>
      <c r="I7164" s="6" t="n">
        <v>0</v>
      </c>
      <c r="J7164" s="40" t="n">
        <f aca="false">H7164-I7164</f>
        <v>3.62</v>
      </c>
      <c r="K7164" s="41" t="n">
        <v>26.5</v>
      </c>
      <c r="L7164" s="42" t="n">
        <f aca="false">J7164*K7164</f>
        <v>95.93</v>
      </c>
      <c r="M7164" s="43" t="n">
        <f aca="false">H7164*17.1*(1+'Chart of Accounts'!$E$67)</f>
        <v>70.87779</v>
      </c>
    </row>
    <row r="7165" customFormat="false" ht="15" hidden="false" customHeight="false" outlineLevel="0" collapsed="false">
      <c r="B7165" s="7" t="s">
        <v>7662</v>
      </c>
      <c r="C7165" s="39" t="n">
        <v>45985</v>
      </c>
      <c r="D7165" s="7" t="s">
        <v>349</v>
      </c>
      <c r="E7165" s="7" t="s">
        <v>154</v>
      </c>
      <c r="F7165" s="7" t="s">
        <v>244</v>
      </c>
      <c r="G7165" s="7" t="s">
        <v>505</v>
      </c>
      <c r="H7165" s="6" t="n">
        <v>4.29</v>
      </c>
      <c r="I7165" s="6" t="n">
        <v>0</v>
      </c>
      <c r="J7165" s="40" t="n">
        <f aca="false">H7165-I7165</f>
        <v>4.29</v>
      </c>
      <c r="K7165" s="41" t="n">
        <v>26.5</v>
      </c>
      <c r="L7165" s="42" t="n">
        <f aca="false">J7165*K7165</f>
        <v>113.685</v>
      </c>
      <c r="M7165" s="43" t="n">
        <f aca="false">H7165*16.39*(1+'Chart of Accounts'!$E$67)</f>
        <v>80.5084995</v>
      </c>
    </row>
    <row r="7166" customFormat="false" ht="15" hidden="false" customHeight="false" outlineLevel="0" collapsed="false">
      <c r="B7166" s="7" t="s">
        <v>7663</v>
      </c>
      <c r="C7166" s="39" t="n">
        <v>45985</v>
      </c>
      <c r="D7166" s="7" t="s">
        <v>351</v>
      </c>
      <c r="E7166" s="7" t="s">
        <v>154</v>
      </c>
      <c r="F7166" s="7" t="s">
        <v>201</v>
      </c>
      <c r="G7166" s="7" t="s">
        <v>505</v>
      </c>
      <c r="H7166" s="6" t="n">
        <v>2.75</v>
      </c>
      <c r="I7166" s="6" t="n">
        <v>0</v>
      </c>
      <c r="J7166" s="40" t="n">
        <f aca="false">H7166-I7166</f>
        <v>2.75</v>
      </c>
      <c r="K7166" s="41" t="n">
        <v>26.5</v>
      </c>
      <c r="L7166" s="42" t="n">
        <f aca="false">J7166*K7166</f>
        <v>72.875</v>
      </c>
      <c r="M7166" s="43" t="n">
        <f aca="false">H7166*15.19*(1+'Chart of Accounts'!$E$67)</f>
        <v>47.8295125</v>
      </c>
    </row>
    <row r="7167" customFormat="false" ht="15" hidden="false" customHeight="false" outlineLevel="0" collapsed="false">
      <c r="B7167" s="7" t="s">
        <v>7664</v>
      </c>
      <c r="C7167" s="39" t="n">
        <v>45985</v>
      </c>
      <c r="D7167" s="7" t="s">
        <v>353</v>
      </c>
      <c r="E7167" s="7" t="s">
        <v>154</v>
      </c>
      <c r="F7167" s="7" t="s">
        <v>254</v>
      </c>
      <c r="G7167" s="7" t="s">
        <v>505</v>
      </c>
      <c r="H7167" s="6" t="n">
        <v>3.52</v>
      </c>
      <c r="I7167" s="6" t="n">
        <v>0</v>
      </c>
      <c r="J7167" s="40" t="n">
        <f aca="false">H7167-I7167</f>
        <v>3.52</v>
      </c>
      <c r="K7167" s="41" t="n">
        <v>26.5</v>
      </c>
      <c r="L7167" s="42" t="n">
        <f aca="false">J7167*K7167</f>
        <v>93.28</v>
      </c>
      <c r="M7167" s="43" t="n">
        <f aca="false">H7167*17.1*(1+'Chart of Accounts'!$E$67)</f>
        <v>68.91984</v>
      </c>
    </row>
    <row r="7168" customFormat="false" ht="15" hidden="false" customHeight="false" outlineLevel="0" collapsed="false">
      <c r="B7168" s="7" t="s">
        <v>7665</v>
      </c>
      <c r="C7168" s="39" t="n">
        <v>45985</v>
      </c>
      <c r="D7168" s="7" t="s">
        <v>355</v>
      </c>
      <c r="E7168" s="7" t="s">
        <v>154</v>
      </c>
      <c r="F7168" s="7" t="s">
        <v>201</v>
      </c>
      <c r="G7168" s="7" t="s">
        <v>505</v>
      </c>
      <c r="H7168" s="6" t="n">
        <v>3.62</v>
      </c>
      <c r="I7168" s="6" t="n">
        <v>0</v>
      </c>
      <c r="J7168" s="40" t="n">
        <f aca="false">H7168-I7168</f>
        <v>3.62</v>
      </c>
      <c r="K7168" s="41" t="n">
        <v>26.5</v>
      </c>
      <c r="L7168" s="42" t="n">
        <f aca="false">J7168*K7168</f>
        <v>95.93</v>
      </c>
      <c r="M7168" s="43" t="n">
        <f aca="false">H7168*15.19*(1+'Chart of Accounts'!$E$67)</f>
        <v>62.961031</v>
      </c>
    </row>
    <row r="7169" customFormat="false" ht="15" hidden="false" customHeight="false" outlineLevel="0" collapsed="false">
      <c r="B7169" s="7" t="s">
        <v>7666</v>
      </c>
      <c r="C7169" s="39" t="n">
        <v>45985</v>
      </c>
      <c r="D7169" s="7" t="s">
        <v>357</v>
      </c>
      <c r="E7169" s="7" t="s">
        <v>154</v>
      </c>
      <c r="F7169" s="7" t="s">
        <v>256</v>
      </c>
      <c r="G7169" s="7" t="s">
        <v>505</v>
      </c>
      <c r="H7169" s="6" t="n">
        <v>3.27</v>
      </c>
      <c r="I7169" s="6" t="n">
        <v>0.098</v>
      </c>
      <c r="J7169" s="40" t="n">
        <f aca="false">H7169-I7169</f>
        <v>3.172</v>
      </c>
      <c r="K7169" s="41" t="n">
        <v>26.5</v>
      </c>
      <c r="L7169" s="42" t="n">
        <f aca="false">J7169*K7169</f>
        <v>84.058</v>
      </c>
      <c r="M7169" s="43" t="n">
        <f aca="false">H7169*15.63*(1+'Chart of Accounts'!$E$67)</f>
        <v>58.5210645</v>
      </c>
    </row>
    <row r="7170" customFormat="false" ht="15" hidden="false" customHeight="false" outlineLevel="0" collapsed="false">
      <c r="B7170" s="7" t="s">
        <v>7667</v>
      </c>
      <c r="C7170" s="39" t="n">
        <v>45985</v>
      </c>
      <c r="D7170" s="7" t="s">
        <v>359</v>
      </c>
      <c r="E7170" s="7" t="s">
        <v>156</v>
      </c>
      <c r="F7170" s="7" t="s">
        <v>244</v>
      </c>
      <c r="G7170" s="7" t="s">
        <v>505</v>
      </c>
      <c r="H7170" s="6" t="n">
        <v>3.63</v>
      </c>
      <c r="I7170" s="6" t="n">
        <v>0</v>
      </c>
      <c r="J7170" s="40" t="n">
        <f aca="false">H7170-I7170</f>
        <v>3.63</v>
      </c>
      <c r="K7170" s="41" t="n">
        <v>34</v>
      </c>
      <c r="L7170" s="42" t="n">
        <f aca="false">J7170*K7170</f>
        <v>123.42</v>
      </c>
      <c r="M7170" s="43" t="n">
        <f aca="false">H7170*16.39*(1+'Chart of Accounts'!$E$67)</f>
        <v>68.1225765</v>
      </c>
    </row>
    <row r="7171" customFormat="false" ht="15" hidden="false" customHeight="false" outlineLevel="0" collapsed="false">
      <c r="B7171" s="7" t="s">
        <v>7668</v>
      </c>
      <c r="C7171" s="39" t="n">
        <v>45985</v>
      </c>
      <c r="D7171" s="7" t="s">
        <v>363</v>
      </c>
      <c r="E7171" s="7" t="s">
        <v>156</v>
      </c>
      <c r="F7171" s="7" t="s">
        <v>246</v>
      </c>
      <c r="G7171" s="7" t="s">
        <v>505</v>
      </c>
      <c r="H7171" s="6" t="n">
        <v>4.34</v>
      </c>
      <c r="I7171" s="6" t="n">
        <v>0</v>
      </c>
      <c r="J7171" s="40" t="n">
        <f aca="false">H7171-I7171</f>
        <v>4.34</v>
      </c>
      <c r="K7171" s="41" t="n">
        <v>34</v>
      </c>
      <c r="L7171" s="42" t="n">
        <f aca="false">J7171*K7171</f>
        <v>147.56</v>
      </c>
      <c r="M7171" s="43" t="n">
        <f aca="false">H7171*16.48*(1+'Chart of Accounts'!$E$67)</f>
        <v>81.894064</v>
      </c>
    </row>
    <row r="7172" customFormat="false" ht="15" hidden="false" customHeight="false" outlineLevel="0" collapsed="false">
      <c r="B7172" s="7" t="s">
        <v>7669</v>
      </c>
      <c r="C7172" s="39" t="n">
        <v>45985</v>
      </c>
      <c r="D7172" s="7" t="s">
        <v>365</v>
      </c>
      <c r="E7172" s="7" t="s">
        <v>154</v>
      </c>
      <c r="F7172" s="7" t="s">
        <v>194</v>
      </c>
      <c r="G7172" s="7" t="s">
        <v>505</v>
      </c>
      <c r="H7172" s="6" t="n">
        <v>4.2</v>
      </c>
      <c r="I7172" s="6" t="n">
        <v>0</v>
      </c>
      <c r="J7172" s="40" t="n">
        <f aca="false">H7172-I7172</f>
        <v>4.2</v>
      </c>
      <c r="K7172" s="41" t="n">
        <v>26.5</v>
      </c>
      <c r="L7172" s="42" t="n">
        <f aca="false">J7172*K7172</f>
        <v>111.3</v>
      </c>
      <c r="M7172" s="43" t="n">
        <f aca="false">H7172*16*(1+'Chart of Accounts'!$E$67)</f>
        <v>76.944</v>
      </c>
    </row>
    <row r="7173" customFormat="false" ht="15" hidden="false" customHeight="false" outlineLevel="0" collapsed="false">
      <c r="B7173" s="7" t="s">
        <v>7670</v>
      </c>
      <c r="C7173" s="39" t="n">
        <v>45985</v>
      </c>
      <c r="D7173" s="7" t="s">
        <v>367</v>
      </c>
      <c r="E7173" s="7" t="s">
        <v>156</v>
      </c>
      <c r="F7173" s="7" t="s">
        <v>256</v>
      </c>
      <c r="G7173" s="7" t="s">
        <v>505</v>
      </c>
      <c r="H7173" s="6" t="n">
        <v>3.09</v>
      </c>
      <c r="I7173" s="6" t="n">
        <v>0</v>
      </c>
      <c r="J7173" s="40" t="n">
        <f aca="false">H7173-I7173</f>
        <v>3.09</v>
      </c>
      <c r="K7173" s="41" t="n">
        <v>34</v>
      </c>
      <c r="L7173" s="42" t="n">
        <f aca="false">J7173*K7173</f>
        <v>105.06</v>
      </c>
      <c r="M7173" s="43" t="n">
        <f aca="false">H7173*15.63*(1+'Chart of Accounts'!$E$67)</f>
        <v>55.2997215</v>
      </c>
    </row>
    <row r="7174" customFormat="false" ht="15" hidden="false" customHeight="false" outlineLevel="0" collapsed="false">
      <c r="B7174" s="7" t="s">
        <v>7671</v>
      </c>
      <c r="C7174" s="39" t="n">
        <v>45985</v>
      </c>
      <c r="D7174" s="7" t="s">
        <v>371</v>
      </c>
      <c r="E7174" s="7" t="s">
        <v>154</v>
      </c>
      <c r="F7174" s="7" t="s">
        <v>232</v>
      </c>
      <c r="G7174" s="7" t="s">
        <v>505</v>
      </c>
      <c r="H7174" s="6" t="n">
        <v>4.41</v>
      </c>
      <c r="I7174" s="6" t="n">
        <v>0</v>
      </c>
      <c r="J7174" s="40" t="n">
        <f aca="false">H7174-I7174</f>
        <v>4.41</v>
      </c>
      <c r="K7174" s="41" t="n">
        <v>26.5</v>
      </c>
      <c r="L7174" s="42" t="n">
        <f aca="false">J7174*K7174</f>
        <v>116.865</v>
      </c>
      <c r="M7174" s="43" t="n">
        <f aca="false">H7174*16.17*(1+'Chart of Accounts'!$E$67)</f>
        <v>81.6496065</v>
      </c>
    </row>
    <row r="7175" customFormat="false" ht="15" hidden="false" customHeight="false" outlineLevel="0" collapsed="false">
      <c r="B7175" s="7" t="s">
        <v>7672</v>
      </c>
      <c r="C7175" s="39" t="n">
        <v>45985</v>
      </c>
      <c r="D7175" s="7" t="s">
        <v>375</v>
      </c>
      <c r="E7175" s="7" t="s">
        <v>156</v>
      </c>
      <c r="F7175" s="7" t="s">
        <v>196</v>
      </c>
      <c r="G7175" s="7" t="s">
        <v>505</v>
      </c>
      <c r="H7175" s="6" t="n">
        <v>3.1</v>
      </c>
      <c r="I7175" s="6" t="n">
        <v>0</v>
      </c>
      <c r="J7175" s="40" t="n">
        <f aca="false">H7175-I7175</f>
        <v>3.1</v>
      </c>
      <c r="K7175" s="41" t="n">
        <v>34</v>
      </c>
      <c r="L7175" s="42" t="n">
        <f aca="false">J7175*K7175</f>
        <v>105.4</v>
      </c>
      <c r="M7175" s="43" t="n">
        <f aca="false">H7175*15.05*(1+'Chart of Accounts'!$E$67)</f>
        <v>53.419975</v>
      </c>
    </row>
    <row r="7176" customFormat="false" ht="15" hidden="false" customHeight="false" outlineLevel="0" collapsed="false">
      <c r="B7176" s="7" t="s">
        <v>7673</v>
      </c>
      <c r="C7176" s="39" t="n">
        <v>45985</v>
      </c>
      <c r="D7176" s="7" t="s">
        <v>377</v>
      </c>
      <c r="E7176" s="7" t="s">
        <v>154</v>
      </c>
      <c r="F7176" s="7" t="s">
        <v>214</v>
      </c>
      <c r="G7176" s="7" t="s">
        <v>505</v>
      </c>
      <c r="H7176" s="6" t="n">
        <v>4.1</v>
      </c>
      <c r="I7176" s="6" t="n">
        <v>0</v>
      </c>
      <c r="J7176" s="40" t="n">
        <f aca="false">H7176-I7176</f>
        <v>4.1</v>
      </c>
      <c r="K7176" s="41" t="n">
        <v>26.5</v>
      </c>
      <c r="L7176" s="42" t="n">
        <f aca="false">J7176*K7176</f>
        <v>108.65</v>
      </c>
      <c r="M7176" s="43" t="n">
        <f aca="false">H7176*15.67*(1+'Chart of Accounts'!$E$67)</f>
        <v>73.562815</v>
      </c>
    </row>
    <row r="7177" customFormat="false" ht="15" hidden="false" customHeight="false" outlineLevel="0" collapsed="false">
      <c r="B7177" s="7" t="s">
        <v>7674</v>
      </c>
      <c r="C7177" s="39" t="n">
        <v>45985</v>
      </c>
      <c r="D7177" s="7" t="s">
        <v>379</v>
      </c>
      <c r="E7177" s="7" t="s">
        <v>156</v>
      </c>
      <c r="F7177" s="7" t="s">
        <v>224</v>
      </c>
      <c r="G7177" s="7" t="s">
        <v>505</v>
      </c>
      <c r="H7177" s="6" t="n">
        <v>5.07</v>
      </c>
      <c r="I7177" s="6" t="n">
        <v>0</v>
      </c>
      <c r="J7177" s="40" t="n">
        <f aca="false">H7177-I7177</f>
        <v>5.07</v>
      </c>
      <c r="K7177" s="41" t="n">
        <v>34</v>
      </c>
      <c r="L7177" s="42" t="n">
        <f aca="false">J7177*K7177</f>
        <v>172.38</v>
      </c>
      <c r="M7177" s="43" t="n">
        <f aca="false">H7177*14.93*(1+'Chart of Accounts'!$E$67)</f>
        <v>86.6708895</v>
      </c>
    </row>
    <row r="7178" customFormat="false" ht="15" hidden="false" customHeight="false" outlineLevel="0" collapsed="false">
      <c r="B7178" s="7" t="s">
        <v>7675</v>
      </c>
      <c r="C7178" s="39" t="n">
        <v>45985</v>
      </c>
      <c r="D7178" s="7" t="s">
        <v>385</v>
      </c>
      <c r="E7178" s="7" t="s">
        <v>156</v>
      </c>
      <c r="F7178" s="7" t="s">
        <v>238</v>
      </c>
      <c r="G7178" s="7" t="s">
        <v>505</v>
      </c>
      <c r="H7178" s="6" t="n">
        <v>3.92</v>
      </c>
      <c r="I7178" s="6" t="n">
        <v>0</v>
      </c>
      <c r="J7178" s="40" t="n">
        <f aca="false">H7178-I7178</f>
        <v>3.92</v>
      </c>
      <c r="K7178" s="41" t="n">
        <v>34</v>
      </c>
      <c r="L7178" s="42" t="n">
        <f aca="false">J7178*K7178</f>
        <v>133.28</v>
      </c>
      <c r="M7178" s="43" t="n">
        <f aca="false">H7178*15.85*(1+'Chart of Accounts'!$E$67)</f>
        <v>71.14114</v>
      </c>
    </row>
    <row r="7179" customFormat="false" ht="15" hidden="false" customHeight="false" outlineLevel="0" collapsed="false">
      <c r="B7179" s="7" t="s">
        <v>7676</v>
      </c>
      <c r="C7179" s="39" t="n">
        <v>45985</v>
      </c>
      <c r="D7179" s="7" t="s">
        <v>387</v>
      </c>
      <c r="E7179" s="7" t="s">
        <v>154</v>
      </c>
      <c r="F7179" s="7" t="s">
        <v>196</v>
      </c>
      <c r="G7179" s="7" t="s">
        <v>505</v>
      </c>
      <c r="H7179" s="6" t="n">
        <v>3.87</v>
      </c>
      <c r="I7179" s="6" t="n">
        <v>0</v>
      </c>
      <c r="J7179" s="40" t="n">
        <f aca="false">H7179-I7179</f>
        <v>3.87</v>
      </c>
      <c r="K7179" s="41" t="n">
        <v>26.5</v>
      </c>
      <c r="L7179" s="42" t="n">
        <f aca="false">J7179*K7179</f>
        <v>102.555</v>
      </c>
      <c r="M7179" s="43" t="n">
        <f aca="false">H7179*15.05*(1+'Chart of Accounts'!$E$67)</f>
        <v>66.6888075</v>
      </c>
    </row>
    <row r="7180" customFormat="false" ht="15" hidden="false" customHeight="false" outlineLevel="0" collapsed="false">
      <c r="B7180" s="7" t="s">
        <v>7677</v>
      </c>
      <c r="C7180" s="39" t="n">
        <v>45985</v>
      </c>
      <c r="D7180" s="7" t="s">
        <v>389</v>
      </c>
      <c r="E7180" s="7" t="s">
        <v>154</v>
      </c>
      <c r="F7180" s="7" t="s">
        <v>246</v>
      </c>
      <c r="G7180" s="7" t="s">
        <v>505</v>
      </c>
      <c r="H7180" s="6" t="n">
        <v>3.99</v>
      </c>
      <c r="I7180" s="6" t="n">
        <v>0</v>
      </c>
      <c r="J7180" s="40" t="n">
        <f aca="false">H7180-I7180</f>
        <v>3.99</v>
      </c>
      <c r="K7180" s="41" t="n">
        <v>26.5</v>
      </c>
      <c r="L7180" s="42" t="n">
        <f aca="false">J7180*K7180</f>
        <v>105.735</v>
      </c>
      <c r="M7180" s="43" t="n">
        <f aca="false">H7180*16.48*(1+'Chart of Accounts'!$E$67)</f>
        <v>75.289704</v>
      </c>
    </row>
    <row r="7181" customFormat="false" ht="15" hidden="false" customHeight="false" outlineLevel="0" collapsed="false">
      <c r="B7181" s="7" t="s">
        <v>7678</v>
      </c>
      <c r="C7181" s="39" t="n">
        <v>45985</v>
      </c>
      <c r="D7181" s="7" t="s">
        <v>395</v>
      </c>
      <c r="E7181" s="7" t="s">
        <v>156</v>
      </c>
      <c r="F7181" s="7" t="s">
        <v>242</v>
      </c>
      <c r="G7181" s="7" t="s">
        <v>505</v>
      </c>
      <c r="H7181" s="6" t="n">
        <v>3.75</v>
      </c>
      <c r="I7181" s="6" t="n">
        <v>0</v>
      </c>
      <c r="J7181" s="40" t="n">
        <f aca="false">H7181-I7181</f>
        <v>3.75</v>
      </c>
      <c r="K7181" s="41" t="n">
        <v>34</v>
      </c>
      <c r="L7181" s="42" t="n">
        <f aca="false">J7181*K7181</f>
        <v>127.5</v>
      </c>
      <c r="M7181" s="43" t="n">
        <f aca="false">H7181*17.99*(1+'Chart of Accounts'!$E$67)</f>
        <v>77.2445625</v>
      </c>
    </row>
    <row r="7182" customFormat="false" ht="15" hidden="false" customHeight="false" outlineLevel="0" collapsed="false">
      <c r="B7182" s="7" t="s">
        <v>7679</v>
      </c>
      <c r="C7182" s="39" t="n">
        <v>45985</v>
      </c>
      <c r="D7182" s="7" t="s">
        <v>399</v>
      </c>
      <c r="E7182" s="7" t="s">
        <v>154</v>
      </c>
      <c r="F7182" s="7" t="s">
        <v>250</v>
      </c>
      <c r="G7182" s="7" t="s">
        <v>505</v>
      </c>
      <c r="H7182" s="6" t="n">
        <v>3.28</v>
      </c>
      <c r="I7182" s="6" t="n">
        <v>0</v>
      </c>
      <c r="J7182" s="40" t="n">
        <f aca="false">H7182-I7182</f>
        <v>3.28</v>
      </c>
      <c r="K7182" s="41" t="n">
        <v>26.5</v>
      </c>
      <c r="L7182" s="42" t="n">
        <f aca="false">J7182*K7182</f>
        <v>86.92</v>
      </c>
      <c r="M7182" s="43" t="n">
        <f aca="false">H7182*16.88*(1+'Chart of Accounts'!$E$67)</f>
        <v>63.394528</v>
      </c>
    </row>
    <row r="7183" customFormat="false" ht="15" hidden="false" customHeight="false" outlineLevel="0" collapsed="false">
      <c r="B7183" s="7" t="s">
        <v>7680</v>
      </c>
      <c r="C7183" s="39" t="n">
        <v>45985</v>
      </c>
      <c r="D7183" s="7" t="s">
        <v>401</v>
      </c>
      <c r="E7183" s="7" t="s">
        <v>156</v>
      </c>
      <c r="F7183" s="7" t="s">
        <v>254</v>
      </c>
      <c r="G7183" s="7" t="s">
        <v>505</v>
      </c>
      <c r="H7183" s="6" t="n">
        <v>4.15</v>
      </c>
      <c r="I7183" s="6" t="n">
        <v>0</v>
      </c>
      <c r="J7183" s="40" t="n">
        <f aca="false">H7183-I7183</f>
        <v>4.15</v>
      </c>
      <c r="K7183" s="41" t="n">
        <v>34</v>
      </c>
      <c r="L7183" s="42" t="n">
        <f aca="false">J7183*K7183</f>
        <v>141.1</v>
      </c>
      <c r="M7183" s="43" t="n">
        <f aca="false">H7183*17.1*(1+'Chart of Accounts'!$E$67)</f>
        <v>81.254925</v>
      </c>
    </row>
    <row r="7184" customFormat="false" ht="15" hidden="false" customHeight="false" outlineLevel="0" collapsed="false">
      <c r="B7184" s="7" t="s">
        <v>7681</v>
      </c>
      <c r="C7184" s="39" t="n">
        <v>45985</v>
      </c>
      <c r="D7184" s="7" t="s">
        <v>403</v>
      </c>
      <c r="E7184" s="7" t="s">
        <v>156</v>
      </c>
      <c r="F7184" s="7" t="s">
        <v>184</v>
      </c>
      <c r="G7184" s="7" t="s">
        <v>505</v>
      </c>
      <c r="H7184" s="6" t="n">
        <v>4.09</v>
      </c>
      <c r="I7184" s="6" t="n">
        <v>0</v>
      </c>
      <c r="J7184" s="40" t="n">
        <f aca="false">H7184-I7184</f>
        <v>4.09</v>
      </c>
      <c r="K7184" s="41" t="n">
        <v>34</v>
      </c>
      <c r="L7184" s="42" t="n">
        <f aca="false">J7184*K7184</f>
        <v>139.06</v>
      </c>
      <c r="M7184" s="43" t="n">
        <f aca="false">H7184*17.34*(1+'Chart of Accounts'!$E$67)</f>
        <v>81.204087</v>
      </c>
    </row>
    <row r="7185" customFormat="false" ht="15" hidden="false" customHeight="false" outlineLevel="0" collapsed="false">
      <c r="B7185" s="7" t="s">
        <v>7682</v>
      </c>
      <c r="C7185" s="39" t="n">
        <v>45985</v>
      </c>
      <c r="D7185" s="7" t="s">
        <v>409</v>
      </c>
      <c r="E7185" s="7" t="s">
        <v>154</v>
      </c>
      <c r="F7185" s="7" t="s">
        <v>214</v>
      </c>
      <c r="G7185" s="7" t="s">
        <v>505</v>
      </c>
      <c r="H7185" s="6" t="n">
        <v>3.04</v>
      </c>
      <c r="I7185" s="6" t="n">
        <v>0</v>
      </c>
      <c r="J7185" s="40" t="n">
        <f aca="false">H7185-I7185</f>
        <v>3.04</v>
      </c>
      <c r="K7185" s="41" t="n">
        <v>26.5</v>
      </c>
      <c r="L7185" s="42" t="n">
        <f aca="false">J7185*K7185</f>
        <v>80.56</v>
      </c>
      <c r="M7185" s="43" t="n">
        <f aca="false">H7185*15.67*(1+'Chart of Accounts'!$E$67)</f>
        <v>54.544136</v>
      </c>
    </row>
    <row r="7186" customFormat="false" ht="15" hidden="false" customHeight="false" outlineLevel="0" collapsed="false">
      <c r="B7186" s="7" t="s">
        <v>7683</v>
      </c>
      <c r="C7186" s="39" t="n">
        <v>45985</v>
      </c>
      <c r="D7186" s="7" t="s">
        <v>411</v>
      </c>
      <c r="E7186" s="7" t="s">
        <v>154</v>
      </c>
      <c r="F7186" s="7" t="s">
        <v>177</v>
      </c>
      <c r="G7186" s="7" t="s">
        <v>505</v>
      </c>
      <c r="H7186" s="6" t="n">
        <v>4.63</v>
      </c>
      <c r="I7186" s="6" t="n">
        <v>0</v>
      </c>
      <c r="J7186" s="40" t="n">
        <f aca="false">H7186-I7186</f>
        <v>4.63</v>
      </c>
      <c r="K7186" s="41" t="n">
        <v>26.5</v>
      </c>
      <c r="L7186" s="42" t="n">
        <f aca="false">J7186*K7186</f>
        <v>122.695</v>
      </c>
      <c r="M7186" s="43" t="n">
        <f aca="false">H7186*14.56*(1+'Chart of Accounts'!$E$67)</f>
        <v>77.187656</v>
      </c>
    </row>
    <row r="7187" customFormat="false" ht="15" hidden="false" customHeight="false" outlineLevel="0" collapsed="false">
      <c r="B7187" s="7" t="s">
        <v>7684</v>
      </c>
      <c r="C7187" s="39" t="n">
        <v>45986</v>
      </c>
      <c r="D7187" s="7" t="s">
        <v>288</v>
      </c>
      <c r="E7187" s="7" t="s">
        <v>156</v>
      </c>
      <c r="F7187" s="7" t="s">
        <v>194</v>
      </c>
      <c r="G7187" s="7" t="s">
        <v>505</v>
      </c>
      <c r="H7187" s="6" t="n">
        <v>3.9</v>
      </c>
      <c r="I7187" s="6" t="n">
        <v>0</v>
      </c>
      <c r="J7187" s="40" t="n">
        <f aca="false">H7187-I7187</f>
        <v>3.9</v>
      </c>
      <c r="K7187" s="41" t="n">
        <v>34</v>
      </c>
      <c r="L7187" s="42" t="n">
        <f aca="false">J7187*K7187</f>
        <v>132.6</v>
      </c>
      <c r="M7187" s="43" t="n">
        <f aca="false">H7187*16*(1+'Chart of Accounts'!$E$67)</f>
        <v>71.448</v>
      </c>
    </row>
    <row r="7188" customFormat="false" ht="15" hidden="false" customHeight="false" outlineLevel="0" collapsed="false">
      <c r="B7188" s="7" t="s">
        <v>7685</v>
      </c>
      <c r="C7188" s="39" t="n">
        <v>45986</v>
      </c>
      <c r="D7188" s="7" t="s">
        <v>293</v>
      </c>
      <c r="E7188" s="7" t="s">
        <v>157</v>
      </c>
      <c r="F7188" s="7" t="s">
        <v>198</v>
      </c>
      <c r="G7188" s="7" t="s">
        <v>502</v>
      </c>
      <c r="H7188" s="6" t="n">
        <v>0.93</v>
      </c>
      <c r="I7188" s="6" t="n">
        <v>0</v>
      </c>
      <c r="J7188" s="40" t="n">
        <f aca="false">H7188-I7188</f>
        <v>0.93</v>
      </c>
      <c r="K7188" s="41" t="n">
        <v>165</v>
      </c>
      <c r="L7188" s="42" t="n">
        <f aca="false">J7188*K7188</f>
        <v>153.45</v>
      </c>
      <c r="M7188" s="43" t="n">
        <f aca="false">H7188*48.09*(1+'Chart of Accounts'!$E$67)</f>
        <v>51.2086365</v>
      </c>
    </row>
    <row r="7189" customFormat="false" ht="15" hidden="false" customHeight="false" outlineLevel="0" collapsed="false">
      <c r="B7189" s="7" t="s">
        <v>7686</v>
      </c>
      <c r="C7189" s="39" t="n">
        <v>45986</v>
      </c>
      <c r="D7189" s="7" t="s">
        <v>301</v>
      </c>
      <c r="E7189" s="7" t="s">
        <v>157</v>
      </c>
      <c r="F7189" s="7" t="s">
        <v>209</v>
      </c>
      <c r="G7189" s="7" t="s">
        <v>502</v>
      </c>
      <c r="H7189" s="6" t="n">
        <v>0.98</v>
      </c>
      <c r="I7189" s="6" t="n">
        <v>0</v>
      </c>
      <c r="J7189" s="40" t="n">
        <f aca="false">H7189-I7189</f>
        <v>0.98</v>
      </c>
      <c r="K7189" s="41" t="n">
        <v>165</v>
      </c>
      <c r="L7189" s="42" t="n">
        <f aca="false">J7189*K7189</f>
        <v>161.7</v>
      </c>
      <c r="M7189" s="43" t="n">
        <f aca="false">H7189*73.58*(1+'Chart of Accounts'!$E$67)</f>
        <v>82.564118</v>
      </c>
    </row>
    <row r="7190" customFormat="false" ht="15" hidden="false" customHeight="false" outlineLevel="0" collapsed="false">
      <c r="B7190" s="7" t="s">
        <v>7687</v>
      </c>
      <c r="C7190" s="39" t="n">
        <v>45986</v>
      </c>
      <c r="D7190" s="7" t="s">
        <v>313</v>
      </c>
      <c r="E7190" s="7" t="s">
        <v>156</v>
      </c>
      <c r="F7190" s="7" t="s">
        <v>184</v>
      </c>
      <c r="G7190" s="7" t="s">
        <v>505</v>
      </c>
      <c r="H7190" s="6" t="n">
        <v>4.32</v>
      </c>
      <c r="I7190" s="6" t="n">
        <v>0</v>
      </c>
      <c r="J7190" s="40" t="n">
        <f aca="false">H7190-I7190</f>
        <v>4.32</v>
      </c>
      <c r="K7190" s="41" t="n">
        <v>34</v>
      </c>
      <c r="L7190" s="42" t="n">
        <f aca="false">J7190*K7190</f>
        <v>146.88</v>
      </c>
      <c r="M7190" s="43" t="n">
        <f aca="false">H7190*17.34*(1+'Chart of Accounts'!$E$67)</f>
        <v>85.770576</v>
      </c>
    </row>
    <row r="7191" customFormat="false" ht="15" hidden="false" customHeight="false" outlineLevel="0" collapsed="false">
      <c r="B7191" s="7" t="s">
        <v>7688</v>
      </c>
      <c r="C7191" s="39" t="n">
        <v>45986</v>
      </c>
      <c r="D7191" s="7" t="s">
        <v>319</v>
      </c>
      <c r="E7191" s="7" t="s">
        <v>157</v>
      </c>
      <c r="F7191" s="7" t="s">
        <v>234</v>
      </c>
      <c r="G7191" s="7" t="s">
        <v>502</v>
      </c>
      <c r="H7191" s="6" t="n">
        <v>1.03</v>
      </c>
      <c r="I7191" s="6" t="n">
        <v>0</v>
      </c>
      <c r="J7191" s="40" t="n">
        <f aca="false">H7191-I7191</f>
        <v>1.03</v>
      </c>
      <c r="K7191" s="41" t="n">
        <v>165</v>
      </c>
      <c r="L7191" s="42" t="n">
        <f aca="false">J7191*K7191</f>
        <v>169.95</v>
      </c>
      <c r="M7191" s="43" t="n">
        <f aca="false">H7191*89.53*(1+'Chart of Accounts'!$E$67)</f>
        <v>105.5872055</v>
      </c>
    </row>
    <row r="7192" customFormat="false" ht="15" hidden="false" customHeight="false" outlineLevel="0" collapsed="false">
      <c r="B7192" s="7" t="s">
        <v>7689</v>
      </c>
      <c r="C7192" s="39" t="n">
        <v>45986</v>
      </c>
      <c r="D7192" s="7" t="s">
        <v>321</v>
      </c>
      <c r="E7192" s="7" t="s">
        <v>154</v>
      </c>
      <c r="F7192" s="7" t="s">
        <v>218</v>
      </c>
      <c r="G7192" s="7" t="s">
        <v>505</v>
      </c>
      <c r="H7192" s="6" t="n">
        <v>4.18</v>
      </c>
      <c r="I7192" s="6" t="n">
        <v>0</v>
      </c>
      <c r="J7192" s="40" t="n">
        <f aca="false">H7192-I7192</f>
        <v>4.18</v>
      </c>
      <c r="K7192" s="41" t="n">
        <v>26.5</v>
      </c>
      <c r="L7192" s="42" t="n">
        <f aca="false">J7192*K7192</f>
        <v>110.77</v>
      </c>
      <c r="M7192" s="43" t="n">
        <f aca="false">H7192*16.19*(1+'Chart of Accounts'!$E$67)</f>
        <v>77.486959</v>
      </c>
    </row>
    <row r="7193" customFormat="false" ht="15" hidden="false" customHeight="false" outlineLevel="0" collapsed="false">
      <c r="B7193" s="7" t="s">
        <v>7690</v>
      </c>
      <c r="C7193" s="39" t="n">
        <v>45986</v>
      </c>
      <c r="D7193" s="7" t="s">
        <v>323</v>
      </c>
      <c r="E7193" s="7" t="s">
        <v>159</v>
      </c>
      <c r="F7193" s="7" t="s">
        <v>216</v>
      </c>
      <c r="G7193" s="7" t="s">
        <v>502</v>
      </c>
      <c r="H7193" s="6" t="n">
        <v>1.02</v>
      </c>
      <c r="I7193" s="6" t="n">
        <v>0</v>
      </c>
      <c r="J7193" s="40" t="n">
        <f aca="false">H7193-I7193</f>
        <v>1.02</v>
      </c>
      <c r="K7193" s="41" t="n">
        <v>135</v>
      </c>
      <c r="L7193" s="42" t="n">
        <f aca="false">J7193*K7193</f>
        <v>137.7</v>
      </c>
      <c r="M7193" s="43" t="n">
        <f aca="false">H7193*61.79*(1+'Chart of Accounts'!$E$67)</f>
        <v>72.164541</v>
      </c>
    </row>
    <row r="7194" customFormat="false" ht="15" hidden="false" customHeight="false" outlineLevel="0" collapsed="false">
      <c r="B7194" s="7" t="s">
        <v>7691</v>
      </c>
      <c r="C7194" s="39" t="n">
        <v>45986</v>
      </c>
      <c r="D7194" s="7" t="s">
        <v>327</v>
      </c>
      <c r="E7194" s="7" t="s">
        <v>157</v>
      </c>
      <c r="F7194" s="7" t="s">
        <v>228</v>
      </c>
      <c r="G7194" s="7" t="s">
        <v>502</v>
      </c>
      <c r="H7194" s="6" t="n">
        <v>1.05</v>
      </c>
      <c r="I7194" s="6" t="n">
        <v>0</v>
      </c>
      <c r="J7194" s="40" t="n">
        <f aca="false">H7194-I7194</f>
        <v>1.05</v>
      </c>
      <c r="K7194" s="41" t="n">
        <v>165</v>
      </c>
      <c r="L7194" s="42" t="n">
        <f aca="false">J7194*K7194</f>
        <v>173.25</v>
      </c>
      <c r="M7194" s="43" t="n">
        <f aca="false">H7194*51.07*(1+'Chart of Accounts'!$E$67)</f>
        <v>61.3989075</v>
      </c>
    </row>
    <row r="7195" customFormat="false" ht="15" hidden="false" customHeight="false" outlineLevel="0" collapsed="false">
      <c r="B7195" s="7" t="s">
        <v>7692</v>
      </c>
      <c r="C7195" s="39" t="n">
        <v>45986</v>
      </c>
      <c r="D7195" s="7" t="s">
        <v>329</v>
      </c>
      <c r="E7195" s="7" t="s">
        <v>156</v>
      </c>
      <c r="F7195" s="7" t="s">
        <v>220</v>
      </c>
      <c r="G7195" s="7" t="s">
        <v>505</v>
      </c>
      <c r="H7195" s="6" t="n">
        <v>3.86</v>
      </c>
      <c r="I7195" s="6" t="n">
        <v>0</v>
      </c>
      <c r="J7195" s="40" t="n">
        <f aca="false">H7195-I7195</f>
        <v>3.86</v>
      </c>
      <c r="K7195" s="41" t="n">
        <v>34</v>
      </c>
      <c r="L7195" s="42" t="n">
        <f aca="false">J7195*K7195</f>
        <v>131.24</v>
      </c>
      <c r="M7195" s="43" t="n">
        <f aca="false">H7195*16.43*(1+'Chart of Accounts'!$E$67)</f>
        <v>72.615671</v>
      </c>
    </row>
    <row r="7196" customFormat="false" ht="15" hidden="false" customHeight="false" outlineLevel="0" collapsed="false">
      <c r="B7196" s="7" t="s">
        <v>7693</v>
      </c>
      <c r="C7196" s="39" t="n">
        <v>45986</v>
      </c>
      <c r="D7196" s="7" t="s">
        <v>349</v>
      </c>
      <c r="E7196" s="7" t="s">
        <v>154</v>
      </c>
      <c r="F7196" s="7" t="s">
        <v>244</v>
      </c>
      <c r="G7196" s="7" t="s">
        <v>505</v>
      </c>
      <c r="H7196" s="6" t="n">
        <v>3.83</v>
      </c>
      <c r="I7196" s="6" t="n">
        <v>0</v>
      </c>
      <c r="J7196" s="40" t="n">
        <f aca="false">H7196-I7196</f>
        <v>3.83</v>
      </c>
      <c r="K7196" s="41" t="n">
        <v>26.5</v>
      </c>
      <c r="L7196" s="42" t="n">
        <f aca="false">J7196*K7196</f>
        <v>101.495</v>
      </c>
      <c r="M7196" s="43" t="n">
        <f aca="false">H7196*16.39*(1+'Chart of Accounts'!$E$67)</f>
        <v>71.8758865</v>
      </c>
    </row>
    <row r="7197" customFormat="false" ht="15" hidden="false" customHeight="false" outlineLevel="0" collapsed="false">
      <c r="B7197" s="7" t="s">
        <v>7694</v>
      </c>
      <c r="C7197" s="39" t="n">
        <v>45986</v>
      </c>
      <c r="D7197" s="7" t="s">
        <v>359</v>
      </c>
      <c r="E7197" s="7" t="s">
        <v>156</v>
      </c>
      <c r="F7197" s="7" t="s">
        <v>222</v>
      </c>
      <c r="G7197" s="7" t="s">
        <v>505</v>
      </c>
      <c r="H7197" s="6" t="n">
        <v>4.32</v>
      </c>
      <c r="I7197" s="6" t="n">
        <v>0</v>
      </c>
      <c r="J7197" s="40" t="n">
        <f aca="false">H7197-I7197</f>
        <v>4.32</v>
      </c>
      <c r="K7197" s="41" t="n">
        <v>34</v>
      </c>
      <c r="L7197" s="42" t="n">
        <f aca="false">J7197*K7197</f>
        <v>146.88</v>
      </c>
      <c r="M7197" s="43" t="n">
        <f aca="false">H7197*17.84*(1+'Chart of Accounts'!$E$67)</f>
        <v>88.243776</v>
      </c>
    </row>
    <row r="7198" customFormat="false" ht="15" hidden="false" customHeight="false" outlineLevel="0" collapsed="false">
      <c r="B7198" s="7" t="s">
        <v>7695</v>
      </c>
      <c r="C7198" s="39" t="n">
        <v>45986</v>
      </c>
      <c r="D7198" s="7" t="s">
        <v>361</v>
      </c>
      <c r="E7198" s="7" t="s">
        <v>157</v>
      </c>
      <c r="F7198" s="7" t="s">
        <v>209</v>
      </c>
      <c r="G7198" s="7" t="s">
        <v>502</v>
      </c>
      <c r="H7198" s="6" t="n">
        <v>1.05</v>
      </c>
      <c r="I7198" s="6" t="n">
        <v>0</v>
      </c>
      <c r="J7198" s="40" t="n">
        <f aca="false">H7198-I7198</f>
        <v>1.05</v>
      </c>
      <c r="K7198" s="41" t="n">
        <v>165</v>
      </c>
      <c r="L7198" s="42" t="n">
        <f aca="false">J7198*K7198</f>
        <v>173.25</v>
      </c>
      <c r="M7198" s="43" t="n">
        <f aca="false">H7198*73.58*(1+'Chart of Accounts'!$E$67)</f>
        <v>88.461555</v>
      </c>
    </row>
    <row r="7199" customFormat="false" ht="15" hidden="false" customHeight="false" outlineLevel="0" collapsed="false">
      <c r="B7199" s="7" t="s">
        <v>7696</v>
      </c>
      <c r="C7199" s="39" t="n">
        <v>45986</v>
      </c>
      <c r="D7199" s="7" t="s">
        <v>365</v>
      </c>
      <c r="E7199" s="7" t="s">
        <v>154</v>
      </c>
      <c r="F7199" s="7" t="s">
        <v>194</v>
      </c>
      <c r="G7199" s="7" t="s">
        <v>505</v>
      </c>
      <c r="H7199" s="6" t="n">
        <v>3.7</v>
      </c>
      <c r="I7199" s="6" t="n">
        <v>0</v>
      </c>
      <c r="J7199" s="40" t="n">
        <f aca="false">H7199-I7199</f>
        <v>3.7</v>
      </c>
      <c r="K7199" s="41" t="n">
        <v>26.5</v>
      </c>
      <c r="L7199" s="42" t="n">
        <f aca="false">J7199*K7199</f>
        <v>98.05</v>
      </c>
      <c r="M7199" s="43" t="n">
        <f aca="false">H7199*16*(1+'Chart of Accounts'!$E$67)</f>
        <v>67.784</v>
      </c>
    </row>
    <row r="7200" customFormat="false" ht="15" hidden="false" customHeight="false" outlineLevel="0" collapsed="false">
      <c r="B7200" s="7" t="s">
        <v>7697</v>
      </c>
      <c r="C7200" s="39" t="n">
        <v>45986</v>
      </c>
      <c r="D7200" s="7" t="s">
        <v>369</v>
      </c>
      <c r="E7200" s="7" t="s">
        <v>159</v>
      </c>
      <c r="F7200" s="7" t="s">
        <v>258</v>
      </c>
      <c r="G7200" s="7" t="s">
        <v>502</v>
      </c>
      <c r="H7200" s="6" t="n">
        <v>0.95</v>
      </c>
      <c r="I7200" s="6" t="n">
        <v>0</v>
      </c>
      <c r="J7200" s="40" t="n">
        <f aca="false">H7200-I7200</f>
        <v>0.95</v>
      </c>
      <c r="K7200" s="41" t="n">
        <v>135</v>
      </c>
      <c r="L7200" s="42" t="n">
        <f aca="false">J7200*K7200</f>
        <v>128.25</v>
      </c>
      <c r="M7200" s="43" t="n">
        <f aca="false">H7200*61.61*(1+'Chart of Accounts'!$E$67)</f>
        <v>67.0162775</v>
      </c>
    </row>
    <row r="7201" customFormat="false" ht="15" hidden="false" customHeight="false" outlineLevel="0" collapsed="false">
      <c r="B7201" s="7" t="s">
        <v>7698</v>
      </c>
      <c r="C7201" s="39" t="n">
        <v>45986</v>
      </c>
      <c r="D7201" s="7" t="s">
        <v>381</v>
      </c>
      <c r="E7201" s="7" t="s">
        <v>157</v>
      </c>
      <c r="F7201" s="7" t="s">
        <v>234</v>
      </c>
      <c r="G7201" s="7" t="s">
        <v>502</v>
      </c>
      <c r="H7201" s="6" t="n">
        <v>0.97</v>
      </c>
      <c r="I7201" s="6" t="n">
        <v>0</v>
      </c>
      <c r="J7201" s="40" t="n">
        <f aca="false">H7201-I7201</f>
        <v>0.97</v>
      </c>
      <c r="K7201" s="41" t="n">
        <v>165</v>
      </c>
      <c r="L7201" s="42" t="n">
        <f aca="false">J7201*K7201</f>
        <v>160.05</v>
      </c>
      <c r="M7201" s="43" t="n">
        <f aca="false">H7201*89.53*(1+'Chart of Accounts'!$E$67)</f>
        <v>99.4364945</v>
      </c>
    </row>
    <row r="7202" customFormat="false" ht="15" hidden="false" customHeight="false" outlineLevel="0" collapsed="false">
      <c r="B7202" s="7" t="s">
        <v>7699</v>
      </c>
      <c r="C7202" s="39" t="n">
        <v>45986</v>
      </c>
      <c r="D7202" s="7" t="s">
        <v>383</v>
      </c>
      <c r="E7202" s="7" t="s">
        <v>157</v>
      </c>
      <c r="F7202" s="7" t="s">
        <v>230</v>
      </c>
      <c r="G7202" s="7" t="s">
        <v>502</v>
      </c>
      <c r="H7202" s="6" t="n">
        <v>1.07</v>
      </c>
      <c r="I7202" s="6" t="n">
        <v>0.054</v>
      </c>
      <c r="J7202" s="40" t="n">
        <f aca="false">H7202-I7202</f>
        <v>1.016</v>
      </c>
      <c r="K7202" s="41" t="n">
        <v>165</v>
      </c>
      <c r="L7202" s="42" t="n">
        <f aca="false">J7202*K7202</f>
        <v>167.64</v>
      </c>
      <c r="M7202" s="43" t="n">
        <f aca="false">H7202*48.78*(1+'Chart of Accounts'!$E$67)</f>
        <v>59.762817</v>
      </c>
    </row>
    <row r="7203" customFormat="false" ht="15" hidden="false" customHeight="false" outlineLevel="0" collapsed="false">
      <c r="B7203" s="7" t="s">
        <v>7700</v>
      </c>
      <c r="C7203" s="39" t="n">
        <v>45986</v>
      </c>
      <c r="D7203" s="7" t="s">
        <v>387</v>
      </c>
      <c r="E7203" s="7" t="s">
        <v>154</v>
      </c>
      <c r="F7203" s="7" t="s">
        <v>196</v>
      </c>
      <c r="G7203" s="7" t="s">
        <v>505</v>
      </c>
      <c r="H7203" s="6" t="n">
        <v>3.74</v>
      </c>
      <c r="I7203" s="6" t="n">
        <v>0</v>
      </c>
      <c r="J7203" s="40" t="n">
        <f aca="false">H7203-I7203</f>
        <v>3.74</v>
      </c>
      <c r="K7203" s="41" t="n">
        <v>26.5</v>
      </c>
      <c r="L7203" s="42" t="n">
        <f aca="false">J7203*K7203</f>
        <v>99.11</v>
      </c>
      <c r="M7203" s="43" t="n">
        <f aca="false">H7203*15.05*(1+'Chart of Accounts'!$E$67)</f>
        <v>64.448615</v>
      </c>
    </row>
    <row r="7204" customFormat="false" ht="15" hidden="false" customHeight="false" outlineLevel="0" collapsed="false">
      <c r="B7204" s="7" t="s">
        <v>7701</v>
      </c>
      <c r="C7204" s="39" t="n">
        <v>45986</v>
      </c>
      <c r="D7204" s="7" t="s">
        <v>389</v>
      </c>
      <c r="E7204" s="7" t="s">
        <v>154</v>
      </c>
      <c r="F7204" s="7" t="s">
        <v>246</v>
      </c>
      <c r="G7204" s="7" t="s">
        <v>505</v>
      </c>
      <c r="H7204" s="6" t="n">
        <v>3.61</v>
      </c>
      <c r="I7204" s="6" t="n">
        <v>0</v>
      </c>
      <c r="J7204" s="40" t="n">
        <f aca="false">H7204-I7204</f>
        <v>3.61</v>
      </c>
      <c r="K7204" s="41" t="n">
        <v>26.5</v>
      </c>
      <c r="L7204" s="42" t="n">
        <f aca="false">J7204*K7204</f>
        <v>95.665</v>
      </c>
      <c r="M7204" s="43" t="n">
        <f aca="false">H7204*16.48*(1+'Chart of Accounts'!$E$67)</f>
        <v>68.119256</v>
      </c>
    </row>
    <row r="7205" customFormat="false" ht="15" hidden="false" customHeight="false" outlineLevel="0" collapsed="false">
      <c r="B7205" s="7" t="s">
        <v>7702</v>
      </c>
      <c r="C7205" s="39" t="n">
        <v>45986</v>
      </c>
      <c r="D7205" s="7" t="s">
        <v>391</v>
      </c>
      <c r="E7205" s="7" t="s">
        <v>156</v>
      </c>
      <c r="F7205" s="7" t="s">
        <v>222</v>
      </c>
      <c r="G7205" s="7" t="s">
        <v>505</v>
      </c>
      <c r="H7205" s="6" t="n">
        <v>3.65</v>
      </c>
      <c r="I7205" s="6" t="n">
        <v>0</v>
      </c>
      <c r="J7205" s="40" t="n">
        <f aca="false">H7205-I7205</f>
        <v>3.65</v>
      </c>
      <c r="K7205" s="41" t="n">
        <v>34</v>
      </c>
      <c r="L7205" s="42" t="n">
        <f aca="false">J7205*K7205</f>
        <v>124.1</v>
      </c>
      <c r="M7205" s="43" t="n">
        <f aca="false">H7205*17.84*(1+'Chart of Accounts'!$E$67)</f>
        <v>74.55782</v>
      </c>
    </row>
    <row r="7206" customFormat="false" ht="15" hidden="false" customHeight="false" outlineLevel="0" collapsed="false">
      <c r="B7206" s="7" t="s">
        <v>7703</v>
      </c>
      <c r="C7206" s="39" t="n">
        <v>45986</v>
      </c>
      <c r="D7206" s="7" t="s">
        <v>395</v>
      </c>
      <c r="E7206" s="7" t="s">
        <v>156</v>
      </c>
      <c r="F7206" s="7" t="s">
        <v>242</v>
      </c>
      <c r="G7206" s="7" t="s">
        <v>505</v>
      </c>
      <c r="H7206" s="6" t="n">
        <v>4.13</v>
      </c>
      <c r="I7206" s="6" t="n">
        <v>0</v>
      </c>
      <c r="J7206" s="40" t="n">
        <f aca="false">H7206-I7206</f>
        <v>4.13</v>
      </c>
      <c r="K7206" s="41" t="n">
        <v>34</v>
      </c>
      <c r="L7206" s="42" t="n">
        <f aca="false">J7206*K7206</f>
        <v>140.42</v>
      </c>
      <c r="M7206" s="43" t="n">
        <f aca="false">H7206*17.99*(1+'Chart of Accounts'!$E$67)</f>
        <v>85.0720115</v>
      </c>
    </row>
    <row r="7207" customFormat="false" ht="15" hidden="false" customHeight="false" outlineLevel="0" collapsed="false">
      <c r="B7207" s="7" t="s">
        <v>7704</v>
      </c>
      <c r="C7207" s="39" t="n">
        <v>45986</v>
      </c>
      <c r="D7207" s="7" t="s">
        <v>397</v>
      </c>
      <c r="E7207" s="7" t="s">
        <v>159</v>
      </c>
      <c r="F7207" s="7" t="s">
        <v>203</v>
      </c>
      <c r="G7207" s="7" t="s">
        <v>502</v>
      </c>
      <c r="H7207" s="6" t="n">
        <v>1.02</v>
      </c>
      <c r="I7207" s="6" t="n">
        <v>0</v>
      </c>
      <c r="J7207" s="40" t="n">
        <f aca="false">H7207-I7207</f>
        <v>1.02</v>
      </c>
      <c r="K7207" s="41" t="n">
        <v>135</v>
      </c>
      <c r="L7207" s="42" t="n">
        <f aca="false">J7207*K7207</f>
        <v>137.7</v>
      </c>
      <c r="M7207" s="43" t="n">
        <f aca="false">H7207*49.43*(1+'Chart of Accounts'!$E$67)</f>
        <v>57.729297</v>
      </c>
    </row>
    <row r="7208" customFormat="false" ht="15" hidden="false" customHeight="false" outlineLevel="0" collapsed="false">
      <c r="B7208" s="7" t="s">
        <v>7705</v>
      </c>
      <c r="C7208" s="39" t="n">
        <v>45986</v>
      </c>
      <c r="D7208" s="7" t="s">
        <v>401</v>
      </c>
      <c r="E7208" s="7" t="s">
        <v>156</v>
      </c>
      <c r="F7208" s="7" t="s">
        <v>254</v>
      </c>
      <c r="G7208" s="7" t="s">
        <v>505</v>
      </c>
      <c r="H7208" s="6" t="n">
        <v>4.28</v>
      </c>
      <c r="I7208" s="6" t="n">
        <v>0</v>
      </c>
      <c r="J7208" s="40" t="n">
        <f aca="false">H7208-I7208</f>
        <v>4.28</v>
      </c>
      <c r="K7208" s="41" t="n">
        <v>34</v>
      </c>
      <c r="L7208" s="42" t="n">
        <f aca="false">J7208*K7208</f>
        <v>145.52</v>
      </c>
      <c r="M7208" s="43" t="n">
        <f aca="false">H7208*17.1*(1+'Chart of Accounts'!$E$67)</f>
        <v>83.80026</v>
      </c>
    </row>
    <row r="7209" customFormat="false" ht="15" hidden="false" customHeight="false" outlineLevel="0" collapsed="false">
      <c r="B7209" s="7" t="s">
        <v>7706</v>
      </c>
      <c r="C7209" s="39" t="n">
        <v>45986</v>
      </c>
      <c r="D7209" s="7" t="s">
        <v>407</v>
      </c>
      <c r="E7209" s="7" t="s">
        <v>159</v>
      </c>
      <c r="F7209" s="7" t="s">
        <v>260</v>
      </c>
      <c r="G7209" s="7" t="s">
        <v>502</v>
      </c>
      <c r="H7209" s="6" t="n">
        <v>1.06</v>
      </c>
      <c r="I7209" s="6" t="n">
        <v>0</v>
      </c>
      <c r="J7209" s="40" t="n">
        <f aca="false">H7209-I7209</f>
        <v>1.06</v>
      </c>
      <c r="K7209" s="41" t="n">
        <v>135</v>
      </c>
      <c r="L7209" s="42" t="n">
        <f aca="false">J7209*K7209</f>
        <v>143.1</v>
      </c>
      <c r="M7209" s="43" t="n">
        <f aca="false">H7209*79.8*(1+'Chart of Accounts'!$E$67)</f>
        <v>96.85326</v>
      </c>
    </row>
    <row r="7210" customFormat="false" ht="15" hidden="false" customHeight="false" outlineLevel="0" collapsed="false">
      <c r="B7210" s="7" t="s">
        <v>7707</v>
      </c>
      <c r="C7210" s="39" t="n">
        <v>45987</v>
      </c>
      <c r="D7210" s="7" t="s">
        <v>288</v>
      </c>
      <c r="E7210" s="7" t="s">
        <v>156</v>
      </c>
      <c r="F7210" s="7" t="s">
        <v>201</v>
      </c>
      <c r="G7210" s="7" t="s">
        <v>505</v>
      </c>
      <c r="H7210" s="6" t="n">
        <v>3.82</v>
      </c>
      <c r="I7210" s="6" t="n">
        <v>0</v>
      </c>
      <c r="J7210" s="40" t="n">
        <f aca="false">H7210-I7210</f>
        <v>3.82</v>
      </c>
      <c r="K7210" s="41" t="n">
        <v>34</v>
      </c>
      <c r="L7210" s="42" t="n">
        <f aca="false">J7210*K7210</f>
        <v>129.88</v>
      </c>
      <c r="M7210" s="43" t="n">
        <f aca="false">H7210*15.19*(1+'Chart of Accounts'!$E$67)</f>
        <v>66.439541</v>
      </c>
    </row>
    <row r="7211" customFormat="false" ht="15" hidden="false" customHeight="false" outlineLevel="0" collapsed="false">
      <c r="B7211" s="7" t="s">
        <v>7708</v>
      </c>
      <c r="C7211" s="39" t="n">
        <v>45987</v>
      </c>
      <c r="D7211" s="7" t="s">
        <v>291</v>
      </c>
      <c r="E7211" s="7" t="s">
        <v>154</v>
      </c>
      <c r="F7211" s="7" t="s">
        <v>194</v>
      </c>
      <c r="G7211" s="7" t="s">
        <v>505</v>
      </c>
      <c r="H7211" s="6" t="n">
        <v>4.57</v>
      </c>
      <c r="I7211" s="6" t="n">
        <v>0</v>
      </c>
      <c r="J7211" s="40" t="n">
        <f aca="false">H7211-I7211</f>
        <v>4.57</v>
      </c>
      <c r="K7211" s="41" t="n">
        <v>26.5</v>
      </c>
      <c r="L7211" s="42" t="n">
        <f aca="false">J7211*K7211</f>
        <v>121.105</v>
      </c>
      <c r="M7211" s="43" t="n">
        <f aca="false">H7211*16*(1+'Chart of Accounts'!$E$67)</f>
        <v>83.7224</v>
      </c>
    </row>
    <row r="7212" customFormat="false" ht="15" hidden="false" customHeight="false" outlineLevel="0" collapsed="false">
      <c r="B7212" s="7" t="s">
        <v>7709</v>
      </c>
      <c r="C7212" s="39" t="n">
        <v>45987</v>
      </c>
      <c r="D7212" s="7" t="s">
        <v>295</v>
      </c>
      <c r="E7212" s="7" t="s">
        <v>154</v>
      </c>
      <c r="F7212" s="7" t="s">
        <v>214</v>
      </c>
      <c r="G7212" s="7" t="s">
        <v>505</v>
      </c>
      <c r="H7212" s="6" t="n">
        <v>4.08</v>
      </c>
      <c r="I7212" s="6" t="n">
        <v>0.122</v>
      </c>
      <c r="J7212" s="40" t="n">
        <f aca="false">H7212-I7212</f>
        <v>3.958</v>
      </c>
      <c r="K7212" s="41" t="n">
        <v>26.5</v>
      </c>
      <c r="L7212" s="42" t="n">
        <f aca="false">J7212*K7212</f>
        <v>104.887</v>
      </c>
      <c r="M7212" s="43" t="n">
        <f aca="false">H7212*15.67*(1+'Chart of Accounts'!$E$67)</f>
        <v>73.203972</v>
      </c>
    </row>
    <row r="7213" customFormat="false" ht="15" hidden="false" customHeight="false" outlineLevel="0" collapsed="false">
      <c r="B7213" s="7" t="s">
        <v>7710</v>
      </c>
      <c r="C7213" s="39" t="n">
        <v>45987</v>
      </c>
      <c r="D7213" s="7" t="s">
        <v>305</v>
      </c>
      <c r="E7213" s="7" t="s">
        <v>154</v>
      </c>
      <c r="F7213" s="7" t="s">
        <v>205</v>
      </c>
      <c r="G7213" s="7" t="s">
        <v>505</v>
      </c>
      <c r="H7213" s="6" t="n">
        <v>3.84</v>
      </c>
      <c r="I7213" s="6" t="n">
        <v>0.115</v>
      </c>
      <c r="J7213" s="40" t="n">
        <f aca="false">H7213-I7213</f>
        <v>3.725</v>
      </c>
      <c r="K7213" s="41" t="n">
        <v>26.5</v>
      </c>
      <c r="L7213" s="42" t="n">
        <f aca="false">J7213*K7213</f>
        <v>98.7125</v>
      </c>
      <c r="M7213" s="43" t="n">
        <f aca="false">H7213*16.36*(1+'Chart of Accounts'!$E$67)</f>
        <v>71.931648</v>
      </c>
    </row>
    <row r="7214" customFormat="false" ht="15" hidden="false" customHeight="false" outlineLevel="0" collapsed="false">
      <c r="B7214" s="7" t="s">
        <v>7711</v>
      </c>
      <c r="C7214" s="39" t="n">
        <v>45987</v>
      </c>
      <c r="D7214" s="7" t="s">
        <v>307</v>
      </c>
      <c r="E7214" s="7" t="s">
        <v>157</v>
      </c>
      <c r="F7214" s="7" t="s">
        <v>264</v>
      </c>
      <c r="G7214" s="7" t="s">
        <v>502</v>
      </c>
      <c r="H7214" s="6" t="n">
        <v>0.93</v>
      </c>
      <c r="I7214" s="6" t="n">
        <v>0</v>
      </c>
      <c r="J7214" s="40" t="n">
        <f aca="false">H7214-I7214</f>
        <v>0.93</v>
      </c>
      <c r="K7214" s="41" t="n">
        <v>165</v>
      </c>
      <c r="L7214" s="42" t="n">
        <f aca="false">J7214*K7214</f>
        <v>153.45</v>
      </c>
      <c r="M7214" s="43" t="n">
        <f aca="false">H7214*55.55*(1+'Chart of Accounts'!$E$67)</f>
        <v>59.1524175</v>
      </c>
    </row>
    <row r="7215" customFormat="false" ht="15" hidden="false" customHeight="false" outlineLevel="0" collapsed="false">
      <c r="B7215" s="7" t="s">
        <v>7712</v>
      </c>
      <c r="C7215" s="39" t="n">
        <v>45987</v>
      </c>
      <c r="D7215" s="7" t="s">
        <v>309</v>
      </c>
      <c r="E7215" s="7" t="s">
        <v>159</v>
      </c>
      <c r="F7215" s="7" t="s">
        <v>252</v>
      </c>
      <c r="G7215" s="7" t="s">
        <v>502</v>
      </c>
      <c r="H7215" s="6" t="n">
        <v>1.01</v>
      </c>
      <c r="I7215" s="6" t="n">
        <v>0</v>
      </c>
      <c r="J7215" s="40" t="n">
        <f aca="false">H7215-I7215</f>
        <v>1.01</v>
      </c>
      <c r="K7215" s="41" t="n">
        <v>135</v>
      </c>
      <c r="L7215" s="42" t="n">
        <f aca="false">J7215*K7215</f>
        <v>136.35</v>
      </c>
      <c r="M7215" s="43" t="n">
        <f aca="false">H7215*57.54*(1+'Chart of Accounts'!$E$67)</f>
        <v>66.542133</v>
      </c>
    </row>
    <row r="7216" customFormat="false" ht="15" hidden="false" customHeight="false" outlineLevel="0" collapsed="false">
      <c r="B7216" s="7" t="s">
        <v>7713</v>
      </c>
      <c r="C7216" s="39" t="n">
        <v>45987</v>
      </c>
      <c r="D7216" s="7" t="s">
        <v>313</v>
      </c>
      <c r="E7216" s="7" t="s">
        <v>156</v>
      </c>
      <c r="F7216" s="7" t="s">
        <v>184</v>
      </c>
      <c r="G7216" s="7" t="s">
        <v>505</v>
      </c>
      <c r="H7216" s="6" t="n">
        <v>3.89</v>
      </c>
      <c r="I7216" s="6" t="n">
        <v>0</v>
      </c>
      <c r="J7216" s="40" t="n">
        <f aca="false">H7216-I7216</f>
        <v>3.89</v>
      </c>
      <c r="K7216" s="41" t="n">
        <v>34</v>
      </c>
      <c r="L7216" s="42" t="n">
        <f aca="false">J7216*K7216</f>
        <v>132.26</v>
      </c>
      <c r="M7216" s="43" t="n">
        <f aca="false">H7216*17.34*(1+'Chart of Accounts'!$E$67)</f>
        <v>77.233227</v>
      </c>
    </row>
    <row r="7217" customFormat="false" ht="15" hidden="false" customHeight="false" outlineLevel="0" collapsed="false">
      <c r="B7217" s="7" t="s">
        <v>7714</v>
      </c>
      <c r="C7217" s="39" t="n">
        <v>45987</v>
      </c>
      <c r="D7217" s="7" t="s">
        <v>315</v>
      </c>
      <c r="E7217" s="7" t="s">
        <v>159</v>
      </c>
      <c r="F7217" s="7" t="s">
        <v>216</v>
      </c>
      <c r="G7217" s="7" t="s">
        <v>502</v>
      </c>
      <c r="H7217" s="6" t="n">
        <v>0.98</v>
      </c>
      <c r="I7217" s="6" t="n">
        <v>0</v>
      </c>
      <c r="J7217" s="40" t="n">
        <f aca="false">H7217-I7217</f>
        <v>0.98</v>
      </c>
      <c r="K7217" s="41" t="n">
        <v>135</v>
      </c>
      <c r="L7217" s="42" t="n">
        <f aca="false">J7217*K7217</f>
        <v>132.3</v>
      </c>
      <c r="M7217" s="43" t="n">
        <f aca="false">H7217*61.79*(1+'Chart of Accounts'!$E$67)</f>
        <v>69.334559</v>
      </c>
    </row>
    <row r="7218" customFormat="false" ht="15" hidden="false" customHeight="false" outlineLevel="0" collapsed="false">
      <c r="B7218" s="7" t="s">
        <v>7715</v>
      </c>
      <c r="C7218" s="39" t="n">
        <v>45987</v>
      </c>
      <c r="D7218" s="7" t="s">
        <v>329</v>
      </c>
      <c r="E7218" s="7" t="s">
        <v>156</v>
      </c>
      <c r="F7218" s="7" t="s">
        <v>220</v>
      </c>
      <c r="G7218" s="7" t="s">
        <v>505</v>
      </c>
      <c r="H7218" s="6" t="n">
        <v>4.39</v>
      </c>
      <c r="I7218" s="6" t="n">
        <v>0</v>
      </c>
      <c r="J7218" s="40" t="n">
        <f aca="false">H7218-I7218</f>
        <v>4.39</v>
      </c>
      <c r="K7218" s="41" t="n">
        <v>34</v>
      </c>
      <c r="L7218" s="42" t="n">
        <f aca="false">J7218*K7218</f>
        <v>149.26</v>
      </c>
      <c r="M7218" s="43" t="n">
        <f aca="false">H7218*16.43*(1+'Chart of Accounts'!$E$67)</f>
        <v>82.5862165</v>
      </c>
    </row>
    <row r="7219" customFormat="false" ht="15" hidden="false" customHeight="false" outlineLevel="0" collapsed="false">
      <c r="B7219" s="7" t="s">
        <v>7716</v>
      </c>
      <c r="C7219" s="39" t="n">
        <v>45987</v>
      </c>
      <c r="D7219" s="7" t="s">
        <v>333</v>
      </c>
      <c r="E7219" s="7" t="s">
        <v>154</v>
      </c>
      <c r="F7219" s="7" t="s">
        <v>236</v>
      </c>
      <c r="G7219" s="7" t="s">
        <v>505</v>
      </c>
      <c r="H7219" s="6" t="n">
        <v>3.65</v>
      </c>
      <c r="I7219" s="6" t="n">
        <v>0</v>
      </c>
      <c r="J7219" s="40" t="n">
        <f aca="false">H7219-I7219</f>
        <v>3.65</v>
      </c>
      <c r="K7219" s="41" t="n">
        <v>26.5</v>
      </c>
      <c r="L7219" s="42" t="n">
        <f aca="false">J7219*K7219</f>
        <v>96.725</v>
      </c>
      <c r="M7219" s="43" t="n">
        <f aca="false">H7219*15.49*(1+'Chart of Accounts'!$E$67)</f>
        <v>64.7365825</v>
      </c>
    </row>
    <row r="7220" customFormat="false" ht="15" hidden="false" customHeight="false" outlineLevel="0" collapsed="false">
      <c r="B7220" s="7" t="s">
        <v>7717</v>
      </c>
      <c r="C7220" s="39" t="n">
        <v>45987</v>
      </c>
      <c r="D7220" s="7" t="s">
        <v>335</v>
      </c>
      <c r="E7220" s="7" t="s">
        <v>154</v>
      </c>
      <c r="F7220" s="7" t="s">
        <v>177</v>
      </c>
      <c r="G7220" s="7" t="s">
        <v>505</v>
      </c>
      <c r="H7220" s="6" t="n">
        <v>3.73</v>
      </c>
      <c r="I7220" s="6" t="n">
        <v>0</v>
      </c>
      <c r="J7220" s="40" t="n">
        <f aca="false">H7220-I7220</f>
        <v>3.73</v>
      </c>
      <c r="K7220" s="41" t="n">
        <v>26.5</v>
      </c>
      <c r="L7220" s="42" t="n">
        <f aca="false">J7220*K7220</f>
        <v>98.845</v>
      </c>
      <c r="M7220" s="43" t="n">
        <f aca="false">H7220*14.56*(1+'Chart of Accounts'!$E$67)</f>
        <v>62.183576</v>
      </c>
    </row>
    <row r="7221" customFormat="false" ht="15" hidden="false" customHeight="false" outlineLevel="0" collapsed="false">
      <c r="B7221" s="7" t="s">
        <v>7718</v>
      </c>
      <c r="C7221" s="39" t="n">
        <v>45987</v>
      </c>
      <c r="D7221" s="7" t="s">
        <v>339</v>
      </c>
      <c r="E7221" s="7" t="s">
        <v>154</v>
      </c>
      <c r="F7221" s="7" t="s">
        <v>242</v>
      </c>
      <c r="G7221" s="7" t="s">
        <v>505</v>
      </c>
      <c r="H7221" s="6" t="n">
        <v>3.63</v>
      </c>
      <c r="I7221" s="6" t="n">
        <v>0</v>
      </c>
      <c r="J7221" s="40" t="n">
        <f aca="false">H7221-I7221</f>
        <v>3.63</v>
      </c>
      <c r="K7221" s="41" t="n">
        <v>26.5</v>
      </c>
      <c r="L7221" s="42" t="n">
        <f aca="false">J7221*K7221</f>
        <v>96.195</v>
      </c>
      <c r="M7221" s="43" t="n">
        <f aca="false">H7221*17.99*(1+'Chart of Accounts'!$E$67)</f>
        <v>74.7727365</v>
      </c>
    </row>
    <row r="7222" customFormat="false" ht="15" hidden="false" customHeight="false" outlineLevel="0" collapsed="false">
      <c r="B7222" s="7" t="s">
        <v>7719</v>
      </c>
      <c r="C7222" s="39" t="n">
        <v>45987</v>
      </c>
      <c r="D7222" s="7" t="s">
        <v>349</v>
      </c>
      <c r="E7222" s="7" t="s">
        <v>154</v>
      </c>
      <c r="F7222" s="7" t="s">
        <v>244</v>
      </c>
      <c r="G7222" s="7" t="s">
        <v>505</v>
      </c>
      <c r="H7222" s="6" t="n">
        <v>3.64</v>
      </c>
      <c r="I7222" s="6" t="n">
        <v>0</v>
      </c>
      <c r="J7222" s="40" t="n">
        <f aca="false">H7222-I7222</f>
        <v>3.64</v>
      </c>
      <c r="K7222" s="41" t="n">
        <v>26.5</v>
      </c>
      <c r="L7222" s="42" t="n">
        <f aca="false">J7222*K7222</f>
        <v>96.46</v>
      </c>
      <c r="M7222" s="43" t="n">
        <f aca="false">H7222*16.39*(1+'Chart of Accounts'!$E$67)</f>
        <v>68.310242</v>
      </c>
    </row>
    <row r="7223" customFormat="false" ht="15" hidden="false" customHeight="false" outlineLevel="0" collapsed="false">
      <c r="B7223" s="7" t="s">
        <v>7720</v>
      </c>
      <c r="C7223" s="39" t="n">
        <v>45987</v>
      </c>
      <c r="D7223" s="7" t="s">
        <v>353</v>
      </c>
      <c r="E7223" s="7" t="s">
        <v>154</v>
      </c>
      <c r="F7223" s="7" t="s">
        <v>254</v>
      </c>
      <c r="G7223" s="7" t="s">
        <v>505</v>
      </c>
      <c r="H7223" s="6" t="n">
        <v>3.07</v>
      </c>
      <c r="I7223" s="6" t="n">
        <v>0</v>
      </c>
      <c r="J7223" s="40" t="n">
        <f aca="false">H7223-I7223</f>
        <v>3.07</v>
      </c>
      <c r="K7223" s="41" t="n">
        <v>26.5</v>
      </c>
      <c r="L7223" s="42" t="n">
        <f aca="false">J7223*K7223</f>
        <v>81.355</v>
      </c>
      <c r="M7223" s="43" t="n">
        <f aca="false">H7223*17.1*(1+'Chart of Accounts'!$E$67)</f>
        <v>60.109065</v>
      </c>
    </row>
    <row r="7224" customFormat="false" ht="15" hidden="false" customHeight="false" outlineLevel="0" collapsed="false">
      <c r="B7224" s="7" t="s">
        <v>7721</v>
      </c>
      <c r="C7224" s="39" t="n">
        <v>45987</v>
      </c>
      <c r="D7224" s="7" t="s">
        <v>355</v>
      </c>
      <c r="E7224" s="7" t="s">
        <v>154</v>
      </c>
      <c r="F7224" s="7" t="s">
        <v>201</v>
      </c>
      <c r="G7224" s="7" t="s">
        <v>505</v>
      </c>
      <c r="H7224" s="6" t="n">
        <v>3.25</v>
      </c>
      <c r="I7224" s="6" t="n">
        <v>0</v>
      </c>
      <c r="J7224" s="40" t="n">
        <f aca="false">H7224-I7224</f>
        <v>3.25</v>
      </c>
      <c r="K7224" s="41" t="n">
        <v>26.5</v>
      </c>
      <c r="L7224" s="42" t="n">
        <f aca="false">J7224*K7224</f>
        <v>86.125</v>
      </c>
      <c r="M7224" s="43" t="n">
        <f aca="false">H7224*15.19*(1+'Chart of Accounts'!$E$67)</f>
        <v>56.5257875</v>
      </c>
    </row>
    <row r="7225" customFormat="false" ht="15" hidden="false" customHeight="false" outlineLevel="0" collapsed="false">
      <c r="B7225" s="7" t="s">
        <v>7722</v>
      </c>
      <c r="C7225" s="39" t="n">
        <v>45987</v>
      </c>
      <c r="D7225" s="7" t="s">
        <v>357</v>
      </c>
      <c r="E7225" s="7" t="s">
        <v>154</v>
      </c>
      <c r="F7225" s="7" t="s">
        <v>184</v>
      </c>
      <c r="G7225" s="7" t="s">
        <v>505</v>
      </c>
      <c r="H7225" s="6" t="n">
        <v>3.06</v>
      </c>
      <c r="I7225" s="6" t="n">
        <v>0</v>
      </c>
      <c r="J7225" s="40" t="n">
        <f aca="false">H7225-I7225</f>
        <v>3.06</v>
      </c>
      <c r="K7225" s="41" t="n">
        <v>26.5</v>
      </c>
      <c r="L7225" s="42" t="n">
        <f aca="false">J7225*K7225</f>
        <v>81.09</v>
      </c>
      <c r="M7225" s="43" t="n">
        <f aca="false">H7225*17.34*(1+'Chart of Accounts'!$E$67)</f>
        <v>60.754158</v>
      </c>
    </row>
    <row r="7226" customFormat="false" ht="15" hidden="false" customHeight="false" outlineLevel="0" collapsed="false">
      <c r="B7226" s="7" t="s">
        <v>7723</v>
      </c>
      <c r="C7226" s="39" t="n">
        <v>45987</v>
      </c>
      <c r="D7226" s="7" t="s">
        <v>359</v>
      </c>
      <c r="E7226" s="7" t="s">
        <v>156</v>
      </c>
      <c r="F7226" s="7" t="s">
        <v>224</v>
      </c>
      <c r="G7226" s="7" t="s">
        <v>505</v>
      </c>
      <c r="H7226" s="6" t="n">
        <v>3.75</v>
      </c>
      <c r="I7226" s="6" t="n">
        <v>0</v>
      </c>
      <c r="J7226" s="40" t="n">
        <f aca="false">H7226-I7226</f>
        <v>3.75</v>
      </c>
      <c r="K7226" s="41" t="n">
        <v>34</v>
      </c>
      <c r="L7226" s="42" t="n">
        <f aca="false">J7226*K7226</f>
        <v>127.5</v>
      </c>
      <c r="M7226" s="43" t="n">
        <f aca="false">H7226*14.93*(1+'Chart of Accounts'!$E$67)</f>
        <v>64.1056875</v>
      </c>
    </row>
    <row r="7227" customFormat="false" ht="15" hidden="false" customHeight="false" outlineLevel="0" collapsed="false">
      <c r="B7227" s="7" t="s">
        <v>7724</v>
      </c>
      <c r="C7227" s="39" t="n">
        <v>45987</v>
      </c>
      <c r="D7227" s="7" t="s">
        <v>365</v>
      </c>
      <c r="E7227" s="7" t="s">
        <v>154</v>
      </c>
      <c r="F7227" s="7" t="s">
        <v>194</v>
      </c>
      <c r="G7227" s="7" t="s">
        <v>505</v>
      </c>
      <c r="H7227" s="6" t="n">
        <v>3.9</v>
      </c>
      <c r="I7227" s="6" t="n">
        <v>0</v>
      </c>
      <c r="J7227" s="40" t="n">
        <f aca="false">H7227-I7227</f>
        <v>3.9</v>
      </c>
      <c r="K7227" s="41" t="n">
        <v>26.5</v>
      </c>
      <c r="L7227" s="42" t="n">
        <f aca="false">J7227*K7227</f>
        <v>103.35</v>
      </c>
      <c r="M7227" s="43" t="n">
        <f aca="false">H7227*16*(1+'Chart of Accounts'!$E$67)</f>
        <v>71.448</v>
      </c>
    </row>
    <row r="7228" customFormat="false" ht="15" hidden="false" customHeight="false" outlineLevel="0" collapsed="false">
      <c r="B7228" s="7" t="s">
        <v>7725</v>
      </c>
      <c r="C7228" s="39" t="n">
        <v>45987</v>
      </c>
      <c r="D7228" s="7" t="s">
        <v>371</v>
      </c>
      <c r="E7228" s="7" t="s">
        <v>154</v>
      </c>
      <c r="F7228" s="7" t="s">
        <v>232</v>
      </c>
      <c r="G7228" s="7" t="s">
        <v>505</v>
      </c>
      <c r="H7228" s="6" t="n">
        <v>4.87</v>
      </c>
      <c r="I7228" s="6" t="n">
        <v>0</v>
      </c>
      <c r="J7228" s="40" t="n">
        <f aca="false">H7228-I7228</f>
        <v>4.87</v>
      </c>
      <c r="K7228" s="41" t="n">
        <v>26.5</v>
      </c>
      <c r="L7228" s="42" t="n">
        <f aca="false">J7228*K7228</f>
        <v>129.055</v>
      </c>
      <c r="M7228" s="43" t="n">
        <f aca="false">H7228*16.17*(1+'Chart of Accounts'!$E$67)</f>
        <v>90.1663455</v>
      </c>
    </row>
    <row r="7229" customFormat="false" ht="15" hidden="false" customHeight="false" outlineLevel="0" collapsed="false">
      <c r="B7229" s="7" t="s">
        <v>7726</v>
      </c>
      <c r="C7229" s="39" t="n">
        <v>45987</v>
      </c>
      <c r="D7229" s="7" t="s">
        <v>379</v>
      </c>
      <c r="E7229" s="7" t="s">
        <v>156</v>
      </c>
      <c r="F7229" s="7" t="s">
        <v>224</v>
      </c>
      <c r="G7229" s="7" t="s">
        <v>505</v>
      </c>
      <c r="H7229" s="6" t="n">
        <v>4.26</v>
      </c>
      <c r="I7229" s="6" t="n">
        <v>0</v>
      </c>
      <c r="J7229" s="40" t="n">
        <f aca="false">H7229-I7229</f>
        <v>4.26</v>
      </c>
      <c r="K7229" s="41" t="n">
        <v>34</v>
      </c>
      <c r="L7229" s="42" t="n">
        <f aca="false">J7229*K7229</f>
        <v>144.84</v>
      </c>
      <c r="M7229" s="43" t="n">
        <f aca="false">H7229*14.93*(1+'Chart of Accounts'!$E$67)</f>
        <v>72.824061</v>
      </c>
    </row>
    <row r="7230" customFormat="false" ht="15" hidden="false" customHeight="false" outlineLevel="0" collapsed="false">
      <c r="B7230" s="7" t="s">
        <v>7727</v>
      </c>
      <c r="C7230" s="39" t="n">
        <v>45987</v>
      </c>
      <c r="D7230" s="7" t="s">
        <v>387</v>
      </c>
      <c r="E7230" s="7" t="s">
        <v>154</v>
      </c>
      <c r="F7230" s="7" t="s">
        <v>196</v>
      </c>
      <c r="G7230" s="7" t="s">
        <v>505</v>
      </c>
      <c r="H7230" s="6" t="n">
        <v>4.06</v>
      </c>
      <c r="I7230" s="6" t="n">
        <v>0</v>
      </c>
      <c r="J7230" s="40" t="n">
        <f aca="false">H7230-I7230</f>
        <v>4.06</v>
      </c>
      <c r="K7230" s="41" t="n">
        <v>26.5</v>
      </c>
      <c r="L7230" s="42" t="n">
        <f aca="false">J7230*K7230</f>
        <v>107.59</v>
      </c>
      <c r="M7230" s="43" t="n">
        <f aca="false">H7230*15.05*(1+'Chart of Accounts'!$E$67)</f>
        <v>69.962935</v>
      </c>
    </row>
    <row r="7231" customFormat="false" ht="15" hidden="false" customHeight="false" outlineLevel="0" collapsed="false">
      <c r="B7231" s="7" t="s">
        <v>7728</v>
      </c>
      <c r="C7231" s="39" t="n">
        <v>45987</v>
      </c>
      <c r="D7231" s="7" t="s">
        <v>389</v>
      </c>
      <c r="E7231" s="7" t="s">
        <v>154</v>
      </c>
      <c r="F7231" s="7" t="s">
        <v>246</v>
      </c>
      <c r="G7231" s="7" t="s">
        <v>505</v>
      </c>
      <c r="H7231" s="6" t="n">
        <v>3.78</v>
      </c>
      <c r="I7231" s="6" t="n">
        <v>0</v>
      </c>
      <c r="J7231" s="40" t="n">
        <f aca="false">H7231-I7231</f>
        <v>3.78</v>
      </c>
      <c r="K7231" s="41" t="n">
        <v>26.5</v>
      </c>
      <c r="L7231" s="42" t="n">
        <f aca="false">J7231*K7231</f>
        <v>100.17</v>
      </c>
      <c r="M7231" s="43" t="n">
        <f aca="false">H7231*16.48*(1+'Chart of Accounts'!$E$67)</f>
        <v>71.327088</v>
      </c>
    </row>
    <row r="7232" customFormat="false" ht="15" hidden="false" customHeight="false" outlineLevel="0" collapsed="false">
      <c r="B7232" s="7" t="s">
        <v>7729</v>
      </c>
      <c r="C7232" s="39" t="n">
        <v>45987</v>
      </c>
      <c r="D7232" s="7" t="s">
        <v>391</v>
      </c>
      <c r="E7232" s="7" t="s">
        <v>156</v>
      </c>
      <c r="F7232" s="7" t="s">
        <v>222</v>
      </c>
      <c r="G7232" s="7" t="s">
        <v>505</v>
      </c>
      <c r="H7232" s="6" t="n">
        <v>4.18</v>
      </c>
      <c r="I7232" s="6" t="n">
        <v>0</v>
      </c>
      <c r="J7232" s="40" t="n">
        <f aca="false">H7232-I7232</f>
        <v>4.18</v>
      </c>
      <c r="K7232" s="41" t="n">
        <v>34</v>
      </c>
      <c r="L7232" s="42" t="n">
        <f aca="false">J7232*K7232</f>
        <v>142.12</v>
      </c>
      <c r="M7232" s="43" t="n">
        <f aca="false">H7232*17.84*(1+'Chart of Accounts'!$E$67)</f>
        <v>85.384024</v>
      </c>
    </row>
    <row r="7233" customFormat="false" ht="15" hidden="false" customHeight="false" outlineLevel="0" collapsed="false">
      <c r="B7233" s="7" t="s">
        <v>7730</v>
      </c>
      <c r="C7233" s="39" t="n">
        <v>45987</v>
      </c>
      <c r="D7233" s="7" t="s">
        <v>393</v>
      </c>
      <c r="E7233" s="7" t="s">
        <v>157</v>
      </c>
      <c r="F7233" s="7" t="s">
        <v>203</v>
      </c>
      <c r="G7233" s="7" t="s">
        <v>502</v>
      </c>
      <c r="H7233" s="6" t="n">
        <v>0.95</v>
      </c>
      <c r="I7233" s="6" t="n">
        <v>0</v>
      </c>
      <c r="J7233" s="40" t="n">
        <f aca="false">H7233-I7233</f>
        <v>0.95</v>
      </c>
      <c r="K7233" s="41" t="n">
        <v>165</v>
      </c>
      <c r="L7233" s="42" t="n">
        <f aca="false">J7233*K7233</f>
        <v>156.75</v>
      </c>
      <c r="M7233" s="43" t="n">
        <f aca="false">H7233*49.43*(1+'Chart of Accounts'!$E$67)</f>
        <v>53.7674825</v>
      </c>
    </row>
    <row r="7234" customFormat="false" ht="15" hidden="false" customHeight="false" outlineLevel="0" collapsed="false">
      <c r="B7234" s="7" t="s">
        <v>7731</v>
      </c>
      <c r="C7234" s="39" t="n">
        <v>45987</v>
      </c>
      <c r="D7234" s="7" t="s">
        <v>395</v>
      </c>
      <c r="E7234" s="7" t="s">
        <v>156</v>
      </c>
      <c r="F7234" s="7" t="s">
        <v>242</v>
      </c>
      <c r="G7234" s="7" t="s">
        <v>505</v>
      </c>
      <c r="H7234" s="6" t="n">
        <v>3.97</v>
      </c>
      <c r="I7234" s="6" t="n">
        <v>0</v>
      </c>
      <c r="J7234" s="40" t="n">
        <f aca="false">H7234-I7234</f>
        <v>3.97</v>
      </c>
      <c r="K7234" s="41" t="n">
        <v>34</v>
      </c>
      <c r="L7234" s="42" t="n">
        <f aca="false">J7234*K7234</f>
        <v>134.98</v>
      </c>
      <c r="M7234" s="43" t="n">
        <f aca="false">H7234*17.99*(1+'Chart of Accounts'!$E$67)</f>
        <v>81.7762435</v>
      </c>
    </row>
    <row r="7235" customFormat="false" ht="15" hidden="false" customHeight="false" outlineLevel="0" collapsed="false">
      <c r="B7235" s="7" t="s">
        <v>7732</v>
      </c>
      <c r="C7235" s="39" t="n">
        <v>45987</v>
      </c>
      <c r="D7235" s="7" t="s">
        <v>399</v>
      </c>
      <c r="E7235" s="7" t="s">
        <v>154</v>
      </c>
      <c r="F7235" s="7" t="s">
        <v>222</v>
      </c>
      <c r="G7235" s="7" t="s">
        <v>505</v>
      </c>
      <c r="H7235" s="6" t="n">
        <v>3.05</v>
      </c>
      <c r="I7235" s="6" t="n">
        <v>0</v>
      </c>
      <c r="J7235" s="40" t="n">
        <f aca="false">H7235-I7235</f>
        <v>3.05</v>
      </c>
      <c r="K7235" s="41" t="n">
        <v>26.5</v>
      </c>
      <c r="L7235" s="42" t="n">
        <f aca="false">J7235*K7235</f>
        <v>80.825</v>
      </c>
      <c r="M7235" s="43" t="n">
        <f aca="false">H7235*17.84*(1+'Chart of Accounts'!$E$67)</f>
        <v>62.30174</v>
      </c>
    </row>
    <row r="7236" customFormat="false" ht="15" hidden="false" customHeight="false" outlineLevel="0" collapsed="false">
      <c r="B7236" s="7" t="s">
        <v>7733</v>
      </c>
      <c r="C7236" s="39" t="n">
        <v>45987</v>
      </c>
      <c r="D7236" s="7" t="s">
        <v>401</v>
      </c>
      <c r="E7236" s="7" t="s">
        <v>156</v>
      </c>
      <c r="F7236" s="7" t="s">
        <v>254</v>
      </c>
      <c r="G7236" s="7" t="s">
        <v>505</v>
      </c>
      <c r="H7236" s="6" t="n">
        <v>3.83</v>
      </c>
      <c r="I7236" s="6" t="n">
        <v>0</v>
      </c>
      <c r="J7236" s="40" t="n">
        <f aca="false">H7236-I7236</f>
        <v>3.83</v>
      </c>
      <c r="K7236" s="41" t="n">
        <v>34</v>
      </c>
      <c r="L7236" s="42" t="n">
        <f aca="false">J7236*K7236</f>
        <v>130.22</v>
      </c>
      <c r="M7236" s="43" t="n">
        <f aca="false">H7236*17.1*(1+'Chart of Accounts'!$E$67)</f>
        <v>74.989485</v>
      </c>
    </row>
    <row r="7237" customFormat="false" ht="15" hidden="false" customHeight="false" outlineLevel="0" collapsed="false">
      <c r="B7237" s="7" t="s">
        <v>7734</v>
      </c>
      <c r="C7237" s="39" t="n">
        <v>45987</v>
      </c>
      <c r="D7237" s="7" t="s">
        <v>403</v>
      </c>
      <c r="E7237" s="7" t="s">
        <v>156</v>
      </c>
      <c r="F7237" s="7" t="s">
        <v>184</v>
      </c>
      <c r="G7237" s="7" t="s">
        <v>505</v>
      </c>
      <c r="H7237" s="6" t="n">
        <v>4.19</v>
      </c>
      <c r="I7237" s="6" t="n">
        <v>0</v>
      </c>
      <c r="J7237" s="40" t="n">
        <f aca="false">H7237-I7237</f>
        <v>4.19</v>
      </c>
      <c r="K7237" s="41" t="n">
        <v>34</v>
      </c>
      <c r="L7237" s="42" t="n">
        <f aca="false">J7237*K7237</f>
        <v>142.46</v>
      </c>
      <c r="M7237" s="43" t="n">
        <f aca="false">H7237*17.34*(1+'Chart of Accounts'!$E$67)</f>
        <v>83.189517</v>
      </c>
    </row>
    <row r="7238" customFormat="false" ht="15" hidden="false" customHeight="false" outlineLevel="0" collapsed="false">
      <c r="B7238" s="7" t="s">
        <v>7735</v>
      </c>
      <c r="C7238" s="39" t="n">
        <v>45987</v>
      </c>
      <c r="D7238" s="7" t="s">
        <v>409</v>
      </c>
      <c r="E7238" s="7" t="s">
        <v>154</v>
      </c>
      <c r="F7238" s="7" t="s">
        <v>214</v>
      </c>
      <c r="G7238" s="7" t="s">
        <v>505</v>
      </c>
      <c r="H7238" s="6" t="n">
        <v>3.24</v>
      </c>
      <c r="I7238" s="6" t="n">
        <v>0</v>
      </c>
      <c r="J7238" s="40" t="n">
        <f aca="false">H7238-I7238</f>
        <v>3.24</v>
      </c>
      <c r="K7238" s="41" t="n">
        <v>26.5</v>
      </c>
      <c r="L7238" s="42" t="n">
        <f aca="false">J7238*K7238</f>
        <v>85.86</v>
      </c>
      <c r="M7238" s="43" t="n">
        <f aca="false">H7238*15.67*(1+'Chart of Accounts'!$E$67)</f>
        <v>58.132566</v>
      </c>
    </row>
    <row r="7239" customFormat="false" ht="15" hidden="false" customHeight="false" outlineLevel="0" collapsed="false">
      <c r="B7239" s="7" t="s">
        <v>7736</v>
      </c>
      <c r="C7239" s="39" t="n">
        <v>45987</v>
      </c>
      <c r="D7239" s="7" t="s">
        <v>411</v>
      </c>
      <c r="E7239" s="7" t="s">
        <v>154</v>
      </c>
      <c r="F7239" s="7" t="s">
        <v>177</v>
      </c>
      <c r="G7239" s="7" t="s">
        <v>505</v>
      </c>
      <c r="H7239" s="6" t="n">
        <v>4.3</v>
      </c>
      <c r="I7239" s="6" t="n">
        <v>0</v>
      </c>
      <c r="J7239" s="40" t="n">
        <f aca="false">H7239-I7239</f>
        <v>4.3</v>
      </c>
      <c r="K7239" s="41" t="n">
        <v>26.5</v>
      </c>
      <c r="L7239" s="42" t="n">
        <f aca="false">J7239*K7239</f>
        <v>113.95</v>
      </c>
      <c r="M7239" s="43" t="n">
        <f aca="false">H7239*14.56*(1+'Chart of Accounts'!$E$67)</f>
        <v>71.68616</v>
      </c>
    </row>
    <row r="7240" customFormat="false" ht="15" hidden="false" customHeight="false" outlineLevel="0" collapsed="false">
      <c r="B7240" s="7" t="s">
        <v>7737</v>
      </c>
      <c r="C7240" s="39" t="n">
        <v>45988</v>
      </c>
      <c r="D7240" s="7" t="s">
        <v>288</v>
      </c>
      <c r="E7240" s="7" t="s">
        <v>156</v>
      </c>
      <c r="F7240" s="7" t="s">
        <v>238</v>
      </c>
      <c r="G7240" s="7" t="s">
        <v>505</v>
      </c>
      <c r="H7240" s="6" t="n">
        <v>4</v>
      </c>
      <c r="I7240" s="6" t="n">
        <v>0</v>
      </c>
      <c r="J7240" s="40" t="n">
        <f aca="false">H7240-I7240</f>
        <v>4</v>
      </c>
      <c r="K7240" s="41" t="n">
        <v>34</v>
      </c>
      <c r="L7240" s="42" t="n">
        <f aca="false">J7240*K7240</f>
        <v>136</v>
      </c>
      <c r="M7240" s="43" t="n">
        <f aca="false">H7240*15.85*(1+'Chart of Accounts'!$E$67)</f>
        <v>72.593</v>
      </c>
    </row>
    <row r="7241" customFormat="false" ht="15" hidden="false" customHeight="false" outlineLevel="0" collapsed="false">
      <c r="B7241" s="7" t="s">
        <v>7738</v>
      </c>
      <c r="C7241" s="39" t="n">
        <v>45988</v>
      </c>
      <c r="D7241" s="7" t="s">
        <v>297</v>
      </c>
      <c r="E7241" s="7" t="s">
        <v>156</v>
      </c>
      <c r="F7241" s="7" t="s">
        <v>201</v>
      </c>
      <c r="G7241" s="7" t="s">
        <v>505</v>
      </c>
      <c r="H7241" s="6" t="n">
        <v>2.91</v>
      </c>
      <c r="I7241" s="6" t="n">
        <v>0</v>
      </c>
      <c r="J7241" s="40" t="n">
        <f aca="false">H7241-I7241</f>
        <v>2.91</v>
      </c>
      <c r="K7241" s="41" t="n">
        <v>34</v>
      </c>
      <c r="L7241" s="42" t="n">
        <f aca="false">J7241*K7241</f>
        <v>98.94</v>
      </c>
      <c r="M7241" s="43" t="n">
        <f aca="false">H7241*15.19*(1+'Chart of Accounts'!$E$67)</f>
        <v>50.6123205</v>
      </c>
    </row>
    <row r="7242" customFormat="false" ht="15" hidden="false" customHeight="false" outlineLevel="0" collapsed="false">
      <c r="B7242" s="7" t="s">
        <v>7739</v>
      </c>
      <c r="C7242" s="39" t="n">
        <v>45988</v>
      </c>
      <c r="D7242" s="7" t="s">
        <v>299</v>
      </c>
      <c r="E7242" s="7" t="s">
        <v>154</v>
      </c>
      <c r="F7242" s="7" t="s">
        <v>205</v>
      </c>
      <c r="G7242" s="7" t="s">
        <v>505</v>
      </c>
      <c r="H7242" s="6" t="n">
        <v>3.16</v>
      </c>
      <c r="I7242" s="6" t="n">
        <v>0.095</v>
      </c>
      <c r="J7242" s="40" t="n">
        <f aca="false">H7242-I7242</f>
        <v>3.065</v>
      </c>
      <c r="K7242" s="41" t="n">
        <v>26.5</v>
      </c>
      <c r="L7242" s="42" t="n">
        <f aca="false">J7242*K7242</f>
        <v>81.2225</v>
      </c>
      <c r="M7242" s="43" t="n">
        <f aca="false">H7242*16.36*(1+'Chart of Accounts'!$E$67)</f>
        <v>59.193752</v>
      </c>
    </row>
    <row r="7243" customFormat="false" ht="15" hidden="false" customHeight="false" outlineLevel="0" collapsed="false">
      <c r="B7243" s="7" t="s">
        <v>7740</v>
      </c>
      <c r="C7243" s="39" t="n">
        <v>45988</v>
      </c>
      <c r="D7243" s="7" t="s">
        <v>303</v>
      </c>
      <c r="E7243" s="7" t="s">
        <v>154</v>
      </c>
      <c r="F7243" s="7" t="s">
        <v>240</v>
      </c>
      <c r="G7243" s="7" t="s">
        <v>505</v>
      </c>
      <c r="H7243" s="6" t="n">
        <v>4.06</v>
      </c>
      <c r="I7243" s="6" t="n">
        <v>0</v>
      </c>
      <c r="J7243" s="40" t="n">
        <f aca="false">H7243-I7243</f>
        <v>4.06</v>
      </c>
      <c r="K7243" s="41" t="n">
        <v>26.5</v>
      </c>
      <c r="L7243" s="42" t="n">
        <f aca="false">J7243*K7243</f>
        <v>107.59</v>
      </c>
      <c r="M7243" s="43" t="n">
        <f aca="false">H7243*16.96*(1+'Chart of Accounts'!$E$67)</f>
        <v>78.841952</v>
      </c>
    </row>
    <row r="7244" customFormat="false" ht="15" hidden="false" customHeight="false" outlineLevel="0" collapsed="false">
      <c r="B7244" s="7" t="s">
        <v>7741</v>
      </c>
      <c r="C7244" s="39" t="n">
        <v>45988</v>
      </c>
      <c r="D7244" s="7" t="s">
        <v>311</v>
      </c>
      <c r="E7244" s="7" t="s">
        <v>154</v>
      </c>
      <c r="F7244" s="7" t="s">
        <v>196</v>
      </c>
      <c r="G7244" s="7" t="s">
        <v>505</v>
      </c>
      <c r="H7244" s="6" t="n">
        <v>3.09</v>
      </c>
      <c r="I7244" s="6" t="n">
        <v>0.093</v>
      </c>
      <c r="J7244" s="40" t="n">
        <f aca="false">H7244-I7244</f>
        <v>2.997</v>
      </c>
      <c r="K7244" s="41" t="n">
        <v>26.5</v>
      </c>
      <c r="L7244" s="42" t="n">
        <f aca="false">J7244*K7244</f>
        <v>79.4205</v>
      </c>
      <c r="M7244" s="43" t="n">
        <f aca="false">H7244*15.05*(1+'Chart of Accounts'!$E$67)</f>
        <v>53.2476525</v>
      </c>
    </row>
    <row r="7245" customFormat="false" ht="15" hidden="false" customHeight="false" outlineLevel="0" collapsed="false">
      <c r="B7245" s="7" t="s">
        <v>7742</v>
      </c>
      <c r="C7245" s="39" t="n">
        <v>45988</v>
      </c>
      <c r="D7245" s="7" t="s">
        <v>313</v>
      </c>
      <c r="E7245" s="7" t="s">
        <v>156</v>
      </c>
      <c r="F7245" s="7" t="s">
        <v>184</v>
      </c>
      <c r="G7245" s="7" t="s">
        <v>505</v>
      </c>
      <c r="H7245" s="6" t="n">
        <v>4.13</v>
      </c>
      <c r="I7245" s="6" t="n">
        <v>0</v>
      </c>
      <c r="J7245" s="40" t="n">
        <f aca="false">H7245-I7245</f>
        <v>4.13</v>
      </c>
      <c r="K7245" s="41" t="n">
        <v>34</v>
      </c>
      <c r="L7245" s="42" t="n">
        <f aca="false">J7245*K7245</f>
        <v>140.42</v>
      </c>
      <c r="M7245" s="43" t="n">
        <f aca="false">H7245*17.34*(1+'Chart of Accounts'!$E$67)</f>
        <v>81.998259</v>
      </c>
    </row>
    <row r="7246" customFormat="false" ht="15" hidden="false" customHeight="false" outlineLevel="0" collapsed="false">
      <c r="B7246" s="7" t="s">
        <v>7743</v>
      </c>
      <c r="C7246" s="39" t="n">
        <v>45988</v>
      </c>
      <c r="D7246" s="7" t="s">
        <v>317</v>
      </c>
      <c r="E7246" s="7" t="s">
        <v>156</v>
      </c>
      <c r="F7246" s="7" t="s">
        <v>196</v>
      </c>
      <c r="G7246" s="7" t="s">
        <v>505</v>
      </c>
      <c r="H7246" s="6" t="n">
        <v>2.79</v>
      </c>
      <c r="I7246" s="6" t="n">
        <v>0</v>
      </c>
      <c r="J7246" s="40" t="n">
        <f aca="false">H7246-I7246</f>
        <v>2.79</v>
      </c>
      <c r="K7246" s="41" t="n">
        <v>34</v>
      </c>
      <c r="L7246" s="42" t="n">
        <f aca="false">J7246*K7246</f>
        <v>94.86</v>
      </c>
      <c r="M7246" s="43" t="n">
        <f aca="false">H7246*15.05*(1+'Chart of Accounts'!$E$67)</f>
        <v>48.0779775</v>
      </c>
    </row>
    <row r="7247" customFormat="false" ht="15" hidden="false" customHeight="false" outlineLevel="0" collapsed="false">
      <c r="B7247" s="7" t="s">
        <v>7744</v>
      </c>
      <c r="C7247" s="39" t="n">
        <v>45988</v>
      </c>
      <c r="D7247" s="7" t="s">
        <v>321</v>
      </c>
      <c r="E7247" s="7" t="s">
        <v>154</v>
      </c>
      <c r="F7247" s="7" t="s">
        <v>218</v>
      </c>
      <c r="G7247" s="7" t="s">
        <v>505</v>
      </c>
      <c r="H7247" s="6" t="n">
        <v>4.1</v>
      </c>
      <c r="I7247" s="6" t="n">
        <v>0</v>
      </c>
      <c r="J7247" s="40" t="n">
        <f aca="false">H7247-I7247</f>
        <v>4.1</v>
      </c>
      <c r="K7247" s="41" t="n">
        <v>26.5</v>
      </c>
      <c r="L7247" s="42" t="n">
        <f aca="false">J7247*K7247</f>
        <v>108.65</v>
      </c>
      <c r="M7247" s="43" t="n">
        <f aca="false">H7247*16.19*(1+'Chart of Accounts'!$E$67)</f>
        <v>76.003955</v>
      </c>
    </row>
    <row r="7248" customFormat="false" ht="15" hidden="false" customHeight="false" outlineLevel="0" collapsed="false">
      <c r="B7248" s="7" t="s">
        <v>7745</v>
      </c>
      <c r="C7248" s="39" t="n">
        <v>45988</v>
      </c>
      <c r="D7248" s="7" t="s">
        <v>325</v>
      </c>
      <c r="E7248" s="7" t="s">
        <v>154</v>
      </c>
      <c r="F7248" s="7" t="s">
        <v>256</v>
      </c>
      <c r="G7248" s="7" t="s">
        <v>505</v>
      </c>
      <c r="H7248" s="6" t="n">
        <v>2.93</v>
      </c>
      <c r="I7248" s="6" t="n">
        <v>0</v>
      </c>
      <c r="J7248" s="40" t="n">
        <f aca="false">H7248-I7248</f>
        <v>2.93</v>
      </c>
      <c r="K7248" s="41" t="n">
        <v>26.5</v>
      </c>
      <c r="L7248" s="42" t="n">
        <f aca="false">J7248*K7248</f>
        <v>77.645</v>
      </c>
      <c r="M7248" s="43" t="n">
        <f aca="false">H7248*15.63*(1+'Chart of Accounts'!$E$67)</f>
        <v>52.4363055</v>
      </c>
    </row>
    <row r="7249" customFormat="false" ht="15" hidden="false" customHeight="false" outlineLevel="0" collapsed="false">
      <c r="B7249" s="7" t="s">
        <v>7746</v>
      </c>
      <c r="C7249" s="39" t="n">
        <v>45988</v>
      </c>
      <c r="D7249" s="7" t="s">
        <v>329</v>
      </c>
      <c r="E7249" s="7" t="s">
        <v>156</v>
      </c>
      <c r="F7249" s="7" t="s">
        <v>220</v>
      </c>
      <c r="G7249" s="7" t="s">
        <v>505</v>
      </c>
      <c r="H7249" s="6" t="n">
        <v>3.87</v>
      </c>
      <c r="I7249" s="6" t="n">
        <v>0</v>
      </c>
      <c r="J7249" s="40" t="n">
        <f aca="false">H7249-I7249</f>
        <v>3.87</v>
      </c>
      <c r="K7249" s="41" t="n">
        <v>34</v>
      </c>
      <c r="L7249" s="42" t="n">
        <f aca="false">J7249*K7249</f>
        <v>131.58</v>
      </c>
      <c r="M7249" s="43" t="n">
        <f aca="false">H7249*16.43*(1+'Chart of Accounts'!$E$67)</f>
        <v>72.8037945</v>
      </c>
    </row>
    <row r="7250" customFormat="false" ht="15" hidden="false" customHeight="false" outlineLevel="0" collapsed="false">
      <c r="B7250" s="7" t="s">
        <v>7747</v>
      </c>
      <c r="C7250" s="39" t="n">
        <v>45988</v>
      </c>
      <c r="D7250" s="7" t="s">
        <v>331</v>
      </c>
      <c r="E7250" s="7" t="s">
        <v>156</v>
      </c>
      <c r="F7250" s="7" t="s">
        <v>224</v>
      </c>
      <c r="G7250" s="7" t="s">
        <v>505</v>
      </c>
      <c r="H7250" s="6" t="n">
        <v>3.99</v>
      </c>
      <c r="I7250" s="6" t="n">
        <v>0</v>
      </c>
      <c r="J7250" s="40" t="n">
        <f aca="false">H7250-I7250</f>
        <v>3.99</v>
      </c>
      <c r="K7250" s="41" t="n">
        <v>34</v>
      </c>
      <c r="L7250" s="42" t="n">
        <f aca="false">J7250*K7250</f>
        <v>135.66</v>
      </c>
      <c r="M7250" s="43" t="n">
        <f aca="false">H7250*14.93*(1+'Chart of Accounts'!$E$67)</f>
        <v>68.2084515</v>
      </c>
    </row>
    <row r="7251" customFormat="false" ht="15" hidden="false" customHeight="false" outlineLevel="0" collapsed="false">
      <c r="B7251" s="7" t="s">
        <v>7748</v>
      </c>
      <c r="C7251" s="39" t="n">
        <v>45988</v>
      </c>
      <c r="D7251" s="7" t="s">
        <v>341</v>
      </c>
      <c r="E7251" s="7" t="s">
        <v>156</v>
      </c>
      <c r="F7251" s="7" t="s">
        <v>222</v>
      </c>
      <c r="G7251" s="7" t="s">
        <v>505</v>
      </c>
      <c r="H7251" s="6" t="n">
        <v>2.74</v>
      </c>
      <c r="I7251" s="6" t="n">
        <v>0</v>
      </c>
      <c r="J7251" s="40" t="n">
        <f aca="false">H7251-I7251</f>
        <v>2.74</v>
      </c>
      <c r="K7251" s="41" t="n">
        <v>34</v>
      </c>
      <c r="L7251" s="42" t="n">
        <f aca="false">J7251*K7251</f>
        <v>93.16</v>
      </c>
      <c r="M7251" s="43" t="n">
        <f aca="false">H7251*17.84*(1+'Chart of Accounts'!$E$67)</f>
        <v>55.969432</v>
      </c>
    </row>
    <row r="7252" customFormat="false" ht="15" hidden="false" customHeight="false" outlineLevel="0" collapsed="false">
      <c r="B7252" s="7" t="s">
        <v>7749</v>
      </c>
      <c r="C7252" s="39" t="n">
        <v>45988</v>
      </c>
      <c r="D7252" s="7" t="s">
        <v>343</v>
      </c>
      <c r="E7252" s="7" t="s">
        <v>154</v>
      </c>
      <c r="F7252" s="7" t="s">
        <v>244</v>
      </c>
      <c r="G7252" s="7" t="s">
        <v>505</v>
      </c>
      <c r="H7252" s="6" t="n">
        <v>4.01</v>
      </c>
      <c r="I7252" s="6" t="n">
        <v>0</v>
      </c>
      <c r="J7252" s="40" t="n">
        <f aca="false">H7252-I7252</f>
        <v>4.01</v>
      </c>
      <c r="K7252" s="41" t="n">
        <v>26.5</v>
      </c>
      <c r="L7252" s="42" t="n">
        <f aca="false">J7252*K7252</f>
        <v>106.265</v>
      </c>
      <c r="M7252" s="43" t="n">
        <f aca="false">H7252*16.39*(1+'Chart of Accounts'!$E$67)</f>
        <v>75.2538655</v>
      </c>
    </row>
    <row r="7253" customFormat="false" ht="15" hidden="false" customHeight="false" outlineLevel="0" collapsed="false">
      <c r="B7253" s="7" t="s">
        <v>7750</v>
      </c>
      <c r="C7253" s="39" t="n">
        <v>45988</v>
      </c>
      <c r="D7253" s="7" t="s">
        <v>349</v>
      </c>
      <c r="E7253" s="7" t="s">
        <v>154</v>
      </c>
      <c r="F7253" s="7" t="s">
        <v>244</v>
      </c>
      <c r="G7253" s="7" t="s">
        <v>505</v>
      </c>
      <c r="H7253" s="6" t="n">
        <v>3.78</v>
      </c>
      <c r="I7253" s="6" t="n">
        <v>0.113</v>
      </c>
      <c r="J7253" s="40" t="n">
        <f aca="false">H7253-I7253</f>
        <v>3.667</v>
      </c>
      <c r="K7253" s="41" t="n">
        <v>26.5</v>
      </c>
      <c r="L7253" s="42" t="n">
        <f aca="false">J7253*K7253</f>
        <v>97.1755</v>
      </c>
      <c r="M7253" s="43" t="n">
        <f aca="false">H7253*16.39*(1+'Chart of Accounts'!$E$67)</f>
        <v>70.937559</v>
      </c>
    </row>
    <row r="7254" customFormat="false" ht="15" hidden="false" customHeight="false" outlineLevel="0" collapsed="false">
      <c r="B7254" s="7" t="s">
        <v>7751</v>
      </c>
      <c r="C7254" s="39" t="n">
        <v>45988</v>
      </c>
      <c r="D7254" s="7" t="s">
        <v>351</v>
      </c>
      <c r="E7254" s="7" t="s">
        <v>154</v>
      </c>
      <c r="F7254" s="7" t="s">
        <v>201</v>
      </c>
      <c r="G7254" s="7" t="s">
        <v>505</v>
      </c>
      <c r="H7254" s="6" t="n">
        <v>3.21</v>
      </c>
      <c r="I7254" s="6" t="n">
        <v>0</v>
      </c>
      <c r="J7254" s="40" t="n">
        <f aca="false">H7254-I7254</f>
        <v>3.21</v>
      </c>
      <c r="K7254" s="41" t="n">
        <v>26.5</v>
      </c>
      <c r="L7254" s="42" t="n">
        <f aca="false">J7254*K7254</f>
        <v>85.065</v>
      </c>
      <c r="M7254" s="43" t="n">
        <f aca="false">H7254*15.19*(1+'Chart of Accounts'!$E$67)</f>
        <v>55.8300855</v>
      </c>
    </row>
    <row r="7255" customFormat="false" ht="15" hidden="false" customHeight="false" outlineLevel="0" collapsed="false">
      <c r="B7255" s="7" t="s">
        <v>7752</v>
      </c>
      <c r="C7255" s="39" t="n">
        <v>45988</v>
      </c>
      <c r="D7255" s="7" t="s">
        <v>359</v>
      </c>
      <c r="E7255" s="7" t="s">
        <v>156</v>
      </c>
      <c r="F7255" s="7" t="s">
        <v>218</v>
      </c>
      <c r="G7255" s="7" t="s">
        <v>505</v>
      </c>
      <c r="H7255" s="6" t="n">
        <v>3.63</v>
      </c>
      <c r="I7255" s="6" t="n">
        <v>0</v>
      </c>
      <c r="J7255" s="40" t="n">
        <f aca="false">H7255-I7255</f>
        <v>3.63</v>
      </c>
      <c r="K7255" s="41" t="n">
        <v>34</v>
      </c>
      <c r="L7255" s="42" t="n">
        <f aca="false">J7255*K7255</f>
        <v>123.42</v>
      </c>
      <c r="M7255" s="43" t="n">
        <f aca="false">H7255*16.19*(1+'Chart of Accounts'!$E$67)</f>
        <v>67.2913065</v>
      </c>
    </row>
    <row r="7256" customFormat="false" ht="15" hidden="false" customHeight="false" outlineLevel="0" collapsed="false">
      <c r="B7256" s="7" t="s">
        <v>7753</v>
      </c>
      <c r="C7256" s="39" t="n">
        <v>45988</v>
      </c>
      <c r="D7256" s="7" t="s">
        <v>363</v>
      </c>
      <c r="E7256" s="7" t="s">
        <v>156</v>
      </c>
      <c r="F7256" s="7" t="s">
        <v>246</v>
      </c>
      <c r="G7256" s="7" t="s">
        <v>505</v>
      </c>
      <c r="H7256" s="6" t="n">
        <v>3.87</v>
      </c>
      <c r="I7256" s="6" t="n">
        <v>0</v>
      </c>
      <c r="J7256" s="40" t="n">
        <f aca="false">H7256-I7256</f>
        <v>3.87</v>
      </c>
      <c r="K7256" s="41" t="n">
        <v>34</v>
      </c>
      <c r="L7256" s="42" t="n">
        <f aca="false">J7256*K7256</f>
        <v>131.58</v>
      </c>
      <c r="M7256" s="43" t="n">
        <f aca="false">H7256*16.48*(1+'Chart of Accounts'!$E$67)</f>
        <v>73.025352</v>
      </c>
    </row>
    <row r="7257" customFormat="false" ht="15" hidden="false" customHeight="false" outlineLevel="0" collapsed="false">
      <c r="B7257" s="7" t="s">
        <v>7754</v>
      </c>
      <c r="C7257" s="39" t="n">
        <v>45988</v>
      </c>
      <c r="D7257" s="7" t="s">
        <v>365</v>
      </c>
      <c r="E7257" s="7" t="s">
        <v>154</v>
      </c>
      <c r="F7257" s="7" t="s">
        <v>194</v>
      </c>
      <c r="G7257" s="7" t="s">
        <v>505</v>
      </c>
      <c r="H7257" s="6" t="n">
        <v>4.03</v>
      </c>
      <c r="I7257" s="6" t="n">
        <v>0.121</v>
      </c>
      <c r="J7257" s="40" t="n">
        <f aca="false">H7257-I7257</f>
        <v>3.909</v>
      </c>
      <c r="K7257" s="41" t="n">
        <v>26.5</v>
      </c>
      <c r="L7257" s="42" t="n">
        <f aca="false">J7257*K7257</f>
        <v>103.5885</v>
      </c>
      <c r="M7257" s="43" t="n">
        <f aca="false">H7257*16*(1+'Chart of Accounts'!$E$67)</f>
        <v>73.8296</v>
      </c>
    </row>
    <row r="7258" customFormat="false" ht="15" hidden="false" customHeight="false" outlineLevel="0" collapsed="false">
      <c r="B7258" s="7" t="s">
        <v>7755</v>
      </c>
      <c r="C7258" s="39" t="n">
        <v>45988</v>
      </c>
      <c r="D7258" s="7" t="s">
        <v>367</v>
      </c>
      <c r="E7258" s="7" t="s">
        <v>156</v>
      </c>
      <c r="F7258" s="7" t="s">
        <v>256</v>
      </c>
      <c r="G7258" s="7" t="s">
        <v>505</v>
      </c>
      <c r="H7258" s="6" t="n">
        <v>2.85</v>
      </c>
      <c r="I7258" s="6" t="n">
        <v>0</v>
      </c>
      <c r="J7258" s="40" t="n">
        <f aca="false">H7258-I7258</f>
        <v>2.85</v>
      </c>
      <c r="K7258" s="41" t="n">
        <v>34</v>
      </c>
      <c r="L7258" s="42" t="n">
        <f aca="false">J7258*K7258</f>
        <v>96.9</v>
      </c>
      <c r="M7258" s="43" t="n">
        <f aca="false">H7258*15.63*(1+'Chart of Accounts'!$E$67)</f>
        <v>51.0045975</v>
      </c>
    </row>
    <row r="7259" customFormat="false" ht="15" hidden="false" customHeight="false" outlineLevel="0" collapsed="false">
      <c r="B7259" s="7" t="s">
        <v>7756</v>
      </c>
      <c r="C7259" s="39" t="n">
        <v>45988</v>
      </c>
      <c r="D7259" s="7" t="s">
        <v>375</v>
      </c>
      <c r="E7259" s="7" t="s">
        <v>156</v>
      </c>
      <c r="F7259" s="7" t="s">
        <v>196</v>
      </c>
      <c r="G7259" s="7" t="s">
        <v>505</v>
      </c>
      <c r="H7259" s="6" t="n">
        <v>2.86</v>
      </c>
      <c r="I7259" s="6" t="n">
        <v>0</v>
      </c>
      <c r="J7259" s="40" t="n">
        <f aca="false">H7259-I7259</f>
        <v>2.86</v>
      </c>
      <c r="K7259" s="41" t="n">
        <v>34</v>
      </c>
      <c r="L7259" s="42" t="n">
        <f aca="false">J7259*K7259</f>
        <v>97.24</v>
      </c>
      <c r="M7259" s="43" t="n">
        <f aca="false">H7259*15.05*(1+'Chart of Accounts'!$E$67)</f>
        <v>49.284235</v>
      </c>
    </row>
    <row r="7260" customFormat="false" ht="15" hidden="false" customHeight="false" outlineLevel="0" collapsed="false">
      <c r="B7260" s="7" t="s">
        <v>7757</v>
      </c>
      <c r="C7260" s="39" t="n">
        <v>45988</v>
      </c>
      <c r="D7260" s="7" t="s">
        <v>377</v>
      </c>
      <c r="E7260" s="7" t="s">
        <v>154</v>
      </c>
      <c r="F7260" s="7" t="s">
        <v>214</v>
      </c>
      <c r="G7260" s="7" t="s">
        <v>505</v>
      </c>
      <c r="H7260" s="6" t="n">
        <v>4</v>
      </c>
      <c r="I7260" s="6" t="n">
        <v>0</v>
      </c>
      <c r="J7260" s="40" t="n">
        <f aca="false">H7260-I7260</f>
        <v>4</v>
      </c>
      <c r="K7260" s="41" t="n">
        <v>26.5</v>
      </c>
      <c r="L7260" s="42" t="n">
        <f aca="false">J7260*K7260</f>
        <v>106</v>
      </c>
      <c r="M7260" s="43" t="n">
        <f aca="false">H7260*15.67*(1+'Chart of Accounts'!$E$67)</f>
        <v>71.7686</v>
      </c>
    </row>
    <row r="7261" customFormat="false" ht="15" hidden="false" customHeight="false" outlineLevel="0" collapsed="false">
      <c r="B7261" s="7" t="s">
        <v>7758</v>
      </c>
      <c r="C7261" s="39" t="n">
        <v>45988</v>
      </c>
      <c r="D7261" s="7" t="s">
        <v>387</v>
      </c>
      <c r="E7261" s="7" t="s">
        <v>154</v>
      </c>
      <c r="F7261" s="7" t="s">
        <v>196</v>
      </c>
      <c r="G7261" s="7" t="s">
        <v>505</v>
      </c>
      <c r="H7261" s="6" t="n">
        <v>3.7</v>
      </c>
      <c r="I7261" s="6" t="n">
        <v>0</v>
      </c>
      <c r="J7261" s="40" t="n">
        <f aca="false">H7261-I7261</f>
        <v>3.7</v>
      </c>
      <c r="K7261" s="41" t="n">
        <v>26.5</v>
      </c>
      <c r="L7261" s="42" t="n">
        <f aca="false">J7261*K7261</f>
        <v>98.05</v>
      </c>
      <c r="M7261" s="43" t="n">
        <f aca="false">H7261*15.05*(1+'Chart of Accounts'!$E$67)</f>
        <v>63.759325</v>
      </c>
    </row>
    <row r="7262" customFormat="false" ht="15" hidden="false" customHeight="false" outlineLevel="0" collapsed="false">
      <c r="B7262" s="7" t="s">
        <v>7759</v>
      </c>
      <c r="C7262" s="39" t="n">
        <v>45988</v>
      </c>
      <c r="D7262" s="7" t="s">
        <v>389</v>
      </c>
      <c r="E7262" s="7" t="s">
        <v>154</v>
      </c>
      <c r="F7262" s="7" t="s">
        <v>246</v>
      </c>
      <c r="G7262" s="7" t="s">
        <v>505</v>
      </c>
      <c r="H7262" s="6" t="n">
        <v>4.17</v>
      </c>
      <c r="I7262" s="6" t="n">
        <v>0</v>
      </c>
      <c r="J7262" s="40" t="n">
        <f aca="false">H7262-I7262</f>
        <v>4.17</v>
      </c>
      <c r="K7262" s="41" t="n">
        <v>26.5</v>
      </c>
      <c r="L7262" s="42" t="n">
        <f aca="false">J7262*K7262</f>
        <v>110.505</v>
      </c>
      <c r="M7262" s="43" t="n">
        <f aca="false">H7262*16.48*(1+'Chart of Accounts'!$E$67)</f>
        <v>78.686232</v>
      </c>
    </row>
    <row r="7263" customFormat="false" ht="15" hidden="false" customHeight="false" outlineLevel="0" collapsed="false">
      <c r="B7263" s="7" t="s">
        <v>7760</v>
      </c>
      <c r="C7263" s="39" t="n">
        <v>45988</v>
      </c>
      <c r="D7263" s="7" t="s">
        <v>391</v>
      </c>
      <c r="E7263" s="7" t="s">
        <v>156</v>
      </c>
      <c r="F7263" s="7" t="s">
        <v>222</v>
      </c>
      <c r="G7263" s="7" t="s">
        <v>505</v>
      </c>
      <c r="H7263" s="6" t="n">
        <v>3.76</v>
      </c>
      <c r="I7263" s="6" t="n">
        <v>0</v>
      </c>
      <c r="J7263" s="40" t="n">
        <f aca="false">H7263-I7263</f>
        <v>3.76</v>
      </c>
      <c r="K7263" s="41" t="n">
        <v>34</v>
      </c>
      <c r="L7263" s="42" t="n">
        <f aca="false">J7263*K7263</f>
        <v>127.84</v>
      </c>
      <c r="M7263" s="43" t="n">
        <f aca="false">H7263*17.84*(1+'Chart of Accounts'!$E$67)</f>
        <v>76.804768</v>
      </c>
    </row>
    <row r="7264" customFormat="false" ht="15" hidden="false" customHeight="false" outlineLevel="0" collapsed="false">
      <c r="B7264" s="7" t="s">
        <v>7761</v>
      </c>
      <c r="C7264" s="39" t="n">
        <v>45988</v>
      </c>
      <c r="D7264" s="7" t="s">
        <v>395</v>
      </c>
      <c r="E7264" s="7" t="s">
        <v>156</v>
      </c>
      <c r="F7264" s="7" t="s">
        <v>242</v>
      </c>
      <c r="G7264" s="7" t="s">
        <v>505</v>
      </c>
      <c r="H7264" s="6" t="n">
        <v>4.06</v>
      </c>
      <c r="I7264" s="6" t="n">
        <v>0</v>
      </c>
      <c r="J7264" s="40" t="n">
        <f aca="false">H7264-I7264</f>
        <v>4.06</v>
      </c>
      <c r="K7264" s="41" t="n">
        <v>34</v>
      </c>
      <c r="L7264" s="42" t="n">
        <f aca="false">J7264*K7264</f>
        <v>138.04</v>
      </c>
      <c r="M7264" s="43" t="n">
        <f aca="false">H7264*17.99*(1+'Chart of Accounts'!$E$67)</f>
        <v>83.630113</v>
      </c>
    </row>
    <row r="7265" customFormat="false" ht="15" hidden="false" customHeight="false" outlineLevel="0" collapsed="false">
      <c r="B7265" s="7" t="s">
        <v>7762</v>
      </c>
      <c r="C7265" s="39" t="n">
        <v>45988</v>
      </c>
      <c r="D7265" s="7" t="s">
        <v>401</v>
      </c>
      <c r="E7265" s="7" t="s">
        <v>156</v>
      </c>
      <c r="F7265" s="7" t="s">
        <v>254</v>
      </c>
      <c r="G7265" s="7" t="s">
        <v>505</v>
      </c>
      <c r="H7265" s="6" t="n">
        <v>3.77</v>
      </c>
      <c r="I7265" s="6" t="n">
        <v>0</v>
      </c>
      <c r="J7265" s="40" t="n">
        <f aca="false">H7265-I7265</f>
        <v>3.77</v>
      </c>
      <c r="K7265" s="41" t="n">
        <v>34</v>
      </c>
      <c r="L7265" s="42" t="n">
        <f aca="false">J7265*K7265</f>
        <v>128.18</v>
      </c>
      <c r="M7265" s="43" t="n">
        <f aca="false">H7265*17.1*(1+'Chart of Accounts'!$E$67)</f>
        <v>73.814715</v>
      </c>
    </row>
    <row r="7266" customFormat="false" ht="15" hidden="false" customHeight="false" outlineLevel="0" collapsed="false">
      <c r="B7266" s="7" t="s">
        <v>7763</v>
      </c>
      <c r="C7266" s="39" t="n">
        <v>45989</v>
      </c>
      <c r="D7266" s="7" t="s">
        <v>288</v>
      </c>
      <c r="E7266" s="7" t="s">
        <v>156</v>
      </c>
      <c r="F7266" s="7" t="s">
        <v>177</v>
      </c>
      <c r="G7266" s="7" t="s">
        <v>505</v>
      </c>
      <c r="H7266" s="6" t="n">
        <v>3.68</v>
      </c>
      <c r="I7266" s="6" t="n">
        <v>0</v>
      </c>
      <c r="J7266" s="40" t="n">
        <f aca="false">H7266-I7266</f>
        <v>3.68</v>
      </c>
      <c r="K7266" s="41" t="n">
        <v>34</v>
      </c>
      <c r="L7266" s="42" t="n">
        <f aca="false">J7266*K7266</f>
        <v>125.12</v>
      </c>
      <c r="M7266" s="43" t="n">
        <f aca="false">H7266*14.56*(1+'Chart of Accounts'!$E$67)</f>
        <v>61.350016</v>
      </c>
    </row>
    <row r="7267" customFormat="false" ht="15" hidden="false" customHeight="false" outlineLevel="0" collapsed="false">
      <c r="B7267" s="7" t="s">
        <v>7764</v>
      </c>
      <c r="C7267" s="39" t="n">
        <v>45989</v>
      </c>
      <c r="D7267" s="7" t="s">
        <v>291</v>
      </c>
      <c r="E7267" s="7" t="s">
        <v>154</v>
      </c>
      <c r="F7267" s="7" t="s">
        <v>194</v>
      </c>
      <c r="G7267" s="7" t="s">
        <v>505</v>
      </c>
      <c r="H7267" s="6" t="n">
        <v>4.95</v>
      </c>
      <c r="I7267" s="6" t="n">
        <v>0</v>
      </c>
      <c r="J7267" s="40" t="n">
        <f aca="false">H7267-I7267</f>
        <v>4.95</v>
      </c>
      <c r="K7267" s="41" t="n">
        <v>26.5</v>
      </c>
      <c r="L7267" s="42" t="n">
        <f aca="false">J7267*K7267</f>
        <v>131.175</v>
      </c>
      <c r="M7267" s="43" t="n">
        <f aca="false">H7267*16*(1+'Chart of Accounts'!$E$67)</f>
        <v>90.684</v>
      </c>
    </row>
    <row r="7268" customFormat="false" ht="15" hidden="false" customHeight="false" outlineLevel="0" collapsed="false">
      <c r="B7268" s="7" t="s">
        <v>7765</v>
      </c>
      <c r="C7268" s="39" t="n">
        <v>45989</v>
      </c>
      <c r="D7268" s="7" t="s">
        <v>293</v>
      </c>
      <c r="E7268" s="7" t="s">
        <v>157</v>
      </c>
      <c r="F7268" s="7" t="s">
        <v>198</v>
      </c>
      <c r="G7268" s="7" t="s">
        <v>502</v>
      </c>
      <c r="H7268" s="6" t="n">
        <v>0.96</v>
      </c>
      <c r="I7268" s="6" t="n">
        <v>0</v>
      </c>
      <c r="J7268" s="40" t="n">
        <f aca="false">H7268-I7268</f>
        <v>0.96</v>
      </c>
      <c r="K7268" s="41" t="n">
        <v>165</v>
      </c>
      <c r="L7268" s="42" t="n">
        <f aca="false">J7268*K7268</f>
        <v>158.4</v>
      </c>
      <c r="M7268" s="43" t="n">
        <f aca="false">H7268*48.09*(1+'Chart of Accounts'!$E$67)</f>
        <v>52.860528</v>
      </c>
    </row>
    <row r="7269" customFormat="false" ht="15" hidden="false" customHeight="false" outlineLevel="0" collapsed="false">
      <c r="B7269" s="7" t="s">
        <v>7766</v>
      </c>
      <c r="C7269" s="39" t="n">
        <v>45989</v>
      </c>
      <c r="D7269" s="7" t="s">
        <v>295</v>
      </c>
      <c r="E7269" s="7" t="s">
        <v>154</v>
      </c>
      <c r="F7269" s="7" t="s">
        <v>214</v>
      </c>
      <c r="G7269" s="7" t="s">
        <v>505</v>
      </c>
      <c r="H7269" s="6" t="n">
        <v>4.3</v>
      </c>
      <c r="I7269" s="6" t="n">
        <v>0</v>
      </c>
      <c r="J7269" s="40" t="n">
        <f aca="false">H7269-I7269</f>
        <v>4.3</v>
      </c>
      <c r="K7269" s="41" t="n">
        <v>26.5</v>
      </c>
      <c r="L7269" s="42" t="n">
        <f aca="false">J7269*K7269</f>
        <v>113.95</v>
      </c>
      <c r="M7269" s="43" t="n">
        <f aca="false">H7269*15.67*(1+'Chart of Accounts'!$E$67)</f>
        <v>77.151245</v>
      </c>
    </row>
    <row r="7270" customFormat="false" ht="15" hidden="false" customHeight="false" outlineLevel="0" collapsed="false">
      <c r="B7270" s="7" t="s">
        <v>7767</v>
      </c>
      <c r="C7270" s="39" t="n">
        <v>45989</v>
      </c>
      <c r="D7270" s="7" t="s">
        <v>301</v>
      </c>
      <c r="E7270" s="7" t="s">
        <v>157</v>
      </c>
      <c r="F7270" s="7" t="s">
        <v>209</v>
      </c>
      <c r="G7270" s="7" t="s">
        <v>502</v>
      </c>
      <c r="H7270" s="6" t="n">
        <v>1.06</v>
      </c>
      <c r="I7270" s="6" t="n">
        <v>0</v>
      </c>
      <c r="J7270" s="40" t="n">
        <f aca="false">H7270-I7270</f>
        <v>1.06</v>
      </c>
      <c r="K7270" s="41" t="n">
        <v>165</v>
      </c>
      <c r="L7270" s="42" t="n">
        <f aca="false">J7270*K7270</f>
        <v>174.9</v>
      </c>
      <c r="M7270" s="43" t="n">
        <f aca="false">H7270*73.58*(1+'Chart of Accounts'!$E$67)</f>
        <v>89.304046</v>
      </c>
    </row>
    <row r="7271" customFormat="false" ht="15" hidden="false" customHeight="false" outlineLevel="0" collapsed="false">
      <c r="B7271" s="7" t="s">
        <v>7768</v>
      </c>
      <c r="C7271" s="39" t="n">
        <v>45989</v>
      </c>
      <c r="D7271" s="7" t="s">
        <v>305</v>
      </c>
      <c r="E7271" s="7" t="s">
        <v>154</v>
      </c>
      <c r="F7271" s="7" t="s">
        <v>205</v>
      </c>
      <c r="G7271" s="7" t="s">
        <v>505</v>
      </c>
      <c r="H7271" s="6" t="n">
        <v>3.85</v>
      </c>
      <c r="I7271" s="6" t="n">
        <v>0</v>
      </c>
      <c r="J7271" s="40" t="n">
        <f aca="false">H7271-I7271</f>
        <v>3.85</v>
      </c>
      <c r="K7271" s="41" t="n">
        <v>26.5</v>
      </c>
      <c r="L7271" s="42" t="n">
        <f aca="false">J7271*K7271</f>
        <v>102.025</v>
      </c>
      <c r="M7271" s="43" t="n">
        <f aca="false">H7271*16.36*(1+'Chart of Accounts'!$E$67)</f>
        <v>72.11897</v>
      </c>
    </row>
    <row r="7272" customFormat="false" ht="15" hidden="false" customHeight="false" outlineLevel="0" collapsed="false">
      <c r="B7272" s="7" t="s">
        <v>7769</v>
      </c>
      <c r="C7272" s="39" t="n">
        <v>45989</v>
      </c>
      <c r="D7272" s="7" t="s">
        <v>307</v>
      </c>
      <c r="E7272" s="7" t="s">
        <v>157</v>
      </c>
      <c r="F7272" s="7" t="s">
        <v>264</v>
      </c>
      <c r="G7272" s="7" t="s">
        <v>502</v>
      </c>
      <c r="H7272" s="6" t="n">
        <v>1.08</v>
      </c>
      <c r="I7272" s="6" t="n">
        <v>0</v>
      </c>
      <c r="J7272" s="40" t="n">
        <f aca="false">H7272-I7272</f>
        <v>1.08</v>
      </c>
      <c r="K7272" s="41" t="n">
        <v>165</v>
      </c>
      <c r="L7272" s="42" t="n">
        <f aca="false">J7272*K7272</f>
        <v>178.2</v>
      </c>
      <c r="M7272" s="43" t="n">
        <f aca="false">H7272*55.55*(1+'Chart of Accounts'!$E$67)</f>
        <v>68.69313</v>
      </c>
    </row>
    <row r="7273" customFormat="false" ht="15" hidden="false" customHeight="false" outlineLevel="0" collapsed="false">
      <c r="B7273" s="7" t="s">
        <v>7770</v>
      </c>
      <c r="C7273" s="39" t="n">
        <v>45989</v>
      </c>
      <c r="D7273" s="7" t="s">
        <v>309</v>
      </c>
      <c r="E7273" s="7" t="s">
        <v>159</v>
      </c>
      <c r="F7273" s="7" t="s">
        <v>252</v>
      </c>
      <c r="G7273" s="7" t="s">
        <v>502</v>
      </c>
      <c r="H7273" s="6" t="n">
        <v>1.03</v>
      </c>
      <c r="I7273" s="6" t="n">
        <v>0</v>
      </c>
      <c r="J7273" s="40" t="n">
        <f aca="false">H7273-I7273</f>
        <v>1.03</v>
      </c>
      <c r="K7273" s="41" t="n">
        <v>135</v>
      </c>
      <c r="L7273" s="42" t="n">
        <f aca="false">J7273*K7273</f>
        <v>139.05</v>
      </c>
      <c r="M7273" s="43" t="n">
        <f aca="false">H7273*57.54*(1+'Chart of Accounts'!$E$67)</f>
        <v>67.859799</v>
      </c>
    </row>
    <row r="7274" customFormat="false" ht="15" hidden="false" customHeight="false" outlineLevel="0" collapsed="false">
      <c r="B7274" s="7" t="s">
        <v>7771</v>
      </c>
      <c r="C7274" s="39" t="n">
        <v>45989</v>
      </c>
      <c r="D7274" s="7" t="s">
        <v>313</v>
      </c>
      <c r="E7274" s="7" t="s">
        <v>156</v>
      </c>
      <c r="F7274" s="7" t="s">
        <v>184</v>
      </c>
      <c r="G7274" s="7" t="s">
        <v>505</v>
      </c>
      <c r="H7274" s="6" t="n">
        <v>4.09</v>
      </c>
      <c r="I7274" s="6" t="n">
        <v>0</v>
      </c>
      <c r="J7274" s="40" t="n">
        <f aca="false">H7274-I7274</f>
        <v>4.09</v>
      </c>
      <c r="K7274" s="41" t="n">
        <v>34</v>
      </c>
      <c r="L7274" s="42" t="n">
        <f aca="false">J7274*K7274</f>
        <v>139.06</v>
      </c>
      <c r="M7274" s="43" t="n">
        <f aca="false">H7274*17.34*(1+'Chart of Accounts'!$E$67)</f>
        <v>81.204087</v>
      </c>
    </row>
    <row r="7275" customFormat="false" ht="15" hidden="false" customHeight="false" outlineLevel="0" collapsed="false">
      <c r="B7275" s="7" t="s">
        <v>7772</v>
      </c>
      <c r="C7275" s="39" t="n">
        <v>45989</v>
      </c>
      <c r="D7275" s="7" t="s">
        <v>315</v>
      </c>
      <c r="E7275" s="7" t="s">
        <v>159</v>
      </c>
      <c r="F7275" s="7" t="s">
        <v>216</v>
      </c>
      <c r="G7275" s="7" t="s">
        <v>502</v>
      </c>
      <c r="H7275" s="6" t="n">
        <v>0.99</v>
      </c>
      <c r="I7275" s="6" t="n">
        <v>0</v>
      </c>
      <c r="J7275" s="40" t="n">
        <f aca="false">H7275-I7275</f>
        <v>0.99</v>
      </c>
      <c r="K7275" s="41" t="n">
        <v>135</v>
      </c>
      <c r="L7275" s="42" t="n">
        <f aca="false">J7275*K7275</f>
        <v>133.65</v>
      </c>
      <c r="M7275" s="43" t="n">
        <f aca="false">H7275*61.79*(1+'Chart of Accounts'!$E$67)</f>
        <v>70.0420545</v>
      </c>
    </row>
    <row r="7276" customFormat="false" ht="15" hidden="false" customHeight="false" outlineLevel="0" collapsed="false">
      <c r="B7276" s="7" t="s">
        <v>7773</v>
      </c>
      <c r="C7276" s="39" t="n">
        <v>45989</v>
      </c>
      <c r="D7276" s="7" t="s">
        <v>319</v>
      </c>
      <c r="E7276" s="7" t="s">
        <v>157</v>
      </c>
      <c r="F7276" s="7" t="s">
        <v>234</v>
      </c>
      <c r="G7276" s="7" t="s">
        <v>502</v>
      </c>
      <c r="H7276" s="6" t="n">
        <v>0.93</v>
      </c>
      <c r="I7276" s="6" t="n">
        <v>0</v>
      </c>
      <c r="J7276" s="40" t="n">
        <f aca="false">H7276-I7276</f>
        <v>0.93</v>
      </c>
      <c r="K7276" s="41" t="n">
        <v>165</v>
      </c>
      <c r="L7276" s="42" t="n">
        <f aca="false">J7276*K7276</f>
        <v>153.45</v>
      </c>
      <c r="M7276" s="43" t="n">
        <f aca="false">H7276*89.53*(1+'Chart of Accounts'!$E$67)</f>
        <v>95.3360205</v>
      </c>
    </row>
    <row r="7277" customFormat="false" ht="15" hidden="false" customHeight="false" outlineLevel="0" collapsed="false">
      <c r="B7277" s="7" t="s">
        <v>7774</v>
      </c>
      <c r="C7277" s="39" t="n">
        <v>45989</v>
      </c>
      <c r="D7277" s="7" t="s">
        <v>321</v>
      </c>
      <c r="E7277" s="7" t="s">
        <v>154</v>
      </c>
      <c r="F7277" s="7" t="s">
        <v>218</v>
      </c>
      <c r="G7277" s="7" t="s">
        <v>505</v>
      </c>
      <c r="H7277" s="6" t="n">
        <v>4.17</v>
      </c>
      <c r="I7277" s="6" t="n">
        <v>0.125</v>
      </c>
      <c r="J7277" s="40" t="n">
        <f aca="false">H7277-I7277</f>
        <v>4.045</v>
      </c>
      <c r="K7277" s="41" t="n">
        <v>26.5</v>
      </c>
      <c r="L7277" s="42" t="n">
        <f aca="false">J7277*K7277</f>
        <v>107.1925</v>
      </c>
      <c r="M7277" s="43" t="n">
        <f aca="false">H7277*16.19*(1+'Chart of Accounts'!$E$67)</f>
        <v>77.3015835</v>
      </c>
    </row>
    <row r="7278" customFormat="false" ht="15" hidden="false" customHeight="false" outlineLevel="0" collapsed="false">
      <c r="B7278" s="7" t="s">
        <v>7775</v>
      </c>
      <c r="C7278" s="39" t="n">
        <v>45989</v>
      </c>
      <c r="D7278" s="7" t="s">
        <v>323</v>
      </c>
      <c r="E7278" s="7" t="s">
        <v>159</v>
      </c>
      <c r="F7278" s="7" t="s">
        <v>187</v>
      </c>
      <c r="G7278" s="7" t="s">
        <v>502</v>
      </c>
      <c r="H7278" s="6" t="n">
        <v>0.98</v>
      </c>
      <c r="I7278" s="6" t="n">
        <v>0</v>
      </c>
      <c r="J7278" s="40" t="n">
        <f aca="false">H7278-I7278</f>
        <v>0.98</v>
      </c>
      <c r="K7278" s="41" t="n">
        <v>135</v>
      </c>
      <c r="L7278" s="42" t="n">
        <f aca="false">J7278*K7278</f>
        <v>132.3</v>
      </c>
      <c r="M7278" s="43" t="n">
        <f aca="false">H7278*66.48*(1+'Chart of Accounts'!$E$67)</f>
        <v>74.597208</v>
      </c>
    </row>
    <row r="7279" customFormat="false" ht="15" hidden="false" customHeight="false" outlineLevel="0" collapsed="false">
      <c r="B7279" s="7" t="s">
        <v>7776</v>
      </c>
      <c r="C7279" s="39" t="n">
        <v>45989</v>
      </c>
      <c r="D7279" s="7" t="s">
        <v>327</v>
      </c>
      <c r="E7279" s="7" t="s">
        <v>157</v>
      </c>
      <c r="F7279" s="7" t="s">
        <v>228</v>
      </c>
      <c r="G7279" s="7" t="s">
        <v>502</v>
      </c>
      <c r="H7279" s="6" t="n">
        <v>1.02</v>
      </c>
      <c r="I7279" s="6" t="n">
        <v>0</v>
      </c>
      <c r="J7279" s="40" t="n">
        <f aca="false">H7279-I7279</f>
        <v>1.02</v>
      </c>
      <c r="K7279" s="41" t="n">
        <v>165</v>
      </c>
      <c r="L7279" s="42" t="n">
        <f aca="false">J7279*K7279</f>
        <v>168.3</v>
      </c>
      <c r="M7279" s="43" t="n">
        <f aca="false">H7279*51.07*(1+'Chart of Accounts'!$E$67)</f>
        <v>59.644653</v>
      </c>
    </row>
    <row r="7280" customFormat="false" ht="15" hidden="false" customHeight="false" outlineLevel="0" collapsed="false">
      <c r="B7280" s="7" t="s">
        <v>7777</v>
      </c>
      <c r="C7280" s="39" t="n">
        <v>45989</v>
      </c>
      <c r="D7280" s="7" t="s">
        <v>329</v>
      </c>
      <c r="E7280" s="7" t="s">
        <v>156</v>
      </c>
      <c r="F7280" s="7" t="s">
        <v>220</v>
      </c>
      <c r="G7280" s="7" t="s">
        <v>505</v>
      </c>
      <c r="H7280" s="6" t="n">
        <v>3.91</v>
      </c>
      <c r="I7280" s="6" t="n">
        <v>0</v>
      </c>
      <c r="J7280" s="40" t="n">
        <f aca="false">H7280-I7280</f>
        <v>3.91</v>
      </c>
      <c r="K7280" s="41" t="n">
        <v>34</v>
      </c>
      <c r="L7280" s="42" t="n">
        <f aca="false">J7280*K7280</f>
        <v>132.94</v>
      </c>
      <c r="M7280" s="43" t="n">
        <f aca="false">H7280*16.43*(1+'Chart of Accounts'!$E$67)</f>
        <v>73.5562885</v>
      </c>
    </row>
    <row r="7281" customFormat="false" ht="15" hidden="false" customHeight="false" outlineLevel="0" collapsed="false">
      <c r="B7281" s="7" t="s">
        <v>7778</v>
      </c>
      <c r="C7281" s="39" t="n">
        <v>45989</v>
      </c>
      <c r="D7281" s="7" t="s">
        <v>333</v>
      </c>
      <c r="E7281" s="7" t="s">
        <v>154</v>
      </c>
      <c r="F7281" s="7" t="s">
        <v>236</v>
      </c>
      <c r="G7281" s="7" t="s">
        <v>505</v>
      </c>
      <c r="H7281" s="6" t="n">
        <v>3.1</v>
      </c>
      <c r="I7281" s="6" t="n">
        <v>0</v>
      </c>
      <c r="J7281" s="40" t="n">
        <f aca="false">H7281-I7281</f>
        <v>3.1</v>
      </c>
      <c r="K7281" s="41" t="n">
        <v>26.5</v>
      </c>
      <c r="L7281" s="42" t="n">
        <f aca="false">J7281*K7281</f>
        <v>82.15</v>
      </c>
      <c r="M7281" s="43" t="n">
        <f aca="false">H7281*15.49*(1+'Chart of Accounts'!$E$67)</f>
        <v>54.981755</v>
      </c>
    </row>
    <row r="7282" customFormat="false" ht="15" hidden="false" customHeight="false" outlineLevel="0" collapsed="false">
      <c r="B7282" s="7" t="s">
        <v>7779</v>
      </c>
      <c r="C7282" s="39" t="n">
        <v>45989</v>
      </c>
      <c r="D7282" s="7" t="s">
        <v>335</v>
      </c>
      <c r="E7282" s="7" t="s">
        <v>154</v>
      </c>
      <c r="F7282" s="7" t="s">
        <v>177</v>
      </c>
      <c r="G7282" s="7" t="s">
        <v>505</v>
      </c>
      <c r="H7282" s="6" t="n">
        <v>4.21</v>
      </c>
      <c r="I7282" s="6" t="n">
        <v>0</v>
      </c>
      <c r="J7282" s="40" t="n">
        <f aca="false">H7282-I7282</f>
        <v>4.21</v>
      </c>
      <c r="K7282" s="41" t="n">
        <v>26.5</v>
      </c>
      <c r="L7282" s="42" t="n">
        <f aca="false">J7282*K7282</f>
        <v>111.565</v>
      </c>
      <c r="M7282" s="43" t="n">
        <f aca="false">H7282*14.56*(1+'Chart of Accounts'!$E$67)</f>
        <v>70.185752</v>
      </c>
    </row>
    <row r="7283" customFormat="false" ht="15" hidden="false" customHeight="false" outlineLevel="0" collapsed="false">
      <c r="B7283" s="7" t="s">
        <v>7780</v>
      </c>
      <c r="C7283" s="39" t="n">
        <v>45989</v>
      </c>
      <c r="D7283" s="7" t="s">
        <v>339</v>
      </c>
      <c r="E7283" s="7" t="s">
        <v>154</v>
      </c>
      <c r="F7283" s="7" t="s">
        <v>242</v>
      </c>
      <c r="G7283" s="7" t="s">
        <v>505</v>
      </c>
      <c r="H7283" s="6" t="n">
        <v>3.47</v>
      </c>
      <c r="I7283" s="6" t="n">
        <v>0</v>
      </c>
      <c r="J7283" s="40" t="n">
        <f aca="false">H7283-I7283</f>
        <v>3.47</v>
      </c>
      <c r="K7283" s="41" t="n">
        <v>26.5</v>
      </c>
      <c r="L7283" s="42" t="n">
        <f aca="false">J7283*K7283</f>
        <v>91.955</v>
      </c>
      <c r="M7283" s="43" t="n">
        <f aca="false">H7283*17.99*(1+'Chart of Accounts'!$E$67)</f>
        <v>71.4769685</v>
      </c>
    </row>
    <row r="7284" customFormat="false" ht="15" hidden="false" customHeight="false" outlineLevel="0" collapsed="false">
      <c r="B7284" s="7" t="s">
        <v>7781</v>
      </c>
      <c r="C7284" s="39" t="n">
        <v>45989</v>
      </c>
      <c r="D7284" s="7" t="s">
        <v>349</v>
      </c>
      <c r="E7284" s="7" t="s">
        <v>154</v>
      </c>
      <c r="F7284" s="7" t="s">
        <v>244</v>
      </c>
      <c r="G7284" s="7" t="s">
        <v>505</v>
      </c>
      <c r="H7284" s="6" t="n">
        <v>4.19</v>
      </c>
      <c r="I7284" s="6" t="n">
        <v>0</v>
      </c>
      <c r="J7284" s="40" t="n">
        <f aca="false">H7284-I7284</f>
        <v>4.19</v>
      </c>
      <c r="K7284" s="41" t="n">
        <v>26.5</v>
      </c>
      <c r="L7284" s="42" t="n">
        <f aca="false">J7284*K7284</f>
        <v>111.035</v>
      </c>
      <c r="M7284" s="43" t="n">
        <f aca="false">H7284*16.39*(1+'Chart of Accounts'!$E$67)</f>
        <v>78.6318445</v>
      </c>
    </row>
    <row r="7285" customFormat="false" ht="15" hidden="false" customHeight="false" outlineLevel="0" collapsed="false">
      <c r="B7285" s="7" t="s">
        <v>7782</v>
      </c>
      <c r="C7285" s="39" t="n">
        <v>45989</v>
      </c>
      <c r="D7285" s="7" t="s">
        <v>353</v>
      </c>
      <c r="E7285" s="7" t="s">
        <v>154</v>
      </c>
      <c r="F7285" s="7" t="s">
        <v>254</v>
      </c>
      <c r="G7285" s="7" t="s">
        <v>505</v>
      </c>
      <c r="H7285" s="6" t="n">
        <v>3.39</v>
      </c>
      <c r="I7285" s="6" t="n">
        <v>0</v>
      </c>
      <c r="J7285" s="40" t="n">
        <f aca="false">H7285-I7285</f>
        <v>3.39</v>
      </c>
      <c r="K7285" s="41" t="n">
        <v>26.5</v>
      </c>
      <c r="L7285" s="42" t="n">
        <f aca="false">J7285*K7285</f>
        <v>89.835</v>
      </c>
      <c r="M7285" s="43" t="n">
        <f aca="false">H7285*17.1*(1+'Chart of Accounts'!$E$67)</f>
        <v>66.374505</v>
      </c>
    </row>
    <row r="7286" customFormat="false" ht="15" hidden="false" customHeight="false" outlineLevel="0" collapsed="false">
      <c r="B7286" s="7" t="s">
        <v>7783</v>
      </c>
      <c r="C7286" s="39" t="n">
        <v>45989</v>
      </c>
      <c r="D7286" s="7" t="s">
        <v>355</v>
      </c>
      <c r="E7286" s="7" t="s">
        <v>154</v>
      </c>
      <c r="F7286" s="7" t="s">
        <v>201</v>
      </c>
      <c r="G7286" s="7" t="s">
        <v>505</v>
      </c>
      <c r="H7286" s="6" t="n">
        <v>3.18</v>
      </c>
      <c r="I7286" s="6" t="n">
        <v>0.095</v>
      </c>
      <c r="J7286" s="40" t="n">
        <f aca="false">H7286-I7286</f>
        <v>3.085</v>
      </c>
      <c r="K7286" s="41" t="n">
        <v>26.5</v>
      </c>
      <c r="L7286" s="42" t="n">
        <f aca="false">J7286*K7286</f>
        <v>81.7525</v>
      </c>
      <c r="M7286" s="43" t="n">
        <f aca="false">H7286*15.19*(1+'Chart of Accounts'!$E$67)</f>
        <v>55.308309</v>
      </c>
    </row>
    <row r="7287" customFormat="false" ht="15" hidden="false" customHeight="false" outlineLevel="0" collapsed="false">
      <c r="B7287" s="7" t="s">
        <v>7784</v>
      </c>
      <c r="C7287" s="39" t="n">
        <v>45989</v>
      </c>
      <c r="D7287" s="7" t="s">
        <v>357</v>
      </c>
      <c r="E7287" s="7" t="s">
        <v>154</v>
      </c>
      <c r="F7287" s="7" t="s">
        <v>232</v>
      </c>
      <c r="G7287" s="7" t="s">
        <v>505</v>
      </c>
      <c r="H7287" s="6" t="n">
        <v>3.07</v>
      </c>
      <c r="I7287" s="6" t="n">
        <v>0</v>
      </c>
      <c r="J7287" s="40" t="n">
        <f aca="false">H7287-I7287</f>
        <v>3.07</v>
      </c>
      <c r="K7287" s="41" t="n">
        <v>26.5</v>
      </c>
      <c r="L7287" s="42" t="n">
        <f aca="false">J7287*K7287</f>
        <v>81.355</v>
      </c>
      <c r="M7287" s="43" t="n">
        <f aca="false">H7287*16.17*(1+'Chart of Accounts'!$E$67)</f>
        <v>56.8399755</v>
      </c>
    </row>
    <row r="7288" customFormat="false" ht="15" hidden="false" customHeight="false" outlineLevel="0" collapsed="false">
      <c r="B7288" s="7" t="s">
        <v>7785</v>
      </c>
      <c r="C7288" s="39" t="n">
        <v>45989</v>
      </c>
      <c r="D7288" s="7" t="s">
        <v>359</v>
      </c>
      <c r="E7288" s="7" t="s">
        <v>156</v>
      </c>
      <c r="F7288" s="7" t="s">
        <v>222</v>
      </c>
      <c r="G7288" s="7" t="s">
        <v>505</v>
      </c>
      <c r="H7288" s="6" t="n">
        <v>3.75</v>
      </c>
      <c r="I7288" s="6" t="n">
        <v>0</v>
      </c>
      <c r="J7288" s="40" t="n">
        <f aca="false">H7288-I7288</f>
        <v>3.75</v>
      </c>
      <c r="K7288" s="41" t="n">
        <v>34</v>
      </c>
      <c r="L7288" s="42" t="n">
        <f aca="false">J7288*K7288</f>
        <v>127.5</v>
      </c>
      <c r="M7288" s="43" t="n">
        <f aca="false">H7288*17.84*(1+'Chart of Accounts'!$E$67)</f>
        <v>76.6005</v>
      </c>
    </row>
    <row r="7289" customFormat="false" ht="15" hidden="false" customHeight="false" outlineLevel="0" collapsed="false">
      <c r="B7289" s="7" t="s">
        <v>7786</v>
      </c>
      <c r="C7289" s="39" t="n">
        <v>45989</v>
      </c>
      <c r="D7289" s="7" t="s">
        <v>361</v>
      </c>
      <c r="E7289" s="7" t="s">
        <v>157</v>
      </c>
      <c r="F7289" s="7" t="s">
        <v>209</v>
      </c>
      <c r="G7289" s="7" t="s">
        <v>502</v>
      </c>
      <c r="H7289" s="6" t="n">
        <v>0.99</v>
      </c>
      <c r="I7289" s="6" t="n">
        <v>0</v>
      </c>
      <c r="J7289" s="40" t="n">
        <f aca="false">H7289-I7289</f>
        <v>0.99</v>
      </c>
      <c r="K7289" s="41" t="n">
        <v>165</v>
      </c>
      <c r="L7289" s="42" t="n">
        <f aca="false">J7289*K7289</f>
        <v>163.35</v>
      </c>
      <c r="M7289" s="43" t="n">
        <f aca="false">H7289*73.58*(1+'Chart of Accounts'!$E$67)</f>
        <v>83.406609</v>
      </c>
    </row>
    <row r="7290" customFormat="false" ht="15" hidden="false" customHeight="false" outlineLevel="0" collapsed="false">
      <c r="B7290" s="7" t="s">
        <v>7787</v>
      </c>
      <c r="C7290" s="39" t="n">
        <v>45989</v>
      </c>
      <c r="D7290" s="7" t="s">
        <v>365</v>
      </c>
      <c r="E7290" s="7" t="s">
        <v>154</v>
      </c>
      <c r="F7290" s="7" t="s">
        <v>194</v>
      </c>
      <c r="G7290" s="7" t="s">
        <v>505</v>
      </c>
      <c r="H7290" s="6" t="n">
        <v>4.28</v>
      </c>
      <c r="I7290" s="6" t="n">
        <v>0</v>
      </c>
      <c r="J7290" s="40" t="n">
        <f aca="false">H7290-I7290</f>
        <v>4.28</v>
      </c>
      <c r="K7290" s="41" t="n">
        <v>26.5</v>
      </c>
      <c r="L7290" s="42" t="n">
        <f aca="false">J7290*K7290</f>
        <v>113.42</v>
      </c>
      <c r="M7290" s="43" t="n">
        <f aca="false">H7290*16*(1+'Chart of Accounts'!$E$67)</f>
        <v>78.4096</v>
      </c>
    </row>
    <row r="7291" customFormat="false" ht="15" hidden="false" customHeight="false" outlineLevel="0" collapsed="false">
      <c r="B7291" s="7" t="s">
        <v>7788</v>
      </c>
      <c r="C7291" s="39" t="n">
        <v>45989</v>
      </c>
      <c r="D7291" s="7" t="s">
        <v>369</v>
      </c>
      <c r="E7291" s="7" t="s">
        <v>159</v>
      </c>
      <c r="F7291" s="7" t="s">
        <v>258</v>
      </c>
      <c r="G7291" s="7" t="s">
        <v>502</v>
      </c>
      <c r="H7291" s="6" t="n">
        <v>0.96</v>
      </c>
      <c r="I7291" s="6" t="n">
        <v>0</v>
      </c>
      <c r="J7291" s="40" t="n">
        <f aca="false">H7291-I7291</f>
        <v>0.96</v>
      </c>
      <c r="K7291" s="41" t="n">
        <v>135</v>
      </c>
      <c r="L7291" s="42" t="n">
        <f aca="false">J7291*K7291</f>
        <v>129.6</v>
      </c>
      <c r="M7291" s="43" t="n">
        <f aca="false">H7291*61.61*(1+'Chart of Accounts'!$E$67)</f>
        <v>67.721712</v>
      </c>
    </row>
    <row r="7292" customFormat="false" ht="15" hidden="false" customHeight="false" outlineLevel="0" collapsed="false">
      <c r="B7292" s="7" t="s">
        <v>7789</v>
      </c>
      <c r="C7292" s="39" t="n">
        <v>45989</v>
      </c>
      <c r="D7292" s="7" t="s">
        <v>371</v>
      </c>
      <c r="E7292" s="7" t="s">
        <v>154</v>
      </c>
      <c r="F7292" s="7" t="s">
        <v>232</v>
      </c>
      <c r="G7292" s="7" t="s">
        <v>505</v>
      </c>
      <c r="H7292" s="6" t="n">
        <v>4.73</v>
      </c>
      <c r="I7292" s="6" t="n">
        <v>0.142</v>
      </c>
      <c r="J7292" s="40" t="n">
        <f aca="false">H7292-I7292</f>
        <v>4.588</v>
      </c>
      <c r="K7292" s="41" t="n">
        <v>26.5</v>
      </c>
      <c r="L7292" s="42" t="n">
        <f aca="false">J7292*K7292</f>
        <v>121.582</v>
      </c>
      <c r="M7292" s="43" t="n">
        <f aca="false">H7292*16.17*(1+'Chart of Accounts'!$E$67)</f>
        <v>87.5742945</v>
      </c>
    </row>
    <row r="7293" customFormat="false" ht="15" hidden="false" customHeight="false" outlineLevel="0" collapsed="false">
      <c r="B7293" s="7" t="s">
        <v>7790</v>
      </c>
      <c r="C7293" s="39" t="n">
        <v>45989</v>
      </c>
      <c r="D7293" s="7" t="s">
        <v>379</v>
      </c>
      <c r="E7293" s="7" t="s">
        <v>156</v>
      </c>
      <c r="F7293" s="7" t="s">
        <v>224</v>
      </c>
      <c r="G7293" s="7" t="s">
        <v>505</v>
      </c>
      <c r="H7293" s="6" t="n">
        <v>4.31</v>
      </c>
      <c r="I7293" s="6" t="n">
        <v>0</v>
      </c>
      <c r="J7293" s="40" t="n">
        <f aca="false">H7293-I7293</f>
        <v>4.31</v>
      </c>
      <c r="K7293" s="41" t="n">
        <v>34</v>
      </c>
      <c r="L7293" s="42" t="n">
        <f aca="false">J7293*K7293</f>
        <v>146.54</v>
      </c>
      <c r="M7293" s="43" t="n">
        <f aca="false">H7293*14.93*(1+'Chart of Accounts'!$E$67)</f>
        <v>73.6788035</v>
      </c>
    </row>
    <row r="7294" customFormat="false" ht="15" hidden="false" customHeight="false" outlineLevel="0" collapsed="false">
      <c r="B7294" s="7" t="s">
        <v>7791</v>
      </c>
      <c r="C7294" s="39" t="n">
        <v>45989</v>
      </c>
      <c r="D7294" s="7" t="s">
        <v>383</v>
      </c>
      <c r="E7294" s="7" t="s">
        <v>157</v>
      </c>
      <c r="F7294" s="7" t="s">
        <v>230</v>
      </c>
      <c r="G7294" s="7" t="s">
        <v>502</v>
      </c>
      <c r="H7294" s="6" t="n">
        <v>1.03</v>
      </c>
      <c r="I7294" s="6" t="n">
        <v>0.052</v>
      </c>
      <c r="J7294" s="40" t="n">
        <f aca="false">H7294-I7294</f>
        <v>0.978</v>
      </c>
      <c r="K7294" s="41" t="n">
        <v>165</v>
      </c>
      <c r="L7294" s="42" t="n">
        <f aca="false">J7294*K7294</f>
        <v>161.37</v>
      </c>
      <c r="M7294" s="43" t="n">
        <f aca="false">H7294*48.78*(1+'Chart of Accounts'!$E$67)</f>
        <v>57.528693</v>
      </c>
    </row>
    <row r="7295" customFormat="false" ht="15" hidden="false" customHeight="false" outlineLevel="0" collapsed="false">
      <c r="B7295" s="7" t="s">
        <v>7792</v>
      </c>
      <c r="C7295" s="39" t="n">
        <v>45989</v>
      </c>
      <c r="D7295" s="7" t="s">
        <v>385</v>
      </c>
      <c r="E7295" s="7" t="s">
        <v>156</v>
      </c>
      <c r="F7295" s="7" t="s">
        <v>238</v>
      </c>
      <c r="G7295" s="7" t="s">
        <v>505</v>
      </c>
      <c r="H7295" s="6" t="n">
        <v>3.96</v>
      </c>
      <c r="I7295" s="6" t="n">
        <v>0</v>
      </c>
      <c r="J7295" s="40" t="n">
        <f aca="false">H7295-I7295</f>
        <v>3.96</v>
      </c>
      <c r="K7295" s="41" t="n">
        <v>34</v>
      </c>
      <c r="L7295" s="42" t="n">
        <f aca="false">J7295*K7295</f>
        <v>134.64</v>
      </c>
      <c r="M7295" s="43" t="n">
        <f aca="false">H7295*15.85*(1+'Chart of Accounts'!$E$67)</f>
        <v>71.86707</v>
      </c>
    </row>
    <row r="7296" customFormat="false" ht="15" hidden="false" customHeight="false" outlineLevel="0" collapsed="false">
      <c r="B7296" s="7" t="s">
        <v>7793</v>
      </c>
      <c r="C7296" s="39" t="n">
        <v>45989</v>
      </c>
      <c r="D7296" s="7" t="s">
        <v>387</v>
      </c>
      <c r="E7296" s="7" t="s">
        <v>154</v>
      </c>
      <c r="F7296" s="7" t="s">
        <v>196</v>
      </c>
      <c r="G7296" s="7" t="s">
        <v>505</v>
      </c>
      <c r="H7296" s="6" t="n">
        <v>4.39</v>
      </c>
      <c r="I7296" s="6" t="n">
        <v>0</v>
      </c>
      <c r="J7296" s="40" t="n">
        <f aca="false">H7296-I7296</f>
        <v>4.39</v>
      </c>
      <c r="K7296" s="41" t="n">
        <v>26.5</v>
      </c>
      <c r="L7296" s="42" t="n">
        <f aca="false">J7296*K7296</f>
        <v>116.335</v>
      </c>
      <c r="M7296" s="43" t="n">
        <f aca="false">H7296*15.05*(1+'Chart of Accounts'!$E$67)</f>
        <v>75.6495775</v>
      </c>
    </row>
    <row r="7297" customFormat="false" ht="15" hidden="false" customHeight="false" outlineLevel="0" collapsed="false">
      <c r="B7297" s="7" t="s">
        <v>7794</v>
      </c>
      <c r="C7297" s="39" t="n">
        <v>45989</v>
      </c>
      <c r="D7297" s="7" t="s">
        <v>389</v>
      </c>
      <c r="E7297" s="7" t="s">
        <v>154</v>
      </c>
      <c r="F7297" s="7" t="s">
        <v>246</v>
      </c>
      <c r="G7297" s="7" t="s">
        <v>505</v>
      </c>
      <c r="H7297" s="6" t="n">
        <v>3.96</v>
      </c>
      <c r="I7297" s="6" t="n">
        <v>0</v>
      </c>
      <c r="J7297" s="40" t="n">
        <f aca="false">H7297-I7297</f>
        <v>3.96</v>
      </c>
      <c r="K7297" s="41" t="n">
        <v>26.5</v>
      </c>
      <c r="L7297" s="42" t="n">
        <f aca="false">J7297*K7297</f>
        <v>104.94</v>
      </c>
      <c r="M7297" s="43" t="n">
        <f aca="false">H7297*16.48*(1+'Chart of Accounts'!$E$67)</f>
        <v>74.723616</v>
      </c>
    </row>
    <row r="7298" customFormat="false" ht="15" hidden="false" customHeight="false" outlineLevel="0" collapsed="false">
      <c r="B7298" s="7" t="s">
        <v>7795</v>
      </c>
      <c r="C7298" s="39" t="n">
        <v>45989</v>
      </c>
      <c r="D7298" s="7" t="s">
        <v>391</v>
      </c>
      <c r="E7298" s="7" t="s">
        <v>156</v>
      </c>
      <c r="F7298" s="7" t="s">
        <v>222</v>
      </c>
      <c r="G7298" s="7" t="s">
        <v>505</v>
      </c>
      <c r="H7298" s="6" t="n">
        <v>3.64</v>
      </c>
      <c r="I7298" s="6" t="n">
        <v>0</v>
      </c>
      <c r="J7298" s="40" t="n">
        <f aca="false">H7298-I7298</f>
        <v>3.64</v>
      </c>
      <c r="K7298" s="41" t="n">
        <v>34</v>
      </c>
      <c r="L7298" s="42" t="n">
        <f aca="false">J7298*K7298</f>
        <v>123.76</v>
      </c>
      <c r="M7298" s="43" t="n">
        <f aca="false">H7298*17.84*(1+'Chart of Accounts'!$E$67)</f>
        <v>74.353552</v>
      </c>
    </row>
    <row r="7299" customFormat="false" ht="15" hidden="false" customHeight="false" outlineLevel="0" collapsed="false">
      <c r="B7299" s="7" t="s">
        <v>7796</v>
      </c>
      <c r="C7299" s="39" t="n">
        <v>45989</v>
      </c>
      <c r="D7299" s="7" t="s">
        <v>395</v>
      </c>
      <c r="E7299" s="7" t="s">
        <v>156</v>
      </c>
      <c r="F7299" s="7" t="s">
        <v>242</v>
      </c>
      <c r="G7299" s="7" t="s">
        <v>505</v>
      </c>
      <c r="H7299" s="6" t="n">
        <v>3.85</v>
      </c>
      <c r="I7299" s="6" t="n">
        <v>0</v>
      </c>
      <c r="J7299" s="40" t="n">
        <f aca="false">H7299-I7299</f>
        <v>3.85</v>
      </c>
      <c r="K7299" s="41" t="n">
        <v>34</v>
      </c>
      <c r="L7299" s="42" t="n">
        <f aca="false">J7299*K7299</f>
        <v>130.9</v>
      </c>
      <c r="M7299" s="43" t="n">
        <f aca="false">H7299*17.99*(1+'Chart of Accounts'!$E$67)</f>
        <v>79.3044175</v>
      </c>
    </row>
    <row r="7300" customFormat="false" ht="15" hidden="false" customHeight="false" outlineLevel="0" collapsed="false">
      <c r="B7300" s="7" t="s">
        <v>7797</v>
      </c>
      <c r="C7300" s="39" t="n">
        <v>45989</v>
      </c>
      <c r="D7300" s="7" t="s">
        <v>397</v>
      </c>
      <c r="E7300" s="7" t="s">
        <v>159</v>
      </c>
      <c r="F7300" s="7" t="s">
        <v>203</v>
      </c>
      <c r="G7300" s="7" t="s">
        <v>502</v>
      </c>
      <c r="H7300" s="6" t="n">
        <v>0.98</v>
      </c>
      <c r="I7300" s="6" t="n">
        <v>0.069</v>
      </c>
      <c r="J7300" s="40" t="n">
        <f aca="false">H7300-I7300</f>
        <v>0.911</v>
      </c>
      <c r="K7300" s="41" t="n">
        <v>135</v>
      </c>
      <c r="L7300" s="42" t="n">
        <f aca="false">J7300*K7300</f>
        <v>122.985</v>
      </c>
      <c r="M7300" s="43" t="n">
        <f aca="false">H7300*49.43*(1+'Chart of Accounts'!$E$67)</f>
        <v>55.465403</v>
      </c>
    </row>
    <row r="7301" customFormat="false" ht="15" hidden="false" customHeight="false" outlineLevel="0" collapsed="false">
      <c r="B7301" s="7" t="s">
        <v>7798</v>
      </c>
      <c r="C7301" s="39" t="n">
        <v>45989</v>
      </c>
      <c r="D7301" s="7" t="s">
        <v>399</v>
      </c>
      <c r="E7301" s="7" t="s">
        <v>154</v>
      </c>
      <c r="F7301" s="7" t="s">
        <v>201</v>
      </c>
      <c r="G7301" s="7" t="s">
        <v>505</v>
      </c>
      <c r="H7301" s="6" t="n">
        <v>3.13</v>
      </c>
      <c r="I7301" s="6" t="n">
        <v>0</v>
      </c>
      <c r="J7301" s="40" t="n">
        <f aca="false">H7301-I7301</f>
        <v>3.13</v>
      </c>
      <c r="K7301" s="41" t="n">
        <v>26.5</v>
      </c>
      <c r="L7301" s="42" t="n">
        <f aca="false">J7301*K7301</f>
        <v>82.945</v>
      </c>
      <c r="M7301" s="43" t="n">
        <f aca="false">H7301*15.19*(1+'Chart of Accounts'!$E$67)</f>
        <v>54.4386815</v>
      </c>
    </row>
    <row r="7302" customFormat="false" ht="15" hidden="false" customHeight="false" outlineLevel="0" collapsed="false">
      <c r="B7302" s="7" t="s">
        <v>7799</v>
      </c>
      <c r="C7302" s="39" t="n">
        <v>45989</v>
      </c>
      <c r="D7302" s="7" t="s">
        <v>401</v>
      </c>
      <c r="E7302" s="7" t="s">
        <v>156</v>
      </c>
      <c r="F7302" s="7" t="s">
        <v>254</v>
      </c>
      <c r="G7302" s="7" t="s">
        <v>505</v>
      </c>
      <c r="H7302" s="6" t="n">
        <v>4.23</v>
      </c>
      <c r="I7302" s="6" t="n">
        <v>0</v>
      </c>
      <c r="J7302" s="40" t="n">
        <f aca="false">H7302-I7302</f>
        <v>4.23</v>
      </c>
      <c r="K7302" s="41" t="n">
        <v>34</v>
      </c>
      <c r="L7302" s="42" t="n">
        <f aca="false">J7302*K7302</f>
        <v>143.82</v>
      </c>
      <c r="M7302" s="43" t="n">
        <f aca="false">H7302*17.1*(1+'Chart of Accounts'!$E$67)</f>
        <v>82.821285</v>
      </c>
    </row>
    <row r="7303" customFormat="false" ht="15" hidden="false" customHeight="false" outlineLevel="0" collapsed="false">
      <c r="B7303" s="7" t="s">
        <v>7800</v>
      </c>
      <c r="C7303" s="39" t="n">
        <v>45989</v>
      </c>
      <c r="D7303" s="7" t="s">
        <v>403</v>
      </c>
      <c r="E7303" s="7" t="s">
        <v>156</v>
      </c>
      <c r="F7303" s="7" t="s">
        <v>184</v>
      </c>
      <c r="G7303" s="7" t="s">
        <v>505</v>
      </c>
      <c r="H7303" s="6" t="n">
        <v>3.6</v>
      </c>
      <c r="I7303" s="6" t="n">
        <v>0</v>
      </c>
      <c r="J7303" s="40" t="n">
        <f aca="false">H7303-I7303</f>
        <v>3.6</v>
      </c>
      <c r="K7303" s="41" t="n">
        <v>34</v>
      </c>
      <c r="L7303" s="42" t="n">
        <f aca="false">J7303*K7303</f>
        <v>122.4</v>
      </c>
      <c r="M7303" s="43" t="n">
        <f aca="false">H7303*17.34*(1+'Chart of Accounts'!$E$67)</f>
        <v>71.47548</v>
      </c>
    </row>
    <row r="7304" customFormat="false" ht="15" hidden="false" customHeight="false" outlineLevel="0" collapsed="false">
      <c r="B7304" s="7" t="s">
        <v>7801</v>
      </c>
      <c r="C7304" s="39" t="n">
        <v>45989</v>
      </c>
      <c r="D7304" s="7" t="s">
        <v>407</v>
      </c>
      <c r="E7304" s="7" t="s">
        <v>159</v>
      </c>
      <c r="F7304" s="7" t="s">
        <v>260</v>
      </c>
      <c r="G7304" s="7" t="s">
        <v>502</v>
      </c>
      <c r="H7304" s="6" t="n">
        <v>1.06</v>
      </c>
      <c r="I7304" s="6" t="n">
        <v>0</v>
      </c>
      <c r="J7304" s="40" t="n">
        <f aca="false">H7304-I7304</f>
        <v>1.06</v>
      </c>
      <c r="K7304" s="41" t="n">
        <v>135</v>
      </c>
      <c r="L7304" s="42" t="n">
        <f aca="false">J7304*K7304</f>
        <v>143.1</v>
      </c>
      <c r="M7304" s="43" t="n">
        <f aca="false">H7304*79.8*(1+'Chart of Accounts'!$E$67)</f>
        <v>96.85326</v>
      </c>
    </row>
    <row r="7305" customFormat="false" ht="15" hidden="false" customHeight="false" outlineLevel="0" collapsed="false">
      <c r="B7305" s="7" t="s">
        <v>7802</v>
      </c>
      <c r="C7305" s="39" t="n">
        <v>45989</v>
      </c>
      <c r="D7305" s="7" t="s">
        <v>409</v>
      </c>
      <c r="E7305" s="7" t="s">
        <v>154</v>
      </c>
      <c r="F7305" s="7" t="s">
        <v>214</v>
      </c>
      <c r="G7305" s="7" t="s">
        <v>505</v>
      </c>
      <c r="H7305" s="6" t="n">
        <v>3.56</v>
      </c>
      <c r="I7305" s="6" t="n">
        <v>0</v>
      </c>
      <c r="J7305" s="40" t="n">
        <f aca="false">H7305-I7305</f>
        <v>3.56</v>
      </c>
      <c r="K7305" s="41" t="n">
        <v>26.5</v>
      </c>
      <c r="L7305" s="42" t="n">
        <f aca="false">J7305*K7305</f>
        <v>94.34</v>
      </c>
      <c r="M7305" s="43" t="n">
        <f aca="false">H7305*15.67*(1+'Chart of Accounts'!$E$67)</f>
        <v>63.874054</v>
      </c>
    </row>
    <row r="7306" customFormat="false" ht="15" hidden="false" customHeight="false" outlineLevel="0" collapsed="false">
      <c r="B7306" s="7" t="s">
        <v>7803</v>
      </c>
      <c r="C7306" s="39" t="n">
        <v>45989</v>
      </c>
      <c r="D7306" s="7" t="s">
        <v>411</v>
      </c>
      <c r="E7306" s="7" t="s">
        <v>154</v>
      </c>
      <c r="F7306" s="7" t="s">
        <v>177</v>
      </c>
      <c r="G7306" s="7" t="s">
        <v>505</v>
      </c>
      <c r="H7306" s="6" t="n">
        <v>4.68</v>
      </c>
      <c r="I7306" s="6" t="n">
        <v>0</v>
      </c>
      <c r="J7306" s="40" t="n">
        <f aca="false">H7306-I7306</f>
        <v>4.68</v>
      </c>
      <c r="K7306" s="41" t="n">
        <v>26.5</v>
      </c>
      <c r="L7306" s="42" t="n">
        <f aca="false">J7306*K7306</f>
        <v>124.02</v>
      </c>
      <c r="M7306" s="43" t="n">
        <f aca="false">H7306*14.56*(1+'Chart of Accounts'!$E$67)</f>
        <v>78.021216</v>
      </c>
    </row>
    <row r="7307" customFormat="false" ht="15" hidden="false" customHeight="false" outlineLevel="0" collapsed="false">
      <c r="B7307" s="7" t="s">
        <v>7804</v>
      </c>
      <c r="C7307" s="39" t="n">
        <v>45990</v>
      </c>
      <c r="D7307" s="7" t="s">
        <v>288</v>
      </c>
      <c r="E7307" s="7" t="s">
        <v>156</v>
      </c>
      <c r="F7307" s="7" t="s">
        <v>246</v>
      </c>
      <c r="G7307" s="7" t="s">
        <v>505</v>
      </c>
      <c r="H7307" s="6" t="n">
        <v>3.91</v>
      </c>
      <c r="I7307" s="6" t="n">
        <v>0</v>
      </c>
      <c r="J7307" s="40" t="n">
        <f aca="false">H7307-I7307</f>
        <v>3.91</v>
      </c>
      <c r="K7307" s="41" t="n">
        <v>34</v>
      </c>
      <c r="L7307" s="42" t="n">
        <f aca="false">J7307*K7307</f>
        <v>132.94</v>
      </c>
      <c r="M7307" s="43" t="n">
        <f aca="false">H7307*16.48*(1+'Chart of Accounts'!$E$67)</f>
        <v>73.780136</v>
      </c>
    </row>
    <row r="7308" customFormat="false" ht="15" hidden="false" customHeight="false" outlineLevel="0" collapsed="false">
      <c r="B7308" s="7" t="s">
        <v>7805</v>
      </c>
      <c r="C7308" s="39" t="n">
        <v>45990</v>
      </c>
      <c r="D7308" s="7" t="s">
        <v>321</v>
      </c>
      <c r="E7308" s="7" t="s">
        <v>154</v>
      </c>
      <c r="F7308" s="7" t="s">
        <v>218</v>
      </c>
      <c r="G7308" s="7" t="s">
        <v>505</v>
      </c>
      <c r="H7308" s="6" t="n">
        <v>4.39</v>
      </c>
      <c r="I7308" s="6" t="n">
        <v>0</v>
      </c>
      <c r="J7308" s="40" t="n">
        <f aca="false">H7308-I7308</f>
        <v>4.39</v>
      </c>
      <c r="K7308" s="41" t="n">
        <v>26.5</v>
      </c>
      <c r="L7308" s="42" t="n">
        <f aca="false">J7308*K7308</f>
        <v>116.335</v>
      </c>
      <c r="M7308" s="43" t="n">
        <f aca="false">H7308*16.19*(1+'Chart of Accounts'!$E$67)</f>
        <v>81.3798445</v>
      </c>
    </row>
    <row r="7309" customFormat="false" ht="15" hidden="false" customHeight="false" outlineLevel="0" collapsed="false">
      <c r="B7309" s="7" t="s">
        <v>7806</v>
      </c>
      <c r="C7309" s="39" t="n">
        <v>45990</v>
      </c>
      <c r="D7309" s="7" t="s">
        <v>359</v>
      </c>
      <c r="E7309" s="7" t="s">
        <v>156</v>
      </c>
      <c r="F7309" s="7" t="s">
        <v>244</v>
      </c>
      <c r="G7309" s="7" t="s">
        <v>505</v>
      </c>
      <c r="H7309" s="6" t="n">
        <v>4.14</v>
      </c>
      <c r="I7309" s="6" t="n">
        <v>0</v>
      </c>
      <c r="J7309" s="40" t="n">
        <f aca="false">H7309-I7309</f>
        <v>4.14</v>
      </c>
      <c r="K7309" s="41" t="n">
        <v>34</v>
      </c>
      <c r="L7309" s="42" t="n">
        <f aca="false">J7309*K7309</f>
        <v>140.76</v>
      </c>
      <c r="M7309" s="43" t="n">
        <f aca="false">H7309*16.39*(1+'Chart of Accounts'!$E$67)</f>
        <v>77.693517</v>
      </c>
    </row>
    <row r="7310" customFormat="false" ht="15" hidden="false" customHeight="false" outlineLevel="0" collapsed="false">
      <c r="B7310" s="7" t="s">
        <v>7807</v>
      </c>
      <c r="C7310" s="39" t="n">
        <v>45990</v>
      </c>
      <c r="D7310" s="7" t="s">
        <v>387</v>
      </c>
      <c r="E7310" s="7" t="s">
        <v>154</v>
      </c>
      <c r="F7310" s="7" t="s">
        <v>196</v>
      </c>
      <c r="G7310" s="7" t="s">
        <v>505</v>
      </c>
      <c r="H7310" s="6" t="n">
        <v>4.38</v>
      </c>
      <c r="I7310" s="6" t="n">
        <v>0</v>
      </c>
      <c r="J7310" s="40" t="n">
        <f aca="false">H7310-I7310</f>
        <v>4.38</v>
      </c>
      <c r="K7310" s="41" t="n">
        <v>26.5</v>
      </c>
      <c r="L7310" s="42" t="n">
        <f aca="false">J7310*K7310</f>
        <v>116.07</v>
      </c>
      <c r="M7310" s="43" t="n">
        <f aca="false">H7310*15.05*(1+'Chart of Accounts'!$E$67)</f>
        <v>75.477255</v>
      </c>
    </row>
    <row r="7311" customFormat="false" ht="15" hidden="false" customHeight="false" outlineLevel="0" collapsed="false">
      <c r="B7311" s="7" t="s">
        <v>7808</v>
      </c>
      <c r="C7311" s="39" t="n">
        <v>45990</v>
      </c>
      <c r="D7311" s="7" t="s">
        <v>391</v>
      </c>
      <c r="E7311" s="7" t="s">
        <v>156</v>
      </c>
      <c r="F7311" s="7" t="s">
        <v>222</v>
      </c>
      <c r="G7311" s="7" t="s">
        <v>505</v>
      </c>
      <c r="H7311" s="6" t="n">
        <v>4.18</v>
      </c>
      <c r="I7311" s="6" t="n">
        <v>0</v>
      </c>
      <c r="J7311" s="40" t="n">
        <f aca="false">H7311-I7311</f>
        <v>4.18</v>
      </c>
      <c r="K7311" s="41" t="n">
        <v>34</v>
      </c>
      <c r="L7311" s="42" t="n">
        <f aca="false">J7311*K7311</f>
        <v>142.12</v>
      </c>
      <c r="M7311" s="43" t="n">
        <f aca="false">H7311*17.84*(1+'Chart of Accounts'!$E$67)</f>
        <v>85.384024</v>
      </c>
    </row>
    <row r="7312" customFormat="false" ht="15" hidden="false" customHeight="false" outlineLevel="0" collapsed="false">
      <c r="B7312" s="7" t="s">
        <v>7809</v>
      </c>
      <c r="C7312" s="39" t="n">
        <v>45990</v>
      </c>
      <c r="D7312" s="7" t="s">
        <v>395</v>
      </c>
      <c r="E7312" s="7" t="s">
        <v>156</v>
      </c>
      <c r="F7312" s="7" t="s">
        <v>242</v>
      </c>
      <c r="G7312" s="7" t="s">
        <v>505</v>
      </c>
      <c r="H7312" s="6" t="n">
        <v>3.9</v>
      </c>
      <c r="I7312" s="6" t="n">
        <v>0</v>
      </c>
      <c r="J7312" s="40" t="n">
        <f aca="false">H7312-I7312</f>
        <v>3.9</v>
      </c>
      <c r="K7312" s="41" t="n">
        <v>34</v>
      </c>
      <c r="L7312" s="42" t="n">
        <f aca="false">J7312*K7312</f>
        <v>132.6</v>
      </c>
      <c r="M7312" s="43" t="n">
        <f aca="false">H7312*17.99*(1+'Chart of Accounts'!$E$67)</f>
        <v>80.334345</v>
      </c>
    </row>
    <row r="7313" customFormat="false" ht="15" hidden="false" customHeight="false" outlineLevel="0" collapsed="false">
      <c r="B7313" s="7" t="s">
        <v>7810</v>
      </c>
      <c r="C7313" s="39" t="n">
        <v>45990</v>
      </c>
      <c r="D7313" s="7" t="s">
        <v>401</v>
      </c>
      <c r="E7313" s="7" t="s">
        <v>156</v>
      </c>
      <c r="F7313" s="7" t="s">
        <v>254</v>
      </c>
      <c r="G7313" s="7" t="s">
        <v>505</v>
      </c>
      <c r="H7313" s="6" t="n">
        <v>3.8</v>
      </c>
      <c r="I7313" s="6" t="n">
        <v>0</v>
      </c>
      <c r="J7313" s="40" t="n">
        <f aca="false">H7313-I7313</f>
        <v>3.8</v>
      </c>
      <c r="K7313" s="41" t="n">
        <v>34</v>
      </c>
      <c r="L7313" s="42" t="n">
        <f aca="false">J7313*K7313</f>
        <v>129.2</v>
      </c>
      <c r="M7313" s="43" t="n">
        <f aca="false">H7313*17.1*(1+'Chart of Accounts'!$E$67)</f>
        <v>74.4021</v>
      </c>
    </row>
    <row r="7314" customFormat="false" ht="15" hidden="false" customHeight="false" outlineLevel="0" collapsed="false">
      <c r="B7314" s="7" t="s">
        <v>7811</v>
      </c>
      <c r="C7314" s="39" t="n">
        <v>45991</v>
      </c>
      <c r="D7314" s="7" t="s">
        <v>288</v>
      </c>
      <c r="E7314" s="7" t="s">
        <v>156</v>
      </c>
      <c r="F7314" s="7" t="s">
        <v>177</v>
      </c>
      <c r="G7314" s="7" t="s">
        <v>505</v>
      </c>
      <c r="H7314" s="6" t="n">
        <v>4.3</v>
      </c>
      <c r="I7314" s="6" t="n">
        <v>0</v>
      </c>
      <c r="J7314" s="40" t="n">
        <f aca="false">H7314-I7314</f>
        <v>4.3</v>
      </c>
      <c r="K7314" s="41" t="n">
        <v>34</v>
      </c>
      <c r="L7314" s="42" t="n">
        <f aca="false">J7314*K7314</f>
        <v>146.2</v>
      </c>
      <c r="M7314" s="43" t="n">
        <f aca="false">H7314*14.56*(1+'Chart of Accounts'!$E$67)</f>
        <v>71.68616</v>
      </c>
    </row>
    <row r="7315" customFormat="false" ht="15" hidden="false" customHeight="false" outlineLevel="0" collapsed="false">
      <c r="B7315" s="7" t="s">
        <v>7812</v>
      </c>
      <c r="C7315" s="39" t="n">
        <v>45991</v>
      </c>
      <c r="D7315" s="7" t="s">
        <v>321</v>
      </c>
      <c r="E7315" s="7" t="s">
        <v>154</v>
      </c>
      <c r="F7315" s="7" t="s">
        <v>218</v>
      </c>
      <c r="G7315" s="7" t="s">
        <v>505</v>
      </c>
      <c r="H7315" s="6" t="n">
        <v>3.9</v>
      </c>
      <c r="I7315" s="6" t="n">
        <v>0</v>
      </c>
      <c r="J7315" s="40" t="n">
        <f aca="false">H7315-I7315</f>
        <v>3.9</v>
      </c>
      <c r="K7315" s="41" t="n">
        <v>26.5</v>
      </c>
      <c r="L7315" s="42" t="n">
        <f aca="false">J7315*K7315</f>
        <v>103.35</v>
      </c>
      <c r="M7315" s="43" t="n">
        <f aca="false">H7315*16.19*(1+'Chart of Accounts'!$E$67)</f>
        <v>72.296445</v>
      </c>
    </row>
    <row r="7316" customFormat="false" ht="15" hidden="false" customHeight="false" outlineLevel="0" collapsed="false">
      <c r="B7316" s="7" t="s">
        <v>7813</v>
      </c>
      <c r="C7316" s="39" t="n">
        <v>45991</v>
      </c>
      <c r="D7316" s="7" t="s">
        <v>359</v>
      </c>
      <c r="E7316" s="7" t="s">
        <v>156</v>
      </c>
      <c r="F7316" s="7" t="s">
        <v>214</v>
      </c>
      <c r="G7316" s="7" t="s">
        <v>505</v>
      </c>
      <c r="H7316" s="6" t="n">
        <v>4.27</v>
      </c>
      <c r="I7316" s="6" t="n">
        <v>0</v>
      </c>
      <c r="J7316" s="40" t="n">
        <f aca="false">H7316-I7316</f>
        <v>4.27</v>
      </c>
      <c r="K7316" s="41" t="n">
        <v>34</v>
      </c>
      <c r="L7316" s="42" t="n">
        <f aca="false">J7316*K7316</f>
        <v>145.18</v>
      </c>
      <c r="M7316" s="43" t="n">
        <f aca="false">H7316*15.67*(1+'Chart of Accounts'!$E$67)</f>
        <v>76.6129805</v>
      </c>
    </row>
    <row r="7317" customFormat="false" ht="15" hidden="false" customHeight="false" outlineLevel="0" collapsed="false">
      <c r="B7317" s="7" t="s">
        <v>7814</v>
      </c>
      <c r="C7317" s="39" t="n">
        <v>45991</v>
      </c>
      <c r="D7317" s="7" t="s">
        <v>387</v>
      </c>
      <c r="E7317" s="7" t="s">
        <v>154</v>
      </c>
      <c r="F7317" s="7" t="s">
        <v>196</v>
      </c>
      <c r="G7317" s="7" t="s">
        <v>505</v>
      </c>
      <c r="H7317" s="6" t="n">
        <v>4.1</v>
      </c>
      <c r="I7317" s="6" t="n">
        <v>0.123</v>
      </c>
      <c r="J7317" s="40" t="n">
        <f aca="false">H7317-I7317</f>
        <v>3.977</v>
      </c>
      <c r="K7317" s="41" t="n">
        <v>26.5</v>
      </c>
      <c r="L7317" s="42" t="n">
        <f aca="false">J7317*K7317</f>
        <v>105.3905</v>
      </c>
      <c r="M7317" s="43" t="n">
        <f aca="false">H7317*15.05*(1+'Chart of Accounts'!$E$67)</f>
        <v>70.652225</v>
      </c>
    </row>
    <row r="7318" customFormat="false" ht="15" hidden="false" customHeight="false" outlineLevel="0" collapsed="false">
      <c r="B7318" s="7" t="s">
        <v>7815</v>
      </c>
      <c r="C7318" s="39" t="n">
        <v>45991</v>
      </c>
      <c r="D7318" s="7" t="s">
        <v>391</v>
      </c>
      <c r="E7318" s="7" t="s">
        <v>156</v>
      </c>
      <c r="F7318" s="7" t="s">
        <v>222</v>
      </c>
      <c r="G7318" s="7" t="s">
        <v>505</v>
      </c>
      <c r="H7318" s="6" t="n">
        <v>4.05</v>
      </c>
      <c r="I7318" s="6" t="n">
        <v>0</v>
      </c>
      <c r="J7318" s="40" t="n">
        <f aca="false">H7318-I7318</f>
        <v>4.05</v>
      </c>
      <c r="K7318" s="41" t="n">
        <v>34</v>
      </c>
      <c r="L7318" s="42" t="n">
        <f aca="false">J7318*K7318</f>
        <v>137.7</v>
      </c>
      <c r="M7318" s="43" t="n">
        <f aca="false">H7318*17.84*(1+'Chart of Accounts'!$E$67)</f>
        <v>82.72854</v>
      </c>
    </row>
    <row r="7319" customFormat="false" ht="15" hidden="false" customHeight="false" outlineLevel="0" collapsed="false">
      <c r="B7319" s="7" t="s">
        <v>7816</v>
      </c>
      <c r="C7319" s="39" t="n">
        <v>45991</v>
      </c>
      <c r="D7319" s="7" t="s">
        <v>395</v>
      </c>
      <c r="E7319" s="7" t="s">
        <v>156</v>
      </c>
      <c r="F7319" s="7" t="s">
        <v>242</v>
      </c>
      <c r="G7319" s="7" t="s">
        <v>505</v>
      </c>
      <c r="H7319" s="6" t="n">
        <v>4.12</v>
      </c>
      <c r="I7319" s="6" t="n">
        <v>0</v>
      </c>
      <c r="J7319" s="40" t="n">
        <f aca="false">H7319-I7319</f>
        <v>4.12</v>
      </c>
      <c r="K7319" s="41" t="n">
        <v>34</v>
      </c>
      <c r="L7319" s="42" t="n">
        <f aca="false">J7319*K7319</f>
        <v>140.08</v>
      </c>
      <c r="M7319" s="43" t="n">
        <f aca="false">H7319*17.99*(1+'Chart of Accounts'!$E$67)</f>
        <v>84.866026</v>
      </c>
    </row>
    <row r="7320" customFormat="false" ht="15" hidden="false" customHeight="false" outlineLevel="0" collapsed="false">
      <c r="B7320" s="7" t="s">
        <v>7817</v>
      </c>
      <c r="C7320" s="39" t="n">
        <v>45991</v>
      </c>
      <c r="D7320" s="7" t="s">
        <v>401</v>
      </c>
      <c r="E7320" s="7" t="s">
        <v>156</v>
      </c>
      <c r="F7320" s="7" t="s">
        <v>254</v>
      </c>
      <c r="G7320" s="7" t="s">
        <v>505</v>
      </c>
      <c r="H7320" s="6" t="n">
        <v>3.69</v>
      </c>
      <c r="I7320" s="6" t="n">
        <v>0</v>
      </c>
      <c r="J7320" s="40" t="n">
        <f aca="false">H7320-I7320</f>
        <v>3.69</v>
      </c>
      <c r="K7320" s="41" t="n">
        <v>34</v>
      </c>
      <c r="L7320" s="42" t="n">
        <f aca="false">J7320*K7320</f>
        <v>125.46</v>
      </c>
      <c r="M7320" s="43" t="n">
        <f aca="false">H7320*17.1*(1+'Chart of Accounts'!$E$67)</f>
        <v>72.248355</v>
      </c>
    </row>
    <row r="7321" customFormat="false" ht="15" hidden="false" customHeight="false" outlineLevel="0" collapsed="false">
      <c r="B7321" s="7" t="s">
        <v>7818</v>
      </c>
      <c r="C7321" s="39" t="n">
        <v>45992</v>
      </c>
      <c r="D7321" s="7" t="s">
        <v>288</v>
      </c>
      <c r="E7321" s="7" t="s">
        <v>156</v>
      </c>
      <c r="F7321" s="7" t="s">
        <v>244</v>
      </c>
      <c r="G7321" s="7" t="s">
        <v>505</v>
      </c>
      <c r="H7321" s="6" t="n">
        <v>3.98</v>
      </c>
      <c r="I7321" s="6" t="n">
        <v>0</v>
      </c>
      <c r="J7321" s="40" t="n">
        <f aca="false">H7321-I7321</f>
        <v>3.98</v>
      </c>
      <c r="K7321" s="41" t="n">
        <v>34</v>
      </c>
      <c r="L7321" s="42" t="n">
        <f aca="false">J7321*K7321</f>
        <v>135.32</v>
      </c>
      <c r="M7321" s="43" t="n">
        <f aca="false">H7321*16.39*(1+'Chart of Accounts'!$E$67)</f>
        <v>74.690869</v>
      </c>
    </row>
    <row r="7322" customFormat="false" ht="15" hidden="false" customHeight="false" outlineLevel="0" collapsed="false">
      <c r="B7322" s="7" t="s">
        <v>7819</v>
      </c>
      <c r="C7322" s="39" t="n">
        <v>45992</v>
      </c>
      <c r="D7322" s="7" t="s">
        <v>291</v>
      </c>
      <c r="E7322" s="7" t="s">
        <v>154</v>
      </c>
      <c r="F7322" s="7" t="s">
        <v>194</v>
      </c>
      <c r="G7322" s="7" t="s">
        <v>505</v>
      </c>
      <c r="H7322" s="6" t="n">
        <v>5.03</v>
      </c>
      <c r="I7322" s="6" t="n">
        <v>0</v>
      </c>
      <c r="J7322" s="40" t="n">
        <f aca="false">H7322-I7322</f>
        <v>5.03</v>
      </c>
      <c r="K7322" s="41" t="n">
        <v>26.5</v>
      </c>
      <c r="L7322" s="42" t="n">
        <f aca="false">J7322*K7322</f>
        <v>133.295</v>
      </c>
      <c r="M7322" s="43" t="n">
        <f aca="false">H7322*16*(1+'Chart of Accounts'!$E$67)</f>
        <v>92.1496</v>
      </c>
    </row>
    <row r="7323" customFormat="false" ht="15" hidden="false" customHeight="false" outlineLevel="0" collapsed="false">
      <c r="B7323" s="7" t="s">
        <v>7820</v>
      </c>
      <c r="C7323" s="39" t="n">
        <v>45992</v>
      </c>
      <c r="D7323" s="7" t="s">
        <v>295</v>
      </c>
      <c r="E7323" s="7" t="s">
        <v>154</v>
      </c>
      <c r="F7323" s="7" t="s">
        <v>214</v>
      </c>
      <c r="G7323" s="7" t="s">
        <v>505</v>
      </c>
      <c r="H7323" s="6" t="n">
        <v>3.64</v>
      </c>
      <c r="I7323" s="6" t="n">
        <v>0</v>
      </c>
      <c r="J7323" s="40" t="n">
        <f aca="false">H7323-I7323</f>
        <v>3.64</v>
      </c>
      <c r="K7323" s="41" t="n">
        <v>26.5</v>
      </c>
      <c r="L7323" s="42" t="n">
        <f aca="false">J7323*K7323</f>
        <v>96.46</v>
      </c>
      <c r="M7323" s="43" t="n">
        <f aca="false">H7323*15.67*(1+'Chart of Accounts'!$E$67)</f>
        <v>65.309426</v>
      </c>
    </row>
    <row r="7324" customFormat="false" ht="15" hidden="false" customHeight="false" outlineLevel="0" collapsed="false">
      <c r="B7324" s="7" t="s">
        <v>7821</v>
      </c>
      <c r="C7324" s="39" t="n">
        <v>45992</v>
      </c>
      <c r="D7324" s="7" t="s">
        <v>297</v>
      </c>
      <c r="E7324" s="7" t="s">
        <v>156</v>
      </c>
      <c r="F7324" s="7" t="s">
        <v>201</v>
      </c>
      <c r="G7324" s="7" t="s">
        <v>505</v>
      </c>
      <c r="H7324" s="6" t="n">
        <v>3.05</v>
      </c>
      <c r="I7324" s="6" t="n">
        <v>0</v>
      </c>
      <c r="J7324" s="40" t="n">
        <f aca="false">H7324-I7324</f>
        <v>3.05</v>
      </c>
      <c r="K7324" s="41" t="n">
        <v>34</v>
      </c>
      <c r="L7324" s="42" t="n">
        <f aca="false">J7324*K7324</f>
        <v>103.7</v>
      </c>
      <c r="M7324" s="43" t="n">
        <f aca="false">H7324*15.19*(1+'Chart of Accounts'!$E$67)</f>
        <v>53.0472775</v>
      </c>
    </row>
    <row r="7325" customFormat="false" ht="15" hidden="false" customHeight="false" outlineLevel="0" collapsed="false">
      <c r="B7325" s="7" t="s">
        <v>7822</v>
      </c>
      <c r="C7325" s="39" t="n">
        <v>45992</v>
      </c>
      <c r="D7325" s="7" t="s">
        <v>299</v>
      </c>
      <c r="E7325" s="7" t="s">
        <v>154</v>
      </c>
      <c r="F7325" s="7" t="s">
        <v>205</v>
      </c>
      <c r="G7325" s="7" t="s">
        <v>505</v>
      </c>
      <c r="H7325" s="6" t="n">
        <v>2.87</v>
      </c>
      <c r="I7325" s="6" t="n">
        <v>0.086</v>
      </c>
      <c r="J7325" s="40" t="n">
        <f aca="false">H7325-I7325</f>
        <v>2.784</v>
      </c>
      <c r="K7325" s="41" t="n">
        <v>26.5</v>
      </c>
      <c r="L7325" s="42" t="n">
        <f aca="false">J7325*K7325</f>
        <v>73.776</v>
      </c>
      <c r="M7325" s="43" t="n">
        <f aca="false">H7325*16.36*(1+'Chart of Accounts'!$E$67)</f>
        <v>53.761414</v>
      </c>
    </row>
    <row r="7326" customFormat="false" ht="15" hidden="false" customHeight="false" outlineLevel="0" collapsed="false">
      <c r="B7326" s="7" t="s">
        <v>7823</v>
      </c>
      <c r="C7326" s="39" t="n">
        <v>45992</v>
      </c>
      <c r="D7326" s="7" t="s">
        <v>303</v>
      </c>
      <c r="E7326" s="7" t="s">
        <v>154</v>
      </c>
      <c r="F7326" s="7" t="s">
        <v>240</v>
      </c>
      <c r="G7326" s="7" t="s">
        <v>505</v>
      </c>
      <c r="H7326" s="6" t="n">
        <v>3.65</v>
      </c>
      <c r="I7326" s="6" t="n">
        <v>0</v>
      </c>
      <c r="J7326" s="40" t="n">
        <f aca="false">H7326-I7326</f>
        <v>3.65</v>
      </c>
      <c r="K7326" s="41" t="n">
        <v>26.5</v>
      </c>
      <c r="L7326" s="42" t="n">
        <f aca="false">J7326*K7326</f>
        <v>96.725</v>
      </c>
      <c r="M7326" s="43" t="n">
        <f aca="false">H7326*16.96*(1+'Chart of Accounts'!$E$67)</f>
        <v>70.88008</v>
      </c>
    </row>
    <row r="7327" customFormat="false" ht="15" hidden="false" customHeight="false" outlineLevel="0" collapsed="false">
      <c r="B7327" s="7" t="s">
        <v>7824</v>
      </c>
      <c r="C7327" s="39" t="n">
        <v>45992</v>
      </c>
      <c r="D7327" s="7" t="s">
        <v>305</v>
      </c>
      <c r="E7327" s="7" t="s">
        <v>154</v>
      </c>
      <c r="F7327" s="7" t="s">
        <v>205</v>
      </c>
      <c r="G7327" s="7" t="s">
        <v>505</v>
      </c>
      <c r="H7327" s="6" t="n">
        <v>3.91</v>
      </c>
      <c r="I7327" s="6" t="n">
        <v>0.117</v>
      </c>
      <c r="J7327" s="40" t="n">
        <f aca="false">H7327-I7327</f>
        <v>3.793</v>
      </c>
      <c r="K7327" s="41" t="n">
        <v>26.5</v>
      </c>
      <c r="L7327" s="42" t="n">
        <f aca="false">J7327*K7327</f>
        <v>100.5145</v>
      </c>
      <c r="M7327" s="43" t="n">
        <f aca="false">H7327*16.36*(1+'Chart of Accounts'!$E$67)</f>
        <v>73.242902</v>
      </c>
    </row>
    <row r="7328" customFormat="false" ht="15" hidden="false" customHeight="false" outlineLevel="0" collapsed="false">
      <c r="B7328" s="7" t="s">
        <v>7825</v>
      </c>
      <c r="C7328" s="39" t="n">
        <v>45992</v>
      </c>
      <c r="D7328" s="7" t="s">
        <v>307</v>
      </c>
      <c r="E7328" s="7" t="s">
        <v>157</v>
      </c>
      <c r="F7328" s="7" t="s">
        <v>264</v>
      </c>
      <c r="G7328" s="7" t="s">
        <v>502</v>
      </c>
      <c r="H7328" s="6" t="n">
        <v>0.94</v>
      </c>
      <c r="I7328" s="6" t="n">
        <v>0</v>
      </c>
      <c r="J7328" s="40" t="n">
        <f aca="false">H7328-I7328</f>
        <v>0.94</v>
      </c>
      <c r="K7328" s="41" t="n">
        <v>165</v>
      </c>
      <c r="L7328" s="42" t="n">
        <f aca="false">J7328*K7328</f>
        <v>155.1</v>
      </c>
      <c r="M7328" s="43" t="n">
        <f aca="false">H7328*55.55*(1+'Chart of Accounts'!$E$67)</f>
        <v>59.788465</v>
      </c>
    </row>
    <row r="7329" customFormat="false" ht="15" hidden="false" customHeight="false" outlineLevel="0" collapsed="false">
      <c r="B7329" s="7" t="s">
        <v>7826</v>
      </c>
      <c r="C7329" s="39" t="n">
        <v>45992</v>
      </c>
      <c r="D7329" s="7" t="s">
        <v>309</v>
      </c>
      <c r="E7329" s="7" t="s">
        <v>159</v>
      </c>
      <c r="F7329" s="7" t="s">
        <v>252</v>
      </c>
      <c r="G7329" s="7" t="s">
        <v>502</v>
      </c>
      <c r="H7329" s="6" t="n">
        <v>1.03</v>
      </c>
      <c r="I7329" s="6" t="n">
        <v>0</v>
      </c>
      <c r="J7329" s="40" t="n">
        <f aca="false">H7329-I7329</f>
        <v>1.03</v>
      </c>
      <c r="K7329" s="41" t="n">
        <v>135</v>
      </c>
      <c r="L7329" s="42" t="n">
        <f aca="false">J7329*K7329</f>
        <v>139.05</v>
      </c>
      <c r="M7329" s="43" t="n">
        <f aca="false">H7329*57.54*(1+'Chart of Accounts'!$E$67)</f>
        <v>67.859799</v>
      </c>
    </row>
    <row r="7330" customFormat="false" ht="15" hidden="false" customHeight="false" outlineLevel="0" collapsed="false">
      <c r="B7330" s="7" t="s">
        <v>7827</v>
      </c>
      <c r="C7330" s="39" t="n">
        <v>45992</v>
      </c>
      <c r="D7330" s="7" t="s">
        <v>311</v>
      </c>
      <c r="E7330" s="7" t="s">
        <v>154</v>
      </c>
      <c r="F7330" s="7" t="s">
        <v>196</v>
      </c>
      <c r="G7330" s="7" t="s">
        <v>505</v>
      </c>
      <c r="H7330" s="6" t="n">
        <v>2.99</v>
      </c>
      <c r="I7330" s="6" t="n">
        <v>0</v>
      </c>
      <c r="J7330" s="40" t="n">
        <f aca="false">H7330-I7330</f>
        <v>2.99</v>
      </c>
      <c r="K7330" s="41" t="n">
        <v>26.5</v>
      </c>
      <c r="L7330" s="42" t="n">
        <f aca="false">J7330*K7330</f>
        <v>79.235</v>
      </c>
      <c r="M7330" s="43" t="n">
        <f aca="false">H7330*15.05*(1+'Chart of Accounts'!$E$67)</f>
        <v>51.5244275</v>
      </c>
    </row>
    <row r="7331" customFormat="false" ht="15" hidden="false" customHeight="false" outlineLevel="0" collapsed="false">
      <c r="B7331" s="7" t="s">
        <v>7828</v>
      </c>
      <c r="C7331" s="39" t="n">
        <v>45992</v>
      </c>
      <c r="D7331" s="7" t="s">
        <v>313</v>
      </c>
      <c r="E7331" s="7" t="s">
        <v>156</v>
      </c>
      <c r="F7331" s="7" t="s">
        <v>184</v>
      </c>
      <c r="G7331" s="7" t="s">
        <v>505</v>
      </c>
      <c r="H7331" s="6" t="n">
        <v>3.64</v>
      </c>
      <c r="I7331" s="6" t="n">
        <v>0</v>
      </c>
      <c r="J7331" s="40" t="n">
        <f aca="false">H7331-I7331</f>
        <v>3.64</v>
      </c>
      <c r="K7331" s="41" t="n">
        <v>34</v>
      </c>
      <c r="L7331" s="42" t="n">
        <f aca="false">J7331*K7331</f>
        <v>123.76</v>
      </c>
      <c r="M7331" s="43" t="n">
        <f aca="false">H7331*17.34*(1+'Chart of Accounts'!$E$67)</f>
        <v>72.269652</v>
      </c>
    </row>
    <row r="7332" customFormat="false" ht="15" hidden="false" customHeight="false" outlineLevel="0" collapsed="false">
      <c r="B7332" s="7" t="s">
        <v>7829</v>
      </c>
      <c r="C7332" s="39" t="n">
        <v>45992</v>
      </c>
      <c r="D7332" s="7" t="s">
        <v>315</v>
      </c>
      <c r="E7332" s="7" t="s">
        <v>159</v>
      </c>
      <c r="F7332" s="7" t="s">
        <v>216</v>
      </c>
      <c r="G7332" s="7" t="s">
        <v>502</v>
      </c>
      <c r="H7332" s="6" t="n">
        <v>0.92</v>
      </c>
      <c r="I7332" s="6" t="n">
        <v>0</v>
      </c>
      <c r="J7332" s="40" t="n">
        <f aca="false">H7332-I7332</f>
        <v>0.92</v>
      </c>
      <c r="K7332" s="41" t="n">
        <v>135</v>
      </c>
      <c r="L7332" s="42" t="n">
        <f aca="false">J7332*K7332</f>
        <v>124.2</v>
      </c>
      <c r="M7332" s="43" t="n">
        <f aca="false">H7332*61.79*(1+'Chart of Accounts'!$E$67)</f>
        <v>65.089586</v>
      </c>
    </row>
    <row r="7333" customFormat="false" ht="15" hidden="false" customHeight="false" outlineLevel="0" collapsed="false">
      <c r="B7333" s="7" t="s">
        <v>7830</v>
      </c>
      <c r="C7333" s="39" t="n">
        <v>45992</v>
      </c>
      <c r="D7333" s="7" t="s">
        <v>317</v>
      </c>
      <c r="E7333" s="7" t="s">
        <v>156</v>
      </c>
      <c r="F7333" s="7" t="s">
        <v>242</v>
      </c>
      <c r="G7333" s="7" t="s">
        <v>505</v>
      </c>
      <c r="H7333" s="6" t="n">
        <v>2.93</v>
      </c>
      <c r="I7333" s="6" t="n">
        <v>0</v>
      </c>
      <c r="J7333" s="40" t="n">
        <f aca="false">H7333-I7333</f>
        <v>2.93</v>
      </c>
      <c r="K7333" s="41" t="n">
        <v>34</v>
      </c>
      <c r="L7333" s="42" t="n">
        <f aca="false">J7333*K7333</f>
        <v>99.62</v>
      </c>
      <c r="M7333" s="43" t="n">
        <f aca="false">H7333*17.99*(1+'Chart of Accounts'!$E$67)</f>
        <v>60.3537515</v>
      </c>
    </row>
    <row r="7334" customFormat="false" ht="15" hidden="false" customHeight="false" outlineLevel="0" collapsed="false">
      <c r="B7334" s="7" t="s">
        <v>7831</v>
      </c>
      <c r="C7334" s="39" t="n">
        <v>45992</v>
      </c>
      <c r="D7334" s="7" t="s">
        <v>321</v>
      </c>
      <c r="E7334" s="7" t="s">
        <v>154</v>
      </c>
      <c r="F7334" s="7" t="s">
        <v>218</v>
      </c>
      <c r="G7334" s="7" t="s">
        <v>505</v>
      </c>
      <c r="H7334" s="6" t="n">
        <v>3.96</v>
      </c>
      <c r="I7334" s="6" t="n">
        <v>0.119</v>
      </c>
      <c r="J7334" s="40" t="n">
        <f aca="false">H7334-I7334</f>
        <v>3.841</v>
      </c>
      <c r="K7334" s="41" t="n">
        <v>26.5</v>
      </c>
      <c r="L7334" s="42" t="n">
        <f aca="false">J7334*K7334</f>
        <v>101.7865</v>
      </c>
      <c r="M7334" s="43" t="n">
        <f aca="false">H7334*16.19*(1+'Chart of Accounts'!$E$67)</f>
        <v>73.408698</v>
      </c>
    </row>
    <row r="7335" customFormat="false" ht="15" hidden="false" customHeight="false" outlineLevel="0" collapsed="false">
      <c r="B7335" s="7" t="s">
        <v>7832</v>
      </c>
      <c r="C7335" s="39" t="n">
        <v>45992</v>
      </c>
      <c r="D7335" s="7" t="s">
        <v>325</v>
      </c>
      <c r="E7335" s="7" t="s">
        <v>154</v>
      </c>
      <c r="F7335" s="7" t="s">
        <v>240</v>
      </c>
      <c r="G7335" s="7" t="s">
        <v>505</v>
      </c>
      <c r="H7335" s="6" t="n">
        <v>3.26</v>
      </c>
      <c r="I7335" s="6" t="n">
        <v>0</v>
      </c>
      <c r="J7335" s="40" t="n">
        <f aca="false">H7335-I7335</f>
        <v>3.26</v>
      </c>
      <c r="K7335" s="41" t="n">
        <v>26.5</v>
      </c>
      <c r="L7335" s="42" t="n">
        <f aca="false">J7335*K7335</f>
        <v>86.39</v>
      </c>
      <c r="M7335" s="43" t="n">
        <f aca="false">H7335*16.96*(1+'Chart of Accounts'!$E$67)</f>
        <v>63.306592</v>
      </c>
    </row>
    <row r="7336" customFormat="false" ht="15" hidden="false" customHeight="false" outlineLevel="0" collapsed="false">
      <c r="B7336" s="7" t="s">
        <v>7833</v>
      </c>
      <c r="C7336" s="39" t="n">
        <v>45992</v>
      </c>
      <c r="D7336" s="7" t="s">
        <v>329</v>
      </c>
      <c r="E7336" s="7" t="s">
        <v>156</v>
      </c>
      <c r="F7336" s="7" t="s">
        <v>220</v>
      </c>
      <c r="G7336" s="7" t="s">
        <v>505</v>
      </c>
      <c r="H7336" s="6" t="n">
        <v>4.13</v>
      </c>
      <c r="I7336" s="6" t="n">
        <v>0</v>
      </c>
      <c r="J7336" s="40" t="n">
        <f aca="false">H7336-I7336</f>
        <v>4.13</v>
      </c>
      <c r="K7336" s="41" t="n">
        <v>34</v>
      </c>
      <c r="L7336" s="42" t="n">
        <f aca="false">J7336*K7336</f>
        <v>140.42</v>
      </c>
      <c r="M7336" s="43" t="n">
        <f aca="false">H7336*16.43*(1+'Chart of Accounts'!$E$67)</f>
        <v>77.6950055</v>
      </c>
    </row>
    <row r="7337" customFormat="false" ht="15" hidden="false" customHeight="false" outlineLevel="0" collapsed="false">
      <c r="B7337" s="7" t="s">
        <v>7834</v>
      </c>
      <c r="C7337" s="39" t="n">
        <v>45992</v>
      </c>
      <c r="D7337" s="7" t="s">
        <v>333</v>
      </c>
      <c r="E7337" s="7" t="s">
        <v>154</v>
      </c>
      <c r="F7337" s="7" t="s">
        <v>236</v>
      </c>
      <c r="G7337" s="7" t="s">
        <v>505</v>
      </c>
      <c r="H7337" s="6" t="n">
        <v>3.46</v>
      </c>
      <c r="I7337" s="6" t="n">
        <v>0</v>
      </c>
      <c r="J7337" s="40" t="n">
        <f aca="false">H7337-I7337</f>
        <v>3.46</v>
      </c>
      <c r="K7337" s="41" t="n">
        <v>26.5</v>
      </c>
      <c r="L7337" s="42" t="n">
        <f aca="false">J7337*K7337</f>
        <v>91.69</v>
      </c>
      <c r="M7337" s="43" t="n">
        <f aca="false">H7337*15.49*(1+'Chart of Accounts'!$E$67)</f>
        <v>61.366733</v>
      </c>
    </row>
    <row r="7338" customFormat="false" ht="15" hidden="false" customHeight="false" outlineLevel="0" collapsed="false">
      <c r="B7338" s="7" t="s">
        <v>7835</v>
      </c>
      <c r="C7338" s="39" t="n">
        <v>45992</v>
      </c>
      <c r="D7338" s="7" t="s">
        <v>335</v>
      </c>
      <c r="E7338" s="7" t="s">
        <v>154</v>
      </c>
      <c r="F7338" s="7" t="s">
        <v>177</v>
      </c>
      <c r="G7338" s="7" t="s">
        <v>505</v>
      </c>
      <c r="H7338" s="6" t="n">
        <v>4.16</v>
      </c>
      <c r="I7338" s="6" t="n">
        <v>0.125</v>
      </c>
      <c r="J7338" s="40" t="n">
        <f aca="false">H7338-I7338</f>
        <v>4.035</v>
      </c>
      <c r="K7338" s="41" t="n">
        <v>26.5</v>
      </c>
      <c r="L7338" s="42" t="n">
        <f aca="false">J7338*K7338</f>
        <v>106.9275</v>
      </c>
      <c r="M7338" s="43" t="n">
        <f aca="false">H7338*14.56*(1+'Chart of Accounts'!$E$67)</f>
        <v>69.352192</v>
      </c>
    </row>
    <row r="7339" customFormat="false" ht="15" hidden="false" customHeight="false" outlineLevel="0" collapsed="false">
      <c r="B7339" s="7" t="s">
        <v>7836</v>
      </c>
      <c r="C7339" s="39" t="n">
        <v>45992</v>
      </c>
      <c r="D7339" s="7" t="s">
        <v>339</v>
      </c>
      <c r="E7339" s="7" t="s">
        <v>154</v>
      </c>
      <c r="F7339" s="7" t="s">
        <v>242</v>
      </c>
      <c r="G7339" s="7" t="s">
        <v>505</v>
      </c>
      <c r="H7339" s="6" t="n">
        <v>3.34</v>
      </c>
      <c r="I7339" s="6" t="n">
        <v>0</v>
      </c>
      <c r="J7339" s="40" t="n">
        <f aca="false">H7339-I7339</f>
        <v>3.34</v>
      </c>
      <c r="K7339" s="41" t="n">
        <v>26.5</v>
      </c>
      <c r="L7339" s="42" t="n">
        <f aca="false">J7339*K7339</f>
        <v>88.51</v>
      </c>
      <c r="M7339" s="43" t="n">
        <f aca="false">H7339*17.99*(1+'Chart of Accounts'!$E$67)</f>
        <v>68.799157</v>
      </c>
    </row>
    <row r="7340" customFormat="false" ht="15" hidden="false" customHeight="false" outlineLevel="0" collapsed="false">
      <c r="B7340" s="7" t="s">
        <v>7837</v>
      </c>
      <c r="C7340" s="39" t="n">
        <v>45992</v>
      </c>
      <c r="D7340" s="7" t="s">
        <v>341</v>
      </c>
      <c r="E7340" s="7" t="s">
        <v>156</v>
      </c>
      <c r="F7340" s="7" t="s">
        <v>222</v>
      </c>
      <c r="G7340" s="7" t="s">
        <v>505</v>
      </c>
      <c r="H7340" s="6" t="n">
        <v>3.01</v>
      </c>
      <c r="I7340" s="6" t="n">
        <v>0</v>
      </c>
      <c r="J7340" s="40" t="n">
        <f aca="false">H7340-I7340</f>
        <v>3.01</v>
      </c>
      <c r="K7340" s="41" t="n">
        <v>34</v>
      </c>
      <c r="L7340" s="42" t="n">
        <f aca="false">J7340*K7340</f>
        <v>102.34</v>
      </c>
      <c r="M7340" s="43" t="n">
        <f aca="false">H7340*17.84*(1+'Chart of Accounts'!$E$67)</f>
        <v>61.484668</v>
      </c>
    </row>
    <row r="7341" customFormat="false" ht="15" hidden="false" customHeight="false" outlineLevel="0" collapsed="false">
      <c r="B7341" s="7" t="s">
        <v>7838</v>
      </c>
      <c r="C7341" s="39" t="n">
        <v>45992</v>
      </c>
      <c r="D7341" s="7" t="s">
        <v>343</v>
      </c>
      <c r="E7341" s="7" t="s">
        <v>154</v>
      </c>
      <c r="F7341" s="7" t="s">
        <v>236</v>
      </c>
      <c r="G7341" s="7" t="s">
        <v>505</v>
      </c>
      <c r="H7341" s="6" t="n">
        <v>4.06</v>
      </c>
      <c r="I7341" s="6" t="n">
        <v>0</v>
      </c>
      <c r="J7341" s="40" t="n">
        <f aca="false">H7341-I7341</f>
        <v>4.06</v>
      </c>
      <c r="K7341" s="41" t="n">
        <v>26.5</v>
      </c>
      <c r="L7341" s="42" t="n">
        <f aca="false">J7341*K7341</f>
        <v>107.59</v>
      </c>
      <c r="M7341" s="43" t="n">
        <f aca="false">H7341*15.49*(1+'Chart of Accounts'!$E$67)</f>
        <v>72.008363</v>
      </c>
    </row>
    <row r="7342" customFormat="false" ht="15" hidden="false" customHeight="false" outlineLevel="0" collapsed="false">
      <c r="B7342" s="7" t="s">
        <v>7839</v>
      </c>
      <c r="C7342" s="39" t="n">
        <v>45992</v>
      </c>
      <c r="D7342" s="7" t="s">
        <v>349</v>
      </c>
      <c r="E7342" s="7" t="s">
        <v>154</v>
      </c>
      <c r="F7342" s="7" t="s">
        <v>244</v>
      </c>
      <c r="G7342" s="7" t="s">
        <v>505</v>
      </c>
      <c r="H7342" s="6" t="n">
        <v>4.06</v>
      </c>
      <c r="I7342" s="6" t="n">
        <v>0</v>
      </c>
      <c r="J7342" s="40" t="n">
        <f aca="false">H7342-I7342</f>
        <v>4.06</v>
      </c>
      <c r="K7342" s="41" t="n">
        <v>26.5</v>
      </c>
      <c r="L7342" s="42" t="n">
        <f aca="false">J7342*K7342</f>
        <v>107.59</v>
      </c>
      <c r="M7342" s="43" t="n">
        <f aca="false">H7342*16.39*(1+'Chart of Accounts'!$E$67)</f>
        <v>76.192193</v>
      </c>
    </row>
    <row r="7343" customFormat="false" ht="15" hidden="false" customHeight="false" outlineLevel="0" collapsed="false">
      <c r="B7343" s="7" t="s">
        <v>7840</v>
      </c>
      <c r="C7343" s="39" t="n">
        <v>45992</v>
      </c>
      <c r="D7343" s="7" t="s">
        <v>351</v>
      </c>
      <c r="E7343" s="7" t="s">
        <v>154</v>
      </c>
      <c r="F7343" s="7" t="s">
        <v>201</v>
      </c>
      <c r="G7343" s="7" t="s">
        <v>505</v>
      </c>
      <c r="H7343" s="6" t="n">
        <v>2.82</v>
      </c>
      <c r="I7343" s="6" t="n">
        <v>0</v>
      </c>
      <c r="J7343" s="40" t="n">
        <f aca="false">H7343-I7343</f>
        <v>2.82</v>
      </c>
      <c r="K7343" s="41" t="n">
        <v>26.5</v>
      </c>
      <c r="L7343" s="42" t="n">
        <f aca="false">J7343*K7343</f>
        <v>74.73</v>
      </c>
      <c r="M7343" s="43" t="n">
        <f aca="false">H7343*15.19*(1+'Chart of Accounts'!$E$67)</f>
        <v>49.046991</v>
      </c>
    </row>
    <row r="7344" customFormat="false" ht="15" hidden="false" customHeight="false" outlineLevel="0" collapsed="false">
      <c r="B7344" s="7" t="s">
        <v>7841</v>
      </c>
      <c r="C7344" s="39" t="n">
        <v>45992</v>
      </c>
      <c r="D7344" s="7" t="s">
        <v>353</v>
      </c>
      <c r="E7344" s="7" t="s">
        <v>154</v>
      </c>
      <c r="F7344" s="7" t="s">
        <v>254</v>
      </c>
      <c r="G7344" s="7" t="s">
        <v>505</v>
      </c>
      <c r="H7344" s="6" t="n">
        <v>3.03</v>
      </c>
      <c r="I7344" s="6" t="n">
        <v>0.091</v>
      </c>
      <c r="J7344" s="40" t="n">
        <f aca="false">H7344-I7344</f>
        <v>2.939</v>
      </c>
      <c r="K7344" s="41" t="n">
        <v>26.5</v>
      </c>
      <c r="L7344" s="42" t="n">
        <f aca="false">J7344*K7344</f>
        <v>77.8835</v>
      </c>
      <c r="M7344" s="43" t="n">
        <f aca="false">H7344*17.1*(1+'Chart of Accounts'!$E$67)</f>
        <v>59.325885</v>
      </c>
    </row>
    <row r="7345" customFormat="false" ht="15" hidden="false" customHeight="false" outlineLevel="0" collapsed="false">
      <c r="B7345" s="7" t="s">
        <v>7842</v>
      </c>
      <c r="C7345" s="39" t="n">
        <v>45992</v>
      </c>
      <c r="D7345" s="7" t="s">
        <v>355</v>
      </c>
      <c r="E7345" s="7" t="s">
        <v>154</v>
      </c>
      <c r="F7345" s="7" t="s">
        <v>201</v>
      </c>
      <c r="G7345" s="7" t="s">
        <v>505</v>
      </c>
      <c r="H7345" s="6" t="n">
        <v>3.65</v>
      </c>
      <c r="I7345" s="6" t="n">
        <v>0</v>
      </c>
      <c r="J7345" s="40" t="n">
        <f aca="false">H7345-I7345</f>
        <v>3.65</v>
      </c>
      <c r="K7345" s="41" t="n">
        <v>26.5</v>
      </c>
      <c r="L7345" s="42" t="n">
        <f aca="false">J7345*K7345</f>
        <v>96.725</v>
      </c>
      <c r="M7345" s="43" t="n">
        <f aca="false">H7345*15.19*(1+'Chart of Accounts'!$E$67)</f>
        <v>63.4828075</v>
      </c>
    </row>
    <row r="7346" customFormat="false" ht="15" hidden="false" customHeight="false" outlineLevel="0" collapsed="false">
      <c r="B7346" s="7" t="s">
        <v>7843</v>
      </c>
      <c r="C7346" s="39" t="n">
        <v>45992</v>
      </c>
      <c r="D7346" s="7" t="s">
        <v>357</v>
      </c>
      <c r="E7346" s="7" t="s">
        <v>154</v>
      </c>
      <c r="F7346" s="7" t="s">
        <v>194</v>
      </c>
      <c r="G7346" s="7" t="s">
        <v>505</v>
      </c>
      <c r="H7346" s="6" t="n">
        <v>3.17</v>
      </c>
      <c r="I7346" s="6" t="n">
        <v>0</v>
      </c>
      <c r="J7346" s="40" t="n">
        <f aca="false">H7346-I7346</f>
        <v>3.17</v>
      </c>
      <c r="K7346" s="41" t="n">
        <v>26.5</v>
      </c>
      <c r="L7346" s="42" t="n">
        <f aca="false">J7346*K7346</f>
        <v>84.005</v>
      </c>
      <c r="M7346" s="43" t="n">
        <f aca="false">H7346*16*(1+'Chart of Accounts'!$E$67)</f>
        <v>58.0744</v>
      </c>
    </row>
    <row r="7347" customFormat="false" ht="15" hidden="false" customHeight="false" outlineLevel="0" collapsed="false">
      <c r="B7347" s="7" t="s">
        <v>7844</v>
      </c>
      <c r="C7347" s="39" t="n">
        <v>45992</v>
      </c>
      <c r="D7347" s="7" t="s">
        <v>359</v>
      </c>
      <c r="E7347" s="7" t="s">
        <v>156</v>
      </c>
      <c r="F7347" s="7" t="s">
        <v>201</v>
      </c>
      <c r="G7347" s="7" t="s">
        <v>505</v>
      </c>
      <c r="H7347" s="6" t="n">
        <v>3.94</v>
      </c>
      <c r="I7347" s="6" t="n">
        <v>0</v>
      </c>
      <c r="J7347" s="40" t="n">
        <f aca="false">H7347-I7347</f>
        <v>3.94</v>
      </c>
      <c r="K7347" s="41" t="n">
        <v>34</v>
      </c>
      <c r="L7347" s="42" t="n">
        <f aca="false">J7347*K7347</f>
        <v>133.96</v>
      </c>
      <c r="M7347" s="43" t="n">
        <f aca="false">H7347*15.19*(1+'Chart of Accounts'!$E$67)</f>
        <v>68.526647</v>
      </c>
    </row>
    <row r="7348" customFormat="false" ht="15" hidden="false" customHeight="false" outlineLevel="0" collapsed="false">
      <c r="B7348" s="7" t="s">
        <v>7845</v>
      </c>
      <c r="C7348" s="39" t="n">
        <v>45992</v>
      </c>
      <c r="D7348" s="7" t="s">
        <v>363</v>
      </c>
      <c r="E7348" s="7" t="s">
        <v>156</v>
      </c>
      <c r="F7348" s="7" t="s">
        <v>246</v>
      </c>
      <c r="G7348" s="7" t="s">
        <v>505</v>
      </c>
      <c r="H7348" s="6" t="n">
        <v>3.8</v>
      </c>
      <c r="I7348" s="6" t="n">
        <v>0</v>
      </c>
      <c r="J7348" s="40" t="n">
        <f aca="false">H7348-I7348</f>
        <v>3.8</v>
      </c>
      <c r="K7348" s="41" t="n">
        <v>34</v>
      </c>
      <c r="L7348" s="42" t="n">
        <f aca="false">J7348*K7348</f>
        <v>129.2</v>
      </c>
      <c r="M7348" s="43" t="n">
        <f aca="false">H7348*16.48*(1+'Chart of Accounts'!$E$67)</f>
        <v>71.70448</v>
      </c>
    </row>
    <row r="7349" customFormat="false" ht="15" hidden="false" customHeight="false" outlineLevel="0" collapsed="false">
      <c r="B7349" s="7" t="s">
        <v>7846</v>
      </c>
      <c r="C7349" s="39" t="n">
        <v>45992</v>
      </c>
      <c r="D7349" s="7" t="s">
        <v>365</v>
      </c>
      <c r="E7349" s="7" t="s">
        <v>154</v>
      </c>
      <c r="F7349" s="7" t="s">
        <v>194</v>
      </c>
      <c r="G7349" s="7" t="s">
        <v>505</v>
      </c>
      <c r="H7349" s="6" t="n">
        <v>4.06</v>
      </c>
      <c r="I7349" s="6" t="n">
        <v>0</v>
      </c>
      <c r="J7349" s="40" t="n">
        <f aca="false">H7349-I7349</f>
        <v>4.06</v>
      </c>
      <c r="K7349" s="41" t="n">
        <v>26.5</v>
      </c>
      <c r="L7349" s="42" t="n">
        <f aca="false">J7349*K7349</f>
        <v>107.59</v>
      </c>
      <c r="M7349" s="43" t="n">
        <f aca="false">H7349*16*(1+'Chart of Accounts'!$E$67)</f>
        <v>74.3792</v>
      </c>
    </row>
    <row r="7350" customFormat="false" ht="15" hidden="false" customHeight="false" outlineLevel="0" collapsed="false">
      <c r="B7350" s="7" t="s">
        <v>7847</v>
      </c>
      <c r="C7350" s="39" t="n">
        <v>45992</v>
      </c>
      <c r="D7350" s="7" t="s">
        <v>367</v>
      </c>
      <c r="E7350" s="7" t="s">
        <v>156</v>
      </c>
      <c r="F7350" s="7" t="s">
        <v>256</v>
      </c>
      <c r="G7350" s="7" t="s">
        <v>505</v>
      </c>
      <c r="H7350" s="6" t="n">
        <v>2.8</v>
      </c>
      <c r="I7350" s="6" t="n">
        <v>0</v>
      </c>
      <c r="J7350" s="40" t="n">
        <f aca="false">H7350-I7350</f>
        <v>2.8</v>
      </c>
      <c r="K7350" s="41" t="n">
        <v>34</v>
      </c>
      <c r="L7350" s="42" t="n">
        <f aca="false">J7350*K7350</f>
        <v>95.2</v>
      </c>
      <c r="M7350" s="43" t="n">
        <f aca="false">H7350*15.63*(1+'Chart of Accounts'!$E$67)</f>
        <v>50.10978</v>
      </c>
    </row>
    <row r="7351" customFormat="false" ht="15" hidden="false" customHeight="false" outlineLevel="0" collapsed="false">
      <c r="B7351" s="7" t="s">
        <v>7848</v>
      </c>
      <c r="C7351" s="39" t="n">
        <v>45992</v>
      </c>
      <c r="D7351" s="7" t="s">
        <v>371</v>
      </c>
      <c r="E7351" s="7" t="s">
        <v>154</v>
      </c>
      <c r="F7351" s="7" t="s">
        <v>232</v>
      </c>
      <c r="G7351" s="7" t="s">
        <v>505</v>
      </c>
      <c r="H7351" s="6" t="n">
        <v>4.33</v>
      </c>
      <c r="I7351" s="6" t="n">
        <v>0</v>
      </c>
      <c r="J7351" s="40" t="n">
        <f aca="false">H7351-I7351</f>
        <v>4.33</v>
      </c>
      <c r="K7351" s="41" t="n">
        <v>26.5</v>
      </c>
      <c r="L7351" s="42" t="n">
        <f aca="false">J7351*K7351</f>
        <v>114.745</v>
      </c>
      <c r="M7351" s="43" t="n">
        <f aca="false">H7351*16.17*(1+'Chart of Accounts'!$E$67)</f>
        <v>80.1684345</v>
      </c>
    </row>
    <row r="7352" customFormat="false" ht="15" hidden="false" customHeight="false" outlineLevel="0" collapsed="false">
      <c r="B7352" s="7" t="s">
        <v>7849</v>
      </c>
      <c r="C7352" s="39" t="n">
        <v>45992</v>
      </c>
      <c r="D7352" s="7" t="s">
        <v>375</v>
      </c>
      <c r="E7352" s="7" t="s">
        <v>156</v>
      </c>
      <c r="F7352" s="7" t="s">
        <v>196</v>
      </c>
      <c r="G7352" s="7" t="s">
        <v>505</v>
      </c>
      <c r="H7352" s="6" t="n">
        <v>2.99</v>
      </c>
      <c r="I7352" s="6" t="n">
        <v>0</v>
      </c>
      <c r="J7352" s="40" t="n">
        <f aca="false">H7352-I7352</f>
        <v>2.99</v>
      </c>
      <c r="K7352" s="41" t="n">
        <v>34</v>
      </c>
      <c r="L7352" s="42" t="n">
        <f aca="false">J7352*K7352</f>
        <v>101.66</v>
      </c>
      <c r="M7352" s="43" t="n">
        <f aca="false">H7352*15.05*(1+'Chart of Accounts'!$E$67)</f>
        <v>51.5244275</v>
      </c>
    </row>
    <row r="7353" customFormat="false" ht="15" hidden="false" customHeight="false" outlineLevel="0" collapsed="false">
      <c r="B7353" s="7" t="s">
        <v>7850</v>
      </c>
      <c r="C7353" s="39" t="n">
        <v>45992</v>
      </c>
      <c r="D7353" s="7" t="s">
        <v>377</v>
      </c>
      <c r="E7353" s="7" t="s">
        <v>154</v>
      </c>
      <c r="F7353" s="7" t="s">
        <v>214</v>
      </c>
      <c r="G7353" s="7" t="s">
        <v>505</v>
      </c>
      <c r="H7353" s="6" t="n">
        <v>3.86</v>
      </c>
      <c r="I7353" s="6" t="n">
        <v>0</v>
      </c>
      <c r="J7353" s="40" t="n">
        <f aca="false">H7353-I7353</f>
        <v>3.86</v>
      </c>
      <c r="K7353" s="41" t="n">
        <v>26.5</v>
      </c>
      <c r="L7353" s="42" t="n">
        <f aca="false">J7353*K7353</f>
        <v>102.29</v>
      </c>
      <c r="M7353" s="43" t="n">
        <f aca="false">H7353*15.67*(1+'Chart of Accounts'!$E$67)</f>
        <v>69.256699</v>
      </c>
    </row>
    <row r="7354" customFormat="false" ht="15" hidden="false" customHeight="false" outlineLevel="0" collapsed="false">
      <c r="B7354" s="7" t="s">
        <v>7851</v>
      </c>
      <c r="C7354" s="39" t="n">
        <v>45992</v>
      </c>
      <c r="D7354" s="7" t="s">
        <v>379</v>
      </c>
      <c r="E7354" s="7" t="s">
        <v>156</v>
      </c>
      <c r="F7354" s="7" t="s">
        <v>224</v>
      </c>
      <c r="G7354" s="7" t="s">
        <v>505</v>
      </c>
      <c r="H7354" s="6" t="n">
        <v>4.6</v>
      </c>
      <c r="I7354" s="6" t="n">
        <v>0</v>
      </c>
      <c r="J7354" s="40" t="n">
        <f aca="false">H7354-I7354</f>
        <v>4.6</v>
      </c>
      <c r="K7354" s="41" t="n">
        <v>34</v>
      </c>
      <c r="L7354" s="42" t="n">
        <f aca="false">J7354*K7354</f>
        <v>156.4</v>
      </c>
      <c r="M7354" s="43" t="n">
        <f aca="false">H7354*14.93*(1+'Chart of Accounts'!$E$67)</f>
        <v>78.63631</v>
      </c>
    </row>
    <row r="7355" customFormat="false" ht="15" hidden="false" customHeight="false" outlineLevel="0" collapsed="false">
      <c r="B7355" s="7" t="s">
        <v>7852</v>
      </c>
      <c r="C7355" s="39" t="n">
        <v>45992</v>
      </c>
      <c r="D7355" s="7" t="s">
        <v>385</v>
      </c>
      <c r="E7355" s="7" t="s">
        <v>156</v>
      </c>
      <c r="F7355" s="7" t="s">
        <v>238</v>
      </c>
      <c r="G7355" s="7" t="s">
        <v>505</v>
      </c>
      <c r="H7355" s="6" t="n">
        <v>3.6</v>
      </c>
      <c r="I7355" s="6" t="n">
        <v>0</v>
      </c>
      <c r="J7355" s="40" t="n">
        <f aca="false">H7355-I7355</f>
        <v>3.6</v>
      </c>
      <c r="K7355" s="41" t="n">
        <v>34</v>
      </c>
      <c r="L7355" s="42" t="n">
        <f aca="false">J7355*K7355</f>
        <v>122.4</v>
      </c>
      <c r="M7355" s="43" t="n">
        <f aca="false">H7355*15.85*(1+'Chart of Accounts'!$E$67)</f>
        <v>65.3337</v>
      </c>
    </row>
    <row r="7356" customFormat="false" ht="15" hidden="false" customHeight="false" outlineLevel="0" collapsed="false">
      <c r="B7356" s="7" t="s">
        <v>7853</v>
      </c>
      <c r="C7356" s="39" t="n">
        <v>45992</v>
      </c>
      <c r="D7356" s="7" t="s">
        <v>387</v>
      </c>
      <c r="E7356" s="7" t="s">
        <v>154</v>
      </c>
      <c r="F7356" s="7" t="s">
        <v>196</v>
      </c>
      <c r="G7356" s="7" t="s">
        <v>505</v>
      </c>
      <c r="H7356" s="6" t="n">
        <v>3.72</v>
      </c>
      <c r="I7356" s="6" t="n">
        <v>0</v>
      </c>
      <c r="J7356" s="40" t="n">
        <f aca="false">H7356-I7356</f>
        <v>3.72</v>
      </c>
      <c r="K7356" s="41" t="n">
        <v>26.5</v>
      </c>
      <c r="L7356" s="42" t="n">
        <f aca="false">J7356*K7356</f>
        <v>98.58</v>
      </c>
      <c r="M7356" s="43" t="n">
        <f aca="false">H7356*15.05*(1+'Chart of Accounts'!$E$67)</f>
        <v>64.10397</v>
      </c>
    </row>
    <row r="7357" customFormat="false" ht="15" hidden="false" customHeight="false" outlineLevel="0" collapsed="false">
      <c r="B7357" s="7" t="s">
        <v>7854</v>
      </c>
      <c r="C7357" s="39" t="n">
        <v>45992</v>
      </c>
      <c r="D7357" s="7" t="s">
        <v>389</v>
      </c>
      <c r="E7357" s="7" t="s">
        <v>154</v>
      </c>
      <c r="F7357" s="7" t="s">
        <v>246</v>
      </c>
      <c r="G7357" s="7" t="s">
        <v>505</v>
      </c>
      <c r="H7357" s="6" t="n">
        <v>4.32</v>
      </c>
      <c r="I7357" s="6" t="n">
        <v>0</v>
      </c>
      <c r="J7357" s="40" t="n">
        <f aca="false">H7357-I7357</f>
        <v>4.32</v>
      </c>
      <c r="K7357" s="41" t="n">
        <v>26.5</v>
      </c>
      <c r="L7357" s="42" t="n">
        <f aca="false">J7357*K7357</f>
        <v>114.48</v>
      </c>
      <c r="M7357" s="43" t="n">
        <f aca="false">H7357*16.48*(1+'Chart of Accounts'!$E$67)</f>
        <v>81.516672</v>
      </c>
    </row>
    <row r="7358" customFormat="false" ht="15" hidden="false" customHeight="false" outlineLevel="0" collapsed="false">
      <c r="B7358" s="7" t="s">
        <v>7855</v>
      </c>
      <c r="C7358" s="39" t="n">
        <v>45992</v>
      </c>
      <c r="D7358" s="7" t="s">
        <v>391</v>
      </c>
      <c r="E7358" s="7" t="s">
        <v>156</v>
      </c>
      <c r="F7358" s="7" t="s">
        <v>222</v>
      </c>
      <c r="G7358" s="7" t="s">
        <v>505</v>
      </c>
      <c r="H7358" s="6" t="n">
        <v>3.91</v>
      </c>
      <c r="I7358" s="6" t="n">
        <v>0</v>
      </c>
      <c r="J7358" s="40" t="n">
        <f aca="false">H7358-I7358</f>
        <v>3.91</v>
      </c>
      <c r="K7358" s="41" t="n">
        <v>34</v>
      </c>
      <c r="L7358" s="42" t="n">
        <f aca="false">J7358*K7358</f>
        <v>132.94</v>
      </c>
      <c r="M7358" s="43" t="n">
        <f aca="false">H7358*17.84*(1+'Chart of Accounts'!$E$67)</f>
        <v>79.868788</v>
      </c>
    </row>
    <row r="7359" customFormat="false" ht="15" hidden="false" customHeight="false" outlineLevel="0" collapsed="false">
      <c r="B7359" s="7" t="s">
        <v>7856</v>
      </c>
      <c r="C7359" s="39" t="n">
        <v>45992</v>
      </c>
      <c r="D7359" s="7" t="s">
        <v>395</v>
      </c>
      <c r="E7359" s="7" t="s">
        <v>156</v>
      </c>
      <c r="F7359" s="7" t="s">
        <v>242</v>
      </c>
      <c r="G7359" s="7" t="s">
        <v>505</v>
      </c>
      <c r="H7359" s="6" t="n">
        <v>3.78</v>
      </c>
      <c r="I7359" s="6" t="n">
        <v>0</v>
      </c>
      <c r="J7359" s="40" t="n">
        <f aca="false">H7359-I7359</f>
        <v>3.78</v>
      </c>
      <c r="K7359" s="41" t="n">
        <v>34</v>
      </c>
      <c r="L7359" s="42" t="n">
        <f aca="false">J7359*K7359</f>
        <v>128.52</v>
      </c>
      <c r="M7359" s="43" t="n">
        <f aca="false">H7359*17.99*(1+'Chart of Accounts'!$E$67)</f>
        <v>77.862519</v>
      </c>
    </row>
    <row r="7360" customFormat="false" ht="15" hidden="false" customHeight="false" outlineLevel="0" collapsed="false">
      <c r="B7360" s="7" t="s">
        <v>7857</v>
      </c>
      <c r="C7360" s="39" t="n">
        <v>45992</v>
      </c>
      <c r="D7360" s="7" t="s">
        <v>399</v>
      </c>
      <c r="E7360" s="7" t="s">
        <v>154</v>
      </c>
      <c r="F7360" s="7" t="s">
        <v>205</v>
      </c>
      <c r="G7360" s="7" t="s">
        <v>505</v>
      </c>
      <c r="H7360" s="6" t="n">
        <v>3.54</v>
      </c>
      <c r="I7360" s="6" t="n">
        <v>0</v>
      </c>
      <c r="J7360" s="40" t="n">
        <f aca="false">H7360-I7360</f>
        <v>3.54</v>
      </c>
      <c r="K7360" s="41" t="n">
        <v>26.5</v>
      </c>
      <c r="L7360" s="42" t="n">
        <f aca="false">J7360*K7360</f>
        <v>93.81</v>
      </c>
      <c r="M7360" s="43" t="n">
        <f aca="false">H7360*16.36*(1+'Chart of Accounts'!$E$67)</f>
        <v>66.311988</v>
      </c>
    </row>
    <row r="7361" customFormat="false" ht="15" hidden="false" customHeight="false" outlineLevel="0" collapsed="false">
      <c r="B7361" s="7" t="s">
        <v>7858</v>
      </c>
      <c r="C7361" s="39" t="n">
        <v>45992</v>
      </c>
      <c r="D7361" s="7" t="s">
        <v>401</v>
      </c>
      <c r="E7361" s="7" t="s">
        <v>156</v>
      </c>
      <c r="F7361" s="7" t="s">
        <v>254</v>
      </c>
      <c r="G7361" s="7" t="s">
        <v>505</v>
      </c>
      <c r="H7361" s="6" t="n">
        <v>4.3</v>
      </c>
      <c r="I7361" s="6" t="n">
        <v>0</v>
      </c>
      <c r="J7361" s="40" t="n">
        <f aca="false">H7361-I7361</f>
        <v>4.3</v>
      </c>
      <c r="K7361" s="41" t="n">
        <v>34</v>
      </c>
      <c r="L7361" s="42" t="n">
        <f aca="false">J7361*K7361</f>
        <v>146.2</v>
      </c>
      <c r="M7361" s="43" t="n">
        <f aca="false">H7361*17.1*(1+'Chart of Accounts'!$E$67)</f>
        <v>84.19185</v>
      </c>
    </row>
    <row r="7362" customFormat="false" ht="15" hidden="false" customHeight="false" outlineLevel="0" collapsed="false">
      <c r="B7362" s="7" t="s">
        <v>7859</v>
      </c>
      <c r="C7362" s="39" t="n">
        <v>45992</v>
      </c>
      <c r="D7362" s="7" t="s">
        <v>403</v>
      </c>
      <c r="E7362" s="7" t="s">
        <v>156</v>
      </c>
      <c r="F7362" s="7" t="s">
        <v>184</v>
      </c>
      <c r="G7362" s="7" t="s">
        <v>505</v>
      </c>
      <c r="H7362" s="6" t="n">
        <v>3.69</v>
      </c>
      <c r="I7362" s="6" t="n">
        <v>0</v>
      </c>
      <c r="J7362" s="40" t="n">
        <f aca="false">H7362-I7362</f>
        <v>3.69</v>
      </c>
      <c r="K7362" s="41" t="n">
        <v>34</v>
      </c>
      <c r="L7362" s="42" t="n">
        <f aca="false">J7362*K7362</f>
        <v>125.46</v>
      </c>
      <c r="M7362" s="43" t="n">
        <f aca="false">H7362*17.34*(1+'Chart of Accounts'!$E$67)</f>
        <v>73.262367</v>
      </c>
    </row>
    <row r="7363" customFormat="false" ht="15" hidden="false" customHeight="false" outlineLevel="0" collapsed="false">
      <c r="B7363" s="7" t="s">
        <v>7860</v>
      </c>
      <c r="C7363" s="39" t="n">
        <v>45992</v>
      </c>
      <c r="D7363" s="7" t="s">
        <v>409</v>
      </c>
      <c r="E7363" s="7" t="s">
        <v>154</v>
      </c>
      <c r="F7363" s="7" t="s">
        <v>214</v>
      </c>
      <c r="G7363" s="7" t="s">
        <v>505</v>
      </c>
      <c r="H7363" s="6" t="n">
        <v>3.31</v>
      </c>
      <c r="I7363" s="6" t="n">
        <v>0</v>
      </c>
      <c r="J7363" s="40" t="n">
        <f aca="false">H7363-I7363</f>
        <v>3.31</v>
      </c>
      <c r="K7363" s="41" t="n">
        <v>26.5</v>
      </c>
      <c r="L7363" s="42" t="n">
        <f aca="false">J7363*K7363</f>
        <v>87.715</v>
      </c>
      <c r="M7363" s="43" t="n">
        <f aca="false">H7363*15.67*(1+'Chart of Accounts'!$E$67)</f>
        <v>59.3885165</v>
      </c>
    </row>
    <row r="7364" customFormat="false" ht="15" hidden="false" customHeight="false" outlineLevel="0" collapsed="false">
      <c r="B7364" s="7" t="s">
        <v>7861</v>
      </c>
      <c r="C7364" s="39" t="n">
        <v>45992</v>
      </c>
      <c r="D7364" s="7" t="s">
        <v>411</v>
      </c>
      <c r="E7364" s="7" t="s">
        <v>154</v>
      </c>
      <c r="F7364" s="7" t="s">
        <v>177</v>
      </c>
      <c r="G7364" s="7" t="s">
        <v>505</v>
      </c>
      <c r="H7364" s="6" t="n">
        <v>4.7</v>
      </c>
      <c r="I7364" s="6" t="n">
        <v>0</v>
      </c>
      <c r="J7364" s="40" t="n">
        <f aca="false">H7364-I7364</f>
        <v>4.7</v>
      </c>
      <c r="K7364" s="41" t="n">
        <v>26.5</v>
      </c>
      <c r="L7364" s="42" t="n">
        <f aca="false">J7364*K7364</f>
        <v>124.55</v>
      </c>
      <c r="M7364" s="43" t="n">
        <f aca="false">H7364*14.56*(1+'Chart of Accounts'!$E$67)</f>
        <v>78.35464</v>
      </c>
    </row>
    <row r="7365" customFormat="false" ht="15" hidden="false" customHeight="false" outlineLevel="0" collapsed="false">
      <c r="B7365" s="7" t="s">
        <v>7862</v>
      </c>
      <c r="C7365" s="39" t="n">
        <v>45993</v>
      </c>
      <c r="D7365" s="7" t="s">
        <v>288</v>
      </c>
      <c r="E7365" s="7" t="s">
        <v>156</v>
      </c>
      <c r="F7365" s="7" t="s">
        <v>256</v>
      </c>
      <c r="G7365" s="7" t="s">
        <v>505</v>
      </c>
      <c r="H7365" s="6" t="n">
        <v>4.31</v>
      </c>
      <c r="I7365" s="6" t="n">
        <v>0</v>
      </c>
      <c r="J7365" s="40" t="n">
        <f aca="false">H7365-I7365</f>
        <v>4.31</v>
      </c>
      <c r="K7365" s="41" t="n">
        <v>34</v>
      </c>
      <c r="L7365" s="42" t="n">
        <f aca="false">J7365*K7365</f>
        <v>146.54</v>
      </c>
      <c r="M7365" s="43" t="n">
        <f aca="false">H7365*15.63*(1+'Chart of Accounts'!$E$67)</f>
        <v>77.1332685</v>
      </c>
    </row>
    <row r="7366" customFormat="false" ht="15" hidden="false" customHeight="false" outlineLevel="0" collapsed="false">
      <c r="B7366" s="7" t="s">
        <v>7863</v>
      </c>
      <c r="C7366" s="39" t="n">
        <v>45993</v>
      </c>
      <c r="D7366" s="7" t="s">
        <v>293</v>
      </c>
      <c r="E7366" s="7" t="s">
        <v>157</v>
      </c>
      <c r="F7366" s="7" t="s">
        <v>198</v>
      </c>
      <c r="G7366" s="7" t="s">
        <v>502</v>
      </c>
      <c r="H7366" s="6" t="n">
        <v>1.07</v>
      </c>
      <c r="I7366" s="6" t="n">
        <v>0</v>
      </c>
      <c r="J7366" s="40" t="n">
        <f aca="false">H7366-I7366</f>
        <v>1.07</v>
      </c>
      <c r="K7366" s="41" t="n">
        <v>165</v>
      </c>
      <c r="L7366" s="42" t="n">
        <f aca="false">J7366*K7366</f>
        <v>176.55</v>
      </c>
      <c r="M7366" s="43" t="n">
        <f aca="false">H7366*48.09*(1+'Chart of Accounts'!$E$67)</f>
        <v>58.9174635</v>
      </c>
    </row>
    <row r="7367" customFormat="false" ht="15" hidden="false" customHeight="false" outlineLevel="0" collapsed="false">
      <c r="B7367" s="7" t="s">
        <v>7864</v>
      </c>
      <c r="C7367" s="39" t="n">
        <v>45993</v>
      </c>
      <c r="D7367" s="7" t="s">
        <v>301</v>
      </c>
      <c r="E7367" s="7" t="s">
        <v>157</v>
      </c>
      <c r="F7367" s="7" t="s">
        <v>209</v>
      </c>
      <c r="G7367" s="7" t="s">
        <v>502</v>
      </c>
      <c r="H7367" s="6" t="n">
        <v>0.93</v>
      </c>
      <c r="I7367" s="6" t="n">
        <v>0</v>
      </c>
      <c r="J7367" s="40" t="n">
        <f aca="false">H7367-I7367</f>
        <v>0.93</v>
      </c>
      <c r="K7367" s="41" t="n">
        <v>165</v>
      </c>
      <c r="L7367" s="42" t="n">
        <f aca="false">J7367*K7367</f>
        <v>153.45</v>
      </c>
      <c r="M7367" s="43" t="n">
        <f aca="false">H7367*73.58*(1+'Chart of Accounts'!$E$67)</f>
        <v>78.351663</v>
      </c>
    </row>
    <row r="7368" customFormat="false" ht="15" hidden="false" customHeight="false" outlineLevel="0" collapsed="false">
      <c r="B7368" s="7" t="s">
        <v>7865</v>
      </c>
      <c r="C7368" s="39" t="n">
        <v>45993</v>
      </c>
      <c r="D7368" s="7" t="s">
        <v>313</v>
      </c>
      <c r="E7368" s="7" t="s">
        <v>156</v>
      </c>
      <c r="F7368" s="7" t="s">
        <v>184</v>
      </c>
      <c r="G7368" s="7" t="s">
        <v>505</v>
      </c>
      <c r="H7368" s="6" t="n">
        <v>3.96</v>
      </c>
      <c r="I7368" s="6" t="n">
        <v>0</v>
      </c>
      <c r="J7368" s="40" t="n">
        <f aca="false">H7368-I7368</f>
        <v>3.96</v>
      </c>
      <c r="K7368" s="41" t="n">
        <v>34</v>
      </c>
      <c r="L7368" s="42" t="n">
        <f aca="false">J7368*K7368</f>
        <v>134.64</v>
      </c>
      <c r="M7368" s="43" t="n">
        <f aca="false">H7368*17.34*(1+'Chart of Accounts'!$E$67)</f>
        <v>78.623028</v>
      </c>
    </row>
    <row r="7369" customFormat="false" ht="15" hidden="false" customHeight="false" outlineLevel="0" collapsed="false">
      <c r="B7369" s="7" t="s">
        <v>7866</v>
      </c>
      <c r="C7369" s="39" t="n">
        <v>45993</v>
      </c>
      <c r="D7369" s="7" t="s">
        <v>319</v>
      </c>
      <c r="E7369" s="7" t="s">
        <v>157</v>
      </c>
      <c r="F7369" s="7" t="s">
        <v>234</v>
      </c>
      <c r="G7369" s="7" t="s">
        <v>502</v>
      </c>
      <c r="H7369" s="6" t="n">
        <v>0.92</v>
      </c>
      <c r="I7369" s="6" t="n">
        <v>0</v>
      </c>
      <c r="J7369" s="40" t="n">
        <f aca="false">H7369-I7369</f>
        <v>0.92</v>
      </c>
      <c r="K7369" s="41" t="n">
        <v>165</v>
      </c>
      <c r="L7369" s="42" t="n">
        <f aca="false">J7369*K7369</f>
        <v>151.8</v>
      </c>
      <c r="M7369" s="43" t="n">
        <f aca="false">H7369*89.53*(1+'Chart of Accounts'!$E$67)</f>
        <v>94.310902</v>
      </c>
    </row>
    <row r="7370" customFormat="false" ht="15" hidden="false" customHeight="false" outlineLevel="0" collapsed="false">
      <c r="B7370" s="7" t="s">
        <v>7867</v>
      </c>
      <c r="C7370" s="39" t="n">
        <v>45993</v>
      </c>
      <c r="D7370" s="7" t="s">
        <v>321</v>
      </c>
      <c r="E7370" s="7" t="s">
        <v>154</v>
      </c>
      <c r="F7370" s="7" t="s">
        <v>218</v>
      </c>
      <c r="G7370" s="7" t="s">
        <v>505</v>
      </c>
      <c r="H7370" s="6" t="n">
        <v>3.86</v>
      </c>
      <c r="I7370" s="6" t="n">
        <v>0</v>
      </c>
      <c r="J7370" s="40" t="n">
        <f aca="false">H7370-I7370</f>
        <v>3.86</v>
      </c>
      <c r="K7370" s="41" t="n">
        <v>26.5</v>
      </c>
      <c r="L7370" s="42" t="n">
        <f aca="false">J7370*K7370</f>
        <v>102.29</v>
      </c>
      <c r="M7370" s="43" t="n">
        <f aca="false">H7370*16.19*(1+'Chart of Accounts'!$E$67)</f>
        <v>71.554943</v>
      </c>
    </row>
    <row r="7371" customFormat="false" ht="15" hidden="false" customHeight="false" outlineLevel="0" collapsed="false">
      <c r="B7371" s="7" t="s">
        <v>7868</v>
      </c>
      <c r="C7371" s="39" t="n">
        <v>45993</v>
      </c>
      <c r="D7371" s="7" t="s">
        <v>323</v>
      </c>
      <c r="E7371" s="7" t="s">
        <v>159</v>
      </c>
      <c r="F7371" s="7" t="s">
        <v>187</v>
      </c>
      <c r="G7371" s="7" t="s">
        <v>502</v>
      </c>
      <c r="H7371" s="6" t="n">
        <v>1</v>
      </c>
      <c r="I7371" s="6" t="n">
        <v>0</v>
      </c>
      <c r="J7371" s="40" t="n">
        <f aca="false">H7371-I7371</f>
        <v>1</v>
      </c>
      <c r="K7371" s="41" t="n">
        <v>135</v>
      </c>
      <c r="L7371" s="42" t="n">
        <f aca="false">J7371*K7371</f>
        <v>135</v>
      </c>
      <c r="M7371" s="43" t="n">
        <f aca="false">H7371*66.48*(1+'Chart of Accounts'!$E$67)</f>
        <v>76.1196</v>
      </c>
    </row>
    <row r="7372" customFormat="false" ht="15" hidden="false" customHeight="false" outlineLevel="0" collapsed="false">
      <c r="B7372" s="7" t="s">
        <v>7869</v>
      </c>
      <c r="C7372" s="39" t="n">
        <v>45993</v>
      </c>
      <c r="D7372" s="7" t="s">
        <v>327</v>
      </c>
      <c r="E7372" s="7" t="s">
        <v>157</v>
      </c>
      <c r="F7372" s="7" t="s">
        <v>228</v>
      </c>
      <c r="G7372" s="7" t="s">
        <v>502</v>
      </c>
      <c r="H7372" s="6" t="n">
        <v>0.91</v>
      </c>
      <c r="I7372" s="6" t="n">
        <v>0.046</v>
      </c>
      <c r="J7372" s="40" t="n">
        <f aca="false">H7372-I7372</f>
        <v>0.864</v>
      </c>
      <c r="K7372" s="41" t="n">
        <v>165</v>
      </c>
      <c r="L7372" s="42" t="n">
        <f aca="false">J7372*K7372</f>
        <v>142.56</v>
      </c>
      <c r="M7372" s="43" t="n">
        <f aca="false">H7372*51.07*(1+'Chart of Accounts'!$E$67)</f>
        <v>53.2123865</v>
      </c>
    </row>
    <row r="7373" customFormat="false" ht="15" hidden="false" customHeight="false" outlineLevel="0" collapsed="false">
      <c r="B7373" s="7" t="s">
        <v>7870</v>
      </c>
      <c r="C7373" s="39" t="n">
        <v>45993</v>
      </c>
      <c r="D7373" s="7" t="s">
        <v>329</v>
      </c>
      <c r="E7373" s="7" t="s">
        <v>156</v>
      </c>
      <c r="F7373" s="7" t="s">
        <v>220</v>
      </c>
      <c r="G7373" s="7" t="s">
        <v>505</v>
      </c>
      <c r="H7373" s="6" t="n">
        <v>3.66</v>
      </c>
      <c r="I7373" s="6" t="n">
        <v>0</v>
      </c>
      <c r="J7373" s="40" t="n">
        <f aca="false">H7373-I7373</f>
        <v>3.66</v>
      </c>
      <c r="K7373" s="41" t="n">
        <v>34</v>
      </c>
      <c r="L7373" s="42" t="n">
        <f aca="false">J7373*K7373</f>
        <v>124.44</v>
      </c>
      <c r="M7373" s="43" t="n">
        <f aca="false">H7373*16.43*(1+'Chart of Accounts'!$E$67)</f>
        <v>68.853201</v>
      </c>
    </row>
    <row r="7374" customFormat="false" ht="15" hidden="false" customHeight="false" outlineLevel="0" collapsed="false">
      <c r="B7374" s="7" t="s">
        <v>7871</v>
      </c>
      <c r="C7374" s="39" t="n">
        <v>45993</v>
      </c>
      <c r="D7374" s="7" t="s">
        <v>349</v>
      </c>
      <c r="E7374" s="7" t="s">
        <v>154</v>
      </c>
      <c r="F7374" s="7" t="s">
        <v>244</v>
      </c>
      <c r="G7374" s="7" t="s">
        <v>505</v>
      </c>
      <c r="H7374" s="6" t="n">
        <v>3.82</v>
      </c>
      <c r="I7374" s="6" t="n">
        <v>0</v>
      </c>
      <c r="J7374" s="40" t="n">
        <f aca="false">H7374-I7374</f>
        <v>3.82</v>
      </c>
      <c r="K7374" s="41" t="n">
        <v>26.5</v>
      </c>
      <c r="L7374" s="42" t="n">
        <f aca="false">J7374*K7374</f>
        <v>101.23</v>
      </c>
      <c r="M7374" s="43" t="n">
        <f aca="false">H7374*16.39*(1+'Chart of Accounts'!$E$67)</f>
        <v>71.688221</v>
      </c>
    </row>
    <row r="7375" customFormat="false" ht="15" hidden="false" customHeight="false" outlineLevel="0" collapsed="false">
      <c r="B7375" s="7" t="s">
        <v>7872</v>
      </c>
      <c r="C7375" s="39" t="n">
        <v>45993</v>
      </c>
      <c r="D7375" s="7" t="s">
        <v>359</v>
      </c>
      <c r="E7375" s="7" t="s">
        <v>156</v>
      </c>
      <c r="F7375" s="7" t="s">
        <v>184</v>
      </c>
      <c r="G7375" s="7" t="s">
        <v>505</v>
      </c>
      <c r="H7375" s="6" t="n">
        <v>3.99</v>
      </c>
      <c r="I7375" s="6" t="n">
        <v>0</v>
      </c>
      <c r="J7375" s="40" t="n">
        <f aca="false">H7375-I7375</f>
        <v>3.99</v>
      </c>
      <c r="K7375" s="41" t="n">
        <v>34</v>
      </c>
      <c r="L7375" s="42" t="n">
        <f aca="false">J7375*K7375</f>
        <v>135.66</v>
      </c>
      <c r="M7375" s="43" t="n">
        <f aca="false">H7375*17.34*(1+'Chart of Accounts'!$E$67)</f>
        <v>79.218657</v>
      </c>
    </row>
    <row r="7376" customFormat="false" ht="15" hidden="false" customHeight="false" outlineLevel="0" collapsed="false">
      <c r="B7376" s="7" t="s">
        <v>7873</v>
      </c>
      <c r="C7376" s="39" t="n">
        <v>45993</v>
      </c>
      <c r="D7376" s="7" t="s">
        <v>361</v>
      </c>
      <c r="E7376" s="7" t="s">
        <v>157</v>
      </c>
      <c r="F7376" s="7" t="s">
        <v>209</v>
      </c>
      <c r="G7376" s="7" t="s">
        <v>502</v>
      </c>
      <c r="H7376" s="6" t="n">
        <v>1.03</v>
      </c>
      <c r="I7376" s="6" t="n">
        <v>0</v>
      </c>
      <c r="J7376" s="40" t="n">
        <f aca="false">H7376-I7376</f>
        <v>1.03</v>
      </c>
      <c r="K7376" s="41" t="n">
        <v>165</v>
      </c>
      <c r="L7376" s="42" t="n">
        <f aca="false">J7376*K7376</f>
        <v>169.95</v>
      </c>
      <c r="M7376" s="43" t="n">
        <f aca="false">H7376*73.58*(1+'Chart of Accounts'!$E$67)</f>
        <v>86.776573</v>
      </c>
    </row>
    <row r="7377" customFormat="false" ht="15" hidden="false" customHeight="false" outlineLevel="0" collapsed="false">
      <c r="B7377" s="7" t="s">
        <v>7874</v>
      </c>
      <c r="C7377" s="39" t="n">
        <v>45993</v>
      </c>
      <c r="D7377" s="7" t="s">
        <v>365</v>
      </c>
      <c r="E7377" s="7" t="s">
        <v>154</v>
      </c>
      <c r="F7377" s="7" t="s">
        <v>194</v>
      </c>
      <c r="G7377" s="7" t="s">
        <v>505</v>
      </c>
      <c r="H7377" s="6" t="n">
        <v>3.96</v>
      </c>
      <c r="I7377" s="6" t="n">
        <v>0</v>
      </c>
      <c r="J7377" s="40" t="n">
        <f aca="false">H7377-I7377</f>
        <v>3.96</v>
      </c>
      <c r="K7377" s="41" t="n">
        <v>26.5</v>
      </c>
      <c r="L7377" s="42" t="n">
        <f aca="false">J7377*K7377</f>
        <v>104.94</v>
      </c>
      <c r="M7377" s="43" t="n">
        <f aca="false">H7377*16*(1+'Chart of Accounts'!$E$67)</f>
        <v>72.5472</v>
      </c>
    </row>
    <row r="7378" customFormat="false" ht="15" hidden="false" customHeight="false" outlineLevel="0" collapsed="false">
      <c r="B7378" s="7" t="s">
        <v>7875</v>
      </c>
      <c r="C7378" s="39" t="n">
        <v>45993</v>
      </c>
      <c r="D7378" s="7" t="s">
        <v>369</v>
      </c>
      <c r="E7378" s="7" t="s">
        <v>159</v>
      </c>
      <c r="F7378" s="7" t="s">
        <v>258</v>
      </c>
      <c r="G7378" s="7" t="s">
        <v>502</v>
      </c>
      <c r="H7378" s="6" t="n">
        <v>1.07</v>
      </c>
      <c r="I7378" s="6" t="n">
        <v>0</v>
      </c>
      <c r="J7378" s="40" t="n">
        <f aca="false">H7378-I7378</f>
        <v>1.07</v>
      </c>
      <c r="K7378" s="41" t="n">
        <v>135</v>
      </c>
      <c r="L7378" s="42" t="n">
        <f aca="false">J7378*K7378</f>
        <v>144.45</v>
      </c>
      <c r="M7378" s="43" t="n">
        <f aca="false">H7378*61.61*(1+'Chart of Accounts'!$E$67)</f>
        <v>75.4814915</v>
      </c>
    </row>
    <row r="7379" customFormat="false" ht="15" hidden="false" customHeight="false" outlineLevel="0" collapsed="false">
      <c r="B7379" s="7" t="s">
        <v>7876</v>
      </c>
      <c r="C7379" s="39" t="n">
        <v>45993</v>
      </c>
      <c r="D7379" s="7" t="s">
        <v>381</v>
      </c>
      <c r="E7379" s="7" t="s">
        <v>157</v>
      </c>
      <c r="F7379" s="7" t="s">
        <v>234</v>
      </c>
      <c r="G7379" s="7" t="s">
        <v>502</v>
      </c>
      <c r="H7379" s="6" t="n">
        <v>1.09</v>
      </c>
      <c r="I7379" s="6" t="n">
        <v>0</v>
      </c>
      <c r="J7379" s="40" t="n">
        <f aca="false">H7379-I7379</f>
        <v>1.09</v>
      </c>
      <c r="K7379" s="41" t="n">
        <v>165</v>
      </c>
      <c r="L7379" s="42" t="n">
        <f aca="false">J7379*K7379</f>
        <v>179.85</v>
      </c>
      <c r="M7379" s="43" t="n">
        <f aca="false">H7379*89.53*(1+'Chart of Accounts'!$E$67)</f>
        <v>111.7379165</v>
      </c>
    </row>
    <row r="7380" customFormat="false" ht="15" hidden="false" customHeight="false" outlineLevel="0" collapsed="false">
      <c r="B7380" s="7" t="s">
        <v>7877</v>
      </c>
      <c r="C7380" s="39" t="n">
        <v>45993</v>
      </c>
      <c r="D7380" s="7" t="s">
        <v>383</v>
      </c>
      <c r="E7380" s="7" t="s">
        <v>157</v>
      </c>
      <c r="F7380" s="7" t="s">
        <v>230</v>
      </c>
      <c r="G7380" s="7" t="s">
        <v>502</v>
      </c>
      <c r="H7380" s="6" t="n">
        <v>0.99</v>
      </c>
      <c r="I7380" s="6" t="n">
        <v>0</v>
      </c>
      <c r="J7380" s="40" t="n">
        <f aca="false">H7380-I7380</f>
        <v>0.99</v>
      </c>
      <c r="K7380" s="41" t="n">
        <v>165</v>
      </c>
      <c r="L7380" s="42" t="n">
        <f aca="false">J7380*K7380</f>
        <v>163.35</v>
      </c>
      <c r="M7380" s="43" t="n">
        <f aca="false">H7380*48.78*(1+'Chart of Accounts'!$E$67)</f>
        <v>55.294569</v>
      </c>
    </row>
    <row r="7381" customFormat="false" ht="15" hidden="false" customHeight="false" outlineLevel="0" collapsed="false">
      <c r="B7381" s="7" t="s">
        <v>7878</v>
      </c>
      <c r="C7381" s="39" t="n">
        <v>45993</v>
      </c>
      <c r="D7381" s="7" t="s">
        <v>387</v>
      </c>
      <c r="E7381" s="7" t="s">
        <v>154</v>
      </c>
      <c r="F7381" s="7" t="s">
        <v>196</v>
      </c>
      <c r="G7381" s="7" t="s">
        <v>505</v>
      </c>
      <c r="H7381" s="6" t="n">
        <v>3.95</v>
      </c>
      <c r="I7381" s="6" t="n">
        <v>0</v>
      </c>
      <c r="J7381" s="40" t="n">
        <f aca="false">H7381-I7381</f>
        <v>3.95</v>
      </c>
      <c r="K7381" s="41" t="n">
        <v>26.5</v>
      </c>
      <c r="L7381" s="42" t="n">
        <f aca="false">J7381*K7381</f>
        <v>104.675</v>
      </c>
      <c r="M7381" s="43" t="n">
        <f aca="false">H7381*15.05*(1+'Chart of Accounts'!$E$67)</f>
        <v>68.0673875</v>
      </c>
    </row>
    <row r="7382" customFormat="false" ht="15" hidden="false" customHeight="false" outlineLevel="0" collapsed="false">
      <c r="B7382" s="7" t="s">
        <v>7879</v>
      </c>
      <c r="C7382" s="39" t="n">
        <v>45993</v>
      </c>
      <c r="D7382" s="7" t="s">
        <v>389</v>
      </c>
      <c r="E7382" s="7" t="s">
        <v>154</v>
      </c>
      <c r="F7382" s="7" t="s">
        <v>246</v>
      </c>
      <c r="G7382" s="7" t="s">
        <v>505</v>
      </c>
      <c r="H7382" s="6" t="n">
        <v>3.96</v>
      </c>
      <c r="I7382" s="6" t="n">
        <v>0</v>
      </c>
      <c r="J7382" s="40" t="n">
        <f aca="false">H7382-I7382</f>
        <v>3.96</v>
      </c>
      <c r="K7382" s="41" t="n">
        <v>26.5</v>
      </c>
      <c r="L7382" s="42" t="n">
        <f aca="false">J7382*K7382</f>
        <v>104.94</v>
      </c>
      <c r="M7382" s="43" t="n">
        <f aca="false">H7382*16.48*(1+'Chart of Accounts'!$E$67)</f>
        <v>74.723616</v>
      </c>
    </row>
    <row r="7383" customFormat="false" ht="15" hidden="false" customHeight="false" outlineLevel="0" collapsed="false">
      <c r="B7383" s="7" t="s">
        <v>7880</v>
      </c>
      <c r="C7383" s="39" t="n">
        <v>45993</v>
      </c>
      <c r="D7383" s="7" t="s">
        <v>391</v>
      </c>
      <c r="E7383" s="7" t="s">
        <v>156</v>
      </c>
      <c r="F7383" s="7" t="s">
        <v>222</v>
      </c>
      <c r="G7383" s="7" t="s">
        <v>505</v>
      </c>
      <c r="H7383" s="6" t="n">
        <v>4.18</v>
      </c>
      <c r="I7383" s="6" t="n">
        <v>0</v>
      </c>
      <c r="J7383" s="40" t="n">
        <f aca="false">H7383-I7383</f>
        <v>4.18</v>
      </c>
      <c r="K7383" s="41" t="n">
        <v>34</v>
      </c>
      <c r="L7383" s="42" t="n">
        <f aca="false">J7383*K7383</f>
        <v>142.12</v>
      </c>
      <c r="M7383" s="43" t="n">
        <f aca="false">H7383*17.84*(1+'Chart of Accounts'!$E$67)</f>
        <v>85.384024</v>
      </c>
    </row>
    <row r="7384" customFormat="false" ht="15" hidden="false" customHeight="false" outlineLevel="0" collapsed="false">
      <c r="B7384" s="7" t="s">
        <v>7881</v>
      </c>
      <c r="C7384" s="39" t="n">
        <v>45993</v>
      </c>
      <c r="D7384" s="7" t="s">
        <v>395</v>
      </c>
      <c r="E7384" s="7" t="s">
        <v>156</v>
      </c>
      <c r="F7384" s="7" t="s">
        <v>242</v>
      </c>
      <c r="G7384" s="7" t="s">
        <v>505</v>
      </c>
      <c r="H7384" s="6" t="n">
        <v>3.76</v>
      </c>
      <c r="I7384" s="6" t="n">
        <v>0</v>
      </c>
      <c r="J7384" s="40" t="n">
        <f aca="false">H7384-I7384</f>
        <v>3.76</v>
      </c>
      <c r="K7384" s="41" t="n">
        <v>34</v>
      </c>
      <c r="L7384" s="42" t="n">
        <f aca="false">J7384*K7384</f>
        <v>127.84</v>
      </c>
      <c r="M7384" s="43" t="n">
        <f aca="false">H7384*17.99*(1+'Chart of Accounts'!$E$67)</f>
        <v>77.450548</v>
      </c>
    </row>
    <row r="7385" customFormat="false" ht="15" hidden="false" customHeight="false" outlineLevel="0" collapsed="false">
      <c r="B7385" s="7" t="s">
        <v>7882</v>
      </c>
      <c r="C7385" s="39" t="n">
        <v>45993</v>
      </c>
      <c r="D7385" s="7" t="s">
        <v>397</v>
      </c>
      <c r="E7385" s="7" t="s">
        <v>159</v>
      </c>
      <c r="F7385" s="7" t="s">
        <v>203</v>
      </c>
      <c r="G7385" s="7" t="s">
        <v>502</v>
      </c>
      <c r="H7385" s="6" t="n">
        <v>1.02</v>
      </c>
      <c r="I7385" s="6" t="n">
        <v>0</v>
      </c>
      <c r="J7385" s="40" t="n">
        <f aca="false">H7385-I7385</f>
        <v>1.02</v>
      </c>
      <c r="K7385" s="41" t="n">
        <v>135</v>
      </c>
      <c r="L7385" s="42" t="n">
        <f aca="false">J7385*K7385</f>
        <v>137.7</v>
      </c>
      <c r="M7385" s="43" t="n">
        <f aca="false">H7385*49.43*(1+'Chart of Accounts'!$E$67)</f>
        <v>57.729297</v>
      </c>
    </row>
    <row r="7386" customFormat="false" ht="15" hidden="false" customHeight="false" outlineLevel="0" collapsed="false">
      <c r="B7386" s="7" t="s">
        <v>7883</v>
      </c>
      <c r="C7386" s="39" t="n">
        <v>45993</v>
      </c>
      <c r="D7386" s="7" t="s">
        <v>401</v>
      </c>
      <c r="E7386" s="7" t="s">
        <v>156</v>
      </c>
      <c r="F7386" s="7" t="s">
        <v>254</v>
      </c>
      <c r="G7386" s="7" t="s">
        <v>505</v>
      </c>
      <c r="H7386" s="6" t="n">
        <v>4.26</v>
      </c>
      <c r="I7386" s="6" t="n">
        <v>0</v>
      </c>
      <c r="J7386" s="40" t="n">
        <f aca="false">H7386-I7386</f>
        <v>4.26</v>
      </c>
      <c r="K7386" s="41" t="n">
        <v>34</v>
      </c>
      <c r="L7386" s="42" t="n">
        <f aca="false">J7386*K7386</f>
        <v>144.84</v>
      </c>
      <c r="M7386" s="43" t="n">
        <f aca="false">H7386*17.1*(1+'Chart of Accounts'!$E$67)</f>
        <v>83.40867</v>
      </c>
    </row>
    <row r="7387" customFormat="false" ht="15" hidden="false" customHeight="false" outlineLevel="0" collapsed="false">
      <c r="B7387" s="7" t="s">
        <v>7884</v>
      </c>
      <c r="C7387" s="39" t="n">
        <v>45993</v>
      </c>
      <c r="D7387" s="7" t="s">
        <v>407</v>
      </c>
      <c r="E7387" s="7" t="s">
        <v>159</v>
      </c>
      <c r="F7387" s="7" t="s">
        <v>260</v>
      </c>
      <c r="G7387" s="7" t="s">
        <v>502</v>
      </c>
      <c r="H7387" s="6" t="n">
        <v>1.03</v>
      </c>
      <c r="I7387" s="6" t="n">
        <v>0</v>
      </c>
      <c r="J7387" s="40" t="n">
        <f aca="false">H7387-I7387</f>
        <v>1.03</v>
      </c>
      <c r="K7387" s="41" t="n">
        <v>135</v>
      </c>
      <c r="L7387" s="42" t="n">
        <f aca="false">J7387*K7387</f>
        <v>139.05</v>
      </c>
      <c r="M7387" s="43" t="n">
        <f aca="false">H7387*79.8*(1+'Chart of Accounts'!$E$67)</f>
        <v>94.11213</v>
      </c>
    </row>
    <row r="7388" customFormat="false" ht="15" hidden="false" customHeight="false" outlineLevel="0" collapsed="false">
      <c r="B7388" s="7" t="s">
        <v>7885</v>
      </c>
      <c r="C7388" s="39" t="n">
        <v>45994</v>
      </c>
      <c r="D7388" s="7" t="s">
        <v>288</v>
      </c>
      <c r="E7388" s="7" t="s">
        <v>156</v>
      </c>
      <c r="F7388" s="7" t="s">
        <v>205</v>
      </c>
      <c r="G7388" s="7" t="s">
        <v>505</v>
      </c>
      <c r="H7388" s="6" t="n">
        <v>4.22</v>
      </c>
      <c r="I7388" s="6" t="n">
        <v>0</v>
      </c>
      <c r="J7388" s="40" t="n">
        <f aca="false">H7388-I7388</f>
        <v>4.22</v>
      </c>
      <c r="K7388" s="41" t="n">
        <v>34</v>
      </c>
      <c r="L7388" s="42" t="n">
        <f aca="false">J7388*K7388</f>
        <v>143.48</v>
      </c>
      <c r="M7388" s="43" t="n">
        <f aca="false">H7388*16.36*(1+'Chart of Accounts'!$E$67)</f>
        <v>79.049884</v>
      </c>
    </row>
    <row r="7389" customFormat="false" ht="15" hidden="false" customHeight="false" outlineLevel="0" collapsed="false">
      <c r="B7389" s="7" t="s">
        <v>7886</v>
      </c>
      <c r="C7389" s="39" t="n">
        <v>45994</v>
      </c>
      <c r="D7389" s="7" t="s">
        <v>291</v>
      </c>
      <c r="E7389" s="7" t="s">
        <v>154</v>
      </c>
      <c r="F7389" s="7" t="s">
        <v>194</v>
      </c>
      <c r="G7389" s="7" t="s">
        <v>505</v>
      </c>
      <c r="H7389" s="6" t="n">
        <v>4.28</v>
      </c>
      <c r="I7389" s="6" t="n">
        <v>0</v>
      </c>
      <c r="J7389" s="40" t="n">
        <f aca="false">H7389-I7389</f>
        <v>4.28</v>
      </c>
      <c r="K7389" s="41" t="n">
        <v>26.5</v>
      </c>
      <c r="L7389" s="42" t="n">
        <f aca="false">J7389*K7389</f>
        <v>113.42</v>
      </c>
      <c r="M7389" s="43" t="n">
        <f aca="false">H7389*16*(1+'Chart of Accounts'!$E$67)</f>
        <v>78.4096</v>
      </c>
    </row>
    <row r="7390" customFormat="false" ht="15" hidden="false" customHeight="false" outlineLevel="0" collapsed="false">
      <c r="B7390" s="7" t="s">
        <v>7887</v>
      </c>
      <c r="C7390" s="39" t="n">
        <v>45994</v>
      </c>
      <c r="D7390" s="7" t="s">
        <v>295</v>
      </c>
      <c r="E7390" s="7" t="s">
        <v>154</v>
      </c>
      <c r="F7390" s="7" t="s">
        <v>214</v>
      </c>
      <c r="G7390" s="7" t="s">
        <v>505</v>
      </c>
      <c r="H7390" s="6" t="n">
        <v>4.39</v>
      </c>
      <c r="I7390" s="6" t="n">
        <v>0</v>
      </c>
      <c r="J7390" s="40" t="n">
        <f aca="false">H7390-I7390</f>
        <v>4.39</v>
      </c>
      <c r="K7390" s="41" t="n">
        <v>26.5</v>
      </c>
      <c r="L7390" s="42" t="n">
        <f aca="false">J7390*K7390</f>
        <v>116.335</v>
      </c>
      <c r="M7390" s="43" t="n">
        <f aca="false">H7390*15.67*(1+'Chart of Accounts'!$E$67)</f>
        <v>78.7660385</v>
      </c>
    </row>
    <row r="7391" customFormat="false" ht="15" hidden="false" customHeight="false" outlineLevel="0" collapsed="false">
      <c r="B7391" s="7" t="s">
        <v>7888</v>
      </c>
      <c r="C7391" s="39" t="n">
        <v>45994</v>
      </c>
      <c r="D7391" s="7" t="s">
        <v>305</v>
      </c>
      <c r="E7391" s="7" t="s">
        <v>154</v>
      </c>
      <c r="F7391" s="7" t="s">
        <v>205</v>
      </c>
      <c r="G7391" s="7" t="s">
        <v>505</v>
      </c>
      <c r="H7391" s="6" t="n">
        <v>3.89</v>
      </c>
      <c r="I7391" s="6" t="n">
        <v>0</v>
      </c>
      <c r="J7391" s="40" t="n">
        <f aca="false">H7391-I7391</f>
        <v>3.89</v>
      </c>
      <c r="K7391" s="41" t="n">
        <v>26.5</v>
      </c>
      <c r="L7391" s="42" t="n">
        <f aca="false">J7391*K7391</f>
        <v>103.085</v>
      </c>
      <c r="M7391" s="43" t="n">
        <f aca="false">H7391*16.36*(1+'Chart of Accounts'!$E$67)</f>
        <v>72.868258</v>
      </c>
    </row>
    <row r="7392" customFormat="false" ht="15" hidden="false" customHeight="false" outlineLevel="0" collapsed="false">
      <c r="B7392" s="7" t="s">
        <v>7889</v>
      </c>
      <c r="C7392" s="39" t="n">
        <v>45994</v>
      </c>
      <c r="D7392" s="7" t="s">
        <v>307</v>
      </c>
      <c r="E7392" s="7" t="s">
        <v>157</v>
      </c>
      <c r="F7392" s="7" t="s">
        <v>264</v>
      </c>
      <c r="G7392" s="7" t="s">
        <v>502</v>
      </c>
      <c r="H7392" s="6" t="n">
        <v>0.98</v>
      </c>
      <c r="I7392" s="6" t="n">
        <v>0</v>
      </c>
      <c r="J7392" s="40" t="n">
        <f aca="false">H7392-I7392</f>
        <v>0.98</v>
      </c>
      <c r="K7392" s="41" t="n">
        <v>165</v>
      </c>
      <c r="L7392" s="42" t="n">
        <f aca="false">J7392*K7392</f>
        <v>161.7</v>
      </c>
      <c r="M7392" s="43" t="n">
        <f aca="false">H7392*55.55*(1+'Chart of Accounts'!$E$67)</f>
        <v>62.332655</v>
      </c>
    </row>
    <row r="7393" customFormat="false" ht="15" hidden="false" customHeight="false" outlineLevel="0" collapsed="false">
      <c r="B7393" s="7" t="s">
        <v>7890</v>
      </c>
      <c r="C7393" s="39" t="n">
        <v>45994</v>
      </c>
      <c r="D7393" s="7" t="s">
        <v>309</v>
      </c>
      <c r="E7393" s="7" t="s">
        <v>159</v>
      </c>
      <c r="F7393" s="7" t="s">
        <v>252</v>
      </c>
      <c r="G7393" s="7" t="s">
        <v>502</v>
      </c>
      <c r="H7393" s="6" t="n">
        <v>1.06</v>
      </c>
      <c r="I7393" s="6" t="n">
        <v>0.074</v>
      </c>
      <c r="J7393" s="40" t="n">
        <f aca="false">H7393-I7393</f>
        <v>0.986</v>
      </c>
      <c r="K7393" s="41" t="n">
        <v>135</v>
      </c>
      <c r="L7393" s="42" t="n">
        <f aca="false">J7393*K7393</f>
        <v>133.11</v>
      </c>
      <c r="M7393" s="43" t="n">
        <f aca="false">H7393*57.54*(1+'Chart of Accounts'!$E$67)</f>
        <v>69.836298</v>
      </c>
    </row>
    <row r="7394" customFormat="false" ht="15" hidden="false" customHeight="false" outlineLevel="0" collapsed="false">
      <c r="B7394" s="7" t="s">
        <v>7891</v>
      </c>
      <c r="C7394" s="39" t="n">
        <v>45994</v>
      </c>
      <c r="D7394" s="7" t="s">
        <v>313</v>
      </c>
      <c r="E7394" s="7" t="s">
        <v>156</v>
      </c>
      <c r="F7394" s="7" t="s">
        <v>184</v>
      </c>
      <c r="G7394" s="7" t="s">
        <v>505</v>
      </c>
      <c r="H7394" s="6" t="n">
        <v>4.36</v>
      </c>
      <c r="I7394" s="6" t="n">
        <v>0</v>
      </c>
      <c r="J7394" s="40" t="n">
        <f aca="false">H7394-I7394</f>
        <v>4.36</v>
      </c>
      <c r="K7394" s="41" t="n">
        <v>34</v>
      </c>
      <c r="L7394" s="42" t="n">
        <f aca="false">J7394*K7394</f>
        <v>148.24</v>
      </c>
      <c r="M7394" s="43" t="n">
        <f aca="false">H7394*17.34*(1+'Chart of Accounts'!$E$67)</f>
        <v>86.564748</v>
      </c>
    </row>
    <row r="7395" customFormat="false" ht="15" hidden="false" customHeight="false" outlineLevel="0" collapsed="false">
      <c r="B7395" s="7" t="s">
        <v>7892</v>
      </c>
      <c r="C7395" s="39" t="n">
        <v>45994</v>
      </c>
      <c r="D7395" s="7" t="s">
        <v>315</v>
      </c>
      <c r="E7395" s="7" t="s">
        <v>159</v>
      </c>
      <c r="F7395" s="7" t="s">
        <v>216</v>
      </c>
      <c r="G7395" s="7" t="s">
        <v>502</v>
      </c>
      <c r="H7395" s="6" t="n">
        <v>0.91</v>
      </c>
      <c r="I7395" s="6" t="n">
        <v>0</v>
      </c>
      <c r="J7395" s="40" t="n">
        <f aca="false">H7395-I7395</f>
        <v>0.91</v>
      </c>
      <c r="K7395" s="41" t="n">
        <v>135</v>
      </c>
      <c r="L7395" s="42" t="n">
        <f aca="false">J7395*K7395</f>
        <v>122.85</v>
      </c>
      <c r="M7395" s="43" t="n">
        <f aca="false">H7395*61.79*(1+'Chart of Accounts'!$E$67)</f>
        <v>64.3820905</v>
      </c>
    </row>
    <row r="7396" customFormat="false" ht="15" hidden="false" customHeight="false" outlineLevel="0" collapsed="false">
      <c r="B7396" s="7" t="s">
        <v>7893</v>
      </c>
      <c r="C7396" s="39" t="n">
        <v>45994</v>
      </c>
      <c r="D7396" s="7" t="s">
        <v>329</v>
      </c>
      <c r="E7396" s="7" t="s">
        <v>156</v>
      </c>
      <c r="F7396" s="7" t="s">
        <v>220</v>
      </c>
      <c r="G7396" s="7" t="s">
        <v>505</v>
      </c>
      <c r="H7396" s="6" t="n">
        <v>3.63</v>
      </c>
      <c r="I7396" s="6" t="n">
        <v>0</v>
      </c>
      <c r="J7396" s="40" t="n">
        <f aca="false">H7396-I7396</f>
        <v>3.63</v>
      </c>
      <c r="K7396" s="41" t="n">
        <v>34</v>
      </c>
      <c r="L7396" s="42" t="n">
        <f aca="false">J7396*K7396</f>
        <v>123.42</v>
      </c>
      <c r="M7396" s="43" t="n">
        <f aca="false">H7396*16.43*(1+'Chart of Accounts'!$E$67)</f>
        <v>68.2888305</v>
      </c>
    </row>
    <row r="7397" customFormat="false" ht="15" hidden="false" customHeight="false" outlineLevel="0" collapsed="false">
      <c r="B7397" s="7" t="s">
        <v>7894</v>
      </c>
      <c r="C7397" s="39" t="n">
        <v>45994</v>
      </c>
      <c r="D7397" s="7" t="s">
        <v>333</v>
      </c>
      <c r="E7397" s="7" t="s">
        <v>154</v>
      </c>
      <c r="F7397" s="7" t="s">
        <v>236</v>
      </c>
      <c r="G7397" s="7" t="s">
        <v>505</v>
      </c>
      <c r="H7397" s="6" t="n">
        <v>3.48</v>
      </c>
      <c r="I7397" s="6" t="n">
        <v>0</v>
      </c>
      <c r="J7397" s="40" t="n">
        <f aca="false">H7397-I7397</f>
        <v>3.48</v>
      </c>
      <c r="K7397" s="41" t="n">
        <v>26.5</v>
      </c>
      <c r="L7397" s="42" t="n">
        <f aca="false">J7397*K7397</f>
        <v>92.22</v>
      </c>
      <c r="M7397" s="43" t="n">
        <f aca="false">H7397*15.49*(1+'Chart of Accounts'!$E$67)</f>
        <v>61.721454</v>
      </c>
    </row>
    <row r="7398" customFormat="false" ht="15" hidden="false" customHeight="false" outlineLevel="0" collapsed="false">
      <c r="B7398" s="7" t="s">
        <v>7895</v>
      </c>
      <c r="C7398" s="39" t="n">
        <v>45994</v>
      </c>
      <c r="D7398" s="7" t="s">
        <v>335</v>
      </c>
      <c r="E7398" s="7" t="s">
        <v>154</v>
      </c>
      <c r="F7398" s="7" t="s">
        <v>177</v>
      </c>
      <c r="G7398" s="7" t="s">
        <v>505</v>
      </c>
      <c r="H7398" s="6" t="n">
        <v>4.33</v>
      </c>
      <c r="I7398" s="6" t="n">
        <v>0</v>
      </c>
      <c r="J7398" s="40" t="n">
        <f aca="false">H7398-I7398</f>
        <v>4.33</v>
      </c>
      <c r="K7398" s="41" t="n">
        <v>26.5</v>
      </c>
      <c r="L7398" s="42" t="n">
        <f aca="false">J7398*K7398</f>
        <v>114.745</v>
      </c>
      <c r="M7398" s="43" t="n">
        <f aca="false">H7398*14.56*(1+'Chart of Accounts'!$E$67)</f>
        <v>72.186296</v>
      </c>
    </row>
    <row r="7399" customFormat="false" ht="15" hidden="false" customHeight="false" outlineLevel="0" collapsed="false">
      <c r="B7399" s="7" t="s">
        <v>7896</v>
      </c>
      <c r="C7399" s="39" t="n">
        <v>45994</v>
      </c>
      <c r="D7399" s="7" t="s">
        <v>339</v>
      </c>
      <c r="E7399" s="7" t="s">
        <v>154</v>
      </c>
      <c r="F7399" s="7" t="s">
        <v>242</v>
      </c>
      <c r="G7399" s="7" t="s">
        <v>505</v>
      </c>
      <c r="H7399" s="6" t="n">
        <v>3.61</v>
      </c>
      <c r="I7399" s="6" t="n">
        <v>0</v>
      </c>
      <c r="J7399" s="40" t="n">
        <f aca="false">H7399-I7399</f>
        <v>3.61</v>
      </c>
      <c r="K7399" s="41" t="n">
        <v>26.5</v>
      </c>
      <c r="L7399" s="42" t="n">
        <f aca="false">J7399*K7399</f>
        <v>95.665</v>
      </c>
      <c r="M7399" s="43" t="n">
        <f aca="false">H7399*17.99*(1+'Chart of Accounts'!$E$67)</f>
        <v>74.3607655</v>
      </c>
    </row>
    <row r="7400" customFormat="false" ht="15" hidden="false" customHeight="false" outlineLevel="0" collapsed="false">
      <c r="B7400" s="7" t="s">
        <v>7897</v>
      </c>
      <c r="C7400" s="39" t="n">
        <v>45994</v>
      </c>
      <c r="D7400" s="7" t="s">
        <v>349</v>
      </c>
      <c r="E7400" s="7" t="s">
        <v>154</v>
      </c>
      <c r="F7400" s="7" t="s">
        <v>244</v>
      </c>
      <c r="G7400" s="7" t="s">
        <v>505</v>
      </c>
      <c r="H7400" s="6" t="n">
        <v>4.01</v>
      </c>
      <c r="I7400" s="6" t="n">
        <v>0</v>
      </c>
      <c r="J7400" s="40" t="n">
        <f aca="false">H7400-I7400</f>
        <v>4.01</v>
      </c>
      <c r="K7400" s="41" t="n">
        <v>26.5</v>
      </c>
      <c r="L7400" s="42" t="n">
        <f aca="false">J7400*K7400</f>
        <v>106.265</v>
      </c>
      <c r="M7400" s="43" t="n">
        <f aca="false">H7400*16.39*(1+'Chart of Accounts'!$E$67)</f>
        <v>75.2538655</v>
      </c>
    </row>
    <row r="7401" customFormat="false" ht="15" hidden="false" customHeight="false" outlineLevel="0" collapsed="false">
      <c r="B7401" s="7" t="s">
        <v>7898</v>
      </c>
      <c r="C7401" s="39" t="n">
        <v>45994</v>
      </c>
      <c r="D7401" s="7" t="s">
        <v>353</v>
      </c>
      <c r="E7401" s="7" t="s">
        <v>154</v>
      </c>
      <c r="F7401" s="7" t="s">
        <v>254</v>
      </c>
      <c r="G7401" s="7" t="s">
        <v>505</v>
      </c>
      <c r="H7401" s="6" t="n">
        <v>3.6</v>
      </c>
      <c r="I7401" s="6" t="n">
        <v>0.108</v>
      </c>
      <c r="J7401" s="40" t="n">
        <f aca="false">H7401-I7401</f>
        <v>3.492</v>
      </c>
      <c r="K7401" s="41" t="n">
        <v>26.5</v>
      </c>
      <c r="L7401" s="42" t="n">
        <f aca="false">J7401*K7401</f>
        <v>92.538</v>
      </c>
      <c r="M7401" s="43" t="n">
        <f aca="false">H7401*17.1*(1+'Chart of Accounts'!$E$67)</f>
        <v>70.4862</v>
      </c>
    </row>
    <row r="7402" customFormat="false" ht="15" hidden="false" customHeight="false" outlineLevel="0" collapsed="false">
      <c r="B7402" s="7" t="s">
        <v>7899</v>
      </c>
      <c r="C7402" s="39" t="n">
        <v>45994</v>
      </c>
      <c r="D7402" s="7" t="s">
        <v>355</v>
      </c>
      <c r="E7402" s="7" t="s">
        <v>154</v>
      </c>
      <c r="F7402" s="7" t="s">
        <v>201</v>
      </c>
      <c r="G7402" s="7" t="s">
        <v>505</v>
      </c>
      <c r="H7402" s="6" t="n">
        <v>3.38</v>
      </c>
      <c r="I7402" s="6" t="n">
        <v>0.101</v>
      </c>
      <c r="J7402" s="40" t="n">
        <f aca="false">H7402-I7402</f>
        <v>3.279</v>
      </c>
      <c r="K7402" s="41" t="n">
        <v>26.5</v>
      </c>
      <c r="L7402" s="42" t="n">
        <f aca="false">J7402*K7402</f>
        <v>86.8935</v>
      </c>
      <c r="M7402" s="43" t="n">
        <f aca="false">H7402*15.19*(1+'Chart of Accounts'!$E$67)</f>
        <v>58.786819</v>
      </c>
    </row>
    <row r="7403" customFormat="false" ht="15" hidden="false" customHeight="false" outlineLevel="0" collapsed="false">
      <c r="B7403" s="7" t="s">
        <v>7900</v>
      </c>
      <c r="C7403" s="39" t="n">
        <v>45994</v>
      </c>
      <c r="D7403" s="7" t="s">
        <v>357</v>
      </c>
      <c r="E7403" s="7" t="s">
        <v>154</v>
      </c>
      <c r="F7403" s="7" t="s">
        <v>244</v>
      </c>
      <c r="G7403" s="7" t="s">
        <v>505</v>
      </c>
      <c r="H7403" s="6" t="n">
        <v>3.17</v>
      </c>
      <c r="I7403" s="6" t="n">
        <v>0</v>
      </c>
      <c r="J7403" s="40" t="n">
        <f aca="false">H7403-I7403</f>
        <v>3.17</v>
      </c>
      <c r="K7403" s="41" t="n">
        <v>26.5</v>
      </c>
      <c r="L7403" s="42" t="n">
        <f aca="false">J7403*K7403</f>
        <v>84.005</v>
      </c>
      <c r="M7403" s="43" t="n">
        <f aca="false">H7403*16.39*(1+'Chart of Accounts'!$E$67)</f>
        <v>59.4899635</v>
      </c>
    </row>
    <row r="7404" customFormat="false" ht="15" hidden="false" customHeight="false" outlineLevel="0" collapsed="false">
      <c r="B7404" s="7" t="s">
        <v>7901</v>
      </c>
      <c r="C7404" s="39" t="n">
        <v>45994</v>
      </c>
      <c r="D7404" s="7" t="s">
        <v>359</v>
      </c>
      <c r="E7404" s="7" t="s">
        <v>156</v>
      </c>
      <c r="F7404" s="7" t="s">
        <v>222</v>
      </c>
      <c r="G7404" s="7" t="s">
        <v>505</v>
      </c>
      <c r="H7404" s="6" t="n">
        <v>4.39</v>
      </c>
      <c r="I7404" s="6" t="n">
        <v>0</v>
      </c>
      <c r="J7404" s="40" t="n">
        <f aca="false">H7404-I7404</f>
        <v>4.39</v>
      </c>
      <c r="K7404" s="41" t="n">
        <v>34</v>
      </c>
      <c r="L7404" s="42" t="n">
        <f aca="false">J7404*K7404</f>
        <v>149.26</v>
      </c>
      <c r="M7404" s="43" t="n">
        <f aca="false">H7404*17.84*(1+'Chart of Accounts'!$E$67)</f>
        <v>89.673652</v>
      </c>
    </row>
    <row r="7405" customFormat="false" ht="15" hidden="false" customHeight="false" outlineLevel="0" collapsed="false">
      <c r="B7405" s="7" t="s">
        <v>7902</v>
      </c>
      <c r="C7405" s="39" t="n">
        <v>45994</v>
      </c>
      <c r="D7405" s="7" t="s">
        <v>365</v>
      </c>
      <c r="E7405" s="7" t="s">
        <v>154</v>
      </c>
      <c r="F7405" s="7" t="s">
        <v>194</v>
      </c>
      <c r="G7405" s="7" t="s">
        <v>505</v>
      </c>
      <c r="H7405" s="6" t="n">
        <v>3.79</v>
      </c>
      <c r="I7405" s="6" t="n">
        <v>0</v>
      </c>
      <c r="J7405" s="40" t="n">
        <f aca="false">H7405-I7405</f>
        <v>3.79</v>
      </c>
      <c r="K7405" s="41" t="n">
        <v>26.5</v>
      </c>
      <c r="L7405" s="42" t="n">
        <f aca="false">J7405*K7405</f>
        <v>100.435</v>
      </c>
      <c r="M7405" s="43" t="n">
        <f aca="false">H7405*16*(1+'Chart of Accounts'!$E$67)</f>
        <v>69.4328</v>
      </c>
    </row>
    <row r="7406" customFormat="false" ht="15" hidden="false" customHeight="false" outlineLevel="0" collapsed="false">
      <c r="B7406" s="7" t="s">
        <v>7903</v>
      </c>
      <c r="C7406" s="39" t="n">
        <v>45994</v>
      </c>
      <c r="D7406" s="7" t="s">
        <v>371</v>
      </c>
      <c r="E7406" s="7" t="s">
        <v>154</v>
      </c>
      <c r="F7406" s="7" t="s">
        <v>232</v>
      </c>
      <c r="G7406" s="7" t="s">
        <v>505</v>
      </c>
      <c r="H7406" s="6" t="n">
        <v>4.29</v>
      </c>
      <c r="I7406" s="6" t="n">
        <v>0</v>
      </c>
      <c r="J7406" s="40" t="n">
        <f aca="false">H7406-I7406</f>
        <v>4.29</v>
      </c>
      <c r="K7406" s="41" t="n">
        <v>26.5</v>
      </c>
      <c r="L7406" s="42" t="n">
        <f aca="false">J7406*K7406</f>
        <v>113.685</v>
      </c>
      <c r="M7406" s="43" t="n">
        <f aca="false">H7406*16.17*(1+'Chart of Accounts'!$E$67)</f>
        <v>79.4278485</v>
      </c>
    </row>
    <row r="7407" customFormat="false" ht="15" hidden="false" customHeight="false" outlineLevel="0" collapsed="false">
      <c r="B7407" s="7" t="s">
        <v>7904</v>
      </c>
      <c r="C7407" s="39" t="n">
        <v>45994</v>
      </c>
      <c r="D7407" s="7" t="s">
        <v>379</v>
      </c>
      <c r="E7407" s="7" t="s">
        <v>156</v>
      </c>
      <c r="F7407" s="7" t="s">
        <v>224</v>
      </c>
      <c r="G7407" s="7" t="s">
        <v>505</v>
      </c>
      <c r="H7407" s="6" t="n">
        <v>4.33</v>
      </c>
      <c r="I7407" s="6" t="n">
        <v>0</v>
      </c>
      <c r="J7407" s="40" t="n">
        <f aca="false">H7407-I7407</f>
        <v>4.33</v>
      </c>
      <c r="K7407" s="41" t="n">
        <v>34</v>
      </c>
      <c r="L7407" s="42" t="n">
        <f aca="false">J7407*K7407</f>
        <v>147.22</v>
      </c>
      <c r="M7407" s="43" t="n">
        <f aca="false">H7407*14.93*(1+'Chart of Accounts'!$E$67)</f>
        <v>74.0207005</v>
      </c>
    </row>
    <row r="7408" customFormat="false" ht="15" hidden="false" customHeight="false" outlineLevel="0" collapsed="false">
      <c r="B7408" s="7" t="s">
        <v>7905</v>
      </c>
      <c r="C7408" s="39" t="n">
        <v>45994</v>
      </c>
      <c r="D7408" s="7" t="s">
        <v>385</v>
      </c>
      <c r="E7408" s="7" t="s">
        <v>156</v>
      </c>
      <c r="F7408" s="7" t="s">
        <v>238</v>
      </c>
      <c r="G7408" s="7" t="s">
        <v>505</v>
      </c>
      <c r="H7408" s="6" t="n">
        <v>3.72</v>
      </c>
      <c r="I7408" s="6" t="n">
        <v>0</v>
      </c>
      <c r="J7408" s="40" t="n">
        <f aca="false">H7408-I7408</f>
        <v>3.72</v>
      </c>
      <c r="K7408" s="41" t="n">
        <v>34</v>
      </c>
      <c r="L7408" s="42" t="n">
        <f aca="false">J7408*K7408</f>
        <v>126.48</v>
      </c>
      <c r="M7408" s="43" t="n">
        <f aca="false">H7408*15.85*(1+'Chart of Accounts'!$E$67)</f>
        <v>67.51149</v>
      </c>
    </row>
    <row r="7409" customFormat="false" ht="15" hidden="false" customHeight="false" outlineLevel="0" collapsed="false">
      <c r="B7409" s="7" t="s">
        <v>7906</v>
      </c>
      <c r="C7409" s="39" t="n">
        <v>45994</v>
      </c>
      <c r="D7409" s="7" t="s">
        <v>387</v>
      </c>
      <c r="E7409" s="7" t="s">
        <v>154</v>
      </c>
      <c r="F7409" s="7" t="s">
        <v>196</v>
      </c>
      <c r="G7409" s="7" t="s">
        <v>505</v>
      </c>
      <c r="H7409" s="6" t="n">
        <v>4.03</v>
      </c>
      <c r="I7409" s="6" t="n">
        <v>0</v>
      </c>
      <c r="J7409" s="40" t="n">
        <f aca="false">H7409-I7409</f>
        <v>4.03</v>
      </c>
      <c r="K7409" s="41" t="n">
        <v>26.5</v>
      </c>
      <c r="L7409" s="42" t="n">
        <f aca="false">J7409*K7409</f>
        <v>106.795</v>
      </c>
      <c r="M7409" s="43" t="n">
        <f aca="false">H7409*15.05*(1+'Chart of Accounts'!$E$67)</f>
        <v>69.4459675</v>
      </c>
    </row>
    <row r="7410" customFormat="false" ht="15" hidden="false" customHeight="false" outlineLevel="0" collapsed="false">
      <c r="B7410" s="7" t="s">
        <v>7907</v>
      </c>
      <c r="C7410" s="39" t="n">
        <v>45994</v>
      </c>
      <c r="D7410" s="7" t="s">
        <v>389</v>
      </c>
      <c r="E7410" s="7" t="s">
        <v>154</v>
      </c>
      <c r="F7410" s="7" t="s">
        <v>246</v>
      </c>
      <c r="G7410" s="7" t="s">
        <v>505</v>
      </c>
      <c r="H7410" s="6" t="n">
        <v>4.32</v>
      </c>
      <c r="I7410" s="6" t="n">
        <v>0</v>
      </c>
      <c r="J7410" s="40" t="n">
        <f aca="false">H7410-I7410</f>
        <v>4.32</v>
      </c>
      <c r="K7410" s="41" t="n">
        <v>26.5</v>
      </c>
      <c r="L7410" s="42" t="n">
        <f aca="false">J7410*K7410</f>
        <v>114.48</v>
      </c>
      <c r="M7410" s="43" t="n">
        <f aca="false">H7410*16.48*(1+'Chart of Accounts'!$E$67)</f>
        <v>81.516672</v>
      </c>
    </row>
    <row r="7411" customFormat="false" ht="15" hidden="false" customHeight="false" outlineLevel="0" collapsed="false">
      <c r="B7411" s="7" t="s">
        <v>7908</v>
      </c>
      <c r="C7411" s="39" t="n">
        <v>45994</v>
      </c>
      <c r="D7411" s="7" t="s">
        <v>393</v>
      </c>
      <c r="E7411" s="7" t="s">
        <v>157</v>
      </c>
      <c r="F7411" s="7" t="s">
        <v>203</v>
      </c>
      <c r="G7411" s="7" t="s">
        <v>502</v>
      </c>
      <c r="H7411" s="6" t="n">
        <v>1.04</v>
      </c>
      <c r="I7411" s="6" t="n">
        <v>0</v>
      </c>
      <c r="J7411" s="40" t="n">
        <f aca="false">H7411-I7411</f>
        <v>1.04</v>
      </c>
      <c r="K7411" s="41" t="n">
        <v>165</v>
      </c>
      <c r="L7411" s="42" t="n">
        <f aca="false">J7411*K7411</f>
        <v>171.6</v>
      </c>
      <c r="M7411" s="43" t="n">
        <f aca="false">H7411*49.43*(1+'Chart of Accounts'!$E$67)</f>
        <v>58.861244</v>
      </c>
    </row>
    <row r="7412" customFormat="false" ht="15" hidden="false" customHeight="false" outlineLevel="0" collapsed="false">
      <c r="B7412" s="7" t="s">
        <v>7909</v>
      </c>
      <c r="C7412" s="39" t="n">
        <v>45994</v>
      </c>
      <c r="D7412" s="7" t="s">
        <v>395</v>
      </c>
      <c r="E7412" s="7" t="s">
        <v>156</v>
      </c>
      <c r="F7412" s="7" t="s">
        <v>242</v>
      </c>
      <c r="G7412" s="7" t="s">
        <v>505</v>
      </c>
      <c r="H7412" s="6" t="n">
        <v>3.62</v>
      </c>
      <c r="I7412" s="6" t="n">
        <v>0</v>
      </c>
      <c r="J7412" s="40" t="n">
        <f aca="false">H7412-I7412</f>
        <v>3.62</v>
      </c>
      <c r="K7412" s="41" t="n">
        <v>34</v>
      </c>
      <c r="L7412" s="42" t="n">
        <f aca="false">J7412*K7412</f>
        <v>123.08</v>
      </c>
      <c r="M7412" s="43" t="n">
        <f aca="false">H7412*17.99*(1+'Chart of Accounts'!$E$67)</f>
        <v>74.566751</v>
      </c>
    </row>
    <row r="7413" customFormat="false" ht="15" hidden="false" customHeight="false" outlineLevel="0" collapsed="false">
      <c r="B7413" s="7" t="s">
        <v>7910</v>
      </c>
      <c r="C7413" s="39" t="n">
        <v>45994</v>
      </c>
      <c r="D7413" s="7" t="s">
        <v>399</v>
      </c>
      <c r="E7413" s="7" t="s">
        <v>154</v>
      </c>
      <c r="F7413" s="7" t="s">
        <v>177</v>
      </c>
      <c r="G7413" s="7" t="s">
        <v>505</v>
      </c>
      <c r="H7413" s="6" t="n">
        <v>3.2</v>
      </c>
      <c r="I7413" s="6" t="n">
        <v>0</v>
      </c>
      <c r="J7413" s="40" t="n">
        <f aca="false">H7413-I7413</f>
        <v>3.2</v>
      </c>
      <c r="K7413" s="41" t="n">
        <v>26.5</v>
      </c>
      <c r="L7413" s="42" t="n">
        <f aca="false">J7413*K7413</f>
        <v>84.8</v>
      </c>
      <c r="M7413" s="43" t="n">
        <f aca="false">H7413*14.56*(1+'Chart of Accounts'!$E$67)</f>
        <v>53.34784</v>
      </c>
    </row>
    <row r="7414" customFormat="false" ht="15" hidden="false" customHeight="false" outlineLevel="0" collapsed="false">
      <c r="B7414" s="7" t="s">
        <v>7911</v>
      </c>
      <c r="C7414" s="39" t="n">
        <v>45994</v>
      </c>
      <c r="D7414" s="7" t="s">
        <v>401</v>
      </c>
      <c r="E7414" s="7" t="s">
        <v>156</v>
      </c>
      <c r="F7414" s="7" t="s">
        <v>254</v>
      </c>
      <c r="G7414" s="7" t="s">
        <v>505</v>
      </c>
      <c r="H7414" s="6" t="n">
        <v>4.07</v>
      </c>
      <c r="I7414" s="6" t="n">
        <v>0</v>
      </c>
      <c r="J7414" s="40" t="n">
        <f aca="false">H7414-I7414</f>
        <v>4.07</v>
      </c>
      <c r="K7414" s="41" t="n">
        <v>34</v>
      </c>
      <c r="L7414" s="42" t="n">
        <f aca="false">J7414*K7414</f>
        <v>138.38</v>
      </c>
      <c r="M7414" s="43" t="n">
        <f aca="false">H7414*17.1*(1+'Chart of Accounts'!$E$67)</f>
        <v>79.688565</v>
      </c>
    </row>
    <row r="7415" customFormat="false" ht="15" hidden="false" customHeight="false" outlineLevel="0" collapsed="false">
      <c r="B7415" s="7" t="s">
        <v>7912</v>
      </c>
      <c r="C7415" s="39" t="n">
        <v>45994</v>
      </c>
      <c r="D7415" s="7" t="s">
        <v>403</v>
      </c>
      <c r="E7415" s="7" t="s">
        <v>156</v>
      </c>
      <c r="F7415" s="7" t="s">
        <v>184</v>
      </c>
      <c r="G7415" s="7" t="s">
        <v>505</v>
      </c>
      <c r="H7415" s="6" t="n">
        <v>3.77</v>
      </c>
      <c r="I7415" s="6" t="n">
        <v>0</v>
      </c>
      <c r="J7415" s="40" t="n">
        <f aca="false">H7415-I7415</f>
        <v>3.77</v>
      </c>
      <c r="K7415" s="41" t="n">
        <v>34</v>
      </c>
      <c r="L7415" s="42" t="n">
        <f aca="false">J7415*K7415</f>
        <v>128.18</v>
      </c>
      <c r="M7415" s="43" t="n">
        <f aca="false">H7415*17.34*(1+'Chart of Accounts'!$E$67)</f>
        <v>74.850711</v>
      </c>
    </row>
    <row r="7416" customFormat="false" ht="15" hidden="false" customHeight="false" outlineLevel="0" collapsed="false">
      <c r="B7416" s="7" t="s">
        <v>7913</v>
      </c>
      <c r="C7416" s="39" t="n">
        <v>45994</v>
      </c>
      <c r="D7416" s="7" t="s">
        <v>409</v>
      </c>
      <c r="E7416" s="7" t="s">
        <v>154</v>
      </c>
      <c r="F7416" s="7" t="s">
        <v>214</v>
      </c>
      <c r="G7416" s="7" t="s">
        <v>505</v>
      </c>
      <c r="H7416" s="6" t="n">
        <v>3.27</v>
      </c>
      <c r="I7416" s="6" t="n">
        <v>0</v>
      </c>
      <c r="J7416" s="40" t="n">
        <f aca="false">H7416-I7416</f>
        <v>3.27</v>
      </c>
      <c r="K7416" s="41" t="n">
        <v>26.5</v>
      </c>
      <c r="L7416" s="42" t="n">
        <f aca="false">J7416*K7416</f>
        <v>86.655</v>
      </c>
      <c r="M7416" s="43" t="n">
        <f aca="false">H7416*15.67*(1+'Chart of Accounts'!$E$67)</f>
        <v>58.6708305</v>
      </c>
    </row>
    <row r="7417" customFormat="false" ht="15" hidden="false" customHeight="false" outlineLevel="0" collapsed="false">
      <c r="B7417" s="7" t="s">
        <v>7914</v>
      </c>
      <c r="C7417" s="39" t="n">
        <v>45994</v>
      </c>
      <c r="D7417" s="7" t="s">
        <v>411</v>
      </c>
      <c r="E7417" s="7" t="s">
        <v>154</v>
      </c>
      <c r="F7417" s="7" t="s">
        <v>177</v>
      </c>
      <c r="G7417" s="7" t="s">
        <v>505</v>
      </c>
      <c r="H7417" s="6" t="n">
        <v>5.02</v>
      </c>
      <c r="I7417" s="6" t="n">
        <v>0</v>
      </c>
      <c r="J7417" s="40" t="n">
        <f aca="false">H7417-I7417</f>
        <v>5.02</v>
      </c>
      <c r="K7417" s="41" t="n">
        <v>26.5</v>
      </c>
      <c r="L7417" s="42" t="n">
        <f aca="false">J7417*K7417</f>
        <v>133.03</v>
      </c>
      <c r="M7417" s="43" t="n">
        <f aca="false">H7417*14.56*(1+'Chart of Accounts'!$E$67)</f>
        <v>83.689424</v>
      </c>
    </row>
    <row r="7418" customFormat="false" ht="15" hidden="false" customHeight="false" outlineLevel="0" collapsed="false">
      <c r="B7418" s="7" t="s">
        <v>7915</v>
      </c>
      <c r="C7418" s="39" t="n">
        <v>45995</v>
      </c>
      <c r="D7418" s="7" t="s">
        <v>288</v>
      </c>
      <c r="E7418" s="7" t="s">
        <v>156</v>
      </c>
      <c r="F7418" s="7" t="s">
        <v>256</v>
      </c>
      <c r="G7418" s="7" t="s">
        <v>505</v>
      </c>
      <c r="H7418" s="6" t="n">
        <v>3.79</v>
      </c>
      <c r="I7418" s="6" t="n">
        <v>0</v>
      </c>
      <c r="J7418" s="40" t="n">
        <f aca="false">H7418-I7418</f>
        <v>3.79</v>
      </c>
      <c r="K7418" s="41" t="n">
        <v>34</v>
      </c>
      <c r="L7418" s="42" t="n">
        <f aca="false">J7418*K7418</f>
        <v>128.86</v>
      </c>
      <c r="M7418" s="43" t="n">
        <f aca="false">H7418*15.63*(1+'Chart of Accounts'!$E$67)</f>
        <v>67.8271665</v>
      </c>
    </row>
    <row r="7419" customFormat="false" ht="15" hidden="false" customHeight="false" outlineLevel="0" collapsed="false">
      <c r="B7419" s="7" t="s">
        <v>7916</v>
      </c>
      <c r="C7419" s="39" t="n">
        <v>45995</v>
      </c>
      <c r="D7419" s="7" t="s">
        <v>297</v>
      </c>
      <c r="E7419" s="7" t="s">
        <v>156</v>
      </c>
      <c r="F7419" s="7" t="s">
        <v>201</v>
      </c>
      <c r="G7419" s="7" t="s">
        <v>505</v>
      </c>
      <c r="H7419" s="6" t="n">
        <v>2.93</v>
      </c>
      <c r="I7419" s="6" t="n">
        <v>0</v>
      </c>
      <c r="J7419" s="40" t="n">
        <f aca="false">H7419-I7419</f>
        <v>2.93</v>
      </c>
      <c r="K7419" s="41" t="n">
        <v>34</v>
      </c>
      <c r="L7419" s="42" t="n">
        <f aca="false">J7419*K7419</f>
        <v>99.62</v>
      </c>
      <c r="M7419" s="43" t="n">
        <f aca="false">H7419*15.19*(1+'Chart of Accounts'!$E$67)</f>
        <v>50.9601715</v>
      </c>
    </row>
    <row r="7420" customFormat="false" ht="15" hidden="false" customHeight="false" outlineLevel="0" collapsed="false">
      <c r="B7420" s="7" t="s">
        <v>7917</v>
      </c>
      <c r="C7420" s="39" t="n">
        <v>45995</v>
      </c>
      <c r="D7420" s="7" t="s">
        <v>303</v>
      </c>
      <c r="E7420" s="7" t="s">
        <v>154</v>
      </c>
      <c r="F7420" s="7" t="s">
        <v>240</v>
      </c>
      <c r="G7420" s="7" t="s">
        <v>505</v>
      </c>
      <c r="H7420" s="6" t="n">
        <v>3.65</v>
      </c>
      <c r="I7420" s="6" t="n">
        <v>0.11</v>
      </c>
      <c r="J7420" s="40" t="n">
        <f aca="false">H7420-I7420</f>
        <v>3.54</v>
      </c>
      <c r="K7420" s="41" t="n">
        <v>26.5</v>
      </c>
      <c r="L7420" s="42" t="n">
        <f aca="false">J7420*K7420</f>
        <v>93.81</v>
      </c>
      <c r="M7420" s="43" t="n">
        <f aca="false">H7420*16.96*(1+'Chart of Accounts'!$E$67)</f>
        <v>70.88008</v>
      </c>
    </row>
    <row r="7421" customFormat="false" ht="15" hidden="false" customHeight="false" outlineLevel="0" collapsed="false">
      <c r="B7421" s="7" t="s">
        <v>7918</v>
      </c>
      <c r="C7421" s="39" t="n">
        <v>45995</v>
      </c>
      <c r="D7421" s="7" t="s">
        <v>311</v>
      </c>
      <c r="E7421" s="7" t="s">
        <v>154</v>
      </c>
      <c r="F7421" s="7" t="s">
        <v>196</v>
      </c>
      <c r="G7421" s="7" t="s">
        <v>505</v>
      </c>
      <c r="H7421" s="6" t="n">
        <v>3.19</v>
      </c>
      <c r="I7421" s="6" t="n">
        <v>0.096</v>
      </c>
      <c r="J7421" s="40" t="n">
        <f aca="false">H7421-I7421</f>
        <v>3.094</v>
      </c>
      <c r="K7421" s="41" t="n">
        <v>26.5</v>
      </c>
      <c r="L7421" s="42" t="n">
        <f aca="false">J7421*K7421</f>
        <v>81.991</v>
      </c>
      <c r="M7421" s="43" t="n">
        <f aca="false">H7421*15.05*(1+'Chart of Accounts'!$E$67)</f>
        <v>54.9708775</v>
      </c>
    </row>
    <row r="7422" customFormat="false" ht="15" hidden="false" customHeight="false" outlineLevel="0" collapsed="false">
      <c r="B7422" s="7" t="s">
        <v>7919</v>
      </c>
      <c r="C7422" s="39" t="n">
        <v>45995</v>
      </c>
      <c r="D7422" s="7" t="s">
        <v>313</v>
      </c>
      <c r="E7422" s="7" t="s">
        <v>156</v>
      </c>
      <c r="F7422" s="7" t="s">
        <v>184</v>
      </c>
      <c r="G7422" s="7" t="s">
        <v>505</v>
      </c>
      <c r="H7422" s="6" t="n">
        <v>3.95</v>
      </c>
      <c r="I7422" s="6" t="n">
        <v>0</v>
      </c>
      <c r="J7422" s="40" t="n">
        <f aca="false">H7422-I7422</f>
        <v>3.95</v>
      </c>
      <c r="K7422" s="41" t="n">
        <v>34</v>
      </c>
      <c r="L7422" s="42" t="n">
        <f aca="false">J7422*K7422</f>
        <v>134.3</v>
      </c>
      <c r="M7422" s="43" t="n">
        <f aca="false">H7422*17.34*(1+'Chart of Accounts'!$E$67)</f>
        <v>78.424485</v>
      </c>
    </row>
    <row r="7423" customFormat="false" ht="15" hidden="false" customHeight="false" outlineLevel="0" collapsed="false">
      <c r="B7423" s="7" t="s">
        <v>7920</v>
      </c>
      <c r="C7423" s="39" t="n">
        <v>45995</v>
      </c>
      <c r="D7423" s="7" t="s">
        <v>317</v>
      </c>
      <c r="E7423" s="7" t="s">
        <v>156</v>
      </c>
      <c r="F7423" s="7" t="s">
        <v>246</v>
      </c>
      <c r="G7423" s="7" t="s">
        <v>505</v>
      </c>
      <c r="H7423" s="6" t="n">
        <v>3.26</v>
      </c>
      <c r="I7423" s="6" t="n">
        <v>0</v>
      </c>
      <c r="J7423" s="40" t="n">
        <f aca="false">H7423-I7423</f>
        <v>3.26</v>
      </c>
      <c r="K7423" s="41" t="n">
        <v>34</v>
      </c>
      <c r="L7423" s="42" t="n">
        <f aca="false">J7423*K7423</f>
        <v>110.84</v>
      </c>
      <c r="M7423" s="43" t="n">
        <f aca="false">H7423*16.48*(1+'Chart of Accounts'!$E$67)</f>
        <v>61.514896</v>
      </c>
    </row>
    <row r="7424" customFormat="false" ht="15" hidden="false" customHeight="false" outlineLevel="0" collapsed="false">
      <c r="B7424" s="7" t="s">
        <v>7921</v>
      </c>
      <c r="C7424" s="39" t="n">
        <v>45995</v>
      </c>
      <c r="D7424" s="7" t="s">
        <v>321</v>
      </c>
      <c r="E7424" s="7" t="s">
        <v>154</v>
      </c>
      <c r="F7424" s="7" t="s">
        <v>218</v>
      </c>
      <c r="G7424" s="7" t="s">
        <v>505</v>
      </c>
      <c r="H7424" s="6" t="n">
        <v>3.74</v>
      </c>
      <c r="I7424" s="6" t="n">
        <v>0</v>
      </c>
      <c r="J7424" s="40" t="n">
        <f aca="false">H7424-I7424</f>
        <v>3.74</v>
      </c>
      <c r="K7424" s="41" t="n">
        <v>26.5</v>
      </c>
      <c r="L7424" s="42" t="n">
        <f aca="false">J7424*K7424</f>
        <v>99.11</v>
      </c>
      <c r="M7424" s="43" t="n">
        <f aca="false">H7424*16.19*(1+'Chart of Accounts'!$E$67)</f>
        <v>69.330437</v>
      </c>
    </row>
    <row r="7425" customFormat="false" ht="15" hidden="false" customHeight="false" outlineLevel="0" collapsed="false">
      <c r="B7425" s="7" t="s">
        <v>7922</v>
      </c>
      <c r="C7425" s="39" t="n">
        <v>45995</v>
      </c>
      <c r="D7425" s="7" t="s">
        <v>325</v>
      </c>
      <c r="E7425" s="7" t="s">
        <v>154</v>
      </c>
      <c r="F7425" s="7" t="s">
        <v>194</v>
      </c>
      <c r="G7425" s="7" t="s">
        <v>505</v>
      </c>
      <c r="H7425" s="6" t="n">
        <v>2.9</v>
      </c>
      <c r="I7425" s="6" t="n">
        <v>0</v>
      </c>
      <c r="J7425" s="40" t="n">
        <f aca="false">H7425-I7425</f>
        <v>2.9</v>
      </c>
      <c r="K7425" s="41" t="n">
        <v>26.5</v>
      </c>
      <c r="L7425" s="42" t="n">
        <f aca="false">J7425*K7425</f>
        <v>76.85</v>
      </c>
      <c r="M7425" s="43" t="n">
        <f aca="false">H7425*16*(1+'Chart of Accounts'!$E$67)</f>
        <v>53.128</v>
      </c>
    </row>
    <row r="7426" customFormat="false" ht="15" hidden="false" customHeight="false" outlineLevel="0" collapsed="false">
      <c r="B7426" s="7" t="s">
        <v>7923</v>
      </c>
      <c r="C7426" s="39" t="n">
        <v>45995</v>
      </c>
      <c r="D7426" s="7" t="s">
        <v>329</v>
      </c>
      <c r="E7426" s="7" t="s">
        <v>156</v>
      </c>
      <c r="F7426" s="7" t="s">
        <v>220</v>
      </c>
      <c r="G7426" s="7" t="s">
        <v>505</v>
      </c>
      <c r="H7426" s="6" t="n">
        <v>4.3</v>
      </c>
      <c r="I7426" s="6" t="n">
        <v>0</v>
      </c>
      <c r="J7426" s="40" t="n">
        <f aca="false">H7426-I7426</f>
        <v>4.3</v>
      </c>
      <c r="K7426" s="41" t="n">
        <v>34</v>
      </c>
      <c r="L7426" s="42" t="n">
        <f aca="false">J7426*K7426</f>
        <v>146.2</v>
      </c>
      <c r="M7426" s="43" t="n">
        <f aca="false">H7426*16.43*(1+'Chart of Accounts'!$E$67)</f>
        <v>80.893105</v>
      </c>
    </row>
    <row r="7427" customFormat="false" ht="15" hidden="false" customHeight="false" outlineLevel="0" collapsed="false">
      <c r="B7427" s="7" t="s">
        <v>7924</v>
      </c>
      <c r="C7427" s="39" t="n">
        <v>45995</v>
      </c>
      <c r="D7427" s="7" t="s">
        <v>341</v>
      </c>
      <c r="E7427" s="7" t="s">
        <v>156</v>
      </c>
      <c r="F7427" s="7" t="s">
        <v>222</v>
      </c>
      <c r="G7427" s="7" t="s">
        <v>505</v>
      </c>
      <c r="H7427" s="6" t="n">
        <v>3.11</v>
      </c>
      <c r="I7427" s="6" t="n">
        <v>0</v>
      </c>
      <c r="J7427" s="40" t="n">
        <f aca="false">H7427-I7427</f>
        <v>3.11</v>
      </c>
      <c r="K7427" s="41" t="n">
        <v>34</v>
      </c>
      <c r="L7427" s="42" t="n">
        <f aca="false">J7427*K7427</f>
        <v>105.74</v>
      </c>
      <c r="M7427" s="43" t="n">
        <f aca="false">H7427*17.84*(1+'Chart of Accounts'!$E$67)</f>
        <v>63.527348</v>
      </c>
    </row>
    <row r="7428" customFormat="false" ht="15" hidden="false" customHeight="false" outlineLevel="0" collapsed="false">
      <c r="B7428" s="7" t="s">
        <v>7925</v>
      </c>
      <c r="C7428" s="39" t="n">
        <v>45995</v>
      </c>
      <c r="D7428" s="7" t="s">
        <v>343</v>
      </c>
      <c r="E7428" s="7" t="s">
        <v>154</v>
      </c>
      <c r="F7428" s="7" t="s">
        <v>256</v>
      </c>
      <c r="G7428" s="7" t="s">
        <v>505</v>
      </c>
      <c r="H7428" s="6" t="n">
        <v>4.34</v>
      </c>
      <c r="I7428" s="6" t="n">
        <v>0</v>
      </c>
      <c r="J7428" s="40" t="n">
        <f aca="false">H7428-I7428</f>
        <v>4.34</v>
      </c>
      <c r="K7428" s="41" t="n">
        <v>26.5</v>
      </c>
      <c r="L7428" s="42" t="n">
        <f aca="false">J7428*K7428</f>
        <v>115.01</v>
      </c>
      <c r="M7428" s="43" t="n">
        <f aca="false">H7428*15.63*(1+'Chart of Accounts'!$E$67)</f>
        <v>77.670159</v>
      </c>
    </row>
    <row r="7429" customFormat="false" ht="15" hidden="false" customHeight="false" outlineLevel="0" collapsed="false">
      <c r="B7429" s="7" t="s">
        <v>7926</v>
      </c>
      <c r="C7429" s="39" t="n">
        <v>45995</v>
      </c>
      <c r="D7429" s="7" t="s">
        <v>349</v>
      </c>
      <c r="E7429" s="7" t="s">
        <v>154</v>
      </c>
      <c r="F7429" s="7" t="s">
        <v>244</v>
      </c>
      <c r="G7429" s="7" t="s">
        <v>505</v>
      </c>
      <c r="H7429" s="6" t="n">
        <v>3.94</v>
      </c>
      <c r="I7429" s="6" t="n">
        <v>0</v>
      </c>
      <c r="J7429" s="40" t="n">
        <f aca="false">H7429-I7429</f>
        <v>3.94</v>
      </c>
      <c r="K7429" s="41" t="n">
        <v>26.5</v>
      </c>
      <c r="L7429" s="42" t="n">
        <f aca="false">J7429*K7429</f>
        <v>104.41</v>
      </c>
      <c r="M7429" s="43" t="n">
        <f aca="false">H7429*16.39*(1+'Chart of Accounts'!$E$67)</f>
        <v>73.940207</v>
      </c>
    </row>
    <row r="7430" customFormat="false" ht="15" hidden="false" customHeight="false" outlineLevel="0" collapsed="false">
      <c r="B7430" s="7" t="s">
        <v>7927</v>
      </c>
      <c r="C7430" s="39" t="n">
        <v>45995</v>
      </c>
      <c r="D7430" s="7" t="s">
        <v>351</v>
      </c>
      <c r="E7430" s="7" t="s">
        <v>154</v>
      </c>
      <c r="F7430" s="7" t="s">
        <v>201</v>
      </c>
      <c r="G7430" s="7" t="s">
        <v>505</v>
      </c>
      <c r="H7430" s="6" t="n">
        <v>2.8</v>
      </c>
      <c r="I7430" s="6" t="n">
        <v>0.084</v>
      </c>
      <c r="J7430" s="40" t="n">
        <f aca="false">H7430-I7430</f>
        <v>2.716</v>
      </c>
      <c r="K7430" s="41" t="n">
        <v>26.5</v>
      </c>
      <c r="L7430" s="42" t="n">
        <f aca="false">J7430*K7430</f>
        <v>71.974</v>
      </c>
      <c r="M7430" s="43" t="n">
        <f aca="false">H7430*15.19*(1+'Chart of Accounts'!$E$67)</f>
        <v>48.69914</v>
      </c>
    </row>
    <row r="7431" customFormat="false" ht="15" hidden="false" customHeight="false" outlineLevel="0" collapsed="false">
      <c r="B7431" s="7" t="s">
        <v>7928</v>
      </c>
      <c r="C7431" s="39" t="n">
        <v>45995</v>
      </c>
      <c r="D7431" s="7" t="s">
        <v>359</v>
      </c>
      <c r="E7431" s="7" t="s">
        <v>156</v>
      </c>
      <c r="F7431" s="7" t="s">
        <v>201</v>
      </c>
      <c r="G7431" s="7" t="s">
        <v>505</v>
      </c>
      <c r="H7431" s="6" t="n">
        <v>4.23</v>
      </c>
      <c r="I7431" s="6" t="n">
        <v>0</v>
      </c>
      <c r="J7431" s="40" t="n">
        <f aca="false">H7431-I7431</f>
        <v>4.23</v>
      </c>
      <c r="K7431" s="41" t="n">
        <v>34</v>
      </c>
      <c r="L7431" s="42" t="n">
        <f aca="false">J7431*K7431</f>
        <v>143.82</v>
      </c>
      <c r="M7431" s="43" t="n">
        <f aca="false">H7431*15.19*(1+'Chart of Accounts'!$E$67)</f>
        <v>73.5704865</v>
      </c>
    </row>
    <row r="7432" customFormat="false" ht="15" hidden="false" customHeight="false" outlineLevel="0" collapsed="false">
      <c r="B7432" s="7" t="s">
        <v>7929</v>
      </c>
      <c r="C7432" s="39" t="n">
        <v>45995</v>
      </c>
      <c r="D7432" s="7" t="s">
        <v>363</v>
      </c>
      <c r="E7432" s="7" t="s">
        <v>156</v>
      </c>
      <c r="F7432" s="7" t="s">
        <v>246</v>
      </c>
      <c r="G7432" s="7" t="s">
        <v>505</v>
      </c>
      <c r="H7432" s="6" t="n">
        <v>3.94</v>
      </c>
      <c r="I7432" s="6" t="n">
        <v>0</v>
      </c>
      <c r="J7432" s="40" t="n">
        <f aca="false">H7432-I7432</f>
        <v>3.94</v>
      </c>
      <c r="K7432" s="41" t="n">
        <v>34</v>
      </c>
      <c r="L7432" s="42" t="n">
        <f aca="false">J7432*K7432</f>
        <v>133.96</v>
      </c>
      <c r="M7432" s="43" t="n">
        <f aca="false">H7432*16.48*(1+'Chart of Accounts'!$E$67)</f>
        <v>74.346224</v>
      </c>
    </row>
    <row r="7433" customFormat="false" ht="15" hidden="false" customHeight="false" outlineLevel="0" collapsed="false">
      <c r="B7433" s="7" t="s">
        <v>7930</v>
      </c>
      <c r="C7433" s="39" t="n">
        <v>45995</v>
      </c>
      <c r="D7433" s="7" t="s">
        <v>365</v>
      </c>
      <c r="E7433" s="7" t="s">
        <v>154</v>
      </c>
      <c r="F7433" s="7" t="s">
        <v>194</v>
      </c>
      <c r="G7433" s="7" t="s">
        <v>505</v>
      </c>
      <c r="H7433" s="6" t="n">
        <v>4.29</v>
      </c>
      <c r="I7433" s="6" t="n">
        <v>0</v>
      </c>
      <c r="J7433" s="40" t="n">
        <f aca="false">H7433-I7433</f>
        <v>4.29</v>
      </c>
      <c r="K7433" s="41" t="n">
        <v>26.5</v>
      </c>
      <c r="L7433" s="42" t="n">
        <f aca="false">J7433*K7433</f>
        <v>113.685</v>
      </c>
      <c r="M7433" s="43" t="n">
        <f aca="false">H7433*16*(1+'Chart of Accounts'!$E$67)</f>
        <v>78.5928</v>
      </c>
    </row>
    <row r="7434" customFormat="false" ht="15" hidden="false" customHeight="false" outlineLevel="0" collapsed="false">
      <c r="B7434" s="7" t="s">
        <v>7931</v>
      </c>
      <c r="C7434" s="39" t="n">
        <v>45995</v>
      </c>
      <c r="D7434" s="7" t="s">
        <v>367</v>
      </c>
      <c r="E7434" s="7" t="s">
        <v>156</v>
      </c>
      <c r="F7434" s="7" t="s">
        <v>256</v>
      </c>
      <c r="G7434" s="7" t="s">
        <v>505</v>
      </c>
      <c r="H7434" s="6" t="n">
        <v>3.24</v>
      </c>
      <c r="I7434" s="6" t="n">
        <v>0</v>
      </c>
      <c r="J7434" s="40" t="n">
        <f aca="false">H7434-I7434</f>
        <v>3.24</v>
      </c>
      <c r="K7434" s="41" t="n">
        <v>34</v>
      </c>
      <c r="L7434" s="42" t="n">
        <f aca="false">J7434*K7434</f>
        <v>110.16</v>
      </c>
      <c r="M7434" s="43" t="n">
        <f aca="false">H7434*15.63*(1+'Chart of Accounts'!$E$67)</f>
        <v>57.984174</v>
      </c>
    </row>
    <row r="7435" customFormat="false" ht="15" hidden="false" customHeight="false" outlineLevel="0" collapsed="false">
      <c r="B7435" s="7" t="s">
        <v>7932</v>
      </c>
      <c r="C7435" s="39" t="n">
        <v>45995</v>
      </c>
      <c r="D7435" s="7" t="s">
        <v>375</v>
      </c>
      <c r="E7435" s="7" t="s">
        <v>156</v>
      </c>
      <c r="F7435" s="7" t="s">
        <v>196</v>
      </c>
      <c r="G7435" s="7" t="s">
        <v>505</v>
      </c>
      <c r="H7435" s="6" t="n">
        <v>3.21</v>
      </c>
      <c r="I7435" s="6" t="n">
        <v>0</v>
      </c>
      <c r="J7435" s="40" t="n">
        <f aca="false">H7435-I7435</f>
        <v>3.21</v>
      </c>
      <c r="K7435" s="41" t="n">
        <v>34</v>
      </c>
      <c r="L7435" s="42" t="n">
        <f aca="false">J7435*K7435</f>
        <v>109.14</v>
      </c>
      <c r="M7435" s="43" t="n">
        <f aca="false">H7435*15.05*(1+'Chart of Accounts'!$E$67)</f>
        <v>55.3155225</v>
      </c>
    </row>
    <row r="7436" customFormat="false" ht="15" hidden="false" customHeight="false" outlineLevel="0" collapsed="false">
      <c r="B7436" s="7" t="s">
        <v>7933</v>
      </c>
      <c r="C7436" s="39" t="n">
        <v>45995</v>
      </c>
      <c r="D7436" s="7" t="s">
        <v>377</v>
      </c>
      <c r="E7436" s="7" t="s">
        <v>154</v>
      </c>
      <c r="F7436" s="7" t="s">
        <v>214</v>
      </c>
      <c r="G7436" s="7" t="s">
        <v>505</v>
      </c>
      <c r="H7436" s="6" t="n">
        <v>3.78</v>
      </c>
      <c r="I7436" s="6" t="n">
        <v>0</v>
      </c>
      <c r="J7436" s="40" t="n">
        <f aca="false">H7436-I7436</f>
        <v>3.78</v>
      </c>
      <c r="K7436" s="41" t="n">
        <v>26.5</v>
      </c>
      <c r="L7436" s="42" t="n">
        <f aca="false">J7436*K7436</f>
        <v>100.17</v>
      </c>
      <c r="M7436" s="43" t="n">
        <f aca="false">H7436*15.67*(1+'Chart of Accounts'!$E$67)</f>
        <v>67.821327</v>
      </c>
    </row>
    <row r="7437" customFormat="false" ht="15" hidden="false" customHeight="false" outlineLevel="0" collapsed="false">
      <c r="B7437" s="7" t="s">
        <v>7934</v>
      </c>
      <c r="C7437" s="39" t="n">
        <v>45995</v>
      </c>
      <c r="D7437" s="7" t="s">
        <v>387</v>
      </c>
      <c r="E7437" s="7" t="s">
        <v>154</v>
      </c>
      <c r="F7437" s="7" t="s">
        <v>196</v>
      </c>
      <c r="G7437" s="7" t="s">
        <v>505</v>
      </c>
      <c r="H7437" s="6" t="n">
        <v>3.67</v>
      </c>
      <c r="I7437" s="6" t="n">
        <v>0</v>
      </c>
      <c r="J7437" s="40" t="n">
        <f aca="false">H7437-I7437</f>
        <v>3.67</v>
      </c>
      <c r="K7437" s="41" t="n">
        <v>26.5</v>
      </c>
      <c r="L7437" s="42" t="n">
        <f aca="false">J7437*K7437</f>
        <v>97.255</v>
      </c>
      <c r="M7437" s="43" t="n">
        <f aca="false">H7437*15.05*(1+'Chart of Accounts'!$E$67)</f>
        <v>63.2423575</v>
      </c>
    </row>
    <row r="7438" customFormat="false" ht="15" hidden="false" customHeight="false" outlineLevel="0" collapsed="false">
      <c r="B7438" s="7" t="s">
        <v>7935</v>
      </c>
      <c r="C7438" s="39" t="n">
        <v>45995</v>
      </c>
      <c r="D7438" s="7" t="s">
        <v>389</v>
      </c>
      <c r="E7438" s="7" t="s">
        <v>154</v>
      </c>
      <c r="F7438" s="7" t="s">
        <v>246</v>
      </c>
      <c r="G7438" s="7" t="s">
        <v>505</v>
      </c>
      <c r="H7438" s="6" t="n">
        <v>4.36</v>
      </c>
      <c r="I7438" s="6" t="n">
        <v>0</v>
      </c>
      <c r="J7438" s="40" t="n">
        <f aca="false">H7438-I7438</f>
        <v>4.36</v>
      </c>
      <c r="K7438" s="41" t="n">
        <v>26.5</v>
      </c>
      <c r="L7438" s="42" t="n">
        <f aca="false">J7438*K7438</f>
        <v>115.54</v>
      </c>
      <c r="M7438" s="43" t="n">
        <f aca="false">H7438*16.48*(1+'Chart of Accounts'!$E$67)</f>
        <v>82.271456</v>
      </c>
    </row>
    <row r="7439" customFormat="false" ht="15" hidden="false" customHeight="false" outlineLevel="0" collapsed="false">
      <c r="B7439" s="7" t="s">
        <v>7936</v>
      </c>
      <c r="C7439" s="39" t="n">
        <v>45995</v>
      </c>
      <c r="D7439" s="7" t="s">
        <v>391</v>
      </c>
      <c r="E7439" s="7" t="s">
        <v>156</v>
      </c>
      <c r="F7439" s="7" t="s">
        <v>222</v>
      </c>
      <c r="G7439" s="7" t="s">
        <v>505</v>
      </c>
      <c r="H7439" s="6" t="n">
        <v>3.61</v>
      </c>
      <c r="I7439" s="6" t="n">
        <v>0</v>
      </c>
      <c r="J7439" s="40" t="n">
        <f aca="false">H7439-I7439</f>
        <v>3.61</v>
      </c>
      <c r="K7439" s="41" t="n">
        <v>34</v>
      </c>
      <c r="L7439" s="42" t="n">
        <f aca="false">J7439*K7439</f>
        <v>122.74</v>
      </c>
      <c r="M7439" s="43" t="n">
        <f aca="false">H7439*17.84*(1+'Chart of Accounts'!$E$67)</f>
        <v>73.740748</v>
      </c>
    </row>
    <row r="7440" customFormat="false" ht="15" hidden="false" customHeight="false" outlineLevel="0" collapsed="false">
      <c r="B7440" s="7" t="s">
        <v>7937</v>
      </c>
      <c r="C7440" s="39" t="n">
        <v>45995</v>
      </c>
      <c r="D7440" s="7" t="s">
        <v>395</v>
      </c>
      <c r="E7440" s="7" t="s">
        <v>156</v>
      </c>
      <c r="F7440" s="7" t="s">
        <v>242</v>
      </c>
      <c r="G7440" s="7" t="s">
        <v>505</v>
      </c>
      <c r="H7440" s="6" t="n">
        <v>3.76</v>
      </c>
      <c r="I7440" s="6" t="n">
        <v>0</v>
      </c>
      <c r="J7440" s="40" t="n">
        <f aca="false">H7440-I7440</f>
        <v>3.76</v>
      </c>
      <c r="K7440" s="41" t="n">
        <v>34</v>
      </c>
      <c r="L7440" s="42" t="n">
        <f aca="false">J7440*K7440</f>
        <v>127.84</v>
      </c>
      <c r="M7440" s="43" t="n">
        <f aca="false">H7440*17.99*(1+'Chart of Accounts'!$E$67)</f>
        <v>77.450548</v>
      </c>
    </row>
    <row r="7441" customFormat="false" ht="15" hidden="false" customHeight="false" outlineLevel="0" collapsed="false">
      <c r="B7441" s="7" t="s">
        <v>7938</v>
      </c>
      <c r="C7441" s="39" t="n">
        <v>45995</v>
      </c>
      <c r="D7441" s="7" t="s">
        <v>401</v>
      </c>
      <c r="E7441" s="7" t="s">
        <v>156</v>
      </c>
      <c r="F7441" s="7" t="s">
        <v>254</v>
      </c>
      <c r="G7441" s="7" t="s">
        <v>505</v>
      </c>
      <c r="H7441" s="6" t="n">
        <v>4.38</v>
      </c>
      <c r="I7441" s="6" t="n">
        <v>0</v>
      </c>
      <c r="J7441" s="40" t="n">
        <f aca="false">H7441-I7441</f>
        <v>4.38</v>
      </c>
      <c r="K7441" s="41" t="n">
        <v>34</v>
      </c>
      <c r="L7441" s="42" t="n">
        <f aca="false">J7441*K7441</f>
        <v>148.92</v>
      </c>
      <c r="M7441" s="43" t="n">
        <f aca="false">H7441*17.1*(1+'Chart of Accounts'!$E$67)</f>
        <v>85.75821</v>
      </c>
    </row>
    <row r="7442" customFormat="false" ht="15" hidden="false" customHeight="false" outlineLevel="0" collapsed="false">
      <c r="B7442" s="7" t="s">
        <v>7939</v>
      </c>
      <c r="C7442" s="39" t="n">
        <v>45996</v>
      </c>
      <c r="D7442" s="7" t="s">
        <v>288</v>
      </c>
      <c r="E7442" s="7" t="s">
        <v>156</v>
      </c>
      <c r="F7442" s="7" t="s">
        <v>238</v>
      </c>
      <c r="G7442" s="7" t="s">
        <v>505</v>
      </c>
      <c r="H7442" s="6" t="n">
        <v>3.7</v>
      </c>
      <c r="I7442" s="6" t="n">
        <v>0</v>
      </c>
      <c r="J7442" s="40" t="n">
        <f aca="false">H7442-I7442</f>
        <v>3.7</v>
      </c>
      <c r="K7442" s="41" t="n">
        <v>34</v>
      </c>
      <c r="L7442" s="42" t="n">
        <f aca="false">J7442*K7442</f>
        <v>125.8</v>
      </c>
      <c r="M7442" s="43" t="n">
        <f aca="false">H7442*15.85*(1+'Chart of Accounts'!$E$67)</f>
        <v>67.148525</v>
      </c>
    </row>
    <row r="7443" customFormat="false" ht="15" hidden="false" customHeight="false" outlineLevel="0" collapsed="false">
      <c r="B7443" s="7" t="s">
        <v>7940</v>
      </c>
      <c r="C7443" s="39" t="n">
        <v>45996</v>
      </c>
      <c r="D7443" s="7" t="s">
        <v>291</v>
      </c>
      <c r="E7443" s="7" t="s">
        <v>154</v>
      </c>
      <c r="F7443" s="7" t="s">
        <v>194</v>
      </c>
      <c r="G7443" s="7" t="s">
        <v>505</v>
      </c>
      <c r="H7443" s="6" t="n">
        <v>4.64</v>
      </c>
      <c r="I7443" s="6" t="n">
        <v>0</v>
      </c>
      <c r="J7443" s="40" t="n">
        <f aca="false">H7443-I7443</f>
        <v>4.64</v>
      </c>
      <c r="K7443" s="41" t="n">
        <v>26.5</v>
      </c>
      <c r="L7443" s="42" t="n">
        <f aca="false">J7443*K7443</f>
        <v>122.96</v>
      </c>
      <c r="M7443" s="43" t="n">
        <f aca="false">H7443*16*(1+'Chart of Accounts'!$E$67)</f>
        <v>85.0048</v>
      </c>
    </row>
    <row r="7444" customFormat="false" ht="15" hidden="false" customHeight="false" outlineLevel="0" collapsed="false">
      <c r="B7444" s="7" t="s">
        <v>7941</v>
      </c>
      <c r="C7444" s="39" t="n">
        <v>45996</v>
      </c>
      <c r="D7444" s="7" t="s">
        <v>293</v>
      </c>
      <c r="E7444" s="7" t="s">
        <v>157</v>
      </c>
      <c r="F7444" s="7" t="s">
        <v>198</v>
      </c>
      <c r="G7444" s="7" t="s">
        <v>502</v>
      </c>
      <c r="H7444" s="6" t="n">
        <v>1.03</v>
      </c>
      <c r="I7444" s="6" t="n">
        <v>0.052</v>
      </c>
      <c r="J7444" s="40" t="n">
        <f aca="false">H7444-I7444</f>
        <v>0.978</v>
      </c>
      <c r="K7444" s="41" t="n">
        <v>165</v>
      </c>
      <c r="L7444" s="42" t="n">
        <f aca="false">J7444*K7444</f>
        <v>161.37</v>
      </c>
      <c r="M7444" s="43" t="n">
        <f aca="false">H7444*48.09*(1+'Chart of Accounts'!$E$67)</f>
        <v>56.7149415</v>
      </c>
    </row>
    <row r="7445" customFormat="false" ht="15" hidden="false" customHeight="false" outlineLevel="0" collapsed="false">
      <c r="B7445" s="7" t="s">
        <v>7942</v>
      </c>
      <c r="C7445" s="39" t="n">
        <v>45996</v>
      </c>
      <c r="D7445" s="7" t="s">
        <v>295</v>
      </c>
      <c r="E7445" s="7" t="s">
        <v>154</v>
      </c>
      <c r="F7445" s="7" t="s">
        <v>214</v>
      </c>
      <c r="G7445" s="7" t="s">
        <v>505</v>
      </c>
      <c r="H7445" s="6" t="n">
        <v>4.25</v>
      </c>
      <c r="I7445" s="6" t="n">
        <v>0</v>
      </c>
      <c r="J7445" s="40" t="n">
        <f aca="false">H7445-I7445</f>
        <v>4.25</v>
      </c>
      <c r="K7445" s="41" t="n">
        <v>26.5</v>
      </c>
      <c r="L7445" s="42" t="n">
        <f aca="false">J7445*K7445</f>
        <v>112.625</v>
      </c>
      <c r="M7445" s="43" t="n">
        <f aca="false">H7445*15.67*(1+'Chart of Accounts'!$E$67)</f>
        <v>76.2541375</v>
      </c>
    </row>
    <row r="7446" customFormat="false" ht="15" hidden="false" customHeight="false" outlineLevel="0" collapsed="false">
      <c r="B7446" s="7" t="s">
        <v>7943</v>
      </c>
      <c r="C7446" s="39" t="n">
        <v>45996</v>
      </c>
      <c r="D7446" s="7" t="s">
        <v>301</v>
      </c>
      <c r="E7446" s="7" t="s">
        <v>157</v>
      </c>
      <c r="F7446" s="7" t="s">
        <v>209</v>
      </c>
      <c r="G7446" s="7" t="s">
        <v>502</v>
      </c>
      <c r="H7446" s="6" t="n">
        <v>0.92</v>
      </c>
      <c r="I7446" s="6" t="n">
        <v>0</v>
      </c>
      <c r="J7446" s="40" t="n">
        <f aca="false">H7446-I7446</f>
        <v>0.92</v>
      </c>
      <c r="K7446" s="41" t="n">
        <v>165</v>
      </c>
      <c r="L7446" s="42" t="n">
        <f aca="false">J7446*K7446</f>
        <v>151.8</v>
      </c>
      <c r="M7446" s="43" t="n">
        <f aca="false">H7446*73.58*(1+'Chart of Accounts'!$E$67)</f>
        <v>77.509172</v>
      </c>
    </row>
    <row r="7447" customFormat="false" ht="15" hidden="false" customHeight="false" outlineLevel="0" collapsed="false">
      <c r="B7447" s="7" t="s">
        <v>7944</v>
      </c>
      <c r="C7447" s="39" t="n">
        <v>45996</v>
      </c>
      <c r="D7447" s="7" t="s">
        <v>305</v>
      </c>
      <c r="E7447" s="7" t="s">
        <v>154</v>
      </c>
      <c r="F7447" s="7" t="s">
        <v>205</v>
      </c>
      <c r="G7447" s="7" t="s">
        <v>505</v>
      </c>
      <c r="H7447" s="6" t="n">
        <v>4.32</v>
      </c>
      <c r="I7447" s="6" t="n">
        <v>0</v>
      </c>
      <c r="J7447" s="40" t="n">
        <f aca="false">H7447-I7447</f>
        <v>4.32</v>
      </c>
      <c r="K7447" s="41" t="n">
        <v>26.5</v>
      </c>
      <c r="L7447" s="42" t="n">
        <f aca="false">J7447*K7447</f>
        <v>114.48</v>
      </c>
      <c r="M7447" s="43" t="n">
        <f aca="false">H7447*16.36*(1+'Chart of Accounts'!$E$67)</f>
        <v>80.923104</v>
      </c>
    </row>
    <row r="7448" customFormat="false" ht="15" hidden="false" customHeight="false" outlineLevel="0" collapsed="false">
      <c r="B7448" s="7" t="s">
        <v>7945</v>
      </c>
      <c r="C7448" s="39" t="n">
        <v>45996</v>
      </c>
      <c r="D7448" s="7" t="s">
        <v>307</v>
      </c>
      <c r="E7448" s="7" t="s">
        <v>157</v>
      </c>
      <c r="F7448" s="7" t="s">
        <v>264</v>
      </c>
      <c r="G7448" s="7" t="s">
        <v>502</v>
      </c>
      <c r="H7448" s="6" t="n">
        <v>1.09</v>
      </c>
      <c r="I7448" s="6" t="n">
        <v>0</v>
      </c>
      <c r="J7448" s="40" t="n">
        <f aca="false">H7448-I7448</f>
        <v>1.09</v>
      </c>
      <c r="K7448" s="41" t="n">
        <v>165</v>
      </c>
      <c r="L7448" s="42" t="n">
        <f aca="false">J7448*K7448</f>
        <v>179.85</v>
      </c>
      <c r="M7448" s="43" t="n">
        <f aca="false">H7448*55.55*(1+'Chart of Accounts'!$E$67)</f>
        <v>69.3291775</v>
      </c>
    </row>
    <row r="7449" customFormat="false" ht="15" hidden="false" customHeight="false" outlineLevel="0" collapsed="false">
      <c r="B7449" s="7" t="s">
        <v>7946</v>
      </c>
      <c r="C7449" s="39" t="n">
        <v>45996</v>
      </c>
      <c r="D7449" s="7" t="s">
        <v>309</v>
      </c>
      <c r="E7449" s="7" t="s">
        <v>159</v>
      </c>
      <c r="F7449" s="7" t="s">
        <v>252</v>
      </c>
      <c r="G7449" s="7" t="s">
        <v>502</v>
      </c>
      <c r="H7449" s="6" t="n">
        <v>1.01</v>
      </c>
      <c r="I7449" s="6" t="n">
        <v>0</v>
      </c>
      <c r="J7449" s="40" t="n">
        <f aca="false">H7449-I7449</f>
        <v>1.01</v>
      </c>
      <c r="K7449" s="41" t="n">
        <v>135</v>
      </c>
      <c r="L7449" s="42" t="n">
        <f aca="false">J7449*K7449</f>
        <v>136.35</v>
      </c>
      <c r="M7449" s="43" t="n">
        <f aca="false">H7449*57.54*(1+'Chart of Accounts'!$E$67)</f>
        <v>66.542133</v>
      </c>
    </row>
    <row r="7450" customFormat="false" ht="15" hidden="false" customHeight="false" outlineLevel="0" collapsed="false">
      <c r="B7450" s="7" t="s">
        <v>7947</v>
      </c>
      <c r="C7450" s="39" t="n">
        <v>45996</v>
      </c>
      <c r="D7450" s="7" t="s">
        <v>313</v>
      </c>
      <c r="E7450" s="7" t="s">
        <v>156</v>
      </c>
      <c r="F7450" s="7" t="s">
        <v>184</v>
      </c>
      <c r="G7450" s="7" t="s">
        <v>505</v>
      </c>
      <c r="H7450" s="6" t="n">
        <v>3.62</v>
      </c>
      <c r="I7450" s="6" t="n">
        <v>0</v>
      </c>
      <c r="J7450" s="40" t="n">
        <f aca="false">H7450-I7450</f>
        <v>3.62</v>
      </c>
      <c r="K7450" s="41" t="n">
        <v>34</v>
      </c>
      <c r="L7450" s="42" t="n">
        <f aca="false">J7450*K7450</f>
        <v>123.08</v>
      </c>
      <c r="M7450" s="43" t="n">
        <f aca="false">H7450*17.34*(1+'Chart of Accounts'!$E$67)</f>
        <v>71.872566</v>
      </c>
    </row>
    <row r="7451" customFormat="false" ht="15" hidden="false" customHeight="false" outlineLevel="0" collapsed="false">
      <c r="B7451" s="7" t="s">
        <v>7948</v>
      </c>
      <c r="C7451" s="39" t="n">
        <v>45996</v>
      </c>
      <c r="D7451" s="7" t="s">
        <v>315</v>
      </c>
      <c r="E7451" s="7" t="s">
        <v>159</v>
      </c>
      <c r="F7451" s="7" t="s">
        <v>216</v>
      </c>
      <c r="G7451" s="7" t="s">
        <v>502</v>
      </c>
      <c r="H7451" s="6" t="n">
        <v>1.06</v>
      </c>
      <c r="I7451" s="6" t="n">
        <v>0</v>
      </c>
      <c r="J7451" s="40" t="n">
        <f aca="false">H7451-I7451</f>
        <v>1.06</v>
      </c>
      <c r="K7451" s="41" t="n">
        <v>135</v>
      </c>
      <c r="L7451" s="42" t="n">
        <f aca="false">J7451*K7451</f>
        <v>143.1</v>
      </c>
      <c r="M7451" s="43" t="n">
        <f aca="false">H7451*61.79*(1+'Chart of Accounts'!$E$67)</f>
        <v>74.994523</v>
      </c>
    </row>
    <row r="7452" customFormat="false" ht="15" hidden="false" customHeight="false" outlineLevel="0" collapsed="false">
      <c r="B7452" s="7" t="s">
        <v>7949</v>
      </c>
      <c r="C7452" s="39" t="n">
        <v>45996</v>
      </c>
      <c r="D7452" s="7" t="s">
        <v>319</v>
      </c>
      <c r="E7452" s="7" t="s">
        <v>157</v>
      </c>
      <c r="F7452" s="7" t="s">
        <v>234</v>
      </c>
      <c r="G7452" s="7" t="s">
        <v>502</v>
      </c>
      <c r="H7452" s="6" t="n">
        <v>0.98</v>
      </c>
      <c r="I7452" s="6" t="n">
        <v>0</v>
      </c>
      <c r="J7452" s="40" t="n">
        <f aca="false">H7452-I7452</f>
        <v>0.98</v>
      </c>
      <c r="K7452" s="41" t="n">
        <v>165</v>
      </c>
      <c r="L7452" s="42" t="n">
        <f aca="false">J7452*K7452</f>
        <v>161.7</v>
      </c>
      <c r="M7452" s="43" t="n">
        <f aca="false">H7452*89.53*(1+'Chart of Accounts'!$E$67)</f>
        <v>100.461613</v>
      </c>
    </row>
    <row r="7453" customFormat="false" ht="15" hidden="false" customHeight="false" outlineLevel="0" collapsed="false">
      <c r="B7453" s="7" t="s">
        <v>7950</v>
      </c>
      <c r="C7453" s="39" t="n">
        <v>45996</v>
      </c>
      <c r="D7453" s="7" t="s">
        <v>321</v>
      </c>
      <c r="E7453" s="7" t="s">
        <v>154</v>
      </c>
      <c r="F7453" s="7" t="s">
        <v>218</v>
      </c>
      <c r="G7453" s="7" t="s">
        <v>505</v>
      </c>
      <c r="H7453" s="6" t="n">
        <v>3.95</v>
      </c>
      <c r="I7453" s="6" t="n">
        <v>0</v>
      </c>
      <c r="J7453" s="40" t="n">
        <f aca="false">H7453-I7453</f>
        <v>3.95</v>
      </c>
      <c r="K7453" s="41" t="n">
        <v>26.5</v>
      </c>
      <c r="L7453" s="42" t="n">
        <f aca="false">J7453*K7453</f>
        <v>104.675</v>
      </c>
      <c r="M7453" s="43" t="n">
        <f aca="false">H7453*16.19*(1+'Chart of Accounts'!$E$67)</f>
        <v>73.2233225</v>
      </c>
    </row>
    <row r="7454" customFormat="false" ht="15" hidden="false" customHeight="false" outlineLevel="0" collapsed="false">
      <c r="B7454" s="7" t="s">
        <v>7951</v>
      </c>
      <c r="C7454" s="39" t="n">
        <v>45996</v>
      </c>
      <c r="D7454" s="7" t="s">
        <v>323</v>
      </c>
      <c r="E7454" s="7" t="s">
        <v>159</v>
      </c>
      <c r="F7454" s="7" t="s">
        <v>264</v>
      </c>
      <c r="G7454" s="7" t="s">
        <v>502</v>
      </c>
      <c r="H7454" s="6" t="n">
        <v>1</v>
      </c>
      <c r="I7454" s="6" t="n">
        <v>0</v>
      </c>
      <c r="J7454" s="40" t="n">
        <f aca="false">H7454-I7454</f>
        <v>1</v>
      </c>
      <c r="K7454" s="41" t="n">
        <v>135</v>
      </c>
      <c r="L7454" s="42" t="n">
        <f aca="false">J7454*K7454</f>
        <v>135</v>
      </c>
      <c r="M7454" s="43" t="n">
        <f aca="false">H7454*55.55*(1+'Chart of Accounts'!$E$67)</f>
        <v>63.60475</v>
      </c>
    </row>
    <row r="7455" customFormat="false" ht="15" hidden="false" customHeight="false" outlineLevel="0" collapsed="false">
      <c r="B7455" s="7" t="s">
        <v>7952</v>
      </c>
      <c r="C7455" s="39" t="n">
        <v>45996</v>
      </c>
      <c r="D7455" s="7" t="s">
        <v>327</v>
      </c>
      <c r="E7455" s="7" t="s">
        <v>157</v>
      </c>
      <c r="F7455" s="7" t="s">
        <v>228</v>
      </c>
      <c r="G7455" s="7" t="s">
        <v>502</v>
      </c>
      <c r="H7455" s="6" t="n">
        <v>1.03</v>
      </c>
      <c r="I7455" s="6" t="n">
        <v>0</v>
      </c>
      <c r="J7455" s="40" t="n">
        <f aca="false">H7455-I7455</f>
        <v>1.03</v>
      </c>
      <c r="K7455" s="41" t="n">
        <v>165</v>
      </c>
      <c r="L7455" s="42" t="n">
        <f aca="false">J7455*K7455</f>
        <v>169.95</v>
      </c>
      <c r="M7455" s="43" t="n">
        <f aca="false">H7455*51.07*(1+'Chart of Accounts'!$E$67)</f>
        <v>60.2294045</v>
      </c>
    </row>
    <row r="7456" customFormat="false" ht="15" hidden="false" customHeight="false" outlineLevel="0" collapsed="false">
      <c r="B7456" s="7" t="s">
        <v>7953</v>
      </c>
      <c r="C7456" s="39" t="n">
        <v>45996</v>
      </c>
      <c r="D7456" s="7" t="s">
        <v>329</v>
      </c>
      <c r="E7456" s="7" t="s">
        <v>156</v>
      </c>
      <c r="F7456" s="7" t="s">
        <v>220</v>
      </c>
      <c r="G7456" s="7" t="s">
        <v>505</v>
      </c>
      <c r="H7456" s="6" t="n">
        <v>4.25</v>
      </c>
      <c r="I7456" s="6" t="n">
        <v>0</v>
      </c>
      <c r="J7456" s="40" t="n">
        <f aca="false">H7456-I7456</f>
        <v>4.25</v>
      </c>
      <c r="K7456" s="41" t="n">
        <v>34</v>
      </c>
      <c r="L7456" s="42" t="n">
        <f aca="false">J7456*K7456</f>
        <v>144.5</v>
      </c>
      <c r="M7456" s="43" t="n">
        <f aca="false">H7456*16.43*(1+'Chart of Accounts'!$E$67)</f>
        <v>79.9524875</v>
      </c>
    </row>
    <row r="7457" customFormat="false" ht="15" hidden="false" customHeight="false" outlineLevel="0" collapsed="false">
      <c r="B7457" s="7" t="s">
        <v>7954</v>
      </c>
      <c r="C7457" s="39" t="n">
        <v>45996</v>
      </c>
      <c r="D7457" s="7" t="s">
        <v>333</v>
      </c>
      <c r="E7457" s="7" t="s">
        <v>154</v>
      </c>
      <c r="F7457" s="7" t="s">
        <v>236</v>
      </c>
      <c r="G7457" s="7" t="s">
        <v>505</v>
      </c>
      <c r="H7457" s="6" t="n">
        <v>3.43</v>
      </c>
      <c r="I7457" s="6" t="n">
        <v>0</v>
      </c>
      <c r="J7457" s="40" t="n">
        <f aca="false">H7457-I7457</f>
        <v>3.43</v>
      </c>
      <c r="K7457" s="41" t="n">
        <v>26.5</v>
      </c>
      <c r="L7457" s="42" t="n">
        <f aca="false">J7457*K7457</f>
        <v>90.895</v>
      </c>
      <c r="M7457" s="43" t="n">
        <f aca="false">H7457*15.49*(1+'Chart of Accounts'!$E$67)</f>
        <v>60.8346515</v>
      </c>
    </row>
    <row r="7458" customFormat="false" ht="15" hidden="false" customHeight="false" outlineLevel="0" collapsed="false">
      <c r="B7458" s="7" t="s">
        <v>7955</v>
      </c>
      <c r="C7458" s="39" t="n">
        <v>45996</v>
      </c>
      <c r="D7458" s="7" t="s">
        <v>339</v>
      </c>
      <c r="E7458" s="7" t="s">
        <v>154</v>
      </c>
      <c r="F7458" s="7" t="s">
        <v>242</v>
      </c>
      <c r="G7458" s="7" t="s">
        <v>505</v>
      </c>
      <c r="H7458" s="6" t="n">
        <v>3.39</v>
      </c>
      <c r="I7458" s="6" t="n">
        <v>0</v>
      </c>
      <c r="J7458" s="40" t="n">
        <f aca="false">H7458-I7458</f>
        <v>3.39</v>
      </c>
      <c r="K7458" s="41" t="n">
        <v>26.5</v>
      </c>
      <c r="L7458" s="42" t="n">
        <f aca="false">J7458*K7458</f>
        <v>89.835</v>
      </c>
      <c r="M7458" s="43" t="n">
        <f aca="false">H7458*17.99*(1+'Chart of Accounts'!$E$67)</f>
        <v>69.8290845</v>
      </c>
    </row>
    <row r="7459" customFormat="false" ht="15" hidden="false" customHeight="false" outlineLevel="0" collapsed="false">
      <c r="B7459" s="7" t="s">
        <v>7956</v>
      </c>
      <c r="C7459" s="39" t="n">
        <v>45996</v>
      </c>
      <c r="D7459" s="7" t="s">
        <v>349</v>
      </c>
      <c r="E7459" s="7" t="s">
        <v>154</v>
      </c>
      <c r="F7459" s="7" t="s">
        <v>244</v>
      </c>
      <c r="G7459" s="7" t="s">
        <v>505</v>
      </c>
      <c r="H7459" s="6" t="n">
        <v>4.03</v>
      </c>
      <c r="I7459" s="6" t="n">
        <v>0</v>
      </c>
      <c r="J7459" s="40" t="n">
        <f aca="false">H7459-I7459</f>
        <v>4.03</v>
      </c>
      <c r="K7459" s="41" t="n">
        <v>26.5</v>
      </c>
      <c r="L7459" s="42" t="n">
        <f aca="false">J7459*K7459</f>
        <v>106.795</v>
      </c>
      <c r="M7459" s="43" t="n">
        <f aca="false">H7459*16.39*(1+'Chart of Accounts'!$E$67)</f>
        <v>75.6291965</v>
      </c>
    </row>
    <row r="7460" customFormat="false" ht="15" hidden="false" customHeight="false" outlineLevel="0" collapsed="false">
      <c r="B7460" s="7" t="s">
        <v>7957</v>
      </c>
      <c r="C7460" s="39" t="n">
        <v>45996</v>
      </c>
      <c r="D7460" s="7" t="s">
        <v>353</v>
      </c>
      <c r="E7460" s="7" t="s">
        <v>154</v>
      </c>
      <c r="F7460" s="7" t="s">
        <v>254</v>
      </c>
      <c r="G7460" s="7" t="s">
        <v>505</v>
      </c>
      <c r="H7460" s="6" t="n">
        <v>3.32</v>
      </c>
      <c r="I7460" s="6" t="n">
        <v>0</v>
      </c>
      <c r="J7460" s="40" t="n">
        <f aca="false">H7460-I7460</f>
        <v>3.32</v>
      </c>
      <c r="K7460" s="41" t="n">
        <v>26.5</v>
      </c>
      <c r="L7460" s="42" t="n">
        <f aca="false">J7460*K7460</f>
        <v>87.98</v>
      </c>
      <c r="M7460" s="43" t="n">
        <f aca="false">H7460*17.1*(1+'Chart of Accounts'!$E$67)</f>
        <v>65.00394</v>
      </c>
    </row>
    <row r="7461" customFormat="false" ht="15" hidden="false" customHeight="false" outlineLevel="0" collapsed="false">
      <c r="B7461" s="7" t="s">
        <v>7958</v>
      </c>
      <c r="C7461" s="39" t="n">
        <v>45996</v>
      </c>
      <c r="D7461" s="7" t="s">
        <v>355</v>
      </c>
      <c r="E7461" s="7" t="s">
        <v>154</v>
      </c>
      <c r="F7461" s="7" t="s">
        <v>201</v>
      </c>
      <c r="G7461" s="7" t="s">
        <v>505</v>
      </c>
      <c r="H7461" s="6" t="n">
        <v>3.65</v>
      </c>
      <c r="I7461" s="6" t="n">
        <v>0</v>
      </c>
      <c r="J7461" s="40" t="n">
        <f aca="false">H7461-I7461</f>
        <v>3.65</v>
      </c>
      <c r="K7461" s="41" t="n">
        <v>26.5</v>
      </c>
      <c r="L7461" s="42" t="n">
        <f aca="false">J7461*K7461</f>
        <v>96.725</v>
      </c>
      <c r="M7461" s="43" t="n">
        <f aca="false">H7461*15.19*(1+'Chart of Accounts'!$E$67)</f>
        <v>63.4828075</v>
      </c>
    </row>
    <row r="7462" customFormat="false" ht="15" hidden="false" customHeight="false" outlineLevel="0" collapsed="false">
      <c r="B7462" s="7" t="s">
        <v>7959</v>
      </c>
      <c r="C7462" s="39" t="n">
        <v>45996</v>
      </c>
      <c r="D7462" s="7" t="s">
        <v>357</v>
      </c>
      <c r="E7462" s="7" t="s">
        <v>154</v>
      </c>
      <c r="F7462" s="7" t="s">
        <v>246</v>
      </c>
      <c r="G7462" s="7" t="s">
        <v>505</v>
      </c>
      <c r="H7462" s="6" t="n">
        <v>3.02</v>
      </c>
      <c r="I7462" s="6" t="n">
        <v>0</v>
      </c>
      <c r="J7462" s="40" t="n">
        <f aca="false">H7462-I7462</f>
        <v>3.02</v>
      </c>
      <c r="K7462" s="41" t="n">
        <v>26.5</v>
      </c>
      <c r="L7462" s="42" t="n">
        <f aca="false">J7462*K7462</f>
        <v>80.03</v>
      </c>
      <c r="M7462" s="43" t="n">
        <f aca="false">H7462*16.48*(1+'Chart of Accounts'!$E$67)</f>
        <v>56.986192</v>
      </c>
    </row>
    <row r="7463" customFormat="false" ht="15" hidden="false" customHeight="false" outlineLevel="0" collapsed="false">
      <c r="B7463" s="7" t="s">
        <v>7960</v>
      </c>
      <c r="C7463" s="39" t="n">
        <v>45996</v>
      </c>
      <c r="D7463" s="7" t="s">
        <v>361</v>
      </c>
      <c r="E7463" s="7" t="s">
        <v>157</v>
      </c>
      <c r="F7463" s="7" t="s">
        <v>209</v>
      </c>
      <c r="G7463" s="7" t="s">
        <v>502</v>
      </c>
      <c r="H7463" s="6" t="n">
        <v>1.08</v>
      </c>
      <c r="I7463" s="6" t="n">
        <v>0</v>
      </c>
      <c r="J7463" s="40" t="n">
        <f aca="false">H7463-I7463</f>
        <v>1.08</v>
      </c>
      <c r="K7463" s="41" t="n">
        <v>165</v>
      </c>
      <c r="L7463" s="42" t="n">
        <f aca="false">J7463*K7463</f>
        <v>178.2</v>
      </c>
      <c r="M7463" s="43" t="n">
        <f aca="false">H7463*73.58*(1+'Chart of Accounts'!$E$67)</f>
        <v>90.989028</v>
      </c>
    </row>
    <row r="7464" customFormat="false" ht="15" hidden="false" customHeight="false" outlineLevel="0" collapsed="false">
      <c r="B7464" s="7" t="s">
        <v>7961</v>
      </c>
      <c r="C7464" s="39" t="n">
        <v>45996</v>
      </c>
      <c r="D7464" s="7" t="s">
        <v>365</v>
      </c>
      <c r="E7464" s="7" t="s">
        <v>154</v>
      </c>
      <c r="F7464" s="7" t="s">
        <v>194</v>
      </c>
      <c r="G7464" s="7" t="s">
        <v>505</v>
      </c>
      <c r="H7464" s="6" t="n">
        <v>3.83</v>
      </c>
      <c r="I7464" s="6" t="n">
        <v>0.115</v>
      </c>
      <c r="J7464" s="40" t="n">
        <f aca="false">H7464-I7464</f>
        <v>3.715</v>
      </c>
      <c r="K7464" s="41" t="n">
        <v>26.5</v>
      </c>
      <c r="L7464" s="42" t="n">
        <f aca="false">J7464*K7464</f>
        <v>98.4475</v>
      </c>
      <c r="M7464" s="43" t="n">
        <f aca="false">H7464*16*(1+'Chart of Accounts'!$E$67)</f>
        <v>70.1656</v>
      </c>
    </row>
    <row r="7465" customFormat="false" ht="15" hidden="false" customHeight="false" outlineLevel="0" collapsed="false">
      <c r="B7465" s="7" t="s">
        <v>7962</v>
      </c>
      <c r="C7465" s="39" t="n">
        <v>45996</v>
      </c>
      <c r="D7465" s="7" t="s">
        <v>369</v>
      </c>
      <c r="E7465" s="7" t="s">
        <v>159</v>
      </c>
      <c r="F7465" s="7" t="s">
        <v>258</v>
      </c>
      <c r="G7465" s="7" t="s">
        <v>502</v>
      </c>
      <c r="H7465" s="6" t="n">
        <v>1.09</v>
      </c>
      <c r="I7465" s="6" t="n">
        <v>0</v>
      </c>
      <c r="J7465" s="40" t="n">
        <f aca="false">H7465-I7465</f>
        <v>1.09</v>
      </c>
      <c r="K7465" s="41" t="n">
        <v>135</v>
      </c>
      <c r="L7465" s="42" t="n">
        <f aca="false">J7465*K7465</f>
        <v>147.15</v>
      </c>
      <c r="M7465" s="43" t="n">
        <f aca="false">H7465*61.61*(1+'Chart of Accounts'!$E$67)</f>
        <v>76.8923605</v>
      </c>
    </row>
    <row r="7466" customFormat="false" ht="15" hidden="false" customHeight="false" outlineLevel="0" collapsed="false">
      <c r="B7466" s="7" t="s">
        <v>7963</v>
      </c>
      <c r="C7466" s="39" t="n">
        <v>45996</v>
      </c>
      <c r="D7466" s="7" t="s">
        <v>371</v>
      </c>
      <c r="E7466" s="7" t="s">
        <v>154</v>
      </c>
      <c r="F7466" s="7" t="s">
        <v>232</v>
      </c>
      <c r="G7466" s="7" t="s">
        <v>505</v>
      </c>
      <c r="H7466" s="6" t="n">
        <v>4.74</v>
      </c>
      <c r="I7466" s="6" t="n">
        <v>0</v>
      </c>
      <c r="J7466" s="40" t="n">
        <f aca="false">H7466-I7466</f>
        <v>4.74</v>
      </c>
      <c r="K7466" s="41" t="n">
        <v>26.5</v>
      </c>
      <c r="L7466" s="42" t="n">
        <f aca="false">J7466*K7466</f>
        <v>125.61</v>
      </c>
      <c r="M7466" s="43" t="n">
        <f aca="false">H7466*16.17*(1+'Chart of Accounts'!$E$67)</f>
        <v>87.759441</v>
      </c>
    </row>
    <row r="7467" customFormat="false" ht="15" hidden="false" customHeight="false" outlineLevel="0" collapsed="false">
      <c r="B7467" s="7" t="s">
        <v>7964</v>
      </c>
      <c r="C7467" s="39" t="n">
        <v>45996</v>
      </c>
      <c r="D7467" s="7" t="s">
        <v>379</v>
      </c>
      <c r="E7467" s="7" t="s">
        <v>156</v>
      </c>
      <c r="F7467" s="7" t="s">
        <v>224</v>
      </c>
      <c r="G7467" s="7" t="s">
        <v>505</v>
      </c>
      <c r="H7467" s="6" t="n">
        <v>4.33</v>
      </c>
      <c r="I7467" s="6" t="n">
        <v>0</v>
      </c>
      <c r="J7467" s="40" t="n">
        <f aca="false">H7467-I7467</f>
        <v>4.33</v>
      </c>
      <c r="K7467" s="41" t="n">
        <v>34</v>
      </c>
      <c r="L7467" s="42" t="n">
        <f aca="false">J7467*K7467</f>
        <v>147.22</v>
      </c>
      <c r="M7467" s="43" t="n">
        <f aca="false">H7467*14.93*(1+'Chart of Accounts'!$E$67)</f>
        <v>74.0207005</v>
      </c>
    </row>
    <row r="7468" customFormat="false" ht="15" hidden="false" customHeight="false" outlineLevel="0" collapsed="false">
      <c r="B7468" s="7" t="s">
        <v>7965</v>
      </c>
      <c r="C7468" s="39" t="n">
        <v>45996</v>
      </c>
      <c r="D7468" s="7" t="s">
        <v>381</v>
      </c>
      <c r="E7468" s="7" t="s">
        <v>157</v>
      </c>
      <c r="F7468" s="7" t="s">
        <v>234</v>
      </c>
      <c r="G7468" s="7" t="s">
        <v>502</v>
      </c>
      <c r="H7468" s="6" t="n">
        <v>1.07</v>
      </c>
      <c r="I7468" s="6" t="n">
        <v>0.054</v>
      </c>
      <c r="J7468" s="40" t="n">
        <f aca="false">H7468-I7468</f>
        <v>1.016</v>
      </c>
      <c r="K7468" s="41" t="n">
        <v>165</v>
      </c>
      <c r="L7468" s="42" t="n">
        <f aca="false">J7468*K7468</f>
        <v>167.64</v>
      </c>
      <c r="M7468" s="43" t="n">
        <f aca="false">H7468*89.53*(1+'Chart of Accounts'!$E$67)</f>
        <v>109.6876795</v>
      </c>
    </row>
    <row r="7469" customFormat="false" ht="15" hidden="false" customHeight="false" outlineLevel="0" collapsed="false">
      <c r="B7469" s="7" t="s">
        <v>7966</v>
      </c>
      <c r="C7469" s="39" t="n">
        <v>45996</v>
      </c>
      <c r="D7469" s="7" t="s">
        <v>383</v>
      </c>
      <c r="E7469" s="7" t="s">
        <v>157</v>
      </c>
      <c r="F7469" s="7" t="s">
        <v>230</v>
      </c>
      <c r="G7469" s="7" t="s">
        <v>502</v>
      </c>
      <c r="H7469" s="6" t="n">
        <v>1.01</v>
      </c>
      <c r="I7469" s="6" t="n">
        <v>0.051</v>
      </c>
      <c r="J7469" s="40" t="n">
        <f aca="false">H7469-I7469</f>
        <v>0.959</v>
      </c>
      <c r="K7469" s="41" t="n">
        <v>165</v>
      </c>
      <c r="L7469" s="42" t="n">
        <f aca="false">J7469*K7469</f>
        <v>158.235</v>
      </c>
      <c r="M7469" s="43" t="n">
        <f aca="false">H7469*48.78*(1+'Chart of Accounts'!$E$67)</f>
        <v>56.411631</v>
      </c>
    </row>
    <row r="7470" customFormat="false" ht="15" hidden="false" customHeight="false" outlineLevel="0" collapsed="false">
      <c r="B7470" s="7" t="s">
        <v>7967</v>
      </c>
      <c r="C7470" s="39" t="n">
        <v>45996</v>
      </c>
      <c r="D7470" s="7" t="s">
        <v>385</v>
      </c>
      <c r="E7470" s="7" t="s">
        <v>156</v>
      </c>
      <c r="F7470" s="7" t="s">
        <v>238</v>
      </c>
      <c r="G7470" s="7" t="s">
        <v>505</v>
      </c>
      <c r="H7470" s="6" t="n">
        <v>4.38</v>
      </c>
      <c r="I7470" s="6" t="n">
        <v>0</v>
      </c>
      <c r="J7470" s="40" t="n">
        <f aca="false">H7470-I7470</f>
        <v>4.38</v>
      </c>
      <c r="K7470" s="41" t="n">
        <v>34</v>
      </c>
      <c r="L7470" s="42" t="n">
        <f aca="false">J7470*K7470</f>
        <v>148.92</v>
      </c>
      <c r="M7470" s="43" t="n">
        <f aca="false">H7470*15.85*(1+'Chart of Accounts'!$E$67)</f>
        <v>79.489335</v>
      </c>
    </row>
    <row r="7471" customFormat="false" ht="15" hidden="false" customHeight="false" outlineLevel="0" collapsed="false">
      <c r="B7471" s="7" t="s">
        <v>7968</v>
      </c>
      <c r="C7471" s="39" t="n">
        <v>45996</v>
      </c>
      <c r="D7471" s="7" t="s">
        <v>387</v>
      </c>
      <c r="E7471" s="7" t="s">
        <v>154</v>
      </c>
      <c r="F7471" s="7" t="s">
        <v>196</v>
      </c>
      <c r="G7471" s="7" t="s">
        <v>505</v>
      </c>
      <c r="H7471" s="6" t="n">
        <v>4.3</v>
      </c>
      <c r="I7471" s="6" t="n">
        <v>0.129</v>
      </c>
      <c r="J7471" s="40" t="n">
        <f aca="false">H7471-I7471</f>
        <v>4.171</v>
      </c>
      <c r="K7471" s="41" t="n">
        <v>26.5</v>
      </c>
      <c r="L7471" s="42" t="n">
        <f aca="false">J7471*K7471</f>
        <v>110.5315</v>
      </c>
      <c r="M7471" s="43" t="n">
        <f aca="false">H7471*15.05*(1+'Chart of Accounts'!$E$67)</f>
        <v>74.098675</v>
      </c>
    </row>
    <row r="7472" customFormat="false" ht="15" hidden="false" customHeight="false" outlineLevel="0" collapsed="false">
      <c r="B7472" s="7" t="s">
        <v>7969</v>
      </c>
      <c r="C7472" s="39" t="n">
        <v>45996</v>
      </c>
      <c r="D7472" s="7" t="s">
        <v>389</v>
      </c>
      <c r="E7472" s="7" t="s">
        <v>154</v>
      </c>
      <c r="F7472" s="7" t="s">
        <v>246</v>
      </c>
      <c r="G7472" s="7" t="s">
        <v>505</v>
      </c>
      <c r="H7472" s="6" t="n">
        <v>4.17</v>
      </c>
      <c r="I7472" s="6" t="n">
        <v>0</v>
      </c>
      <c r="J7472" s="40" t="n">
        <f aca="false">H7472-I7472</f>
        <v>4.17</v>
      </c>
      <c r="K7472" s="41" t="n">
        <v>26.5</v>
      </c>
      <c r="L7472" s="42" t="n">
        <f aca="false">J7472*K7472</f>
        <v>110.505</v>
      </c>
      <c r="M7472" s="43" t="n">
        <f aca="false">H7472*16.48*(1+'Chart of Accounts'!$E$67)</f>
        <v>78.686232</v>
      </c>
    </row>
    <row r="7473" customFormat="false" ht="15" hidden="false" customHeight="false" outlineLevel="0" collapsed="false">
      <c r="B7473" s="7" t="s">
        <v>7970</v>
      </c>
      <c r="C7473" s="39" t="n">
        <v>45996</v>
      </c>
      <c r="D7473" s="7" t="s">
        <v>391</v>
      </c>
      <c r="E7473" s="7" t="s">
        <v>156</v>
      </c>
      <c r="F7473" s="7" t="s">
        <v>222</v>
      </c>
      <c r="G7473" s="7" t="s">
        <v>505</v>
      </c>
      <c r="H7473" s="6" t="n">
        <v>4.16</v>
      </c>
      <c r="I7473" s="6" t="n">
        <v>0</v>
      </c>
      <c r="J7473" s="40" t="n">
        <f aca="false">H7473-I7473</f>
        <v>4.16</v>
      </c>
      <c r="K7473" s="41" t="n">
        <v>34</v>
      </c>
      <c r="L7473" s="42" t="n">
        <f aca="false">J7473*K7473</f>
        <v>141.44</v>
      </c>
      <c r="M7473" s="43" t="n">
        <f aca="false">H7473*17.84*(1+'Chart of Accounts'!$E$67)</f>
        <v>84.975488</v>
      </c>
    </row>
    <row r="7474" customFormat="false" ht="15" hidden="false" customHeight="false" outlineLevel="0" collapsed="false">
      <c r="B7474" s="7" t="s">
        <v>7971</v>
      </c>
      <c r="C7474" s="39" t="n">
        <v>45996</v>
      </c>
      <c r="D7474" s="7" t="s">
        <v>395</v>
      </c>
      <c r="E7474" s="7" t="s">
        <v>156</v>
      </c>
      <c r="F7474" s="7" t="s">
        <v>242</v>
      </c>
      <c r="G7474" s="7" t="s">
        <v>505</v>
      </c>
      <c r="H7474" s="6" t="n">
        <v>4.05</v>
      </c>
      <c r="I7474" s="6" t="n">
        <v>0</v>
      </c>
      <c r="J7474" s="40" t="n">
        <f aca="false">H7474-I7474</f>
        <v>4.05</v>
      </c>
      <c r="K7474" s="41" t="n">
        <v>34</v>
      </c>
      <c r="L7474" s="42" t="n">
        <f aca="false">J7474*K7474</f>
        <v>137.7</v>
      </c>
      <c r="M7474" s="43" t="n">
        <f aca="false">H7474*17.99*(1+'Chart of Accounts'!$E$67)</f>
        <v>83.4241275</v>
      </c>
    </row>
    <row r="7475" customFormat="false" ht="15" hidden="false" customHeight="false" outlineLevel="0" collapsed="false">
      <c r="B7475" s="7" t="s">
        <v>7972</v>
      </c>
      <c r="C7475" s="39" t="n">
        <v>45996</v>
      </c>
      <c r="D7475" s="7" t="s">
        <v>397</v>
      </c>
      <c r="E7475" s="7" t="s">
        <v>159</v>
      </c>
      <c r="F7475" s="7" t="s">
        <v>203</v>
      </c>
      <c r="G7475" s="7" t="s">
        <v>502</v>
      </c>
      <c r="H7475" s="6" t="n">
        <v>0.99</v>
      </c>
      <c r="I7475" s="6" t="n">
        <v>0</v>
      </c>
      <c r="J7475" s="40" t="n">
        <f aca="false">H7475-I7475</f>
        <v>0.99</v>
      </c>
      <c r="K7475" s="41" t="n">
        <v>135</v>
      </c>
      <c r="L7475" s="42" t="n">
        <f aca="false">J7475*K7475</f>
        <v>133.65</v>
      </c>
      <c r="M7475" s="43" t="n">
        <f aca="false">H7475*49.43*(1+'Chart of Accounts'!$E$67)</f>
        <v>56.0313765</v>
      </c>
    </row>
    <row r="7476" customFormat="false" ht="15" hidden="false" customHeight="false" outlineLevel="0" collapsed="false">
      <c r="B7476" s="7" t="s">
        <v>7973</v>
      </c>
      <c r="C7476" s="39" t="n">
        <v>45996</v>
      </c>
      <c r="D7476" s="7" t="s">
        <v>399</v>
      </c>
      <c r="E7476" s="7" t="s">
        <v>154</v>
      </c>
      <c r="F7476" s="7" t="s">
        <v>214</v>
      </c>
      <c r="G7476" s="7" t="s">
        <v>505</v>
      </c>
      <c r="H7476" s="6" t="n">
        <v>3.01</v>
      </c>
      <c r="I7476" s="6" t="n">
        <v>0.09</v>
      </c>
      <c r="J7476" s="40" t="n">
        <f aca="false">H7476-I7476</f>
        <v>2.92</v>
      </c>
      <c r="K7476" s="41" t="n">
        <v>26.5</v>
      </c>
      <c r="L7476" s="42" t="n">
        <f aca="false">J7476*K7476</f>
        <v>77.38</v>
      </c>
      <c r="M7476" s="43" t="n">
        <f aca="false">H7476*15.67*(1+'Chart of Accounts'!$E$67)</f>
        <v>54.0058715</v>
      </c>
    </row>
    <row r="7477" customFormat="false" ht="15" hidden="false" customHeight="false" outlineLevel="0" collapsed="false">
      <c r="B7477" s="7" t="s">
        <v>7974</v>
      </c>
      <c r="C7477" s="39" t="n">
        <v>45996</v>
      </c>
      <c r="D7477" s="7" t="s">
        <v>401</v>
      </c>
      <c r="E7477" s="7" t="s">
        <v>156</v>
      </c>
      <c r="F7477" s="7" t="s">
        <v>254</v>
      </c>
      <c r="G7477" s="7" t="s">
        <v>505</v>
      </c>
      <c r="H7477" s="6" t="n">
        <v>3.68</v>
      </c>
      <c r="I7477" s="6" t="n">
        <v>0</v>
      </c>
      <c r="J7477" s="40" t="n">
        <f aca="false">H7477-I7477</f>
        <v>3.68</v>
      </c>
      <c r="K7477" s="41" t="n">
        <v>34</v>
      </c>
      <c r="L7477" s="42" t="n">
        <f aca="false">J7477*K7477</f>
        <v>125.12</v>
      </c>
      <c r="M7477" s="43" t="n">
        <f aca="false">H7477*17.1*(1+'Chart of Accounts'!$E$67)</f>
        <v>72.05256</v>
      </c>
    </row>
    <row r="7478" customFormat="false" ht="15" hidden="false" customHeight="false" outlineLevel="0" collapsed="false">
      <c r="B7478" s="7" t="s">
        <v>7975</v>
      </c>
      <c r="C7478" s="39" t="n">
        <v>45996</v>
      </c>
      <c r="D7478" s="7" t="s">
        <v>403</v>
      </c>
      <c r="E7478" s="7" t="s">
        <v>156</v>
      </c>
      <c r="F7478" s="7" t="s">
        <v>184</v>
      </c>
      <c r="G7478" s="7" t="s">
        <v>505</v>
      </c>
      <c r="H7478" s="6" t="n">
        <v>3.61</v>
      </c>
      <c r="I7478" s="6" t="n">
        <v>0</v>
      </c>
      <c r="J7478" s="40" t="n">
        <f aca="false">H7478-I7478</f>
        <v>3.61</v>
      </c>
      <c r="K7478" s="41" t="n">
        <v>34</v>
      </c>
      <c r="L7478" s="42" t="n">
        <f aca="false">J7478*K7478</f>
        <v>122.74</v>
      </c>
      <c r="M7478" s="43" t="n">
        <f aca="false">H7478*17.34*(1+'Chart of Accounts'!$E$67)</f>
        <v>71.674023</v>
      </c>
    </row>
    <row r="7479" customFormat="false" ht="15" hidden="false" customHeight="false" outlineLevel="0" collapsed="false">
      <c r="B7479" s="7" t="s">
        <v>7976</v>
      </c>
      <c r="C7479" s="39" t="n">
        <v>45996</v>
      </c>
      <c r="D7479" s="7" t="s">
        <v>407</v>
      </c>
      <c r="E7479" s="7" t="s">
        <v>159</v>
      </c>
      <c r="F7479" s="7" t="s">
        <v>260</v>
      </c>
      <c r="G7479" s="7" t="s">
        <v>502</v>
      </c>
      <c r="H7479" s="6" t="n">
        <v>1.03</v>
      </c>
      <c r="I7479" s="6" t="n">
        <v>0</v>
      </c>
      <c r="J7479" s="40" t="n">
        <f aca="false">H7479-I7479</f>
        <v>1.03</v>
      </c>
      <c r="K7479" s="41" t="n">
        <v>135</v>
      </c>
      <c r="L7479" s="42" t="n">
        <f aca="false">J7479*K7479</f>
        <v>139.05</v>
      </c>
      <c r="M7479" s="43" t="n">
        <f aca="false">H7479*79.8*(1+'Chart of Accounts'!$E$67)</f>
        <v>94.11213</v>
      </c>
    </row>
    <row r="7480" customFormat="false" ht="15" hidden="false" customHeight="false" outlineLevel="0" collapsed="false">
      <c r="B7480" s="7" t="s">
        <v>7977</v>
      </c>
      <c r="C7480" s="39" t="n">
        <v>45996</v>
      </c>
      <c r="D7480" s="7" t="s">
        <v>411</v>
      </c>
      <c r="E7480" s="7" t="s">
        <v>154</v>
      </c>
      <c r="F7480" s="7" t="s">
        <v>177</v>
      </c>
      <c r="G7480" s="7" t="s">
        <v>505</v>
      </c>
      <c r="H7480" s="6" t="n">
        <v>4.8</v>
      </c>
      <c r="I7480" s="6" t="n">
        <v>0</v>
      </c>
      <c r="J7480" s="40" t="n">
        <f aca="false">H7480-I7480</f>
        <v>4.8</v>
      </c>
      <c r="K7480" s="41" t="n">
        <v>26.5</v>
      </c>
      <c r="L7480" s="42" t="n">
        <f aca="false">J7480*K7480</f>
        <v>127.2</v>
      </c>
      <c r="M7480" s="43" t="n">
        <f aca="false">H7480*14.56*(1+'Chart of Accounts'!$E$67)</f>
        <v>80.02176</v>
      </c>
    </row>
    <row r="7481" customFormat="false" ht="15" hidden="false" customHeight="false" outlineLevel="0" collapsed="false">
      <c r="B7481" s="7" t="s">
        <v>7978</v>
      </c>
      <c r="C7481" s="39" t="n">
        <v>45997</v>
      </c>
      <c r="D7481" s="7" t="s">
        <v>288</v>
      </c>
      <c r="E7481" s="7" t="s">
        <v>156</v>
      </c>
      <c r="F7481" s="7" t="s">
        <v>238</v>
      </c>
      <c r="G7481" s="7" t="s">
        <v>505</v>
      </c>
      <c r="H7481" s="6" t="n">
        <v>3.73</v>
      </c>
      <c r="I7481" s="6" t="n">
        <v>0</v>
      </c>
      <c r="J7481" s="40" t="n">
        <f aca="false">H7481-I7481</f>
        <v>3.73</v>
      </c>
      <c r="K7481" s="41" t="n">
        <v>34</v>
      </c>
      <c r="L7481" s="42" t="n">
        <f aca="false">J7481*K7481</f>
        <v>126.82</v>
      </c>
      <c r="M7481" s="43" t="n">
        <f aca="false">H7481*15.85*(1+'Chart of Accounts'!$E$67)</f>
        <v>67.6929725</v>
      </c>
    </row>
    <row r="7482" customFormat="false" ht="15" hidden="false" customHeight="false" outlineLevel="0" collapsed="false">
      <c r="B7482" s="7" t="s">
        <v>7979</v>
      </c>
      <c r="C7482" s="39" t="n">
        <v>45997</v>
      </c>
      <c r="D7482" s="7" t="s">
        <v>321</v>
      </c>
      <c r="E7482" s="7" t="s">
        <v>154</v>
      </c>
      <c r="F7482" s="7" t="s">
        <v>218</v>
      </c>
      <c r="G7482" s="7" t="s">
        <v>505</v>
      </c>
      <c r="H7482" s="6" t="n">
        <v>4.26</v>
      </c>
      <c r="I7482" s="6" t="n">
        <v>0.128</v>
      </c>
      <c r="J7482" s="40" t="n">
        <f aca="false">H7482-I7482</f>
        <v>4.132</v>
      </c>
      <c r="K7482" s="41" t="n">
        <v>26.5</v>
      </c>
      <c r="L7482" s="42" t="n">
        <f aca="false">J7482*K7482</f>
        <v>109.498</v>
      </c>
      <c r="M7482" s="43" t="n">
        <f aca="false">H7482*16.19*(1+'Chart of Accounts'!$E$67)</f>
        <v>78.969963</v>
      </c>
    </row>
    <row r="7483" customFormat="false" ht="15" hidden="false" customHeight="false" outlineLevel="0" collapsed="false">
      <c r="B7483" s="7" t="s">
        <v>7980</v>
      </c>
      <c r="C7483" s="39" t="n">
        <v>45997</v>
      </c>
      <c r="D7483" s="7" t="s">
        <v>359</v>
      </c>
      <c r="E7483" s="7" t="s">
        <v>156</v>
      </c>
      <c r="F7483" s="7" t="s">
        <v>242</v>
      </c>
      <c r="G7483" s="7" t="s">
        <v>505</v>
      </c>
      <c r="H7483" s="6" t="n">
        <v>3.73</v>
      </c>
      <c r="I7483" s="6" t="n">
        <v>0</v>
      </c>
      <c r="J7483" s="40" t="n">
        <f aca="false">H7483-I7483</f>
        <v>3.73</v>
      </c>
      <c r="K7483" s="41" t="n">
        <v>34</v>
      </c>
      <c r="L7483" s="42" t="n">
        <f aca="false">J7483*K7483</f>
        <v>126.82</v>
      </c>
      <c r="M7483" s="43" t="n">
        <f aca="false">H7483*17.99*(1+'Chart of Accounts'!$E$67)</f>
        <v>76.8325915</v>
      </c>
    </row>
    <row r="7484" customFormat="false" ht="15" hidden="false" customHeight="false" outlineLevel="0" collapsed="false">
      <c r="B7484" s="7" t="s">
        <v>7981</v>
      </c>
      <c r="C7484" s="39" t="n">
        <v>45997</v>
      </c>
      <c r="D7484" s="7" t="s">
        <v>387</v>
      </c>
      <c r="E7484" s="7" t="s">
        <v>154</v>
      </c>
      <c r="F7484" s="7" t="s">
        <v>196</v>
      </c>
      <c r="G7484" s="7" t="s">
        <v>505</v>
      </c>
      <c r="H7484" s="6" t="n">
        <v>3.62</v>
      </c>
      <c r="I7484" s="6" t="n">
        <v>0</v>
      </c>
      <c r="J7484" s="40" t="n">
        <f aca="false">H7484-I7484</f>
        <v>3.62</v>
      </c>
      <c r="K7484" s="41" t="n">
        <v>26.5</v>
      </c>
      <c r="L7484" s="42" t="n">
        <f aca="false">J7484*K7484</f>
        <v>95.93</v>
      </c>
      <c r="M7484" s="43" t="n">
        <f aca="false">H7484*15.05*(1+'Chart of Accounts'!$E$67)</f>
        <v>62.380745</v>
      </c>
    </row>
    <row r="7485" customFormat="false" ht="15" hidden="false" customHeight="false" outlineLevel="0" collapsed="false">
      <c r="B7485" s="7" t="s">
        <v>7982</v>
      </c>
      <c r="C7485" s="39" t="n">
        <v>45997</v>
      </c>
      <c r="D7485" s="7" t="s">
        <v>391</v>
      </c>
      <c r="E7485" s="7" t="s">
        <v>156</v>
      </c>
      <c r="F7485" s="7" t="s">
        <v>222</v>
      </c>
      <c r="G7485" s="7" t="s">
        <v>505</v>
      </c>
      <c r="H7485" s="6" t="n">
        <v>3.74</v>
      </c>
      <c r="I7485" s="6" t="n">
        <v>0</v>
      </c>
      <c r="J7485" s="40" t="n">
        <f aca="false">H7485-I7485</f>
        <v>3.74</v>
      </c>
      <c r="K7485" s="41" t="n">
        <v>34</v>
      </c>
      <c r="L7485" s="42" t="n">
        <f aca="false">J7485*K7485</f>
        <v>127.16</v>
      </c>
      <c r="M7485" s="43" t="n">
        <f aca="false">H7485*17.84*(1+'Chart of Accounts'!$E$67)</f>
        <v>76.396232</v>
      </c>
    </row>
    <row r="7486" customFormat="false" ht="15" hidden="false" customHeight="false" outlineLevel="0" collapsed="false">
      <c r="B7486" s="7" t="s">
        <v>7983</v>
      </c>
      <c r="C7486" s="39" t="n">
        <v>45997</v>
      </c>
      <c r="D7486" s="7" t="s">
        <v>395</v>
      </c>
      <c r="E7486" s="7" t="s">
        <v>156</v>
      </c>
      <c r="F7486" s="7" t="s">
        <v>242</v>
      </c>
      <c r="G7486" s="7" t="s">
        <v>505</v>
      </c>
      <c r="H7486" s="6" t="n">
        <v>3.71</v>
      </c>
      <c r="I7486" s="6" t="n">
        <v>0</v>
      </c>
      <c r="J7486" s="40" t="n">
        <f aca="false">H7486-I7486</f>
        <v>3.71</v>
      </c>
      <c r="K7486" s="41" t="n">
        <v>34</v>
      </c>
      <c r="L7486" s="42" t="n">
        <f aca="false">J7486*K7486</f>
        <v>126.14</v>
      </c>
      <c r="M7486" s="43" t="n">
        <f aca="false">H7486*17.99*(1+'Chart of Accounts'!$E$67)</f>
        <v>76.4206205</v>
      </c>
    </row>
    <row r="7487" customFormat="false" ht="15" hidden="false" customHeight="false" outlineLevel="0" collapsed="false">
      <c r="B7487" s="7" t="s">
        <v>7984</v>
      </c>
      <c r="C7487" s="39" t="n">
        <v>45997</v>
      </c>
      <c r="D7487" s="7" t="s">
        <v>401</v>
      </c>
      <c r="E7487" s="7" t="s">
        <v>156</v>
      </c>
      <c r="F7487" s="7" t="s">
        <v>254</v>
      </c>
      <c r="G7487" s="7" t="s">
        <v>505</v>
      </c>
      <c r="H7487" s="6" t="n">
        <v>3.89</v>
      </c>
      <c r="I7487" s="6" t="n">
        <v>0</v>
      </c>
      <c r="J7487" s="40" t="n">
        <f aca="false">H7487-I7487</f>
        <v>3.89</v>
      </c>
      <c r="K7487" s="41" t="n">
        <v>34</v>
      </c>
      <c r="L7487" s="42" t="n">
        <f aca="false">J7487*K7487</f>
        <v>132.26</v>
      </c>
      <c r="M7487" s="43" t="n">
        <f aca="false">H7487*17.1*(1+'Chart of Accounts'!$E$67)</f>
        <v>76.164255</v>
      </c>
    </row>
    <row r="7488" customFormat="false" ht="15" hidden="false" customHeight="false" outlineLevel="0" collapsed="false">
      <c r="B7488" s="7" t="s">
        <v>7985</v>
      </c>
      <c r="C7488" s="39" t="n">
        <v>45998</v>
      </c>
      <c r="D7488" s="7" t="s">
        <v>288</v>
      </c>
      <c r="E7488" s="7" t="s">
        <v>156</v>
      </c>
      <c r="F7488" s="7" t="s">
        <v>224</v>
      </c>
      <c r="G7488" s="7" t="s">
        <v>505</v>
      </c>
      <c r="H7488" s="6" t="n">
        <v>4.11</v>
      </c>
      <c r="I7488" s="6" t="n">
        <v>0</v>
      </c>
      <c r="J7488" s="40" t="n">
        <f aca="false">H7488-I7488</f>
        <v>4.11</v>
      </c>
      <c r="K7488" s="41" t="n">
        <v>34</v>
      </c>
      <c r="L7488" s="42" t="n">
        <f aca="false">J7488*K7488</f>
        <v>139.74</v>
      </c>
      <c r="M7488" s="43" t="n">
        <f aca="false">H7488*14.93*(1+'Chart of Accounts'!$E$67)</f>
        <v>70.2598335</v>
      </c>
    </row>
    <row r="7489" customFormat="false" ht="15" hidden="false" customHeight="false" outlineLevel="0" collapsed="false">
      <c r="B7489" s="7" t="s">
        <v>7986</v>
      </c>
      <c r="C7489" s="39" t="n">
        <v>45998</v>
      </c>
      <c r="D7489" s="7" t="s">
        <v>321</v>
      </c>
      <c r="E7489" s="7" t="s">
        <v>154</v>
      </c>
      <c r="F7489" s="7" t="s">
        <v>218</v>
      </c>
      <c r="G7489" s="7" t="s">
        <v>505</v>
      </c>
      <c r="H7489" s="6" t="n">
        <v>4.23</v>
      </c>
      <c r="I7489" s="6" t="n">
        <v>0</v>
      </c>
      <c r="J7489" s="40" t="n">
        <f aca="false">H7489-I7489</f>
        <v>4.23</v>
      </c>
      <c r="K7489" s="41" t="n">
        <v>26.5</v>
      </c>
      <c r="L7489" s="42" t="n">
        <f aca="false">J7489*K7489</f>
        <v>112.095</v>
      </c>
      <c r="M7489" s="43" t="n">
        <f aca="false">H7489*16.19*(1+'Chart of Accounts'!$E$67)</f>
        <v>78.4138365</v>
      </c>
    </row>
    <row r="7490" customFormat="false" ht="15" hidden="false" customHeight="false" outlineLevel="0" collapsed="false">
      <c r="B7490" s="7" t="s">
        <v>7987</v>
      </c>
      <c r="C7490" s="39" t="n">
        <v>45998</v>
      </c>
      <c r="D7490" s="7" t="s">
        <v>359</v>
      </c>
      <c r="E7490" s="7" t="s">
        <v>156</v>
      </c>
      <c r="F7490" s="7" t="s">
        <v>254</v>
      </c>
      <c r="G7490" s="7" t="s">
        <v>505</v>
      </c>
      <c r="H7490" s="6" t="n">
        <v>3.82</v>
      </c>
      <c r="I7490" s="6" t="n">
        <v>0</v>
      </c>
      <c r="J7490" s="40" t="n">
        <f aca="false">H7490-I7490</f>
        <v>3.82</v>
      </c>
      <c r="K7490" s="41" t="n">
        <v>34</v>
      </c>
      <c r="L7490" s="42" t="n">
        <f aca="false">J7490*K7490</f>
        <v>129.88</v>
      </c>
      <c r="M7490" s="43" t="n">
        <f aca="false">H7490*17.1*(1+'Chart of Accounts'!$E$67)</f>
        <v>74.79369</v>
      </c>
    </row>
    <row r="7491" customFormat="false" ht="15" hidden="false" customHeight="false" outlineLevel="0" collapsed="false">
      <c r="B7491" s="7" t="s">
        <v>7988</v>
      </c>
      <c r="C7491" s="39" t="n">
        <v>45998</v>
      </c>
      <c r="D7491" s="7" t="s">
        <v>387</v>
      </c>
      <c r="E7491" s="7" t="s">
        <v>154</v>
      </c>
      <c r="F7491" s="7" t="s">
        <v>196</v>
      </c>
      <c r="G7491" s="7" t="s">
        <v>505</v>
      </c>
      <c r="H7491" s="6" t="n">
        <v>3.93</v>
      </c>
      <c r="I7491" s="6" t="n">
        <v>0</v>
      </c>
      <c r="J7491" s="40" t="n">
        <f aca="false">H7491-I7491</f>
        <v>3.93</v>
      </c>
      <c r="K7491" s="41" t="n">
        <v>26.5</v>
      </c>
      <c r="L7491" s="42" t="n">
        <f aca="false">J7491*K7491</f>
        <v>104.145</v>
      </c>
      <c r="M7491" s="43" t="n">
        <f aca="false">H7491*15.05*(1+'Chart of Accounts'!$E$67)</f>
        <v>67.7227425</v>
      </c>
    </row>
    <row r="7492" customFormat="false" ht="15" hidden="false" customHeight="false" outlineLevel="0" collapsed="false">
      <c r="B7492" s="7" t="s">
        <v>7989</v>
      </c>
      <c r="C7492" s="39" t="n">
        <v>45998</v>
      </c>
      <c r="D7492" s="7" t="s">
        <v>391</v>
      </c>
      <c r="E7492" s="7" t="s">
        <v>156</v>
      </c>
      <c r="F7492" s="7" t="s">
        <v>222</v>
      </c>
      <c r="G7492" s="7" t="s">
        <v>505</v>
      </c>
      <c r="H7492" s="6" t="n">
        <v>3.64</v>
      </c>
      <c r="I7492" s="6" t="n">
        <v>0</v>
      </c>
      <c r="J7492" s="40" t="n">
        <f aca="false">H7492-I7492</f>
        <v>3.64</v>
      </c>
      <c r="K7492" s="41" t="n">
        <v>34</v>
      </c>
      <c r="L7492" s="42" t="n">
        <f aca="false">J7492*K7492</f>
        <v>123.76</v>
      </c>
      <c r="M7492" s="43" t="n">
        <f aca="false">H7492*17.84*(1+'Chart of Accounts'!$E$67)</f>
        <v>74.353552</v>
      </c>
    </row>
    <row r="7493" customFormat="false" ht="15" hidden="false" customHeight="false" outlineLevel="0" collapsed="false">
      <c r="B7493" s="7" t="s">
        <v>7990</v>
      </c>
      <c r="C7493" s="39" t="n">
        <v>45998</v>
      </c>
      <c r="D7493" s="7" t="s">
        <v>395</v>
      </c>
      <c r="E7493" s="7" t="s">
        <v>156</v>
      </c>
      <c r="F7493" s="7" t="s">
        <v>242</v>
      </c>
      <c r="G7493" s="7" t="s">
        <v>505</v>
      </c>
      <c r="H7493" s="6" t="n">
        <v>4.23</v>
      </c>
      <c r="I7493" s="6" t="n">
        <v>0</v>
      </c>
      <c r="J7493" s="40" t="n">
        <f aca="false">H7493-I7493</f>
        <v>4.23</v>
      </c>
      <c r="K7493" s="41" t="n">
        <v>34</v>
      </c>
      <c r="L7493" s="42" t="n">
        <f aca="false">J7493*K7493</f>
        <v>143.82</v>
      </c>
      <c r="M7493" s="43" t="n">
        <f aca="false">H7493*17.99*(1+'Chart of Accounts'!$E$67)</f>
        <v>87.1318665</v>
      </c>
    </row>
    <row r="7494" customFormat="false" ht="15" hidden="false" customHeight="false" outlineLevel="0" collapsed="false">
      <c r="B7494" s="7" t="s">
        <v>7991</v>
      </c>
      <c r="C7494" s="39" t="n">
        <v>45998</v>
      </c>
      <c r="D7494" s="7" t="s">
        <v>401</v>
      </c>
      <c r="E7494" s="7" t="s">
        <v>156</v>
      </c>
      <c r="F7494" s="7" t="s">
        <v>254</v>
      </c>
      <c r="G7494" s="7" t="s">
        <v>505</v>
      </c>
      <c r="H7494" s="6" t="n">
        <v>4.35</v>
      </c>
      <c r="I7494" s="6" t="n">
        <v>0</v>
      </c>
      <c r="J7494" s="40" t="n">
        <f aca="false">H7494-I7494</f>
        <v>4.35</v>
      </c>
      <c r="K7494" s="41" t="n">
        <v>34</v>
      </c>
      <c r="L7494" s="42" t="n">
        <f aca="false">J7494*K7494</f>
        <v>147.9</v>
      </c>
      <c r="M7494" s="43" t="n">
        <f aca="false">H7494*17.1*(1+'Chart of Accounts'!$E$67)</f>
        <v>85.170825</v>
      </c>
    </row>
    <row r="7495" customFormat="false" ht="15" hidden="false" customHeight="false" outlineLevel="0" collapsed="false">
      <c r="B7495" s="7" t="s">
        <v>7992</v>
      </c>
      <c r="C7495" s="39" t="n">
        <v>45999</v>
      </c>
      <c r="D7495" s="7" t="s">
        <v>288</v>
      </c>
      <c r="E7495" s="7" t="s">
        <v>156</v>
      </c>
      <c r="F7495" s="7" t="s">
        <v>238</v>
      </c>
      <c r="G7495" s="7" t="s">
        <v>505</v>
      </c>
      <c r="H7495" s="6" t="n">
        <v>3.65</v>
      </c>
      <c r="I7495" s="6" t="n">
        <v>0</v>
      </c>
      <c r="J7495" s="40" t="n">
        <f aca="false">H7495-I7495</f>
        <v>3.65</v>
      </c>
      <c r="K7495" s="41" t="n">
        <v>34</v>
      </c>
      <c r="L7495" s="42" t="n">
        <f aca="false">J7495*K7495</f>
        <v>124.1</v>
      </c>
      <c r="M7495" s="43" t="n">
        <f aca="false">H7495*15.85*(1+'Chart of Accounts'!$E$67)</f>
        <v>66.2411125</v>
      </c>
    </row>
    <row r="7496" customFormat="false" ht="15" hidden="false" customHeight="false" outlineLevel="0" collapsed="false">
      <c r="B7496" s="7" t="s">
        <v>7993</v>
      </c>
      <c r="C7496" s="39" t="n">
        <v>45999</v>
      </c>
      <c r="D7496" s="7" t="s">
        <v>291</v>
      </c>
      <c r="E7496" s="7" t="s">
        <v>154</v>
      </c>
      <c r="F7496" s="7" t="s">
        <v>194</v>
      </c>
      <c r="G7496" s="7" t="s">
        <v>505</v>
      </c>
      <c r="H7496" s="6" t="n">
        <v>5.11</v>
      </c>
      <c r="I7496" s="6" t="n">
        <v>0</v>
      </c>
      <c r="J7496" s="40" t="n">
        <f aca="false">H7496-I7496</f>
        <v>5.11</v>
      </c>
      <c r="K7496" s="41" t="n">
        <v>26.5</v>
      </c>
      <c r="L7496" s="42" t="n">
        <f aca="false">J7496*K7496</f>
        <v>135.415</v>
      </c>
      <c r="M7496" s="43" t="n">
        <f aca="false">H7496*16*(1+'Chart of Accounts'!$E$67)</f>
        <v>93.6152</v>
      </c>
    </row>
    <row r="7497" customFormat="false" ht="15" hidden="false" customHeight="false" outlineLevel="0" collapsed="false">
      <c r="B7497" s="7" t="s">
        <v>7994</v>
      </c>
      <c r="C7497" s="39" t="n">
        <v>45999</v>
      </c>
      <c r="D7497" s="7" t="s">
        <v>295</v>
      </c>
      <c r="E7497" s="7" t="s">
        <v>154</v>
      </c>
      <c r="F7497" s="7" t="s">
        <v>214</v>
      </c>
      <c r="G7497" s="7" t="s">
        <v>505</v>
      </c>
      <c r="H7497" s="6" t="n">
        <v>4.34</v>
      </c>
      <c r="I7497" s="6" t="n">
        <v>0</v>
      </c>
      <c r="J7497" s="40" t="n">
        <f aca="false">H7497-I7497</f>
        <v>4.34</v>
      </c>
      <c r="K7497" s="41" t="n">
        <v>26.5</v>
      </c>
      <c r="L7497" s="42" t="n">
        <f aca="false">J7497*K7497</f>
        <v>115.01</v>
      </c>
      <c r="M7497" s="43" t="n">
        <f aca="false">H7497*15.67*(1+'Chart of Accounts'!$E$67)</f>
        <v>77.868931</v>
      </c>
    </row>
    <row r="7498" customFormat="false" ht="15" hidden="false" customHeight="false" outlineLevel="0" collapsed="false">
      <c r="B7498" s="7" t="s">
        <v>7995</v>
      </c>
      <c r="C7498" s="39" t="n">
        <v>45999</v>
      </c>
      <c r="D7498" s="7" t="s">
        <v>297</v>
      </c>
      <c r="E7498" s="7" t="s">
        <v>156</v>
      </c>
      <c r="F7498" s="7" t="s">
        <v>201</v>
      </c>
      <c r="G7498" s="7" t="s">
        <v>505</v>
      </c>
      <c r="H7498" s="6" t="n">
        <v>3.22</v>
      </c>
      <c r="I7498" s="6" t="n">
        <v>0</v>
      </c>
      <c r="J7498" s="40" t="n">
        <f aca="false">H7498-I7498</f>
        <v>3.22</v>
      </c>
      <c r="K7498" s="41" t="n">
        <v>34</v>
      </c>
      <c r="L7498" s="42" t="n">
        <f aca="false">J7498*K7498</f>
        <v>109.48</v>
      </c>
      <c r="M7498" s="43" t="n">
        <f aca="false">H7498*15.19*(1+'Chart of Accounts'!$E$67)</f>
        <v>56.004011</v>
      </c>
    </row>
    <row r="7499" customFormat="false" ht="15" hidden="false" customHeight="false" outlineLevel="0" collapsed="false">
      <c r="B7499" s="7" t="s">
        <v>7996</v>
      </c>
      <c r="C7499" s="39" t="n">
        <v>45999</v>
      </c>
      <c r="D7499" s="7" t="s">
        <v>299</v>
      </c>
      <c r="E7499" s="7" t="s">
        <v>154</v>
      </c>
      <c r="F7499" s="7" t="s">
        <v>205</v>
      </c>
      <c r="G7499" s="7" t="s">
        <v>505</v>
      </c>
      <c r="H7499" s="6" t="n">
        <v>3.04</v>
      </c>
      <c r="I7499" s="6" t="n">
        <v>0</v>
      </c>
      <c r="J7499" s="40" t="n">
        <f aca="false">H7499-I7499</f>
        <v>3.04</v>
      </c>
      <c r="K7499" s="41" t="n">
        <v>26.5</v>
      </c>
      <c r="L7499" s="42" t="n">
        <f aca="false">J7499*K7499</f>
        <v>80.56</v>
      </c>
      <c r="M7499" s="43" t="n">
        <f aca="false">H7499*16.36*(1+'Chart of Accounts'!$E$67)</f>
        <v>56.945888</v>
      </c>
    </row>
    <row r="7500" customFormat="false" ht="15" hidden="false" customHeight="false" outlineLevel="0" collapsed="false">
      <c r="B7500" s="7" t="s">
        <v>7997</v>
      </c>
      <c r="C7500" s="39" t="n">
        <v>45999</v>
      </c>
      <c r="D7500" s="7" t="s">
        <v>303</v>
      </c>
      <c r="E7500" s="7" t="s">
        <v>154</v>
      </c>
      <c r="F7500" s="7" t="s">
        <v>240</v>
      </c>
      <c r="G7500" s="7" t="s">
        <v>505</v>
      </c>
      <c r="H7500" s="6" t="n">
        <v>4.34</v>
      </c>
      <c r="I7500" s="6" t="n">
        <v>0</v>
      </c>
      <c r="J7500" s="40" t="n">
        <f aca="false">H7500-I7500</f>
        <v>4.34</v>
      </c>
      <c r="K7500" s="41" t="n">
        <v>26.5</v>
      </c>
      <c r="L7500" s="42" t="n">
        <f aca="false">J7500*K7500</f>
        <v>115.01</v>
      </c>
      <c r="M7500" s="43" t="n">
        <f aca="false">H7500*16.96*(1+'Chart of Accounts'!$E$67)</f>
        <v>84.279328</v>
      </c>
    </row>
    <row r="7501" customFormat="false" ht="15" hidden="false" customHeight="false" outlineLevel="0" collapsed="false">
      <c r="B7501" s="7" t="s">
        <v>7998</v>
      </c>
      <c r="C7501" s="39" t="n">
        <v>45999</v>
      </c>
      <c r="D7501" s="7" t="s">
        <v>305</v>
      </c>
      <c r="E7501" s="7" t="s">
        <v>154</v>
      </c>
      <c r="F7501" s="7" t="s">
        <v>205</v>
      </c>
      <c r="G7501" s="7" t="s">
        <v>505</v>
      </c>
      <c r="H7501" s="6" t="n">
        <v>4.1</v>
      </c>
      <c r="I7501" s="6" t="n">
        <v>0</v>
      </c>
      <c r="J7501" s="40" t="n">
        <f aca="false">H7501-I7501</f>
        <v>4.1</v>
      </c>
      <c r="K7501" s="41" t="n">
        <v>26.5</v>
      </c>
      <c r="L7501" s="42" t="n">
        <f aca="false">J7501*K7501</f>
        <v>108.65</v>
      </c>
      <c r="M7501" s="43" t="n">
        <f aca="false">H7501*16.36*(1+'Chart of Accounts'!$E$67)</f>
        <v>76.80202</v>
      </c>
    </row>
    <row r="7502" customFormat="false" ht="15" hidden="false" customHeight="false" outlineLevel="0" collapsed="false">
      <c r="B7502" s="7" t="s">
        <v>7999</v>
      </c>
      <c r="C7502" s="39" t="n">
        <v>45999</v>
      </c>
      <c r="D7502" s="7" t="s">
        <v>307</v>
      </c>
      <c r="E7502" s="7" t="s">
        <v>157</v>
      </c>
      <c r="F7502" s="7" t="s">
        <v>264</v>
      </c>
      <c r="G7502" s="7" t="s">
        <v>502</v>
      </c>
      <c r="H7502" s="6" t="n">
        <v>0.94</v>
      </c>
      <c r="I7502" s="6" t="n">
        <v>0</v>
      </c>
      <c r="J7502" s="40" t="n">
        <f aca="false">H7502-I7502</f>
        <v>0.94</v>
      </c>
      <c r="K7502" s="41" t="n">
        <v>165</v>
      </c>
      <c r="L7502" s="42" t="n">
        <f aca="false">J7502*K7502</f>
        <v>155.1</v>
      </c>
      <c r="M7502" s="43" t="n">
        <f aca="false">H7502*55.55*(1+'Chart of Accounts'!$E$67)</f>
        <v>59.788465</v>
      </c>
    </row>
    <row r="7503" customFormat="false" ht="15" hidden="false" customHeight="false" outlineLevel="0" collapsed="false">
      <c r="B7503" s="7" t="s">
        <v>8000</v>
      </c>
      <c r="C7503" s="39" t="n">
        <v>45999</v>
      </c>
      <c r="D7503" s="7" t="s">
        <v>309</v>
      </c>
      <c r="E7503" s="7" t="s">
        <v>159</v>
      </c>
      <c r="F7503" s="7" t="s">
        <v>252</v>
      </c>
      <c r="G7503" s="7" t="s">
        <v>502</v>
      </c>
      <c r="H7503" s="6" t="n">
        <v>1</v>
      </c>
      <c r="I7503" s="6" t="n">
        <v>0.07</v>
      </c>
      <c r="J7503" s="40" t="n">
        <f aca="false">H7503-I7503</f>
        <v>0.93</v>
      </c>
      <c r="K7503" s="41" t="n">
        <v>135</v>
      </c>
      <c r="L7503" s="42" t="n">
        <f aca="false">J7503*K7503</f>
        <v>125.55</v>
      </c>
      <c r="M7503" s="43" t="n">
        <f aca="false">H7503*57.54*(1+'Chart of Accounts'!$E$67)</f>
        <v>65.8833</v>
      </c>
    </row>
    <row r="7504" customFormat="false" ht="15" hidden="false" customHeight="false" outlineLevel="0" collapsed="false">
      <c r="B7504" s="7" t="s">
        <v>8001</v>
      </c>
      <c r="C7504" s="39" t="n">
        <v>45999</v>
      </c>
      <c r="D7504" s="7" t="s">
        <v>311</v>
      </c>
      <c r="E7504" s="7" t="s">
        <v>154</v>
      </c>
      <c r="F7504" s="7" t="s">
        <v>196</v>
      </c>
      <c r="G7504" s="7" t="s">
        <v>505</v>
      </c>
      <c r="H7504" s="6" t="n">
        <v>3.1</v>
      </c>
      <c r="I7504" s="6" t="n">
        <v>0</v>
      </c>
      <c r="J7504" s="40" t="n">
        <f aca="false">H7504-I7504</f>
        <v>3.1</v>
      </c>
      <c r="K7504" s="41" t="n">
        <v>26.5</v>
      </c>
      <c r="L7504" s="42" t="n">
        <f aca="false">J7504*K7504</f>
        <v>82.15</v>
      </c>
      <c r="M7504" s="43" t="n">
        <f aca="false">H7504*15.05*(1+'Chart of Accounts'!$E$67)</f>
        <v>53.419975</v>
      </c>
    </row>
    <row r="7505" customFormat="false" ht="15" hidden="false" customHeight="false" outlineLevel="0" collapsed="false">
      <c r="B7505" s="7" t="s">
        <v>8002</v>
      </c>
      <c r="C7505" s="39" t="n">
        <v>45999</v>
      </c>
      <c r="D7505" s="7" t="s">
        <v>313</v>
      </c>
      <c r="E7505" s="7" t="s">
        <v>156</v>
      </c>
      <c r="F7505" s="7" t="s">
        <v>184</v>
      </c>
      <c r="G7505" s="7" t="s">
        <v>505</v>
      </c>
      <c r="H7505" s="6" t="n">
        <v>3.98</v>
      </c>
      <c r="I7505" s="6" t="n">
        <v>0</v>
      </c>
      <c r="J7505" s="40" t="n">
        <f aca="false">H7505-I7505</f>
        <v>3.98</v>
      </c>
      <c r="K7505" s="41" t="n">
        <v>34</v>
      </c>
      <c r="L7505" s="42" t="n">
        <f aca="false">J7505*K7505</f>
        <v>135.32</v>
      </c>
      <c r="M7505" s="43" t="n">
        <f aca="false">H7505*17.34*(1+'Chart of Accounts'!$E$67)</f>
        <v>79.020114</v>
      </c>
    </row>
    <row r="7506" customFormat="false" ht="15" hidden="false" customHeight="false" outlineLevel="0" collapsed="false">
      <c r="B7506" s="7" t="s">
        <v>8003</v>
      </c>
      <c r="C7506" s="39" t="n">
        <v>45999</v>
      </c>
      <c r="D7506" s="7" t="s">
        <v>315</v>
      </c>
      <c r="E7506" s="7" t="s">
        <v>159</v>
      </c>
      <c r="F7506" s="7" t="s">
        <v>216</v>
      </c>
      <c r="G7506" s="7" t="s">
        <v>502</v>
      </c>
      <c r="H7506" s="6" t="n">
        <v>0.96</v>
      </c>
      <c r="I7506" s="6" t="n">
        <v>0</v>
      </c>
      <c r="J7506" s="40" t="n">
        <f aca="false">H7506-I7506</f>
        <v>0.96</v>
      </c>
      <c r="K7506" s="41" t="n">
        <v>135</v>
      </c>
      <c r="L7506" s="42" t="n">
        <f aca="false">J7506*K7506</f>
        <v>129.6</v>
      </c>
      <c r="M7506" s="43" t="n">
        <f aca="false">H7506*61.79*(1+'Chart of Accounts'!$E$67)</f>
        <v>67.919568</v>
      </c>
    </row>
    <row r="7507" customFormat="false" ht="15" hidden="false" customHeight="false" outlineLevel="0" collapsed="false">
      <c r="B7507" s="7" t="s">
        <v>8004</v>
      </c>
      <c r="C7507" s="39" t="n">
        <v>45999</v>
      </c>
      <c r="D7507" s="7" t="s">
        <v>317</v>
      </c>
      <c r="E7507" s="7" t="s">
        <v>156</v>
      </c>
      <c r="F7507" s="7" t="s">
        <v>246</v>
      </c>
      <c r="G7507" s="7" t="s">
        <v>505</v>
      </c>
      <c r="H7507" s="6" t="n">
        <v>2.95</v>
      </c>
      <c r="I7507" s="6" t="n">
        <v>0</v>
      </c>
      <c r="J7507" s="40" t="n">
        <f aca="false">H7507-I7507</f>
        <v>2.95</v>
      </c>
      <c r="K7507" s="41" t="n">
        <v>34</v>
      </c>
      <c r="L7507" s="42" t="n">
        <f aca="false">J7507*K7507</f>
        <v>100.3</v>
      </c>
      <c r="M7507" s="43" t="n">
        <f aca="false">H7507*16.48*(1+'Chart of Accounts'!$E$67)</f>
        <v>55.66532</v>
      </c>
    </row>
    <row r="7508" customFormat="false" ht="15" hidden="false" customHeight="false" outlineLevel="0" collapsed="false">
      <c r="B7508" s="7" t="s">
        <v>8005</v>
      </c>
      <c r="C7508" s="39" t="n">
        <v>45999</v>
      </c>
      <c r="D7508" s="7" t="s">
        <v>321</v>
      </c>
      <c r="E7508" s="7" t="s">
        <v>154</v>
      </c>
      <c r="F7508" s="7" t="s">
        <v>218</v>
      </c>
      <c r="G7508" s="7" t="s">
        <v>505</v>
      </c>
      <c r="H7508" s="6" t="n">
        <v>4.26</v>
      </c>
      <c r="I7508" s="6" t="n">
        <v>0</v>
      </c>
      <c r="J7508" s="40" t="n">
        <f aca="false">H7508-I7508</f>
        <v>4.26</v>
      </c>
      <c r="K7508" s="41" t="n">
        <v>26.5</v>
      </c>
      <c r="L7508" s="42" t="n">
        <f aca="false">J7508*K7508</f>
        <v>112.89</v>
      </c>
      <c r="M7508" s="43" t="n">
        <f aca="false">H7508*16.19*(1+'Chart of Accounts'!$E$67)</f>
        <v>78.969963</v>
      </c>
    </row>
    <row r="7509" customFormat="false" ht="15" hidden="false" customHeight="false" outlineLevel="0" collapsed="false">
      <c r="B7509" s="7" t="s">
        <v>8006</v>
      </c>
      <c r="C7509" s="39" t="n">
        <v>45999</v>
      </c>
      <c r="D7509" s="7" t="s">
        <v>325</v>
      </c>
      <c r="E7509" s="7" t="s">
        <v>154</v>
      </c>
      <c r="F7509" s="7" t="s">
        <v>254</v>
      </c>
      <c r="G7509" s="7" t="s">
        <v>505</v>
      </c>
      <c r="H7509" s="6" t="n">
        <v>3.29</v>
      </c>
      <c r="I7509" s="6" t="n">
        <v>0</v>
      </c>
      <c r="J7509" s="40" t="n">
        <f aca="false">H7509-I7509</f>
        <v>3.29</v>
      </c>
      <c r="K7509" s="41" t="n">
        <v>26.5</v>
      </c>
      <c r="L7509" s="42" t="n">
        <f aca="false">J7509*K7509</f>
        <v>87.185</v>
      </c>
      <c r="M7509" s="43" t="n">
        <f aca="false">H7509*17.1*(1+'Chart of Accounts'!$E$67)</f>
        <v>64.416555</v>
      </c>
    </row>
    <row r="7510" customFormat="false" ht="15" hidden="false" customHeight="false" outlineLevel="0" collapsed="false">
      <c r="B7510" s="7" t="s">
        <v>8007</v>
      </c>
      <c r="C7510" s="39" t="n">
        <v>45999</v>
      </c>
      <c r="D7510" s="7" t="s">
        <v>329</v>
      </c>
      <c r="E7510" s="7" t="s">
        <v>156</v>
      </c>
      <c r="F7510" s="7" t="s">
        <v>220</v>
      </c>
      <c r="G7510" s="7" t="s">
        <v>505</v>
      </c>
      <c r="H7510" s="6" t="n">
        <v>4.29</v>
      </c>
      <c r="I7510" s="6" t="n">
        <v>0</v>
      </c>
      <c r="J7510" s="40" t="n">
        <f aca="false">H7510-I7510</f>
        <v>4.29</v>
      </c>
      <c r="K7510" s="41" t="n">
        <v>34</v>
      </c>
      <c r="L7510" s="42" t="n">
        <f aca="false">J7510*K7510</f>
        <v>145.86</v>
      </c>
      <c r="M7510" s="43" t="n">
        <f aca="false">H7510*16.43*(1+'Chart of Accounts'!$E$67)</f>
        <v>80.7049815</v>
      </c>
    </row>
    <row r="7511" customFormat="false" ht="15" hidden="false" customHeight="false" outlineLevel="0" collapsed="false">
      <c r="B7511" s="7" t="s">
        <v>8008</v>
      </c>
      <c r="C7511" s="39" t="n">
        <v>45999</v>
      </c>
      <c r="D7511" s="7" t="s">
        <v>333</v>
      </c>
      <c r="E7511" s="7" t="s">
        <v>154</v>
      </c>
      <c r="F7511" s="7" t="s">
        <v>236</v>
      </c>
      <c r="G7511" s="7" t="s">
        <v>505</v>
      </c>
      <c r="H7511" s="6" t="n">
        <v>3.48</v>
      </c>
      <c r="I7511" s="6" t="n">
        <v>0</v>
      </c>
      <c r="J7511" s="40" t="n">
        <f aca="false">H7511-I7511</f>
        <v>3.48</v>
      </c>
      <c r="K7511" s="41" t="n">
        <v>26.5</v>
      </c>
      <c r="L7511" s="42" t="n">
        <f aca="false">J7511*K7511</f>
        <v>92.22</v>
      </c>
      <c r="M7511" s="43" t="n">
        <f aca="false">H7511*15.49*(1+'Chart of Accounts'!$E$67)</f>
        <v>61.721454</v>
      </c>
    </row>
    <row r="7512" customFormat="false" ht="15" hidden="false" customHeight="false" outlineLevel="0" collapsed="false">
      <c r="B7512" s="7" t="s">
        <v>8009</v>
      </c>
      <c r="C7512" s="39" t="n">
        <v>45999</v>
      </c>
      <c r="D7512" s="7" t="s">
        <v>335</v>
      </c>
      <c r="E7512" s="7" t="s">
        <v>154</v>
      </c>
      <c r="F7512" s="7" t="s">
        <v>177</v>
      </c>
      <c r="G7512" s="7" t="s">
        <v>505</v>
      </c>
      <c r="H7512" s="6" t="n">
        <v>3.89</v>
      </c>
      <c r="I7512" s="6" t="n">
        <v>0</v>
      </c>
      <c r="J7512" s="40" t="n">
        <f aca="false">H7512-I7512</f>
        <v>3.89</v>
      </c>
      <c r="K7512" s="41" t="n">
        <v>26.5</v>
      </c>
      <c r="L7512" s="42" t="n">
        <f aca="false">J7512*K7512</f>
        <v>103.085</v>
      </c>
      <c r="M7512" s="43" t="n">
        <f aca="false">H7512*14.56*(1+'Chart of Accounts'!$E$67)</f>
        <v>64.850968</v>
      </c>
    </row>
    <row r="7513" customFormat="false" ht="15" hidden="false" customHeight="false" outlineLevel="0" collapsed="false">
      <c r="B7513" s="7" t="s">
        <v>8010</v>
      </c>
      <c r="C7513" s="39" t="n">
        <v>45999</v>
      </c>
      <c r="D7513" s="7" t="s">
        <v>339</v>
      </c>
      <c r="E7513" s="7" t="s">
        <v>154</v>
      </c>
      <c r="F7513" s="7" t="s">
        <v>242</v>
      </c>
      <c r="G7513" s="7" t="s">
        <v>505</v>
      </c>
      <c r="H7513" s="6" t="n">
        <v>3.35</v>
      </c>
      <c r="I7513" s="6" t="n">
        <v>0</v>
      </c>
      <c r="J7513" s="40" t="n">
        <f aca="false">H7513-I7513</f>
        <v>3.35</v>
      </c>
      <c r="K7513" s="41" t="n">
        <v>26.5</v>
      </c>
      <c r="L7513" s="42" t="n">
        <f aca="false">J7513*K7513</f>
        <v>88.775</v>
      </c>
      <c r="M7513" s="43" t="n">
        <f aca="false">H7513*17.99*(1+'Chart of Accounts'!$E$67)</f>
        <v>69.0051425</v>
      </c>
    </row>
    <row r="7514" customFormat="false" ht="15" hidden="false" customHeight="false" outlineLevel="0" collapsed="false">
      <c r="B7514" s="7" t="s">
        <v>8011</v>
      </c>
      <c r="C7514" s="39" t="n">
        <v>45999</v>
      </c>
      <c r="D7514" s="7" t="s">
        <v>341</v>
      </c>
      <c r="E7514" s="7" t="s">
        <v>156</v>
      </c>
      <c r="F7514" s="7" t="s">
        <v>222</v>
      </c>
      <c r="G7514" s="7" t="s">
        <v>505</v>
      </c>
      <c r="H7514" s="6" t="n">
        <v>3.19</v>
      </c>
      <c r="I7514" s="6" t="n">
        <v>0</v>
      </c>
      <c r="J7514" s="40" t="n">
        <f aca="false">H7514-I7514</f>
        <v>3.19</v>
      </c>
      <c r="K7514" s="41" t="n">
        <v>34</v>
      </c>
      <c r="L7514" s="42" t="n">
        <f aca="false">J7514*K7514</f>
        <v>108.46</v>
      </c>
      <c r="M7514" s="43" t="n">
        <f aca="false">H7514*17.84*(1+'Chart of Accounts'!$E$67)</f>
        <v>65.161492</v>
      </c>
    </row>
    <row r="7515" customFormat="false" ht="15" hidden="false" customHeight="false" outlineLevel="0" collapsed="false">
      <c r="B7515" s="7" t="s">
        <v>8012</v>
      </c>
      <c r="C7515" s="39" t="n">
        <v>45999</v>
      </c>
      <c r="D7515" s="7" t="s">
        <v>343</v>
      </c>
      <c r="E7515" s="7" t="s">
        <v>154</v>
      </c>
      <c r="F7515" s="7" t="s">
        <v>254</v>
      </c>
      <c r="G7515" s="7" t="s">
        <v>505</v>
      </c>
      <c r="H7515" s="6" t="n">
        <v>3.74</v>
      </c>
      <c r="I7515" s="6" t="n">
        <v>0</v>
      </c>
      <c r="J7515" s="40" t="n">
        <f aca="false">H7515-I7515</f>
        <v>3.74</v>
      </c>
      <c r="K7515" s="41" t="n">
        <v>26.5</v>
      </c>
      <c r="L7515" s="42" t="n">
        <f aca="false">J7515*K7515</f>
        <v>99.11</v>
      </c>
      <c r="M7515" s="43" t="n">
        <f aca="false">H7515*17.1*(1+'Chart of Accounts'!$E$67)</f>
        <v>73.22733</v>
      </c>
    </row>
    <row r="7516" customFormat="false" ht="15" hidden="false" customHeight="false" outlineLevel="0" collapsed="false">
      <c r="B7516" s="7" t="s">
        <v>8013</v>
      </c>
      <c r="C7516" s="39" t="n">
        <v>45999</v>
      </c>
      <c r="D7516" s="7" t="s">
        <v>349</v>
      </c>
      <c r="E7516" s="7" t="s">
        <v>154</v>
      </c>
      <c r="F7516" s="7" t="s">
        <v>244</v>
      </c>
      <c r="G7516" s="7" t="s">
        <v>505</v>
      </c>
      <c r="H7516" s="6" t="n">
        <v>4.05</v>
      </c>
      <c r="I7516" s="6" t="n">
        <v>0</v>
      </c>
      <c r="J7516" s="40" t="n">
        <f aca="false">H7516-I7516</f>
        <v>4.05</v>
      </c>
      <c r="K7516" s="41" t="n">
        <v>26.5</v>
      </c>
      <c r="L7516" s="42" t="n">
        <f aca="false">J7516*K7516</f>
        <v>107.325</v>
      </c>
      <c r="M7516" s="43" t="n">
        <f aca="false">H7516*16.39*(1+'Chart of Accounts'!$E$67)</f>
        <v>76.0045275</v>
      </c>
    </row>
    <row r="7517" customFormat="false" ht="15" hidden="false" customHeight="false" outlineLevel="0" collapsed="false">
      <c r="B7517" s="7" t="s">
        <v>8014</v>
      </c>
      <c r="C7517" s="39" t="n">
        <v>45999</v>
      </c>
      <c r="D7517" s="7" t="s">
        <v>351</v>
      </c>
      <c r="E7517" s="7" t="s">
        <v>154</v>
      </c>
      <c r="F7517" s="7" t="s">
        <v>201</v>
      </c>
      <c r="G7517" s="7" t="s">
        <v>505</v>
      </c>
      <c r="H7517" s="6" t="n">
        <v>3.25</v>
      </c>
      <c r="I7517" s="6" t="n">
        <v>0.098</v>
      </c>
      <c r="J7517" s="40" t="n">
        <f aca="false">H7517-I7517</f>
        <v>3.152</v>
      </c>
      <c r="K7517" s="41" t="n">
        <v>26.5</v>
      </c>
      <c r="L7517" s="42" t="n">
        <f aca="false">J7517*K7517</f>
        <v>83.528</v>
      </c>
      <c r="M7517" s="43" t="n">
        <f aca="false">H7517*15.19*(1+'Chart of Accounts'!$E$67)</f>
        <v>56.5257875</v>
      </c>
    </row>
    <row r="7518" customFormat="false" ht="15" hidden="false" customHeight="false" outlineLevel="0" collapsed="false">
      <c r="B7518" s="7" t="s">
        <v>8015</v>
      </c>
      <c r="C7518" s="39" t="n">
        <v>45999</v>
      </c>
      <c r="D7518" s="7" t="s">
        <v>353</v>
      </c>
      <c r="E7518" s="7" t="s">
        <v>154</v>
      </c>
      <c r="F7518" s="7" t="s">
        <v>254</v>
      </c>
      <c r="G7518" s="7" t="s">
        <v>505</v>
      </c>
      <c r="H7518" s="6" t="n">
        <v>3.65</v>
      </c>
      <c r="I7518" s="6" t="n">
        <v>0</v>
      </c>
      <c r="J7518" s="40" t="n">
        <f aca="false">H7518-I7518</f>
        <v>3.65</v>
      </c>
      <c r="K7518" s="41" t="n">
        <v>26.5</v>
      </c>
      <c r="L7518" s="42" t="n">
        <f aca="false">J7518*K7518</f>
        <v>96.725</v>
      </c>
      <c r="M7518" s="43" t="n">
        <f aca="false">H7518*17.1*(1+'Chart of Accounts'!$E$67)</f>
        <v>71.465175</v>
      </c>
    </row>
    <row r="7519" customFormat="false" ht="15" hidden="false" customHeight="false" outlineLevel="0" collapsed="false">
      <c r="B7519" s="7" t="s">
        <v>8016</v>
      </c>
      <c r="C7519" s="39" t="n">
        <v>45999</v>
      </c>
      <c r="D7519" s="7" t="s">
        <v>355</v>
      </c>
      <c r="E7519" s="7" t="s">
        <v>154</v>
      </c>
      <c r="F7519" s="7" t="s">
        <v>201</v>
      </c>
      <c r="G7519" s="7" t="s">
        <v>505</v>
      </c>
      <c r="H7519" s="6" t="n">
        <v>3.61</v>
      </c>
      <c r="I7519" s="6" t="n">
        <v>0</v>
      </c>
      <c r="J7519" s="40" t="n">
        <f aca="false">H7519-I7519</f>
        <v>3.61</v>
      </c>
      <c r="K7519" s="41" t="n">
        <v>26.5</v>
      </c>
      <c r="L7519" s="42" t="n">
        <f aca="false">J7519*K7519</f>
        <v>95.665</v>
      </c>
      <c r="M7519" s="43" t="n">
        <f aca="false">H7519*15.19*(1+'Chart of Accounts'!$E$67)</f>
        <v>62.7871055</v>
      </c>
    </row>
    <row r="7520" customFormat="false" ht="15" hidden="false" customHeight="false" outlineLevel="0" collapsed="false">
      <c r="B7520" s="7" t="s">
        <v>8017</v>
      </c>
      <c r="C7520" s="39" t="n">
        <v>45999</v>
      </c>
      <c r="D7520" s="7" t="s">
        <v>357</v>
      </c>
      <c r="E7520" s="7" t="s">
        <v>154</v>
      </c>
      <c r="F7520" s="7" t="s">
        <v>177</v>
      </c>
      <c r="G7520" s="7" t="s">
        <v>505</v>
      </c>
      <c r="H7520" s="6" t="n">
        <v>3</v>
      </c>
      <c r="I7520" s="6" t="n">
        <v>0.09</v>
      </c>
      <c r="J7520" s="40" t="n">
        <f aca="false">H7520-I7520</f>
        <v>2.91</v>
      </c>
      <c r="K7520" s="41" t="n">
        <v>26.5</v>
      </c>
      <c r="L7520" s="42" t="n">
        <f aca="false">J7520*K7520</f>
        <v>77.115</v>
      </c>
      <c r="M7520" s="43" t="n">
        <f aca="false">H7520*14.56*(1+'Chart of Accounts'!$E$67)</f>
        <v>50.0136</v>
      </c>
    </row>
    <row r="7521" customFormat="false" ht="15" hidden="false" customHeight="false" outlineLevel="0" collapsed="false">
      <c r="B7521" s="7" t="s">
        <v>8018</v>
      </c>
      <c r="C7521" s="39" t="n">
        <v>45999</v>
      </c>
      <c r="D7521" s="7" t="s">
        <v>359</v>
      </c>
      <c r="E7521" s="7" t="s">
        <v>156</v>
      </c>
      <c r="F7521" s="7" t="s">
        <v>232</v>
      </c>
      <c r="G7521" s="7" t="s">
        <v>505</v>
      </c>
      <c r="H7521" s="6" t="n">
        <v>3.71</v>
      </c>
      <c r="I7521" s="6" t="n">
        <v>0</v>
      </c>
      <c r="J7521" s="40" t="n">
        <f aca="false">H7521-I7521</f>
        <v>3.71</v>
      </c>
      <c r="K7521" s="41" t="n">
        <v>34</v>
      </c>
      <c r="L7521" s="42" t="n">
        <f aca="false">J7521*K7521</f>
        <v>126.14</v>
      </c>
      <c r="M7521" s="43" t="n">
        <f aca="false">H7521*16.17*(1+'Chart of Accounts'!$E$67)</f>
        <v>68.6893515</v>
      </c>
    </row>
    <row r="7522" customFormat="false" ht="15" hidden="false" customHeight="false" outlineLevel="0" collapsed="false">
      <c r="B7522" s="7" t="s">
        <v>8019</v>
      </c>
      <c r="C7522" s="39" t="n">
        <v>45999</v>
      </c>
      <c r="D7522" s="7" t="s">
        <v>363</v>
      </c>
      <c r="E7522" s="7" t="s">
        <v>156</v>
      </c>
      <c r="F7522" s="7" t="s">
        <v>246</v>
      </c>
      <c r="G7522" s="7" t="s">
        <v>505</v>
      </c>
      <c r="H7522" s="6" t="n">
        <v>3.63</v>
      </c>
      <c r="I7522" s="6" t="n">
        <v>0</v>
      </c>
      <c r="J7522" s="40" t="n">
        <f aca="false">H7522-I7522</f>
        <v>3.63</v>
      </c>
      <c r="K7522" s="41" t="n">
        <v>34</v>
      </c>
      <c r="L7522" s="42" t="n">
        <f aca="false">J7522*K7522</f>
        <v>123.42</v>
      </c>
      <c r="M7522" s="43" t="n">
        <f aca="false">H7522*16.48*(1+'Chart of Accounts'!$E$67)</f>
        <v>68.496648</v>
      </c>
    </row>
    <row r="7523" customFormat="false" ht="15" hidden="false" customHeight="false" outlineLevel="0" collapsed="false">
      <c r="B7523" s="7" t="s">
        <v>8020</v>
      </c>
      <c r="C7523" s="39" t="n">
        <v>45999</v>
      </c>
      <c r="D7523" s="7" t="s">
        <v>365</v>
      </c>
      <c r="E7523" s="7" t="s">
        <v>154</v>
      </c>
      <c r="F7523" s="7" t="s">
        <v>194</v>
      </c>
      <c r="G7523" s="7" t="s">
        <v>505</v>
      </c>
      <c r="H7523" s="6" t="n">
        <v>3.6</v>
      </c>
      <c r="I7523" s="6" t="n">
        <v>0.108</v>
      </c>
      <c r="J7523" s="40" t="n">
        <f aca="false">H7523-I7523</f>
        <v>3.492</v>
      </c>
      <c r="K7523" s="41" t="n">
        <v>26.5</v>
      </c>
      <c r="L7523" s="42" t="n">
        <f aca="false">J7523*K7523</f>
        <v>92.538</v>
      </c>
      <c r="M7523" s="43" t="n">
        <f aca="false">H7523*16*(1+'Chart of Accounts'!$E$67)</f>
        <v>65.952</v>
      </c>
    </row>
    <row r="7524" customFormat="false" ht="15" hidden="false" customHeight="false" outlineLevel="0" collapsed="false">
      <c r="B7524" s="7" t="s">
        <v>8021</v>
      </c>
      <c r="C7524" s="39" t="n">
        <v>45999</v>
      </c>
      <c r="D7524" s="7" t="s">
        <v>367</v>
      </c>
      <c r="E7524" s="7" t="s">
        <v>156</v>
      </c>
      <c r="F7524" s="7" t="s">
        <v>256</v>
      </c>
      <c r="G7524" s="7" t="s">
        <v>505</v>
      </c>
      <c r="H7524" s="6" t="n">
        <v>2.81</v>
      </c>
      <c r="I7524" s="6" t="n">
        <v>0</v>
      </c>
      <c r="J7524" s="40" t="n">
        <f aca="false">H7524-I7524</f>
        <v>2.81</v>
      </c>
      <c r="K7524" s="41" t="n">
        <v>34</v>
      </c>
      <c r="L7524" s="42" t="n">
        <f aca="false">J7524*K7524</f>
        <v>95.54</v>
      </c>
      <c r="M7524" s="43" t="n">
        <f aca="false">H7524*15.63*(1+'Chart of Accounts'!$E$67)</f>
        <v>50.2887435</v>
      </c>
    </row>
    <row r="7525" customFormat="false" ht="15" hidden="false" customHeight="false" outlineLevel="0" collapsed="false">
      <c r="B7525" s="7" t="s">
        <v>8022</v>
      </c>
      <c r="C7525" s="39" t="n">
        <v>45999</v>
      </c>
      <c r="D7525" s="7" t="s">
        <v>371</v>
      </c>
      <c r="E7525" s="7" t="s">
        <v>154</v>
      </c>
      <c r="F7525" s="7" t="s">
        <v>232</v>
      </c>
      <c r="G7525" s="7" t="s">
        <v>505</v>
      </c>
      <c r="H7525" s="6" t="n">
        <v>4.52</v>
      </c>
      <c r="I7525" s="6" t="n">
        <v>0.136</v>
      </c>
      <c r="J7525" s="40" t="n">
        <f aca="false">H7525-I7525</f>
        <v>4.384</v>
      </c>
      <c r="K7525" s="41" t="n">
        <v>26.5</v>
      </c>
      <c r="L7525" s="42" t="n">
        <f aca="false">J7525*K7525</f>
        <v>116.176</v>
      </c>
      <c r="M7525" s="43" t="n">
        <f aca="false">H7525*16.17*(1+'Chart of Accounts'!$E$67)</f>
        <v>83.686218</v>
      </c>
    </row>
    <row r="7526" customFormat="false" ht="15" hidden="false" customHeight="false" outlineLevel="0" collapsed="false">
      <c r="B7526" s="7" t="s">
        <v>8023</v>
      </c>
      <c r="C7526" s="39" t="n">
        <v>45999</v>
      </c>
      <c r="D7526" s="7" t="s">
        <v>375</v>
      </c>
      <c r="E7526" s="7" t="s">
        <v>156</v>
      </c>
      <c r="F7526" s="7" t="s">
        <v>196</v>
      </c>
      <c r="G7526" s="7" t="s">
        <v>505</v>
      </c>
      <c r="H7526" s="6" t="n">
        <v>2.98</v>
      </c>
      <c r="I7526" s="6" t="n">
        <v>0</v>
      </c>
      <c r="J7526" s="40" t="n">
        <f aca="false">H7526-I7526</f>
        <v>2.98</v>
      </c>
      <c r="K7526" s="41" t="n">
        <v>34</v>
      </c>
      <c r="L7526" s="42" t="n">
        <f aca="false">J7526*K7526</f>
        <v>101.32</v>
      </c>
      <c r="M7526" s="43" t="n">
        <f aca="false">H7526*15.05*(1+'Chart of Accounts'!$E$67)</f>
        <v>51.352105</v>
      </c>
    </row>
    <row r="7527" customFormat="false" ht="15" hidden="false" customHeight="false" outlineLevel="0" collapsed="false">
      <c r="B7527" s="7" t="s">
        <v>8024</v>
      </c>
      <c r="C7527" s="39" t="n">
        <v>45999</v>
      </c>
      <c r="D7527" s="7" t="s">
        <v>377</v>
      </c>
      <c r="E7527" s="7" t="s">
        <v>154</v>
      </c>
      <c r="F7527" s="7" t="s">
        <v>214</v>
      </c>
      <c r="G7527" s="7" t="s">
        <v>505</v>
      </c>
      <c r="H7527" s="6" t="n">
        <v>4.14</v>
      </c>
      <c r="I7527" s="6" t="n">
        <v>0</v>
      </c>
      <c r="J7527" s="40" t="n">
        <f aca="false">H7527-I7527</f>
        <v>4.14</v>
      </c>
      <c r="K7527" s="41" t="n">
        <v>26.5</v>
      </c>
      <c r="L7527" s="42" t="n">
        <f aca="false">J7527*K7527</f>
        <v>109.71</v>
      </c>
      <c r="M7527" s="43" t="n">
        <f aca="false">H7527*15.67*(1+'Chart of Accounts'!$E$67)</f>
        <v>74.280501</v>
      </c>
    </row>
    <row r="7528" customFormat="false" ht="15" hidden="false" customHeight="false" outlineLevel="0" collapsed="false">
      <c r="B7528" s="7" t="s">
        <v>8025</v>
      </c>
      <c r="C7528" s="39" t="n">
        <v>45999</v>
      </c>
      <c r="D7528" s="7" t="s">
        <v>379</v>
      </c>
      <c r="E7528" s="7" t="s">
        <v>156</v>
      </c>
      <c r="F7528" s="7" t="s">
        <v>224</v>
      </c>
      <c r="G7528" s="7" t="s">
        <v>505</v>
      </c>
      <c r="H7528" s="6" t="n">
        <v>4.66</v>
      </c>
      <c r="I7528" s="6" t="n">
        <v>0</v>
      </c>
      <c r="J7528" s="40" t="n">
        <f aca="false">H7528-I7528</f>
        <v>4.66</v>
      </c>
      <c r="K7528" s="41" t="n">
        <v>34</v>
      </c>
      <c r="L7528" s="42" t="n">
        <f aca="false">J7528*K7528</f>
        <v>158.44</v>
      </c>
      <c r="M7528" s="43" t="n">
        <f aca="false">H7528*14.93*(1+'Chart of Accounts'!$E$67)</f>
        <v>79.662001</v>
      </c>
    </row>
    <row r="7529" customFormat="false" ht="15" hidden="false" customHeight="false" outlineLevel="0" collapsed="false">
      <c r="B7529" s="7" t="s">
        <v>8026</v>
      </c>
      <c r="C7529" s="39" t="n">
        <v>45999</v>
      </c>
      <c r="D7529" s="7" t="s">
        <v>385</v>
      </c>
      <c r="E7529" s="7" t="s">
        <v>156</v>
      </c>
      <c r="F7529" s="7" t="s">
        <v>238</v>
      </c>
      <c r="G7529" s="7" t="s">
        <v>505</v>
      </c>
      <c r="H7529" s="6" t="n">
        <v>3.75</v>
      </c>
      <c r="I7529" s="6" t="n">
        <v>0</v>
      </c>
      <c r="J7529" s="40" t="n">
        <f aca="false">H7529-I7529</f>
        <v>3.75</v>
      </c>
      <c r="K7529" s="41" t="n">
        <v>34</v>
      </c>
      <c r="L7529" s="42" t="n">
        <f aca="false">J7529*K7529</f>
        <v>127.5</v>
      </c>
      <c r="M7529" s="43" t="n">
        <f aca="false">H7529*15.85*(1+'Chart of Accounts'!$E$67)</f>
        <v>68.0559375</v>
      </c>
    </row>
    <row r="7530" customFormat="false" ht="15" hidden="false" customHeight="false" outlineLevel="0" collapsed="false">
      <c r="B7530" s="7" t="s">
        <v>8027</v>
      </c>
      <c r="C7530" s="39" t="n">
        <v>45999</v>
      </c>
      <c r="D7530" s="7" t="s">
        <v>387</v>
      </c>
      <c r="E7530" s="7" t="s">
        <v>154</v>
      </c>
      <c r="F7530" s="7" t="s">
        <v>196</v>
      </c>
      <c r="G7530" s="7" t="s">
        <v>505</v>
      </c>
      <c r="H7530" s="6" t="n">
        <v>3.68</v>
      </c>
      <c r="I7530" s="6" t="n">
        <v>0</v>
      </c>
      <c r="J7530" s="40" t="n">
        <f aca="false">H7530-I7530</f>
        <v>3.68</v>
      </c>
      <c r="K7530" s="41" t="n">
        <v>26.5</v>
      </c>
      <c r="L7530" s="42" t="n">
        <f aca="false">J7530*K7530</f>
        <v>97.52</v>
      </c>
      <c r="M7530" s="43" t="n">
        <f aca="false">H7530*15.05*(1+'Chart of Accounts'!$E$67)</f>
        <v>63.41468</v>
      </c>
    </row>
    <row r="7531" customFormat="false" ht="15" hidden="false" customHeight="false" outlineLevel="0" collapsed="false">
      <c r="B7531" s="7" t="s">
        <v>8028</v>
      </c>
      <c r="C7531" s="39" t="n">
        <v>45999</v>
      </c>
      <c r="D7531" s="7" t="s">
        <v>389</v>
      </c>
      <c r="E7531" s="7" t="s">
        <v>154</v>
      </c>
      <c r="F7531" s="7" t="s">
        <v>246</v>
      </c>
      <c r="G7531" s="7" t="s">
        <v>505</v>
      </c>
      <c r="H7531" s="6" t="n">
        <v>4.06</v>
      </c>
      <c r="I7531" s="6" t="n">
        <v>0</v>
      </c>
      <c r="J7531" s="40" t="n">
        <f aca="false">H7531-I7531</f>
        <v>4.06</v>
      </c>
      <c r="K7531" s="41" t="n">
        <v>26.5</v>
      </c>
      <c r="L7531" s="42" t="n">
        <f aca="false">J7531*K7531</f>
        <v>107.59</v>
      </c>
      <c r="M7531" s="43" t="n">
        <f aca="false">H7531*16.48*(1+'Chart of Accounts'!$E$67)</f>
        <v>76.610576</v>
      </c>
    </row>
    <row r="7532" customFormat="false" ht="15" hidden="false" customHeight="false" outlineLevel="0" collapsed="false">
      <c r="B7532" s="7" t="s">
        <v>8029</v>
      </c>
      <c r="C7532" s="39" t="n">
        <v>45999</v>
      </c>
      <c r="D7532" s="7" t="s">
        <v>391</v>
      </c>
      <c r="E7532" s="7" t="s">
        <v>156</v>
      </c>
      <c r="F7532" s="7" t="s">
        <v>222</v>
      </c>
      <c r="G7532" s="7" t="s">
        <v>505</v>
      </c>
      <c r="H7532" s="6" t="n">
        <v>3.92</v>
      </c>
      <c r="I7532" s="6" t="n">
        <v>0</v>
      </c>
      <c r="J7532" s="40" t="n">
        <f aca="false">H7532-I7532</f>
        <v>3.92</v>
      </c>
      <c r="K7532" s="41" t="n">
        <v>34</v>
      </c>
      <c r="L7532" s="42" t="n">
        <f aca="false">J7532*K7532</f>
        <v>133.28</v>
      </c>
      <c r="M7532" s="43" t="n">
        <f aca="false">H7532*17.84*(1+'Chart of Accounts'!$E$67)</f>
        <v>80.073056</v>
      </c>
    </row>
    <row r="7533" customFormat="false" ht="15" hidden="false" customHeight="false" outlineLevel="0" collapsed="false">
      <c r="B7533" s="7" t="s">
        <v>8030</v>
      </c>
      <c r="C7533" s="39" t="n">
        <v>45999</v>
      </c>
      <c r="D7533" s="7" t="s">
        <v>395</v>
      </c>
      <c r="E7533" s="7" t="s">
        <v>156</v>
      </c>
      <c r="F7533" s="7" t="s">
        <v>242</v>
      </c>
      <c r="G7533" s="7" t="s">
        <v>505</v>
      </c>
      <c r="H7533" s="6" t="n">
        <v>3.81</v>
      </c>
      <c r="I7533" s="6" t="n">
        <v>0</v>
      </c>
      <c r="J7533" s="40" t="n">
        <f aca="false">H7533-I7533</f>
        <v>3.81</v>
      </c>
      <c r="K7533" s="41" t="n">
        <v>34</v>
      </c>
      <c r="L7533" s="42" t="n">
        <f aca="false">J7533*K7533</f>
        <v>129.54</v>
      </c>
      <c r="M7533" s="43" t="n">
        <f aca="false">H7533*17.99*(1+'Chart of Accounts'!$E$67)</f>
        <v>78.4804755</v>
      </c>
    </row>
    <row r="7534" customFormat="false" ht="15" hidden="false" customHeight="false" outlineLevel="0" collapsed="false">
      <c r="B7534" s="7" t="s">
        <v>8031</v>
      </c>
      <c r="C7534" s="39" t="n">
        <v>45999</v>
      </c>
      <c r="D7534" s="7" t="s">
        <v>399</v>
      </c>
      <c r="E7534" s="7" t="s">
        <v>154</v>
      </c>
      <c r="F7534" s="7" t="s">
        <v>232</v>
      </c>
      <c r="G7534" s="7" t="s">
        <v>505</v>
      </c>
      <c r="H7534" s="6" t="n">
        <v>3.25</v>
      </c>
      <c r="I7534" s="6" t="n">
        <v>0.098</v>
      </c>
      <c r="J7534" s="40" t="n">
        <f aca="false">H7534-I7534</f>
        <v>3.152</v>
      </c>
      <c r="K7534" s="41" t="n">
        <v>26.5</v>
      </c>
      <c r="L7534" s="42" t="n">
        <f aca="false">J7534*K7534</f>
        <v>83.528</v>
      </c>
      <c r="M7534" s="43" t="n">
        <f aca="false">H7534*16.17*(1+'Chart of Accounts'!$E$67)</f>
        <v>60.1726125</v>
      </c>
    </row>
    <row r="7535" customFormat="false" ht="15" hidden="false" customHeight="false" outlineLevel="0" collapsed="false">
      <c r="B7535" s="7" t="s">
        <v>8032</v>
      </c>
      <c r="C7535" s="39" t="n">
        <v>45999</v>
      </c>
      <c r="D7535" s="7" t="s">
        <v>401</v>
      </c>
      <c r="E7535" s="7" t="s">
        <v>156</v>
      </c>
      <c r="F7535" s="7" t="s">
        <v>254</v>
      </c>
      <c r="G7535" s="7" t="s">
        <v>505</v>
      </c>
      <c r="H7535" s="6" t="n">
        <v>3.64</v>
      </c>
      <c r="I7535" s="6" t="n">
        <v>0</v>
      </c>
      <c r="J7535" s="40" t="n">
        <f aca="false">H7535-I7535</f>
        <v>3.64</v>
      </c>
      <c r="K7535" s="41" t="n">
        <v>34</v>
      </c>
      <c r="L7535" s="42" t="n">
        <f aca="false">J7535*K7535</f>
        <v>123.76</v>
      </c>
      <c r="M7535" s="43" t="n">
        <f aca="false">H7535*17.1*(1+'Chart of Accounts'!$E$67)</f>
        <v>71.26938</v>
      </c>
    </row>
    <row r="7536" customFormat="false" ht="15" hidden="false" customHeight="false" outlineLevel="0" collapsed="false">
      <c r="B7536" s="7" t="s">
        <v>8033</v>
      </c>
      <c r="C7536" s="39" t="n">
        <v>45999</v>
      </c>
      <c r="D7536" s="7" t="s">
        <v>403</v>
      </c>
      <c r="E7536" s="7" t="s">
        <v>156</v>
      </c>
      <c r="F7536" s="7" t="s">
        <v>184</v>
      </c>
      <c r="G7536" s="7" t="s">
        <v>505</v>
      </c>
      <c r="H7536" s="6" t="n">
        <v>3.75</v>
      </c>
      <c r="I7536" s="6" t="n">
        <v>0</v>
      </c>
      <c r="J7536" s="40" t="n">
        <f aca="false">H7536-I7536</f>
        <v>3.75</v>
      </c>
      <c r="K7536" s="41" t="n">
        <v>34</v>
      </c>
      <c r="L7536" s="42" t="n">
        <f aca="false">J7536*K7536</f>
        <v>127.5</v>
      </c>
      <c r="M7536" s="43" t="n">
        <f aca="false">H7536*17.34*(1+'Chart of Accounts'!$E$67)</f>
        <v>74.453625</v>
      </c>
    </row>
    <row r="7537" customFormat="false" ht="15" hidden="false" customHeight="false" outlineLevel="0" collapsed="false">
      <c r="B7537" s="7" t="s">
        <v>8034</v>
      </c>
      <c r="C7537" s="39" t="n">
        <v>45999</v>
      </c>
      <c r="D7537" s="7" t="s">
        <v>405</v>
      </c>
      <c r="E7537" s="7" t="s">
        <v>156</v>
      </c>
      <c r="F7537" s="7" t="s">
        <v>240</v>
      </c>
      <c r="G7537" s="7" t="s">
        <v>505</v>
      </c>
      <c r="H7537" s="6" t="n">
        <v>2.88</v>
      </c>
      <c r="I7537" s="6" t="n">
        <v>0</v>
      </c>
      <c r="J7537" s="40" t="n">
        <f aca="false">H7537-I7537</f>
        <v>2.88</v>
      </c>
      <c r="K7537" s="41" t="n">
        <v>34</v>
      </c>
      <c r="L7537" s="42" t="n">
        <f aca="false">J7537*K7537</f>
        <v>97.92</v>
      </c>
      <c r="M7537" s="43" t="n">
        <f aca="false">H7537*16.96*(1+'Chart of Accounts'!$E$67)</f>
        <v>55.927296</v>
      </c>
    </row>
    <row r="7538" customFormat="false" ht="15" hidden="false" customHeight="false" outlineLevel="0" collapsed="false">
      <c r="B7538" s="7" t="s">
        <v>8035</v>
      </c>
      <c r="C7538" s="39" t="n">
        <v>45999</v>
      </c>
      <c r="D7538" s="7" t="s">
        <v>409</v>
      </c>
      <c r="E7538" s="7" t="s">
        <v>154</v>
      </c>
      <c r="F7538" s="7" t="s">
        <v>214</v>
      </c>
      <c r="G7538" s="7" t="s">
        <v>505</v>
      </c>
      <c r="H7538" s="6" t="n">
        <v>3.5</v>
      </c>
      <c r="I7538" s="6" t="n">
        <v>0</v>
      </c>
      <c r="J7538" s="40" t="n">
        <f aca="false">H7538-I7538</f>
        <v>3.5</v>
      </c>
      <c r="K7538" s="41" t="n">
        <v>26.5</v>
      </c>
      <c r="L7538" s="42" t="n">
        <f aca="false">J7538*K7538</f>
        <v>92.75</v>
      </c>
      <c r="M7538" s="43" t="n">
        <f aca="false">H7538*15.67*(1+'Chart of Accounts'!$E$67)</f>
        <v>62.797525</v>
      </c>
    </row>
    <row r="7539" customFormat="false" ht="15" hidden="false" customHeight="false" outlineLevel="0" collapsed="false">
      <c r="B7539" s="7" t="s">
        <v>8036</v>
      </c>
      <c r="C7539" s="39" t="n">
        <v>45999</v>
      </c>
      <c r="D7539" s="7" t="s">
        <v>411</v>
      </c>
      <c r="E7539" s="7" t="s">
        <v>154</v>
      </c>
      <c r="F7539" s="7" t="s">
        <v>177</v>
      </c>
      <c r="G7539" s="7" t="s">
        <v>505</v>
      </c>
      <c r="H7539" s="6" t="n">
        <v>4.97</v>
      </c>
      <c r="I7539" s="6" t="n">
        <v>0</v>
      </c>
      <c r="J7539" s="40" t="n">
        <f aca="false">H7539-I7539</f>
        <v>4.97</v>
      </c>
      <c r="K7539" s="41" t="n">
        <v>26.5</v>
      </c>
      <c r="L7539" s="42" t="n">
        <f aca="false">J7539*K7539</f>
        <v>131.705</v>
      </c>
      <c r="M7539" s="43" t="n">
        <f aca="false">H7539*14.56*(1+'Chart of Accounts'!$E$67)</f>
        <v>82.855864</v>
      </c>
    </row>
    <row r="7540" customFormat="false" ht="15" hidden="false" customHeight="false" outlineLevel="0" collapsed="false">
      <c r="B7540" s="7" t="s">
        <v>8037</v>
      </c>
      <c r="C7540" s="39" t="n">
        <v>46000</v>
      </c>
      <c r="D7540" s="7" t="s">
        <v>288</v>
      </c>
      <c r="E7540" s="7" t="s">
        <v>156</v>
      </c>
      <c r="F7540" s="7" t="s">
        <v>222</v>
      </c>
      <c r="G7540" s="7" t="s">
        <v>505</v>
      </c>
      <c r="H7540" s="6" t="n">
        <v>3.86</v>
      </c>
      <c r="I7540" s="6" t="n">
        <v>0</v>
      </c>
      <c r="J7540" s="40" t="n">
        <f aca="false">H7540-I7540</f>
        <v>3.86</v>
      </c>
      <c r="K7540" s="41" t="n">
        <v>34</v>
      </c>
      <c r="L7540" s="42" t="n">
        <f aca="false">J7540*K7540</f>
        <v>131.24</v>
      </c>
      <c r="M7540" s="43" t="n">
        <f aca="false">H7540*17.84*(1+'Chart of Accounts'!$E$67)</f>
        <v>78.847448</v>
      </c>
    </row>
    <row r="7541" customFormat="false" ht="15" hidden="false" customHeight="false" outlineLevel="0" collapsed="false">
      <c r="B7541" s="7" t="s">
        <v>8038</v>
      </c>
      <c r="C7541" s="39" t="n">
        <v>46000</v>
      </c>
      <c r="D7541" s="7" t="s">
        <v>293</v>
      </c>
      <c r="E7541" s="7" t="s">
        <v>157</v>
      </c>
      <c r="F7541" s="7" t="s">
        <v>198</v>
      </c>
      <c r="G7541" s="7" t="s">
        <v>502</v>
      </c>
      <c r="H7541" s="6" t="n">
        <v>0.97</v>
      </c>
      <c r="I7541" s="6" t="n">
        <v>0</v>
      </c>
      <c r="J7541" s="40" t="n">
        <f aca="false">H7541-I7541</f>
        <v>0.97</v>
      </c>
      <c r="K7541" s="41" t="n">
        <v>165</v>
      </c>
      <c r="L7541" s="42" t="n">
        <f aca="false">J7541*K7541</f>
        <v>160.05</v>
      </c>
      <c r="M7541" s="43" t="n">
        <f aca="false">H7541*48.09*(1+'Chart of Accounts'!$E$67)</f>
        <v>53.4111585</v>
      </c>
    </row>
    <row r="7542" customFormat="false" ht="15" hidden="false" customHeight="false" outlineLevel="0" collapsed="false">
      <c r="B7542" s="7" t="s">
        <v>8039</v>
      </c>
      <c r="C7542" s="39" t="n">
        <v>46000</v>
      </c>
      <c r="D7542" s="7" t="s">
        <v>301</v>
      </c>
      <c r="E7542" s="7" t="s">
        <v>157</v>
      </c>
      <c r="F7542" s="7" t="s">
        <v>209</v>
      </c>
      <c r="G7542" s="7" t="s">
        <v>502</v>
      </c>
      <c r="H7542" s="6" t="n">
        <v>0.99</v>
      </c>
      <c r="I7542" s="6" t="n">
        <v>0</v>
      </c>
      <c r="J7542" s="40" t="n">
        <f aca="false">H7542-I7542</f>
        <v>0.99</v>
      </c>
      <c r="K7542" s="41" t="n">
        <v>165</v>
      </c>
      <c r="L7542" s="42" t="n">
        <f aca="false">J7542*K7542</f>
        <v>163.35</v>
      </c>
      <c r="M7542" s="43" t="n">
        <f aca="false">H7542*73.58*(1+'Chart of Accounts'!$E$67)</f>
        <v>83.406609</v>
      </c>
    </row>
    <row r="7543" customFormat="false" ht="15" hidden="false" customHeight="false" outlineLevel="0" collapsed="false">
      <c r="B7543" s="7" t="s">
        <v>8040</v>
      </c>
      <c r="C7543" s="39" t="n">
        <v>46000</v>
      </c>
      <c r="D7543" s="7" t="s">
        <v>313</v>
      </c>
      <c r="E7543" s="7" t="s">
        <v>156</v>
      </c>
      <c r="F7543" s="7" t="s">
        <v>184</v>
      </c>
      <c r="G7543" s="7" t="s">
        <v>505</v>
      </c>
      <c r="H7543" s="6" t="n">
        <v>3.71</v>
      </c>
      <c r="I7543" s="6" t="n">
        <v>0</v>
      </c>
      <c r="J7543" s="40" t="n">
        <f aca="false">H7543-I7543</f>
        <v>3.71</v>
      </c>
      <c r="K7543" s="41" t="n">
        <v>34</v>
      </c>
      <c r="L7543" s="42" t="n">
        <f aca="false">J7543*K7543</f>
        <v>126.14</v>
      </c>
      <c r="M7543" s="43" t="n">
        <f aca="false">H7543*17.34*(1+'Chart of Accounts'!$E$67)</f>
        <v>73.659453</v>
      </c>
    </row>
    <row r="7544" customFormat="false" ht="15" hidden="false" customHeight="false" outlineLevel="0" collapsed="false">
      <c r="B7544" s="7" t="s">
        <v>8041</v>
      </c>
      <c r="C7544" s="39" t="n">
        <v>46000</v>
      </c>
      <c r="D7544" s="7" t="s">
        <v>319</v>
      </c>
      <c r="E7544" s="7" t="s">
        <v>157</v>
      </c>
      <c r="F7544" s="7" t="s">
        <v>234</v>
      </c>
      <c r="G7544" s="7" t="s">
        <v>502</v>
      </c>
      <c r="H7544" s="6" t="n">
        <v>0.98</v>
      </c>
      <c r="I7544" s="6" t="n">
        <v>0</v>
      </c>
      <c r="J7544" s="40" t="n">
        <f aca="false">H7544-I7544</f>
        <v>0.98</v>
      </c>
      <c r="K7544" s="41" t="n">
        <v>165</v>
      </c>
      <c r="L7544" s="42" t="n">
        <f aca="false">J7544*K7544</f>
        <v>161.7</v>
      </c>
      <c r="M7544" s="43" t="n">
        <f aca="false">H7544*89.53*(1+'Chart of Accounts'!$E$67)</f>
        <v>100.461613</v>
      </c>
    </row>
    <row r="7545" customFormat="false" ht="15" hidden="false" customHeight="false" outlineLevel="0" collapsed="false">
      <c r="B7545" s="7" t="s">
        <v>8042</v>
      </c>
      <c r="C7545" s="39" t="n">
        <v>46000</v>
      </c>
      <c r="D7545" s="7" t="s">
        <v>321</v>
      </c>
      <c r="E7545" s="7" t="s">
        <v>154</v>
      </c>
      <c r="F7545" s="7" t="s">
        <v>218</v>
      </c>
      <c r="G7545" s="7" t="s">
        <v>505</v>
      </c>
      <c r="H7545" s="6" t="n">
        <v>3.91</v>
      </c>
      <c r="I7545" s="6" t="n">
        <v>0.117</v>
      </c>
      <c r="J7545" s="40" t="n">
        <f aca="false">H7545-I7545</f>
        <v>3.793</v>
      </c>
      <c r="K7545" s="41" t="n">
        <v>26.5</v>
      </c>
      <c r="L7545" s="42" t="n">
        <f aca="false">J7545*K7545</f>
        <v>100.5145</v>
      </c>
      <c r="M7545" s="43" t="n">
        <f aca="false">H7545*16.19*(1+'Chart of Accounts'!$E$67)</f>
        <v>72.4818205</v>
      </c>
    </row>
    <row r="7546" customFormat="false" ht="15" hidden="false" customHeight="false" outlineLevel="0" collapsed="false">
      <c r="B7546" s="7" t="s">
        <v>8043</v>
      </c>
      <c r="C7546" s="39" t="n">
        <v>46000</v>
      </c>
      <c r="D7546" s="7" t="s">
        <v>323</v>
      </c>
      <c r="E7546" s="7" t="s">
        <v>159</v>
      </c>
      <c r="F7546" s="7" t="s">
        <v>234</v>
      </c>
      <c r="G7546" s="7" t="s">
        <v>502</v>
      </c>
      <c r="H7546" s="6" t="n">
        <v>0.92</v>
      </c>
      <c r="I7546" s="6" t="n">
        <v>0</v>
      </c>
      <c r="J7546" s="40" t="n">
        <f aca="false">H7546-I7546</f>
        <v>0.92</v>
      </c>
      <c r="K7546" s="41" t="n">
        <v>135</v>
      </c>
      <c r="L7546" s="42" t="n">
        <f aca="false">J7546*K7546</f>
        <v>124.2</v>
      </c>
      <c r="M7546" s="43" t="n">
        <f aca="false">H7546*89.53*(1+'Chart of Accounts'!$E$67)</f>
        <v>94.310902</v>
      </c>
    </row>
    <row r="7547" customFormat="false" ht="15" hidden="false" customHeight="false" outlineLevel="0" collapsed="false">
      <c r="B7547" s="7" t="s">
        <v>8044</v>
      </c>
      <c r="C7547" s="39" t="n">
        <v>46000</v>
      </c>
      <c r="D7547" s="7" t="s">
        <v>327</v>
      </c>
      <c r="E7547" s="7" t="s">
        <v>157</v>
      </c>
      <c r="F7547" s="7" t="s">
        <v>228</v>
      </c>
      <c r="G7547" s="7" t="s">
        <v>502</v>
      </c>
      <c r="H7547" s="6" t="n">
        <v>0.98</v>
      </c>
      <c r="I7547" s="6" t="n">
        <v>0</v>
      </c>
      <c r="J7547" s="40" t="n">
        <f aca="false">H7547-I7547</f>
        <v>0.98</v>
      </c>
      <c r="K7547" s="41" t="n">
        <v>165</v>
      </c>
      <c r="L7547" s="42" t="n">
        <f aca="false">J7547*K7547</f>
        <v>161.7</v>
      </c>
      <c r="M7547" s="43" t="n">
        <f aca="false">H7547*51.07*(1+'Chart of Accounts'!$E$67)</f>
        <v>57.305647</v>
      </c>
    </row>
    <row r="7548" customFormat="false" ht="15" hidden="false" customHeight="false" outlineLevel="0" collapsed="false">
      <c r="B7548" s="7" t="s">
        <v>8045</v>
      </c>
      <c r="C7548" s="39" t="n">
        <v>46000</v>
      </c>
      <c r="D7548" s="7" t="s">
        <v>329</v>
      </c>
      <c r="E7548" s="7" t="s">
        <v>156</v>
      </c>
      <c r="F7548" s="7" t="s">
        <v>220</v>
      </c>
      <c r="G7548" s="7" t="s">
        <v>505</v>
      </c>
      <c r="H7548" s="6" t="n">
        <v>3.73</v>
      </c>
      <c r="I7548" s="6" t="n">
        <v>0</v>
      </c>
      <c r="J7548" s="40" t="n">
        <f aca="false">H7548-I7548</f>
        <v>3.73</v>
      </c>
      <c r="K7548" s="41" t="n">
        <v>34</v>
      </c>
      <c r="L7548" s="42" t="n">
        <f aca="false">J7548*K7548</f>
        <v>126.82</v>
      </c>
      <c r="M7548" s="43" t="n">
        <f aca="false">H7548*16.43*(1+'Chart of Accounts'!$E$67)</f>
        <v>70.1700655</v>
      </c>
    </row>
    <row r="7549" customFormat="false" ht="15" hidden="false" customHeight="false" outlineLevel="0" collapsed="false">
      <c r="B7549" s="7" t="s">
        <v>8046</v>
      </c>
      <c r="C7549" s="39" t="n">
        <v>46000</v>
      </c>
      <c r="D7549" s="7" t="s">
        <v>349</v>
      </c>
      <c r="E7549" s="7" t="s">
        <v>154</v>
      </c>
      <c r="F7549" s="7" t="s">
        <v>244</v>
      </c>
      <c r="G7549" s="7" t="s">
        <v>505</v>
      </c>
      <c r="H7549" s="6" t="n">
        <v>3.74</v>
      </c>
      <c r="I7549" s="6" t="n">
        <v>0</v>
      </c>
      <c r="J7549" s="40" t="n">
        <f aca="false">H7549-I7549</f>
        <v>3.74</v>
      </c>
      <c r="K7549" s="41" t="n">
        <v>26.5</v>
      </c>
      <c r="L7549" s="42" t="n">
        <f aca="false">J7549*K7549</f>
        <v>99.11</v>
      </c>
      <c r="M7549" s="43" t="n">
        <f aca="false">H7549*16.39*(1+'Chart of Accounts'!$E$67)</f>
        <v>70.186897</v>
      </c>
    </row>
    <row r="7550" customFormat="false" ht="15" hidden="false" customHeight="false" outlineLevel="0" collapsed="false">
      <c r="B7550" s="7" t="s">
        <v>8047</v>
      </c>
      <c r="C7550" s="39" t="n">
        <v>46000</v>
      </c>
      <c r="D7550" s="7" t="s">
        <v>359</v>
      </c>
      <c r="E7550" s="7" t="s">
        <v>156</v>
      </c>
      <c r="F7550" s="7" t="s">
        <v>256</v>
      </c>
      <c r="G7550" s="7" t="s">
        <v>505</v>
      </c>
      <c r="H7550" s="6" t="n">
        <v>4.02</v>
      </c>
      <c r="I7550" s="6" t="n">
        <v>0</v>
      </c>
      <c r="J7550" s="40" t="n">
        <f aca="false">H7550-I7550</f>
        <v>4.02</v>
      </c>
      <c r="K7550" s="41" t="n">
        <v>34</v>
      </c>
      <c r="L7550" s="42" t="n">
        <f aca="false">J7550*K7550</f>
        <v>136.68</v>
      </c>
      <c r="M7550" s="43" t="n">
        <f aca="false">H7550*15.63*(1+'Chart of Accounts'!$E$67)</f>
        <v>71.943327</v>
      </c>
    </row>
    <row r="7551" customFormat="false" ht="15" hidden="false" customHeight="false" outlineLevel="0" collapsed="false">
      <c r="B7551" s="7" t="s">
        <v>8048</v>
      </c>
      <c r="C7551" s="39" t="n">
        <v>46000</v>
      </c>
      <c r="D7551" s="7" t="s">
        <v>361</v>
      </c>
      <c r="E7551" s="7" t="s">
        <v>157</v>
      </c>
      <c r="F7551" s="7" t="s">
        <v>209</v>
      </c>
      <c r="G7551" s="7" t="s">
        <v>502</v>
      </c>
      <c r="H7551" s="6" t="n">
        <v>0.93</v>
      </c>
      <c r="I7551" s="6" t="n">
        <v>0</v>
      </c>
      <c r="J7551" s="40" t="n">
        <f aca="false">H7551-I7551</f>
        <v>0.93</v>
      </c>
      <c r="K7551" s="41" t="n">
        <v>165</v>
      </c>
      <c r="L7551" s="42" t="n">
        <f aca="false">J7551*K7551</f>
        <v>153.45</v>
      </c>
      <c r="M7551" s="43" t="n">
        <f aca="false">H7551*73.58*(1+'Chart of Accounts'!$E$67)</f>
        <v>78.351663</v>
      </c>
    </row>
    <row r="7552" customFormat="false" ht="15" hidden="false" customHeight="false" outlineLevel="0" collapsed="false">
      <c r="B7552" s="7" t="s">
        <v>8049</v>
      </c>
      <c r="C7552" s="39" t="n">
        <v>46000</v>
      </c>
      <c r="D7552" s="7" t="s">
        <v>365</v>
      </c>
      <c r="E7552" s="7" t="s">
        <v>154</v>
      </c>
      <c r="F7552" s="7" t="s">
        <v>194</v>
      </c>
      <c r="G7552" s="7" t="s">
        <v>505</v>
      </c>
      <c r="H7552" s="6" t="n">
        <v>3.94</v>
      </c>
      <c r="I7552" s="6" t="n">
        <v>0</v>
      </c>
      <c r="J7552" s="40" t="n">
        <f aca="false">H7552-I7552</f>
        <v>3.94</v>
      </c>
      <c r="K7552" s="41" t="n">
        <v>26.5</v>
      </c>
      <c r="L7552" s="42" t="n">
        <f aca="false">J7552*K7552</f>
        <v>104.41</v>
      </c>
      <c r="M7552" s="43" t="n">
        <f aca="false">H7552*16*(1+'Chart of Accounts'!$E$67)</f>
        <v>72.1808</v>
      </c>
    </row>
    <row r="7553" customFormat="false" ht="15" hidden="false" customHeight="false" outlineLevel="0" collapsed="false">
      <c r="B7553" s="7" t="s">
        <v>8050</v>
      </c>
      <c r="C7553" s="39" t="n">
        <v>46000</v>
      </c>
      <c r="D7553" s="7" t="s">
        <v>381</v>
      </c>
      <c r="E7553" s="7" t="s">
        <v>157</v>
      </c>
      <c r="F7553" s="7" t="s">
        <v>234</v>
      </c>
      <c r="G7553" s="7" t="s">
        <v>502</v>
      </c>
      <c r="H7553" s="6" t="n">
        <v>1.08</v>
      </c>
      <c r="I7553" s="6" t="n">
        <v>0</v>
      </c>
      <c r="J7553" s="40" t="n">
        <f aca="false">H7553-I7553</f>
        <v>1.08</v>
      </c>
      <c r="K7553" s="41" t="n">
        <v>165</v>
      </c>
      <c r="L7553" s="42" t="n">
        <f aca="false">J7553*K7553</f>
        <v>178.2</v>
      </c>
      <c r="M7553" s="43" t="n">
        <f aca="false">H7553*89.53*(1+'Chart of Accounts'!$E$67)</f>
        <v>110.712798</v>
      </c>
    </row>
    <row r="7554" customFormat="false" ht="15" hidden="false" customHeight="false" outlineLevel="0" collapsed="false">
      <c r="B7554" s="7" t="s">
        <v>8051</v>
      </c>
      <c r="C7554" s="39" t="n">
        <v>46000</v>
      </c>
      <c r="D7554" s="7" t="s">
        <v>383</v>
      </c>
      <c r="E7554" s="7" t="s">
        <v>157</v>
      </c>
      <c r="F7554" s="7" t="s">
        <v>230</v>
      </c>
      <c r="G7554" s="7" t="s">
        <v>502</v>
      </c>
      <c r="H7554" s="6" t="n">
        <v>0.99</v>
      </c>
      <c r="I7554" s="6" t="n">
        <v>0.05</v>
      </c>
      <c r="J7554" s="40" t="n">
        <f aca="false">H7554-I7554</f>
        <v>0.94</v>
      </c>
      <c r="K7554" s="41" t="n">
        <v>165</v>
      </c>
      <c r="L7554" s="42" t="n">
        <f aca="false">J7554*K7554</f>
        <v>155.1</v>
      </c>
      <c r="M7554" s="43" t="n">
        <f aca="false">H7554*48.78*(1+'Chart of Accounts'!$E$67)</f>
        <v>55.294569</v>
      </c>
    </row>
    <row r="7555" customFormat="false" ht="15" hidden="false" customHeight="false" outlineLevel="0" collapsed="false">
      <c r="B7555" s="7" t="s">
        <v>8052</v>
      </c>
      <c r="C7555" s="39" t="n">
        <v>46000</v>
      </c>
      <c r="D7555" s="7" t="s">
        <v>387</v>
      </c>
      <c r="E7555" s="7" t="s">
        <v>154</v>
      </c>
      <c r="F7555" s="7" t="s">
        <v>196</v>
      </c>
      <c r="G7555" s="7" t="s">
        <v>505</v>
      </c>
      <c r="H7555" s="6" t="n">
        <v>3.87</v>
      </c>
      <c r="I7555" s="6" t="n">
        <v>0</v>
      </c>
      <c r="J7555" s="40" t="n">
        <f aca="false">H7555-I7555</f>
        <v>3.87</v>
      </c>
      <c r="K7555" s="41" t="n">
        <v>26.5</v>
      </c>
      <c r="L7555" s="42" t="n">
        <f aca="false">J7555*K7555</f>
        <v>102.555</v>
      </c>
      <c r="M7555" s="43" t="n">
        <f aca="false">H7555*15.05*(1+'Chart of Accounts'!$E$67)</f>
        <v>66.6888075</v>
      </c>
    </row>
    <row r="7556" customFormat="false" ht="15" hidden="false" customHeight="false" outlineLevel="0" collapsed="false">
      <c r="B7556" s="7" t="s">
        <v>8053</v>
      </c>
      <c r="C7556" s="39" t="n">
        <v>46000</v>
      </c>
      <c r="D7556" s="7" t="s">
        <v>389</v>
      </c>
      <c r="E7556" s="7" t="s">
        <v>154</v>
      </c>
      <c r="F7556" s="7" t="s">
        <v>246</v>
      </c>
      <c r="G7556" s="7" t="s">
        <v>505</v>
      </c>
      <c r="H7556" s="6" t="n">
        <v>4.26</v>
      </c>
      <c r="I7556" s="6" t="n">
        <v>0</v>
      </c>
      <c r="J7556" s="40" t="n">
        <f aca="false">H7556-I7556</f>
        <v>4.26</v>
      </c>
      <c r="K7556" s="41" t="n">
        <v>26.5</v>
      </c>
      <c r="L7556" s="42" t="n">
        <f aca="false">J7556*K7556</f>
        <v>112.89</v>
      </c>
      <c r="M7556" s="43" t="n">
        <f aca="false">H7556*16.48*(1+'Chart of Accounts'!$E$67)</f>
        <v>80.384496</v>
      </c>
    </row>
    <row r="7557" customFormat="false" ht="15" hidden="false" customHeight="false" outlineLevel="0" collapsed="false">
      <c r="B7557" s="7" t="s">
        <v>8054</v>
      </c>
      <c r="C7557" s="39" t="n">
        <v>46000</v>
      </c>
      <c r="D7557" s="7" t="s">
        <v>391</v>
      </c>
      <c r="E7557" s="7" t="s">
        <v>156</v>
      </c>
      <c r="F7557" s="7" t="s">
        <v>222</v>
      </c>
      <c r="G7557" s="7" t="s">
        <v>505</v>
      </c>
      <c r="H7557" s="6" t="n">
        <v>3.7</v>
      </c>
      <c r="I7557" s="6" t="n">
        <v>0</v>
      </c>
      <c r="J7557" s="40" t="n">
        <f aca="false">H7557-I7557</f>
        <v>3.7</v>
      </c>
      <c r="K7557" s="41" t="n">
        <v>34</v>
      </c>
      <c r="L7557" s="42" t="n">
        <f aca="false">J7557*K7557</f>
        <v>125.8</v>
      </c>
      <c r="M7557" s="43" t="n">
        <f aca="false">H7557*17.84*(1+'Chart of Accounts'!$E$67)</f>
        <v>75.57916</v>
      </c>
    </row>
    <row r="7558" customFormat="false" ht="15" hidden="false" customHeight="false" outlineLevel="0" collapsed="false">
      <c r="B7558" s="7" t="s">
        <v>8055</v>
      </c>
      <c r="C7558" s="39" t="n">
        <v>46000</v>
      </c>
      <c r="D7558" s="7" t="s">
        <v>395</v>
      </c>
      <c r="E7558" s="7" t="s">
        <v>156</v>
      </c>
      <c r="F7558" s="7" t="s">
        <v>242</v>
      </c>
      <c r="G7558" s="7" t="s">
        <v>505</v>
      </c>
      <c r="H7558" s="6" t="n">
        <v>3.95</v>
      </c>
      <c r="I7558" s="6" t="n">
        <v>0</v>
      </c>
      <c r="J7558" s="40" t="n">
        <f aca="false">H7558-I7558</f>
        <v>3.95</v>
      </c>
      <c r="K7558" s="41" t="n">
        <v>34</v>
      </c>
      <c r="L7558" s="42" t="n">
        <f aca="false">J7558*K7558</f>
        <v>134.3</v>
      </c>
      <c r="M7558" s="43" t="n">
        <f aca="false">H7558*17.99*(1+'Chart of Accounts'!$E$67)</f>
        <v>81.3642725</v>
      </c>
    </row>
    <row r="7559" customFormat="false" ht="15" hidden="false" customHeight="false" outlineLevel="0" collapsed="false">
      <c r="B7559" s="7" t="s">
        <v>8056</v>
      </c>
      <c r="C7559" s="39" t="n">
        <v>46000</v>
      </c>
      <c r="D7559" s="7" t="s">
        <v>397</v>
      </c>
      <c r="E7559" s="7" t="s">
        <v>159</v>
      </c>
      <c r="F7559" s="7" t="s">
        <v>203</v>
      </c>
      <c r="G7559" s="7" t="s">
        <v>502</v>
      </c>
      <c r="H7559" s="6" t="n">
        <v>0.93</v>
      </c>
      <c r="I7559" s="6" t="n">
        <v>0</v>
      </c>
      <c r="J7559" s="40" t="n">
        <f aca="false">H7559-I7559</f>
        <v>0.93</v>
      </c>
      <c r="K7559" s="41" t="n">
        <v>135</v>
      </c>
      <c r="L7559" s="42" t="n">
        <f aca="false">J7559*K7559</f>
        <v>125.55</v>
      </c>
      <c r="M7559" s="43" t="n">
        <f aca="false">H7559*49.43*(1+'Chart of Accounts'!$E$67)</f>
        <v>52.6355355</v>
      </c>
    </row>
    <row r="7560" customFormat="false" ht="15" hidden="false" customHeight="false" outlineLevel="0" collapsed="false">
      <c r="B7560" s="7" t="s">
        <v>8057</v>
      </c>
      <c r="C7560" s="39" t="n">
        <v>46000</v>
      </c>
      <c r="D7560" s="7" t="s">
        <v>401</v>
      </c>
      <c r="E7560" s="7" t="s">
        <v>156</v>
      </c>
      <c r="F7560" s="7" t="s">
        <v>254</v>
      </c>
      <c r="G7560" s="7" t="s">
        <v>505</v>
      </c>
      <c r="H7560" s="6" t="n">
        <v>3.78</v>
      </c>
      <c r="I7560" s="6" t="n">
        <v>0</v>
      </c>
      <c r="J7560" s="40" t="n">
        <f aca="false">H7560-I7560</f>
        <v>3.78</v>
      </c>
      <c r="K7560" s="41" t="n">
        <v>34</v>
      </c>
      <c r="L7560" s="42" t="n">
        <f aca="false">J7560*K7560</f>
        <v>128.52</v>
      </c>
      <c r="M7560" s="43" t="n">
        <f aca="false">H7560*17.1*(1+'Chart of Accounts'!$E$67)</f>
        <v>74.01051</v>
      </c>
    </row>
    <row r="7561" customFormat="false" ht="15" hidden="false" customHeight="false" outlineLevel="0" collapsed="false">
      <c r="B7561" s="7" t="s">
        <v>8058</v>
      </c>
      <c r="C7561" s="39" t="n">
        <v>46000</v>
      </c>
      <c r="D7561" s="7" t="s">
        <v>407</v>
      </c>
      <c r="E7561" s="7" t="s">
        <v>159</v>
      </c>
      <c r="F7561" s="7" t="s">
        <v>260</v>
      </c>
      <c r="G7561" s="7" t="s">
        <v>502</v>
      </c>
      <c r="H7561" s="6" t="n">
        <v>1.01</v>
      </c>
      <c r="I7561" s="6" t="n">
        <v>0</v>
      </c>
      <c r="J7561" s="40" t="n">
        <f aca="false">H7561-I7561</f>
        <v>1.01</v>
      </c>
      <c r="K7561" s="41" t="n">
        <v>135</v>
      </c>
      <c r="L7561" s="42" t="n">
        <f aca="false">J7561*K7561</f>
        <v>136.35</v>
      </c>
      <c r="M7561" s="43" t="n">
        <f aca="false">H7561*79.8*(1+'Chart of Accounts'!$E$67)</f>
        <v>92.28471</v>
      </c>
    </row>
    <row r="7562" customFormat="false" ht="15" hidden="false" customHeight="false" outlineLevel="0" collapsed="false">
      <c r="B7562" s="7" t="s">
        <v>8059</v>
      </c>
      <c r="C7562" s="39" t="n">
        <v>46001</v>
      </c>
      <c r="D7562" s="7" t="s">
        <v>284</v>
      </c>
      <c r="E7562" s="7" t="s">
        <v>157</v>
      </c>
      <c r="F7562" s="7" t="s">
        <v>258</v>
      </c>
      <c r="G7562" s="7" t="s">
        <v>502</v>
      </c>
      <c r="H7562" s="6" t="n">
        <v>1.07</v>
      </c>
      <c r="I7562" s="6" t="n">
        <v>0</v>
      </c>
      <c r="J7562" s="40" t="n">
        <f aca="false">H7562-I7562</f>
        <v>1.07</v>
      </c>
      <c r="K7562" s="41" t="n">
        <v>165</v>
      </c>
      <c r="L7562" s="42" t="n">
        <f aca="false">J7562*K7562</f>
        <v>176.55</v>
      </c>
      <c r="M7562" s="43" t="n">
        <f aca="false">H7562*61.61*(1+'Chart of Accounts'!$E$67)</f>
        <v>75.4814915</v>
      </c>
    </row>
    <row r="7563" customFormat="false" ht="15" hidden="false" customHeight="false" outlineLevel="0" collapsed="false">
      <c r="B7563" s="7" t="s">
        <v>8060</v>
      </c>
      <c r="C7563" s="39" t="n">
        <v>46001</v>
      </c>
      <c r="D7563" s="7" t="s">
        <v>288</v>
      </c>
      <c r="E7563" s="7" t="s">
        <v>156</v>
      </c>
      <c r="F7563" s="7" t="s">
        <v>254</v>
      </c>
      <c r="G7563" s="7" t="s">
        <v>505</v>
      </c>
      <c r="H7563" s="6" t="n">
        <v>3.72</v>
      </c>
      <c r="I7563" s="6" t="n">
        <v>0</v>
      </c>
      <c r="J7563" s="40" t="n">
        <f aca="false">H7563-I7563</f>
        <v>3.72</v>
      </c>
      <c r="K7563" s="41" t="n">
        <v>34</v>
      </c>
      <c r="L7563" s="42" t="n">
        <f aca="false">J7563*K7563</f>
        <v>126.48</v>
      </c>
      <c r="M7563" s="43" t="n">
        <f aca="false">H7563*17.1*(1+'Chart of Accounts'!$E$67)</f>
        <v>72.83574</v>
      </c>
    </row>
    <row r="7564" customFormat="false" ht="15" hidden="false" customHeight="false" outlineLevel="0" collapsed="false">
      <c r="B7564" s="7" t="s">
        <v>8061</v>
      </c>
      <c r="C7564" s="39" t="n">
        <v>46001</v>
      </c>
      <c r="D7564" s="7" t="s">
        <v>291</v>
      </c>
      <c r="E7564" s="7" t="s">
        <v>154</v>
      </c>
      <c r="F7564" s="7" t="s">
        <v>194</v>
      </c>
      <c r="G7564" s="7" t="s">
        <v>505</v>
      </c>
      <c r="H7564" s="6" t="n">
        <v>4.57</v>
      </c>
      <c r="I7564" s="6" t="n">
        <v>0</v>
      </c>
      <c r="J7564" s="40" t="n">
        <f aca="false">H7564-I7564</f>
        <v>4.57</v>
      </c>
      <c r="K7564" s="41" t="n">
        <v>26.5</v>
      </c>
      <c r="L7564" s="42" t="n">
        <f aca="false">J7564*K7564</f>
        <v>121.105</v>
      </c>
      <c r="M7564" s="43" t="n">
        <f aca="false">H7564*16*(1+'Chart of Accounts'!$E$67)</f>
        <v>83.7224</v>
      </c>
    </row>
    <row r="7565" customFormat="false" ht="15" hidden="false" customHeight="false" outlineLevel="0" collapsed="false">
      <c r="B7565" s="7" t="s">
        <v>8062</v>
      </c>
      <c r="C7565" s="39" t="n">
        <v>46001</v>
      </c>
      <c r="D7565" s="7" t="s">
        <v>295</v>
      </c>
      <c r="E7565" s="7" t="s">
        <v>154</v>
      </c>
      <c r="F7565" s="7" t="s">
        <v>214</v>
      </c>
      <c r="G7565" s="7" t="s">
        <v>505</v>
      </c>
      <c r="H7565" s="6" t="n">
        <v>3.72</v>
      </c>
      <c r="I7565" s="6" t="n">
        <v>0</v>
      </c>
      <c r="J7565" s="40" t="n">
        <f aca="false">H7565-I7565</f>
        <v>3.72</v>
      </c>
      <c r="K7565" s="41" t="n">
        <v>26.5</v>
      </c>
      <c r="L7565" s="42" t="n">
        <f aca="false">J7565*K7565</f>
        <v>98.58</v>
      </c>
      <c r="M7565" s="43" t="n">
        <f aca="false">H7565*15.67*(1+'Chart of Accounts'!$E$67)</f>
        <v>66.744798</v>
      </c>
    </row>
    <row r="7566" customFormat="false" ht="15" hidden="false" customHeight="false" outlineLevel="0" collapsed="false">
      <c r="B7566" s="7" t="s">
        <v>8063</v>
      </c>
      <c r="C7566" s="39" t="n">
        <v>46001</v>
      </c>
      <c r="D7566" s="7" t="s">
        <v>305</v>
      </c>
      <c r="E7566" s="7" t="s">
        <v>154</v>
      </c>
      <c r="F7566" s="7" t="s">
        <v>205</v>
      </c>
      <c r="G7566" s="7" t="s">
        <v>505</v>
      </c>
      <c r="H7566" s="6" t="n">
        <v>3.69</v>
      </c>
      <c r="I7566" s="6" t="n">
        <v>0</v>
      </c>
      <c r="J7566" s="40" t="n">
        <f aca="false">H7566-I7566</f>
        <v>3.69</v>
      </c>
      <c r="K7566" s="41" t="n">
        <v>26.5</v>
      </c>
      <c r="L7566" s="42" t="n">
        <f aca="false">J7566*K7566</f>
        <v>97.785</v>
      </c>
      <c r="M7566" s="43" t="n">
        <f aca="false">H7566*16.36*(1+'Chart of Accounts'!$E$67)</f>
        <v>69.121818</v>
      </c>
    </row>
    <row r="7567" customFormat="false" ht="15" hidden="false" customHeight="false" outlineLevel="0" collapsed="false">
      <c r="B7567" s="7" t="s">
        <v>8064</v>
      </c>
      <c r="C7567" s="39" t="n">
        <v>46001</v>
      </c>
      <c r="D7567" s="7" t="s">
        <v>307</v>
      </c>
      <c r="E7567" s="7" t="s">
        <v>157</v>
      </c>
      <c r="F7567" s="7" t="s">
        <v>264</v>
      </c>
      <c r="G7567" s="7" t="s">
        <v>502</v>
      </c>
      <c r="H7567" s="6" t="n">
        <v>1.05</v>
      </c>
      <c r="I7567" s="6" t="n">
        <v>0</v>
      </c>
      <c r="J7567" s="40" t="n">
        <f aca="false">H7567-I7567</f>
        <v>1.05</v>
      </c>
      <c r="K7567" s="41" t="n">
        <v>165</v>
      </c>
      <c r="L7567" s="42" t="n">
        <f aca="false">J7567*K7567</f>
        <v>173.25</v>
      </c>
      <c r="M7567" s="43" t="n">
        <f aca="false">H7567*55.55*(1+'Chart of Accounts'!$E$67)</f>
        <v>66.7849875</v>
      </c>
    </row>
    <row r="7568" customFormat="false" ht="15" hidden="false" customHeight="false" outlineLevel="0" collapsed="false">
      <c r="B7568" s="7" t="s">
        <v>8065</v>
      </c>
      <c r="C7568" s="39" t="n">
        <v>46001</v>
      </c>
      <c r="D7568" s="7" t="s">
        <v>309</v>
      </c>
      <c r="E7568" s="7" t="s">
        <v>159</v>
      </c>
      <c r="F7568" s="7" t="s">
        <v>252</v>
      </c>
      <c r="G7568" s="7" t="s">
        <v>502</v>
      </c>
      <c r="H7568" s="6" t="n">
        <v>1.02</v>
      </c>
      <c r="I7568" s="6" t="n">
        <v>0</v>
      </c>
      <c r="J7568" s="40" t="n">
        <f aca="false">H7568-I7568</f>
        <v>1.02</v>
      </c>
      <c r="K7568" s="41" t="n">
        <v>135</v>
      </c>
      <c r="L7568" s="42" t="n">
        <f aca="false">J7568*K7568</f>
        <v>137.7</v>
      </c>
      <c r="M7568" s="43" t="n">
        <f aca="false">H7568*57.54*(1+'Chart of Accounts'!$E$67)</f>
        <v>67.200966</v>
      </c>
    </row>
    <row r="7569" customFormat="false" ht="15" hidden="false" customHeight="false" outlineLevel="0" collapsed="false">
      <c r="B7569" s="7" t="s">
        <v>8066</v>
      </c>
      <c r="C7569" s="39" t="n">
        <v>46001</v>
      </c>
      <c r="D7569" s="7" t="s">
        <v>315</v>
      </c>
      <c r="E7569" s="7" t="s">
        <v>159</v>
      </c>
      <c r="F7569" s="7" t="s">
        <v>216</v>
      </c>
      <c r="G7569" s="7" t="s">
        <v>502</v>
      </c>
      <c r="H7569" s="6" t="n">
        <v>1.03</v>
      </c>
      <c r="I7569" s="6" t="n">
        <v>0.072</v>
      </c>
      <c r="J7569" s="40" t="n">
        <f aca="false">H7569-I7569</f>
        <v>0.958</v>
      </c>
      <c r="K7569" s="41" t="n">
        <v>135</v>
      </c>
      <c r="L7569" s="42" t="n">
        <f aca="false">J7569*K7569</f>
        <v>129.33</v>
      </c>
      <c r="M7569" s="43" t="n">
        <f aca="false">H7569*61.79*(1+'Chart of Accounts'!$E$67)</f>
        <v>72.8720365</v>
      </c>
    </row>
    <row r="7570" customFormat="false" ht="15" hidden="false" customHeight="false" outlineLevel="0" collapsed="false">
      <c r="B7570" s="7" t="s">
        <v>8067</v>
      </c>
      <c r="C7570" s="39" t="n">
        <v>46001</v>
      </c>
      <c r="D7570" s="7" t="s">
        <v>321</v>
      </c>
      <c r="E7570" s="7" t="s">
        <v>154</v>
      </c>
      <c r="F7570" s="7" t="s">
        <v>218</v>
      </c>
      <c r="G7570" s="7" t="s">
        <v>505</v>
      </c>
      <c r="H7570" s="6" t="n">
        <v>4.28</v>
      </c>
      <c r="I7570" s="6" t="n">
        <v>0</v>
      </c>
      <c r="J7570" s="40" t="n">
        <f aca="false">H7570-I7570</f>
        <v>4.28</v>
      </c>
      <c r="K7570" s="41" t="n">
        <v>26.5</v>
      </c>
      <c r="L7570" s="42" t="n">
        <f aca="false">J7570*K7570</f>
        <v>113.42</v>
      </c>
      <c r="M7570" s="43" t="n">
        <f aca="false">H7570*16.19*(1+'Chart of Accounts'!$E$67)</f>
        <v>79.340714</v>
      </c>
    </row>
    <row r="7571" customFormat="false" ht="15" hidden="false" customHeight="false" outlineLevel="0" collapsed="false">
      <c r="B7571" s="7" t="s">
        <v>8068</v>
      </c>
      <c r="C7571" s="39" t="n">
        <v>46001</v>
      </c>
      <c r="D7571" s="7" t="s">
        <v>329</v>
      </c>
      <c r="E7571" s="7" t="s">
        <v>156</v>
      </c>
      <c r="F7571" s="7" t="s">
        <v>220</v>
      </c>
      <c r="G7571" s="7" t="s">
        <v>505</v>
      </c>
      <c r="H7571" s="6" t="n">
        <v>3.95</v>
      </c>
      <c r="I7571" s="6" t="n">
        <v>0</v>
      </c>
      <c r="J7571" s="40" t="n">
        <f aca="false">H7571-I7571</f>
        <v>3.95</v>
      </c>
      <c r="K7571" s="41" t="n">
        <v>34</v>
      </c>
      <c r="L7571" s="42" t="n">
        <f aca="false">J7571*K7571</f>
        <v>134.3</v>
      </c>
      <c r="M7571" s="43" t="n">
        <f aca="false">H7571*16.43*(1+'Chart of Accounts'!$E$67)</f>
        <v>74.3087825</v>
      </c>
    </row>
    <row r="7572" customFormat="false" ht="15" hidden="false" customHeight="false" outlineLevel="0" collapsed="false">
      <c r="B7572" s="7" t="s">
        <v>8069</v>
      </c>
      <c r="C7572" s="39" t="n">
        <v>46001</v>
      </c>
      <c r="D7572" s="7" t="s">
        <v>333</v>
      </c>
      <c r="E7572" s="7" t="s">
        <v>154</v>
      </c>
      <c r="F7572" s="7" t="s">
        <v>236</v>
      </c>
      <c r="G7572" s="7" t="s">
        <v>505</v>
      </c>
      <c r="H7572" s="6" t="n">
        <v>3.53</v>
      </c>
      <c r="I7572" s="6" t="n">
        <v>0</v>
      </c>
      <c r="J7572" s="40" t="n">
        <f aca="false">H7572-I7572</f>
        <v>3.53</v>
      </c>
      <c r="K7572" s="41" t="n">
        <v>26.5</v>
      </c>
      <c r="L7572" s="42" t="n">
        <f aca="false">J7572*K7572</f>
        <v>93.545</v>
      </c>
      <c r="M7572" s="43" t="n">
        <f aca="false">H7572*15.49*(1+'Chart of Accounts'!$E$67)</f>
        <v>62.6082565</v>
      </c>
    </row>
    <row r="7573" customFormat="false" ht="15" hidden="false" customHeight="false" outlineLevel="0" collapsed="false">
      <c r="B7573" s="7" t="s">
        <v>8070</v>
      </c>
      <c r="C7573" s="39" t="n">
        <v>46001</v>
      </c>
      <c r="D7573" s="7" t="s">
        <v>335</v>
      </c>
      <c r="E7573" s="7" t="s">
        <v>154</v>
      </c>
      <c r="F7573" s="7" t="s">
        <v>177</v>
      </c>
      <c r="G7573" s="7" t="s">
        <v>505</v>
      </c>
      <c r="H7573" s="6" t="n">
        <v>4.28</v>
      </c>
      <c r="I7573" s="6" t="n">
        <v>0</v>
      </c>
      <c r="J7573" s="40" t="n">
        <f aca="false">H7573-I7573</f>
        <v>4.28</v>
      </c>
      <c r="K7573" s="41" t="n">
        <v>26.5</v>
      </c>
      <c r="L7573" s="42" t="n">
        <f aca="false">J7573*K7573</f>
        <v>113.42</v>
      </c>
      <c r="M7573" s="43" t="n">
        <f aca="false">H7573*14.56*(1+'Chart of Accounts'!$E$67)</f>
        <v>71.352736</v>
      </c>
    </row>
    <row r="7574" customFormat="false" ht="15" hidden="false" customHeight="false" outlineLevel="0" collapsed="false">
      <c r="B7574" s="7" t="s">
        <v>8071</v>
      </c>
      <c r="C7574" s="39" t="n">
        <v>46001</v>
      </c>
      <c r="D7574" s="7" t="s">
        <v>339</v>
      </c>
      <c r="E7574" s="7" t="s">
        <v>154</v>
      </c>
      <c r="F7574" s="7" t="s">
        <v>242</v>
      </c>
      <c r="G7574" s="7" t="s">
        <v>505</v>
      </c>
      <c r="H7574" s="6" t="n">
        <v>3.32</v>
      </c>
      <c r="I7574" s="6" t="n">
        <v>0.1</v>
      </c>
      <c r="J7574" s="40" t="n">
        <f aca="false">H7574-I7574</f>
        <v>3.22</v>
      </c>
      <c r="K7574" s="41" t="n">
        <v>26.5</v>
      </c>
      <c r="L7574" s="42" t="n">
        <f aca="false">J7574*K7574</f>
        <v>85.33</v>
      </c>
      <c r="M7574" s="43" t="n">
        <f aca="false">H7574*17.99*(1+'Chart of Accounts'!$E$67)</f>
        <v>68.387186</v>
      </c>
    </row>
    <row r="7575" customFormat="false" ht="15" hidden="false" customHeight="false" outlineLevel="0" collapsed="false">
      <c r="B7575" s="7" t="s">
        <v>8072</v>
      </c>
      <c r="C7575" s="39" t="n">
        <v>46001</v>
      </c>
      <c r="D7575" s="7" t="s">
        <v>349</v>
      </c>
      <c r="E7575" s="7" t="s">
        <v>154</v>
      </c>
      <c r="F7575" s="7" t="s">
        <v>244</v>
      </c>
      <c r="G7575" s="7" t="s">
        <v>505</v>
      </c>
      <c r="H7575" s="6" t="n">
        <v>3.61</v>
      </c>
      <c r="I7575" s="6" t="n">
        <v>0</v>
      </c>
      <c r="J7575" s="40" t="n">
        <f aca="false">H7575-I7575</f>
        <v>3.61</v>
      </c>
      <c r="K7575" s="41" t="n">
        <v>26.5</v>
      </c>
      <c r="L7575" s="42" t="n">
        <f aca="false">J7575*K7575</f>
        <v>95.665</v>
      </c>
      <c r="M7575" s="43" t="n">
        <f aca="false">H7575*16.39*(1+'Chart of Accounts'!$E$67)</f>
        <v>67.7472455</v>
      </c>
    </row>
    <row r="7576" customFormat="false" ht="15" hidden="false" customHeight="false" outlineLevel="0" collapsed="false">
      <c r="B7576" s="7" t="s">
        <v>8073</v>
      </c>
      <c r="C7576" s="39" t="n">
        <v>46001</v>
      </c>
      <c r="D7576" s="7" t="s">
        <v>353</v>
      </c>
      <c r="E7576" s="7" t="s">
        <v>154</v>
      </c>
      <c r="F7576" s="7" t="s">
        <v>254</v>
      </c>
      <c r="G7576" s="7" t="s">
        <v>505</v>
      </c>
      <c r="H7576" s="6" t="n">
        <v>3.63</v>
      </c>
      <c r="I7576" s="6" t="n">
        <v>0</v>
      </c>
      <c r="J7576" s="40" t="n">
        <f aca="false">H7576-I7576</f>
        <v>3.63</v>
      </c>
      <c r="K7576" s="41" t="n">
        <v>26.5</v>
      </c>
      <c r="L7576" s="42" t="n">
        <f aca="false">J7576*K7576</f>
        <v>96.195</v>
      </c>
      <c r="M7576" s="43" t="n">
        <f aca="false">H7576*17.1*(1+'Chart of Accounts'!$E$67)</f>
        <v>71.073585</v>
      </c>
    </row>
    <row r="7577" customFormat="false" ht="15" hidden="false" customHeight="false" outlineLevel="0" collapsed="false">
      <c r="B7577" s="7" t="s">
        <v>8074</v>
      </c>
      <c r="C7577" s="39" t="n">
        <v>46001</v>
      </c>
      <c r="D7577" s="7" t="s">
        <v>355</v>
      </c>
      <c r="E7577" s="7" t="s">
        <v>154</v>
      </c>
      <c r="F7577" s="7" t="s">
        <v>201</v>
      </c>
      <c r="G7577" s="7" t="s">
        <v>505</v>
      </c>
      <c r="H7577" s="6" t="n">
        <v>3.26</v>
      </c>
      <c r="I7577" s="6" t="n">
        <v>0</v>
      </c>
      <c r="J7577" s="40" t="n">
        <f aca="false">H7577-I7577</f>
        <v>3.26</v>
      </c>
      <c r="K7577" s="41" t="n">
        <v>26.5</v>
      </c>
      <c r="L7577" s="42" t="n">
        <f aca="false">J7577*K7577</f>
        <v>86.39</v>
      </c>
      <c r="M7577" s="43" t="n">
        <f aca="false">H7577*15.19*(1+'Chart of Accounts'!$E$67)</f>
        <v>56.699713</v>
      </c>
    </row>
    <row r="7578" customFormat="false" ht="15" hidden="false" customHeight="false" outlineLevel="0" collapsed="false">
      <c r="B7578" s="7" t="s">
        <v>8075</v>
      </c>
      <c r="C7578" s="39" t="n">
        <v>46001</v>
      </c>
      <c r="D7578" s="7" t="s">
        <v>357</v>
      </c>
      <c r="E7578" s="7" t="s">
        <v>154</v>
      </c>
      <c r="F7578" s="7" t="s">
        <v>205</v>
      </c>
      <c r="G7578" s="7" t="s">
        <v>505</v>
      </c>
      <c r="H7578" s="6" t="n">
        <v>3.04</v>
      </c>
      <c r="I7578" s="6" t="n">
        <v>0</v>
      </c>
      <c r="J7578" s="40" t="n">
        <f aca="false">H7578-I7578</f>
        <v>3.04</v>
      </c>
      <c r="K7578" s="41" t="n">
        <v>26.5</v>
      </c>
      <c r="L7578" s="42" t="n">
        <f aca="false">J7578*K7578</f>
        <v>80.56</v>
      </c>
      <c r="M7578" s="43" t="n">
        <f aca="false">H7578*16.36*(1+'Chart of Accounts'!$E$67)</f>
        <v>56.945888</v>
      </c>
    </row>
    <row r="7579" customFormat="false" ht="15" hidden="false" customHeight="false" outlineLevel="0" collapsed="false">
      <c r="B7579" s="7" t="s">
        <v>8076</v>
      </c>
      <c r="C7579" s="39" t="n">
        <v>46001</v>
      </c>
      <c r="D7579" s="7" t="s">
        <v>359</v>
      </c>
      <c r="E7579" s="7" t="s">
        <v>156</v>
      </c>
      <c r="F7579" s="7" t="s">
        <v>254</v>
      </c>
      <c r="G7579" s="7" t="s">
        <v>505</v>
      </c>
      <c r="H7579" s="6" t="n">
        <v>4.27</v>
      </c>
      <c r="I7579" s="6" t="n">
        <v>0</v>
      </c>
      <c r="J7579" s="40" t="n">
        <f aca="false">H7579-I7579</f>
        <v>4.27</v>
      </c>
      <c r="K7579" s="41" t="n">
        <v>34</v>
      </c>
      <c r="L7579" s="42" t="n">
        <f aca="false">J7579*K7579</f>
        <v>145.18</v>
      </c>
      <c r="M7579" s="43" t="n">
        <f aca="false">H7579*17.1*(1+'Chart of Accounts'!$E$67)</f>
        <v>83.604465</v>
      </c>
    </row>
    <row r="7580" customFormat="false" ht="15" hidden="false" customHeight="false" outlineLevel="0" collapsed="false">
      <c r="B7580" s="7" t="s">
        <v>8077</v>
      </c>
      <c r="C7580" s="39" t="n">
        <v>46001</v>
      </c>
      <c r="D7580" s="7" t="s">
        <v>365</v>
      </c>
      <c r="E7580" s="7" t="s">
        <v>154</v>
      </c>
      <c r="F7580" s="7" t="s">
        <v>194</v>
      </c>
      <c r="G7580" s="7" t="s">
        <v>505</v>
      </c>
      <c r="H7580" s="6" t="n">
        <v>3.64</v>
      </c>
      <c r="I7580" s="6" t="n">
        <v>0</v>
      </c>
      <c r="J7580" s="40" t="n">
        <f aca="false">H7580-I7580</f>
        <v>3.64</v>
      </c>
      <c r="K7580" s="41" t="n">
        <v>26.5</v>
      </c>
      <c r="L7580" s="42" t="n">
        <f aca="false">J7580*K7580</f>
        <v>96.46</v>
      </c>
      <c r="M7580" s="43" t="n">
        <f aca="false">H7580*16*(1+'Chart of Accounts'!$E$67)</f>
        <v>66.6848</v>
      </c>
    </row>
    <row r="7581" customFormat="false" ht="15" hidden="false" customHeight="false" outlineLevel="0" collapsed="false">
      <c r="B7581" s="7" t="s">
        <v>8078</v>
      </c>
      <c r="C7581" s="39" t="n">
        <v>46001</v>
      </c>
      <c r="D7581" s="7" t="s">
        <v>371</v>
      </c>
      <c r="E7581" s="7" t="s">
        <v>154</v>
      </c>
      <c r="F7581" s="7" t="s">
        <v>232</v>
      </c>
      <c r="G7581" s="7" t="s">
        <v>505</v>
      </c>
      <c r="H7581" s="6" t="n">
        <v>4.78</v>
      </c>
      <c r="I7581" s="6" t="n">
        <v>0</v>
      </c>
      <c r="J7581" s="40" t="n">
        <f aca="false">H7581-I7581</f>
        <v>4.78</v>
      </c>
      <c r="K7581" s="41" t="n">
        <v>26.5</v>
      </c>
      <c r="L7581" s="42" t="n">
        <f aca="false">J7581*K7581</f>
        <v>126.67</v>
      </c>
      <c r="M7581" s="43" t="n">
        <f aca="false">H7581*16.17*(1+'Chart of Accounts'!$E$67)</f>
        <v>88.500027</v>
      </c>
    </row>
    <row r="7582" customFormat="false" ht="15" hidden="false" customHeight="false" outlineLevel="0" collapsed="false">
      <c r="B7582" s="7" t="s">
        <v>8079</v>
      </c>
      <c r="C7582" s="39" t="n">
        <v>46001</v>
      </c>
      <c r="D7582" s="7" t="s">
        <v>379</v>
      </c>
      <c r="E7582" s="7" t="s">
        <v>156</v>
      </c>
      <c r="F7582" s="7" t="s">
        <v>224</v>
      </c>
      <c r="G7582" s="7" t="s">
        <v>505</v>
      </c>
      <c r="H7582" s="6" t="n">
        <v>4.43</v>
      </c>
      <c r="I7582" s="6" t="n">
        <v>0</v>
      </c>
      <c r="J7582" s="40" t="n">
        <f aca="false">H7582-I7582</f>
        <v>4.43</v>
      </c>
      <c r="K7582" s="41" t="n">
        <v>34</v>
      </c>
      <c r="L7582" s="42" t="n">
        <f aca="false">J7582*K7582</f>
        <v>150.62</v>
      </c>
      <c r="M7582" s="43" t="n">
        <f aca="false">H7582*14.93*(1+'Chart of Accounts'!$E$67)</f>
        <v>75.7301855</v>
      </c>
    </row>
    <row r="7583" customFormat="false" ht="15" hidden="false" customHeight="false" outlineLevel="0" collapsed="false">
      <c r="B7583" s="7" t="s">
        <v>8080</v>
      </c>
      <c r="C7583" s="39" t="n">
        <v>46001</v>
      </c>
      <c r="D7583" s="7" t="s">
        <v>385</v>
      </c>
      <c r="E7583" s="7" t="s">
        <v>156</v>
      </c>
      <c r="F7583" s="7" t="s">
        <v>238</v>
      </c>
      <c r="G7583" s="7" t="s">
        <v>505</v>
      </c>
      <c r="H7583" s="6" t="n">
        <v>3.86</v>
      </c>
      <c r="I7583" s="6" t="n">
        <v>0</v>
      </c>
      <c r="J7583" s="40" t="n">
        <f aca="false">H7583-I7583</f>
        <v>3.86</v>
      </c>
      <c r="K7583" s="41" t="n">
        <v>34</v>
      </c>
      <c r="L7583" s="42" t="n">
        <f aca="false">J7583*K7583</f>
        <v>131.24</v>
      </c>
      <c r="M7583" s="43" t="n">
        <f aca="false">H7583*15.85*(1+'Chart of Accounts'!$E$67)</f>
        <v>70.052245</v>
      </c>
    </row>
    <row r="7584" customFormat="false" ht="15" hidden="false" customHeight="false" outlineLevel="0" collapsed="false">
      <c r="B7584" s="7" t="s">
        <v>8081</v>
      </c>
      <c r="C7584" s="39" t="n">
        <v>46001</v>
      </c>
      <c r="D7584" s="7" t="s">
        <v>387</v>
      </c>
      <c r="E7584" s="7" t="s">
        <v>154</v>
      </c>
      <c r="F7584" s="7" t="s">
        <v>196</v>
      </c>
      <c r="G7584" s="7" t="s">
        <v>505</v>
      </c>
      <c r="H7584" s="6" t="n">
        <v>4.22</v>
      </c>
      <c r="I7584" s="6" t="n">
        <v>0.127</v>
      </c>
      <c r="J7584" s="40" t="n">
        <f aca="false">H7584-I7584</f>
        <v>4.093</v>
      </c>
      <c r="K7584" s="41" t="n">
        <v>26.5</v>
      </c>
      <c r="L7584" s="42" t="n">
        <f aca="false">J7584*K7584</f>
        <v>108.4645</v>
      </c>
      <c r="M7584" s="43" t="n">
        <f aca="false">H7584*15.05*(1+'Chart of Accounts'!$E$67)</f>
        <v>72.720095</v>
      </c>
    </row>
    <row r="7585" customFormat="false" ht="15" hidden="false" customHeight="false" outlineLevel="0" collapsed="false">
      <c r="B7585" s="7" t="s">
        <v>8082</v>
      </c>
      <c r="C7585" s="39" t="n">
        <v>46001</v>
      </c>
      <c r="D7585" s="7" t="s">
        <v>389</v>
      </c>
      <c r="E7585" s="7" t="s">
        <v>154</v>
      </c>
      <c r="F7585" s="7" t="s">
        <v>246</v>
      </c>
      <c r="G7585" s="7" t="s">
        <v>505</v>
      </c>
      <c r="H7585" s="6" t="n">
        <v>3.71</v>
      </c>
      <c r="I7585" s="6" t="n">
        <v>0</v>
      </c>
      <c r="J7585" s="40" t="n">
        <f aca="false">H7585-I7585</f>
        <v>3.71</v>
      </c>
      <c r="K7585" s="41" t="n">
        <v>26.5</v>
      </c>
      <c r="L7585" s="42" t="n">
        <f aca="false">J7585*K7585</f>
        <v>98.315</v>
      </c>
      <c r="M7585" s="43" t="n">
        <f aca="false">H7585*16.48*(1+'Chart of Accounts'!$E$67)</f>
        <v>70.006216</v>
      </c>
    </row>
    <row r="7586" customFormat="false" ht="15" hidden="false" customHeight="false" outlineLevel="0" collapsed="false">
      <c r="B7586" s="7" t="s">
        <v>8083</v>
      </c>
      <c r="C7586" s="39" t="n">
        <v>46001</v>
      </c>
      <c r="D7586" s="7" t="s">
        <v>391</v>
      </c>
      <c r="E7586" s="7" t="s">
        <v>156</v>
      </c>
      <c r="F7586" s="7" t="s">
        <v>222</v>
      </c>
      <c r="G7586" s="7" t="s">
        <v>505</v>
      </c>
      <c r="H7586" s="6" t="n">
        <v>3.6</v>
      </c>
      <c r="I7586" s="6" t="n">
        <v>0</v>
      </c>
      <c r="J7586" s="40" t="n">
        <f aca="false">H7586-I7586</f>
        <v>3.6</v>
      </c>
      <c r="K7586" s="41" t="n">
        <v>34</v>
      </c>
      <c r="L7586" s="42" t="n">
        <f aca="false">J7586*K7586</f>
        <v>122.4</v>
      </c>
      <c r="M7586" s="43" t="n">
        <f aca="false">H7586*17.84*(1+'Chart of Accounts'!$E$67)</f>
        <v>73.53648</v>
      </c>
    </row>
    <row r="7587" customFormat="false" ht="15" hidden="false" customHeight="false" outlineLevel="0" collapsed="false">
      <c r="B7587" s="7" t="s">
        <v>8084</v>
      </c>
      <c r="C7587" s="39" t="n">
        <v>46001</v>
      </c>
      <c r="D7587" s="7" t="s">
        <v>393</v>
      </c>
      <c r="E7587" s="7" t="s">
        <v>157</v>
      </c>
      <c r="F7587" s="7" t="s">
        <v>203</v>
      </c>
      <c r="G7587" s="7" t="s">
        <v>502</v>
      </c>
      <c r="H7587" s="6" t="n">
        <v>1.02</v>
      </c>
      <c r="I7587" s="6" t="n">
        <v>0</v>
      </c>
      <c r="J7587" s="40" t="n">
        <f aca="false">H7587-I7587</f>
        <v>1.02</v>
      </c>
      <c r="K7587" s="41" t="n">
        <v>165</v>
      </c>
      <c r="L7587" s="42" t="n">
        <f aca="false">J7587*K7587</f>
        <v>168.3</v>
      </c>
      <c r="M7587" s="43" t="n">
        <f aca="false">H7587*49.43*(1+'Chart of Accounts'!$E$67)</f>
        <v>57.729297</v>
      </c>
    </row>
    <row r="7588" customFormat="false" ht="15" hidden="false" customHeight="false" outlineLevel="0" collapsed="false">
      <c r="B7588" s="7" t="s">
        <v>8085</v>
      </c>
      <c r="C7588" s="39" t="n">
        <v>46001</v>
      </c>
      <c r="D7588" s="7" t="s">
        <v>395</v>
      </c>
      <c r="E7588" s="7" t="s">
        <v>156</v>
      </c>
      <c r="F7588" s="7" t="s">
        <v>242</v>
      </c>
      <c r="G7588" s="7" t="s">
        <v>505</v>
      </c>
      <c r="H7588" s="6" t="n">
        <v>3.9</v>
      </c>
      <c r="I7588" s="6" t="n">
        <v>0</v>
      </c>
      <c r="J7588" s="40" t="n">
        <f aca="false">H7588-I7588</f>
        <v>3.9</v>
      </c>
      <c r="K7588" s="41" t="n">
        <v>34</v>
      </c>
      <c r="L7588" s="42" t="n">
        <f aca="false">J7588*K7588</f>
        <v>132.6</v>
      </c>
      <c r="M7588" s="43" t="n">
        <f aca="false">H7588*17.99*(1+'Chart of Accounts'!$E$67)</f>
        <v>80.334345</v>
      </c>
    </row>
    <row r="7589" customFormat="false" ht="15" hidden="false" customHeight="false" outlineLevel="0" collapsed="false">
      <c r="B7589" s="7" t="s">
        <v>8086</v>
      </c>
      <c r="C7589" s="39" t="n">
        <v>46001</v>
      </c>
      <c r="D7589" s="7" t="s">
        <v>401</v>
      </c>
      <c r="E7589" s="7" t="s">
        <v>156</v>
      </c>
      <c r="F7589" s="7" t="s">
        <v>254</v>
      </c>
      <c r="G7589" s="7" t="s">
        <v>505</v>
      </c>
      <c r="H7589" s="6" t="n">
        <v>3.6</v>
      </c>
      <c r="I7589" s="6" t="n">
        <v>0</v>
      </c>
      <c r="J7589" s="40" t="n">
        <f aca="false">H7589-I7589</f>
        <v>3.6</v>
      </c>
      <c r="K7589" s="41" t="n">
        <v>34</v>
      </c>
      <c r="L7589" s="42" t="n">
        <f aca="false">J7589*K7589</f>
        <v>122.4</v>
      </c>
      <c r="M7589" s="43" t="n">
        <f aca="false">H7589*17.1*(1+'Chart of Accounts'!$E$67)</f>
        <v>70.4862</v>
      </c>
    </row>
    <row r="7590" customFormat="false" ht="15" hidden="false" customHeight="false" outlineLevel="0" collapsed="false">
      <c r="B7590" s="7" t="s">
        <v>8087</v>
      </c>
      <c r="C7590" s="39" t="n">
        <v>46001</v>
      </c>
      <c r="D7590" s="7" t="s">
        <v>403</v>
      </c>
      <c r="E7590" s="7" t="s">
        <v>156</v>
      </c>
      <c r="F7590" s="7" t="s">
        <v>184</v>
      </c>
      <c r="G7590" s="7" t="s">
        <v>505</v>
      </c>
      <c r="H7590" s="6" t="n">
        <v>4.25</v>
      </c>
      <c r="I7590" s="6" t="n">
        <v>0</v>
      </c>
      <c r="J7590" s="40" t="n">
        <f aca="false">H7590-I7590</f>
        <v>4.25</v>
      </c>
      <c r="K7590" s="41" t="n">
        <v>34</v>
      </c>
      <c r="L7590" s="42" t="n">
        <f aca="false">J7590*K7590</f>
        <v>144.5</v>
      </c>
      <c r="M7590" s="43" t="n">
        <f aca="false">H7590*17.34*(1+'Chart of Accounts'!$E$67)</f>
        <v>84.380775</v>
      </c>
    </row>
    <row r="7591" customFormat="false" ht="15" hidden="false" customHeight="false" outlineLevel="0" collapsed="false">
      <c r="B7591" s="7" t="s">
        <v>8088</v>
      </c>
      <c r="C7591" s="39" t="n">
        <v>46001</v>
      </c>
      <c r="D7591" s="7" t="s">
        <v>409</v>
      </c>
      <c r="E7591" s="7" t="s">
        <v>154</v>
      </c>
      <c r="F7591" s="7" t="s">
        <v>214</v>
      </c>
      <c r="G7591" s="7" t="s">
        <v>505</v>
      </c>
      <c r="H7591" s="6" t="n">
        <v>3.41</v>
      </c>
      <c r="I7591" s="6" t="n">
        <v>0</v>
      </c>
      <c r="J7591" s="40" t="n">
        <f aca="false">H7591-I7591</f>
        <v>3.41</v>
      </c>
      <c r="K7591" s="41" t="n">
        <v>26.5</v>
      </c>
      <c r="L7591" s="42" t="n">
        <f aca="false">J7591*K7591</f>
        <v>90.365</v>
      </c>
      <c r="M7591" s="43" t="n">
        <f aca="false">H7591*15.67*(1+'Chart of Accounts'!$E$67)</f>
        <v>61.1827315</v>
      </c>
    </row>
    <row r="7592" customFormat="false" ht="15" hidden="false" customHeight="false" outlineLevel="0" collapsed="false">
      <c r="B7592" s="7" t="s">
        <v>8089</v>
      </c>
      <c r="C7592" s="39" t="n">
        <v>46001</v>
      </c>
      <c r="D7592" s="7" t="s">
        <v>411</v>
      </c>
      <c r="E7592" s="7" t="s">
        <v>154</v>
      </c>
      <c r="F7592" s="7" t="s">
        <v>177</v>
      </c>
      <c r="G7592" s="7" t="s">
        <v>505</v>
      </c>
      <c r="H7592" s="6" t="n">
        <v>4.49</v>
      </c>
      <c r="I7592" s="6" t="n">
        <v>0.135</v>
      </c>
      <c r="J7592" s="40" t="n">
        <f aca="false">H7592-I7592</f>
        <v>4.355</v>
      </c>
      <c r="K7592" s="41" t="n">
        <v>26.5</v>
      </c>
      <c r="L7592" s="42" t="n">
        <f aca="false">J7592*K7592</f>
        <v>115.4075</v>
      </c>
      <c r="M7592" s="43" t="n">
        <f aca="false">H7592*14.56*(1+'Chart of Accounts'!$E$67)</f>
        <v>74.853688</v>
      </c>
    </row>
    <row r="7593" customFormat="false" ht="15" hidden="false" customHeight="false" outlineLevel="0" collapsed="false">
      <c r="B7593" s="7" t="s">
        <v>8090</v>
      </c>
      <c r="C7593" s="39" t="n">
        <v>46002</v>
      </c>
      <c r="D7593" s="7" t="s">
        <v>288</v>
      </c>
      <c r="E7593" s="7" t="s">
        <v>156</v>
      </c>
      <c r="F7593" s="7" t="s">
        <v>240</v>
      </c>
      <c r="G7593" s="7" t="s">
        <v>505</v>
      </c>
      <c r="H7593" s="6" t="n">
        <v>4.08</v>
      </c>
      <c r="I7593" s="6" t="n">
        <v>0</v>
      </c>
      <c r="J7593" s="40" t="n">
        <f aca="false">H7593-I7593</f>
        <v>4.08</v>
      </c>
      <c r="K7593" s="41" t="n">
        <v>34</v>
      </c>
      <c r="L7593" s="42" t="n">
        <f aca="false">J7593*K7593</f>
        <v>138.72</v>
      </c>
      <c r="M7593" s="43" t="n">
        <f aca="false">H7593*16.96*(1+'Chart of Accounts'!$E$67)</f>
        <v>79.230336</v>
      </c>
    </row>
    <row r="7594" customFormat="false" ht="15" hidden="false" customHeight="false" outlineLevel="0" collapsed="false">
      <c r="B7594" s="7" t="s">
        <v>8091</v>
      </c>
      <c r="C7594" s="39" t="n">
        <v>46002</v>
      </c>
      <c r="D7594" s="7" t="s">
        <v>297</v>
      </c>
      <c r="E7594" s="7" t="s">
        <v>156</v>
      </c>
      <c r="F7594" s="7" t="s">
        <v>201</v>
      </c>
      <c r="G7594" s="7" t="s">
        <v>505</v>
      </c>
      <c r="H7594" s="6" t="n">
        <v>2.73</v>
      </c>
      <c r="I7594" s="6" t="n">
        <v>0</v>
      </c>
      <c r="J7594" s="40" t="n">
        <f aca="false">H7594-I7594</f>
        <v>2.73</v>
      </c>
      <c r="K7594" s="41" t="n">
        <v>34</v>
      </c>
      <c r="L7594" s="42" t="n">
        <f aca="false">J7594*K7594</f>
        <v>92.82</v>
      </c>
      <c r="M7594" s="43" t="n">
        <f aca="false">H7594*15.19*(1+'Chart of Accounts'!$E$67)</f>
        <v>47.4816615</v>
      </c>
    </row>
    <row r="7595" customFormat="false" ht="15" hidden="false" customHeight="false" outlineLevel="0" collapsed="false">
      <c r="B7595" s="7" t="s">
        <v>8092</v>
      </c>
      <c r="C7595" s="39" t="n">
        <v>46002</v>
      </c>
      <c r="D7595" s="7" t="s">
        <v>299</v>
      </c>
      <c r="E7595" s="7" t="s">
        <v>154</v>
      </c>
      <c r="F7595" s="7" t="s">
        <v>205</v>
      </c>
      <c r="G7595" s="7" t="s">
        <v>505</v>
      </c>
      <c r="H7595" s="6" t="n">
        <v>2.71</v>
      </c>
      <c r="I7595" s="6" t="n">
        <v>0</v>
      </c>
      <c r="J7595" s="40" t="n">
        <f aca="false">H7595-I7595</f>
        <v>2.71</v>
      </c>
      <c r="K7595" s="41" t="n">
        <v>26.5</v>
      </c>
      <c r="L7595" s="42" t="n">
        <f aca="false">J7595*K7595</f>
        <v>71.815</v>
      </c>
      <c r="M7595" s="43" t="n">
        <f aca="false">H7595*16.36*(1+'Chart of Accounts'!$E$67)</f>
        <v>50.764262</v>
      </c>
    </row>
    <row r="7596" customFormat="false" ht="15" hidden="false" customHeight="false" outlineLevel="0" collapsed="false">
      <c r="B7596" s="7" t="s">
        <v>8093</v>
      </c>
      <c r="C7596" s="39" t="n">
        <v>46002</v>
      </c>
      <c r="D7596" s="7" t="s">
        <v>303</v>
      </c>
      <c r="E7596" s="7" t="s">
        <v>154</v>
      </c>
      <c r="F7596" s="7" t="s">
        <v>240</v>
      </c>
      <c r="G7596" s="7" t="s">
        <v>505</v>
      </c>
      <c r="H7596" s="6" t="n">
        <v>3.82</v>
      </c>
      <c r="I7596" s="6" t="n">
        <v>0</v>
      </c>
      <c r="J7596" s="40" t="n">
        <f aca="false">H7596-I7596</f>
        <v>3.82</v>
      </c>
      <c r="K7596" s="41" t="n">
        <v>26.5</v>
      </c>
      <c r="L7596" s="42" t="n">
        <f aca="false">J7596*K7596</f>
        <v>101.23</v>
      </c>
      <c r="M7596" s="43" t="n">
        <f aca="false">H7596*16.96*(1+'Chart of Accounts'!$E$67)</f>
        <v>74.181344</v>
      </c>
    </row>
    <row r="7597" customFormat="false" ht="15" hidden="false" customHeight="false" outlineLevel="0" collapsed="false">
      <c r="B7597" s="7" t="s">
        <v>8094</v>
      </c>
      <c r="C7597" s="39" t="n">
        <v>46002</v>
      </c>
      <c r="D7597" s="7" t="s">
        <v>311</v>
      </c>
      <c r="E7597" s="7" t="s">
        <v>154</v>
      </c>
      <c r="F7597" s="7" t="s">
        <v>196</v>
      </c>
      <c r="G7597" s="7" t="s">
        <v>505</v>
      </c>
      <c r="H7597" s="6" t="n">
        <v>2.91</v>
      </c>
      <c r="I7597" s="6" t="n">
        <v>0</v>
      </c>
      <c r="J7597" s="40" t="n">
        <f aca="false">H7597-I7597</f>
        <v>2.91</v>
      </c>
      <c r="K7597" s="41" t="n">
        <v>26.5</v>
      </c>
      <c r="L7597" s="42" t="n">
        <f aca="false">J7597*K7597</f>
        <v>77.115</v>
      </c>
      <c r="M7597" s="43" t="n">
        <f aca="false">H7597*15.05*(1+'Chart of Accounts'!$E$67)</f>
        <v>50.1458475</v>
      </c>
    </row>
    <row r="7598" customFormat="false" ht="15" hidden="false" customHeight="false" outlineLevel="0" collapsed="false">
      <c r="B7598" s="7" t="s">
        <v>8095</v>
      </c>
      <c r="C7598" s="39" t="n">
        <v>46002</v>
      </c>
      <c r="D7598" s="7" t="s">
        <v>313</v>
      </c>
      <c r="E7598" s="7" t="s">
        <v>156</v>
      </c>
      <c r="F7598" s="7" t="s">
        <v>184</v>
      </c>
      <c r="G7598" s="7" t="s">
        <v>505</v>
      </c>
      <c r="H7598" s="6" t="n">
        <v>4.18</v>
      </c>
      <c r="I7598" s="6" t="n">
        <v>0</v>
      </c>
      <c r="J7598" s="40" t="n">
        <f aca="false">H7598-I7598</f>
        <v>4.18</v>
      </c>
      <c r="K7598" s="41" t="n">
        <v>34</v>
      </c>
      <c r="L7598" s="42" t="n">
        <f aca="false">J7598*K7598</f>
        <v>142.12</v>
      </c>
      <c r="M7598" s="43" t="n">
        <f aca="false">H7598*17.34*(1+'Chart of Accounts'!$E$67)</f>
        <v>82.990974</v>
      </c>
    </row>
    <row r="7599" customFormat="false" ht="15" hidden="false" customHeight="false" outlineLevel="0" collapsed="false">
      <c r="B7599" s="7" t="s">
        <v>8096</v>
      </c>
      <c r="C7599" s="39" t="n">
        <v>46002</v>
      </c>
      <c r="D7599" s="7" t="s">
        <v>317</v>
      </c>
      <c r="E7599" s="7" t="s">
        <v>156</v>
      </c>
      <c r="F7599" s="7" t="s">
        <v>218</v>
      </c>
      <c r="G7599" s="7" t="s">
        <v>505</v>
      </c>
      <c r="H7599" s="6" t="n">
        <v>3</v>
      </c>
      <c r="I7599" s="6" t="n">
        <v>0</v>
      </c>
      <c r="J7599" s="40" t="n">
        <f aca="false">H7599-I7599</f>
        <v>3</v>
      </c>
      <c r="K7599" s="41" t="n">
        <v>34</v>
      </c>
      <c r="L7599" s="42" t="n">
        <f aca="false">J7599*K7599</f>
        <v>102</v>
      </c>
      <c r="M7599" s="43" t="n">
        <f aca="false">H7599*16.19*(1+'Chart of Accounts'!$E$67)</f>
        <v>55.61265</v>
      </c>
    </row>
    <row r="7600" customFormat="false" ht="15" hidden="false" customHeight="false" outlineLevel="0" collapsed="false">
      <c r="B7600" s="7" t="s">
        <v>8097</v>
      </c>
      <c r="C7600" s="39" t="n">
        <v>46002</v>
      </c>
      <c r="D7600" s="7" t="s">
        <v>321</v>
      </c>
      <c r="E7600" s="7" t="s">
        <v>154</v>
      </c>
      <c r="F7600" s="7" t="s">
        <v>218</v>
      </c>
      <c r="G7600" s="7" t="s">
        <v>505</v>
      </c>
      <c r="H7600" s="6" t="n">
        <v>4.13</v>
      </c>
      <c r="I7600" s="6" t="n">
        <v>0.124</v>
      </c>
      <c r="J7600" s="40" t="n">
        <f aca="false">H7600-I7600</f>
        <v>4.006</v>
      </c>
      <c r="K7600" s="41" t="n">
        <v>26.5</v>
      </c>
      <c r="L7600" s="42" t="n">
        <f aca="false">J7600*K7600</f>
        <v>106.159</v>
      </c>
      <c r="M7600" s="43" t="n">
        <f aca="false">H7600*16.19*(1+'Chart of Accounts'!$E$67)</f>
        <v>76.5600815</v>
      </c>
    </row>
    <row r="7601" customFormat="false" ht="15" hidden="false" customHeight="false" outlineLevel="0" collapsed="false">
      <c r="B7601" s="7" t="s">
        <v>8098</v>
      </c>
      <c r="C7601" s="39" t="n">
        <v>46002</v>
      </c>
      <c r="D7601" s="7" t="s">
        <v>325</v>
      </c>
      <c r="E7601" s="7" t="s">
        <v>154</v>
      </c>
      <c r="F7601" s="7" t="s">
        <v>218</v>
      </c>
      <c r="G7601" s="7" t="s">
        <v>505</v>
      </c>
      <c r="H7601" s="6" t="n">
        <v>3.22</v>
      </c>
      <c r="I7601" s="6" t="n">
        <v>0</v>
      </c>
      <c r="J7601" s="40" t="n">
        <f aca="false">H7601-I7601</f>
        <v>3.22</v>
      </c>
      <c r="K7601" s="41" t="n">
        <v>26.5</v>
      </c>
      <c r="L7601" s="42" t="n">
        <f aca="false">J7601*K7601</f>
        <v>85.33</v>
      </c>
      <c r="M7601" s="43" t="n">
        <f aca="false">H7601*16.19*(1+'Chart of Accounts'!$E$67)</f>
        <v>59.690911</v>
      </c>
    </row>
    <row r="7602" customFormat="false" ht="15" hidden="false" customHeight="false" outlineLevel="0" collapsed="false">
      <c r="B7602" s="7" t="s">
        <v>8099</v>
      </c>
      <c r="C7602" s="39" t="n">
        <v>46002</v>
      </c>
      <c r="D7602" s="7" t="s">
        <v>329</v>
      </c>
      <c r="E7602" s="7" t="s">
        <v>156</v>
      </c>
      <c r="F7602" s="7" t="s">
        <v>220</v>
      </c>
      <c r="G7602" s="7" t="s">
        <v>505</v>
      </c>
      <c r="H7602" s="6" t="n">
        <v>3.9</v>
      </c>
      <c r="I7602" s="6" t="n">
        <v>0</v>
      </c>
      <c r="J7602" s="40" t="n">
        <f aca="false">H7602-I7602</f>
        <v>3.9</v>
      </c>
      <c r="K7602" s="41" t="n">
        <v>34</v>
      </c>
      <c r="L7602" s="42" t="n">
        <f aca="false">J7602*K7602</f>
        <v>132.6</v>
      </c>
      <c r="M7602" s="43" t="n">
        <f aca="false">H7602*16.43*(1+'Chart of Accounts'!$E$67)</f>
        <v>73.368165</v>
      </c>
    </row>
    <row r="7603" customFormat="false" ht="15" hidden="false" customHeight="false" outlineLevel="0" collapsed="false">
      <c r="B7603" s="7" t="s">
        <v>8100</v>
      </c>
      <c r="C7603" s="39" t="n">
        <v>46002</v>
      </c>
      <c r="D7603" s="7" t="s">
        <v>341</v>
      </c>
      <c r="E7603" s="7" t="s">
        <v>156</v>
      </c>
      <c r="F7603" s="7" t="s">
        <v>222</v>
      </c>
      <c r="G7603" s="7" t="s">
        <v>505</v>
      </c>
      <c r="H7603" s="6" t="n">
        <v>2.79</v>
      </c>
      <c r="I7603" s="6" t="n">
        <v>0</v>
      </c>
      <c r="J7603" s="40" t="n">
        <f aca="false">H7603-I7603</f>
        <v>2.79</v>
      </c>
      <c r="K7603" s="41" t="n">
        <v>34</v>
      </c>
      <c r="L7603" s="42" t="n">
        <f aca="false">J7603*K7603</f>
        <v>94.86</v>
      </c>
      <c r="M7603" s="43" t="n">
        <f aca="false">H7603*17.84*(1+'Chart of Accounts'!$E$67)</f>
        <v>56.990772</v>
      </c>
    </row>
    <row r="7604" customFormat="false" ht="15" hidden="false" customHeight="false" outlineLevel="0" collapsed="false">
      <c r="B7604" s="7" t="s">
        <v>8101</v>
      </c>
      <c r="C7604" s="39" t="n">
        <v>46002</v>
      </c>
      <c r="D7604" s="7" t="s">
        <v>343</v>
      </c>
      <c r="E7604" s="7" t="s">
        <v>154</v>
      </c>
      <c r="F7604" s="7" t="s">
        <v>218</v>
      </c>
      <c r="G7604" s="7" t="s">
        <v>505</v>
      </c>
      <c r="H7604" s="6" t="n">
        <v>4.04</v>
      </c>
      <c r="I7604" s="6" t="n">
        <v>0</v>
      </c>
      <c r="J7604" s="40" t="n">
        <f aca="false">H7604-I7604</f>
        <v>4.04</v>
      </c>
      <c r="K7604" s="41" t="n">
        <v>26.5</v>
      </c>
      <c r="L7604" s="42" t="n">
        <f aca="false">J7604*K7604</f>
        <v>107.06</v>
      </c>
      <c r="M7604" s="43" t="n">
        <f aca="false">H7604*16.19*(1+'Chart of Accounts'!$E$67)</f>
        <v>74.891702</v>
      </c>
    </row>
    <row r="7605" customFormat="false" ht="15" hidden="false" customHeight="false" outlineLevel="0" collapsed="false">
      <c r="B7605" s="7" t="s">
        <v>8102</v>
      </c>
      <c r="C7605" s="39" t="n">
        <v>46002</v>
      </c>
      <c r="D7605" s="7" t="s">
        <v>349</v>
      </c>
      <c r="E7605" s="7" t="s">
        <v>154</v>
      </c>
      <c r="F7605" s="7" t="s">
        <v>244</v>
      </c>
      <c r="G7605" s="7" t="s">
        <v>505</v>
      </c>
      <c r="H7605" s="6" t="n">
        <v>4.22</v>
      </c>
      <c r="I7605" s="6" t="n">
        <v>0</v>
      </c>
      <c r="J7605" s="40" t="n">
        <f aca="false">H7605-I7605</f>
        <v>4.22</v>
      </c>
      <c r="K7605" s="41" t="n">
        <v>26.5</v>
      </c>
      <c r="L7605" s="42" t="n">
        <f aca="false">J7605*K7605</f>
        <v>111.83</v>
      </c>
      <c r="M7605" s="43" t="n">
        <f aca="false">H7605*16.39*(1+'Chart of Accounts'!$E$67)</f>
        <v>79.194841</v>
      </c>
    </row>
    <row r="7606" customFormat="false" ht="15" hidden="false" customHeight="false" outlineLevel="0" collapsed="false">
      <c r="B7606" s="7" t="s">
        <v>8103</v>
      </c>
      <c r="C7606" s="39" t="n">
        <v>46002</v>
      </c>
      <c r="D7606" s="7" t="s">
        <v>351</v>
      </c>
      <c r="E7606" s="7" t="s">
        <v>154</v>
      </c>
      <c r="F7606" s="7" t="s">
        <v>201</v>
      </c>
      <c r="G7606" s="7" t="s">
        <v>505</v>
      </c>
      <c r="H7606" s="6" t="n">
        <v>2.75</v>
      </c>
      <c r="I7606" s="6" t="n">
        <v>0</v>
      </c>
      <c r="J7606" s="40" t="n">
        <f aca="false">H7606-I7606</f>
        <v>2.75</v>
      </c>
      <c r="K7606" s="41" t="n">
        <v>26.5</v>
      </c>
      <c r="L7606" s="42" t="n">
        <f aca="false">J7606*K7606</f>
        <v>72.875</v>
      </c>
      <c r="M7606" s="43" t="n">
        <f aca="false">H7606*15.19*(1+'Chart of Accounts'!$E$67)</f>
        <v>47.8295125</v>
      </c>
    </row>
    <row r="7607" customFormat="false" ht="15" hidden="false" customHeight="false" outlineLevel="0" collapsed="false">
      <c r="B7607" s="7" t="s">
        <v>8104</v>
      </c>
      <c r="C7607" s="39" t="n">
        <v>46002</v>
      </c>
      <c r="D7607" s="7" t="s">
        <v>359</v>
      </c>
      <c r="E7607" s="7" t="s">
        <v>156</v>
      </c>
      <c r="F7607" s="7" t="s">
        <v>238</v>
      </c>
      <c r="G7607" s="7" t="s">
        <v>505</v>
      </c>
      <c r="H7607" s="6" t="n">
        <v>3.7</v>
      </c>
      <c r="I7607" s="6" t="n">
        <v>0</v>
      </c>
      <c r="J7607" s="40" t="n">
        <f aca="false">H7607-I7607</f>
        <v>3.7</v>
      </c>
      <c r="K7607" s="41" t="n">
        <v>34</v>
      </c>
      <c r="L7607" s="42" t="n">
        <f aca="false">J7607*K7607</f>
        <v>125.8</v>
      </c>
      <c r="M7607" s="43" t="n">
        <f aca="false">H7607*15.85*(1+'Chart of Accounts'!$E$67)</f>
        <v>67.148525</v>
      </c>
    </row>
    <row r="7608" customFormat="false" ht="15" hidden="false" customHeight="false" outlineLevel="0" collapsed="false">
      <c r="B7608" s="7" t="s">
        <v>8105</v>
      </c>
      <c r="C7608" s="39" t="n">
        <v>46002</v>
      </c>
      <c r="D7608" s="7" t="s">
        <v>363</v>
      </c>
      <c r="E7608" s="7" t="s">
        <v>156</v>
      </c>
      <c r="F7608" s="7" t="s">
        <v>246</v>
      </c>
      <c r="G7608" s="7" t="s">
        <v>505</v>
      </c>
      <c r="H7608" s="6" t="n">
        <v>4.27</v>
      </c>
      <c r="I7608" s="6" t="n">
        <v>0</v>
      </c>
      <c r="J7608" s="40" t="n">
        <f aca="false">H7608-I7608</f>
        <v>4.27</v>
      </c>
      <c r="K7608" s="41" t="n">
        <v>34</v>
      </c>
      <c r="L7608" s="42" t="n">
        <f aca="false">J7608*K7608</f>
        <v>145.18</v>
      </c>
      <c r="M7608" s="43" t="n">
        <f aca="false">H7608*16.48*(1+'Chart of Accounts'!$E$67)</f>
        <v>80.573192</v>
      </c>
    </row>
    <row r="7609" customFormat="false" ht="15" hidden="false" customHeight="false" outlineLevel="0" collapsed="false">
      <c r="B7609" s="7" t="s">
        <v>8106</v>
      </c>
      <c r="C7609" s="39" t="n">
        <v>46002</v>
      </c>
      <c r="D7609" s="7" t="s">
        <v>365</v>
      </c>
      <c r="E7609" s="7" t="s">
        <v>154</v>
      </c>
      <c r="F7609" s="7" t="s">
        <v>194</v>
      </c>
      <c r="G7609" s="7" t="s">
        <v>505</v>
      </c>
      <c r="H7609" s="6" t="n">
        <v>4.13</v>
      </c>
      <c r="I7609" s="6" t="n">
        <v>0</v>
      </c>
      <c r="J7609" s="40" t="n">
        <f aca="false">H7609-I7609</f>
        <v>4.13</v>
      </c>
      <c r="K7609" s="41" t="n">
        <v>26.5</v>
      </c>
      <c r="L7609" s="42" t="n">
        <f aca="false">J7609*K7609</f>
        <v>109.445</v>
      </c>
      <c r="M7609" s="43" t="n">
        <f aca="false">H7609*16*(1+'Chart of Accounts'!$E$67)</f>
        <v>75.6616</v>
      </c>
    </row>
    <row r="7610" customFormat="false" ht="15" hidden="false" customHeight="false" outlineLevel="0" collapsed="false">
      <c r="B7610" s="7" t="s">
        <v>8107</v>
      </c>
      <c r="C7610" s="39" t="n">
        <v>46002</v>
      </c>
      <c r="D7610" s="7" t="s">
        <v>367</v>
      </c>
      <c r="E7610" s="7" t="s">
        <v>156</v>
      </c>
      <c r="F7610" s="7" t="s">
        <v>256</v>
      </c>
      <c r="G7610" s="7" t="s">
        <v>505</v>
      </c>
      <c r="H7610" s="6" t="n">
        <v>2.99</v>
      </c>
      <c r="I7610" s="6" t="n">
        <v>0</v>
      </c>
      <c r="J7610" s="40" t="n">
        <f aca="false">H7610-I7610</f>
        <v>2.99</v>
      </c>
      <c r="K7610" s="41" t="n">
        <v>34</v>
      </c>
      <c r="L7610" s="42" t="n">
        <f aca="false">J7610*K7610</f>
        <v>101.66</v>
      </c>
      <c r="M7610" s="43" t="n">
        <f aca="false">H7610*15.63*(1+'Chart of Accounts'!$E$67)</f>
        <v>53.5100865</v>
      </c>
    </row>
    <row r="7611" customFormat="false" ht="15" hidden="false" customHeight="false" outlineLevel="0" collapsed="false">
      <c r="B7611" s="7" t="s">
        <v>8108</v>
      </c>
      <c r="C7611" s="39" t="n">
        <v>46002</v>
      </c>
      <c r="D7611" s="7" t="s">
        <v>375</v>
      </c>
      <c r="E7611" s="7" t="s">
        <v>156</v>
      </c>
      <c r="F7611" s="7" t="s">
        <v>196</v>
      </c>
      <c r="G7611" s="7" t="s">
        <v>505</v>
      </c>
      <c r="H7611" s="6" t="n">
        <v>2.71</v>
      </c>
      <c r="I7611" s="6" t="n">
        <v>0</v>
      </c>
      <c r="J7611" s="40" t="n">
        <f aca="false">H7611-I7611</f>
        <v>2.71</v>
      </c>
      <c r="K7611" s="41" t="n">
        <v>34</v>
      </c>
      <c r="L7611" s="42" t="n">
        <f aca="false">J7611*K7611</f>
        <v>92.14</v>
      </c>
      <c r="M7611" s="43" t="n">
        <f aca="false">H7611*15.05*(1+'Chart of Accounts'!$E$67)</f>
        <v>46.6993975</v>
      </c>
    </row>
    <row r="7612" customFormat="false" ht="15" hidden="false" customHeight="false" outlineLevel="0" collapsed="false">
      <c r="B7612" s="7" t="s">
        <v>8109</v>
      </c>
      <c r="C7612" s="39" t="n">
        <v>46002</v>
      </c>
      <c r="D7612" s="7" t="s">
        <v>377</v>
      </c>
      <c r="E7612" s="7" t="s">
        <v>154</v>
      </c>
      <c r="F7612" s="7" t="s">
        <v>214</v>
      </c>
      <c r="G7612" s="7" t="s">
        <v>505</v>
      </c>
      <c r="H7612" s="6" t="n">
        <v>3.85</v>
      </c>
      <c r="I7612" s="6" t="n">
        <v>0</v>
      </c>
      <c r="J7612" s="40" t="n">
        <f aca="false">H7612-I7612</f>
        <v>3.85</v>
      </c>
      <c r="K7612" s="41" t="n">
        <v>26.5</v>
      </c>
      <c r="L7612" s="42" t="n">
        <f aca="false">J7612*K7612</f>
        <v>102.025</v>
      </c>
      <c r="M7612" s="43" t="n">
        <f aca="false">H7612*15.67*(1+'Chart of Accounts'!$E$67)</f>
        <v>69.0772775</v>
      </c>
    </row>
    <row r="7613" customFormat="false" ht="15" hidden="false" customHeight="false" outlineLevel="0" collapsed="false">
      <c r="B7613" s="7" t="s">
        <v>8110</v>
      </c>
      <c r="C7613" s="39" t="n">
        <v>46002</v>
      </c>
      <c r="D7613" s="7" t="s">
        <v>389</v>
      </c>
      <c r="E7613" s="7" t="s">
        <v>154</v>
      </c>
      <c r="F7613" s="7" t="s">
        <v>246</v>
      </c>
      <c r="G7613" s="7" t="s">
        <v>505</v>
      </c>
      <c r="H7613" s="6" t="n">
        <v>3.66</v>
      </c>
      <c r="I7613" s="6" t="n">
        <v>0.11</v>
      </c>
      <c r="J7613" s="40" t="n">
        <f aca="false">H7613-I7613</f>
        <v>3.55</v>
      </c>
      <c r="K7613" s="41" t="n">
        <v>26.5</v>
      </c>
      <c r="L7613" s="42" t="n">
        <f aca="false">J7613*K7613</f>
        <v>94.075</v>
      </c>
      <c r="M7613" s="43" t="n">
        <f aca="false">H7613*16.48*(1+'Chart of Accounts'!$E$67)</f>
        <v>69.062736</v>
      </c>
    </row>
    <row r="7614" customFormat="false" ht="15" hidden="false" customHeight="false" outlineLevel="0" collapsed="false">
      <c r="B7614" s="7" t="s">
        <v>8111</v>
      </c>
      <c r="C7614" s="39" t="n">
        <v>46002</v>
      </c>
      <c r="D7614" s="7" t="s">
        <v>391</v>
      </c>
      <c r="E7614" s="7" t="s">
        <v>156</v>
      </c>
      <c r="F7614" s="7" t="s">
        <v>222</v>
      </c>
      <c r="G7614" s="7" t="s">
        <v>505</v>
      </c>
      <c r="H7614" s="6" t="n">
        <v>3.64</v>
      </c>
      <c r="I7614" s="6" t="n">
        <v>0</v>
      </c>
      <c r="J7614" s="40" t="n">
        <f aca="false">H7614-I7614</f>
        <v>3.64</v>
      </c>
      <c r="K7614" s="41" t="n">
        <v>34</v>
      </c>
      <c r="L7614" s="42" t="n">
        <f aca="false">J7614*K7614</f>
        <v>123.76</v>
      </c>
      <c r="M7614" s="43" t="n">
        <f aca="false">H7614*17.84*(1+'Chart of Accounts'!$E$67)</f>
        <v>74.353552</v>
      </c>
    </row>
    <row r="7615" customFormat="false" ht="15" hidden="false" customHeight="false" outlineLevel="0" collapsed="false">
      <c r="B7615" s="7" t="s">
        <v>8112</v>
      </c>
      <c r="C7615" s="39" t="n">
        <v>46002</v>
      </c>
      <c r="D7615" s="7" t="s">
        <v>395</v>
      </c>
      <c r="E7615" s="7" t="s">
        <v>156</v>
      </c>
      <c r="F7615" s="7" t="s">
        <v>242</v>
      </c>
      <c r="G7615" s="7" t="s">
        <v>505</v>
      </c>
      <c r="H7615" s="6" t="n">
        <v>3.69</v>
      </c>
      <c r="I7615" s="6" t="n">
        <v>0</v>
      </c>
      <c r="J7615" s="40" t="n">
        <f aca="false">H7615-I7615</f>
        <v>3.69</v>
      </c>
      <c r="K7615" s="41" t="n">
        <v>34</v>
      </c>
      <c r="L7615" s="42" t="n">
        <f aca="false">J7615*K7615</f>
        <v>125.46</v>
      </c>
      <c r="M7615" s="43" t="n">
        <f aca="false">H7615*17.99*(1+'Chart of Accounts'!$E$67)</f>
        <v>76.0086495</v>
      </c>
    </row>
    <row r="7616" customFormat="false" ht="15" hidden="false" customHeight="false" outlineLevel="0" collapsed="false">
      <c r="B7616" s="7" t="s">
        <v>8113</v>
      </c>
      <c r="C7616" s="39" t="n">
        <v>46002</v>
      </c>
      <c r="D7616" s="7" t="s">
        <v>401</v>
      </c>
      <c r="E7616" s="7" t="s">
        <v>156</v>
      </c>
      <c r="F7616" s="7" t="s">
        <v>254</v>
      </c>
      <c r="G7616" s="7" t="s">
        <v>505</v>
      </c>
      <c r="H7616" s="6" t="n">
        <v>4.3</v>
      </c>
      <c r="I7616" s="6" t="n">
        <v>0</v>
      </c>
      <c r="J7616" s="40" t="n">
        <f aca="false">H7616-I7616</f>
        <v>4.3</v>
      </c>
      <c r="K7616" s="41" t="n">
        <v>34</v>
      </c>
      <c r="L7616" s="42" t="n">
        <f aca="false">J7616*K7616</f>
        <v>146.2</v>
      </c>
      <c r="M7616" s="43" t="n">
        <f aca="false">H7616*17.1*(1+'Chart of Accounts'!$E$67)</f>
        <v>84.19185</v>
      </c>
    </row>
    <row r="7617" customFormat="false" ht="15" hidden="false" customHeight="false" outlineLevel="0" collapsed="false">
      <c r="B7617" s="7" t="s">
        <v>8114</v>
      </c>
      <c r="C7617" s="39" t="n">
        <v>46002</v>
      </c>
      <c r="D7617" s="7" t="s">
        <v>405</v>
      </c>
      <c r="E7617" s="7" t="s">
        <v>156</v>
      </c>
      <c r="F7617" s="7" t="s">
        <v>240</v>
      </c>
      <c r="G7617" s="7" t="s">
        <v>505</v>
      </c>
      <c r="H7617" s="6" t="n">
        <v>3.02</v>
      </c>
      <c r="I7617" s="6" t="n">
        <v>0</v>
      </c>
      <c r="J7617" s="40" t="n">
        <f aca="false">H7617-I7617</f>
        <v>3.02</v>
      </c>
      <c r="K7617" s="41" t="n">
        <v>34</v>
      </c>
      <c r="L7617" s="42" t="n">
        <f aca="false">J7617*K7617</f>
        <v>102.68</v>
      </c>
      <c r="M7617" s="43" t="n">
        <f aca="false">H7617*16.96*(1+'Chart of Accounts'!$E$67)</f>
        <v>58.645984</v>
      </c>
    </row>
    <row r="7618" customFormat="false" ht="15" hidden="false" customHeight="false" outlineLevel="0" collapsed="false">
      <c r="B7618" s="7" t="s">
        <v>8115</v>
      </c>
      <c r="C7618" s="39" t="n">
        <v>46003</v>
      </c>
      <c r="D7618" s="7" t="s">
        <v>291</v>
      </c>
      <c r="E7618" s="7" t="s">
        <v>154</v>
      </c>
      <c r="F7618" s="7" t="s">
        <v>194</v>
      </c>
      <c r="G7618" s="7" t="s">
        <v>505</v>
      </c>
      <c r="H7618" s="6" t="n">
        <v>4.28</v>
      </c>
      <c r="I7618" s="6" t="n">
        <v>0</v>
      </c>
      <c r="J7618" s="40" t="n">
        <f aca="false">H7618-I7618</f>
        <v>4.28</v>
      </c>
      <c r="K7618" s="41" t="n">
        <v>26.5</v>
      </c>
      <c r="L7618" s="42" t="n">
        <f aca="false">J7618*K7618</f>
        <v>113.42</v>
      </c>
      <c r="M7618" s="43" t="n">
        <f aca="false">H7618*16*(1+'Chart of Accounts'!$E$67)</f>
        <v>78.4096</v>
      </c>
    </row>
    <row r="7619" customFormat="false" ht="15" hidden="false" customHeight="false" outlineLevel="0" collapsed="false">
      <c r="B7619" s="7" t="s">
        <v>8116</v>
      </c>
      <c r="C7619" s="39" t="n">
        <v>46003</v>
      </c>
      <c r="D7619" s="7" t="s">
        <v>293</v>
      </c>
      <c r="E7619" s="7" t="s">
        <v>157</v>
      </c>
      <c r="F7619" s="7" t="s">
        <v>198</v>
      </c>
      <c r="G7619" s="7" t="s">
        <v>502</v>
      </c>
      <c r="H7619" s="6" t="n">
        <v>1.05</v>
      </c>
      <c r="I7619" s="6" t="n">
        <v>0</v>
      </c>
      <c r="J7619" s="40" t="n">
        <f aca="false">H7619-I7619</f>
        <v>1.05</v>
      </c>
      <c r="K7619" s="41" t="n">
        <v>165</v>
      </c>
      <c r="L7619" s="42" t="n">
        <f aca="false">J7619*K7619</f>
        <v>173.25</v>
      </c>
      <c r="M7619" s="43" t="n">
        <f aca="false">H7619*48.09*(1+'Chart of Accounts'!$E$67)</f>
        <v>57.8162025</v>
      </c>
    </row>
    <row r="7620" customFormat="false" ht="15" hidden="false" customHeight="false" outlineLevel="0" collapsed="false">
      <c r="B7620" s="7" t="s">
        <v>8117</v>
      </c>
      <c r="C7620" s="39" t="n">
        <v>46003</v>
      </c>
      <c r="D7620" s="7" t="s">
        <v>295</v>
      </c>
      <c r="E7620" s="7" t="s">
        <v>154</v>
      </c>
      <c r="F7620" s="7" t="s">
        <v>214</v>
      </c>
      <c r="G7620" s="7" t="s">
        <v>505</v>
      </c>
      <c r="H7620" s="6" t="n">
        <v>3.84</v>
      </c>
      <c r="I7620" s="6" t="n">
        <v>0</v>
      </c>
      <c r="J7620" s="40" t="n">
        <f aca="false">H7620-I7620</f>
        <v>3.84</v>
      </c>
      <c r="K7620" s="41" t="n">
        <v>26.5</v>
      </c>
      <c r="L7620" s="42" t="n">
        <f aca="false">J7620*K7620</f>
        <v>101.76</v>
      </c>
      <c r="M7620" s="43" t="n">
        <f aca="false">H7620*15.67*(1+'Chart of Accounts'!$E$67)</f>
        <v>68.897856</v>
      </c>
    </row>
    <row r="7621" customFormat="false" ht="15" hidden="false" customHeight="false" outlineLevel="0" collapsed="false">
      <c r="B7621" s="7" t="s">
        <v>8118</v>
      </c>
      <c r="C7621" s="39" t="n">
        <v>46003</v>
      </c>
      <c r="D7621" s="7" t="s">
        <v>301</v>
      </c>
      <c r="E7621" s="7" t="s">
        <v>157</v>
      </c>
      <c r="F7621" s="7" t="s">
        <v>209</v>
      </c>
      <c r="G7621" s="7" t="s">
        <v>502</v>
      </c>
      <c r="H7621" s="6" t="n">
        <v>1.02</v>
      </c>
      <c r="I7621" s="6" t="n">
        <v>0</v>
      </c>
      <c r="J7621" s="40" t="n">
        <f aca="false">H7621-I7621</f>
        <v>1.02</v>
      </c>
      <c r="K7621" s="41" t="n">
        <v>165</v>
      </c>
      <c r="L7621" s="42" t="n">
        <f aca="false">J7621*K7621</f>
        <v>168.3</v>
      </c>
      <c r="M7621" s="43" t="n">
        <f aca="false">H7621*73.58*(1+'Chart of Accounts'!$E$67)</f>
        <v>85.934082</v>
      </c>
    </row>
    <row r="7622" customFormat="false" ht="15" hidden="false" customHeight="false" outlineLevel="0" collapsed="false">
      <c r="B7622" s="7" t="s">
        <v>8119</v>
      </c>
      <c r="C7622" s="39" t="n">
        <v>46003</v>
      </c>
      <c r="D7622" s="7" t="s">
        <v>305</v>
      </c>
      <c r="E7622" s="7" t="s">
        <v>154</v>
      </c>
      <c r="F7622" s="7" t="s">
        <v>205</v>
      </c>
      <c r="G7622" s="7" t="s">
        <v>505</v>
      </c>
      <c r="H7622" s="6" t="n">
        <v>3.87</v>
      </c>
      <c r="I7622" s="6" t="n">
        <v>0</v>
      </c>
      <c r="J7622" s="40" t="n">
        <f aca="false">H7622-I7622</f>
        <v>3.87</v>
      </c>
      <c r="K7622" s="41" t="n">
        <v>26.5</v>
      </c>
      <c r="L7622" s="42" t="n">
        <f aca="false">J7622*K7622</f>
        <v>102.555</v>
      </c>
      <c r="M7622" s="43" t="n">
        <f aca="false">H7622*16.36*(1+'Chart of Accounts'!$E$67)</f>
        <v>72.493614</v>
      </c>
    </row>
    <row r="7623" customFormat="false" ht="15" hidden="false" customHeight="false" outlineLevel="0" collapsed="false">
      <c r="B7623" s="7" t="s">
        <v>8120</v>
      </c>
      <c r="C7623" s="39" t="n">
        <v>46003</v>
      </c>
      <c r="D7623" s="7" t="s">
        <v>307</v>
      </c>
      <c r="E7623" s="7" t="s">
        <v>157</v>
      </c>
      <c r="F7623" s="7" t="s">
        <v>264</v>
      </c>
      <c r="G7623" s="7" t="s">
        <v>502</v>
      </c>
      <c r="H7623" s="6" t="n">
        <v>0.99</v>
      </c>
      <c r="I7623" s="6" t="n">
        <v>0</v>
      </c>
      <c r="J7623" s="40" t="n">
        <f aca="false">H7623-I7623</f>
        <v>0.99</v>
      </c>
      <c r="K7623" s="41" t="n">
        <v>165</v>
      </c>
      <c r="L7623" s="42" t="n">
        <f aca="false">J7623*K7623</f>
        <v>163.35</v>
      </c>
      <c r="M7623" s="43" t="n">
        <f aca="false">H7623*55.55*(1+'Chart of Accounts'!$E$67)</f>
        <v>62.9687025</v>
      </c>
    </row>
    <row r="7624" customFormat="false" ht="15" hidden="false" customHeight="false" outlineLevel="0" collapsed="false">
      <c r="B7624" s="7" t="s">
        <v>8121</v>
      </c>
      <c r="C7624" s="39" t="n">
        <v>46003</v>
      </c>
      <c r="D7624" s="7" t="s">
        <v>309</v>
      </c>
      <c r="E7624" s="7" t="s">
        <v>159</v>
      </c>
      <c r="F7624" s="7" t="s">
        <v>252</v>
      </c>
      <c r="G7624" s="7" t="s">
        <v>502</v>
      </c>
      <c r="H7624" s="6" t="n">
        <v>0.99</v>
      </c>
      <c r="I7624" s="6" t="n">
        <v>0.069</v>
      </c>
      <c r="J7624" s="40" t="n">
        <f aca="false">H7624-I7624</f>
        <v>0.921</v>
      </c>
      <c r="K7624" s="41" t="n">
        <v>135</v>
      </c>
      <c r="L7624" s="42" t="n">
        <f aca="false">J7624*K7624</f>
        <v>124.335</v>
      </c>
      <c r="M7624" s="43" t="n">
        <f aca="false">H7624*57.54*(1+'Chart of Accounts'!$E$67)</f>
        <v>65.224467</v>
      </c>
    </row>
    <row r="7625" customFormat="false" ht="15" hidden="false" customHeight="false" outlineLevel="0" collapsed="false">
      <c r="B7625" s="7" t="s">
        <v>8122</v>
      </c>
      <c r="C7625" s="39" t="n">
        <v>46003</v>
      </c>
      <c r="D7625" s="7" t="s">
        <v>313</v>
      </c>
      <c r="E7625" s="7" t="s">
        <v>156</v>
      </c>
      <c r="F7625" s="7" t="s">
        <v>184</v>
      </c>
      <c r="G7625" s="7" t="s">
        <v>505</v>
      </c>
      <c r="H7625" s="6" t="n">
        <v>4.2</v>
      </c>
      <c r="I7625" s="6" t="n">
        <v>0</v>
      </c>
      <c r="J7625" s="40" t="n">
        <f aca="false">H7625-I7625</f>
        <v>4.2</v>
      </c>
      <c r="K7625" s="41" t="n">
        <v>34</v>
      </c>
      <c r="L7625" s="42" t="n">
        <f aca="false">J7625*K7625</f>
        <v>142.8</v>
      </c>
      <c r="M7625" s="43" t="n">
        <f aca="false">H7625*17.34*(1+'Chart of Accounts'!$E$67)</f>
        <v>83.38806</v>
      </c>
    </row>
    <row r="7626" customFormat="false" ht="15" hidden="false" customHeight="false" outlineLevel="0" collapsed="false">
      <c r="B7626" s="7" t="s">
        <v>8123</v>
      </c>
      <c r="C7626" s="39" t="n">
        <v>46003</v>
      </c>
      <c r="D7626" s="7" t="s">
        <v>315</v>
      </c>
      <c r="E7626" s="7" t="s">
        <v>159</v>
      </c>
      <c r="F7626" s="7" t="s">
        <v>216</v>
      </c>
      <c r="G7626" s="7" t="s">
        <v>502</v>
      </c>
      <c r="H7626" s="6" t="n">
        <v>0.93</v>
      </c>
      <c r="I7626" s="6" t="n">
        <v>0</v>
      </c>
      <c r="J7626" s="40" t="n">
        <f aca="false">H7626-I7626</f>
        <v>0.93</v>
      </c>
      <c r="K7626" s="41" t="n">
        <v>135</v>
      </c>
      <c r="L7626" s="42" t="n">
        <f aca="false">J7626*K7626</f>
        <v>125.55</v>
      </c>
      <c r="M7626" s="43" t="n">
        <f aca="false">H7626*61.79*(1+'Chart of Accounts'!$E$67)</f>
        <v>65.7970815</v>
      </c>
    </row>
    <row r="7627" customFormat="false" ht="15" hidden="false" customHeight="false" outlineLevel="0" collapsed="false">
      <c r="B7627" s="7" t="s">
        <v>8124</v>
      </c>
      <c r="C7627" s="39" t="n">
        <v>46003</v>
      </c>
      <c r="D7627" s="7" t="s">
        <v>319</v>
      </c>
      <c r="E7627" s="7" t="s">
        <v>157</v>
      </c>
      <c r="F7627" s="7" t="s">
        <v>234</v>
      </c>
      <c r="G7627" s="7" t="s">
        <v>502</v>
      </c>
      <c r="H7627" s="6" t="n">
        <v>0.98</v>
      </c>
      <c r="I7627" s="6" t="n">
        <v>0</v>
      </c>
      <c r="J7627" s="40" t="n">
        <f aca="false">H7627-I7627</f>
        <v>0.98</v>
      </c>
      <c r="K7627" s="41" t="n">
        <v>165</v>
      </c>
      <c r="L7627" s="42" t="n">
        <f aca="false">J7627*K7627</f>
        <v>161.7</v>
      </c>
      <c r="M7627" s="43" t="n">
        <f aca="false">H7627*89.53*(1+'Chart of Accounts'!$E$67)</f>
        <v>100.461613</v>
      </c>
    </row>
    <row r="7628" customFormat="false" ht="15" hidden="false" customHeight="false" outlineLevel="0" collapsed="false">
      <c r="B7628" s="7" t="s">
        <v>8125</v>
      </c>
      <c r="C7628" s="39" t="n">
        <v>46003</v>
      </c>
      <c r="D7628" s="7" t="s">
        <v>321</v>
      </c>
      <c r="E7628" s="7" t="s">
        <v>154</v>
      </c>
      <c r="F7628" s="7" t="s">
        <v>218</v>
      </c>
      <c r="G7628" s="7" t="s">
        <v>505</v>
      </c>
      <c r="H7628" s="6" t="n">
        <v>4.26</v>
      </c>
      <c r="I7628" s="6" t="n">
        <v>0</v>
      </c>
      <c r="J7628" s="40" t="n">
        <f aca="false">H7628-I7628</f>
        <v>4.26</v>
      </c>
      <c r="K7628" s="41" t="n">
        <v>26.5</v>
      </c>
      <c r="L7628" s="42" t="n">
        <f aca="false">J7628*K7628</f>
        <v>112.89</v>
      </c>
      <c r="M7628" s="43" t="n">
        <f aca="false">H7628*16.19*(1+'Chart of Accounts'!$E$67)</f>
        <v>78.969963</v>
      </c>
    </row>
    <row r="7629" customFormat="false" ht="15" hidden="false" customHeight="false" outlineLevel="0" collapsed="false">
      <c r="B7629" s="7" t="s">
        <v>8126</v>
      </c>
      <c r="C7629" s="39" t="n">
        <v>46003</v>
      </c>
      <c r="D7629" s="7" t="s">
        <v>323</v>
      </c>
      <c r="E7629" s="7" t="s">
        <v>159</v>
      </c>
      <c r="F7629" s="7" t="s">
        <v>228</v>
      </c>
      <c r="G7629" s="7" t="s">
        <v>502</v>
      </c>
      <c r="H7629" s="6" t="n">
        <v>0.94</v>
      </c>
      <c r="I7629" s="6" t="n">
        <v>0</v>
      </c>
      <c r="J7629" s="40" t="n">
        <f aca="false">H7629-I7629</f>
        <v>0.94</v>
      </c>
      <c r="K7629" s="41" t="n">
        <v>135</v>
      </c>
      <c r="L7629" s="42" t="n">
        <f aca="false">J7629*K7629</f>
        <v>126.9</v>
      </c>
      <c r="M7629" s="43" t="n">
        <f aca="false">H7629*51.07*(1+'Chart of Accounts'!$E$67)</f>
        <v>54.966641</v>
      </c>
    </row>
    <row r="7630" customFormat="false" ht="15" hidden="false" customHeight="false" outlineLevel="0" collapsed="false">
      <c r="B7630" s="7" t="s">
        <v>8127</v>
      </c>
      <c r="C7630" s="39" t="n">
        <v>46003</v>
      </c>
      <c r="D7630" s="7" t="s">
        <v>327</v>
      </c>
      <c r="E7630" s="7" t="s">
        <v>157</v>
      </c>
      <c r="F7630" s="7" t="s">
        <v>228</v>
      </c>
      <c r="G7630" s="7" t="s">
        <v>502</v>
      </c>
      <c r="H7630" s="6" t="n">
        <v>0.99</v>
      </c>
      <c r="I7630" s="6" t="n">
        <v>0</v>
      </c>
      <c r="J7630" s="40" t="n">
        <f aca="false">H7630-I7630</f>
        <v>0.99</v>
      </c>
      <c r="K7630" s="41" t="n">
        <v>165</v>
      </c>
      <c r="L7630" s="42" t="n">
        <f aca="false">J7630*K7630</f>
        <v>163.35</v>
      </c>
      <c r="M7630" s="43" t="n">
        <f aca="false">H7630*51.07*(1+'Chart of Accounts'!$E$67)</f>
        <v>57.8903985</v>
      </c>
    </row>
    <row r="7631" customFormat="false" ht="15" hidden="false" customHeight="false" outlineLevel="0" collapsed="false">
      <c r="B7631" s="7" t="s">
        <v>8128</v>
      </c>
      <c r="C7631" s="39" t="n">
        <v>46003</v>
      </c>
      <c r="D7631" s="7" t="s">
        <v>329</v>
      </c>
      <c r="E7631" s="7" t="s">
        <v>156</v>
      </c>
      <c r="F7631" s="7" t="s">
        <v>220</v>
      </c>
      <c r="G7631" s="7" t="s">
        <v>505</v>
      </c>
      <c r="H7631" s="6" t="n">
        <v>4.02</v>
      </c>
      <c r="I7631" s="6" t="n">
        <v>0</v>
      </c>
      <c r="J7631" s="40" t="n">
        <f aca="false">H7631-I7631</f>
        <v>4.02</v>
      </c>
      <c r="K7631" s="41" t="n">
        <v>34</v>
      </c>
      <c r="L7631" s="42" t="n">
        <f aca="false">J7631*K7631</f>
        <v>136.68</v>
      </c>
      <c r="M7631" s="43" t="n">
        <f aca="false">H7631*16.43*(1+'Chart of Accounts'!$E$67)</f>
        <v>75.625647</v>
      </c>
    </row>
    <row r="7632" customFormat="false" ht="15" hidden="false" customHeight="false" outlineLevel="0" collapsed="false">
      <c r="B7632" s="7" t="s">
        <v>8129</v>
      </c>
      <c r="C7632" s="39" t="n">
        <v>46003</v>
      </c>
      <c r="D7632" s="7" t="s">
        <v>333</v>
      </c>
      <c r="E7632" s="7" t="s">
        <v>154</v>
      </c>
      <c r="F7632" s="7" t="s">
        <v>236</v>
      </c>
      <c r="G7632" s="7" t="s">
        <v>505</v>
      </c>
      <c r="H7632" s="6" t="n">
        <v>3.03</v>
      </c>
      <c r="I7632" s="6" t="n">
        <v>0</v>
      </c>
      <c r="J7632" s="40" t="n">
        <f aca="false">H7632-I7632</f>
        <v>3.03</v>
      </c>
      <c r="K7632" s="41" t="n">
        <v>26.5</v>
      </c>
      <c r="L7632" s="42" t="n">
        <f aca="false">J7632*K7632</f>
        <v>80.295</v>
      </c>
      <c r="M7632" s="43" t="n">
        <f aca="false">H7632*15.49*(1+'Chart of Accounts'!$E$67)</f>
        <v>53.7402315</v>
      </c>
    </row>
    <row r="7633" customFormat="false" ht="15" hidden="false" customHeight="false" outlineLevel="0" collapsed="false">
      <c r="B7633" s="7" t="s">
        <v>8130</v>
      </c>
      <c r="C7633" s="39" t="n">
        <v>46003</v>
      </c>
      <c r="D7633" s="7" t="s">
        <v>335</v>
      </c>
      <c r="E7633" s="7" t="s">
        <v>154</v>
      </c>
      <c r="F7633" s="7" t="s">
        <v>177</v>
      </c>
      <c r="G7633" s="7" t="s">
        <v>505</v>
      </c>
      <c r="H7633" s="6" t="n">
        <v>4.12</v>
      </c>
      <c r="I7633" s="6" t="n">
        <v>0</v>
      </c>
      <c r="J7633" s="40" t="n">
        <f aca="false">H7633-I7633</f>
        <v>4.12</v>
      </c>
      <c r="K7633" s="41" t="n">
        <v>26.5</v>
      </c>
      <c r="L7633" s="42" t="n">
        <f aca="false">J7633*K7633</f>
        <v>109.18</v>
      </c>
      <c r="M7633" s="43" t="n">
        <f aca="false">H7633*14.56*(1+'Chart of Accounts'!$E$67)</f>
        <v>68.685344</v>
      </c>
    </row>
    <row r="7634" customFormat="false" ht="15" hidden="false" customHeight="false" outlineLevel="0" collapsed="false">
      <c r="B7634" s="7" t="s">
        <v>8131</v>
      </c>
      <c r="C7634" s="39" t="n">
        <v>46003</v>
      </c>
      <c r="D7634" s="7" t="s">
        <v>339</v>
      </c>
      <c r="E7634" s="7" t="s">
        <v>154</v>
      </c>
      <c r="F7634" s="7" t="s">
        <v>242</v>
      </c>
      <c r="G7634" s="7" t="s">
        <v>505</v>
      </c>
      <c r="H7634" s="6" t="n">
        <v>3.44</v>
      </c>
      <c r="I7634" s="6" t="n">
        <v>0</v>
      </c>
      <c r="J7634" s="40" t="n">
        <f aca="false">H7634-I7634</f>
        <v>3.44</v>
      </c>
      <c r="K7634" s="41" t="n">
        <v>26.5</v>
      </c>
      <c r="L7634" s="42" t="n">
        <f aca="false">J7634*K7634</f>
        <v>91.16</v>
      </c>
      <c r="M7634" s="43" t="n">
        <f aca="false">H7634*17.99*(1+'Chart of Accounts'!$E$67)</f>
        <v>70.859012</v>
      </c>
    </row>
    <row r="7635" customFormat="false" ht="15" hidden="false" customHeight="false" outlineLevel="0" collapsed="false">
      <c r="B7635" s="7" t="s">
        <v>8132</v>
      </c>
      <c r="C7635" s="39" t="n">
        <v>46003</v>
      </c>
      <c r="D7635" s="7" t="s">
        <v>349</v>
      </c>
      <c r="E7635" s="7" t="s">
        <v>154</v>
      </c>
      <c r="F7635" s="7" t="s">
        <v>244</v>
      </c>
      <c r="G7635" s="7" t="s">
        <v>505</v>
      </c>
      <c r="H7635" s="6" t="n">
        <v>4.23</v>
      </c>
      <c r="I7635" s="6" t="n">
        <v>0</v>
      </c>
      <c r="J7635" s="40" t="n">
        <f aca="false">H7635-I7635</f>
        <v>4.23</v>
      </c>
      <c r="K7635" s="41" t="n">
        <v>26.5</v>
      </c>
      <c r="L7635" s="42" t="n">
        <f aca="false">J7635*K7635</f>
        <v>112.095</v>
      </c>
      <c r="M7635" s="43" t="n">
        <f aca="false">H7635*16.39*(1+'Chart of Accounts'!$E$67)</f>
        <v>79.3825065</v>
      </c>
    </row>
    <row r="7636" customFormat="false" ht="15" hidden="false" customHeight="false" outlineLevel="0" collapsed="false">
      <c r="B7636" s="7" t="s">
        <v>8133</v>
      </c>
      <c r="C7636" s="39" t="n">
        <v>46003</v>
      </c>
      <c r="D7636" s="7" t="s">
        <v>353</v>
      </c>
      <c r="E7636" s="7" t="s">
        <v>154</v>
      </c>
      <c r="F7636" s="7" t="s">
        <v>254</v>
      </c>
      <c r="G7636" s="7" t="s">
        <v>505</v>
      </c>
      <c r="H7636" s="6" t="n">
        <v>3.28</v>
      </c>
      <c r="I7636" s="6" t="n">
        <v>0.098</v>
      </c>
      <c r="J7636" s="40" t="n">
        <f aca="false">H7636-I7636</f>
        <v>3.182</v>
      </c>
      <c r="K7636" s="41" t="n">
        <v>26.5</v>
      </c>
      <c r="L7636" s="42" t="n">
        <f aca="false">J7636*K7636</f>
        <v>84.323</v>
      </c>
      <c r="M7636" s="43" t="n">
        <f aca="false">H7636*17.1*(1+'Chart of Accounts'!$E$67)</f>
        <v>64.22076</v>
      </c>
    </row>
    <row r="7637" customFormat="false" ht="15" hidden="false" customHeight="false" outlineLevel="0" collapsed="false">
      <c r="B7637" s="7" t="s">
        <v>8134</v>
      </c>
      <c r="C7637" s="39" t="n">
        <v>46003</v>
      </c>
      <c r="D7637" s="7" t="s">
        <v>355</v>
      </c>
      <c r="E7637" s="7" t="s">
        <v>154</v>
      </c>
      <c r="F7637" s="7" t="s">
        <v>201</v>
      </c>
      <c r="G7637" s="7" t="s">
        <v>505</v>
      </c>
      <c r="H7637" s="6" t="n">
        <v>3.63</v>
      </c>
      <c r="I7637" s="6" t="n">
        <v>0</v>
      </c>
      <c r="J7637" s="40" t="n">
        <f aca="false">H7637-I7637</f>
        <v>3.63</v>
      </c>
      <c r="K7637" s="41" t="n">
        <v>26.5</v>
      </c>
      <c r="L7637" s="42" t="n">
        <f aca="false">J7637*K7637</f>
        <v>96.195</v>
      </c>
      <c r="M7637" s="43" t="n">
        <f aca="false">H7637*15.19*(1+'Chart of Accounts'!$E$67)</f>
        <v>63.1349565</v>
      </c>
    </row>
    <row r="7638" customFormat="false" ht="15" hidden="false" customHeight="false" outlineLevel="0" collapsed="false">
      <c r="B7638" s="7" t="s">
        <v>8135</v>
      </c>
      <c r="C7638" s="39" t="n">
        <v>46003</v>
      </c>
      <c r="D7638" s="7" t="s">
        <v>357</v>
      </c>
      <c r="E7638" s="7" t="s">
        <v>154</v>
      </c>
      <c r="F7638" s="7" t="s">
        <v>222</v>
      </c>
      <c r="G7638" s="7" t="s">
        <v>505</v>
      </c>
      <c r="H7638" s="6" t="n">
        <v>3.28</v>
      </c>
      <c r="I7638" s="6" t="n">
        <v>0</v>
      </c>
      <c r="J7638" s="40" t="n">
        <f aca="false">H7638-I7638</f>
        <v>3.28</v>
      </c>
      <c r="K7638" s="41" t="n">
        <v>26.5</v>
      </c>
      <c r="L7638" s="42" t="n">
        <f aca="false">J7638*K7638</f>
        <v>86.92</v>
      </c>
      <c r="M7638" s="43" t="n">
        <f aca="false">H7638*17.84*(1+'Chart of Accounts'!$E$67)</f>
        <v>66.999904</v>
      </c>
    </row>
    <row r="7639" customFormat="false" ht="15" hidden="false" customHeight="false" outlineLevel="0" collapsed="false">
      <c r="B7639" s="7" t="s">
        <v>8136</v>
      </c>
      <c r="C7639" s="39" t="n">
        <v>46003</v>
      </c>
      <c r="D7639" s="7" t="s">
        <v>359</v>
      </c>
      <c r="E7639" s="7" t="s">
        <v>156</v>
      </c>
      <c r="F7639" s="7" t="s">
        <v>222</v>
      </c>
      <c r="G7639" s="7" t="s">
        <v>505</v>
      </c>
      <c r="H7639" s="6" t="n">
        <v>4.14</v>
      </c>
      <c r="I7639" s="6" t="n">
        <v>0</v>
      </c>
      <c r="J7639" s="40" t="n">
        <f aca="false">H7639-I7639</f>
        <v>4.14</v>
      </c>
      <c r="K7639" s="41" t="n">
        <v>34</v>
      </c>
      <c r="L7639" s="42" t="n">
        <f aca="false">J7639*K7639</f>
        <v>140.76</v>
      </c>
      <c r="M7639" s="43" t="n">
        <f aca="false">H7639*17.84*(1+'Chart of Accounts'!$E$67)</f>
        <v>84.566952</v>
      </c>
    </row>
    <row r="7640" customFormat="false" ht="15" hidden="false" customHeight="false" outlineLevel="0" collapsed="false">
      <c r="B7640" s="7" t="s">
        <v>8137</v>
      </c>
      <c r="C7640" s="39" t="n">
        <v>46003</v>
      </c>
      <c r="D7640" s="7" t="s">
        <v>361</v>
      </c>
      <c r="E7640" s="7" t="s">
        <v>157</v>
      </c>
      <c r="F7640" s="7" t="s">
        <v>209</v>
      </c>
      <c r="G7640" s="7" t="s">
        <v>502</v>
      </c>
      <c r="H7640" s="6" t="n">
        <v>0.92</v>
      </c>
      <c r="I7640" s="6" t="n">
        <v>0</v>
      </c>
      <c r="J7640" s="40" t="n">
        <f aca="false">H7640-I7640</f>
        <v>0.92</v>
      </c>
      <c r="K7640" s="41" t="n">
        <v>165</v>
      </c>
      <c r="L7640" s="42" t="n">
        <f aca="false">J7640*K7640</f>
        <v>151.8</v>
      </c>
      <c r="M7640" s="43" t="n">
        <f aca="false">H7640*73.58*(1+'Chart of Accounts'!$E$67)</f>
        <v>77.509172</v>
      </c>
    </row>
    <row r="7641" customFormat="false" ht="15" hidden="false" customHeight="false" outlineLevel="0" collapsed="false">
      <c r="B7641" s="7" t="s">
        <v>8138</v>
      </c>
      <c r="C7641" s="39" t="n">
        <v>46003</v>
      </c>
      <c r="D7641" s="7" t="s">
        <v>365</v>
      </c>
      <c r="E7641" s="7" t="s">
        <v>154</v>
      </c>
      <c r="F7641" s="7" t="s">
        <v>194</v>
      </c>
      <c r="G7641" s="7" t="s">
        <v>505</v>
      </c>
      <c r="H7641" s="6" t="n">
        <v>3.94</v>
      </c>
      <c r="I7641" s="6" t="n">
        <v>0</v>
      </c>
      <c r="J7641" s="40" t="n">
        <f aca="false">H7641-I7641</f>
        <v>3.94</v>
      </c>
      <c r="K7641" s="41" t="n">
        <v>26.5</v>
      </c>
      <c r="L7641" s="42" t="n">
        <f aca="false">J7641*K7641</f>
        <v>104.41</v>
      </c>
      <c r="M7641" s="43" t="n">
        <f aca="false">H7641*16*(1+'Chart of Accounts'!$E$67)</f>
        <v>72.1808</v>
      </c>
    </row>
    <row r="7642" customFormat="false" ht="15" hidden="false" customHeight="false" outlineLevel="0" collapsed="false">
      <c r="B7642" s="7" t="s">
        <v>8139</v>
      </c>
      <c r="C7642" s="39" t="n">
        <v>46003</v>
      </c>
      <c r="D7642" s="7" t="s">
        <v>369</v>
      </c>
      <c r="E7642" s="7" t="s">
        <v>159</v>
      </c>
      <c r="F7642" s="7" t="s">
        <v>258</v>
      </c>
      <c r="G7642" s="7" t="s">
        <v>502</v>
      </c>
      <c r="H7642" s="6" t="n">
        <v>1</v>
      </c>
      <c r="I7642" s="6" t="n">
        <v>0</v>
      </c>
      <c r="J7642" s="40" t="n">
        <f aca="false">H7642-I7642</f>
        <v>1</v>
      </c>
      <c r="K7642" s="41" t="n">
        <v>135</v>
      </c>
      <c r="L7642" s="42" t="n">
        <f aca="false">J7642*K7642</f>
        <v>135</v>
      </c>
      <c r="M7642" s="43" t="n">
        <f aca="false">H7642*61.61*(1+'Chart of Accounts'!$E$67)</f>
        <v>70.54345</v>
      </c>
    </row>
    <row r="7643" customFormat="false" ht="15" hidden="false" customHeight="false" outlineLevel="0" collapsed="false">
      <c r="B7643" s="7" t="s">
        <v>8140</v>
      </c>
      <c r="C7643" s="39" t="n">
        <v>46003</v>
      </c>
      <c r="D7643" s="7" t="s">
        <v>371</v>
      </c>
      <c r="E7643" s="7" t="s">
        <v>154</v>
      </c>
      <c r="F7643" s="7" t="s">
        <v>232</v>
      </c>
      <c r="G7643" s="7" t="s">
        <v>505</v>
      </c>
      <c r="H7643" s="6" t="n">
        <v>4.55</v>
      </c>
      <c r="I7643" s="6" t="n">
        <v>0</v>
      </c>
      <c r="J7643" s="40" t="n">
        <f aca="false">H7643-I7643</f>
        <v>4.55</v>
      </c>
      <c r="K7643" s="41" t="n">
        <v>26.5</v>
      </c>
      <c r="L7643" s="42" t="n">
        <f aca="false">J7643*K7643</f>
        <v>120.575</v>
      </c>
      <c r="M7643" s="43" t="n">
        <f aca="false">H7643*16.17*(1+'Chart of Accounts'!$E$67)</f>
        <v>84.2416575</v>
      </c>
    </row>
    <row r="7644" customFormat="false" ht="15" hidden="false" customHeight="false" outlineLevel="0" collapsed="false">
      <c r="B7644" s="7" t="s">
        <v>8141</v>
      </c>
      <c r="C7644" s="39" t="n">
        <v>46003</v>
      </c>
      <c r="D7644" s="7" t="s">
        <v>379</v>
      </c>
      <c r="E7644" s="7" t="s">
        <v>156</v>
      </c>
      <c r="F7644" s="7" t="s">
        <v>224</v>
      </c>
      <c r="G7644" s="7" t="s">
        <v>505</v>
      </c>
      <c r="H7644" s="6" t="n">
        <v>4.68</v>
      </c>
      <c r="I7644" s="6" t="n">
        <v>0</v>
      </c>
      <c r="J7644" s="40" t="n">
        <f aca="false">H7644-I7644</f>
        <v>4.68</v>
      </c>
      <c r="K7644" s="41" t="n">
        <v>34</v>
      </c>
      <c r="L7644" s="42" t="n">
        <f aca="false">J7644*K7644</f>
        <v>159.12</v>
      </c>
      <c r="M7644" s="43" t="n">
        <f aca="false">H7644*14.93*(1+'Chart of Accounts'!$E$67)</f>
        <v>80.003898</v>
      </c>
    </row>
    <row r="7645" customFormat="false" ht="15" hidden="false" customHeight="false" outlineLevel="0" collapsed="false">
      <c r="B7645" s="7" t="s">
        <v>8142</v>
      </c>
      <c r="C7645" s="39" t="n">
        <v>46003</v>
      </c>
      <c r="D7645" s="7" t="s">
        <v>381</v>
      </c>
      <c r="E7645" s="7" t="s">
        <v>157</v>
      </c>
      <c r="F7645" s="7" t="s">
        <v>234</v>
      </c>
      <c r="G7645" s="7" t="s">
        <v>502</v>
      </c>
      <c r="H7645" s="6" t="n">
        <v>0.98</v>
      </c>
      <c r="I7645" s="6" t="n">
        <v>0</v>
      </c>
      <c r="J7645" s="40" t="n">
        <f aca="false">H7645-I7645</f>
        <v>0.98</v>
      </c>
      <c r="K7645" s="41" t="n">
        <v>165</v>
      </c>
      <c r="L7645" s="42" t="n">
        <f aca="false">J7645*K7645</f>
        <v>161.7</v>
      </c>
      <c r="M7645" s="43" t="n">
        <f aca="false">H7645*89.53*(1+'Chart of Accounts'!$E$67)</f>
        <v>100.461613</v>
      </c>
    </row>
    <row r="7646" customFormat="false" ht="15" hidden="false" customHeight="false" outlineLevel="0" collapsed="false">
      <c r="B7646" s="7" t="s">
        <v>8143</v>
      </c>
      <c r="C7646" s="39" t="n">
        <v>46003</v>
      </c>
      <c r="D7646" s="7" t="s">
        <v>383</v>
      </c>
      <c r="E7646" s="7" t="s">
        <v>157</v>
      </c>
      <c r="F7646" s="7" t="s">
        <v>230</v>
      </c>
      <c r="G7646" s="7" t="s">
        <v>502</v>
      </c>
      <c r="H7646" s="6" t="n">
        <v>0.9</v>
      </c>
      <c r="I7646" s="6" t="n">
        <v>0</v>
      </c>
      <c r="J7646" s="40" t="n">
        <f aca="false">H7646-I7646</f>
        <v>0.9</v>
      </c>
      <c r="K7646" s="41" t="n">
        <v>165</v>
      </c>
      <c r="L7646" s="42" t="n">
        <f aca="false">J7646*K7646</f>
        <v>148.5</v>
      </c>
      <c r="M7646" s="43" t="n">
        <f aca="false">H7646*48.78*(1+'Chart of Accounts'!$E$67)</f>
        <v>50.26779</v>
      </c>
    </row>
    <row r="7647" customFormat="false" ht="15" hidden="false" customHeight="false" outlineLevel="0" collapsed="false">
      <c r="B7647" s="7" t="s">
        <v>8144</v>
      </c>
      <c r="C7647" s="39" t="n">
        <v>46003</v>
      </c>
      <c r="D7647" s="7" t="s">
        <v>385</v>
      </c>
      <c r="E7647" s="7" t="s">
        <v>156</v>
      </c>
      <c r="F7647" s="7" t="s">
        <v>238</v>
      </c>
      <c r="G7647" s="7" t="s">
        <v>505</v>
      </c>
      <c r="H7647" s="6" t="n">
        <v>4.15</v>
      </c>
      <c r="I7647" s="6" t="n">
        <v>0</v>
      </c>
      <c r="J7647" s="40" t="n">
        <f aca="false">H7647-I7647</f>
        <v>4.15</v>
      </c>
      <c r="K7647" s="41" t="n">
        <v>34</v>
      </c>
      <c r="L7647" s="42" t="n">
        <f aca="false">J7647*K7647</f>
        <v>141.1</v>
      </c>
      <c r="M7647" s="43" t="n">
        <f aca="false">H7647*15.85*(1+'Chart of Accounts'!$E$67)</f>
        <v>75.3152375</v>
      </c>
    </row>
    <row r="7648" customFormat="false" ht="15" hidden="false" customHeight="false" outlineLevel="0" collapsed="false">
      <c r="B7648" s="7" t="s">
        <v>8145</v>
      </c>
      <c r="C7648" s="39" t="n">
        <v>46003</v>
      </c>
      <c r="D7648" s="7" t="s">
        <v>387</v>
      </c>
      <c r="E7648" s="7" t="s">
        <v>154</v>
      </c>
      <c r="F7648" s="7" t="s">
        <v>196</v>
      </c>
      <c r="G7648" s="7" t="s">
        <v>505</v>
      </c>
      <c r="H7648" s="6" t="n">
        <v>4.18</v>
      </c>
      <c r="I7648" s="6" t="n">
        <v>0.125</v>
      </c>
      <c r="J7648" s="40" t="n">
        <f aca="false">H7648-I7648</f>
        <v>4.055</v>
      </c>
      <c r="K7648" s="41" t="n">
        <v>26.5</v>
      </c>
      <c r="L7648" s="42" t="n">
        <f aca="false">J7648*K7648</f>
        <v>107.4575</v>
      </c>
      <c r="M7648" s="43" t="n">
        <f aca="false">H7648*15.05*(1+'Chart of Accounts'!$E$67)</f>
        <v>72.030805</v>
      </c>
    </row>
    <row r="7649" customFormat="false" ht="15" hidden="false" customHeight="false" outlineLevel="0" collapsed="false">
      <c r="B7649" s="7" t="s">
        <v>8146</v>
      </c>
      <c r="C7649" s="39" t="n">
        <v>46003</v>
      </c>
      <c r="D7649" s="7" t="s">
        <v>389</v>
      </c>
      <c r="E7649" s="7" t="s">
        <v>154</v>
      </c>
      <c r="F7649" s="7" t="s">
        <v>246</v>
      </c>
      <c r="G7649" s="7" t="s">
        <v>505</v>
      </c>
      <c r="H7649" s="6" t="n">
        <v>3.88</v>
      </c>
      <c r="I7649" s="6" t="n">
        <v>0</v>
      </c>
      <c r="J7649" s="40" t="n">
        <f aca="false">H7649-I7649</f>
        <v>3.88</v>
      </c>
      <c r="K7649" s="41" t="n">
        <v>26.5</v>
      </c>
      <c r="L7649" s="42" t="n">
        <f aca="false">J7649*K7649</f>
        <v>102.82</v>
      </c>
      <c r="M7649" s="43" t="n">
        <f aca="false">H7649*16.48*(1+'Chart of Accounts'!$E$67)</f>
        <v>73.214048</v>
      </c>
    </row>
    <row r="7650" customFormat="false" ht="15" hidden="false" customHeight="false" outlineLevel="0" collapsed="false">
      <c r="B7650" s="7" t="s">
        <v>8147</v>
      </c>
      <c r="C7650" s="39" t="n">
        <v>46003</v>
      </c>
      <c r="D7650" s="7" t="s">
        <v>391</v>
      </c>
      <c r="E7650" s="7" t="s">
        <v>156</v>
      </c>
      <c r="F7650" s="7" t="s">
        <v>222</v>
      </c>
      <c r="G7650" s="7" t="s">
        <v>505</v>
      </c>
      <c r="H7650" s="6" t="n">
        <v>3.72</v>
      </c>
      <c r="I7650" s="6" t="n">
        <v>0</v>
      </c>
      <c r="J7650" s="40" t="n">
        <f aca="false">H7650-I7650</f>
        <v>3.72</v>
      </c>
      <c r="K7650" s="41" t="n">
        <v>34</v>
      </c>
      <c r="L7650" s="42" t="n">
        <f aca="false">J7650*K7650</f>
        <v>126.48</v>
      </c>
      <c r="M7650" s="43" t="n">
        <f aca="false">H7650*17.84*(1+'Chart of Accounts'!$E$67)</f>
        <v>75.987696</v>
      </c>
    </row>
    <row r="7651" customFormat="false" ht="15" hidden="false" customHeight="false" outlineLevel="0" collapsed="false">
      <c r="B7651" s="7" t="s">
        <v>8148</v>
      </c>
      <c r="C7651" s="39" t="n">
        <v>46003</v>
      </c>
      <c r="D7651" s="7" t="s">
        <v>395</v>
      </c>
      <c r="E7651" s="7" t="s">
        <v>156</v>
      </c>
      <c r="F7651" s="7" t="s">
        <v>242</v>
      </c>
      <c r="G7651" s="7" t="s">
        <v>505</v>
      </c>
      <c r="H7651" s="6" t="n">
        <v>4.08</v>
      </c>
      <c r="I7651" s="6" t="n">
        <v>0</v>
      </c>
      <c r="J7651" s="40" t="n">
        <f aca="false">H7651-I7651</f>
        <v>4.08</v>
      </c>
      <c r="K7651" s="41" t="n">
        <v>34</v>
      </c>
      <c r="L7651" s="42" t="n">
        <f aca="false">J7651*K7651</f>
        <v>138.72</v>
      </c>
      <c r="M7651" s="43" t="n">
        <f aca="false">H7651*17.99*(1+'Chart of Accounts'!$E$67)</f>
        <v>84.042084</v>
      </c>
    </row>
    <row r="7652" customFormat="false" ht="15" hidden="false" customHeight="false" outlineLevel="0" collapsed="false">
      <c r="B7652" s="7" t="s">
        <v>8149</v>
      </c>
      <c r="C7652" s="39" t="n">
        <v>46003</v>
      </c>
      <c r="D7652" s="7" t="s">
        <v>397</v>
      </c>
      <c r="E7652" s="7" t="s">
        <v>159</v>
      </c>
      <c r="F7652" s="7" t="s">
        <v>203</v>
      </c>
      <c r="G7652" s="7" t="s">
        <v>502</v>
      </c>
      <c r="H7652" s="6" t="n">
        <v>1.09</v>
      </c>
      <c r="I7652" s="6" t="n">
        <v>0</v>
      </c>
      <c r="J7652" s="40" t="n">
        <f aca="false">H7652-I7652</f>
        <v>1.09</v>
      </c>
      <c r="K7652" s="41" t="n">
        <v>135</v>
      </c>
      <c r="L7652" s="42" t="n">
        <f aca="false">J7652*K7652</f>
        <v>147.15</v>
      </c>
      <c r="M7652" s="43" t="n">
        <f aca="false">H7652*49.43*(1+'Chart of Accounts'!$E$67)</f>
        <v>61.6911115</v>
      </c>
    </row>
    <row r="7653" customFormat="false" ht="15" hidden="false" customHeight="false" outlineLevel="0" collapsed="false">
      <c r="B7653" s="7" t="s">
        <v>8150</v>
      </c>
      <c r="C7653" s="39" t="n">
        <v>46003</v>
      </c>
      <c r="D7653" s="7" t="s">
        <v>399</v>
      </c>
      <c r="E7653" s="7" t="s">
        <v>154</v>
      </c>
      <c r="F7653" s="7" t="s">
        <v>220</v>
      </c>
      <c r="G7653" s="7" t="s">
        <v>505</v>
      </c>
      <c r="H7653" s="6" t="n">
        <v>3.19</v>
      </c>
      <c r="I7653" s="6" t="n">
        <v>0.096</v>
      </c>
      <c r="J7653" s="40" t="n">
        <f aca="false">H7653-I7653</f>
        <v>3.094</v>
      </c>
      <c r="K7653" s="41" t="n">
        <v>26.5</v>
      </c>
      <c r="L7653" s="42" t="n">
        <f aca="false">J7653*K7653</f>
        <v>81.991</v>
      </c>
      <c r="M7653" s="43" t="n">
        <f aca="false">H7653*16.43*(1+'Chart of Accounts'!$E$67)</f>
        <v>60.0113965</v>
      </c>
    </row>
    <row r="7654" customFormat="false" ht="15" hidden="false" customHeight="false" outlineLevel="0" collapsed="false">
      <c r="B7654" s="7" t="s">
        <v>8151</v>
      </c>
      <c r="C7654" s="39" t="n">
        <v>46003</v>
      </c>
      <c r="D7654" s="7" t="s">
        <v>401</v>
      </c>
      <c r="E7654" s="7" t="s">
        <v>156</v>
      </c>
      <c r="F7654" s="7" t="s">
        <v>254</v>
      </c>
      <c r="G7654" s="7" t="s">
        <v>505</v>
      </c>
      <c r="H7654" s="6" t="n">
        <v>4.19</v>
      </c>
      <c r="I7654" s="6" t="n">
        <v>0</v>
      </c>
      <c r="J7654" s="40" t="n">
        <f aca="false">H7654-I7654</f>
        <v>4.19</v>
      </c>
      <c r="K7654" s="41" t="n">
        <v>34</v>
      </c>
      <c r="L7654" s="42" t="n">
        <f aca="false">J7654*K7654</f>
        <v>142.46</v>
      </c>
      <c r="M7654" s="43" t="n">
        <f aca="false">H7654*17.1*(1+'Chart of Accounts'!$E$67)</f>
        <v>82.038105</v>
      </c>
    </row>
    <row r="7655" customFormat="false" ht="15" hidden="false" customHeight="false" outlineLevel="0" collapsed="false">
      <c r="B7655" s="7" t="s">
        <v>8152</v>
      </c>
      <c r="C7655" s="39" t="n">
        <v>46003</v>
      </c>
      <c r="D7655" s="7" t="s">
        <v>403</v>
      </c>
      <c r="E7655" s="7" t="s">
        <v>156</v>
      </c>
      <c r="F7655" s="7" t="s">
        <v>184</v>
      </c>
      <c r="G7655" s="7" t="s">
        <v>505</v>
      </c>
      <c r="H7655" s="6" t="n">
        <v>3.67</v>
      </c>
      <c r="I7655" s="6" t="n">
        <v>0</v>
      </c>
      <c r="J7655" s="40" t="n">
        <f aca="false">H7655-I7655</f>
        <v>3.67</v>
      </c>
      <c r="K7655" s="41" t="n">
        <v>34</v>
      </c>
      <c r="L7655" s="42" t="n">
        <f aca="false">J7655*K7655</f>
        <v>124.78</v>
      </c>
      <c r="M7655" s="43" t="n">
        <f aca="false">H7655*17.34*(1+'Chart of Accounts'!$E$67)</f>
        <v>72.865281</v>
      </c>
    </row>
    <row r="7656" customFormat="false" ht="15" hidden="false" customHeight="false" outlineLevel="0" collapsed="false">
      <c r="B7656" s="7" t="s">
        <v>8153</v>
      </c>
      <c r="C7656" s="39" t="n">
        <v>46003</v>
      </c>
      <c r="D7656" s="7" t="s">
        <v>407</v>
      </c>
      <c r="E7656" s="7" t="s">
        <v>159</v>
      </c>
      <c r="F7656" s="7" t="s">
        <v>260</v>
      </c>
      <c r="G7656" s="7" t="s">
        <v>502</v>
      </c>
      <c r="H7656" s="6" t="n">
        <v>0.93</v>
      </c>
      <c r="I7656" s="6" t="n">
        <v>0</v>
      </c>
      <c r="J7656" s="40" t="n">
        <f aca="false">H7656-I7656</f>
        <v>0.93</v>
      </c>
      <c r="K7656" s="41" t="n">
        <v>135</v>
      </c>
      <c r="L7656" s="42" t="n">
        <f aca="false">J7656*K7656</f>
        <v>125.55</v>
      </c>
      <c r="M7656" s="43" t="n">
        <f aca="false">H7656*79.8*(1+'Chart of Accounts'!$E$67)</f>
        <v>84.97503</v>
      </c>
    </row>
    <row r="7657" customFormat="false" ht="15" hidden="false" customHeight="false" outlineLevel="0" collapsed="false">
      <c r="B7657" s="7" t="s">
        <v>8154</v>
      </c>
      <c r="C7657" s="39" t="n">
        <v>46003</v>
      </c>
      <c r="D7657" s="7" t="s">
        <v>409</v>
      </c>
      <c r="E7657" s="7" t="s">
        <v>154</v>
      </c>
      <c r="F7657" s="7" t="s">
        <v>214</v>
      </c>
      <c r="G7657" s="7" t="s">
        <v>505</v>
      </c>
      <c r="H7657" s="6" t="n">
        <v>3.01</v>
      </c>
      <c r="I7657" s="6" t="n">
        <v>0</v>
      </c>
      <c r="J7657" s="40" t="n">
        <f aca="false">H7657-I7657</f>
        <v>3.01</v>
      </c>
      <c r="K7657" s="41" t="n">
        <v>26.5</v>
      </c>
      <c r="L7657" s="42" t="n">
        <f aca="false">J7657*K7657</f>
        <v>79.765</v>
      </c>
      <c r="M7657" s="43" t="n">
        <f aca="false">H7657*15.67*(1+'Chart of Accounts'!$E$67)</f>
        <v>54.0058715</v>
      </c>
    </row>
    <row r="7658" customFormat="false" ht="15" hidden="false" customHeight="false" outlineLevel="0" collapsed="false">
      <c r="B7658" s="7" t="s">
        <v>8155</v>
      </c>
      <c r="C7658" s="39" t="n">
        <v>46003</v>
      </c>
      <c r="D7658" s="7" t="s">
        <v>411</v>
      </c>
      <c r="E7658" s="7" t="s">
        <v>154</v>
      </c>
      <c r="F7658" s="7" t="s">
        <v>177</v>
      </c>
      <c r="G7658" s="7" t="s">
        <v>505</v>
      </c>
      <c r="H7658" s="6" t="n">
        <v>4.74</v>
      </c>
      <c r="I7658" s="6" t="n">
        <v>0</v>
      </c>
      <c r="J7658" s="40" t="n">
        <f aca="false">H7658-I7658</f>
        <v>4.74</v>
      </c>
      <c r="K7658" s="41" t="n">
        <v>26.5</v>
      </c>
      <c r="L7658" s="42" t="n">
        <f aca="false">J7658*K7658</f>
        <v>125.61</v>
      </c>
      <c r="M7658" s="43" t="n">
        <f aca="false">H7658*14.56*(1+'Chart of Accounts'!$E$67)</f>
        <v>79.021488</v>
      </c>
    </row>
    <row r="7659" customFormat="false" ht="15" hidden="false" customHeight="false" outlineLevel="0" collapsed="false">
      <c r="B7659" s="7" t="s">
        <v>8156</v>
      </c>
      <c r="C7659" s="39" t="n">
        <v>46004</v>
      </c>
      <c r="D7659" s="7" t="s">
        <v>288</v>
      </c>
      <c r="E7659" s="7" t="s">
        <v>156</v>
      </c>
      <c r="F7659" s="7" t="s">
        <v>224</v>
      </c>
      <c r="G7659" s="7" t="s">
        <v>505</v>
      </c>
      <c r="H7659" s="6" t="n">
        <v>3.64</v>
      </c>
      <c r="I7659" s="6" t="n">
        <v>0</v>
      </c>
      <c r="J7659" s="40" t="n">
        <f aca="false">H7659-I7659</f>
        <v>3.64</v>
      </c>
      <c r="K7659" s="41" t="n">
        <v>34</v>
      </c>
      <c r="L7659" s="42" t="n">
        <f aca="false">J7659*K7659</f>
        <v>123.76</v>
      </c>
      <c r="M7659" s="43" t="n">
        <f aca="false">H7659*14.93*(1+'Chart of Accounts'!$E$67)</f>
        <v>62.225254</v>
      </c>
    </row>
    <row r="7660" customFormat="false" ht="15" hidden="false" customHeight="false" outlineLevel="0" collapsed="false">
      <c r="B7660" s="7" t="s">
        <v>8157</v>
      </c>
      <c r="C7660" s="39" t="n">
        <v>46004</v>
      </c>
      <c r="D7660" s="7" t="s">
        <v>321</v>
      </c>
      <c r="E7660" s="7" t="s">
        <v>154</v>
      </c>
      <c r="F7660" s="7" t="s">
        <v>218</v>
      </c>
      <c r="G7660" s="7" t="s">
        <v>505</v>
      </c>
      <c r="H7660" s="6" t="n">
        <v>4.02</v>
      </c>
      <c r="I7660" s="6" t="n">
        <v>0</v>
      </c>
      <c r="J7660" s="40" t="n">
        <f aca="false">H7660-I7660</f>
        <v>4.02</v>
      </c>
      <c r="K7660" s="41" t="n">
        <v>26.5</v>
      </c>
      <c r="L7660" s="42" t="n">
        <f aca="false">J7660*K7660</f>
        <v>106.53</v>
      </c>
      <c r="M7660" s="43" t="n">
        <f aca="false">H7660*16.19*(1+'Chart of Accounts'!$E$67)</f>
        <v>74.520951</v>
      </c>
    </row>
    <row r="7661" customFormat="false" ht="15" hidden="false" customHeight="false" outlineLevel="0" collapsed="false">
      <c r="B7661" s="7" t="s">
        <v>8158</v>
      </c>
      <c r="C7661" s="39" t="n">
        <v>46004</v>
      </c>
      <c r="D7661" s="7" t="s">
        <v>359</v>
      </c>
      <c r="E7661" s="7" t="s">
        <v>156</v>
      </c>
      <c r="F7661" s="7" t="s">
        <v>250</v>
      </c>
      <c r="G7661" s="7" t="s">
        <v>505</v>
      </c>
      <c r="H7661" s="6" t="n">
        <v>4.02</v>
      </c>
      <c r="I7661" s="6" t="n">
        <v>0</v>
      </c>
      <c r="J7661" s="40" t="n">
        <f aca="false">H7661-I7661</f>
        <v>4.02</v>
      </c>
      <c r="K7661" s="41" t="n">
        <v>34</v>
      </c>
      <c r="L7661" s="42" t="n">
        <f aca="false">J7661*K7661</f>
        <v>136.68</v>
      </c>
      <c r="M7661" s="43" t="n">
        <f aca="false">H7661*16.88*(1+'Chart of Accounts'!$E$67)</f>
        <v>77.696952</v>
      </c>
    </row>
    <row r="7662" customFormat="false" ht="15" hidden="false" customHeight="false" outlineLevel="0" collapsed="false">
      <c r="B7662" s="7" t="s">
        <v>8159</v>
      </c>
      <c r="C7662" s="39" t="n">
        <v>46004</v>
      </c>
      <c r="D7662" s="7" t="s">
        <v>387</v>
      </c>
      <c r="E7662" s="7" t="s">
        <v>154</v>
      </c>
      <c r="F7662" s="7" t="s">
        <v>196</v>
      </c>
      <c r="G7662" s="7" t="s">
        <v>505</v>
      </c>
      <c r="H7662" s="6" t="n">
        <v>3.83</v>
      </c>
      <c r="I7662" s="6" t="n">
        <v>0</v>
      </c>
      <c r="J7662" s="40" t="n">
        <f aca="false">H7662-I7662</f>
        <v>3.83</v>
      </c>
      <c r="K7662" s="41" t="n">
        <v>26.5</v>
      </c>
      <c r="L7662" s="42" t="n">
        <f aca="false">J7662*K7662</f>
        <v>101.495</v>
      </c>
      <c r="M7662" s="43" t="n">
        <f aca="false">H7662*15.05*(1+'Chart of Accounts'!$E$67)</f>
        <v>65.9995175</v>
      </c>
    </row>
    <row r="7663" customFormat="false" ht="15" hidden="false" customHeight="false" outlineLevel="0" collapsed="false">
      <c r="B7663" s="7" t="s">
        <v>8160</v>
      </c>
      <c r="C7663" s="39" t="n">
        <v>46004</v>
      </c>
      <c r="D7663" s="7" t="s">
        <v>391</v>
      </c>
      <c r="E7663" s="7" t="s">
        <v>156</v>
      </c>
      <c r="F7663" s="7" t="s">
        <v>222</v>
      </c>
      <c r="G7663" s="7" t="s">
        <v>505</v>
      </c>
      <c r="H7663" s="6" t="n">
        <v>3.65</v>
      </c>
      <c r="I7663" s="6" t="n">
        <v>0</v>
      </c>
      <c r="J7663" s="40" t="n">
        <f aca="false">H7663-I7663</f>
        <v>3.65</v>
      </c>
      <c r="K7663" s="41" t="n">
        <v>34</v>
      </c>
      <c r="L7663" s="42" t="n">
        <f aca="false">J7663*K7663</f>
        <v>124.1</v>
      </c>
      <c r="M7663" s="43" t="n">
        <f aca="false">H7663*17.84*(1+'Chart of Accounts'!$E$67)</f>
        <v>74.55782</v>
      </c>
    </row>
    <row r="7664" customFormat="false" ht="15" hidden="false" customHeight="false" outlineLevel="0" collapsed="false">
      <c r="B7664" s="7" t="s">
        <v>8161</v>
      </c>
      <c r="C7664" s="39" t="n">
        <v>46004</v>
      </c>
      <c r="D7664" s="7" t="s">
        <v>395</v>
      </c>
      <c r="E7664" s="7" t="s">
        <v>156</v>
      </c>
      <c r="F7664" s="7" t="s">
        <v>242</v>
      </c>
      <c r="G7664" s="7" t="s">
        <v>505</v>
      </c>
      <c r="H7664" s="6" t="n">
        <v>3.69</v>
      </c>
      <c r="I7664" s="6" t="n">
        <v>0</v>
      </c>
      <c r="J7664" s="40" t="n">
        <f aca="false">H7664-I7664</f>
        <v>3.69</v>
      </c>
      <c r="K7664" s="41" t="n">
        <v>34</v>
      </c>
      <c r="L7664" s="42" t="n">
        <f aca="false">J7664*K7664</f>
        <v>125.46</v>
      </c>
      <c r="M7664" s="43" t="n">
        <f aca="false">H7664*17.99*(1+'Chart of Accounts'!$E$67)</f>
        <v>76.0086495</v>
      </c>
    </row>
    <row r="7665" customFormat="false" ht="15" hidden="false" customHeight="false" outlineLevel="0" collapsed="false">
      <c r="B7665" s="7" t="s">
        <v>8162</v>
      </c>
      <c r="C7665" s="39" t="n">
        <v>46004</v>
      </c>
      <c r="D7665" s="7" t="s">
        <v>401</v>
      </c>
      <c r="E7665" s="7" t="s">
        <v>156</v>
      </c>
      <c r="F7665" s="7" t="s">
        <v>254</v>
      </c>
      <c r="G7665" s="7" t="s">
        <v>505</v>
      </c>
      <c r="H7665" s="6" t="n">
        <v>4.28</v>
      </c>
      <c r="I7665" s="6" t="n">
        <v>0</v>
      </c>
      <c r="J7665" s="40" t="n">
        <f aca="false">H7665-I7665</f>
        <v>4.28</v>
      </c>
      <c r="K7665" s="41" t="n">
        <v>34</v>
      </c>
      <c r="L7665" s="42" t="n">
        <f aca="false">J7665*K7665</f>
        <v>145.52</v>
      </c>
      <c r="M7665" s="43" t="n">
        <f aca="false">H7665*17.1*(1+'Chart of Accounts'!$E$67)</f>
        <v>83.80026</v>
      </c>
    </row>
    <row r="7666" customFormat="false" ht="15" hidden="false" customHeight="false" outlineLevel="0" collapsed="false">
      <c r="B7666" s="7" t="s">
        <v>8163</v>
      </c>
      <c r="C7666" s="39" t="n">
        <v>46005</v>
      </c>
      <c r="D7666" s="7" t="s">
        <v>288</v>
      </c>
      <c r="E7666" s="7" t="s">
        <v>156</v>
      </c>
      <c r="F7666" s="7" t="s">
        <v>246</v>
      </c>
      <c r="G7666" s="7" t="s">
        <v>505</v>
      </c>
      <c r="H7666" s="6" t="n">
        <v>3.88</v>
      </c>
      <c r="I7666" s="6" t="n">
        <v>0</v>
      </c>
      <c r="J7666" s="40" t="n">
        <f aca="false">H7666-I7666</f>
        <v>3.88</v>
      </c>
      <c r="K7666" s="41" t="n">
        <v>34</v>
      </c>
      <c r="L7666" s="42" t="n">
        <f aca="false">J7666*K7666</f>
        <v>131.92</v>
      </c>
      <c r="M7666" s="43" t="n">
        <f aca="false">H7666*16.48*(1+'Chart of Accounts'!$E$67)</f>
        <v>73.214048</v>
      </c>
    </row>
    <row r="7667" customFormat="false" ht="15" hidden="false" customHeight="false" outlineLevel="0" collapsed="false">
      <c r="B7667" s="7" t="s">
        <v>8164</v>
      </c>
      <c r="C7667" s="39" t="n">
        <v>46005</v>
      </c>
      <c r="D7667" s="7" t="s">
        <v>321</v>
      </c>
      <c r="E7667" s="7" t="s">
        <v>154</v>
      </c>
      <c r="F7667" s="7" t="s">
        <v>218</v>
      </c>
      <c r="G7667" s="7" t="s">
        <v>505</v>
      </c>
      <c r="H7667" s="6" t="n">
        <v>4.13</v>
      </c>
      <c r="I7667" s="6" t="n">
        <v>0</v>
      </c>
      <c r="J7667" s="40" t="n">
        <f aca="false">H7667-I7667</f>
        <v>4.13</v>
      </c>
      <c r="K7667" s="41" t="n">
        <v>26.5</v>
      </c>
      <c r="L7667" s="42" t="n">
        <f aca="false">J7667*K7667</f>
        <v>109.445</v>
      </c>
      <c r="M7667" s="43" t="n">
        <f aca="false">H7667*16.19*(1+'Chart of Accounts'!$E$67)</f>
        <v>76.5600815</v>
      </c>
    </row>
    <row r="7668" customFormat="false" ht="15" hidden="false" customHeight="false" outlineLevel="0" collapsed="false">
      <c r="B7668" s="7" t="s">
        <v>8165</v>
      </c>
      <c r="C7668" s="39" t="n">
        <v>46005</v>
      </c>
      <c r="D7668" s="7" t="s">
        <v>359</v>
      </c>
      <c r="E7668" s="7" t="s">
        <v>156</v>
      </c>
      <c r="F7668" s="7" t="s">
        <v>214</v>
      </c>
      <c r="G7668" s="7" t="s">
        <v>505</v>
      </c>
      <c r="H7668" s="6" t="n">
        <v>3.61</v>
      </c>
      <c r="I7668" s="6" t="n">
        <v>0</v>
      </c>
      <c r="J7668" s="40" t="n">
        <f aca="false">H7668-I7668</f>
        <v>3.61</v>
      </c>
      <c r="K7668" s="41" t="n">
        <v>34</v>
      </c>
      <c r="L7668" s="42" t="n">
        <f aca="false">J7668*K7668</f>
        <v>122.74</v>
      </c>
      <c r="M7668" s="43" t="n">
        <f aca="false">H7668*15.67*(1+'Chart of Accounts'!$E$67)</f>
        <v>64.7711615</v>
      </c>
    </row>
    <row r="7669" customFormat="false" ht="15" hidden="false" customHeight="false" outlineLevel="0" collapsed="false">
      <c r="B7669" s="7" t="s">
        <v>8166</v>
      </c>
      <c r="C7669" s="39" t="n">
        <v>46005</v>
      </c>
      <c r="D7669" s="7" t="s">
        <v>387</v>
      </c>
      <c r="E7669" s="7" t="s">
        <v>154</v>
      </c>
      <c r="F7669" s="7" t="s">
        <v>196</v>
      </c>
      <c r="G7669" s="7" t="s">
        <v>505</v>
      </c>
      <c r="H7669" s="6" t="n">
        <v>4.15</v>
      </c>
      <c r="I7669" s="6" t="n">
        <v>0</v>
      </c>
      <c r="J7669" s="40" t="n">
        <f aca="false">H7669-I7669</f>
        <v>4.15</v>
      </c>
      <c r="K7669" s="41" t="n">
        <v>26.5</v>
      </c>
      <c r="L7669" s="42" t="n">
        <f aca="false">J7669*K7669</f>
        <v>109.975</v>
      </c>
      <c r="M7669" s="43" t="n">
        <f aca="false">H7669*15.05*(1+'Chart of Accounts'!$E$67)</f>
        <v>71.5138375</v>
      </c>
    </row>
    <row r="7670" customFormat="false" ht="15" hidden="false" customHeight="false" outlineLevel="0" collapsed="false">
      <c r="B7670" s="7" t="s">
        <v>8167</v>
      </c>
      <c r="C7670" s="39" t="n">
        <v>46005</v>
      </c>
      <c r="D7670" s="7" t="s">
        <v>391</v>
      </c>
      <c r="E7670" s="7" t="s">
        <v>156</v>
      </c>
      <c r="F7670" s="7" t="s">
        <v>222</v>
      </c>
      <c r="G7670" s="7" t="s">
        <v>505</v>
      </c>
      <c r="H7670" s="6" t="n">
        <v>3.93</v>
      </c>
      <c r="I7670" s="6" t="n">
        <v>0</v>
      </c>
      <c r="J7670" s="40" t="n">
        <f aca="false">H7670-I7670</f>
        <v>3.93</v>
      </c>
      <c r="K7670" s="41" t="n">
        <v>34</v>
      </c>
      <c r="L7670" s="42" t="n">
        <f aca="false">J7670*K7670</f>
        <v>133.62</v>
      </c>
      <c r="M7670" s="43" t="n">
        <f aca="false">H7670*17.84*(1+'Chart of Accounts'!$E$67)</f>
        <v>80.277324</v>
      </c>
    </row>
    <row r="7671" customFormat="false" ht="15" hidden="false" customHeight="false" outlineLevel="0" collapsed="false">
      <c r="B7671" s="7" t="s">
        <v>8168</v>
      </c>
      <c r="C7671" s="39" t="n">
        <v>46005</v>
      </c>
      <c r="D7671" s="7" t="s">
        <v>395</v>
      </c>
      <c r="E7671" s="7" t="s">
        <v>156</v>
      </c>
      <c r="F7671" s="7" t="s">
        <v>242</v>
      </c>
      <c r="G7671" s="7" t="s">
        <v>505</v>
      </c>
      <c r="H7671" s="6" t="n">
        <v>3.76</v>
      </c>
      <c r="I7671" s="6" t="n">
        <v>0</v>
      </c>
      <c r="J7671" s="40" t="n">
        <f aca="false">H7671-I7671</f>
        <v>3.76</v>
      </c>
      <c r="K7671" s="41" t="n">
        <v>34</v>
      </c>
      <c r="L7671" s="42" t="n">
        <f aca="false">J7671*K7671</f>
        <v>127.84</v>
      </c>
      <c r="M7671" s="43" t="n">
        <f aca="false">H7671*17.99*(1+'Chart of Accounts'!$E$67)</f>
        <v>77.450548</v>
      </c>
    </row>
    <row r="7672" customFormat="false" ht="15" hidden="false" customHeight="false" outlineLevel="0" collapsed="false">
      <c r="B7672" s="7" t="s">
        <v>8169</v>
      </c>
      <c r="C7672" s="39" t="n">
        <v>46005</v>
      </c>
      <c r="D7672" s="7" t="s">
        <v>401</v>
      </c>
      <c r="E7672" s="7" t="s">
        <v>156</v>
      </c>
      <c r="F7672" s="7" t="s">
        <v>254</v>
      </c>
      <c r="G7672" s="7" t="s">
        <v>505</v>
      </c>
      <c r="H7672" s="6" t="n">
        <v>4.38</v>
      </c>
      <c r="I7672" s="6" t="n">
        <v>0</v>
      </c>
      <c r="J7672" s="40" t="n">
        <f aca="false">H7672-I7672</f>
        <v>4.38</v>
      </c>
      <c r="K7672" s="41" t="n">
        <v>34</v>
      </c>
      <c r="L7672" s="42" t="n">
        <f aca="false">J7672*K7672</f>
        <v>148.92</v>
      </c>
      <c r="M7672" s="43" t="n">
        <f aca="false">H7672*17.1*(1+'Chart of Accounts'!$E$67)</f>
        <v>85.75821</v>
      </c>
    </row>
    <row r="7673" customFormat="false" ht="15" hidden="false" customHeight="false" outlineLevel="0" collapsed="false">
      <c r="B7673" s="7" t="s">
        <v>8170</v>
      </c>
      <c r="C7673" s="39" t="n">
        <v>46006</v>
      </c>
      <c r="D7673" s="7" t="s">
        <v>288</v>
      </c>
      <c r="E7673" s="7" t="s">
        <v>156</v>
      </c>
      <c r="F7673" s="7" t="s">
        <v>238</v>
      </c>
      <c r="G7673" s="7" t="s">
        <v>505</v>
      </c>
      <c r="H7673" s="6" t="n">
        <v>4.25</v>
      </c>
      <c r="I7673" s="6" t="n">
        <v>0</v>
      </c>
      <c r="J7673" s="40" t="n">
        <f aca="false">H7673-I7673</f>
        <v>4.25</v>
      </c>
      <c r="K7673" s="41" t="n">
        <v>34</v>
      </c>
      <c r="L7673" s="42" t="n">
        <f aca="false">J7673*K7673</f>
        <v>144.5</v>
      </c>
      <c r="M7673" s="43" t="n">
        <f aca="false">H7673*15.85*(1+'Chart of Accounts'!$E$67)</f>
        <v>77.1300625</v>
      </c>
    </row>
    <row r="7674" customFormat="false" ht="15" hidden="false" customHeight="false" outlineLevel="0" collapsed="false">
      <c r="B7674" s="7" t="s">
        <v>8171</v>
      </c>
      <c r="C7674" s="39" t="n">
        <v>46006</v>
      </c>
      <c r="D7674" s="7" t="s">
        <v>291</v>
      </c>
      <c r="E7674" s="7" t="s">
        <v>154</v>
      </c>
      <c r="F7674" s="7" t="s">
        <v>194</v>
      </c>
      <c r="G7674" s="7" t="s">
        <v>505</v>
      </c>
      <c r="H7674" s="6" t="n">
        <v>4.76</v>
      </c>
      <c r="I7674" s="6" t="n">
        <v>0</v>
      </c>
      <c r="J7674" s="40" t="n">
        <f aca="false">H7674-I7674</f>
        <v>4.76</v>
      </c>
      <c r="K7674" s="41" t="n">
        <v>26.5</v>
      </c>
      <c r="L7674" s="42" t="n">
        <f aca="false">J7674*K7674</f>
        <v>126.14</v>
      </c>
      <c r="M7674" s="43" t="n">
        <f aca="false">H7674*16*(1+'Chart of Accounts'!$E$67)</f>
        <v>87.2032</v>
      </c>
    </row>
    <row r="7675" customFormat="false" ht="15" hidden="false" customHeight="false" outlineLevel="0" collapsed="false">
      <c r="B7675" s="7" t="s">
        <v>8172</v>
      </c>
      <c r="C7675" s="39" t="n">
        <v>46006</v>
      </c>
      <c r="D7675" s="7" t="s">
        <v>295</v>
      </c>
      <c r="E7675" s="7" t="s">
        <v>154</v>
      </c>
      <c r="F7675" s="7" t="s">
        <v>214</v>
      </c>
      <c r="G7675" s="7" t="s">
        <v>505</v>
      </c>
      <c r="H7675" s="6" t="n">
        <v>4.33</v>
      </c>
      <c r="I7675" s="6" t="n">
        <v>0.13</v>
      </c>
      <c r="J7675" s="40" t="n">
        <f aca="false">H7675-I7675</f>
        <v>4.2</v>
      </c>
      <c r="K7675" s="41" t="n">
        <v>26.5</v>
      </c>
      <c r="L7675" s="42" t="n">
        <f aca="false">J7675*K7675</f>
        <v>111.3</v>
      </c>
      <c r="M7675" s="43" t="n">
        <f aca="false">H7675*15.67*(1+'Chart of Accounts'!$E$67)</f>
        <v>77.6895095</v>
      </c>
    </row>
    <row r="7676" customFormat="false" ht="15" hidden="false" customHeight="false" outlineLevel="0" collapsed="false">
      <c r="B7676" s="7" t="s">
        <v>8173</v>
      </c>
      <c r="C7676" s="39" t="n">
        <v>46006</v>
      </c>
      <c r="D7676" s="7" t="s">
        <v>297</v>
      </c>
      <c r="E7676" s="7" t="s">
        <v>156</v>
      </c>
      <c r="F7676" s="7" t="s">
        <v>201</v>
      </c>
      <c r="G7676" s="7" t="s">
        <v>505</v>
      </c>
      <c r="H7676" s="6" t="n">
        <v>3.2</v>
      </c>
      <c r="I7676" s="6" t="n">
        <v>0</v>
      </c>
      <c r="J7676" s="40" t="n">
        <f aca="false">H7676-I7676</f>
        <v>3.2</v>
      </c>
      <c r="K7676" s="41" t="n">
        <v>34</v>
      </c>
      <c r="L7676" s="42" t="n">
        <f aca="false">J7676*K7676</f>
        <v>108.8</v>
      </c>
      <c r="M7676" s="43" t="n">
        <f aca="false">H7676*15.19*(1+'Chart of Accounts'!$E$67)</f>
        <v>55.65616</v>
      </c>
    </row>
    <row r="7677" customFormat="false" ht="15" hidden="false" customHeight="false" outlineLevel="0" collapsed="false">
      <c r="B7677" s="7" t="s">
        <v>8174</v>
      </c>
      <c r="C7677" s="39" t="n">
        <v>46006</v>
      </c>
      <c r="D7677" s="7" t="s">
        <v>299</v>
      </c>
      <c r="E7677" s="7" t="s">
        <v>154</v>
      </c>
      <c r="F7677" s="7" t="s">
        <v>205</v>
      </c>
      <c r="G7677" s="7" t="s">
        <v>505</v>
      </c>
      <c r="H7677" s="6" t="n">
        <v>3.13</v>
      </c>
      <c r="I7677" s="6" t="n">
        <v>0</v>
      </c>
      <c r="J7677" s="40" t="n">
        <f aca="false">H7677-I7677</f>
        <v>3.13</v>
      </c>
      <c r="K7677" s="41" t="n">
        <v>26.5</v>
      </c>
      <c r="L7677" s="42" t="n">
        <f aca="false">J7677*K7677</f>
        <v>82.945</v>
      </c>
      <c r="M7677" s="43" t="n">
        <f aca="false">H7677*16.36*(1+'Chart of Accounts'!$E$67)</f>
        <v>58.631786</v>
      </c>
    </row>
    <row r="7678" customFormat="false" ht="15" hidden="false" customHeight="false" outlineLevel="0" collapsed="false">
      <c r="B7678" s="7" t="s">
        <v>8175</v>
      </c>
      <c r="C7678" s="39" t="n">
        <v>46006</v>
      </c>
      <c r="D7678" s="7" t="s">
        <v>303</v>
      </c>
      <c r="E7678" s="7" t="s">
        <v>154</v>
      </c>
      <c r="F7678" s="7" t="s">
        <v>240</v>
      </c>
      <c r="G7678" s="7" t="s">
        <v>505</v>
      </c>
      <c r="H7678" s="6" t="n">
        <v>3.64</v>
      </c>
      <c r="I7678" s="6" t="n">
        <v>0</v>
      </c>
      <c r="J7678" s="40" t="n">
        <f aca="false">H7678-I7678</f>
        <v>3.64</v>
      </c>
      <c r="K7678" s="41" t="n">
        <v>26.5</v>
      </c>
      <c r="L7678" s="42" t="n">
        <f aca="false">J7678*K7678</f>
        <v>96.46</v>
      </c>
      <c r="M7678" s="43" t="n">
        <f aca="false">H7678*16.96*(1+'Chart of Accounts'!$E$67)</f>
        <v>70.685888</v>
      </c>
    </row>
    <row r="7679" customFormat="false" ht="15" hidden="false" customHeight="false" outlineLevel="0" collapsed="false">
      <c r="B7679" s="7" t="s">
        <v>8176</v>
      </c>
      <c r="C7679" s="39" t="n">
        <v>46006</v>
      </c>
      <c r="D7679" s="7" t="s">
        <v>305</v>
      </c>
      <c r="E7679" s="7" t="s">
        <v>154</v>
      </c>
      <c r="F7679" s="7" t="s">
        <v>205</v>
      </c>
      <c r="G7679" s="7" t="s">
        <v>505</v>
      </c>
      <c r="H7679" s="6" t="n">
        <v>4.16</v>
      </c>
      <c r="I7679" s="6" t="n">
        <v>0</v>
      </c>
      <c r="J7679" s="40" t="n">
        <f aca="false">H7679-I7679</f>
        <v>4.16</v>
      </c>
      <c r="K7679" s="41" t="n">
        <v>26.5</v>
      </c>
      <c r="L7679" s="42" t="n">
        <f aca="false">J7679*K7679</f>
        <v>110.24</v>
      </c>
      <c r="M7679" s="43" t="n">
        <f aca="false">H7679*16.36*(1+'Chart of Accounts'!$E$67)</f>
        <v>77.925952</v>
      </c>
    </row>
    <row r="7680" customFormat="false" ht="15" hidden="false" customHeight="false" outlineLevel="0" collapsed="false">
      <c r="B7680" s="7" t="s">
        <v>8177</v>
      </c>
      <c r="C7680" s="39" t="n">
        <v>46006</v>
      </c>
      <c r="D7680" s="7" t="s">
        <v>307</v>
      </c>
      <c r="E7680" s="7" t="s">
        <v>157</v>
      </c>
      <c r="F7680" s="7" t="s">
        <v>264</v>
      </c>
      <c r="G7680" s="7" t="s">
        <v>502</v>
      </c>
      <c r="H7680" s="6" t="n">
        <v>1.06</v>
      </c>
      <c r="I7680" s="6" t="n">
        <v>0</v>
      </c>
      <c r="J7680" s="40" t="n">
        <f aca="false">H7680-I7680</f>
        <v>1.06</v>
      </c>
      <c r="K7680" s="41" t="n">
        <v>165</v>
      </c>
      <c r="L7680" s="42" t="n">
        <f aca="false">J7680*K7680</f>
        <v>174.9</v>
      </c>
      <c r="M7680" s="43" t="n">
        <f aca="false">H7680*55.55*(1+'Chart of Accounts'!$E$67)</f>
        <v>67.421035</v>
      </c>
    </row>
    <row r="7681" customFormat="false" ht="15" hidden="false" customHeight="false" outlineLevel="0" collapsed="false">
      <c r="B7681" s="7" t="s">
        <v>8178</v>
      </c>
      <c r="C7681" s="39" t="n">
        <v>46006</v>
      </c>
      <c r="D7681" s="7" t="s">
        <v>309</v>
      </c>
      <c r="E7681" s="7" t="s">
        <v>159</v>
      </c>
      <c r="F7681" s="7" t="s">
        <v>252</v>
      </c>
      <c r="G7681" s="7" t="s">
        <v>502</v>
      </c>
      <c r="H7681" s="6" t="n">
        <v>1</v>
      </c>
      <c r="I7681" s="6" t="n">
        <v>0</v>
      </c>
      <c r="J7681" s="40" t="n">
        <f aca="false">H7681-I7681</f>
        <v>1</v>
      </c>
      <c r="K7681" s="41" t="n">
        <v>135</v>
      </c>
      <c r="L7681" s="42" t="n">
        <f aca="false">J7681*K7681</f>
        <v>135</v>
      </c>
      <c r="M7681" s="43" t="n">
        <f aca="false">H7681*57.54*(1+'Chart of Accounts'!$E$67)</f>
        <v>65.8833</v>
      </c>
    </row>
    <row r="7682" customFormat="false" ht="15" hidden="false" customHeight="false" outlineLevel="0" collapsed="false">
      <c r="B7682" s="7" t="s">
        <v>8179</v>
      </c>
      <c r="C7682" s="39" t="n">
        <v>46006</v>
      </c>
      <c r="D7682" s="7" t="s">
        <v>311</v>
      </c>
      <c r="E7682" s="7" t="s">
        <v>154</v>
      </c>
      <c r="F7682" s="7" t="s">
        <v>196</v>
      </c>
      <c r="G7682" s="7" t="s">
        <v>505</v>
      </c>
      <c r="H7682" s="6" t="n">
        <v>2.8</v>
      </c>
      <c r="I7682" s="6" t="n">
        <v>0</v>
      </c>
      <c r="J7682" s="40" t="n">
        <f aca="false">H7682-I7682</f>
        <v>2.8</v>
      </c>
      <c r="K7682" s="41" t="n">
        <v>26.5</v>
      </c>
      <c r="L7682" s="42" t="n">
        <f aca="false">J7682*K7682</f>
        <v>74.2</v>
      </c>
      <c r="M7682" s="43" t="n">
        <f aca="false">H7682*15.05*(1+'Chart of Accounts'!$E$67)</f>
        <v>48.2503</v>
      </c>
    </row>
    <row r="7683" customFormat="false" ht="15" hidden="false" customHeight="false" outlineLevel="0" collapsed="false">
      <c r="B7683" s="7" t="s">
        <v>8180</v>
      </c>
      <c r="C7683" s="39" t="n">
        <v>46006</v>
      </c>
      <c r="D7683" s="7" t="s">
        <v>313</v>
      </c>
      <c r="E7683" s="7" t="s">
        <v>156</v>
      </c>
      <c r="F7683" s="7" t="s">
        <v>184</v>
      </c>
      <c r="G7683" s="7" t="s">
        <v>505</v>
      </c>
      <c r="H7683" s="6" t="n">
        <v>4.15</v>
      </c>
      <c r="I7683" s="6" t="n">
        <v>0</v>
      </c>
      <c r="J7683" s="40" t="n">
        <f aca="false">H7683-I7683</f>
        <v>4.15</v>
      </c>
      <c r="K7683" s="41" t="n">
        <v>34</v>
      </c>
      <c r="L7683" s="42" t="n">
        <f aca="false">J7683*K7683</f>
        <v>141.1</v>
      </c>
      <c r="M7683" s="43" t="n">
        <f aca="false">H7683*17.34*(1+'Chart of Accounts'!$E$67)</f>
        <v>82.395345</v>
      </c>
    </row>
    <row r="7684" customFormat="false" ht="15" hidden="false" customHeight="false" outlineLevel="0" collapsed="false">
      <c r="B7684" s="7" t="s">
        <v>8181</v>
      </c>
      <c r="C7684" s="39" t="n">
        <v>46006</v>
      </c>
      <c r="D7684" s="7" t="s">
        <v>315</v>
      </c>
      <c r="E7684" s="7" t="s">
        <v>159</v>
      </c>
      <c r="F7684" s="7" t="s">
        <v>216</v>
      </c>
      <c r="G7684" s="7" t="s">
        <v>502</v>
      </c>
      <c r="H7684" s="6" t="n">
        <v>1.07</v>
      </c>
      <c r="I7684" s="6" t="n">
        <v>0</v>
      </c>
      <c r="J7684" s="40" t="n">
        <f aca="false">H7684-I7684</f>
        <v>1.07</v>
      </c>
      <c r="K7684" s="41" t="n">
        <v>135</v>
      </c>
      <c r="L7684" s="42" t="n">
        <f aca="false">J7684*K7684</f>
        <v>144.45</v>
      </c>
      <c r="M7684" s="43" t="n">
        <f aca="false">H7684*61.79*(1+'Chart of Accounts'!$E$67)</f>
        <v>75.7020185</v>
      </c>
    </row>
    <row r="7685" customFormat="false" ht="15" hidden="false" customHeight="false" outlineLevel="0" collapsed="false">
      <c r="B7685" s="7" t="s">
        <v>8182</v>
      </c>
      <c r="C7685" s="39" t="n">
        <v>46006</v>
      </c>
      <c r="D7685" s="7" t="s">
        <v>317</v>
      </c>
      <c r="E7685" s="7" t="s">
        <v>156</v>
      </c>
      <c r="F7685" s="7" t="s">
        <v>184</v>
      </c>
      <c r="G7685" s="7" t="s">
        <v>505</v>
      </c>
      <c r="H7685" s="6" t="n">
        <v>3.02</v>
      </c>
      <c r="I7685" s="6" t="n">
        <v>0</v>
      </c>
      <c r="J7685" s="40" t="n">
        <f aca="false">H7685-I7685</f>
        <v>3.02</v>
      </c>
      <c r="K7685" s="41" t="n">
        <v>34</v>
      </c>
      <c r="L7685" s="42" t="n">
        <f aca="false">J7685*K7685</f>
        <v>102.68</v>
      </c>
      <c r="M7685" s="43" t="n">
        <f aca="false">H7685*17.34*(1+'Chart of Accounts'!$E$67)</f>
        <v>59.959986</v>
      </c>
    </row>
    <row r="7686" customFormat="false" ht="15" hidden="false" customHeight="false" outlineLevel="0" collapsed="false">
      <c r="B7686" s="7" t="s">
        <v>8183</v>
      </c>
      <c r="C7686" s="39" t="n">
        <v>46006</v>
      </c>
      <c r="D7686" s="7" t="s">
        <v>321</v>
      </c>
      <c r="E7686" s="7" t="s">
        <v>154</v>
      </c>
      <c r="F7686" s="7" t="s">
        <v>218</v>
      </c>
      <c r="G7686" s="7" t="s">
        <v>505</v>
      </c>
      <c r="H7686" s="6" t="n">
        <v>3.64</v>
      </c>
      <c r="I7686" s="6" t="n">
        <v>0</v>
      </c>
      <c r="J7686" s="40" t="n">
        <f aca="false">H7686-I7686</f>
        <v>3.64</v>
      </c>
      <c r="K7686" s="41" t="n">
        <v>26.5</v>
      </c>
      <c r="L7686" s="42" t="n">
        <f aca="false">J7686*K7686</f>
        <v>96.46</v>
      </c>
      <c r="M7686" s="43" t="n">
        <f aca="false">H7686*16.19*(1+'Chart of Accounts'!$E$67)</f>
        <v>67.476682</v>
      </c>
    </row>
    <row r="7687" customFormat="false" ht="15" hidden="false" customHeight="false" outlineLevel="0" collapsed="false">
      <c r="B7687" s="7" t="s">
        <v>8184</v>
      </c>
      <c r="C7687" s="39" t="n">
        <v>46006</v>
      </c>
      <c r="D7687" s="7" t="s">
        <v>325</v>
      </c>
      <c r="E7687" s="7" t="s">
        <v>154</v>
      </c>
      <c r="F7687" s="7" t="s">
        <v>254</v>
      </c>
      <c r="G7687" s="7" t="s">
        <v>505</v>
      </c>
      <c r="H7687" s="6" t="n">
        <v>2.85</v>
      </c>
      <c r="I7687" s="6" t="n">
        <v>0</v>
      </c>
      <c r="J7687" s="40" t="n">
        <f aca="false">H7687-I7687</f>
        <v>2.85</v>
      </c>
      <c r="K7687" s="41" t="n">
        <v>26.5</v>
      </c>
      <c r="L7687" s="42" t="n">
        <f aca="false">J7687*K7687</f>
        <v>75.525</v>
      </c>
      <c r="M7687" s="43" t="n">
        <f aca="false">H7687*17.1*(1+'Chart of Accounts'!$E$67)</f>
        <v>55.801575</v>
      </c>
    </row>
    <row r="7688" customFormat="false" ht="15" hidden="false" customHeight="false" outlineLevel="0" collapsed="false">
      <c r="B7688" s="7" t="s">
        <v>8185</v>
      </c>
      <c r="C7688" s="39" t="n">
        <v>46006</v>
      </c>
      <c r="D7688" s="7" t="s">
        <v>329</v>
      </c>
      <c r="E7688" s="7" t="s">
        <v>156</v>
      </c>
      <c r="F7688" s="7" t="s">
        <v>220</v>
      </c>
      <c r="G7688" s="7" t="s">
        <v>505</v>
      </c>
      <c r="H7688" s="6" t="n">
        <v>3.84</v>
      </c>
      <c r="I7688" s="6" t="n">
        <v>0</v>
      </c>
      <c r="J7688" s="40" t="n">
        <f aca="false">H7688-I7688</f>
        <v>3.84</v>
      </c>
      <c r="K7688" s="41" t="n">
        <v>34</v>
      </c>
      <c r="L7688" s="42" t="n">
        <f aca="false">J7688*K7688</f>
        <v>130.56</v>
      </c>
      <c r="M7688" s="43" t="n">
        <f aca="false">H7688*16.43*(1+'Chart of Accounts'!$E$67)</f>
        <v>72.239424</v>
      </c>
    </row>
    <row r="7689" customFormat="false" ht="15" hidden="false" customHeight="false" outlineLevel="0" collapsed="false">
      <c r="B7689" s="7" t="s">
        <v>8186</v>
      </c>
      <c r="C7689" s="39" t="n">
        <v>46006</v>
      </c>
      <c r="D7689" s="7" t="s">
        <v>333</v>
      </c>
      <c r="E7689" s="7" t="s">
        <v>154</v>
      </c>
      <c r="F7689" s="7" t="s">
        <v>236</v>
      </c>
      <c r="G7689" s="7" t="s">
        <v>505</v>
      </c>
      <c r="H7689" s="6" t="n">
        <v>3.15</v>
      </c>
      <c r="I7689" s="6" t="n">
        <v>0</v>
      </c>
      <c r="J7689" s="40" t="n">
        <f aca="false">H7689-I7689</f>
        <v>3.15</v>
      </c>
      <c r="K7689" s="41" t="n">
        <v>26.5</v>
      </c>
      <c r="L7689" s="42" t="n">
        <f aca="false">J7689*K7689</f>
        <v>83.475</v>
      </c>
      <c r="M7689" s="43" t="n">
        <f aca="false">H7689*15.49*(1+'Chart of Accounts'!$E$67)</f>
        <v>55.8685575</v>
      </c>
    </row>
    <row r="7690" customFormat="false" ht="15" hidden="false" customHeight="false" outlineLevel="0" collapsed="false">
      <c r="B7690" s="7" t="s">
        <v>8187</v>
      </c>
      <c r="C7690" s="39" t="n">
        <v>46006</v>
      </c>
      <c r="D7690" s="7" t="s">
        <v>335</v>
      </c>
      <c r="E7690" s="7" t="s">
        <v>154</v>
      </c>
      <c r="F7690" s="7" t="s">
        <v>177</v>
      </c>
      <c r="G7690" s="7" t="s">
        <v>505</v>
      </c>
      <c r="H7690" s="6" t="n">
        <v>4.26</v>
      </c>
      <c r="I7690" s="6" t="n">
        <v>0</v>
      </c>
      <c r="J7690" s="40" t="n">
        <f aca="false">H7690-I7690</f>
        <v>4.26</v>
      </c>
      <c r="K7690" s="41" t="n">
        <v>26.5</v>
      </c>
      <c r="L7690" s="42" t="n">
        <f aca="false">J7690*K7690</f>
        <v>112.89</v>
      </c>
      <c r="M7690" s="43" t="n">
        <f aca="false">H7690*14.56*(1+'Chart of Accounts'!$E$67)</f>
        <v>71.019312</v>
      </c>
    </row>
    <row r="7691" customFormat="false" ht="15" hidden="false" customHeight="false" outlineLevel="0" collapsed="false">
      <c r="B7691" s="7" t="s">
        <v>8188</v>
      </c>
      <c r="C7691" s="39" t="n">
        <v>46006</v>
      </c>
      <c r="D7691" s="7" t="s">
        <v>339</v>
      </c>
      <c r="E7691" s="7" t="s">
        <v>154</v>
      </c>
      <c r="F7691" s="7" t="s">
        <v>242</v>
      </c>
      <c r="G7691" s="7" t="s">
        <v>505</v>
      </c>
      <c r="H7691" s="6" t="n">
        <v>3.39</v>
      </c>
      <c r="I7691" s="6" t="n">
        <v>0.102</v>
      </c>
      <c r="J7691" s="40" t="n">
        <f aca="false">H7691-I7691</f>
        <v>3.288</v>
      </c>
      <c r="K7691" s="41" t="n">
        <v>26.5</v>
      </c>
      <c r="L7691" s="42" t="n">
        <f aca="false">J7691*K7691</f>
        <v>87.132</v>
      </c>
      <c r="M7691" s="43" t="n">
        <f aca="false">H7691*17.99*(1+'Chart of Accounts'!$E$67)</f>
        <v>69.8290845</v>
      </c>
    </row>
    <row r="7692" customFormat="false" ht="15" hidden="false" customHeight="false" outlineLevel="0" collapsed="false">
      <c r="B7692" s="7" t="s">
        <v>8189</v>
      </c>
      <c r="C7692" s="39" t="n">
        <v>46006</v>
      </c>
      <c r="D7692" s="7" t="s">
        <v>341</v>
      </c>
      <c r="E7692" s="7" t="s">
        <v>156</v>
      </c>
      <c r="F7692" s="7" t="s">
        <v>222</v>
      </c>
      <c r="G7692" s="7" t="s">
        <v>505</v>
      </c>
      <c r="H7692" s="6" t="n">
        <v>2.99</v>
      </c>
      <c r="I7692" s="6" t="n">
        <v>0</v>
      </c>
      <c r="J7692" s="40" t="n">
        <f aca="false">H7692-I7692</f>
        <v>2.99</v>
      </c>
      <c r="K7692" s="41" t="n">
        <v>34</v>
      </c>
      <c r="L7692" s="42" t="n">
        <f aca="false">J7692*K7692</f>
        <v>101.66</v>
      </c>
      <c r="M7692" s="43" t="n">
        <f aca="false">H7692*17.84*(1+'Chart of Accounts'!$E$67)</f>
        <v>61.076132</v>
      </c>
    </row>
    <row r="7693" customFormat="false" ht="15" hidden="false" customHeight="false" outlineLevel="0" collapsed="false">
      <c r="B7693" s="7" t="s">
        <v>8190</v>
      </c>
      <c r="C7693" s="39" t="n">
        <v>46006</v>
      </c>
      <c r="D7693" s="7" t="s">
        <v>343</v>
      </c>
      <c r="E7693" s="7" t="s">
        <v>154</v>
      </c>
      <c r="F7693" s="7" t="s">
        <v>224</v>
      </c>
      <c r="G7693" s="7" t="s">
        <v>505</v>
      </c>
      <c r="H7693" s="6" t="n">
        <v>4.08</v>
      </c>
      <c r="I7693" s="6" t="n">
        <v>0</v>
      </c>
      <c r="J7693" s="40" t="n">
        <f aca="false">H7693-I7693</f>
        <v>4.08</v>
      </c>
      <c r="K7693" s="41" t="n">
        <v>26.5</v>
      </c>
      <c r="L7693" s="42" t="n">
        <f aca="false">J7693*K7693</f>
        <v>108.12</v>
      </c>
      <c r="M7693" s="43" t="n">
        <f aca="false">H7693*14.93*(1+'Chart of Accounts'!$E$67)</f>
        <v>69.746988</v>
      </c>
    </row>
    <row r="7694" customFormat="false" ht="15" hidden="false" customHeight="false" outlineLevel="0" collapsed="false">
      <c r="B7694" s="7" t="s">
        <v>8191</v>
      </c>
      <c r="C7694" s="39" t="n">
        <v>46006</v>
      </c>
      <c r="D7694" s="7" t="s">
        <v>349</v>
      </c>
      <c r="E7694" s="7" t="s">
        <v>154</v>
      </c>
      <c r="F7694" s="7" t="s">
        <v>244</v>
      </c>
      <c r="G7694" s="7" t="s">
        <v>505</v>
      </c>
      <c r="H7694" s="6" t="n">
        <v>4.31</v>
      </c>
      <c r="I7694" s="6" t="n">
        <v>0</v>
      </c>
      <c r="J7694" s="40" t="n">
        <f aca="false">H7694-I7694</f>
        <v>4.31</v>
      </c>
      <c r="K7694" s="41" t="n">
        <v>26.5</v>
      </c>
      <c r="L7694" s="42" t="n">
        <f aca="false">J7694*K7694</f>
        <v>114.215</v>
      </c>
      <c r="M7694" s="43" t="n">
        <f aca="false">H7694*16.39*(1+'Chart of Accounts'!$E$67)</f>
        <v>80.8838305</v>
      </c>
    </row>
    <row r="7695" customFormat="false" ht="15" hidden="false" customHeight="false" outlineLevel="0" collapsed="false">
      <c r="B7695" s="7" t="s">
        <v>8192</v>
      </c>
      <c r="C7695" s="39" t="n">
        <v>46006</v>
      </c>
      <c r="D7695" s="7" t="s">
        <v>351</v>
      </c>
      <c r="E7695" s="7" t="s">
        <v>154</v>
      </c>
      <c r="F7695" s="7" t="s">
        <v>201</v>
      </c>
      <c r="G7695" s="7" t="s">
        <v>505</v>
      </c>
      <c r="H7695" s="6" t="n">
        <v>2.74</v>
      </c>
      <c r="I7695" s="6" t="n">
        <v>0</v>
      </c>
      <c r="J7695" s="40" t="n">
        <f aca="false">H7695-I7695</f>
        <v>2.74</v>
      </c>
      <c r="K7695" s="41" t="n">
        <v>26.5</v>
      </c>
      <c r="L7695" s="42" t="n">
        <f aca="false">J7695*K7695</f>
        <v>72.61</v>
      </c>
      <c r="M7695" s="43" t="n">
        <f aca="false">H7695*15.19*(1+'Chart of Accounts'!$E$67)</f>
        <v>47.655587</v>
      </c>
    </row>
    <row r="7696" customFormat="false" ht="15" hidden="false" customHeight="false" outlineLevel="0" collapsed="false">
      <c r="B7696" s="7" t="s">
        <v>8193</v>
      </c>
      <c r="C7696" s="39" t="n">
        <v>46006</v>
      </c>
      <c r="D7696" s="7" t="s">
        <v>353</v>
      </c>
      <c r="E7696" s="7" t="s">
        <v>154</v>
      </c>
      <c r="F7696" s="7" t="s">
        <v>254</v>
      </c>
      <c r="G7696" s="7" t="s">
        <v>505</v>
      </c>
      <c r="H7696" s="6" t="n">
        <v>3.22</v>
      </c>
      <c r="I7696" s="6" t="n">
        <v>0.097</v>
      </c>
      <c r="J7696" s="40" t="n">
        <f aca="false">H7696-I7696</f>
        <v>3.123</v>
      </c>
      <c r="K7696" s="41" t="n">
        <v>26.5</v>
      </c>
      <c r="L7696" s="42" t="n">
        <f aca="false">J7696*K7696</f>
        <v>82.7595</v>
      </c>
      <c r="M7696" s="43" t="n">
        <f aca="false">H7696*17.1*(1+'Chart of Accounts'!$E$67)</f>
        <v>63.04599</v>
      </c>
    </row>
    <row r="7697" customFormat="false" ht="15" hidden="false" customHeight="false" outlineLevel="0" collapsed="false">
      <c r="B7697" s="7" t="s">
        <v>8194</v>
      </c>
      <c r="C7697" s="39" t="n">
        <v>46006</v>
      </c>
      <c r="D7697" s="7" t="s">
        <v>355</v>
      </c>
      <c r="E7697" s="7" t="s">
        <v>154</v>
      </c>
      <c r="F7697" s="7" t="s">
        <v>201</v>
      </c>
      <c r="G7697" s="7" t="s">
        <v>505</v>
      </c>
      <c r="H7697" s="6" t="n">
        <v>3.49</v>
      </c>
      <c r="I7697" s="6" t="n">
        <v>0</v>
      </c>
      <c r="J7697" s="40" t="n">
        <f aca="false">H7697-I7697</f>
        <v>3.49</v>
      </c>
      <c r="K7697" s="41" t="n">
        <v>26.5</v>
      </c>
      <c r="L7697" s="42" t="n">
        <f aca="false">J7697*K7697</f>
        <v>92.485</v>
      </c>
      <c r="M7697" s="43" t="n">
        <f aca="false">H7697*15.19*(1+'Chart of Accounts'!$E$67)</f>
        <v>60.6999995</v>
      </c>
    </row>
    <row r="7698" customFormat="false" ht="15" hidden="false" customHeight="false" outlineLevel="0" collapsed="false">
      <c r="B7698" s="7" t="s">
        <v>8195</v>
      </c>
      <c r="C7698" s="39" t="n">
        <v>46006</v>
      </c>
      <c r="D7698" s="7" t="s">
        <v>357</v>
      </c>
      <c r="E7698" s="7" t="s">
        <v>154</v>
      </c>
      <c r="F7698" s="7" t="s">
        <v>238</v>
      </c>
      <c r="G7698" s="7" t="s">
        <v>505</v>
      </c>
      <c r="H7698" s="6" t="n">
        <v>3.17</v>
      </c>
      <c r="I7698" s="6" t="n">
        <v>0</v>
      </c>
      <c r="J7698" s="40" t="n">
        <f aca="false">H7698-I7698</f>
        <v>3.17</v>
      </c>
      <c r="K7698" s="41" t="n">
        <v>26.5</v>
      </c>
      <c r="L7698" s="42" t="n">
        <f aca="false">J7698*K7698</f>
        <v>84.005</v>
      </c>
      <c r="M7698" s="43" t="n">
        <f aca="false">H7698*15.85*(1+'Chart of Accounts'!$E$67)</f>
        <v>57.5299525</v>
      </c>
    </row>
    <row r="7699" customFormat="false" ht="15" hidden="false" customHeight="false" outlineLevel="0" collapsed="false">
      <c r="B7699" s="7" t="s">
        <v>8196</v>
      </c>
      <c r="C7699" s="39" t="n">
        <v>46006</v>
      </c>
      <c r="D7699" s="7" t="s">
        <v>359</v>
      </c>
      <c r="E7699" s="7" t="s">
        <v>156</v>
      </c>
      <c r="F7699" s="7" t="s">
        <v>205</v>
      </c>
      <c r="G7699" s="7" t="s">
        <v>505</v>
      </c>
      <c r="H7699" s="6" t="n">
        <v>4.32</v>
      </c>
      <c r="I7699" s="6" t="n">
        <v>0</v>
      </c>
      <c r="J7699" s="40" t="n">
        <f aca="false">H7699-I7699</f>
        <v>4.32</v>
      </c>
      <c r="K7699" s="41" t="n">
        <v>34</v>
      </c>
      <c r="L7699" s="42" t="n">
        <f aca="false">J7699*K7699</f>
        <v>146.88</v>
      </c>
      <c r="M7699" s="43" t="n">
        <f aca="false">H7699*16.36*(1+'Chart of Accounts'!$E$67)</f>
        <v>80.923104</v>
      </c>
    </row>
    <row r="7700" customFormat="false" ht="15" hidden="false" customHeight="false" outlineLevel="0" collapsed="false">
      <c r="B7700" s="7" t="s">
        <v>8197</v>
      </c>
      <c r="C7700" s="39" t="n">
        <v>46006</v>
      </c>
      <c r="D7700" s="7" t="s">
        <v>363</v>
      </c>
      <c r="E7700" s="7" t="s">
        <v>156</v>
      </c>
      <c r="F7700" s="7" t="s">
        <v>246</v>
      </c>
      <c r="G7700" s="7" t="s">
        <v>505</v>
      </c>
      <c r="H7700" s="6" t="n">
        <v>3.92</v>
      </c>
      <c r="I7700" s="6" t="n">
        <v>0</v>
      </c>
      <c r="J7700" s="40" t="n">
        <f aca="false">H7700-I7700</f>
        <v>3.92</v>
      </c>
      <c r="K7700" s="41" t="n">
        <v>34</v>
      </c>
      <c r="L7700" s="42" t="n">
        <f aca="false">J7700*K7700</f>
        <v>133.28</v>
      </c>
      <c r="M7700" s="43" t="n">
        <f aca="false">H7700*16.48*(1+'Chart of Accounts'!$E$67)</f>
        <v>73.968832</v>
      </c>
    </row>
    <row r="7701" customFormat="false" ht="15" hidden="false" customHeight="false" outlineLevel="0" collapsed="false">
      <c r="B7701" s="7" t="s">
        <v>8198</v>
      </c>
      <c r="C7701" s="39" t="n">
        <v>46006</v>
      </c>
      <c r="D7701" s="7" t="s">
        <v>365</v>
      </c>
      <c r="E7701" s="7" t="s">
        <v>154</v>
      </c>
      <c r="F7701" s="7" t="s">
        <v>194</v>
      </c>
      <c r="G7701" s="7" t="s">
        <v>505</v>
      </c>
      <c r="H7701" s="6" t="n">
        <v>3.92</v>
      </c>
      <c r="I7701" s="6" t="n">
        <v>0</v>
      </c>
      <c r="J7701" s="40" t="n">
        <f aca="false">H7701-I7701</f>
        <v>3.92</v>
      </c>
      <c r="K7701" s="41" t="n">
        <v>26.5</v>
      </c>
      <c r="L7701" s="42" t="n">
        <f aca="false">J7701*K7701</f>
        <v>103.88</v>
      </c>
      <c r="M7701" s="43" t="n">
        <f aca="false">H7701*16*(1+'Chart of Accounts'!$E$67)</f>
        <v>71.8144</v>
      </c>
    </row>
    <row r="7702" customFormat="false" ht="15" hidden="false" customHeight="false" outlineLevel="0" collapsed="false">
      <c r="B7702" s="7" t="s">
        <v>8199</v>
      </c>
      <c r="C7702" s="39" t="n">
        <v>46006</v>
      </c>
      <c r="D7702" s="7" t="s">
        <v>367</v>
      </c>
      <c r="E7702" s="7" t="s">
        <v>156</v>
      </c>
      <c r="F7702" s="7" t="s">
        <v>256</v>
      </c>
      <c r="G7702" s="7" t="s">
        <v>505</v>
      </c>
      <c r="H7702" s="6" t="n">
        <v>2.85</v>
      </c>
      <c r="I7702" s="6" t="n">
        <v>0</v>
      </c>
      <c r="J7702" s="40" t="n">
        <f aca="false">H7702-I7702</f>
        <v>2.85</v>
      </c>
      <c r="K7702" s="41" t="n">
        <v>34</v>
      </c>
      <c r="L7702" s="42" t="n">
        <f aca="false">J7702*K7702</f>
        <v>96.9</v>
      </c>
      <c r="M7702" s="43" t="n">
        <f aca="false">H7702*15.63*(1+'Chart of Accounts'!$E$67)</f>
        <v>51.0045975</v>
      </c>
    </row>
    <row r="7703" customFormat="false" ht="15" hidden="false" customHeight="false" outlineLevel="0" collapsed="false">
      <c r="B7703" s="7" t="s">
        <v>8200</v>
      </c>
      <c r="C7703" s="39" t="n">
        <v>46006</v>
      </c>
      <c r="D7703" s="7" t="s">
        <v>371</v>
      </c>
      <c r="E7703" s="7" t="s">
        <v>154</v>
      </c>
      <c r="F7703" s="7" t="s">
        <v>232</v>
      </c>
      <c r="G7703" s="7" t="s">
        <v>505</v>
      </c>
      <c r="H7703" s="6" t="n">
        <v>4.72</v>
      </c>
      <c r="I7703" s="6" t="n">
        <v>0.142</v>
      </c>
      <c r="J7703" s="40" t="n">
        <f aca="false">H7703-I7703</f>
        <v>4.578</v>
      </c>
      <c r="K7703" s="41" t="n">
        <v>26.5</v>
      </c>
      <c r="L7703" s="42" t="n">
        <f aca="false">J7703*K7703</f>
        <v>121.317</v>
      </c>
      <c r="M7703" s="43" t="n">
        <f aca="false">H7703*16.17*(1+'Chart of Accounts'!$E$67)</f>
        <v>87.389148</v>
      </c>
    </row>
    <row r="7704" customFormat="false" ht="15" hidden="false" customHeight="false" outlineLevel="0" collapsed="false">
      <c r="B7704" s="7" t="s">
        <v>8201</v>
      </c>
      <c r="C7704" s="39" t="n">
        <v>46006</v>
      </c>
      <c r="D7704" s="7" t="s">
        <v>375</v>
      </c>
      <c r="E7704" s="7" t="s">
        <v>156</v>
      </c>
      <c r="F7704" s="7" t="s">
        <v>196</v>
      </c>
      <c r="G7704" s="7" t="s">
        <v>505</v>
      </c>
      <c r="H7704" s="6" t="n">
        <v>2.93</v>
      </c>
      <c r="I7704" s="6" t="n">
        <v>0</v>
      </c>
      <c r="J7704" s="40" t="n">
        <f aca="false">H7704-I7704</f>
        <v>2.93</v>
      </c>
      <c r="K7704" s="41" t="n">
        <v>34</v>
      </c>
      <c r="L7704" s="42" t="n">
        <f aca="false">J7704*K7704</f>
        <v>99.62</v>
      </c>
      <c r="M7704" s="43" t="n">
        <f aca="false">H7704*15.05*(1+'Chart of Accounts'!$E$67)</f>
        <v>50.4904925</v>
      </c>
    </row>
    <row r="7705" customFormat="false" ht="15" hidden="false" customHeight="false" outlineLevel="0" collapsed="false">
      <c r="B7705" s="7" t="s">
        <v>8202</v>
      </c>
      <c r="C7705" s="39" t="n">
        <v>46006</v>
      </c>
      <c r="D7705" s="7" t="s">
        <v>377</v>
      </c>
      <c r="E7705" s="7" t="s">
        <v>154</v>
      </c>
      <c r="F7705" s="7" t="s">
        <v>214</v>
      </c>
      <c r="G7705" s="7" t="s">
        <v>505</v>
      </c>
      <c r="H7705" s="6" t="n">
        <v>3.61</v>
      </c>
      <c r="I7705" s="6" t="n">
        <v>0</v>
      </c>
      <c r="J7705" s="40" t="n">
        <f aca="false">H7705-I7705</f>
        <v>3.61</v>
      </c>
      <c r="K7705" s="41" t="n">
        <v>26.5</v>
      </c>
      <c r="L7705" s="42" t="n">
        <f aca="false">J7705*K7705</f>
        <v>95.665</v>
      </c>
      <c r="M7705" s="43" t="n">
        <f aca="false">H7705*15.67*(1+'Chart of Accounts'!$E$67)</f>
        <v>64.7711615</v>
      </c>
    </row>
    <row r="7706" customFormat="false" ht="15" hidden="false" customHeight="false" outlineLevel="0" collapsed="false">
      <c r="B7706" s="7" t="s">
        <v>8203</v>
      </c>
      <c r="C7706" s="39" t="n">
        <v>46006</v>
      </c>
      <c r="D7706" s="7" t="s">
        <v>379</v>
      </c>
      <c r="E7706" s="7" t="s">
        <v>156</v>
      </c>
      <c r="F7706" s="7" t="s">
        <v>224</v>
      </c>
      <c r="G7706" s="7" t="s">
        <v>505</v>
      </c>
      <c r="H7706" s="6" t="n">
        <v>4.57</v>
      </c>
      <c r="I7706" s="6" t="n">
        <v>0</v>
      </c>
      <c r="J7706" s="40" t="n">
        <f aca="false">H7706-I7706</f>
        <v>4.57</v>
      </c>
      <c r="K7706" s="41" t="n">
        <v>34</v>
      </c>
      <c r="L7706" s="42" t="n">
        <f aca="false">J7706*K7706</f>
        <v>155.38</v>
      </c>
      <c r="M7706" s="43" t="n">
        <f aca="false">H7706*14.93*(1+'Chart of Accounts'!$E$67)</f>
        <v>78.1234645</v>
      </c>
    </row>
    <row r="7707" customFormat="false" ht="15" hidden="false" customHeight="false" outlineLevel="0" collapsed="false">
      <c r="B7707" s="7" t="s">
        <v>8204</v>
      </c>
      <c r="C7707" s="39" t="n">
        <v>46006</v>
      </c>
      <c r="D7707" s="7" t="s">
        <v>385</v>
      </c>
      <c r="E7707" s="7" t="s">
        <v>156</v>
      </c>
      <c r="F7707" s="7" t="s">
        <v>238</v>
      </c>
      <c r="G7707" s="7" t="s">
        <v>505</v>
      </c>
      <c r="H7707" s="6" t="n">
        <v>4.37</v>
      </c>
      <c r="I7707" s="6" t="n">
        <v>0</v>
      </c>
      <c r="J7707" s="40" t="n">
        <f aca="false">H7707-I7707</f>
        <v>4.37</v>
      </c>
      <c r="K7707" s="41" t="n">
        <v>34</v>
      </c>
      <c r="L7707" s="42" t="n">
        <f aca="false">J7707*K7707</f>
        <v>148.58</v>
      </c>
      <c r="M7707" s="43" t="n">
        <f aca="false">H7707*15.85*(1+'Chart of Accounts'!$E$67)</f>
        <v>79.3078525</v>
      </c>
    </row>
    <row r="7708" customFormat="false" ht="15" hidden="false" customHeight="false" outlineLevel="0" collapsed="false">
      <c r="B7708" s="7" t="s">
        <v>8205</v>
      </c>
      <c r="C7708" s="39" t="n">
        <v>46006</v>
      </c>
      <c r="D7708" s="7" t="s">
        <v>387</v>
      </c>
      <c r="E7708" s="7" t="s">
        <v>154</v>
      </c>
      <c r="F7708" s="7" t="s">
        <v>196</v>
      </c>
      <c r="G7708" s="7" t="s">
        <v>505</v>
      </c>
      <c r="H7708" s="6" t="n">
        <v>4.16</v>
      </c>
      <c r="I7708" s="6" t="n">
        <v>0</v>
      </c>
      <c r="J7708" s="40" t="n">
        <f aca="false">H7708-I7708</f>
        <v>4.16</v>
      </c>
      <c r="K7708" s="41" t="n">
        <v>26.5</v>
      </c>
      <c r="L7708" s="42" t="n">
        <f aca="false">J7708*K7708</f>
        <v>110.24</v>
      </c>
      <c r="M7708" s="43" t="n">
        <f aca="false">H7708*15.05*(1+'Chart of Accounts'!$E$67)</f>
        <v>71.68616</v>
      </c>
    </row>
    <row r="7709" customFormat="false" ht="15" hidden="false" customHeight="false" outlineLevel="0" collapsed="false">
      <c r="B7709" s="7" t="s">
        <v>8206</v>
      </c>
      <c r="C7709" s="39" t="n">
        <v>46006</v>
      </c>
      <c r="D7709" s="7" t="s">
        <v>389</v>
      </c>
      <c r="E7709" s="7" t="s">
        <v>154</v>
      </c>
      <c r="F7709" s="7" t="s">
        <v>246</v>
      </c>
      <c r="G7709" s="7" t="s">
        <v>505</v>
      </c>
      <c r="H7709" s="6" t="n">
        <v>4.06</v>
      </c>
      <c r="I7709" s="6" t="n">
        <v>0</v>
      </c>
      <c r="J7709" s="40" t="n">
        <f aca="false">H7709-I7709</f>
        <v>4.06</v>
      </c>
      <c r="K7709" s="41" t="n">
        <v>26.5</v>
      </c>
      <c r="L7709" s="42" t="n">
        <f aca="false">J7709*K7709</f>
        <v>107.59</v>
      </c>
      <c r="M7709" s="43" t="n">
        <f aca="false">H7709*16.48*(1+'Chart of Accounts'!$E$67)</f>
        <v>76.610576</v>
      </c>
    </row>
    <row r="7710" customFormat="false" ht="15" hidden="false" customHeight="false" outlineLevel="0" collapsed="false">
      <c r="B7710" s="7" t="s">
        <v>8207</v>
      </c>
      <c r="C7710" s="39" t="n">
        <v>46006</v>
      </c>
      <c r="D7710" s="7" t="s">
        <v>391</v>
      </c>
      <c r="E7710" s="7" t="s">
        <v>156</v>
      </c>
      <c r="F7710" s="7" t="s">
        <v>222</v>
      </c>
      <c r="G7710" s="7" t="s">
        <v>505</v>
      </c>
      <c r="H7710" s="6" t="n">
        <v>4.33</v>
      </c>
      <c r="I7710" s="6" t="n">
        <v>0</v>
      </c>
      <c r="J7710" s="40" t="n">
        <f aca="false">H7710-I7710</f>
        <v>4.33</v>
      </c>
      <c r="K7710" s="41" t="n">
        <v>34</v>
      </c>
      <c r="L7710" s="42" t="n">
        <f aca="false">J7710*K7710</f>
        <v>147.22</v>
      </c>
      <c r="M7710" s="43" t="n">
        <f aca="false">H7710*17.84*(1+'Chart of Accounts'!$E$67)</f>
        <v>88.448044</v>
      </c>
    </row>
    <row r="7711" customFormat="false" ht="15" hidden="false" customHeight="false" outlineLevel="0" collapsed="false">
      <c r="B7711" s="7" t="s">
        <v>8208</v>
      </c>
      <c r="C7711" s="39" t="n">
        <v>46006</v>
      </c>
      <c r="D7711" s="7" t="s">
        <v>395</v>
      </c>
      <c r="E7711" s="7" t="s">
        <v>156</v>
      </c>
      <c r="F7711" s="7" t="s">
        <v>242</v>
      </c>
      <c r="G7711" s="7" t="s">
        <v>505</v>
      </c>
      <c r="H7711" s="6" t="n">
        <v>4.09</v>
      </c>
      <c r="I7711" s="6" t="n">
        <v>0</v>
      </c>
      <c r="J7711" s="40" t="n">
        <f aca="false">H7711-I7711</f>
        <v>4.09</v>
      </c>
      <c r="K7711" s="41" t="n">
        <v>34</v>
      </c>
      <c r="L7711" s="42" t="n">
        <f aca="false">J7711*K7711</f>
        <v>139.06</v>
      </c>
      <c r="M7711" s="43" t="n">
        <f aca="false">H7711*17.99*(1+'Chart of Accounts'!$E$67)</f>
        <v>84.2480695</v>
      </c>
    </row>
    <row r="7712" customFormat="false" ht="15" hidden="false" customHeight="false" outlineLevel="0" collapsed="false">
      <c r="B7712" s="7" t="s">
        <v>8209</v>
      </c>
      <c r="C7712" s="39" t="n">
        <v>46006</v>
      </c>
      <c r="D7712" s="7" t="s">
        <v>399</v>
      </c>
      <c r="E7712" s="7" t="s">
        <v>154</v>
      </c>
      <c r="F7712" s="7" t="s">
        <v>214</v>
      </c>
      <c r="G7712" s="7" t="s">
        <v>505</v>
      </c>
      <c r="H7712" s="6" t="n">
        <v>3.31</v>
      </c>
      <c r="I7712" s="6" t="n">
        <v>0</v>
      </c>
      <c r="J7712" s="40" t="n">
        <f aca="false">H7712-I7712</f>
        <v>3.31</v>
      </c>
      <c r="K7712" s="41" t="n">
        <v>26.5</v>
      </c>
      <c r="L7712" s="42" t="n">
        <f aca="false">J7712*K7712</f>
        <v>87.715</v>
      </c>
      <c r="M7712" s="43" t="n">
        <f aca="false">H7712*15.67*(1+'Chart of Accounts'!$E$67)</f>
        <v>59.3885165</v>
      </c>
    </row>
    <row r="7713" customFormat="false" ht="15" hidden="false" customHeight="false" outlineLevel="0" collapsed="false">
      <c r="B7713" s="7" t="s">
        <v>8210</v>
      </c>
      <c r="C7713" s="39" t="n">
        <v>46006</v>
      </c>
      <c r="D7713" s="7" t="s">
        <v>401</v>
      </c>
      <c r="E7713" s="7" t="s">
        <v>156</v>
      </c>
      <c r="F7713" s="7" t="s">
        <v>254</v>
      </c>
      <c r="G7713" s="7" t="s">
        <v>505</v>
      </c>
      <c r="H7713" s="6" t="n">
        <v>4.36</v>
      </c>
      <c r="I7713" s="6" t="n">
        <v>0</v>
      </c>
      <c r="J7713" s="40" t="n">
        <f aca="false">H7713-I7713</f>
        <v>4.36</v>
      </c>
      <c r="K7713" s="41" t="n">
        <v>34</v>
      </c>
      <c r="L7713" s="42" t="n">
        <f aca="false">J7713*K7713</f>
        <v>148.24</v>
      </c>
      <c r="M7713" s="43" t="n">
        <f aca="false">H7713*17.1*(1+'Chart of Accounts'!$E$67)</f>
        <v>85.36662</v>
      </c>
    </row>
    <row r="7714" customFormat="false" ht="15" hidden="false" customHeight="false" outlineLevel="0" collapsed="false">
      <c r="B7714" s="7" t="s">
        <v>8211</v>
      </c>
      <c r="C7714" s="39" t="n">
        <v>46006</v>
      </c>
      <c r="D7714" s="7" t="s">
        <v>403</v>
      </c>
      <c r="E7714" s="7" t="s">
        <v>156</v>
      </c>
      <c r="F7714" s="7" t="s">
        <v>184</v>
      </c>
      <c r="G7714" s="7" t="s">
        <v>505</v>
      </c>
      <c r="H7714" s="6" t="n">
        <v>4.01</v>
      </c>
      <c r="I7714" s="6" t="n">
        <v>0</v>
      </c>
      <c r="J7714" s="40" t="n">
        <f aca="false">H7714-I7714</f>
        <v>4.01</v>
      </c>
      <c r="K7714" s="41" t="n">
        <v>34</v>
      </c>
      <c r="L7714" s="42" t="n">
        <f aca="false">J7714*K7714</f>
        <v>136.34</v>
      </c>
      <c r="M7714" s="43" t="n">
        <f aca="false">H7714*17.34*(1+'Chart of Accounts'!$E$67)</f>
        <v>79.615743</v>
      </c>
    </row>
    <row r="7715" customFormat="false" ht="15" hidden="false" customHeight="false" outlineLevel="0" collapsed="false">
      <c r="B7715" s="7" t="s">
        <v>8212</v>
      </c>
      <c r="C7715" s="39" t="n">
        <v>46006</v>
      </c>
      <c r="D7715" s="7" t="s">
        <v>405</v>
      </c>
      <c r="E7715" s="7" t="s">
        <v>156</v>
      </c>
      <c r="F7715" s="7" t="s">
        <v>240</v>
      </c>
      <c r="G7715" s="7" t="s">
        <v>505</v>
      </c>
      <c r="H7715" s="6" t="n">
        <v>3.28</v>
      </c>
      <c r="I7715" s="6" t="n">
        <v>0</v>
      </c>
      <c r="J7715" s="40" t="n">
        <f aca="false">H7715-I7715</f>
        <v>3.28</v>
      </c>
      <c r="K7715" s="41" t="n">
        <v>34</v>
      </c>
      <c r="L7715" s="42" t="n">
        <f aca="false">J7715*K7715</f>
        <v>111.52</v>
      </c>
      <c r="M7715" s="43" t="n">
        <f aca="false">H7715*16.96*(1+'Chart of Accounts'!$E$67)</f>
        <v>63.694976</v>
      </c>
    </row>
    <row r="7716" customFormat="false" ht="15" hidden="false" customHeight="false" outlineLevel="0" collapsed="false">
      <c r="B7716" s="7" t="s">
        <v>8213</v>
      </c>
      <c r="C7716" s="39" t="n">
        <v>46006</v>
      </c>
      <c r="D7716" s="7" t="s">
        <v>409</v>
      </c>
      <c r="E7716" s="7" t="s">
        <v>154</v>
      </c>
      <c r="F7716" s="7" t="s">
        <v>214</v>
      </c>
      <c r="G7716" s="7" t="s">
        <v>505</v>
      </c>
      <c r="H7716" s="6" t="n">
        <v>3.3</v>
      </c>
      <c r="I7716" s="6" t="n">
        <v>0.099</v>
      </c>
      <c r="J7716" s="40" t="n">
        <f aca="false">H7716-I7716</f>
        <v>3.201</v>
      </c>
      <c r="K7716" s="41" t="n">
        <v>26.5</v>
      </c>
      <c r="L7716" s="42" t="n">
        <f aca="false">J7716*K7716</f>
        <v>84.8265</v>
      </c>
      <c r="M7716" s="43" t="n">
        <f aca="false">H7716*15.67*(1+'Chart of Accounts'!$E$67)</f>
        <v>59.209095</v>
      </c>
    </row>
    <row r="7717" customFormat="false" ht="15" hidden="false" customHeight="false" outlineLevel="0" collapsed="false">
      <c r="B7717" s="7" t="s">
        <v>8214</v>
      </c>
      <c r="C7717" s="39" t="n">
        <v>46006</v>
      </c>
      <c r="D7717" s="7" t="s">
        <v>411</v>
      </c>
      <c r="E7717" s="7" t="s">
        <v>154</v>
      </c>
      <c r="F7717" s="7" t="s">
        <v>177</v>
      </c>
      <c r="G7717" s="7" t="s">
        <v>505</v>
      </c>
      <c r="H7717" s="6" t="n">
        <v>4.65</v>
      </c>
      <c r="I7717" s="6" t="n">
        <v>0</v>
      </c>
      <c r="J7717" s="40" t="n">
        <f aca="false">H7717-I7717</f>
        <v>4.65</v>
      </c>
      <c r="K7717" s="41" t="n">
        <v>26.5</v>
      </c>
      <c r="L7717" s="42" t="n">
        <f aca="false">J7717*K7717</f>
        <v>123.225</v>
      </c>
      <c r="M7717" s="43" t="n">
        <f aca="false">H7717*14.56*(1+'Chart of Accounts'!$E$67)</f>
        <v>77.52108</v>
      </c>
    </row>
    <row r="7718" customFormat="false" ht="15" hidden="false" customHeight="false" outlineLevel="0" collapsed="false">
      <c r="B7718" s="7" t="s">
        <v>8215</v>
      </c>
      <c r="C7718" s="39" t="n">
        <v>46007</v>
      </c>
      <c r="D7718" s="7" t="s">
        <v>288</v>
      </c>
      <c r="E7718" s="7" t="s">
        <v>156</v>
      </c>
      <c r="F7718" s="7" t="s">
        <v>222</v>
      </c>
      <c r="G7718" s="7" t="s">
        <v>505</v>
      </c>
      <c r="H7718" s="6" t="n">
        <v>3.61</v>
      </c>
      <c r="I7718" s="6" t="n">
        <v>0</v>
      </c>
      <c r="J7718" s="40" t="n">
        <f aca="false">H7718-I7718</f>
        <v>3.61</v>
      </c>
      <c r="K7718" s="41" t="n">
        <v>34</v>
      </c>
      <c r="L7718" s="42" t="n">
        <f aca="false">J7718*K7718</f>
        <v>122.74</v>
      </c>
      <c r="M7718" s="43" t="n">
        <f aca="false">H7718*17.84*(1+'Chart of Accounts'!$E$67)</f>
        <v>73.740748</v>
      </c>
    </row>
    <row r="7719" customFormat="false" ht="15" hidden="false" customHeight="false" outlineLevel="0" collapsed="false">
      <c r="B7719" s="7" t="s">
        <v>8216</v>
      </c>
      <c r="C7719" s="39" t="n">
        <v>46007</v>
      </c>
      <c r="D7719" s="7" t="s">
        <v>293</v>
      </c>
      <c r="E7719" s="7" t="s">
        <v>157</v>
      </c>
      <c r="F7719" s="7" t="s">
        <v>198</v>
      </c>
      <c r="G7719" s="7" t="s">
        <v>502</v>
      </c>
      <c r="H7719" s="6" t="n">
        <v>0.93</v>
      </c>
      <c r="I7719" s="6" t="n">
        <v>0</v>
      </c>
      <c r="J7719" s="40" t="n">
        <f aca="false">H7719-I7719</f>
        <v>0.93</v>
      </c>
      <c r="K7719" s="41" t="n">
        <v>165</v>
      </c>
      <c r="L7719" s="42" t="n">
        <f aca="false">J7719*K7719</f>
        <v>153.45</v>
      </c>
      <c r="M7719" s="43" t="n">
        <f aca="false">H7719*48.09*(1+'Chart of Accounts'!$E$67)</f>
        <v>51.2086365</v>
      </c>
    </row>
    <row r="7720" customFormat="false" ht="15" hidden="false" customHeight="false" outlineLevel="0" collapsed="false">
      <c r="B7720" s="7" t="s">
        <v>8217</v>
      </c>
      <c r="C7720" s="39" t="n">
        <v>46007</v>
      </c>
      <c r="D7720" s="7" t="s">
        <v>301</v>
      </c>
      <c r="E7720" s="7" t="s">
        <v>157</v>
      </c>
      <c r="F7720" s="7" t="s">
        <v>209</v>
      </c>
      <c r="G7720" s="7" t="s">
        <v>502</v>
      </c>
      <c r="H7720" s="6" t="n">
        <v>0.95</v>
      </c>
      <c r="I7720" s="6" t="n">
        <v>0</v>
      </c>
      <c r="J7720" s="40" t="n">
        <f aca="false">H7720-I7720</f>
        <v>0.95</v>
      </c>
      <c r="K7720" s="41" t="n">
        <v>165</v>
      </c>
      <c r="L7720" s="42" t="n">
        <f aca="false">J7720*K7720</f>
        <v>156.75</v>
      </c>
      <c r="M7720" s="43" t="n">
        <f aca="false">H7720*73.58*(1+'Chart of Accounts'!$E$67)</f>
        <v>80.036645</v>
      </c>
    </row>
    <row r="7721" customFormat="false" ht="15" hidden="false" customHeight="false" outlineLevel="0" collapsed="false">
      <c r="B7721" s="7" t="s">
        <v>8218</v>
      </c>
      <c r="C7721" s="39" t="n">
        <v>46007</v>
      </c>
      <c r="D7721" s="7" t="s">
        <v>313</v>
      </c>
      <c r="E7721" s="7" t="s">
        <v>156</v>
      </c>
      <c r="F7721" s="7" t="s">
        <v>184</v>
      </c>
      <c r="G7721" s="7" t="s">
        <v>505</v>
      </c>
      <c r="H7721" s="6" t="n">
        <v>4.23</v>
      </c>
      <c r="I7721" s="6" t="n">
        <v>0</v>
      </c>
      <c r="J7721" s="40" t="n">
        <f aca="false">H7721-I7721</f>
        <v>4.23</v>
      </c>
      <c r="K7721" s="41" t="n">
        <v>34</v>
      </c>
      <c r="L7721" s="42" t="n">
        <f aca="false">J7721*K7721</f>
        <v>143.82</v>
      </c>
      <c r="M7721" s="43" t="n">
        <f aca="false">H7721*17.34*(1+'Chart of Accounts'!$E$67)</f>
        <v>83.983689</v>
      </c>
    </row>
    <row r="7722" customFormat="false" ht="15" hidden="false" customHeight="false" outlineLevel="0" collapsed="false">
      <c r="B7722" s="7" t="s">
        <v>8219</v>
      </c>
      <c r="C7722" s="39" t="n">
        <v>46007</v>
      </c>
      <c r="D7722" s="7" t="s">
        <v>319</v>
      </c>
      <c r="E7722" s="7" t="s">
        <v>157</v>
      </c>
      <c r="F7722" s="7" t="s">
        <v>234</v>
      </c>
      <c r="G7722" s="7" t="s">
        <v>502</v>
      </c>
      <c r="H7722" s="6" t="n">
        <v>0.91</v>
      </c>
      <c r="I7722" s="6" t="n">
        <v>0</v>
      </c>
      <c r="J7722" s="40" t="n">
        <f aca="false">H7722-I7722</f>
        <v>0.91</v>
      </c>
      <c r="K7722" s="41" t="n">
        <v>165</v>
      </c>
      <c r="L7722" s="42" t="n">
        <f aca="false">J7722*K7722</f>
        <v>150.15</v>
      </c>
      <c r="M7722" s="43" t="n">
        <f aca="false">H7722*89.53*(1+'Chart of Accounts'!$E$67)</f>
        <v>93.2857835</v>
      </c>
    </row>
    <row r="7723" customFormat="false" ht="15" hidden="false" customHeight="false" outlineLevel="0" collapsed="false">
      <c r="B7723" s="7" t="s">
        <v>8220</v>
      </c>
      <c r="C7723" s="39" t="n">
        <v>46007</v>
      </c>
      <c r="D7723" s="7" t="s">
        <v>321</v>
      </c>
      <c r="E7723" s="7" t="s">
        <v>154</v>
      </c>
      <c r="F7723" s="7" t="s">
        <v>218</v>
      </c>
      <c r="G7723" s="7" t="s">
        <v>505</v>
      </c>
      <c r="H7723" s="6" t="n">
        <v>4.19</v>
      </c>
      <c r="I7723" s="6" t="n">
        <v>0</v>
      </c>
      <c r="J7723" s="40" t="n">
        <f aca="false">H7723-I7723</f>
        <v>4.19</v>
      </c>
      <c r="K7723" s="41" t="n">
        <v>26.5</v>
      </c>
      <c r="L7723" s="42" t="n">
        <f aca="false">J7723*K7723</f>
        <v>111.035</v>
      </c>
      <c r="M7723" s="43" t="n">
        <f aca="false">H7723*16.19*(1+'Chart of Accounts'!$E$67)</f>
        <v>77.6723345</v>
      </c>
    </row>
    <row r="7724" customFormat="false" ht="15" hidden="false" customHeight="false" outlineLevel="0" collapsed="false">
      <c r="B7724" s="7" t="s">
        <v>8221</v>
      </c>
      <c r="C7724" s="39" t="n">
        <v>46007</v>
      </c>
      <c r="D7724" s="7" t="s">
        <v>323</v>
      </c>
      <c r="E7724" s="7" t="s">
        <v>159</v>
      </c>
      <c r="F7724" s="7" t="s">
        <v>198</v>
      </c>
      <c r="G7724" s="7" t="s">
        <v>502</v>
      </c>
      <c r="H7724" s="6" t="n">
        <v>0.9</v>
      </c>
      <c r="I7724" s="6" t="n">
        <v>0</v>
      </c>
      <c r="J7724" s="40" t="n">
        <f aca="false">H7724-I7724</f>
        <v>0.9</v>
      </c>
      <c r="K7724" s="41" t="n">
        <v>135</v>
      </c>
      <c r="L7724" s="42" t="n">
        <f aca="false">J7724*K7724</f>
        <v>121.5</v>
      </c>
      <c r="M7724" s="43" t="n">
        <f aca="false">H7724*48.09*(1+'Chart of Accounts'!$E$67)</f>
        <v>49.556745</v>
      </c>
    </row>
    <row r="7725" customFormat="false" ht="15" hidden="false" customHeight="false" outlineLevel="0" collapsed="false">
      <c r="B7725" s="7" t="s">
        <v>8222</v>
      </c>
      <c r="C7725" s="39" t="n">
        <v>46007</v>
      </c>
      <c r="D7725" s="7" t="s">
        <v>327</v>
      </c>
      <c r="E7725" s="7" t="s">
        <v>157</v>
      </c>
      <c r="F7725" s="7" t="s">
        <v>228</v>
      </c>
      <c r="G7725" s="7" t="s">
        <v>502</v>
      </c>
      <c r="H7725" s="6" t="n">
        <v>0.96</v>
      </c>
      <c r="I7725" s="6" t="n">
        <v>0</v>
      </c>
      <c r="J7725" s="40" t="n">
        <f aca="false">H7725-I7725</f>
        <v>0.96</v>
      </c>
      <c r="K7725" s="41" t="n">
        <v>165</v>
      </c>
      <c r="L7725" s="42" t="n">
        <f aca="false">J7725*K7725</f>
        <v>158.4</v>
      </c>
      <c r="M7725" s="43" t="n">
        <f aca="false">H7725*51.07*(1+'Chart of Accounts'!$E$67)</f>
        <v>56.136144</v>
      </c>
    </row>
    <row r="7726" customFormat="false" ht="15" hidden="false" customHeight="false" outlineLevel="0" collapsed="false">
      <c r="B7726" s="7" t="s">
        <v>8223</v>
      </c>
      <c r="C7726" s="39" t="n">
        <v>46007</v>
      </c>
      <c r="D7726" s="7" t="s">
        <v>329</v>
      </c>
      <c r="E7726" s="7" t="s">
        <v>156</v>
      </c>
      <c r="F7726" s="7" t="s">
        <v>220</v>
      </c>
      <c r="G7726" s="7" t="s">
        <v>505</v>
      </c>
      <c r="H7726" s="6" t="n">
        <v>4.38</v>
      </c>
      <c r="I7726" s="6" t="n">
        <v>0</v>
      </c>
      <c r="J7726" s="40" t="n">
        <f aca="false">H7726-I7726</f>
        <v>4.38</v>
      </c>
      <c r="K7726" s="41" t="n">
        <v>34</v>
      </c>
      <c r="L7726" s="42" t="n">
        <f aca="false">J7726*K7726</f>
        <v>148.92</v>
      </c>
      <c r="M7726" s="43" t="n">
        <f aca="false">H7726*16.43*(1+'Chart of Accounts'!$E$67)</f>
        <v>82.398093</v>
      </c>
    </row>
    <row r="7727" customFormat="false" ht="15" hidden="false" customHeight="false" outlineLevel="0" collapsed="false">
      <c r="B7727" s="7" t="s">
        <v>8224</v>
      </c>
      <c r="C7727" s="39" t="n">
        <v>46007</v>
      </c>
      <c r="D7727" s="7" t="s">
        <v>349</v>
      </c>
      <c r="E7727" s="7" t="s">
        <v>154</v>
      </c>
      <c r="F7727" s="7" t="s">
        <v>244</v>
      </c>
      <c r="G7727" s="7" t="s">
        <v>505</v>
      </c>
      <c r="H7727" s="6" t="n">
        <v>4.14</v>
      </c>
      <c r="I7727" s="6" t="n">
        <v>0</v>
      </c>
      <c r="J7727" s="40" t="n">
        <f aca="false">H7727-I7727</f>
        <v>4.14</v>
      </c>
      <c r="K7727" s="41" t="n">
        <v>26.5</v>
      </c>
      <c r="L7727" s="42" t="n">
        <f aca="false">J7727*K7727</f>
        <v>109.71</v>
      </c>
      <c r="M7727" s="43" t="n">
        <f aca="false">H7727*16.39*(1+'Chart of Accounts'!$E$67)</f>
        <v>77.693517</v>
      </c>
    </row>
    <row r="7728" customFormat="false" ht="15" hidden="false" customHeight="false" outlineLevel="0" collapsed="false">
      <c r="B7728" s="7" t="s">
        <v>8225</v>
      </c>
      <c r="C7728" s="39" t="n">
        <v>46007</v>
      </c>
      <c r="D7728" s="7" t="s">
        <v>359</v>
      </c>
      <c r="E7728" s="7" t="s">
        <v>156</v>
      </c>
      <c r="F7728" s="7" t="s">
        <v>232</v>
      </c>
      <c r="G7728" s="7" t="s">
        <v>505</v>
      </c>
      <c r="H7728" s="6" t="n">
        <v>3.82</v>
      </c>
      <c r="I7728" s="6" t="n">
        <v>0</v>
      </c>
      <c r="J7728" s="40" t="n">
        <f aca="false">H7728-I7728</f>
        <v>3.82</v>
      </c>
      <c r="K7728" s="41" t="n">
        <v>34</v>
      </c>
      <c r="L7728" s="42" t="n">
        <f aca="false">J7728*K7728</f>
        <v>129.88</v>
      </c>
      <c r="M7728" s="43" t="n">
        <f aca="false">H7728*16.17*(1+'Chart of Accounts'!$E$67)</f>
        <v>70.725963</v>
      </c>
    </row>
    <row r="7729" customFormat="false" ht="15" hidden="false" customHeight="false" outlineLevel="0" collapsed="false">
      <c r="B7729" s="7" t="s">
        <v>8226</v>
      </c>
      <c r="C7729" s="39" t="n">
        <v>46007</v>
      </c>
      <c r="D7729" s="7" t="s">
        <v>361</v>
      </c>
      <c r="E7729" s="7" t="s">
        <v>157</v>
      </c>
      <c r="F7729" s="7" t="s">
        <v>209</v>
      </c>
      <c r="G7729" s="7" t="s">
        <v>502</v>
      </c>
      <c r="H7729" s="6" t="n">
        <v>1.02</v>
      </c>
      <c r="I7729" s="6" t="n">
        <v>0</v>
      </c>
      <c r="J7729" s="40" t="n">
        <f aca="false">H7729-I7729</f>
        <v>1.02</v>
      </c>
      <c r="K7729" s="41" t="n">
        <v>165</v>
      </c>
      <c r="L7729" s="42" t="n">
        <f aca="false">J7729*K7729</f>
        <v>168.3</v>
      </c>
      <c r="M7729" s="43" t="n">
        <f aca="false">H7729*73.58*(1+'Chart of Accounts'!$E$67)</f>
        <v>85.934082</v>
      </c>
    </row>
    <row r="7730" customFormat="false" ht="15" hidden="false" customHeight="false" outlineLevel="0" collapsed="false">
      <c r="B7730" s="7" t="s">
        <v>8227</v>
      </c>
      <c r="C7730" s="39" t="n">
        <v>46007</v>
      </c>
      <c r="D7730" s="7" t="s">
        <v>365</v>
      </c>
      <c r="E7730" s="7" t="s">
        <v>154</v>
      </c>
      <c r="F7730" s="7" t="s">
        <v>194</v>
      </c>
      <c r="G7730" s="7" t="s">
        <v>505</v>
      </c>
      <c r="H7730" s="6" t="n">
        <v>4.32</v>
      </c>
      <c r="I7730" s="6" t="n">
        <v>0</v>
      </c>
      <c r="J7730" s="40" t="n">
        <f aca="false">H7730-I7730</f>
        <v>4.32</v>
      </c>
      <c r="K7730" s="41" t="n">
        <v>26.5</v>
      </c>
      <c r="L7730" s="42" t="n">
        <f aca="false">J7730*K7730</f>
        <v>114.48</v>
      </c>
      <c r="M7730" s="43" t="n">
        <f aca="false">H7730*16*(1+'Chart of Accounts'!$E$67)</f>
        <v>79.1424</v>
      </c>
    </row>
    <row r="7731" customFormat="false" ht="15" hidden="false" customHeight="false" outlineLevel="0" collapsed="false">
      <c r="B7731" s="7" t="s">
        <v>8228</v>
      </c>
      <c r="C7731" s="39" t="n">
        <v>46007</v>
      </c>
      <c r="D7731" s="7" t="s">
        <v>369</v>
      </c>
      <c r="E7731" s="7" t="s">
        <v>159</v>
      </c>
      <c r="F7731" s="7" t="s">
        <v>258</v>
      </c>
      <c r="G7731" s="7" t="s">
        <v>502</v>
      </c>
      <c r="H7731" s="6" t="n">
        <v>1</v>
      </c>
      <c r="I7731" s="6" t="n">
        <v>0</v>
      </c>
      <c r="J7731" s="40" t="n">
        <f aca="false">H7731-I7731</f>
        <v>1</v>
      </c>
      <c r="K7731" s="41" t="n">
        <v>135</v>
      </c>
      <c r="L7731" s="42" t="n">
        <f aca="false">J7731*K7731</f>
        <v>135</v>
      </c>
      <c r="M7731" s="43" t="n">
        <f aca="false">H7731*61.61*(1+'Chart of Accounts'!$E$67)</f>
        <v>70.54345</v>
      </c>
    </row>
    <row r="7732" customFormat="false" ht="15" hidden="false" customHeight="false" outlineLevel="0" collapsed="false">
      <c r="B7732" s="7" t="s">
        <v>8229</v>
      </c>
      <c r="C7732" s="39" t="n">
        <v>46007</v>
      </c>
      <c r="D7732" s="7" t="s">
        <v>381</v>
      </c>
      <c r="E7732" s="7" t="s">
        <v>157</v>
      </c>
      <c r="F7732" s="7" t="s">
        <v>234</v>
      </c>
      <c r="G7732" s="7" t="s">
        <v>502</v>
      </c>
      <c r="H7732" s="6" t="n">
        <v>0.98</v>
      </c>
      <c r="I7732" s="6" t="n">
        <v>0</v>
      </c>
      <c r="J7732" s="40" t="n">
        <f aca="false">H7732-I7732</f>
        <v>0.98</v>
      </c>
      <c r="K7732" s="41" t="n">
        <v>165</v>
      </c>
      <c r="L7732" s="42" t="n">
        <f aca="false">J7732*K7732</f>
        <v>161.7</v>
      </c>
      <c r="M7732" s="43" t="n">
        <f aca="false">H7732*89.53*(1+'Chart of Accounts'!$E$67)</f>
        <v>100.461613</v>
      </c>
    </row>
    <row r="7733" customFormat="false" ht="15" hidden="false" customHeight="false" outlineLevel="0" collapsed="false">
      <c r="B7733" s="7" t="s">
        <v>8230</v>
      </c>
      <c r="C7733" s="39" t="n">
        <v>46007</v>
      </c>
      <c r="D7733" s="7" t="s">
        <v>383</v>
      </c>
      <c r="E7733" s="7" t="s">
        <v>157</v>
      </c>
      <c r="F7733" s="7" t="s">
        <v>230</v>
      </c>
      <c r="G7733" s="7" t="s">
        <v>502</v>
      </c>
      <c r="H7733" s="6" t="n">
        <v>1.02</v>
      </c>
      <c r="I7733" s="6" t="n">
        <v>0</v>
      </c>
      <c r="J7733" s="40" t="n">
        <f aca="false">H7733-I7733</f>
        <v>1.02</v>
      </c>
      <c r="K7733" s="41" t="n">
        <v>165</v>
      </c>
      <c r="L7733" s="42" t="n">
        <f aca="false">J7733*K7733</f>
        <v>168.3</v>
      </c>
      <c r="M7733" s="43" t="n">
        <f aca="false">H7733*48.78*(1+'Chart of Accounts'!$E$67)</f>
        <v>56.970162</v>
      </c>
    </row>
    <row r="7734" customFormat="false" ht="15" hidden="false" customHeight="false" outlineLevel="0" collapsed="false">
      <c r="B7734" s="7" t="s">
        <v>8231</v>
      </c>
      <c r="C7734" s="39" t="n">
        <v>46007</v>
      </c>
      <c r="D7734" s="7" t="s">
        <v>387</v>
      </c>
      <c r="E7734" s="7" t="s">
        <v>154</v>
      </c>
      <c r="F7734" s="7" t="s">
        <v>196</v>
      </c>
      <c r="G7734" s="7" t="s">
        <v>505</v>
      </c>
      <c r="H7734" s="6" t="n">
        <v>3.75</v>
      </c>
      <c r="I7734" s="6" t="n">
        <v>0</v>
      </c>
      <c r="J7734" s="40" t="n">
        <f aca="false">H7734-I7734</f>
        <v>3.75</v>
      </c>
      <c r="K7734" s="41" t="n">
        <v>26.5</v>
      </c>
      <c r="L7734" s="42" t="n">
        <f aca="false">J7734*K7734</f>
        <v>99.375</v>
      </c>
      <c r="M7734" s="43" t="n">
        <f aca="false">H7734*15.05*(1+'Chart of Accounts'!$E$67)</f>
        <v>64.6209375</v>
      </c>
    </row>
    <row r="7735" customFormat="false" ht="15" hidden="false" customHeight="false" outlineLevel="0" collapsed="false">
      <c r="B7735" s="7" t="s">
        <v>8232</v>
      </c>
      <c r="C7735" s="39" t="n">
        <v>46007</v>
      </c>
      <c r="D7735" s="7" t="s">
        <v>389</v>
      </c>
      <c r="E7735" s="7" t="s">
        <v>154</v>
      </c>
      <c r="F7735" s="7" t="s">
        <v>246</v>
      </c>
      <c r="G7735" s="7" t="s">
        <v>505</v>
      </c>
      <c r="H7735" s="6" t="n">
        <v>4.32</v>
      </c>
      <c r="I7735" s="6" t="n">
        <v>0</v>
      </c>
      <c r="J7735" s="40" t="n">
        <f aca="false">H7735-I7735</f>
        <v>4.32</v>
      </c>
      <c r="K7735" s="41" t="n">
        <v>26.5</v>
      </c>
      <c r="L7735" s="42" t="n">
        <f aca="false">J7735*K7735</f>
        <v>114.48</v>
      </c>
      <c r="M7735" s="43" t="n">
        <f aca="false">H7735*16.48*(1+'Chart of Accounts'!$E$67)</f>
        <v>81.516672</v>
      </c>
    </row>
    <row r="7736" customFormat="false" ht="15" hidden="false" customHeight="false" outlineLevel="0" collapsed="false">
      <c r="B7736" s="7" t="s">
        <v>8233</v>
      </c>
      <c r="C7736" s="39" t="n">
        <v>46007</v>
      </c>
      <c r="D7736" s="7" t="s">
        <v>391</v>
      </c>
      <c r="E7736" s="7" t="s">
        <v>156</v>
      </c>
      <c r="F7736" s="7" t="s">
        <v>222</v>
      </c>
      <c r="G7736" s="7" t="s">
        <v>505</v>
      </c>
      <c r="H7736" s="6" t="n">
        <v>4.26</v>
      </c>
      <c r="I7736" s="6" t="n">
        <v>0</v>
      </c>
      <c r="J7736" s="40" t="n">
        <f aca="false">H7736-I7736</f>
        <v>4.26</v>
      </c>
      <c r="K7736" s="41" t="n">
        <v>34</v>
      </c>
      <c r="L7736" s="42" t="n">
        <f aca="false">J7736*K7736</f>
        <v>144.84</v>
      </c>
      <c r="M7736" s="43" t="n">
        <f aca="false">H7736*17.84*(1+'Chart of Accounts'!$E$67)</f>
        <v>87.018168</v>
      </c>
    </row>
    <row r="7737" customFormat="false" ht="15" hidden="false" customHeight="false" outlineLevel="0" collapsed="false">
      <c r="B7737" s="7" t="s">
        <v>8234</v>
      </c>
      <c r="C7737" s="39" t="n">
        <v>46007</v>
      </c>
      <c r="D7737" s="7" t="s">
        <v>395</v>
      </c>
      <c r="E7737" s="7" t="s">
        <v>156</v>
      </c>
      <c r="F7737" s="7" t="s">
        <v>242</v>
      </c>
      <c r="G7737" s="7" t="s">
        <v>505</v>
      </c>
      <c r="H7737" s="6" t="n">
        <v>4.39</v>
      </c>
      <c r="I7737" s="6" t="n">
        <v>0</v>
      </c>
      <c r="J7737" s="40" t="n">
        <f aca="false">H7737-I7737</f>
        <v>4.39</v>
      </c>
      <c r="K7737" s="41" t="n">
        <v>34</v>
      </c>
      <c r="L7737" s="42" t="n">
        <f aca="false">J7737*K7737</f>
        <v>149.26</v>
      </c>
      <c r="M7737" s="43" t="n">
        <f aca="false">H7737*17.99*(1+'Chart of Accounts'!$E$67)</f>
        <v>90.4276345</v>
      </c>
    </row>
    <row r="7738" customFormat="false" ht="15" hidden="false" customHeight="false" outlineLevel="0" collapsed="false">
      <c r="B7738" s="7" t="s">
        <v>8235</v>
      </c>
      <c r="C7738" s="39" t="n">
        <v>46007</v>
      </c>
      <c r="D7738" s="7" t="s">
        <v>397</v>
      </c>
      <c r="E7738" s="7" t="s">
        <v>159</v>
      </c>
      <c r="F7738" s="7" t="s">
        <v>203</v>
      </c>
      <c r="G7738" s="7" t="s">
        <v>502</v>
      </c>
      <c r="H7738" s="6" t="n">
        <v>1</v>
      </c>
      <c r="I7738" s="6" t="n">
        <v>0</v>
      </c>
      <c r="J7738" s="40" t="n">
        <f aca="false">H7738-I7738</f>
        <v>1</v>
      </c>
      <c r="K7738" s="41" t="n">
        <v>135</v>
      </c>
      <c r="L7738" s="42" t="n">
        <f aca="false">J7738*K7738</f>
        <v>135</v>
      </c>
      <c r="M7738" s="43" t="n">
        <f aca="false">H7738*49.43*(1+'Chart of Accounts'!$E$67)</f>
        <v>56.59735</v>
      </c>
    </row>
    <row r="7739" customFormat="false" ht="15" hidden="false" customHeight="false" outlineLevel="0" collapsed="false">
      <c r="B7739" s="7" t="s">
        <v>8236</v>
      </c>
      <c r="C7739" s="39" t="n">
        <v>46007</v>
      </c>
      <c r="D7739" s="7" t="s">
        <v>401</v>
      </c>
      <c r="E7739" s="7" t="s">
        <v>156</v>
      </c>
      <c r="F7739" s="7" t="s">
        <v>254</v>
      </c>
      <c r="G7739" s="7" t="s">
        <v>505</v>
      </c>
      <c r="H7739" s="6" t="n">
        <v>3.66</v>
      </c>
      <c r="I7739" s="6" t="n">
        <v>0</v>
      </c>
      <c r="J7739" s="40" t="n">
        <f aca="false">H7739-I7739</f>
        <v>3.66</v>
      </c>
      <c r="K7739" s="41" t="n">
        <v>34</v>
      </c>
      <c r="L7739" s="42" t="n">
        <f aca="false">J7739*K7739</f>
        <v>124.44</v>
      </c>
      <c r="M7739" s="43" t="n">
        <f aca="false">H7739*17.1*(1+'Chart of Accounts'!$E$67)</f>
        <v>71.66097</v>
      </c>
    </row>
    <row r="7740" customFormat="false" ht="15" hidden="false" customHeight="false" outlineLevel="0" collapsed="false">
      <c r="B7740" s="7" t="s">
        <v>8237</v>
      </c>
      <c r="C7740" s="39" t="n">
        <v>46007</v>
      </c>
      <c r="D7740" s="7" t="s">
        <v>407</v>
      </c>
      <c r="E7740" s="7" t="s">
        <v>159</v>
      </c>
      <c r="F7740" s="7" t="s">
        <v>260</v>
      </c>
      <c r="G7740" s="7" t="s">
        <v>502</v>
      </c>
      <c r="H7740" s="6" t="n">
        <v>0.91</v>
      </c>
      <c r="I7740" s="6" t="n">
        <v>0</v>
      </c>
      <c r="J7740" s="40" t="n">
        <f aca="false">H7740-I7740</f>
        <v>0.91</v>
      </c>
      <c r="K7740" s="41" t="n">
        <v>135</v>
      </c>
      <c r="L7740" s="42" t="n">
        <f aca="false">J7740*K7740</f>
        <v>122.85</v>
      </c>
      <c r="M7740" s="43" t="n">
        <f aca="false">H7740*79.8*(1+'Chart of Accounts'!$E$67)</f>
        <v>83.14761</v>
      </c>
    </row>
    <row r="7741" customFormat="false" ht="15" hidden="false" customHeight="false" outlineLevel="0" collapsed="false">
      <c r="B7741" s="7" t="s">
        <v>8238</v>
      </c>
      <c r="C7741" s="39" t="n">
        <v>46008</v>
      </c>
      <c r="D7741" s="7" t="s">
        <v>284</v>
      </c>
      <c r="E7741" s="7" t="s">
        <v>157</v>
      </c>
      <c r="F7741" s="7" t="s">
        <v>258</v>
      </c>
      <c r="G7741" s="7" t="s">
        <v>502</v>
      </c>
      <c r="H7741" s="6" t="n">
        <v>1.02</v>
      </c>
      <c r="I7741" s="6" t="n">
        <v>0</v>
      </c>
      <c r="J7741" s="40" t="n">
        <f aca="false">H7741-I7741</f>
        <v>1.02</v>
      </c>
      <c r="K7741" s="41" t="n">
        <v>165</v>
      </c>
      <c r="L7741" s="42" t="n">
        <f aca="false">J7741*K7741</f>
        <v>168.3</v>
      </c>
      <c r="M7741" s="43" t="n">
        <f aca="false">H7741*61.61*(1+'Chart of Accounts'!$E$67)</f>
        <v>71.954319</v>
      </c>
    </row>
    <row r="7742" customFormat="false" ht="15" hidden="false" customHeight="false" outlineLevel="0" collapsed="false">
      <c r="B7742" s="7" t="s">
        <v>8239</v>
      </c>
      <c r="C7742" s="39" t="n">
        <v>46008</v>
      </c>
      <c r="D7742" s="7" t="s">
        <v>288</v>
      </c>
      <c r="E7742" s="7" t="s">
        <v>156</v>
      </c>
      <c r="F7742" s="7" t="s">
        <v>205</v>
      </c>
      <c r="G7742" s="7" t="s">
        <v>505</v>
      </c>
      <c r="H7742" s="6" t="n">
        <v>4.39</v>
      </c>
      <c r="I7742" s="6" t="n">
        <v>0</v>
      </c>
      <c r="J7742" s="40" t="n">
        <f aca="false">H7742-I7742</f>
        <v>4.39</v>
      </c>
      <c r="K7742" s="41" t="n">
        <v>34</v>
      </c>
      <c r="L7742" s="42" t="n">
        <f aca="false">J7742*K7742</f>
        <v>149.26</v>
      </c>
      <c r="M7742" s="43" t="n">
        <f aca="false">H7742*16.36*(1+'Chart of Accounts'!$E$67)</f>
        <v>82.234358</v>
      </c>
    </row>
    <row r="7743" customFormat="false" ht="15" hidden="false" customHeight="false" outlineLevel="0" collapsed="false">
      <c r="B7743" s="7" t="s">
        <v>8240</v>
      </c>
      <c r="C7743" s="39" t="n">
        <v>46008</v>
      </c>
      <c r="D7743" s="7" t="s">
        <v>291</v>
      </c>
      <c r="E7743" s="7" t="s">
        <v>154</v>
      </c>
      <c r="F7743" s="7" t="s">
        <v>194</v>
      </c>
      <c r="G7743" s="7" t="s">
        <v>505</v>
      </c>
      <c r="H7743" s="6" t="n">
        <v>4.56</v>
      </c>
      <c r="I7743" s="6" t="n">
        <v>0</v>
      </c>
      <c r="J7743" s="40" t="n">
        <f aca="false">H7743-I7743</f>
        <v>4.56</v>
      </c>
      <c r="K7743" s="41" t="n">
        <v>26.5</v>
      </c>
      <c r="L7743" s="42" t="n">
        <f aca="false">J7743*K7743</f>
        <v>120.84</v>
      </c>
      <c r="M7743" s="43" t="n">
        <f aca="false">H7743*16*(1+'Chart of Accounts'!$E$67)</f>
        <v>83.5392</v>
      </c>
    </row>
    <row r="7744" customFormat="false" ht="15" hidden="false" customHeight="false" outlineLevel="0" collapsed="false">
      <c r="B7744" s="7" t="s">
        <v>8241</v>
      </c>
      <c r="C7744" s="39" t="n">
        <v>46008</v>
      </c>
      <c r="D7744" s="7" t="s">
        <v>295</v>
      </c>
      <c r="E7744" s="7" t="s">
        <v>154</v>
      </c>
      <c r="F7744" s="7" t="s">
        <v>214</v>
      </c>
      <c r="G7744" s="7" t="s">
        <v>505</v>
      </c>
      <c r="H7744" s="6" t="n">
        <v>4.35</v>
      </c>
      <c r="I7744" s="6" t="n">
        <v>0</v>
      </c>
      <c r="J7744" s="40" t="n">
        <f aca="false">H7744-I7744</f>
        <v>4.35</v>
      </c>
      <c r="K7744" s="41" t="n">
        <v>26.5</v>
      </c>
      <c r="L7744" s="42" t="n">
        <f aca="false">J7744*K7744</f>
        <v>115.275</v>
      </c>
      <c r="M7744" s="43" t="n">
        <f aca="false">H7744*15.67*(1+'Chart of Accounts'!$E$67)</f>
        <v>78.0483525</v>
      </c>
    </row>
    <row r="7745" customFormat="false" ht="15" hidden="false" customHeight="false" outlineLevel="0" collapsed="false">
      <c r="B7745" s="7" t="s">
        <v>8242</v>
      </c>
      <c r="C7745" s="39" t="n">
        <v>46008</v>
      </c>
      <c r="D7745" s="7" t="s">
        <v>305</v>
      </c>
      <c r="E7745" s="7" t="s">
        <v>154</v>
      </c>
      <c r="F7745" s="7" t="s">
        <v>205</v>
      </c>
      <c r="G7745" s="7" t="s">
        <v>505</v>
      </c>
      <c r="H7745" s="6" t="n">
        <v>3.73</v>
      </c>
      <c r="I7745" s="6" t="n">
        <v>0</v>
      </c>
      <c r="J7745" s="40" t="n">
        <f aca="false">H7745-I7745</f>
        <v>3.73</v>
      </c>
      <c r="K7745" s="41" t="n">
        <v>26.5</v>
      </c>
      <c r="L7745" s="42" t="n">
        <f aca="false">J7745*K7745</f>
        <v>98.845</v>
      </c>
      <c r="M7745" s="43" t="n">
        <f aca="false">H7745*16.36*(1+'Chart of Accounts'!$E$67)</f>
        <v>69.871106</v>
      </c>
    </row>
    <row r="7746" customFormat="false" ht="15" hidden="false" customHeight="false" outlineLevel="0" collapsed="false">
      <c r="B7746" s="7" t="s">
        <v>8243</v>
      </c>
      <c r="C7746" s="39" t="n">
        <v>46008</v>
      </c>
      <c r="D7746" s="7" t="s">
        <v>307</v>
      </c>
      <c r="E7746" s="7" t="s">
        <v>157</v>
      </c>
      <c r="F7746" s="7" t="s">
        <v>264</v>
      </c>
      <c r="G7746" s="7" t="s">
        <v>502</v>
      </c>
      <c r="H7746" s="6" t="n">
        <v>0.98</v>
      </c>
      <c r="I7746" s="6" t="n">
        <v>0.049</v>
      </c>
      <c r="J7746" s="40" t="n">
        <f aca="false">H7746-I7746</f>
        <v>0.931</v>
      </c>
      <c r="K7746" s="41" t="n">
        <v>165</v>
      </c>
      <c r="L7746" s="42" t="n">
        <f aca="false">J7746*K7746</f>
        <v>153.615</v>
      </c>
      <c r="M7746" s="43" t="n">
        <f aca="false">H7746*55.55*(1+'Chart of Accounts'!$E$67)</f>
        <v>62.332655</v>
      </c>
    </row>
    <row r="7747" customFormat="false" ht="15" hidden="false" customHeight="false" outlineLevel="0" collapsed="false">
      <c r="B7747" s="7" t="s">
        <v>8244</v>
      </c>
      <c r="C7747" s="39" t="n">
        <v>46008</v>
      </c>
      <c r="D7747" s="7" t="s">
        <v>309</v>
      </c>
      <c r="E7747" s="7" t="s">
        <v>159</v>
      </c>
      <c r="F7747" s="7" t="s">
        <v>252</v>
      </c>
      <c r="G7747" s="7" t="s">
        <v>502</v>
      </c>
      <c r="H7747" s="6" t="n">
        <v>0.91</v>
      </c>
      <c r="I7747" s="6" t="n">
        <v>0</v>
      </c>
      <c r="J7747" s="40" t="n">
        <f aca="false">H7747-I7747</f>
        <v>0.91</v>
      </c>
      <c r="K7747" s="41" t="n">
        <v>135</v>
      </c>
      <c r="L7747" s="42" t="n">
        <f aca="false">J7747*K7747</f>
        <v>122.85</v>
      </c>
      <c r="M7747" s="43" t="n">
        <f aca="false">H7747*57.54*(1+'Chart of Accounts'!$E$67)</f>
        <v>59.953803</v>
      </c>
    </row>
    <row r="7748" customFormat="false" ht="15" hidden="false" customHeight="false" outlineLevel="0" collapsed="false">
      <c r="B7748" s="7" t="s">
        <v>8245</v>
      </c>
      <c r="C7748" s="39" t="n">
        <v>46008</v>
      </c>
      <c r="D7748" s="7" t="s">
        <v>313</v>
      </c>
      <c r="E7748" s="7" t="s">
        <v>156</v>
      </c>
      <c r="F7748" s="7" t="s">
        <v>184</v>
      </c>
      <c r="G7748" s="7" t="s">
        <v>505</v>
      </c>
      <c r="H7748" s="6" t="n">
        <v>3.75</v>
      </c>
      <c r="I7748" s="6" t="n">
        <v>0</v>
      </c>
      <c r="J7748" s="40" t="n">
        <f aca="false">H7748-I7748</f>
        <v>3.75</v>
      </c>
      <c r="K7748" s="41" t="n">
        <v>34</v>
      </c>
      <c r="L7748" s="42" t="n">
        <f aca="false">J7748*K7748</f>
        <v>127.5</v>
      </c>
      <c r="M7748" s="43" t="n">
        <f aca="false">H7748*17.34*(1+'Chart of Accounts'!$E$67)</f>
        <v>74.453625</v>
      </c>
    </row>
    <row r="7749" customFormat="false" ht="15" hidden="false" customHeight="false" outlineLevel="0" collapsed="false">
      <c r="B7749" s="7" t="s">
        <v>8246</v>
      </c>
      <c r="C7749" s="39" t="n">
        <v>46008</v>
      </c>
      <c r="D7749" s="7" t="s">
        <v>315</v>
      </c>
      <c r="E7749" s="7" t="s">
        <v>159</v>
      </c>
      <c r="F7749" s="7" t="s">
        <v>216</v>
      </c>
      <c r="G7749" s="7" t="s">
        <v>502</v>
      </c>
      <c r="H7749" s="6" t="n">
        <v>1.06</v>
      </c>
      <c r="I7749" s="6" t="n">
        <v>0</v>
      </c>
      <c r="J7749" s="40" t="n">
        <f aca="false">H7749-I7749</f>
        <v>1.06</v>
      </c>
      <c r="K7749" s="41" t="n">
        <v>135</v>
      </c>
      <c r="L7749" s="42" t="n">
        <f aca="false">J7749*K7749</f>
        <v>143.1</v>
      </c>
      <c r="M7749" s="43" t="n">
        <f aca="false">H7749*61.79*(1+'Chart of Accounts'!$E$67)</f>
        <v>74.994523</v>
      </c>
    </row>
    <row r="7750" customFormat="false" ht="15" hidden="false" customHeight="false" outlineLevel="0" collapsed="false">
      <c r="B7750" s="7" t="s">
        <v>8247</v>
      </c>
      <c r="C7750" s="39" t="n">
        <v>46008</v>
      </c>
      <c r="D7750" s="7" t="s">
        <v>321</v>
      </c>
      <c r="E7750" s="7" t="s">
        <v>154</v>
      </c>
      <c r="F7750" s="7" t="s">
        <v>218</v>
      </c>
      <c r="G7750" s="7" t="s">
        <v>505</v>
      </c>
      <c r="H7750" s="6" t="n">
        <v>3.82</v>
      </c>
      <c r="I7750" s="6" t="n">
        <v>0.115</v>
      </c>
      <c r="J7750" s="40" t="n">
        <f aca="false">H7750-I7750</f>
        <v>3.705</v>
      </c>
      <c r="K7750" s="41" t="n">
        <v>26.5</v>
      </c>
      <c r="L7750" s="42" t="n">
        <f aca="false">J7750*K7750</f>
        <v>98.1825</v>
      </c>
      <c r="M7750" s="43" t="n">
        <f aca="false">H7750*16.19*(1+'Chart of Accounts'!$E$67)</f>
        <v>70.813441</v>
      </c>
    </row>
    <row r="7751" customFormat="false" ht="15" hidden="false" customHeight="false" outlineLevel="0" collapsed="false">
      <c r="B7751" s="7" t="s">
        <v>8248</v>
      </c>
      <c r="C7751" s="39" t="n">
        <v>46008</v>
      </c>
      <c r="D7751" s="7" t="s">
        <v>329</v>
      </c>
      <c r="E7751" s="7" t="s">
        <v>156</v>
      </c>
      <c r="F7751" s="7" t="s">
        <v>220</v>
      </c>
      <c r="G7751" s="7" t="s">
        <v>505</v>
      </c>
      <c r="H7751" s="6" t="n">
        <v>3.6</v>
      </c>
      <c r="I7751" s="6" t="n">
        <v>0</v>
      </c>
      <c r="J7751" s="40" t="n">
        <f aca="false">H7751-I7751</f>
        <v>3.6</v>
      </c>
      <c r="K7751" s="41" t="n">
        <v>34</v>
      </c>
      <c r="L7751" s="42" t="n">
        <f aca="false">J7751*K7751</f>
        <v>122.4</v>
      </c>
      <c r="M7751" s="43" t="n">
        <f aca="false">H7751*16.43*(1+'Chart of Accounts'!$E$67)</f>
        <v>67.72446</v>
      </c>
    </row>
    <row r="7752" customFormat="false" ht="15" hidden="false" customHeight="false" outlineLevel="0" collapsed="false">
      <c r="B7752" s="7" t="s">
        <v>8249</v>
      </c>
      <c r="C7752" s="39" t="n">
        <v>46008</v>
      </c>
      <c r="D7752" s="7" t="s">
        <v>333</v>
      </c>
      <c r="E7752" s="7" t="s">
        <v>154</v>
      </c>
      <c r="F7752" s="7" t="s">
        <v>236</v>
      </c>
      <c r="G7752" s="7" t="s">
        <v>505</v>
      </c>
      <c r="H7752" s="6" t="n">
        <v>3.5</v>
      </c>
      <c r="I7752" s="6" t="n">
        <v>0</v>
      </c>
      <c r="J7752" s="40" t="n">
        <f aca="false">H7752-I7752</f>
        <v>3.5</v>
      </c>
      <c r="K7752" s="41" t="n">
        <v>26.5</v>
      </c>
      <c r="L7752" s="42" t="n">
        <f aca="false">J7752*K7752</f>
        <v>92.75</v>
      </c>
      <c r="M7752" s="43" t="n">
        <f aca="false">H7752*15.49*(1+'Chart of Accounts'!$E$67)</f>
        <v>62.076175</v>
      </c>
    </row>
    <row r="7753" customFormat="false" ht="15" hidden="false" customHeight="false" outlineLevel="0" collapsed="false">
      <c r="B7753" s="7" t="s">
        <v>8250</v>
      </c>
      <c r="C7753" s="39" t="n">
        <v>46008</v>
      </c>
      <c r="D7753" s="7" t="s">
        <v>335</v>
      </c>
      <c r="E7753" s="7" t="s">
        <v>154</v>
      </c>
      <c r="F7753" s="7" t="s">
        <v>177</v>
      </c>
      <c r="G7753" s="7" t="s">
        <v>505</v>
      </c>
      <c r="H7753" s="6" t="n">
        <v>4.24</v>
      </c>
      <c r="I7753" s="6" t="n">
        <v>0</v>
      </c>
      <c r="J7753" s="40" t="n">
        <f aca="false">H7753-I7753</f>
        <v>4.24</v>
      </c>
      <c r="K7753" s="41" t="n">
        <v>26.5</v>
      </c>
      <c r="L7753" s="42" t="n">
        <f aca="false">J7753*K7753</f>
        <v>112.36</v>
      </c>
      <c r="M7753" s="43" t="n">
        <f aca="false">H7753*14.56*(1+'Chart of Accounts'!$E$67)</f>
        <v>70.685888</v>
      </c>
    </row>
    <row r="7754" customFormat="false" ht="15" hidden="false" customHeight="false" outlineLevel="0" collapsed="false">
      <c r="B7754" s="7" t="s">
        <v>8251</v>
      </c>
      <c r="C7754" s="39" t="n">
        <v>46008</v>
      </c>
      <c r="D7754" s="7" t="s">
        <v>339</v>
      </c>
      <c r="E7754" s="7" t="s">
        <v>154</v>
      </c>
      <c r="F7754" s="7" t="s">
        <v>242</v>
      </c>
      <c r="G7754" s="7" t="s">
        <v>505</v>
      </c>
      <c r="H7754" s="6" t="n">
        <v>3.15</v>
      </c>
      <c r="I7754" s="6" t="n">
        <v>0</v>
      </c>
      <c r="J7754" s="40" t="n">
        <f aca="false">H7754-I7754</f>
        <v>3.15</v>
      </c>
      <c r="K7754" s="41" t="n">
        <v>26.5</v>
      </c>
      <c r="L7754" s="42" t="n">
        <f aca="false">J7754*K7754</f>
        <v>83.475</v>
      </c>
      <c r="M7754" s="43" t="n">
        <f aca="false">H7754*17.99*(1+'Chart of Accounts'!$E$67)</f>
        <v>64.8854325</v>
      </c>
    </row>
    <row r="7755" customFormat="false" ht="15" hidden="false" customHeight="false" outlineLevel="0" collapsed="false">
      <c r="B7755" s="7" t="s">
        <v>8252</v>
      </c>
      <c r="C7755" s="39" t="n">
        <v>46008</v>
      </c>
      <c r="D7755" s="7" t="s">
        <v>349</v>
      </c>
      <c r="E7755" s="7" t="s">
        <v>154</v>
      </c>
      <c r="F7755" s="7" t="s">
        <v>244</v>
      </c>
      <c r="G7755" s="7" t="s">
        <v>505</v>
      </c>
      <c r="H7755" s="6" t="n">
        <v>3.9</v>
      </c>
      <c r="I7755" s="6" t="n">
        <v>0</v>
      </c>
      <c r="J7755" s="40" t="n">
        <f aca="false">H7755-I7755</f>
        <v>3.9</v>
      </c>
      <c r="K7755" s="41" t="n">
        <v>26.5</v>
      </c>
      <c r="L7755" s="42" t="n">
        <f aca="false">J7755*K7755</f>
        <v>103.35</v>
      </c>
      <c r="M7755" s="43" t="n">
        <f aca="false">H7755*16.39*(1+'Chart of Accounts'!$E$67)</f>
        <v>73.189545</v>
      </c>
    </row>
    <row r="7756" customFormat="false" ht="15" hidden="false" customHeight="false" outlineLevel="0" collapsed="false">
      <c r="B7756" s="7" t="s">
        <v>8253</v>
      </c>
      <c r="C7756" s="39" t="n">
        <v>46008</v>
      </c>
      <c r="D7756" s="7" t="s">
        <v>353</v>
      </c>
      <c r="E7756" s="7" t="s">
        <v>154</v>
      </c>
      <c r="F7756" s="7" t="s">
        <v>254</v>
      </c>
      <c r="G7756" s="7" t="s">
        <v>505</v>
      </c>
      <c r="H7756" s="6" t="n">
        <v>3.25</v>
      </c>
      <c r="I7756" s="6" t="n">
        <v>0</v>
      </c>
      <c r="J7756" s="40" t="n">
        <f aca="false">H7756-I7756</f>
        <v>3.25</v>
      </c>
      <c r="K7756" s="41" t="n">
        <v>26.5</v>
      </c>
      <c r="L7756" s="42" t="n">
        <f aca="false">J7756*K7756</f>
        <v>86.125</v>
      </c>
      <c r="M7756" s="43" t="n">
        <f aca="false">H7756*17.1*(1+'Chart of Accounts'!$E$67)</f>
        <v>63.633375</v>
      </c>
    </row>
    <row r="7757" customFormat="false" ht="15" hidden="false" customHeight="false" outlineLevel="0" collapsed="false">
      <c r="B7757" s="7" t="s">
        <v>8254</v>
      </c>
      <c r="C7757" s="39" t="n">
        <v>46008</v>
      </c>
      <c r="D7757" s="7" t="s">
        <v>355</v>
      </c>
      <c r="E7757" s="7" t="s">
        <v>154</v>
      </c>
      <c r="F7757" s="7" t="s">
        <v>201</v>
      </c>
      <c r="G7757" s="7" t="s">
        <v>505</v>
      </c>
      <c r="H7757" s="6" t="n">
        <v>3.02</v>
      </c>
      <c r="I7757" s="6" t="n">
        <v>0</v>
      </c>
      <c r="J7757" s="40" t="n">
        <f aca="false">H7757-I7757</f>
        <v>3.02</v>
      </c>
      <c r="K7757" s="41" t="n">
        <v>26.5</v>
      </c>
      <c r="L7757" s="42" t="n">
        <f aca="false">J7757*K7757</f>
        <v>80.03</v>
      </c>
      <c r="M7757" s="43" t="n">
        <f aca="false">H7757*15.19*(1+'Chart of Accounts'!$E$67)</f>
        <v>52.525501</v>
      </c>
    </row>
    <row r="7758" customFormat="false" ht="15" hidden="false" customHeight="false" outlineLevel="0" collapsed="false">
      <c r="B7758" s="7" t="s">
        <v>8255</v>
      </c>
      <c r="C7758" s="39" t="n">
        <v>46008</v>
      </c>
      <c r="D7758" s="7" t="s">
        <v>357</v>
      </c>
      <c r="E7758" s="7" t="s">
        <v>154</v>
      </c>
      <c r="F7758" s="7" t="s">
        <v>218</v>
      </c>
      <c r="G7758" s="7" t="s">
        <v>505</v>
      </c>
      <c r="H7758" s="6" t="n">
        <v>3.54</v>
      </c>
      <c r="I7758" s="6" t="n">
        <v>0</v>
      </c>
      <c r="J7758" s="40" t="n">
        <f aca="false">H7758-I7758</f>
        <v>3.54</v>
      </c>
      <c r="K7758" s="41" t="n">
        <v>26.5</v>
      </c>
      <c r="L7758" s="42" t="n">
        <f aca="false">J7758*K7758</f>
        <v>93.81</v>
      </c>
      <c r="M7758" s="43" t="n">
        <f aca="false">H7758*16.19*(1+'Chart of Accounts'!$E$67)</f>
        <v>65.622927</v>
      </c>
    </row>
    <row r="7759" customFormat="false" ht="15" hidden="false" customHeight="false" outlineLevel="0" collapsed="false">
      <c r="B7759" s="7" t="s">
        <v>8256</v>
      </c>
      <c r="C7759" s="39" t="n">
        <v>46008</v>
      </c>
      <c r="D7759" s="7" t="s">
        <v>359</v>
      </c>
      <c r="E7759" s="7" t="s">
        <v>156</v>
      </c>
      <c r="F7759" s="7" t="s">
        <v>201</v>
      </c>
      <c r="G7759" s="7" t="s">
        <v>505</v>
      </c>
      <c r="H7759" s="6" t="n">
        <v>3.74</v>
      </c>
      <c r="I7759" s="6" t="n">
        <v>0</v>
      </c>
      <c r="J7759" s="40" t="n">
        <f aca="false">H7759-I7759</f>
        <v>3.74</v>
      </c>
      <c r="K7759" s="41" t="n">
        <v>34</v>
      </c>
      <c r="L7759" s="42" t="n">
        <f aca="false">J7759*K7759</f>
        <v>127.16</v>
      </c>
      <c r="M7759" s="43" t="n">
        <f aca="false">H7759*15.19*(1+'Chart of Accounts'!$E$67)</f>
        <v>65.048137</v>
      </c>
    </row>
    <row r="7760" customFormat="false" ht="15" hidden="false" customHeight="false" outlineLevel="0" collapsed="false">
      <c r="B7760" s="7" t="s">
        <v>8257</v>
      </c>
      <c r="C7760" s="39" t="n">
        <v>46008</v>
      </c>
      <c r="D7760" s="7" t="s">
        <v>365</v>
      </c>
      <c r="E7760" s="7" t="s">
        <v>154</v>
      </c>
      <c r="F7760" s="7" t="s">
        <v>194</v>
      </c>
      <c r="G7760" s="7" t="s">
        <v>505</v>
      </c>
      <c r="H7760" s="6" t="n">
        <v>3.87</v>
      </c>
      <c r="I7760" s="6" t="n">
        <v>0</v>
      </c>
      <c r="J7760" s="40" t="n">
        <f aca="false">H7760-I7760</f>
        <v>3.87</v>
      </c>
      <c r="K7760" s="41" t="n">
        <v>26.5</v>
      </c>
      <c r="L7760" s="42" t="n">
        <f aca="false">J7760*K7760</f>
        <v>102.555</v>
      </c>
      <c r="M7760" s="43" t="n">
        <f aca="false">H7760*16*(1+'Chart of Accounts'!$E$67)</f>
        <v>70.8984</v>
      </c>
    </row>
    <row r="7761" customFormat="false" ht="15" hidden="false" customHeight="false" outlineLevel="0" collapsed="false">
      <c r="B7761" s="7" t="s">
        <v>8258</v>
      </c>
      <c r="C7761" s="39" t="n">
        <v>46008</v>
      </c>
      <c r="D7761" s="7" t="s">
        <v>379</v>
      </c>
      <c r="E7761" s="7" t="s">
        <v>156</v>
      </c>
      <c r="F7761" s="7" t="s">
        <v>224</v>
      </c>
      <c r="G7761" s="7" t="s">
        <v>505</v>
      </c>
      <c r="H7761" s="6" t="n">
        <v>4.35</v>
      </c>
      <c r="I7761" s="6" t="n">
        <v>0</v>
      </c>
      <c r="J7761" s="40" t="n">
        <f aca="false">H7761-I7761</f>
        <v>4.35</v>
      </c>
      <c r="K7761" s="41" t="n">
        <v>34</v>
      </c>
      <c r="L7761" s="42" t="n">
        <f aca="false">J7761*K7761</f>
        <v>147.9</v>
      </c>
      <c r="M7761" s="43" t="n">
        <f aca="false">H7761*14.93*(1+'Chart of Accounts'!$E$67)</f>
        <v>74.3625975</v>
      </c>
    </row>
    <row r="7762" customFormat="false" ht="15" hidden="false" customHeight="false" outlineLevel="0" collapsed="false">
      <c r="B7762" s="7" t="s">
        <v>8259</v>
      </c>
      <c r="C7762" s="39" t="n">
        <v>46008</v>
      </c>
      <c r="D7762" s="7" t="s">
        <v>385</v>
      </c>
      <c r="E7762" s="7" t="s">
        <v>156</v>
      </c>
      <c r="F7762" s="7" t="s">
        <v>238</v>
      </c>
      <c r="G7762" s="7" t="s">
        <v>505</v>
      </c>
      <c r="H7762" s="6" t="n">
        <v>4.32</v>
      </c>
      <c r="I7762" s="6" t="n">
        <v>0</v>
      </c>
      <c r="J7762" s="40" t="n">
        <f aca="false">H7762-I7762</f>
        <v>4.32</v>
      </c>
      <c r="K7762" s="41" t="n">
        <v>34</v>
      </c>
      <c r="L7762" s="42" t="n">
        <f aca="false">J7762*K7762</f>
        <v>146.88</v>
      </c>
      <c r="M7762" s="43" t="n">
        <f aca="false">H7762*15.85*(1+'Chart of Accounts'!$E$67)</f>
        <v>78.40044</v>
      </c>
    </row>
    <row r="7763" customFormat="false" ht="15" hidden="false" customHeight="false" outlineLevel="0" collapsed="false">
      <c r="B7763" s="7" t="s">
        <v>8260</v>
      </c>
      <c r="C7763" s="39" t="n">
        <v>46008</v>
      </c>
      <c r="D7763" s="7" t="s">
        <v>387</v>
      </c>
      <c r="E7763" s="7" t="s">
        <v>154</v>
      </c>
      <c r="F7763" s="7" t="s">
        <v>196</v>
      </c>
      <c r="G7763" s="7" t="s">
        <v>505</v>
      </c>
      <c r="H7763" s="6" t="n">
        <v>3.9</v>
      </c>
      <c r="I7763" s="6" t="n">
        <v>0</v>
      </c>
      <c r="J7763" s="40" t="n">
        <f aca="false">H7763-I7763</f>
        <v>3.9</v>
      </c>
      <c r="K7763" s="41" t="n">
        <v>26.5</v>
      </c>
      <c r="L7763" s="42" t="n">
        <f aca="false">J7763*K7763</f>
        <v>103.35</v>
      </c>
      <c r="M7763" s="43" t="n">
        <f aca="false">H7763*15.05*(1+'Chart of Accounts'!$E$67)</f>
        <v>67.205775</v>
      </c>
    </row>
    <row r="7764" customFormat="false" ht="15" hidden="false" customHeight="false" outlineLevel="0" collapsed="false">
      <c r="B7764" s="7" t="s">
        <v>8261</v>
      </c>
      <c r="C7764" s="39" t="n">
        <v>46008</v>
      </c>
      <c r="D7764" s="7" t="s">
        <v>389</v>
      </c>
      <c r="E7764" s="7" t="s">
        <v>154</v>
      </c>
      <c r="F7764" s="7" t="s">
        <v>246</v>
      </c>
      <c r="G7764" s="7" t="s">
        <v>505</v>
      </c>
      <c r="H7764" s="6" t="n">
        <v>3.98</v>
      </c>
      <c r="I7764" s="6" t="n">
        <v>0.119</v>
      </c>
      <c r="J7764" s="40" t="n">
        <f aca="false">H7764-I7764</f>
        <v>3.861</v>
      </c>
      <c r="K7764" s="41" t="n">
        <v>26.5</v>
      </c>
      <c r="L7764" s="42" t="n">
        <f aca="false">J7764*K7764</f>
        <v>102.3165</v>
      </c>
      <c r="M7764" s="43" t="n">
        <f aca="false">H7764*16.48*(1+'Chart of Accounts'!$E$67)</f>
        <v>75.101008</v>
      </c>
    </row>
    <row r="7765" customFormat="false" ht="15" hidden="false" customHeight="false" outlineLevel="0" collapsed="false">
      <c r="B7765" s="7" t="s">
        <v>8262</v>
      </c>
      <c r="C7765" s="39" t="n">
        <v>46008</v>
      </c>
      <c r="D7765" s="7" t="s">
        <v>391</v>
      </c>
      <c r="E7765" s="7" t="s">
        <v>156</v>
      </c>
      <c r="F7765" s="7" t="s">
        <v>222</v>
      </c>
      <c r="G7765" s="7" t="s">
        <v>505</v>
      </c>
      <c r="H7765" s="6" t="n">
        <v>4.06</v>
      </c>
      <c r="I7765" s="6" t="n">
        <v>0</v>
      </c>
      <c r="J7765" s="40" t="n">
        <f aca="false">H7765-I7765</f>
        <v>4.06</v>
      </c>
      <c r="K7765" s="41" t="n">
        <v>34</v>
      </c>
      <c r="L7765" s="42" t="n">
        <f aca="false">J7765*K7765</f>
        <v>138.04</v>
      </c>
      <c r="M7765" s="43" t="n">
        <f aca="false">H7765*17.84*(1+'Chart of Accounts'!$E$67)</f>
        <v>82.932808</v>
      </c>
    </row>
    <row r="7766" customFormat="false" ht="15" hidden="false" customHeight="false" outlineLevel="0" collapsed="false">
      <c r="B7766" s="7" t="s">
        <v>8263</v>
      </c>
      <c r="C7766" s="39" t="n">
        <v>46008</v>
      </c>
      <c r="D7766" s="7" t="s">
        <v>393</v>
      </c>
      <c r="E7766" s="7" t="s">
        <v>157</v>
      </c>
      <c r="F7766" s="7" t="s">
        <v>203</v>
      </c>
      <c r="G7766" s="7" t="s">
        <v>502</v>
      </c>
      <c r="H7766" s="6" t="n">
        <v>1.09</v>
      </c>
      <c r="I7766" s="6" t="n">
        <v>0</v>
      </c>
      <c r="J7766" s="40" t="n">
        <f aca="false">H7766-I7766</f>
        <v>1.09</v>
      </c>
      <c r="K7766" s="41" t="n">
        <v>165</v>
      </c>
      <c r="L7766" s="42" t="n">
        <f aca="false">J7766*K7766</f>
        <v>179.85</v>
      </c>
      <c r="M7766" s="43" t="n">
        <f aca="false">H7766*49.43*(1+'Chart of Accounts'!$E$67)</f>
        <v>61.6911115</v>
      </c>
    </row>
    <row r="7767" customFormat="false" ht="15" hidden="false" customHeight="false" outlineLevel="0" collapsed="false">
      <c r="B7767" s="7" t="s">
        <v>8264</v>
      </c>
      <c r="C7767" s="39" t="n">
        <v>46008</v>
      </c>
      <c r="D7767" s="7" t="s">
        <v>395</v>
      </c>
      <c r="E7767" s="7" t="s">
        <v>156</v>
      </c>
      <c r="F7767" s="7" t="s">
        <v>242</v>
      </c>
      <c r="G7767" s="7" t="s">
        <v>505</v>
      </c>
      <c r="H7767" s="6" t="n">
        <v>4.08</v>
      </c>
      <c r="I7767" s="6" t="n">
        <v>0</v>
      </c>
      <c r="J7767" s="40" t="n">
        <f aca="false">H7767-I7767</f>
        <v>4.08</v>
      </c>
      <c r="K7767" s="41" t="n">
        <v>34</v>
      </c>
      <c r="L7767" s="42" t="n">
        <f aca="false">J7767*K7767</f>
        <v>138.72</v>
      </c>
      <c r="M7767" s="43" t="n">
        <f aca="false">H7767*17.99*(1+'Chart of Accounts'!$E$67)</f>
        <v>84.042084</v>
      </c>
    </row>
    <row r="7768" customFormat="false" ht="15" hidden="false" customHeight="false" outlineLevel="0" collapsed="false">
      <c r="B7768" s="7" t="s">
        <v>8265</v>
      </c>
      <c r="C7768" s="39" t="n">
        <v>46008</v>
      </c>
      <c r="D7768" s="7" t="s">
        <v>399</v>
      </c>
      <c r="E7768" s="7" t="s">
        <v>154</v>
      </c>
      <c r="F7768" s="7" t="s">
        <v>196</v>
      </c>
      <c r="G7768" s="7" t="s">
        <v>505</v>
      </c>
      <c r="H7768" s="6" t="n">
        <v>3.22</v>
      </c>
      <c r="I7768" s="6" t="n">
        <v>0</v>
      </c>
      <c r="J7768" s="40" t="n">
        <f aca="false">H7768-I7768</f>
        <v>3.22</v>
      </c>
      <c r="K7768" s="41" t="n">
        <v>26.5</v>
      </c>
      <c r="L7768" s="42" t="n">
        <f aca="false">J7768*K7768</f>
        <v>85.33</v>
      </c>
      <c r="M7768" s="43" t="n">
        <f aca="false">H7768*15.05*(1+'Chart of Accounts'!$E$67)</f>
        <v>55.487845</v>
      </c>
    </row>
    <row r="7769" customFormat="false" ht="15" hidden="false" customHeight="false" outlineLevel="0" collapsed="false">
      <c r="B7769" s="7" t="s">
        <v>8266</v>
      </c>
      <c r="C7769" s="39" t="n">
        <v>46008</v>
      </c>
      <c r="D7769" s="7" t="s">
        <v>403</v>
      </c>
      <c r="E7769" s="7" t="s">
        <v>156</v>
      </c>
      <c r="F7769" s="7" t="s">
        <v>184</v>
      </c>
      <c r="G7769" s="7" t="s">
        <v>505</v>
      </c>
      <c r="H7769" s="6" t="n">
        <v>4.24</v>
      </c>
      <c r="I7769" s="6" t="n">
        <v>0</v>
      </c>
      <c r="J7769" s="40" t="n">
        <f aca="false">H7769-I7769</f>
        <v>4.24</v>
      </c>
      <c r="K7769" s="41" t="n">
        <v>34</v>
      </c>
      <c r="L7769" s="42" t="n">
        <f aca="false">J7769*K7769</f>
        <v>144.16</v>
      </c>
      <c r="M7769" s="43" t="n">
        <f aca="false">H7769*17.34*(1+'Chart of Accounts'!$E$67)</f>
        <v>84.182232</v>
      </c>
    </row>
    <row r="7770" customFormat="false" ht="15" hidden="false" customHeight="false" outlineLevel="0" collapsed="false">
      <c r="B7770" s="7" t="s">
        <v>8267</v>
      </c>
      <c r="C7770" s="39" t="n">
        <v>46008</v>
      </c>
      <c r="D7770" s="7" t="s">
        <v>409</v>
      </c>
      <c r="E7770" s="7" t="s">
        <v>154</v>
      </c>
      <c r="F7770" s="7" t="s">
        <v>214</v>
      </c>
      <c r="G7770" s="7" t="s">
        <v>505</v>
      </c>
      <c r="H7770" s="6" t="n">
        <v>3.34</v>
      </c>
      <c r="I7770" s="6" t="n">
        <v>0</v>
      </c>
      <c r="J7770" s="40" t="n">
        <f aca="false">H7770-I7770</f>
        <v>3.34</v>
      </c>
      <c r="K7770" s="41" t="n">
        <v>26.5</v>
      </c>
      <c r="L7770" s="42" t="n">
        <f aca="false">J7770*K7770</f>
        <v>88.51</v>
      </c>
      <c r="M7770" s="43" t="n">
        <f aca="false">H7770*15.67*(1+'Chart of Accounts'!$E$67)</f>
        <v>59.926781</v>
      </c>
    </row>
    <row r="7771" customFormat="false" ht="15" hidden="false" customHeight="false" outlineLevel="0" collapsed="false">
      <c r="B7771" s="7" t="s">
        <v>8268</v>
      </c>
      <c r="C7771" s="39" t="n">
        <v>46008</v>
      </c>
      <c r="D7771" s="7" t="s">
        <v>411</v>
      </c>
      <c r="E7771" s="7" t="s">
        <v>154</v>
      </c>
      <c r="F7771" s="7" t="s">
        <v>177</v>
      </c>
      <c r="G7771" s="7" t="s">
        <v>505</v>
      </c>
      <c r="H7771" s="6" t="n">
        <v>5.12</v>
      </c>
      <c r="I7771" s="6" t="n">
        <v>0</v>
      </c>
      <c r="J7771" s="40" t="n">
        <f aca="false">H7771-I7771</f>
        <v>5.12</v>
      </c>
      <c r="K7771" s="41" t="n">
        <v>26.5</v>
      </c>
      <c r="L7771" s="42" t="n">
        <f aca="false">J7771*K7771</f>
        <v>135.68</v>
      </c>
      <c r="M7771" s="43" t="n">
        <f aca="false">H7771*14.56*(1+'Chart of Accounts'!$E$67)</f>
        <v>85.356544</v>
      </c>
    </row>
    <row r="7772" customFormat="false" ht="15" hidden="false" customHeight="false" outlineLevel="0" collapsed="false">
      <c r="B7772" s="7" t="s">
        <v>8269</v>
      </c>
      <c r="C7772" s="39" t="n">
        <v>46009</v>
      </c>
      <c r="D7772" s="7" t="s">
        <v>288</v>
      </c>
      <c r="E7772" s="7" t="s">
        <v>156</v>
      </c>
      <c r="F7772" s="7" t="s">
        <v>238</v>
      </c>
      <c r="G7772" s="7" t="s">
        <v>505</v>
      </c>
      <c r="H7772" s="6" t="n">
        <v>3.92</v>
      </c>
      <c r="I7772" s="6" t="n">
        <v>0</v>
      </c>
      <c r="J7772" s="40" t="n">
        <f aca="false">H7772-I7772</f>
        <v>3.92</v>
      </c>
      <c r="K7772" s="41" t="n">
        <v>34</v>
      </c>
      <c r="L7772" s="42" t="n">
        <f aca="false">J7772*K7772</f>
        <v>133.28</v>
      </c>
      <c r="M7772" s="43" t="n">
        <f aca="false">H7772*15.85*(1+'Chart of Accounts'!$E$67)</f>
        <v>71.14114</v>
      </c>
    </row>
    <row r="7773" customFormat="false" ht="15" hidden="false" customHeight="false" outlineLevel="0" collapsed="false">
      <c r="B7773" s="7" t="s">
        <v>8270</v>
      </c>
      <c r="C7773" s="39" t="n">
        <v>46009</v>
      </c>
      <c r="D7773" s="7" t="s">
        <v>297</v>
      </c>
      <c r="E7773" s="7" t="s">
        <v>156</v>
      </c>
      <c r="F7773" s="7" t="s">
        <v>201</v>
      </c>
      <c r="G7773" s="7" t="s">
        <v>505</v>
      </c>
      <c r="H7773" s="6" t="n">
        <v>3.05</v>
      </c>
      <c r="I7773" s="6" t="n">
        <v>0</v>
      </c>
      <c r="J7773" s="40" t="n">
        <f aca="false">H7773-I7773</f>
        <v>3.05</v>
      </c>
      <c r="K7773" s="41" t="n">
        <v>34</v>
      </c>
      <c r="L7773" s="42" t="n">
        <f aca="false">J7773*K7773</f>
        <v>103.7</v>
      </c>
      <c r="M7773" s="43" t="n">
        <f aca="false">H7773*15.19*(1+'Chart of Accounts'!$E$67)</f>
        <v>53.0472775</v>
      </c>
    </row>
    <row r="7774" customFormat="false" ht="15" hidden="false" customHeight="false" outlineLevel="0" collapsed="false">
      <c r="B7774" s="7" t="s">
        <v>8271</v>
      </c>
      <c r="C7774" s="39" t="n">
        <v>46009</v>
      </c>
      <c r="D7774" s="7" t="s">
        <v>299</v>
      </c>
      <c r="E7774" s="7" t="s">
        <v>154</v>
      </c>
      <c r="F7774" s="7" t="s">
        <v>205</v>
      </c>
      <c r="G7774" s="7" t="s">
        <v>505</v>
      </c>
      <c r="H7774" s="6" t="n">
        <v>2.71</v>
      </c>
      <c r="I7774" s="6" t="n">
        <v>0</v>
      </c>
      <c r="J7774" s="40" t="n">
        <f aca="false">H7774-I7774</f>
        <v>2.71</v>
      </c>
      <c r="K7774" s="41" t="n">
        <v>26.5</v>
      </c>
      <c r="L7774" s="42" t="n">
        <f aca="false">J7774*K7774</f>
        <v>71.815</v>
      </c>
      <c r="M7774" s="43" t="n">
        <f aca="false">H7774*16.36*(1+'Chart of Accounts'!$E$67)</f>
        <v>50.764262</v>
      </c>
    </row>
    <row r="7775" customFormat="false" ht="15" hidden="false" customHeight="false" outlineLevel="0" collapsed="false">
      <c r="B7775" s="7" t="s">
        <v>8272</v>
      </c>
      <c r="C7775" s="39" t="n">
        <v>46009</v>
      </c>
      <c r="D7775" s="7" t="s">
        <v>303</v>
      </c>
      <c r="E7775" s="7" t="s">
        <v>154</v>
      </c>
      <c r="F7775" s="7" t="s">
        <v>240</v>
      </c>
      <c r="G7775" s="7" t="s">
        <v>505</v>
      </c>
      <c r="H7775" s="6" t="n">
        <v>4.28</v>
      </c>
      <c r="I7775" s="6" t="n">
        <v>0</v>
      </c>
      <c r="J7775" s="40" t="n">
        <f aca="false">H7775-I7775</f>
        <v>4.28</v>
      </c>
      <c r="K7775" s="41" t="n">
        <v>26.5</v>
      </c>
      <c r="L7775" s="42" t="n">
        <f aca="false">J7775*K7775</f>
        <v>113.42</v>
      </c>
      <c r="M7775" s="43" t="n">
        <f aca="false">H7775*16.96*(1+'Chart of Accounts'!$E$67)</f>
        <v>83.114176</v>
      </c>
    </row>
    <row r="7776" customFormat="false" ht="15" hidden="false" customHeight="false" outlineLevel="0" collapsed="false">
      <c r="B7776" s="7" t="s">
        <v>8273</v>
      </c>
      <c r="C7776" s="39" t="n">
        <v>46009</v>
      </c>
      <c r="D7776" s="7" t="s">
        <v>311</v>
      </c>
      <c r="E7776" s="7" t="s">
        <v>154</v>
      </c>
      <c r="F7776" s="7" t="s">
        <v>196</v>
      </c>
      <c r="G7776" s="7" t="s">
        <v>505</v>
      </c>
      <c r="H7776" s="6" t="n">
        <v>3.22</v>
      </c>
      <c r="I7776" s="6" t="n">
        <v>0.097</v>
      </c>
      <c r="J7776" s="40" t="n">
        <f aca="false">H7776-I7776</f>
        <v>3.123</v>
      </c>
      <c r="K7776" s="41" t="n">
        <v>26.5</v>
      </c>
      <c r="L7776" s="42" t="n">
        <f aca="false">J7776*K7776</f>
        <v>82.7595</v>
      </c>
      <c r="M7776" s="43" t="n">
        <f aca="false">H7776*15.05*(1+'Chart of Accounts'!$E$67)</f>
        <v>55.487845</v>
      </c>
    </row>
    <row r="7777" customFormat="false" ht="15" hidden="false" customHeight="false" outlineLevel="0" collapsed="false">
      <c r="B7777" s="7" t="s">
        <v>8274</v>
      </c>
      <c r="C7777" s="39" t="n">
        <v>46009</v>
      </c>
      <c r="D7777" s="7" t="s">
        <v>313</v>
      </c>
      <c r="E7777" s="7" t="s">
        <v>156</v>
      </c>
      <c r="F7777" s="7" t="s">
        <v>184</v>
      </c>
      <c r="G7777" s="7" t="s">
        <v>505</v>
      </c>
      <c r="H7777" s="6" t="n">
        <v>4.28</v>
      </c>
      <c r="I7777" s="6" t="n">
        <v>0</v>
      </c>
      <c r="J7777" s="40" t="n">
        <f aca="false">H7777-I7777</f>
        <v>4.28</v>
      </c>
      <c r="K7777" s="41" t="n">
        <v>34</v>
      </c>
      <c r="L7777" s="42" t="n">
        <f aca="false">J7777*K7777</f>
        <v>145.52</v>
      </c>
      <c r="M7777" s="43" t="n">
        <f aca="false">H7777*17.34*(1+'Chart of Accounts'!$E$67)</f>
        <v>84.976404</v>
      </c>
    </row>
    <row r="7778" customFormat="false" ht="15" hidden="false" customHeight="false" outlineLevel="0" collapsed="false">
      <c r="B7778" s="7" t="s">
        <v>8275</v>
      </c>
      <c r="C7778" s="39" t="n">
        <v>46009</v>
      </c>
      <c r="D7778" s="7" t="s">
        <v>317</v>
      </c>
      <c r="E7778" s="7" t="s">
        <v>156</v>
      </c>
      <c r="F7778" s="7" t="s">
        <v>214</v>
      </c>
      <c r="G7778" s="7" t="s">
        <v>505</v>
      </c>
      <c r="H7778" s="6" t="n">
        <v>2.75</v>
      </c>
      <c r="I7778" s="6" t="n">
        <v>0</v>
      </c>
      <c r="J7778" s="40" t="n">
        <f aca="false">H7778-I7778</f>
        <v>2.75</v>
      </c>
      <c r="K7778" s="41" t="n">
        <v>34</v>
      </c>
      <c r="L7778" s="42" t="n">
        <f aca="false">J7778*K7778</f>
        <v>93.5</v>
      </c>
      <c r="M7778" s="43" t="n">
        <f aca="false">H7778*15.67*(1+'Chart of Accounts'!$E$67)</f>
        <v>49.3409125</v>
      </c>
    </row>
    <row r="7779" customFormat="false" ht="15" hidden="false" customHeight="false" outlineLevel="0" collapsed="false">
      <c r="B7779" s="7" t="s">
        <v>8276</v>
      </c>
      <c r="C7779" s="39" t="n">
        <v>46009</v>
      </c>
      <c r="D7779" s="7" t="s">
        <v>321</v>
      </c>
      <c r="E7779" s="7" t="s">
        <v>154</v>
      </c>
      <c r="F7779" s="7" t="s">
        <v>218</v>
      </c>
      <c r="G7779" s="7" t="s">
        <v>505</v>
      </c>
      <c r="H7779" s="6" t="n">
        <v>3.81</v>
      </c>
      <c r="I7779" s="6" t="n">
        <v>0</v>
      </c>
      <c r="J7779" s="40" t="n">
        <f aca="false">H7779-I7779</f>
        <v>3.81</v>
      </c>
      <c r="K7779" s="41" t="n">
        <v>26.5</v>
      </c>
      <c r="L7779" s="42" t="n">
        <f aca="false">J7779*K7779</f>
        <v>100.965</v>
      </c>
      <c r="M7779" s="43" t="n">
        <f aca="false">H7779*16.19*(1+'Chart of Accounts'!$E$67)</f>
        <v>70.6280655</v>
      </c>
    </row>
    <row r="7780" customFormat="false" ht="15" hidden="false" customHeight="false" outlineLevel="0" collapsed="false">
      <c r="B7780" s="7" t="s">
        <v>8277</v>
      </c>
      <c r="C7780" s="39" t="n">
        <v>46009</v>
      </c>
      <c r="D7780" s="7" t="s">
        <v>325</v>
      </c>
      <c r="E7780" s="7" t="s">
        <v>154</v>
      </c>
      <c r="F7780" s="7" t="s">
        <v>236</v>
      </c>
      <c r="G7780" s="7" t="s">
        <v>505</v>
      </c>
      <c r="H7780" s="6" t="n">
        <v>3.27</v>
      </c>
      <c r="I7780" s="6" t="n">
        <v>0</v>
      </c>
      <c r="J7780" s="40" t="n">
        <f aca="false">H7780-I7780</f>
        <v>3.27</v>
      </c>
      <c r="K7780" s="41" t="n">
        <v>26.5</v>
      </c>
      <c r="L7780" s="42" t="n">
        <f aca="false">J7780*K7780</f>
        <v>86.655</v>
      </c>
      <c r="M7780" s="43" t="n">
        <f aca="false">H7780*15.49*(1+'Chart of Accounts'!$E$67)</f>
        <v>57.9968835</v>
      </c>
    </row>
    <row r="7781" customFormat="false" ht="15" hidden="false" customHeight="false" outlineLevel="0" collapsed="false">
      <c r="B7781" s="7" t="s">
        <v>8278</v>
      </c>
      <c r="C7781" s="39" t="n">
        <v>46009</v>
      </c>
      <c r="D7781" s="7" t="s">
        <v>329</v>
      </c>
      <c r="E7781" s="7" t="s">
        <v>156</v>
      </c>
      <c r="F7781" s="7" t="s">
        <v>220</v>
      </c>
      <c r="G7781" s="7" t="s">
        <v>505</v>
      </c>
      <c r="H7781" s="6" t="n">
        <v>3.89</v>
      </c>
      <c r="I7781" s="6" t="n">
        <v>0</v>
      </c>
      <c r="J7781" s="40" t="n">
        <f aca="false">H7781-I7781</f>
        <v>3.89</v>
      </c>
      <c r="K7781" s="41" t="n">
        <v>34</v>
      </c>
      <c r="L7781" s="42" t="n">
        <f aca="false">J7781*K7781</f>
        <v>132.26</v>
      </c>
      <c r="M7781" s="43" t="n">
        <f aca="false">H7781*16.43*(1+'Chart of Accounts'!$E$67)</f>
        <v>73.1800415</v>
      </c>
    </row>
    <row r="7782" customFormat="false" ht="15" hidden="false" customHeight="false" outlineLevel="0" collapsed="false">
      <c r="B7782" s="7" t="s">
        <v>8279</v>
      </c>
      <c r="C7782" s="39" t="n">
        <v>46009</v>
      </c>
      <c r="D7782" s="7" t="s">
        <v>341</v>
      </c>
      <c r="E7782" s="7" t="s">
        <v>156</v>
      </c>
      <c r="F7782" s="7" t="s">
        <v>222</v>
      </c>
      <c r="G7782" s="7" t="s">
        <v>505</v>
      </c>
      <c r="H7782" s="6" t="n">
        <v>3.09</v>
      </c>
      <c r="I7782" s="6" t="n">
        <v>0</v>
      </c>
      <c r="J7782" s="40" t="n">
        <f aca="false">H7782-I7782</f>
        <v>3.09</v>
      </c>
      <c r="K7782" s="41" t="n">
        <v>34</v>
      </c>
      <c r="L7782" s="42" t="n">
        <f aca="false">J7782*K7782</f>
        <v>105.06</v>
      </c>
      <c r="M7782" s="43" t="n">
        <f aca="false">H7782*17.84*(1+'Chart of Accounts'!$E$67)</f>
        <v>63.118812</v>
      </c>
    </row>
    <row r="7783" customFormat="false" ht="15" hidden="false" customHeight="false" outlineLevel="0" collapsed="false">
      <c r="B7783" s="7" t="s">
        <v>8280</v>
      </c>
      <c r="C7783" s="39" t="n">
        <v>46009</v>
      </c>
      <c r="D7783" s="7" t="s">
        <v>349</v>
      </c>
      <c r="E7783" s="7" t="s">
        <v>154</v>
      </c>
      <c r="F7783" s="7" t="s">
        <v>244</v>
      </c>
      <c r="G7783" s="7" t="s">
        <v>505</v>
      </c>
      <c r="H7783" s="6" t="n">
        <v>3.91</v>
      </c>
      <c r="I7783" s="6" t="n">
        <v>0</v>
      </c>
      <c r="J7783" s="40" t="n">
        <f aca="false">H7783-I7783</f>
        <v>3.91</v>
      </c>
      <c r="K7783" s="41" t="n">
        <v>26.5</v>
      </c>
      <c r="L7783" s="42" t="n">
        <f aca="false">J7783*K7783</f>
        <v>103.615</v>
      </c>
      <c r="M7783" s="43" t="n">
        <f aca="false">H7783*16.39*(1+'Chart of Accounts'!$E$67)</f>
        <v>73.3772105</v>
      </c>
    </row>
    <row r="7784" customFormat="false" ht="15" hidden="false" customHeight="false" outlineLevel="0" collapsed="false">
      <c r="B7784" s="7" t="s">
        <v>8281</v>
      </c>
      <c r="C7784" s="39" t="n">
        <v>46009</v>
      </c>
      <c r="D7784" s="7" t="s">
        <v>351</v>
      </c>
      <c r="E7784" s="7" t="s">
        <v>154</v>
      </c>
      <c r="F7784" s="7" t="s">
        <v>201</v>
      </c>
      <c r="G7784" s="7" t="s">
        <v>505</v>
      </c>
      <c r="H7784" s="6" t="n">
        <v>3.23</v>
      </c>
      <c r="I7784" s="6" t="n">
        <v>0</v>
      </c>
      <c r="J7784" s="40" t="n">
        <f aca="false">H7784-I7784</f>
        <v>3.23</v>
      </c>
      <c r="K7784" s="41" t="n">
        <v>26.5</v>
      </c>
      <c r="L7784" s="42" t="n">
        <f aca="false">J7784*K7784</f>
        <v>85.595</v>
      </c>
      <c r="M7784" s="43" t="n">
        <f aca="false">H7784*15.19*(1+'Chart of Accounts'!$E$67)</f>
        <v>56.1779365</v>
      </c>
    </row>
    <row r="7785" customFormat="false" ht="15" hidden="false" customHeight="false" outlineLevel="0" collapsed="false">
      <c r="B7785" s="7" t="s">
        <v>8282</v>
      </c>
      <c r="C7785" s="39" t="n">
        <v>46009</v>
      </c>
      <c r="D7785" s="7" t="s">
        <v>359</v>
      </c>
      <c r="E7785" s="7" t="s">
        <v>156</v>
      </c>
      <c r="F7785" s="7" t="s">
        <v>232</v>
      </c>
      <c r="G7785" s="7" t="s">
        <v>505</v>
      </c>
      <c r="H7785" s="6" t="n">
        <v>4.16</v>
      </c>
      <c r="I7785" s="6" t="n">
        <v>0</v>
      </c>
      <c r="J7785" s="40" t="n">
        <f aca="false">H7785-I7785</f>
        <v>4.16</v>
      </c>
      <c r="K7785" s="41" t="n">
        <v>34</v>
      </c>
      <c r="L7785" s="42" t="n">
        <f aca="false">J7785*K7785</f>
        <v>141.44</v>
      </c>
      <c r="M7785" s="43" t="n">
        <f aca="false">H7785*16.17*(1+'Chart of Accounts'!$E$67)</f>
        <v>77.020944</v>
      </c>
    </row>
    <row r="7786" customFormat="false" ht="15" hidden="false" customHeight="false" outlineLevel="0" collapsed="false">
      <c r="B7786" s="7" t="s">
        <v>8283</v>
      </c>
      <c r="C7786" s="39" t="n">
        <v>46009</v>
      </c>
      <c r="D7786" s="7" t="s">
        <v>363</v>
      </c>
      <c r="E7786" s="7" t="s">
        <v>156</v>
      </c>
      <c r="F7786" s="7" t="s">
        <v>246</v>
      </c>
      <c r="G7786" s="7" t="s">
        <v>505</v>
      </c>
      <c r="H7786" s="6" t="n">
        <v>4.11</v>
      </c>
      <c r="I7786" s="6" t="n">
        <v>0</v>
      </c>
      <c r="J7786" s="40" t="n">
        <f aca="false">H7786-I7786</f>
        <v>4.11</v>
      </c>
      <c r="K7786" s="41" t="n">
        <v>34</v>
      </c>
      <c r="L7786" s="42" t="n">
        <f aca="false">J7786*K7786</f>
        <v>139.74</v>
      </c>
      <c r="M7786" s="43" t="n">
        <f aca="false">H7786*16.48*(1+'Chart of Accounts'!$E$67)</f>
        <v>77.554056</v>
      </c>
    </row>
    <row r="7787" customFormat="false" ht="15" hidden="false" customHeight="false" outlineLevel="0" collapsed="false">
      <c r="B7787" s="7" t="s">
        <v>8284</v>
      </c>
      <c r="C7787" s="39" t="n">
        <v>46009</v>
      </c>
      <c r="D7787" s="7" t="s">
        <v>365</v>
      </c>
      <c r="E7787" s="7" t="s">
        <v>154</v>
      </c>
      <c r="F7787" s="7" t="s">
        <v>194</v>
      </c>
      <c r="G7787" s="7" t="s">
        <v>505</v>
      </c>
      <c r="H7787" s="6" t="n">
        <v>3.61</v>
      </c>
      <c r="I7787" s="6" t="n">
        <v>0</v>
      </c>
      <c r="J7787" s="40" t="n">
        <f aca="false">H7787-I7787</f>
        <v>3.61</v>
      </c>
      <c r="K7787" s="41" t="n">
        <v>26.5</v>
      </c>
      <c r="L7787" s="42" t="n">
        <f aca="false">J7787*K7787</f>
        <v>95.665</v>
      </c>
      <c r="M7787" s="43" t="n">
        <f aca="false">H7787*16*(1+'Chart of Accounts'!$E$67)</f>
        <v>66.1352</v>
      </c>
    </row>
    <row r="7788" customFormat="false" ht="15" hidden="false" customHeight="false" outlineLevel="0" collapsed="false">
      <c r="B7788" s="7" t="s">
        <v>8285</v>
      </c>
      <c r="C7788" s="39" t="n">
        <v>46009</v>
      </c>
      <c r="D7788" s="7" t="s">
        <v>367</v>
      </c>
      <c r="E7788" s="7" t="s">
        <v>156</v>
      </c>
      <c r="F7788" s="7" t="s">
        <v>256</v>
      </c>
      <c r="G7788" s="7" t="s">
        <v>505</v>
      </c>
      <c r="H7788" s="6" t="n">
        <v>2.89</v>
      </c>
      <c r="I7788" s="6" t="n">
        <v>0</v>
      </c>
      <c r="J7788" s="40" t="n">
        <f aca="false">H7788-I7788</f>
        <v>2.89</v>
      </c>
      <c r="K7788" s="41" t="n">
        <v>34</v>
      </c>
      <c r="L7788" s="42" t="n">
        <f aca="false">J7788*K7788</f>
        <v>98.26</v>
      </c>
      <c r="M7788" s="43" t="n">
        <f aca="false">H7788*15.63*(1+'Chart of Accounts'!$E$67)</f>
        <v>51.7204515</v>
      </c>
    </row>
    <row r="7789" customFormat="false" ht="15" hidden="false" customHeight="false" outlineLevel="0" collapsed="false">
      <c r="B7789" s="7" t="s">
        <v>8286</v>
      </c>
      <c r="C7789" s="39" t="n">
        <v>46009</v>
      </c>
      <c r="D7789" s="7" t="s">
        <v>375</v>
      </c>
      <c r="E7789" s="7" t="s">
        <v>156</v>
      </c>
      <c r="F7789" s="7" t="s">
        <v>196</v>
      </c>
      <c r="G7789" s="7" t="s">
        <v>505</v>
      </c>
      <c r="H7789" s="6" t="n">
        <v>3.17</v>
      </c>
      <c r="I7789" s="6" t="n">
        <v>0</v>
      </c>
      <c r="J7789" s="40" t="n">
        <f aca="false">H7789-I7789</f>
        <v>3.17</v>
      </c>
      <c r="K7789" s="41" t="n">
        <v>34</v>
      </c>
      <c r="L7789" s="42" t="n">
        <f aca="false">J7789*K7789</f>
        <v>107.78</v>
      </c>
      <c r="M7789" s="43" t="n">
        <f aca="false">H7789*15.05*(1+'Chart of Accounts'!$E$67)</f>
        <v>54.6262325</v>
      </c>
    </row>
    <row r="7790" customFormat="false" ht="15" hidden="false" customHeight="false" outlineLevel="0" collapsed="false">
      <c r="B7790" s="7" t="s">
        <v>8287</v>
      </c>
      <c r="C7790" s="39" t="n">
        <v>46009</v>
      </c>
      <c r="D7790" s="7" t="s">
        <v>377</v>
      </c>
      <c r="E7790" s="7" t="s">
        <v>154</v>
      </c>
      <c r="F7790" s="7" t="s">
        <v>214</v>
      </c>
      <c r="G7790" s="7" t="s">
        <v>505</v>
      </c>
      <c r="H7790" s="6" t="n">
        <v>4.23</v>
      </c>
      <c r="I7790" s="6" t="n">
        <v>0</v>
      </c>
      <c r="J7790" s="40" t="n">
        <f aca="false">H7790-I7790</f>
        <v>4.23</v>
      </c>
      <c r="K7790" s="41" t="n">
        <v>26.5</v>
      </c>
      <c r="L7790" s="42" t="n">
        <f aca="false">J7790*K7790</f>
        <v>112.095</v>
      </c>
      <c r="M7790" s="43" t="n">
        <f aca="false">H7790*15.67*(1+'Chart of Accounts'!$E$67)</f>
        <v>75.8952945</v>
      </c>
    </row>
    <row r="7791" customFormat="false" ht="15" hidden="false" customHeight="false" outlineLevel="0" collapsed="false">
      <c r="B7791" s="7" t="s">
        <v>8288</v>
      </c>
      <c r="C7791" s="39" t="n">
        <v>46009</v>
      </c>
      <c r="D7791" s="7" t="s">
        <v>387</v>
      </c>
      <c r="E7791" s="7" t="s">
        <v>154</v>
      </c>
      <c r="F7791" s="7" t="s">
        <v>196</v>
      </c>
      <c r="G7791" s="7" t="s">
        <v>505</v>
      </c>
      <c r="H7791" s="6" t="n">
        <v>3.64</v>
      </c>
      <c r="I7791" s="6" t="n">
        <v>0</v>
      </c>
      <c r="J7791" s="40" t="n">
        <f aca="false">H7791-I7791</f>
        <v>3.64</v>
      </c>
      <c r="K7791" s="41" t="n">
        <v>26.5</v>
      </c>
      <c r="L7791" s="42" t="n">
        <f aca="false">J7791*K7791</f>
        <v>96.46</v>
      </c>
      <c r="M7791" s="43" t="n">
        <f aca="false">H7791*15.05*(1+'Chart of Accounts'!$E$67)</f>
        <v>62.72539</v>
      </c>
    </row>
    <row r="7792" customFormat="false" ht="15" hidden="false" customHeight="false" outlineLevel="0" collapsed="false">
      <c r="B7792" s="7" t="s">
        <v>8289</v>
      </c>
      <c r="C7792" s="39" t="n">
        <v>46009</v>
      </c>
      <c r="D7792" s="7" t="s">
        <v>389</v>
      </c>
      <c r="E7792" s="7" t="s">
        <v>154</v>
      </c>
      <c r="F7792" s="7" t="s">
        <v>246</v>
      </c>
      <c r="G7792" s="7" t="s">
        <v>505</v>
      </c>
      <c r="H7792" s="6" t="n">
        <v>3.81</v>
      </c>
      <c r="I7792" s="6" t="n">
        <v>0</v>
      </c>
      <c r="J7792" s="40" t="n">
        <f aca="false">H7792-I7792</f>
        <v>3.81</v>
      </c>
      <c r="K7792" s="41" t="n">
        <v>26.5</v>
      </c>
      <c r="L7792" s="42" t="n">
        <f aca="false">J7792*K7792</f>
        <v>100.965</v>
      </c>
      <c r="M7792" s="43" t="n">
        <f aca="false">H7792*16.48*(1+'Chart of Accounts'!$E$67)</f>
        <v>71.893176</v>
      </c>
    </row>
    <row r="7793" customFormat="false" ht="15" hidden="false" customHeight="false" outlineLevel="0" collapsed="false">
      <c r="B7793" s="7" t="s">
        <v>8290</v>
      </c>
      <c r="C7793" s="39" t="n">
        <v>46009</v>
      </c>
      <c r="D7793" s="7" t="s">
        <v>391</v>
      </c>
      <c r="E7793" s="7" t="s">
        <v>156</v>
      </c>
      <c r="F7793" s="7" t="s">
        <v>222</v>
      </c>
      <c r="G7793" s="7" t="s">
        <v>505</v>
      </c>
      <c r="H7793" s="6" t="n">
        <v>3.66</v>
      </c>
      <c r="I7793" s="6" t="n">
        <v>0</v>
      </c>
      <c r="J7793" s="40" t="n">
        <f aca="false">H7793-I7793</f>
        <v>3.66</v>
      </c>
      <c r="K7793" s="41" t="n">
        <v>34</v>
      </c>
      <c r="L7793" s="42" t="n">
        <f aca="false">J7793*K7793</f>
        <v>124.44</v>
      </c>
      <c r="M7793" s="43" t="n">
        <f aca="false">H7793*17.84*(1+'Chart of Accounts'!$E$67)</f>
        <v>74.762088</v>
      </c>
    </row>
    <row r="7794" customFormat="false" ht="15" hidden="false" customHeight="false" outlineLevel="0" collapsed="false">
      <c r="B7794" s="7" t="s">
        <v>8291</v>
      </c>
      <c r="C7794" s="39" t="n">
        <v>46009</v>
      </c>
      <c r="D7794" s="7" t="s">
        <v>395</v>
      </c>
      <c r="E7794" s="7" t="s">
        <v>156</v>
      </c>
      <c r="F7794" s="7" t="s">
        <v>242</v>
      </c>
      <c r="G7794" s="7" t="s">
        <v>505</v>
      </c>
      <c r="H7794" s="6" t="n">
        <v>3.73</v>
      </c>
      <c r="I7794" s="6" t="n">
        <v>0</v>
      </c>
      <c r="J7794" s="40" t="n">
        <f aca="false">H7794-I7794</f>
        <v>3.73</v>
      </c>
      <c r="K7794" s="41" t="n">
        <v>34</v>
      </c>
      <c r="L7794" s="42" t="n">
        <f aca="false">J7794*K7794</f>
        <v>126.82</v>
      </c>
      <c r="M7794" s="43" t="n">
        <f aca="false">H7794*17.99*(1+'Chart of Accounts'!$E$67)</f>
        <v>76.8325915</v>
      </c>
    </row>
    <row r="7795" customFormat="false" ht="15" hidden="false" customHeight="false" outlineLevel="0" collapsed="false">
      <c r="B7795" s="7" t="s">
        <v>8292</v>
      </c>
      <c r="C7795" s="39" t="n">
        <v>46009</v>
      </c>
      <c r="D7795" s="7" t="s">
        <v>401</v>
      </c>
      <c r="E7795" s="7" t="s">
        <v>156</v>
      </c>
      <c r="F7795" s="7" t="s">
        <v>254</v>
      </c>
      <c r="G7795" s="7" t="s">
        <v>505</v>
      </c>
      <c r="H7795" s="6" t="n">
        <v>3.84</v>
      </c>
      <c r="I7795" s="6" t="n">
        <v>0</v>
      </c>
      <c r="J7795" s="40" t="n">
        <f aca="false">H7795-I7795</f>
        <v>3.84</v>
      </c>
      <c r="K7795" s="41" t="n">
        <v>34</v>
      </c>
      <c r="L7795" s="42" t="n">
        <f aca="false">J7795*K7795</f>
        <v>130.56</v>
      </c>
      <c r="M7795" s="43" t="n">
        <f aca="false">H7795*17.1*(1+'Chart of Accounts'!$E$67)</f>
        <v>75.18528</v>
      </c>
    </row>
    <row r="7796" customFormat="false" ht="15" hidden="false" customHeight="false" outlineLevel="0" collapsed="false">
      <c r="B7796" s="7" t="s">
        <v>8293</v>
      </c>
      <c r="C7796" s="39" t="n">
        <v>46009</v>
      </c>
      <c r="D7796" s="7" t="s">
        <v>405</v>
      </c>
      <c r="E7796" s="7" t="s">
        <v>156</v>
      </c>
      <c r="F7796" s="7" t="s">
        <v>240</v>
      </c>
      <c r="G7796" s="7" t="s">
        <v>505</v>
      </c>
      <c r="H7796" s="6" t="n">
        <v>2.73</v>
      </c>
      <c r="I7796" s="6" t="n">
        <v>0</v>
      </c>
      <c r="J7796" s="40" t="n">
        <f aca="false">H7796-I7796</f>
        <v>2.73</v>
      </c>
      <c r="K7796" s="41" t="n">
        <v>34</v>
      </c>
      <c r="L7796" s="42" t="n">
        <f aca="false">J7796*K7796</f>
        <v>92.82</v>
      </c>
      <c r="M7796" s="43" t="n">
        <f aca="false">H7796*16.96*(1+'Chart of Accounts'!$E$67)</f>
        <v>53.014416</v>
      </c>
    </row>
    <row r="7797" customFormat="false" ht="15" hidden="false" customHeight="false" outlineLevel="0" collapsed="false">
      <c r="B7797" s="7" t="s">
        <v>8294</v>
      </c>
      <c r="C7797" s="39" t="n">
        <v>46010</v>
      </c>
      <c r="D7797" s="7" t="s">
        <v>288</v>
      </c>
      <c r="E7797" s="7" t="s">
        <v>156</v>
      </c>
      <c r="F7797" s="7" t="s">
        <v>242</v>
      </c>
      <c r="G7797" s="7" t="s">
        <v>505</v>
      </c>
      <c r="H7797" s="6" t="n">
        <v>4.03</v>
      </c>
      <c r="I7797" s="6" t="n">
        <v>0</v>
      </c>
      <c r="J7797" s="40" t="n">
        <f aca="false">H7797-I7797</f>
        <v>4.03</v>
      </c>
      <c r="K7797" s="41" t="n">
        <v>34</v>
      </c>
      <c r="L7797" s="42" t="n">
        <f aca="false">J7797*K7797</f>
        <v>137.02</v>
      </c>
      <c r="M7797" s="43" t="n">
        <f aca="false">H7797*17.99*(1+'Chart of Accounts'!$E$67)</f>
        <v>83.0121565</v>
      </c>
    </row>
    <row r="7798" customFormat="false" ht="15" hidden="false" customHeight="false" outlineLevel="0" collapsed="false">
      <c r="B7798" s="7" t="s">
        <v>8295</v>
      </c>
      <c r="C7798" s="39" t="n">
        <v>46010</v>
      </c>
      <c r="D7798" s="7" t="s">
        <v>291</v>
      </c>
      <c r="E7798" s="7" t="s">
        <v>154</v>
      </c>
      <c r="F7798" s="7" t="s">
        <v>194</v>
      </c>
      <c r="G7798" s="7" t="s">
        <v>505</v>
      </c>
      <c r="H7798" s="6" t="n">
        <v>4.36</v>
      </c>
      <c r="I7798" s="6" t="n">
        <v>0</v>
      </c>
      <c r="J7798" s="40" t="n">
        <f aca="false">H7798-I7798</f>
        <v>4.36</v>
      </c>
      <c r="K7798" s="41" t="n">
        <v>26.5</v>
      </c>
      <c r="L7798" s="42" t="n">
        <f aca="false">J7798*K7798</f>
        <v>115.54</v>
      </c>
      <c r="M7798" s="43" t="n">
        <f aca="false">H7798*16*(1+'Chart of Accounts'!$E$67)</f>
        <v>79.8752</v>
      </c>
    </row>
    <row r="7799" customFormat="false" ht="15" hidden="false" customHeight="false" outlineLevel="0" collapsed="false">
      <c r="B7799" s="7" t="s">
        <v>8296</v>
      </c>
      <c r="C7799" s="39" t="n">
        <v>46010</v>
      </c>
      <c r="D7799" s="7" t="s">
        <v>293</v>
      </c>
      <c r="E7799" s="7" t="s">
        <v>157</v>
      </c>
      <c r="F7799" s="7" t="s">
        <v>198</v>
      </c>
      <c r="G7799" s="7" t="s">
        <v>502</v>
      </c>
      <c r="H7799" s="6" t="n">
        <v>1</v>
      </c>
      <c r="I7799" s="6" t="n">
        <v>0</v>
      </c>
      <c r="J7799" s="40" t="n">
        <f aca="false">H7799-I7799</f>
        <v>1</v>
      </c>
      <c r="K7799" s="41" t="n">
        <v>165</v>
      </c>
      <c r="L7799" s="42" t="n">
        <f aca="false">J7799*K7799</f>
        <v>165</v>
      </c>
      <c r="M7799" s="43" t="n">
        <f aca="false">H7799*48.09*(1+'Chart of Accounts'!$E$67)</f>
        <v>55.06305</v>
      </c>
    </row>
    <row r="7800" customFormat="false" ht="15" hidden="false" customHeight="false" outlineLevel="0" collapsed="false">
      <c r="B7800" s="7" t="s">
        <v>8297</v>
      </c>
      <c r="C7800" s="39" t="n">
        <v>46010</v>
      </c>
      <c r="D7800" s="7" t="s">
        <v>295</v>
      </c>
      <c r="E7800" s="7" t="s">
        <v>154</v>
      </c>
      <c r="F7800" s="7" t="s">
        <v>214</v>
      </c>
      <c r="G7800" s="7" t="s">
        <v>505</v>
      </c>
      <c r="H7800" s="6" t="n">
        <v>4.21</v>
      </c>
      <c r="I7800" s="6" t="n">
        <v>0</v>
      </c>
      <c r="J7800" s="40" t="n">
        <f aca="false">H7800-I7800</f>
        <v>4.21</v>
      </c>
      <c r="K7800" s="41" t="n">
        <v>26.5</v>
      </c>
      <c r="L7800" s="42" t="n">
        <f aca="false">J7800*K7800</f>
        <v>111.565</v>
      </c>
      <c r="M7800" s="43" t="n">
        <f aca="false">H7800*15.67*(1+'Chart of Accounts'!$E$67)</f>
        <v>75.5364515</v>
      </c>
    </row>
    <row r="7801" customFormat="false" ht="15" hidden="false" customHeight="false" outlineLevel="0" collapsed="false">
      <c r="B7801" s="7" t="s">
        <v>8298</v>
      </c>
      <c r="C7801" s="39" t="n">
        <v>46010</v>
      </c>
      <c r="D7801" s="7" t="s">
        <v>301</v>
      </c>
      <c r="E7801" s="7" t="s">
        <v>157</v>
      </c>
      <c r="F7801" s="7" t="s">
        <v>209</v>
      </c>
      <c r="G7801" s="7" t="s">
        <v>502</v>
      </c>
      <c r="H7801" s="6" t="n">
        <v>1.01</v>
      </c>
      <c r="I7801" s="6" t="n">
        <v>0</v>
      </c>
      <c r="J7801" s="40" t="n">
        <f aca="false">H7801-I7801</f>
        <v>1.01</v>
      </c>
      <c r="K7801" s="41" t="n">
        <v>165</v>
      </c>
      <c r="L7801" s="42" t="n">
        <f aca="false">J7801*K7801</f>
        <v>166.65</v>
      </c>
      <c r="M7801" s="43" t="n">
        <f aca="false">H7801*73.58*(1+'Chart of Accounts'!$E$67)</f>
        <v>85.091591</v>
      </c>
    </row>
    <row r="7802" customFormat="false" ht="15" hidden="false" customHeight="false" outlineLevel="0" collapsed="false">
      <c r="B7802" s="7" t="s">
        <v>8299</v>
      </c>
      <c r="C7802" s="39" t="n">
        <v>46010</v>
      </c>
      <c r="D7802" s="7" t="s">
        <v>305</v>
      </c>
      <c r="E7802" s="7" t="s">
        <v>154</v>
      </c>
      <c r="F7802" s="7" t="s">
        <v>205</v>
      </c>
      <c r="G7802" s="7" t="s">
        <v>505</v>
      </c>
      <c r="H7802" s="6" t="n">
        <v>4.05</v>
      </c>
      <c r="I7802" s="6" t="n">
        <v>0</v>
      </c>
      <c r="J7802" s="40" t="n">
        <f aca="false">H7802-I7802</f>
        <v>4.05</v>
      </c>
      <c r="K7802" s="41" t="n">
        <v>26.5</v>
      </c>
      <c r="L7802" s="42" t="n">
        <f aca="false">J7802*K7802</f>
        <v>107.325</v>
      </c>
      <c r="M7802" s="43" t="n">
        <f aca="false">H7802*16.36*(1+'Chart of Accounts'!$E$67)</f>
        <v>75.86541</v>
      </c>
    </row>
    <row r="7803" customFormat="false" ht="15" hidden="false" customHeight="false" outlineLevel="0" collapsed="false">
      <c r="B7803" s="7" t="s">
        <v>8300</v>
      </c>
      <c r="C7803" s="39" t="n">
        <v>46010</v>
      </c>
      <c r="D7803" s="7" t="s">
        <v>307</v>
      </c>
      <c r="E7803" s="7" t="s">
        <v>157</v>
      </c>
      <c r="F7803" s="7" t="s">
        <v>264</v>
      </c>
      <c r="G7803" s="7" t="s">
        <v>502</v>
      </c>
      <c r="H7803" s="6" t="n">
        <v>0.96</v>
      </c>
      <c r="I7803" s="6" t="n">
        <v>0.048</v>
      </c>
      <c r="J7803" s="40" t="n">
        <f aca="false">H7803-I7803</f>
        <v>0.912</v>
      </c>
      <c r="K7803" s="41" t="n">
        <v>165</v>
      </c>
      <c r="L7803" s="42" t="n">
        <f aca="false">J7803*K7803</f>
        <v>150.48</v>
      </c>
      <c r="M7803" s="43" t="n">
        <f aca="false">H7803*55.55*(1+'Chart of Accounts'!$E$67)</f>
        <v>61.06056</v>
      </c>
    </row>
    <row r="7804" customFormat="false" ht="15" hidden="false" customHeight="false" outlineLevel="0" collapsed="false">
      <c r="B7804" s="7" t="s">
        <v>8301</v>
      </c>
      <c r="C7804" s="39" t="n">
        <v>46010</v>
      </c>
      <c r="D7804" s="7" t="s">
        <v>313</v>
      </c>
      <c r="E7804" s="7" t="s">
        <v>156</v>
      </c>
      <c r="F7804" s="7" t="s">
        <v>184</v>
      </c>
      <c r="G7804" s="7" t="s">
        <v>505</v>
      </c>
      <c r="H7804" s="6" t="n">
        <v>4.28</v>
      </c>
      <c r="I7804" s="6" t="n">
        <v>0</v>
      </c>
      <c r="J7804" s="40" t="n">
        <f aca="false">H7804-I7804</f>
        <v>4.28</v>
      </c>
      <c r="K7804" s="41" t="n">
        <v>34</v>
      </c>
      <c r="L7804" s="42" t="n">
        <f aca="false">J7804*K7804</f>
        <v>145.52</v>
      </c>
      <c r="M7804" s="43" t="n">
        <f aca="false">H7804*17.34*(1+'Chart of Accounts'!$E$67)</f>
        <v>84.976404</v>
      </c>
    </row>
    <row r="7805" customFormat="false" ht="15" hidden="false" customHeight="false" outlineLevel="0" collapsed="false">
      <c r="B7805" s="7" t="s">
        <v>8302</v>
      </c>
      <c r="C7805" s="39" t="n">
        <v>46010</v>
      </c>
      <c r="D7805" s="7" t="s">
        <v>315</v>
      </c>
      <c r="E7805" s="7" t="s">
        <v>159</v>
      </c>
      <c r="F7805" s="7" t="s">
        <v>216</v>
      </c>
      <c r="G7805" s="7" t="s">
        <v>502</v>
      </c>
      <c r="H7805" s="6" t="n">
        <v>0.98</v>
      </c>
      <c r="I7805" s="6" t="n">
        <v>0</v>
      </c>
      <c r="J7805" s="40" t="n">
        <f aca="false">H7805-I7805</f>
        <v>0.98</v>
      </c>
      <c r="K7805" s="41" t="n">
        <v>135</v>
      </c>
      <c r="L7805" s="42" t="n">
        <f aca="false">J7805*K7805</f>
        <v>132.3</v>
      </c>
      <c r="M7805" s="43" t="n">
        <f aca="false">H7805*61.79*(1+'Chart of Accounts'!$E$67)</f>
        <v>69.334559</v>
      </c>
    </row>
    <row r="7806" customFormat="false" ht="15" hidden="false" customHeight="false" outlineLevel="0" collapsed="false">
      <c r="B7806" s="7" t="s">
        <v>8303</v>
      </c>
      <c r="C7806" s="39" t="n">
        <v>46010</v>
      </c>
      <c r="D7806" s="7" t="s">
        <v>319</v>
      </c>
      <c r="E7806" s="7" t="s">
        <v>157</v>
      </c>
      <c r="F7806" s="7" t="s">
        <v>234</v>
      </c>
      <c r="G7806" s="7" t="s">
        <v>502</v>
      </c>
      <c r="H7806" s="6" t="n">
        <v>1.02</v>
      </c>
      <c r="I7806" s="6" t="n">
        <v>0</v>
      </c>
      <c r="J7806" s="40" t="n">
        <f aca="false">H7806-I7806</f>
        <v>1.02</v>
      </c>
      <c r="K7806" s="41" t="n">
        <v>165</v>
      </c>
      <c r="L7806" s="42" t="n">
        <f aca="false">J7806*K7806</f>
        <v>168.3</v>
      </c>
      <c r="M7806" s="43" t="n">
        <f aca="false">H7806*89.53*(1+'Chart of Accounts'!$E$67)</f>
        <v>104.562087</v>
      </c>
    </row>
    <row r="7807" customFormat="false" ht="15" hidden="false" customHeight="false" outlineLevel="0" collapsed="false">
      <c r="B7807" s="7" t="s">
        <v>8304</v>
      </c>
      <c r="C7807" s="39" t="n">
        <v>46010</v>
      </c>
      <c r="D7807" s="7" t="s">
        <v>321</v>
      </c>
      <c r="E7807" s="7" t="s">
        <v>154</v>
      </c>
      <c r="F7807" s="7" t="s">
        <v>218</v>
      </c>
      <c r="G7807" s="7" t="s">
        <v>505</v>
      </c>
      <c r="H7807" s="6" t="n">
        <v>4.11</v>
      </c>
      <c r="I7807" s="6" t="n">
        <v>0</v>
      </c>
      <c r="J7807" s="40" t="n">
        <f aca="false">H7807-I7807</f>
        <v>4.11</v>
      </c>
      <c r="K7807" s="41" t="n">
        <v>26.5</v>
      </c>
      <c r="L7807" s="42" t="n">
        <f aca="false">J7807*K7807</f>
        <v>108.915</v>
      </c>
      <c r="M7807" s="43" t="n">
        <f aca="false">H7807*16.19*(1+'Chart of Accounts'!$E$67)</f>
        <v>76.1893305</v>
      </c>
    </row>
    <row r="7808" customFormat="false" ht="15" hidden="false" customHeight="false" outlineLevel="0" collapsed="false">
      <c r="B7808" s="7" t="s">
        <v>8305</v>
      </c>
      <c r="C7808" s="39" t="n">
        <v>46010</v>
      </c>
      <c r="D7808" s="7" t="s">
        <v>323</v>
      </c>
      <c r="E7808" s="7" t="s">
        <v>159</v>
      </c>
      <c r="F7808" s="7" t="s">
        <v>234</v>
      </c>
      <c r="G7808" s="7" t="s">
        <v>502</v>
      </c>
      <c r="H7808" s="6" t="n">
        <v>1.08</v>
      </c>
      <c r="I7808" s="6" t="n">
        <v>0</v>
      </c>
      <c r="J7808" s="40" t="n">
        <f aca="false">H7808-I7808</f>
        <v>1.08</v>
      </c>
      <c r="K7808" s="41" t="n">
        <v>135</v>
      </c>
      <c r="L7808" s="42" t="n">
        <f aca="false">J7808*K7808</f>
        <v>145.8</v>
      </c>
      <c r="M7808" s="43" t="n">
        <f aca="false">H7808*89.53*(1+'Chart of Accounts'!$E$67)</f>
        <v>110.712798</v>
      </c>
    </row>
    <row r="7809" customFormat="false" ht="15" hidden="false" customHeight="false" outlineLevel="0" collapsed="false">
      <c r="B7809" s="7" t="s">
        <v>8306</v>
      </c>
      <c r="C7809" s="39" t="n">
        <v>46010</v>
      </c>
      <c r="D7809" s="7" t="s">
        <v>327</v>
      </c>
      <c r="E7809" s="7" t="s">
        <v>157</v>
      </c>
      <c r="F7809" s="7" t="s">
        <v>228</v>
      </c>
      <c r="G7809" s="7" t="s">
        <v>502</v>
      </c>
      <c r="H7809" s="6" t="n">
        <v>1</v>
      </c>
      <c r="I7809" s="6" t="n">
        <v>0.05</v>
      </c>
      <c r="J7809" s="40" t="n">
        <f aca="false">H7809-I7809</f>
        <v>0.95</v>
      </c>
      <c r="K7809" s="41" t="n">
        <v>165</v>
      </c>
      <c r="L7809" s="42" t="n">
        <f aca="false">J7809*K7809</f>
        <v>156.75</v>
      </c>
      <c r="M7809" s="43" t="n">
        <f aca="false">H7809*51.07*(1+'Chart of Accounts'!$E$67)</f>
        <v>58.47515</v>
      </c>
    </row>
    <row r="7810" customFormat="false" ht="15" hidden="false" customHeight="false" outlineLevel="0" collapsed="false">
      <c r="B7810" s="7" t="s">
        <v>8307</v>
      </c>
      <c r="C7810" s="39" t="n">
        <v>46010</v>
      </c>
      <c r="D7810" s="7" t="s">
        <v>329</v>
      </c>
      <c r="E7810" s="7" t="s">
        <v>156</v>
      </c>
      <c r="F7810" s="7" t="s">
        <v>220</v>
      </c>
      <c r="G7810" s="7" t="s">
        <v>505</v>
      </c>
      <c r="H7810" s="6" t="n">
        <v>3.77</v>
      </c>
      <c r="I7810" s="6" t="n">
        <v>0</v>
      </c>
      <c r="J7810" s="40" t="n">
        <f aca="false">H7810-I7810</f>
        <v>3.77</v>
      </c>
      <c r="K7810" s="41" t="n">
        <v>34</v>
      </c>
      <c r="L7810" s="42" t="n">
        <f aca="false">J7810*K7810</f>
        <v>128.18</v>
      </c>
      <c r="M7810" s="43" t="n">
        <f aca="false">H7810*16.43*(1+'Chart of Accounts'!$E$67)</f>
        <v>70.9225595</v>
      </c>
    </row>
    <row r="7811" customFormat="false" ht="15" hidden="false" customHeight="false" outlineLevel="0" collapsed="false">
      <c r="B7811" s="7" t="s">
        <v>8308</v>
      </c>
      <c r="C7811" s="39" t="n">
        <v>46010</v>
      </c>
      <c r="D7811" s="7" t="s">
        <v>333</v>
      </c>
      <c r="E7811" s="7" t="s">
        <v>154</v>
      </c>
      <c r="F7811" s="7" t="s">
        <v>236</v>
      </c>
      <c r="G7811" s="7" t="s">
        <v>505</v>
      </c>
      <c r="H7811" s="6" t="n">
        <v>3.63</v>
      </c>
      <c r="I7811" s="6" t="n">
        <v>0</v>
      </c>
      <c r="J7811" s="40" t="n">
        <f aca="false">H7811-I7811</f>
        <v>3.63</v>
      </c>
      <c r="K7811" s="41" t="n">
        <v>26.5</v>
      </c>
      <c r="L7811" s="42" t="n">
        <f aca="false">J7811*K7811</f>
        <v>96.195</v>
      </c>
      <c r="M7811" s="43" t="n">
        <f aca="false">H7811*15.49*(1+'Chart of Accounts'!$E$67)</f>
        <v>64.3818615</v>
      </c>
    </row>
    <row r="7812" customFormat="false" ht="15" hidden="false" customHeight="false" outlineLevel="0" collapsed="false">
      <c r="B7812" s="7" t="s">
        <v>8309</v>
      </c>
      <c r="C7812" s="39" t="n">
        <v>46010</v>
      </c>
      <c r="D7812" s="7" t="s">
        <v>335</v>
      </c>
      <c r="E7812" s="7" t="s">
        <v>154</v>
      </c>
      <c r="F7812" s="7" t="s">
        <v>177</v>
      </c>
      <c r="G7812" s="7" t="s">
        <v>505</v>
      </c>
      <c r="H7812" s="6" t="n">
        <v>3.84</v>
      </c>
      <c r="I7812" s="6" t="n">
        <v>0</v>
      </c>
      <c r="J7812" s="40" t="n">
        <f aca="false">H7812-I7812</f>
        <v>3.84</v>
      </c>
      <c r="K7812" s="41" t="n">
        <v>26.5</v>
      </c>
      <c r="L7812" s="42" t="n">
        <f aca="false">J7812*K7812</f>
        <v>101.76</v>
      </c>
      <c r="M7812" s="43" t="n">
        <f aca="false">H7812*14.56*(1+'Chart of Accounts'!$E$67)</f>
        <v>64.017408</v>
      </c>
    </row>
    <row r="7813" customFormat="false" ht="15" hidden="false" customHeight="false" outlineLevel="0" collapsed="false">
      <c r="B7813" s="7" t="s">
        <v>8310</v>
      </c>
      <c r="C7813" s="39" t="n">
        <v>46010</v>
      </c>
      <c r="D7813" s="7" t="s">
        <v>339</v>
      </c>
      <c r="E7813" s="7" t="s">
        <v>154</v>
      </c>
      <c r="F7813" s="7" t="s">
        <v>242</v>
      </c>
      <c r="G7813" s="7" t="s">
        <v>505</v>
      </c>
      <c r="H7813" s="6" t="n">
        <v>3.17</v>
      </c>
      <c r="I7813" s="6" t="n">
        <v>0</v>
      </c>
      <c r="J7813" s="40" t="n">
        <f aca="false">H7813-I7813</f>
        <v>3.17</v>
      </c>
      <c r="K7813" s="41" t="n">
        <v>26.5</v>
      </c>
      <c r="L7813" s="42" t="n">
        <f aca="false">J7813*K7813</f>
        <v>84.005</v>
      </c>
      <c r="M7813" s="43" t="n">
        <f aca="false">H7813*17.99*(1+'Chart of Accounts'!$E$67)</f>
        <v>65.2974035</v>
      </c>
    </row>
    <row r="7814" customFormat="false" ht="15" hidden="false" customHeight="false" outlineLevel="0" collapsed="false">
      <c r="B7814" s="7" t="s">
        <v>8311</v>
      </c>
      <c r="C7814" s="39" t="n">
        <v>46010</v>
      </c>
      <c r="D7814" s="7" t="s">
        <v>349</v>
      </c>
      <c r="E7814" s="7" t="s">
        <v>154</v>
      </c>
      <c r="F7814" s="7" t="s">
        <v>244</v>
      </c>
      <c r="G7814" s="7" t="s">
        <v>505</v>
      </c>
      <c r="H7814" s="6" t="n">
        <v>4.2</v>
      </c>
      <c r="I7814" s="6" t="n">
        <v>0</v>
      </c>
      <c r="J7814" s="40" t="n">
        <f aca="false">H7814-I7814</f>
        <v>4.2</v>
      </c>
      <c r="K7814" s="41" t="n">
        <v>26.5</v>
      </c>
      <c r="L7814" s="42" t="n">
        <f aca="false">J7814*K7814</f>
        <v>111.3</v>
      </c>
      <c r="M7814" s="43" t="n">
        <f aca="false">H7814*16.39*(1+'Chart of Accounts'!$E$67)</f>
        <v>78.81951</v>
      </c>
    </row>
    <row r="7815" customFormat="false" ht="15" hidden="false" customHeight="false" outlineLevel="0" collapsed="false">
      <c r="B7815" s="7" t="s">
        <v>8312</v>
      </c>
      <c r="C7815" s="39" t="n">
        <v>46010</v>
      </c>
      <c r="D7815" s="7" t="s">
        <v>353</v>
      </c>
      <c r="E7815" s="7" t="s">
        <v>154</v>
      </c>
      <c r="F7815" s="7" t="s">
        <v>254</v>
      </c>
      <c r="G7815" s="7" t="s">
        <v>505</v>
      </c>
      <c r="H7815" s="6" t="n">
        <v>3.36</v>
      </c>
      <c r="I7815" s="6" t="n">
        <v>0</v>
      </c>
      <c r="J7815" s="40" t="n">
        <f aca="false">H7815-I7815</f>
        <v>3.36</v>
      </c>
      <c r="K7815" s="41" t="n">
        <v>26.5</v>
      </c>
      <c r="L7815" s="42" t="n">
        <f aca="false">J7815*K7815</f>
        <v>89.04</v>
      </c>
      <c r="M7815" s="43" t="n">
        <f aca="false">H7815*17.1*(1+'Chart of Accounts'!$E$67)</f>
        <v>65.78712</v>
      </c>
    </row>
    <row r="7816" customFormat="false" ht="15" hidden="false" customHeight="false" outlineLevel="0" collapsed="false">
      <c r="B7816" s="7" t="s">
        <v>8313</v>
      </c>
      <c r="C7816" s="39" t="n">
        <v>46010</v>
      </c>
      <c r="D7816" s="7" t="s">
        <v>355</v>
      </c>
      <c r="E7816" s="7" t="s">
        <v>154</v>
      </c>
      <c r="F7816" s="7" t="s">
        <v>201</v>
      </c>
      <c r="G7816" s="7" t="s">
        <v>505</v>
      </c>
      <c r="H7816" s="6" t="n">
        <v>3.15</v>
      </c>
      <c r="I7816" s="6" t="n">
        <v>0</v>
      </c>
      <c r="J7816" s="40" t="n">
        <f aca="false">H7816-I7816</f>
        <v>3.15</v>
      </c>
      <c r="K7816" s="41" t="n">
        <v>26.5</v>
      </c>
      <c r="L7816" s="42" t="n">
        <f aca="false">J7816*K7816</f>
        <v>83.475</v>
      </c>
      <c r="M7816" s="43" t="n">
        <f aca="false">H7816*15.19*(1+'Chart of Accounts'!$E$67)</f>
        <v>54.7865325</v>
      </c>
    </row>
    <row r="7817" customFormat="false" ht="15" hidden="false" customHeight="false" outlineLevel="0" collapsed="false">
      <c r="B7817" s="7" t="s">
        <v>8314</v>
      </c>
      <c r="C7817" s="39" t="n">
        <v>46010</v>
      </c>
      <c r="D7817" s="7" t="s">
        <v>357</v>
      </c>
      <c r="E7817" s="7" t="s">
        <v>154</v>
      </c>
      <c r="F7817" s="7" t="s">
        <v>184</v>
      </c>
      <c r="G7817" s="7" t="s">
        <v>505</v>
      </c>
      <c r="H7817" s="6" t="n">
        <v>3.32</v>
      </c>
      <c r="I7817" s="6" t="n">
        <v>0</v>
      </c>
      <c r="J7817" s="40" t="n">
        <f aca="false">H7817-I7817</f>
        <v>3.32</v>
      </c>
      <c r="K7817" s="41" t="n">
        <v>26.5</v>
      </c>
      <c r="L7817" s="42" t="n">
        <f aca="false">J7817*K7817</f>
        <v>87.98</v>
      </c>
      <c r="M7817" s="43" t="n">
        <f aca="false">H7817*17.34*(1+'Chart of Accounts'!$E$67)</f>
        <v>65.916276</v>
      </c>
    </row>
    <row r="7818" customFormat="false" ht="15" hidden="false" customHeight="false" outlineLevel="0" collapsed="false">
      <c r="B7818" s="7" t="s">
        <v>8315</v>
      </c>
      <c r="C7818" s="39" t="n">
        <v>46010</v>
      </c>
      <c r="D7818" s="7" t="s">
        <v>359</v>
      </c>
      <c r="E7818" s="7" t="s">
        <v>156</v>
      </c>
      <c r="F7818" s="7" t="s">
        <v>240</v>
      </c>
      <c r="G7818" s="7" t="s">
        <v>505</v>
      </c>
      <c r="H7818" s="6" t="n">
        <v>3.78</v>
      </c>
      <c r="I7818" s="6" t="n">
        <v>0</v>
      </c>
      <c r="J7818" s="40" t="n">
        <f aca="false">H7818-I7818</f>
        <v>3.78</v>
      </c>
      <c r="K7818" s="41" t="n">
        <v>34</v>
      </c>
      <c r="L7818" s="42" t="n">
        <f aca="false">J7818*K7818</f>
        <v>128.52</v>
      </c>
      <c r="M7818" s="43" t="n">
        <f aca="false">H7818*16.96*(1+'Chart of Accounts'!$E$67)</f>
        <v>73.404576</v>
      </c>
    </row>
    <row r="7819" customFormat="false" ht="15" hidden="false" customHeight="false" outlineLevel="0" collapsed="false">
      <c r="B7819" s="7" t="s">
        <v>8316</v>
      </c>
      <c r="C7819" s="39" t="n">
        <v>46010</v>
      </c>
      <c r="D7819" s="7" t="s">
        <v>361</v>
      </c>
      <c r="E7819" s="7" t="s">
        <v>157</v>
      </c>
      <c r="F7819" s="7" t="s">
        <v>209</v>
      </c>
      <c r="G7819" s="7" t="s">
        <v>502</v>
      </c>
      <c r="H7819" s="6" t="n">
        <v>1.07</v>
      </c>
      <c r="I7819" s="6" t="n">
        <v>0</v>
      </c>
      <c r="J7819" s="40" t="n">
        <f aca="false">H7819-I7819</f>
        <v>1.07</v>
      </c>
      <c r="K7819" s="41" t="n">
        <v>165</v>
      </c>
      <c r="L7819" s="42" t="n">
        <f aca="false">J7819*K7819</f>
        <v>176.55</v>
      </c>
      <c r="M7819" s="43" t="n">
        <f aca="false">H7819*73.58*(1+'Chart of Accounts'!$E$67)</f>
        <v>90.146537</v>
      </c>
    </row>
    <row r="7820" customFormat="false" ht="15" hidden="false" customHeight="false" outlineLevel="0" collapsed="false">
      <c r="B7820" s="7" t="s">
        <v>8317</v>
      </c>
      <c r="C7820" s="39" t="n">
        <v>46010</v>
      </c>
      <c r="D7820" s="7" t="s">
        <v>365</v>
      </c>
      <c r="E7820" s="7" t="s">
        <v>154</v>
      </c>
      <c r="F7820" s="7" t="s">
        <v>194</v>
      </c>
      <c r="G7820" s="7" t="s">
        <v>505</v>
      </c>
      <c r="H7820" s="6" t="n">
        <v>3.74</v>
      </c>
      <c r="I7820" s="6" t="n">
        <v>0.112</v>
      </c>
      <c r="J7820" s="40" t="n">
        <f aca="false">H7820-I7820</f>
        <v>3.628</v>
      </c>
      <c r="K7820" s="41" t="n">
        <v>26.5</v>
      </c>
      <c r="L7820" s="42" t="n">
        <f aca="false">J7820*K7820</f>
        <v>96.142</v>
      </c>
      <c r="M7820" s="43" t="n">
        <f aca="false">H7820*16*(1+'Chart of Accounts'!$E$67)</f>
        <v>68.5168</v>
      </c>
    </row>
    <row r="7821" customFormat="false" ht="15" hidden="false" customHeight="false" outlineLevel="0" collapsed="false">
      <c r="B7821" s="7" t="s">
        <v>8318</v>
      </c>
      <c r="C7821" s="39" t="n">
        <v>46010</v>
      </c>
      <c r="D7821" s="7" t="s">
        <v>369</v>
      </c>
      <c r="E7821" s="7" t="s">
        <v>159</v>
      </c>
      <c r="F7821" s="7" t="s">
        <v>258</v>
      </c>
      <c r="G7821" s="7" t="s">
        <v>502</v>
      </c>
      <c r="H7821" s="6" t="n">
        <v>0.95</v>
      </c>
      <c r="I7821" s="6" t="n">
        <v>0</v>
      </c>
      <c r="J7821" s="40" t="n">
        <f aca="false">H7821-I7821</f>
        <v>0.95</v>
      </c>
      <c r="K7821" s="41" t="n">
        <v>135</v>
      </c>
      <c r="L7821" s="42" t="n">
        <f aca="false">J7821*K7821</f>
        <v>128.25</v>
      </c>
      <c r="M7821" s="43" t="n">
        <f aca="false">H7821*61.61*(1+'Chart of Accounts'!$E$67)</f>
        <v>67.0162775</v>
      </c>
    </row>
    <row r="7822" customFormat="false" ht="15" hidden="false" customHeight="false" outlineLevel="0" collapsed="false">
      <c r="B7822" s="7" t="s">
        <v>8319</v>
      </c>
      <c r="C7822" s="39" t="n">
        <v>46010</v>
      </c>
      <c r="D7822" s="7" t="s">
        <v>371</v>
      </c>
      <c r="E7822" s="7" t="s">
        <v>154</v>
      </c>
      <c r="F7822" s="7" t="s">
        <v>232</v>
      </c>
      <c r="G7822" s="7" t="s">
        <v>505</v>
      </c>
      <c r="H7822" s="6" t="n">
        <v>4.85</v>
      </c>
      <c r="I7822" s="6" t="n">
        <v>0</v>
      </c>
      <c r="J7822" s="40" t="n">
        <f aca="false">H7822-I7822</f>
        <v>4.85</v>
      </c>
      <c r="K7822" s="41" t="n">
        <v>26.5</v>
      </c>
      <c r="L7822" s="42" t="n">
        <f aca="false">J7822*K7822</f>
        <v>128.525</v>
      </c>
      <c r="M7822" s="43" t="n">
        <f aca="false">H7822*16.17*(1+'Chart of Accounts'!$E$67)</f>
        <v>89.7960525</v>
      </c>
    </row>
    <row r="7823" customFormat="false" ht="15" hidden="false" customHeight="false" outlineLevel="0" collapsed="false">
      <c r="B7823" s="7" t="s">
        <v>8320</v>
      </c>
      <c r="C7823" s="39" t="n">
        <v>46010</v>
      </c>
      <c r="D7823" s="7" t="s">
        <v>379</v>
      </c>
      <c r="E7823" s="7" t="s">
        <v>156</v>
      </c>
      <c r="F7823" s="7" t="s">
        <v>224</v>
      </c>
      <c r="G7823" s="7" t="s">
        <v>505</v>
      </c>
      <c r="H7823" s="6" t="n">
        <v>4.72</v>
      </c>
      <c r="I7823" s="6" t="n">
        <v>0</v>
      </c>
      <c r="J7823" s="40" t="n">
        <f aca="false">H7823-I7823</f>
        <v>4.72</v>
      </c>
      <c r="K7823" s="41" t="n">
        <v>34</v>
      </c>
      <c r="L7823" s="42" t="n">
        <f aca="false">J7823*K7823</f>
        <v>160.48</v>
      </c>
      <c r="M7823" s="43" t="n">
        <f aca="false">H7823*14.93*(1+'Chart of Accounts'!$E$67)</f>
        <v>80.687692</v>
      </c>
    </row>
    <row r="7824" customFormat="false" ht="15" hidden="false" customHeight="false" outlineLevel="0" collapsed="false">
      <c r="B7824" s="7" t="s">
        <v>8321</v>
      </c>
      <c r="C7824" s="39" t="n">
        <v>46010</v>
      </c>
      <c r="D7824" s="7" t="s">
        <v>381</v>
      </c>
      <c r="E7824" s="7" t="s">
        <v>157</v>
      </c>
      <c r="F7824" s="7" t="s">
        <v>234</v>
      </c>
      <c r="G7824" s="7" t="s">
        <v>502</v>
      </c>
      <c r="H7824" s="6" t="n">
        <v>1</v>
      </c>
      <c r="I7824" s="6" t="n">
        <v>0</v>
      </c>
      <c r="J7824" s="40" t="n">
        <f aca="false">H7824-I7824</f>
        <v>1</v>
      </c>
      <c r="K7824" s="41" t="n">
        <v>165</v>
      </c>
      <c r="L7824" s="42" t="n">
        <f aca="false">J7824*K7824</f>
        <v>165</v>
      </c>
      <c r="M7824" s="43" t="n">
        <f aca="false">H7824*89.53*(1+'Chart of Accounts'!$E$67)</f>
        <v>102.51185</v>
      </c>
    </row>
    <row r="7825" customFormat="false" ht="15" hidden="false" customHeight="false" outlineLevel="0" collapsed="false">
      <c r="B7825" s="7" t="s">
        <v>8322</v>
      </c>
      <c r="C7825" s="39" t="n">
        <v>46010</v>
      </c>
      <c r="D7825" s="7" t="s">
        <v>383</v>
      </c>
      <c r="E7825" s="7" t="s">
        <v>157</v>
      </c>
      <c r="F7825" s="7" t="s">
        <v>230</v>
      </c>
      <c r="G7825" s="7" t="s">
        <v>502</v>
      </c>
      <c r="H7825" s="6" t="n">
        <v>1.07</v>
      </c>
      <c r="I7825" s="6" t="n">
        <v>0</v>
      </c>
      <c r="J7825" s="40" t="n">
        <f aca="false">H7825-I7825</f>
        <v>1.07</v>
      </c>
      <c r="K7825" s="41" t="n">
        <v>165</v>
      </c>
      <c r="L7825" s="42" t="n">
        <f aca="false">J7825*K7825</f>
        <v>176.55</v>
      </c>
      <c r="M7825" s="43" t="n">
        <f aca="false">H7825*48.78*(1+'Chart of Accounts'!$E$67)</f>
        <v>59.762817</v>
      </c>
    </row>
    <row r="7826" customFormat="false" ht="15" hidden="false" customHeight="false" outlineLevel="0" collapsed="false">
      <c r="B7826" s="7" t="s">
        <v>8323</v>
      </c>
      <c r="C7826" s="39" t="n">
        <v>46010</v>
      </c>
      <c r="D7826" s="7" t="s">
        <v>385</v>
      </c>
      <c r="E7826" s="7" t="s">
        <v>156</v>
      </c>
      <c r="F7826" s="7" t="s">
        <v>238</v>
      </c>
      <c r="G7826" s="7" t="s">
        <v>505</v>
      </c>
      <c r="H7826" s="6" t="n">
        <v>4.12</v>
      </c>
      <c r="I7826" s="6" t="n">
        <v>0</v>
      </c>
      <c r="J7826" s="40" t="n">
        <f aca="false">H7826-I7826</f>
        <v>4.12</v>
      </c>
      <c r="K7826" s="41" t="n">
        <v>34</v>
      </c>
      <c r="L7826" s="42" t="n">
        <f aca="false">J7826*K7826</f>
        <v>140.08</v>
      </c>
      <c r="M7826" s="43" t="n">
        <f aca="false">H7826*15.85*(1+'Chart of Accounts'!$E$67)</f>
        <v>74.77079</v>
      </c>
    </row>
    <row r="7827" customFormat="false" ht="15" hidden="false" customHeight="false" outlineLevel="0" collapsed="false">
      <c r="B7827" s="7" t="s">
        <v>8324</v>
      </c>
      <c r="C7827" s="39" t="n">
        <v>46010</v>
      </c>
      <c r="D7827" s="7" t="s">
        <v>387</v>
      </c>
      <c r="E7827" s="7" t="s">
        <v>154</v>
      </c>
      <c r="F7827" s="7" t="s">
        <v>196</v>
      </c>
      <c r="G7827" s="7" t="s">
        <v>505</v>
      </c>
      <c r="H7827" s="6" t="n">
        <v>4.17</v>
      </c>
      <c r="I7827" s="6" t="n">
        <v>0</v>
      </c>
      <c r="J7827" s="40" t="n">
        <f aca="false">H7827-I7827</f>
        <v>4.17</v>
      </c>
      <c r="K7827" s="41" t="n">
        <v>26.5</v>
      </c>
      <c r="L7827" s="42" t="n">
        <f aca="false">J7827*K7827</f>
        <v>110.505</v>
      </c>
      <c r="M7827" s="43" t="n">
        <f aca="false">H7827*15.05*(1+'Chart of Accounts'!$E$67)</f>
        <v>71.8584825</v>
      </c>
    </row>
    <row r="7828" customFormat="false" ht="15" hidden="false" customHeight="false" outlineLevel="0" collapsed="false">
      <c r="B7828" s="7" t="s">
        <v>8325</v>
      </c>
      <c r="C7828" s="39" t="n">
        <v>46010</v>
      </c>
      <c r="D7828" s="7" t="s">
        <v>389</v>
      </c>
      <c r="E7828" s="7" t="s">
        <v>154</v>
      </c>
      <c r="F7828" s="7" t="s">
        <v>246</v>
      </c>
      <c r="G7828" s="7" t="s">
        <v>505</v>
      </c>
      <c r="H7828" s="6" t="n">
        <v>3.75</v>
      </c>
      <c r="I7828" s="6" t="n">
        <v>0</v>
      </c>
      <c r="J7828" s="40" t="n">
        <f aca="false">H7828-I7828</f>
        <v>3.75</v>
      </c>
      <c r="K7828" s="41" t="n">
        <v>26.5</v>
      </c>
      <c r="L7828" s="42" t="n">
        <f aca="false">J7828*K7828</f>
        <v>99.375</v>
      </c>
      <c r="M7828" s="43" t="n">
        <f aca="false">H7828*16.48*(1+'Chart of Accounts'!$E$67)</f>
        <v>70.761</v>
      </c>
    </row>
    <row r="7829" customFormat="false" ht="15" hidden="false" customHeight="false" outlineLevel="0" collapsed="false">
      <c r="B7829" s="7" t="s">
        <v>8326</v>
      </c>
      <c r="C7829" s="39" t="n">
        <v>46010</v>
      </c>
      <c r="D7829" s="7" t="s">
        <v>391</v>
      </c>
      <c r="E7829" s="7" t="s">
        <v>156</v>
      </c>
      <c r="F7829" s="7" t="s">
        <v>222</v>
      </c>
      <c r="G7829" s="7" t="s">
        <v>505</v>
      </c>
      <c r="H7829" s="6" t="n">
        <v>4.3</v>
      </c>
      <c r="I7829" s="6" t="n">
        <v>0</v>
      </c>
      <c r="J7829" s="40" t="n">
        <f aca="false">H7829-I7829</f>
        <v>4.3</v>
      </c>
      <c r="K7829" s="41" t="n">
        <v>34</v>
      </c>
      <c r="L7829" s="42" t="n">
        <f aca="false">J7829*K7829</f>
        <v>146.2</v>
      </c>
      <c r="M7829" s="43" t="n">
        <f aca="false">H7829*17.84*(1+'Chart of Accounts'!$E$67)</f>
        <v>87.83524</v>
      </c>
    </row>
    <row r="7830" customFormat="false" ht="15" hidden="false" customHeight="false" outlineLevel="0" collapsed="false">
      <c r="B7830" s="7" t="s">
        <v>8327</v>
      </c>
      <c r="C7830" s="39" t="n">
        <v>46010</v>
      </c>
      <c r="D7830" s="7" t="s">
        <v>395</v>
      </c>
      <c r="E7830" s="7" t="s">
        <v>156</v>
      </c>
      <c r="F7830" s="7" t="s">
        <v>242</v>
      </c>
      <c r="G7830" s="7" t="s">
        <v>505</v>
      </c>
      <c r="H7830" s="6" t="n">
        <v>4.23</v>
      </c>
      <c r="I7830" s="6" t="n">
        <v>0</v>
      </c>
      <c r="J7830" s="40" t="n">
        <f aca="false">H7830-I7830</f>
        <v>4.23</v>
      </c>
      <c r="K7830" s="41" t="n">
        <v>34</v>
      </c>
      <c r="L7830" s="42" t="n">
        <f aca="false">J7830*K7830</f>
        <v>143.82</v>
      </c>
      <c r="M7830" s="43" t="n">
        <f aca="false">H7830*17.99*(1+'Chart of Accounts'!$E$67)</f>
        <v>87.1318665</v>
      </c>
    </row>
    <row r="7831" customFormat="false" ht="15" hidden="false" customHeight="false" outlineLevel="0" collapsed="false">
      <c r="B7831" s="7" t="s">
        <v>8328</v>
      </c>
      <c r="C7831" s="39" t="n">
        <v>46010</v>
      </c>
      <c r="D7831" s="7" t="s">
        <v>397</v>
      </c>
      <c r="E7831" s="7" t="s">
        <v>159</v>
      </c>
      <c r="F7831" s="7" t="s">
        <v>203</v>
      </c>
      <c r="G7831" s="7" t="s">
        <v>502</v>
      </c>
      <c r="H7831" s="6" t="n">
        <v>1.01</v>
      </c>
      <c r="I7831" s="6" t="n">
        <v>0</v>
      </c>
      <c r="J7831" s="40" t="n">
        <f aca="false">H7831-I7831</f>
        <v>1.01</v>
      </c>
      <c r="K7831" s="41" t="n">
        <v>135</v>
      </c>
      <c r="L7831" s="42" t="n">
        <f aca="false">J7831*K7831</f>
        <v>136.35</v>
      </c>
      <c r="M7831" s="43" t="n">
        <f aca="false">H7831*49.43*(1+'Chart of Accounts'!$E$67)</f>
        <v>57.1633235</v>
      </c>
    </row>
    <row r="7832" customFormat="false" ht="15" hidden="false" customHeight="false" outlineLevel="0" collapsed="false">
      <c r="B7832" s="7" t="s">
        <v>8329</v>
      </c>
      <c r="C7832" s="39" t="n">
        <v>46010</v>
      </c>
      <c r="D7832" s="7" t="s">
        <v>399</v>
      </c>
      <c r="E7832" s="7" t="s">
        <v>154</v>
      </c>
      <c r="F7832" s="7" t="s">
        <v>242</v>
      </c>
      <c r="G7832" s="7" t="s">
        <v>505</v>
      </c>
      <c r="H7832" s="6" t="n">
        <v>3.1</v>
      </c>
      <c r="I7832" s="6" t="n">
        <v>0</v>
      </c>
      <c r="J7832" s="40" t="n">
        <f aca="false">H7832-I7832</f>
        <v>3.1</v>
      </c>
      <c r="K7832" s="41" t="n">
        <v>26.5</v>
      </c>
      <c r="L7832" s="42" t="n">
        <f aca="false">J7832*K7832</f>
        <v>82.15</v>
      </c>
      <c r="M7832" s="43" t="n">
        <f aca="false">H7832*17.99*(1+'Chart of Accounts'!$E$67)</f>
        <v>63.855505</v>
      </c>
    </row>
    <row r="7833" customFormat="false" ht="15" hidden="false" customHeight="false" outlineLevel="0" collapsed="false">
      <c r="B7833" s="7" t="s">
        <v>8330</v>
      </c>
      <c r="C7833" s="39" t="n">
        <v>46010</v>
      </c>
      <c r="D7833" s="7" t="s">
        <v>401</v>
      </c>
      <c r="E7833" s="7" t="s">
        <v>156</v>
      </c>
      <c r="F7833" s="7" t="s">
        <v>254</v>
      </c>
      <c r="G7833" s="7" t="s">
        <v>505</v>
      </c>
      <c r="H7833" s="6" t="n">
        <v>3.88</v>
      </c>
      <c r="I7833" s="6" t="n">
        <v>0</v>
      </c>
      <c r="J7833" s="40" t="n">
        <f aca="false">H7833-I7833</f>
        <v>3.88</v>
      </c>
      <c r="K7833" s="41" t="n">
        <v>34</v>
      </c>
      <c r="L7833" s="42" t="n">
        <f aca="false">J7833*K7833</f>
        <v>131.92</v>
      </c>
      <c r="M7833" s="43" t="n">
        <f aca="false">H7833*17.1*(1+'Chart of Accounts'!$E$67)</f>
        <v>75.96846</v>
      </c>
    </row>
    <row r="7834" customFormat="false" ht="15" hidden="false" customHeight="false" outlineLevel="0" collapsed="false">
      <c r="B7834" s="7" t="s">
        <v>8331</v>
      </c>
      <c r="C7834" s="39" t="n">
        <v>46010</v>
      </c>
      <c r="D7834" s="7" t="s">
        <v>403</v>
      </c>
      <c r="E7834" s="7" t="s">
        <v>156</v>
      </c>
      <c r="F7834" s="7" t="s">
        <v>184</v>
      </c>
      <c r="G7834" s="7" t="s">
        <v>505</v>
      </c>
      <c r="H7834" s="6" t="n">
        <v>3.76</v>
      </c>
      <c r="I7834" s="6" t="n">
        <v>0</v>
      </c>
      <c r="J7834" s="40" t="n">
        <f aca="false">H7834-I7834</f>
        <v>3.76</v>
      </c>
      <c r="K7834" s="41" t="n">
        <v>34</v>
      </c>
      <c r="L7834" s="42" t="n">
        <f aca="false">J7834*K7834</f>
        <v>127.84</v>
      </c>
      <c r="M7834" s="43" t="n">
        <f aca="false">H7834*17.34*(1+'Chart of Accounts'!$E$67)</f>
        <v>74.652168</v>
      </c>
    </row>
    <row r="7835" customFormat="false" ht="15" hidden="false" customHeight="false" outlineLevel="0" collapsed="false">
      <c r="B7835" s="7" t="s">
        <v>8332</v>
      </c>
      <c r="C7835" s="39" t="n">
        <v>46010</v>
      </c>
      <c r="D7835" s="7" t="s">
        <v>407</v>
      </c>
      <c r="E7835" s="7" t="s">
        <v>159</v>
      </c>
      <c r="F7835" s="7" t="s">
        <v>260</v>
      </c>
      <c r="G7835" s="7" t="s">
        <v>502</v>
      </c>
      <c r="H7835" s="6" t="n">
        <v>0.99</v>
      </c>
      <c r="I7835" s="6" t="n">
        <v>0</v>
      </c>
      <c r="J7835" s="40" t="n">
        <f aca="false">H7835-I7835</f>
        <v>0.99</v>
      </c>
      <c r="K7835" s="41" t="n">
        <v>135</v>
      </c>
      <c r="L7835" s="42" t="n">
        <f aca="false">J7835*K7835</f>
        <v>133.65</v>
      </c>
      <c r="M7835" s="43" t="n">
        <f aca="false">H7835*79.8*(1+'Chart of Accounts'!$E$67)</f>
        <v>90.45729</v>
      </c>
    </row>
    <row r="7836" customFormat="false" ht="15" hidden="false" customHeight="false" outlineLevel="0" collapsed="false">
      <c r="B7836" s="7" t="s">
        <v>8333</v>
      </c>
      <c r="C7836" s="39" t="n">
        <v>46010</v>
      </c>
      <c r="D7836" s="7" t="s">
        <v>409</v>
      </c>
      <c r="E7836" s="7" t="s">
        <v>154</v>
      </c>
      <c r="F7836" s="7" t="s">
        <v>214</v>
      </c>
      <c r="G7836" s="7" t="s">
        <v>505</v>
      </c>
      <c r="H7836" s="6" t="n">
        <v>3.04</v>
      </c>
      <c r="I7836" s="6" t="n">
        <v>0</v>
      </c>
      <c r="J7836" s="40" t="n">
        <f aca="false">H7836-I7836</f>
        <v>3.04</v>
      </c>
      <c r="K7836" s="41" t="n">
        <v>26.5</v>
      </c>
      <c r="L7836" s="42" t="n">
        <f aca="false">J7836*K7836</f>
        <v>80.56</v>
      </c>
      <c r="M7836" s="43" t="n">
        <f aca="false">H7836*15.67*(1+'Chart of Accounts'!$E$67)</f>
        <v>54.544136</v>
      </c>
    </row>
    <row r="7837" customFormat="false" ht="15" hidden="false" customHeight="false" outlineLevel="0" collapsed="false">
      <c r="B7837" s="7" t="s">
        <v>8334</v>
      </c>
      <c r="C7837" s="39" t="n">
        <v>46010</v>
      </c>
      <c r="D7837" s="7" t="s">
        <v>411</v>
      </c>
      <c r="E7837" s="7" t="s">
        <v>154</v>
      </c>
      <c r="F7837" s="7" t="s">
        <v>177</v>
      </c>
      <c r="G7837" s="7" t="s">
        <v>505</v>
      </c>
      <c r="H7837" s="6" t="n">
        <v>4.8</v>
      </c>
      <c r="I7837" s="6" t="n">
        <v>0</v>
      </c>
      <c r="J7837" s="40" t="n">
        <f aca="false">H7837-I7837</f>
        <v>4.8</v>
      </c>
      <c r="K7837" s="41" t="n">
        <v>26.5</v>
      </c>
      <c r="L7837" s="42" t="n">
        <f aca="false">J7837*K7837</f>
        <v>127.2</v>
      </c>
      <c r="M7837" s="43" t="n">
        <f aca="false">H7837*14.56*(1+'Chart of Accounts'!$E$67)</f>
        <v>80.02176</v>
      </c>
    </row>
    <row r="7838" customFormat="false" ht="15" hidden="false" customHeight="false" outlineLevel="0" collapsed="false">
      <c r="B7838" s="7" t="s">
        <v>8335</v>
      </c>
      <c r="C7838" s="39" t="n">
        <v>46011</v>
      </c>
      <c r="D7838" s="7" t="s">
        <v>288</v>
      </c>
      <c r="E7838" s="7" t="s">
        <v>156</v>
      </c>
      <c r="F7838" s="7" t="s">
        <v>232</v>
      </c>
      <c r="G7838" s="7" t="s">
        <v>505</v>
      </c>
      <c r="H7838" s="6" t="n">
        <v>4.19</v>
      </c>
      <c r="I7838" s="6" t="n">
        <v>0</v>
      </c>
      <c r="J7838" s="40" t="n">
        <f aca="false">H7838-I7838</f>
        <v>4.19</v>
      </c>
      <c r="K7838" s="41" t="n">
        <v>34</v>
      </c>
      <c r="L7838" s="42" t="n">
        <f aca="false">J7838*K7838</f>
        <v>142.46</v>
      </c>
      <c r="M7838" s="43" t="n">
        <f aca="false">H7838*16.17*(1+'Chart of Accounts'!$E$67)</f>
        <v>77.5763835</v>
      </c>
    </row>
    <row r="7839" customFormat="false" ht="15" hidden="false" customHeight="false" outlineLevel="0" collapsed="false">
      <c r="B7839" s="7" t="s">
        <v>8336</v>
      </c>
      <c r="C7839" s="39" t="n">
        <v>46011</v>
      </c>
      <c r="D7839" s="7" t="s">
        <v>321</v>
      </c>
      <c r="E7839" s="7" t="s">
        <v>154</v>
      </c>
      <c r="F7839" s="7" t="s">
        <v>218</v>
      </c>
      <c r="G7839" s="7" t="s">
        <v>505</v>
      </c>
      <c r="H7839" s="6" t="n">
        <v>4.18</v>
      </c>
      <c r="I7839" s="6" t="n">
        <v>0</v>
      </c>
      <c r="J7839" s="40" t="n">
        <f aca="false">H7839-I7839</f>
        <v>4.18</v>
      </c>
      <c r="K7839" s="41" t="n">
        <v>26.5</v>
      </c>
      <c r="L7839" s="42" t="n">
        <f aca="false">J7839*K7839</f>
        <v>110.77</v>
      </c>
      <c r="M7839" s="43" t="n">
        <f aca="false">H7839*16.19*(1+'Chart of Accounts'!$E$67)</f>
        <v>77.486959</v>
      </c>
    </row>
    <row r="7840" customFormat="false" ht="15" hidden="false" customHeight="false" outlineLevel="0" collapsed="false">
      <c r="B7840" s="7" t="s">
        <v>8337</v>
      </c>
      <c r="C7840" s="39" t="n">
        <v>46011</v>
      </c>
      <c r="D7840" s="7" t="s">
        <v>359</v>
      </c>
      <c r="E7840" s="7" t="s">
        <v>156</v>
      </c>
      <c r="F7840" s="7" t="s">
        <v>244</v>
      </c>
      <c r="G7840" s="7" t="s">
        <v>505</v>
      </c>
      <c r="H7840" s="6" t="n">
        <v>4.18</v>
      </c>
      <c r="I7840" s="6" t="n">
        <v>0</v>
      </c>
      <c r="J7840" s="40" t="n">
        <f aca="false">H7840-I7840</f>
        <v>4.18</v>
      </c>
      <c r="K7840" s="41" t="n">
        <v>34</v>
      </c>
      <c r="L7840" s="42" t="n">
        <f aca="false">J7840*K7840</f>
        <v>142.12</v>
      </c>
      <c r="M7840" s="43" t="n">
        <f aca="false">H7840*16.39*(1+'Chart of Accounts'!$E$67)</f>
        <v>78.444179</v>
      </c>
    </row>
    <row r="7841" customFormat="false" ht="15" hidden="false" customHeight="false" outlineLevel="0" collapsed="false">
      <c r="B7841" s="7" t="s">
        <v>8338</v>
      </c>
      <c r="C7841" s="39" t="n">
        <v>46011</v>
      </c>
      <c r="D7841" s="7" t="s">
        <v>387</v>
      </c>
      <c r="E7841" s="7" t="s">
        <v>154</v>
      </c>
      <c r="F7841" s="7" t="s">
        <v>196</v>
      </c>
      <c r="G7841" s="7" t="s">
        <v>505</v>
      </c>
      <c r="H7841" s="6" t="n">
        <v>4.24</v>
      </c>
      <c r="I7841" s="6" t="n">
        <v>0</v>
      </c>
      <c r="J7841" s="40" t="n">
        <f aca="false">H7841-I7841</f>
        <v>4.24</v>
      </c>
      <c r="K7841" s="41" t="n">
        <v>26.5</v>
      </c>
      <c r="L7841" s="42" t="n">
        <f aca="false">J7841*K7841</f>
        <v>112.36</v>
      </c>
      <c r="M7841" s="43" t="n">
        <f aca="false">H7841*15.05*(1+'Chart of Accounts'!$E$67)</f>
        <v>73.06474</v>
      </c>
    </row>
    <row r="7842" customFormat="false" ht="15" hidden="false" customHeight="false" outlineLevel="0" collapsed="false">
      <c r="B7842" s="7" t="s">
        <v>8339</v>
      </c>
      <c r="C7842" s="39" t="n">
        <v>46011</v>
      </c>
      <c r="D7842" s="7" t="s">
        <v>391</v>
      </c>
      <c r="E7842" s="7" t="s">
        <v>156</v>
      </c>
      <c r="F7842" s="7" t="s">
        <v>222</v>
      </c>
      <c r="G7842" s="7" t="s">
        <v>505</v>
      </c>
      <c r="H7842" s="6" t="n">
        <v>3.8</v>
      </c>
      <c r="I7842" s="6" t="n">
        <v>0</v>
      </c>
      <c r="J7842" s="40" t="n">
        <f aca="false">H7842-I7842</f>
        <v>3.8</v>
      </c>
      <c r="K7842" s="41" t="n">
        <v>34</v>
      </c>
      <c r="L7842" s="42" t="n">
        <f aca="false">J7842*K7842</f>
        <v>129.2</v>
      </c>
      <c r="M7842" s="43" t="n">
        <f aca="false">H7842*17.84*(1+'Chart of Accounts'!$E$67)</f>
        <v>77.62184</v>
      </c>
    </row>
    <row r="7843" customFormat="false" ht="15" hidden="false" customHeight="false" outlineLevel="0" collapsed="false">
      <c r="B7843" s="7" t="s">
        <v>8340</v>
      </c>
      <c r="C7843" s="39" t="n">
        <v>46011</v>
      </c>
      <c r="D7843" s="7" t="s">
        <v>395</v>
      </c>
      <c r="E7843" s="7" t="s">
        <v>156</v>
      </c>
      <c r="F7843" s="7" t="s">
        <v>242</v>
      </c>
      <c r="G7843" s="7" t="s">
        <v>505</v>
      </c>
      <c r="H7843" s="6" t="n">
        <v>4.29</v>
      </c>
      <c r="I7843" s="6" t="n">
        <v>0</v>
      </c>
      <c r="J7843" s="40" t="n">
        <f aca="false">H7843-I7843</f>
        <v>4.29</v>
      </c>
      <c r="K7843" s="41" t="n">
        <v>34</v>
      </c>
      <c r="L7843" s="42" t="n">
        <f aca="false">J7843*K7843</f>
        <v>145.86</v>
      </c>
      <c r="M7843" s="43" t="n">
        <f aca="false">H7843*17.99*(1+'Chart of Accounts'!$E$67)</f>
        <v>88.3677795</v>
      </c>
    </row>
    <row r="7844" customFormat="false" ht="15" hidden="false" customHeight="false" outlineLevel="0" collapsed="false">
      <c r="B7844" s="7" t="s">
        <v>8341</v>
      </c>
      <c r="C7844" s="39" t="n">
        <v>46011</v>
      </c>
      <c r="D7844" s="7" t="s">
        <v>401</v>
      </c>
      <c r="E7844" s="7" t="s">
        <v>156</v>
      </c>
      <c r="F7844" s="7" t="s">
        <v>254</v>
      </c>
      <c r="G7844" s="7" t="s">
        <v>505</v>
      </c>
      <c r="H7844" s="6" t="n">
        <v>4.39</v>
      </c>
      <c r="I7844" s="6" t="n">
        <v>0</v>
      </c>
      <c r="J7844" s="40" t="n">
        <f aca="false">H7844-I7844</f>
        <v>4.39</v>
      </c>
      <c r="K7844" s="41" t="n">
        <v>34</v>
      </c>
      <c r="L7844" s="42" t="n">
        <f aca="false">J7844*K7844</f>
        <v>149.26</v>
      </c>
      <c r="M7844" s="43" t="n">
        <f aca="false">H7844*17.1*(1+'Chart of Accounts'!$E$67)</f>
        <v>85.954005</v>
      </c>
    </row>
    <row r="7845" customFormat="false" ht="15" hidden="false" customHeight="false" outlineLevel="0" collapsed="false">
      <c r="B7845" s="7" t="s">
        <v>8342</v>
      </c>
      <c r="C7845" s="39" t="n">
        <v>46012</v>
      </c>
      <c r="D7845" s="7" t="s">
        <v>321</v>
      </c>
      <c r="E7845" s="7" t="s">
        <v>154</v>
      </c>
      <c r="F7845" s="7" t="s">
        <v>218</v>
      </c>
      <c r="G7845" s="7" t="s">
        <v>505</v>
      </c>
      <c r="H7845" s="6" t="n">
        <v>3.81</v>
      </c>
      <c r="I7845" s="6" t="n">
        <v>0</v>
      </c>
      <c r="J7845" s="40" t="n">
        <f aca="false">H7845-I7845</f>
        <v>3.81</v>
      </c>
      <c r="K7845" s="41" t="n">
        <v>26.5</v>
      </c>
      <c r="L7845" s="42" t="n">
        <f aca="false">J7845*K7845</f>
        <v>100.965</v>
      </c>
      <c r="M7845" s="43" t="n">
        <f aca="false">H7845*16.19*(1+'Chart of Accounts'!$E$67)</f>
        <v>70.6280655</v>
      </c>
    </row>
    <row r="7846" customFormat="false" ht="15" hidden="false" customHeight="false" outlineLevel="0" collapsed="false">
      <c r="B7846" s="7" t="s">
        <v>8343</v>
      </c>
      <c r="C7846" s="39" t="n">
        <v>46012</v>
      </c>
      <c r="D7846" s="7" t="s">
        <v>359</v>
      </c>
      <c r="E7846" s="7" t="s">
        <v>156</v>
      </c>
      <c r="F7846" s="7" t="s">
        <v>218</v>
      </c>
      <c r="G7846" s="7" t="s">
        <v>505</v>
      </c>
      <c r="H7846" s="6" t="n">
        <v>4.19</v>
      </c>
      <c r="I7846" s="6" t="n">
        <v>0</v>
      </c>
      <c r="J7846" s="40" t="n">
        <f aca="false">H7846-I7846</f>
        <v>4.19</v>
      </c>
      <c r="K7846" s="41" t="n">
        <v>34</v>
      </c>
      <c r="L7846" s="42" t="n">
        <f aca="false">J7846*K7846</f>
        <v>142.46</v>
      </c>
      <c r="M7846" s="43" t="n">
        <f aca="false">H7846*16.19*(1+'Chart of Accounts'!$E$67)</f>
        <v>77.6723345</v>
      </c>
    </row>
    <row r="7847" customFormat="false" ht="15" hidden="false" customHeight="false" outlineLevel="0" collapsed="false">
      <c r="B7847" s="7" t="s">
        <v>8344</v>
      </c>
      <c r="C7847" s="39" t="n">
        <v>46012</v>
      </c>
      <c r="D7847" s="7" t="s">
        <v>387</v>
      </c>
      <c r="E7847" s="7" t="s">
        <v>154</v>
      </c>
      <c r="F7847" s="7" t="s">
        <v>196</v>
      </c>
      <c r="G7847" s="7" t="s">
        <v>505</v>
      </c>
      <c r="H7847" s="6" t="n">
        <v>4.07</v>
      </c>
      <c r="I7847" s="6" t="n">
        <v>0</v>
      </c>
      <c r="J7847" s="40" t="n">
        <f aca="false">H7847-I7847</f>
        <v>4.07</v>
      </c>
      <c r="K7847" s="41" t="n">
        <v>26.5</v>
      </c>
      <c r="L7847" s="42" t="n">
        <f aca="false">J7847*K7847</f>
        <v>107.855</v>
      </c>
      <c r="M7847" s="43" t="n">
        <f aca="false">H7847*15.05*(1+'Chart of Accounts'!$E$67)</f>
        <v>70.1352575</v>
      </c>
    </row>
    <row r="7848" customFormat="false" ht="15" hidden="false" customHeight="false" outlineLevel="0" collapsed="false">
      <c r="B7848" s="7" t="s">
        <v>8345</v>
      </c>
      <c r="C7848" s="39" t="n">
        <v>46012</v>
      </c>
      <c r="D7848" s="7" t="s">
        <v>391</v>
      </c>
      <c r="E7848" s="7" t="s">
        <v>156</v>
      </c>
      <c r="F7848" s="7" t="s">
        <v>222</v>
      </c>
      <c r="G7848" s="7" t="s">
        <v>505</v>
      </c>
      <c r="H7848" s="6" t="n">
        <v>3.94</v>
      </c>
      <c r="I7848" s="6" t="n">
        <v>0</v>
      </c>
      <c r="J7848" s="40" t="n">
        <f aca="false">H7848-I7848</f>
        <v>3.94</v>
      </c>
      <c r="K7848" s="41" t="n">
        <v>34</v>
      </c>
      <c r="L7848" s="42" t="n">
        <f aca="false">J7848*K7848</f>
        <v>133.96</v>
      </c>
      <c r="M7848" s="43" t="n">
        <f aca="false">H7848*17.84*(1+'Chart of Accounts'!$E$67)</f>
        <v>80.481592</v>
      </c>
    </row>
    <row r="7849" customFormat="false" ht="15" hidden="false" customHeight="false" outlineLevel="0" collapsed="false">
      <c r="B7849" s="7" t="s">
        <v>8346</v>
      </c>
      <c r="C7849" s="39" t="n">
        <v>46012</v>
      </c>
      <c r="D7849" s="7" t="s">
        <v>395</v>
      </c>
      <c r="E7849" s="7" t="s">
        <v>156</v>
      </c>
      <c r="F7849" s="7" t="s">
        <v>242</v>
      </c>
      <c r="G7849" s="7" t="s">
        <v>505</v>
      </c>
      <c r="H7849" s="6" t="n">
        <v>4.08</v>
      </c>
      <c r="I7849" s="6" t="n">
        <v>0</v>
      </c>
      <c r="J7849" s="40" t="n">
        <f aca="false">H7849-I7849</f>
        <v>4.08</v>
      </c>
      <c r="K7849" s="41" t="n">
        <v>34</v>
      </c>
      <c r="L7849" s="42" t="n">
        <f aca="false">J7849*K7849</f>
        <v>138.72</v>
      </c>
      <c r="M7849" s="43" t="n">
        <f aca="false">H7849*17.99*(1+'Chart of Accounts'!$E$67)</f>
        <v>84.042084</v>
      </c>
    </row>
    <row r="7850" customFormat="false" ht="15" hidden="false" customHeight="false" outlineLevel="0" collapsed="false">
      <c r="B7850" s="7" t="s">
        <v>8347</v>
      </c>
      <c r="C7850" s="39" t="n">
        <v>46012</v>
      </c>
      <c r="D7850" s="7" t="s">
        <v>401</v>
      </c>
      <c r="E7850" s="7" t="s">
        <v>156</v>
      </c>
      <c r="F7850" s="7" t="s">
        <v>254</v>
      </c>
      <c r="G7850" s="7" t="s">
        <v>505</v>
      </c>
      <c r="H7850" s="6" t="n">
        <v>4.27</v>
      </c>
      <c r="I7850" s="6" t="n">
        <v>0</v>
      </c>
      <c r="J7850" s="40" t="n">
        <f aca="false">H7850-I7850</f>
        <v>4.27</v>
      </c>
      <c r="K7850" s="41" t="n">
        <v>34</v>
      </c>
      <c r="L7850" s="42" t="n">
        <f aca="false">J7850*K7850</f>
        <v>145.18</v>
      </c>
      <c r="M7850" s="43" t="n">
        <f aca="false">H7850*17.1*(1+'Chart of Accounts'!$E$67)</f>
        <v>83.604465</v>
      </c>
    </row>
    <row r="7851" customFormat="false" ht="15" hidden="false" customHeight="false" outlineLevel="0" collapsed="false">
      <c r="B7851" s="7" t="s">
        <v>8348</v>
      </c>
      <c r="C7851" s="39" t="n">
        <v>46013</v>
      </c>
      <c r="D7851" s="7" t="s">
        <v>288</v>
      </c>
      <c r="E7851" s="7" t="s">
        <v>156</v>
      </c>
      <c r="F7851" s="7" t="s">
        <v>242</v>
      </c>
      <c r="G7851" s="7" t="s">
        <v>505</v>
      </c>
      <c r="H7851" s="6" t="n">
        <v>3.68</v>
      </c>
      <c r="I7851" s="6" t="n">
        <v>0</v>
      </c>
      <c r="J7851" s="40" t="n">
        <f aca="false">H7851-I7851</f>
        <v>3.68</v>
      </c>
      <c r="K7851" s="41" t="n">
        <v>34</v>
      </c>
      <c r="L7851" s="42" t="n">
        <f aca="false">J7851*K7851</f>
        <v>125.12</v>
      </c>
      <c r="M7851" s="43" t="n">
        <f aca="false">H7851*17.99*(1+'Chart of Accounts'!$E$67)</f>
        <v>75.802664</v>
      </c>
    </row>
    <row r="7852" customFormat="false" ht="15" hidden="false" customHeight="false" outlineLevel="0" collapsed="false">
      <c r="B7852" s="7" t="s">
        <v>8349</v>
      </c>
      <c r="C7852" s="39" t="n">
        <v>46013</v>
      </c>
      <c r="D7852" s="7" t="s">
        <v>291</v>
      </c>
      <c r="E7852" s="7" t="s">
        <v>154</v>
      </c>
      <c r="F7852" s="7" t="s">
        <v>194</v>
      </c>
      <c r="G7852" s="7" t="s">
        <v>505</v>
      </c>
      <c r="H7852" s="6" t="n">
        <v>5.1</v>
      </c>
      <c r="I7852" s="6" t="n">
        <v>0</v>
      </c>
      <c r="J7852" s="40" t="n">
        <f aca="false">H7852-I7852</f>
        <v>5.1</v>
      </c>
      <c r="K7852" s="41" t="n">
        <v>26.5</v>
      </c>
      <c r="L7852" s="42" t="n">
        <f aca="false">J7852*K7852</f>
        <v>135.15</v>
      </c>
      <c r="M7852" s="43" t="n">
        <f aca="false">H7852*16*(1+'Chart of Accounts'!$E$67)</f>
        <v>93.432</v>
      </c>
    </row>
    <row r="7853" customFormat="false" ht="15" hidden="false" customHeight="false" outlineLevel="0" collapsed="false">
      <c r="B7853" s="7" t="s">
        <v>8350</v>
      </c>
      <c r="C7853" s="39" t="n">
        <v>46013</v>
      </c>
      <c r="D7853" s="7" t="s">
        <v>295</v>
      </c>
      <c r="E7853" s="7" t="s">
        <v>154</v>
      </c>
      <c r="F7853" s="7" t="s">
        <v>214</v>
      </c>
      <c r="G7853" s="7" t="s">
        <v>505</v>
      </c>
      <c r="H7853" s="6" t="n">
        <v>3.94</v>
      </c>
      <c r="I7853" s="6" t="n">
        <v>0</v>
      </c>
      <c r="J7853" s="40" t="n">
        <f aca="false">H7853-I7853</f>
        <v>3.94</v>
      </c>
      <c r="K7853" s="41" t="n">
        <v>26.5</v>
      </c>
      <c r="L7853" s="42" t="n">
        <f aca="false">J7853*K7853</f>
        <v>104.41</v>
      </c>
      <c r="M7853" s="43" t="n">
        <f aca="false">H7853*15.67*(1+'Chart of Accounts'!$E$67)</f>
        <v>70.692071</v>
      </c>
    </row>
    <row r="7854" customFormat="false" ht="15" hidden="false" customHeight="false" outlineLevel="0" collapsed="false">
      <c r="B7854" s="7" t="s">
        <v>8351</v>
      </c>
      <c r="C7854" s="39" t="n">
        <v>46013</v>
      </c>
      <c r="D7854" s="7" t="s">
        <v>297</v>
      </c>
      <c r="E7854" s="7" t="s">
        <v>156</v>
      </c>
      <c r="F7854" s="7" t="s">
        <v>201</v>
      </c>
      <c r="G7854" s="7" t="s">
        <v>505</v>
      </c>
      <c r="H7854" s="6" t="n">
        <v>2.97</v>
      </c>
      <c r="I7854" s="6" t="n">
        <v>0</v>
      </c>
      <c r="J7854" s="40" t="n">
        <f aca="false">H7854-I7854</f>
        <v>2.97</v>
      </c>
      <c r="K7854" s="41" t="n">
        <v>34</v>
      </c>
      <c r="L7854" s="42" t="n">
        <f aca="false">J7854*K7854</f>
        <v>100.98</v>
      </c>
      <c r="M7854" s="43" t="n">
        <f aca="false">H7854*15.19*(1+'Chart of Accounts'!$E$67)</f>
        <v>51.6558735</v>
      </c>
    </row>
    <row r="7855" customFormat="false" ht="15" hidden="false" customHeight="false" outlineLevel="0" collapsed="false">
      <c r="B7855" s="7" t="s">
        <v>8352</v>
      </c>
      <c r="C7855" s="39" t="n">
        <v>46013</v>
      </c>
      <c r="D7855" s="7" t="s">
        <v>299</v>
      </c>
      <c r="E7855" s="7" t="s">
        <v>154</v>
      </c>
      <c r="F7855" s="7" t="s">
        <v>205</v>
      </c>
      <c r="G7855" s="7" t="s">
        <v>505</v>
      </c>
      <c r="H7855" s="6" t="n">
        <v>3.16</v>
      </c>
      <c r="I7855" s="6" t="n">
        <v>0</v>
      </c>
      <c r="J7855" s="40" t="n">
        <f aca="false">H7855-I7855</f>
        <v>3.16</v>
      </c>
      <c r="K7855" s="41" t="n">
        <v>26.5</v>
      </c>
      <c r="L7855" s="42" t="n">
        <f aca="false">J7855*K7855</f>
        <v>83.74</v>
      </c>
      <c r="M7855" s="43" t="n">
        <f aca="false">H7855*16.36*(1+'Chart of Accounts'!$E$67)</f>
        <v>59.193752</v>
      </c>
    </row>
    <row r="7856" customFormat="false" ht="15" hidden="false" customHeight="false" outlineLevel="0" collapsed="false">
      <c r="B7856" s="7" t="s">
        <v>8353</v>
      </c>
      <c r="C7856" s="39" t="n">
        <v>46013</v>
      </c>
      <c r="D7856" s="7" t="s">
        <v>303</v>
      </c>
      <c r="E7856" s="7" t="s">
        <v>154</v>
      </c>
      <c r="F7856" s="7" t="s">
        <v>240</v>
      </c>
      <c r="G7856" s="7" t="s">
        <v>505</v>
      </c>
      <c r="H7856" s="6" t="n">
        <v>3.6</v>
      </c>
      <c r="I7856" s="6" t="n">
        <v>0</v>
      </c>
      <c r="J7856" s="40" t="n">
        <f aca="false">H7856-I7856</f>
        <v>3.6</v>
      </c>
      <c r="K7856" s="41" t="n">
        <v>26.5</v>
      </c>
      <c r="L7856" s="42" t="n">
        <f aca="false">J7856*K7856</f>
        <v>95.4</v>
      </c>
      <c r="M7856" s="43" t="n">
        <f aca="false">H7856*16.96*(1+'Chart of Accounts'!$E$67)</f>
        <v>69.90912</v>
      </c>
    </row>
    <row r="7857" customFormat="false" ht="15" hidden="false" customHeight="false" outlineLevel="0" collapsed="false">
      <c r="B7857" s="7" t="s">
        <v>8354</v>
      </c>
      <c r="C7857" s="39" t="n">
        <v>46013</v>
      </c>
      <c r="D7857" s="7" t="s">
        <v>305</v>
      </c>
      <c r="E7857" s="7" t="s">
        <v>154</v>
      </c>
      <c r="F7857" s="7" t="s">
        <v>205</v>
      </c>
      <c r="G7857" s="7" t="s">
        <v>505</v>
      </c>
      <c r="H7857" s="6" t="n">
        <v>3.93</v>
      </c>
      <c r="I7857" s="6" t="n">
        <v>0</v>
      </c>
      <c r="J7857" s="40" t="n">
        <f aca="false">H7857-I7857</f>
        <v>3.93</v>
      </c>
      <c r="K7857" s="41" t="n">
        <v>26.5</v>
      </c>
      <c r="L7857" s="42" t="n">
        <f aca="false">J7857*K7857</f>
        <v>104.145</v>
      </c>
      <c r="M7857" s="43" t="n">
        <f aca="false">H7857*16.36*(1+'Chart of Accounts'!$E$67)</f>
        <v>73.617546</v>
      </c>
    </row>
    <row r="7858" customFormat="false" ht="15" hidden="false" customHeight="false" outlineLevel="0" collapsed="false">
      <c r="B7858" s="7" t="s">
        <v>8355</v>
      </c>
      <c r="C7858" s="39" t="n">
        <v>46013</v>
      </c>
      <c r="D7858" s="7" t="s">
        <v>307</v>
      </c>
      <c r="E7858" s="7" t="s">
        <v>157</v>
      </c>
      <c r="F7858" s="7" t="s">
        <v>264</v>
      </c>
      <c r="G7858" s="7" t="s">
        <v>502</v>
      </c>
      <c r="H7858" s="6" t="n">
        <v>1.07</v>
      </c>
      <c r="I7858" s="6" t="n">
        <v>0.054</v>
      </c>
      <c r="J7858" s="40" t="n">
        <f aca="false">H7858-I7858</f>
        <v>1.016</v>
      </c>
      <c r="K7858" s="41" t="n">
        <v>165</v>
      </c>
      <c r="L7858" s="42" t="n">
        <f aca="false">J7858*K7858</f>
        <v>167.64</v>
      </c>
      <c r="M7858" s="43" t="n">
        <f aca="false">H7858*55.55*(1+'Chart of Accounts'!$E$67)</f>
        <v>68.0570825</v>
      </c>
    </row>
    <row r="7859" customFormat="false" ht="15" hidden="false" customHeight="false" outlineLevel="0" collapsed="false">
      <c r="B7859" s="7" t="s">
        <v>8356</v>
      </c>
      <c r="C7859" s="39" t="n">
        <v>46013</v>
      </c>
      <c r="D7859" s="7" t="s">
        <v>309</v>
      </c>
      <c r="E7859" s="7" t="s">
        <v>159</v>
      </c>
      <c r="F7859" s="7" t="s">
        <v>252</v>
      </c>
      <c r="G7859" s="7" t="s">
        <v>502</v>
      </c>
      <c r="H7859" s="6" t="n">
        <v>1.02</v>
      </c>
      <c r="I7859" s="6" t="n">
        <v>0</v>
      </c>
      <c r="J7859" s="40" t="n">
        <f aca="false">H7859-I7859</f>
        <v>1.02</v>
      </c>
      <c r="K7859" s="41" t="n">
        <v>135</v>
      </c>
      <c r="L7859" s="42" t="n">
        <f aca="false">J7859*K7859</f>
        <v>137.7</v>
      </c>
      <c r="M7859" s="43" t="n">
        <f aca="false">H7859*57.54*(1+'Chart of Accounts'!$E$67)</f>
        <v>67.200966</v>
      </c>
    </row>
    <row r="7860" customFormat="false" ht="15" hidden="false" customHeight="false" outlineLevel="0" collapsed="false">
      <c r="B7860" s="7" t="s">
        <v>8357</v>
      </c>
      <c r="C7860" s="39" t="n">
        <v>46013</v>
      </c>
      <c r="D7860" s="7" t="s">
        <v>311</v>
      </c>
      <c r="E7860" s="7" t="s">
        <v>154</v>
      </c>
      <c r="F7860" s="7" t="s">
        <v>196</v>
      </c>
      <c r="G7860" s="7" t="s">
        <v>505</v>
      </c>
      <c r="H7860" s="6" t="n">
        <v>2.92</v>
      </c>
      <c r="I7860" s="6" t="n">
        <v>0</v>
      </c>
      <c r="J7860" s="40" t="n">
        <f aca="false">H7860-I7860</f>
        <v>2.92</v>
      </c>
      <c r="K7860" s="41" t="n">
        <v>26.5</v>
      </c>
      <c r="L7860" s="42" t="n">
        <f aca="false">J7860*K7860</f>
        <v>77.38</v>
      </c>
      <c r="M7860" s="43" t="n">
        <f aca="false">H7860*15.05*(1+'Chart of Accounts'!$E$67)</f>
        <v>50.31817</v>
      </c>
    </row>
    <row r="7861" customFormat="false" ht="15" hidden="false" customHeight="false" outlineLevel="0" collapsed="false">
      <c r="B7861" s="7" t="s">
        <v>8358</v>
      </c>
      <c r="C7861" s="39" t="n">
        <v>46013</v>
      </c>
      <c r="D7861" s="7" t="s">
        <v>313</v>
      </c>
      <c r="E7861" s="7" t="s">
        <v>156</v>
      </c>
      <c r="F7861" s="7" t="s">
        <v>184</v>
      </c>
      <c r="G7861" s="7" t="s">
        <v>505</v>
      </c>
      <c r="H7861" s="6" t="n">
        <v>3.9</v>
      </c>
      <c r="I7861" s="6" t="n">
        <v>0</v>
      </c>
      <c r="J7861" s="40" t="n">
        <f aca="false">H7861-I7861</f>
        <v>3.9</v>
      </c>
      <c r="K7861" s="41" t="n">
        <v>34</v>
      </c>
      <c r="L7861" s="42" t="n">
        <f aca="false">J7861*K7861</f>
        <v>132.6</v>
      </c>
      <c r="M7861" s="43" t="n">
        <f aca="false">H7861*17.34*(1+'Chart of Accounts'!$E$67)</f>
        <v>77.43177</v>
      </c>
    </row>
    <row r="7862" customFormat="false" ht="15" hidden="false" customHeight="false" outlineLevel="0" collapsed="false">
      <c r="B7862" s="7" t="s">
        <v>8359</v>
      </c>
      <c r="C7862" s="39" t="n">
        <v>46013</v>
      </c>
      <c r="D7862" s="7" t="s">
        <v>315</v>
      </c>
      <c r="E7862" s="7" t="s">
        <v>159</v>
      </c>
      <c r="F7862" s="7" t="s">
        <v>216</v>
      </c>
      <c r="G7862" s="7" t="s">
        <v>502</v>
      </c>
      <c r="H7862" s="6" t="n">
        <v>0.96</v>
      </c>
      <c r="I7862" s="6" t="n">
        <v>0</v>
      </c>
      <c r="J7862" s="40" t="n">
        <f aca="false">H7862-I7862</f>
        <v>0.96</v>
      </c>
      <c r="K7862" s="41" t="n">
        <v>135</v>
      </c>
      <c r="L7862" s="42" t="n">
        <f aca="false">J7862*K7862</f>
        <v>129.6</v>
      </c>
      <c r="M7862" s="43" t="n">
        <f aca="false">H7862*61.79*(1+'Chart of Accounts'!$E$67)</f>
        <v>67.919568</v>
      </c>
    </row>
    <row r="7863" customFormat="false" ht="15" hidden="false" customHeight="false" outlineLevel="0" collapsed="false">
      <c r="B7863" s="7" t="s">
        <v>8360</v>
      </c>
      <c r="C7863" s="39" t="n">
        <v>46013</v>
      </c>
      <c r="D7863" s="7" t="s">
        <v>317</v>
      </c>
      <c r="E7863" s="7" t="s">
        <v>156</v>
      </c>
      <c r="F7863" s="7" t="s">
        <v>246</v>
      </c>
      <c r="G7863" s="7" t="s">
        <v>505</v>
      </c>
      <c r="H7863" s="6" t="n">
        <v>2.84</v>
      </c>
      <c r="I7863" s="6" t="n">
        <v>0</v>
      </c>
      <c r="J7863" s="40" t="n">
        <f aca="false">H7863-I7863</f>
        <v>2.84</v>
      </c>
      <c r="K7863" s="41" t="n">
        <v>34</v>
      </c>
      <c r="L7863" s="42" t="n">
        <f aca="false">J7863*K7863</f>
        <v>96.56</v>
      </c>
      <c r="M7863" s="43" t="n">
        <f aca="false">H7863*16.48*(1+'Chart of Accounts'!$E$67)</f>
        <v>53.589664</v>
      </c>
    </row>
    <row r="7864" customFormat="false" ht="15" hidden="false" customHeight="false" outlineLevel="0" collapsed="false">
      <c r="B7864" s="7" t="s">
        <v>8361</v>
      </c>
      <c r="C7864" s="39" t="n">
        <v>46013</v>
      </c>
      <c r="D7864" s="7" t="s">
        <v>321</v>
      </c>
      <c r="E7864" s="7" t="s">
        <v>154</v>
      </c>
      <c r="F7864" s="7" t="s">
        <v>218</v>
      </c>
      <c r="G7864" s="7" t="s">
        <v>505</v>
      </c>
      <c r="H7864" s="6" t="n">
        <v>4</v>
      </c>
      <c r="I7864" s="6" t="n">
        <v>0</v>
      </c>
      <c r="J7864" s="40" t="n">
        <f aca="false">H7864-I7864</f>
        <v>4</v>
      </c>
      <c r="K7864" s="41" t="n">
        <v>26.5</v>
      </c>
      <c r="L7864" s="42" t="n">
        <f aca="false">J7864*K7864</f>
        <v>106</v>
      </c>
      <c r="M7864" s="43" t="n">
        <f aca="false">H7864*16.19*(1+'Chart of Accounts'!$E$67)</f>
        <v>74.1502</v>
      </c>
    </row>
    <row r="7865" customFormat="false" ht="15" hidden="false" customHeight="false" outlineLevel="0" collapsed="false">
      <c r="B7865" s="7" t="s">
        <v>8362</v>
      </c>
      <c r="C7865" s="39" t="n">
        <v>46013</v>
      </c>
      <c r="D7865" s="7" t="s">
        <v>325</v>
      </c>
      <c r="E7865" s="7" t="s">
        <v>154</v>
      </c>
      <c r="F7865" s="7" t="s">
        <v>254</v>
      </c>
      <c r="G7865" s="7" t="s">
        <v>505</v>
      </c>
      <c r="H7865" s="6" t="n">
        <v>2.89</v>
      </c>
      <c r="I7865" s="6" t="n">
        <v>0</v>
      </c>
      <c r="J7865" s="40" t="n">
        <f aca="false">H7865-I7865</f>
        <v>2.89</v>
      </c>
      <c r="K7865" s="41" t="n">
        <v>26.5</v>
      </c>
      <c r="L7865" s="42" t="n">
        <f aca="false">J7865*K7865</f>
        <v>76.585</v>
      </c>
      <c r="M7865" s="43" t="n">
        <f aca="false">H7865*17.1*(1+'Chart of Accounts'!$E$67)</f>
        <v>56.584755</v>
      </c>
    </row>
    <row r="7866" customFormat="false" ht="15" hidden="false" customHeight="false" outlineLevel="0" collapsed="false">
      <c r="B7866" s="7" t="s">
        <v>8363</v>
      </c>
      <c r="C7866" s="39" t="n">
        <v>46013</v>
      </c>
      <c r="D7866" s="7" t="s">
        <v>329</v>
      </c>
      <c r="E7866" s="7" t="s">
        <v>156</v>
      </c>
      <c r="F7866" s="7" t="s">
        <v>220</v>
      </c>
      <c r="G7866" s="7" t="s">
        <v>505</v>
      </c>
      <c r="H7866" s="6" t="n">
        <v>4.03</v>
      </c>
      <c r="I7866" s="6" t="n">
        <v>0</v>
      </c>
      <c r="J7866" s="40" t="n">
        <f aca="false">H7866-I7866</f>
        <v>4.03</v>
      </c>
      <c r="K7866" s="41" t="n">
        <v>34</v>
      </c>
      <c r="L7866" s="42" t="n">
        <f aca="false">J7866*K7866</f>
        <v>137.02</v>
      </c>
      <c r="M7866" s="43" t="n">
        <f aca="false">H7866*16.43*(1+'Chart of Accounts'!$E$67)</f>
        <v>75.8137705</v>
      </c>
    </row>
    <row r="7867" customFormat="false" ht="15" hidden="false" customHeight="false" outlineLevel="0" collapsed="false">
      <c r="B7867" s="7" t="s">
        <v>8364</v>
      </c>
      <c r="C7867" s="39" t="n">
        <v>46013</v>
      </c>
      <c r="D7867" s="7" t="s">
        <v>333</v>
      </c>
      <c r="E7867" s="7" t="s">
        <v>154</v>
      </c>
      <c r="F7867" s="7" t="s">
        <v>236</v>
      </c>
      <c r="G7867" s="7" t="s">
        <v>505</v>
      </c>
      <c r="H7867" s="6" t="n">
        <v>3.17</v>
      </c>
      <c r="I7867" s="6" t="n">
        <v>0</v>
      </c>
      <c r="J7867" s="40" t="n">
        <f aca="false">H7867-I7867</f>
        <v>3.17</v>
      </c>
      <c r="K7867" s="41" t="n">
        <v>26.5</v>
      </c>
      <c r="L7867" s="42" t="n">
        <f aca="false">J7867*K7867</f>
        <v>84.005</v>
      </c>
      <c r="M7867" s="43" t="n">
        <f aca="false">H7867*15.49*(1+'Chart of Accounts'!$E$67)</f>
        <v>56.2232785</v>
      </c>
    </row>
    <row r="7868" customFormat="false" ht="15" hidden="false" customHeight="false" outlineLevel="0" collapsed="false">
      <c r="B7868" s="7" t="s">
        <v>8365</v>
      </c>
      <c r="C7868" s="39" t="n">
        <v>46013</v>
      </c>
      <c r="D7868" s="7" t="s">
        <v>335</v>
      </c>
      <c r="E7868" s="7" t="s">
        <v>154</v>
      </c>
      <c r="F7868" s="7" t="s">
        <v>177</v>
      </c>
      <c r="G7868" s="7" t="s">
        <v>505</v>
      </c>
      <c r="H7868" s="6" t="n">
        <v>3.67</v>
      </c>
      <c r="I7868" s="6" t="n">
        <v>0.11</v>
      </c>
      <c r="J7868" s="40" t="n">
        <f aca="false">H7868-I7868</f>
        <v>3.56</v>
      </c>
      <c r="K7868" s="41" t="n">
        <v>26.5</v>
      </c>
      <c r="L7868" s="42" t="n">
        <f aca="false">J7868*K7868</f>
        <v>94.34</v>
      </c>
      <c r="M7868" s="43" t="n">
        <f aca="false">H7868*14.56*(1+'Chart of Accounts'!$E$67)</f>
        <v>61.183304</v>
      </c>
    </row>
    <row r="7869" customFormat="false" ht="15" hidden="false" customHeight="false" outlineLevel="0" collapsed="false">
      <c r="B7869" s="7" t="s">
        <v>8366</v>
      </c>
      <c r="C7869" s="39" t="n">
        <v>46013</v>
      </c>
      <c r="D7869" s="7" t="s">
        <v>339</v>
      </c>
      <c r="E7869" s="7" t="s">
        <v>154</v>
      </c>
      <c r="F7869" s="7" t="s">
        <v>242</v>
      </c>
      <c r="G7869" s="7" t="s">
        <v>505</v>
      </c>
      <c r="H7869" s="6" t="n">
        <v>3.32</v>
      </c>
      <c r="I7869" s="6" t="n">
        <v>0</v>
      </c>
      <c r="J7869" s="40" t="n">
        <f aca="false">H7869-I7869</f>
        <v>3.32</v>
      </c>
      <c r="K7869" s="41" t="n">
        <v>26.5</v>
      </c>
      <c r="L7869" s="42" t="n">
        <f aca="false">J7869*K7869</f>
        <v>87.98</v>
      </c>
      <c r="M7869" s="43" t="n">
        <f aca="false">H7869*17.99*(1+'Chart of Accounts'!$E$67)</f>
        <v>68.387186</v>
      </c>
    </row>
    <row r="7870" customFormat="false" ht="15" hidden="false" customHeight="false" outlineLevel="0" collapsed="false">
      <c r="B7870" s="7" t="s">
        <v>8367</v>
      </c>
      <c r="C7870" s="39" t="n">
        <v>46013</v>
      </c>
      <c r="D7870" s="7" t="s">
        <v>341</v>
      </c>
      <c r="E7870" s="7" t="s">
        <v>156</v>
      </c>
      <c r="F7870" s="7" t="s">
        <v>222</v>
      </c>
      <c r="G7870" s="7" t="s">
        <v>505</v>
      </c>
      <c r="H7870" s="6" t="n">
        <v>3.03</v>
      </c>
      <c r="I7870" s="6" t="n">
        <v>0</v>
      </c>
      <c r="J7870" s="40" t="n">
        <f aca="false">H7870-I7870</f>
        <v>3.03</v>
      </c>
      <c r="K7870" s="41" t="n">
        <v>34</v>
      </c>
      <c r="L7870" s="42" t="n">
        <f aca="false">J7870*K7870</f>
        <v>103.02</v>
      </c>
      <c r="M7870" s="43" t="n">
        <f aca="false">H7870*17.84*(1+'Chart of Accounts'!$E$67)</f>
        <v>61.893204</v>
      </c>
    </row>
    <row r="7871" customFormat="false" ht="15" hidden="false" customHeight="false" outlineLevel="0" collapsed="false">
      <c r="B7871" s="7" t="s">
        <v>8368</v>
      </c>
      <c r="C7871" s="39" t="n">
        <v>46013</v>
      </c>
      <c r="D7871" s="7" t="s">
        <v>343</v>
      </c>
      <c r="E7871" s="7" t="s">
        <v>154</v>
      </c>
      <c r="F7871" s="7" t="s">
        <v>205</v>
      </c>
      <c r="G7871" s="7" t="s">
        <v>505</v>
      </c>
      <c r="H7871" s="6" t="n">
        <v>4.19</v>
      </c>
      <c r="I7871" s="6" t="n">
        <v>0</v>
      </c>
      <c r="J7871" s="40" t="n">
        <f aca="false">H7871-I7871</f>
        <v>4.19</v>
      </c>
      <c r="K7871" s="41" t="n">
        <v>26.5</v>
      </c>
      <c r="L7871" s="42" t="n">
        <f aca="false">J7871*K7871</f>
        <v>111.035</v>
      </c>
      <c r="M7871" s="43" t="n">
        <f aca="false">H7871*16.36*(1+'Chart of Accounts'!$E$67)</f>
        <v>78.487918</v>
      </c>
    </row>
    <row r="7872" customFormat="false" ht="15" hidden="false" customHeight="false" outlineLevel="0" collapsed="false">
      <c r="B7872" s="7" t="s">
        <v>8369</v>
      </c>
      <c r="C7872" s="39" t="n">
        <v>46013</v>
      </c>
      <c r="D7872" s="7" t="s">
        <v>349</v>
      </c>
      <c r="E7872" s="7" t="s">
        <v>154</v>
      </c>
      <c r="F7872" s="7" t="s">
        <v>244</v>
      </c>
      <c r="G7872" s="7" t="s">
        <v>505</v>
      </c>
      <c r="H7872" s="6" t="n">
        <v>3.84</v>
      </c>
      <c r="I7872" s="6" t="n">
        <v>0.115</v>
      </c>
      <c r="J7872" s="40" t="n">
        <f aca="false">H7872-I7872</f>
        <v>3.725</v>
      </c>
      <c r="K7872" s="41" t="n">
        <v>26.5</v>
      </c>
      <c r="L7872" s="42" t="n">
        <f aca="false">J7872*K7872</f>
        <v>98.7125</v>
      </c>
      <c r="M7872" s="43" t="n">
        <f aca="false">H7872*16.39*(1+'Chart of Accounts'!$E$67)</f>
        <v>72.063552</v>
      </c>
    </row>
    <row r="7873" customFormat="false" ht="15" hidden="false" customHeight="false" outlineLevel="0" collapsed="false">
      <c r="B7873" s="7" t="s">
        <v>8370</v>
      </c>
      <c r="C7873" s="39" t="n">
        <v>46013</v>
      </c>
      <c r="D7873" s="7" t="s">
        <v>351</v>
      </c>
      <c r="E7873" s="7" t="s">
        <v>154</v>
      </c>
      <c r="F7873" s="7" t="s">
        <v>201</v>
      </c>
      <c r="G7873" s="7" t="s">
        <v>505</v>
      </c>
      <c r="H7873" s="6" t="n">
        <v>2.81</v>
      </c>
      <c r="I7873" s="6" t="n">
        <v>0</v>
      </c>
      <c r="J7873" s="40" t="n">
        <f aca="false">H7873-I7873</f>
        <v>2.81</v>
      </c>
      <c r="K7873" s="41" t="n">
        <v>26.5</v>
      </c>
      <c r="L7873" s="42" t="n">
        <f aca="false">J7873*K7873</f>
        <v>74.465</v>
      </c>
      <c r="M7873" s="43" t="n">
        <f aca="false">H7873*15.19*(1+'Chart of Accounts'!$E$67)</f>
        <v>48.8730655</v>
      </c>
    </row>
    <row r="7874" customFormat="false" ht="15" hidden="false" customHeight="false" outlineLevel="0" collapsed="false">
      <c r="B7874" s="7" t="s">
        <v>8371</v>
      </c>
      <c r="C7874" s="39" t="n">
        <v>46013</v>
      </c>
      <c r="D7874" s="7" t="s">
        <v>353</v>
      </c>
      <c r="E7874" s="7" t="s">
        <v>154</v>
      </c>
      <c r="F7874" s="7" t="s">
        <v>254</v>
      </c>
      <c r="G7874" s="7" t="s">
        <v>505</v>
      </c>
      <c r="H7874" s="6" t="n">
        <v>3.01</v>
      </c>
      <c r="I7874" s="6" t="n">
        <v>0</v>
      </c>
      <c r="J7874" s="40" t="n">
        <f aca="false">H7874-I7874</f>
        <v>3.01</v>
      </c>
      <c r="K7874" s="41" t="n">
        <v>26.5</v>
      </c>
      <c r="L7874" s="42" t="n">
        <f aca="false">J7874*K7874</f>
        <v>79.765</v>
      </c>
      <c r="M7874" s="43" t="n">
        <f aca="false">H7874*17.1*(1+'Chart of Accounts'!$E$67)</f>
        <v>58.934295</v>
      </c>
    </row>
    <row r="7875" customFormat="false" ht="15" hidden="false" customHeight="false" outlineLevel="0" collapsed="false">
      <c r="B7875" s="7" t="s">
        <v>8372</v>
      </c>
      <c r="C7875" s="39" t="n">
        <v>46013</v>
      </c>
      <c r="D7875" s="7" t="s">
        <v>355</v>
      </c>
      <c r="E7875" s="7" t="s">
        <v>154</v>
      </c>
      <c r="F7875" s="7" t="s">
        <v>201</v>
      </c>
      <c r="G7875" s="7" t="s">
        <v>505</v>
      </c>
      <c r="H7875" s="6" t="n">
        <v>3.11</v>
      </c>
      <c r="I7875" s="6" t="n">
        <v>0</v>
      </c>
      <c r="J7875" s="40" t="n">
        <f aca="false">H7875-I7875</f>
        <v>3.11</v>
      </c>
      <c r="K7875" s="41" t="n">
        <v>26.5</v>
      </c>
      <c r="L7875" s="42" t="n">
        <f aca="false">J7875*K7875</f>
        <v>82.415</v>
      </c>
      <c r="M7875" s="43" t="n">
        <f aca="false">H7875*15.19*(1+'Chart of Accounts'!$E$67)</f>
        <v>54.0908305</v>
      </c>
    </row>
    <row r="7876" customFormat="false" ht="15" hidden="false" customHeight="false" outlineLevel="0" collapsed="false">
      <c r="B7876" s="7" t="s">
        <v>8373</v>
      </c>
      <c r="C7876" s="39" t="n">
        <v>46013</v>
      </c>
      <c r="D7876" s="7" t="s">
        <v>357</v>
      </c>
      <c r="E7876" s="7" t="s">
        <v>154</v>
      </c>
      <c r="F7876" s="7" t="s">
        <v>226</v>
      </c>
      <c r="G7876" s="7" t="s">
        <v>505</v>
      </c>
      <c r="H7876" s="6" t="n">
        <v>3.32</v>
      </c>
      <c r="I7876" s="6" t="n">
        <v>0</v>
      </c>
      <c r="J7876" s="40" t="n">
        <f aca="false">H7876-I7876</f>
        <v>3.32</v>
      </c>
      <c r="K7876" s="41" t="n">
        <v>26.5</v>
      </c>
      <c r="L7876" s="42" t="n">
        <f aca="false">J7876*K7876</f>
        <v>87.98</v>
      </c>
      <c r="M7876" s="43" t="n">
        <f aca="false">H7876*16.45*(1+'Chart of Accounts'!$E$67)</f>
        <v>62.53303</v>
      </c>
    </row>
    <row r="7877" customFormat="false" ht="15" hidden="false" customHeight="false" outlineLevel="0" collapsed="false">
      <c r="B7877" s="7" t="s">
        <v>8374</v>
      </c>
      <c r="C7877" s="39" t="n">
        <v>46013</v>
      </c>
      <c r="D7877" s="7" t="s">
        <v>359</v>
      </c>
      <c r="E7877" s="7" t="s">
        <v>156</v>
      </c>
      <c r="F7877" s="7" t="s">
        <v>256</v>
      </c>
      <c r="G7877" s="7" t="s">
        <v>505</v>
      </c>
      <c r="H7877" s="6" t="n">
        <v>4.03</v>
      </c>
      <c r="I7877" s="6" t="n">
        <v>0</v>
      </c>
      <c r="J7877" s="40" t="n">
        <f aca="false">H7877-I7877</f>
        <v>4.03</v>
      </c>
      <c r="K7877" s="41" t="n">
        <v>34</v>
      </c>
      <c r="L7877" s="42" t="n">
        <f aca="false">J7877*K7877</f>
        <v>137.02</v>
      </c>
      <c r="M7877" s="43" t="n">
        <f aca="false">H7877*15.63*(1+'Chart of Accounts'!$E$67)</f>
        <v>72.1222905</v>
      </c>
    </row>
    <row r="7878" customFormat="false" ht="15" hidden="false" customHeight="false" outlineLevel="0" collapsed="false">
      <c r="B7878" s="7" t="s">
        <v>8375</v>
      </c>
      <c r="C7878" s="39" t="n">
        <v>46013</v>
      </c>
      <c r="D7878" s="7" t="s">
        <v>363</v>
      </c>
      <c r="E7878" s="7" t="s">
        <v>156</v>
      </c>
      <c r="F7878" s="7" t="s">
        <v>246</v>
      </c>
      <c r="G7878" s="7" t="s">
        <v>505</v>
      </c>
      <c r="H7878" s="6" t="n">
        <v>3.93</v>
      </c>
      <c r="I7878" s="6" t="n">
        <v>0</v>
      </c>
      <c r="J7878" s="40" t="n">
        <f aca="false">H7878-I7878</f>
        <v>3.93</v>
      </c>
      <c r="K7878" s="41" t="n">
        <v>34</v>
      </c>
      <c r="L7878" s="42" t="n">
        <f aca="false">J7878*K7878</f>
        <v>133.62</v>
      </c>
      <c r="M7878" s="43" t="n">
        <f aca="false">H7878*16.48*(1+'Chart of Accounts'!$E$67)</f>
        <v>74.157528</v>
      </c>
    </row>
    <row r="7879" customFormat="false" ht="15" hidden="false" customHeight="false" outlineLevel="0" collapsed="false">
      <c r="B7879" s="7" t="s">
        <v>8376</v>
      </c>
      <c r="C7879" s="39" t="n">
        <v>46013</v>
      </c>
      <c r="D7879" s="7" t="s">
        <v>365</v>
      </c>
      <c r="E7879" s="7" t="s">
        <v>154</v>
      </c>
      <c r="F7879" s="7" t="s">
        <v>194</v>
      </c>
      <c r="G7879" s="7" t="s">
        <v>505</v>
      </c>
      <c r="H7879" s="6" t="n">
        <v>4</v>
      </c>
      <c r="I7879" s="6" t="n">
        <v>0</v>
      </c>
      <c r="J7879" s="40" t="n">
        <f aca="false">H7879-I7879</f>
        <v>4</v>
      </c>
      <c r="K7879" s="41" t="n">
        <v>26.5</v>
      </c>
      <c r="L7879" s="42" t="n">
        <f aca="false">J7879*K7879</f>
        <v>106</v>
      </c>
      <c r="M7879" s="43" t="n">
        <f aca="false">H7879*16*(1+'Chart of Accounts'!$E$67)</f>
        <v>73.28</v>
      </c>
    </row>
    <row r="7880" customFormat="false" ht="15" hidden="false" customHeight="false" outlineLevel="0" collapsed="false">
      <c r="B7880" s="7" t="s">
        <v>8377</v>
      </c>
      <c r="C7880" s="39" t="n">
        <v>46013</v>
      </c>
      <c r="D7880" s="7" t="s">
        <v>367</v>
      </c>
      <c r="E7880" s="7" t="s">
        <v>156</v>
      </c>
      <c r="F7880" s="7" t="s">
        <v>256</v>
      </c>
      <c r="G7880" s="7" t="s">
        <v>505</v>
      </c>
      <c r="H7880" s="6" t="n">
        <v>3.28</v>
      </c>
      <c r="I7880" s="6" t="n">
        <v>0</v>
      </c>
      <c r="J7880" s="40" t="n">
        <f aca="false">H7880-I7880</f>
        <v>3.28</v>
      </c>
      <c r="K7880" s="41" t="n">
        <v>34</v>
      </c>
      <c r="L7880" s="42" t="n">
        <f aca="false">J7880*K7880</f>
        <v>111.52</v>
      </c>
      <c r="M7880" s="43" t="n">
        <f aca="false">H7880*15.63*(1+'Chart of Accounts'!$E$67)</f>
        <v>58.700028</v>
      </c>
    </row>
    <row r="7881" customFormat="false" ht="15" hidden="false" customHeight="false" outlineLevel="0" collapsed="false">
      <c r="B7881" s="7" t="s">
        <v>8378</v>
      </c>
      <c r="C7881" s="39" t="n">
        <v>46013</v>
      </c>
      <c r="D7881" s="7" t="s">
        <v>375</v>
      </c>
      <c r="E7881" s="7" t="s">
        <v>156</v>
      </c>
      <c r="F7881" s="7" t="s">
        <v>196</v>
      </c>
      <c r="G7881" s="7" t="s">
        <v>505</v>
      </c>
      <c r="H7881" s="6" t="n">
        <v>3.01</v>
      </c>
      <c r="I7881" s="6" t="n">
        <v>0</v>
      </c>
      <c r="J7881" s="40" t="n">
        <f aca="false">H7881-I7881</f>
        <v>3.01</v>
      </c>
      <c r="K7881" s="41" t="n">
        <v>34</v>
      </c>
      <c r="L7881" s="42" t="n">
        <f aca="false">J7881*K7881</f>
        <v>102.34</v>
      </c>
      <c r="M7881" s="43" t="n">
        <f aca="false">H7881*15.05*(1+'Chart of Accounts'!$E$67)</f>
        <v>51.8690725</v>
      </c>
    </row>
    <row r="7882" customFormat="false" ht="15" hidden="false" customHeight="false" outlineLevel="0" collapsed="false">
      <c r="B7882" s="7" t="s">
        <v>8379</v>
      </c>
      <c r="C7882" s="39" t="n">
        <v>46013</v>
      </c>
      <c r="D7882" s="7" t="s">
        <v>377</v>
      </c>
      <c r="E7882" s="7" t="s">
        <v>154</v>
      </c>
      <c r="F7882" s="7" t="s">
        <v>214</v>
      </c>
      <c r="G7882" s="7" t="s">
        <v>505</v>
      </c>
      <c r="H7882" s="6" t="n">
        <v>4.38</v>
      </c>
      <c r="I7882" s="6" t="n">
        <v>0</v>
      </c>
      <c r="J7882" s="40" t="n">
        <f aca="false">H7882-I7882</f>
        <v>4.38</v>
      </c>
      <c r="K7882" s="41" t="n">
        <v>26.5</v>
      </c>
      <c r="L7882" s="42" t="n">
        <f aca="false">J7882*K7882</f>
        <v>116.07</v>
      </c>
      <c r="M7882" s="43" t="n">
        <f aca="false">H7882*15.67*(1+'Chart of Accounts'!$E$67)</f>
        <v>78.586617</v>
      </c>
    </row>
    <row r="7883" customFormat="false" ht="15" hidden="false" customHeight="false" outlineLevel="0" collapsed="false">
      <c r="B7883" s="7" t="s">
        <v>8380</v>
      </c>
      <c r="C7883" s="39" t="n">
        <v>46013</v>
      </c>
      <c r="D7883" s="7" t="s">
        <v>379</v>
      </c>
      <c r="E7883" s="7" t="s">
        <v>156</v>
      </c>
      <c r="F7883" s="7" t="s">
        <v>224</v>
      </c>
      <c r="G7883" s="7" t="s">
        <v>505</v>
      </c>
      <c r="H7883" s="6" t="n">
        <v>4.27</v>
      </c>
      <c r="I7883" s="6" t="n">
        <v>0</v>
      </c>
      <c r="J7883" s="40" t="n">
        <f aca="false">H7883-I7883</f>
        <v>4.27</v>
      </c>
      <c r="K7883" s="41" t="n">
        <v>34</v>
      </c>
      <c r="L7883" s="42" t="n">
        <f aca="false">J7883*K7883</f>
        <v>145.18</v>
      </c>
      <c r="M7883" s="43" t="n">
        <f aca="false">H7883*14.93*(1+'Chart of Accounts'!$E$67)</f>
        <v>72.9950095</v>
      </c>
    </row>
    <row r="7884" customFormat="false" ht="15" hidden="false" customHeight="false" outlineLevel="0" collapsed="false">
      <c r="B7884" s="7" t="s">
        <v>8381</v>
      </c>
      <c r="C7884" s="39" t="n">
        <v>46013</v>
      </c>
      <c r="D7884" s="7" t="s">
        <v>385</v>
      </c>
      <c r="E7884" s="7" t="s">
        <v>156</v>
      </c>
      <c r="F7884" s="7" t="s">
        <v>238</v>
      </c>
      <c r="G7884" s="7" t="s">
        <v>505</v>
      </c>
      <c r="H7884" s="6" t="n">
        <v>4.02</v>
      </c>
      <c r="I7884" s="6" t="n">
        <v>0</v>
      </c>
      <c r="J7884" s="40" t="n">
        <f aca="false">H7884-I7884</f>
        <v>4.02</v>
      </c>
      <c r="K7884" s="41" t="n">
        <v>34</v>
      </c>
      <c r="L7884" s="42" t="n">
        <f aca="false">J7884*K7884</f>
        <v>136.68</v>
      </c>
      <c r="M7884" s="43" t="n">
        <f aca="false">H7884*15.85*(1+'Chart of Accounts'!$E$67)</f>
        <v>72.955965</v>
      </c>
    </row>
    <row r="7885" customFormat="false" ht="15" hidden="false" customHeight="false" outlineLevel="0" collapsed="false">
      <c r="B7885" s="7" t="s">
        <v>8382</v>
      </c>
      <c r="C7885" s="39" t="n">
        <v>46013</v>
      </c>
      <c r="D7885" s="7" t="s">
        <v>387</v>
      </c>
      <c r="E7885" s="7" t="s">
        <v>154</v>
      </c>
      <c r="F7885" s="7" t="s">
        <v>196</v>
      </c>
      <c r="G7885" s="7" t="s">
        <v>505</v>
      </c>
      <c r="H7885" s="6" t="n">
        <v>4.16</v>
      </c>
      <c r="I7885" s="6" t="n">
        <v>0</v>
      </c>
      <c r="J7885" s="40" t="n">
        <f aca="false">H7885-I7885</f>
        <v>4.16</v>
      </c>
      <c r="K7885" s="41" t="n">
        <v>26.5</v>
      </c>
      <c r="L7885" s="42" t="n">
        <f aca="false">J7885*K7885</f>
        <v>110.24</v>
      </c>
      <c r="M7885" s="43" t="n">
        <f aca="false">H7885*15.05*(1+'Chart of Accounts'!$E$67)</f>
        <v>71.68616</v>
      </c>
    </row>
    <row r="7886" customFormat="false" ht="15" hidden="false" customHeight="false" outlineLevel="0" collapsed="false">
      <c r="B7886" s="7" t="s">
        <v>8383</v>
      </c>
      <c r="C7886" s="39" t="n">
        <v>46013</v>
      </c>
      <c r="D7886" s="7" t="s">
        <v>389</v>
      </c>
      <c r="E7886" s="7" t="s">
        <v>154</v>
      </c>
      <c r="F7886" s="7" t="s">
        <v>246</v>
      </c>
      <c r="G7886" s="7" t="s">
        <v>505</v>
      </c>
      <c r="H7886" s="6" t="n">
        <v>3.87</v>
      </c>
      <c r="I7886" s="6" t="n">
        <v>0</v>
      </c>
      <c r="J7886" s="40" t="n">
        <f aca="false">H7886-I7886</f>
        <v>3.87</v>
      </c>
      <c r="K7886" s="41" t="n">
        <v>26.5</v>
      </c>
      <c r="L7886" s="42" t="n">
        <f aca="false">J7886*K7886</f>
        <v>102.555</v>
      </c>
      <c r="M7886" s="43" t="n">
        <f aca="false">H7886*16.48*(1+'Chart of Accounts'!$E$67)</f>
        <v>73.025352</v>
      </c>
    </row>
    <row r="7887" customFormat="false" ht="15" hidden="false" customHeight="false" outlineLevel="0" collapsed="false">
      <c r="B7887" s="7" t="s">
        <v>8384</v>
      </c>
      <c r="C7887" s="39" t="n">
        <v>46013</v>
      </c>
      <c r="D7887" s="7" t="s">
        <v>391</v>
      </c>
      <c r="E7887" s="7" t="s">
        <v>156</v>
      </c>
      <c r="F7887" s="7" t="s">
        <v>222</v>
      </c>
      <c r="G7887" s="7" t="s">
        <v>505</v>
      </c>
      <c r="H7887" s="6" t="n">
        <v>4.25</v>
      </c>
      <c r="I7887" s="6" t="n">
        <v>0</v>
      </c>
      <c r="J7887" s="40" t="n">
        <f aca="false">H7887-I7887</f>
        <v>4.25</v>
      </c>
      <c r="K7887" s="41" t="n">
        <v>34</v>
      </c>
      <c r="L7887" s="42" t="n">
        <f aca="false">J7887*K7887</f>
        <v>144.5</v>
      </c>
      <c r="M7887" s="43" t="n">
        <f aca="false">H7887*17.84*(1+'Chart of Accounts'!$E$67)</f>
        <v>86.8139</v>
      </c>
    </row>
    <row r="7888" customFormat="false" ht="15" hidden="false" customHeight="false" outlineLevel="0" collapsed="false">
      <c r="B7888" s="7" t="s">
        <v>8385</v>
      </c>
      <c r="C7888" s="39" t="n">
        <v>46013</v>
      </c>
      <c r="D7888" s="7" t="s">
        <v>395</v>
      </c>
      <c r="E7888" s="7" t="s">
        <v>156</v>
      </c>
      <c r="F7888" s="7" t="s">
        <v>242</v>
      </c>
      <c r="G7888" s="7" t="s">
        <v>505</v>
      </c>
      <c r="H7888" s="6" t="n">
        <v>4.14</v>
      </c>
      <c r="I7888" s="6" t="n">
        <v>0</v>
      </c>
      <c r="J7888" s="40" t="n">
        <f aca="false">H7888-I7888</f>
        <v>4.14</v>
      </c>
      <c r="K7888" s="41" t="n">
        <v>34</v>
      </c>
      <c r="L7888" s="42" t="n">
        <f aca="false">J7888*K7888</f>
        <v>140.76</v>
      </c>
      <c r="M7888" s="43" t="n">
        <f aca="false">H7888*17.99*(1+'Chart of Accounts'!$E$67)</f>
        <v>85.277997</v>
      </c>
    </row>
    <row r="7889" customFormat="false" ht="15" hidden="false" customHeight="false" outlineLevel="0" collapsed="false">
      <c r="B7889" s="7" t="s">
        <v>8386</v>
      </c>
      <c r="C7889" s="39" t="n">
        <v>46013</v>
      </c>
      <c r="D7889" s="7" t="s">
        <v>399</v>
      </c>
      <c r="E7889" s="7" t="s">
        <v>154</v>
      </c>
      <c r="F7889" s="7" t="s">
        <v>232</v>
      </c>
      <c r="G7889" s="7" t="s">
        <v>505</v>
      </c>
      <c r="H7889" s="6" t="n">
        <v>3.65</v>
      </c>
      <c r="I7889" s="6" t="n">
        <v>0</v>
      </c>
      <c r="J7889" s="40" t="n">
        <f aca="false">H7889-I7889</f>
        <v>3.65</v>
      </c>
      <c r="K7889" s="41" t="n">
        <v>26.5</v>
      </c>
      <c r="L7889" s="42" t="n">
        <f aca="false">J7889*K7889</f>
        <v>96.725</v>
      </c>
      <c r="M7889" s="43" t="n">
        <f aca="false">H7889*16.17*(1+'Chart of Accounts'!$E$67)</f>
        <v>67.5784725</v>
      </c>
    </row>
    <row r="7890" customFormat="false" ht="15" hidden="false" customHeight="false" outlineLevel="0" collapsed="false">
      <c r="B7890" s="7" t="s">
        <v>8387</v>
      </c>
      <c r="C7890" s="39" t="n">
        <v>46013</v>
      </c>
      <c r="D7890" s="7" t="s">
        <v>401</v>
      </c>
      <c r="E7890" s="7" t="s">
        <v>156</v>
      </c>
      <c r="F7890" s="7" t="s">
        <v>254</v>
      </c>
      <c r="G7890" s="7" t="s">
        <v>505</v>
      </c>
      <c r="H7890" s="6" t="n">
        <v>4.25</v>
      </c>
      <c r="I7890" s="6" t="n">
        <v>0</v>
      </c>
      <c r="J7890" s="40" t="n">
        <f aca="false">H7890-I7890</f>
        <v>4.25</v>
      </c>
      <c r="K7890" s="41" t="n">
        <v>34</v>
      </c>
      <c r="L7890" s="42" t="n">
        <f aca="false">J7890*K7890</f>
        <v>144.5</v>
      </c>
      <c r="M7890" s="43" t="n">
        <f aca="false">H7890*17.1*(1+'Chart of Accounts'!$E$67)</f>
        <v>83.212875</v>
      </c>
    </row>
    <row r="7891" customFormat="false" ht="15" hidden="false" customHeight="false" outlineLevel="0" collapsed="false">
      <c r="B7891" s="7" t="s">
        <v>8388</v>
      </c>
      <c r="C7891" s="39" t="n">
        <v>46013</v>
      </c>
      <c r="D7891" s="7" t="s">
        <v>403</v>
      </c>
      <c r="E7891" s="7" t="s">
        <v>156</v>
      </c>
      <c r="F7891" s="7" t="s">
        <v>184</v>
      </c>
      <c r="G7891" s="7" t="s">
        <v>505</v>
      </c>
      <c r="H7891" s="6" t="n">
        <v>3.69</v>
      </c>
      <c r="I7891" s="6" t="n">
        <v>0</v>
      </c>
      <c r="J7891" s="40" t="n">
        <f aca="false">H7891-I7891</f>
        <v>3.69</v>
      </c>
      <c r="K7891" s="41" t="n">
        <v>34</v>
      </c>
      <c r="L7891" s="42" t="n">
        <f aca="false">J7891*K7891</f>
        <v>125.46</v>
      </c>
      <c r="M7891" s="43" t="n">
        <f aca="false">H7891*17.34*(1+'Chart of Accounts'!$E$67)</f>
        <v>73.262367</v>
      </c>
    </row>
    <row r="7892" customFormat="false" ht="15" hidden="false" customHeight="false" outlineLevel="0" collapsed="false">
      <c r="B7892" s="7" t="s">
        <v>8389</v>
      </c>
      <c r="C7892" s="39" t="n">
        <v>46013</v>
      </c>
      <c r="D7892" s="7" t="s">
        <v>405</v>
      </c>
      <c r="E7892" s="7" t="s">
        <v>156</v>
      </c>
      <c r="F7892" s="7" t="s">
        <v>240</v>
      </c>
      <c r="G7892" s="7" t="s">
        <v>505</v>
      </c>
      <c r="H7892" s="6" t="n">
        <v>2.81</v>
      </c>
      <c r="I7892" s="6" t="n">
        <v>0</v>
      </c>
      <c r="J7892" s="40" t="n">
        <f aca="false">H7892-I7892</f>
        <v>2.81</v>
      </c>
      <c r="K7892" s="41" t="n">
        <v>34</v>
      </c>
      <c r="L7892" s="42" t="n">
        <f aca="false">J7892*K7892</f>
        <v>95.54</v>
      </c>
      <c r="M7892" s="43" t="n">
        <f aca="false">H7892*16.96*(1+'Chart of Accounts'!$E$67)</f>
        <v>54.567952</v>
      </c>
    </row>
    <row r="7893" customFormat="false" ht="15" hidden="false" customHeight="false" outlineLevel="0" collapsed="false">
      <c r="B7893" s="7" t="s">
        <v>8390</v>
      </c>
      <c r="C7893" s="39" t="n">
        <v>46013</v>
      </c>
      <c r="D7893" s="7" t="s">
        <v>409</v>
      </c>
      <c r="E7893" s="7" t="s">
        <v>154</v>
      </c>
      <c r="F7893" s="7" t="s">
        <v>214</v>
      </c>
      <c r="G7893" s="7" t="s">
        <v>505</v>
      </c>
      <c r="H7893" s="6" t="n">
        <v>3.06</v>
      </c>
      <c r="I7893" s="6" t="n">
        <v>0</v>
      </c>
      <c r="J7893" s="40" t="n">
        <f aca="false">H7893-I7893</f>
        <v>3.06</v>
      </c>
      <c r="K7893" s="41" t="n">
        <v>26.5</v>
      </c>
      <c r="L7893" s="42" t="n">
        <f aca="false">J7893*K7893</f>
        <v>81.09</v>
      </c>
      <c r="M7893" s="43" t="n">
        <f aca="false">H7893*15.67*(1+'Chart of Accounts'!$E$67)</f>
        <v>54.902979</v>
      </c>
    </row>
    <row r="7894" customFormat="false" ht="15" hidden="false" customHeight="false" outlineLevel="0" collapsed="false">
      <c r="B7894" s="7" t="s">
        <v>8391</v>
      </c>
      <c r="C7894" s="39" t="n">
        <v>46013</v>
      </c>
      <c r="D7894" s="7" t="s">
        <v>411</v>
      </c>
      <c r="E7894" s="7" t="s">
        <v>154</v>
      </c>
      <c r="F7894" s="7" t="s">
        <v>177</v>
      </c>
      <c r="G7894" s="7" t="s">
        <v>505</v>
      </c>
      <c r="H7894" s="6" t="n">
        <v>5.09</v>
      </c>
      <c r="I7894" s="6" t="n">
        <v>0</v>
      </c>
      <c r="J7894" s="40" t="n">
        <f aca="false">H7894-I7894</f>
        <v>5.09</v>
      </c>
      <c r="K7894" s="41" t="n">
        <v>26.5</v>
      </c>
      <c r="L7894" s="42" t="n">
        <f aca="false">J7894*K7894</f>
        <v>134.885</v>
      </c>
      <c r="M7894" s="43" t="n">
        <f aca="false">H7894*14.56*(1+'Chart of Accounts'!$E$67)</f>
        <v>84.856408</v>
      </c>
    </row>
    <row r="7895" customFormat="false" ht="15" hidden="false" customHeight="false" outlineLevel="0" collapsed="false">
      <c r="B7895" s="7" t="s">
        <v>8392</v>
      </c>
      <c r="C7895" s="39" t="n">
        <v>46014</v>
      </c>
      <c r="D7895" s="7" t="s">
        <v>288</v>
      </c>
      <c r="E7895" s="7" t="s">
        <v>156</v>
      </c>
      <c r="F7895" s="7" t="s">
        <v>214</v>
      </c>
      <c r="G7895" s="7" t="s">
        <v>505</v>
      </c>
      <c r="H7895" s="6" t="n">
        <v>4.21</v>
      </c>
      <c r="I7895" s="6" t="n">
        <v>0</v>
      </c>
      <c r="J7895" s="40" t="n">
        <f aca="false">H7895-I7895</f>
        <v>4.21</v>
      </c>
      <c r="K7895" s="41" t="n">
        <v>34</v>
      </c>
      <c r="L7895" s="42" t="n">
        <f aca="false">J7895*K7895</f>
        <v>143.14</v>
      </c>
      <c r="M7895" s="43" t="n">
        <f aca="false">H7895*15.67*(1+'Chart of Accounts'!$E$67)</f>
        <v>75.5364515</v>
      </c>
    </row>
    <row r="7896" customFormat="false" ht="15" hidden="false" customHeight="false" outlineLevel="0" collapsed="false">
      <c r="B7896" s="7" t="s">
        <v>8393</v>
      </c>
      <c r="C7896" s="39" t="n">
        <v>46014</v>
      </c>
      <c r="D7896" s="7" t="s">
        <v>293</v>
      </c>
      <c r="E7896" s="7" t="s">
        <v>157</v>
      </c>
      <c r="F7896" s="7" t="s">
        <v>198</v>
      </c>
      <c r="G7896" s="7" t="s">
        <v>502</v>
      </c>
      <c r="H7896" s="6" t="n">
        <v>0.91</v>
      </c>
      <c r="I7896" s="6" t="n">
        <v>0</v>
      </c>
      <c r="J7896" s="40" t="n">
        <f aca="false">H7896-I7896</f>
        <v>0.91</v>
      </c>
      <c r="K7896" s="41" t="n">
        <v>165</v>
      </c>
      <c r="L7896" s="42" t="n">
        <f aca="false">J7896*K7896</f>
        <v>150.15</v>
      </c>
      <c r="M7896" s="43" t="n">
        <f aca="false">H7896*48.09*(1+'Chart of Accounts'!$E$67)</f>
        <v>50.1073755</v>
      </c>
    </row>
    <row r="7897" customFormat="false" ht="15" hidden="false" customHeight="false" outlineLevel="0" collapsed="false">
      <c r="B7897" s="7" t="s">
        <v>8394</v>
      </c>
      <c r="C7897" s="39" t="n">
        <v>46014</v>
      </c>
      <c r="D7897" s="7" t="s">
        <v>301</v>
      </c>
      <c r="E7897" s="7" t="s">
        <v>157</v>
      </c>
      <c r="F7897" s="7" t="s">
        <v>209</v>
      </c>
      <c r="G7897" s="7" t="s">
        <v>502</v>
      </c>
      <c r="H7897" s="6" t="n">
        <v>0.95</v>
      </c>
      <c r="I7897" s="6" t="n">
        <v>0</v>
      </c>
      <c r="J7897" s="40" t="n">
        <f aca="false">H7897-I7897</f>
        <v>0.95</v>
      </c>
      <c r="K7897" s="41" t="n">
        <v>165</v>
      </c>
      <c r="L7897" s="42" t="n">
        <f aca="false">J7897*K7897</f>
        <v>156.75</v>
      </c>
      <c r="M7897" s="43" t="n">
        <f aca="false">H7897*73.58*(1+'Chart of Accounts'!$E$67)</f>
        <v>80.036645</v>
      </c>
    </row>
    <row r="7898" customFormat="false" ht="15" hidden="false" customHeight="false" outlineLevel="0" collapsed="false">
      <c r="B7898" s="7" t="s">
        <v>8395</v>
      </c>
      <c r="C7898" s="39" t="n">
        <v>46014</v>
      </c>
      <c r="D7898" s="7" t="s">
        <v>313</v>
      </c>
      <c r="E7898" s="7" t="s">
        <v>156</v>
      </c>
      <c r="F7898" s="7" t="s">
        <v>184</v>
      </c>
      <c r="G7898" s="7" t="s">
        <v>505</v>
      </c>
      <c r="H7898" s="6" t="n">
        <v>3.74</v>
      </c>
      <c r="I7898" s="6" t="n">
        <v>0</v>
      </c>
      <c r="J7898" s="40" t="n">
        <f aca="false">H7898-I7898</f>
        <v>3.74</v>
      </c>
      <c r="K7898" s="41" t="n">
        <v>34</v>
      </c>
      <c r="L7898" s="42" t="n">
        <f aca="false">J7898*K7898</f>
        <v>127.16</v>
      </c>
      <c r="M7898" s="43" t="n">
        <f aca="false">H7898*17.34*(1+'Chart of Accounts'!$E$67)</f>
        <v>74.255082</v>
      </c>
    </row>
    <row r="7899" customFormat="false" ht="15" hidden="false" customHeight="false" outlineLevel="0" collapsed="false">
      <c r="B7899" s="7" t="s">
        <v>8396</v>
      </c>
      <c r="C7899" s="39" t="n">
        <v>46014</v>
      </c>
      <c r="D7899" s="7" t="s">
        <v>319</v>
      </c>
      <c r="E7899" s="7" t="s">
        <v>157</v>
      </c>
      <c r="F7899" s="7" t="s">
        <v>234</v>
      </c>
      <c r="G7899" s="7" t="s">
        <v>502</v>
      </c>
      <c r="H7899" s="6" t="n">
        <v>1.02</v>
      </c>
      <c r="I7899" s="6" t="n">
        <v>0</v>
      </c>
      <c r="J7899" s="40" t="n">
        <f aca="false">H7899-I7899</f>
        <v>1.02</v>
      </c>
      <c r="K7899" s="41" t="n">
        <v>165</v>
      </c>
      <c r="L7899" s="42" t="n">
        <f aca="false">J7899*K7899</f>
        <v>168.3</v>
      </c>
      <c r="M7899" s="43" t="n">
        <f aca="false">H7899*89.53*(1+'Chart of Accounts'!$E$67)</f>
        <v>104.562087</v>
      </c>
    </row>
    <row r="7900" customFormat="false" ht="15" hidden="false" customHeight="false" outlineLevel="0" collapsed="false">
      <c r="B7900" s="7" t="s">
        <v>8397</v>
      </c>
      <c r="C7900" s="39" t="n">
        <v>46014</v>
      </c>
      <c r="D7900" s="7" t="s">
        <v>321</v>
      </c>
      <c r="E7900" s="7" t="s">
        <v>154</v>
      </c>
      <c r="F7900" s="7" t="s">
        <v>218</v>
      </c>
      <c r="G7900" s="7" t="s">
        <v>505</v>
      </c>
      <c r="H7900" s="6" t="n">
        <v>4.27</v>
      </c>
      <c r="I7900" s="6" t="n">
        <v>0</v>
      </c>
      <c r="J7900" s="40" t="n">
        <f aca="false">H7900-I7900</f>
        <v>4.27</v>
      </c>
      <c r="K7900" s="41" t="n">
        <v>26.5</v>
      </c>
      <c r="L7900" s="42" t="n">
        <f aca="false">J7900*K7900</f>
        <v>113.155</v>
      </c>
      <c r="M7900" s="43" t="n">
        <f aca="false">H7900*16.19*(1+'Chart of Accounts'!$E$67)</f>
        <v>79.1553385</v>
      </c>
    </row>
    <row r="7901" customFormat="false" ht="15" hidden="false" customHeight="false" outlineLevel="0" collapsed="false">
      <c r="B7901" s="7" t="s">
        <v>8398</v>
      </c>
      <c r="C7901" s="39" t="n">
        <v>46014</v>
      </c>
      <c r="D7901" s="7" t="s">
        <v>323</v>
      </c>
      <c r="E7901" s="7" t="s">
        <v>159</v>
      </c>
      <c r="F7901" s="7" t="s">
        <v>198</v>
      </c>
      <c r="G7901" s="7" t="s">
        <v>502</v>
      </c>
      <c r="H7901" s="6" t="n">
        <v>1.07</v>
      </c>
      <c r="I7901" s="6" t="n">
        <v>0</v>
      </c>
      <c r="J7901" s="40" t="n">
        <f aca="false">H7901-I7901</f>
        <v>1.07</v>
      </c>
      <c r="K7901" s="41" t="n">
        <v>135</v>
      </c>
      <c r="L7901" s="42" t="n">
        <f aca="false">J7901*K7901</f>
        <v>144.45</v>
      </c>
      <c r="M7901" s="43" t="n">
        <f aca="false">H7901*48.09*(1+'Chart of Accounts'!$E$67)</f>
        <v>58.9174635</v>
      </c>
    </row>
    <row r="7902" customFormat="false" ht="15" hidden="false" customHeight="false" outlineLevel="0" collapsed="false">
      <c r="B7902" s="7" t="s">
        <v>8399</v>
      </c>
      <c r="C7902" s="39" t="n">
        <v>46014</v>
      </c>
      <c r="D7902" s="7" t="s">
        <v>327</v>
      </c>
      <c r="E7902" s="7" t="s">
        <v>157</v>
      </c>
      <c r="F7902" s="7" t="s">
        <v>228</v>
      </c>
      <c r="G7902" s="7" t="s">
        <v>502</v>
      </c>
      <c r="H7902" s="6" t="n">
        <v>1</v>
      </c>
      <c r="I7902" s="6" t="n">
        <v>0</v>
      </c>
      <c r="J7902" s="40" t="n">
        <f aca="false">H7902-I7902</f>
        <v>1</v>
      </c>
      <c r="K7902" s="41" t="n">
        <v>165</v>
      </c>
      <c r="L7902" s="42" t="n">
        <f aca="false">J7902*K7902</f>
        <v>165</v>
      </c>
      <c r="M7902" s="43" t="n">
        <f aca="false">H7902*51.07*(1+'Chart of Accounts'!$E$67)</f>
        <v>58.47515</v>
      </c>
    </row>
    <row r="7903" customFormat="false" ht="15" hidden="false" customHeight="false" outlineLevel="0" collapsed="false">
      <c r="B7903" s="7" t="s">
        <v>8400</v>
      </c>
      <c r="C7903" s="39" t="n">
        <v>46014</v>
      </c>
      <c r="D7903" s="7" t="s">
        <v>329</v>
      </c>
      <c r="E7903" s="7" t="s">
        <v>156</v>
      </c>
      <c r="F7903" s="7" t="s">
        <v>220</v>
      </c>
      <c r="G7903" s="7" t="s">
        <v>505</v>
      </c>
      <c r="H7903" s="6" t="n">
        <v>3.84</v>
      </c>
      <c r="I7903" s="6" t="n">
        <v>0</v>
      </c>
      <c r="J7903" s="40" t="n">
        <f aca="false">H7903-I7903</f>
        <v>3.84</v>
      </c>
      <c r="K7903" s="41" t="n">
        <v>34</v>
      </c>
      <c r="L7903" s="42" t="n">
        <f aca="false">J7903*K7903</f>
        <v>130.56</v>
      </c>
      <c r="M7903" s="43" t="n">
        <f aca="false">H7903*16.43*(1+'Chart of Accounts'!$E$67)</f>
        <v>72.239424</v>
      </c>
    </row>
    <row r="7904" customFormat="false" ht="15" hidden="false" customHeight="false" outlineLevel="0" collapsed="false">
      <c r="B7904" s="7" t="s">
        <v>8401</v>
      </c>
      <c r="C7904" s="39" t="n">
        <v>46014</v>
      </c>
      <c r="D7904" s="7" t="s">
        <v>345</v>
      </c>
      <c r="E7904" s="7" t="s">
        <v>159</v>
      </c>
      <c r="F7904" s="7" t="s">
        <v>230</v>
      </c>
      <c r="G7904" s="7" t="s">
        <v>502</v>
      </c>
      <c r="H7904" s="6" t="n">
        <v>0.98</v>
      </c>
      <c r="I7904" s="6" t="n">
        <v>0.069</v>
      </c>
      <c r="J7904" s="40" t="n">
        <f aca="false">H7904-I7904</f>
        <v>0.911</v>
      </c>
      <c r="K7904" s="41" t="n">
        <v>135</v>
      </c>
      <c r="L7904" s="42" t="n">
        <f aca="false">J7904*K7904</f>
        <v>122.985</v>
      </c>
      <c r="M7904" s="43" t="n">
        <f aca="false">H7904*48.78*(1+'Chart of Accounts'!$E$67)</f>
        <v>54.736038</v>
      </c>
    </row>
    <row r="7905" customFormat="false" ht="15" hidden="false" customHeight="false" outlineLevel="0" collapsed="false">
      <c r="B7905" s="7" t="s">
        <v>8402</v>
      </c>
      <c r="C7905" s="39" t="n">
        <v>46014</v>
      </c>
      <c r="D7905" s="7" t="s">
        <v>349</v>
      </c>
      <c r="E7905" s="7" t="s">
        <v>154</v>
      </c>
      <c r="F7905" s="7" t="s">
        <v>244</v>
      </c>
      <c r="G7905" s="7" t="s">
        <v>505</v>
      </c>
      <c r="H7905" s="6" t="n">
        <v>4.31</v>
      </c>
      <c r="I7905" s="6" t="n">
        <v>0</v>
      </c>
      <c r="J7905" s="40" t="n">
        <f aca="false">H7905-I7905</f>
        <v>4.31</v>
      </c>
      <c r="K7905" s="41" t="n">
        <v>26.5</v>
      </c>
      <c r="L7905" s="42" t="n">
        <f aca="false">J7905*K7905</f>
        <v>114.215</v>
      </c>
      <c r="M7905" s="43" t="n">
        <f aca="false">H7905*16.39*(1+'Chart of Accounts'!$E$67)</f>
        <v>80.8838305</v>
      </c>
    </row>
    <row r="7906" customFormat="false" ht="15" hidden="false" customHeight="false" outlineLevel="0" collapsed="false">
      <c r="B7906" s="7" t="s">
        <v>8403</v>
      </c>
      <c r="C7906" s="39" t="n">
        <v>46014</v>
      </c>
      <c r="D7906" s="7" t="s">
        <v>359</v>
      </c>
      <c r="E7906" s="7" t="s">
        <v>156</v>
      </c>
      <c r="F7906" s="7" t="s">
        <v>218</v>
      </c>
      <c r="G7906" s="7" t="s">
        <v>505</v>
      </c>
      <c r="H7906" s="6" t="n">
        <v>3.64</v>
      </c>
      <c r="I7906" s="6" t="n">
        <v>0</v>
      </c>
      <c r="J7906" s="40" t="n">
        <f aca="false">H7906-I7906</f>
        <v>3.64</v>
      </c>
      <c r="K7906" s="41" t="n">
        <v>34</v>
      </c>
      <c r="L7906" s="42" t="n">
        <f aca="false">J7906*K7906</f>
        <v>123.76</v>
      </c>
      <c r="M7906" s="43" t="n">
        <f aca="false">H7906*16.19*(1+'Chart of Accounts'!$E$67)</f>
        <v>67.476682</v>
      </c>
    </row>
    <row r="7907" customFormat="false" ht="15" hidden="false" customHeight="false" outlineLevel="0" collapsed="false">
      <c r="B7907" s="7" t="s">
        <v>8404</v>
      </c>
      <c r="C7907" s="39" t="n">
        <v>46014</v>
      </c>
      <c r="D7907" s="7" t="s">
        <v>361</v>
      </c>
      <c r="E7907" s="7" t="s">
        <v>157</v>
      </c>
      <c r="F7907" s="7" t="s">
        <v>209</v>
      </c>
      <c r="G7907" s="7" t="s">
        <v>502</v>
      </c>
      <c r="H7907" s="6" t="n">
        <v>0.91</v>
      </c>
      <c r="I7907" s="6" t="n">
        <v>0.046</v>
      </c>
      <c r="J7907" s="40" t="n">
        <f aca="false">H7907-I7907</f>
        <v>0.864</v>
      </c>
      <c r="K7907" s="41" t="n">
        <v>165</v>
      </c>
      <c r="L7907" s="42" t="n">
        <f aca="false">J7907*K7907</f>
        <v>142.56</v>
      </c>
      <c r="M7907" s="43" t="n">
        <f aca="false">H7907*73.58*(1+'Chart of Accounts'!$E$67)</f>
        <v>76.666681</v>
      </c>
    </row>
    <row r="7908" customFormat="false" ht="15" hidden="false" customHeight="false" outlineLevel="0" collapsed="false">
      <c r="B7908" s="7" t="s">
        <v>8405</v>
      </c>
      <c r="C7908" s="39" t="n">
        <v>46014</v>
      </c>
      <c r="D7908" s="7" t="s">
        <v>365</v>
      </c>
      <c r="E7908" s="7" t="s">
        <v>154</v>
      </c>
      <c r="F7908" s="7" t="s">
        <v>194</v>
      </c>
      <c r="G7908" s="7" t="s">
        <v>505</v>
      </c>
      <c r="H7908" s="6" t="n">
        <v>3.95</v>
      </c>
      <c r="I7908" s="6" t="n">
        <v>0</v>
      </c>
      <c r="J7908" s="40" t="n">
        <f aca="false">H7908-I7908</f>
        <v>3.95</v>
      </c>
      <c r="K7908" s="41" t="n">
        <v>26.5</v>
      </c>
      <c r="L7908" s="42" t="n">
        <f aca="false">J7908*K7908</f>
        <v>104.675</v>
      </c>
      <c r="M7908" s="43" t="n">
        <f aca="false">H7908*16*(1+'Chart of Accounts'!$E$67)</f>
        <v>72.364</v>
      </c>
    </row>
    <row r="7909" customFormat="false" ht="15" hidden="false" customHeight="false" outlineLevel="0" collapsed="false">
      <c r="B7909" s="7" t="s">
        <v>8406</v>
      </c>
      <c r="C7909" s="39" t="n">
        <v>46014</v>
      </c>
      <c r="D7909" s="7" t="s">
        <v>369</v>
      </c>
      <c r="E7909" s="7" t="s">
        <v>159</v>
      </c>
      <c r="F7909" s="7" t="s">
        <v>258</v>
      </c>
      <c r="G7909" s="7" t="s">
        <v>502</v>
      </c>
      <c r="H7909" s="6" t="n">
        <v>1.08</v>
      </c>
      <c r="I7909" s="6" t="n">
        <v>0</v>
      </c>
      <c r="J7909" s="40" t="n">
        <f aca="false">H7909-I7909</f>
        <v>1.08</v>
      </c>
      <c r="K7909" s="41" t="n">
        <v>135</v>
      </c>
      <c r="L7909" s="42" t="n">
        <f aca="false">J7909*K7909</f>
        <v>145.8</v>
      </c>
      <c r="M7909" s="43" t="n">
        <f aca="false">H7909*61.61*(1+'Chart of Accounts'!$E$67)</f>
        <v>76.186926</v>
      </c>
    </row>
    <row r="7910" customFormat="false" ht="15" hidden="false" customHeight="false" outlineLevel="0" collapsed="false">
      <c r="B7910" s="7" t="s">
        <v>8407</v>
      </c>
      <c r="C7910" s="39" t="n">
        <v>46014</v>
      </c>
      <c r="D7910" s="7" t="s">
        <v>381</v>
      </c>
      <c r="E7910" s="7" t="s">
        <v>157</v>
      </c>
      <c r="F7910" s="7" t="s">
        <v>234</v>
      </c>
      <c r="G7910" s="7" t="s">
        <v>502</v>
      </c>
      <c r="H7910" s="6" t="n">
        <v>0.98</v>
      </c>
      <c r="I7910" s="6" t="n">
        <v>0</v>
      </c>
      <c r="J7910" s="40" t="n">
        <f aca="false">H7910-I7910</f>
        <v>0.98</v>
      </c>
      <c r="K7910" s="41" t="n">
        <v>165</v>
      </c>
      <c r="L7910" s="42" t="n">
        <f aca="false">J7910*K7910</f>
        <v>161.7</v>
      </c>
      <c r="M7910" s="43" t="n">
        <f aca="false">H7910*89.53*(1+'Chart of Accounts'!$E$67)</f>
        <v>100.461613</v>
      </c>
    </row>
    <row r="7911" customFormat="false" ht="15" hidden="false" customHeight="false" outlineLevel="0" collapsed="false">
      <c r="B7911" s="7" t="s">
        <v>8408</v>
      </c>
      <c r="C7911" s="39" t="n">
        <v>46014</v>
      </c>
      <c r="D7911" s="7" t="s">
        <v>383</v>
      </c>
      <c r="E7911" s="7" t="s">
        <v>157</v>
      </c>
      <c r="F7911" s="7" t="s">
        <v>230</v>
      </c>
      <c r="G7911" s="7" t="s">
        <v>502</v>
      </c>
      <c r="H7911" s="6" t="n">
        <v>1.05</v>
      </c>
      <c r="I7911" s="6" t="n">
        <v>0</v>
      </c>
      <c r="J7911" s="40" t="n">
        <f aca="false">H7911-I7911</f>
        <v>1.05</v>
      </c>
      <c r="K7911" s="41" t="n">
        <v>165</v>
      </c>
      <c r="L7911" s="42" t="n">
        <f aca="false">J7911*K7911</f>
        <v>173.25</v>
      </c>
      <c r="M7911" s="43" t="n">
        <f aca="false">H7911*48.78*(1+'Chart of Accounts'!$E$67)</f>
        <v>58.645755</v>
      </c>
    </row>
    <row r="7912" customFormat="false" ht="15" hidden="false" customHeight="false" outlineLevel="0" collapsed="false">
      <c r="B7912" s="7" t="s">
        <v>8409</v>
      </c>
      <c r="C7912" s="39" t="n">
        <v>46014</v>
      </c>
      <c r="D7912" s="7" t="s">
        <v>387</v>
      </c>
      <c r="E7912" s="7" t="s">
        <v>154</v>
      </c>
      <c r="F7912" s="7" t="s">
        <v>196</v>
      </c>
      <c r="G7912" s="7" t="s">
        <v>505</v>
      </c>
      <c r="H7912" s="6" t="n">
        <v>4.27</v>
      </c>
      <c r="I7912" s="6" t="n">
        <v>0</v>
      </c>
      <c r="J7912" s="40" t="n">
        <f aca="false">H7912-I7912</f>
        <v>4.27</v>
      </c>
      <c r="K7912" s="41" t="n">
        <v>26.5</v>
      </c>
      <c r="L7912" s="42" t="n">
        <f aca="false">J7912*K7912</f>
        <v>113.155</v>
      </c>
      <c r="M7912" s="43" t="n">
        <f aca="false">H7912*15.05*(1+'Chart of Accounts'!$E$67)</f>
        <v>73.5817075</v>
      </c>
    </row>
    <row r="7913" customFormat="false" ht="15" hidden="false" customHeight="false" outlineLevel="0" collapsed="false">
      <c r="B7913" s="7" t="s">
        <v>8410</v>
      </c>
      <c r="C7913" s="39" t="n">
        <v>46014</v>
      </c>
      <c r="D7913" s="7" t="s">
        <v>389</v>
      </c>
      <c r="E7913" s="7" t="s">
        <v>154</v>
      </c>
      <c r="F7913" s="7" t="s">
        <v>246</v>
      </c>
      <c r="G7913" s="7" t="s">
        <v>505</v>
      </c>
      <c r="H7913" s="6" t="n">
        <v>3.84</v>
      </c>
      <c r="I7913" s="6" t="n">
        <v>0</v>
      </c>
      <c r="J7913" s="40" t="n">
        <f aca="false">H7913-I7913</f>
        <v>3.84</v>
      </c>
      <c r="K7913" s="41" t="n">
        <v>26.5</v>
      </c>
      <c r="L7913" s="42" t="n">
        <f aca="false">J7913*K7913</f>
        <v>101.76</v>
      </c>
      <c r="M7913" s="43" t="n">
        <f aca="false">H7913*16.48*(1+'Chart of Accounts'!$E$67)</f>
        <v>72.459264</v>
      </c>
    </row>
    <row r="7914" customFormat="false" ht="15" hidden="false" customHeight="false" outlineLevel="0" collapsed="false">
      <c r="B7914" s="7" t="s">
        <v>8411</v>
      </c>
      <c r="C7914" s="39" t="n">
        <v>46014</v>
      </c>
      <c r="D7914" s="7" t="s">
        <v>391</v>
      </c>
      <c r="E7914" s="7" t="s">
        <v>156</v>
      </c>
      <c r="F7914" s="7" t="s">
        <v>222</v>
      </c>
      <c r="G7914" s="7" t="s">
        <v>505</v>
      </c>
      <c r="H7914" s="6" t="n">
        <v>4.23</v>
      </c>
      <c r="I7914" s="6" t="n">
        <v>0</v>
      </c>
      <c r="J7914" s="40" t="n">
        <f aca="false">H7914-I7914</f>
        <v>4.23</v>
      </c>
      <c r="K7914" s="41" t="n">
        <v>34</v>
      </c>
      <c r="L7914" s="42" t="n">
        <f aca="false">J7914*K7914</f>
        <v>143.82</v>
      </c>
      <c r="M7914" s="43" t="n">
        <f aca="false">H7914*17.84*(1+'Chart of Accounts'!$E$67)</f>
        <v>86.405364</v>
      </c>
    </row>
    <row r="7915" customFormat="false" ht="15" hidden="false" customHeight="false" outlineLevel="0" collapsed="false">
      <c r="B7915" s="7" t="s">
        <v>8412</v>
      </c>
      <c r="C7915" s="39" t="n">
        <v>46014</v>
      </c>
      <c r="D7915" s="7" t="s">
        <v>395</v>
      </c>
      <c r="E7915" s="7" t="s">
        <v>156</v>
      </c>
      <c r="F7915" s="7" t="s">
        <v>242</v>
      </c>
      <c r="G7915" s="7" t="s">
        <v>505</v>
      </c>
      <c r="H7915" s="6" t="n">
        <v>4.07</v>
      </c>
      <c r="I7915" s="6" t="n">
        <v>0</v>
      </c>
      <c r="J7915" s="40" t="n">
        <f aca="false">H7915-I7915</f>
        <v>4.07</v>
      </c>
      <c r="K7915" s="41" t="n">
        <v>34</v>
      </c>
      <c r="L7915" s="42" t="n">
        <f aca="false">J7915*K7915</f>
        <v>138.38</v>
      </c>
      <c r="M7915" s="43" t="n">
        <f aca="false">H7915*17.99*(1+'Chart of Accounts'!$E$67)</f>
        <v>83.8360985</v>
      </c>
    </row>
    <row r="7916" customFormat="false" ht="15" hidden="false" customHeight="false" outlineLevel="0" collapsed="false">
      <c r="B7916" s="7" t="s">
        <v>8413</v>
      </c>
      <c r="C7916" s="39" t="n">
        <v>46014</v>
      </c>
      <c r="D7916" s="7" t="s">
        <v>397</v>
      </c>
      <c r="E7916" s="7" t="s">
        <v>159</v>
      </c>
      <c r="F7916" s="7" t="s">
        <v>203</v>
      </c>
      <c r="G7916" s="7" t="s">
        <v>502</v>
      </c>
      <c r="H7916" s="6" t="n">
        <v>1.07</v>
      </c>
      <c r="I7916" s="6" t="n">
        <v>0</v>
      </c>
      <c r="J7916" s="40" t="n">
        <f aca="false">H7916-I7916</f>
        <v>1.07</v>
      </c>
      <c r="K7916" s="41" t="n">
        <v>135</v>
      </c>
      <c r="L7916" s="42" t="n">
        <f aca="false">J7916*K7916</f>
        <v>144.45</v>
      </c>
      <c r="M7916" s="43" t="n">
        <f aca="false">H7916*49.43*(1+'Chart of Accounts'!$E$67)</f>
        <v>60.5591645</v>
      </c>
    </row>
    <row r="7917" customFormat="false" ht="15" hidden="false" customHeight="false" outlineLevel="0" collapsed="false">
      <c r="B7917" s="7" t="s">
        <v>8414</v>
      </c>
      <c r="C7917" s="39" t="n">
        <v>46014</v>
      </c>
      <c r="D7917" s="7" t="s">
        <v>401</v>
      </c>
      <c r="E7917" s="7" t="s">
        <v>156</v>
      </c>
      <c r="F7917" s="7" t="s">
        <v>254</v>
      </c>
      <c r="G7917" s="7" t="s">
        <v>505</v>
      </c>
      <c r="H7917" s="6" t="n">
        <v>3.64</v>
      </c>
      <c r="I7917" s="6" t="n">
        <v>0</v>
      </c>
      <c r="J7917" s="40" t="n">
        <f aca="false">H7917-I7917</f>
        <v>3.64</v>
      </c>
      <c r="K7917" s="41" t="n">
        <v>34</v>
      </c>
      <c r="L7917" s="42" t="n">
        <f aca="false">J7917*K7917</f>
        <v>123.76</v>
      </c>
      <c r="M7917" s="43" t="n">
        <f aca="false">H7917*17.1*(1+'Chart of Accounts'!$E$67)</f>
        <v>71.26938</v>
      </c>
    </row>
    <row r="7918" customFormat="false" ht="15" hidden="false" customHeight="false" outlineLevel="0" collapsed="false">
      <c r="B7918" s="7" t="s">
        <v>8415</v>
      </c>
      <c r="C7918" s="39" t="n">
        <v>46014</v>
      </c>
      <c r="D7918" s="7" t="s">
        <v>407</v>
      </c>
      <c r="E7918" s="7" t="s">
        <v>159</v>
      </c>
      <c r="F7918" s="7" t="s">
        <v>260</v>
      </c>
      <c r="G7918" s="7" t="s">
        <v>502</v>
      </c>
      <c r="H7918" s="6" t="n">
        <v>1.02</v>
      </c>
      <c r="I7918" s="6" t="n">
        <v>0.071</v>
      </c>
      <c r="J7918" s="40" t="n">
        <f aca="false">H7918-I7918</f>
        <v>0.949</v>
      </c>
      <c r="K7918" s="41" t="n">
        <v>135</v>
      </c>
      <c r="L7918" s="42" t="n">
        <f aca="false">J7918*K7918</f>
        <v>128.115</v>
      </c>
      <c r="M7918" s="43" t="n">
        <f aca="false">H7918*79.8*(1+'Chart of Accounts'!$E$67)</f>
        <v>93.19842</v>
      </c>
    </row>
    <row r="7919" customFormat="false" ht="15" hidden="false" customHeight="false" outlineLevel="0" collapsed="false">
      <c r="B7919" s="7" t="s">
        <v>8416</v>
      </c>
      <c r="C7919" s="39" t="n">
        <v>46015</v>
      </c>
      <c r="D7919" s="7" t="s">
        <v>284</v>
      </c>
      <c r="E7919" s="7" t="s">
        <v>157</v>
      </c>
      <c r="F7919" s="7" t="s">
        <v>258</v>
      </c>
      <c r="G7919" s="7" t="s">
        <v>502</v>
      </c>
      <c r="H7919" s="6" t="n">
        <v>0.98</v>
      </c>
      <c r="I7919" s="6" t="n">
        <v>0</v>
      </c>
      <c r="J7919" s="40" t="n">
        <f aca="false">H7919-I7919</f>
        <v>0.98</v>
      </c>
      <c r="K7919" s="41" t="n">
        <v>165</v>
      </c>
      <c r="L7919" s="42" t="n">
        <f aca="false">J7919*K7919</f>
        <v>161.7</v>
      </c>
      <c r="M7919" s="43" t="n">
        <f aca="false">H7919*61.61*(1+'Chart of Accounts'!$E$67)</f>
        <v>69.132581</v>
      </c>
    </row>
    <row r="7920" customFormat="false" ht="15" hidden="false" customHeight="false" outlineLevel="0" collapsed="false">
      <c r="B7920" s="7" t="s">
        <v>8417</v>
      </c>
      <c r="C7920" s="39" t="n">
        <v>46015</v>
      </c>
      <c r="D7920" s="7" t="s">
        <v>288</v>
      </c>
      <c r="E7920" s="7" t="s">
        <v>156</v>
      </c>
      <c r="F7920" s="7" t="s">
        <v>256</v>
      </c>
      <c r="G7920" s="7" t="s">
        <v>505</v>
      </c>
      <c r="H7920" s="6" t="n">
        <v>3.91</v>
      </c>
      <c r="I7920" s="6" t="n">
        <v>0</v>
      </c>
      <c r="J7920" s="40" t="n">
        <f aca="false">H7920-I7920</f>
        <v>3.91</v>
      </c>
      <c r="K7920" s="41" t="n">
        <v>34</v>
      </c>
      <c r="L7920" s="42" t="n">
        <f aca="false">J7920*K7920</f>
        <v>132.94</v>
      </c>
      <c r="M7920" s="43" t="n">
        <f aca="false">H7920*15.63*(1+'Chart of Accounts'!$E$67)</f>
        <v>69.9747285</v>
      </c>
    </row>
    <row r="7921" customFormat="false" ht="15" hidden="false" customHeight="false" outlineLevel="0" collapsed="false">
      <c r="B7921" s="7" t="s">
        <v>8418</v>
      </c>
      <c r="C7921" s="39" t="n">
        <v>46015</v>
      </c>
      <c r="D7921" s="7" t="s">
        <v>291</v>
      </c>
      <c r="E7921" s="7" t="s">
        <v>154</v>
      </c>
      <c r="F7921" s="7" t="s">
        <v>194</v>
      </c>
      <c r="G7921" s="7" t="s">
        <v>505</v>
      </c>
      <c r="H7921" s="6" t="n">
        <v>4.22</v>
      </c>
      <c r="I7921" s="6" t="n">
        <v>0</v>
      </c>
      <c r="J7921" s="40" t="n">
        <f aca="false">H7921-I7921</f>
        <v>4.22</v>
      </c>
      <c r="K7921" s="41" t="n">
        <v>26.5</v>
      </c>
      <c r="L7921" s="42" t="n">
        <f aca="false">J7921*K7921</f>
        <v>111.83</v>
      </c>
      <c r="M7921" s="43" t="n">
        <f aca="false">H7921*16*(1+'Chart of Accounts'!$E$67)</f>
        <v>77.3104</v>
      </c>
    </row>
    <row r="7922" customFormat="false" ht="15" hidden="false" customHeight="false" outlineLevel="0" collapsed="false">
      <c r="B7922" s="7" t="s">
        <v>8419</v>
      </c>
      <c r="C7922" s="39" t="n">
        <v>46015</v>
      </c>
      <c r="D7922" s="7" t="s">
        <v>295</v>
      </c>
      <c r="E7922" s="7" t="s">
        <v>154</v>
      </c>
      <c r="F7922" s="7" t="s">
        <v>214</v>
      </c>
      <c r="G7922" s="7" t="s">
        <v>505</v>
      </c>
      <c r="H7922" s="6" t="n">
        <v>4.28</v>
      </c>
      <c r="I7922" s="6" t="n">
        <v>0</v>
      </c>
      <c r="J7922" s="40" t="n">
        <f aca="false">H7922-I7922</f>
        <v>4.28</v>
      </c>
      <c r="K7922" s="41" t="n">
        <v>26.5</v>
      </c>
      <c r="L7922" s="42" t="n">
        <f aca="false">J7922*K7922</f>
        <v>113.42</v>
      </c>
      <c r="M7922" s="43" t="n">
        <f aca="false">H7922*15.67*(1+'Chart of Accounts'!$E$67)</f>
        <v>76.792402</v>
      </c>
    </row>
    <row r="7923" customFormat="false" ht="15" hidden="false" customHeight="false" outlineLevel="0" collapsed="false">
      <c r="B7923" s="7" t="s">
        <v>8420</v>
      </c>
      <c r="C7923" s="39" t="n">
        <v>46015</v>
      </c>
      <c r="D7923" s="7" t="s">
        <v>305</v>
      </c>
      <c r="E7923" s="7" t="s">
        <v>154</v>
      </c>
      <c r="F7923" s="7" t="s">
        <v>205</v>
      </c>
      <c r="G7923" s="7" t="s">
        <v>505</v>
      </c>
      <c r="H7923" s="6" t="n">
        <v>3.73</v>
      </c>
      <c r="I7923" s="6" t="n">
        <v>0</v>
      </c>
      <c r="J7923" s="40" t="n">
        <f aca="false">H7923-I7923</f>
        <v>3.73</v>
      </c>
      <c r="K7923" s="41" t="n">
        <v>26.5</v>
      </c>
      <c r="L7923" s="42" t="n">
        <f aca="false">J7923*K7923</f>
        <v>98.845</v>
      </c>
      <c r="M7923" s="43" t="n">
        <f aca="false">H7923*16.36*(1+'Chart of Accounts'!$E$67)</f>
        <v>69.871106</v>
      </c>
    </row>
    <row r="7924" customFormat="false" ht="15" hidden="false" customHeight="false" outlineLevel="0" collapsed="false">
      <c r="B7924" s="7" t="s">
        <v>8421</v>
      </c>
      <c r="C7924" s="39" t="n">
        <v>46015</v>
      </c>
      <c r="D7924" s="7" t="s">
        <v>307</v>
      </c>
      <c r="E7924" s="7" t="s">
        <v>157</v>
      </c>
      <c r="F7924" s="7" t="s">
        <v>264</v>
      </c>
      <c r="G7924" s="7" t="s">
        <v>502</v>
      </c>
      <c r="H7924" s="6" t="n">
        <v>0.92</v>
      </c>
      <c r="I7924" s="6" t="n">
        <v>0</v>
      </c>
      <c r="J7924" s="40" t="n">
        <f aca="false">H7924-I7924</f>
        <v>0.92</v>
      </c>
      <c r="K7924" s="41" t="n">
        <v>165</v>
      </c>
      <c r="L7924" s="42" t="n">
        <f aca="false">J7924*K7924</f>
        <v>151.8</v>
      </c>
      <c r="M7924" s="43" t="n">
        <f aca="false">H7924*55.55*(1+'Chart of Accounts'!$E$67)</f>
        <v>58.51637</v>
      </c>
    </row>
    <row r="7925" customFormat="false" ht="15" hidden="false" customHeight="false" outlineLevel="0" collapsed="false">
      <c r="B7925" s="7" t="s">
        <v>8422</v>
      </c>
      <c r="C7925" s="39" t="n">
        <v>46015</v>
      </c>
      <c r="D7925" s="7" t="s">
        <v>309</v>
      </c>
      <c r="E7925" s="7" t="s">
        <v>159</v>
      </c>
      <c r="F7925" s="7" t="s">
        <v>252</v>
      </c>
      <c r="G7925" s="7" t="s">
        <v>502</v>
      </c>
      <c r="H7925" s="6" t="n">
        <v>1</v>
      </c>
      <c r="I7925" s="6" t="n">
        <v>0</v>
      </c>
      <c r="J7925" s="40" t="n">
        <f aca="false">H7925-I7925</f>
        <v>1</v>
      </c>
      <c r="K7925" s="41" t="n">
        <v>135</v>
      </c>
      <c r="L7925" s="42" t="n">
        <f aca="false">J7925*K7925</f>
        <v>135</v>
      </c>
      <c r="M7925" s="43" t="n">
        <f aca="false">H7925*57.54*(1+'Chart of Accounts'!$E$67)</f>
        <v>65.8833</v>
      </c>
    </row>
    <row r="7926" customFormat="false" ht="15" hidden="false" customHeight="false" outlineLevel="0" collapsed="false">
      <c r="B7926" s="7" t="s">
        <v>8423</v>
      </c>
      <c r="C7926" s="39" t="n">
        <v>46015</v>
      </c>
      <c r="D7926" s="7" t="s">
        <v>313</v>
      </c>
      <c r="E7926" s="7" t="s">
        <v>156</v>
      </c>
      <c r="F7926" s="7" t="s">
        <v>184</v>
      </c>
      <c r="G7926" s="7" t="s">
        <v>505</v>
      </c>
      <c r="H7926" s="6" t="n">
        <v>4.11</v>
      </c>
      <c r="I7926" s="6" t="n">
        <v>0</v>
      </c>
      <c r="J7926" s="40" t="n">
        <f aca="false">H7926-I7926</f>
        <v>4.11</v>
      </c>
      <c r="K7926" s="41" t="n">
        <v>34</v>
      </c>
      <c r="L7926" s="42" t="n">
        <f aca="false">J7926*K7926</f>
        <v>139.74</v>
      </c>
      <c r="M7926" s="43" t="n">
        <f aca="false">H7926*17.34*(1+'Chart of Accounts'!$E$67)</f>
        <v>81.601173</v>
      </c>
    </row>
    <row r="7927" customFormat="false" ht="15" hidden="false" customHeight="false" outlineLevel="0" collapsed="false">
      <c r="B7927" s="7" t="s">
        <v>8424</v>
      </c>
      <c r="C7927" s="39" t="n">
        <v>46015</v>
      </c>
      <c r="D7927" s="7" t="s">
        <v>315</v>
      </c>
      <c r="E7927" s="7" t="s">
        <v>159</v>
      </c>
      <c r="F7927" s="7" t="s">
        <v>216</v>
      </c>
      <c r="G7927" s="7" t="s">
        <v>502</v>
      </c>
      <c r="H7927" s="6" t="n">
        <v>0.98</v>
      </c>
      <c r="I7927" s="6" t="n">
        <v>0</v>
      </c>
      <c r="J7927" s="40" t="n">
        <f aca="false">H7927-I7927</f>
        <v>0.98</v>
      </c>
      <c r="K7927" s="41" t="n">
        <v>135</v>
      </c>
      <c r="L7927" s="42" t="n">
        <f aca="false">J7927*K7927</f>
        <v>132.3</v>
      </c>
      <c r="M7927" s="43" t="n">
        <f aca="false">H7927*61.79*(1+'Chart of Accounts'!$E$67)</f>
        <v>69.334559</v>
      </c>
    </row>
    <row r="7928" customFormat="false" ht="15" hidden="false" customHeight="false" outlineLevel="0" collapsed="false">
      <c r="B7928" s="7" t="s">
        <v>8425</v>
      </c>
      <c r="C7928" s="39" t="n">
        <v>46015</v>
      </c>
      <c r="D7928" s="7" t="s">
        <v>321</v>
      </c>
      <c r="E7928" s="7" t="s">
        <v>154</v>
      </c>
      <c r="F7928" s="7" t="s">
        <v>218</v>
      </c>
      <c r="G7928" s="7" t="s">
        <v>505</v>
      </c>
      <c r="H7928" s="6" t="n">
        <v>4.09</v>
      </c>
      <c r="I7928" s="6" t="n">
        <v>0</v>
      </c>
      <c r="J7928" s="40" t="n">
        <f aca="false">H7928-I7928</f>
        <v>4.09</v>
      </c>
      <c r="K7928" s="41" t="n">
        <v>26.5</v>
      </c>
      <c r="L7928" s="42" t="n">
        <f aca="false">J7928*K7928</f>
        <v>108.385</v>
      </c>
      <c r="M7928" s="43" t="n">
        <f aca="false">H7928*16.19*(1+'Chart of Accounts'!$E$67)</f>
        <v>75.8185795</v>
      </c>
    </row>
    <row r="7929" customFormat="false" ht="15" hidden="false" customHeight="false" outlineLevel="0" collapsed="false">
      <c r="B7929" s="7" t="s">
        <v>8426</v>
      </c>
      <c r="C7929" s="39" t="n">
        <v>46015</v>
      </c>
      <c r="D7929" s="7" t="s">
        <v>329</v>
      </c>
      <c r="E7929" s="7" t="s">
        <v>156</v>
      </c>
      <c r="F7929" s="7" t="s">
        <v>220</v>
      </c>
      <c r="G7929" s="7" t="s">
        <v>505</v>
      </c>
      <c r="H7929" s="6" t="n">
        <v>3.62</v>
      </c>
      <c r="I7929" s="6" t="n">
        <v>0</v>
      </c>
      <c r="J7929" s="40" t="n">
        <f aca="false">H7929-I7929</f>
        <v>3.62</v>
      </c>
      <c r="K7929" s="41" t="n">
        <v>34</v>
      </c>
      <c r="L7929" s="42" t="n">
        <f aca="false">J7929*K7929</f>
        <v>123.08</v>
      </c>
      <c r="M7929" s="43" t="n">
        <f aca="false">H7929*16.43*(1+'Chart of Accounts'!$E$67)</f>
        <v>68.100707</v>
      </c>
    </row>
    <row r="7930" customFormat="false" ht="15" hidden="false" customHeight="false" outlineLevel="0" collapsed="false">
      <c r="B7930" s="7" t="s">
        <v>8427</v>
      </c>
      <c r="C7930" s="39" t="n">
        <v>46015</v>
      </c>
      <c r="D7930" s="7" t="s">
        <v>333</v>
      </c>
      <c r="E7930" s="7" t="s">
        <v>154</v>
      </c>
      <c r="F7930" s="7" t="s">
        <v>236</v>
      </c>
      <c r="G7930" s="7" t="s">
        <v>505</v>
      </c>
      <c r="H7930" s="6" t="n">
        <v>3.38</v>
      </c>
      <c r="I7930" s="6" t="n">
        <v>0.101</v>
      </c>
      <c r="J7930" s="40" t="n">
        <f aca="false">H7930-I7930</f>
        <v>3.279</v>
      </c>
      <c r="K7930" s="41" t="n">
        <v>26.5</v>
      </c>
      <c r="L7930" s="42" t="n">
        <f aca="false">J7930*K7930</f>
        <v>86.8935</v>
      </c>
      <c r="M7930" s="43" t="n">
        <f aca="false">H7930*15.49*(1+'Chart of Accounts'!$E$67)</f>
        <v>59.947849</v>
      </c>
    </row>
    <row r="7931" customFormat="false" ht="15" hidden="false" customHeight="false" outlineLevel="0" collapsed="false">
      <c r="B7931" s="7" t="s">
        <v>8428</v>
      </c>
      <c r="C7931" s="39" t="n">
        <v>46015</v>
      </c>
      <c r="D7931" s="7" t="s">
        <v>335</v>
      </c>
      <c r="E7931" s="7" t="s">
        <v>154</v>
      </c>
      <c r="F7931" s="7" t="s">
        <v>177</v>
      </c>
      <c r="G7931" s="7" t="s">
        <v>505</v>
      </c>
      <c r="H7931" s="6" t="n">
        <v>3.6</v>
      </c>
      <c r="I7931" s="6" t="n">
        <v>0</v>
      </c>
      <c r="J7931" s="40" t="n">
        <f aca="false">H7931-I7931</f>
        <v>3.6</v>
      </c>
      <c r="K7931" s="41" t="n">
        <v>26.5</v>
      </c>
      <c r="L7931" s="42" t="n">
        <f aca="false">J7931*K7931</f>
        <v>95.4</v>
      </c>
      <c r="M7931" s="43" t="n">
        <f aca="false">H7931*14.56*(1+'Chart of Accounts'!$E$67)</f>
        <v>60.01632</v>
      </c>
    </row>
    <row r="7932" customFormat="false" ht="15" hidden="false" customHeight="false" outlineLevel="0" collapsed="false">
      <c r="B7932" s="7" t="s">
        <v>8429</v>
      </c>
      <c r="C7932" s="39" t="n">
        <v>46015</v>
      </c>
      <c r="D7932" s="7" t="s">
        <v>339</v>
      </c>
      <c r="E7932" s="7" t="s">
        <v>154</v>
      </c>
      <c r="F7932" s="7" t="s">
        <v>242</v>
      </c>
      <c r="G7932" s="7" t="s">
        <v>505</v>
      </c>
      <c r="H7932" s="6" t="n">
        <v>3.44</v>
      </c>
      <c r="I7932" s="6" t="n">
        <v>0</v>
      </c>
      <c r="J7932" s="40" t="n">
        <f aca="false">H7932-I7932</f>
        <v>3.44</v>
      </c>
      <c r="K7932" s="41" t="n">
        <v>26.5</v>
      </c>
      <c r="L7932" s="42" t="n">
        <f aca="false">J7932*K7932</f>
        <v>91.16</v>
      </c>
      <c r="M7932" s="43" t="n">
        <f aca="false">H7932*17.99*(1+'Chart of Accounts'!$E$67)</f>
        <v>70.859012</v>
      </c>
    </row>
    <row r="7933" customFormat="false" ht="15" hidden="false" customHeight="false" outlineLevel="0" collapsed="false">
      <c r="B7933" s="7" t="s">
        <v>8430</v>
      </c>
      <c r="C7933" s="39" t="n">
        <v>46015</v>
      </c>
      <c r="D7933" s="7" t="s">
        <v>349</v>
      </c>
      <c r="E7933" s="7" t="s">
        <v>154</v>
      </c>
      <c r="F7933" s="7" t="s">
        <v>244</v>
      </c>
      <c r="G7933" s="7" t="s">
        <v>505</v>
      </c>
      <c r="H7933" s="6" t="n">
        <v>4.36</v>
      </c>
      <c r="I7933" s="6" t="n">
        <v>0.131</v>
      </c>
      <c r="J7933" s="40" t="n">
        <f aca="false">H7933-I7933</f>
        <v>4.229</v>
      </c>
      <c r="K7933" s="41" t="n">
        <v>26.5</v>
      </c>
      <c r="L7933" s="42" t="n">
        <f aca="false">J7933*K7933</f>
        <v>112.0685</v>
      </c>
      <c r="M7933" s="43" t="n">
        <f aca="false">H7933*16.39*(1+'Chart of Accounts'!$E$67)</f>
        <v>81.822158</v>
      </c>
    </row>
    <row r="7934" customFormat="false" ht="15" hidden="false" customHeight="false" outlineLevel="0" collapsed="false">
      <c r="B7934" s="7" t="s">
        <v>8431</v>
      </c>
      <c r="C7934" s="39" t="n">
        <v>46015</v>
      </c>
      <c r="D7934" s="7" t="s">
        <v>353</v>
      </c>
      <c r="E7934" s="7" t="s">
        <v>154</v>
      </c>
      <c r="F7934" s="7" t="s">
        <v>254</v>
      </c>
      <c r="G7934" s="7" t="s">
        <v>505</v>
      </c>
      <c r="H7934" s="6" t="n">
        <v>3.09</v>
      </c>
      <c r="I7934" s="6" t="n">
        <v>0.093</v>
      </c>
      <c r="J7934" s="40" t="n">
        <f aca="false">H7934-I7934</f>
        <v>2.997</v>
      </c>
      <c r="K7934" s="41" t="n">
        <v>26.5</v>
      </c>
      <c r="L7934" s="42" t="n">
        <f aca="false">J7934*K7934</f>
        <v>79.4205</v>
      </c>
      <c r="M7934" s="43" t="n">
        <f aca="false">H7934*17.1*(1+'Chart of Accounts'!$E$67)</f>
        <v>60.500655</v>
      </c>
    </row>
    <row r="7935" customFormat="false" ht="15" hidden="false" customHeight="false" outlineLevel="0" collapsed="false">
      <c r="B7935" s="7" t="s">
        <v>8432</v>
      </c>
      <c r="C7935" s="39" t="n">
        <v>46015</v>
      </c>
      <c r="D7935" s="7" t="s">
        <v>355</v>
      </c>
      <c r="E7935" s="7" t="s">
        <v>154</v>
      </c>
      <c r="F7935" s="7" t="s">
        <v>201</v>
      </c>
      <c r="G7935" s="7" t="s">
        <v>505</v>
      </c>
      <c r="H7935" s="6" t="n">
        <v>3.13</v>
      </c>
      <c r="I7935" s="6" t="n">
        <v>0.094</v>
      </c>
      <c r="J7935" s="40" t="n">
        <f aca="false">H7935-I7935</f>
        <v>3.036</v>
      </c>
      <c r="K7935" s="41" t="n">
        <v>26.5</v>
      </c>
      <c r="L7935" s="42" t="n">
        <f aca="false">J7935*K7935</f>
        <v>80.454</v>
      </c>
      <c r="M7935" s="43" t="n">
        <f aca="false">H7935*15.19*(1+'Chart of Accounts'!$E$67)</f>
        <v>54.4386815</v>
      </c>
    </row>
    <row r="7936" customFormat="false" ht="15" hidden="false" customHeight="false" outlineLevel="0" collapsed="false">
      <c r="B7936" s="7" t="s">
        <v>8433</v>
      </c>
      <c r="C7936" s="39" t="n">
        <v>46015</v>
      </c>
      <c r="D7936" s="7" t="s">
        <v>357</v>
      </c>
      <c r="E7936" s="7" t="s">
        <v>154</v>
      </c>
      <c r="F7936" s="7" t="s">
        <v>220</v>
      </c>
      <c r="G7936" s="7" t="s">
        <v>505</v>
      </c>
      <c r="H7936" s="6" t="n">
        <v>3.43</v>
      </c>
      <c r="I7936" s="6" t="n">
        <v>0</v>
      </c>
      <c r="J7936" s="40" t="n">
        <f aca="false">H7936-I7936</f>
        <v>3.43</v>
      </c>
      <c r="K7936" s="41" t="n">
        <v>26.5</v>
      </c>
      <c r="L7936" s="42" t="n">
        <f aca="false">J7936*K7936</f>
        <v>90.895</v>
      </c>
      <c r="M7936" s="43" t="n">
        <f aca="false">H7936*16.43*(1+'Chart of Accounts'!$E$67)</f>
        <v>64.5263605</v>
      </c>
    </row>
    <row r="7937" customFormat="false" ht="15" hidden="false" customHeight="false" outlineLevel="0" collapsed="false">
      <c r="B7937" s="7" t="s">
        <v>8434</v>
      </c>
      <c r="C7937" s="39" t="n">
        <v>46015</v>
      </c>
      <c r="D7937" s="7" t="s">
        <v>359</v>
      </c>
      <c r="E7937" s="7" t="s">
        <v>156</v>
      </c>
      <c r="F7937" s="7" t="s">
        <v>220</v>
      </c>
      <c r="G7937" s="7" t="s">
        <v>505</v>
      </c>
      <c r="H7937" s="6" t="n">
        <v>4.09</v>
      </c>
      <c r="I7937" s="6" t="n">
        <v>0</v>
      </c>
      <c r="J7937" s="40" t="n">
        <f aca="false">H7937-I7937</f>
        <v>4.09</v>
      </c>
      <c r="K7937" s="41" t="n">
        <v>34</v>
      </c>
      <c r="L7937" s="42" t="n">
        <f aca="false">J7937*K7937</f>
        <v>139.06</v>
      </c>
      <c r="M7937" s="43" t="n">
        <f aca="false">H7937*16.43*(1+'Chart of Accounts'!$E$67)</f>
        <v>76.9425115</v>
      </c>
    </row>
    <row r="7938" customFormat="false" ht="15" hidden="false" customHeight="false" outlineLevel="0" collapsed="false">
      <c r="B7938" s="7" t="s">
        <v>8435</v>
      </c>
      <c r="C7938" s="39" t="n">
        <v>46015</v>
      </c>
      <c r="D7938" s="7" t="s">
        <v>365</v>
      </c>
      <c r="E7938" s="7" t="s">
        <v>154</v>
      </c>
      <c r="F7938" s="7" t="s">
        <v>194</v>
      </c>
      <c r="G7938" s="7" t="s">
        <v>505</v>
      </c>
      <c r="H7938" s="6" t="n">
        <v>4.05</v>
      </c>
      <c r="I7938" s="6" t="n">
        <v>0.121</v>
      </c>
      <c r="J7938" s="40" t="n">
        <f aca="false">H7938-I7938</f>
        <v>3.929</v>
      </c>
      <c r="K7938" s="41" t="n">
        <v>26.5</v>
      </c>
      <c r="L7938" s="42" t="n">
        <f aca="false">J7938*K7938</f>
        <v>104.1185</v>
      </c>
      <c r="M7938" s="43" t="n">
        <f aca="false">H7938*16*(1+'Chart of Accounts'!$E$67)</f>
        <v>74.196</v>
      </c>
    </row>
    <row r="7939" customFormat="false" ht="15" hidden="false" customHeight="false" outlineLevel="0" collapsed="false">
      <c r="B7939" s="7" t="s">
        <v>8436</v>
      </c>
      <c r="C7939" s="39" t="n">
        <v>46015</v>
      </c>
      <c r="D7939" s="7" t="s">
        <v>371</v>
      </c>
      <c r="E7939" s="7" t="s">
        <v>154</v>
      </c>
      <c r="F7939" s="7" t="s">
        <v>232</v>
      </c>
      <c r="G7939" s="7" t="s">
        <v>505</v>
      </c>
      <c r="H7939" s="6" t="n">
        <v>4.53</v>
      </c>
      <c r="I7939" s="6" t="n">
        <v>0</v>
      </c>
      <c r="J7939" s="40" t="n">
        <f aca="false">H7939-I7939</f>
        <v>4.53</v>
      </c>
      <c r="K7939" s="41" t="n">
        <v>26.5</v>
      </c>
      <c r="L7939" s="42" t="n">
        <f aca="false">J7939*K7939</f>
        <v>120.045</v>
      </c>
      <c r="M7939" s="43" t="n">
        <f aca="false">H7939*16.17*(1+'Chart of Accounts'!$E$67)</f>
        <v>83.8713645</v>
      </c>
    </row>
    <row r="7940" customFormat="false" ht="15" hidden="false" customHeight="false" outlineLevel="0" collapsed="false">
      <c r="B7940" s="7" t="s">
        <v>8437</v>
      </c>
      <c r="C7940" s="39" t="n">
        <v>46015</v>
      </c>
      <c r="D7940" s="7" t="s">
        <v>379</v>
      </c>
      <c r="E7940" s="7" t="s">
        <v>156</v>
      </c>
      <c r="F7940" s="7" t="s">
        <v>224</v>
      </c>
      <c r="G7940" s="7" t="s">
        <v>505</v>
      </c>
      <c r="H7940" s="6" t="n">
        <v>4.87</v>
      </c>
      <c r="I7940" s="6" t="n">
        <v>0</v>
      </c>
      <c r="J7940" s="40" t="n">
        <f aca="false">H7940-I7940</f>
        <v>4.87</v>
      </c>
      <c r="K7940" s="41" t="n">
        <v>34</v>
      </c>
      <c r="L7940" s="42" t="n">
        <f aca="false">J7940*K7940</f>
        <v>165.58</v>
      </c>
      <c r="M7940" s="43" t="n">
        <f aca="false">H7940*14.93*(1+'Chart of Accounts'!$E$67)</f>
        <v>83.2519195</v>
      </c>
    </row>
    <row r="7941" customFormat="false" ht="15" hidden="false" customHeight="false" outlineLevel="0" collapsed="false">
      <c r="B7941" s="7" t="s">
        <v>8438</v>
      </c>
      <c r="C7941" s="39" t="n">
        <v>46015</v>
      </c>
      <c r="D7941" s="7" t="s">
        <v>385</v>
      </c>
      <c r="E7941" s="7" t="s">
        <v>156</v>
      </c>
      <c r="F7941" s="7" t="s">
        <v>238</v>
      </c>
      <c r="G7941" s="7" t="s">
        <v>505</v>
      </c>
      <c r="H7941" s="6" t="n">
        <v>4.01</v>
      </c>
      <c r="I7941" s="6" t="n">
        <v>0</v>
      </c>
      <c r="J7941" s="40" t="n">
        <f aca="false">H7941-I7941</f>
        <v>4.01</v>
      </c>
      <c r="K7941" s="41" t="n">
        <v>34</v>
      </c>
      <c r="L7941" s="42" t="n">
        <f aca="false">J7941*K7941</f>
        <v>136.34</v>
      </c>
      <c r="M7941" s="43" t="n">
        <f aca="false">H7941*15.85*(1+'Chart of Accounts'!$E$67)</f>
        <v>72.7744825</v>
      </c>
    </row>
    <row r="7942" customFormat="false" ht="15" hidden="false" customHeight="false" outlineLevel="0" collapsed="false">
      <c r="B7942" s="7" t="s">
        <v>8439</v>
      </c>
      <c r="C7942" s="39" t="n">
        <v>46015</v>
      </c>
      <c r="D7942" s="7" t="s">
        <v>387</v>
      </c>
      <c r="E7942" s="7" t="s">
        <v>154</v>
      </c>
      <c r="F7942" s="7" t="s">
        <v>196</v>
      </c>
      <c r="G7942" s="7" t="s">
        <v>505</v>
      </c>
      <c r="H7942" s="6" t="n">
        <v>4.17</v>
      </c>
      <c r="I7942" s="6" t="n">
        <v>0</v>
      </c>
      <c r="J7942" s="40" t="n">
        <f aca="false">H7942-I7942</f>
        <v>4.17</v>
      </c>
      <c r="K7942" s="41" t="n">
        <v>26.5</v>
      </c>
      <c r="L7942" s="42" t="n">
        <f aca="false">J7942*K7942</f>
        <v>110.505</v>
      </c>
      <c r="M7942" s="43" t="n">
        <f aca="false">H7942*15.05*(1+'Chart of Accounts'!$E$67)</f>
        <v>71.8584825</v>
      </c>
    </row>
    <row r="7943" customFormat="false" ht="15" hidden="false" customHeight="false" outlineLevel="0" collapsed="false">
      <c r="B7943" s="7" t="s">
        <v>8440</v>
      </c>
      <c r="C7943" s="39" t="n">
        <v>46015</v>
      </c>
      <c r="D7943" s="7" t="s">
        <v>391</v>
      </c>
      <c r="E7943" s="7" t="s">
        <v>156</v>
      </c>
      <c r="F7943" s="7" t="s">
        <v>222</v>
      </c>
      <c r="G7943" s="7" t="s">
        <v>505</v>
      </c>
      <c r="H7943" s="6" t="n">
        <v>3.64</v>
      </c>
      <c r="I7943" s="6" t="n">
        <v>0</v>
      </c>
      <c r="J7943" s="40" t="n">
        <f aca="false">H7943-I7943</f>
        <v>3.64</v>
      </c>
      <c r="K7943" s="41" t="n">
        <v>34</v>
      </c>
      <c r="L7943" s="42" t="n">
        <f aca="false">J7943*K7943</f>
        <v>123.76</v>
      </c>
      <c r="M7943" s="43" t="n">
        <f aca="false">H7943*17.84*(1+'Chart of Accounts'!$E$67)</f>
        <v>74.353552</v>
      </c>
    </row>
    <row r="7944" customFormat="false" ht="15" hidden="false" customHeight="false" outlineLevel="0" collapsed="false">
      <c r="B7944" s="7" t="s">
        <v>8441</v>
      </c>
      <c r="C7944" s="39" t="n">
        <v>46015</v>
      </c>
      <c r="D7944" s="7" t="s">
        <v>393</v>
      </c>
      <c r="E7944" s="7" t="s">
        <v>157</v>
      </c>
      <c r="F7944" s="7" t="s">
        <v>203</v>
      </c>
      <c r="G7944" s="7" t="s">
        <v>502</v>
      </c>
      <c r="H7944" s="6" t="n">
        <v>1.09</v>
      </c>
      <c r="I7944" s="6" t="n">
        <v>0.055</v>
      </c>
      <c r="J7944" s="40" t="n">
        <f aca="false">H7944-I7944</f>
        <v>1.035</v>
      </c>
      <c r="K7944" s="41" t="n">
        <v>165</v>
      </c>
      <c r="L7944" s="42" t="n">
        <f aca="false">J7944*K7944</f>
        <v>170.775</v>
      </c>
      <c r="M7944" s="43" t="n">
        <f aca="false">H7944*49.43*(1+'Chart of Accounts'!$E$67)</f>
        <v>61.6911115</v>
      </c>
    </row>
    <row r="7945" customFormat="false" ht="15" hidden="false" customHeight="false" outlineLevel="0" collapsed="false">
      <c r="B7945" s="7" t="s">
        <v>8442</v>
      </c>
      <c r="C7945" s="39" t="n">
        <v>46015</v>
      </c>
      <c r="D7945" s="7" t="s">
        <v>395</v>
      </c>
      <c r="E7945" s="7" t="s">
        <v>156</v>
      </c>
      <c r="F7945" s="7" t="s">
        <v>242</v>
      </c>
      <c r="G7945" s="7" t="s">
        <v>505</v>
      </c>
      <c r="H7945" s="6" t="n">
        <v>4.23</v>
      </c>
      <c r="I7945" s="6" t="n">
        <v>0</v>
      </c>
      <c r="J7945" s="40" t="n">
        <f aca="false">H7945-I7945</f>
        <v>4.23</v>
      </c>
      <c r="K7945" s="41" t="n">
        <v>34</v>
      </c>
      <c r="L7945" s="42" t="n">
        <f aca="false">J7945*K7945</f>
        <v>143.82</v>
      </c>
      <c r="M7945" s="43" t="n">
        <f aca="false">H7945*17.99*(1+'Chart of Accounts'!$E$67)</f>
        <v>87.1318665</v>
      </c>
    </row>
    <row r="7946" customFormat="false" ht="15" hidden="false" customHeight="false" outlineLevel="0" collapsed="false">
      <c r="B7946" s="7" t="s">
        <v>8443</v>
      </c>
      <c r="C7946" s="39" t="n">
        <v>46015</v>
      </c>
      <c r="D7946" s="7" t="s">
        <v>399</v>
      </c>
      <c r="E7946" s="7" t="s">
        <v>154</v>
      </c>
      <c r="F7946" s="7" t="s">
        <v>232</v>
      </c>
      <c r="G7946" s="7" t="s">
        <v>505</v>
      </c>
      <c r="H7946" s="6" t="n">
        <v>3.18</v>
      </c>
      <c r="I7946" s="6" t="n">
        <v>0</v>
      </c>
      <c r="J7946" s="40" t="n">
        <f aca="false">H7946-I7946</f>
        <v>3.18</v>
      </c>
      <c r="K7946" s="41" t="n">
        <v>26.5</v>
      </c>
      <c r="L7946" s="42" t="n">
        <f aca="false">J7946*K7946</f>
        <v>84.27</v>
      </c>
      <c r="M7946" s="43" t="n">
        <f aca="false">H7946*16.17*(1+'Chart of Accounts'!$E$67)</f>
        <v>58.876587</v>
      </c>
    </row>
    <row r="7947" customFormat="false" ht="15" hidden="false" customHeight="false" outlineLevel="0" collapsed="false">
      <c r="B7947" s="7" t="s">
        <v>8444</v>
      </c>
      <c r="C7947" s="39" t="n">
        <v>46015</v>
      </c>
      <c r="D7947" s="7" t="s">
        <v>401</v>
      </c>
      <c r="E7947" s="7" t="s">
        <v>156</v>
      </c>
      <c r="F7947" s="7" t="s">
        <v>254</v>
      </c>
      <c r="G7947" s="7" t="s">
        <v>505</v>
      </c>
      <c r="H7947" s="6" t="n">
        <v>4.09</v>
      </c>
      <c r="I7947" s="6" t="n">
        <v>0</v>
      </c>
      <c r="J7947" s="40" t="n">
        <f aca="false">H7947-I7947</f>
        <v>4.09</v>
      </c>
      <c r="K7947" s="41" t="n">
        <v>34</v>
      </c>
      <c r="L7947" s="42" t="n">
        <f aca="false">J7947*K7947</f>
        <v>139.06</v>
      </c>
      <c r="M7947" s="43" t="n">
        <f aca="false">H7947*17.1*(1+'Chart of Accounts'!$E$67)</f>
        <v>80.080155</v>
      </c>
    </row>
    <row r="7948" customFormat="false" ht="15" hidden="false" customHeight="false" outlineLevel="0" collapsed="false">
      <c r="B7948" s="7" t="s">
        <v>8445</v>
      </c>
      <c r="C7948" s="39" t="n">
        <v>46015</v>
      </c>
      <c r="D7948" s="7" t="s">
        <v>403</v>
      </c>
      <c r="E7948" s="7" t="s">
        <v>156</v>
      </c>
      <c r="F7948" s="7" t="s">
        <v>184</v>
      </c>
      <c r="G7948" s="7" t="s">
        <v>505</v>
      </c>
      <c r="H7948" s="6" t="n">
        <v>3.62</v>
      </c>
      <c r="I7948" s="6" t="n">
        <v>0</v>
      </c>
      <c r="J7948" s="40" t="n">
        <f aca="false">H7948-I7948</f>
        <v>3.62</v>
      </c>
      <c r="K7948" s="41" t="n">
        <v>34</v>
      </c>
      <c r="L7948" s="42" t="n">
        <f aca="false">J7948*K7948</f>
        <v>123.08</v>
      </c>
      <c r="M7948" s="43" t="n">
        <f aca="false">H7948*17.34*(1+'Chart of Accounts'!$E$67)</f>
        <v>71.872566</v>
      </c>
    </row>
    <row r="7949" customFormat="false" ht="15" hidden="false" customHeight="false" outlineLevel="0" collapsed="false">
      <c r="B7949" s="7" t="s">
        <v>8446</v>
      </c>
      <c r="C7949" s="39" t="n">
        <v>46015</v>
      </c>
      <c r="D7949" s="7" t="s">
        <v>409</v>
      </c>
      <c r="E7949" s="7" t="s">
        <v>154</v>
      </c>
      <c r="F7949" s="7" t="s">
        <v>214</v>
      </c>
      <c r="G7949" s="7" t="s">
        <v>505</v>
      </c>
      <c r="H7949" s="6" t="n">
        <v>3.65</v>
      </c>
      <c r="I7949" s="6" t="n">
        <v>0</v>
      </c>
      <c r="J7949" s="40" t="n">
        <f aca="false">H7949-I7949</f>
        <v>3.65</v>
      </c>
      <c r="K7949" s="41" t="n">
        <v>26.5</v>
      </c>
      <c r="L7949" s="42" t="n">
        <f aca="false">J7949*K7949</f>
        <v>96.725</v>
      </c>
      <c r="M7949" s="43" t="n">
        <f aca="false">H7949*15.67*(1+'Chart of Accounts'!$E$67)</f>
        <v>65.4888475</v>
      </c>
    </row>
    <row r="7950" customFormat="false" ht="15" hidden="false" customHeight="false" outlineLevel="0" collapsed="false">
      <c r="B7950" s="7" t="s">
        <v>8447</v>
      </c>
      <c r="C7950" s="39" t="n">
        <v>46015</v>
      </c>
      <c r="D7950" s="7" t="s">
        <v>411</v>
      </c>
      <c r="E7950" s="7" t="s">
        <v>154</v>
      </c>
      <c r="F7950" s="7" t="s">
        <v>177</v>
      </c>
      <c r="G7950" s="7" t="s">
        <v>505</v>
      </c>
      <c r="H7950" s="6" t="n">
        <v>4.57</v>
      </c>
      <c r="I7950" s="6" t="n">
        <v>0</v>
      </c>
      <c r="J7950" s="40" t="n">
        <f aca="false">H7950-I7950</f>
        <v>4.57</v>
      </c>
      <c r="K7950" s="41" t="n">
        <v>26.5</v>
      </c>
      <c r="L7950" s="42" t="n">
        <f aca="false">J7950*K7950</f>
        <v>121.105</v>
      </c>
      <c r="M7950" s="43" t="n">
        <f aca="false">H7950*14.56*(1+'Chart of Accounts'!$E$67)</f>
        <v>76.187384</v>
      </c>
    </row>
    <row r="7951" customFormat="false" ht="15" hidden="false" customHeight="false" outlineLevel="0" collapsed="false">
      <c r="B7951" s="7" t="s">
        <v>8448</v>
      </c>
      <c r="C7951" s="39" t="n">
        <v>46016</v>
      </c>
      <c r="D7951" s="7" t="s">
        <v>288</v>
      </c>
      <c r="E7951" s="7" t="s">
        <v>156</v>
      </c>
      <c r="F7951" s="7" t="s">
        <v>250</v>
      </c>
      <c r="G7951" s="7" t="s">
        <v>505</v>
      </c>
      <c r="H7951" s="6" t="n">
        <v>3.68</v>
      </c>
      <c r="I7951" s="6" t="n">
        <v>0</v>
      </c>
      <c r="J7951" s="40" t="n">
        <f aca="false">H7951-I7951</f>
        <v>3.68</v>
      </c>
      <c r="K7951" s="41" t="n">
        <v>34</v>
      </c>
      <c r="L7951" s="42" t="n">
        <f aca="false">J7951*K7951</f>
        <v>125.12</v>
      </c>
      <c r="M7951" s="43" t="n">
        <f aca="false">H7951*16.88*(1+'Chart of Accounts'!$E$67)</f>
        <v>71.125568</v>
      </c>
    </row>
    <row r="7952" customFormat="false" ht="15" hidden="false" customHeight="false" outlineLevel="0" collapsed="false">
      <c r="B7952" s="7" t="s">
        <v>8449</v>
      </c>
      <c r="C7952" s="39" t="n">
        <v>46016</v>
      </c>
      <c r="D7952" s="7" t="s">
        <v>297</v>
      </c>
      <c r="E7952" s="7" t="s">
        <v>156</v>
      </c>
      <c r="F7952" s="7" t="s">
        <v>201</v>
      </c>
      <c r="G7952" s="7" t="s">
        <v>505</v>
      </c>
      <c r="H7952" s="6" t="n">
        <v>2.96</v>
      </c>
      <c r="I7952" s="6" t="n">
        <v>0</v>
      </c>
      <c r="J7952" s="40" t="n">
        <f aca="false">H7952-I7952</f>
        <v>2.96</v>
      </c>
      <c r="K7952" s="41" t="n">
        <v>34</v>
      </c>
      <c r="L7952" s="42" t="n">
        <f aca="false">J7952*K7952</f>
        <v>100.64</v>
      </c>
      <c r="M7952" s="43" t="n">
        <f aca="false">H7952*15.19*(1+'Chart of Accounts'!$E$67)</f>
        <v>51.481948</v>
      </c>
    </row>
    <row r="7953" customFormat="false" ht="15" hidden="false" customHeight="false" outlineLevel="0" collapsed="false">
      <c r="B7953" s="7" t="s">
        <v>8450</v>
      </c>
      <c r="C7953" s="39" t="n">
        <v>46016</v>
      </c>
      <c r="D7953" s="7" t="s">
        <v>299</v>
      </c>
      <c r="E7953" s="7" t="s">
        <v>154</v>
      </c>
      <c r="F7953" s="7" t="s">
        <v>205</v>
      </c>
      <c r="G7953" s="7" t="s">
        <v>505</v>
      </c>
      <c r="H7953" s="6" t="n">
        <v>3</v>
      </c>
      <c r="I7953" s="6" t="n">
        <v>0</v>
      </c>
      <c r="J7953" s="40" t="n">
        <f aca="false">H7953-I7953</f>
        <v>3</v>
      </c>
      <c r="K7953" s="41" t="n">
        <v>26.5</v>
      </c>
      <c r="L7953" s="42" t="n">
        <f aca="false">J7953*K7953</f>
        <v>79.5</v>
      </c>
      <c r="M7953" s="43" t="n">
        <f aca="false">H7953*16.36*(1+'Chart of Accounts'!$E$67)</f>
        <v>56.1966</v>
      </c>
    </row>
    <row r="7954" customFormat="false" ht="15" hidden="false" customHeight="false" outlineLevel="0" collapsed="false">
      <c r="B7954" s="7" t="s">
        <v>8451</v>
      </c>
      <c r="C7954" s="39" t="n">
        <v>46016</v>
      </c>
      <c r="D7954" s="7" t="s">
        <v>303</v>
      </c>
      <c r="E7954" s="7" t="s">
        <v>154</v>
      </c>
      <c r="F7954" s="7" t="s">
        <v>240</v>
      </c>
      <c r="G7954" s="7" t="s">
        <v>505</v>
      </c>
      <c r="H7954" s="6" t="n">
        <v>4.18</v>
      </c>
      <c r="I7954" s="6" t="n">
        <v>0</v>
      </c>
      <c r="J7954" s="40" t="n">
        <f aca="false">H7954-I7954</f>
        <v>4.18</v>
      </c>
      <c r="K7954" s="41" t="n">
        <v>26.5</v>
      </c>
      <c r="L7954" s="42" t="n">
        <f aca="false">J7954*K7954</f>
        <v>110.77</v>
      </c>
      <c r="M7954" s="43" t="n">
        <f aca="false">H7954*16.96*(1+'Chart of Accounts'!$E$67)</f>
        <v>81.172256</v>
      </c>
    </row>
    <row r="7955" customFormat="false" ht="15" hidden="false" customHeight="false" outlineLevel="0" collapsed="false">
      <c r="B7955" s="7" t="s">
        <v>8452</v>
      </c>
      <c r="C7955" s="39" t="n">
        <v>46016</v>
      </c>
      <c r="D7955" s="7" t="s">
        <v>311</v>
      </c>
      <c r="E7955" s="7" t="s">
        <v>154</v>
      </c>
      <c r="F7955" s="7" t="s">
        <v>196</v>
      </c>
      <c r="G7955" s="7" t="s">
        <v>505</v>
      </c>
      <c r="H7955" s="6" t="n">
        <v>3.29</v>
      </c>
      <c r="I7955" s="6" t="n">
        <v>0</v>
      </c>
      <c r="J7955" s="40" t="n">
        <f aca="false">H7955-I7955</f>
        <v>3.29</v>
      </c>
      <c r="K7955" s="41" t="n">
        <v>26.5</v>
      </c>
      <c r="L7955" s="42" t="n">
        <f aca="false">J7955*K7955</f>
        <v>87.185</v>
      </c>
      <c r="M7955" s="43" t="n">
        <f aca="false">H7955*15.05*(1+'Chart of Accounts'!$E$67)</f>
        <v>56.6941025</v>
      </c>
    </row>
    <row r="7956" customFormat="false" ht="15" hidden="false" customHeight="false" outlineLevel="0" collapsed="false">
      <c r="B7956" s="7" t="s">
        <v>8453</v>
      </c>
      <c r="C7956" s="39" t="n">
        <v>46016</v>
      </c>
      <c r="D7956" s="7" t="s">
        <v>313</v>
      </c>
      <c r="E7956" s="7" t="s">
        <v>156</v>
      </c>
      <c r="F7956" s="7" t="s">
        <v>184</v>
      </c>
      <c r="G7956" s="7" t="s">
        <v>505</v>
      </c>
      <c r="H7956" s="6" t="n">
        <v>3.79</v>
      </c>
      <c r="I7956" s="6" t="n">
        <v>0</v>
      </c>
      <c r="J7956" s="40" t="n">
        <f aca="false">H7956-I7956</f>
        <v>3.79</v>
      </c>
      <c r="K7956" s="41" t="n">
        <v>34</v>
      </c>
      <c r="L7956" s="42" t="n">
        <f aca="false">J7956*K7956</f>
        <v>128.86</v>
      </c>
      <c r="M7956" s="43" t="n">
        <f aca="false">H7956*17.34*(1+'Chart of Accounts'!$E$67)</f>
        <v>75.247797</v>
      </c>
    </row>
    <row r="7957" customFormat="false" ht="15" hidden="false" customHeight="false" outlineLevel="0" collapsed="false">
      <c r="B7957" s="7" t="s">
        <v>8454</v>
      </c>
      <c r="C7957" s="39" t="n">
        <v>46016</v>
      </c>
      <c r="D7957" s="7" t="s">
        <v>317</v>
      </c>
      <c r="E7957" s="7" t="s">
        <v>156</v>
      </c>
      <c r="F7957" s="7" t="s">
        <v>201</v>
      </c>
      <c r="G7957" s="7" t="s">
        <v>505</v>
      </c>
      <c r="H7957" s="6" t="n">
        <v>2.73</v>
      </c>
      <c r="I7957" s="6" t="n">
        <v>0</v>
      </c>
      <c r="J7957" s="40" t="n">
        <f aca="false">H7957-I7957</f>
        <v>2.73</v>
      </c>
      <c r="K7957" s="41" t="n">
        <v>34</v>
      </c>
      <c r="L7957" s="42" t="n">
        <f aca="false">J7957*K7957</f>
        <v>92.82</v>
      </c>
      <c r="M7957" s="43" t="n">
        <f aca="false">H7957*15.19*(1+'Chart of Accounts'!$E$67)</f>
        <v>47.4816615</v>
      </c>
    </row>
    <row r="7958" customFormat="false" ht="15" hidden="false" customHeight="false" outlineLevel="0" collapsed="false">
      <c r="B7958" s="7" t="s">
        <v>8455</v>
      </c>
      <c r="C7958" s="39" t="n">
        <v>46016</v>
      </c>
      <c r="D7958" s="7" t="s">
        <v>321</v>
      </c>
      <c r="E7958" s="7" t="s">
        <v>154</v>
      </c>
      <c r="F7958" s="7" t="s">
        <v>218</v>
      </c>
      <c r="G7958" s="7" t="s">
        <v>505</v>
      </c>
      <c r="H7958" s="6" t="n">
        <v>3.62</v>
      </c>
      <c r="I7958" s="6" t="n">
        <v>0.109</v>
      </c>
      <c r="J7958" s="40" t="n">
        <f aca="false">H7958-I7958</f>
        <v>3.511</v>
      </c>
      <c r="K7958" s="41" t="n">
        <v>26.5</v>
      </c>
      <c r="L7958" s="42" t="n">
        <f aca="false">J7958*K7958</f>
        <v>93.0415</v>
      </c>
      <c r="M7958" s="43" t="n">
        <f aca="false">H7958*16.19*(1+'Chart of Accounts'!$E$67)</f>
        <v>67.105931</v>
      </c>
    </row>
    <row r="7959" customFormat="false" ht="15" hidden="false" customHeight="false" outlineLevel="0" collapsed="false">
      <c r="B7959" s="7" t="s">
        <v>8456</v>
      </c>
      <c r="C7959" s="39" t="n">
        <v>46016</v>
      </c>
      <c r="D7959" s="7" t="s">
        <v>325</v>
      </c>
      <c r="E7959" s="7" t="s">
        <v>154</v>
      </c>
      <c r="F7959" s="7" t="s">
        <v>232</v>
      </c>
      <c r="G7959" s="7" t="s">
        <v>505</v>
      </c>
      <c r="H7959" s="6" t="n">
        <v>3.14</v>
      </c>
      <c r="I7959" s="6" t="n">
        <v>0.094</v>
      </c>
      <c r="J7959" s="40" t="n">
        <f aca="false">H7959-I7959</f>
        <v>3.046</v>
      </c>
      <c r="K7959" s="41" t="n">
        <v>26.5</v>
      </c>
      <c r="L7959" s="42" t="n">
        <f aca="false">J7959*K7959</f>
        <v>80.719</v>
      </c>
      <c r="M7959" s="43" t="n">
        <f aca="false">H7959*16.17*(1+'Chart of Accounts'!$E$67)</f>
        <v>58.136001</v>
      </c>
    </row>
    <row r="7960" customFormat="false" ht="15" hidden="false" customHeight="false" outlineLevel="0" collapsed="false">
      <c r="B7960" s="7" t="s">
        <v>8457</v>
      </c>
      <c r="C7960" s="39" t="n">
        <v>46016</v>
      </c>
      <c r="D7960" s="7" t="s">
        <v>329</v>
      </c>
      <c r="E7960" s="7" t="s">
        <v>156</v>
      </c>
      <c r="F7960" s="7" t="s">
        <v>220</v>
      </c>
      <c r="G7960" s="7" t="s">
        <v>505</v>
      </c>
      <c r="H7960" s="6" t="n">
        <v>3.82</v>
      </c>
      <c r="I7960" s="6" t="n">
        <v>0</v>
      </c>
      <c r="J7960" s="40" t="n">
        <f aca="false">H7960-I7960</f>
        <v>3.82</v>
      </c>
      <c r="K7960" s="41" t="n">
        <v>34</v>
      </c>
      <c r="L7960" s="42" t="n">
        <f aca="false">J7960*K7960</f>
        <v>129.88</v>
      </c>
      <c r="M7960" s="43" t="n">
        <f aca="false">H7960*16.43*(1+'Chart of Accounts'!$E$67)</f>
        <v>71.863177</v>
      </c>
    </row>
    <row r="7961" customFormat="false" ht="15" hidden="false" customHeight="false" outlineLevel="0" collapsed="false">
      <c r="B7961" s="7" t="s">
        <v>8458</v>
      </c>
      <c r="C7961" s="39" t="n">
        <v>46016</v>
      </c>
      <c r="D7961" s="7" t="s">
        <v>341</v>
      </c>
      <c r="E7961" s="7" t="s">
        <v>156</v>
      </c>
      <c r="F7961" s="7" t="s">
        <v>222</v>
      </c>
      <c r="G7961" s="7" t="s">
        <v>505</v>
      </c>
      <c r="H7961" s="6" t="n">
        <v>3.15</v>
      </c>
      <c r="I7961" s="6" t="n">
        <v>0</v>
      </c>
      <c r="J7961" s="40" t="n">
        <f aca="false">H7961-I7961</f>
        <v>3.15</v>
      </c>
      <c r="K7961" s="41" t="n">
        <v>34</v>
      </c>
      <c r="L7961" s="42" t="n">
        <f aca="false">J7961*K7961</f>
        <v>107.1</v>
      </c>
      <c r="M7961" s="43" t="n">
        <f aca="false">H7961*17.84*(1+'Chart of Accounts'!$E$67)</f>
        <v>64.34442</v>
      </c>
    </row>
    <row r="7962" customFormat="false" ht="15" hidden="false" customHeight="false" outlineLevel="0" collapsed="false">
      <c r="B7962" s="7" t="s">
        <v>8459</v>
      </c>
      <c r="C7962" s="39" t="n">
        <v>46016</v>
      </c>
      <c r="D7962" s="7" t="s">
        <v>349</v>
      </c>
      <c r="E7962" s="7" t="s">
        <v>154</v>
      </c>
      <c r="F7962" s="7" t="s">
        <v>244</v>
      </c>
      <c r="G7962" s="7" t="s">
        <v>505</v>
      </c>
      <c r="H7962" s="6" t="n">
        <v>3.61</v>
      </c>
      <c r="I7962" s="6" t="n">
        <v>0</v>
      </c>
      <c r="J7962" s="40" t="n">
        <f aca="false">H7962-I7962</f>
        <v>3.61</v>
      </c>
      <c r="K7962" s="41" t="n">
        <v>26.5</v>
      </c>
      <c r="L7962" s="42" t="n">
        <f aca="false">J7962*K7962</f>
        <v>95.665</v>
      </c>
      <c r="M7962" s="43" t="n">
        <f aca="false">H7962*16.39*(1+'Chart of Accounts'!$E$67)</f>
        <v>67.7472455</v>
      </c>
    </row>
    <row r="7963" customFormat="false" ht="15" hidden="false" customHeight="false" outlineLevel="0" collapsed="false">
      <c r="B7963" s="7" t="s">
        <v>8460</v>
      </c>
      <c r="C7963" s="39" t="n">
        <v>46016</v>
      </c>
      <c r="D7963" s="7" t="s">
        <v>351</v>
      </c>
      <c r="E7963" s="7" t="s">
        <v>154</v>
      </c>
      <c r="F7963" s="7" t="s">
        <v>201</v>
      </c>
      <c r="G7963" s="7" t="s">
        <v>505</v>
      </c>
      <c r="H7963" s="6" t="n">
        <v>3.14</v>
      </c>
      <c r="I7963" s="6" t="n">
        <v>0</v>
      </c>
      <c r="J7963" s="40" t="n">
        <f aca="false">H7963-I7963</f>
        <v>3.14</v>
      </c>
      <c r="K7963" s="41" t="n">
        <v>26.5</v>
      </c>
      <c r="L7963" s="42" t="n">
        <f aca="false">J7963*K7963</f>
        <v>83.21</v>
      </c>
      <c r="M7963" s="43" t="n">
        <f aca="false">H7963*15.19*(1+'Chart of Accounts'!$E$67)</f>
        <v>54.612607</v>
      </c>
    </row>
    <row r="7964" customFormat="false" ht="15" hidden="false" customHeight="false" outlineLevel="0" collapsed="false">
      <c r="B7964" s="7" t="s">
        <v>8461</v>
      </c>
      <c r="C7964" s="39" t="n">
        <v>46016</v>
      </c>
      <c r="D7964" s="7" t="s">
        <v>359</v>
      </c>
      <c r="E7964" s="7" t="s">
        <v>156</v>
      </c>
      <c r="F7964" s="7" t="s">
        <v>218</v>
      </c>
      <c r="G7964" s="7" t="s">
        <v>505</v>
      </c>
      <c r="H7964" s="6" t="n">
        <v>4.24</v>
      </c>
      <c r="I7964" s="6" t="n">
        <v>0</v>
      </c>
      <c r="J7964" s="40" t="n">
        <f aca="false">H7964-I7964</f>
        <v>4.24</v>
      </c>
      <c r="K7964" s="41" t="n">
        <v>34</v>
      </c>
      <c r="L7964" s="42" t="n">
        <f aca="false">J7964*K7964</f>
        <v>144.16</v>
      </c>
      <c r="M7964" s="43" t="n">
        <f aca="false">H7964*16.19*(1+'Chart of Accounts'!$E$67)</f>
        <v>78.599212</v>
      </c>
    </row>
    <row r="7965" customFormat="false" ht="15" hidden="false" customHeight="false" outlineLevel="0" collapsed="false">
      <c r="B7965" s="7" t="s">
        <v>8462</v>
      </c>
      <c r="C7965" s="39" t="n">
        <v>46016</v>
      </c>
      <c r="D7965" s="7" t="s">
        <v>363</v>
      </c>
      <c r="E7965" s="7" t="s">
        <v>156</v>
      </c>
      <c r="F7965" s="7" t="s">
        <v>246</v>
      </c>
      <c r="G7965" s="7" t="s">
        <v>505</v>
      </c>
      <c r="H7965" s="6" t="n">
        <v>4.36</v>
      </c>
      <c r="I7965" s="6" t="n">
        <v>0</v>
      </c>
      <c r="J7965" s="40" t="n">
        <f aca="false">H7965-I7965</f>
        <v>4.36</v>
      </c>
      <c r="K7965" s="41" t="n">
        <v>34</v>
      </c>
      <c r="L7965" s="42" t="n">
        <f aca="false">J7965*K7965</f>
        <v>148.24</v>
      </c>
      <c r="M7965" s="43" t="n">
        <f aca="false">H7965*16.48*(1+'Chart of Accounts'!$E$67)</f>
        <v>82.271456</v>
      </c>
    </row>
    <row r="7966" customFormat="false" ht="15" hidden="false" customHeight="false" outlineLevel="0" collapsed="false">
      <c r="B7966" s="7" t="s">
        <v>8463</v>
      </c>
      <c r="C7966" s="39" t="n">
        <v>46016</v>
      </c>
      <c r="D7966" s="7" t="s">
        <v>365</v>
      </c>
      <c r="E7966" s="7" t="s">
        <v>154</v>
      </c>
      <c r="F7966" s="7" t="s">
        <v>194</v>
      </c>
      <c r="G7966" s="7" t="s">
        <v>505</v>
      </c>
      <c r="H7966" s="6" t="n">
        <v>4.07</v>
      </c>
      <c r="I7966" s="6" t="n">
        <v>0</v>
      </c>
      <c r="J7966" s="40" t="n">
        <f aca="false">H7966-I7966</f>
        <v>4.07</v>
      </c>
      <c r="K7966" s="41" t="n">
        <v>26.5</v>
      </c>
      <c r="L7966" s="42" t="n">
        <f aca="false">J7966*K7966</f>
        <v>107.855</v>
      </c>
      <c r="M7966" s="43" t="n">
        <f aca="false">H7966*16*(1+'Chart of Accounts'!$E$67)</f>
        <v>74.5624</v>
      </c>
    </row>
    <row r="7967" customFormat="false" ht="15" hidden="false" customHeight="false" outlineLevel="0" collapsed="false">
      <c r="B7967" s="7" t="s">
        <v>8464</v>
      </c>
      <c r="C7967" s="39" t="n">
        <v>46016</v>
      </c>
      <c r="D7967" s="7" t="s">
        <v>367</v>
      </c>
      <c r="E7967" s="7" t="s">
        <v>156</v>
      </c>
      <c r="F7967" s="7" t="s">
        <v>256</v>
      </c>
      <c r="G7967" s="7" t="s">
        <v>505</v>
      </c>
      <c r="H7967" s="6" t="n">
        <v>3.19</v>
      </c>
      <c r="I7967" s="6" t="n">
        <v>0</v>
      </c>
      <c r="J7967" s="40" t="n">
        <f aca="false">H7967-I7967</f>
        <v>3.19</v>
      </c>
      <c r="K7967" s="41" t="n">
        <v>34</v>
      </c>
      <c r="L7967" s="42" t="n">
        <f aca="false">J7967*K7967</f>
        <v>108.46</v>
      </c>
      <c r="M7967" s="43" t="n">
        <f aca="false">H7967*15.63*(1+'Chart of Accounts'!$E$67)</f>
        <v>57.0893565</v>
      </c>
    </row>
    <row r="7968" customFormat="false" ht="15" hidden="false" customHeight="false" outlineLevel="0" collapsed="false">
      <c r="B7968" s="7" t="s">
        <v>8465</v>
      </c>
      <c r="C7968" s="39" t="n">
        <v>46016</v>
      </c>
      <c r="D7968" s="7" t="s">
        <v>375</v>
      </c>
      <c r="E7968" s="7" t="s">
        <v>156</v>
      </c>
      <c r="F7968" s="7" t="s">
        <v>196</v>
      </c>
      <c r="G7968" s="7" t="s">
        <v>505</v>
      </c>
      <c r="H7968" s="6" t="n">
        <v>2.84</v>
      </c>
      <c r="I7968" s="6" t="n">
        <v>0</v>
      </c>
      <c r="J7968" s="40" t="n">
        <f aca="false">H7968-I7968</f>
        <v>2.84</v>
      </c>
      <c r="K7968" s="41" t="n">
        <v>34</v>
      </c>
      <c r="L7968" s="42" t="n">
        <f aca="false">J7968*K7968</f>
        <v>96.56</v>
      </c>
      <c r="M7968" s="43" t="n">
        <f aca="false">H7968*15.05*(1+'Chart of Accounts'!$E$67)</f>
        <v>48.93959</v>
      </c>
    </row>
    <row r="7969" customFormat="false" ht="15" hidden="false" customHeight="false" outlineLevel="0" collapsed="false">
      <c r="B7969" s="7" t="s">
        <v>8466</v>
      </c>
      <c r="C7969" s="39" t="n">
        <v>46016</v>
      </c>
      <c r="D7969" s="7" t="s">
        <v>377</v>
      </c>
      <c r="E7969" s="7" t="s">
        <v>154</v>
      </c>
      <c r="F7969" s="7" t="s">
        <v>214</v>
      </c>
      <c r="G7969" s="7" t="s">
        <v>505</v>
      </c>
      <c r="H7969" s="6" t="n">
        <v>4.07</v>
      </c>
      <c r="I7969" s="6" t="n">
        <v>0</v>
      </c>
      <c r="J7969" s="40" t="n">
        <f aca="false">H7969-I7969</f>
        <v>4.07</v>
      </c>
      <c r="K7969" s="41" t="n">
        <v>26.5</v>
      </c>
      <c r="L7969" s="42" t="n">
        <f aca="false">J7969*K7969</f>
        <v>107.855</v>
      </c>
      <c r="M7969" s="43" t="n">
        <f aca="false">H7969*15.67*(1+'Chart of Accounts'!$E$67)</f>
        <v>73.0245505</v>
      </c>
    </row>
    <row r="7970" customFormat="false" ht="15" hidden="false" customHeight="false" outlineLevel="0" collapsed="false">
      <c r="B7970" s="7" t="s">
        <v>8467</v>
      </c>
      <c r="C7970" s="39" t="n">
        <v>46016</v>
      </c>
      <c r="D7970" s="7" t="s">
        <v>387</v>
      </c>
      <c r="E7970" s="7" t="s">
        <v>154</v>
      </c>
      <c r="F7970" s="7" t="s">
        <v>196</v>
      </c>
      <c r="G7970" s="7" t="s">
        <v>505</v>
      </c>
      <c r="H7970" s="6" t="n">
        <v>3.93</v>
      </c>
      <c r="I7970" s="6" t="n">
        <v>0.118</v>
      </c>
      <c r="J7970" s="40" t="n">
        <f aca="false">H7970-I7970</f>
        <v>3.812</v>
      </c>
      <c r="K7970" s="41" t="n">
        <v>26.5</v>
      </c>
      <c r="L7970" s="42" t="n">
        <f aca="false">J7970*K7970</f>
        <v>101.018</v>
      </c>
      <c r="M7970" s="43" t="n">
        <f aca="false">H7970*15.05*(1+'Chart of Accounts'!$E$67)</f>
        <v>67.7227425</v>
      </c>
    </row>
    <row r="7971" customFormat="false" ht="15" hidden="false" customHeight="false" outlineLevel="0" collapsed="false">
      <c r="B7971" s="7" t="s">
        <v>8468</v>
      </c>
      <c r="C7971" s="39" t="n">
        <v>46016</v>
      </c>
      <c r="D7971" s="7" t="s">
        <v>389</v>
      </c>
      <c r="E7971" s="7" t="s">
        <v>154</v>
      </c>
      <c r="F7971" s="7" t="s">
        <v>246</v>
      </c>
      <c r="G7971" s="7" t="s">
        <v>505</v>
      </c>
      <c r="H7971" s="6" t="n">
        <v>4.05</v>
      </c>
      <c r="I7971" s="6" t="n">
        <v>0.121</v>
      </c>
      <c r="J7971" s="40" t="n">
        <f aca="false">H7971-I7971</f>
        <v>3.929</v>
      </c>
      <c r="K7971" s="41" t="n">
        <v>26.5</v>
      </c>
      <c r="L7971" s="42" t="n">
        <f aca="false">J7971*K7971</f>
        <v>104.1185</v>
      </c>
      <c r="M7971" s="43" t="n">
        <f aca="false">H7971*16.48*(1+'Chart of Accounts'!$E$67)</f>
        <v>76.42188</v>
      </c>
    </row>
    <row r="7972" customFormat="false" ht="15" hidden="false" customHeight="false" outlineLevel="0" collapsed="false">
      <c r="B7972" s="7" t="s">
        <v>8469</v>
      </c>
      <c r="C7972" s="39" t="n">
        <v>46016</v>
      </c>
      <c r="D7972" s="7" t="s">
        <v>391</v>
      </c>
      <c r="E7972" s="7" t="s">
        <v>156</v>
      </c>
      <c r="F7972" s="7" t="s">
        <v>222</v>
      </c>
      <c r="G7972" s="7" t="s">
        <v>505</v>
      </c>
      <c r="H7972" s="6" t="n">
        <v>4.18</v>
      </c>
      <c r="I7972" s="6" t="n">
        <v>0</v>
      </c>
      <c r="J7972" s="40" t="n">
        <f aca="false">H7972-I7972</f>
        <v>4.18</v>
      </c>
      <c r="K7972" s="41" t="n">
        <v>34</v>
      </c>
      <c r="L7972" s="42" t="n">
        <f aca="false">J7972*K7972</f>
        <v>142.12</v>
      </c>
      <c r="M7972" s="43" t="n">
        <f aca="false">H7972*17.84*(1+'Chart of Accounts'!$E$67)</f>
        <v>85.384024</v>
      </c>
    </row>
    <row r="7973" customFormat="false" ht="15" hidden="false" customHeight="false" outlineLevel="0" collapsed="false">
      <c r="B7973" s="7" t="s">
        <v>8470</v>
      </c>
      <c r="C7973" s="39" t="n">
        <v>46016</v>
      </c>
      <c r="D7973" s="7" t="s">
        <v>395</v>
      </c>
      <c r="E7973" s="7" t="s">
        <v>156</v>
      </c>
      <c r="F7973" s="7" t="s">
        <v>242</v>
      </c>
      <c r="G7973" s="7" t="s">
        <v>505</v>
      </c>
      <c r="H7973" s="6" t="n">
        <v>3.8</v>
      </c>
      <c r="I7973" s="6" t="n">
        <v>0</v>
      </c>
      <c r="J7973" s="40" t="n">
        <f aca="false">H7973-I7973</f>
        <v>3.8</v>
      </c>
      <c r="K7973" s="41" t="n">
        <v>34</v>
      </c>
      <c r="L7973" s="42" t="n">
        <f aca="false">J7973*K7973</f>
        <v>129.2</v>
      </c>
      <c r="M7973" s="43" t="n">
        <f aca="false">H7973*17.99*(1+'Chart of Accounts'!$E$67)</f>
        <v>78.27449</v>
      </c>
    </row>
    <row r="7974" customFormat="false" ht="15" hidden="false" customHeight="false" outlineLevel="0" collapsed="false">
      <c r="B7974" s="7" t="s">
        <v>8471</v>
      </c>
      <c r="C7974" s="39" t="n">
        <v>46016</v>
      </c>
      <c r="D7974" s="7" t="s">
        <v>401</v>
      </c>
      <c r="E7974" s="7" t="s">
        <v>156</v>
      </c>
      <c r="F7974" s="7" t="s">
        <v>254</v>
      </c>
      <c r="G7974" s="7" t="s">
        <v>505</v>
      </c>
      <c r="H7974" s="6" t="n">
        <v>4.25</v>
      </c>
      <c r="I7974" s="6" t="n">
        <v>0</v>
      </c>
      <c r="J7974" s="40" t="n">
        <f aca="false">H7974-I7974</f>
        <v>4.25</v>
      </c>
      <c r="K7974" s="41" t="n">
        <v>34</v>
      </c>
      <c r="L7974" s="42" t="n">
        <f aca="false">J7974*K7974</f>
        <v>144.5</v>
      </c>
      <c r="M7974" s="43" t="n">
        <f aca="false">H7974*17.1*(1+'Chart of Accounts'!$E$67)</f>
        <v>83.212875</v>
      </c>
    </row>
    <row r="7975" customFormat="false" ht="15" hidden="false" customHeight="false" outlineLevel="0" collapsed="false">
      <c r="B7975" s="7" t="s">
        <v>8472</v>
      </c>
      <c r="C7975" s="39" t="n">
        <v>46016</v>
      </c>
      <c r="D7975" s="7" t="s">
        <v>405</v>
      </c>
      <c r="E7975" s="7" t="s">
        <v>156</v>
      </c>
      <c r="F7975" s="7" t="s">
        <v>240</v>
      </c>
      <c r="G7975" s="7" t="s">
        <v>505</v>
      </c>
      <c r="H7975" s="6" t="n">
        <v>3.2</v>
      </c>
      <c r="I7975" s="6" t="n">
        <v>0</v>
      </c>
      <c r="J7975" s="40" t="n">
        <f aca="false">H7975-I7975</f>
        <v>3.2</v>
      </c>
      <c r="K7975" s="41" t="n">
        <v>34</v>
      </c>
      <c r="L7975" s="42" t="n">
        <f aca="false">J7975*K7975</f>
        <v>108.8</v>
      </c>
      <c r="M7975" s="43" t="n">
        <f aca="false">H7975*16.96*(1+'Chart of Accounts'!$E$67)</f>
        <v>62.14144</v>
      </c>
    </row>
    <row r="7976" customFormat="false" ht="15" hidden="false" customHeight="false" outlineLevel="0" collapsed="false">
      <c r="B7976" s="7" t="s">
        <v>8473</v>
      </c>
      <c r="C7976" s="39" t="n">
        <v>46017</v>
      </c>
      <c r="D7976" s="7" t="s">
        <v>288</v>
      </c>
      <c r="E7976" s="7" t="s">
        <v>156</v>
      </c>
      <c r="F7976" s="7" t="s">
        <v>226</v>
      </c>
      <c r="G7976" s="7" t="s">
        <v>505</v>
      </c>
      <c r="H7976" s="6" t="n">
        <v>3.72</v>
      </c>
      <c r="I7976" s="6" t="n">
        <v>0</v>
      </c>
      <c r="J7976" s="40" t="n">
        <f aca="false">H7976-I7976</f>
        <v>3.72</v>
      </c>
      <c r="K7976" s="41" t="n">
        <v>34</v>
      </c>
      <c r="L7976" s="42" t="n">
        <f aca="false">J7976*K7976</f>
        <v>126.48</v>
      </c>
      <c r="M7976" s="43" t="n">
        <f aca="false">H7976*16.45*(1+'Chart of Accounts'!$E$67)</f>
        <v>70.06713</v>
      </c>
    </row>
    <row r="7977" customFormat="false" ht="15" hidden="false" customHeight="false" outlineLevel="0" collapsed="false">
      <c r="B7977" s="7" t="s">
        <v>8474</v>
      </c>
      <c r="C7977" s="39" t="n">
        <v>46017</v>
      </c>
      <c r="D7977" s="7" t="s">
        <v>291</v>
      </c>
      <c r="E7977" s="7" t="s">
        <v>154</v>
      </c>
      <c r="F7977" s="7" t="s">
        <v>194</v>
      </c>
      <c r="G7977" s="7" t="s">
        <v>505</v>
      </c>
      <c r="H7977" s="6" t="n">
        <v>5.08</v>
      </c>
      <c r="I7977" s="6" t="n">
        <v>0</v>
      </c>
      <c r="J7977" s="40" t="n">
        <f aca="false">H7977-I7977</f>
        <v>5.08</v>
      </c>
      <c r="K7977" s="41" t="n">
        <v>26.5</v>
      </c>
      <c r="L7977" s="42" t="n">
        <f aca="false">J7977*K7977</f>
        <v>134.62</v>
      </c>
      <c r="M7977" s="43" t="n">
        <f aca="false">H7977*16*(1+'Chart of Accounts'!$E$67)</f>
        <v>93.0656</v>
      </c>
    </row>
    <row r="7978" customFormat="false" ht="15" hidden="false" customHeight="false" outlineLevel="0" collapsed="false">
      <c r="B7978" s="7" t="s">
        <v>8475</v>
      </c>
      <c r="C7978" s="39" t="n">
        <v>46017</v>
      </c>
      <c r="D7978" s="7" t="s">
        <v>293</v>
      </c>
      <c r="E7978" s="7" t="s">
        <v>157</v>
      </c>
      <c r="F7978" s="7" t="s">
        <v>198</v>
      </c>
      <c r="G7978" s="7" t="s">
        <v>502</v>
      </c>
      <c r="H7978" s="6" t="n">
        <v>1.08</v>
      </c>
      <c r="I7978" s="6" t="n">
        <v>0</v>
      </c>
      <c r="J7978" s="40" t="n">
        <f aca="false">H7978-I7978</f>
        <v>1.08</v>
      </c>
      <c r="K7978" s="41" t="n">
        <v>165</v>
      </c>
      <c r="L7978" s="42" t="n">
        <f aca="false">J7978*K7978</f>
        <v>178.2</v>
      </c>
      <c r="M7978" s="43" t="n">
        <f aca="false">H7978*48.09*(1+'Chart of Accounts'!$E$67)</f>
        <v>59.468094</v>
      </c>
    </row>
    <row r="7979" customFormat="false" ht="15" hidden="false" customHeight="false" outlineLevel="0" collapsed="false">
      <c r="B7979" s="7" t="s">
        <v>8476</v>
      </c>
      <c r="C7979" s="39" t="n">
        <v>46017</v>
      </c>
      <c r="D7979" s="7" t="s">
        <v>301</v>
      </c>
      <c r="E7979" s="7" t="s">
        <v>157</v>
      </c>
      <c r="F7979" s="7" t="s">
        <v>209</v>
      </c>
      <c r="G7979" s="7" t="s">
        <v>502</v>
      </c>
      <c r="H7979" s="6" t="n">
        <v>1.01</v>
      </c>
      <c r="I7979" s="6" t="n">
        <v>0</v>
      </c>
      <c r="J7979" s="40" t="n">
        <f aca="false">H7979-I7979</f>
        <v>1.01</v>
      </c>
      <c r="K7979" s="41" t="n">
        <v>165</v>
      </c>
      <c r="L7979" s="42" t="n">
        <f aca="false">J7979*K7979</f>
        <v>166.65</v>
      </c>
      <c r="M7979" s="43" t="n">
        <f aca="false">H7979*73.58*(1+'Chart of Accounts'!$E$67)</f>
        <v>85.091591</v>
      </c>
    </row>
    <row r="7980" customFormat="false" ht="15" hidden="false" customHeight="false" outlineLevel="0" collapsed="false">
      <c r="B7980" s="7" t="s">
        <v>8477</v>
      </c>
      <c r="C7980" s="39" t="n">
        <v>46017</v>
      </c>
      <c r="D7980" s="7" t="s">
        <v>305</v>
      </c>
      <c r="E7980" s="7" t="s">
        <v>154</v>
      </c>
      <c r="F7980" s="7" t="s">
        <v>205</v>
      </c>
      <c r="G7980" s="7" t="s">
        <v>505</v>
      </c>
      <c r="H7980" s="6" t="n">
        <v>3.63</v>
      </c>
      <c r="I7980" s="6" t="n">
        <v>0</v>
      </c>
      <c r="J7980" s="40" t="n">
        <f aca="false">H7980-I7980</f>
        <v>3.63</v>
      </c>
      <c r="K7980" s="41" t="n">
        <v>26.5</v>
      </c>
      <c r="L7980" s="42" t="n">
        <f aca="false">J7980*K7980</f>
        <v>96.195</v>
      </c>
      <c r="M7980" s="43" t="n">
        <f aca="false">H7980*16.36*(1+'Chart of Accounts'!$E$67)</f>
        <v>67.997886</v>
      </c>
    </row>
    <row r="7981" customFormat="false" ht="15" hidden="false" customHeight="false" outlineLevel="0" collapsed="false">
      <c r="B7981" s="7" t="s">
        <v>8478</v>
      </c>
      <c r="C7981" s="39" t="n">
        <v>46017</v>
      </c>
      <c r="D7981" s="7" t="s">
        <v>307</v>
      </c>
      <c r="E7981" s="7" t="s">
        <v>157</v>
      </c>
      <c r="F7981" s="7" t="s">
        <v>264</v>
      </c>
      <c r="G7981" s="7" t="s">
        <v>502</v>
      </c>
      <c r="H7981" s="6" t="n">
        <v>0.99</v>
      </c>
      <c r="I7981" s="6" t="n">
        <v>0</v>
      </c>
      <c r="J7981" s="40" t="n">
        <f aca="false">H7981-I7981</f>
        <v>0.99</v>
      </c>
      <c r="K7981" s="41" t="n">
        <v>165</v>
      </c>
      <c r="L7981" s="42" t="n">
        <f aca="false">J7981*K7981</f>
        <v>163.35</v>
      </c>
      <c r="M7981" s="43" t="n">
        <f aca="false">H7981*55.55*(1+'Chart of Accounts'!$E$67)</f>
        <v>62.9687025</v>
      </c>
    </row>
    <row r="7982" customFormat="false" ht="15" hidden="false" customHeight="false" outlineLevel="0" collapsed="false">
      <c r="B7982" s="7" t="s">
        <v>8479</v>
      </c>
      <c r="C7982" s="39" t="n">
        <v>46017</v>
      </c>
      <c r="D7982" s="7" t="s">
        <v>309</v>
      </c>
      <c r="E7982" s="7" t="s">
        <v>159</v>
      </c>
      <c r="F7982" s="7" t="s">
        <v>252</v>
      </c>
      <c r="G7982" s="7" t="s">
        <v>502</v>
      </c>
      <c r="H7982" s="6" t="n">
        <v>1.07</v>
      </c>
      <c r="I7982" s="6" t="n">
        <v>0</v>
      </c>
      <c r="J7982" s="40" t="n">
        <f aca="false">H7982-I7982</f>
        <v>1.07</v>
      </c>
      <c r="K7982" s="41" t="n">
        <v>135</v>
      </c>
      <c r="L7982" s="42" t="n">
        <f aca="false">J7982*K7982</f>
        <v>144.45</v>
      </c>
      <c r="M7982" s="43" t="n">
        <f aca="false">H7982*57.54*(1+'Chart of Accounts'!$E$67)</f>
        <v>70.495131</v>
      </c>
    </row>
    <row r="7983" customFormat="false" ht="15" hidden="false" customHeight="false" outlineLevel="0" collapsed="false">
      <c r="B7983" s="7" t="s">
        <v>8480</v>
      </c>
      <c r="C7983" s="39" t="n">
        <v>46017</v>
      </c>
      <c r="D7983" s="7" t="s">
        <v>315</v>
      </c>
      <c r="E7983" s="7" t="s">
        <v>159</v>
      </c>
      <c r="F7983" s="7" t="s">
        <v>216</v>
      </c>
      <c r="G7983" s="7" t="s">
        <v>502</v>
      </c>
      <c r="H7983" s="6" t="n">
        <v>0.96</v>
      </c>
      <c r="I7983" s="6" t="n">
        <v>0</v>
      </c>
      <c r="J7983" s="40" t="n">
        <f aca="false">H7983-I7983</f>
        <v>0.96</v>
      </c>
      <c r="K7983" s="41" t="n">
        <v>135</v>
      </c>
      <c r="L7983" s="42" t="n">
        <f aca="false">J7983*K7983</f>
        <v>129.6</v>
      </c>
      <c r="M7983" s="43" t="n">
        <f aca="false">H7983*61.79*(1+'Chart of Accounts'!$E$67)</f>
        <v>67.919568</v>
      </c>
    </row>
    <row r="7984" customFormat="false" ht="15" hidden="false" customHeight="false" outlineLevel="0" collapsed="false">
      <c r="B7984" s="7" t="s">
        <v>8481</v>
      </c>
      <c r="C7984" s="39" t="n">
        <v>46017</v>
      </c>
      <c r="D7984" s="7" t="s">
        <v>319</v>
      </c>
      <c r="E7984" s="7" t="s">
        <v>157</v>
      </c>
      <c r="F7984" s="7" t="s">
        <v>234</v>
      </c>
      <c r="G7984" s="7" t="s">
        <v>502</v>
      </c>
      <c r="H7984" s="6" t="n">
        <v>1.09</v>
      </c>
      <c r="I7984" s="6" t="n">
        <v>0</v>
      </c>
      <c r="J7984" s="40" t="n">
        <f aca="false">H7984-I7984</f>
        <v>1.09</v>
      </c>
      <c r="K7984" s="41" t="n">
        <v>165</v>
      </c>
      <c r="L7984" s="42" t="n">
        <f aca="false">J7984*K7984</f>
        <v>179.85</v>
      </c>
      <c r="M7984" s="43" t="n">
        <f aca="false">H7984*89.53*(1+'Chart of Accounts'!$E$67)</f>
        <v>111.7379165</v>
      </c>
    </row>
    <row r="7985" customFormat="false" ht="15" hidden="false" customHeight="false" outlineLevel="0" collapsed="false">
      <c r="B7985" s="7" t="s">
        <v>8482</v>
      </c>
      <c r="C7985" s="39" t="n">
        <v>46017</v>
      </c>
      <c r="D7985" s="7" t="s">
        <v>321</v>
      </c>
      <c r="E7985" s="7" t="s">
        <v>154</v>
      </c>
      <c r="F7985" s="7" t="s">
        <v>218</v>
      </c>
      <c r="G7985" s="7" t="s">
        <v>505</v>
      </c>
      <c r="H7985" s="6" t="n">
        <v>4.26</v>
      </c>
      <c r="I7985" s="6" t="n">
        <v>0.128</v>
      </c>
      <c r="J7985" s="40" t="n">
        <f aca="false">H7985-I7985</f>
        <v>4.132</v>
      </c>
      <c r="K7985" s="41" t="n">
        <v>26.5</v>
      </c>
      <c r="L7985" s="42" t="n">
        <f aca="false">J7985*K7985</f>
        <v>109.498</v>
      </c>
      <c r="M7985" s="43" t="n">
        <f aca="false">H7985*16.19*(1+'Chart of Accounts'!$E$67)</f>
        <v>78.969963</v>
      </c>
    </row>
    <row r="7986" customFormat="false" ht="15" hidden="false" customHeight="false" outlineLevel="0" collapsed="false">
      <c r="B7986" s="7" t="s">
        <v>8483</v>
      </c>
      <c r="C7986" s="39" t="n">
        <v>46017</v>
      </c>
      <c r="D7986" s="7" t="s">
        <v>323</v>
      </c>
      <c r="E7986" s="7" t="s">
        <v>159</v>
      </c>
      <c r="F7986" s="7" t="s">
        <v>198</v>
      </c>
      <c r="G7986" s="7" t="s">
        <v>502</v>
      </c>
      <c r="H7986" s="6" t="n">
        <v>0.95</v>
      </c>
      <c r="I7986" s="6" t="n">
        <v>0</v>
      </c>
      <c r="J7986" s="40" t="n">
        <f aca="false">H7986-I7986</f>
        <v>0.95</v>
      </c>
      <c r="K7986" s="41" t="n">
        <v>135</v>
      </c>
      <c r="L7986" s="42" t="n">
        <f aca="false">J7986*K7986</f>
        <v>128.25</v>
      </c>
      <c r="M7986" s="43" t="n">
        <f aca="false">H7986*48.09*(1+'Chart of Accounts'!$E$67)</f>
        <v>52.3098975</v>
      </c>
    </row>
    <row r="7987" customFormat="false" ht="15" hidden="false" customHeight="false" outlineLevel="0" collapsed="false">
      <c r="B7987" s="7" t="s">
        <v>8484</v>
      </c>
      <c r="C7987" s="39" t="n">
        <v>46017</v>
      </c>
      <c r="D7987" s="7" t="s">
        <v>327</v>
      </c>
      <c r="E7987" s="7" t="s">
        <v>157</v>
      </c>
      <c r="F7987" s="7" t="s">
        <v>228</v>
      </c>
      <c r="G7987" s="7" t="s">
        <v>502</v>
      </c>
      <c r="H7987" s="6" t="n">
        <v>0.96</v>
      </c>
      <c r="I7987" s="6" t="n">
        <v>0</v>
      </c>
      <c r="J7987" s="40" t="n">
        <f aca="false">H7987-I7987</f>
        <v>0.96</v>
      </c>
      <c r="K7987" s="41" t="n">
        <v>165</v>
      </c>
      <c r="L7987" s="42" t="n">
        <f aca="false">J7987*K7987</f>
        <v>158.4</v>
      </c>
      <c r="M7987" s="43" t="n">
        <f aca="false">H7987*51.07*(1+'Chart of Accounts'!$E$67)</f>
        <v>56.136144</v>
      </c>
    </row>
    <row r="7988" customFormat="false" ht="15" hidden="false" customHeight="false" outlineLevel="0" collapsed="false">
      <c r="B7988" s="7" t="s">
        <v>8485</v>
      </c>
      <c r="C7988" s="39" t="n">
        <v>46017</v>
      </c>
      <c r="D7988" s="7" t="s">
        <v>329</v>
      </c>
      <c r="E7988" s="7" t="s">
        <v>156</v>
      </c>
      <c r="F7988" s="7" t="s">
        <v>220</v>
      </c>
      <c r="G7988" s="7" t="s">
        <v>505</v>
      </c>
      <c r="H7988" s="6" t="n">
        <v>3.86</v>
      </c>
      <c r="I7988" s="6" t="n">
        <v>0</v>
      </c>
      <c r="J7988" s="40" t="n">
        <f aca="false">H7988-I7988</f>
        <v>3.86</v>
      </c>
      <c r="K7988" s="41" t="n">
        <v>34</v>
      </c>
      <c r="L7988" s="42" t="n">
        <f aca="false">J7988*K7988</f>
        <v>131.24</v>
      </c>
      <c r="M7988" s="43" t="n">
        <f aca="false">H7988*16.43*(1+'Chart of Accounts'!$E$67)</f>
        <v>72.615671</v>
      </c>
    </row>
    <row r="7989" customFormat="false" ht="15" hidden="false" customHeight="false" outlineLevel="0" collapsed="false">
      <c r="B7989" s="7" t="s">
        <v>8486</v>
      </c>
      <c r="C7989" s="39" t="n">
        <v>46017</v>
      </c>
      <c r="D7989" s="7" t="s">
        <v>333</v>
      </c>
      <c r="E7989" s="7" t="s">
        <v>154</v>
      </c>
      <c r="F7989" s="7" t="s">
        <v>236</v>
      </c>
      <c r="G7989" s="7" t="s">
        <v>505</v>
      </c>
      <c r="H7989" s="6" t="n">
        <v>3.47</v>
      </c>
      <c r="I7989" s="6" t="n">
        <v>0</v>
      </c>
      <c r="J7989" s="40" t="n">
        <f aca="false">H7989-I7989</f>
        <v>3.47</v>
      </c>
      <c r="K7989" s="41" t="n">
        <v>26.5</v>
      </c>
      <c r="L7989" s="42" t="n">
        <f aca="false">J7989*K7989</f>
        <v>91.955</v>
      </c>
      <c r="M7989" s="43" t="n">
        <f aca="false">H7989*15.49*(1+'Chart of Accounts'!$E$67)</f>
        <v>61.5440935</v>
      </c>
    </row>
    <row r="7990" customFormat="false" ht="15" hidden="false" customHeight="false" outlineLevel="0" collapsed="false">
      <c r="B7990" s="7" t="s">
        <v>8487</v>
      </c>
      <c r="C7990" s="39" t="n">
        <v>46017</v>
      </c>
      <c r="D7990" s="7" t="s">
        <v>335</v>
      </c>
      <c r="E7990" s="7" t="s">
        <v>154</v>
      </c>
      <c r="F7990" s="7" t="s">
        <v>177</v>
      </c>
      <c r="G7990" s="7" t="s">
        <v>505</v>
      </c>
      <c r="H7990" s="6" t="n">
        <v>3.97</v>
      </c>
      <c r="I7990" s="6" t="n">
        <v>0</v>
      </c>
      <c r="J7990" s="40" t="n">
        <f aca="false">H7990-I7990</f>
        <v>3.97</v>
      </c>
      <c r="K7990" s="41" t="n">
        <v>26.5</v>
      </c>
      <c r="L7990" s="42" t="n">
        <f aca="false">J7990*K7990</f>
        <v>105.205</v>
      </c>
      <c r="M7990" s="43" t="n">
        <f aca="false">H7990*14.56*(1+'Chart of Accounts'!$E$67)</f>
        <v>66.184664</v>
      </c>
    </row>
    <row r="7991" customFormat="false" ht="15" hidden="false" customHeight="false" outlineLevel="0" collapsed="false">
      <c r="B7991" s="7" t="s">
        <v>8488</v>
      </c>
      <c r="C7991" s="39" t="n">
        <v>46017</v>
      </c>
      <c r="D7991" s="7" t="s">
        <v>339</v>
      </c>
      <c r="E7991" s="7" t="s">
        <v>154</v>
      </c>
      <c r="F7991" s="7" t="s">
        <v>242</v>
      </c>
      <c r="G7991" s="7" t="s">
        <v>505</v>
      </c>
      <c r="H7991" s="6" t="n">
        <v>3.04</v>
      </c>
      <c r="I7991" s="6" t="n">
        <v>0</v>
      </c>
      <c r="J7991" s="40" t="n">
        <f aca="false">H7991-I7991</f>
        <v>3.04</v>
      </c>
      <c r="K7991" s="41" t="n">
        <v>26.5</v>
      </c>
      <c r="L7991" s="42" t="n">
        <f aca="false">J7991*K7991</f>
        <v>80.56</v>
      </c>
      <c r="M7991" s="43" t="n">
        <f aca="false">H7991*17.99*(1+'Chart of Accounts'!$E$67)</f>
        <v>62.619592</v>
      </c>
    </row>
    <row r="7992" customFormat="false" ht="15" hidden="false" customHeight="false" outlineLevel="0" collapsed="false">
      <c r="B7992" s="7" t="s">
        <v>8489</v>
      </c>
      <c r="C7992" s="39" t="n">
        <v>46017</v>
      </c>
      <c r="D7992" s="7" t="s">
        <v>345</v>
      </c>
      <c r="E7992" s="7" t="s">
        <v>159</v>
      </c>
      <c r="F7992" s="7" t="s">
        <v>230</v>
      </c>
      <c r="G7992" s="7" t="s">
        <v>502</v>
      </c>
      <c r="H7992" s="6" t="n">
        <v>0.98</v>
      </c>
      <c r="I7992" s="6" t="n">
        <v>0</v>
      </c>
      <c r="J7992" s="40" t="n">
        <f aca="false">H7992-I7992</f>
        <v>0.98</v>
      </c>
      <c r="K7992" s="41" t="n">
        <v>135</v>
      </c>
      <c r="L7992" s="42" t="n">
        <f aca="false">J7992*K7992</f>
        <v>132.3</v>
      </c>
      <c r="M7992" s="43" t="n">
        <f aca="false">H7992*48.78*(1+'Chart of Accounts'!$E$67)</f>
        <v>54.736038</v>
      </c>
    </row>
    <row r="7993" customFormat="false" ht="15" hidden="false" customHeight="false" outlineLevel="0" collapsed="false">
      <c r="B7993" s="7" t="s">
        <v>8490</v>
      </c>
      <c r="C7993" s="39" t="n">
        <v>46017</v>
      </c>
      <c r="D7993" s="7" t="s">
        <v>349</v>
      </c>
      <c r="E7993" s="7" t="s">
        <v>154</v>
      </c>
      <c r="F7993" s="7" t="s">
        <v>244</v>
      </c>
      <c r="G7993" s="7" t="s">
        <v>505</v>
      </c>
      <c r="H7993" s="6" t="n">
        <v>3.94</v>
      </c>
      <c r="I7993" s="6" t="n">
        <v>0.118</v>
      </c>
      <c r="J7993" s="40" t="n">
        <f aca="false">H7993-I7993</f>
        <v>3.822</v>
      </c>
      <c r="K7993" s="41" t="n">
        <v>26.5</v>
      </c>
      <c r="L7993" s="42" t="n">
        <f aca="false">J7993*K7993</f>
        <v>101.283</v>
      </c>
      <c r="M7993" s="43" t="n">
        <f aca="false">H7993*16.39*(1+'Chart of Accounts'!$E$67)</f>
        <v>73.940207</v>
      </c>
    </row>
    <row r="7994" customFormat="false" ht="15" hidden="false" customHeight="false" outlineLevel="0" collapsed="false">
      <c r="B7994" s="7" t="s">
        <v>8491</v>
      </c>
      <c r="C7994" s="39" t="n">
        <v>46017</v>
      </c>
      <c r="D7994" s="7" t="s">
        <v>353</v>
      </c>
      <c r="E7994" s="7" t="s">
        <v>154</v>
      </c>
      <c r="F7994" s="7" t="s">
        <v>254</v>
      </c>
      <c r="G7994" s="7" t="s">
        <v>505</v>
      </c>
      <c r="H7994" s="6" t="n">
        <v>3.5</v>
      </c>
      <c r="I7994" s="6" t="n">
        <v>0</v>
      </c>
      <c r="J7994" s="40" t="n">
        <f aca="false">H7994-I7994</f>
        <v>3.5</v>
      </c>
      <c r="K7994" s="41" t="n">
        <v>26.5</v>
      </c>
      <c r="L7994" s="42" t="n">
        <f aca="false">J7994*K7994</f>
        <v>92.75</v>
      </c>
      <c r="M7994" s="43" t="n">
        <f aca="false">H7994*17.1*(1+'Chart of Accounts'!$E$67)</f>
        <v>68.52825</v>
      </c>
    </row>
    <row r="7995" customFormat="false" ht="15" hidden="false" customHeight="false" outlineLevel="0" collapsed="false">
      <c r="B7995" s="7" t="s">
        <v>8492</v>
      </c>
      <c r="C7995" s="39" t="n">
        <v>46017</v>
      </c>
      <c r="D7995" s="7" t="s">
        <v>355</v>
      </c>
      <c r="E7995" s="7" t="s">
        <v>154</v>
      </c>
      <c r="F7995" s="7" t="s">
        <v>201</v>
      </c>
      <c r="G7995" s="7" t="s">
        <v>505</v>
      </c>
      <c r="H7995" s="6" t="n">
        <v>3.33</v>
      </c>
      <c r="I7995" s="6" t="n">
        <v>0</v>
      </c>
      <c r="J7995" s="40" t="n">
        <f aca="false">H7995-I7995</f>
        <v>3.33</v>
      </c>
      <c r="K7995" s="41" t="n">
        <v>26.5</v>
      </c>
      <c r="L7995" s="42" t="n">
        <f aca="false">J7995*K7995</f>
        <v>88.245</v>
      </c>
      <c r="M7995" s="43" t="n">
        <f aca="false">H7995*15.19*(1+'Chart of Accounts'!$E$67)</f>
        <v>57.9171915</v>
      </c>
    </row>
    <row r="7996" customFormat="false" ht="15" hidden="false" customHeight="false" outlineLevel="0" collapsed="false">
      <c r="B7996" s="7" t="s">
        <v>8493</v>
      </c>
      <c r="C7996" s="39" t="n">
        <v>46017</v>
      </c>
      <c r="D7996" s="7" t="s">
        <v>357</v>
      </c>
      <c r="E7996" s="7" t="s">
        <v>154</v>
      </c>
      <c r="F7996" s="7" t="s">
        <v>224</v>
      </c>
      <c r="G7996" s="7" t="s">
        <v>505</v>
      </c>
      <c r="H7996" s="6" t="n">
        <v>3.41</v>
      </c>
      <c r="I7996" s="6" t="n">
        <v>0.102</v>
      </c>
      <c r="J7996" s="40" t="n">
        <f aca="false">H7996-I7996</f>
        <v>3.308</v>
      </c>
      <c r="K7996" s="41" t="n">
        <v>26.5</v>
      </c>
      <c r="L7996" s="42" t="n">
        <f aca="false">J7996*K7996</f>
        <v>87.662</v>
      </c>
      <c r="M7996" s="43" t="n">
        <f aca="false">H7996*14.93*(1+'Chart of Accounts'!$E$67)</f>
        <v>58.2934385</v>
      </c>
    </row>
    <row r="7997" customFormat="false" ht="15" hidden="false" customHeight="false" outlineLevel="0" collapsed="false">
      <c r="B7997" s="7" t="s">
        <v>8494</v>
      </c>
      <c r="C7997" s="39" t="n">
        <v>46017</v>
      </c>
      <c r="D7997" s="7" t="s">
        <v>359</v>
      </c>
      <c r="E7997" s="7" t="s">
        <v>156</v>
      </c>
      <c r="F7997" s="7" t="s">
        <v>222</v>
      </c>
      <c r="G7997" s="7" t="s">
        <v>505</v>
      </c>
      <c r="H7997" s="6" t="n">
        <v>3.89</v>
      </c>
      <c r="I7997" s="6" t="n">
        <v>0</v>
      </c>
      <c r="J7997" s="40" t="n">
        <f aca="false">H7997-I7997</f>
        <v>3.89</v>
      </c>
      <c r="K7997" s="41" t="n">
        <v>34</v>
      </c>
      <c r="L7997" s="42" t="n">
        <f aca="false">J7997*K7997</f>
        <v>132.26</v>
      </c>
      <c r="M7997" s="43" t="n">
        <f aca="false">H7997*17.84*(1+'Chart of Accounts'!$E$67)</f>
        <v>79.460252</v>
      </c>
    </row>
    <row r="7998" customFormat="false" ht="15" hidden="false" customHeight="false" outlineLevel="0" collapsed="false">
      <c r="B7998" s="7" t="s">
        <v>8495</v>
      </c>
      <c r="C7998" s="39" t="n">
        <v>46017</v>
      </c>
      <c r="D7998" s="7" t="s">
        <v>361</v>
      </c>
      <c r="E7998" s="7" t="s">
        <v>157</v>
      </c>
      <c r="F7998" s="7" t="s">
        <v>209</v>
      </c>
      <c r="G7998" s="7" t="s">
        <v>502</v>
      </c>
      <c r="H7998" s="6" t="n">
        <v>1.02</v>
      </c>
      <c r="I7998" s="6" t="n">
        <v>0</v>
      </c>
      <c r="J7998" s="40" t="n">
        <f aca="false">H7998-I7998</f>
        <v>1.02</v>
      </c>
      <c r="K7998" s="41" t="n">
        <v>165</v>
      </c>
      <c r="L7998" s="42" t="n">
        <f aca="false">J7998*K7998</f>
        <v>168.3</v>
      </c>
      <c r="M7998" s="43" t="n">
        <f aca="false">H7998*73.58*(1+'Chart of Accounts'!$E$67)</f>
        <v>85.934082</v>
      </c>
    </row>
    <row r="7999" customFormat="false" ht="15" hidden="false" customHeight="false" outlineLevel="0" collapsed="false">
      <c r="B7999" s="7" t="s">
        <v>8496</v>
      </c>
      <c r="C7999" s="39" t="n">
        <v>46017</v>
      </c>
      <c r="D7999" s="7" t="s">
        <v>365</v>
      </c>
      <c r="E7999" s="7" t="s">
        <v>154</v>
      </c>
      <c r="F7999" s="7" t="s">
        <v>194</v>
      </c>
      <c r="G7999" s="7" t="s">
        <v>505</v>
      </c>
      <c r="H7999" s="6" t="n">
        <v>3.79</v>
      </c>
      <c r="I7999" s="6" t="n">
        <v>0</v>
      </c>
      <c r="J7999" s="40" t="n">
        <f aca="false">H7999-I7999</f>
        <v>3.79</v>
      </c>
      <c r="K7999" s="41" t="n">
        <v>26.5</v>
      </c>
      <c r="L7999" s="42" t="n">
        <f aca="false">J7999*K7999</f>
        <v>100.435</v>
      </c>
      <c r="M7999" s="43" t="n">
        <f aca="false">H7999*16*(1+'Chart of Accounts'!$E$67)</f>
        <v>69.4328</v>
      </c>
    </row>
    <row r="8000" customFormat="false" ht="15" hidden="false" customHeight="false" outlineLevel="0" collapsed="false">
      <c r="B8000" s="7" t="s">
        <v>8497</v>
      </c>
      <c r="C8000" s="39" t="n">
        <v>46017</v>
      </c>
      <c r="D8000" s="7" t="s">
        <v>369</v>
      </c>
      <c r="E8000" s="7" t="s">
        <v>159</v>
      </c>
      <c r="F8000" s="7" t="s">
        <v>258</v>
      </c>
      <c r="G8000" s="7" t="s">
        <v>502</v>
      </c>
      <c r="H8000" s="6" t="n">
        <v>0.91</v>
      </c>
      <c r="I8000" s="6" t="n">
        <v>0</v>
      </c>
      <c r="J8000" s="40" t="n">
        <f aca="false">H8000-I8000</f>
        <v>0.91</v>
      </c>
      <c r="K8000" s="41" t="n">
        <v>135</v>
      </c>
      <c r="L8000" s="42" t="n">
        <f aca="false">J8000*K8000</f>
        <v>122.85</v>
      </c>
      <c r="M8000" s="43" t="n">
        <f aca="false">H8000*61.61*(1+'Chart of Accounts'!$E$67)</f>
        <v>64.1945395</v>
      </c>
    </row>
    <row r="8001" customFormat="false" ht="15" hidden="false" customHeight="false" outlineLevel="0" collapsed="false">
      <c r="B8001" s="7" t="s">
        <v>8498</v>
      </c>
      <c r="C8001" s="39" t="n">
        <v>46017</v>
      </c>
      <c r="D8001" s="7" t="s">
        <v>371</v>
      </c>
      <c r="E8001" s="7" t="s">
        <v>154</v>
      </c>
      <c r="F8001" s="7" t="s">
        <v>232</v>
      </c>
      <c r="G8001" s="7" t="s">
        <v>505</v>
      </c>
      <c r="H8001" s="6" t="n">
        <v>4.67</v>
      </c>
      <c r="I8001" s="6" t="n">
        <v>0</v>
      </c>
      <c r="J8001" s="40" t="n">
        <f aca="false">H8001-I8001</f>
        <v>4.67</v>
      </c>
      <c r="K8001" s="41" t="n">
        <v>26.5</v>
      </c>
      <c r="L8001" s="42" t="n">
        <f aca="false">J8001*K8001</f>
        <v>123.755</v>
      </c>
      <c r="M8001" s="43" t="n">
        <f aca="false">H8001*16.17*(1+'Chart of Accounts'!$E$67)</f>
        <v>86.4634155</v>
      </c>
    </row>
    <row r="8002" customFormat="false" ht="15" hidden="false" customHeight="false" outlineLevel="0" collapsed="false">
      <c r="B8002" s="7" t="s">
        <v>8499</v>
      </c>
      <c r="C8002" s="39" t="n">
        <v>46017</v>
      </c>
      <c r="D8002" s="7" t="s">
        <v>379</v>
      </c>
      <c r="E8002" s="7" t="s">
        <v>156</v>
      </c>
      <c r="F8002" s="7" t="s">
        <v>224</v>
      </c>
      <c r="G8002" s="7" t="s">
        <v>505</v>
      </c>
      <c r="H8002" s="6" t="n">
        <v>4.57</v>
      </c>
      <c r="I8002" s="6" t="n">
        <v>0</v>
      </c>
      <c r="J8002" s="40" t="n">
        <f aca="false">H8002-I8002</f>
        <v>4.57</v>
      </c>
      <c r="K8002" s="41" t="n">
        <v>34</v>
      </c>
      <c r="L8002" s="42" t="n">
        <f aca="false">J8002*K8002</f>
        <v>155.38</v>
      </c>
      <c r="M8002" s="43" t="n">
        <f aca="false">H8002*14.93*(1+'Chart of Accounts'!$E$67)</f>
        <v>78.1234645</v>
      </c>
    </row>
    <row r="8003" customFormat="false" ht="15" hidden="false" customHeight="false" outlineLevel="0" collapsed="false">
      <c r="B8003" s="7" t="s">
        <v>8500</v>
      </c>
      <c r="C8003" s="39" t="n">
        <v>46017</v>
      </c>
      <c r="D8003" s="7" t="s">
        <v>381</v>
      </c>
      <c r="E8003" s="7" t="s">
        <v>157</v>
      </c>
      <c r="F8003" s="7" t="s">
        <v>234</v>
      </c>
      <c r="G8003" s="7" t="s">
        <v>502</v>
      </c>
      <c r="H8003" s="6" t="n">
        <v>1.05</v>
      </c>
      <c r="I8003" s="6" t="n">
        <v>0</v>
      </c>
      <c r="J8003" s="40" t="n">
        <f aca="false">H8003-I8003</f>
        <v>1.05</v>
      </c>
      <c r="K8003" s="41" t="n">
        <v>165</v>
      </c>
      <c r="L8003" s="42" t="n">
        <f aca="false">J8003*K8003</f>
        <v>173.25</v>
      </c>
      <c r="M8003" s="43" t="n">
        <f aca="false">H8003*89.53*(1+'Chart of Accounts'!$E$67)</f>
        <v>107.6374425</v>
      </c>
    </row>
    <row r="8004" customFormat="false" ht="15" hidden="false" customHeight="false" outlineLevel="0" collapsed="false">
      <c r="B8004" s="7" t="s">
        <v>8501</v>
      </c>
      <c r="C8004" s="39" t="n">
        <v>46017</v>
      </c>
      <c r="D8004" s="7" t="s">
        <v>383</v>
      </c>
      <c r="E8004" s="7" t="s">
        <v>157</v>
      </c>
      <c r="F8004" s="7" t="s">
        <v>230</v>
      </c>
      <c r="G8004" s="7" t="s">
        <v>502</v>
      </c>
      <c r="H8004" s="6" t="n">
        <v>1.03</v>
      </c>
      <c r="I8004" s="6" t="n">
        <v>0</v>
      </c>
      <c r="J8004" s="40" t="n">
        <f aca="false">H8004-I8004</f>
        <v>1.03</v>
      </c>
      <c r="K8004" s="41" t="n">
        <v>165</v>
      </c>
      <c r="L8004" s="42" t="n">
        <f aca="false">J8004*K8004</f>
        <v>169.95</v>
      </c>
      <c r="M8004" s="43" t="n">
        <f aca="false">H8004*48.78*(1+'Chart of Accounts'!$E$67)</f>
        <v>57.528693</v>
      </c>
    </row>
    <row r="8005" customFormat="false" ht="15" hidden="false" customHeight="false" outlineLevel="0" collapsed="false">
      <c r="B8005" s="7" t="s">
        <v>8502</v>
      </c>
      <c r="C8005" s="39" t="n">
        <v>46017</v>
      </c>
      <c r="D8005" s="7" t="s">
        <v>385</v>
      </c>
      <c r="E8005" s="7" t="s">
        <v>156</v>
      </c>
      <c r="F8005" s="7" t="s">
        <v>238</v>
      </c>
      <c r="G8005" s="7" t="s">
        <v>505</v>
      </c>
      <c r="H8005" s="6" t="n">
        <v>3.7</v>
      </c>
      <c r="I8005" s="6" t="n">
        <v>0</v>
      </c>
      <c r="J8005" s="40" t="n">
        <f aca="false">H8005-I8005</f>
        <v>3.7</v>
      </c>
      <c r="K8005" s="41" t="n">
        <v>34</v>
      </c>
      <c r="L8005" s="42" t="n">
        <f aca="false">J8005*K8005</f>
        <v>125.8</v>
      </c>
      <c r="M8005" s="43" t="n">
        <f aca="false">H8005*15.85*(1+'Chart of Accounts'!$E$67)</f>
        <v>67.148525</v>
      </c>
    </row>
    <row r="8006" customFormat="false" ht="15" hidden="false" customHeight="false" outlineLevel="0" collapsed="false">
      <c r="B8006" s="7" t="s">
        <v>8503</v>
      </c>
      <c r="C8006" s="39" t="n">
        <v>46017</v>
      </c>
      <c r="D8006" s="7" t="s">
        <v>387</v>
      </c>
      <c r="E8006" s="7" t="s">
        <v>154</v>
      </c>
      <c r="F8006" s="7" t="s">
        <v>196</v>
      </c>
      <c r="G8006" s="7" t="s">
        <v>505</v>
      </c>
      <c r="H8006" s="6" t="n">
        <v>4.2</v>
      </c>
      <c r="I8006" s="6" t="n">
        <v>0</v>
      </c>
      <c r="J8006" s="40" t="n">
        <f aca="false">H8006-I8006</f>
        <v>4.2</v>
      </c>
      <c r="K8006" s="41" t="n">
        <v>26.5</v>
      </c>
      <c r="L8006" s="42" t="n">
        <f aca="false">J8006*K8006</f>
        <v>111.3</v>
      </c>
      <c r="M8006" s="43" t="n">
        <f aca="false">H8006*15.05*(1+'Chart of Accounts'!$E$67)</f>
        <v>72.37545</v>
      </c>
    </row>
    <row r="8007" customFormat="false" ht="15" hidden="false" customHeight="false" outlineLevel="0" collapsed="false">
      <c r="B8007" s="7" t="s">
        <v>8504</v>
      </c>
      <c r="C8007" s="39" t="n">
        <v>46017</v>
      </c>
      <c r="D8007" s="7" t="s">
        <v>389</v>
      </c>
      <c r="E8007" s="7" t="s">
        <v>154</v>
      </c>
      <c r="F8007" s="7" t="s">
        <v>246</v>
      </c>
      <c r="G8007" s="7" t="s">
        <v>505</v>
      </c>
      <c r="H8007" s="6" t="n">
        <v>3.73</v>
      </c>
      <c r="I8007" s="6" t="n">
        <v>0</v>
      </c>
      <c r="J8007" s="40" t="n">
        <f aca="false">H8007-I8007</f>
        <v>3.73</v>
      </c>
      <c r="K8007" s="41" t="n">
        <v>26.5</v>
      </c>
      <c r="L8007" s="42" t="n">
        <f aca="false">J8007*K8007</f>
        <v>98.845</v>
      </c>
      <c r="M8007" s="43" t="n">
        <f aca="false">H8007*16.48*(1+'Chart of Accounts'!$E$67)</f>
        <v>70.383608</v>
      </c>
    </row>
    <row r="8008" customFormat="false" ht="15" hidden="false" customHeight="false" outlineLevel="0" collapsed="false">
      <c r="B8008" s="7" t="s">
        <v>8505</v>
      </c>
      <c r="C8008" s="39" t="n">
        <v>46017</v>
      </c>
      <c r="D8008" s="7" t="s">
        <v>391</v>
      </c>
      <c r="E8008" s="7" t="s">
        <v>156</v>
      </c>
      <c r="F8008" s="7" t="s">
        <v>222</v>
      </c>
      <c r="G8008" s="7" t="s">
        <v>505</v>
      </c>
      <c r="H8008" s="6" t="n">
        <v>4.05</v>
      </c>
      <c r="I8008" s="6" t="n">
        <v>0</v>
      </c>
      <c r="J8008" s="40" t="n">
        <f aca="false">H8008-I8008</f>
        <v>4.05</v>
      </c>
      <c r="K8008" s="41" t="n">
        <v>34</v>
      </c>
      <c r="L8008" s="42" t="n">
        <f aca="false">J8008*K8008</f>
        <v>137.7</v>
      </c>
      <c r="M8008" s="43" t="n">
        <f aca="false">H8008*17.84*(1+'Chart of Accounts'!$E$67)</f>
        <v>82.72854</v>
      </c>
    </row>
    <row r="8009" customFormat="false" ht="15" hidden="false" customHeight="false" outlineLevel="0" collapsed="false">
      <c r="B8009" s="7" t="s">
        <v>8506</v>
      </c>
      <c r="C8009" s="39" t="n">
        <v>46017</v>
      </c>
      <c r="D8009" s="7" t="s">
        <v>395</v>
      </c>
      <c r="E8009" s="7" t="s">
        <v>156</v>
      </c>
      <c r="F8009" s="7" t="s">
        <v>242</v>
      </c>
      <c r="G8009" s="7" t="s">
        <v>505</v>
      </c>
      <c r="H8009" s="6" t="n">
        <v>4.12</v>
      </c>
      <c r="I8009" s="6" t="n">
        <v>0</v>
      </c>
      <c r="J8009" s="40" t="n">
        <f aca="false">H8009-I8009</f>
        <v>4.12</v>
      </c>
      <c r="K8009" s="41" t="n">
        <v>34</v>
      </c>
      <c r="L8009" s="42" t="n">
        <f aca="false">J8009*K8009</f>
        <v>140.08</v>
      </c>
      <c r="M8009" s="43" t="n">
        <f aca="false">H8009*17.99*(1+'Chart of Accounts'!$E$67)</f>
        <v>84.866026</v>
      </c>
    </row>
    <row r="8010" customFormat="false" ht="15" hidden="false" customHeight="false" outlineLevel="0" collapsed="false">
      <c r="B8010" s="7" t="s">
        <v>8507</v>
      </c>
      <c r="C8010" s="39" t="n">
        <v>46017</v>
      </c>
      <c r="D8010" s="7" t="s">
        <v>397</v>
      </c>
      <c r="E8010" s="7" t="s">
        <v>159</v>
      </c>
      <c r="F8010" s="7" t="s">
        <v>203</v>
      </c>
      <c r="G8010" s="7" t="s">
        <v>502</v>
      </c>
      <c r="H8010" s="6" t="n">
        <v>1.03</v>
      </c>
      <c r="I8010" s="6" t="n">
        <v>0.072</v>
      </c>
      <c r="J8010" s="40" t="n">
        <f aca="false">H8010-I8010</f>
        <v>0.958</v>
      </c>
      <c r="K8010" s="41" t="n">
        <v>135</v>
      </c>
      <c r="L8010" s="42" t="n">
        <f aca="false">J8010*K8010</f>
        <v>129.33</v>
      </c>
      <c r="M8010" s="43" t="n">
        <f aca="false">H8010*49.43*(1+'Chart of Accounts'!$E$67)</f>
        <v>58.2952705</v>
      </c>
    </row>
    <row r="8011" customFormat="false" ht="15" hidden="false" customHeight="false" outlineLevel="0" collapsed="false">
      <c r="B8011" s="7" t="s">
        <v>8508</v>
      </c>
      <c r="C8011" s="39" t="n">
        <v>46017</v>
      </c>
      <c r="D8011" s="7" t="s">
        <v>399</v>
      </c>
      <c r="E8011" s="7" t="s">
        <v>154</v>
      </c>
      <c r="F8011" s="7" t="s">
        <v>222</v>
      </c>
      <c r="G8011" s="7" t="s">
        <v>505</v>
      </c>
      <c r="H8011" s="6" t="n">
        <v>3.01</v>
      </c>
      <c r="I8011" s="6" t="n">
        <v>0</v>
      </c>
      <c r="J8011" s="40" t="n">
        <f aca="false">H8011-I8011</f>
        <v>3.01</v>
      </c>
      <c r="K8011" s="41" t="n">
        <v>26.5</v>
      </c>
      <c r="L8011" s="42" t="n">
        <f aca="false">J8011*K8011</f>
        <v>79.765</v>
      </c>
      <c r="M8011" s="43" t="n">
        <f aca="false">H8011*17.84*(1+'Chart of Accounts'!$E$67)</f>
        <v>61.484668</v>
      </c>
    </row>
    <row r="8012" customFormat="false" ht="15" hidden="false" customHeight="false" outlineLevel="0" collapsed="false">
      <c r="B8012" s="7" t="s">
        <v>8509</v>
      </c>
      <c r="C8012" s="39" t="n">
        <v>46017</v>
      </c>
      <c r="D8012" s="7" t="s">
        <v>401</v>
      </c>
      <c r="E8012" s="7" t="s">
        <v>156</v>
      </c>
      <c r="F8012" s="7" t="s">
        <v>254</v>
      </c>
      <c r="G8012" s="7" t="s">
        <v>505</v>
      </c>
      <c r="H8012" s="6" t="n">
        <v>3.66</v>
      </c>
      <c r="I8012" s="6" t="n">
        <v>0</v>
      </c>
      <c r="J8012" s="40" t="n">
        <f aca="false">H8012-I8012</f>
        <v>3.66</v>
      </c>
      <c r="K8012" s="41" t="n">
        <v>34</v>
      </c>
      <c r="L8012" s="42" t="n">
        <f aca="false">J8012*K8012</f>
        <v>124.44</v>
      </c>
      <c r="M8012" s="43" t="n">
        <f aca="false">H8012*17.1*(1+'Chart of Accounts'!$E$67)</f>
        <v>71.66097</v>
      </c>
    </row>
    <row r="8013" customFormat="false" ht="15" hidden="false" customHeight="false" outlineLevel="0" collapsed="false">
      <c r="B8013" s="7" t="s">
        <v>8510</v>
      </c>
      <c r="C8013" s="39" t="n">
        <v>46017</v>
      </c>
      <c r="D8013" s="7" t="s">
        <v>403</v>
      </c>
      <c r="E8013" s="7" t="s">
        <v>156</v>
      </c>
      <c r="F8013" s="7" t="s">
        <v>184</v>
      </c>
      <c r="G8013" s="7" t="s">
        <v>505</v>
      </c>
      <c r="H8013" s="6" t="n">
        <v>3.95</v>
      </c>
      <c r="I8013" s="6" t="n">
        <v>0</v>
      </c>
      <c r="J8013" s="40" t="n">
        <f aca="false">H8013-I8013</f>
        <v>3.95</v>
      </c>
      <c r="K8013" s="41" t="n">
        <v>34</v>
      </c>
      <c r="L8013" s="42" t="n">
        <f aca="false">J8013*K8013</f>
        <v>134.3</v>
      </c>
      <c r="M8013" s="43" t="n">
        <f aca="false">H8013*17.34*(1+'Chart of Accounts'!$E$67)</f>
        <v>78.424485</v>
      </c>
    </row>
    <row r="8014" customFormat="false" ht="15" hidden="false" customHeight="false" outlineLevel="0" collapsed="false">
      <c r="B8014" s="7" t="s">
        <v>8511</v>
      </c>
      <c r="C8014" s="39" t="n">
        <v>46017</v>
      </c>
      <c r="D8014" s="7" t="s">
        <v>407</v>
      </c>
      <c r="E8014" s="7" t="s">
        <v>159</v>
      </c>
      <c r="F8014" s="7" t="s">
        <v>260</v>
      </c>
      <c r="G8014" s="7" t="s">
        <v>502</v>
      </c>
      <c r="H8014" s="6" t="n">
        <v>1.01</v>
      </c>
      <c r="I8014" s="6" t="n">
        <v>0</v>
      </c>
      <c r="J8014" s="40" t="n">
        <f aca="false">H8014-I8014</f>
        <v>1.01</v>
      </c>
      <c r="K8014" s="41" t="n">
        <v>135</v>
      </c>
      <c r="L8014" s="42" t="n">
        <f aca="false">J8014*K8014</f>
        <v>136.35</v>
      </c>
      <c r="M8014" s="43" t="n">
        <f aca="false">H8014*79.8*(1+'Chart of Accounts'!$E$67)</f>
        <v>92.28471</v>
      </c>
    </row>
    <row r="8015" customFormat="false" ht="15" hidden="false" customHeight="false" outlineLevel="0" collapsed="false">
      <c r="B8015" s="7" t="s">
        <v>8512</v>
      </c>
      <c r="C8015" s="39" t="n">
        <v>46017</v>
      </c>
      <c r="D8015" s="7" t="s">
        <v>409</v>
      </c>
      <c r="E8015" s="7" t="s">
        <v>154</v>
      </c>
      <c r="F8015" s="7" t="s">
        <v>214</v>
      </c>
      <c r="G8015" s="7" t="s">
        <v>505</v>
      </c>
      <c r="H8015" s="6" t="n">
        <v>3.07</v>
      </c>
      <c r="I8015" s="6" t="n">
        <v>0</v>
      </c>
      <c r="J8015" s="40" t="n">
        <f aca="false">H8015-I8015</f>
        <v>3.07</v>
      </c>
      <c r="K8015" s="41" t="n">
        <v>26.5</v>
      </c>
      <c r="L8015" s="42" t="n">
        <f aca="false">J8015*K8015</f>
        <v>81.355</v>
      </c>
      <c r="M8015" s="43" t="n">
        <f aca="false">H8015*15.67*(1+'Chart of Accounts'!$E$67)</f>
        <v>55.0824005</v>
      </c>
    </row>
    <row r="8016" customFormat="false" ht="15" hidden="false" customHeight="false" outlineLevel="0" collapsed="false">
      <c r="B8016" s="7" t="s">
        <v>8513</v>
      </c>
      <c r="C8016" s="39" t="n">
        <v>46018</v>
      </c>
      <c r="D8016" s="7" t="s">
        <v>288</v>
      </c>
      <c r="E8016" s="7" t="s">
        <v>156</v>
      </c>
      <c r="F8016" s="7" t="s">
        <v>184</v>
      </c>
      <c r="G8016" s="7" t="s">
        <v>505</v>
      </c>
      <c r="H8016" s="6" t="n">
        <v>4.07</v>
      </c>
      <c r="I8016" s="6" t="n">
        <v>0</v>
      </c>
      <c r="J8016" s="40" t="n">
        <f aca="false">H8016-I8016</f>
        <v>4.07</v>
      </c>
      <c r="K8016" s="41" t="n">
        <v>34</v>
      </c>
      <c r="L8016" s="42" t="n">
        <f aca="false">J8016*K8016</f>
        <v>138.38</v>
      </c>
      <c r="M8016" s="43" t="n">
        <f aca="false">H8016*17.34*(1+'Chart of Accounts'!$E$67)</f>
        <v>80.807001</v>
      </c>
    </row>
    <row r="8017" customFormat="false" ht="15" hidden="false" customHeight="false" outlineLevel="0" collapsed="false">
      <c r="B8017" s="7" t="s">
        <v>8514</v>
      </c>
      <c r="C8017" s="39" t="n">
        <v>46018</v>
      </c>
      <c r="D8017" s="7" t="s">
        <v>321</v>
      </c>
      <c r="E8017" s="7" t="s">
        <v>154</v>
      </c>
      <c r="F8017" s="7" t="s">
        <v>218</v>
      </c>
      <c r="G8017" s="7" t="s">
        <v>505</v>
      </c>
      <c r="H8017" s="6" t="n">
        <v>3.95</v>
      </c>
      <c r="I8017" s="6" t="n">
        <v>0</v>
      </c>
      <c r="J8017" s="40" t="n">
        <f aca="false">H8017-I8017</f>
        <v>3.95</v>
      </c>
      <c r="K8017" s="41" t="n">
        <v>26.5</v>
      </c>
      <c r="L8017" s="42" t="n">
        <f aca="false">J8017*K8017</f>
        <v>104.675</v>
      </c>
      <c r="M8017" s="43" t="n">
        <f aca="false">H8017*16.19*(1+'Chart of Accounts'!$E$67)</f>
        <v>73.2233225</v>
      </c>
    </row>
    <row r="8018" customFormat="false" ht="15" hidden="false" customHeight="false" outlineLevel="0" collapsed="false">
      <c r="B8018" s="7" t="s">
        <v>8515</v>
      </c>
      <c r="C8018" s="39" t="n">
        <v>46018</v>
      </c>
      <c r="D8018" s="7" t="s">
        <v>359</v>
      </c>
      <c r="E8018" s="7" t="s">
        <v>156</v>
      </c>
      <c r="F8018" s="7" t="s">
        <v>256</v>
      </c>
      <c r="G8018" s="7" t="s">
        <v>505</v>
      </c>
      <c r="H8018" s="6" t="n">
        <v>4.26</v>
      </c>
      <c r="I8018" s="6" t="n">
        <v>0</v>
      </c>
      <c r="J8018" s="40" t="n">
        <f aca="false">H8018-I8018</f>
        <v>4.26</v>
      </c>
      <c r="K8018" s="41" t="n">
        <v>34</v>
      </c>
      <c r="L8018" s="42" t="n">
        <f aca="false">J8018*K8018</f>
        <v>144.84</v>
      </c>
      <c r="M8018" s="43" t="n">
        <f aca="false">H8018*15.63*(1+'Chart of Accounts'!$E$67)</f>
        <v>76.238451</v>
      </c>
    </row>
    <row r="8019" customFormat="false" ht="15" hidden="false" customHeight="false" outlineLevel="0" collapsed="false">
      <c r="B8019" s="7" t="s">
        <v>8516</v>
      </c>
      <c r="C8019" s="39" t="n">
        <v>46018</v>
      </c>
      <c r="D8019" s="7" t="s">
        <v>387</v>
      </c>
      <c r="E8019" s="7" t="s">
        <v>154</v>
      </c>
      <c r="F8019" s="7" t="s">
        <v>196</v>
      </c>
      <c r="G8019" s="7" t="s">
        <v>505</v>
      </c>
      <c r="H8019" s="6" t="n">
        <v>3.71</v>
      </c>
      <c r="I8019" s="6" t="n">
        <v>0</v>
      </c>
      <c r="J8019" s="40" t="n">
        <f aca="false">H8019-I8019</f>
        <v>3.71</v>
      </c>
      <c r="K8019" s="41" t="n">
        <v>26.5</v>
      </c>
      <c r="L8019" s="42" t="n">
        <f aca="false">J8019*K8019</f>
        <v>98.315</v>
      </c>
      <c r="M8019" s="43" t="n">
        <f aca="false">H8019*15.05*(1+'Chart of Accounts'!$E$67)</f>
        <v>63.9316475</v>
      </c>
    </row>
    <row r="8020" customFormat="false" ht="15" hidden="false" customHeight="false" outlineLevel="0" collapsed="false">
      <c r="B8020" s="7" t="s">
        <v>8517</v>
      </c>
      <c r="C8020" s="39" t="n">
        <v>46018</v>
      </c>
      <c r="D8020" s="7" t="s">
        <v>391</v>
      </c>
      <c r="E8020" s="7" t="s">
        <v>156</v>
      </c>
      <c r="F8020" s="7" t="s">
        <v>222</v>
      </c>
      <c r="G8020" s="7" t="s">
        <v>505</v>
      </c>
      <c r="H8020" s="6" t="n">
        <v>3.92</v>
      </c>
      <c r="I8020" s="6" t="n">
        <v>0</v>
      </c>
      <c r="J8020" s="40" t="n">
        <f aca="false">H8020-I8020</f>
        <v>3.92</v>
      </c>
      <c r="K8020" s="41" t="n">
        <v>34</v>
      </c>
      <c r="L8020" s="42" t="n">
        <f aca="false">J8020*K8020</f>
        <v>133.28</v>
      </c>
      <c r="M8020" s="43" t="n">
        <f aca="false">H8020*17.84*(1+'Chart of Accounts'!$E$67)</f>
        <v>80.073056</v>
      </c>
    </row>
    <row r="8021" customFormat="false" ht="15" hidden="false" customHeight="false" outlineLevel="0" collapsed="false">
      <c r="B8021" s="7" t="s">
        <v>8518</v>
      </c>
      <c r="C8021" s="39" t="n">
        <v>46018</v>
      </c>
      <c r="D8021" s="7" t="s">
        <v>395</v>
      </c>
      <c r="E8021" s="7" t="s">
        <v>156</v>
      </c>
      <c r="F8021" s="7" t="s">
        <v>242</v>
      </c>
      <c r="G8021" s="7" t="s">
        <v>505</v>
      </c>
      <c r="H8021" s="6" t="n">
        <v>4.1</v>
      </c>
      <c r="I8021" s="6" t="n">
        <v>0</v>
      </c>
      <c r="J8021" s="40" t="n">
        <f aca="false">H8021-I8021</f>
        <v>4.1</v>
      </c>
      <c r="K8021" s="41" t="n">
        <v>34</v>
      </c>
      <c r="L8021" s="42" t="n">
        <f aca="false">J8021*K8021</f>
        <v>139.4</v>
      </c>
      <c r="M8021" s="43" t="n">
        <f aca="false">H8021*17.99*(1+'Chart of Accounts'!$E$67)</f>
        <v>84.454055</v>
      </c>
    </row>
    <row r="8022" customFormat="false" ht="15" hidden="false" customHeight="false" outlineLevel="0" collapsed="false">
      <c r="B8022" s="7" t="s">
        <v>8519</v>
      </c>
      <c r="C8022" s="39" t="n">
        <v>46018</v>
      </c>
      <c r="D8022" s="7" t="s">
        <v>401</v>
      </c>
      <c r="E8022" s="7" t="s">
        <v>156</v>
      </c>
      <c r="F8022" s="7" t="s">
        <v>254</v>
      </c>
      <c r="G8022" s="7" t="s">
        <v>505</v>
      </c>
      <c r="H8022" s="6" t="n">
        <v>3.72</v>
      </c>
      <c r="I8022" s="6" t="n">
        <v>0</v>
      </c>
      <c r="J8022" s="40" t="n">
        <f aca="false">H8022-I8022</f>
        <v>3.72</v>
      </c>
      <c r="K8022" s="41" t="n">
        <v>34</v>
      </c>
      <c r="L8022" s="42" t="n">
        <f aca="false">J8022*K8022</f>
        <v>126.48</v>
      </c>
      <c r="M8022" s="43" t="n">
        <f aca="false">H8022*17.1*(1+'Chart of Accounts'!$E$67)</f>
        <v>72.83574</v>
      </c>
    </row>
    <row r="8023" customFormat="false" ht="15" hidden="false" customHeight="false" outlineLevel="0" collapsed="false">
      <c r="B8023" s="7" t="s">
        <v>8520</v>
      </c>
      <c r="C8023" s="39" t="n">
        <v>46019</v>
      </c>
      <c r="D8023" s="7" t="s">
        <v>288</v>
      </c>
      <c r="E8023" s="7" t="s">
        <v>156</v>
      </c>
      <c r="F8023" s="7" t="s">
        <v>254</v>
      </c>
      <c r="G8023" s="7" t="s">
        <v>505</v>
      </c>
      <c r="H8023" s="6" t="n">
        <v>3.93</v>
      </c>
      <c r="I8023" s="6" t="n">
        <v>0</v>
      </c>
      <c r="J8023" s="40" t="n">
        <f aca="false">H8023-I8023</f>
        <v>3.93</v>
      </c>
      <c r="K8023" s="41" t="n">
        <v>34</v>
      </c>
      <c r="L8023" s="42" t="n">
        <f aca="false">J8023*K8023</f>
        <v>133.62</v>
      </c>
      <c r="M8023" s="43" t="n">
        <f aca="false">H8023*17.1*(1+'Chart of Accounts'!$E$67)</f>
        <v>76.947435</v>
      </c>
    </row>
    <row r="8024" customFormat="false" ht="15" hidden="false" customHeight="false" outlineLevel="0" collapsed="false">
      <c r="B8024" s="7" t="s">
        <v>8521</v>
      </c>
      <c r="C8024" s="39" t="n">
        <v>46019</v>
      </c>
      <c r="D8024" s="7" t="s">
        <v>321</v>
      </c>
      <c r="E8024" s="7" t="s">
        <v>154</v>
      </c>
      <c r="F8024" s="7" t="s">
        <v>218</v>
      </c>
      <c r="G8024" s="7" t="s">
        <v>505</v>
      </c>
      <c r="H8024" s="6" t="n">
        <v>4</v>
      </c>
      <c r="I8024" s="6" t="n">
        <v>0</v>
      </c>
      <c r="J8024" s="40" t="n">
        <f aca="false">H8024-I8024</f>
        <v>4</v>
      </c>
      <c r="K8024" s="41" t="n">
        <v>26.5</v>
      </c>
      <c r="L8024" s="42" t="n">
        <f aca="false">J8024*K8024</f>
        <v>106</v>
      </c>
      <c r="M8024" s="43" t="n">
        <f aca="false">H8024*16.19*(1+'Chart of Accounts'!$E$67)</f>
        <v>74.1502</v>
      </c>
    </row>
    <row r="8025" customFormat="false" ht="15" hidden="false" customHeight="false" outlineLevel="0" collapsed="false">
      <c r="B8025" s="7" t="s">
        <v>8522</v>
      </c>
      <c r="C8025" s="39" t="n">
        <v>46019</v>
      </c>
      <c r="D8025" s="7" t="s">
        <v>359</v>
      </c>
      <c r="E8025" s="7" t="s">
        <v>156</v>
      </c>
      <c r="F8025" s="7" t="s">
        <v>226</v>
      </c>
      <c r="G8025" s="7" t="s">
        <v>505</v>
      </c>
      <c r="H8025" s="6" t="n">
        <v>3.67</v>
      </c>
      <c r="I8025" s="6" t="n">
        <v>0</v>
      </c>
      <c r="J8025" s="40" t="n">
        <f aca="false">H8025-I8025</f>
        <v>3.67</v>
      </c>
      <c r="K8025" s="41" t="n">
        <v>34</v>
      </c>
      <c r="L8025" s="42" t="n">
        <f aca="false">J8025*K8025</f>
        <v>124.78</v>
      </c>
      <c r="M8025" s="43" t="n">
        <f aca="false">H8025*16.45*(1+'Chart of Accounts'!$E$67)</f>
        <v>69.1253675</v>
      </c>
    </row>
    <row r="8026" customFormat="false" ht="15" hidden="false" customHeight="false" outlineLevel="0" collapsed="false">
      <c r="B8026" s="7" t="s">
        <v>8523</v>
      </c>
      <c r="C8026" s="39" t="n">
        <v>46019</v>
      </c>
      <c r="D8026" s="7" t="s">
        <v>387</v>
      </c>
      <c r="E8026" s="7" t="s">
        <v>154</v>
      </c>
      <c r="F8026" s="7" t="s">
        <v>196</v>
      </c>
      <c r="G8026" s="7" t="s">
        <v>505</v>
      </c>
      <c r="H8026" s="6" t="n">
        <v>4.18</v>
      </c>
      <c r="I8026" s="6" t="n">
        <v>0</v>
      </c>
      <c r="J8026" s="40" t="n">
        <f aca="false">H8026-I8026</f>
        <v>4.18</v>
      </c>
      <c r="K8026" s="41" t="n">
        <v>26.5</v>
      </c>
      <c r="L8026" s="42" t="n">
        <f aca="false">J8026*K8026</f>
        <v>110.77</v>
      </c>
      <c r="M8026" s="43" t="n">
        <f aca="false">H8026*15.05*(1+'Chart of Accounts'!$E$67)</f>
        <v>72.030805</v>
      </c>
    </row>
    <row r="8027" customFormat="false" ht="15" hidden="false" customHeight="false" outlineLevel="0" collapsed="false">
      <c r="B8027" s="7" t="s">
        <v>8524</v>
      </c>
      <c r="C8027" s="39" t="n">
        <v>46019</v>
      </c>
      <c r="D8027" s="7" t="s">
        <v>391</v>
      </c>
      <c r="E8027" s="7" t="s">
        <v>156</v>
      </c>
      <c r="F8027" s="7" t="s">
        <v>222</v>
      </c>
      <c r="G8027" s="7" t="s">
        <v>505</v>
      </c>
      <c r="H8027" s="6" t="n">
        <v>4.13</v>
      </c>
      <c r="I8027" s="6" t="n">
        <v>0</v>
      </c>
      <c r="J8027" s="40" t="n">
        <f aca="false">H8027-I8027</f>
        <v>4.13</v>
      </c>
      <c r="K8027" s="41" t="n">
        <v>34</v>
      </c>
      <c r="L8027" s="42" t="n">
        <f aca="false">J8027*K8027</f>
        <v>140.42</v>
      </c>
      <c r="M8027" s="43" t="n">
        <f aca="false">H8027*17.84*(1+'Chart of Accounts'!$E$67)</f>
        <v>84.362684</v>
      </c>
    </row>
    <row r="8028" customFormat="false" ht="15" hidden="false" customHeight="false" outlineLevel="0" collapsed="false">
      <c r="B8028" s="7" t="s">
        <v>8525</v>
      </c>
      <c r="C8028" s="39" t="n">
        <v>46019</v>
      </c>
      <c r="D8028" s="7" t="s">
        <v>395</v>
      </c>
      <c r="E8028" s="7" t="s">
        <v>156</v>
      </c>
      <c r="F8028" s="7" t="s">
        <v>242</v>
      </c>
      <c r="G8028" s="7" t="s">
        <v>505</v>
      </c>
      <c r="H8028" s="6" t="n">
        <v>4.14</v>
      </c>
      <c r="I8028" s="6" t="n">
        <v>0</v>
      </c>
      <c r="J8028" s="40" t="n">
        <f aca="false">H8028-I8028</f>
        <v>4.14</v>
      </c>
      <c r="K8028" s="41" t="n">
        <v>34</v>
      </c>
      <c r="L8028" s="42" t="n">
        <f aca="false">J8028*K8028</f>
        <v>140.76</v>
      </c>
      <c r="M8028" s="43" t="n">
        <f aca="false">H8028*17.99*(1+'Chart of Accounts'!$E$67)</f>
        <v>85.277997</v>
      </c>
    </row>
    <row r="8029" customFormat="false" ht="15" hidden="false" customHeight="false" outlineLevel="0" collapsed="false">
      <c r="B8029" s="7" t="s">
        <v>8526</v>
      </c>
      <c r="C8029" s="39" t="n">
        <v>46019</v>
      </c>
      <c r="D8029" s="7" t="s">
        <v>401</v>
      </c>
      <c r="E8029" s="7" t="s">
        <v>156</v>
      </c>
      <c r="F8029" s="7" t="s">
        <v>254</v>
      </c>
      <c r="G8029" s="7" t="s">
        <v>505</v>
      </c>
      <c r="H8029" s="6" t="n">
        <v>4.04</v>
      </c>
      <c r="I8029" s="6" t="n">
        <v>0</v>
      </c>
      <c r="J8029" s="40" t="n">
        <f aca="false">H8029-I8029</f>
        <v>4.04</v>
      </c>
      <c r="K8029" s="41" t="n">
        <v>34</v>
      </c>
      <c r="L8029" s="42" t="n">
        <f aca="false">J8029*K8029</f>
        <v>137.36</v>
      </c>
      <c r="M8029" s="43" t="n">
        <f aca="false">H8029*17.1*(1+'Chart of Accounts'!$E$67)</f>
        <v>79.10118</v>
      </c>
    </row>
    <row r="8030" customFormat="false" ht="15" hidden="false" customHeight="false" outlineLevel="0" collapsed="false">
      <c r="B8030" s="7" t="s">
        <v>8527</v>
      </c>
      <c r="C8030" s="39" t="n">
        <v>46020</v>
      </c>
      <c r="D8030" s="7" t="s">
        <v>288</v>
      </c>
      <c r="E8030" s="7" t="s">
        <v>156</v>
      </c>
      <c r="F8030" s="7" t="s">
        <v>248</v>
      </c>
      <c r="G8030" s="7" t="s">
        <v>505</v>
      </c>
      <c r="H8030" s="6" t="n">
        <v>3.75</v>
      </c>
      <c r="I8030" s="6" t="n">
        <v>0</v>
      </c>
      <c r="J8030" s="40" t="n">
        <f aca="false">H8030-I8030</f>
        <v>3.75</v>
      </c>
      <c r="K8030" s="41" t="n">
        <v>34</v>
      </c>
      <c r="L8030" s="42" t="n">
        <f aca="false">J8030*K8030</f>
        <v>127.5</v>
      </c>
      <c r="M8030" s="43" t="n">
        <f aca="false">H8030*16.45*(1+'Chart of Accounts'!$E$67)</f>
        <v>70.6321875</v>
      </c>
    </row>
    <row r="8031" customFormat="false" ht="15" hidden="false" customHeight="false" outlineLevel="0" collapsed="false">
      <c r="B8031" s="7" t="s">
        <v>8528</v>
      </c>
      <c r="C8031" s="39" t="n">
        <v>46020</v>
      </c>
      <c r="D8031" s="7" t="s">
        <v>291</v>
      </c>
      <c r="E8031" s="7" t="s">
        <v>154</v>
      </c>
      <c r="F8031" s="7" t="s">
        <v>194</v>
      </c>
      <c r="G8031" s="7" t="s">
        <v>505</v>
      </c>
      <c r="H8031" s="6" t="n">
        <v>4.65</v>
      </c>
      <c r="I8031" s="6" t="n">
        <v>0</v>
      </c>
      <c r="J8031" s="40" t="n">
        <f aca="false">H8031-I8031</f>
        <v>4.65</v>
      </c>
      <c r="K8031" s="41" t="n">
        <v>26.5</v>
      </c>
      <c r="L8031" s="42" t="n">
        <f aca="false">J8031*K8031</f>
        <v>123.225</v>
      </c>
      <c r="M8031" s="43" t="n">
        <f aca="false">H8031*16*(1+'Chart of Accounts'!$E$67)</f>
        <v>85.188</v>
      </c>
    </row>
    <row r="8032" customFormat="false" ht="15" hidden="false" customHeight="false" outlineLevel="0" collapsed="false">
      <c r="B8032" s="7" t="s">
        <v>8529</v>
      </c>
      <c r="C8032" s="39" t="n">
        <v>46020</v>
      </c>
      <c r="D8032" s="7" t="s">
        <v>295</v>
      </c>
      <c r="E8032" s="7" t="s">
        <v>154</v>
      </c>
      <c r="F8032" s="7" t="s">
        <v>214</v>
      </c>
      <c r="G8032" s="7" t="s">
        <v>505</v>
      </c>
      <c r="H8032" s="6" t="n">
        <v>3.92</v>
      </c>
      <c r="I8032" s="6" t="n">
        <v>0</v>
      </c>
      <c r="J8032" s="40" t="n">
        <f aca="false">H8032-I8032</f>
        <v>3.92</v>
      </c>
      <c r="K8032" s="41" t="n">
        <v>26.5</v>
      </c>
      <c r="L8032" s="42" t="n">
        <f aca="false">J8032*K8032</f>
        <v>103.88</v>
      </c>
      <c r="M8032" s="43" t="n">
        <f aca="false">H8032*15.67*(1+'Chart of Accounts'!$E$67)</f>
        <v>70.333228</v>
      </c>
    </row>
    <row r="8033" customFormat="false" ht="15" hidden="false" customHeight="false" outlineLevel="0" collapsed="false">
      <c r="B8033" s="7" t="s">
        <v>8530</v>
      </c>
      <c r="C8033" s="39" t="n">
        <v>46020</v>
      </c>
      <c r="D8033" s="7" t="s">
        <v>297</v>
      </c>
      <c r="E8033" s="7" t="s">
        <v>156</v>
      </c>
      <c r="F8033" s="7" t="s">
        <v>201</v>
      </c>
      <c r="G8033" s="7" t="s">
        <v>505</v>
      </c>
      <c r="H8033" s="6" t="n">
        <v>3.2</v>
      </c>
      <c r="I8033" s="6" t="n">
        <v>0</v>
      </c>
      <c r="J8033" s="40" t="n">
        <f aca="false">H8033-I8033</f>
        <v>3.2</v>
      </c>
      <c r="K8033" s="41" t="n">
        <v>34</v>
      </c>
      <c r="L8033" s="42" t="n">
        <f aca="false">J8033*K8033</f>
        <v>108.8</v>
      </c>
      <c r="M8033" s="43" t="n">
        <f aca="false">H8033*15.19*(1+'Chart of Accounts'!$E$67)</f>
        <v>55.65616</v>
      </c>
    </row>
    <row r="8034" customFormat="false" ht="15" hidden="false" customHeight="false" outlineLevel="0" collapsed="false">
      <c r="B8034" s="7" t="s">
        <v>8531</v>
      </c>
      <c r="C8034" s="39" t="n">
        <v>46020</v>
      </c>
      <c r="D8034" s="7" t="s">
        <v>299</v>
      </c>
      <c r="E8034" s="7" t="s">
        <v>154</v>
      </c>
      <c r="F8034" s="7" t="s">
        <v>205</v>
      </c>
      <c r="G8034" s="7" t="s">
        <v>505</v>
      </c>
      <c r="H8034" s="6" t="n">
        <v>2.75</v>
      </c>
      <c r="I8034" s="6" t="n">
        <v>0</v>
      </c>
      <c r="J8034" s="40" t="n">
        <f aca="false">H8034-I8034</f>
        <v>2.75</v>
      </c>
      <c r="K8034" s="41" t="n">
        <v>26.5</v>
      </c>
      <c r="L8034" s="42" t="n">
        <f aca="false">J8034*K8034</f>
        <v>72.875</v>
      </c>
      <c r="M8034" s="43" t="n">
        <f aca="false">H8034*16.36*(1+'Chart of Accounts'!$E$67)</f>
        <v>51.51355</v>
      </c>
    </row>
    <row r="8035" customFormat="false" ht="15" hidden="false" customHeight="false" outlineLevel="0" collapsed="false">
      <c r="B8035" s="7" t="s">
        <v>8532</v>
      </c>
      <c r="C8035" s="39" t="n">
        <v>46020</v>
      </c>
      <c r="D8035" s="7" t="s">
        <v>303</v>
      </c>
      <c r="E8035" s="7" t="s">
        <v>154</v>
      </c>
      <c r="F8035" s="7" t="s">
        <v>240</v>
      </c>
      <c r="G8035" s="7" t="s">
        <v>505</v>
      </c>
      <c r="H8035" s="6" t="n">
        <v>4.06</v>
      </c>
      <c r="I8035" s="6" t="n">
        <v>0</v>
      </c>
      <c r="J8035" s="40" t="n">
        <f aca="false">H8035-I8035</f>
        <v>4.06</v>
      </c>
      <c r="K8035" s="41" t="n">
        <v>26.5</v>
      </c>
      <c r="L8035" s="42" t="n">
        <f aca="false">J8035*K8035</f>
        <v>107.59</v>
      </c>
      <c r="M8035" s="43" t="n">
        <f aca="false">H8035*16.96*(1+'Chart of Accounts'!$E$67)</f>
        <v>78.841952</v>
      </c>
    </row>
    <row r="8036" customFormat="false" ht="15" hidden="false" customHeight="false" outlineLevel="0" collapsed="false">
      <c r="B8036" s="7" t="s">
        <v>8533</v>
      </c>
      <c r="C8036" s="39" t="n">
        <v>46020</v>
      </c>
      <c r="D8036" s="7" t="s">
        <v>305</v>
      </c>
      <c r="E8036" s="7" t="s">
        <v>154</v>
      </c>
      <c r="F8036" s="7" t="s">
        <v>205</v>
      </c>
      <c r="G8036" s="7" t="s">
        <v>505</v>
      </c>
      <c r="H8036" s="6" t="n">
        <v>3.96</v>
      </c>
      <c r="I8036" s="6" t="n">
        <v>0.119</v>
      </c>
      <c r="J8036" s="40" t="n">
        <f aca="false">H8036-I8036</f>
        <v>3.841</v>
      </c>
      <c r="K8036" s="41" t="n">
        <v>26.5</v>
      </c>
      <c r="L8036" s="42" t="n">
        <f aca="false">J8036*K8036</f>
        <v>101.7865</v>
      </c>
      <c r="M8036" s="43" t="n">
        <f aca="false">H8036*16.36*(1+'Chart of Accounts'!$E$67)</f>
        <v>74.179512</v>
      </c>
    </row>
    <row r="8037" customFormat="false" ht="15" hidden="false" customHeight="false" outlineLevel="0" collapsed="false">
      <c r="B8037" s="7" t="s">
        <v>8534</v>
      </c>
      <c r="C8037" s="39" t="n">
        <v>46020</v>
      </c>
      <c r="D8037" s="7" t="s">
        <v>307</v>
      </c>
      <c r="E8037" s="7" t="s">
        <v>157</v>
      </c>
      <c r="F8037" s="7" t="s">
        <v>264</v>
      </c>
      <c r="G8037" s="7" t="s">
        <v>502</v>
      </c>
      <c r="H8037" s="6" t="n">
        <v>1.01</v>
      </c>
      <c r="I8037" s="6" t="n">
        <v>0</v>
      </c>
      <c r="J8037" s="40" t="n">
        <f aca="false">H8037-I8037</f>
        <v>1.01</v>
      </c>
      <c r="K8037" s="41" t="n">
        <v>165</v>
      </c>
      <c r="L8037" s="42" t="n">
        <f aca="false">J8037*K8037</f>
        <v>166.65</v>
      </c>
      <c r="M8037" s="43" t="n">
        <f aca="false">H8037*55.55*(1+'Chart of Accounts'!$E$67)</f>
        <v>64.2407975</v>
      </c>
    </row>
    <row r="8038" customFormat="false" ht="15" hidden="false" customHeight="false" outlineLevel="0" collapsed="false">
      <c r="B8038" s="7" t="s">
        <v>8535</v>
      </c>
      <c r="C8038" s="39" t="n">
        <v>46020</v>
      </c>
      <c r="D8038" s="7" t="s">
        <v>309</v>
      </c>
      <c r="E8038" s="7" t="s">
        <v>159</v>
      </c>
      <c r="F8038" s="7" t="s">
        <v>252</v>
      </c>
      <c r="G8038" s="7" t="s">
        <v>502</v>
      </c>
      <c r="H8038" s="6" t="n">
        <v>1.06</v>
      </c>
      <c r="I8038" s="6" t="n">
        <v>0</v>
      </c>
      <c r="J8038" s="40" t="n">
        <f aca="false">H8038-I8038</f>
        <v>1.06</v>
      </c>
      <c r="K8038" s="41" t="n">
        <v>135</v>
      </c>
      <c r="L8038" s="42" t="n">
        <f aca="false">J8038*K8038</f>
        <v>143.1</v>
      </c>
      <c r="M8038" s="43" t="n">
        <f aca="false">H8038*57.54*(1+'Chart of Accounts'!$E$67)</f>
        <v>69.836298</v>
      </c>
    </row>
    <row r="8039" customFormat="false" ht="15" hidden="false" customHeight="false" outlineLevel="0" collapsed="false">
      <c r="B8039" s="7" t="s">
        <v>8536</v>
      </c>
      <c r="C8039" s="39" t="n">
        <v>46020</v>
      </c>
      <c r="D8039" s="7" t="s">
        <v>311</v>
      </c>
      <c r="E8039" s="7" t="s">
        <v>154</v>
      </c>
      <c r="F8039" s="7" t="s">
        <v>196</v>
      </c>
      <c r="G8039" s="7" t="s">
        <v>505</v>
      </c>
      <c r="H8039" s="6" t="n">
        <v>2.82</v>
      </c>
      <c r="I8039" s="6" t="n">
        <v>0</v>
      </c>
      <c r="J8039" s="40" t="n">
        <f aca="false">H8039-I8039</f>
        <v>2.82</v>
      </c>
      <c r="K8039" s="41" t="n">
        <v>26.5</v>
      </c>
      <c r="L8039" s="42" t="n">
        <f aca="false">J8039*K8039</f>
        <v>74.73</v>
      </c>
      <c r="M8039" s="43" t="n">
        <f aca="false">H8039*15.05*(1+'Chart of Accounts'!$E$67)</f>
        <v>48.594945</v>
      </c>
    </row>
    <row r="8040" customFormat="false" ht="15" hidden="false" customHeight="false" outlineLevel="0" collapsed="false">
      <c r="B8040" s="7" t="s">
        <v>8537</v>
      </c>
      <c r="C8040" s="39" t="n">
        <v>46020</v>
      </c>
      <c r="D8040" s="7" t="s">
        <v>313</v>
      </c>
      <c r="E8040" s="7" t="s">
        <v>156</v>
      </c>
      <c r="F8040" s="7" t="s">
        <v>184</v>
      </c>
      <c r="G8040" s="7" t="s">
        <v>505</v>
      </c>
      <c r="H8040" s="6" t="n">
        <v>4.1</v>
      </c>
      <c r="I8040" s="6" t="n">
        <v>0</v>
      </c>
      <c r="J8040" s="40" t="n">
        <f aca="false">H8040-I8040</f>
        <v>4.1</v>
      </c>
      <c r="K8040" s="41" t="n">
        <v>34</v>
      </c>
      <c r="L8040" s="42" t="n">
        <f aca="false">J8040*K8040</f>
        <v>139.4</v>
      </c>
      <c r="M8040" s="43" t="n">
        <f aca="false">H8040*17.34*(1+'Chart of Accounts'!$E$67)</f>
        <v>81.40263</v>
      </c>
    </row>
    <row r="8041" customFormat="false" ht="15" hidden="false" customHeight="false" outlineLevel="0" collapsed="false">
      <c r="B8041" s="7" t="s">
        <v>8538</v>
      </c>
      <c r="C8041" s="39" t="n">
        <v>46020</v>
      </c>
      <c r="D8041" s="7" t="s">
        <v>315</v>
      </c>
      <c r="E8041" s="7" t="s">
        <v>159</v>
      </c>
      <c r="F8041" s="7" t="s">
        <v>216</v>
      </c>
      <c r="G8041" s="7" t="s">
        <v>502</v>
      </c>
      <c r="H8041" s="6" t="n">
        <v>1.05</v>
      </c>
      <c r="I8041" s="6" t="n">
        <v>0</v>
      </c>
      <c r="J8041" s="40" t="n">
        <f aca="false">H8041-I8041</f>
        <v>1.05</v>
      </c>
      <c r="K8041" s="41" t="n">
        <v>135</v>
      </c>
      <c r="L8041" s="42" t="n">
        <f aca="false">J8041*K8041</f>
        <v>141.75</v>
      </c>
      <c r="M8041" s="43" t="n">
        <f aca="false">H8041*61.79*(1+'Chart of Accounts'!$E$67)</f>
        <v>74.2870275</v>
      </c>
    </row>
    <row r="8042" customFormat="false" ht="15" hidden="false" customHeight="false" outlineLevel="0" collapsed="false">
      <c r="B8042" s="7" t="s">
        <v>8539</v>
      </c>
      <c r="C8042" s="39" t="n">
        <v>46020</v>
      </c>
      <c r="D8042" s="7" t="s">
        <v>317</v>
      </c>
      <c r="E8042" s="7" t="s">
        <v>156</v>
      </c>
      <c r="F8042" s="7" t="s">
        <v>238</v>
      </c>
      <c r="G8042" s="7" t="s">
        <v>505</v>
      </c>
      <c r="H8042" s="6" t="n">
        <v>3.1</v>
      </c>
      <c r="I8042" s="6" t="n">
        <v>0</v>
      </c>
      <c r="J8042" s="40" t="n">
        <f aca="false">H8042-I8042</f>
        <v>3.1</v>
      </c>
      <c r="K8042" s="41" t="n">
        <v>34</v>
      </c>
      <c r="L8042" s="42" t="n">
        <f aca="false">J8042*K8042</f>
        <v>105.4</v>
      </c>
      <c r="M8042" s="43" t="n">
        <f aca="false">H8042*15.85*(1+'Chart of Accounts'!$E$67)</f>
        <v>56.259575</v>
      </c>
    </row>
    <row r="8043" customFormat="false" ht="15" hidden="false" customHeight="false" outlineLevel="0" collapsed="false">
      <c r="B8043" s="7" t="s">
        <v>8540</v>
      </c>
      <c r="C8043" s="39" t="n">
        <v>46020</v>
      </c>
      <c r="D8043" s="7" t="s">
        <v>321</v>
      </c>
      <c r="E8043" s="7" t="s">
        <v>154</v>
      </c>
      <c r="F8043" s="7" t="s">
        <v>218</v>
      </c>
      <c r="G8043" s="7" t="s">
        <v>505</v>
      </c>
      <c r="H8043" s="6" t="n">
        <v>3.88</v>
      </c>
      <c r="I8043" s="6" t="n">
        <v>0</v>
      </c>
      <c r="J8043" s="40" t="n">
        <f aca="false">H8043-I8043</f>
        <v>3.88</v>
      </c>
      <c r="K8043" s="41" t="n">
        <v>26.5</v>
      </c>
      <c r="L8043" s="42" t="n">
        <f aca="false">J8043*K8043</f>
        <v>102.82</v>
      </c>
      <c r="M8043" s="43" t="n">
        <f aca="false">H8043*16.19*(1+'Chart of Accounts'!$E$67)</f>
        <v>71.925694</v>
      </c>
    </row>
    <row r="8044" customFormat="false" ht="15" hidden="false" customHeight="false" outlineLevel="0" collapsed="false">
      <c r="B8044" s="7" t="s">
        <v>8541</v>
      </c>
      <c r="C8044" s="39" t="n">
        <v>46020</v>
      </c>
      <c r="D8044" s="7" t="s">
        <v>329</v>
      </c>
      <c r="E8044" s="7" t="s">
        <v>156</v>
      </c>
      <c r="F8044" s="7" t="s">
        <v>220</v>
      </c>
      <c r="G8044" s="7" t="s">
        <v>505</v>
      </c>
      <c r="H8044" s="6" t="n">
        <v>3.84</v>
      </c>
      <c r="I8044" s="6" t="n">
        <v>0</v>
      </c>
      <c r="J8044" s="40" t="n">
        <f aca="false">H8044-I8044</f>
        <v>3.84</v>
      </c>
      <c r="K8044" s="41" t="n">
        <v>34</v>
      </c>
      <c r="L8044" s="42" t="n">
        <f aca="false">J8044*K8044</f>
        <v>130.56</v>
      </c>
      <c r="M8044" s="43" t="n">
        <f aca="false">H8044*16.43*(1+'Chart of Accounts'!$E$67)</f>
        <v>72.239424</v>
      </c>
    </row>
    <row r="8045" customFormat="false" ht="15" hidden="false" customHeight="false" outlineLevel="0" collapsed="false">
      <c r="B8045" s="7" t="s">
        <v>8542</v>
      </c>
      <c r="C8045" s="39" t="n">
        <v>46020</v>
      </c>
      <c r="D8045" s="7" t="s">
        <v>333</v>
      </c>
      <c r="E8045" s="7" t="s">
        <v>154</v>
      </c>
      <c r="F8045" s="7" t="s">
        <v>236</v>
      </c>
      <c r="G8045" s="7" t="s">
        <v>505</v>
      </c>
      <c r="H8045" s="6" t="n">
        <v>3.47</v>
      </c>
      <c r="I8045" s="6" t="n">
        <v>0</v>
      </c>
      <c r="J8045" s="40" t="n">
        <f aca="false">H8045-I8045</f>
        <v>3.47</v>
      </c>
      <c r="K8045" s="41" t="n">
        <v>26.5</v>
      </c>
      <c r="L8045" s="42" t="n">
        <f aca="false">J8045*K8045</f>
        <v>91.955</v>
      </c>
      <c r="M8045" s="43" t="n">
        <f aca="false">H8045*15.49*(1+'Chart of Accounts'!$E$67)</f>
        <v>61.5440935</v>
      </c>
    </row>
    <row r="8046" customFormat="false" ht="15" hidden="false" customHeight="false" outlineLevel="0" collapsed="false">
      <c r="B8046" s="7" t="s">
        <v>8543</v>
      </c>
      <c r="C8046" s="39" t="n">
        <v>46020</v>
      </c>
      <c r="D8046" s="7" t="s">
        <v>335</v>
      </c>
      <c r="E8046" s="7" t="s">
        <v>154</v>
      </c>
      <c r="F8046" s="7" t="s">
        <v>177</v>
      </c>
      <c r="G8046" s="7" t="s">
        <v>505</v>
      </c>
      <c r="H8046" s="6" t="n">
        <v>4.39</v>
      </c>
      <c r="I8046" s="6" t="n">
        <v>0</v>
      </c>
      <c r="J8046" s="40" t="n">
        <f aca="false">H8046-I8046</f>
        <v>4.39</v>
      </c>
      <c r="K8046" s="41" t="n">
        <v>26.5</v>
      </c>
      <c r="L8046" s="42" t="n">
        <f aca="false">J8046*K8046</f>
        <v>116.335</v>
      </c>
      <c r="M8046" s="43" t="n">
        <f aca="false">H8046*14.56*(1+'Chart of Accounts'!$E$67)</f>
        <v>73.186568</v>
      </c>
    </row>
    <row r="8047" customFormat="false" ht="15" hidden="false" customHeight="false" outlineLevel="0" collapsed="false">
      <c r="B8047" s="7" t="s">
        <v>8544</v>
      </c>
      <c r="C8047" s="39" t="n">
        <v>46020</v>
      </c>
      <c r="D8047" s="7" t="s">
        <v>339</v>
      </c>
      <c r="E8047" s="7" t="s">
        <v>154</v>
      </c>
      <c r="F8047" s="7" t="s">
        <v>242</v>
      </c>
      <c r="G8047" s="7" t="s">
        <v>505</v>
      </c>
      <c r="H8047" s="6" t="n">
        <v>3.33</v>
      </c>
      <c r="I8047" s="6" t="n">
        <v>0</v>
      </c>
      <c r="J8047" s="40" t="n">
        <f aca="false">H8047-I8047</f>
        <v>3.33</v>
      </c>
      <c r="K8047" s="41" t="n">
        <v>26.5</v>
      </c>
      <c r="L8047" s="42" t="n">
        <f aca="false">J8047*K8047</f>
        <v>88.245</v>
      </c>
      <c r="M8047" s="43" t="n">
        <f aca="false">H8047*17.99*(1+'Chart of Accounts'!$E$67)</f>
        <v>68.5931715</v>
      </c>
    </row>
    <row r="8048" customFormat="false" ht="15" hidden="false" customHeight="false" outlineLevel="0" collapsed="false">
      <c r="B8048" s="7" t="s">
        <v>8545</v>
      </c>
      <c r="C8048" s="39" t="n">
        <v>46020</v>
      </c>
      <c r="D8048" s="7" t="s">
        <v>341</v>
      </c>
      <c r="E8048" s="7" t="s">
        <v>156</v>
      </c>
      <c r="F8048" s="7" t="s">
        <v>222</v>
      </c>
      <c r="G8048" s="7" t="s">
        <v>505</v>
      </c>
      <c r="H8048" s="6" t="n">
        <v>3.04</v>
      </c>
      <c r="I8048" s="6" t="n">
        <v>0</v>
      </c>
      <c r="J8048" s="40" t="n">
        <f aca="false">H8048-I8048</f>
        <v>3.04</v>
      </c>
      <c r="K8048" s="41" t="n">
        <v>34</v>
      </c>
      <c r="L8048" s="42" t="n">
        <f aca="false">J8048*K8048</f>
        <v>103.36</v>
      </c>
      <c r="M8048" s="43" t="n">
        <f aca="false">H8048*17.84*(1+'Chart of Accounts'!$E$67)</f>
        <v>62.097472</v>
      </c>
    </row>
    <row r="8049" customFormat="false" ht="15" hidden="false" customHeight="false" outlineLevel="0" collapsed="false">
      <c r="B8049" s="7" t="s">
        <v>8546</v>
      </c>
      <c r="C8049" s="39" t="n">
        <v>46020</v>
      </c>
      <c r="D8049" s="7" t="s">
        <v>343</v>
      </c>
      <c r="E8049" s="7" t="s">
        <v>154</v>
      </c>
      <c r="F8049" s="7" t="s">
        <v>248</v>
      </c>
      <c r="G8049" s="7" t="s">
        <v>505</v>
      </c>
      <c r="H8049" s="6" t="n">
        <v>4.26</v>
      </c>
      <c r="I8049" s="6" t="n">
        <v>0</v>
      </c>
      <c r="J8049" s="40" t="n">
        <f aca="false">H8049-I8049</f>
        <v>4.26</v>
      </c>
      <c r="K8049" s="41" t="n">
        <v>26.5</v>
      </c>
      <c r="L8049" s="42" t="n">
        <f aca="false">J8049*K8049</f>
        <v>112.89</v>
      </c>
      <c r="M8049" s="43" t="n">
        <f aca="false">H8049*16.45*(1+'Chart of Accounts'!$E$67)</f>
        <v>80.238165</v>
      </c>
    </row>
    <row r="8050" customFormat="false" ht="15" hidden="false" customHeight="false" outlineLevel="0" collapsed="false">
      <c r="B8050" s="7" t="s">
        <v>8547</v>
      </c>
      <c r="C8050" s="39" t="n">
        <v>46020</v>
      </c>
      <c r="D8050" s="7" t="s">
        <v>349</v>
      </c>
      <c r="E8050" s="7" t="s">
        <v>154</v>
      </c>
      <c r="F8050" s="7" t="s">
        <v>244</v>
      </c>
      <c r="G8050" s="7" t="s">
        <v>505</v>
      </c>
      <c r="H8050" s="6" t="n">
        <v>3.64</v>
      </c>
      <c r="I8050" s="6" t="n">
        <v>0</v>
      </c>
      <c r="J8050" s="40" t="n">
        <f aca="false">H8050-I8050</f>
        <v>3.64</v>
      </c>
      <c r="K8050" s="41" t="n">
        <v>26.5</v>
      </c>
      <c r="L8050" s="42" t="n">
        <f aca="false">J8050*K8050</f>
        <v>96.46</v>
      </c>
      <c r="M8050" s="43" t="n">
        <f aca="false">H8050*16.39*(1+'Chart of Accounts'!$E$67)</f>
        <v>68.310242</v>
      </c>
    </row>
    <row r="8051" customFormat="false" ht="15" hidden="false" customHeight="false" outlineLevel="0" collapsed="false">
      <c r="B8051" s="7" t="s">
        <v>8548</v>
      </c>
      <c r="C8051" s="39" t="n">
        <v>46020</v>
      </c>
      <c r="D8051" s="7" t="s">
        <v>351</v>
      </c>
      <c r="E8051" s="7" t="s">
        <v>154</v>
      </c>
      <c r="F8051" s="7" t="s">
        <v>201</v>
      </c>
      <c r="G8051" s="7" t="s">
        <v>505</v>
      </c>
      <c r="H8051" s="6" t="n">
        <v>2.84</v>
      </c>
      <c r="I8051" s="6" t="n">
        <v>0</v>
      </c>
      <c r="J8051" s="40" t="n">
        <f aca="false">H8051-I8051</f>
        <v>2.84</v>
      </c>
      <c r="K8051" s="41" t="n">
        <v>26.5</v>
      </c>
      <c r="L8051" s="42" t="n">
        <f aca="false">J8051*K8051</f>
        <v>75.26</v>
      </c>
      <c r="M8051" s="43" t="n">
        <f aca="false">H8051*15.19*(1+'Chart of Accounts'!$E$67)</f>
        <v>49.394842</v>
      </c>
    </row>
    <row r="8052" customFormat="false" ht="15" hidden="false" customHeight="false" outlineLevel="0" collapsed="false">
      <c r="B8052" s="7" t="s">
        <v>8549</v>
      </c>
      <c r="C8052" s="39" t="n">
        <v>46020</v>
      </c>
      <c r="D8052" s="7" t="s">
        <v>353</v>
      </c>
      <c r="E8052" s="7" t="s">
        <v>154</v>
      </c>
      <c r="F8052" s="7" t="s">
        <v>254</v>
      </c>
      <c r="G8052" s="7" t="s">
        <v>505</v>
      </c>
      <c r="H8052" s="6" t="n">
        <v>3.24</v>
      </c>
      <c r="I8052" s="6" t="n">
        <v>0.097</v>
      </c>
      <c r="J8052" s="40" t="n">
        <f aca="false">H8052-I8052</f>
        <v>3.143</v>
      </c>
      <c r="K8052" s="41" t="n">
        <v>26.5</v>
      </c>
      <c r="L8052" s="42" t="n">
        <f aca="false">J8052*K8052</f>
        <v>83.2895</v>
      </c>
      <c r="M8052" s="43" t="n">
        <f aca="false">H8052*17.1*(1+'Chart of Accounts'!$E$67)</f>
        <v>63.43758</v>
      </c>
    </row>
    <row r="8053" customFormat="false" ht="15" hidden="false" customHeight="false" outlineLevel="0" collapsed="false">
      <c r="B8053" s="7" t="s">
        <v>8550</v>
      </c>
      <c r="C8053" s="39" t="n">
        <v>46020</v>
      </c>
      <c r="D8053" s="7" t="s">
        <v>355</v>
      </c>
      <c r="E8053" s="7" t="s">
        <v>154</v>
      </c>
      <c r="F8053" s="7" t="s">
        <v>201</v>
      </c>
      <c r="G8053" s="7" t="s">
        <v>505</v>
      </c>
      <c r="H8053" s="6" t="n">
        <v>3.03</v>
      </c>
      <c r="I8053" s="6" t="n">
        <v>0.091</v>
      </c>
      <c r="J8053" s="40" t="n">
        <f aca="false">H8053-I8053</f>
        <v>2.939</v>
      </c>
      <c r="K8053" s="41" t="n">
        <v>26.5</v>
      </c>
      <c r="L8053" s="42" t="n">
        <f aca="false">J8053*K8053</f>
        <v>77.8835</v>
      </c>
      <c r="M8053" s="43" t="n">
        <f aca="false">H8053*15.19*(1+'Chart of Accounts'!$E$67)</f>
        <v>52.6994265</v>
      </c>
    </row>
    <row r="8054" customFormat="false" ht="15" hidden="false" customHeight="false" outlineLevel="0" collapsed="false">
      <c r="B8054" s="7" t="s">
        <v>8551</v>
      </c>
      <c r="C8054" s="39" t="n">
        <v>46020</v>
      </c>
      <c r="D8054" s="7" t="s">
        <v>357</v>
      </c>
      <c r="E8054" s="7" t="s">
        <v>154</v>
      </c>
      <c r="F8054" s="7" t="s">
        <v>238</v>
      </c>
      <c r="G8054" s="7" t="s">
        <v>505</v>
      </c>
      <c r="H8054" s="6" t="n">
        <v>3.22</v>
      </c>
      <c r="I8054" s="6" t="n">
        <v>0</v>
      </c>
      <c r="J8054" s="40" t="n">
        <f aca="false">H8054-I8054</f>
        <v>3.22</v>
      </c>
      <c r="K8054" s="41" t="n">
        <v>26.5</v>
      </c>
      <c r="L8054" s="42" t="n">
        <f aca="false">J8054*K8054</f>
        <v>85.33</v>
      </c>
      <c r="M8054" s="43" t="n">
        <f aca="false">H8054*15.85*(1+'Chart of Accounts'!$E$67)</f>
        <v>58.437365</v>
      </c>
    </row>
    <row r="8055" customFormat="false" ht="15" hidden="false" customHeight="false" outlineLevel="0" collapsed="false">
      <c r="B8055" s="7" t="s">
        <v>8552</v>
      </c>
      <c r="C8055" s="39" t="n">
        <v>46020</v>
      </c>
      <c r="D8055" s="7" t="s">
        <v>359</v>
      </c>
      <c r="E8055" s="7" t="s">
        <v>156</v>
      </c>
      <c r="F8055" s="7" t="s">
        <v>220</v>
      </c>
      <c r="G8055" s="7" t="s">
        <v>505</v>
      </c>
      <c r="H8055" s="6" t="n">
        <v>4.21</v>
      </c>
      <c r="I8055" s="6" t="n">
        <v>0</v>
      </c>
      <c r="J8055" s="40" t="n">
        <f aca="false">H8055-I8055</f>
        <v>4.21</v>
      </c>
      <c r="K8055" s="41" t="n">
        <v>34</v>
      </c>
      <c r="L8055" s="42" t="n">
        <f aca="false">J8055*K8055</f>
        <v>143.14</v>
      </c>
      <c r="M8055" s="43" t="n">
        <f aca="false">H8055*16.43*(1+'Chart of Accounts'!$E$67)</f>
        <v>79.1999935</v>
      </c>
    </row>
    <row r="8056" customFormat="false" ht="15" hidden="false" customHeight="false" outlineLevel="0" collapsed="false">
      <c r="B8056" s="7" t="s">
        <v>8553</v>
      </c>
      <c r="C8056" s="39" t="n">
        <v>46020</v>
      </c>
      <c r="D8056" s="7" t="s">
        <v>363</v>
      </c>
      <c r="E8056" s="7" t="s">
        <v>156</v>
      </c>
      <c r="F8056" s="7" t="s">
        <v>246</v>
      </c>
      <c r="G8056" s="7" t="s">
        <v>505</v>
      </c>
      <c r="H8056" s="6" t="n">
        <v>3.66</v>
      </c>
      <c r="I8056" s="6" t="n">
        <v>0</v>
      </c>
      <c r="J8056" s="40" t="n">
        <f aca="false">H8056-I8056</f>
        <v>3.66</v>
      </c>
      <c r="K8056" s="41" t="n">
        <v>34</v>
      </c>
      <c r="L8056" s="42" t="n">
        <f aca="false">J8056*K8056</f>
        <v>124.44</v>
      </c>
      <c r="M8056" s="43" t="n">
        <f aca="false">H8056*16.48*(1+'Chart of Accounts'!$E$67)</f>
        <v>69.062736</v>
      </c>
    </row>
    <row r="8057" customFormat="false" ht="15" hidden="false" customHeight="false" outlineLevel="0" collapsed="false">
      <c r="B8057" s="7" t="s">
        <v>8554</v>
      </c>
      <c r="C8057" s="39" t="n">
        <v>46020</v>
      </c>
      <c r="D8057" s="7" t="s">
        <v>365</v>
      </c>
      <c r="E8057" s="7" t="s">
        <v>154</v>
      </c>
      <c r="F8057" s="7" t="s">
        <v>194</v>
      </c>
      <c r="G8057" s="7" t="s">
        <v>505</v>
      </c>
      <c r="H8057" s="6" t="n">
        <v>4.03</v>
      </c>
      <c r="I8057" s="6" t="n">
        <v>0</v>
      </c>
      <c r="J8057" s="40" t="n">
        <f aca="false">H8057-I8057</f>
        <v>4.03</v>
      </c>
      <c r="K8057" s="41" t="n">
        <v>26.5</v>
      </c>
      <c r="L8057" s="42" t="n">
        <f aca="false">J8057*K8057</f>
        <v>106.795</v>
      </c>
      <c r="M8057" s="43" t="n">
        <f aca="false">H8057*16*(1+'Chart of Accounts'!$E$67)</f>
        <v>73.8296</v>
      </c>
    </row>
    <row r="8058" customFormat="false" ht="15" hidden="false" customHeight="false" outlineLevel="0" collapsed="false">
      <c r="B8058" s="7" t="s">
        <v>8555</v>
      </c>
      <c r="C8058" s="39" t="n">
        <v>46020</v>
      </c>
      <c r="D8058" s="7" t="s">
        <v>367</v>
      </c>
      <c r="E8058" s="7" t="s">
        <v>156</v>
      </c>
      <c r="F8058" s="7" t="s">
        <v>256</v>
      </c>
      <c r="G8058" s="7" t="s">
        <v>505</v>
      </c>
      <c r="H8058" s="6" t="n">
        <v>2.92</v>
      </c>
      <c r="I8058" s="6" t="n">
        <v>0</v>
      </c>
      <c r="J8058" s="40" t="n">
        <f aca="false">H8058-I8058</f>
        <v>2.92</v>
      </c>
      <c r="K8058" s="41" t="n">
        <v>34</v>
      </c>
      <c r="L8058" s="42" t="n">
        <f aca="false">J8058*K8058</f>
        <v>99.28</v>
      </c>
      <c r="M8058" s="43" t="n">
        <f aca="false">H8058*15.63*(1+'Chart of Accounts'!$E$67)</f>
        <v>52.257342</v>
      </c>
    </row>
    <row r="8059" customFormat="false" ht="15" hidden="false" customHeight="false" outlineLevel="0" collapsed="false">
      <c r="B8059" s="7" t="s">
        <v>8556</v>
      </c>
      <c r="C8059" s="39" t="n">
        <v>46020</v>
      </c>
      <c r="D8059" s="7" t="s">
        <v>371</v>
      </c>
      <c r="E8059" s="7" t="s">
        <v>154</v>
      </c>
      <c r="F8059" s="7" t="s">
        <v>232</v>
      </c>
      <c r="G8059" s="7" t="s">
        <v>505</v>
      </c>
      <c r="H8059" s="6" t="n">
        <v>4.44</v>
      </c>
      <c r="I8059" s="6" t="n">
        <v>0</v>
      </c>
      <c r="J8059" s="40" t="n">
        <f aca="false">H8059-I8059</f>
        <v>4.44</v>
      </c>
      <c r="K8059" s="41" t="n">
        <v>26.5</v>
      </c>
      <c r="L8059" s="42" t="n">
        <f aca="false">J8059*K8059</f>
        <v>117.66</v>
      </c>
      <c r="M8059" s="43" t="n">
        <f aca="false">H8059*16.17*(1+'Chart of Accounts'!$E$67)</f>
        <v>82.205046</v>
      </c>
    </row>
    <row r="8060" customFormat="false" ht="15" hidden="false" customHeight="false" outlineLevel="0" collapsed="false">
      <c r="B8060" s="7" t="s">
        <v>8557</v>
      </c>
      <c r="C8060" s="39" t="n">
        <v>46020</v>
      </c>
      <c r="D8060" s="7" t="s">
        <v>375</v>
      </c>
      <c r="E8060" s="7" t="s">
        <v>156</v>
      </c>
      <c r="F8060" s="7" t="s">
        <v>196</v>
      </c>
      <c r="G8060" s="7" t="s">
        <v>505</v>
      </c>
      <c r="H8060" s="6" t="n">
        <v>3.28</v>
      </c>
      <c r="I8060" s="6" t="n">
        <v>0</v>
      </c>
      <c r="J8060" s="40" t="n">
        <f aca="false">H8060-I8060</f>
        <v>3.28</v>
      </c>
      <c r="K8060" s="41" t="n">
        <v>34</v>
      </c>
      <c r="L8060" s="42" t="n">
        <f aca="false">J8060*K8060</f>
        <v>111.52</v>
      </c>
      <c r="M8060" s="43" t="n">
        <f aca="false">H8060*15.05*(1+'Chart of Accounts'!$E$67)</f>
        <v>56.52178</v>
      </c>
    </row>
    <row r="8061" customFormat="false" ht="15" hidden="false" customHeight="false" outlineLevel="0" collapsed="false">
      <c r="B8061" s="7" t="s">
        <v>8558</v>
      </c>
      <c r="C8061" s="39" t="n">
        <v>46020</v>
      </c>
      <c r="D8061" s="7" t="s">
        <v>377</v>
      </c>
      <c r="E8061" s="7" t="s">
        <v>154</v>
      </c>
      <c r="F8061" s="7" t="s">
        <v>214</v>
      </c>
      <c r="G8061" s="7" t="s">
        <v>505</v>
      </c>
      <c r="H8061" s="6" t="n">
        <v>3.91</v>
      </c>
      <c r="I8061" s="6" t="n">
        <v>0</v>
      </c>
      <c r="J8061" s="40" t="n">
        <f aca="false">H8061-I8061</f>
        <v>3.91</v>
      </c>
      <c r="K8061" s="41" t="n">
        <v>26.5</v>
      </c>
      <c r="L8061" s="42" t="n">
        <f aca="false">J8061*K8061</f>
        <v>103.615</v>
      </c>
      <c r="M8061" s="43" t="n">
        <f aca="false">H8061*15.67*(1+'Chart of Accounts'!$E$67)</f>
        <v>70.1538065</v>
      </c>
    </row>
    <row r="8062" customFormat="false" ht="15" hidden="false" customHeight="false" outlineLevel="0" collapsed="false">
      <c r="B8062" s="7" t="s">
        <v>8559</v>
      </c>
      <c r="C8062" s="39" t="n">
        <v>46020</v>
      </c>
      <c r="D8062" s="7" t="s">
        <v>379</v>
      </c>
      <c r="E8062" s="7" t="s">
        <v>156</v>
      </c>
      <c r="F8062" s="7" t="s">
        <v>224</v>
      </c>
      <c r="G8062" s="7" t="s">
        <v>505</v>
      </c>
      <c r="H8062" s="6" t="n">
        <v>4.64</v>
      </c>
      <c r="I8062" s="6" t="n">
        <v>0</v>
      </c>
      <c r="J8062" s="40" t="n">
        <f aca="false">H8062-I8062</f>
        <v>4.64</v>
      </c>
      <c r="K8062" s="41" t="n">
        <v>34</v>
      </c>
      <c r="L8062" s="42" t="n">
        <f aca="false">J8062*K8062</f>
        <v>157.76</v>
      </c>
      <c r="M8062" s="43" t="n">
        <f aca="false">H8062*14.93*(1+'Chart of Accounts'!$E$67)</f>
        <v>79.320104</v>
      </c>
    </row>
    <row r="8063" customFormat="false" ht="15" hidden="false" customHeight="false" outlineLevel="0" collapsed="false">
      <c r="B8063" s="7" t="s">
        <v>8560</v>
      </c>
      <c r="C8063" s="39" t="n">
        <v>46020</v>
      </c>
      <c r="D8063" s="7" t="s">
        <v>385</v>
      </c>
      <c r="E8063" s="7" t="s">
        <v>156</v>
      </c>
      <c r="F8063" s="7" t="s">
        <v>238</v>
      </c>
      <c r="G8063" s="7" t="s">
        <v>505</v>
      </c>
      <c r="H8063" s="6" t="n">
        <v>3.79</v>
      </c>
      <c r="I8063" s="6" t="n">
        <v>0</v>
      </c>
      <c r="J8063" s="40" t="n">
        <f aca="false">H8063-I8063</f>
        <v>3.79</v>
      </c>
      <c r="K8063" s="41" t="n">
        <v>34</v>
      </c>
      <c r="L8063" s="42" t="n">
        <f aca="false">J8063*K8063</f>
        <v>128.86</v>
      </c>
      <c r="M8063" s="43" t="n">
        <f aca="false">H8063*15.85*(1+'Chart of Accounts'!$E$67)</f>
        <v>68.7818675</v>
      </c>
    </row>
    <row r="8064" customFormat="false" ht="15" hidden="false" customHeight="false" outlineLevel="0" collapsed="false">
      <c r="B8064" s="7" t="s">
        <v>8561</v>
      </c>
      <c r="C8064" s="39" t="n">
        <v>46020</v>
      </c>
      <c r="D8064" s="7" t="s">
        <v>387</v>
      </c>
      <c r="E8064" s="7" t="s">
        <v>154</v>
      </c>
      <c r="F8064" s="7" t="s">
        <v>196</v>
      </c>
      <c r="G8064" s="7" t="s">
        <v>505</v>
      </c>
      <c r="H8064" s="6" t="n">
        <v>3.9</v>
      </c>
      <c r="I8064" s="6" t="n">
        <v>0</v>
      </c>
      <c r="J8064" s="40" t="n">
        <f aca="false">H8064-I8064</f>
        <v>3.9</v>
      </c>
      <c r="K8064" s="41" t="n">
        <v>26.5</v>
      </c>
      <c r="L8064" s="42" t="n">
        <f aca="false">J8064*K8064</f>
        <v>103.35</v>
      </c>
      <c r="M8064" s="43" t="n">
        <f aca="false">H8064*15.05*(1+'Chart of Accounts'!$E$67)</f>
        <v>67.205775</v>
      </c>
    </row>
    <row r="8065" customFormat="false" ht="15" hidden="false" customHeight="false" outlineLevel="0" collapsed="false">
      <c r="B8065" s="7" t="s">
        <v>8562</v>
      </c>
      <c r="C8065" s="39" t="n">
        <v>46020</v>
      </c>
      <c r="D8065" s="7" t="s">
        <v>389</v>
      </c>
      <c r="E8065" s="7" t="s">
        <v>154</v>
      </c>
      <c r="F8065" s="7" t="s">
        <v>246</v>
      </c>
      <c r="G8065" s="7" t="s">
        <v>505</v>
      </c>
      <c r="H8065" s="6" t="n">
        <v>4.14</v>
      </c>
      <c r="I8065" s="6" t="n">
        <v>0</v>
      </c>
      <c r="J8065" s="40" t="n">
        <f aca="false">H8065-I8065</f>
        <v>4.14</v>
      </c>
      <c r="K8065" s="41" t="n">
        <v>26.5</v>
      </c>
      <c r="L8065" s="42" t="n">
        <f aca="false">J8065*K8065</f>
        <v>109.71</v>
      </c>
      <c r="M8065" s="43" t="n">
        <f aca="false">H8065*16.48*(1+'Chart of Accounts'!$E$67)</f>
        <v>78.120144</v>
      </c>
    </row>
    <row r="8066" customFormat="false" ht="15" hidden="false" customHeight="false" outlineLevel="0" collapsed="false">
      <c r="B8066" s="7" t="s">
        <v>8563</v>
      </c>
      <c r="C8066" s="39" t="n">
        <v>46020</v>
      </c>
      <c r="D8066" s="7" t="s">
        <v>391</v>
      </c>
      <c r="E8066" s="7" t="s">
        <v>156</v>
      </c>
      <c r="F8066" s="7" t="s">
        <v>222</v>
      </c>
      <c r="G8066" s="7" t="s">
        <v>505</v>
      </c>
      <c r="H8066" s="6" t="n">
        <v>3.88</v>
      </c>
      <c r="I8066" s="6" t="n">
        <v>0</v>
      </c>
      <c r="J8066" s="40" t="n">
        <f aca="false">H8066-I8066</f>
        <v>3.88</v>
      </c>
      <c r="K8066" s="41" t="n">
        <v>34</v>
      </c>
      <c r="L8066" s="42" t="n">
        <f aca="false">J8066*K8066</f>
        <v>131.92</v>
      </c>
      <c r="M8066" s="43" t="n">
        <f aca="false">H8066*17.84*(1+'Chart of Accounts'!$E$67)</f>
        <v>79.255984</v>
      </c>
    </row>
    <row r="8067" customFormat="false" ht="15" hidden="false" customHeight="false" outlineLevel="0" collapsed="false">
      <c r="B8067" s="7" t="s">
        <v>8564</v>
      </c>
      <c r="C8067" s="39" t="n">
        <v>46020</v>
      </c>
      <c r="D8067" s="7" t="s">
        <v>395</v>
      </c>
      <c r="E8067" s="7" t="s">
        <v>156</v>
      </c>
      <c r="F8067" s="7" t="s">
        <v>242</v>
      </c>
      <c r="G8067" s="7" t="s">
        <v>505</v>
      </c>
      <c r="H8067" s="6" t="n">
        <v>3.99</v>
      </c>
      <c r="I8067" s="6" t="n">
        <v>0</v>
      </c>
      <c r="J8067" s="40" t="n">
        <f aca="false">H8067-I8067</f>
        <v>3.99</v>
      </c>
      <c r="K8067" s="41" t="n">
        <v>34</v>
      </c>
      <c r="L8067" s="42" t="n">
        <f aca="false">J8067*K8067</f>
        <v>135.66</v>
      </c>
      <c r="M8067" s="43" t="n">
        <f aca="false">H8067*17.99*(1+'Chart of Accounts'!$E$67)</f>
        <v>82.1882145</v>
      </c>
    </row>
    <row r="8068" customFormat="false" ht="15" hidden="false" customHeight="false" outlineLevel="0" collapsed="false">
      <c r="B8068" s="7" t="s">
        <v>8565</v>
      </c>
      <c r="C8068" s="39" t="n">
        <v>46020</v>
      </c>
      <c r="D8068" s="7" t="s">
        <v>399</v>
      </c>
      <c r="E8068" s="7" t="s">
        <v>154</v>
      </c>
      <c r="F8068" s="7" t="s">
        <v>242</v>
      </c>
      <c r="G8068" s="7" t="s">
        <v>505</v>
      </c>
      <c r="H8068" s="6" t="n">
        <v>3.27</v>
      </c>
      <c r="I8068" s="6" t="n">
        <v>0</v>
      </c>
      <c r="J8068" s="40" t="n">
        <f aca="false">H8068-I8068</f>
        <v>3.27</v>
      </c>
      <c r="K8068" s="41" t="n">
        <v>26.5</v>
      </c>
      <c r="L8068" s="42" t="n">
        <f aca="false">J8068*K8068</f>
        <v>86.655</v>
      </c>
      <c r="M8068" s="43" t="n">
        <f aca="false">H8068*17.99*(1+'Chart of Accounts'!$E$67)</f>
        <v>67.3572585</v>
      </c>
    </row>
    <row r="8069" customFormat="false" ht="15" hidden="false" customHeight="false" outlineLevel="0" collapsed="false">
      <c r="B8069" s="7" t="s">
        <v>8566</v>
      </c>
      <c r="C8069" s="39" t="n">
        <v>46020</v>
      </c>
      <c r="D8069" s="7" t="s">
        <v>401</v>
      </c>
      <c r="E8069" s="7" t="s">
        <v>156</v>
      </c>
      <c r="F8069" s="7" t="s">
        <v>254</v>
      </c>
      <c r="G8069" s="7" t="s">
        <v>505</v>
      </c>
      <c r="H8069" s="6" t="n">
        <v>3.81</v>
      </c>
      <c r="I8069" s="6" t="n">
        <v>0</v>
      </c>
      <c r="J8069" s="40" t="n">
        <f aca="false">H8069-I8069</f>
        <v>3.81</v>
      </c>
      <c r="K8069" s="41" t="n">
        <v>34</v>
      </c>
      <c r="L8069" s="42" t="n">
        <f aca="false">J8069*K8069</f>
        <v>129.54</v>
      </c>
      <c r="M8069" s="43" t="n">
        <f aca="false">H8069*17.1*(1+'Chart of Accounts'!$E$67)</f>
        <v>74.597895</v>
      </c>
    </row>
    <row r="8070" customFormat="false" ht="15" hidden="false" customHeight="false" outlineLevel="0" collapsed="false">
      <c r="B8070" s="7" t="s">
        <v>8567</v>
      </c>
      <c r="C8070" s="39" t="n">
        <v>46020</v>
      </c>
      <c r="D8070" s="7" t="s">
        <v>403</v>
      </c>
      <c r="E8070" s="7" t="s">
        <v>156</v>
      </c>
      <c r="F8070" s="7" t="s">
        <v>184</v>
      </c>
      <c r="G8070" s="7" t="s">
        <v>505</v>
      </c>
      <c r="H8070" s="6" t="n">
        <v>3.93</v>
      </c>
      <c r="I8070" s="6" t="n">
        <v>0</v>
      </c>
      <c r="J8070" s="40" t="n">
        <f aca="false">H8070-I8070</f>
        <v>3.93</v>
      </c>
      <c r="K8070" s="41" t="n">
        <v>34</v>
      </c>
      <c r="L8070" s="42" t="n">
        <f aca="false">J8070*K8070</f>
        <v>133.62</v>
      </c>
      <c r="M8070" s="43" t="n">
        <f aca="false">H8070*17.34*(1+'Chart of Accounts'!$E$67)</f>
        <v>78.027399</v>
      </c>
    </row>
    <row r="8071" customFormat="false" ht="15" hidden="false" customHeight="false" outlineLevel="0" collapsed="false">
      <c r="B8071" s="7" t="s">
        <v>8568</v>
      </c>
      <c r="C8071" s="39" t="n">
        <v>46020</v>
      </c>
      <c r="D8071" s="7" t="s">
        <v>405</v>
      </c>
      <c r="E8071" s="7" t="s">
        <v>156</v>
      </c>
      <c r="F8071" s="7" t="s">
        <v>240</v>
      </c>
      <c r="G8071" s="7" t="s">
        <v>505</v>
      </c>
      <c r="H8071" s="6" t="n">
        <v>3.09</v>
      </c>
      <c r="I8071" s="6" t="n">
        <v>0</v>
      </c>
      <c r="J8071" s="40" t="n">
        <f aca="false">H8071-I8071</f>
        <v>3.09</v>
      </c>
      <c r="K8071" s="41" t="n">
        <v>34</v>
      </c>
      <c r="L8071" s="42" t="n">
        <f aca="false">J8071*K8071</f>
        <v>105.06</v>
      </c>
      <c r="M8071" s="43" t="n">
        <f aca="false">H8071*16.96*(1+'Chart of Accounts'!$E$67)</f>
        <v>60.005328</v>
      </c>
    </row>
    <row r="8072" customFormat="false" ht="15" hidden="false" customHeight="false" outlineLevel="0" collapsed="false">
      <c r="B8072" s="7" t="s">
        <v>8569</v>
      </c>
      <c r="C8072" s="39" t="n">
        <v>46020</v>
      </c>
      <c r="D8072" s="7" t="s">
        <v>411</v>
      </c>
      <c r="E8072" s="7" t="s">
        <v>154</v>
      </c>
      <c r="F8072" s="7" t="s">
        <v>177</v>
      </c>
      <c r="G8072" s="7" t="s">
        <v>505</v>
      </c>
      <c r="H8072" s="6" t="n">
        <v>4.43</v>
      </c>
      <c r="I8072" s="6" t="n">
        <v>0</v>
      </c>
      <c r="J8072" s="40" t="n">
        <f aca="false">H8072-I8072</f>
        <v>4.43</v>
      </c>
      <c r="K8072" s="41" t="n">
        <v>26.5</v>
      </c>
      <c r="L8072" s="42" t="n">
        <f aca="false">J8072*K8072</f>
        <v>117.395</v>
      </c>
      <c r="M8072" s="43" t="n">
        <f aca="false">H8072*14.56*(1+'Chart of Accounts'!$E$67)</f>
        <v>73.853416</v>
      </c>
    </row>
    <row r="8073" customFormat="false" ht="15" hidden="false" customHeight="false" outlineLevel="0" collapsed="false">
      <c r="B8073" s="7" t="s">
        <v>8570</v>
      </c>
      <c r="C8073" s="39" t="n">
        <v>46021</v>
      </c>
      <c r="D8073" s="7" t="s">
        <v>288</v>
      </c>
      <c r="E8073" s="7" t="s">
        <v>156</v>
      </c>
      <c r="F8073" s="7" t="s">
        <v>220</v>
      </c>
      <c r="G8073" s="7" t="s">
        <v>505</v>
      </c>
      <c r="H8073" s="6" t="n">
        <v>3.96</v>
      </c>
      <c r="I8073" s="6" t="n">
        <v>0</v>
      </c>
      <c r="J8073" s="40" t="n">
        <f aca="false">H8073-I8073</f>
        <v>3.96</v>
      </c>
      <c r="K8073" s="41" t="n">
        <v>34</v>
      </c>
      <c r="L8073" s="42" t="n">
        <f aca="false">J8073*K8073</f>
        <v>134.64</v>
      </c>
      <c r="M8073" s="43" t="n">
        <f aca="false">H8073*16.43*(1+'Chart of Accounts'!$E$67)</f>
        <v>74.496906</v>
      </c>
    </row>
    <row r="8074" customFormat="false" ht="15" hidden="false" customHeight="false" outlineLevel="0" collapsed="false">
      <c r="B8074" s="7" t="s">
        <v>8571</v>
      </c>
      <c r="C8074" s="39" t="n">
        <v>46021</v>
      </c>
      <c r="D8074" s="7" t="s">
        <v>293</v>
      </c>
      <c r="E8074" s="7" t="s">
        <v>157</v>
      </c>
      <c r="F8074" s="7" t="s">
        <v>198</v>
      </c>
      <c r="G8074" s="7" t="s">
        <v>502</v>
      </c>
      <c r="H8074" s="6" t="n">
        <v>1</v>
      </c>
      <c r="I8074" s="6" t="n">
        <v>0</v>
      </c>
      <c r="J8074" s="40" t="n">
        <f aca="false">H8074-I8074</f>
        <v>1</v>
      </c>
      <c r="K8074" s="41" t="n">
        <v>165</v>
      </c>
      <c r="L8074" s="42" t="n">
        <f aca="false">J8074*K8074</f>
        <v>165</v>
      </c>
      <c r="M8074" s="43" t="n">
        <f aca="false">H8074*48.09*(1+'Chart of Accounts'!$E$67)</f>
        <v>55.06305</v>
      </c>
    </row>
    <row r="8075" customFormat="false" ht="15" hidden="false" customHeight="false" outlineLevel="0" collapsed="false">
      <c r="B8075" s="7" t="s">
        <v>8572</v>
      </c>
      <c r="C8075" s="39" t="n">
        <v>46021</v>
      </c>
      <c r="D8075" s="7" t="s">
        <v>301</v>
      </c>
      <c r="E8075" s="7" t="s">
        <v>157</v>
      </c>
      <c r="F8075" s="7" t="s">
        <v>209</v>
      </c>
      <c r="G8075" s="7" t="s">
        <v>502</v>
      </c>
      <c r="H8075" s="6" t="n">
        <v>1.06</v>
      </c>
      <c r="I8075" s="6" t="n">
        <v>0</v>
      </c>
      <c r="J8075" s="40" t="n">
        <f aca="false">H8075-I8075</f>
        <v>1.06</v>
      </c>
      <c r="K8075" s="41" t="n">
        <v>165</v>
      </c>
      <c r="L8075" s="42" t="n">
        <f aca="false">J8075*K8075</f>
        <v>174.9</v>
      </c>
      <c r="M8075" s="43" t="n">
        <f aca="false">H8075*73.58*(1+'Chart of Accounts'!$E$67)</f>
        <v>89.304046</v>
      </c>
    </row>
    <row r="8076" customFormat="false" ht="15" hidden="false" customHeight="false" outlineLevel="0" collapsed="false">
      <c r="B8076" s="7" t="s">
        <v>8573</v>
      </c>
      <c r="C8076" s="39" t="n">
        <v>46021</v>
      </c>
      <c r="D8076" s="7" t="s">
        <v>313</v>
      </c>
      <c r="E8076" s="7" t="s">
        <v>156</v>
      </c>
      <c r="F8076" s="7" t="s">
        <v>184</v>
      </c>
      <c r="G8076" s="7" t="s">
        <v>505</v>
      </c>
      <c r="H8076" s="6" t="n">
        <v>3.7</v>
      </c>
      <c r="I8076" s="6" t="n">
        <v>0</v>
      </c>
      <c r="J8076" s="40" t="n">
        <f aca="false">H8076-I8076</f>
        <v>3.7</v>
      </c>
      <c r="K8076" s="41" t="n">
        <v>34</v>
      </c>
      <c r="L8076" s="42" t="n">
        <f aca="false">J8076*K8076</f>
        <v>125.8</v>
      </c>
      <c r="M8076" s="43" t="n">
        <f aca="false">H8076*17.34*(1+'Chart of Accounts'!$E$67)</f>
        <v>73.46091</v>
      </c>
    </row>
    <row r="8077" customFormat="false" ht="15" hidden="false" customHeight="false" outlineLevel="0" collapsed="false">
      <c r="B8077" s="7" t="s">
        <v>8574</v>
      </c>
      <c r="C8077" s="39" t="n">
        <v>46021</v>
      </c>
      <c r="D8077" s="7" t="s">
        <v>319</v>
      </c>
      <c r="E8077" s="7" t="s">
        <v>157</v>
      </c>
      <c r="F8077" s="7" t="s">
        <v>234</v>
      </c>
      <c r="G8077" s="7" t="s">
        <v>502</v>
      </c>
      <c r="H8077" s="6" t="n">
        <v>0.97</v>
      </c>
      <c r="I8077" s="6" t="n">
        <v>0</v>
      </c>
      <c r="J8077" s="40" t="n">
        <f aca="false">H8077-I8077</f>
        <v>0.97</v>
      </c>
      <c r="K8077" s="41" t="n">
        <v>165</v>
      </c>
      <c r="L8077" s="42" t="n">
        <f aca="false">J8077*K8077</f>
        <v>160.05</v>
      </c>
      <c r="M8077" s="43" t="n">
        <f aca="false">H8077*89.53*(1+'Chart of Accounts'!$E$67)</f>
        <v>99.4364945</v>
      </c>
    </row>
    <row r="8078" customFormat="false" ht="15" hidden="false" customHeight="false" outlineLevel="0" collapsed="false">
      <c r="B8078" s="7" t="s">
        <v>8575</v>
      </c>
      <c r="C8078" s="39" t="n">
        <v>46021</v>
      </c>
      <c r="D8078" s="7" t="s">
        <v>321</v>
      </c>
      <c r="E8078" s="7" t="s">
        <v>154</v>
      </c>
      <c r="F8078" s="7" t="s">
        <v>218</v>
      </c>
      <c r="G8078" s="7" t="s">
        <v>505</v>
      </c>
      <c r="H8078" s="6" t="n">
        <v>4</v>
      </c>
      <c r="I8078" s="6" t="n">
        <v>0</v>
      </c>
      <c r="J8078" s="40" t="n">
        <f aca="false">H8078-I8078</f>
        <v>4</v>
      </c>
      <c r="K8078" s="41" t="n">
        <v>26.5</v>
      </c>
      <c r="L8078" s="42" t="n">
        <f aca="false">J8078*K8078</f>
        <v>106</v>
      </c>
      <c r="M8078" s="43" t="n">
        <f aca="false">H8078*16.19*(1+'Chart of Accounts'!$E$67)</f>
        <v>74.1502</v>
      </c>
    </row>
    <row r="8079" customFormat="false" ht="15" hidden="false" customHeight="false" outlineLevel="0" collapsed="false">
      <c r="B8079" s="7" t="s">
        <v>8576</v>
      </c>
      <c r="C8079" s="39" t="n">
        <v>46021</v>
      </c>
      <c r="D8079" s="7" t="s">
        <v>323</v>
      </c>
      <c r="E8079" s="7" t="s">
        <v>159</v>
      </c>
      <c r="F8079" s="7" t="s">
        <v>187</v>
      </c>
      <c r="G8079" s="7" t="s">
        <v>502</v>
      </c>
      <c r="H8079" s="6" t="n">
        <v>0.98</v>
      </c>
      <c r="I8079" s="6" t="n">
        <v>0</v>
      </c>
      <c r="J8079" s="40" t="n">
        <f aca="false">H8079-I8079</f>
        <v>0.98</v>
      </c>
      <c r="K8079" s="41" t="n">
        <v>135</v>
      </c>
      <c r="L8079" s="42" t="n">
        <f aca="false">J8079*K8079</f>
        <v>132.3</v>
      </c>
      <c r="M8079" s="43" t="n">
        <f aca="false">H8079*66.48*(1+'Chart of Accounts'!$E$67)</f>
        <v>74.597208</v>
      </c>
    </row>
    <row r="8080" customFormat="false" ht="15" hidden="false" customHeight="false" outlineLevel="0" collapsed="false">
      <c r="B8080" s="7" t="s">
        <v>8577</v>
      </c>
      <c r="C8080" s="39" t="n">
        <v>46021</v>
      </c>
      <c r="D8080" s="7" t="s">
        <v>327</v>
      </c>
      <c r="E8080" s="7" t="s">
        <v>157</v>
      </c>
      <c r="F8080" s="7" t="s">
        <v>228</v>
      </c>
      <c r="G8080" s="7" t="s">
        <v>502</v>
      </c>
      <c r="H8080" s="6" t="n">
        <v>1.06</v>
      </c>
      <c r="I8080" s="6" t="n">
        <v>0.053</v>
      </c>
      <c r="J8080" s="40" t="n">
        <f aca="false">H8080-I8080</f>
        <v>1.007</v>
      </c>
      <c r="K8080" s="41" t="n">
        <v>165</v>
      </c>
      <c r="L8080" s="42" t="n">
        <f aca="false">J8080*K8080</f>
        <v>166.155</v>
      </c>
      <c r="M8080" s="43" t="n">
        <f aca="false">H8080*51.07*(1+'Chart of Accounts'!$E$67)</f>
        <v>61.983659</v>
      </c>
    </row>
    <row r="8081" customFormat="false" ht="15" hidden="false" customHeight="false" outlineLevel="0" collapsed="false">
      <c r="B8081" s="7" t="s">
        <v>8578</v>
      </c>
      <c r="C8081" s="39" t="n">
        <v>46021</v>
      </c>
      <c r="D8081" s="7" t="s">
        <v>329</v>
      </c>
      <c r="E8081" s="7" t="s">
        <v>156</v>
      </c>
      <c r="F8081" s="7" t="s">
        <v>220</v>
      </c>
      <c r="G8081" s="7" t="s">
        <v>505</v>
      </c>
      <c r="H8081" s="6" t="n">
        <v>3.88</v>
      </c>
      <c r="I8081" s="6" t="n">
        <v>0</v>
      </c>
      <c r="J8081" s="40" t="n">
        <f aca="false">H8081-I8081</f>
        <v>3.88</v>
      </c>
      <c r="K8081" s="41" t="n">
        <v>34</v>
      </c>
      <c r="L8081" s="42" t="n">
        <f aca="false">J8081*K8081</f>
        <v>131.92</v>
      </c>
      <c r="M8081" s="43" t="n">
        <f aca="false">H8081*16.43*(1+'Chart of Accounts'!$E$67)</f>
        <v>72.991918</v>
      </c>
    </row>
    <row r="8082" customFormat="false" ht="15" hidden="false" customHeight="false" outlineLevel="0" collapsed="false">
      <c r="B8082" s="7" t="s">
        <v>8579</v>
      </c>
      <c r="C8082" s="39" t="n">
        <v>46021</v>
      </c>
      <c r="D8082" s="7" t="s">
        <v>345</v>
      </c>
      <c r="E8082" s="7" t="s">
        <v>159</v>
      </c>
      <c r="F8082" s="7" t="s">
        <v>230</v>
      </c>
      <c r="G8082" s="7" t="s">
        <v>502</v>
      </c>
      <c r="H8082" s="6" t="n">
        <v>0.91</v>
      </c>
      <c r="I8082" s="6" t="n">
        <v>0</v>
      </c>
      <c r="J8082" s="40" t="n">
        <f aca="false">H8082-I8082</f>
        <v>0.91</v>
      </c>
      <c r="K8082" s="41" t="n">
        <v>135</v>
      </c>
      <c r="L8082" s="42" t="n">
        <f aca="false">J8082*K8082</f>
        <v>122.85</v>
      </c>
      <c r="M8082" s="43" t="n">
        <f aca="false">H8082*48.78*(1+'Chart of Accounts'!$E$67)</f>
        <v>50.826321</v>
      </c>
    </row>
    <row r="8083" customFormat="false" ht="15" hidden="false" customHeight="false" outlineLevel="0" collapsed="false">
      <c r="B8083" s="7" t="s">
        <v>8580</v>
      </c>
      <c r="C8083" s="39" t="n">
        <v>46021</v>
      </c>
      <c r="D8083" s="7" t="s">
        <v>349</v>
      </c>
      <c r="E8083" s="7" t="s">
        <v>154</v>
      </c>
      <c r="F8083" s="7" t="s">
        <v>244</v>
      </c>
      <c r="G8083" s="7" t="s">
        <v>505</v>
      </c>
      <c r="H8083" s="6" t="n">
        <v>4.35</v>
      </c>
      <c r="I8083" s="6" t="n">
        <v>0</v>
      </c>
      <c r="J8083" s="40" t="n">
        <f aca="false">H8083-I8083</f>
        <v>4.35</v>
      </c>
      <c r="K8083" s="41" t="n">
        <v>26.5</v>
      </c>
      <c r="L8083" s="42" t="n">
        <f aca="false">J8083*K8083</f>
        <v>115.275</v>
      </c>
      <c r="M8083" s="43" t="n">
        <f aca="false">H8083*16.39*(1+'Chart of Accounts'!$E$67)</f>
        <v>81.6344925</v>
      </c>
    </row>
    <row r="8084" customFormat="false" ht="15" hidden="false" customHeight="false" outlineLevel="0" collapsed="false">
      <c r="B8084" s="7" t="s">
        <v>8581</v>
      </c>
      <c r="C8084" s="39" t="n">
        <v>46021</v>
      </c>
      <c r="D8084" s="7" t="s">
        <v>359</v>
      </c>
      <c r="E8084" s="7" t="s">
        <v>156</v>
      </c>
      <c r="F8084" s="7" t="s">
        <v>244</v>
      </c>
      <c r="G8084" s="7" t="s">
        <v>505</v>
      </c>
      <c r="H8084" s="6" t="n">
        <v>3.82</v>
      </c>
      <c r="I8084" s="6" t="n">
        <v>0</v>
      </c>
      <c r="J8084" s="40" t="n">
        <f aca="false">H8084-I8084</f>
        <v>3.82</v>
      </c>
      <c r="K8084" s="41" t="n">
        <v>34</v>
      </c>
      <c r="L8084" s="42" t="n">
        <f aca="false">J8084*K8084</f>
        <v>129.88</v>
      </c>
      <c r="M8084" s="43" t="n">
        <f aca="false">H8084*16.39*(1+'Chart of Accounts'!$E$67)</f>
        <v>71.688221</v>
      </c>
    </row>
    <row r="8085" customFormat="false" ht="15" hidden="false" customHeight="false" outlineLevel="0" collapsed="false">
      <c r="B8085" s="7" t="s">
        <v>8582</v>
      </c>
      <c r="C8085" s="39" t="n">
        <v>46021</v>
      </c>
      <c r="D8085" s="7" t="s">
        <v>361</v>
      </c>
      <c r="E8085" s="7" t="s">
        <v>157</v>
      </c>
      <c r="F8085" s="7" t="s">
        <v>209</v>
      </c>
      <c r="G8085" s="7" t="s">
        <v>502</v>
      </c>
      <c r="H8085" s="6" t="n">
        <v>1.02</v>
      </c>
      <c r="I8085" s="6" t="n">
        <v>0</v>
      </c>
      <c r="J8085" s="40" t="n">
        <f aca="false">H8085-I8085</f>
        <v>1.02</v>
      </c>
      <c r="K8085" s="41" t="n">
        <v>165</v>
      </c>
      <c r="L8085" s="42" t="n">
        <f aca="false">J8085*K8085</f>
        <v>168.3</v>
      </c>
      <c r="M8085" s="43" t="n">
        <f aca="false">H8085*73.58*(1+'Chart of Accounts'!$E$67)</f>
        <v>85.934082</v>
      </c>
    </row>
    <row r="8086" customFormat="false" ht="15" hidden="false" customHeight="false" outlineLevel="0" collapsed="false">
      <c r="B8086" s="7" t="s">
        <v>8583</v>
      </c>
      <c r="C8086" s="39" t="n">
        <v>46021</v>
      </c>
      <c r="D8086" s="7" t="s">
        <v>365</v>
      </c>
      <c r="E8086" s="7" t="s">
        <v>154</v>
      </c>
      <c r="F8086" s="7" t="s">
        <v>194</v>
      </c>
      <c r="G8086" s="7" t="s">
        <v>505</v>
      </c>
      <c r="H8086" s="6" t="n">
        <v>4.14</v>
      </c>
      <c r="I8086" s="6" t="n">
        <v>0</v>
      </c>
      <c r="J8086" s="40" t="n">
        <f aca="false">H8086-I8086</f>
        <v>4.14</v>
      </c>
      <c r="K8086" s="41" t="n">
        <v>26.5</v>
      </c>
      <c r="L8086" s="42" t="n">
        <f aca="false">J8086*K8086</f>
        <v>109.71</v>
      </c>
      <c r="M8086" s="43" t="n">
        <f aca="false">H8086*16*(1+'Chart of Accounts'!$E$67)</f>
        <v>75.8448</v>
      </c>
    </row>
    <row r="8087" customFormat="false" ht="15" hidden="false" customHeight="false" outlineLevel="0" collapsed="false">
      <c r="B8087" s="7" t="s">
        <v>8584</v>
      </c>
      <c r="C8087" s="39" t="n">
        <v>46021</v>
      </c>
      <c r="D8087" s="7" t="s">
        <v>369</v>
      </c>
      <c r="E8087" s="7" t="s">
        <v>159</v>
      </c>
      <c r="F8087" s="7" t="s">
        <v>258</v>
      </c>
      <c r="G8087" s="7" t="s">
        <v>502</v>
      </c>
      <c r="H8087" s="6" t="n">
        <v>0.92</v>
      </c>
      <c r="I8087" s="6" t="n">
        <v>0</v>
      </c>
      <c r="J8087" s="40" t="n">
        <f aca="false">H8087-I8087</f>
        <v>0.92</v>
      </c>
      <c r="K8087" s="41" t="n">
        <v>135</v>
      </c>
      <c r="L8087" s="42" t="n">
        <f aca="false">J8087*K8087</f>
        <v>124.2</v>
      </c>
      <c r="M8087" s="43" t="n">
        <f aca="false">H8087*61.61*(1+'Chart of Accounts'!$E$67)</f>
        <v>64.899974</v>
      </c>
    </row>
    <row r="8088" customFormat="false" ht="15" hidden="false" customHeight="false" outlineLevel="0" collapsed="false">
      <c r="B8088" s="7" t="s">
        <v>8585</v>
      </c>
      <c r="C8088" s="39" t="n">
        <v>46021</v>
      </c>
      <c r="D8088" s="7" t="s">
        <v>381</v>
      </c>
      <c r="E8088" s="7" t="s">
        <v>157</v>
      </c>
      <c r="F8088" s="7" t="s">
        <v>234</v>
      </c>
      <c r="G8088" s="7" t="s">
        <v>502</v>
      </c>
      <c r="H8088" s="6" t="n">
        <v>1.06</v>
      </c>
      <c r="I8088" s="6" t="n">
        <v>0</v>
      </c>
      <c r="J8088" s="40" t="n">
        <f aca="false">H8088-I8088</f>
        <v>1.06</v>
      </c>
      <c r="K8088" s="41" t="n">
        <v>165</v>
      </c>
      <c r="L8088" s="42" t="n">
        <f aca="false">J8088*K8088</f>
        <v>174.9</v>
      </c>
      <c r="M8088" s="43" t="n">
        <f aca="false">H8088*89.53*(1+'Chart of Accounts'!$E$67)</f>
        <v>108.662561</v>
      </c>
    </row>
    <row r="8089" customFormat="false" ht="15" hidden="false" customHeight="false" outlineLevel="0" collapsed="false">
      <c r="B8089" s="7" t="s">
        <v>8586</v>
      </c>
      <c r="C8089" s="39" t="n">
        <v>46021</v>
      </c>
      <c r="D8089" s="7" t="s">
        <v>383</v>
      </c>
      <c r="E8089" s="7" t="s">
        <v>157</v>
      </c>
      <c r="F8089" s="7" t="s">
        <v>230</v>
      </c>
      <c r="G8089" s="7" t="s">
        <v>502</v>
      </c>
      <c r="H8089" s="6" t="n">
        <v>1.08</v>
      </c>
      <c r="I8089" s="6" t="n">
        <v>0</v>
      </c>
      <c r="J8089" s="40" t="n">
        <f aca="false">H8089-I8089</f>
        <v>1.08</v>
      </c>
      <c r="K8089" s="41" t="n">
        <v>165</v>
      </c>
      <c r="L8089" s="42" t="n">
        <f aca="false">J8089*K8089</f>
        <v>178.2</v>
      </c>
      <c r="M8089" s="43" t="n">
        <f aca="false">H8089*48.78*(1+'Chart of Accounts'!$E$67)</f>
        <v>60.321348</v>
      </c>
    </row>
    <row r="8090" customFormat="false" ht="15" hidden="false" customHeight="false" outlineLevel="0" collapsed="false">
      <c r="B8090" s="7" t="s">
        <v>8587</v>
      </c>
      <c r="C8090" s="39" t="n">
        <v>46021</v>
      </c>
      <c r="D8090" s="7" t="s">
        <v>387</v>
      </c>
      <c r="E8090" s="7" t="s">
        <v>154</v>
      </c>
      <c r="F8090" s="7" t="s">
        <v>196</v>
      </c>
      <c r="G8090" s="7" t="s">
        <v>505</v>
      </c>
      <c r="H8090" s="6" t="n">
        <v>3.8</v>
      </c>
      <c r="I8090" s="6" t="n">
        <v>0</v>
      </c>
      <c r="J8090" s="40" t="n">
        <f aca="false">H8090-I8090</f>
        <v>3.8</v>
      </c>
      <c r="K8090" s="41" t="n">
        <v>26.5</v>
      </c>
      <c r="L8090" s="42" t="n">
        <f aca="false">J8090*K8090</f>
        <v>100.7</v>
      </c>
      <c r="M8090" s="43" t="n">
        <f aca="false">H8090*15.05*(1+'Chart of Accounts'!$E$67)</f>
        <v>65.48255</v>
      </c>
    </row>
    <row r="8091" customFormat="false" ht="15" hidden="false" customHeight="false" outlineLevel="0" collapsed="false">
      <c r="B8091" s="7" t="s">
        <v>8588</v>
      </c>
      <c r="C8091" s="39" t="n">
        <v>46021</v>
      </c>
      <c r="D8091" s="7" t="s">
        <v>389</v>
      </c>
      <c r="E8091" s="7" t="s">
        <v>154</v>
      </c>
      <c r="F8091" s="7" t="s">
        <v>246</v>
      </c>
      <c r="G8091" s="7" t="s">
        <v>505</v>
      </c>
      <c r="H8091" s="6" t="n">
        <v>3.99</v>
      </c>
      <c r="I8091" s="6" t="n">
        <v>0</v>
      </c>
      <c r="J8091" s="40" t="n">
        <f aca="false">H8091-I8091</f>
        <v>3.99</v>
      </c>
      <c r="K8091" s="41" t="n">
        <v>26.5</v>
      </c>
      <c r="L8091" s="42" t="n">
        <f aca="false">J8091*K8091</f>
        <v>105.735</v>
      </c>
      <c r="M8091" s="43" t="n">
        <f aca="false">H8091*16.48*(1+'Chart of Accounts'!$E$67)</f>
        <v>75.289704</v>
      </c>
    </row>
    <row r="8092" customFormat="false" ht="15" hidden="false" customHeight="false" outlineLevel="0" collapsed="false">
      <c r="B8092" s="7" t="s">
        <v>8589</v>
      </c>
      <c r="C8092" s="39" t="n">
        <v>46021</v>
      </c>
      <c r="D8092" s="7" t="s">
        <v>391</v>
      </c>
      <c r="E8092" s="7" t="s">
        <v>156</v>
      </c>
      <c r="F8092" s="7" t="s">
        <v>222</v>
      </c>
      <c r="G8092" s="7" t="s">
        <v>505</v>
      </c>
      <c r="H8092" s="6" t="n">
        <v>4.24</v>
      </c>
      <c r="I8092" s="6" t="n">
        <v>0</v>
      </c>
      <c r="J8092" s="40" t="n">
        <f aca="false">H8092-I8092</f>
        <v>4.24</v>
      </c>
      <c r="K8092" s="41" t="n">
        <v>34</v>
      </c>
      <c r="L8092" s="42" t="n">
        <f aca="false">J8092*K8092</f>
        <v>144.16</v>
      </c>
      <c r="M8092" s="43" t="n">
        <f aca="false">H8092*17.84*(1+'Chart of Accounts'!$E$67)</f>
        <v>86.609632</v>
      </c>
    </row>
    <row r="8093" customFormat="false" ht="15" hidden="false" customHeight="false" outlineLevel="0" collapsed="false">
      <c r="B8093" s="7" t="s">
        <v>8590</v>
      </c>
      <c r="C8093" s="39" t="n">
        <v>46021</v>
      </c>
      <c r="D8093" s="7" t="s">
        <v>395</v>
      </c>
      <c r="E8093" s="7" t="s">
        <v>156</v>
      </c>
      <c r="F8093" s="7" t="s">
        <v>242</v>
      </c>
      <c r="G8093" s="7" t="s">
        <v>505</v>
      </c>
      <c r="H8093" s="6" t="n">
        <v>3.64</v>
      </c>
      <c r="I8093" s="6" t="n">
        <v>0</v>
      </c>
      <c r="J8093" s="40" t="n">
        <f aca="false">H8093-I8093</f>
        <v>3.64</v>
      </c>
      <c r="K8093" s="41" t="n">
        <v>34</v>
      </c>
      <c r="L8093" s="42" t="n">
        <f aca="false">J8093*K8093</f>
        <v>123.76</v>
      </c>
      <c r="M8093" s="43" t="n">
        <f aca="false">H8093*17.99*(1+'Chart of Accounts'!$E$67)</f>
        <v>74.978722</v>
      </c>
    </row>
    <row r="8094" customFormat="false" ht="15" hidden="false" customHeight="false" outlineLevel="0" collapsed="false">
      <c r="B8094" s="7" t="s">
        <v>8591</v>
      </c>
      <c r="C8094" s="39" t="n">
        <v>46021</v>
      </c>
      <c r="D8094" s="7" t="s">
        <v>397</v>
      </c>
      <c r="E8094" s="7" t="s">
        <v>159</v>
      </c>
      <c r="F8094" s="7" t="s">
        <v>203</v>
      </c>
      <c r="G8094" s="7" t="s">
        <v>502</v>
      </c>
      <c r="H8094" s="6" t="n">
        <v>1.01</v>
      </c>
      <c r="I8094" s="6" t="n">
        <v>0</v>
      </c>
      <c r="J8094" s="40" t="n">
        <f aca="false">H8094-I8094</f>
        <v>1.01</v>
      </c>
      <c r="K8094" s="41" t="n">
        <v>135</v>
      </c>
      <c r="L8094" s="42" t="n">
        <f aca="false">J8094*K8094</f>
        <v>136.35</v>
      </c>
      <c r="M8094" s="43" t="n">
        <f aca="false">H8094*49.43*(1+'Chart of Accounts'!$E$67)</f>
        <v>57.1633235</v>
      </c>
    </row>
    <row r="8095" customFormat="false" ht="15" hidden="false" customHeight="false" outlineLevel="0" collapsed="false">
      <c r="B8095" s="7" t="s">
        <v>8592</v>
      </c>
      <c r="C8095" s="39" t="n">
        <v>46021</v>
      </c>
      <c r="D8095" s="7" t="s">
        <v>401</v>
      </c>
      <c r="E8095" s="7" t="s">
        <v>156</v>
      </c>
      <c r="F8095" s="7" t="s">
        <v>254</v>
      </c>
      <c r="G8095" s="7" t="s">
        <v>505</v>
      </c>
      <c r="H8095" s="6" t="n">
        <v>4.37</v>
      </c>
      <c r="I8095" s="6" t="n">
        <v>0</v>
      </c>
      <c r="J8095" s="40" t="n">
        <f aca="false">H8095-I8095</f>
        <v>4.37</v>
      </c>
      <c r="K8095" s="41" t="n">
        <v>34</v>
      </c>
      <c r="L8095" s="42" t="n">
        <f aca="false">J8095*K8095</f>
        <v>148.58</v>
      </c>
      <c r="M8095" s="43" t="n">
        <f aca="false">H8095*17.1*(1+'Chart of Accounts'!$E$67)</f>
        <v>85.562415</v>
      </c>
    </row>
    <row r="8096" customFormat="false" ht="15" hidden="false" customHeight="false" outlineLevel="0" collapsed="false">
      <c r="B8096" s="7" t="s">
        <v>8593</v>
      </c>
      <c r="C8096" s="39" t="n">
        <v>46021</v>
      </c>
      <c r="D8096" s="7" t="s">
        <v>407</v>
      </c>
      <c r="E8096" s="7" t="s">
        <v>159</v>
      </c>
      <c r="F8096" s="7" t="s">
        <v>260</v>
      </c>
      <c r="G8096" s="7" t="s">
        <v>502</v>
      </c>
      <c r="H8096" s="6" t="n">
        <v>0.92</v>
      </c>
      <c r="I8096" s="6" t="n">
        <v>0.064</v>
      </c>
      <c r="J8096" s="40" t="n">
        <f aca="false">H8096-I8096</f>
        <v>0.856</v>
      </c>
      <c r="K8096" s="41" t="n">
        <v>135</v>
      </c>
      <c r="L8096" s="42" t="n">
        <f aca="false">J8096*K8096</f>
        <v>115.56</v>
      </c>
      <c r="M8096" s="43" t="n">
        <f aca="false">H8096*79.8*(1+'Chart of Accounts'!$E$67)</f>
        <v>84.06132</v>
      </c>
    </row>
    <row r="8097" customFormat="false" ht="15" hidden="false" customHeight="false" outlineLevel="0" collapsed="false">
      <c r="B8097" s="7" t="s">
        <v>8594</v>
      </c>
      <c r="C8097" s="39" t="n">
        <v>46022</v>
      </c>
      <c r="D8097" s="7" t="s">
        <v>284</v>
      </c>
      <c r="E8097" s="7" t="s">
        <v>157</v>
      </c>
      <c r="F8097" s="7" t="s">
        <v>258</v>
      </c>
      <c r="G8097" s="7" t="s">
        <v>502</v>
      </c>
      <c r="H8097" s="6" t="n">
        <v>0.95</v>
      </c>
      <c r="I8097" s="6" t="n">
        <v>0</v>
      </c>
      <c r="J8097" s="40" t="n">
        <f aca="false">H8097-I8097</f>
        <v>0.95</v>
      </c>
      <c r="K8097" s="41" t="n">
        <v>165</v>
      </c>
      <c r="L8097" s="42" t="n">
        <f aca="false">J8097*K8097</f>
        <v>156.75</v>
      </c>
      <c r="M8097" s="43" t="n">
        <f aca="false">H8097*61.61*(1+'Chart of Accounts'!$E$67)</f>
        <v>67.0162775</v>
      </c>
    </row>
    <row r="8098" customFormat="false" ht="15" hidden="false" customHeight="false" outlineLevel="0" collapsed="false">
      <c r="B8098" s="7" t="s">
        <v>8595</v>
      </c>
      <c r="C8098" s="39" t="n">
        <v>46022</v>
      </c>
      <c r="D8098" s="7" t="s">
        <v>288</v>
      </c>
      <c r="E8098" s="7" t="s">
        <v>156</v>
      </c>
      <c r="F8098" s="7" t="s">
        <v>250</v>
      </c>
      <c r="G8098" s="7" t="s">
        <v>505</v>
      </c>
      <c r="H8098" s="6" t="n">
        <v>4.29</v>
      </c>
      <c r="I8098" s="6" t="n">
        <v>0</v>
      </c>
      <c r="J8098" s="40" t="n">
        <f aca="false">H8098-I8098</f>
        <v>4.29</v>
      </c>
      <c r="K8098" s="41" t="n">
        <v>34</v>
      </c>
      <c r="L8098" s="42" t="n">
        <f aca="false">J8098*K8098</f>
        <v>145.86</v>
      </c>
      <c r="M8098" s="43" t="n">
        <f aca="false">H8098*16.88*(1+'Chart of Accounts'!$E$67)</f>
        <v>82.915404</v>
      </c>
    </row>
    <row r="8099" customFormat="false" ht="15" hidden="false" customHeight="false" outlineLevel="0" collapsed="false">
      <c r="B8099" s="7" t="s">
        <v>8596</v>
      </c>
      <c r="C8099" s="39" t="n">
        <v>46022</v>
      </c>
      <c r="D8099" s="7" t="s">
        <v>291</v>
      </c>
      <c r="E8099" s="7" t="s">
        <v>154</v>
      </c>
      <c r="F8099" s="7" t="s">
        <v>194</v>
      </c>
      <c r="G8099" s="7" t="s">
        <v>505</v>
      </c>
      <c r="H8099" s="6" t="n">
        <v>4.77</v>
      </c>
      <c r="I8099" s="6" t="n">
        <v>0</v>
      </c>
      <c r="J8099" s="40" t="n">
        <f aca="false">H8099-I8099</f>
        <v>4.77</v>
      </c>
      <c r="K8099" s="41" t="n">
        <v>26.5</v>
      </c>
      <c r="L8099" s="42" t="n">
        <f aca="false">J8099*K8099</f>
        <v>126.405</v>
      </c>
      <c r="M8099" s="43" t="n">
        <f aca="false">H8099*16*(1+'Chart of Accounts'!$E$67)</f>
        <v>87.3864</v>
      </c>
    </row>
    <row r="8100" customFormat="false" ht="15" hidden="false" customHeight="false" outlineLevel="0" collapsed="false">
      <c r="B8100" s="7" t="s">
        <v>8597</v>
      </c>
      <c r="C8100" s="39" t="n">
        <v>46022</v>
      </c>
      <c r="D8100" s="7" t="s">
        <v>295</v>
      </c>
      <c r="E8100" s="7" t="s">
        <v>154</v>
      </c>
      <c r="F8100" s="7" t="s">
        <v>214</v>
      </c>
      <c r="G8100" s="7" t="s">
        <v>505</v>
      </c>
      <c r="H8100" s="6" t="n">
        <v>4.34</v>
      </c>
      <c r="I8100" s="6" t="n">
        <v>0</v>
      </c>
      <c r="J8100" s="40" t="n">
        <f aca="false">H8100-I8100</f>
        <v>4.34</v>
      </c>
      <c r="K8100" s="41" t="n">
        <v>26.5</v>
      </c>
      <c r="L8100" s="42" t="n">
        <f aca="false">J8100*K8100</f>
        <v>115.01</v>
      </c>
      <c r="M8100" s="43" t="n">
        <f aca="false">H8100*15.67*(1+'Chart of Accounts'!$E$67)</f>
        <v>77.868931</v>
      </c>
    </row>
    <row r="8101" customFormat="false" ht="15" hidden="false" customHeight="false" outlineLevel="0" collapsed="false">
      <c r="B8101" s="7" t="s">
        <v>8598</v>
      </c>
      <c r="C8101" s="39" t="n">
        <v>46022</v>
      </c>
      <c r="D8101" s="7" t="s">
        <v>305</v>
      </c>
      <c r="E8101" s="7" t="s">
        <v>154</v>
      </c>
      <c r="F8101" s="7" t="s">
        <v>205</v>
      </c>
      <c r="G8101" s="7" t="s">
        <v>505</v>
      </c>
      <c r="H8101" s="6" t="n">
        <v>4.18</v>
      </c>
      <c r="I8101" s="6" t="n">
        <v>0</v>
      </c>
      <c r="J8101" s="40" t="n">
        <f aca="false">H8101-I8101</f>
        <v>4.18</v>
      </c>
      <c r="K8101" s="41" t="n">
        <v>26.5</v>
      </c>
      <c r="L8101" s="42" t="n">
        <f aca="false">J8101*K8101</f>
        <v>110.77</v>
      </c>
      <c r="M8101" s="43" t="n">
        <f aca="false">H8101*16.36*(1+'Chart of Accounts'!$E$67)</f>
        <v>78.300596</v>
      </c>
    </row>
    <row r="8102" customFormat="false" ht="15" hidden="false" customHeight="false" outlineLevel="0" collapsed="false">
      <c r="B8102" s="7" t="s">
        <v>8599</v>
      </c>
      <c r="C8102" s="39" t="n">
        <v>46022</v>
      </c>
      <c r="D8102" s="7" t="s">
        <v>307</v>
      </c>
      <c r="E8102" s="7" t="s">
        <v>157</v>
      </c>
      <c r="F8102" s="7" t="s">
        <v>264</v>
      </c>
      <c r="G8102" s="7" t="s">
        <v>502</v>
      </c>
      <c r="H8102" s="6" t="n">
        <v>1.08</v>
      </c>
      <c r="I8102" s="6" t="n">
        <v>0</v>
      </c>
      <c r="J8102" s="40" t="n">
        <f aca="false">H8102-I8102</f>
        <v>1.08</v>
      </c>
      <c r="K8102" s="41" t="n">
        <v>165</v>
      </c>
      <c r="L8102" s="42" t="n">
        <f aca="false">J8102*K8102</f>
        <v>178.2</v>
      </c>
      <c r="M8102" s="43" t="n">
        <f aca="false">H8102*55.55*(1+'Chart of Accounts'!$E$67)</f>
        <v>68.69313</v>
      </c>
    </row>
    <row r="8103" customFormat="false" ht="15" hidden="false" customHeight="false" outlineLevel="0" collapsed="false">
      <c r="B8103" s="7" t="s">
        <v>8600</v>
      </c>
      <c r="C8103" s="39" t="n">
        <v>46022</v>
      </c>
      <c r="D8103" s="7" t="s">
        <v>309</v>
      </c>
      <c r="E8103" s="7" t="s">
        <v>159</v>
      </c>
      <c r="F8103" s="7" t="s">
        <v>252</v>
      </c>
      <c r="G8103" s="7" t="s">
        <v>502</v>
      </c>
      <c r="H8103" s="6" t="n">
        <v>1.09</v>
      </c>
      <c r="I8103" s="6" t="n">
        <v>0</v>
      </c>
      <c r="J8103" s="40" t="n">
        <f aca="false">H8103-I8103</f>
        <v>1.09</v>
      </c>
      <c r="K8103" s="41" t="n">
        <v>135</v>
      </c>
      <c r="L8103" s="42" t="n">
        <f aca="false">J8103*K8103</f>
        <v>147.15</v>
      </c>
      <c r="M8103" s="43" t="n">
        <f aca="false">H8103*57.54*(1+'Chart of Accounts'!$E$67)</f>
        <v>71.812797</v>
      </c>
    </row>
    <row r="8104" customFormat="false" ht="15" hidden="false" customHeight="false" outlineLevel="0" collapsed="false">
      <c r="B8104" s="7" t="s">
        <v>8601</v>
      </c>
      <c r="C8104" s="39" t="n">
        <v>46022</v>
      </c>
      <c r="D8104" s="7" t="s">
        <v>313</v>
      </c>
      <c r="E8104" s="7" t="s">
        <v>156</v>
      </c>
      <c r="F8104" s="7" t="s">
        <v>184</v>
      </c>
      <c r="G8104" s="7" t="s">
        <v>505</v>
      </c>
      <c r="H8104" s="6" t="n">
        <v>4.38</v>
      </c>
      <c r="I8104" s="6" t="n">
        <v>0</v>
      </c>
      <c r="J8104" s="40" t="n">
        <f aca="false">H8104-I8104</f>
        <v>4.38</v>
      </c>
      <c r="K8104" s="41" t="n">
        <v>34</v>
      </c>
      <c r="L8104" s="42" t="n">
        <f aca="false">J8104*K8104</f>
        <v>148.92</v>
      </c>
      <c r="M8104" s="43" t="n">
        <f aca="false">H8104*17.34*(1+'Chart of Accounts'!$E$67)</f>
        <v>86.961834</v>
      </c>
    </row>
    <row r="8105" customFormat="false" ht="15" hidden="false" customHeight="false" outlineLevel="0" collapsed="false">
      <c r="B8105" s="7" t="s">
        <v>8602</v>
      </c>
      <c r="C8105" s="39" t="n">
        <v>46022</v>
      </c>
      <c r="D8105" s="7" t="s">
        <v>315</v>
      </c>
      <c r="E8105" s="7" t="s">
        <v>159</v>
      </c>
      <c r="F8105" s="7" t="s">
        <v>216</v>
      </c>
      <c r="G8105" s="7" t="s">
        <v>502</v>
      </c>
      <c r="H8105" s="6" t="n">
        <v>1.08</v>
      </c>
      <c r="I8105" s="6" t="n">
        <v>0</v>
      </c>
      <c r="J8105" s="40" t="n">
        <f aca="false">H8105-I8105</f>
        <v>1.08</v>
      </c>
      <c r="K8105" s="41" t="n">
        <v>135</v>
      </c>
      <c r="L8105" s="42" t="n">
        <f aca="false">J8105*K8105</f>
        <v>145.8</v>
      </c>
      <c r="M8105" s="43" t="n">
        <f aca="false">H8105*61.79*(1+'Chart of Accounts'!$E$67)</f>
        <v>76.409514</v>
      </c>
    </row>
    <row r="8106" customFormat="false" ht="15" hidden="false" customHeight="false" outlineLevel="0" collapsed="false">
      <c r="B8106" s="7" t="s">
        <v>8603</v>
      </c>
      <c r="C8106" s="39" t="n">
        <v>46022</v>
      </c>
      <c r="D8106" s="7" t="s">
        <v>321</v>
      </c>
      <c r="E8106" s="7" t="s">
        <v>154</v>
      </c>
      <c r="F8106" s="7" t="s">
        <v>218</v>
      </c>
      <c r="G8106" s="7" t="s">
        <v>505</v>
      </c>
      <c r="H8106" s="6" t="n">
        <v>3.89</v>
      </c>
      <c r="I8106" s="6" t="n">
        <v>0</v>
      </c>
      <c r="J8106" s="40" t="n">
        <f aca="false">H8106-I8106</f>
        <v>3.89</v>
      </c>
      <c r="K8106" s="41" t="n">
        <v>26.5</v>
      </c>
      <c r="L8106" s="42" t="n">
        <f aca="false">J8106*K8106</f>
        <v>103.085</v>
      </c>
      <c r="M8106" s="43" t="n">
        <f aca="false">H8106*16.19*(1+'Chart of Accounts'!$E$67)</f>
        <v>72.1110695</v>
      </c>
    </row>
    <row r="8107" customFormat="false" ht="15" hidden="false" customHeight="false" outlineLevel="0" collapsed="false">
      <c r="B8107" s="7" t="s">
        <v>8604</v>
      </c>
      <c r="C8107" s="39" t="n">
        <v>46022</v>
      </c>
      <c r="D8107" s="7" t="s">
        <v>329</v>
      </c>
      <c r="E8107" s="7" t="s">
        <v>156</v>
      </c>
      <c r="F8107" s="7" t="s">
        <v>220</v>
      </c>
      <c r="G8107" s="7" t="s">
        <v>505</v>
      </c>
      <c r="H8107" s="6" t="n">
        <v>4.05</v>
      </c>
      <c r="I8107" s="6" t="n">
        <v>0</v>
      </c>
      <c r="J8107" s="40" t="n">
        <f aca="false">H8107-I8107</f>
        <v>4.05</v>
      </c>
      <c r="K8107" s="41" t="n">
        <v>34</v>
      </c>
      <c r="L8107" s="42" t="n">
        <f aca="false">J8107*K8107</f>
        <v>137.7</v>
      </c>
      <c r="M8107" s="43" t="n">
        <f aca="false">H8107*16.43*(1+'Chart of Accounts'!$E$67)</f>
        <v>76.1900175</v>
      </c>
    </row>
    <row r="8108" customFormat="false" ht="15" hidden="false" customHeight="false" outlineLevel="0" collapsed="false">
      <c r="B8108" s="7" t="s">
        <v>8605</v>
      </c>
      <c r="C8108" s="39" t="n">
        <v>46022</v>
      </c>
      <c r="D8108" s="7" t="s">
        <v>333</v>
      </c>
      <c r="E8108" s="7" t="s">
        <v>154</v>
      </c>
      <c r="F8108" s="7" t="s">
        <v>236</v>
      </c>
      <c r="G8108" s="7" t="s">
        <v>505</v>
      </c>
      <c r="H8108" s="6" t="n">
        <v>3.34</v>
      </c>
      <c r="I8108" s="6" t="n">
        <v>0</v>
      </c>
      <c r="J8108" s="40" t="n">
        <f aca="false">H8108-I8108</f>
        <v>3.34</v>
      </c>
      <c r="K8108" s="41" t="n">
        <v>26.5</v>
      </c>
      <c r="L8108" s="42" t="n">
        <f aca="false">J8108*K8108</f>
        <v>88.51</v>
      </c>
      <c r="M8108" s="43" t="n">
        <f aca="false">H8108*15.49*(1+'Chart of Accounts'!$E$67)</f>
        <v>59.238407</v>
      </c>
    </row>
    <row r="8109" customFormat="false" ht="15" hidden="false" customHeight="false" outlineLevel="0" collapsed="false">
      <c r="B8109" s="7" t="s">
        <v>8606</v>
      </c>
      <c r="C8109" s="39" t="n">
        <v>46022</v>
      </c>
      <c r="D8109" s="7" t="s">
        <v>335</v>
      </c>
      <c r="E8109" s="7" t="s">
        <v>154</v>
      </c>
      <c r="F8109" s="7" t="s">
        <v>177</v>
      </c>
      <c r="G8109" s="7" t="s">
        <v>505</v>
      </c>
      <c r="H8109" s="6" t="n">
        <v>4.36</v>
      </c>
      <c r="I8109" s="6" t="n">
        <v>0</v>
      </c>
      <c r="J8109" s="40" t="n">
        <f aca="false">H8109-I8109</f>
        <v>4.36</v>
      </c>
      <c r="K8109" s="41" t="n">
        <v>26.5</v>
      </c>
      <c r="L8109" s="42" t="n">
        <f aca="false">J8109*K8109</f>
        <v>115.54</v>
      </c>
      <c r="M8109" s="43" t="n">
        <f aca="false">H8109*14.56*(1+'Chart of Accounts'!$E$67)</f>
        <v>72.686432</v>
      </c>
    </row>
    <row r="8110" customFormat="false" ht="15" hidden="false" customHeight="false" outlineLevel="0" collapsed="false">
      <c r="B8110" s="7" t="s">
        <v>8607</v>
      </c>
      <c r="C8110" s="39" t="n">
        <v>46022</v>
      </c>
      <c r="D8110" s="7" t="s">
        <v>339</v>
      </c>
      <c r="E8110" s="7" t="s">
        <v>154</v>
      </c>
      <c r="F8110" s="7" t="s">
        <v>242</v>
      </c>
      <c r="G8110" s="7" t="s">
        <v>505</v>
      </c>
      <c r="H8110" s="6" t="n">
        <v>3.49</v>
      </c>
      <c r="I8110" s="6" t="n">
        <v>0</v>
      </c>
      <c r="J8110" s="40" t="n">
        <f aca="false">H8110-I8110</f>
        <v>3.49</v>
      </c>
      <c r="K8110" s="41" t="n">
        <v>26.5</v>
      </c>
      <c r="L8110" s="42" t="n">
        <f aca="false">J8110*K8110</f>
        <v>92.485</v>
      </c>
      <c r="M8110" s="43" t="n">
        <f aca="false">H8110*17.99*(1+'Chart of Accounts'!$E$67)</f>
        <v>71.8889395</v>
      </c>
    </row>
    <row r="8111" customFormat="false" ht="15" hidden="false" customHeight="false" outlineLevel="0" collapsed="false">
      <c r="B8111" s="7" t="s">
        <v>8608</v>
      </c>
      <c r="C8111" s="39" t="n">
        <v>46022</v>
      </c>
      <c r="D8111" s="7" t="s">
        <v>349</v>
      </c>
      <c r="E8111" s="7" t="s">
        <v>154</v>
      </c>
      <c r="F8111" s="7" t="s">
        <v>244</v>
      </c>
      <c r="G8111" s="7" t="s">
        <v>505</v>
      </c>
      <c r="H8111" s="6" t="n">
        <v>4.17</v>
      </c>
      <c r="I8111" s="6" t="n">
        <v>0.125</v>
      </c>
      <c r="J8111" s="40" t="n">
        <f aca="false">H8111-I8111</f>
        <v>4.045</v>
      </c>
      <c r="K8111" s="41" t="n">
        <v>26.5</v>
      </c>
      <c r="L8111" s="42" t="n">
        <f aca="false">J8111*K8111</f>
        <v>107.1925</v>
      </c>
      <c r="M8111" s="43" t="n">
        <f aca="false">H8111*16.39*(1+'Chart of Accounts'!$E$67)</f>
        <v>78.2565135</v>
      </c>
    </row>
    <row r="8112" customFormat="false" ht="15" hidden="false" customHeight="false" outlineLevel="0" collapsed="false">
      <c r="B8112" s="7" t="s">
        <v>8609</v>
      </c>
      <c r="C8112" s="39" t="n">
        <v>46022</v>
      </c>
      <c r="D8112" s="7" t="s">
        <v>353</v>
      </c>
      <c r="E8112" s="7" t="s">
        <v>154</v>
      </c>
      <c r="F8112" s="7" t="s">
        <v>254</v>
      </c>
      <c r="G8112" s="7" t="s">
        <v>505</v>
      </c>
      <c r="H8112" s="6" t="n">
        <v>3.34</v>
      </c>
      <c r="I8112" s="6" t="n">
        <v>0</v>
      </c>
      <c r="J8112" s="40" t="n">
        <f aca="false">H8112-I8112</f>
        <v>3.34</v>
      </c>
      <c r="K8112" s="41" t="n">
        <v>26.5</v>
      </c>
      <c r="L8112" s="42" t="n">
        <f aca="false">J8112*K8112</f>
        <v>88.51</v>
      </c>
      <c r="M8112" s="43" t="n">
        <f aca="false">H8112*17.1*(1+'Chart of Accounts'!$E$67)</f>
        <v>65.39553</v>
      </c>
    </row>
    <row r="8113" customFormat="false" ht="15" hidden="false" customHeight="false" outlineLevel="0" collapsed="false">
      <c r="B8113" s="7" t="s">
        <v>8610</v>
      </c>
      <c r="C8113" s="39" t="n">
        <v>46022</v>
      </c>
      <c r="D8113" s="7" t="s">
        <v>355</v>
      </c>
      <c r="E8113" s="7" t="s">
        <v>154</v>
      </c>
      <c r="F8113" s="7" t="s">
        <v>201</v>
      </c>
      <c r="G8113" s="7" t="s">
        <v>505</v>
      </c>
      <c r="H8113" s="6" t="n">
        <v>3.63</v>
      </c>
      <c r="I8113" s="6" t="n">
        <v>0</v>
      </c>
      <c r="J8113" s="40" t="n">
        <f aca="false">H8113-I8113</f>
        <v>3.63</v>
      </c>
      <c r="K8113" s="41" t="n">
        <v>26.5</v>
      </c>
      <c r="L8113" s="42" t="n">
        <f aca="false">J8113*K8113</f>
        <v>96.195</v>
      </c>
      <c r="M8113" s="43" t="n">
        <f aca="false">H8113*15.19*(1+'Chart of Accounts'!$E$67)</f>
        <v>63.1349565</v>
      </c>
    </row>
    <row r="8114" customFormat="false" ht="15" hidden="false" customHeight="false" outlineLevel="0" collapsed="false">
      <c r="B8114" s="7" t="s">
        <v>8611</v>
      </c>
      <c r="C8114" s="39" t="n">
        <v>46022</v>
      </c>
      <c r="D8114" s="7" t="s">
        <v>357</v>
      </c>
      <c r="E8114" s="7" t="s">
        <v>154</v>
      </c>
      <c r="F8114" s="7" t="s">
        <v>205</v>
      </c>
      <c r="G8114" s="7" t="s">
        <v>505</v>
      </c>
      <c r="H8114" s="6" t="n">
        <v>3.45</v>
      </c>
      <c r="I8114" s="6" t="n">
        <v>0.103</v>
      </c>
      <c r="J8114" s="40" t="n">
        <f aca="false">H8114-I8114</f>
        <v>3.347</v>
      </c>
      <c r="K8114" s="41" t="n">
        <v>26.5</v>
      </c>
      <c r="L8114" s="42" t="n">
        <f aca="false">J8114*K8114</f>
        <v>88.6955</v>
      </c>
      <c r="M8114" s="43" t="n">
        <f aca="false">H8114*16.36*(1+'Chart of Accounts'!$E$67)</f>
        <v>64.62609</v>
      </c>
    </row>
    <row r="8115" customFormat="false" ht="15" hidden="false" customHeight="false" outlineLevel="0" collapsed="false">
      <c r="B8115" s="7" t="s">
        <v>8612</v>
      </c>
      <c r="C8115" s="39" t="n">
        <v>46022</v>
      </c>
      <c r="D8115" s="7" t="s">
        <v>359</v>
      </c>
      <c r="E8115" s="7" t="s">
        <v>156</v>
      </c>
      <c r="F8115" s="7" t="s">
        <v>205</v>
      </c>
      <c r="G8115" s="7" t="s">
        <v>505</v>
      </c>
      <c r="H8115" s="6" t="n">
        <v>4.1</v>
      </c>
      <c r="I8115" s="6" t="n">
        <v>0</v>
      </c>
      <c r="J8115" s="40" t="n">
        <f aca="false">H8115-I8115</f>
        <v>4.1</v>
      </c>
      <c r="K8115" s="41" t="n">
        <v>34</v>
      </c>
      <c r="L8115" s="42" t="n">
        <f aca="false">J8115*K8115</f>
        <v>139.4</v>
      </c>
      <c r="M8115" s="43" t="n">
        <f aca="false">H8115*16.36*(1+'Chart of Accounts'!$E$67)</f>
        <v>76.80202</v>
      </c>
    </row>
    <row r="8116" customFormat="false" ht="15" hidden="false" customHeight="false" outlineLevel="0" collapsed="false">
      <c r="B8116" s="7" t="s">
        <v>8613</v>
      </c>
      <c r="C8116" s="39" t="n">
        <v>46022</v>
      </c>
      <c r="D8116" s="7" t="s">
        <v>365</v>
      </c>
      <c r="E8116" s="7" t="s">
        <v>154</v>
      </c>
      <c r="F8116" s="7" t="s">
        <v>194</v>
      </c>
      <c r="G8116" s="7" t="s">
        <v>505</v>
      </c>
      <c r="H8116" s="6" t="n">
        <v>3.67</v>
      </c>
      <c r="I8116" s="6" t="n">
        <v>0</v>
      </c>
      <c r="J8116" s="40" t="n">
        <f aca="false">H8116-I8116</f>
        <v>3.67</v>
      </c>
      <c r="K8116" s="41" t="n">
        <v>26.5</v>
      </c>
      <c r="L8116" s="42" t="n">
        <f aca="false">J8116*K8116</f>
        <v>97.255</v>
      </c>
      <c r="M8116" s="43" t="n">
        <f aca="false">H8116*16*(1+'Chart of Accounts'!$E$67)</f>
        <v>67.2344</v>
      </c>
    </row>
    <row r="8117" customFormat="false" ht="15" hidden="false" customHeight="false" outlineLevel="0" collapsed="false">
      <c r="B8117" s="7" t="s">
        <v>8614</v>
      </c>
      <c r="C8117" s="39" t="n">
        <v>46022</v>
      </c>
      <c r="D8117" s="7" t="s">
        <v>371</v>
      </c>
      <c r="E8117" s="7" t="s">
        <v>154</v>
      </c>
      <c r="F8117" s="7" t="s">
        <v>232</v>
      </c>
      <c r="G8117" s="7" t="s">
        <v>505</v>
      </c>
      <c r="H8117" s="6" t="n">
        <v>4.8</v>
      </c>
      <c r="I8117" s="6" t="n">
        <v>0</v>
      </c>
      <c r="J8117" s="40" t="n">
        <f aca="false">H8117-I8117</f>
        <v>4.8</v>
      </c>
      <c r="K8117" s="41" t="n">
        <v>26.5</v>
      </c>
      <c r="L8117" s="42" t="n">
        <f aca="false">J8117*K8117</f>
        <v>127.2</v>
      </c>
      <c r="M8117" s="43" t="n">
        <f aca="false">H8117*16.17*(1+'Chart of Accounts'!$E$67)</f>
        <v>88.87032</v>
      </c>
    </row>
    <row r="8118" customFormat="false" ht="15" hidden="false" customHeight="false" outlineLevel="0" collapsed="false">
      <c r="B8118" s="7" t="s">
        <v>8615</v>
      </c>
      <c r="C8118" s="39" t="n">
        <v>46022</v>
      </c>
      <c r="D8118" s="7" t="s">
        <v>379</v>
      </c>
      <c r="E8118" s="7" t="s">
        <v>156</v>
      </c>
      <c r="F8118" s="7" t="s">
        <v>224</v>
      </c>
      <c r="G8118" s="7" t="s">
        <v>505</v>
      </c>
      <c r="H8118" s="6" t="n">
        <v>4.99</v>
      </c>
      <c r="I8118" s="6" t="n">
        <v>0</v>
      </c>
      <c r="J8118" s="40" t="n">
        <f aca="false">H8118-I8118</f>
        <v>4.99</v>
      </c>
      <c r="K8118" s="41" t="n">
        <v>34</v>
      </c>
      <c r="L8118" s="42" t="n">
        <f aca="false">J8118*K8118</f>
        <v>169.66</v>
      </c>
      <c r="M8118" s="43" t="n">
        <f aca="false">H8118*14.93*(1+'Chart of Accounts'!$E$67)</f>
        <v>85.3033015</v>
      </c>
    </row>
    <row r="8119" customFormat="false" ht="15" hidden="false" customHeight="false" outlineLevel="0" collapsed="false">
      <c r="B8119" s="7" t="s">
        <v>8616</v>
      </c>
      <c r="C8119" s="39" t="n">
        <v>46022</v>
      </c>
      <c r="D8119" s="7" t="s">
        <v>385</v>
      </c>
      <c r="E8119" s="7" t="s">
        <v>156</v>
      </c>
      <c r="F8119" s="7" t="s">
        <v>238</v>
      </c>
      <c r="G8119" s="7" t="s">
        <v>505</v>
      </c>
      <c r="H8119" s="6" t="n">
        <v>3.92</v>
      </c>
      <c r="I8119" s="6" t="n">
        <v>0</v>
      </c>
      <c r="J8119" s="40" t="n">
        <f aca="false">H8119-I8119</f>
        <v>3.92</v>
      </c>
      <c r="K8119" s="41" t="n">
        <v>34</v>
      </c>
      <c r="L8119" s="42" t="n">
        <f aca="false">J8119*K8119</f>
        <v>133.28</v>
      </c>
      <c r="M8119" s="43" t="n">
        <f aca="false">H8119*15.85*(1+'Chart of Accounts'!$E$67)</f>
        <v>71.14114</v>
      </c>
    </row>
    <row r="8120" customFormat="false" ht="15" hidden="false" customHeight="false" outlineLevel="0" collapsed="false">
      <c r="B8120" s="7" t="s">
        <v>8617</v>
      </c>
      <c r="C8120" s="39" t="n">
        <v>46022</v>
      </c>
      <c r="D8120" s="7" t="s">
        <v>387</v>
      </c>
      <c r="E8120" s="7" t="s">
        <v>154</v>
      </c>
      <c r="F8120" s="7" t="s">
        <v>196</v>
      </c>
      <c r="G8120" s="7" t="s">
        <v>505</v>
      </c>
      <c r="H8120" s="6" t="n">
        <v>4.37</v>
      </c>
      <c r="I8120" s="6" t="n">
        <v>0</v>
      </c>
      <c r="J8120" s="40" t="n">
        <f aca="false">H8120-I8120</f>
        <v>4.37</v>
      </c>
      <c r="K8120" s="41" t="n">
        <v>26.5</v>
      </c>
      <c r="L8120" s="42" t="n">
        <f aca="false">J8120*K8120</f>
        <v>115.805</v>
      </c>
      <c r="M8120" s="43" t="n">
        <f aca="false">H8120*15.05*(1+'Chart of Accounts'!$E$67)</f>
        <v>75.3049325</v>
      </c>
    </row>
    <row r="8121" customFormat="false" ht="15" hidden="false" customHeight="false" outlineLevel="0" collapsed="false">
      <c r="B8121" s="7" t="s">
        <v>8618</v>
      </c>
      <c r="C8121" s="39" t="n">
        <v>46022</v>
      </c>
      <c r="D8121" s="7" t="s">
        <v>389</v>
      </c>
      <c r="E8121" s="7" t="s">
        <v>154</v>
      </c>
      <c r="F8121" s="7" t="s">
        <v>246</v>
      </c>
      <c r="G8121" s="7" t="s">
        <v>505</v>
      </c>
      <c r="H8121" s="6" t="n">
        <v>4.33</v>
      </c>
      <c r="I8121" s="6" t="n">
        <v>0</v>
      </c>
      <c r="J8121" s="40" t="n">
        <f aca="false">H8121-I8121</f>
        <v>4.33</v>
      </c>
      <c r="K8121" s="41" t="n">
        <v>26.5</v>
      </c>
      <c r="L8121" s="42" t="n">
        <f aca="false">J8121*K8121</f>
        <v>114.745</v>
      </c>
      <c r="M8121" s="43" t="n">
        <f aca="false">H8121*16.48*(1+'Chart of Accounts'!$E$67)</f>
        <v>81.705368</v>
      </c>
    </row>
    <row r="8122" customFormat="false" ht="15" hidden="false" customHeight="false" outlineLevel="0" collapsed="false">
      <c r="B8122" s="7" t="s">
        <v>8619</v>
      </c>
      <c r="C8122" s="39" t="n">
        <v>46022</v>
      </c>
      <c r="D8122" s="7" t="s">
        <v>391</v>
      </c>
      <c r="E8122" s="7" t="s">
        <v>156</v>
      </c>
      <c r="F8122" s="7" t="s">
        <v>222</v>
      </c>
      <c r="G8122" s="7" t="s">
        <v>505</v>
      </c>
      <c r="H8122" s="6" t="n">
        <v>4.15</v>
      </c>
      <c r="I8122" s="6" t="n">
        <v>0</v>
      </c>
      <c r="J8122" s="40" t="n">
        <f aca="false">H8122-I8122</f>
        <v>4.15</v>
      </c>
      <c r="K8122" s="41" t="n">
        <v>34</v>
      </c>
      <c r="L8122" s="42" t="n">
        <f aca="false">J8122*K8122</f>
        <v>141.1</v>
      </c>
      <c r="M8122" s="43" t="n">
        <f aca="false">H8122*17.84*(1+'Chart of Accounts'!$E$67)</f>
        <v>84.77122</v>
      </c>
    </row>
    <row r="8123" customFormat="false" ht="15" hidden="false" customHeight="false" outlineLevel="0" collapsed="false">
      <c r="B8123" s="7" t="s">
        <v>8620</v>
      </c>
      <c r="C8123" s="39" t="n">
        <v>46022</v>
      </c>
      <c r="D8123" s="7" t="s">
        <v>393</v>
      </c>
      <c r="E8123" s="7" t="s">
        <v>157</v>
      </c>
      <c r="F8123" s="7" t="s">
        <v>203</v>
      </c>
      <c r="G8123" s="7" t="s">
        <v>502</v>
      </c>
      <c r="H8123" s="6" t="n">
        <v>0.92</v>
      </c>
      <c r="I8123" s="6" t="n">
        <v>0</v>
      </c>
      <c r="J8123" s="40" t="n">
        <f aca="false">H8123-I8123</f>
        <v>0.92</v>
      </c>
      <c r="K8123" s="41" t="n">
        <v>165</v>
      </c>
      <c r="L8123" s="42" t="n">
        <f aca="false">J8123*K8123</f>
        <v>151.8</v>
      </c>
      <c r="M8123" s="43" t="n">
        <f aca="false">H8123*49.43*(1+'Chart of Accounts'!$E$67)</f>
        <v>52.069562</v>
      </c>
    </row>
    <row r="8124" customFormat="false" ht="15" hidden="false" customHeight="false" outlineLevel="0" collapsed="false">
      <c r="B8124" s="7" t="s">
        <v>8621</v>
      </c>
      <c r="C8124" s="39" t="n">
        <v>46022</v>
      </c>
      <c r="D8124" s="7" t="s">
        <v>395</v>
      </c>
      <c r="E8124" s="7" t="s">
        <v>156</v>
      </c>
      <c r="F8124" s="7" t="s">
        <v>242</v>
      </c>
      <c r="G8124" s="7" t="s">
        <v>505</v>
      </c>
      <c r="H8124" s="6" t="n">
        <v>4.15</v>
      </c>
      <c r="I8124" s="6" t="n">
        <v>0</v>
      </c>
      <c r="J8124" s="40" t="n">
        <f aca="false">H8124-I8124</f>
        <v>4.15</v>
      </c>
      <c r="K8124" s="41" t="n">
        <v>34</v>
      </c>
      <c r="L8124" s="42" t="n">
        <f aca="false">J8124*K8124</f>
        <v>141.1</v>
      </c>
      <c r="M8124" s="43" t="n">
        <f aca="false">H8124*17.99*(1+'Chart of Accounts'!$E$67)</f>
        <v>85.4839825</v>
      </c>
    </row>
    <row r="8125" customFormat="false" ht="15" hidden="false" customHeight="false" outlineLevel="0" collapsed="false">
      <c r="B8125" s="7" t="s">
        <v>8622</v>
      </c>
      <c r="C8125" s="39" t="n">
        <v>46022</v>
      </c>
      <c r="D8125" s="7" t="s">
        <v>399</v>
      </c>
      <c r="E8125" s="7" t="s">
        <v>154</v>
      </c>
      <c r="F8125" s="7" t="s">
        <v>232</v>
      </c>
      <c r="G8125" s="7" t="s">
        <v>505</v>
      </c>
      <c r="H8125" s="6" t="n">
        <v>3.46</v>
      </c>
      <c r="I8125" s="6" t="n">
        <v>0</v>
      </c>
      <c r="J8125" s="40" t="n">
        <f aca="false">H8125-I8125</f>
        <v>3.46</v>
      </c>
      <c r="K8125" s="41" t="n">
        <v>26.5</v>
      </c>
      <c r="L8125" s="42" t="n">
        <f aca="false">J8125*K8125</f>
        <v>91.69</v>
      </c>
      <c r="M8125" s="43" t="n">
        <f aca="false">H8125*16.17*(1+'Chart of Accounts'!$E$67)</f>
        <v>64.060689</v>
      </c>
    </row>
    <row r="8126" customFormat="false" ht="15" hidden="false" customHeight="false" outlineLevel="0" collapsed="false">
      <c r="B8126" s="7" t="s">
        <v>8623</v>
      </c>
      <c r="C8126" s="39" t="n">
        <v>46022</v>
      </c>
      <c r="D8126" s="7" t="s">
        <v>401</v>
      </c>
      <c r="E8126" s="7" t="s">
        <v>156</v>
      </c>
      <c r="F8126" s="7" t="s">
        <v>254</v>
      </c>
      <c r="G8126" s="7" t="s">
        <v>505</v>
      </c>
      <c r="H8126" s="6" t="n">
        <v>3.75</v>
      </c>
      <c r="I8126" s="6" t="n">
        <v>0</v>
      </c>
      <c r="J8126" s="40" t="n">
        <f aca="false">H8126-I8126</f>
        <v>3.75</v>
      </c>
      <c r="K8126" s="41" t="n">
        <v>34</v>
      </c>
      <c r="L8126" s="42" t="n">
        <f aca="false">J8126*K8126</f>
        <v>127.5</v>
      </c>
      <c r="M8126" s="43" t="n">
        <f aca="false">H8126*17.1*(1+'Chart of Accounts'!$E$67)</f>
        <v>73.423125</v>
      </c>
    </row>
    <row r="8127" customFormat="false" ht="15" hidden="false" customHeight="false" outlineLevel="0" collapsed="false">
      <c r="B8127" s="7" t="s">
        <v>8624</v>
      </c>
      <c r="C8127" s="39" t="n">
        <v>46022</v>
      </c>
      <c r="D8127" s="7" t="s">
        <v>403</v>
      </c>
      <c r="E8127" s="7" t="s">
        <v>156</v>
      </c>
      <c r="F8127" s="7" t="s">
        <v>184</v>
      </c>
      <c r="G8127" s="7" t="s">
        <v>505</v>
      </c>
      <c r="H8127" s="6" t="n">
        <v>3.72</v>
      </c>
      <c r="I8127" s="6" t="n">
        <v>0</v>
      </c>
      <c r="J8127" s="40" t="n">
        <f aca="false">H8127-I8127</f>
        <v>3.72</v>
      </c>
      <c r="K8127" s="41" t="n">
        <v>34</v>
      </c>
      <c r="L8127" s="42" t="n">
        <f aca="false">J8127*K8127</f>
        <v>126.48</v>
      </c>
      <c r="M8127" s="43" t="n">
        <f aca="false">H8127*17.34*(1+'Chart of Accounts'!$E$67)</f>
        <v>73.857996</v>
      </c>
    </row>
    <row r="8128" customFormat="false" ht="15" hidden="false" customHeight="false" outlineLevel="0" collapsed="false">
      <c r="B8128" s="7" t="s">
        <v>8625</v>
      </c>
      <c r="C8128" s="39" t="n">
        <v>46022</v>
      </c>
      <c r="D8128" s="7" t="s">
        <v>409</v>
      </c>
      <c r="E8128" s="7" t="s">
        <v>154</v>
      </c>
      <c r="F8128" s="7" t="s">
        <v>214</v>
      </c>
      <c r="G8128" s="7" t="s">
        <v>505</v>
      </c>
      <c r="H8128" s="6" t="n">
        <v>3.43</v>
      </c>
      <c r="I8128" s="6" t="n">
        <v>0</v>
      </c>
      <c r="J8128" s="40" t="n">
        <f aca="false">H8128-I8128</f>
        <v>3.43</v>
      </c>
      <c r="K8128" s="41" t="n">
        <v>26.5</v>
      </c>
      <c r="L8128" s="42" t="n">
        <f aca="false">J8128*K8128</f>
        <v>90.895</v>
      </c>
      <c r="M8128" s="43" t="n">
        <f aca="false">H8128*15.67*(1+'Chart of Accounts'!$E$67)</f>
        <v>61.5415745</v>
      </c>
    </row>
    <row r="8129" customFormat="false" ht="15" hidden="false" customHeight="false" outlineLevel="0" collapsed="false">
      <c r="B8129" s="7" t="s">
        <v>8626</v>
      </c>
      <c r="C8129" s="39" t="n">
        <v>46022</v>
      </c>
      <c r="D8129" s="7" t="s">
        <v>411</v>
      </c>
      <c r="E8129" s="7" t="s">
        <v>154</v>
      </c>
      <c r="F8129" s="7" t="s">
        <v>177</v>
      </c>
      <c r="G8129" s="7" t="s">
        <v>505</v>
      </c>
      <c r="H8129" s="6" t="n">
        <v>4.61</v>
      </c>
      <c r="I8129" s="6" t="n">
        <v>0</v>
      </c>
      <c r="J8129" s="40" t="n">
        <f aca="false">H8129-I8129</f>
        <v>4.61</v>
      </c>
      <c r="K8129" s="41" t="n">
        <v>26.5</v>
      </c>
      <c r="L8129" s="42" t="n">
        <f aca="false">J8129*K8129</f>
        <v>122.165</v>
      </c>
      <c r="M8129" s="43" t="n">
        <f aca="false">H8129*14.56*(1+'Chart of Accounts'!$E$67)</f>
        <v>76.854232</v>
      </c>
    </row>
    <row r="8131" customFormat="false" ht="15" hidden="false" customHeight="false" outlineLevel="0" collapsed="false">
      <c r="B8131" s="36" t="s">
        <v>8627</v>
      </c>
      <c r="L8131" s="37" t="n">
        <f aca="false">SUM(L6:L8129)</f>
        <v>994083.674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6B"/>
    <pageSetUpPr fitToPage="false"/>
  </sheetPr>
  <dimension ref="B2:O59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8" min="4" style="0" width="10"/>
    <col collapsed="false" customWidth="true" hidden="false" outlineLevel="0" max="10" min="9" style="0" width="11"/>
    <col collapsed="false" customWidth="true" hidden="false" outlineLevel="0" max="11" min="11" style="0" width="9"/>
    <col collapsed="false" customWidth="true" hidden="false" outlineLevel="0" max="12" min="12" style="0" width="11"/>
    <col collapsed="false" customWidth="true" hidden="false" outlineLevel="0" max="13" min="13" style="0" width="9"/>
    <col collapsed="false" customWidth="true" hidden="false" outlineLevel="0" max="14" min="14" style="0" width="11"/>
    <col collapsed="false" customWidth="true" hidden="false" outlineLevel="0" max="15" min="15" style="0" width="12"/>
  </cols>
  <sheetData>
    <row r="2" customFormat="false" ht="17.35" hidden="false" customHeight="false" outlineLevel="0" collapsed="false">
      <c r="B2" s="1" t="s">
        <v>8628</v>
      </c>
    </row>
    <row r="3" customFormat="false" ht="15" hidden="false" customHeight="false" outlineLevel="0" collapsed="false">
      <c r="B3" s="2" t="s">
        <v>8629</v>
      </c>
    </row>
    <row r="5" customFormat="false" ht="23.85" hidden="false" customHeight="false" outlineLevel="0" collapsed="false">
      <c r="B5" s="11" t="s">
        <v>8630</v>
      </c>
      <c r="C5" s="11" t="s">
        <v>484</v>
      </c>
      <c r="D5" s="11" t="s">
        <v>168</v>
      </c>
      <c r="E5" s="11" t="s">
        <v>171</v>
      </c>
      <c r="F5" s="11" t="s">
        <v>8631</v>
      </c>
      <c r="G5" s="11" t="s">
        <v>8632</v>
      </c>
      <c r="H5" s="11" t="s">
        <v>151</v>
      </c>
      <c r="I5" s="11" t="s">
        <v>8633</v>
      </c>
      <c r="J5" s="11" t="s">
        <v>8634</v>
      </c>
      <c r="K5" s="11" t="s">
        <v>8635</v>
      </c>
      <c r="L5" s="11" t="s">
        <v>8636</v>
      </c>
      <c r="M5" s="11" t="s">
        <v>502</v>
      </c>
      <c r="N5" s="11" t="s">
        <v>8637</v>
      </c>
      <c r="O5" s="11" t="s">
        <v>8638</v>
      </c>
    </row>
    <row r="6" customFormat="false" ht="15" hidden="false" customHeight="false" outlineLevel="0" collapsed="false">
      <c r="B6" s="7" t="s">
        <v>8639</v>
      </c>
      <c r="C6" s="39" t="n">
        <v>45658</v>
      </c>
      <c r="D6" s="7" t="s">
        <v>187</v>
      </c>
      <c r="E6" s="7" t="s">
        <v>158</v>
      </c>
      <c r="H6" s="41" t="n">
        <v>66.48</v>
      </c>
      <c r="M6" s="6" t="n">
        <v>1</v>
      </c>
      <c r="N6" s="43" t="n">
        <f aca="false">M6*H6</f>
        <v>66.48</v>
      </c>
      <c r="O6" s="42" t="n">
        <f aca="false">N6</f>
        <v>66.48</v>
      </c>
    </row>
    <row r="7" customFormat="false" ht="15" hidden="false" customHeight="false" outlineLevel="0" collapsed="false">
      <c r="B7" s="7" t="s">
        <v>8640</v>
      </c>
      <c r="C7" s="39" t="n">
        <v>45658</v>
      </c>
      <c r="D7" s="7" t="s">
        <v>228</v>
      </c>
      <c r="E7" s="7" t="s">
        <v>158</v>
      </c>
      <c r="H7" s="41" t="n">
        <v>51.07</v>
      </c>
      <c r="M7" s="6" t="n">
        <v>1</v>
      </c>
      <c r="N7" s="43" t="n">
        <f aca="false">M7*H7</f>
        <v>51.07</v>
      </c>
      <c r="O7" s="42" t="n">
        <f aca="false">N7</f>
        <v>51.07</v>
      </c>
    </row>
    <row r="8" customFormat="false" ht="15" hidden="false" customHeight="false" outlineLevel="0" collapsed="false">
      <c r="B8" s="7" t="s">
        <v>8641</v>
      </c>
      <c r="C8" s="39" t="n">
        <v>45658</v>
      </c>
      <c r="D8" s="7" t="s">
        <v>191</v>
      </c>
      <c r="E8" s="7" t="s">
        <v>180</v>
      </c>
      <c r="F8" s="6" t="n">
        <v>4.39</v>
      </c>
      <c r="G8" s="6" t="n">
        <v>0</v>
      </c>
      <c r="H8" s="41" t="n">
        <v>16.05</v>
      </c>
      <c r="I8" s="43" t="n">
        <f aca="false">F8*H8</f>
        <v>70.4595</v>
      </c>
      <c r="J8" s="43" t="n">
        <f aca="false">G8*H8*1.5</f>
        <v>0</v>
      </c>
      <c r="K8" s="6" t="n">
        <v>11.51</v>
      </c>
      <c r="L8" s="43" t="n">
        <f aca="false">K8*'Chart of Accounts'!$E$68</f>
        <v>7.7117</v>
      </c>
      <c r="O8" s="42" t="n">
        <f aca="false">I8+J8+L8</f>
        <v>78.1712</v>
      </c>
    </row>
    <row r="9" customFormat="false" ht="15" hidden="false" customHeight="false" outlineLevel="0" collapsed="false">
      <c r="B9" s="7" t="s">
        <v>8642</v>
      </c>
      <c r="C9" s="39" t="n">
        <v>45658</v>
      </c>
      <c r="D9" s="7" t="s">
        <v>194</v>
      </c>
      <c r="E9" s="7" t="s">
        <v>180</v>
      </c>
      <c r="F9" s="6" t="n">
        <v>5.03</v>
      </c>
      <c r="G9" s="6" t="n">
        <v>0</v>
      </c>
      <c r="H9" s="41" t="n">
        <v>16</v>
      </c>
      <c r="I9" s="43" t="n">
        <f aca="false">F9*H9</f>
        <v>80.48</v>
      </c>
      <c r="J9" s="43" t="n">
        <f aca="false">G9*H9*1.5</f>
        <v>0</v>
      </c>
      <c r="K9" s="6" t="n">
        <v>11.77</v>
      </c>
      <c r="L9" s="43" t="n">
        <f aca="false">K9*'Chart of Accounts'!$E$68</f>
        <v>7.8859</v>
      </c>
      <c r="O9" s="42" t="n">
        <f aca="false">I9+J9+L9</f>
        <v>88.3659</v>
      </c>
    </row>
    <row r="10" customFormat="false" ht="15" hidden="false" customHeight="false" outlineLevel="0" collapsed="false">
      <c r="B10" s="7" t="s">
        <v>8643</v>
      </c>
      <c r="C10" s="39" t="n">
        <v>45658</v>
      </c>
      <c r="D10" s="7" t="s">
        <v>205</v>
      </c>
      <c r="E10" s="7" t="s">
        <v>180</v>
      </c>
      <c r="F10" s="6" t="n">
        <v>4</v>
      </c>
      <c r="G10" s="6" t="n">
        <v>0</v>
      </c>
      <c r="H10" s="41" t="n">
        <v>16.36</v>
      </c>
      <c r="I10" s="43" t="n">
        <f aca="false">F10*H10</f>
        <v>65.44</v>
      </c>
      <c r="J10" s="43" t="n">
        <f aca="false">G10*H10*1.5</f>
        <v>0</v>
      </c>
      <c r="K10" s="6" t="n">
        <v>13.16</v>
      </c>
      <c r="L10" s="43" t="n">
        <f aca="false">K10*'Chart of Accounts'!$E$68</f>
        <v>8.8172</v>
      </c>
      <c r="O10" s="42" t="n">
        <f aca="false">I10+J10+L10</f>
        <v>74.2572</v>
      </c>
    </row>
    <row r="11" customFormat="false" ht="15" hidden="false" customHeight="false" outlineLevel="0" collapsed="false">
      <c r="B11" s="7" t="s">
        <v>8644</v>
      </c>
      <c r="C11" s="39" t="n">
        <v>45658</v>
      </c>
      <c r="D11" s="7" t="s">
        <v>252</v>
      </c>
      <c r="E11" s="7" t="s">
        <v>158</v>
      </c>
      <c r="H11" s="41" t="n">
        <v>57.54</v>
      </c>
      <c r="M11" s="6" t="n">
        <v>1</v>
      </c>
      <c r="N11" s="43" t="n">
        <f aca="false">M11*H11</f>
        <v>57.54</v>
      </c>
      <c r="O11" s="42" t="n">
        <f aca="false">N11</f>
        <v>57.54</v>
      </c>
    </row>
    <row r="12" customFormat="false" ht="15" hidden="false" customHeight="false" outlineLevel="0" collapsed="false">
      <c r="B12" s="7" t="s">
        <v>8645</v>
      </c>
      <c r="C12" s="39" t="n">
        <v>45658</v>
      </c>
      <c r="D12" s="7" t="s">
        <v>184</v>
      </c>
      <c r="E12" s="7" t="s">
        <v>180</v>
      </c>
      <c r="F12" s="6" t="n">
        <v>3.81</v>
      </c>
      <c r="G12" s="6" t="n">
        <v>0</v>
      </c>
      <c r="H12" s="41" t="n">
        <v>17.34</v>
      </c>
      <c r="I12" s="43" t="n">
        <f aca="false">F12*H12</f>
        <v>66.0654</v>
      </c>
      <c r="J12" s="43" t="n">
        <f aca="false">G12*H12*1.5</f>
        <v>0</v>
      </c>
      <c r="K12" s="6" t="n">
        <v>9.87</v>
      </c>
      <c r="L12" s="43" t="n">
        <f aca="false">K12*'Chart of Accounts'!$E$68</f>
        <v>6.6129</v>
      </c>
      <c r="O12" s="42" t="n">
        <f aca="false">I12+J12+L12</f>
        <v>72.6783</v>
      </c>
    </row>
    <row r="13" customFormat="false" ht="15" hidden="false" customHeight="false" outlineLevel="0" collapsed="false">
      <c r="B13" s="7" t="s">
        <v>8646</v>
      </c>
      <c r="C13" s="39" t="n">
        <v>45658</v>
      </c>
      <c r="D13" s="7" t="s">
        <v>218</v>
      </c>
      <c r="E13" s="7" t="s">
        <v>180</v>
      </c>
      <c r="F13" s="6" t="n">
        <v>4.21</v>
      </c>
      <c r="G13" s="6" t="n">
        <v>0</v>
      </c>
      <c r="H13" s="41" t="n">
        <v>16.19</v>
      </c>
      <c r="I13" s="43" t="n">
        <f aca="false">F13*H13</f>
        <v>68.1599</v>
      </c>
      <c r="J13" s="43" t="n">
        <f aca="false">G13*H13*1.5</f>
        <v>0</v>
      </c>
      <c r="K13" s="6" t="n">
        <v>12.19</v>
      </c>
      <c r="L13" s="43" t="n">
        <f aca="false">K13*'Chart of Accounts'!$E$68</f>
        <v>8.1673</v>
      </c>
      <c r="O13" s="42" t="n">
        <f aca="false">I13+J13+L13</f>
        <v>76.3272</v>
      </c>
    </row>
    <row r="14" customFormat="false" ht="15" hidden="false" customHeight="false" outlineLevel="0" collapsed="false">
      <c r="B14" s="7" t="s">
        <v>8647</v>
      </c>
      <c r="C14" s="39" t="n">
        <v>45658</v>
      </c>
      <c r="D14" s="7" t="s">
        <v>220</v>
      </c>
      <c r="E14" s="7" t="s">
        <v>180</v>
      </c>
      <c r="F14" s="6" t="n">
        <v>3.82</v>
      </c>
      <c r="G14" s="6" t="n">
        <v>0</v>
      </c>
      <c r="H14" s="41" t="n">
        <v>16.43</v>
      </c>
      <c r="I14" s="43" t="n">
        <f aca="false">F14*H14</f>
        <v>62.7626</v>
      </c>
      <c r="J14" s="43" t="n">
        <f aca="false">G14*H14*1.5</f>
        <v>0</v>
      </c>
      <c r="K14" s="6" t="n">
        <v>8.83</v>
      </c>
      <c r="L14" s="43" t="n">
        <f aca="false">K14*'Chart of Accounts'!$E$68</f>
        <v>5.9161</v>
      </c>
      <c r="O14" s="42" t="n">
        <f aca="false">I14+J14+L14</f>
        <v>68.6787</v>
      </c>
    </row>
    <row r="15" customFormat="false" ht="15" hidden="false" customHeight="false" outlineLevel="0" collapsed="false">
      <c r="B15" s="7" t="s">
        <v>8648</v>
      </c>
      <c r="C15" s="39" t="n">
        <v>45658</v>
      </c>
      <c r="D15" s="7" t="s">
        <v>177</v>
      </c>
      <c r="E15" s="7" t="s">
        <v>180</v>
      </c>
      <c r="F15" s="6" t="n">
        <v>8.83</v>
      </c>
      <c r="G15" s="6" t="n">
        <v>0</v>
      </c>
      <c r="H15" s="41" t="n">
        <v>14.56</v>
      </c>
      <c r="I15" s="43" t="n">
        <f aca="false">F15*H15</f>
        <v>128.5648</v>
      </c>
      <c r="J15" s="43" t="n">
        <f aca="false">G15*H15*1.5</f>
        <v>0</v>
      </c>
      <c r="K15" s="6" t="n">
        <v>24.15</v>
      </c>
      <c r="L15" s="43" t="n">
        <f aca="false">K15*'Chart of Accounts'!$E$68</f>
        <v>16.1805</v>
      </c>
      <c r="O15" s="42" t="n">
        <f aca="false">I15+J15+L15</f>
        <v>144.7453</v>
      </c>
    </row>
    <row r="16" customFormat="false" ht="15" hidden="false" customHeight="false" outlineLevel="0" collapsed="false">
      <c r="B16" s="7" t="s">
        <v>8649</v>
      </c>
      <c r="C16" s="39" t="n">
        <v>45658</v>
      </c>
      <c r="D16" s="7" t="s">
        <v>242</v>
      </c>
      <c r="E16" s="7" t="s">
        <v>180</v>
      </c>
      <c r="F16" s="6" t="n">
        <v>7.23</v>
      </c>
      <c r="G16" s="6" t="n">
        <v>0</v>
      </c>
      <c r="H16" s="41" t="n">
        <v>17.99</v>
      </c>
      <c r="I16" s="43" t="n">
        <f aca="false">F16*H16</f>
        <v>130.0677</v>
      </c>
      <c r="J16" s="43" t="n">
        <f aca="false">G16*H16*1.5</f>
        <v>0</v>
      </c>
      <c r="K16" s="6" t="n">
        <v>17.27</v>
      </c>
      <c r="L16" s="43" t="n">
        <f aca="false">K16*'Chart of Accounts'!$E$68</f>
        <v>11.5709</v>
      </c>
      <c r="O16" s="42" t="n">
        <f aca="false">I16+J16+L16</f>
        <v>141.6386</v>
      </c>
    </row>
    <row r="17" customFormat="false" ht="15" hidden="false" customHeight="false" outlineLevel="0" collapsed="false">
      <c r="B17" s="7" t="s">
        <v>8650</v>
      </c>
      <c r="C17" s="39" t="n">
        <v>45658</v>
      </c>
      <c r="D17" s="7" t="s">
        <v>254</v>
      </c>
      <c r="E17" s="7" t="s">
        <v>180</v>
      </c>
      <c r="F17" s="6" t="n">
        <v>7.5</v>
      </c>
      <c r="G17" s="6" t="n">
        <v>0</v>
      </c>
      <c r="H17" s="41" t="n">
        <v>17.1</v>
      </c>
      <c r="I17" s="43" t="n">
        <f aca="false">F17*H17</f>
        <v>128.25</v>
      </c>
      <c r="J17" s="43" t="n">
        <f aca="false">G17*H17*1.5</f>
        <v>0</v>
      </c>
      <c r="K17" s="6" t="n">
        <v>16.79</v>
      </c>
      <c r="L17" s="43" t="n">
        <f aca="false">K17*'Chart of Accounts'!$E$68</f>
        <v>11.2493</v>
      </c>
      <c r="O17" s="42" t="n">
        <f aca="false">I17+J17+L17</f>
        <v>139.4993</v>
      </c>
    </row>
    <row r="18" customFormat="false" ht="15" hidden="false" customHeight="false" outlineLevel="0" collapsed="false">
      <c r="B18" s="7" t="s">
        <v>8651</v>
      </c>
      <c r="C18" s="39" t="n">
        <v>45658</v>
      </c>
      <c r="D18" s="7" t="s">
        <v>201</v>
      </c>
      <c r="E18" s="7" t="s">
        <v>180</v>
      </c>
      <c r="F18" s="6" t="n">
        <v>3.36</v>
      </c>
      <c r="G18" s="6" t="n">
        <v>0</v>
      </c>
      <c r="H18" s="41" t="n">
        <v>15.19</v>
      </c>
      <c r="I18" s="43" t="n">
        <f aca="false">F18*H18</f>
        <v>51.0384</v>
      </c>
      <c r="J18" s="43" t="n">
        <f aca="false">G18*H18*1.5</f>
        <v>0</v>
      </c>
      <c r="K18" s="6" t="n">
        <v>7.74</v>
      </c>
      <c r="L18" s="43" t="n">
        <f aca="false">K18*'Chart of Accounts'!$E$68</f>
        <v>5.1858</v>
      </c>
      <c r="O18" s="42" t="n">
        <f aca="false">I18+J18+L18</f>
        <v>56.2242</v>
      </c>
    </row>
    <row r="19" customFormat="false" ht="15" hidden="false" customHeight="false" outlineLevel="0" collapsed="false">
      <c r="B19" s="7" t="s">
        <v>8652</v>
      </c>
      <c r="C19" s="39" t="n">
        <v>45658</v>
      </c>
      <c r="D19" s="7" t="s">
        <v>207</v>
      </c>
      <c r="E19" s="7" t="s">
        <v>180</v>
      </c>
      <c r="F19" s="6" t="n">
        <v>3.28</v>
      </c>
      <c r="G19" s="6" t="n">
        <v>0</v>
      </c>
      <c r="H19" s="41" t="n">
        <v>16.65</v>
      </c>
      <c r="I19" s="43" t="n">
        <f aca="false">F19*H19</f>
        <v>54.612</v>
      </c>
      <c r="J19" s="43" t="n">
        <f aca="false">G19*H19*1.5</f>
        <v>0</v>
      </c>
      <c r="K19" s="6" t="n">
        <v>10.26</v>
      </c>
      <c r="L19" s="43" t="n">
        <f aca="false">K19*'Chart of Accounts'!$E$68</f>
        <v>6.8742</v>
      </c>
      <c r="O19" s="42" t="n">
        <f aca="false">I19+J19+L19</f>
        <v>61.4862</v>
      </c>
    </row>
    <row r="20" customFormat="false" ht="15" hidden="false" customHeight="false" outlineLevel="0" collapsed="false">
      <c r="B20" s="7" t="s">
        <v>8653</v>
      </c>
      <c r="C20" s="39" t="n">
        <v>45658</v>
      </c>
      <c r="D20" s="7" t="s">
        <v>212</v>
      </c>
      <c r="E20" s="7" t="s">
        <v>180</v>
      </c>
      <c r="F20" s="6" t="n">
        <v>4.16</v>
      </c>
      <c r="G20" s="6" t="n">
        <v>0</v>
      </c>
      <c r="H20" s="41" t="n">
        <v>16.71</v>
      </c>
      <c r="I20" s="43" t="n">
        <f aca="false">F20*H20</f>
        <v>69.5136</v>
      </c>
      <c r="J20" s="43" t="n">
        <f aca="false">G20*H20*1.5</f>
        <v>0</v>
      </c>
      <c r="K20" s="6" t="n">
        <v>10.57</v>
      </c>
      <c r="L20" s="43" t="n">
        <f aca="false">K20*'Chart of Accounts'!$E$68</f>
        <v>7.0819</v>
      </c>
      <c r="O20" s="42" t="n">
        <f aca="false">I20+J20+L20</f>
        <v>76.5955</v>
      </c>
    </row>
    <row r="21" customFormat="false" ht="15" hidden="false" customHeight="false" outlineLevel="0" collapsed="false">
      <c r="B21" s="7" t="s">
        <v>8654</v>
      </c>
      <c r="C21" s="39" t="n">
        <v>45658</v>
      </c>
      <c r="D21" s="7" t="s">
        <v>224</v>
      </c>
      <c r="E21" s="7" t="s">
        <v>180</v>
      </c>
      <c r="F21" s="6" t="n">
        <v>4.48</v>
      </c>
      <c r="G21" s="6" t="n">
        <v>0</v>
      </c>
      <c r="H21" s="41" t="n">
        <v>14.93</v>
      </c>
      <c r="I21" s="43" t="n">
        <f aca="false">F21*H21</f>
        <v>66.8864</v>
      </c>
      <c r="J21" s="43" t="n">
        <f aca="false">G21*H21*1.5</f>
        <v>0</v>
      </c>
      <c r="K21" s="6" t="n">
        <v>11.38</v>
      </c>
      <c r="L21" s="43" t="n">
        <f aca="false">K21*'Chart of Accounts'!$E$68</f>
        <v>7.6246</v>
      </c>
      <c r="O21" s="42" t="n">
        <f aca="false">I21+J21+L21</f>
        <v>74.511</v>
      </c>
    </row>
    <row r="22" customFormat="false" ht="15" hidden="false" customHeight="false" outlineLevel="0" collapsed="false">
      <c r="B22" s="7" t="s">
        <v>8655</v>
      </c>
      <c r="C22" s="39" t="n">
        <v>45658</v>
      </c>
      <c r="D22" s="7" t="s">
        <v>246</v>
      </c>
      <c r="E22" s="7" t="s">
        <v>180</v>
      </c>
      <c r="F22" s="6" t="n">
        <v>4.27</v>
      </c>
      <c r="G22" s="6" t="n">
        <v>0</v>
      </c>
      <c r="H22" s="41" t="n">
        <v>16.48</v>
      </c>
      <c r="I22" s="43" t="n">
        <f aca="false">F22*H22</f>
        <v>70.3696</v>
      </c>
      <c r="J22" s="43" t="n">
        <f aca="false">G22*H22*1.5</f>
        <v>0</v>
      </c>
      <c r="K22" s="6" t="n">
        <v>10.99</v>
      </c>
      <c r="L22" s="43" t="n">
        <f aca="false">K22*'Chart of Accounts'!$E$68</f>
        <v>7.3633</v>
      </c>
      <c r="O22" s="42" t="n">
        <f aca="false">I22+J22+L22</f>
        <v>77.7329</v>
      </c>
    </row>
    <row r="23" customFormat="false" ht="15" hidden="false" customHeight="false" outlineLevel="0" collapsed="false">
      <c r="B23" s="7" t="s">
        <v>8656</v>
      </c>
      <c r="C23" s="39" t="n">
        <v>45658</v>
      </c>
      <c r="D23" s="7" t="s">
        <v>222</v>
      </c>
      <c r="E23" s="7" t="s">
        <v>180</v>
      </c>
      <c r="F23" s="6" t="n">
        <v>4.24</v>
      </c>
      <c r="G23" s="6" t="n">
        <v>0</v>
      </c>
      <c r="H23" s="41" t="n">
        <v>17.84</v>
      </c>
      <c r="I23" s="43" t="n">
        <f aca="false">F23*H23</f>
        <v>75.6416</v>
      </c>
      <c r="J23" s="43" t="n">
        <f aca="false">G23*H23*1.5</f>
        <v>0</v>
      </c>
      <c r="K23" s="6" t="n">
        <v>9.68</v>
      </c>
      <c r="L23" s="43" t="n">
        <f aca="false">K23*'Chart of Accounts'!$E$68</f>
        <v>6.4856</v>
      </c>
      <c r="O23" s="42" t="n">
        <f aca="false">I23+J23+L23</f>
        <v>82.1272</v>
      </c>
    </row>
    <row r="24" customFormat="false" ht="15" hidden="false" customHeight="false" outlineLevel="0" collapsed="false">
      <c r="B24" s="7" t="s">
        <v>8657</v>
      </c>
      <c r="C24" s="39" t="n">
        <v>45658</v>
      </c>
      <c r="D24" s="7" t="s">
        <v>203</v>
      </c>
      <c r="E24" s="7" t="s">
        <v>158</v>
      </c>
      <c r="H24" s="41" t="n">
        <v>49.43</v>
      </c>
      <c r="M24" s="6" t="n">
        <v>1</v>
      </c>
      <c r="N24" s="43" t="n">
        <f aca="false">M24*H24</f>
        <v>49.43</v>
      </c>
      <c r="O24" s="42" t="n">
        <f aca="false">N24</f>
        <v>49.43</v>
      </c>
    </row>
    <row r="25" customFormat="false" ht="15" hidden="false" customHeight="false" outlineLevel="0" collapsed="false">
      <c r="B25" s="7" t="s">
        <v>8658</v>
      </c>
      <c r="C25" s="39" t="n">
        <v>45658</v>
      </c>
      <c r="D25" s="7" t="s">
        <v>262</v>
      </c>
      <c r="E25" s="7" t="s">
        <v>180</v>
      </c>
      <c r="F25" s="6" t="n">
        <v>3.56</v>
      </c>
      <c r="G25" s="6" t="n">
        <v>0</v>
      </c>
      <c r="H25" s="41" t="n">
        <v>16.02</v>
      </c>
      <c r="I25" s="43" t="n">
        <f aca="false">F25*H25</f>
        <v>57.0312</v>
      </c>
      <c r="J25" s="43" t="n">
        <f aca="false">G25*H25*1.5</f>
        <v>0</v>
      </c>
      <c r="K25" s="6" t="n">
        <v>8.32</v>
      </c>
      <c r="L25" s="43" t="n">
        <f aca="false">K25*'Chart of Accounts'!$E$68</f>
        <v>5.5744</v>
      </c>
      <c r="O25" s="42" t="n">
        <f aca="false">I25+J25+L25</f>
        <v>62.6056</v>
      </c>
    </row>
    <row r="26" customFormat="false" ht="15" hidden="false" customHeight="false" outlineLevel="0" collapsed="false">
      <c r="B26" s="7" t="s">
        <v>8659</v>
      </c>
      <c r="C26" s="39" t="n">
        <v>45658</v>
      </c>
      <c r="D26" s="7" t="s">
        <v>214</v>
      </c>
      <c r="E26" s="7" t="s">
        <v>180</v>
      </c>
      <c r="F26" s="6" t="n">
        <v>3.44</v>
      </c>
      <c r="G26" s="6" t="n">
        <v>0</v>
      </c>
      <c r="H26" s="41" t="n">
        <v>15.67</v>
      </c>
      <c r="I26" s="43" t="n">
        <f aca="false">F26*H26</f>
        <v>53.9048</v>
      </c>
      <c r="J26" s="43" t="n">
        <f aca="false">G26*H26*1.5</f>
        <v>0</v>
      </c>
      <c r="K26" s="6" t="n">
        <v>8.46</v>
      </c>
      <c r="L26" s="43" t="n">
        <f aca="false">K26*'Chart of Accounts'!$E$68</f>
        <v>5.6682</v>
      </c>
      <c r="O26" s="42" t="n">
        <f aca="false">I26+J26+L26</f>
        <v>59.573</v>
      </c>
    </row>
    <row r="27" customFormat="false" ht="15" hidden="false" customHeight="false" outlineLevel="0" collapsed="false">
      <c r="B27" s="7" t="s">
        <v>8660</v>
      </c>
      <c r="C27" s="39" t="n">
        <v>45659</v>
      </c>
      <c r="D27" s="7" t="s">
        <v>191</v>
      </c>
      <c r="E27" s="7" t="s">
        <v>180</v>
      </c>
      <c r="F27" s="6" t="n">
        <v>3.86</v>
      </c>
      <c r="G27" s="6" t="n">
        <v>0</v>
      </c>
      <c r="H27" s="41" t="n">
        <v>16.05</v>
      </c>
      <c r="I27" s="43" t="n">
        <f aca="false">F27*H27</f>
        <v>61.953</v>
      </c>
      <c r="J27" s="43" t="n">
        <f aca="false">G27*H27*1.5</f>
        <v>0</v>
      </c>
      <c r="K27" s="6" t="n">
        <v>9.41</v>
      </c>
      <c r="L27" s="43" t="n">
        <f aca="false">K27*'Chart of Accounts'!$E$68</f>
        <v>6.3047</v>
      </c>
      <c r="O27" s="42" t="n">
        <f aca="false">I27+J27+L27</f>
        <v>68.2577</v>
      </c>
    </row>
    <row r="28" customFormat="false" ht="15" hidden="false" customHeight="false" outlineLevel="0" collapsed="false">
      <c r="B28" s="7" t="s">
        <v>8661</v>
      </c>
      <c r="C28" s="39" t="n">
        <v>45659</v>
      </c>
      <c r="D28" s="7" t="s">
        <v>201</v>
      </c>
      <c r="E28" s="7" t="s">
        <v>180</v>
      </c>
      <c r="F28" s="6" t="n">
        <v>3.23</v>
      </c>
      <c r="G28" s="6" t="n">
        <v>0</v>
      </c>
      <c r="H28" s="41" t="n">
        <v>15.19</v>
      </c>
      <c r="I28" s="43" t="n">
        <f aca="false">F28*H28</f>
        <v>49.0637</v>
      </c>
      <c r="J28" s="43" t="n">
        <f aca="false">G28*H28*1.5</f>
        <v>0</v>
      </c>
      <c r="K28" s="6" t="n">
        <v>8.04</v>
      </c>
      <c r="L28" s="43" t="n">
        <f aca="false">K28*'Chart of Accounts'!$E$68</f>
        <v>5.3868</v>
      </c>
      <c r="O28" s="42" t="n">
        <f aca="false">I28+J28+L28</f>
        <v>54.4505</v>
      </c>
    </row>
    <row r="29" customFormat="false" ht="15" hidden="false" customHeight="false" outlineLevel="0" collapsed="false">
      <c r="B29" s="7" t="s">
        <v>8662</v>
      </c>
      <c r="C29" s="39" t="n">
        <v>45659</v>
      </c>
      <c r="D29" s="7" t="s">
        <v>196</v>
      </c>
      <c r="E29" s="7" t="s">
        <v>180</v>
      </c>
      <c r="F29" s="6" t="n">
        <v>5.8</v>
      </c>
      <c r="G29" s="6" t="n">
        <v>0</v>
      </c>
      <c r="H29" s="41" t="n">
        <v>15.05</v>
      </c>
      <c r="I29" s="43" t="n">
        <f aca="false">F29*H29</f>
        <v>87.29</v>
      </c>
      <c r="J29" s="43" t="n">
        <f aca="false">G29*H29*1.5</f>
        <v>0</v>
      </c>
      <c r="K29" s="6" t="n">
        <v>15.92</v>
      </c>
      <c r="L29" s="43" t="n">
        <f aca="false">K29*'Chart of Accounts'!$E$68</f>
        <v>10.6664</v>
      </c>
      <c r="O29" s="42" t="n">
        <f aca="false">I29+J29+L29</f>
        <v>97.9564</v>
      </c>
    </row>
    <row r="30" customFormat="false" ht="15" hidden="false" customHeight="false" outlineLevel="0" collapsed="false">
      <c r="B30" s="7" t="s">
        <v>8663</v>
      </c>
      <c r="C30" s="39" t="n">
        <v>45659</v>
      </c>
      <c r="D30" s="7" t="s">
        <v>184</v>
      </c>
      <c r="E30" s="7" t="s">
        <v>180</v>
      </c>
      <c r="F30" s="6" t="n">
        <v>4.2</v>
      </c>
      <c r="G30" s="6" t="n">
        <v>0</v>
      </c>
      <c r="H30" s="41" t="n">
        <v>17.34</v>
      </c>
      <c r="I30" s="43" t="n">
        <f aca="false">F30*H30</f>
        <v>72.828</v>
      </c>
      <c r="J30" s="43" t="n">
        <f aca="false">G30*H30*1.5</f>
        <v>0</v>
      </c>
      <c r="K30" s="6" t="n">
        <v>10.39</v>
      </c>
      <c r="L30" s="43" t="n">
        <f aca="false">K30*'Chart of Accounts'!$E$68</f>
        <v>6.9613</v>
      </c>
      <c r="O30" s="42" t="n">
        <f aca="false">I30+J30+L30</f>
        <v>79.7893</v>
      </c>
    </row>
    <row r="31" customFormat="false" ht="15" hidden="false" customHeight="false" outlineLevel="0" collapsed="false">
      <c r="B31" s="7" t="s">
        <v>8664</v>
      </c>
      <c r="C31" s="39" t="n">
        <v>45659</v>
      </c>
      <c r="D31" s="7" t="s">
        <v>207</v>
      </c>
      <c r="E31" s="7" t="s">
        <v>180</v>
      </c>
      <c r="F31" s="6" t="n">
        <v>2.83</v>
      </c>
      <c r="G31" s="6" t="n">
        <v>0</v>
      </c>
      <c r="H31" s="41" t="n">
        <v>16.65</v>
      </c>
      <c r="I31" s="43" t="n">
        <f aca="false">F31*H31</f>
        <v>47.1195</v>
      </c>
      <c r="J31" s="43" t="n">
        <f aca="false">G31*H31*1.5</f>
        <v>0</v>
      </c>
      <c r="K31" s="6" t="n">
        <v>8.24</v>
      </c>
      <c r="L31" s="43" t="n">
        <f aca="false">K31*'Chart of Accounts'!$E$68</f>
        <v>5.5208</v>
      </c>
      <c r="O31" s="42" t="n">
        <f aca="false">I31+J31+L31</f>
        <v>52.6403</v>
      </c>
    </row>
    <row r="32" customFormat="false" ht="15" hidden="false" customHeight="false" outlineLevel="0" collapsed="false">
      <c r="B32" s="7" t="s">
        <v>8665</v>
      </c>
      <c r="C32" s="39" t="n">
        <v>45659</v>
      </c>
      <c r="D32" s="7" t="s">
        <v>218</v>
      </c>
      <c r="E32" s="7" t="s">
        <v>180</v>
      </c>
      <c r="F32" s="6" t="n">
        <v>3.63</v>
      </c>
      <c r="G32" s="6" t="n">
        <v>0</v>
      </c>
      <c r="H32" s="41" t="n">
        <v>16.19</v>
      </c>
      <c r="I32" s="43" t="n">
        <f aca="false">F32*H32</f>
        <v>58.7697</v>
      </c>
      <c r="J32" s="43" t="n">
        <f aca="false">G32*H32*1.5</f>
        <v>0</v>
      </c>
      <c r="K32" s="6" t="n">
        <v>12.45</v>
      </c>
      <c r="L32" s="43" t="n">
        <f aca="false">K32*'Chart of Accounts'!$E$68</f>
        <v>8.3415</v>
      </c>
      <c r="O32" s="42" t="n">
        <f aca="false">I32+J32+L32</f>
        <v>67.1112</v>
      </c>
    </row>
    <row r="33" customFormat="false" ht="15" hidden="false" customHeight="false" outlineLevel="0" collapsed="false">
      <c r="B33" s="7" t="s">
        <v>8666</v>
      </c>
      <c r="C33" s="39" t="n">
        <v>45659</v>
      </c>
      <c r="D33" s="7" t="s">
        <v>212</v>
      </c>
      <c r="E33" s="7" t="s">
        <v>180</v>
      </c>
      <c r="F33" s="6" t="n">
        <v>7.53</v>
      </c>
      <c r="G33" s="6" t="n">
        <v>0</v>
      </c>
      <c r="H33" s="41" t="n">
        <v>16.71</v>
      </c>
      <c r="I33" s="43" t="n">
        <f aca="false">F33*H33</f>
        <v>125.8263</v>
      </c>
      <c r="J33" s="43" t="n">
        <f aca="false">G33*H33*1.5</f>
        <v>0</v>
      </c>
      <c r="K33" s="6" t="n">
        <v>20.73</v>
      </c>
      <c r="L33" s="43" t="n">
        <f aca="false">K33*'Chart of Accounts'!$E$68</f>
        <v>13.8891</v>
      </c>
      <c r="O33" s="42" t="n">
        <f aca="false">I33+J33+L33</f>
        <v>139.7154</v>
      </c>
    </row>
    <row r="34" customFormat="false" ht="15" hidden="false" customHeight="false" outlineLevel="0" collapsed="false">
      <c r="B34" s="7" t="s">
        <v>8667</v>
      </c>
      <c r="C34" s="39" t="n">
        <v>45659</v>
      </c>
      <c r="D34" s="7" t="s">
        <v>220</v>
      </c>
      <c r="E34" s="7" t="s">
        <v>180</v>
      </c>
      <c r="F34" s="6" t="n">
        <v>3.98</v>
      </c>
      <c r="G34" s="6" t="n">
        <v>0</v>
      </c>
      <c r="H34" s="41" t="n">
        <v>16.43</v>
      </c>
      <c r="I34" s="43" t="n">
        <f aca="false">F34*H34</f>
        <v>65.3914</v>
      </c>
      <c r="J34" s="43" t="n">
        <f aca="false">G34*H34*1.5</f>
        <v>0</v>
      </c>
      <c r="K34" s="6" t="n">
        <v>10.38</v>
      </c>
      <c r="L34" s="43" t="n">
        <f aca="false">K34*'Chart of Accounts'!$E$68</f>
        <v>6.9546</v>
      </c>
      <c r="O34" s="42" t="n">
        <f aca="false">I34+J34+L34</f>
        <v>72.346</v>
      </c>
    </row>
    <row r="35" customFormat="false" ht="15" hidden="false" customHeight="false" outlineLevel="0" collapsed="false">
      <c r="B35" s="7" t="s">
        <v>8668</v>
      </c>
      <c r="C35" s="39" t="n">
        <v>45659</v>
      </c>
      <c r="D35" s="7" t="s">
        <v>224</v>
      </c>
      <c r="E35" s="7" t="s">
        <v>180</v>
      </c>
      <c r="F35" s="6" t="n">
        <v>3.97</v>
      </c>
      <c r="G35" s="6" t="n">
        <v>0</v>
      </c>
      <c r="H35" s="41" t="n">
        <v>14.93</v>
      </c>
      <c r="I35" s="43" t="n">
        <f aca="false">F35*H35</f>
        <v>59.2721</v>
      </c>
      <c r="J35" s="43" t="n">
        <f aca="false">G35*H35*1.5</f>
        <v>0</v>
      </c>
      <c r="K35" s="6" t="n">
        <v>13.78</v>
      </c>
      <c r="L35" s="43" t="n">
        <f aca="false">K35*'Chart of Accounts'!$E$68</f>
        <v>9.2326</v>
      </c>
      <c r="O35" s="42" t="n">
        <f aca="false">I35+J35+L35</f>
        <v>68.5047</v>
      </c>
    </row>
    <row r="36" customFormat="false" ht="15" hidden="false" customHeight="false" outlineLevel="0" collapsed="false">
      <c r="B36" s="7" t="s">
        <v>8669</v>
      </c>
      <c r="C36" s="39" t="n">
        <v>45659</v>
      </c>
      <c r="D36" s="7" t="s">
        <v>232</v>
      </c>
      <c r="E36" s="7" t="s">
        <v>180</v>
      </c>
      <c r="F36" s="6" t="n">
        <v>3.06</v>
      </c>
      <c r="G36" s="6" t="n">
        <v>0</v>
      </c>
      <c r="H36" s="41" t="n">
        <v>16.17</v>
      </c>
      <c r="I36" s="43" t="n">
        <f aca="false">F36*H36</f>
        <v>49.4802</v>
      </c>
      <c r="J36" s="43" t="n">
        <f aca="false">G36*H36*1.5</f>
        <v>0</v>
      </c>
      <c r="K36" s="6" t="n">
        <v>6.93</v>
      </c>
      <c r="L36" s="43" t="n">
        <f aca="false">K36*'Chart of Accounts'!$E$68</f>
        <v>4.6431</v>
      </c>
      <c r="O36" s="42" t="n">
        <f aca="false">I36+J36+L36</f>
        <v>54.1233</v>
      </c>
    </row>
    <row r="37" customFormat="false" ht="15" hidden="false" customHeight="false" outlineLevel="0" collapsed="false">
      <c r="B37" s="7" t="s">
        <v>8670</v>
      </c>
      <c r="C37" s="39" t="n">
        <v>45659</v>
      </c>
      <c r="D37" s="7" t="s">
        <v>222</v>
      </c>
      <c r="E37" s="7" t="s">
        <v>180</v>
      </c>
      <c r="F37" s="6" t="n">
        <v>7.3</v>
      </c>
      <c r="G37" s="6" t="n">
        <v>0</v>
      </c>
      <c r="H37" s="41" t="n">
        <v>17.84</v>
      </c>
      <c r="I37" s="43" t="n">
        <f aca="false">F37*H37</f>
        <v>130.232</v>
      </c>
      <c r="J37" s="43" t="n">
        <f aca="false">G37*H37*1.5</f>
        <v>0</v>
      </c>
      <c r="K37" s="6" t="n">
        <v>21.92</v>
      </c>
      <c r="L37" s="43" t="n">
        <f aca="false">K37*'Chart of Accounts'!$E$68</f>
        <v>14.6864</v>
      </c>
      <c r="O37" s="42" t="n">
        <f aca="false">I37+J37+L37</f>
        <v>144.9184</v>
      </c>
    </row>
    <row r="38" customFormat="false" ht="15" hidden="false" customHeight="false" outlineLevel="0" collapsed="false">
      <c r="B38" s="7" t="s">
        <v>8671</v>
      </c>
      <c r="C38" s="39" t="n">
        <v>45659</v>
      </c>
      <c r="D38" s="7" t="s">
        <v>262</v>
      </c>
      <c r="E38" s="7" t="s">
        <v>180</v>
      </c>
      <c r="F38" s="6" t="n">
        <v>4.06</v>
      </c>
      <c r="G38" s="6" t="n">
        <v>0</v>
      </c>
      <c r="H38" s="41" t="n">
        <v>16.02</v>
      </c>
      <c r="I38" s="43" t="n">
        <f aca="false">F38*H38</f>
        <v>65.0412</v>
      </c>
      <c r="J38" s="43" t="n">
        <f aca="false">G38*H38*1.5</f>
        <v>0</v>
      </c>
      <c r="K38" s="6" t="n">
        <v>14.57</v>
      </c>
      <c r="L38" s="43" t="n">
        <f aca="false">K38*'Chart of Accounts'!$E$68</f>
        <v>9.7619</v>
      </c>
      <c r="O38" s="42" t="n">
        <f aca="false">I38+J38+L38</f>
        <v>74.8031</v>
      </c>
    </row>
    <row r="39" customFormat="false" ht="15" hidden="false" customHeight="false" outlineLevel="0" collapsed="false">
      <c r="B39" s="7" t="s">
        <v>8672</v>
      </c>
      <c r="C39" s="39" t="n">
        <v>45659</v>
      </c>
      <c r="D39" s="7" t="s">
        <v>246</v>
      </c>
      <c r="E39" s="7" t="s">
        <v>180</v>
      </c>
      <c r="F39" s="6" t="n">
        <v>7.81</v>
      </c>
      <c r="G39" s="6" t="n">
        <v>0</v>
      </c>
      <c r="H39" s="41" t="n">
        <v>16.48</v>
      </c>
      <c r="I39" s="43" t="n">
        <f aca="false">F39*H39</f>
        <v>128.7088</v>
      </c>
      <c r="J39" s="43" t="n">
        <f aca="false">G39*H39*1.5</f>
        <v>0</v>
      </c>
      <c r="K39" s="6" t="n">
        <v>24.41</v>
      </c>
      <c r="L39" s="43" t="n">
        <f aca="false">K39*'Chart of Accounts'!$E$68</f>
        <v>16.3547</v>
      </c>
      <c r="O39" s="42" t="n">
        <f aca="false">I39+J39+L39</f>
        <v>145.0635</v>
      </c>
    </row>
    <row r="40" customFormat="false" ht="15" hidden="false" customHeight="false" outlineLevel="0" collapsed="false">
      <c r="B40" s="7" t="s">
        <v>8673</v>
      </c>
      <c r="C40" s="39" t="n">
        <v>45659</v>
      </c>
      <c r="D40" s="7" t="s">
        <v>214</v>
      </c>
      <c r="E40" s="7" t="s">
        <v>180</v>
      </c>
      <c r="F40" s="6" t="n">
        <v>4.15</v>
      </c>
      <c r="G40" s="6" t="n">
        <v>0</v>
      </c>
      <c r="H40" s="41" t="n">
        <v>15.67</v>
      </c>
      <c r="I40" s="43" t="n">
        <f aca="false">F40*H40</f>
        <v>65.0305</v>
      </c>
      <c r="J40" s="43" t="n">
        <f aca="false">G40*H40*1.5</f>
        <v>0</v>
      </c>
      <c r="K40" s="6" t="n">
        <v>11.94</v>
      </c>
      <c r="L40" s="43" t="n">
        <f aca="false">K40*'Chart of Accounts'!$E$68</f>
        <v>7.9998</v>
      </c>
      <c r="O40" s="42" t="n">
        <f aca="false">I40+J40+L40</f>
        <v>73.0303</v>
      </c>
    </row>
    <row r="41" customFormat="false" ht="15" hidden="false" customHeight="false" outlineLevel="0" collapsed="false">
      <c r="B41" s="7" t="s">
        <v>8674</v>
      </c>
      <c r="C41" s="39" t="n">
        <v>45659</v>
      </c>
      <c r="D41" s="7" t="s">
        <v>242</v>
      </c>
      <c r="E41" s="7" t="s">
        <v>180</v>
      </c>
      <c r="F41" s="6" t="n">
        <v>3.61</v>
      </c>
      <c r="G41" s="6" t="n">
        <v>0</v>
      </c>
      <c r="H41" s="41" t="n">
        <v>17.99</v>
      </c>
      <c r="I41" s="43" t="n">
        <f aca="false">F41*H41</f>
        <v>64.9439</v>
      </c>
      <c r="J41" s="43" t="n">
        <f aca="false">G41*H41*1.5</f>
        <v>0</v>
      </c>
      <c r="K41" s="6" t="n">
        <v>8.49</v>
      </c>
      <c r="L41" s="43" t="n">
        <f aca="false">K41*'Chart of Accounts'!$E$68</f>
        <v>5.6883</v>
      </c>
      <c r="O41" s="42" t="n">
        <f aca="false">I41+J41+L41</f>
        <v>70.6322</v>
      </c>
    </row>
    <row r="42" customFormat="false" ht="15" hidden="false" customHeight="false" outlineLevel="0" collapsed="false">
      <c r="B42" s="7" t="s">
        <v>8675</v>
      </c>
      <c r="C42" s="39" t="n">
        <v>45659</v>
      </c>
      <c r="D42" s="7" t="s">
        <v>254</v>
      </c>
      <c r="E42" s="7" t="s">
        <v>180</v>
      </c>
      <c r="F42" s="6" t="n">
        <v>3.95</v>
      </c>
      <c r="G42" s="6" t="n">
        <v>0</v>
      </c>
      <c r="H42" s="41" t="n">
        <v>17.1</v>
      </c>
      <c r="I42" s="43" t="n">
        <f aca="false">F42*H42</f>
        <v>67.545</v>
      </c>
      <c r="J42" s="43" t="n">
        <f aca="false">G42*H42*1.5</f>
        <v>0</v>
      </c>
      <c r="K42" s="6" t="n">
        <v>11.7</v>
      </c>
      <c r="L42" s="43" t="n">
        <f aca="false">K42*'Chart of Accounts'!$E$68</f>
        <v>7.839</v>
      </c>
      <c r="O42" s="42" t="n">
        <f aca="false">I42+J42+L42</f>
        <v>75.384</v>
      </c>
    </row>
    <row r="43" customFormat="false" ht="15" hidden="false" customHeight="false" outlineLevel="0" collapsed="false">
      <c r="B43" s="7" t="s">
        <v>8676</v>
      </c>
      <c r="C43" s="39" t="n">
        <v>45660</v>
      </c>
      <c r="D43" s="7" t="s">
        <v>187</v>
      </c>
      <c r="E43" s="7" t="s">
        <v>158</v>
      </c>
      <c r="H43" s="41" t="n">
        <v>66.48</v>
      </c>
      <c r="M43" s="6" t="n">
        <v>1</v>
      </c>
      <c r="N43" s="43" t="n">
        <f aca="false">M43*H43</f>
        <v>66.48</v>
      </c>
      <c r="O43" s="42" t="n">
        <f aca="false">N43</f>
        <v>66.48</v>
      </c>
    </row>
    <row r="44" customFormat="false" ht="15" hidden="false" customHeight="false" outlineLevel="0" collapsed="false">
      <c r="B44" s="7" t="s">
        <v>8677</v>
      </c>
      <c r="C44" s="39" t="n">
        <v>45660</v>
      </c>
      <c r="D44" s="7" t="s">
        <v>191</v>
      </c>
      <c r="E44" s="7" t="s">
        <v>180</v>
      </c>
      <c r="F44" s="6" t="n">
        <v>4.02</v>
      </c>
      <c r="G44" s="6" t="n">
        <v>0</v>
      </c>
      <c r="H44" s="41" t="n">
        <v>16.05</v>
      </c>
      <c r="I44" s="43" t="n">
        <f aca="false">F44*H44</f>
        <v>64.521</v>
      </c>
      <c r="J44" s="43" t="n">
        <f aca="false">G44*H44*1.5</f>
        <v>0</v>
      </c>
      <c r="K44" s="6" t="n">
        <v>13.21</v>
      </c>
      <c r="L44" s="43" t="n">
        <f aca="false">K44*'Chart of Accounts'!$E$68</f>
        <v>8.8507</v>
      </c>
      <c r="O44" s="42" t="n">
        <f aca="false">I44+J44+L44</f>
        <v>73.3717</v>
      </c>
    </row>
    <row r="45" customFormat="false" ht="15" hidden="false" customHeight="false" outlineLevel="0" collapsed="false">
      <c r="B45" s="7" t="s">
        <v>8678</v>
      </c>
      <c r="C45" s="39" t="n">
        <v>45660</v>
      </c>
      <c r="D45" s="7" t="s">
        <v>194</v>
      </c>
      <c r="E45" s="7" t="s">
        <v>180</v>
      </c>
      <c r="F45" s="6" t="n">
        <v>5.06</v>
      </c>
      <c r="G45" s="6" t="n">
        <v>0</v>
      </c>
      <c r="H45" s="41" t="n">
        <v>16</v>
      </c>
      <c r="I45" s="43" t="n">
        <f aca="false">F45*H45</f>
        <v>80.96</v>
      </c>
      <c r="J45" s="43" t="n">
        <f aca="false">G45*H45*1.5</f>
        <v>0</v>
      </c>
      <c r="K45" s="6" t="n">
        <v>13.8</v>
      </c>
      <c r="L45" s="43" t="n">
        <f aca="false">K45*'Chart of Accounts'!$E$68</f>
        <v>9.246</v>
      </c>
      <c r="O45" s="42" t="n">
        <f aca="false">I45+J45+L45</f>
        <v>90.206</v>
      </c>
    </row>
    <row r="46" customFormat="false" ht="15" hidden="false" customHeight="false" outlineLevel="0" collapsed="false">
      <c r="B46" s="7" t="s">
        <v>8679</v>
      </c>
      <c r="C46" s="39" t="n">
        <v>45660</v>
      </c>
      <c r="D46" s="7" t="s">
        <v>209</v>
      </c>
      <c r="E46" s="7" t="s">
        <v>158</v>
      </c>
      <c r="H46" s="41" t="n">
        <v>73.58</v>
      </c>
      <c r="M46" s="6" t="n">
        <v>2</v>
      </c>
      <c r="N46" s="43" t="n">
        <f aca="false">M46*H46</f>
        <v>147.16</v>
      </c>
      <c r="O46" s="42" t="n">
        <f aca="false">N46</f>
        <v>147.16</v>
      </c>
    </row>
    <row r="47" customFormat="false" ht="15" hidden="false" customHeight="false" outlineLevel="0" collapsed="false">
      <c r="B47" s="7" t="s">
        <v>8680</v>
      </c>
      <c r="C47" s="39" t="n">
        <v>45660</v>
      </c>
      <c r="D47" s="7" t="s">
        <v>205</v>
      </c>
      <c r="E47" s="7" t="s">
        <v>180</v>
      </c>
      <c r="F47" s="6" t="n">
        <v>3.8</v>
      </c>
      <c r="G47" s="6" t="n">
        <v>0</v>
      </c>
      <c r="H47" s="41" t="n">
        <v>16.36</v>
      </c>
      <c r="I47" s="43" t="n">
        <f aca="false">F47*H47</f>
        <v>62.168</v>
      </c>
      <c r="J47" s="43" t="n">
        <f aca="false">G47*H47*1.5</f>
        <v>0</v>
      </c>
      <c r="K47" s="6" t="n">
        <v>12.3</v>
      </c>
      <c r="L47" s="43" t="n">
        <f aca="false">K47*'Chart of Accounts'!$E$68</f>
        <v>8.241</v>
      </c>
      <c r="O47" s="42" t="n">
        <f aca="false">I47+J47+L47</f>
        <v>70.409</v>
      </c>
    </row>
    <row r="48" customFormat="false" ht="15" hidden="false" customHeight="false" outlineLevel="0" collapsed="false">
      <c r="B48" s="7" t="s">
        <v>8681</v>
      </c>
      <c r="C48" s="39" t="n">
        <v>45660</v>
      </c>
      <c r="D48" s="7" t="s">
        <v>252</v>
      </c>
      <c r="E48" s="7" t="s">
        <v>158</v>
      </c>
      <c r="H48" s="41" t="n">
        <v>57.54</v>
      </c>
      <c r="M48" s="6" t="n">
        <v>1</v>
      </c>
      <c r="N48" s="43" t="n">
        <f aca="false">M48*H48</f>
        <v>57.54</v>
      </c>
      <c r="O48" s="42" t="n">
        <f aca="false">N48</f>
        <v>57.54</v>
      </c>
    </row>
    <row r="49" customFormat="false" ht="15" hidden="false" customHeight="false" outlineLevel="0" collapsed="false">
      <c r="B49" s="7" t="s">
        <v>8682</v>
      </c>
      <c r="C49" s="39" t="n">
        <v>45660</v>
      </c>
      <c r="D49" s="7" t="s">
        <v>184</v>
      </c>
      <c r="E49" s="7" t="s">
        <v>180</v>
      </c>
      <c r="F49" s="6" t="n">
        <v>4.13</v>
      </c>
      <c r="G49" s="6" t="n">
        <v>0</v>
      </c>
      <c r="H49" s="41" t="n">
        <v>17.34</v>
      </c>
      <c r="I49" s="43" t="n">
        <f aca="false">F49*H49</f>
        <v>71.6142</v>
      </c>
      <c r="J49" s="43" t="n">
        <f aca="false">G49*H49*1.5</f>
        <v>0</v>
      </c>
      <c r="K49" s="6" t="n">
        <v>11.24</v>
      </c>
      <c r="L49" s="43" t="n">
        <f aca="false">K49*'Chart of Accounts'!$E$68</f>
        <v>7.5308</v>
      </c>
      <c r="O49" s="42" t="n">
        <f aca="false">I49+J49+L49</f>
        <v>79.145</v>
      </c>
    </row>
    <row r="50" customFormat="false" ht="15" hidden="false" customHeight="false" outlineLevel="0" collapsed="false">
      <c r="B50" s="7" t="s">
        <v>8683</v>
      </c>
      <c r="C50" s="39" t="n">
        <v>45660</v>
      </c>
      <c r="D50" s="7" t="s">
        <v>234</v>
      </c>
      <c r="E50" s="7" t="s">
        <v>158</v>
      </c>
      <c r="H50" s="41" t="n">
        <v>89.53</v>
      </c>
      <c r="M50" s="6" t="n">
        <v>2</v>
      </c>
      <c r="N50" s="43" t="n">
        <f aca="false">M50*H50</f>
        <v>179.06</v>
      </c>
      <c r="O50" s="42" t="n">
        <f aca="false">N50</f>
        <v>179.06</v>
      </c>
    </row>
    <row r="51" customFormat="false" ht="15" hidden="false" customHeight="false" outlineLevel="0" collapsed="false">
      <c r="B51" s="7" t="s">
        <v>8684</v>
      </c>
      <c r="C51" s="39" t="n">
        <v>45660</v>
      </c>
      <c r="D51" s="7" t="s">
        <v>218</v>
      </c>
      <c r="E51" s="7" t="s">
        <v>180</v>
      </c>
      <c r="F51" s="6" t="n">
        <v>3.81</v>
      </c>
      <c r="G51" s="6" t="n">
        <v>0</v>
      </c>
      <c r="H51" s="41" t="n">
        <v>16.19</v>
      </c>
      <c r="I51" s="43" t="n">
        <f aca="false">F51*H51</f>
        <v>61.6839</v>
      </c>
      <c r="J51" s="43" t="n">
        <f aca="false">G51*H51*1.5</f>
        <v>0</v>
      </c>
      <c r="K51" s="6" t="n">
        <v>10.96</v>
      </c>
      <c r="L51" s="43" t="n">
        <f aca="false">K51*'Chart of Accounts'!$E$68</f>
        <v>7.3432</v>
      </c>
      <c r="O51" s="42" t="n">
        <f aca="false">I51+J51+L51</f>
        <v>69.0271</v>
      </c>
    </row>
    <row r="52" customFormat="false" ht="15" hidden="false" customHeight="false" outlineLevel="0" collapsed="false">
      <c r="B52" s="7" t="s">
        <v>8685</v>
      </c>
      <c r="C52" s="39" t="n">
        <v>45660</v>
      </c>
      <c r="D52" s="7" t="s">
        <v>266</v>
      </c>
      <c r="E52" s="7" t="s">
        <v>158</v>
      </c>
      <c r="H52" s="41" t="n">
        <v>75.18</v>
      </c>
      <c r="M52" s="6" t="n">
        <v>1</v>
      </c>
      <c r="N52" s="43" t="n">
        <f aca="false">M52*H52</f>
        <v>75.18</v>
      </c>
      <c r="O52" s="42" t="n">
        <f aca="false">N52</f>
        <v>75.18</v>
      </c>
    </row>
    <row r="53" customFormat="false" ht="15" hidden="false" customHeight="false" outlineLevel="0" collapsed="false">
      <c r="B53" s="7" t="s">
        <v>8686</v>
      </c>
      <c r="C53" s="39" t="n">
        <v>45660</v>
      </c>
      <c r="D53" s="7" t="s">
        <v>228</v>
      </c>
      <c r="E53" s="7" t="s">
        <v>158</v>
      </c>
      <c r="H53" s="41" t="n">
        <v>51.07</v>
      </c>
      <c r="M53" s="6" t="n">
        <v>1</v>
      </c>
      <c r="N53" s="43" t="n">
        <f aca="false">M53*H53</f>
        <v>51.07</v>
      </c>
      <c r="O53" s="42" t="n">
        <f aca="false">N53</f>
        <v>51.07</v>
      </c>
    </row>
    <row r="54" customFormat="false" ht="15" hidden="false" customHeight="false" outlineLevel="0" collapsed="false">
      <c r="B54" s="7" t="s">
        <v>8687</v>
      </c>
      <c r="C54" s="39" t="n">
        <v>45660</v>
      </c>
      <c r="D54" s="7" t="s">
        <v>220</v>
      </c>
      <c r="E54" s="7" t="s">
        <v>180</v>
      </c>
      <c r="F54" s="6" t="n">
        <v>4.04</v>
      </c>
      <c r="G54" s="6" t="n">
        <v>0</v>
      </c>
      <c r="H54" s="41" t="n">
        <v>16.43</v>
      </c>
      <c r="I54" s="43" t="n">
        <f aca="false">F54*H54</f>
        <v>66.3772</v>
      </c>
      <c r="J54" s="43" t="n">
        <f aca="false">G54*H54*1.5</f>
        <v>0</v>
      </c>
      <c r="K54" s="6" t="n">
        <v>12.59</v>
      </c>
      <c r="L54" s="43" t="n">
        <f aca="false">K54*'Chart of Accounts'!$E$68</f>
        <v>8.4353</v>
      </c>
      <c r="O54" s="42" t="n">
        <f aca="false">I54+J54+L54</f>
        <v>74.8125</v>
      </c>
    </row>
    <row r="55" customFormat="false" ht="15" hidden="false" customHeight="false" outlineLevel="0" collapsed="false">
      <c r="B55" s="7" t="s">
        <v>8688</v>
      </c>
      <c r="C55" s="39" t="n">
        <v>45660</v>
      </c>
      <c r="D55" s="7" t="s">
        <v>177</v>
      </c>
      <c r="E55" s="7" t="s">
        <v>180</v>
      </c>
      <c r="F55" s="6" t="n">
        <v>8.91</v>
      </c>
      <c r="G55" s="6" t="n">
        <v>0</v>
      </c>
      <c r="H55" s="41" t="n">
        <v>14.56</v>
      </c>
      <c r="I55" s="43" t="n">
        <f aca="false">F55*H55</f>
        <v>129.7296</v>
      </c>
      <c r="J55" s="43" t="n">
        <f aca="false">G55*H55*1.5</f>
        <v>0</v>
      </c>
      <c r="K55" s="6" t="n">
        <v>28.2</v>
      </c>
      <c r="L55" s="43" t="n">
        <f aca="false">K55*'Chart of Accounts'!$E$68</f>
        <v>18.894</v>
      </c>
      <c r="O55" s="42" t="n">
        <f aca="false">I55+J55+L55</f>
        <v>148.6236</v>
      </c>
    </row>
    <row r="56" customFormat="false" ht="15" hidden="false" customHeight="false" outlineLevel="0" collapsed="false">
      <c r="B56" s="7" t="s">
        <v>8689</v>
      </c>
      <c r="C56" s="39" t="n">
        <v>45660</v>
      </c>
      <c r="D56" s="7" t="s">
        <v>242</v>
      </c>
      <c r="E56" s="7" t="s">
        <v>180</v>
      </c>
      <c r="F56" s="6" t="n">
        <v>7.03</v>
      </c>
      <c r="G56" s="6" t="n">
        <v>0</v>
      </c>
      <c r="H56" s="41" t="n">
        <v>17.99</v>
      </c>
      <c r="I56" s="43" t="n">
        <f aca="false">F56*H56</f>
        <v>126.4697</v>
      </c>
      <c r="J56" s="43" t="n">
        <f aca="false">G56*H56*1.5</f>
        <v>0</v>
      </c>
      <c r="K56" s="6" t="n">
        <v>16.11</v>
      </c>
      <c r="L56" s="43" t="n">
        <f aca="false">K56*'Chart of Accounts'!$E$68</f>
        <v>10.7937</v>
      </c>
      <c r="O56" s="42" t="n">
        <f aca="false">I56+J56+L56</f>
        <v>137.2634</v>
      </c>
    </row>
    <row r="57" customFormat="false" ht="15" hidden="false" customHeight="false" outlineLevel="0" collapsed="false">
      <c r="B57" s="7" t="s">
        <v>8690</v>
      </c>
      <c r="C57" s="39" t="n">
        <v>45660</v>
      </c>
      <c r="D57" s="7" t="s">
        <v>254</v>
      </c>
      <c r="E57" s="7" t="s">
        <v>180</v>
      </c>
      <c r="F57" s="6" t="n">
        <v>7.27</v>
      </c>
      <c r="G57" s="6" t="n">
        <v>0</v>
      </c>
      <c r="H57" s="41" t="n">
        <v>17.1</v>
      </c>
      <c r="I57" s="43" t="n">
        <f aca="false">F57*H57</f>
        <v>124.317</v>
      </c>
      <c r="J57" s="43" t="n">
        <f aca="false">G57*H57*1.5</f>
        <v>0</v>
      </c>
      <c r="K57" s="6" t="n">
        <v>20.23</v>
      </c>
      <c r="L57" s="43" t="n">
        <f aca="false">K57*'Chart of Accounts'!$E$68</f>
        <v>13.5541</v>
      </c>
      <c r="O57" s="42" t="n">
        <f aca="false">I57+J57+L57</f>
        <v>137.8711</v>
      </c>
    </row>
    <row r="58" customFormat="false" ht="15" hidden="false" customHeight="false" outlineLevel="0" collapsed="false">
      <c r="B58" s="7" t="s">
        <v>8691</v>
      </c>
      <c r="C58" s="39" t="n">
        <v>45660</v>
      </c>
      <c r="D58" s="7" t="s">
        <v>201</v>
      </c>
      <c r="E58" s="7" t="s">
        <v>180</v>
      </c>
      <c r="F58" s="6" t="n">
        <v>3.23</v>
      </c>
      <c r="G58" s="6" t="n">
        <v>0</v>
      </c>
      <c r="H58" s="41" t="n">
        <v>15.19</v>
      </c>
      <c r="I58" s="43" t="n">
        <f aca="false">F58*H58</f>
        <v>49.0637</v>
      </c>
      <c r="J58" s="43" t="n">
        <f aca="false">G58*H58*1.5</f>
        <v>0</v>
      </c>
      <c r="K58" s="6" t="n">
        <v>11.44</v>
      </c>
      <c r="L58" s="43" t="n">
        <f aca="false">K58*'Chart of Accounts'!$E$68</f>
        <v>7.6648</v>
      </c>
      <c r="O58" s="42" t="n">
        <f aca="false">I58+J58+L58</f>
        <v>56.7285</v>
      </c>
    </row>
    <row r="59" customFormat="false" ht="15" hidden="false" customHeight="false" outlineLevel="0" collapsed="false">
      <c r="B59" s="7" t="s">
        <v>8692</v>
      </c>
      <c r="C59" s="39" t="n">
        <v>45660</v>
      </c>
      <c r="D59" s="7" t="s">
        <v>207</v>
      </c>
      <c r="E59" s="7" t="s">
        <v>180</v>
      </c>
      <c r="F59" s="6" t="n">
        <v>3.23</v>
      </c>
      <c r="G59" s="6" t="n">
        <v>0</v>
      </c>
      <c r="H59" s="41" t="n">
        <v>16.65</v>
      </c>
      <c r="I59" s="43" t="n">
        <f aca="false">F59*H59</f>
        <v>53.7795</v>
      </c>
      <c r="J59" s="43" t="n">
        <f aca="false">G59*H59*1.5</f>
        <v>0</v>
      </c>
      <c r="K59" s="6" t="n">
        <v>9.36</v>
      </c>
      <c r="L59" s="43" t="n">
        <f aca="false">K59*'Chart of Accounts'!$E$68</f>
        <v>6.2712</v>
      </c>
      <c r="O59" s="42" t="n">
        <f aca="false">I59+J59+L59</f>
        <v>60.0507</v>
      </c>
    </row>
    <row r="60" customFormat="false" ht="15" hidden="false" customHeight="false" outlineLevel="0" collapsed="false">
      <c r="B60" s="7" t="s">
        <v>8693</v>
      </c>
      <c r="C60" s="39" t="n">
        <v>45660</v>
      </c>
      <c r="D60" s="7" t="s">
        <v>212</v>
      </c>
      <c r="E60" s="7" t="s">
        <v>180</v>
      </c>
      <c r="F60" s="6" t="n">
        <v>3.78</v>
      </c>
      <c r="G60" s="6" t="n">
        <v>0</v>
      </c>
      <c r="H60" s="41" t="n">
        <v>16.71</v>
      </c>
      <c r="I60" s="43" t="n">
        <f aca="false">F60*H60</f>
        <v>63.1638</v>
      </c>
      <c r="J60" s="43" t="n">
        <f aca="false">G60*H60*1.5</f>
        <v>0</v>
      </c>
      <c r="K60" s="6" t="n">
        <v>8.54</v>
      </c>
      <c r="L60" s="43" t="n">
        <f aca="false">K60*'Chart of Accounts'!$E$68</f>
        <v>5.7218</v>
      </c>
      <c r="O60" s="42" t="n">
        <f aca="false">I60+J60+L60</f>
        <v>68.8856</v>
      </c>
    </row>
    <row r="61" customFormat="false" ht="15" hidden="false" customHeight="false" outlineLevel="0" collapsed="false">
      <c r="B61" s="7" t="s">
        <v>8694</v>
      </c>
      <c r="C61" s="39" t="n">
        <v>45660</v>
      </c>
      <c r="D61" s="7" t="s">
        <v>232</v>
      </c>
      <c r="E61" s="7" t="s">
        <v>180</v>
      </c>
      <c r="F61" s="6" t="n">
        <v>4.38</v>
      </c>
      <c r="G61" s="6" t="n">
        <v>0</v>
      </c>
      <c r="H61" s="41" t="n">
        <v>16.17</v>
      </c>
      <c r="I61" s="43" t="n">
        <f aca="false">F61*H61</f>
        <v>70.8246</v>
      </c>
      <c r="J61" s="43" t="n">
        <f aca="false">G61*H61*1.5</f>
        <v>0</v>
      </c>
      <c r="K61" s="6" t="n">
        <v>12.98</v>
      </c>
      <c r="L61" s="43" t="n">
        <f aca="false">K61*'Chart of Accounts'!$E$68</f>
        <v>8.6966</v>
      </c>
      <c r="O61" s="42" t="n">
        <f aca="false">I61+J61+L61</f>
        <v>79.5212</v>
      </c>
    </row>
    <row r="62" customFormat="false" ht="15" hidden="false" customHeight="false" outlineLevel="0" collapsed="false">
      <c r="B62" s="7" t="s">
        <v>8695</v>
      </c>
      <c r="C62" s="39" t="n">
        <v>45660</v>
      </c>
      <c r="D62" s="7" t="s">
        <v>224</v>
      </c>
      <c r="E62" s="7" t="s">
        <v>180</v>
      </c>
      <c r="F62" s="6" t="n">
        <v>4.75</v>
      </c>
      <c r="G62" s="6" t="n">
        <v>0</v>
      </c>
      <c r="H62" s="41" t="n">
        <v>14.93</v>
      </c>
      <c r="I62" s="43" t="n">
        <f aca="false">F62*H62</f>
        <v>70.9175</v>
      </c>
      <c r="J62" s="43" t="n">
        <f aca="false">G62*H62*1.5</f>
        <v>0</v>
      </c>
      <c r="K62" s="6" t="n">
        <v>16.07</v>
      </c>
      <c r="L62" s="43" t="n">
        <f aca="false">K62*'Chart of Accounts'!$E$68</f>
        <v>10.7669</v>
      </c>
      <c r="O62" s="42" t="n">
        <f aca="false">I62+J62+L62</f>
        <v>81.6844</v>
      </c>
    </row>
    <row r="63" customFormat="false" ht="15" hidden="false" customHeight="false" outlineLevel="0" collapsed="false">
      <c r="B63" s="7" t="s">
        <v>8696</v>
      </c>
      <c r="C63" s="39" t="n">
        <v>45660</v>
      </c>
      <c r="D63" s="7" t="s">
        <v>246</v>
      </c>
      <c r="E63" s="7" t="s">
        <v>180</v>
      </c>
      <c r="F63" s="6" t="n">
        <v>3.89</v>
      </c>
      <c r="G63" s="6" t="n">
        <v>0</v>
      </c>
      <c r="H63" s="41" t="n">
        <v>16.48</v>
      </c>
      <c r="I63" s="43" t="n">
        <f aca="false">F63*H63</f>
        <v>64.1072</v>
      </c>
      <c r="J63" s="43" t="n">
        <f aca="false">G63*H63*1.5</f>
        <v>0</v>
      </c>
      <c r="K63" s="6" t="n">
        <v>10.71</v>
      </c>
      <c r="L63" s="43" t="n">
        <f aca="false">K63*'Chart of Accounts'!$E$68</f>
        <v>7.1757</v>
      </c>
      <c r="O63" s="42" t="n">
        <f aca="false">I63+J63+L63</f>
        <v>71.2829</v>
      </c>
    </row>
    <row r="64" customFormat="false" ht="15" hidden="false" customHeight="false" outlineLevel="0" collapsed="false">
      <c r="B64" s="7" t="s">
        <v>8697</v>
      </c>
      <c r="C64" s="39" t="n">
        <v>45660</v>
      </c>
      <c r="D64" s="7" t="s">
        <v>222</v>
      </c>
      <c r="E64" s="7" t="s">
        <v>180</v>
      </c>
      <c r="F64" s="6" t="n">
        <v>3.7</v>
      </c>
      <c r="G64" s="6" t="n">
        <v>0</v>
      </c>
      <c r="H64" s="41" t="n">
        <v>17.84</v>
      </c>
      <c r="I64" s="43" t="n">
        <f aca="false">F64*H64</f>
        <v>66.008</v>
      </c>
      <c r="J64" s="43" t="n">
        <f aca="false">G64*H64*1.5</f>
        <v>0</v>
      </c>
      <c r="K64" s="6" t="n">
        <v>8.4</v>
      </c>
      <c r="L64" s="43" t="n">
        <f aca="false">K64*'Chart of Accounts'!$E$68</f>
        <v>5.628</v>
      </c>
      <c r="O64" s="42" t="n">
        <f aca="false">I64+J64+L64</f>
        <v>71.636</v>
      </c>
    </row>
    <row r="65" customFormat="false" ht="15" hidden="false" customHeight="false" outlineLevel="0" collapsed="false">
      <c r="B65" s="7" t="s">
        <v>8698</v>
      </c>
      <c r="C65" s="39" t="n">
        <v>45660</v>
      </c>
      <c r="D65" s="7" t="s">
        <v>262</v>
      </c>
      <c r="E65" s="7" t="s">
        <v>180</v>
      </c>
      <c r="F65" s="6" t="n">
        <v>3.5</v>
      </c>
      <c r="G65" s="6" t="n">
        <v>0</v>
      </c>
      <c r="H65" s="41" t="n">
        <v>16.02</v>
      </c>
      <c r="I65" s="43" t="n">
        <f aca="false">F65*H65</f>
        <v>56.07</v>
      </c>
      <c r="J65" s="43" t="n">
        <f aca="false">G65*H65*1.5</f>
        <v>0</v>
      </c>
      <c r="K65" s="6" t="n">
        <v>9.17</v>
      </c>
      <c r="L65" s="43" t="n">
        <f aca="false">K65*'Chart of Accounts'!$E$68</f>
        <v>6.1439</v>
      </c>
      <c r="O65" s="42" t="n">
        <f aca="false">I65+J65+L65</f>
        <v>62.2139</v>
      </c>
    </row>
    <row r="66" customFormat="false" ht="15" hidden="false" customHeight="false" outlineLevel="0" collapsed="false">
      <c r="B66" s="7" t="s">
        <v>8699</v>
      </c>
      <c r="C66" s="39" t="n">
        <v>45660</v>
      </c>
      <c r="D66" s="7" t="s">
        <v>260</v>
      </c>
      <c r="E66" s="7" t="s">
        <v>158</v>
      </c>
      <c r="H66" s="41" t="n">
        <v>79.8</v>
      </c>
      <c r="M66" s="6" t="n">
        <v>1</v>
      </c>
      <c r="N66" s="43" t="n">
        <f aca="false">M66*H66</f>
        <v>79.8</v>
      </c>
      <c r="O66" s="42" t="n">
        <f aca="false">N66</f>
        <v>79.8</v>
      </c>
    </row>
    <row r="67" customFormat="false" ht="15" hidden="false" customHeight="false" outlineLevel="0" collapsed="false">
      <c r="B67" s="7" t="s">
        <v>8700</v>
      </c>
      <c r="C67" s="39" t="n">
        <v>45660</v>
      </c>
      <c r="D67" s="7" t="s">
        <v>214</v>
      </c>
      <c r="E67" s="7" t="s">
        <v>180</v>
      </c>
      <c r="F67" s="6" t="n">
        <v>3.08</v>
      </c>
      <c r="G67" s="6" t="n">
        <v>0</v>
      </c>
      <c r="H67" s="41" t="n">
        <v>15.67</v>
      </c>
      <c r="I67" s="43" t="n">
        <f aca="false">F67*H67</f>
        <v>48.2636</v>
      </c>
      <c r="J67" s="43" t="n">
        <f aca="false">G67*H67*1.5</f>
        <v>0</v>
      </c>
      <c r="K67" s="6" t="n">
        <v>8.94</v>
      </c>
      <c r="L67" s="43" t="n">
        <f aca="false">K67*'Chart of Accounts'!$E$68</f>
        <v>5.9898</v>
      </c>
      <c r="O67" s="42" t="n">
        <f aca="false">I67+J67+L67</f>
        <v>54.2534</v>
      </c>
    </row>
    <row r="68" customFormat="false" ht="15" hidden="false" customHeight="false" outlineLevel="0" collapsed="false">
      <c r="B68" s="7" t="s">
        <v>8701</v>
      </c>
      <c r="C68" s="39" t="n">
        <v>45661</v>
      </c>
      <c r="D68" s="7" t="s">
        <v>191</v>
      </c>
      <c r="E68" s="7" t="s">
        <v>180</v>
      </c>
      <c r="F68" s="6" t="n">
        <v>4.25</v>
      </c>
      <c r="G68" s="6" t="n">
        <v>0</v>
      </c>
      <c r="H68" s="41" t="n">
        <v>16.05</v>
      </c>
      <c r="I68" s="43" t="n">
        <f aca="false">F68*H68</f>
        <v>68.2125</v>
      </c>
      <c r="J68" s="43" t="n">
        <f aca="false">G68*H68*1.5</f>
        <v>0</v>
      </c>
      <c r="K68" s="6" t="n">
        <v>14.19</v>
      </c>
      <c r="L68" s="43" t="n">
        <f aca="false">K68*'Chart of Accounts'!$E$68</f>
        <v>9.5073</v>
      </c>
      <c r="O68" s="42" t="n">
        <f aca="false">I68+J68+L68</f>
        <v>77.7198</v>
      </c>
    </row>
    <row r="69" customFormat="false" ht="15" hidden="false" customHeight="false" outlineLevel="0" collapsed="false">
      <c r="B69" s="7" t="s">
        <v>8702</v>
      </c>
      <c r="C69" s="39" t="n">
        <v>45661</v>
      </c>
      <c r="D69" s="7" t="s">
        <v>218</v>
      </c>
      <c r="E69" s="7" t="s">
        <v>180</v>
      </c>
      <c r="F69" s="6" t="n">
        <v>3.8</v>
      </c>
      <c r="G69" s="6" t="n">
        <v>0</v>
      </c>
      <c r="H69" s="41" t="n">
        <v>16.19</v>
      </c>
      <c r="I69" s="43" t="n">
        <f aca="false">F69*H69</f>
        <v>61.522</v>
      </c>
      <c r="J69" s="43" t="n">
        <f aca="false">G69*H69*1.5</f>
        <v>0</v>
      </c>
      <c r="K69" s="6" t="n">
        <v>9.54</v>
      </c>
      <c r="L69" s="43" t="n">
        <f aca="false">K69*'Chart of Accounts'!$E$68</f>
        <v>6.3918</v>
      </c>
      <c r="O69" s="42" t="n">
        <f aca="false">I69+J69+L69</f>
        <v>67.9138</v>
      </c>
    </row>
    <row r="70" customFormat="false" ht="15" hidden="false" customHeight="false" outlineLevel="0" collapsed="false">
      <c r="B70" s="7" t="s">
        <v>8703</v>
      </c>
      <c r="C70" s="39" t="n">
        <v>45661</v>
      </c>
      <c r="D70" s="7" t="s">
        <v>212</v>
      </c>
      <c r="E70" s="7" t="s">
        <v>180</v>
      </c>
      <c r="F70" s="6" t="n">
        <v>4.08</v>
      </c>
      <c r="G70" s="6" t="n">
        <v>0</v>
      </c>
      <c r="H70" s="41" t="n">
        <v>16.71</v>
      </c>
      <c r="I70" s="43" t="n">
        <f aca="false">F70*H70</f>
        <v>68.1768</v>
      </c>
      <c r="J70" s="43" t="n">
        <f aca="false">G70*H70*1.5</f>
        <v>0</v>
      </c>
      <c r="K70" s="6" t="n">
        <v>10.27</v>
      </c>
      <c r="L70" s="43" t="n">
        <f aca="false">K70*'Chart of Accounts'!$E$68</f>
        <v>6.8809</v>
      </c>
      <c r="O70" s="42" t="n">
        <f aca="false">I70+J70+L70</f>
        <v>75.0577</v>
      </c>
    </row>
    <row r="71" customFormat="false" ht="15" hidden="false" customHeight="false" outlineLevel="0" collapsed="false">
      <c r="B71" s="7" t="s">
        <v>8704</v>
      </c>
      <c r="C71" s="39" t="n">
        <v>45661</v>
      </c>
      <c r="D71" s="7" t="s">
        <v>222</v>
      </c>
      <c r="E71" s="7" t="s">
        <v>180</v>
      </c>
      <c r="F71" s="6" t="n">
        <v>3.9</v>
      </c>
      <c r="G71" s="6" t="n">
        <v>0</v>
      </c>
      <c r="H71" s="41" t="n">
        <v>17.84</v>
      </c>
      <c r="I71" s="43" t="n">
        <f aca="false">F71*H71</f>
        <v>69.576</v>
      </c>
      <c r="J71" s="43" t="n">
        <f aca="false">G71*H71*1.5</f>
        <v>0</v>
      </c>
      <c r="K71" s="6" t="n">
        <v>13.1</v>
      </c>
      <c r="L71" s="43" t="n">
        <f aca="false">K71*'Chart of Accounts'!$E$68</f>
        <v>8.777</v>
      </c>
      <c r="O71" s="42" t="n">
        <f aca="false">I71+J71+L71</f>
        <v>78.353</v>
      </c>
    </row>
    <row r="72" customFormat="false" ht="15" hidden="false" customHeight="false" outlineLevel="0" collapsed="false">
      <c r="B72" s="7" t="s">
        <v>8705</v>
      </c>
      <c r="C72" s="39" t="n">
        <v>45661</v>
      </c>
      <c r="D72" s="7" t="s">
        <v>242</v>
      </c>
      <c r="E72" s="7" t="s">
        <v>180</v>
      </c>
      <c r="F72" s="6" t="n">
        <v>4.07</v>
      </c>
      <c r="G72" s="6" t="n">
        <v>0</v>
      </c>
      <c r="H72" s="41" t="n">
        <v>17.99</v>
      </c>
      <c r="I72" s="43" t="n">
        <f aca="false">F72*H72</f>
        <v>73.2193</v>
      </c>
      <c r="J72" s="43" t="n">
        <f aca="false">G72*H72*1.5</f>
        <v>0</v>
      </c>
      <c r="K72" s="6" t="n">
        <v>9.88</v>
      </c>
      <c r="L72" s="43" t="n">
        <f aca="false">K72*'Chart of Accounts'!$E$68</f>
        <v>6.6196</v>
      </c>
      <c r="O72" s="42" t="n">
        <f aca="false">I72+J72+L72</f>
        <v>79.8389</v>
      </c>
    </row>
    <row r="73" customFormat="false" ht="15" hidden="false" customHeight="false" outlineLevel="0" collapsed="false">
      <c r="B73" s="7" t="s">
        <v>8706</v>
      </c>
      <c r="C73" s="39" t="n">
        <v>45661</v>
      </c>
      <c r="D73" s="7" t="s">
        <v>254</v>
      </c>
      <c r="E73" s="7" t="s">
        <v>180</v>
      </c>
      <c r="F73" s="6" t="n">
        <v>3.65</v>
      </c>
      <c r="G73" s="6" t="n">
        <v>0</v>
      </c>
      <c r="H73" s="41" t="n">
        <v>17.1</v>
      </c>
      <c r="I73" s="43" t="n">
        <f aca="false">F73*H73</f>
        <v>62.415</v>
      </c>
      <c r="J73" s="43" t="n">
        <f aca="false">G73*H73*1.5</f>
        <v>0</v>
      </c>
      <c r="K73" s="6" t="n">
        <v>12.35</v>
      </c>
      <c r="L73" s="43" t="n">
        <f aca="false">K73*'Chart of Accounts'!$E$68</f>
        <v>8.2745</v>
      </c>
      <c r="O73" s="42" t="n">
        <f aca="false">I73+J73+L73</f>
        <v>70.6895</v>
      </c>
    </row>
    <row r="74" customFormat="false" ht="15" hidden="false" customHeight="false" outlineLevel="0" collapsed="false">
      <c r="B74" s="7" t="s">
        <v>8707</v>
      </c>
      <c r="C74" s="39" t="n">
        <v>45662</v>
      </c>
      <c r="D74" s="7" t="s">
        <v>191</v>
      </c>
      <c r="E74" s="7" t="s">
        <v>180</v>
      </c>
      <c r="F74" s="6" t="n">
        <v>4.21</v>
      </c>
      <c r="G74" s="6" t="n">
        <v>0</v>
      </c>
      <c r="H74" s="41" t="n">
        <v>16.05</v>
      </c>
      <c r="I74" s="43" t="n">
        <f aca="false">F74*H74</f>
        <v>67.5705</v>
      </c>
      <c r="J74" s="43" t="n">
        <f aca="false">G74*H74*1.5</f>
        <v>0</v>
      </c>
      <c r="K74" s="6" t="n">
        <v>13.12</v>
      </c>
      <c r="L74" s="43" t="n">
        <f aca="false">K74*'Chart of Accounts'!$E$68</f>
        <v>8.7904</v>
      </c>
      <c r="O74" s="42" t="n">
        <f aca="false">I74+J74+L74</f>
        <v>76.3609</v>
      </c>
    </row>
    <row r="75" customFormat="false" ht="15" hidden="false" customHeight="false" outlineLevel="0" collapsed="false">
      <c r="B75" s="7" t="s">
        <v>8708</v>
      </c>
      <c r="C75" s="39" t="n">
        <v>45662</v>
      </c>
      <c r="D75" s="7" t="s">
        <v>218</v>
      </c>
      <c r="E75" s="7" t="s">
        <v>180</v>
      </c>
      <c r="F75" s="6" t="n">
        <v>3.66</v>
      </c>
      <c r="G75" s="6" t="n">
        <v>0</v>
      </c>
      <c r="H75" s="41" t="n">
        <v>16.19</v>
      </c>
      <c r="I75" s="43" t="n">
        <f aca="false">F75*H75</f>
        <v>59.2554</v>
      </c>
      <c r="J75" s="43" t="n">
        <f aca="false">G75*H75*1.5</f>
        <v>0</v>
      </c>
      <c r="K75" s="6" t="n">
        <v>12.13</v>
      </c>
      <c r="L75" s="43" t="n">
        <f aca="false">K75*'Chart of Accounts'!$E$68</f>
        <v>8.1271</v>
      </c>
      <c r="O75" s="42" t="n">
        <f aca="false">I75+J75+L75</f>
        <v>67.3825</v>
      </c>
    </row>
    <row r="76" customFormat="false" ht="15" hidden="false" customHeight="false" outlineLevel="0" collapsed="false">
      <c r="B76" s="7" t="s">
        <v>8709</v>
      </c>
      <c r="C76" s="39" t="n">
        <v>45662</v>
      </c>
      <c r="D76" s="7" t="s">
        <v>212</v>
      </c>
      <c r="E76" s="7" t="s">
        <v>180</v>
      </c>
      <c r="F76" s="6" t="n">
        <v>3.73</v>
      </c>
      <c r="G76" s="6" t="n">
        <v>0</v>
      </c>
      <c r="H76" s="41" t="n">
        <v>16.71</v>
      </c>
      <c r="I76" s="43" t="n">
        <f aca="false">F76*H76</f>
        <v>62.3283</v>
      </c>
      <c r="J76" s="43" t="n">
        <f aca="false">G76*H76*1.5</f>
        <v>0</v>
      </c>
      <c r="K76" s="6" t="n">
        <v>9.55</v>
      </c>
      <c r="L76" s="43" t="n">
        <f aca="false">K76*'Chart of Accounts'!$E$68</f>
        <v>6.3985</v>
      </c>
      <c r="O76" s="42" t="n">
        <f aca="false">I76+J76+L76</f>
        <v>68.7268</v>
      </c>
    </row>
    <row r="77" customFormat="false" ht="15" hidden="false" customHeight="false" outlineLevel="0" collapsed="false">
      <c r="B77" s="7" t="s">
        <v>8710</v>
      </c>
      <c r="C77" s="39" t="n">
        <v>45662</v>
      </c>
      <c r="D77" s="7" t="s">
        <v>222</v>
      </c>
      <c r="E77" s="7" t="s">
        <v>180</v>
      </c>
      <c r="F77" s="6" t="n">
        <v>3.98</v>
      </c>
      <c r="G77" s="6" t="n">
        <v>0</v>
      </c>
      <c r="H77" s="41" t="n">
        <v>17.84</v>
      </c>
      <c r="I77" s="43" t="n">
        <f aca="false">F77*H77</f>
        <v>71.0032</v>
      </c>
      <c r="J77" s="43" t="n">
        <f aca="false">G77*H77*1.5</f>
        <v>0</v>
      </c>
      <c r="K77" s="6" t="n">
        <v>11.15</v>
      </c>
      <c r="L77" s="43" t="n">
        <f aca="false">K77*'Chart of Accounts'!$E$68</f>
        <v>7.4705</v>
      </c>
      <c r="O77" s="42" t="n">
        <f aca="false">I77+J77+L77</f>
        <v>78.4737</v>
      </c>
    </row>
    <row r="78" customFormat="false" ht="15" hidden="false" customHeight="false" outlineLevel="0" collapsed="false">
      <c r="B78" s="7" t="s">
        <v>8711</v>
      </c>
      <c r="C78" s="39" t="n">
        <v>45662</v>
      </c>
      <c r="D78" s="7" t="s">
        <v>242</v>
      </c>
      <c r="E78" s="7" t="s">
        <v>180</v>
      </c>
      <c r="F78" s="6" t="n">
        <v>3.83</v>
      </c>
      <c r="G78" s="6" t="n">
        <v>0</v>
      </c>
      <c r="H78" s="41" t="n">
        <v>17.99</v>
      </c>
      <c r="I78" s="43" t="n">
        <f aca="false">F78*H78</f>
        <v>68.9017</v>
      </c>
      <c r="J78" s="43" t="n">
        <f aca="false">G78*H78*1.5</f>
        <v>0</v>
      </c>
      <c r="K78" s="6" t="n">
        <v>10.03</v>
      </c>
      <c r="L78" s="43" t="n">
        <f aca="false">K78*'Chart of Accounts'!$E$68</f>
        <v>6.7201</v>
      </c>
      <c r="O78" s="42" t="n">
        <f aca="false">I78+J78+L78</f>
        <v>75.6218</v>
      </c>
    </row>
    <row r="79" customFormat="false" ht="15" hidden="false" customHeight="false" outlineLevel="0" collapsed="false">
      <c r="B79" s="7" t="s">
        <v>8712</v>
      </c>
      <c r="C79" s="39" t="n">
        <v>45662</v>
      </c>
      <c r="D79" s="7" t="s">
        <v>254</v>
      </c>
      <c r="E79" s="7" t="s">
        <v>180</v>
      </c>
      <c r="F79" s="6" t="n">
        <v>3.79</v>
      </c>
      <c r="G79" s="6" t="n">
        <v>0</v>
      </c>
      <c r="H79" s="41" t="n">
        <v>17.1</v>
      </c>
      <c r="I79" s="43" t="n">
        <f aca="false">F79*H79</f>
        <v>64.809</v>
      </c>
      <c r="J79" s="43" t="n">
        <f aca="false">G79*H79*1.5</f>
        <v>0</v>
      </c>
      <c r="K79" s="6" t="n">
        <v>11.46</v>
      </c>
      <c r="L79" s="43" t="n">
        <f aca="false">K79*'Chart of Accounts'!$E$68</f>
        <v>7.6782</v>
      </c>
      <c r="O79" s="42" t="n">
        <f aca="false">I79+J79+L79</f>
        <v>72.4872</v>
      </c>
    </row>
    <row r="80" customFormat="false" ht="15" hidden="false" customHeight="false" outlineLevel="0" collapsed="false">
      <c r="B80" s="7" t="s">
        <v>8713</v>
      </c>
      <c r="C80" s="39" t="n">
        <v>45663</v>
      </c>
      <c r="D80" s="7" t="s">
        <v>187</v>
      </c>
      <c r="E80" s="7" t="s">
        <v>158</v>
      </c>
      <c r="H80" s="41" t="n">
        <v>66.48</v>
      </c>
      <c r="M80" s="6" t="n">
        <v>1</v>
      </c>
      <c r="N80" s="43" t="n">
        <f aca="false">M80*H80</f>
        <v>66.48</v>
      </c>
      <c r="O80" s="42" t="n">
        <f aca="false">N80</f>
        <v>66.48</v>
      </c>
    </row>
    <row r="81" customFormat="false" ht="15" hidden="false" customHeight="false" outlineLevel="0" collapsed="false">
      <c r="B81" s="7" t="s">
        <v>8714</v>
      </c>
      <c r="C81" s="39" t="n">
        <v>45663</v>
      </c>
      <c r="D81" s="7" t="s">
        <v>191</v>
      </c>
      <c r="E81" s="7" t="s">
        <v>180</v>
      </c>
      <c r="F81" s="6" t="n">
        <v>3.69</v>
      </c>
      <c r="G81" s="6" t="n">
        <v>0</v>
      </c>
      <c r="H81" s="41" t="n">
        <v>16.05</v>
      </c>
      <c r="I81" s="43" t="n">
        <f aca="false">F81*H81</f>
        <v>59.2245</v>
      </c>
      <c r="J81" s="43" t="n">
        <f aca="false">G81*H81*1.5</f>
        <v>0</v>
      </c>
      <c r="K81" s="6" t="n">
        <v>8.55</v>
      </c>
      <c r="L81" s="43" t="n">
        <f aca="false">K81*'Chart of Accounts'!$E$68</f>
        <v>5.7285</v>
      </c>
      <c r="O81" s="42" t="n">
        <f aca="false">I81+J81+L81</f>
        <v>64.953</v>
      </c>
    </row>
    <row r="82" customFormat="false" ht="15" hidden="false" customHeight="false" outlineLevel="0" collapsed="false">
      <c r="B82" s="7" t="s">
        <v>8715</v>
      </c>
      <c r="C82" s="39" t="n">
        <v>45663</v>
      </c>
      <c r="D82" s="7" t="s">
        <v>194</v>
      </c>
      <c r="E82" s="7" t="s">
        <v>180</v>
      </c>
      <c r="F82" s="6" t="n">
        <v>4.45</v>
      </c>
      <c r="G82" s="6" t="n">
        <v>0</v>
      </c>
      <c r="H82" s="41" t="n">
        <v>16</v>
      </c>
      <c r="I82" s="43" t="n">
        <f aca="false">F82*H82</f>
        <v>71.2</v>
      </c>
      <c r="J82" s="43" t="n">
        <f aca="false">G82*H82*1.5</f>
        <v>0</v>
      </c>
      <c r="K82" s="6" t="n">
        <v>10.02</v>
      </c>
      <c r="L82" s="43" t="n">
        <f aca="false">K82*'Chart of Accounts'!$E$68</f>
        <v>6.7134</v>
      </c>
      <c r="O82" s="42" t="n">
        <f aca="false">I82+J82+L82</f>
        <v>77.9134</v>
      </c>
    </row>
    <row r="83" customFormat="false" ht="15" hidden="false" customHeight="false" outlineLevel="0" collapsed="false">
      <c r="B83" s="7" t="s">
        <v>8716</v>
      </c>
      <c r="C83" s="39" t="n">
        <v>45663</v>
      </c>
      <c r="D83" s="7" t="s">
        <v>201</v>
      </c>
      <c r="E83" s="7" t="s">
        <v>180</v>
      </c>
      <c r="F83" s="6" t="n">
        <v>6.76</v>
      </c>
      <c r="G83" s="6" t="n">
        <v>0</v>
      </c>
      <c r="H83" s="41" t="n">
        <v>15.19</v>
      </c>
      <c r="I83" s="43" t="n">
        <f aca="false">F83*H83</f>
        <v>102.6844</v>
      </c>
      <c r="J83" s="43" t="n">
        <f aca="false">G83*H83*1.5</f>
        <v>0</v>
      </c>
      <c r="K83" s="6" t="n">
        <v>21.67</v>
      </c>
      <c r="L83" s="43" t="n">
        <f aca="false">K83*'Chart of Accounts'!$E$68</f>
        <v>14.5189</v>
      </c>
      <c r="O83" s="42" t="n">
        <f aca="false">I83+J83+L83</f>
        <v>117.2033</v>
      </c>
    </row>
    <row r="84" customFormat="false" ht="15" hidden="false" customHeight="false" outlineLevel="0" collapsed="false">
      <c r="B84" s="7" t="s">
        <v>8717</v>
      </c>
      <c r="C84" s="39" t="n">
        <v>45663</v>
      </c>
      <c r="D84" s="7" t="s">
        <v>205</v>
      </c>
      <c r="E84" s="7" t="s">
        <v>180</v>
      </c>
      <c r="F84" s="6" t="n">
        <v>4.34</v>
      </c>
      <c r="G84" s="6" t="n">
        <v>0</v>
      </c>
      <c r="H84" s="41" t="n">
        <v>16.36</v>
      </c>
      <c r="I84" s="43" t="n">
        <f aca="false">F84*H84</f>
        <v>71.0024</v>
      </c>
      <c r="J84" s="43" t="n">
        <f aca="false">G84*H84*1.5</f>
        <v>0</v>
      </c>
      <c r="K84" s="6" t="n">
        <v>13.71</v>
      </c>
      <c r="L84" s="43" t="n">
        <f aca="false">K84*'Chart of Accounts'!$E$68</f>
        <v>9.1857</v>
      </c>
      <c r="O84" s="42" t="n">
        <f aca="false">I84+J84+L84</f>
        <v>80.1881</v>
      </c>
    </row>
    <row r="85" customFormat="false" ht="15" hidden="false" customHeight="false" outlineLevel="0" collapsed="false">
      <c r="B85" s="7" t="s">
        <v>8718</v>
      </c>
      <c r="C85" s="39" t="n">
        <v>45663</v>
      </c>
      <c r="D85" s="7" t="s">
        <v>252</v>
      </c>
      <c r="E85" s="7" t="s">
        <v>158</v>
      </c>
      <c r="H85" s="41" t="n">
        <v>57.54</v>
      </c>
      <c r="M85" s="6" t="n">
        <v>1</v>
      </c>
      <c r="N85" s="43" t="n">
        <f aca="false">M85*H85</f>
        <v>57.54</v>
      </c>
      <c r="O85" s="42" t="n">
        <f aca="false">N85</f>
        <v>57.54</v>
      </c>
    </row>
    <row r="86" customFormat="false" ht="15" hidden="false" customHeight="false" outlineLevel="0" collapsed="false">
      <c r="B86" s="7" t="s">
        <v>8719</v>
      </c>
      <c r="C86" s="39" t="n">
        <v>45663</v>
      </c>
      <c r="D86" s="7" t="s">
        <v>196</v>
      </c>
      <c r="E86" s="7" t="s">
        <v>180</v>
      </c>
      <c r="F86" s="6" t="n">
        <v>6.01</v>
      </c>
      <c r="G86" s="6" t="n">
        <v>0</v>
      </c>
      <c r="H86" s="41" t="n">
        <v>15.05</v>
      </c>
      <c r="I86" s="43" t="n">
        <f aca="false">F86*H86</f>
        <v>90.4505</v>
      </c>
      <c r="J86" s="43" t="n">
        <f aca="false">G86*H86*1.5</f>
        <v>0</v>
      </c>
      <c r="K86" s="6" t="n">
        <v>15.16</v>
      </c>
      <c r="L86" s="43" t="n">
        <f aca="false">K86*'Chart of Accounts'!$E$68</f>
        <v>10.1572</v>
      </c>
      <c r="O86" s="42" t="n">
        <f aca="false">I86+J86+L86</f>
        <v>100.6077</v>
      </c>
    </row>
    <row r="87" customFormat="false" ht="15" hidden="false" customHeight="false" outlineLevel="0" collapsed="false">
      <c r="B87" s="7" t="s">
        <v>8720</v>
      </c>
      <c r="C87" s="39" t="n">
        <v>45663</v>
      </c>
      <c r="D87" s="7" t="s">
        <v>184</v>
      </c>
      <c r="E87" s="7" t="s">
        <v>180</v>
      </c>
      <c r="F87" s="6" t="n">
        <v>4.31</v>
      </c>
      <c r="G87" s="6" t="n">
        <v>0</v>
      </c>
      <c r="H87" s="41" t="n">
        <v>17.34</v>
      </c>
      <c r="I87" s="43" t="n">
        <f aca="false">F87*H87</f>
        <v>74.7354</v>
      </c>
      <c r="J87" s="43" t="n">
        <f aca="false">G87*H87*1.5</f>
        <v>0</v>
      </c>
      <c r="K87" s="6" t="n">
        <v>13.6</v>
      </c>
      <c r="L87" s="43" t="n">
        <f aca="false">K87*'Chart of Accounts'!$E$68</f>
        <v>9.112</v>
      </c>
      <c r="O87" s="42" t="n">
        <f aca="false">I87+J87+L87</f>
        <v>83.8474</v>
      </c>
    </row>
    <row r="88" customFormat="false" ht="15" hidden="false" customHeight="false" outlineLevel="0" collapsed="false">
      <c r="B88" s="7" t="s">
        <v>8721</v>
      </c>
      <c r="C88" s="39" t="n">
        <v>45663</v>
      </c>
      <c r="D88" s="7" t="s">
        <v>207</v>
      </c>
      <c r="E88" s="7" t="s">
        <v>180</v>
      </c>
      <c r="F88" s="6" t="n">
        <v>6.3</v>
      </c>
      <c r="G88" s="6" t="n">
        <v>0</v>
      </c>
      <c r="H88" s="41" t="n">
        <v>16.65</v>
      </c>
      <c r="I88" s="43" t="n">
        <f aca="false">F88*H88</f>
        <v>104.895</v>
      </c>
      <c r="J88" s="43" t="n">
        <f aca="false">G88*H88*1.5</f>
        <v>0</v>
      </c>
      <c r="K88" s="6" t="n">
        <v>17.27</v>
      </c>
      <c r="L88" s="43" t="n">
        <f aca="false">K88*'Chart of Accounts'!$E$68</f>
        <v>11.5709</v>
      </c>
      <c r="O88" s="42" t="n">
        <f aca="false">I88+J88+L88</f>
        <v>116.4659</v>
      </c>
    </row>
    <row r="89" customFormat="false" ht="15" hidden="false" customHeight="false" outlineLevel="0" collapsed="false">
      <c r="B89" s="7" t="s">
        <v>8722</v>
      </c>
      <c r="C89" s="39" t="n">
        <v>45663</v>
      </c>
      <c r="D89" s="7" t="s">
        <v>218</v>
      </c>
      <c r="E89" s="7" t="s">
        <v>180</v>
      </c>
      <c r="F89" s="6" t="n">
        <v>4.29</v>
      </c>
      <c r="G89" s="6" t="n">
        <v>0</v>
      </c>
      <c r="H89" s="41" t="n">
        <v>16.19</v>
      </c>
      <c r="I89" s="43" t="n">
        <f aca="false">F89*H89</f>
        <v>69.4551</v>
      </c>
      <c r="J89" s="43" t="n">
        <f aca="false">G89*H89*1.5</f>
        <v>0</v>
      </c>
      <c r="K89" s="6" t="n">
        <v>14.91</v>
      </c>
      <c r="L89" s="43" t="n">
        <f aca="false">K89*'Chart of Accounts'!$E$68</f>
        <v>9.9897</v>
      </c>
      <c r="O89" s="42" t="n">
        <f aca="false">I89+J89+L89</f>
        <v>79.4448</v>
      </c>
    </row>
    <row r="90" customFormat="false" ht="15" hidden="false" customHeight="false" outlineLevel="0" collapsed="false">
      <c r="B90" s="7" t="s">
        <v>8723</v>
      </c>
      <c r="C90" s="39" t="n">
        <v>45663</v>
      </c>
      <c r="D90" s="7" t="s">
        <v>212</v>
      </c>
      <c r="E90" s="7" t="s">
        <v>180</v>
      </c>
      <c r="F90" s="6" t="n">
        <v>7.17</v>
      </c>
      <c r="G90" s="6" t="n">
        <v>0</v>
      </c>
      <c r="H90" s="41" t="n">
        <v>16.71</v>
      </c>
      <c r="I90" s="43" t="n">
        <f aca="false">F90*H90</f>
        <v>119.8107</v>
      </c>
      <c r="J90" s="43" t="n">
        <f aca="false">G90*H90*1.5</f>
        <v>0</v>
      </c>
      <c r="K90" s="6" t="n">
        <v>23.77</v>
      </c>
      <c r="L90" s="43" t="n">
        <f aca="false">K90*'Chart of Accounts'!$E$68</f>
        <v>15.9259</v>
      </c>
      <c r="O90" s="42" t="n">
        <f aca="false">I90+J90+L90</f>
        <v>135.7366</v>
      </c>
    </row>
    <row r="91" customFormat="false" ht="15" hidden="false" customHeight="false" outlineLevel="0" collapsed="false">
      <c r="B91" s="7" t="s">
        <v>8724</v>
      </c>
      <c r="C91" s="39" t="n">
        <v>45663</v>
      </c>
      <c r="D91" s="7" t="s">
        <v>220</v>
      </c>
      <c r="E91" s="7" t="s">
        <v>180</v>
      </c>
      <c r="F91" s="6" t="n">
        <v>4.21</v>
      </c>
      <c r="G91" s="6" t="n">
        <v>0</v>
      </c>
      <c r="H91" s="41" t="n">
        <v>16.43</v>
      </c>
      <c r="I91" s="43" t="n">
        <f aca="false">F91*H91</f>
        <v>69.1703</v>
      </c>
      <c r="J91" s="43" t="n">
        <f aca="false">G91*H91*1.5</f>
        <v>0</v>
      </c>
      <c r="K91" s="6" t="n">
        <v>12.62</v>
      </c>
      <c r="L91" s="43" t="n">
        <f aca="false">K91*'Chart of Accounts'!$E$68</f>
        <v>8.4554</v>
      </c>
      <c r="O91" s="42" t="n">
        <f aca="false">I91+J91+L91</f>
        <v>77.6257</v>
      </c>
    </row>
    <row r="92" customFormat="false" ht="15" hidden="false" customHeight="false" outlineLevel="0" collapsed="false">
      <c r="B92" s="7" t="s">
        <v>8725</v>
      </c>
      <c r="C92" s="39" t="n">
        <v>45663</v>
      </c>
      <c r="D92" s="7" t="s">
        <v>224</v>
      </c>
      <c r="E92" s="7" t="s">
        <v>180</v>
      </c>
      <c r="F92" s="6" t="n">
        <v>8.16</v>
      </c>
      <c r="G92" s="6" t="n">
        <v>0</v>
      </c>
      <c r="H92" s="41" t="n">
        <v>14.93</v>
      </c>
      <c r="I92" s="43" t="n">
        <f aca="false">F92*H92</f>
        <v>121.8288</v>
      </c>
      <c r="J92" s="43" t="n">
        <f aca="false">G92*H92*1.5</f>
        <v>0</v>
      </c>
      <c r="K92" s="6" t="n">
        <v>28.98</v>
      </c>
      <c r="L92" s="43" t="n">
        <f aca="false">K92*'Chart of Accounts'!$E$68</f>
        <v>19.4166</v>
      </c>
      <c r="O92" s="42" t="n">
        <f aca="false">I92+J92+L92</f>
        <v>141.2454</v>
      </c>
    </row>
    <row r="93" customFormat="false" ht="15" hidden="false" customHeight="false" outlineLevel="0" collapsed="false">
      <c r="B93" s="7" t="s">
        <v>8726</v>
      </c>
      <c r="C93" s="39" t="n">
        <v>45663</v>
      </c>
      <c r="D93" s="7" t="s">
        <v>177</v>
      </c>
      <c r="E93" s="7" t="s">
        <v>180</v>
      </c>
      <c r="F93" s="6" t="n">
        <v>8.87</v>
      </c>
      <c r="G93" s="6" t="n">
        <v>0</v>
      </c>
      <c r="H93" s="41" t="n">
        <v>14.56</v>
      </c>
      <c r="I93" s="43" t="n">
        <f aca="false">F93*H93</f>
        <v>129.1472</v>
      </c>
      <c r="J93" s="43" t="n">
        <f aca="false">G93*H93*1.5</f>
        <v>0</v>
      </c>
      <c r="K93" s="6" t="n">
        <v>28.45</v>
      </c>
      <c r="L93" s="43" t="n">
        <f aca="false">K93*'Chart of Accounts'!$E$68</f>
        <v>19.0615</v>
      </c>
      <c r="O93" s="42" t="n">
        <f aca="false">I93+J93+L93</f>
        <v>148.2087</v>
      </c>
    </row>
    <row r="94" customFormat="false" ht="15" hidden="false" customHeight="false" outlineLevel="0" collapsed="false">
      <c r="B94" s="7" t="s">
        <v>8727</v>
      </c>
      <c r="C94" s="39" t="n">
        <v>45663</v>
      </c>
      <c r="D94" s="7" t="s">
        <v>232</v>
      </c>
      <c r="E94" s="7" t="s">
        <v>180</v>
      </c>
      <c r="F94" s="6" t="n">
        <v>7.3</v>
      </c>
      <c r="G94" s="6" t="n">
        <v>0</v>
      </c>
      <c r="H94" s="41" t="n">
        <v>16.17</v>
      </c>
      <c r="I94" s="43" t="n">
        <f aca="false">F94*H94</f>
        <v>118.041</v>
      </c>
      <c r="J94" s="43" t="n">
        <f aca="false">G94*H94*1.5</f>
        <v>0</v>
      </c>
      <c r="K94" s="6" t="n">
        <v>23.73</v>
      </c>
      <c r="L94" s="43" t="n">
        <f aca="false">K94*'Chart of Accounts'!$E$68</f>
        <v>15.8991</v>
      </c>
      <c r="O94" s="42" t="n">
        <f aca="false">I94+J94+L94</f>
        <v>133.9401</v>
      </c>
    </row>
    <row r="95" customFormat="false" ht="15" hidden="false" customHeight="false" outlineLevel="0" collapsed="false">
      <c r="B95" s="7" t="s">
        <v>8728</v>
      </c>
      <c r="C95" s="39" t="n">
        <v>45663</v>
      </c>
      <c r="D95" s="7" t="s">
        <v>242</v>
      </c>
      <c r="E95" s="7" t="s">
        <v>180</v>
      </c>
      <c r="F95" s="6" t="n">
        <v>6.9</v>
      </c>
      <c r="G95" s="6" t="n">
        <v>0</v>
      </c>
      <c r="H95" s="41" t="n">
        <v>17.99</v>
      </c>
      <c r="I95" s="43" t="n">
        <f aca="false">F95*H95</f>
        <v>124.131</v>
      </c>
      <c r="J95" s="43" t="n">
        <f aca="false">G95*H95*1.5</f>
        <v>0</v>
      </c>
      <c r="K95" s="6" t="n">
        <v>21.41</v>
      </c>
      <c r="L95" s="43" t="n">
        <f aca="false">K95*'Chart of Accounts'!$E$68</f>
        <v>14.3447</v>
      </c>
      <c r="O95" s="42" t="n">
        <f aca="false">I95+J95+L95</f>
        <v>138.4757</v>
      </c>
    </row>
    <row r="96" customFormat="false" ht="15" hidden="false" customHeight="false" outlineLevel="0" collapsed="false">
      <c r="B96" s="7" t="s">
        <v>8729</v>
      </c>
      <c r="C96" s="39" t="n">
        <v>45663</v>
      </c>
      <c r="D96" s="7" t="s">
        <v>222</v>
      </c>
      <c r="E96" s="7" t="s">
        <v>180</v>
      </c>
      <c r="F96" s="6" t="n">
        <v>7.12</v>
      </c>
      <c r="G96" s="6" t="n">
        <v>0</v>
      </c>
      <c r="H96" s="41" t="n">
        <v>17.84</v>
      </c>
      <c r="I96" s="43" t="n">
        <f aca="false">F96*H96</f>
        <v>127.0208</v>
      </c>
      <c r="J96" s="43" t="n">
        <f aca="false">G96*H96*1.5</f>
        <v>0</v>
      </c>
      <c r="K96" s="6" t="n">
        <v>17.95</v>
      </c>
      <c r="L96" s="43" t="n">
        <f aca="false">K96*'Chart of Accounts'!$E$68</f>
        <v>12.0265</v>
      </c>
      <c r="O96" s="42" t="n">
        <f aca="false">I96+J96+L96</f>
        <v>139.0473</v>
      </c>
    </row>
    <row r="97" customFormat="false" ht="15" hidden="false" customHeight="false" outlineLevel="0" collapsed="false">
      <c r="B97" s="7" t="s">
        <v>8730</v>
      </c>
      <c r="C97" s="39" t="n">
        <v>45663</v>
      </c>
      <c r="D97" s="7" t="s">
        <v>262</v>
      </c>
      <c r="E97" s="7" t="s">
        <v>180</v>
      </c>
      <c r="F97" s="6" t="n">
        <v>7.53</v>
      </c>
      <c r="G97" s="6" t="n">
        <v>0</v>
      </c>
      <c r="H97" s="41" t="n">
        <v>16.02</v>
      </c>
      <c r="I97" s="43" t="n">
        <f aca="false">F97*H97</f>
        <v>120.6306</v>
      </c>
      <c r="J97" s="43" t="n">
        <f aca="false">G97*H97*1.5</f>
        <v>0</v>
      </c>
      <c r="K97" s="6" t="n">
        <v>17.94</v>
      </c>
      <c r="L97" s="43" t="n">
        <f aca="false">K97*'Chart of Accounts'!$E$68</f>
        <v>12.0198</v>
      </c>
      <c r="O97" s="42" t="n">
        <f aca="false">I97+J97+L97</f>
        <v>132.6504</v>
      </c>
    </row>
    <row r="98" customFormat="false" ht="15" hidden="false" customHeight="false" outlineLevel="0" collapsed="false">
      <c r="B98" s="7" t="s">
        <v>8731</v>
      </c>
      <c r="C98" s="39" t="n">
        <v>45663</v>
      </c>
      <c r="D98" s="7" t="s">
        <v>254</v>
      </c>
      <c r="E98" s="7" t="s">
        <v>180</v>
      </c>
      <c r="F98" s="6" t="n">
        <v>6.89</v>
      </c>
      <c r="G98" s="6" t="n">
        <v>0</v>
      </c>
      <c r="H98" s="41" t="n">
        <v>17.1</v>
      </c>
      <c r="I98" s="43" t="n">
        <f aca="false">F98*H98</f>
        <v>117.819</v>
      </c>
      <c r="J98" s="43" t="n">
        <f aca="false">G98*H98*1.5</f>
        <v>0</v>
      </c>
      <c r="K98" s="6" t="n">
        <v>23.01</v>
      </c>
      <c r="L98" s="43" t="n">
        <f aca="false">K98*'Chart of Accounts'!$E$68</f>
        <v>15.4167</v>
      </c>
      <c r="O98" s="42" t="n">
        <f aca="false">I98+J98+L98</f>
        <v>133.2357</v>
      </c>
    </row>
    <row r="99" customFormat="false" ht="15" hidden="false" customHeight="false" outlineLevel="0" collapsed="false">
      <c r="B99" s="7" t="s">
        <v>8732</v>
      </c>
      <c r="C99" s="39" t="n">
        <v>45663</v>
      </c>
      <c r="D99" s="7" t="s">
        <v>246</v>
      </c>
      <c r="E99" s="7" t="s">
        <v>180</v>
      </c>
      <c r="F99" s="6" t="n">
        <v>8.22</v>
      </c>
      <c r="G99" s="6" t="n">
        <v>0</v>
      </c>
      <c r="H99" s="41" t="n">
        <v>16.48</v>
      </c>
      <c r="I99" s="43" t="n">
        <f aca="false">F99*H99</f>
        <v>135.4656</v>
      </c>
      <c r="J99" s="43" t="n">
        <f aca="false">G99*H99*1.5</f>
        <v>0</v>
      </c>
      <c r="K99" s="6" t="n">
        <v>29.57</v>
      </c>
      <c r="L99" s="43" t="n">
        <f aca="false">K99*'Chart of Accounts'!$E$68</f>
        <v>19.8119</v>
      </c>
      <c r="O99" s="42" t="n">
        <f aca="false">I99+J99+L99</f>
        <v>155.2775</v>
      </c>
    </row>
    <row r="100" customFormat="false" ht="15" hidden="false" customHeight="false" outlineLevel="0" collapsed="false">
      <c r="B100" s="7" t="s">
        <v>8733</v>
      </c>
      <c r="C100" s="39" t="n">
        <v>45663</v>
      </c>
      <c r="D100" s="7" t="s">
        <v>214</v>
      </c>
      <c r="E100" s="7" t="s">
        <v>180</v>
      </c>
      <c r="F100" s="6" t="n">
        <v>7.74</v>
      </c>
      <c r="G100" s="6" t="n">
        <v>0</v>
      </c>
      <c r="H100" s="41" t="n">
        <v>15.67</v>
      </c>
      <c r="I100" s="43" t="n">
        <f aca="false">F100*H100</f>
        <v>121.2858</v>
      </c>
      <c r="J100" s="43" t="n">
        <f aca="false">G100*H100*1.5</f>
        <v>0</v>
      </c>
      <c r="K100" s="6" t="n">
        <v>24.67</v>
      </c>
      <c r="L100" s="43" t="n">
        <f aca="false">K100*'Chart of Accounts'!$E$68</f>
        <v>16.5289</v>
      </c>
      <c r="O100" s="42" t="n">
        <f aca="false">I100+J100+L100</f>
        <v>137.8147</v>
      </c>
    </row>
    <row r="101" customFormat="false" ht="15" hidden="false" customHeight="false" outlineLevel="0" collapsed="false">
      <c r="B101" s="7" t="s">
        <v>8734</v>
      </c>
      <c r="C101" s="39" t="n">
        <v>45664</v>
      </c>
      <c r="D101" s="7" t="s">
        <v>191</v>
      </c>
      <c r="E101" s="7" t="s">
        <v>180</v>
      </c>
      <c r="F101" s="6" t="n">
        <v>4.23</v>
      </c>
      <c r="G101" s="6" t="n">
        <v>0</v>
      </c>
      <c r="H101" s="41" t="n">
        <v>16.05</v>
      </c>
      <c r="I101" s="43" t="n">
        <f aca="false">F101*H101</f>
        <v>67.8915</v>
      </c>
      <c r="J101" s="43" t="n">
        <f aca="false">G101*H101*1.5</f>
        <v>0</v>
      </c>
      <c r="K101" s="6" t="n">
        <v>12.84</v>
      </c>
      <c r="L101" s="43" t="n">
        <f aca="false">K101*'Chart of Accounts'!$E$68</f>
        <v>8.6028</v>
      </c>
      <c r="O101" s="42" t="n">
        <f aca="false">I101+J101+L101</f>
        <v>76.4943</v>
      </c>
    </row>
    <row r="102" customFormat="false" ht="15" hidden="false" customHeight="false" outlineLevel="0" collapsed="false">
      <c r="B102" s="7" t="s">
        <v>8735</v>
      </c>
      <c r="C102" s="39" t="n">
        <v>45664</v>
      </c>
      <c r="D102" s="7" t="s">
        <v>209</v>
      </c>
      <c r="E102" s="7" t="s">
        <v>158</v>
      </c>
      <c r="H102" s="41" t="n">
        <v>73.58</v>
      </c>
      <c r="M102" s="6" t="n">
        <v>2</v>
      </c>
      <c r="N102" s="43" t="n">
        <f aca="false">M102*H102</f>
        <v>147.16</v>
      </c>
      <c r="O102" s="42" t="n">
        <f aca="false">N102</f>
        <v>147.16</v>
      </c>
    </row>
    <row r="103" customFormat="false" ht="15" hidden="false" customHeight="false" outlineLevel="0" collapsed="false">
      <c r="B103" s="7" t="s">
        <v>8736</v>
      </c>
      <c r="C103" s="39" t="n">
        <v>45664</v>
      </c>
      <c r="D103" s="7" t="s">
        <v>184</v>
      </c>
      <c r="E103" s="7" t="s">
        <v>180</v>
      </c>
      <c r="F103" s="6" t="n">
        <v>4.13</v>
      </c>
      <c r="G103" s="6" t="n">
        <v>0</v>
      </c>
      <c r="H103" s="41" t="n">
        <v>17.34</v>
      </c>
      <c r="I103" s="43" t="n">
        <f aca="false">F103*H103</f>
        <v>71.6142</v>
      </c>
      <c r="J103" s="43" t="n">
        <f aca="false">G103*H103*1.5</f>
        <v>0</v>
      </c>
      <c r="K103" s="6" t="n">
        <v>13.03</v>
      </c>
      <c r="L103" s="43" t="n">
        <f aca="false">K103*'Chart of Accounts'!$E$68</f>
        <v>8.7301</v>
      </c>
      <c r="O103" s="42" t="n">
        <f aca="false">I103+J103+L103</f>
        <v>80.3443</v>
      </c>
    </row>
    <row r="104" customFormat="false" ht="15" hidden="false" customHeight="false" outlineLevel="0" collapsed="false">
      <c r="B104" s="7" t="s">
        <v>8737</v>
      </c>
      <c r="C104" s="39" t="n">
        <v>45664</v>
      </c>
      <c r="D104" s="7" t="s">
        <v>234</v>
      </c>
      <c r="E104" s="7" t="s">
        <v>158</v>
      </c>
      <c r="H104" s="41" t="n">
        <v>89.53</v>
      </c>
      <c r="M104" s="6" t="n">
        <v>2</v>
      </c>
      <c r="N104" s="43" t="n">
        <f aca="false">M104*H104</f>
        <v>179.06</v>
      </c>
      <c r="O104" s="42" t="n">
        <f aca="false">N104</f>
        <v>179.06</v>
      </c>
    </row>
    <row r="105" customFormat="false" ht="15" hidden="false" customHeight="false" outlineLevel="0" collapsed="false">
      <c r="B105" s="7" t="s">
        <v>8738</v>
      </c>
      <c r="C105" s="39" t="n">
        <v>45664</v>
      </c>
      <c r="D105" s="7" t="s">
        <v>218</v>
      </c>
      <c r="E105" s="7" t="s">
        <v>180</v>
      </c>
      <c r="F105" s="6" t="n">
        <v>3.9</v>
      </c>
      <c r="G105" s="6" t="n">
        <v>0</v>
      </c>
      <c r="H105" s="41" t="n">
        <v>16.19</v>
      </c>
      <c r="I105" s="43" t="n">
        <f aca="false">F105*H105</f>
        <v>63.141</v>
      </c>
      <c r="J105" s="43" t="n">
        <f aca="false">G105*H105*1.5</f>
        <v>0</v>
      </c>
      <c r="K105" s="6" t="n">
        <v>9.25</v>
      </c>
      <c r="L105" s="43" t="n">
        <f aca="false">K105*'Chart of Accounts'!$E$68</f>
        <v>6.1975</v>
      </c>
      <c r="O105" s="42" t="n">
        <f aca="false">I105+J105+L105</f>
        <v>69.3385</v>
      </c>
    </row>
    <row r="106" customFormat="false" ht="15" hidden="false" customHeight="false" outlineLevel="0" collapsed="false">
      <c r="B106" s="7" t="s">
        <v>8739</v>
      </c>
      <c r="C106" s="39" t="n">
        <v>45664</v>
      </c>
      <c r="D106" s="7" t="s">
        <v>266</v>
      </c>
      <c r="E106" s="7" t="s">
        <v>158</v>
      </c>
      <c r="H106" s="41" t="n">
        <v>75.18</v>
      </c>
      <c r="M106" s="6" t="n">
        <v>1</v>
      </c>
      <c r="N106" s="43" t="n">
        <f aca="false">M106*H106</f>
        <v>75.18</v>
      </c>
      <c r="O106" s="42" t="n">
        <f aca="false">N106</f>
        <v>75.18</v>
      </c>
    </row>
    <row r="107" customFormat="false" ht="15" hidden="false" customHeight="false" outlineLevel="0" collapsed="false">
      <c r="B107" s="7" t="s">
        <v>8740</v>
      </c>
      <c r="C107" s="39" t="n">
        <v>45664</v>
      </c>
      <c r="D107" s="7" t="s">
        <v>228</v>
      </c>
      <c r="E107" s="7" t="s">
        <v>158</v>
      </c>
      <c r="H107" s="41" t="n">
        <v>51.07</v>
      </c>
      <c r="M107" s="6" t="n">
        <v>1</v>
      </c>
      <c r="N107" s="43" t="n">
        <f aca="false">M107*H107</f>
        <v>51.07</v>
      </c>
      <c r="O107" s="42" t="n">
        <f aca="false">N107</f>
        <v>51.07</v>
      </c>
    </row>
    <row r="108" customFormat="false" ht="15" hidden="false" customHeight="false" outlineLevel="0" collapsed="false">
      <c r="B108" s="7" t="s">
        <v>8741</v>
      </c>
      <c r="C108" s="39" t="n">
        <v>45664</v>
      </c>
      <c r="D108" s="7" t="s">
        <v>220</v>
      </c>
      <c r="E108" s="7" t="s">
        <v>180</v>
      </c>
      <c r="F108" s="6" t="n">
        <v>3.98</v>
      </c>
      <c r="G108" s="6" t="n">
        <v>0</v>
      </c>
      <c r="H108" s="41" t="n">
        <v>16.43</v>
      </c>
      <c r="I108" s="43" t="n">
        <f aca="false">F108*H108</f>
        <v>65.3914</v>
      </c>
      <c r="J108" s="43" t="n">
        <f aca="false">G108*H108*1.5</f>
        <v>0</v>
      </c>
      <c r="K108" s="6" t="n">
        <v>9.14</v>
      </c>
      <c r="L108" s="43" t="n">
        <f aca="false">K108*'Chart of Accounts'!$E$68</f>
        <v>6.1238</v>
      </c>
      <c r="O108" s="42" t="n">
        <f aca="false">I108+J108+L108</f>
        <v>71.5152</v>
      </c>
    </row>
    <row r="109" customFormat="false" ht="15" hidden="false" customHeight="false" outlineLevel="0" collapsed="false">
      <c r="B109" s="7" t="s">
        <v>8742</v>
      </c>
      <c r="C109" s="39" t="n">
        <v>45664</v>
      </c>
      <c r="D109" s="7" t="s">
        <v>212</v>
      </c>
      <c r="E109" s="7" t="s">
        <v>180</v>
      </c>
      <c r="F109" s="6" t="n">
        <v>4.39</v>
      </c>
      <c r="G109" s="6" t="n">
        <v>0</v>
      </c>
      <c r="H109" s="41" t="n">
        <v>16.71</v>
      </c>
      <c r="I109" s="43" t="n">
        <f aca="false">F109*H109</f>
        <v>73.3569</v>
      </c>
      <c r="J109" s="43" t="n">
        <f aca="false">G109*H109*1.5</f>
        <v>0</v>
      </c>
      <c r="K109" s="6" t="n">
        <v>14.96</v>
      </c>
      <c r="L109" s="43" t="n">
        <f aca="false">K109*'Chart of Accounts'!$E$68</f>
        <v>10.0232</v>
      </c>
      <c r="O109" s="42" t="n">
        <f aca="false">I109+J109+L109</f>
        <v>83.3801</v>
      </c>
    </row>
    <row r="110" customFormat="false" ht="15" hidden="false" customHeight="false" outlineLevel="0" collapsed="false">
      <c r="B110" s="7" t="s">
        <v>8743</v>
      </c>
      <c r="C110" s="39" t="n">
        <v>45664</v>
      </c>
      <c r="D110" s="7" t="s">
        <v>246</v>
      </c>
      <c r="E110" s="7" t="s">
        <v>180</v>
      </c>
      <c r="F110" s="6" t="n">
        <v>4.28</v>
      </c>
      <c r="G110" s="6" t="n">
        <v>0</v>
      </c>
      <c r="H110" s="41" t="n">
        <v>16.48</v>
      </c>
      <c r="I110" s="43" t="n">
        <f aca="false">F110*H110</f>
        <v>70.5344</v>
      </c>
      <c r="J110" s="43" t="n">
        <f aca="false">G110*H110*1.5</f>
        <v>0</v>
      </c>
      <c r="K110" s="6" t="n">
        <v>12.76</v>
      </c>
      <c r="L110" s="43" t="n">
        <f aca="false">K110*'Chart of Accounts'!$E$68</f>
        <v>8.5492</v>
      </c>
      <c r="O110" s="42" t="n">
        <f aca="false">I110+J110+L110</f>
        <v>79.0836</v>
      </c>
    </row>
    <row r="111" customFormat="false" ht="15" hidden="false" customHeight="false" outlineLevel="0" collapsed="false">
      <c r="B111" s="7" t="s">
        <v>8744</v>
      </c>
      <c r="C111" s="39" t="n">
        <v>45664</v>
      </c>
      <c r="D111" s="7" t="s">
        <v>222</v>
      </c>
      <c r="E111" s="7" t="s">
        <v>180</v>
      </c>
      <c r="F111" s="6" t="n">
        <v>3.61</v>
      </c>
      <c r="G111" s="6" t="n">
        <v>0</v>
      </c>
      <c r="H111" s="41" t="n">
        <v>17.84</v>
      </c>
      <c r="I111" s="43" t="n">
        <f aca="false">F111*H111</f>
        <v>64.4024</v>
      </c>
      <c r="J111" s="43" t="n">
        <f aca="false">G111*H111*1.5</f>
        <v>0</v>
      </c>
      <c r="K111" s="6" t="n">
        <v>8.45</v>
      </c>
      <c r="L111" s="43" t="n">
        <f aca="false">K111*'Chart of Accounts'!$E$68</f>
        <v>5.6615</v>
      </c>
      <c r="O111" s="42" t="n">
        <f aca="false">I111+J111+L111</f>
        <v>70.0639</v>
      </c>
    </row>
    <row r="112" customFormat="false" ht="15" hidden="false" customHeight="false" outlineLevel="0" collapsed="false">
      <c r="B112" s="7" t="s">
        <v>8745</v>
      </c>
      <c r="C112" s="39" t="n">
        <v>45664</v>
      </c>
      <c r="D112" s="7" t="s">
        <v>242</v>
      </c>
      <c r="E112" s="7" t="s">
        <v>180</v>
      </c>
      <c r="F112" s="6" t="n">
        <v>4.38</v>
      </c>
      <c r="G112" s="6" t="n">
        <v>0</v>
      </c>
      <c r="H112" s="41" t="n">
        <v>17.99</v>
      </c>
      <c r="I112" s="43" t="n">
        <f aca="false">F112*H112</f>
        <v>78.7962</v>
      </c>
      <c r="J112" s="43" t="n">
        <f aca="false">G112*H112*1.5</f>
        <v>0</v>
      </c>
      <c r="K112" s="6" t="n">
        <v>12.07</v>
      </c>
      <c r="L112" s="43" t="n">
        <f aca="false">K112*'Chart of Accounts'!$E$68</f>
        <v>8.0869</v>
      </c>
      <c r="O112" s="42" t="n">
        <f aca="false">I112+J112+L112</f>
        <v>86.8831</v>
      </c>
    </row>
    <row r="113" customFormat="false" ht="15" hidden="false" customHeight="false" outlineLevel="0" collapsed="false">
      <c r="B113" s="7" t="s">
        <v>8746</v>
      </c>
      <c r="C113" s="39" t="n">
        <v>45664</v>
      </c>
      <c r="D113" s="7" t="s">
        <v>254</v>
      </c>
      <c r="E113" s="7" t="s">
        <v>180</v>
      </c>
      <c r="F113" s="6" t="n">
        <v>3.81</v>
      </c>
      <c r="G113" s="6" t="n">
        <v>0</v>
      </c>
      <c r="H113" s="41" t="n">
        <v>17.1</v>
      </c>
      <c r="I113" s="43" t="n">
        <f aca="false">F113*H113</f>
        <v>65.151</v>
      </c>
      <c r="J113" s="43" t="n">
        <f aca="false">G113*H113*1.5</f>
        <v>0</v>
      </c>
      <c r="K113" s="6" t="n">
        <v>11.29</v>
      </c>
      <c r="L113" s="43" t="n">
        <f aca="false">K113*'Chart of Accounts'!$E$68</f>
        <v>7.5643</v>
      </c>
      <c r="O113" s="42" t="n">
        <f aca="false">I113+J113+L113</f>
        <v>72.7153</v>
      </c>
    </row>
    <row r="114" customFormat="false" ht="15" hidden="false" customHeight="false" outlineLevel="0" collapsed="false">
      <c r="B114" s="7" t="s">
        <v>8747</v>
      </c>
      <c r="C114" s="39" t="n">
        <v>45664</v>
      </c>
      <c r="D114" s="7" t="s">
        <v>260</v>
      </c>
      <c r="E114" s="7" t="s">
        <v>158</v>
      </c>
      <c r="H114" s="41" t="n">
        <v>79.8</v>
      </c>
      <c r="M114" s="6" t="n">
        <v>1</v>
      </c>
      <c r="N114" s="43" t="n">
        <f aca="false">M114*H114</f>
        <v>79.8</v>
      </c>
      <c r="O114" s="42" t="n">
        <f aca="false">N114</f>
        <v>79.8</v>
      </c>
    </row>
    <row r="115" customFormat="false" ht="15" hidden="false" customHeight="false" outlineLevel="0" collapsed="false">
      <c r="B115" s="7" t="s">
        <v>8748</v>
      </c>
      <c r="C115" s="39" t="n">
        <v>45665</v>
      </c>
      <c r="D115" s="7" t="s">
        <v>187</v>
      </c>
      <c r="E115" s="7" t="s">
        <v>158</v>
      </c>
      <c r="H115" s="41" t="n">
        <v>66.48</v>
      </c>
      <c r="M115" s="6" t="n">
        <v>1</v>
      </c>
      <c r="N115" s="43" t="n">
        <f aca="false">M115*H115</f>
        <v>66.48</v>
      </c>
      <c r="O115" s="42" t="n">
        <f aca="false">N115</f>
        <v>66.48</v>
      </c>
    </row>
    <row r="116" customFormat="false" ht="15" hidden="false" customHeight="false" outlineLevel="0" collapsed="false">
      <c r="B116" s="7" t="s">
        <v>8749</v>
      </c>
      <c r="C116" s="39" t="n">
        <v>45665</v>
      </c>
      <c r="D116" s="7" t="s">
        <v>228</v>
      </c>
      <c r="E116" s="7" t="s">
        <v>158</v>
      </c>
      <c r="H116" s="41" t="n">
        <v>51.07</v>
      </c>
      <c r="M116" s="6" t="n">
        <v>1</v>
      </c>
      <c r="N116" s="43" t="n">
        <f aca="false">M116*H116</f>
        <v>51.07</v>
      </c>
      <c r="O116" s="42" t="n">
        <f aca="false">N116</f>
        <v>51.07</v>
      </c>
    </row>
    <row r="117" customFormat="false" ht="15" hidden="false" customHeight="false" outlineLevel="0" collapsed="false">
      <c r="B117" s="7" t="s">
        <v>8750</v>
      </c>
      <c r="C117" s="39" t="n">
        <v>45665</v>
      </c>
      <c r="D117" s="7" t="s">
        <v>191</v>
      </c>
      <c r="E117" s="7" t="s">
        <v>180</v>
      </c>
      <c r="F117" s="6" t="n">
        <v>4.09</v>
      </c>
      <c r="G117" s="6" t="n">
        <v>0</v>
      </c>
      <c r="H117" s="41" t="n">
        <v>16.05</v>
      </c>
      <c r="I117" s="43" t="n">
        <f aca="false">F117*H117</f>
        <v>65.6445</v>
      </c>
      <c r="J117" s="43" t="n">
        <f aca="false">G117*H117*1.5</f>
        <v>0</v>
      </c>
      <c r="K117" s="6" t="n">
        <v>12.32</v>
      </c>
      <c r="L117" s="43" t="n">
        <f aca="false">K117*'Chart of Accounts'!$E$68</f>
        <v>8.2544</v>
      </c>
      <c r="O117" s="42" t="n">
        <f aca="false">I117+J117+L117</f>
        <v>73.8989</v>
      </c>
    </row>
    <row r="118" customFormat="false" ht="15" hidden="false" customHeight="false" outlineLevel="0" collapsed="false">
      <c r="B118" s="7" t="s">
        <v>8751</v>
      </c>
      <c r="C118" s="39" t="n">
        <v>45665</v>
      </c>
      <c r="D118" s="7" t="s">
        <v>194</v>
      </c>
      <c r="E118" s="7" t="s">
        <v>180</v>
      </c>
      <c r="F118" s="6" t="n">
        <v>4.47</v>
      </c>
      <c r="G118" s="6" t="n">
        <v>0</v>
      </c>
      <c r="H118" s="41" t="n">
        <v>16</v>
      </c>
      <c r="I118" s="43" t="n">
        <f aca="false">F118*H118</f>
        <v>71.52</v>
      </c>
      <c r="J118" s="43" t="n">
        <f aca="false">G118*H118*1.5</f>
        <v>0</v>
      </c>
      <c r="K118" s="6" t="n">
        <v>12.74</v>
      </c>
      <c r="L118" s="43" t="n">
        <f aca="false">K118*'Chart of Accounts'!$E$68</f>
        <v>8.5358</v>
      </c>
      <c r="O118" s="42" t="n">
        <f aca="false">I118+J118+L118</f>
        <v>80.0558</v>
      </c>
    </row>
    <row r="119" customFormat="false" ht="15" hidden="false" customHeight="false" outlineLevel="0" collapsed="false">
      <c r="B119" s="7" t="s">
        <v>8752</v>
      </c>
      <c r="C119" s="39" t="n">
        <v>45665</v>
      </c>
      <c r="D119" s="7" t="s">
        <v>205</v>
      </c>
      <c r="E119" s="7" t="s">
        <v>180</v>
      </c>
      <c r="F119" s="6" t="n">
        <v>4.38</v>
      </c>
      <c r="G119" s="6" t="n">
        <v>0</v>
      </c>
      <c r="H119" s="41" t="n">
        <v>16.36</v>
      </c>
      <c r="I119" s="43" t="n">
        <f aca="false">F119*H119</f>
        <v>71.6568</v>
      </c>
      <c r="J119" s="43" t="n">
        <f aca="false">G119*H119*1.5</f>
        <v>0</v>
      </c>
      <c r="K119" s="6" t="n">
        <v>9.7</v>
      </c>
      <c r="L119" s="43" t="n">
        <f aca="false">K119*'Chart of Accounts'!$E$68</f>
        <v>6.499</v>
      </c>
      <c r="O119" s="42" t="n">
        <f aca="false">I119+J119+L119</f>
        <v>78.1558</v>
      </c>
    </row>
    <row r="120" customFormat="false" ht="15" hidden="false" customHeight="false" outlineLevel="0" collapsed="false">
      <c r="B120" s="7" t="s">
        <v>8753</v>
      </c>
      <c r="C120" s="39" t="n">
        <v>45665</v>
      </c>
      <c r="D120" s="7" t="s">
        <v>252</v>
      </c>
      <c r="E120" s="7" t="s">
        <v>158</v>
      </c>
      <c r="H120" s="41" t="n">
        <v>57.54</v>
      </c>
      <c r="M120" s="6" t="n">
        <v>1</v>
      </c>
      <c r="N120" s="43" t="n">
        <f aca="false">M120*H120</f>
        <v>57.54</v>
      </c>
      <c r="O120" s="42" t="n">
        <f aca="false">N120</f>
        <v>57.54</v>
      </c>
    </row>
    <row r="121" customFormat="false" ht="15" hidden="false" customHeight="false" outlineLevel="0" collapsed="false">
      <c r="B121" s="7" t="s">
        <v>8754</v>
      </c>
      <c r="C121" s="39" t="n">
        <v>45665</v>
      </c>
      <c r="D121" s="7" t="s">
        <v>184</v>
      </c>
      <c r="E121" s="7" t="s">
        <v>180</v>
      </c>
      <c r="F121" s="6" t="n">
        <v>3.62</v>
      </c>
      <c r="G121" s="6" t="n">
        <v>0</v>
      </c>
      <c r="H121" s="41" t="n">
        <v>17.34</v>
      </c>
      <c r="I121" s="43" t="n">
        <f aca="false">F121*H121</f>
        <v>62.7708</v>
      </c>
      <c r="J121" s="43" t="n">
        <f aca="false">G121*H121*1.5</f>
        <v>0</v>
      </c>
      <c r="K121" s="6" t="n">
        <v>9.37</v>
      </c>
      <c r="L121" s="43" t="n">
        <f aca="false">K121*'Chart of Accounts'!$E$68</f>
        <v>6.2779</v>
      </c>
      <c r="O121" s="42" t="n">
        <f aca="false">I121+J121+L121</f>
        <v>69.0487</v>
      </c>
    </row>
    <row r="122" customFormat="false" ht="15" hidden="false" customHeight="false" outlineLevel="0" collapsed="false">
      <c r="B122" s="7" t="s">
        <v>8755</v>
      </c>
      <c r="C122" s="39" t="n">
        <v>45665</v>
      </c>
      <c r="D122" s="7" t="s">
        <v>218</v>
      </c>
      <c r="E122" s="7" t="s">
        <v>180</v>
      </c>
      <c r="F122" s="6" t="n">
        <v>3.89</v>
      </c>
      <c r="G122" s="6" t="n">
        <v>0</v>
      </c>
      <c r="H122" s="41" t="n">
        <v>16.19</v>
      </c>
      <c r="I122" s="43" t="n">
        <f aca="false">F122*H122</f>
        <v>62.9791</v>
      </c>
      <c r="J122" s="43" t="n">
        <f aca="false">G122*H122*1.5</f>
        <v>0</v>
      </c>
      <c r="K122" s="6" t="n">
        <v>9.2</v>
      </c>
      <c r="L122" s="43" t="n">
        <f aca="false">K122*'Chart of Accounts'!$E$68</f>
        <v>6.164</v>
      </c>
      <c r="O122" s="42" t="n">
        <f aca="false">I122+J122+L122</f>
        <v>69.1431</v>
      </c>
    </row>
    <row r="123" customFormat="false" ht="15" hidden="false" customHeight="false" outlineLevel="0" collapsed="false">
      <c r="B123" s="7" t="s">
        <v>8756</v>
      </c>
      <c r="C123" s="39" t="n">
        <v>45665</v>
      </c>
      <c r="D123" s="7" t="s">
        <v>220</v>
      </c>
      <c r="E123" s="7" t="s">
        <v>180</v>
      </c>
      <c r="F123" s="6" t="n">
        <v>3.93</v>
      </c>
      <c r="G123" s="6" t="n">
        <v>0</v>
      </c>
      <c r="H123" s="41" t="n">
        <v>16.43</v>
      </c>
      <c r="I123" s="43" t="n">
        <f aca="false">F123*H123</f>
        <v>64.5699</v>
      </c>
      <c r="J123" s="43" t="n">
        <f aca="false">G123*H123*1.5</f>
        <v>0</v>
      </c>
      <c r="K123" s="6" t="n">
        <v>10.47</v>
      </c>
      <c r="L123" s="43" t="n">
        <f aca="false">K123*'Chart of Accounts'!$E$68</f>
        <v>7.0149</v>
      </c>
      <c r="O123" s="42" t="n">
        <f aca="false">I123+J123+L123</f>
        <v>71.5848</v>
      </c>
    </row>
    <row r="124" customFormat="false" ht="15" hidden="false" customHeight="false" outlineLevel="0" collapsed="false">
      <c r="B124" s="7" t="s">
        <v>8757</v>
      </c>
      <c r="C124" s="39" t="n">
        <v>45665</v>
      </c>
      <c r="D124" s="7" t="s">
        <v>177</v>
      </c>
      <c r="E124" s="7" t="s">
        <v>180</v>
      </c>
      <c r="F124" s="6" t="n">
        <v>8.17</v>
      </c>
      <c r="G124" s="6" t="n">
        <v>0</v>
      </c>
      <c r="H124" s="41" t="n">
        <v>14.56</v>
      </c>
      <c r="I124" s="43" t="n">
        <f aca="false">F124*H124</f>
        <v>118.9552</v>
      </c>
      <c r="J124" s="43" t="n">
        <f aca="false">G124*H124*1.5</f>
        <v>0</v>
      </c>
      <c r="K124" s="6" t="n">
        <v>20.79</v>
      </c>
      <c r="L124" s="43" t="n">
        <f aca="false">K124*'Chart of Accounts'!$E$68</f>
        <v>13.9293</v>
      </c>
      <c r="O124" s="42" t="n">
        <f aca="false">I124+J124+L124</f>
        <v>132.8845</v>
      </c>
    </row>
    <row r="125" customFormat="false" ht="15" hidden="false" customHeight="false" outlineLevel="0" collapsed="false">
      <c r="B125" s="7" t="s">
        <v>8758</v>
      </c>
      <c r="C125" s="39" t="n">
        <v>45665</v>
      </c>
      <c r="D125" s="7" t="s">
        <v>242</v>
      </c>
      <c r="E125" s="7" t="s">
        <v>180</v>
      </c>
      <c r="F125" s="6" t="n">
        <v>7.75</v>
      </c>
      <c r="G125" s="6" t="n">
        <v>0</v>
      </c>
      <c r="H125" s="41" t="n">
        <v>17.99</v>
      </c>
      <c r="I125" s="43" t="n">
        <f aca="false">F125*H125</f>
        <v>139.4225</v>
      </c>
      <c r="J125" s="43" t="n">
        <f aca="false">G125*H125*1.5</f>
        <v>0</v>
      </c>
      <c r="K125" s="6" t="n">
        <v>23.54</v>
      </c>
      <c r="L125" s="43" t="n">
        <f aca="false">K125*'Chart of Accounts'!$E$68</f>
        <v>15.7718</v>
      </c>
      <c r="O125" s="42" t="n">
        <f aca="false">I125+J125+L125</f>
        <v>155.1943</v>
      </c>
    </row>
    <row r="126" customFormat="false" ht="15" hidden="false" customHeight="false" outlineLevel="0" collapsed="false">
      <c r="B126" s="7" t="s">
        <v>8759</v>
      </c>
      <c r="C126" s="39" t="n">
        <v>45665</v>
      </c>
      <c r="D126" s="7" t="s">
        <v>254</v>
      </c>
      <c r="E126" s="7" t="s">
        <v>180</v>
      </c>
      <c r="F126" s="6" t="n">
        <v>7.47</v>
      </c>
      <c r="G126" s="6" t="n">
        <v>0</v>
      </c>
      <c r="H126" s="41" t="n">
        <v>17.1</v>
      </c>
      <c r="I126" s="43" t="n">
        <f aca="false">F126*H126</f>
        <v>127.737</v>
      </c>
      <c r="J126" s="43" t="n">
        <f aca="false">G126*H126*1.5</f>
        <v>0</v>
      </c>
      <c r="K126" s="6" t="n">
        <v>23.1</v>
      </c>
      <c r="L126" s="43" t="n">
        <f aca="false">K126*'Chart of Accounts'!$E$68</f>
        <v>15.477</v>
      </c>
      <c r="O126" s="42" t="n">
        <f aca="false">I126+J126+L126</f>
        <v>143.214</v>
      </c>
    </row>
    <row r="127" customFormat="false" ht="15" hidden="false" customHeight="false" outlineLevel="0" collapsed="false">
      <c r="B127" s="7" t="s">
        <v>8760</v>
      </c>
      <c r="C127" s="39" t="n">
        <v>45665</v>
      </c>
      <c r="D127" s="7" t="s">
        <v>201</v>
      </c>
      <c r="E127" s="7" t="s">
        <v>180</v>
      </c>
      <c r="F127" s="6" t="n">
        <v>3.44</v>
      </c>
      <c r="G127" s="6" t="n">
        <v>0</v>
      </c>
      <c r="H127" s="41" t="n">
        <v>15.19</v>
      </c>
      <c r="I127" s="43" t="n">
        <f aca="false">F127*H127</f>
        <v>52.2536</v>
      </c>
      <c r="J127" s="43" t="n">
        <f aca="false">G127*H127*1.5</f>
        <v>0</v>
      </c>
      <c r="K127" s="6" t="n">
        <v>9.48</v>
      </c>
      <c r="L127" s="43" t="n">
        <f aca="false">K127*'Chart of Accounts'!$E$68</f>
        <v>6.3516</v>
      </c>
      <c r="O127" s="42" t="n">
        <f aca="false">I127+J127+L127</f>
        <v>58.6052</v>
      </c>
    </row>
    <row r="128" customFormat="false" ht="15" hidden="false" customHeight="false" outlineLevel="0" collapsed="false">
      <c r="B128" s="7" t="s">
        <v>8761</v>
      </c>
      <c r="C128" s="39" t="n">
        <v>45665</v>
      </c>
      <c r="D128" s="7" t="s">
        <v>207</v>
      </c>
      <c r="E128" s="7" t="s">
        <v>180</v>
      </c>
      <c r="F128" s="6" t="n">
        <v>3.19</v>
      </c>
      <c r="G128" s="6" t="n">
        <v>0</v>
      </c>
      <c r="H128" s="41" t="n">
        <v>16.65</v>
      </c>
      <c r="I128" s="43" t="n">
        <f aca="false">F128*H128</f>
        <v>53.1135</v>
      </c>
      <c r="J128" s="43" t="n">
        <f aca="false">G128*H128*1.5</f>
        <v>0</v>
      </c>
      <c r="K128" s="6" t="n">
        <v>7.64</v>
      </c>
      <c r="L128" s="43" t="n">
        <f aca="false">K128*'Chart of Accounts'!$E$68</f>
        <v>5.1188</v>
      </c>
      <c r="O128" s="42" t="n">
        <f aca="false">I128+J128+L128</f>
        <v>58.2323</v>
      </c>
    </row>
    <row r="129" customFormat="false" ht="15" hidden="false" customHeight="false" outlineLevel="0" collapsed="false">
      <c r="B129" s="7" t="s">
        <v>8762</v>
      </c>
      <c r="C129" s="39" t="n">
        <v>45665</v>
      </c>
      <c r="D129" s="7" t="s">
        <v>212</v>
      </c>
      <c r="E129" s="7" t="s">
        <v>180</v>
      </c>
      <c r="F129" s="6" t="n">
        <v>4.36</v>
      </c>
      <c r="G129" s="6" t="n">
        <v>0</v>
      </c>
      <c r="H129" s="41" t="n">
        <v>16.71</v>
      </c>
      <c r="I129" s="43" t="n">
        <f aca="false">F129*H129</f>
        <v>72.8556</v>
      </c>
      <c r="J129" s="43" t="n">
        <f aca="false">G129*H129*1.5</f>
        <v>0</v>
      </c>
      <c r="K129" s="6" t="n">
        <v>14.93</v>
      </c>
      <c r="L129" s="43" t="n">
        <f aca="false">K129*'Chart of Accounts'!$E$68</f>
        <v>10.0031</v>
      </c>
      <c r="O129" s="42" t="n">
        <f aca="false">I129+J129+L129</f>
        <v>82.8587</v>
      </c>
    </row>
    <row r="130" customFormat="false" ht="15" hidden="false" customHeight="false" outlineLevel="0" collapsed="false">
      <c r="B130" s="7" t="s">
        <v>8763</v>
      </c>
      <c r="C130" s="39" t="n">
        <v>45665</v>
      </c>
      <c r="D130" s="7" t="s">
        <v>232</v>
      </c>
      <c r="E130" s="7" t="s">
        <v>180</v>
      </c>
      <c r="F130" s="6" t="n">
        <v>5.1</v>
      </c>
      <c r="G130" s="6" t="n">
        <v>0</v>
      </c>
      <c r="H130" s="41" t="n">
        <v>16.17</v>
      </c>
      <c r="I130" s="43" t="n">
        <f aca="false">F130*H130</f>
        <v>82.467</v>
      </c>
      <c r="J130" s="43" t="n">
        <f aca="false">G130*H130*1.5</f>
        <v>0</v>
      </c>
      <c r="K130" s="6" t="n">
        <v>18.02</v>
      </c>
      <c r="L130" s="43" t="n">
        <f aca="false">K130*'Chart of Accounts'!$E$68</f>
        <v>12.0734</v>
      </c>
      <c r="O130" s="42" t="n">
        <f aca="false">I130+J130+L130</f>
        <v>94.5404</v>
      </c>
    </row>
    <row r="131" customFormat="false" ht="15" hidden="false" customHeight="false" outlineLevel="0" collapsed="false">
      <c r="B131" s="7" t="s">
        <v>8764</v>
      </c>
      <c r="C131" s="39" t="n">
        <v>45665</v>
      </c>
      <c r="D131" s="7" t="s">
        <v>224</v>
      </c>
      <c r="E131" s="7" t="s">
        <v>180</v>
      </c>
      <c r="F131" s="6" t="n">
        <v>4.48</v>
      </c>
      <c r="G131" s="6" t="n">
        <v>0</v>
      </c>
      <c r="H131" s="41" t="n">
        <v>14.93</v>
      </c>
      <c r="I131" s="43" t="n">
        <f aca="false">F131*H131</f>
        <v>66.8864</v>
      </c>
      <c r="J131" s="43" t="n">
        <f aca="false">G131*H131*1.5</f>
        <v>0</v>
      </c>
      <c r="K131" s="6" t="n">
        <v>12.37</v>
      </c>
      <c r="L131" s="43" t="n">
        <f aca="false">K131*'Chart of Accounts'!$E$68</f>
        <v>8.2879</v>
      </c>
      <c r="O131" s="42" t="n">
        <f aca="false">I131+J131+L131</f>
        <v>75.1743</v>
      </c>
    </row>
    <row r="132" customFormat="false" ht="15" hidden="false" customHeight="false" outlineLevel="0" collapsed="false">
      <c r="B132" s="7" t="s">
        <v>8765</v>
      </c>
      <c r="C132" s="39" t="n">
        <v>45665</v>
      </c>
      <c r="D132" s="7" t="s">
        <v>246</v>
      </c>
      <c r="E132" s="7" t="s">
        <v>180</v>
      </c>
      <c r="F132" s="6" t="n">
        <v>3.69</v>
      </c>
      <c r="G132" s="6" t="n">
        <v>0</v>
      </c>
      <c r="H132" s="41" t="n">
        <v>16.48</v>
      </c>
      <c r="I132" s="43" t="n">
        <f aca="false">F132*H132</f>
        <v>60.8112</v>
      </c>
      <c r="J132" s="43" t="n">
        <f aca="false">G132*H132*1.5</f>
        <v>0</v>
      </c>
      <c r="K132" s="6" t="n">
        <v>8.14</v>
      </c>
      <c r="L132" s="43" t="n">
        <f aca="false">K132*'Chart of Accounts'!$E$68</f>
        <v>5.4538</v>
      </c>
      <c r="O132" s="42" t="n">
        <f aca="false">I132+J132+L132</f>
        <v>66.265</v>
      </c>
    </row>
    <row r="133" customFormat="false" ht="15" hidden="false" customHeight="false" outlineLevel="0" collapsed="false">
      <c r="B133" s="7" t="s">
        <v>8766</v>
      </c>
      <c r="C133" s="39" t="n">
        <v>45665</v>
      </c>
      <c r="D133" s="7" t="s">
        <v>222</v>
      </c>
      <c r="E133" s="7" t="s">
        <v>180</v>
      </c>
      <c r="F133" s="6" t="n">
        <v>3.84</v>
      </c>
      <c r="G133" s="6" t="n">
        <v>0</v>
      </c>
      <c r="H133" s="41" t="n">
        <v>17.84</v>
      </c>
      <c r="I133" s="43" t="n">
        <f aca="false">F133*H133</f>
        <v>68.5056</v>
      </c>
      <c r="J133" s="43" t="n">
        <f aca="false">G133*H133*1.5</f>
        <v>0</v>
      </c>
      <c r="K133" s="6" t="n">
        <v>9.38</v>
      </c>
      <c r="L133" s="43" t="n">
        <f aca="false">K133*'Chart of Accounts'!$E$68</f>
        <v>6.2846</v>
      </c>
      <c r="O133" s="42" t="n">
        <f aca="false">I133+J133+L133</f>
        <v>74.7902</v>
      </c>
    </row>
    <row r="134" customFormat="false" ht="15" hidden="false" customHeight="false" outlineLevel="0" collapsed="false">
      <c r="B134" s="7" t="s">
        <v>8767</v>
      </c>
      <c r="C134" s="39" t="n">
        <v>45665</v>
      </c>
      <c r="D134" s="7" t="s">
        <v>203</v>
      </c>
      <c r="E134" s="7" t="s">
        <v>158</v>
      </c>
      <c r="H134" s="41" t="n">
        <v>49.43</v>
      </c>
      <c r="M134" s="6" t="n">
        <v>1</v>
      </c>
      <c r="N134" s="43" t="n">
        <f aca="false">M134*H134</f>
        <v>49.43</v>
      </c>
      <c r="O134" s="42" t="n">
        <f aca="false">N134</f>
        <v>49.43</v>
      </c>
    </row>
    <row r="135" customFormat="false" ht="15" hidden="false" customHeight="false" outlineLevel="0" collapsed="false">
      <c r="B135" s="7" t="s">
        <v>8768</v>
      </c>
      <c r="C135" s="39" t="n">
        <v>45665</v>
      </c>
      <c r="D135" s="7" t="s">
        <v>262</v>
      </c>
      <c r="E135" s="7" t="s">
        <v>180</v>
      </c>
      <c r="F135" s="6" t="n">
        <v>3.61</v>
      </c>
      <c r="G135" s="6" t="n">
        <v>0</v>
      </c>
      <c r="H135" s="41" t="n">
        <v>16.02</v>
      </c>
      <c r="I135" s="43" t="n">
        <f aca="false">F135*H135</f>
        <v>57.8322</v>
      </c>
      <c r="J135" s="43" t="n">
        <f aca="false">G135*H135*1.5</f>
        <v>0</v>
      </c>
      <c r="K135" s="6" t="n">
        <v>10.08</v>
      </c>
      <c r="L135" s="43" t="n">
        <f aca="false">K135*'Chart of Accounts'!$E$68</f>
        <v>6.7536</v>
      </c>
      <c r="O135" s="42" t="n">
        <f aca="false">I135+J135+L135</f>
        <v>64.5858</v>
      </c>
    </row>
    <row r="136" customFormat="false" ht="15" hidden="false" customHeight="false" outlineLevel="0" collapsed="false">
      <c r="B136" s="7" t="s">
        <v>8769</v>
      </c>
      <c r="C136" s="39" t="n">
        <v>45665</v>
      </c>
      <c r="D136" s="7" t="s">
        <v>214</v>
      </c>
      <c r="E136" s="7" t="s">
        <v>180</v>
      </c>
      <c r="F136" s="6" t="n">
        <v>3.53</v>
      </c>
      <c r="G136" s="6" t="n">
        <v>0</v>
      </c>
      <c r="H136" s="41" t="n">
        <v>15.67</v>
      </c>
      <c r="I136" s="43" t="n">
        <f aca="false">F136*H136</f>
        <v>55.3151</v>
      </c>
      <c r="J136" s="43" t="n">
        <f aca="false">G136*H136*1.5</f>
        <v>0</v>
      </c>
      <c r="K136" s="6" t="n">
        <v>11.4</v>
      </c>
      <c r="L136" s="43" t="n">
        <f aca="false">K136*'Chart of Accounts'!$E$68</f>
        <v>7.638</v>
      </c>
      <c r="O136" s="42" t="n">
        <f aca="false">I136+J136+L136</f>
        <v>62.9531</v>
      </c>
    </row>
    <row r="137" customFormat="false" ht="15" hidden="false" customHeight="false" outlineLevel="0" collapsed="false">
      <c r="B137" s="7" t="s">
        <v>8770</v>
      </c>
      <c r="C137" s="39" t="n">
        <v>45666</v>
      </c>
      <c r="D137" s="7" t="s">
        <v>191</v>
      </c>
      <c r="E137" s="7" t="s">
        <v>180</v>
      </c>
      <c r="F137" s="6" t="n">
        <v>4.14</v>
      </c>
      <c r="G137" s="6" t="n">
        <v>0</v>
      </c>
      <c r="H137" s="41" t="n">
        <v>16.05</v>
      </c>
      <c r="I137" s="43" t="n">
        <f aca="false">F137*H137</f>
        <v>66.447</v>
      </c>
      <c r="J137" s="43" t="n">
        <f aca="false">G137*H137*1.5</f>
        <v>0</v>
      </c>
      <c r="K137" s="6" t="n">
        <v>13.49</v>
      </c>
      <c r="L137" s="43" t="n">
        <f aca="false">K137*'Chart of Accounts'!$E$68</f>
        <v>9.0383</v>
      </c>
      <c r="O137" s="42" t="n">
        <f aca="false">I137+J137+L137</f>
        <v>75.4853</v>
      </c>
    </row>
    <row r="138" customFormat="false" ht="15" hidden="false" customHeight="false" outlineLevel="0" collapsed="false">
      <c r="B138" s="7" t="s">
        <v>8771</v>
      </c>
      <c r="C138" s="39" t="n">
        <v>45666</v>
      </c>
      <c r="D138" s="7" t="s">
        <v>201</v>
      </c>
      <c r="E138" s="7" t="s">
        <v>180</v>
      </c>
      <c r="F138" s="6" t="n">
        <v>3.08</v>
      </c>
      <c r="G138" s="6" t="n">
        <v>0</v>
      </c>
      <c r="H138" s="41" t="n">
        <v>15.19</v>
      </c>
      <c r="I138" s="43" t="n">
        <f aca="false">F138*H138</f>
        <v>46.7852</v>
      </c>
      <c r="J138" s="43" t="n">
        <f aca="false">G138*H138*1.5</f>
        <v>0</v>
      </c>
      <c r="K138" s="6" t="n">
        <v>9.15</v>
      </c>
      <c r="L138" s="43" t="n">
        <f aca="false">K138*'Chart of Accounts'!$E$68</f>
        <v>6.1305</v>
      </c>
      <c r="O138" s="42" t="n">
        <f aca="false">I138+J138+L138</f>
        <v>52.9157</v>
      </c>
    </row>
    <row r="139" customFormat="false" ht="15" hidden="false" customHeight="false" outlineLevel="0" collapsed="false">
      <c r="B139" s="7" t="s">
        <v>8772</v>
      </c>
      <c r="C139" s="39" t="n">
        <v>45666</v>
      </c>
      <c r="D139" s="7" t="s">
        <v>196</v>
      </c>
      <c r="E139" s="7" t="s">
        <v>180</v>
      </c>
      <c r="F139" s="6" t="n">
        <v>5.8</v>
      </c>
      <c r="G139" s="6" t="n">
        <v>0</v>
      </c>
      <c r="H139" s="41" t="n">
        <v>15.05</v>
      </c>
      <c r="I139" s="43" t="n">
        <f aca="false">F139*H139</f>
        <v>87.29</v>
      </c>
      <c r="J139" s="43" t="n">
        <f aca="false">G139*H139*1.5</f>
        <v>0</v>
      </c>
      <c r="K139" s="6" t="n">
        <v>16.9</v>
      </c>
      <c r="L139" s="43" t="n">
        <f aca="false">K139*'Chart of Accounts'!$E$68</f>
        <v>11.323</v>
      </c>
      <c r="O139" s="42" t="n">
        <f aca="false">I139+J139+L139</f>
        <v>98.613</v>
      </c>
    </row>
    <row r="140" customFormat="false" ht="15" hidden="false" customHeight="false" outlineLevel="0" collapsed="false">
      <c r="B140" s="7" t="s">
        <v>8773</v>
      </c>
      <c r="C140" s="39" t="n">
        <v>45666</v>
      </c>
      <c r="D140" s="7" t="s">
        <v>184</v>
      </c>
      <c r="E140" s="7" t="s">
        <v>180</v>
      </c>
      <c r="F140" s="6" t="n">
        <v>4.33</v>
      </c>
      <c r="G140" s="6" t="n">
        <v>0</v>
      </c>
      <c r="H140" s="41" t="n">
        <v>17.34</v>
      </c>
      <c r="I140" s="43" t="n">
        <f aca="false">F140*H140</f>
        <v>75.0822</v>
      </c>
      <c r="J140" s="43" t="n">
        <f aca="false">G140*H140*1.5</f>
        <v>0</v>
      </c>
      <c r="K140" s="6" t="n">
        <v>11.75</v>
      </c>
      <c r="L140" s="43" t="n">
        <f aca="false">K140*'Chart of Accounts'!$E$68</f>
        <v>7.8725</v>
      </c>
      <c r="O140" s="42" t="n">
        <f aca="false">I140+J140+L140</f>
        <v>82.9547</v>
      </c>
    </row>
    <row r="141" customFormat="false" ht="15" hidden="false" customHeight="false" outlineLevel="0" collapsed="false">
      <c r="B141" s="7" t="s">
        <v>8774</v>
      </c>
      <c r="C141" s="39" t="n">
        <v>45666</v>
      </c>
      <c r="D141" s="7" t="s">
        <v>207</v>
      </c>
      <c r="E141" s="7" t="s">
        <v>180</v>
      </c>
      <c r="F141" s="6" t="n">
        <v>2.82</v>
      </c>
      <c r="G141" s="6" t="n">
        <v>0</v>
      </c>
      <c r="H141" s="41" t="n">
        <v>16.65</v>
      </c>
      <c r="I141" s="43" t="n">
        <f aca="false">F141*H141</f>
        <v>46.953</v>
      </c>
      <c r="J141" s="43" t="n">
        <f aca="false">G141*H141*1.5</f>
        <v>0</v>
      </c>
      <c r="K141" s="6" t="n">
        <v>7.3</v>
      </c>
      <c r="L141" s="43" t="n">
        <f aca="false">K141*'Chart of Accounts'!$E$68</f>
        <v>4.891</v>
      </c>
      <c r="O141" s="42" t="n">
        <f aca="false">I141+J141+L141</f>
        <v>51.844</v>
      </c>
    </row>
    <row r="142" customFormat="false" ht="15" hidden="false" customHeight="false" outlineLevel="0" collapsed="false">
      <c r="B142" s="7" t="s">
        <v>8775</v>
      </c>
      <c r="C142" s="39" t="n">
        <v>45666</v>
      </c>
      <c r="D142" s="7" t="s">
        <v>218</v>
      </c>
      <c r="E142" s="7" t="s">
        <v>180</v>
      </c>
      <c r="F142" s="6" t="n">
        <v>3.89</v>
      </c>
      <c r="G142" s="6" t="n">
        <v>0</v>
      </c>
      <c r="H142" s="41" t="n">
        <v>16.19</v>
      </c>
      <c r="I142" s="43" t="n">
        <f aca="false">F142*H142</f>
        <v>62.9791</v>
      </c>
      <c r="J142" s="43" t="n">
        <f aca="false">G142*H142*1.5</f>
        <v>0</v>
      </c>
      <c r="K142" s="6" t="n">
        <v>8.61</v>
      </c>
      <c r="L142" s="43" t="n">
        <f aca="false">K142*'Chart of Accounts'!$E$68</f>
        <v>5.7687</v>
      </c>
      <c r="O142" s="42" t="n">
        <f aca="false">I142+J142+L142</f>
        <v>68.7478</v>
      </c>
    </row>
    <row r="143" customFormat="false" ht="15" hidden="false" customHeight="false" outlineLevel="0" collapsed="false">
      <c r="B143" s="7" t="s">
        <v>8776</v>
      </c>
      <c r="C143" s="39" t="n">
        <v>45666</v>
      </c>
      <c r="D143" s="7" t="s">
        <v>212</v>
      </c>
      <c r="E143" s="7" t="s">
        <v>180</v>
      </c>
      <c r="F143" s="6" t="n">
        <v>6.61</v>
      </c>
      <c r="G143" s="6" t="n">
        <v>0</v>
      </c>
      <c r="H143" s="41" t="n">
        <v>16.71</v>
      </c>
      <c r="I143" s="43" t="n">
        <f aca="false">F143*H143</f>
        <v>110.4531</v>
      </c>
      <c r="J143" s="43" t="n">
        <f aca="false">G143*H143*1.5</f>
        <v>0</v>
      </c>
      <c r="K143" s="6" t="n">
        <v>22.55</v>
      </c>
      <c r="L143" s="43" t="n">
        <f aca="false">K143*'Chart of Accounts'!$E$68</f>
        <v>15.1085</v>
      </c>
      <c r="O143" s="42" t="n">
        <f aca="false">I143+J143+L143</f>
        <v>125.5616</v>
      </c>
    </row>
    <row r="144" customFormat="false" ht="15" hidden="false" customHeight="false" outlineLevel="0" collapsed="false">
      <c r="B144" s="7" t="s">
        <v>8777</v>
      </c>
      <c r="C144" s="39" t="n">
        <v>45666</v>
      </c>
      <c r="D144" s="7" t="s">
        <v>220</v>
      </c>
      <c r="E144" s="7" t="s">
        <v>180</v>
      </c>
      <c r="F144" s="6" t="n">
        <v>4.37</v>
      </c>
      <c r="G144" s="6" t="n">
        <v>0</v>
      </c>
      <c r="H144" s="41" t="n">
        <v>16.43</v>
      </c>
      <c r="I144" s="43" t="n">
        <f aca="false">F144*H144</f>
        <v>71.7991</v>
      </c>
      <c r="J144" s="43" t="n">
        <f aca="false">G144*H144*1.5</f>
        <v>0</v>
      </c>
      <c r="K144" s="6" t="n">
        <v>15.29</v>
      </c>
      <c r="L144" s="43" t="n">
        <f aca="false">K144*'Chart of Accounts'!$E$68</f>
        <v>10.2443</v>
      </c>
      <c r="O144" s="42" t="n">
        <f aca="false">I144+J144+L144</f>
        <v>82.0434</v>
      </c>
    </row>
    <row r="145" customFormat="false" ht="15" hidden="false" customHeight="false" outlineLevel="0" collapsed="false">
      <c r="B145" s="7" t="s">
        <v>8778</v>
      </c>
      <c r="C145" s="39" t="n">
        <v>45666</v>
      </c>
      <c r="D145" s="7" t="s">
        <v>224</v>
      </c>
      <c r="E145" s="7" t="s">
        <v>180</v>
      </c>
      <c r="F145" s="6" t="n">
        <v>4.24</v>
      </c>
      <c r="G145" s="6" t="n">
        <v>0</v>
      </c>
      <c r="H145" s="41" t="n">
        <v>14.93</v>
      </c>
      <c r="I145" s="43" t="n">
        <f aca="false">F145*H145</f>
        <v>63.3032</v>
      </c>
      <c r="J145" s="43" t="n">
        <f aca="false">G145*H145*1.5</f>
        <v>0</v>
      </c>
      <c r="K145" s="6" t="n">
        <v>10.7</v>
      </c>
      <c r="L145" s="43" t="n">
        <f aca="false">K145*'Chart of Accounts'!$E$68</f>
        <v>7.169</v>
      </c>
      <c r="O145" s="42" t="n">
        <f aca="false">I145+J145+L145</f>
        <v>70.4722</v>
      </c>
    </row>
    <row r="146" customFormat="false" ht="15" hidden="false" customHeight="false" outlineLevel="0" collapsed="false">
      <c r="B146" s="7" t="s">
        <v>8779</v>
      </c>
      <c r="C146" s="39" t="n">
        <v>45666</v>
      </c>
      <c r="D146" s="7" t="s">
        <v>232</v>
      </c>
      <c r="E146" s="7" t="s">
        <v>180</v>
      </c>
      <c r="F146" s="6" t="n">
        <v>3.15</v>
      </c>
      <c r="G146" s="6" t="n">
        <v>0</v>
      </c>
      <c r="H146" s="41" t="n">
        <v>16.17</v>
      </c>
      <c r="I146" s="43" t="n">
        <f aca="false">F146*H146</f>
        <v>50.9355</v>
      </c>
      <c r="J146" s="43" t="n">
        <f aca="false">G146*H146*1.5</f>
        <v>0</v>
      </c>
      <c r="K146" s="6" t="n">
        <v>10.34</v>
      </c>
      <c r="L146" s="43" t="n">
        <f aca="false">K146*'Chart of Accounts'!$E$68</f>
        <v>6.9278</v>
      </c>
      <c r="O146" s="42" t="n">
        <f aca="false">I146+J146+L146</f>
        <v>57.8633</v>
      </c>
    </row>
    <row r="147" customFormat="false" ht="15" hidden="false" customHeight="false" outlineLevel="0" collapsed="false">
      <c r="B147" s="7" t="s">
        <v>8780</v>
      </c>
      <c r="C147" s="39" t="n">
        <v>45666</v>
      </c>
      <c r="D147" s="7" t="s">
        <v>222</v>
      </c>
      <c r="E147" s="7" t="s">
        <v>180</v>
      </c>
      <c r="F147" s="6" t="n">
        <v>7.21</v>
      </c>
      <c r="G147" s="6" t="n">
        <v>0</v>
      </c>
      <c r="H147" s="41" t="n">
        <v>17.84</v>
      </c>
      <c r="I147" s="43" t="n">
        <f aca="false">F147*H147</f>
        <v>128.6264</v>
      </c>
      <c r="J147" s="43" t="n">
        <f aca="false">G147*H147*1.5</f>
        <v>0</v>
      </c>
      <c r="K147" s="6" t="n">
        <v>19.58</v>
      </c>
      <c r="L147" s="43" t="n">
        <f aca="false">K147*'Chart of Accounts'!$E$68</f>
        <v>13.1186</v>
      </c>
      <c r="O147" s="42" t="n">
        <f aca="false">I147+J147+L147</f>
        <v>141.745</v>
      </c>
    </row>
    <row r="148" customFormat="false" ht="15" hidden="false" customHeight="false" outlineLevel="0" collapsed="false">
      <c r="B148" s="7" t="s">
        <v>8781</v>
      </c>
      <c r="C148" s="39" t="n">
        <v>45666</v>
      </c>
      <c r="D148" s="7" t="s">
        <v>262</v>
      </c>
      <c r="E148" s="7" t="s">
        <v>180</v>
      </c>
      <c r="F148" s="6" t="n">
        <v>4.05</v>
      </c>
      <c r="G148" s="6" t="n">
        <v>0</v>
      </c>
      <c r="H148" s="41" t="n">
        <v>16.02</v>
      </c>
      <c r="I148" s="43" t="n">
        <f aca="false">F148*H148</f>
        <v>64.881</v>
      </c>
      <c r="J148" s="43" t="n">
        <f aca="false">G148*H148*1.5</f>
        <v>0</v>
      </c>
      <c r="K148" s="6" t="n">
        <v>10.22</v>
      </c>
      <c r="L148" s="43" t="n">
        <f aca="false">K148*'Chart of Accounts'!$E$68</f>
        <v>6.8474</v>
      </c>
      <c r="O148" s="42" t="n">
        <f aca="false">I148+J148+L148</f>
        <v>71.7284</v>
      </c>
    </row>
    <row r="149" customFormat="false" ht="15" hidden="false" customHeight="false" outlineLevel="0" collapsed="false">
      <c r="B149" s="7" t="s">
        <v>8782</v>
      </c>
      <c r="C149" s="39" t="n">
        <v>45666</v>
      </c>
      <c r="D149" s="7" t="s">
        <v>246</v>
      </c>
      <c r="E149" s="7" t="s">
        <v>180</v>
      </c>
      <c r="F149" s="6" t="n">
        <v>8.06</v>
      </c>
      <c r="G149" s="6" t="n">
        <v>0</v>
      </c>
      <c r="H149" s="41" t="n">
        <v>16.48</v>
      </c>
      <c r="I149" s="43" t="n">
        <f aca="false">F149*H149</f>
        <v>132.8288</v>
      </c>
      <c r="J149" s="43" t="n">
        <f aca="false">G149*H149*1.5</f>
        <v>0</v>
      </c>
      <c r="K149" s="6" t="n">
        <v>23.41</v>
      </c>
      <c r="L149" s="43" t="n">
        <f aca="false">K149*'Chart of Accounts'!$E$68</f>
        <v>15.6847</v>
      </c>
      <c r="O149" s="42" t="n">
        <f aca="false">I149+J149+L149</f>
        <v>148.5135</v>
      </c>
    </row>
    <row r="150" customFormat="false" ht="15" hidden="false" customHeight="false" outlineLevel="0" collapsed="false">
      <c r="B150" s="7" t="s">
        <v>8783</v>
      </c>
      <c r="C150" s="39" t="n">
        <v>45666</v>
      </c>
      <c r="D150" s="7" t="s">
        <v>214</v>
      </c>
      <c r="E150" s="7" t="s">
        <v>180</v>
      </c>
      <c r="F150" s="6" t="n">
        <v>3.98</v>
      </c>
      <c r="G150" s="6" t="n">
        <v>0</v>
      </c>
      <c r="H150" s="41" t="n">
        <v>15.67</v>
      </c>
      <c r="I150" s="43" t="n">
        <f aca="false">F150*H150</f>
        <v>62.3666</v>
      </c>
      <c r="J150" s="43" t="n">
        <f aca="false">G150*H150*1.5</f>
        <v>0</v>
      </c>
      <c r="K150" s="6" t="n">
        <v>10.42</v>
      </c>
      <c r="L150" s="43" t="n">
        <f aca="false">K150*'Chart of Accounts'!$E$68</f>
        <v>6.9814</v>
      </c>
      <c r="O150" s="42" t="n">
        <f aca="false">I150+J150+L150</f>
        <v>69.348</v>
      </c>
    </row>
    <row r="151" customFormat="false" ht="15" hidden="false" customHeight="false" outlineLevel="0" collapsed="false">
      <c r="B151" s="7" t="s">
        <v>8784</v>
      </c>
      <c r="C151" s="39" t="n">
        <v>45666</v>
      </c>
      <c r="D151" s="7" t="s">
        <v>242</v>
      </c>
      <c r="E151" s="7" t="s">
        <v>180</v>
      </c>
      <c r="F151" s="6" t="n">
        <v>4.12</v>
      </c>
      <c r="G151" s="6" t="n">
        <v>0</v>
      </c>
      <c r="H151" s="41" t="n">
        <v>17.99</v>
      </c>
      <c r="I151" s="43" t="n">
        <f aca="false">F151*H151</f>
        <v>74.1188</v>
      </c>
      <c r="J151" s="43" t="n">
        <f aca="false">G151*H151*1.5</f>
        <v>0</v>
      </c>
      <c r="K151" s="6" t="n">
        <v>13</v>
      </c>
      <c r="L151" s="43" t="n">
        <f aca="false">K151*'Chart of Accounts'!$E$68</f>
        <v>8.71</v>
      </c>
      <c r="O151" s="42" t="n">
        <f aca="false">I151+J151+L151</f>
        <v>82.8288</v>
      </c>
    </row>
    <row r="152" customFormat="false" ht="15" hidden="false" customHeight="false" outlineLevel="0" collapsed="false">
      <c r="B152" s="7" t="s">
        <v>8785</v>
      </c>
      <c r="C152" s="39" t="n">
        <v>45666</v>
      </c>
      <c r="D152" s="7" t="s">
        <v>254</v>
      </c>
      <c r="E152" s="7" t="s">
        <v>180</v>
      </c>
      <c r="F152" s="6" t="n">
        <v>3.63</v>
      </c>
      <c r="G152" s="6" t="n">
        <v>0</v>
      </c>
      <c r="H152" s="41" t="n">
        <v>17.1</v>
      </c>
      <c r="I152" s="43" t="n">
        <f aca="false">F152*H152</f>
        <v>62.073</v>
      </c>
      <c r="J152" s="43" t="n">
        <f aca="false">G152*H152*1.5</f>
        <v>0</v>
      </c>
      <c r="K152" s="6" t="n">
        <v>11.14</v>
      </c>
      <c r="L152" s="43" t="n">
        <f aca="false">K152*'Chart of Accounts'!$E$68</f>
        <v>7.4638</v>
      </c>
      <c r="O152" s="42" t="n">
        <f aca="false">I152+J152+L152</f>
        <v>69.5368</v>
      </c>
    </row>
    <row r="153" customFormat="false" ht="15" hidden="false" customHeight="false" outlineLevel="0" collapsed="false">
      <c r="B153" s="7" t="s">
        <v>8786</v>
      </c>
      <c r="C153" s="39" t="n">
        <v>45667</v>
      </c>
      <c r="D153" s="7" t="s">
        <v>187</v>
      </c>
      <c r="E153" s="7" t="s">
        <v>158</v>
      </c>
      <c r="H153" s="41" t="n">
        <v>66.48</v>
      </c>
      <c r="M153" s="6" t="n">
        <v>1</v>
      </c>
      <c r="N153" s="43" t="n">
        <f aca="false">M153*H153</f>
        <v>66.48</v>
      </c>
      <c r="O153" s="42" t="n">
        <f aca="false">N153</f>
        <v>66.48</v>
      </c>
    </row>
    <row r="154" customFormat="false" ht="15" hidden="false" customHeight="false" outlineLevel="0" collapsed="false">
      <c r="B154" s="7" t="s">
        <v>8787</v>
      </c>
      <c r="C154" s="39" t="n">
        <v>45667</v>
      </c>
      <c r="D154" s="7" t="s">
        <v>191</v>
      </c>
      <c r="E154" s="7" t="s">
        <v>180</v>
      </c>
      <c r="F154" s="6" t="n">
        <v>3.9</v>
      </c>
      <c r="G154" s="6" t="n">
        <v>0</v>
      </c>
      <c r="H154" s="41" t="n">
        <v>16.05</v>
      </c>
      <c r="I154" s="43" t="n">
        <f aca="false">F154*H154</f>
        <v>62.595</v>
      </c>
      <c r="J154" s="43" t="n">
        <f aca="false">G154*H154*1.5</f>
        <v>0</v>
      </c>
      <c r="K154" s="6" t="n">
        <v>9.03</v>
      </c>
      <c r="L154" s="43" t="n">
        <f aca="false">K154*'Chart of Accounts'!$E$68</f>
        <v>6.0501</v>
      </c>
      <c r="O154" s="42" t="n">
        <f aca="false">I154+J154+L154</f>
        <v>68.6451</v>
      </c>
    </row>
    <row r="155" customFormat="false" ht="15" hidden="false" customHeight="false" outlineLevel="0" collapsed="false">
      <c r="B155" s="7" t="s">
        <v>8788</v>
      </c>
      <c r="C155" s="39" t="n">
        <v>45667</v>
      </c>
      <c r="D155" s="7" t="s">
        <v>194</v>
      </c>
      <c r="E155" s="7" t="s">
        <v>180</v>
      </c>
      <c r="F155" s="6" t="n">
        <v>4.7</v>
      </c>
      <c r="G155" s="6" t="n">
        <v>0</v>
      </c>
      <c r="H155" s="41" t="n">
        <v>16</v>
      </c>
      <c r="I155" s="43" t="n">
        <f aca="false">F155*H155</f>
        <v>75.2</v>
      </c>
      <c r="J155" s="43" t="n">
        <f aca="false">G155*H155*1.5</f>
        <v>0</v>
      </c>
      <c r="K155" s="6" t="n">
        <v>13.03</v>
      </c>
      <c r="L155" s="43" t="n">
        <f aca="false">K155*'Chart of Accounts'!$E$68</f>
        <v>8.7301</v>
      </c>
      <c r="O155" s="42" t="n">
        <f aca="false">I155+J155+L155</f>
        <v>83.9301</v>
      </c>
    </row>
    <row r="156" customFormat="false" ht="15" hidden="false" customHeight="false" outlineLevel="0" collapsed="false">
      <c r="B156" s="7" t="s">
        <v>8789</v>
      </c>
      <c r="C156" s="39" t="n">
        <v>45667</v>
      </c>
      <c r="D156" s="7" t="s">
        <v>209</v>
      </c>
      <c r="E156" s="7" t="s">
        <v>158</v>
      </c>
      <c r="H156" s="41" t="n">
        <v>73.58</v>
      </c>
      <c r="M156" s="6" t="n">
        <v>2</v>
      </c>
      <c r="N156" s="43" t="n">
        <f aca="false">M156*H156</f>
        <v>147.16</v>
      </c>
      <c r="O156" s="42" t="n">
        <f aca="false">N156</f>
        <v>147.16</v>
      </c>
    </row>
    <row r="157" customFormat="false" ht="15" hidden="false" customHeight="false" outlineLevel="0" collapsed="false">
      <c r="B157" s="7" t="s">
        <v>8790</v>
      </c>
      <c r="C157" s="39" t="n">
        <v>45667</v>
      </c>
      <c r="D157" s="7" t="s">
        <v>205</v>
      </c>
      <c r="E157" s="7" t="s">
        <v>180</v>
      </c>
      <c r="F157" s="6" t="n">
        <v>4.09</v>
      </c>
      <c r="G157" s="6" t="n">
        <v>0</v>
      </c>
      <c r="H157" s="41" t="n">
        <v>16.36</v>
      </c>
      <c r="I157" s="43" t="n">
        <f aca="false">F157*H157</f>
        <v>66.9124</v>
      </c>
      <c r="J157" s="43" t="n">
        <f aca="false">G157*H157*1.5</f>
        <v>0</v>
      </c>
      <c r="K157" s="6" t="n">
        <v>11.57</v>
      </c>
      <c r="L157" s="43" t="n">
        <f aca="false">K157*'Chart of Accounts'!$E$68</f>
        <v>7.7519</v>
      </c>
      <c r="O157" s="42" t="n">
        <f aca="false">I157+J157+L157</f>
        <v>74.6643</v>
      </c>
    </row>
    <row r="158" customFormat="false" ht="15" hidden="false" customHeight="false" outlineLevel="0" collapsed="false">
      <c r="B158" s="7" t="s">
        <v>8791</v>
      </c>
      <c r="C158" s="39" t="n">
        <v>45667</v>
      </c>
      <c r="D158" s="7" t="s">
        <v>252</v>
      </c>
      <c r="E158" s="7" t="s">
        <v>158</v>
      </c>
      <c r="H158" s="41" t="n">
        <v>57.54</v>
      </c>
      <c r="M158" s="6" t="n">
        <v>1</v>
      </c>
      <c r="N158" s="43" t="n">
        <f aca="false">M158*H158</f>
        <v>57.54</v>
      </c>
      <c r="O158" s="42" t="n">
        <f aca="false">N158</f>
        <v>57.54</v>
      </c>
    </row>
    <row r="159" customFormat="false" ht="15" hidden="false" customHeight="false" outlineLevel="0" collapsed="false">
      <c r="B159" s="7" t="s">
        <v>8792</v>
      </c>
      <c r="C159" s="39" t="n">
        <v>45667</v>
      </c>
      <c r="D159" s="7" t="s">
        <v>184</v>
      </c>
      <c r="E159" s="7" t="s">
        <v>180</v>
      </c>
      <c r="F159" s="6" t="n">
        <v>3.79</v>
      </c>
      <c r="G159" s="6" t="n">
        <v>0</v>
      </c>
      <c r="H159" s="41" t="n">
        <v>17.34</v>
      </c>
      <c r="I159" s="43" t="n">
        <f aca="false">F159*H159</f>
        <v>65.7186</v>
      </c>
      <c r="J159" s="43" t="n">
        <f aca="false">G159*H159*1.5</f>
        <v>0</v>
      </c>
      <c r="K159" s="6" t="n">
        <v>13.04</v>
      </c>
      <c r="L159" s="43" t="n">
        <f aca="false">K159*'Chart of Accounts'!$E$68</f>
        <v>8.7368</v>
      </c>
      <c r="O159" s="42" t="n">
        <f aca="false">I159+J159+L159</f>
        <v>74.4554</v>
      </c>
    </row>
    <row r="160" customFormat="false" ht="15" hidden="false" customHeight="false" outlineLevel="0" collapsed="false">
      <c r="B160" s="7" t="s">
        <v>8793</v>
      </c>
      <c r="C160" s="39" t="n">
        <v>45667</v>
      </c>
      <c r="D160" s="7" t="s">
        <v>234</v>
      </c>
      <c r="E160" s="7" t="s">
        <v>158</v>
      </c>
      <c r="H160" s="41" t="n">
        <v>89.53</v>
      </c>
      <c r="M160" s="6" t="n">
        <v>2</v>
      </c>
      <c r="N160" s="43" t="n">
        <f aca="false">M160*H160</f>
        <v>179.06</v>
      </c>
      <c r="O160" s="42" t="n">
        <f aca="false">N160</f>
        <v>179.06</v>
      </c>
    </row>
    <row r="161" customFormat="false" ht="15" hidden="false" customHeight="false" outlineLevel="0" collapsed="false">
      <c r="B161" s="7" t="s">
        <v>8794</v>
      </c>
      <c r="C161" s="39" t="n">
        <v>45667</v>
      </c>
      <c r="D161" s="7" t="s">
        <v>218</v>
      </c>
      <c r="E161" s="7" t="s">
        <v>180</v>
      </c>
      <c r="F161" s="6" t="n">
        <v>3.65</v>
      </c>
      <c r="G161" s="6" t="n">
        <v>0</v>
      </c>
      <c r="H161" s="41" t="n">
        <v>16.19</v>
      </c>
      <c r="I161" s="43" t="n">
        <f aca="false">F161*H161</f>
        <v>59.0935</v>
      </c>
      <c r="J161" s="43" t="n">
        <f aca="false">G161*H161*1.5</f>
        <v>0</v>
      </c>
      <c r="K161" s="6" t="n">
        <v>9.7</v>
      </c>
      <c r="L161" s="43" t="n">
        <f aca="false">K161*'Chart of Accounts'!$E$68</f>
        <v>6.499</v>
      </c>
      <c r="O161" s="42" t="n">
        <f aca="false">I161+J161+L161</f>
        <v>65.5925</v>
      </c>
    </row>
    <row r="162" customFormat="false" ht="15" hidden="false" customHeight="false" outlineLevel="0" collapsed="false">
      <c r="B162" s="7" t="s">
        <v>8795</v>
      </c>
      <c r="C162" s="39" t="n">
        <v>45667</v>
      </c>
      <c r="D162" s="7" t="s">
        <v>266</v>
      </c>
      <c r="E162" s="7" t="s">
        <v>158</v>
      </c>
      <c r="H162" s="41" t="n">
        <v>75.18</v>
      </c>
      <c r="M162" s="6" t="n">
        <v>1</v>
      </c>
      <c r="N162" s="43" t="n">
        <f aca="false">M162*H162</f>
        <v>75.18</v>
      </c>
      <c r="O162" s="42" t="n">
        <f aca="false">N162</f>
        <v>75.18</v>
      </c>
    </row>
    <row r="163" customFormat="false" ht="15" hidden="false" customHeight="false" outlineLevel="0" collapsed="false">
      <c r="B163" s="7" t="s">
        <v>8796</v>
      </c>
      <c r="C163" s="39" t="n">
        <v>45667</v>
      </c>
      <c r="D163" s="7" t="s">
        <v>228</v>
      </c>
      <c r="E163" s="7" t="s">
        <v>158</v>
      </c>
      <c r="H163" s="41" t="n">
        <v>51.07</v>
      </c>
      <c r="M163" s="6" t="n">
        <v>1</v>
      </c>
      <c r="N163" s="43" t="n">
        <f aca="false">M163*H163</f>
        <v>51.07</v>
      </c>
      <c r="O163" s="42" t="n">
        <f aca="false">N163</f>
        <v>51.07</v>
      </c>
    </row>
    <row r="164" customFormat="false" ht="15" hidden="false" customHeight="false" outlineLevel="0" collapsed="false">
      <c r="B164" s="7" t="s">
        <v>8797</v>
      </c>
      <c r="C164" s="39" t="n">
        <v>45667</v>
      </c>
      <c r="D164" s="7" t="s">
        <v>220</v>
      </c>
      <c r="E164" s="7" t="s">
        <v>180</v>
      </c>
      <c r="F164" s="6" t="n">
        <v>3.64</v>
      </c>
      <c r="G164" s="6" t="n">
        <v>0</v>
      </c>
      <c r="H164" s="41" t="n">
        <v>16.43</v>
      </c>
      <c r="I164" s="43" t="n">
        <f aca="false">F164*H164</f>
        <v>59.8052</v>
      </c>
      <c r="J164" s="43" t="n">
        <f aca="false">G164*H164*1.5</f>
        <v>0</v>
      </c>
      <c r="K164" s="6" t="n">
        <v>8.44</v>
      </c>
      <c r="L164" s="43" t="n">
        <f aca="false">K164*'Chart of Accounts'!$E$68</f>
        <v>5.6548</v>
      </c>
      <c r="O164" s="42" t="n">
        <f aca="false">I164+J164+L164</f>
        <v>65.46</v>
      </c>
    </row>
    <row r="165" customFormat="false" ht="15" hidden="false" customHeight="false" outlineLevel="0" collapsed="false">
      <c r="B165" s="7" t="s">
        <v>8798</v>
      </c>
      <c r="C165" s="39" t="n">
        <v>45667</v>
      </c>
      <c r="D165" s="7" t="s">
        <v>177</v>
      </c>
      <c r="E165" s="7" t="s">
        <v>180</v>
      </c>
      <c r="F165" s="6" t="n">
        <v>9.09</v>
      </c>
      <c r="G165" s="6" t="n">
        <v>0</v>
      </c>
      <c r="H165" s="41" t="n">
        <v>14.56</v>
      </c>
      <c r="I165" s="43" t="n">
        <f aca="false">F165*H165</f>
        <v>132.3504</v>
      </c>
      <c r="J165" s="43" t="n">
        <f aca="false">G165*H165*1.5</f>
        <v>0</v>
      </c>
      <c r="K165" s="6" t="n">
        <v>23.96</v>
      </c>
      <c r="L165" s="43" t="n">
        <f aca="false">K165*'Chart of Accounts'!$E$68</f>
        <v>16.0532</v>
      </c>
      <c r="O165" s="42" t="n">
        <f aca="false">I165+J165+L165</f>
        <v>148.4036</v>
      </c>
    </row>
    <row r="166" customFormat="false" ht="15" hidden="false" customHeight="false" outlineLevel="0" collapsed="false">
      <c r="B166" s="7" t="s">
        <v>8799</v>
      </c>
      <c r="C166" s="39" t="n">
        <v>45667</v>
      </c>
      <c r="D166" s="7" t="s">
        <v>242</v>
      </c>
      <c r="E166" s="7" t="s">
        <v>180</v>
      </c>
      <c r="F166" s="6" t="n">
        <v>7.21</v>
      </c>
      <c r="G166" s="6" t="n">
        <v>0</v>
      </c>
      <c r="H166" s="41" t="n">
        <v>17.99</v>
      </c>
      <c r="I166" s="43" t="n">
        <f aca="false">F166*H166</f>
        <v>129.7079</v>
      </c>
      <c r="J166" s="43" t="n">
        <f aca="false">G166*H166*1.5</f>
        <v>0</v>
      </c>
      <c r="K166" s="6" t="n">
        <v>25.13</v>
      </c>
      <c r="L166" s="43" t="n">
        <f aca="false">K166*'Chart of Accounts'!$E$68</f>
        <v>16.8371</v>
      </c>
      <c r="O166" s="42" t="n">
        <f aca="false">I166+J166+L166</f>
        <v>146.545</v>
      </c>
    </row>
    <row r="167" customFormat="false" ht="15" hidden="false" customHeight="false" outlineLevel="0" collapsed="false">
      <c r="B167" s="7" t="s">
        <v>8800</v>
      </c>
      <c r="C167" s="39" t="n">
        <v>45667</v>
      </c>
      <c r="D167" s="7" t="s">
        <v>254</v>
      </c>
      <c r="E167" s="7" t="s">
        <v>180</v>
      </c>
      <c r="F167" s="6" t="n">
        <v>6.85</v>
      </c>
      <c r="G167" s="6" t="n">
        <v>0</v>
      </c>
      <c r="H167" s="41" t="n">
        <v>17.1</v>
      </c>
      <c r="I167" s="43" t="n">
        <f aca="false">F167*H167</f>
        <v>117.135</v>
      </c>
      <c r="J167" s="43" t="n">
        <f aca="false">G167*H167*1.5</f>
        <v>0</v>
      </c>
      <c r="K167" s="6" t="n">
        <v>18.69</v>
      </c>
      <c r="L167" s="43" t="n">
        <f aca="false">K167*'Chart of Accounts'!$E$68</f>
        <v>12.5223</v>
      </c>
      <c r="O167" s="42" t="n">
        <f aca="false">I167+J167+L167</f>
        <v>129.6573</v>
      </c>
    </row>
    <row r="168" customFormat="false" ht="15" hidden="false" customHeight="false" outlineLevel="0" collapsed="false">
      <c r="B168" s="7" t="s">
        <v>8801</v>
      </c>
      <c r="C168" s="39" t="n">
        <v>45667</v>
      </c>
      <c r="D168" s="7" t="s">
        <v>201</v>
      </c>
      <c r="E168" s="7" t="s">
        <v>180</v>
      </c>
      <c r="F168" s="6" t="n">
        <v>3.4</v>
      </c>
      <c r="G168" s="6" t="n">
        <v>0</v>
      </c>
      <c r="H168" s="41" t="n">
        <v>15.19</v>
      </c>
      <c r="I168" s="43" t="n">
        <f aca="false">F168*H168</f>
        <v>51.646</v>
      </c>
      <c r="J168" s="43" t="n">
        <f aca="false">G168*H168*1.5</f>
        <v>0</v>
      </c>
      <c r="K168" s="6" t="n">
        <v>8.52</v>
      </c>
      <c r="L168" s="43" t="n">
        <f aca="false">K168*'Chart of Accounts'!$E$68</f>
        <v>5.7084</v>
      </c>
      <c r="O168" s="42" t="n">
        <f aca="false">I168+J168+L168</f>
        <v>57.3544</v>
      </c>
    </row>
    <row r="169" customFormat="false" ht="15" hidden="false" customHeight="false" outlineLevel="0" collapsed="false">
      <c r="B169" s="7" t="s">
        <v>8802</v>
      </c>
      <c r="C169" s="39" t="n">
        <v>45667</v>
      </c>
      <c r="D169" s="7" t="s">
        <v>207</v>
      </c>
      <c r="E169" s="7" t="s">
        <v>180</v>
      </c>
      <c r="F169" s="6" t="n">
        <v>3.66</v>
      </c>
      <c r="G169" s="6" t="n">
        <v>0</v>
      </c>
      <c r="H169" s="41" t="n">
        <v>16.65</v>
      </c>
      <c r="I169" s="43" t="n">
        <f aca="false">F169*H169</f>
        <v>60.939</v>
      </c>
      <c r="J169" s="43" t="n">
        <f aca="false">G169*H169*1.5</f>
        <v>0</v>
      </c>
      <c r="K169" s="6" t="n">
        <v>11.59</v>
      </c>
      <c r="L169" s="43" t="n">
        <f aca="false">K169*'Chart of Accounts'!$E$68</f>
        <v>7.7653</v>
      </c>
      <c r="O169" s="42" t="n">
        <f aca="false">I169+J169+L169</f>
        <v>68.7043</v>
      </c>
    </row>
    <row r="170" customFormat="false" ht="15" hidden="false" customHeight="false" outlineLevel="0" collapsed="false">
      <c r="B170" s="7" t="s">
        <v>8803</v>
      </c>
      <c r="C170" s="39" t="n">
        <v>45667</v>
      </c>
      <c r="D170" s="7" t="s">
        <v>212</v>
      </c>
      <c r="E170" s="7" t="s">
        <v>180</v>
      </c>
      <c r="F170" s="6" t="n">
        <v>3.69</v>
      </c>
      <c r="G170" s="6" t="n">
        <v>0</v>
      </c>
      <c r="H170" s="41" t="n">
        <v>16.71</v>
      </c>
      <c r="I170" s="43" t="n">
        <f aca="false">F170*H170</f>
        <v>61.6599</v>
      </c>
      <c r="J170" s="43" t="n">
        <f aca="false">G170*H170*1.5</f>
        <v>0</v>
      </c>
      <c r="K170" s="6" t="n">
        <v>9.9</v>
      </c>
      <c r="L170" s="43" t="n">
        <f aca="false">K170*'Chart of Accounts'!$E$68</f>
        <v>6.633</v>
      </c>
      <c r="O170" s="42" t="n">
        <f aca="false">I170+J170+L170</f>
        <v>68.2929</v>
      </c>
    </row>
    <row r="171" customFormat="false" ht="15" hidden="false" customHeight="false" outlineLevel="0" collapsed="false">
      <c r="B171" s="7" t="s">
        <v>8804</v>
      </c>
      <c r="C171" s="39" t="n">
        <v>45667</v>
      </c>
      <c r="D171" s="7" t="s">
        <v>232</v>
      </c>
      <c r="E171" s="7" t="s">
        <v>180</v>
      </c>
      <c r="F171" s="6" t="n">
        <v>4.21</v>
      </c>
      <c r="G171" s="6" t="n">
        <v>0</v>
      </c>
      <c r="H171" s="41" t="n">
        <v>16.17</v>
      </c>
      <c r="I171" s="43" t="n">
        <f aca="false">F171*H171</f>
        <v>68.0757</v>
      </c>
      <c r="J171" s="43" t="n">
        <f aca="false">G171*H171*1.5</f>
        <v>0</v>
      </c>
      <c r="K171" s="6" t="n">
        <v>9.42</v>
      </c>
      <c r="L171" s="43" t="n">
        <f aca="false">K171*'Chart of Accounts'!$E$68</f>
        <v>6.3114</v>
      </c>
      <c r="O171" s="42" t="n">
        <f aca="false">I171+J171+L171</f>
        <v>74.3871</v>
      </c>
    </row>
    <row r="172" customFormat="false" ht="15" hidden="false" customHeight="false" outlineLevel="0" collapsed="false">
      <c r="B172" s="7" t="s">
        <v>8805</v>
      </c>
      <c r="C172" s="39" t="n">
        <v>45667</v>
      </c>
      <c r="D172" s="7" t="s">
        <v>224</v>
      </c>
      <c r="E172" s="7" t="s">
        <v>180</v>
      </c>
      <c r="F172" s="6" t="n">
        <v>4.59</v>
      </c>
      <c r="G172" s="6" t="n">
        <v>0</v>
      </c>
      <c r="H172" s="41" t="n">
        <v>14.93</v>
      </c>
      <c r="I172" s="43" t="n">
        <f aca="false">F172*H172</f>
        <v>68.5287</v>
      </c>
      <c r="J172" s="43" t="n">
        <f aca="false">G172*H172*1.5</f>
        <v>0</v>
      </c>
      <c r="K172" s="6" t="n">
        <v>11.14</v>
      </c>
      <c r="L172" s="43" t="n">
        <f aca="false">K172*'Chart of Accounts'!$E$68</f>
        <v>7.4638</v>
      </c>
      <c r="O172" s="42" t="n">
        <f aca="false">I172+J172+L172</f>
        <v>75.9925</v>
      </c>
    </row>
    <row r="173" customFormat="false" ht="15" hidden="false" customHeight="false" outlineLevel="0" collapsed="false">
      <c r="B173" s="7" t="s">
        <v>8806</v>
      </c>
      <c r="C173" s="39" t="n">
        <v>45667</v>
      </c>
      <c r="D173" s="7" t="s">
        <v>246</v>
      </c>
      <c r="E173" s="7" t="s">
        <v>180</v>
      </c>
      <c r="F173" s="6" t="n">
        <v>3.96</v>
      </c>
      <c r="G173" s="6" t="n">
        <v>0</v>
      </c>
      <c r="H173" s="41" t="n">
        <v>16.48</v>
      </c>
      <c r="I173" s="43" t="n">
        <f aca="false">F173*H173</f>
        <v>65.2608</v>
      </c>
      <c r="J173" s="43" t="n">
        <f aca="false">G173*H173*1.5</f>
        <v>0</v>
      </c>
      <c r="K173" s="6" t="n">
        <v>9.16</v>
      </c>
      <c r="L173" s="43" t="n">
        <f aca="false">K173*'Chart of Accounts'!$E$68</f>
        <v>6.1372</v>
      </c>
      <c r="O173" s="42" t="n">
        <f aca="false">I173+J173+L173</f>
        <v>71.398</v>
      </c>
    </row>
    <row r="174" customFormat="false" ht="15" hidden="false" customHeight="false" outlineLevel="0" collapsed="false">
      <c r="B174" s="7" t="s">
        <v>8807</v>
      </c>
      <c r="C174" s="39" t="n">
        <v>45667</v>
      </c>
      <c r="D174" s="7" t="s">
        <v>222</v>
      </c>
      <c r="E174" s="7" t="s">
        <v>180</v>
      </c>
      <c r="F174" s="6" t="n">
        <v>4.18</v>
      </c>
      <c r="G174" s="6" t="n">
        <v>0</v>
      </c>
      <c r="H174" s="41" t="n">
        <v>17.84</v>
      </c>
      <c r="I174" s="43" t="n">
        <f aca="false">F174*H174</f>
        <v>74.5712</v>
      </c>
      <c r="J174" s="43" t="n">
        <f aca="false">G174*H174*1.5</f>
        <v>0</v>
      </c>
      <c r="K174" s="6" t="n">
        <v>9.47</v>
      </c>
      <c r="L174" s="43" t="n">
        <f aca="false">K174*'Chart of Accounts'!$E$68</f>
        <v>6.3449</v>
      </c>
      <c r="O174" s="42" t="n">
        <f aca="false">I174+J174+L174</f>
        <v>80.9161</v>
      </c>
    </row>
    <row r="175" customFormat="false" ht="15" hidden="false" customHeight="false" outlineLevel="0" collapsed="false">
      <c r="B175" s="7" t="s">
        <v>8808</v>
      </c>
      <c r="C175" s="39" t="n">
        <v>45667</v>
      </c>
      <c r="D175" s="7" t="s">
        <v>262</v>
      </c>
      <c r="E175" s="7" t="s">
        <v>180</v>
      </c>
      <c r="F175" s="6" t="n">
        <v>3.67</v>
      </c>
      <c r="G175" s="6" t="n">
        <v>0</v>
      </c>
      <c r="H175" s="41" t="n">
        <v>16.02</v>
      </c>
      <c r="I175" s="43" t="n">
        <f aca="false">F175*H175</f>
        <v>58.7934</v>
      </c>
      <c r="J175" s="43" t="n">
        <f aca="false">G175*H175*1.5</f>
        <v>0</v>
      </c>
      <c r="K175" s="6" t="n">
        <v>12.22</v>
      </c>
      <c r="L175" s="43" t="n">
        <f aca="false">K175*'Chart of Accounts'!$E$68</f>
        <v>8.1874</v>
      </c>
      <c r="O175" s="42" t="n">
        <f aca="false">I175+J175+L175</f>
        <v>66.9808</v>
      </c>
    </row>
    <row r="176" customFormat="false" ht="15" hidden="false" customHeight="false" outlineLevel="0" collapsed="false">
      <c r="B176" s="7" t="s">
        <v>8809</v>
      </c>
      <c r="C176" s="39" t="n">
        <v>45667</v>
      </c>
      <c r="D176" s="7" t="s">
        <v>260</v>
      </c>
      <c r="E176" s="7" t="s">
        <v>158</v>
      </c>
      <c r="H176" s="41" t="n">
        <v>79.8</v>
      </c>
      <c r="M176" s="6" t="n">
        <v>1</v>
      </c>
      <c r="N176" s="43" t="n">
        <f aca="false">M176*H176</f>
        <v>79.8</v>
      </c>
      <c r="O176" s="42" t="n">
        <f aca="false">N176</f>
        <v>79.8</v>
      </c>
    </row>
    <row r="177" customFormat="false" ht="15" hidden="false" customHeight="false" outlineLevel="0" collapsed="false">
      <c r="B177" s="7" t="s">
        <v>8810</v>
      </c>
      <c r="C177" s="39" t="n">
        <v>45667</v>
      </c>
      <c r="D177" s="7" t="s">
        <v>214</v>
      </c>
      <c r="E177" s="7" t="s">
        <v>180</v>
      </c>
      <c r="F177" s="6" t="n">
        <v>3.08</v>
      </c>
      <c r="G177" s="6" t="n">
        <v>0</v>
      </c>
      <c r="H177" s="41" t="n">
        <v>15.67</v>
      </c>
      <c r="I177" s="43" t="n">
        <f aca="false">F177*H177</f>
        <v>48.2636</v>
      </c>
      <c r="J177" s="43" t="n">
        <f aca="false">G177*H177*1.5</f>
        <v>0</v>
      </c>
      <c r="K177" s="6" t="n">
        <v>7.16</v>
      </c>
      <c r="L177" s="43" t="n">
        <f aca="false">K177*'Chart of Accounts'!$E$68</f>
        <v>4.7972</v>
      </c>
      <c r="O177" s="42" t="n">
        <f aca="false">I177+J177+L177</f>
        <v>53.0608</v>
      </c>
    </row>
    <row r="178" customFormat="false" ht="15" hidden="false" customHeight="false" outlineLevel="0" collapsed="false">
      <c r="B178" s="7" t="s">
        <v>8811</v>
      </c>
      <c r="C178" s="39" t="n">
        <v>45668</v>
      </c>
      <c r="D178" s="7" t="s">
        <v>191</v>
      </c>
      <c r="E178" s="7" t="s">
        <v>180</v>
      </c>
      <c r="F178" s="6" t="n">
        <v>3.84</v>
      </c>
      <c r="G178" s="6" t="n">
        <v>0</v>
      </c>
      <c r="H178" s="41" t="n">
        <v>16.05</v>
      </c>
      <c r="I178" s="43" t="n">
        <f aca="false">F178*H178</f>
        <v>61.632</v>
      </c>
      <c r="J178" s="43" t="n">
        <f aca="false">G178*H178*1.5</f>
        <v>0</v>
      </c>
      <c r="K178" s="6" t="n">
        <v>13.34</v>
      </c>
      <c r="L178" s="43" t="n">
        <f aca="false">K178*'Chart of Accounts'!$E$68</f>
        <v>8.9378</v>
      </c>
      <c r="O178" s="42" t="n">
        <f aca="false">I178+J178+L178</f>
        <v>70.5698</v>
      </c>
    </row>
    <row r="179" customFormat="false" ht="15" hidden="false" customHeight="false" outlineLevel="0" collapsed="false">
      <c r="B179" s="7" t="s">
        <v>8812</v>
      </c>
      <c r="C179" s="39" t="n">
        <v>45668</v>
      </c>
      <c r="D179" s="7" t="s">
        <v>218</v>
      </c>
      <c r="E179" s="7" t="s">
        <v>180</v>
      </c>
      <c r="F179" s="6" t="n">
        <v>4.23</v>
      </c>
      <c r="G179" s="6" t="n">
        <v>0</v>
      </c>
      <c r="H179" s="41" t="n">
        <v>16.19</v>
      </c>
      <c r="I179" s="43" t="n">
        <f aca="false">F179*H179</f>
        <v>68.4837</v>
      </c>
      <c r="J179" s="43" t="n">
        <f aca="false">G179*H179*1.5</f>
        <v>0</v>
      </c>
      <c r="K179" s="6" t="n">
        <v>10.75</v>
      </c>
      <c r="L179" s="43" t="n">
        <f aca="false">K179*'Chart of Accounts'!$E$68</f>
        <v>7.2025</v>
      </c>
      <c r="O179" s="42" t="n">
        <f aca="false">I179+J179+L179</f>
        <v>75.6862</v>
      </c>
    </row>
    <row r="180" customFormat="false" ht="15" hidden="false" customHeight="false" outlineLevel="0" collapsed="false">
      <c r="B180" s="7" t="s">
        <v>8813</v>
      </c>
      <c r="C180" s="39" t="n">
        <v>45668</v>
      </c>
      <c r="D180" s="7" t="s">
        <v>212</v>
      </c>
      <c r="E180" s="7" t="s">
        <v>180</v>
      </c>
      <c r="F180" s="6" t="n">
        <v>4.3</v>
      </c>
      <c r="G180" s="6" t="n">
        <v>0</v>
      </c>
      <c r="H180" s="41" t="n">
        <v>16.71</v>
      </c>
      <c r="I180" s="43" t="n">
        <f aca="false">F180*H180</f>
        <v>71.853</v>
      </c>
      <c r="J180" s="43" t="n">
        <f aca="false">G180*H180*1.5</f>
        <v>0</v>
      </c>
      <c r="K180" s="6" t="n">
        <v>9.98</v>
      </c>
      <c r="L180" s="43" t="n">
        <f aca="false">K180*'Chart of Accounts'!$E$68</f>
        <v>6.6866</v>
      </c>
      <c r="O180" s="42" t="n">
        <f aca="false">I180+J180+L180</f>
        <v>78.5396</v>
      </c>
    </row>
    <row r="181" customFormat="false" ht="15" hidden="false" customHeight="false" outlineLevel="0" collapsed="false">
      <c r="B181" s="7" t="s">
        <v>8814</v>
      </c>
      <c r="C181" s="39" t="n">
        <v>45668</v>
      </c>
      <c r="D181" s="7" t="s">
        <v>222</v>
      </c>
      <c r="E181" s="7" t="s">
        <v>180</v>
      </c>
      <c r="F181" s="6" t="n">
        <v>3.94</v>
      </c>
      <c r="G181" s="6" t="n">
        <v>0</v>
      </c>
      <c r="H181" s="41" t="n">
        <v>17.84</v>
      </c>
      <c r="I181" s="43" t="n">
        <f aca="false">F181*H181</f>
        <v>70.2896</v>
      </c>
      <c r="J181" s="43" t="n">
        <f aca="false">G181*H181*1.5</f>
        <v>0</v>
      </c>
      <c r="K181" s="6" t="n">
        <v>10.49</v>
      </c>
      <c r="L181" s="43" t="n">
        <f aca="false">K181*'Chart of Accounts'!$E$68</f>
        <v>7.0283</v>
      </c>
      <c r="O181" s="42" t="n">
        <f aca="false">I181+J181+L181</f>
        <v>77.3179</v>
      </c>
    </row>
    <row r="182" customFormat="false" ht="15" hidden="false" customHeight="false" outlineLevel="0" collapsed="false">
      <c r="B182" s="7" t="s">
        <v>8815</v>
      </c>
      <c r="C182" s="39" t="n">
        <v>45668</v>
      </c>
      <c r="D182" s="7" t="s">
        <v>242</v>
      </c>
      <c r="E182" s="7" t="s">
        <v>180</v>
      </c>
      <c r="F182" s="6" t="n">
        <v>4.26</v>
      </c>
      <c r="G182" s="6" t="n">
        <v>0</v>
      </c>
      <c r="H182" s="41" t="n">
        <v>17.99</v>
      </c>
      <c r="I182" s="43" t="n">
        <f aca="false">F182*H182</f>
        <v>76.6374</v>
      </c>
      <c r="J182" s="43" t="n">
        <f aca="false">G182*H182*1.5</f>
        <v>0</v>
      </c>
      <c r="K182" s="6" t="n">
        <v>12.43</v>
      </c>
      <c r="L182" s="43" t="n">
        <f aca="false">K182*'Chart of Accounts'!$E$68</f>
        <v>8.3281</v>
      </c>
      <c r="O182" s="42" t="n">
        <f aca="false">I182+J182+L182</f>
        <v>84.9655</v>
      </c>
    </row>
    <row r="183" customFormat="false" ht="15" hidden="false" customHeight="false" outlineLevel="0" collapsed="false">
      <c r="B183" s="7" t="s">
        <v>8816</v>
      </c>
      <c r="C183" s="39" t="n">
        <v>45668</v>
      </c>
      <c r="D183" s="7" t="s">
        <v>254</v>
      </c>
      <c r="E183" s="7" t="s">
        <v>180</v>
      </c>
      <c r="F183" s="6" t="n">
        <v>3.85</v>
      </c>
      <c r="G183" s="6" t="n">
        <v>0</v>
      </c>
      <c r="H183" s="41" t="n">
        <v>17.1</v>
      </c>
      <c r="I183" s="43" t="n">
        <f aca="false">F183*H183</f>
        <v>65.835</v>
      </c>
      <c r="J183" s="43" t="n">
        <f aca="false">G183*H183*1.5</f>
        <v>0</v>
      </c>
      <c r="K183" s="6" t="n">
        <v>11.89</v>
      </c>
      <c r="L183" s="43" t="n">
        <f aca="false">K183*'Chart of Accounts'!$E$68</f>
        <v>7.9663</v>
      </c>
      <c r="O183" s="42" t="n">
        <f aca="false">I183+J183+L183</f>
        <v>73.8013</v>
      </c>
    </row>
    <row r="184" customFormat="false" ht="15" hidden="false" customHeight="false" outlineLevel="0" collapsed="false">
      <c r="B184" s="7" t="s">
        <v>8817</v>
      </c>
      <c r="C184" s="39" t="n">
        <v>45669</v>
      </c>
      <c r="D184" s="7" t="s">
        <v>191</v>
      </c>
      <c r="E184" s="7" t="s">
        <v>180</v>
      </c>
      <c r="F184" s="6" t="n">
        <v>4.36</v>
      </c>
      <c r="G184" s="6" t="n">
        <v>0</v>
      </c>
      <c r="H184" s="41" t="n">
        <v>16.05</v>
      </c>
      <c r="I184" s="43" t="n">
        <f aca="false">F184*H184</f>
        <v>69.978</v>
      </c>
      <c r="J184" s="43" t="n">
        <f aca="false">G184*H184*1.5</f>
        <v>0</v>
      </c>
      <c r="K184" s="6" t="n">
        <v>13.9</v>
      </c>
      <c r="L184" s="43" t="n">
        <f aca="false">K184*'Chart of Accounts'!$E$68</f>
        <v>9.313</v>
      </c>
      <c r="O184" s="42" t="n">
        <f aca="false">I184+J184+L184</f>
        <v>79.291</v>
      </c>
    </row>
    <row r="185" customFormat="false" ht="15" hidden="false" customHeight="false" outlineLevel="0" collapsed="false">
      <c r="B185" s="7" t="s">
        <v>8818</v>
      </c>
      <c r="C185" s="39" t="n">
        <v>45669</v>
      </c>
      <c r="D185" s="7" t="s">
        <v>218</v>
      </c>
      <c r="E185" s="7" t="s">
        <v>180</v>
      </c>
      <c r="F185" s="6" t="n">
        <v>3.67</v>
      </c>
      <c r="G185" s="6" t="n">
        <v>0</v>
      </c>
      <c r="H185" s="41" t="n">
        <v>16.19</v>
      </c>
      <c r="I185" s="43" t="n">
        <f aca="false">F185*H185</f>
        <v>59.4173</v>
      </c>
      <c r="J185" s="43" t="n">
        <f aca="false">G185*H185*1.5</f>
        <v>0</v>
      </c>
      <c r="K185" s="6" t="n">
        <v>10.98</v>
      </c>
      <c r="L185" s="43" t="n">
        <f aca="false">K185*'Chart of Accounts'!$E$68</f>
        <v>7.3566</v>
      </c>
      <c r="O185" s="42" t="n">
        <f aca="false">I185+J185+L185</f>
        <v>66.7739</v>
      </c>
    </row>
    <row r="186" customFormat="false" ht="15" hidden="false" customHeight="false" outlineLevel="0" collapsed="false">
      <c r="B186" s="7" t="s">
        <v>8819</v>
      </c>
      <c r="C186" s="39" t="n">
        <v>45669</v>
      </c>
      <c r="D186" s="7" t="s">
        <v>212</v>
      </c>
      <c r="E186" s="7" t="s">
        <v>180</v>
      </c>
      <c r="F186" s="6" t="n">
        <v>4.2</v>
      </c>
      <c r="G186" s="6" t="n">
        <v>0</v>
      </c>
      <c r="H186" s="41" t="n">
        <v>16.71</v>
      </c>
      <c r="I186" s="43" t="n">
        <f aca="false">F186*H186</f>
        <v>70.182</v>
      </c>
      <c r="J186" s="43" t="n">
        <f aca="false">G186*H186*1.5</f>
        <v>0</v>
      </c>
      <c r="K186" s="6" t="n">
        <v>9.31</v>
      </c>
      <c r="L186" s="43" t="n">
        <f aca="false">K186*'Chart of Accounts'!$E$68</f>
        <v>6.2377</v>
      </c>
      <c r="O186" s="42" t="n">
        <f aca="false">I186+J186+L186</f>
        <v>76.4197</v>
      </c>
    </row>
    <row r="187" customFormat="false" ht="15" hidden="false" customHeight="false" outlineLevel="0" collapsed="false">
      <c r="B187" s="7" t="s">
        <v>8820</v>
      </c>
      <c r="C187" s="39" t="n">
        <v>45669</v>
      </c>
      <c r="D187" s="7" t="s">
        <v>222</v>
      </c>
      <c r="E187" s="7" t="s">
        <v>180</v>
      </c>
      <c r="F187" s="6" t="n">
        <v>3.65</v>
      </c>
      <c r="G187" s="6" t="n">
        <v>0</v>
      </c>
      <c r="H187" s="41" t="n">
        <v>17.84</v>
      </c>
      <c r="I187" s="43" t="n">
        <f aca="false">F187*H187</f>
        <v>65.116</v>
      </c>
      <c r="J187" s="43" t="n">
        <f aca="false">G187*H187*1.5</f>
        <v>0</v>
      </c>
      <c r="K187" s="6" t="n">
        <v>9.16</v>
      </c>
      <c r="L187" s="43" t="n">
        <f aca="false">K187*'Chart of Accounts'!$E$68</f>
        <v>6.1372</v>
      </c>
      <c r="O187" s="42" t="n">
        <f aca="false">I187+J187+L187</f>
        <v>71.2532</v>
      </c>
    </row>
    <row r="188" customFormat="false" ht="15" hidden="false" customHeight="false" outlineLevel="0" collapsed="false">
      <c r="B188" s="7" t="s">
        <v>8821</v>
      </c>
      <c r="C188" s="39" t="n">
        <v>45669</v>
      </c>
      <c r="D188" s="7" t="s">
        <v>242</v>
      </c>
      <c r="E188" s="7" t="s">
        <v>180</v>
      </c>
      <c r="F188" s="6" t="n">
        <v>4.14</v>
      </c>
      <c r="G188" s="6" t="n">
        <v>0</v>
      </c>
      <c r="H188" s="41" t="n">
        <v>17.99</v>
      </c>
      <c r="I188" s="43" t="n">
        <f aca="false">F188*H188</f>
        <v>74.4786</v>
      </c>
      <c r="J188" s="43" t="n">
        <f aca="false">G188*H188*1.5</f>
        <v>0</v>
      </c>
      <c r="K188" s="6" t="n">
        <v>13.79</v>
      </c>
      <c r="L188" s="43" t="n">
        <f aca="false">K188*'Chart of Accounts'!$E$68</f>
        <v>9.2393</v>
      </c>
      <c r="O188" s="42" t="n">
        <f aca="false">I188+J188+L188</f>
        <v>83.7179</v>
      </c>
    </row>
    <row r="189" customFormat="false" ht="15" hidden="false" customHeight="false" outlineLevel="0" collapsed="false">
      <c r="B189" s="7" t="s">
        <v>8822</v>
      </c>
      <c r="C189" s="39" t="n">
        <v>45669</v>
      </c>
      <c r="D189" s="7" t="s">
        <v>254</v>
      </c>
      <c r="E189" s="7" t="s">
        <v>180</v>
      </c>
      <c r="F189" s="6" t="n">
        <v>4.35</v>
      </c>
      <c r="G189" s="6" t="n">
        <v>0</v>
      </c>
      <c r="H189" s="41" t="n">
        <v>17.1</v>
      </c>
      <c r="I189" s="43" t="n">
        <f aca="false">F189*H189</f>
        <v>74.385</v>
      </c>
      <c r="J189" s="43" t="n">
        <f aca="false">G189*H189*1.5</f>
        <v>0</v>
      </c>
      <c r="K189" s="6" t="n">
        <v>14.82</v>
      </c>
      <c r="L189" s="43" t="n">
        <f aca="false">K189*'Chart of Accounts'!$E$68</f>
        <v>9.9294</v>
      </c>
      <c r="O189" s="42" t="n">
        <f aca="false">I189+J189+L189</f>
        <v>84.3144</v>
      </c>
    </row>
    <row r="190" customFormat="false" ht="15" hidden="false" customHeight="false" outlineLevel="0" collapsed="false">
      <c r="B190" s="7" t="s">
        <v>8823</v>
      </c>
      <c r="C190" s="39" t="n">
        <v>45670</v>
      </c>
      <c r="D190" s="7" t="s">
        <v>187</v>
      </c>
      <c r="E190" s="7" t="s">
        <v>158</v>
      </c>
      <c r="H190" s="41" t="n">
        <v>66.48</v>
      </c>
      <c r="M190" s="6" t="n">
        <v>1</v>
      </c>
      <c r="N190" s="43" t="n">
        <f aca="false">M190*H190</f>
        <v>66.48</v>
      </c>
      <c r="O190" s="42" t="n">
        <f aca="false">N190</f>
        <v>66.48</v>
      </c>
    </row>
    <row r="191" customFormat="false" ht="15" hidden="false" customHeight="false" outlineLevel="0" collapsed="false">
      <c r="B191" s="7" t="s">
        <v>8824</v>
      </c>
      <c r="C191" s="39" t="n">
        <v>45670</v>
      </c>
      <c r="D191" s="7" t="s">
        <v>191</v>
      </c>
      <c r="E191" s="7" t="s">
        <v>180</v>
      </c>
      <c r="F191" s="6" t="n">
        <v>3.68</v>
      </c>
      <c r="G191" s="6" t="n">
        <v>0</v>
      </c>
      <c r="H191" s="41" t="n">
        <v>16.05</v>
      </c>
      <c r="I191" s="43" t="n">
        <f aca="false">F191*H191</f>
        <v>59.064</v>
      </c>
      <c r="J191" s="43" t="n">
        <f aca="false">G191*H191*1.5</f>
        <v>0</v>
      </c>
      <c r="K191" s="6" t="n">
        <v>10.43</v>
      </c>
      <c r="L191" s="43" t="n">
        <f aca="false">K191*'Chart of Accounts'!$E$68</f>
        <v>6.9881</v>
      </c>
      <c r="O191" s="42" t="n">
        <f aca="false">I191+J191+L191</f>
        <v>66.0521</v>
      </c>
    </row>
    <row r="192" customFormat="false" ht="15" hidden="false" customHeight="false" outlineLevel="0" collapsed="false">
      <c r="B192" s="7" t="s">
        <v>8825</v>
      </c>
      <c r="C192" s="39" t="n">
        <v>45670</v>
      </c>
      <c r="D192" s="7" t="s">
        <v>194</v>
      </c>
      <c r="E192" s="7" t="s">
        <v>180</v>
      </c>
      <c r="F192" s="6" t="n">
        <v>4.65</v>
      </c>
      <c r="G192" s="6" t="n">
        <v>0</v>
      </c>
      <c r="H192" s="41" t="n">
        <v>16</v>
      </c>
      <c r="I192" s="43" t="n">
        <f aca="false">F192*H192</f>
        <v>74.4</v>
      </c>
      <c r="J192" s="43" t="n">
        <f aca="false">G192*H192*1.5</f>
        <v>0</v>
      </c>
      <c r="K192" s="6" t="n">
        <v>13.44</v>
      </c>
      <c r="L192" s="43" t="n">
        <f aca="false">K192*'Chart of Accounts'!$E$68</f>
        <v>9.0048</v>
      </c>
      <c r="O192" s="42" t="n">
        <f aca="false">I192+J192+L192</f>
        <v>83.4048</v>
      </c>
    </row>
    <row r="193" customFormat="false" ht="15" hidden="false" customHeight="false" outlineLevel="0" collapsed="false">
      <c r="B193" s="7" t="s">
        <v>8826</v>
      </c>
      <c r="C193" s="39" t="n">
        <v>45670</v>
      </c>
      <c r="D193" s="7" t="s">
        <v>201</v>
      </c>
      <c r="E193" s="7" t="s">
        <v>180</v>
      </c>
      <c r="F193" s="6" t="n">
        <v>6.38</v>
      </c>
      <c r="G193" s="6" t="n">
        <v>0</v>
      </c>
      <c r="H193" s="41" t="n">
        <v>15.19</v>
      </c>
      <c r="I193" s="43" t="n">
        <f aca="false">F193*H193</f>
        <v>96.9122</v>
      </c>
      <c r="J193" s="43" t="n">
        <f aca="false">G193*H193*1.5</f>
        <v>0</v>
      </c>
      <c r="K193" s="6" t="n">
        <v>18.44</v>
      </c>
      <c r="L193" s="43" t="n">
        <f aca="false">K193*'Chart of Accounts'!$E$68</f>
        <v>12.3548</v>
      </c>
      <c r="O193" s="42" t="n">
        <f aca="false">I193+J193+L193</f>
        <v>109.267</v>
      </c>
    </row>
    <row r="194" customFormat="false" ht="15" hidden="false" customHeight="false" outlineLevel="0" collapsed="false">
      <c r="B194" s="7" t="s">
        <v>8827</v>
      </c>
      <c r="C194" s="39" t="n">
        <v>45670</v>
      </c>
      <c r="D194" s="7" t="s">
        <v>205</v>
      </c>
      <c r="E194" s="7" t="s">
        <v>180</v>
      </c>
      <c r="F194" s="6" t="n">
        <v>3.78</v>
      </c>
      <c r="G194" s="6" t="n">
        <v>0</v>
      </c>
      <c r="H194" s="41" t="n">
        <v>16.36</v>
      </c>
      <c r="I194" s="43" t="n">
        <f aca="false">F194*H194</f>
        <v>61.8408</v>
      </c>
      <c r="J194" s="43" t="n">
        <f aca="false">G194*H194*1.5</f>
        <v>0</v>
      </c>
      <c r="K194" s="6" t="n">
        <v>12.85</v>
      </c>
      <c r="L194" s="43" t="n">
        <f aca="false">K194*'Chart of Accounts'!$E$68</f>
        <v>8.6095</v>
      </c>
      <c r="O194" s="42" t="n">
        <f aca="false">I194+J194+L194</f>
        <v>70.4503</v>
      </c>
    </row>
    <row r="195" customFormat="false" ht="15" hidden="false" customHeight="false" outlineLevel="0" collapsed="false">
      <c r="B195" s="7" t="s">
        <v>8828</v>
      </c>
      <c r="C195" s="39" t="n">
        <v>45670</v>
      </c>
      <c r="D195" s="7" t="s">
        <v>252</v>
      </c>
      <c r="E195" s="7" t="s">
        <v>158</v>
      </c>
      <c r="H195" s="41" t="n">
        <v>57.54</v>
      </c>
      <c r="M195" s="6" t="n">
        <v>1</v>
      </c>
      <c r="N195" s="43" t="n">
        <f aca="false">M195*H195</f>
        <v>57.54</v>
      </c>
      <c r="O195" s="42" t="n">
        <f aca="false">N195</f>
        <v>57.54</v>
      </c>
    </row>
    <row r="196" customFormat="false" ht="15" hidden="false" customHeight="false" outlineLevel="0" collapsed="false">
      <c r="B196" s="7" t="s">
        <v>8829</v>
      </c>
      <c r="C196" s="39" t="n">
        <v>45670</v>
      </c>
      <c r="D196" s="7" t="s">
        <v>196</v>
      </c>
      <c r="E196" s="7" t="s">
        <v>180</v>
      </c>
      <c r="F196" s="6" t="n">
        <v>5.87</v>
      </c>
      <c r="G196" s="6" t="n">
        <v>0</v>
      </c>
      <c r="H196" s="41" t="n">
        <v>15.05</v>
      </c>
      <c r="I196" s="43" t="n">
        <f aca="false">F196*H196</f>
        <v>88.3435</v>
      </c>
      <c r="J196" s="43" t="n">
        <f aca="false">G196*H196*1.5</f>
        <v>0</v>
      </c>
      <c r="K196" s="6" t="n">
        <v>18.66</v>
      </c>
      <c r="L196" s="43" t="n">
        <f aca="false">K196*'Chart of Accounts'!$E$68</f>
        <v>12.5022</v>
      </c>
      <c r="O196" s="42" t="n">
        <f aca="false">I196+J196+L196</f>
        <v>100.8457</v>
      </c>
    </row>
    <row r="197" customFormat="false" ht="15" hidden="false" customHeight="false" outlineLevel="0" collapsed="false">
      <c r="B197" s="7" t="s">
        <v>8830</v>
      </c>
      <c r="C197" s="39" t="n">
        <v>45670</v>
      </c>
      <c r="D197" s="7" t="s">
        <v>184</v>
      </c>
      <c r="E197" s="7" t="s">
        <v>180</v>
      </c>
      <c r="F197" s="6" t="n">
        <v>4.15</v>
      </c>
      <c r="G197" s="6" t="n">
        <v>0</v>
      </c>
      <c r="H197" s="41" t="n">
        <v>17.34</v>
      </c>
      <c r="I197" s="43" t="n">
        <f aca="false">F197*H197</f>
        <v>71.961</v>
      </c>
      <c r="J197" s="43" t="n">
        <f aca="false">G197*H197*1.5</f>
        <v>0</v>
      </c>
      <c r="K197" s="6" t="n">
        <v>10.25</v>
      </c>
      <c r="L197" s="43" t="n">
        <f aca="false">K197*'Chart of Accounts'!$E$68</f>
        <v>6.8675</v>
      </c>
      <c r="O197" s="42" t="n">
        <f aca="false">I197+J197+L197</f>
        <v>78.8285</v>
      </c>
    </row>
    <row r="198" customFormat="false" ht="15" hidden="false" customHeight="false" outlineLevel="0" collapsed="false">
      <c r="B198" s="7" t="s">
        <v>8831</v>
      </c>
      <c r="C198" s="39" t="n">
        <v>45670</v>
      </c>
      <c r="D198" s="7" t="s">
        <v>207</v>
      </c>
      <c r="E198" s="7" t="s">
        <v>180</v>
      </c>
      <c r="F198" s="6" t="n">
        <v>6.82</v>
      </c>
      <c r="G198" s="6" t="n">
        <v>0</v>
      </c>
      <c r="H198" s="41" t="n">
        <v>16.65</v>
      </c>
      <c r="I198" s="43" t="n">
        <f aca="false">F198*H198</f>
        <v>113.553</v>
      </c>
      <c r="J198" s="43" t="n">
        <f aca="false">G198*H198*1.5</f>
        <v>0</v>
      </c>
      <c r="K198" s="6" t="n">
        <v>18.3</v>
      </c>
      <c r="L198" s="43" t="n">
        <f aca="false">K198*'Chart of Accounts'!$E$68</f>
        <v>12.261</v>
      </c>
      <c r="O198" s="42" t="n">
        <f aca="false">I198+J198+L198</f>
        <v>125.814</v>
      </c>
    </row>
    <row r="199" customFormat="false" ht="15" hidden="false" customHeight="false" outlineLevel="0" collapsed="false">
      <c r="B199" s="7" t="s">
        <v>8832</v>
      </c>
      <c r="C199" s="39" t="n">
        <v>45670</v>
      </c>
      <c r="D199" s="7" t="s">
        <v>218</v>
      </c>
      <c r="E199" s="7" t="s">
        <v>180</v>
      </c>
      <c r="F199" s="6" t="n">
        <v>3.75</v>
      </c>
      <c r="G199" s="6" t="n">
        <v>0</v>
      </c>
      <c r="H199" s="41" t="n">
        <v>16.19</v>
      </c>
      <c r="I199" s="43" t="n">
        <f aca="false">F199*H199</f>
        <v>60.7125</v>
      </c>
      <c r="J199" s="43" t="n">
        <f aca="false">G199*H199*1.5</f>
        <v>0</v>
      </c>
      <c r="K199" s="6" t="n">
        <v>10.88</v>
      </c>
      <c r="L199" s="43" t="n">
        <f aca="false">K199*'Chart of Accounts'!$E$68</f>
        <v>7.2896</v>
      </c>
      <c r="O199" s="42" t="n">
        <f aca="false">I199+J199+L199</f>
        <v>68.0021</v>
      </c>
    </row>
    <row r="200" customFormat="false" ht="15" hidden="false" customHeight="false" outlineLevel="0" collapsed="false">
      <c r="B200" s="7" t="s">
        <v>8833</v>
      </c>
      <c r="C200" s="39" t="n">
        <v>45670</v>
      </c>
      <c r="D200" s="7" t="s">
        <v>212</v>
      </c>
      <c r="E200" s="7" t="s">
        <v>180</v>
      </c>
      <c r="F200" s="6" t="n">
        <v>7.1</v>
      </c>
      <c r="G200" s="6" t="n">
        <v>0</v>
      </c>
      <c r="H200" s="41" t="n">
        <v>16.71</v>
      </c>
      <c r="I200" s="43" t="n">
        <f aca="false">F200*H200</f>
        <v>118.641</v>
      </c>
      <c r="J200" s="43" t="n">
        <f aca="false">G200*H200*1.5</f>
        <v>0</v>
      </c>
      <c r="K200" s="6" t="n">
        <v>24.64</v>
      </c>
      <c r="L200" s="43" t="n">
        <f aca="false">K200*'Chart of Accounts'!$E$68</f>
        <v>16.5088</v>
      </c>
      <c r="O200" s="42" t="n">
        <f aca="false">I200+J200+L200</f>
        <v>135.1498</v>
      </c>
    </row>
    <row r="201" customFormat="false" ht="15" hidden="false" customHeight="false" outlineLevel="0" collapsed="false">
      <c r="B201" s="7" t="s">
        <v>8834</v>
      </c>
      <c r="C201" s="39" t="n">
        <v>45670</v>
      </c>
      <c r="D201" s="7" t="s">
        <v>220</v>
      </c>
      <c r="E201" s="7" t="s">
        <v>180</v>
      </c>
      <c r="F201" s="6" t="n">
        <v>3.67</v>
      </c>
      <c r="G201" s="6" t="n">
        <v>0</v>
      </c>
      <c r="H201" s="41" t="n">
        <v>16.43</v>
      </c>
      <c r="I201" s="43" t="n">
        <f aca="false">F201*H201</f>
        <v>60.2981</v>
      </c>
      <c r="J201" s="43" t="n">
        <f aca="false">G201*H201*1.5</f>
        <v>0</v>
      </c>
      <c r="K201" s="6" t="n">
        <v>12.66</v>
      </c>
      <c r="L201" s="43" t="n">
        <f aca="false">K201*'Chart of Accounts'!$E$68</f>
        <v>8.4822</v>
      </c>
      <c r="O201" s="42" t="n">
        <f aca="false">I201+J201+L201</f>
        <v>68.7803</v>
      </c>
    </row>
    <row r="202" customFormat="false" ht="15" hidden="false" customHeight="false" outlineLevel="0" collapsed="false">
      <c r="B202" s="7" t="s">
        <v>8835</v>
      </c>
      <c r="C202" s="39" t="n">
        <v>45670</v>
      </c>
      <c r="D202" s="7" t="s">
        <v>224</v>
      </c>
      <c r="E202" s="7" t="s">
        <v>180</v>
      </c>
      <c r="F202" s="6" t="n">
        <v>8.57</v>
      </c>
      <c r="G202" s="6" t="n">
        <v>0</v>
      </c>
      <c r="H202" s="41" t="n">
        <v>14.93</v>
      </c>
      <c r="I202" s="43" t="n">
        <f aca="false">F202*H202</f>
        <v>127.9501</v>
      </c>
      <c r="J202" s="43" t="n">
        <f aca="false">G202*H202*1.5</f>
        <v>0</v>
      </c>
      <c r="K202" s="6" t="n">
        <v>22.49</v>
      </c>
      <c r="L202" s="43" t="n">
        <f aca="false">K202*'Chart of Accounts'!$E$68</f>
        <v>15.0683</v>
      </c>
      <c r="O202" s="42" t="n">
        <f aca="false">I202+J202+L202</f>
        <v>143.0184</v>
      </c>
    </row>
    <row r="203" customFormat="false" ht="15" hidden="false" customHeight="false" outlineLevel="0" collapsed="false">
      <c r="B203" s="7" t="s">
        <v>8836</v>
      </c>
      <c r="C203" s="39" t="n">
        <v>45670</v>
      </c>
      <c r="D203" s="7" t="s">
        <v>177</v>
      </c>
      <c r="E203" s="7" t="s">
        <v>180</v>
      </c>
      <c r="F203" s="6" t="n">
        <v>8.76</v>
      </c>
      <c r="G203" s="6" t="n">
        <v>0</v>
      </c>
      <c r="H203" s="41" t="n">
        <v>14.56</v>
      </c>
      <c r="I203" s="43" t="n">
        <f aca="false">F203*H203</f>
        <v>127.5456</v>
      </c>
      <c r="J203" s="43" t="n">
        <f aca="false">G203*H203*1.5</f>
        <v>0</v>
      </c>
      <c r="K203" s="6" t="n">
        <v>20.86</v>
      </c>
      <c r="L203" s="43" t="n">
        <f aca="false">K203*'Chart of Accounts'!$E$68</f>
        <v>13.9762</v>
      </c>
      <c r="O203" s="42" t="n">
        <f aca="false">I203+J203+L203</f>
        <v>141.5218</v>
      </c>
    </row>
    <row r="204" customFormat="false" ht="15" hidden="false" customHeight="false" outlineLevel="0" collapsed="false">
      <c r="B204" s="7" t="s">
        <v>8837</v>
      </c>
      <c r="C204" s="39" t="n">
        <v>45670</v>
      </c>
      <c r="D204" s="7" t="s">
        <v>232</v>
      </c>
      <c r="E204" s="7" t="s">
        <v>180</v>
      </c>
      <c r="F204" s="6" t="n">
        <v>7.83</v>
      </c>
      <c r="G204" s="6" t="n">
        <v>0</v>
      </c>
      <c r="H204" s="41" t="n">
        <v>16.17</v>
      </c>
      <c r="I204" s="43" t="n">
        <f aca="false">F204*H204</f>
        <v>126.6111</v>
      </c>
      <c r="J204" s="43" t="n">
        <f aca="false">G204*H204*1.5</f>
        <v>0</v>
      </c>
      <c r="K204" s="6" t="n">
        <v>27.2</v>
      </c>
      <c r="L204" s="43" t="n">
        <f aca="false">K204*'Chart of Accounts'!$E$68</f>
        <v>18.224</v>
      </c>
      <c r="O204" s="42" t="n">
        <f aca="false">I204+J204+L204</f>
        <v>144.8351</v>
      </c>
    </row>
    <row r="205" customFormat="false" ht="15" hidden="false" customHeight="false" outlineLevel="0" collapsed="false">
      <c r="B205" s="7" t="s">
        <v>8838</v>
      </c>
      <c r="C205" s="39" t="n">
        <v>45670</v>
      </c>
      <c r="D205" s="7" t="s">
        <v>242</v>
      </c>
      <c r="E205" s="7" t="s">
        <v>180</v>
      </c>
      <c r="F205" s="6" t="n">
        <v>7.4</v>
      </c>
      <c r="G205" s="6" t="n">
        <v>0</v>
      </c>
      <c r="H205" s="41" t="n">
        <v>17.99</v>
      </c>
      <c r="I205" s="43" t="n">
        <f aca="false">F205*H205</f>
        <v>133.126</v>
      </c>
      <c r="J205" s="43" t="n">
        <f aca="false">G205*H205*1.5</f>
        <v>0</v>
      </c>
      <c r="K205" s="6" t="n">
        <v>23.52</v>
      </c>
      <c r="L205" s="43" t="n">
        <f aca="false">K205*'Chart of Accounts'!$E$68</f>
        <v>15.7584</v>
      </c>
      <c r="O205" s="42" t="n">
        <f aca="false">I205+J205+L205</f>
        <v>148.8844</v>
      </c>
    </row>
    <row r="206" customFormat="false" ht="15" hidden="false" customHeight="false" outlineLevel="0" collapsed="false">
      <c r="B206" s="7" t="s">
        <v>8839</v>
      </c>
      <c r="C206" s="39" t="n">
        <v>45670</v>
      </c>
      <c r="D206" s="7" t="s">
        <v>222</v>
      </c>
      <c r="E206" s="7" t="s">
        <v>180</v>
      </c>
      <c r="F206" s="6" t="n">
        <v>7.06</v>
      </c>
      <c r="G206" s="6" t="n">
        <v>0</v>
      </c>
      <c r="H206" s="41" t="n">
        <v>17.84</v>
      </c>
      <c r="I206" s="43" t="n">
        <f aca="false">F206*H206</f>
        <v>125.9504</v>
      </c>
      <c r="J206" s="43" t="n">
        <f aca="false">G206*H206*1.5</f>
        <v>0</v>
      </c>
      <c r="K206" s="6" t="n">
        <v>15.58</v>
      </c>
      <c r="L206" s="43" t="n">
        <f aca="false">K206*'Chart of Accounts'!$E$68</f>
        <v>10.4386</v>
      </c>
      <c r="O206" s="42" t="n">
        <f aca="false">I206+J206+L206</f>
        <v>136.389</v>
      </c>
    </row>
    <row r="207" customFormat="false" ht="15" hidden="false" customHeight="false" outlineLevel="0" collapsed="false">
      <c r="B207" s="7" t="s">
        <v>8840</v>
      </c>
      <c r="C207" s="39" t="n">
        <v>45670</v>
      </c>
      <c r="D207" s="7" t="s">
        <v>262</v>
      </c>
      <c r="E207" s="7" t="s">
        <v>180</v>
      </c>
      <c r="F207" s="6" t="n">
        <v>7.08</v>
      </c>
      <c r="G207" s="6" t="n">
        <v>0</v>
      </c>
      <c r="H207" s="41" t="n">
        <v>16.02</v>
      </c>
      <c r="I207" s="43" t="n">
        <f aca="false">F207*H207</f>
        <v>113.4216</v>
      </c>
      <c r="J207" s="43" t="n">
        <f aca="false">G207*H207*1.5</f>
        <v>0</v>
      </c>
      <c r="K207" s="6" t="n">
        <v>16.5</v>
      </c>
      <c r="L207" s="43" t="n">
        <f aca="false">K207*'Chart of Accounts'!$E$68</f>
        <v>11.055</v>
      </c>
      <c r="O207" s="42" t="n">
        <f aca="false">I207+J207+L207</f>
        <v>124.4766</v>
      </c>
    </row>
    <row r="208" customFormat="false" ht="15" hidden="false" customHeight="false" outlineLevel="0" collapsed="false">
      <c r="B208" s="7" t="s">
        <v>8841</v>
      </c>
      <c r="C208" s="39" t="n">
        <v>45670</v>
      </c>
      <c r="D208" s="7" t="s">
        <v>254</v>
      </c>
      <c r="E208" s="7" t="s">
        <v>180</v>
      </c>
      <c r="F208" s="6" t="n">
        <v>7.02</v>
      </c>
      <c r="G208" s="6" t="n">
        <v>0</v>
      </c>
      <c r="H208" s="41" t="n">
        <v>17.1</v>
      </c>
      <c r="I208" s="43" t="n">
        <f aca="false">F208*H208</f>
        <v>120.042</v>
      </c>
      <c r="J208" s="43" t="n">
        <f aca="false">G208*H208*1.5</f>
        <v>0</v>
      </c>
      <c r="K208" s="6" t="n">
        <v>19.3</v>
      </c>
      <c r="L208" s="43" t="n">
        <f aca="false">K208*'Chart of Accounts'!$E$68</f>
        <v>12.931</v>
      </c>
      <c r="O208" s="42" t="n">
        <f aca="false">I208+J208+L208</f>
        <v>132.973</v>
      </c>
    </row>
    <row r="209" customFormat="false" ht="15" hidden="false" customHeight="false" outlineLevel="0" collapsed="false">
      <c r="B209" s="7" t="s">
        <v>8842</v>
      </c>
      <c r="C209" s="39" t="n">
        <v>45670</v>
      </c>
      <c r="D209" s="7" t="s">
        <v>246</v>
      </c>
      <c r="E209" s="7" t="s">
        <v>180</v>
      </c>
      <c r="F209" s="6" t="n">
        <v>7.68</v>
      </c>
      <c r="G209" s="6" t="n">
        <v>0</v>
      </c>
      <c r="H209" s="41" t="n">
        <v>16.48</v>
      </c>
      <c r="I209" s="43" t="n">
        <f aca="false">F209*H209</f>
        <v>126.5664</v>
      </c>
      <c r="J209" s="43" t="n">
        <f aca="false">G209*H209*1.5</f>
        <v>0</v>
      </c>
      <c r="K209" s="6" t="n">
        <v>22.71</v>
      </c>
      <c r="L209" s="43" t="n">
        <f aca="false">K209*'Chart of Accounts'!$E$68</f>
        <v>15.2157</v>
      </c>
      <c r="O209" s="42" t="n">
        <f aca="false">I209+J209+L209</f>
        <v>141.7821</v>
      </c>
    </row>
    <row r="210" customFormat="false" ht="15" hidden="false" customHeight="false" outlineLevel="0" collapsed="false">
      <c r="B210" s="7" t="s">
        <v>8843</v>
      </c>
      <c r="C210" s="39" t="n">
        <v>45670</v>
      </c>
      <c r="D210" s="7" t="s">
        <v>214</v>
      </c>
      <c r="E210" s="7" t="s">
        <v>180</v>
      </c>
      <c r="F210" s="6" t="n">
        <v>7.15</v>
      </c>
      <c r="G210" s="6" t="n">
        <v>0</v>
      </c>
      <c r="H210" s="41" t="n">
        <v>15.67</v>
      </c>
      <c r="I210" s="43" t="n">
        <f aca="false">F210*H210</f>
        <v>112.0405</v>
      </c>
      <c r="J210" s="43" t="n">
        <f aca="false">G210*H210*1.5</f>
        <v>0</v>
      </c>
      <c r="K210" s="6" t="n">
        <v>18.05</v>
      </c>
      <c r="L210" s="43" t="n">
        <f aca="false">K210*'Chart of Accounts'!$E$68</f>
        <v>12.0935</v>
      </c>
      <c r="O210" s="42" t="n">
        <f aca="false">I210+J210+L210</f>
        <v>124.134</v>
      </c>
    </row>
    <row r="211" customFormat="false" ht="15" hidden="false" customHeight="false" outlineLevel="0" collapsed="false">
      <c r="B211" s="7" t="s">
        <v>8844</v>
      </c>
      <c r="C211" s="39" t="n">
        <v>45671</v>
      </c>
      <c r="D211" s="7" t="s">
        <v>191</v>
      </c>
      <c r="E211" s="7" t="s">
        <v>180</v>
      </c>
      <c r="F211" s="6" t="n">
        <v>3.66</v>
      </c>
      <c r="G211" s="6" t="n">
        <v>0</v>
      </c>
      <c r="H211" s="41" t="n">
        <v>16.05</v>
      </c>
      <c r="I211" s="43" t="n">
        <f aca="false">F211*H211</f>
        <v>58.743</v>
      </c>
      <c r="J211" s="43" t="n">
        <f aca="false">G211*H211*1.5</f>
        <v>0</v>
      </c>
      <c r="K211" s="6" t="n">
        <v>11.3</v>
      </c>
      <c r="L211" s="43" t="n">
        <f aca="false">K211*'Chart of Accounts'!$E$68</f>
        <v>7.571</v>
      </c>
      <c r="O211" s="42" t="n">
        <f aca="false">I211+J211+L211</f>
        <v>66.314</v>
      </c>
    </row>
    <row r="212" customFormat="false" ht="15" hidden="false" customHeight="false" outlineLevel="0" collapsed="false">
      <c r="B212" s="7" t="s">
        <v>8845</v>
      </c>
      <c r="C212" s="39" t="n">
        <v>45671</v>
      </c>
      <c r="D212" s="7" t="s">
        <v>209</v>
      </c>
      <c r="E212" s="7" t="s">
        <v>158</v>
      </c>
      <c r="H212" s="41" t="n">
        <v>73.58</v>
      </c>
      <c r="M212" s="6" t="n">
        <v>2</v>
      </c>
      <c r="N212" s="43" t="n">
        <f aca="false">M212*H212</f>
        <v>147.16</v>
      </c>
      <c r="O212" s="42" t="n">
        <f aca="false">N212</f>
        <v>147.16</v>
      </c>
    </row>
    <row r="213" customFormat="false" ht="15" hidden="false" customHeight="false" outlineLevel="0" collapsed="false">
      <c r="B213" s="7" t="s">
        <v>8846</v>
      </c>
      <c r="C213" s="39" t="n">
        <v>45671</v>
      </c>
      <c r="D213" s="7" t="s">
        <v>184</v>
      </c>
      <c r="E213" s="7" t="s">
        <v>180</v>
      </c>
      <c r="F213" s="6" t="n">
        <v>4.37</v>
      </c>
      <c r="G213" s="6" t="n">
        <v>0</v>
      </c>
      <c r="H213" s="41" t="n">
        <v>17.34</v>
      </c>
      <c r="I213" s="43" t="n">
        <f aca="false">F213*H213</f>
        <v>75.7758</v>
      </c>
      <c r="J213" s="43" t="n">
        <f aca="false">G213*H213*1.5</f>
        <v>0</v>
      </c>
      <c r="K213" s="6" t="n">
        <v>13.01</v>
      </c>
      <c r="L213" s="43" t="n">
        <f aca="false">K213*'Chart of Accounts'!$E$68</f>
        <v>8.7167</v>
      </c>
      <c r="O213" s="42" t="n">
        <f aca="false">I213+J213+L213</f>
        <v>84.4925</v>
      </c>
    </row>
    <row r="214" customFormat="false" ht="15" hidden="false" customHeight="false" outlineLevel="0" collapsed="false">
      <c r="B214" s="7" t="s">
        <v>8847</v>
      </c>
      <c r="C214" s="39" t="n">
        <v>45671</v>
      </c>
      <c r="D214" s="7" t="s">
        <v>234</v>
      </c>
      <c r="E214" s="7" t="s">
        <v>158</v>
      </c>
      <c r="H214" s="41" t="n">
        <v>89.53</v>
      </c>
      <c r="M214" s="6" t="n">
        <v>2</v>
      </c>
      <c r="N214" s="43" t="n">
        <f aca="false">M214*H214</f>
        <v>179.06</v>
      </c>
      <c r="O214" s="42" t="n">
        <f aca="false">N214</f>
        <v>179.06</v>
      </c>
    </row>
    <row r="215" customFormat="false" ht="15" hidden="false" customHeight="false" outlineLevel="0" collapsed="false">
      <c r="B215" s="7" t="s">
        <v>8848</v>
      </c>
      <c r="C215" s="39" t="n">
        <v>45671</v>
      </c>
      <c r="D215" s="7" t="s">
        <v>218</v>
      </c>
      <c r="E215" s="7" t="s">
        <v>180</v>
      </c>
      <c r="F215" s="6" t="n">
        <v>3.72</v>
      </c>
      <c r="G215" s="6" t="n">
        <v>0</v>
      </c>
      <c r="H215" s="41" t="n">
        <v>16.19</v>
      </c>
      <c r="I215" s="43" t="n">
        <f aca="false">F215*H215</f>
        <v>60.2268</v>
      </c>
      <c r="J215" s="43" t="n">
        <f aca="false">G215*H215*1.5</f>
        <v>0</v>
      </c>
      <c r="K215" s="6" t="n">
        <v>9.85</v>
      </c>
      <c r="L215" s="43" t="n">
        <f aca="false">K215*'Chart of Accounts'!$E$68</f>
        <v>6.5995</v>
      </c>
      <c r="O215" s="42" t="n">
        <f aca="false">I215+J215+L215</f>
        <v>66.8263</v>
      </c>
    </row>
    <row r="216" customFormat="false" ht="15" hidden="false" customHeight="false" outlineLevel="0" collapsed="false">
      <c r="B216" s="7" t="s">
        <v>8849</v>
      </c>
      <c r="C216" s="39" t="n">
        <v>45671</v>
      </c>
      <c r="D216" s="7" t="s">
        <v>266</v>
      </c>
      <c r="E216" s="7" t="s">
        <v>158</v>
      </c>
      <c r="H216" s="41" t="n">
        <v>75.18</v>
      </c>
      <c r="M216" s="6" t="n">
        <v>1</v>
      </c>
      <c r="N216" s="43" t="n">
        <f aca="false">M216*H216</f>
        <v>75.18</v>
      </c>
      <c r="O216" s="42" t="n">
        <f aca="false">N216</f>
        <v>75.18</v>
      </c>
    </row>
    <row r="217" customFormat="false" ht="15" hidden="false" customHeight="false" outlineLevel="0" collapsed="false">
      <c r="B217" s="7" t="s">
        <v>8850</v>
      </c>
      <c r="C217" s="39" t="n">
        <v>45671</v>
      </c>
      <c r="D217" s="7" t="s">
        <v>228</v>
      </c>
      <c r="E217" s="7" t="s">
        <v>158</v>
      </c>
      <c r="H217" s="41" t="n">
        <v>51.07</v>
      </c>
      <c r="M217" s="6" t="n">
        <v>1</v>
      </c>
      <c r="N217" s="43" t="n">
        <f aca="false">M217*H217</f>
        <v>51.07</v>
      </c>
      <c r="O217" s="42" t="n">
        <f aca="false">N217</f>
        <v>51.07</v>
      </c>
    </row>
    <row r="218" customFormat="false" ht="15" hidden="false" customHeight="false" outlineLevel="0" collapsed="false">
      <c r="B218" s="7" t="s">
        <v>8851</v>
      </c>
      <c r="C218" s="39" t="n">
        <v>45671</v>
      </c>
      <c r="D218" s="7" t="s">
        <v>220</v>
      </c>
      <c r="E218" s="7" t="s">
        <v>180</v>
      </c>
      <c r="F218" s="6" t="n">
        <v>4.31</v>
      </c>
      <c r="G218" s="6" t="n">
        <v>0</v>
      </c>
      <c r="H218" s="41" t="n">
        <v>16.43</v>
      </c>
      <c r="I218" s="43" t="n">
        <f aca="false">F218*H218</f>
        <v>70.8133</v>
      </c>
      <c r="J218" s="43" t="n">
        <f aca="false">G218*H218*1.5</f>
        <v>0</v>
      </c>
      <c r="K218" s="6" t="n">
        <v>10.92</v>
      </c>
      <c r="L218" s="43" t="n">
        <f aca="false">K218*'Chart of Accounts'!$E$68</f>
        <v>7.3164</v>
      </c>
      <c r="O218" s="42" t="n">
        <f aca="false">I218+J218+L218</f>
        <v>78.1297</v>
      </c>
    </row>
    <row r="219" customFormat="false" ht="15" hidden="false" customHeight="false" outlineLevel="0" collapsed="false">
      <c r="B219" s="7" t="s">
        <v>8852</v>
      </c>
      <c r="C219" s="39" t="n">
        <v>45671</v>
      </c>
      <c r="D219" s="7" t="s">
        <v>212</v>
      </c>
      <c r="E219" s="7" t="s">
        <v>180</v>
      </c>
      <c r="F219" s="6" t="n">
        <v>3.86</v>
      </c>
      <c r="G219" s="6" t="n">
        <v>0</v>
      </c>
      <c r="H219" s="41" t="n">
        <v>16.71</v>
      </c>
      <c r="I219" s="43" t="n">
        <f aca="false">F219*H219</f>
        <v>64.5006</v>
      </c>
      <c r="J219" s="43" t="n">
        <f aca="false">G219*H219*1.5</f>
        <v>0</v>
      </c>
      <c r="K219" s="6" t="n">
        <v>10.57</v>
      </c>
      <c r="L219" s="43" t="n">
        <f aca="false">K219*'Chart of Accounts'!$E$68</f>
        <v>7.0819</v>
      </c>
      <c r="O219" s="42" t="n">
        <f aca="false">I219+J219+L219</f>
        <v>71.5825</v>
      </c>
    </row>
    <row r="220" customFormat="false" ht="15" hidden="false" customHeight="false" outlineLevel="0" collapsed="false">
      <c r="B220" s="7" t="s">
        <v>8853</v>
      </c>
      <c r="C220" s="39" t="n">
        <v>45671</v>
      </c>
      <c r="D220" s="7" t="s">
        <v>246</v>
      </c>
      <c r="E220" s="7" t="s">
        <v>180</v>
      </c>
      <c r="F220" s="6" t="n">
        <v>3.66</v>
      </c>
      <c r="G220" s="6" t="n">
        <v>0</v>
      </c>
      <c r="H220" s="41" t="n">
        <v>16.48</v>
      </c>
      <c r="I220" s="43" t="n">
        <f aca="false">F220*H220</f>
        <v>60.3168</v>
      </c>
      <c r="J220" s="43" t="n">
        <f aca="false">G220*H220*1.5</f>
        <v>0</v>
      </c>
      <c r="K220" s="6" t="n">
        <v>9.38</v>
      </c>
      <c r="L220" s="43" t="n">
        <f aca="false">K220*'Chart of Accounts'!$E$68</f>
        <v>6.2846</v>
      </c>
      <c r="O220" s="42" t="n">
        <f aca="false">I220+J220+L220</f>
        <v>66.6014</v>
      </c>
    </row>
    <row r="221" customFormat="false" ht="15" hidden="false" customHeight="false" outlineLevel="0" collapsed="false">
      <c r="B221" s="7" t="s">
        <v>8854</v>
      </c>
      <c r="C221" s="39" t="n">
        <v>45671</v>
      </c>
      <c r="D221" s="7" t="s">
        <v>222</v>
      </c>
      <c r="E221" s="7" t="s">
        <v>180</v>
      </c>
      <c r="F221" s="6" t="n">
        <v>3.89</v>
      </c>
      <c r="G221" s="6" t="n">
        <v>0</v>
      </c>
      <c r="H221" s="41" t="n">
        <v>17.84</v>
      </c>
      <c r="I221" s="43" t="n">
        <f aca="false">F221*H221</f>
        <v>69.3976</v>
      </c>
      <c r="J221" s="43" t="n">
        <f aca="false">G221*H221*1.5</f>
        <v>0</v>
      </c>
      <c r="K221" s="6" t="n">
        <v>12.68</v>
      </c>
      <c r="L221" s="43" t="n">
        <f aca="false">K221*'Chart of Accounts'!$E$68</f>
        <v>8.4956</v>
      </c>
      <c r="O221" s="42" t="n">
        <f aca="false">I221+J221+L221</f>
        <v>77.8932</v>
      </c>
    </row>
    <row r="222" customFormat="false" ht="15" hidden="false" customHeight="false" outlineLevel="0" collapsed="false">
      <c r="B222" s="7" t="s">
        <v>8855</v>
      </c>
      <c r="C222" s="39" t="n">
        <v>45671</v>
      </c>
      <c r="D222" s="7" t="s">
        <v>242</v>
      </c>
      <c r="E222" s="7" t="s">
        <v>180</v>
      </c>
      <c r="F222" s="6" t="n">
        <v>4.38</v>
      </c>
      <c r="G222" s="6" t="n">
        <v>0</v>
      </c>
      <c r="H222" s="41" t="n">
        <v>17.99</v>
      </c>
      <c r="I222" s="43" t="n">
        <f aca="false">F222*H222</f>
        <v>78.7962</v>
      </c>
      <c r="J222" s="43" t="n">
        <f aca="false">G222*H222*1.5</f>
        <v>0</v>
      </c>
      <c r="K222" s="6" t="n">
        <v>12.42</v>
      </c>
      <c r="L222" s="43" t="n">
        <f aca="false">K222*'Chart of Accounts'!$E$68</f>
        <v>8.3214</v>
      </c>
      <c r="O222" s="42" t="n">
        <f aca="false">I222+J222+L222</f>
        <v>87.1176</v>
      </c>
    </row>
    <row r="223" customFormat="false" ht="15" hidden="false" customHeight="false" outlineLevel="0" collapsed="false">
      <c r="B223" s="7" t="s">
        <v>8856</v>
      </c>
      <c r="C223" s="39" t="n">
        <v>45671</v>
      </c>
      <c r="D223" s="7" t="s">
        <v>254</v>
      </c>
      <c r="E223" s="7" t="s">
        <v>180</v>
      </c>
      <c r="F223" s="6" t="n">
        <v>3.91</v>
      </c>
      <c r="G223" s="6" t="n">
        <v>0</v>
      </c>
      <c r="H223" s="41" t="n">
        <v>17.1</v>
      </c>
      <c r="I223" s="43" t="n">
        <f aca="false">F223*H223</f>
        <v>66.861</v>
      </c>
      <c r="J223" s="43" t="n">
        <f aca="false">G223*H223*1.5</f>
        <v>0</v>
      </c>
      <c r="K223" s="6" t="n">
        <v>13.16</v>
      </c>
      <c r="L223" s="43" t="n">
        <f aca="false">K223*'Chart of Accounts'!$E$68</f>
        <v>8.8172</v>
      </c>
      <c r="O223" s="42" t="n">
        <f aca="false">I223+J223+L223</f>
        <v>75.6782</v>
      </c>
    </row>
    <row r="224" customFormat="false" ht="15" hidden="false" customHeight="false" outlineLevel="0" collapsed="false">
      <c r="B224" s="7" t="s">
        <v>8857</v>
      </c>
      <c r="C224" s="39" t="n">
        <v>45671</v>
      </c>
      <c r="D224" s="7" t="s">
        <v>260</v>
      </c>
      <c r="E224" s="7" t="s">
        <v>158</v>
      </c>
      <c r="H224" s="41" t="n">
        <v>79.8</v>
      </c>
      <c r="M224" s="6" t="n">
        <v>1</v>
      </c>
      <c r="N224" s="43" t="n">
        <f aca="false">M224*H224</f>
        <v>79.8</v>
      </c>
      <c r="O224" s="42" t="n">
        <f aca="false">N224</f>
        <v>79.8</v>
      </c>
    </row>
    <row r="225" customFormat="false" ht="15" hidden="false" customHeight="false" outlineLevel="0" collapsed="false">
      <c r="B225" s="7" t="s">
        <v>8858</v>
      </c>
      <c r="C225" s="39" t="n">
        <v>45672</v>
      </c>
      <c r="D225" s="7" t="s">
        <v>187</v>
      </c>
      <c r="E225" s="7" t="s">
        <v>158</v>
      </c>
      <c r="H225" s="41" t="n">
        <v>66.48</v>
      </c>
      <c r="M225" s="6" t="n">
        <v>1</v>
      </c>
      <c r="N225" s="43" t="n">
        <f aca="false">M225*H225</f>
        <v>66.48</v>
      </c>
      <c r="O225" s="42" t="n">
        <f aca="false">N225</f>
        <v>66.48</v>
      </c>
    </row>
    <row r="226" customFormat="false" ht="15" hidden="false" customHeight="false" outlineLevel="0" collapsed="false">
      <c r="B226" s="7" t="s">
        <v>8859</v>
      </c>
      <c r="C226" s="39" t="n">
        <v>45672</v>
      </c>
      <c r="D226" s="7" t="s">
        <v>228</v>
      </c>
      <c r="E226" s="7" t="s">
        <v>158</v>
      </c>
      <c r="H226" s="41" t="n">
        <v>51.07</v>
      </c>
      <c r="M226" s="6" t="n">
        <v>1</v>
      </c>
      <c r="N226" s="43" t="n">
        <f aca="false">M226*H226</f>
        <v>51.07</v>
      </c>
      <c r="O226" s="42" t="n">
        <f aca="false">N226</f>
        <v>51.07</v>
      </c>
    </row>
    <row r="227" customFormat="false" ht="15" hidden="false" customHeight="false" outlineLevel="0" collapsed="false">
      <c r="B227" s="7" t="s">
        <v>8860</v>
      </c>
      <c r="C227" s="39" t="n">
        <v>45672</v>
      </c>
      <c r="D227" s="7" t="s">
        <v>191</v>
      </c>
      <c r="E227" s="7" t="s">
        <v>180</v>
      </c>
      <c r="F227" s="6" t="n">
        <v>4.25</v>
      </c>
      <c r="G227" s="6" t="n">
        <v>0</v>
      </c>
      <c r="H227" s="41" t="n">
        <v>16.05</v>
      </c>
      <c r="I227" s="43" t="n">
        <f aca="false">F227*H227</f>
        <v>68.2125</v>
      </c>
      <c r="J227" s="43" t="n">
        <f aca="false">G227*H227*1.5</f>
        <v>0</v>
      </c>
      <c r="K227" s="6" t="n">
        <v>12.07</v>
      </c>
      <c r="L227" s="43" t="n">
        <f aca="false">K227*'Chart of Accounts'!$E$68</f>
        <v>8.0869</v>
      </c>
      <c r="O227" s="42" t="n">
        <f aca="false">I227+J227+L227</f>
        <v>76.2994</v>
      </c>
    </row>
    <row r="228" customFormat="false" ht="15" hidden="false" customHeight="false" outlineLevel="0" collapsed="false">
      <c r="B228" s="7" t="s">
        <v>8861</v>
      </c>
      <c r="C228" s="39" t="n">
        <v>45672</v>
      </c>
      <c r="D228" s="7" t="s">
        <v>194</v>
      </c>
      <c r="E228" s="7" t="s">
        <v>180</v>
      </c>
      <c r="F228" s="6" t="n">
        <v>4.28</v>
      </c>
      <c r="G228" s="6" t="n">
        <v>0</v>
      </c>
      <c r="H228" s="41" t="n">
        <v>16</v>
      </c>
      <c r="I228" s="43" t="n">
        <f aca="false">F228*H228</f>
        <v>68.48</v>
      </c>
      <c r="J228" s="43" t="n">
        <f aca="false">G228*H228*1.5</f>
        <v>0</v>
      </c>
      <c r="K228" s="6" t="n">
        <v>14.6</v>
      </c>
      <c r="L228" s="43" t="n">
        <f aca="false">K228*'Chart of Accounts'!$E$68</f>
        <v>9.782</v>
      </c>
      <c r="O228" s="42" t="n">
        <f aca="false">I228+J228+L228</f>
        <v>78.262</v>
      </c>
    </row>
    <row r="229" customFormat="false" ht="15" hidden="false" customHeight="false" outlineLevel="0" collapsed="false">
      <c r="B229" s="7" t="s">
        <v>8862</v>
      </c>
      <c r="C229" s="39" t="n">
        <v>45672</v>
      </c>
      <c r="D229" s="7" t="s">
        <v>205</v>
      </c>
      <c r="E229" s="7" t="s">
        <v>180</v>
      </c>
      <c r="F229" s="6" t="n">
        <v>4.17</v>
      </c>
      <c r="G229" s="6" t="n">
        <v>0</v>
      </c>
      <c r="H229" s="41" t="n">
        <v>16.36</v>
      </c>
      <c r="I229" s="43" t="n">
        <f aca="false">F229*H229</f>
        <v>68.2212</v>
      </c>
      <c r="J229" s="43" t="n">
        <f aca="false">G229*H229*1.5</f>
        <v>0</v>
      </c>
      <c r="K229" s="6" t="n">
        <v>11.72</v>
      </c>
      <c r="L229" s="43" t="n">
        <f aca="false">K229*'Chart of Accounts'!$E$68</f>
        <v>7.8524</v>
      </c>
      <c r="O229" s="42" t="n">
        <f aca="false">I229+J229+L229</f>
        <v>76.0736</v>
      </c>
    </row>
    <row r="230" customFormat="false" ht="15" hidden="false" customHeight="false" outlineLevel="0" collapsed="false">
      <c r="B230" s="7" t="s">
        <v>8863</v>
      </c>
      <c r="C230" s="39" t="n">
        <v>45672</v>
      </c>
      <c r="D230" s="7" t="s">
        <v>252</v>
      </c>
      <c r="E230" s="7" t="s">
        <v>158</v>
      </c>
      <c r="H230" s="41" t="n">
        <v>57.54</v>
      </c>
      <c r="M230" s="6" t="n">
        <v>1</v>
      </c>
      <c r="N230" s="43" t="n">
        <f aca="false">M230*H230</f>
        <v>57.54</v>
      </c>
      <c r="O230" s="42" t="n">
        <f aca="false">N230</f>
        <v>57.54</v>
      </c>
    </row>
    <row r="231" customFormat="false" ht="15" hidden="false" customHeight="false" outlineLevel="0" collapsed="false">
      <c r="B231" s="7" t="s">
        <v>8864</v>
      </c>
      <c r="C231" s="39" t="n">
        <v>45672</v>
      </c>
      <c r="D231" s="7" t="s">
        <v>184</v>
      </c>
      <c r="E231" s="7" t="s">
        <v>180</v>
      </c>
      <c r="F231" s="6" t="n">
        <v>3.91</v>
      </c>
      <c r="G231" s="6" t="n">
        <v>0</v>
      </c>
      <c r="H231" s="41" t="n">
        <v>17.34</v>
      </c>
      <c r="I231" s="43" t="n">
        <f aca="false">F231*H231</f>
        <v>67.7994</v>
      </c>
      <c r="J231" s="43" t="n">
        <f aca="false">G231*H231*1.5</f>
        <v>0</v>
      </c>
      <c r="K231" s="6" t="n">
        <v>8.93</v>
      </c>
      <c r="L231" s="43" t="n">
        <f aca="false">K231*'Chart of Accounts'!$E$68</f>
        <v>5.9831</v>
      </c>
      <c r="O231" s="42" t="n">
        <f aca="false">I231+J231+L231</f>
        <v>73.7825</v>
      </c>
    </row>
    <row r="232" customFormat="false" ht="15" hidden="false" customHeight="false" outlineLevel="0" collapsed="false">
      <c r="B232" s="7" t="s">
        <v>8865</v>
      </c>
      <c r="C232" s="39" t="n">
        <v>45672</v>
      </c>
      <c r="D232" s="7" t="s">
        <v>218</v>
      </c>
      <c r="E232" s="7" t="s">
        <v>180</v>
      </c>
      <c r="F232" s="6" t="n">
        <v>3.64</v>
      </c>
      <c r="G232" s="6" t="n">
        <v>0</v>
      </c>
      <c r="H232" s="41" t="n">
        <v>16.19</v>
      </c>
      <c r="I232" s="43" t="n">
        <f aca="false">F232*H232</f>
        <v>58.9316</v>
      </c>
      <c r="J232" s="43" t="n">
        <f aca="false">G232*H232*1.5</f>
        <v>0</v>
      </c>
      <c r="K232" s="6" t="n">
        <v>9.98</v>
      </c>
      <c r="L232" s="43" t="n">
        <f aca="false">K232*'Chart of Accounts'!$E$68</f>
        <v>6.6866</v>
      </c>
      <c r="O232" s="42" t="n">
        <f aca="false">I232+J232+L232</f>
        <v>65.6182</v>
      </c>
    </row>
    <row r="233" customFormat="false" ht="15" hidden="false" customHeight="false" outlineLevel="0" collapsed="false">
      <c r="B233" s="7" t="s">
        <v>8866</v>
      </c>
      <c r="C233" s="39" t="n">
        <v>45672</v>
      </c>
      <c r="D233" s="7" t="s">
        <v>220</v>
      </c>
      <c r="E233" s="7" t="s">
        <v>180</v>
      </c>
      <c r="F233" s="6" t="n">
        <v>3.86</v>
      </c>
      <c r="G233" s="6" t="n">
        <v>0</v>
      </c>
      <c r="H233" s="41" t="n">
        <v>16.43</v>
      </c>
      <c r="I233" s="43" t="n">
        <f aca="false">F233*H233</f>
        <v>63.4198</v>
      </c>
      <c r="J233" s="43" t="n">
        <f aca="false">G233*H233*1.5</f>
        <v>0</v>
      </c>
      <c r="K233" s="6" t="n">
        <v>9.7</v>
      </c>
      <c r="L233" s="43" t="n">
        <f aca="false">K233*'Chart of Accounts'!$E$68</f>
        <v>6.499</v>
      </c>
      <c r="O233" s="42" t="n">
        <f aca="false">I233+J233+L233</f>
        <v>69.9188</v>
      </c>
    </row>
    <row r="234" customFormat="false" ht="15" hidden="false" customHeight="false" outlineLevel="0" collapsed="false">
      <c r="B234" s="7" t="s">
        <v>8867</v>
      </c>
      <c r="C234" s="39" t="n">
        <v>45672</v>
      </c>
      <c r="D234" s="7" t="s">
        <v>177</v>
      </c>
      <c r="E234" s="7" t="s">
        <v>180</v>
      </c>
      <c r="F234" s="6" t="n">
        <v>8.78</v>
      </c>
      <c r="G234" s="6" t="n">
        <v>0</v>
      </c>
      <c r="H234" s="41" t="n">
        <v>14.56</v>
      </c>
      <c r="I234" s="43" t="n">
        <f aca="false">F234*H234</f>
        <v>127.8368</v>
      </c>
      <c r="J234" s="43" t="n">
        <f aca="false">G234*H234*1.5</f>
        <v>0</v>
      </c>
      <c r="K234" s="6" t="n">
        <v>23.31</v>
      </c>
      <c r="L234" s="43" t="n">
        <f aca="false">K234*'Chart of Accounts'!$E$68</f>
        <v>15.6177</v>
      </c>
      <c r="O234" s="42" t="n">
        <f aca="false">I234+J234+L234</f>
        <v>143.4545</v>
      </c>
    </row>
    <row r="235" customFormat="false" ht="15" hidden="false" customHeight="false" outlineLevel="0" collapsed="false">
      <c r="B235" s="7" t="s">
        <v>8868</v>
      </c>
      <c r="C235" s="39" t="n">
        <v>45672</v>
      </c>
      <c r="D235" s="7" t="s">
        <v>242</v>
      </c>
      <c r="E235" s="7" t="s">
        <v>180</v>
      </c>
      <c r="F235" s="6" t="n">
        <v>7.06</v>
      </c>
      <c r="G235" s="6" t="n">
        <v>0</v>
      </c>
      <c r="H235" s="41" t="n">
        <v>17.99</v>
      </c>
      <c r="I235" s="43" t="n">
        <f aca="false">F235*H235</f>
        <v>127.0094</v>
      </c>
      <c r="J235" s="43" t="n">
        <f aca="false">G235*H235*1.5</f>
        <v>0</v>
      </c>
      <c r="K235" s="6" t="n">
        <v>24.96</v>
      </c>
      <c r="L235" s="43" t="n">
        <f aca="false">K235*'Chart of Accounts'!$E$68</f>
        <v>16.7232</v>
      </c>
      <c r="O235" s="42" t="n">
        <f aca="false">I235+J235+L235</f>
        <v>143.7326</v>
      </c>
    </row>
    <row r="236" customFormat="false" ht="15" hidden="false" customHeight="false" outlineLevel="0" collapsed="false">
      <c r="B236" s="7" t="s">
        <v>8869</v>
      </c>
      <c r="C236" s="39" t="n">
        <v>45672</v>
      </c>
      <c r="D236" s="7" t="s">
        <v>254</v>
      </c>
      <c r="E236" s="7" t="s">
        <v>180</v>
      </c>
      <c r="F236" s="6" t="n">
        <v>7.07</v>
      </c>
      <c r="G236" s="6" t="n">
        <v>0</v>
      </c>
      <c r="H236" s="41" t="n">
        <v>17.1</v>
      </c>
      <c r="I236" s="43" t="n">
        <f aca="false">F236*H236</f>
        <v>120.897</v>
      </c>
      <c r="J236" s="43" t="n">
        <f aca="false">G236*H236*1.5</f>
        <v>0</v>
      </c>
      <c r="K236" s="6" t="n">
        <v>23.9</v>
      </c>
      <c r="L236" s="43" t="n">
        <f aca="false">K236*'Chart of Accounts'!$E$68</f>
        <v>16.013</v>
      </c>
      <c r="O236" s="42" t="n">
        <f aca="false">I236+J236+L236</f>
        <v>136.91</v>
      </c>
    </row>
    <row r="237" customFormat="false" ht="15" hidden="false" customHeight="false" outlineLevel="0" collapsed="false">
      <c r="B237" s="7" t="s">
        <v>8870</v>
      </c>
      <c r="C237" s="39" t="n">
        <v>45672</v>
      </c>
      <c r="D237" s="7" t="s">
        <v>201</v>
      </c>
      <c r="E237" s="7" t="s">
        <v>180</v>
      </c>
      <c r="F237" s="6" t="n">
        <v>3.44</v>
      </c>
      <c r="G237" s="6" t="n">
        <v>0</v>
      </c>
      <c r="H237" s="41" t="n">
        <v>15.19</v>
      </c>
      <c r="I237" s="43" t="n">
        <f aca="false">F237*H237</f>
        <v>52.2536</v>
      </c>
      <c r="J237" s="43" t="n">
        <f aca="false">G237*H237*1.5</f>
        <v>0</v>
      </c>
      <c r="K237" s="6" t="n">
        <v>12.05</v>
      </c>
      <c r="L237" s="43" t="n">
        <f aca="false">K237*'Chart of Accounts'!$E$68</f>
        <v>8.0735</v>
      </c>
      <c r="O237" s="42" t="n">
        <f aca="false">I237+J237+L237</f>
        <v>60.3271</v>
      </c>
    </row>
    <row r="238" customFormat="false" ht="15" hidden="false" customHeight="false" outlineLevel="0" collapsed="false">
      <c r="B238" s="7" t="s">
        <v>8871</v>
      </c>
      <c r="C238" s="39" t="n">
        <v>45672</v>
      </c>
      <c r="D238" s="7" t="s">
        <v>207</v>
      </c>
      <c r="E238" s="7" t="s">
        <v>180</v>
      </c>
      <c r="F238" s="6" t="n">
        <v>3.47</v>
      </c>
      <c r="G238" s="6" t="n">
        <v>0</v>
      </c>
      <c r="H238" s="41" t="n">
        <v>16.65</v>
      </c>
      <c r="I238" s="43" t="n">
        <f aca="false">F238*H238</f>
        <v>57.7755</v>
      </c>
      <c r="J238" s="43" t="n">
        <f aca="false">G238*H238*1.5</f>
        <v>0</v>
      </c>
      <c r="K238" s="6" t="n">
        <v>11.52</v>
      </c>
      <c r="L238" s="43" t="n">
        <f aca="false">K238*'Chart of Accounts'!$E$68</f>
        <v>7.7184</v>
      </c>
      <c r="O238" s="42" t="n">
        <f aca="false">I238+J238+L238</f>
        <v>65.4939</v>
      </c>
    </row>
    <row r="239" customFormat="false" ht="15" hidden="false" customHeight="false" outlineLevel="0" collapsed="false">
      <c r="B239" s="7" t="s">
        <v>8872</v>
      </c>
      <c r="C239" s="39" t="n">
        <v>45672</v>
      </c>
      <c r="D239" s="7" t="s">
        <v>212</v>
      </c>
      <c r="E239" s="7" t="s">
        <v>180</v>
      </c>
      <c r="F239" s="6" t="n">
        <v>4.11</v>
      </c>
      <c r="G239" s="6" t="n">
        <v>0</v>
      </c>
      <c r="H239" s="41" t="n">
        <v>16.71</v>
      </c>
      <c r="I239" s="43" t="n">
        <f aca="false">F239*H239</f>
        <v>68.6781</v>
      </c>
      <c r="J239" s="43" t="n">
        <f aca="false">G239*H239*1.5</f>
        <v>0</v>
      </c>
      <c r="K239" s="6" t="n">
        <v>11.66</v>
      </c>
      <c r="L239" s="43" t="n">
        <f aca="false">K239*'Chart of Accounts'!$E$68</f>
        <v>7.8122</v>
      </c>
      <c r="O239" s="42" t="n">
        <f aca="false">I239+J239+L239</f>
        <v>76.4903</v>
      </c>
    </row>
    <row r="240" customFormat="false" ht="15" hidden="false" customHeight="false" outlineLevel="0" collapsed="false">
      <c r="B240" s="7" t="s">
        <v>8873</v>
      </c>
      <c r="C240" s="39" t="n">
        <v>45672</v>
      </c>
      <c r="D240" s="7" t="s">
        <v>232</v>
      </c>
      <c r="E240" s="7" t="s">
        <v>180</v>
      </c>
      <c r="F240" s="6" t="n">
        <v>4.86</v>
      </c>
      <c r="G240" s="6" t="n">
        <v>0</v>
      </c>
      <c r="H240" s="41" t="n">
        <v>16.17</v>
      </c>
      <c r="I240" s="43" t="n">
        <f aca="false">F240*H240</f>
        <v>78.5862</v>
      </c>
      <c r="J240" s="43" t="n">
        <f aca="false">G240*H240*1.5</f>
        <v>0</v>
      </c>
      <c r="K240" s="6" t="n">
        <v>15.01</v>
      </c>
      <c r="L240" s="43" t="n">
        <f aca="false">K240*'Chart of Accounts'!$E$68</f>
        <v>10.0567</v>
      </c>
      <c r="O240" s="42" t="n">
        <f aca="false">I240+J240+L240</f>
        <v>88.6429</v>
      </c>
    </row>
    <row r="241" customFormat="false" ht="15" hidden="false" customHeight="false" outlineLevel="0" collapsed="false">
      <c r="B241" s="7" t="s">
        <v>8874</v>
      </c>
      <c r="C241" s="39" t="n">
        <v>45672</v>
      </c>
      <c r="D241" s="7" t="s">
        <v>224</v>
      </c>
      <c r="E241" s="7" t="s">
        <v>180</v>
      </c>
      <c r="F241" s="6" t="n">
        <v>5.05</v>
      </c>
      <c r="G241" s="6" t="n">
        <v>0</v>
      </c>
      <c r="H241" s="41" t="n">
        <v>14.93</v>
      </c>
      <c r="I241" s="43" t="n">
        <f aca="false">F241*H241</f>
        <v>75.3965</v>
      </c>
      <c r="J241" s="43" t="n">
        <f aca="false">G241*H241*1.5</f>
        <v>0</v>
      </c>
      <c r="K241" s="6" t="n">
        <v>17.06</v>
      </c>
      <c r="L241" s="43" t="n">
        <f aca="false">K241*'Chart of Accounts'!$E$68</f>
        <v>11.4302</v>
      </c>
      <c r="O241" s="42" t="n">
        <f aca="false">I241+J241+L241</f>
        <v>86.8267</v>
      </c>
    </row>
    <row r="242" customFormat="false" ht="15" hidden="false" customHeight="false" outlineLevel="0" collapsed="false">
      <c r="B242" s="7" t="s">
        <v>8875</v>
      </c>
      <c r="C242" s="39" t="n">
        <v>45672</v>
      </c>
      <c r="D242" s="7" t="s">
        <v>222</v>
      </c>
      <c r="E242" s="7" t="s">
        <v>180</v>
      </c>
      <c r="F242" s="6" t="n">
        <v>3.74</v>
      </c>
      <c r="G242" s="6" t="n">
        <v>0</v>
      </c>
      <c r="H242" s="41" t="n">
        <v>17.84</v>
      </c>
      <c r="I242" s="43" t="n">
        <f aca="false">F242*H242</f>
        <v>66.7216</v>
      </c>
      <c r="J242" s="43" t="n">
        <f aca="false">G242*H242*1.5</f>
        <v>0</v>
      </c>
      <c r="K242" s="6" t="n">
        <v>12.64</v>
      </c>
      <c r="L242" s="43" t="n">
        <f aca="false">K242*'Chart of Accounts'!$E$68</f>
        <v>8.4688</v>
      </c>
      <c r="O242" s="42" t="n">
        <f aca="false">I242+J242+L242</f>
        <v>75.1904</v>
      </c>
    </row>
    <row r="243" customFormat="false" ht="15" hidden="false" customHeight="false" outlineLevel="0" collapsed="false">
      <c r="B243" s="7" t="s">
        <v>8876</v>
      </c>
      <c r="C243" s="39" t="n">
        <v>45672</v>
      </c>
      <c r="D243" s="7" t="s">
        <v>203</v>
      </c>
      <c r="E243" s="7" t="s">
        <v>158</v>
      </c>
      <c r="H243" s="41" t="n">
        <v>49.43</v>
      </c>
      <c r="M243" s="6" t="n">
        <v>1</v>
      </c>
      <c r="N243" s="43" t="n">
        <f aca="false">M243*H243</f>
        <v>49.43</v>
      </c>
      <c r="O243" s="42" t="n">
        <f aca="false">N243</f>
        <v>49.43</v>
      </c>
    </row>
    <row r="244" customFormat="false" ht="15" hidden="false" customHeight="false" outlineLevel="0" collapsed="false">
      <c r="B244" s="7" t="s">
        <v>8877</v>
      </c>
      <c r="C244" s="39" t="n">
        <v>45672</v>
      </c>
      <c r="D244" s="7" t="s">
        <v>262</v>
      </c>
      <c r="E244" s="7" t="s">
        <v>180</v>
      </c>
      <c r="F244" s="6" t="n">
        <v>3.51</v>
      </c>
      <c r="G244" s="6" t="n">
        <v>0</v>
      </c>
      <c r="H244" s="41" t="n">
        <v>16.02</v>
      </c>
      <c r="I244" s="43" t="n">
        <f aca="false">F244*H244</f>
        <v>56.2302</v>
      </c>
      <c r="J244" s="43" t="n">
        <f aca="false">G244*H244*1.5</f>
        <v>0</v>
      </c>
      <c r="K244" s="6" t="n">
        <v>10.86</v>
      </c>
      <c r="L244" s="43" t="n">
        <f aca="false">K244*'Chart of Accounts'!$E$68</f>
        <v>7.2762</v>
      </c>
      <c r="O244" s="42" t="n">
        <f aca="false">I244+J244+L244</f>
        <v>63.5064</v>
      </c>
    </row>
    <row r="245" customFormat="false" ht="15" hidden="false" customHeight="false" outlineLevel="0" collapsed="false">
      <c r="B245" s="7" t="s">
        <v>8878</v>
      </c>
      <c r="C245" s="39" t="n">
        <v>45672</v>
      </c>
      <c r="D245" s="7" t="s">
        <v>214</v>
      </c>
      <c r="E245" s="7" t="s">
        <v>180</v>
      </c>
      <c r="F245" s="6" t="n">
        <v>3.09</v>
      </c>
      <c r="G245" s="6" t="n">
        <v>0</v>
      </c>
      <c r="H245" s="41" t="n">
        <v>15.67</v>
      </c>
      <c r="I245" s="43" t="n">
        <f aca="false">F245*H245</f>
        <v>48.4203</v>
      </c>
      <c r="J245" s="43" t="n">
        <f aca="false">G245*H245*1.5</f>
        <v>0</v>
      </c>
      <c r="K245" s="6" t="n">
        <v>8.84</v>
      </c>
      <c r="L245" s="43" t="n">
        <f aca="false">K245*'Chart of Accounts'!$E$68</f>
        <v>5.9228</v>
      </c>
      <c r="O245" s="42" t="n">
        <f aca="false">I245+J245+L245</f>
        <v>54.3431</v>
      </c>
    </row>
    <row r="246" customFormat="false" ht="15" hidden="false" customHeight="false" outlineLevel="0" collapsed="false">
      <c r="B246" s="7" t="s">
        <v>8879</v>
      </c>
      <c r="C246" s="39" t="n">
        <v>45673</v>
      </c>
      <c r="D246" s="7" t="s">
        <v>191</v>
      </c>
      <c r="E246" s="7" t="s">
        <v>180</v>
      </c>
      <c r="F246" s="6" t="n">
        <v>3.73</v>
      </c>
      <c r="G246" s="6" t="n">
        <v>0</v>
      </c>
      <c r="H246" s="41" t="n">
        <v>16.05</v>
      </c>
      <c r="I246" s="43" t="n">
        <f aca="false">F246*H246</f>
        <v>59.8665</v>
      </c>
      <c r="J246" s="43" t="n">
        <f aca="false">G246*H246*1.5</f>
        <v>0</v>
      </c>
      <c r="K246" s="6" t="n">
        <v>9.44</v>
      </c>
      <c r="L246" s="43" t="n">
        <f aca="false">K246*'Chart of Accounts'!$E$68</f>
        <v>6.3248</v>
      </c>
      <c r="O246" s="42" t="n">
        <f aca="false">I246+J246+L246</f>
        <v>66.1913</v>
      </c>
    </row>
    <row r="247" customFormat="false" ht="15" hidden="false" customHeight="false" outlineLevel="0" collapsed="false">
      <c r="B247" s="7" t="s">
        <v>8880</v>
      </c>
      <c r="C247" s="39" t="n">
        <v>45673</v>
      </c>
      <c r="D247" s="7" t="s">
        <v>201</v>
      </c>
      <c r="E247" s="7" t="s">
        <v>180</v>
      </c>
      <c r="F247" s="6" t="n">
        <v>3.11</v>
      </c>
      <c r="G247" s="6" t="n">
        <v>0</v>
      </c>
      <c r="H247" s="41" t="n">
        <v>15.19</v>
      </c>
      <c r="I247" s="43" t="n">
        <f aca="false">F247*H247</f>
        <v>47.2409</v>
      </c>
      <c r="J247" s="43" t="n">
        <f aca="false">G247*H247*1.5</f>
        <v>0</v>
      </c>
      <c r="K247" s="6" t="n">
        <v>7.83</v>
      </c>
      <c r="L247" s="43" t="n">
        <f aca="false">K247*'Chart of Accounts'!$E$68</f>
        <v>5.2461</v>
      </c>
      <c r="O247" s="42" t="n">
        <f aca="false">I247+J247+L247</f>
        <v>52.487</v>
      </c>
    </row>
    <row r="248" customFormat="false" ht="15" hidden="false" customHeight="false" outlineLevel="0" collapsed="false">
      <c r="B248" s="7" t="s">
        <v>8881</v>
      </c>
      <c r="C248" s="39" t="n">
        <v>45673</v>
      </c>
      <c r="D248" s="7" t="s">
        <v>196</v>
      </c>
      <c r="E248" s="7" t="s">
        <v>180</v>
      </c>
      <c r="F248" s="6" t="n">
        <v>5.59</v>
      </c>
      <c r="G248" s="6" t="n">
        <v>0</v>
      </c>
      <c r="H248" s="41" t="n">
        <v>15.05</v>
      </c>
      <c r="I248" s="43" t="n">
        <f aca="false">F248*H248</f>
        <v>84.1295</v>
      </c>
      <c r="J248" s="43" t="n">
        <f aca="false">G248*H248*1.5</f>
        <v>0</v>
      </c>
      <c r="K248" s="6" t="n">
        <v>13.68</v>
      </c>
      <c r="L248" s="43" t="n">
        <f aca="false">K248*'Chart of Accounts'!$E$68</f>
        <v>9.1656</v>
      </c>
      <c r="O248" s="42" t="n">
        <f aca="false">I248+J248+L248</f>
        <v>93.2951</v>
      </c>
    </row>
    <row r="249" customFormat="false" ht="15" hidden="false" customHeight="false" outlineLevel="0" collapsed="false">
      <c r="B249" s="7" t="s">
        <v>8882</v>
      </c>
      <c r="C249" s="39" t="n">
        <v>45673</v>
      </c>
      <c r="D249" s="7" t="s">
        <v>184</v>
      </c>
      <c r="E249" s="7" t="s">
        <v>180</v>
      </c>
      <c r="F249" s="6" t="n">
        <v>4.03</v>
      </c>
      <c r="G249" s="6" t="n">
        <v>0</v>
      </c>
      <c r="H249" s="41" t="n">
        <v>17.34</v>
      </c>
      <c r="I249" s="43" t="n">
        <f aca="false">F249*H249</f>
        <v>69.8802</v>
      </c>
      <c r="J249" s="43" t="n">
        <f aca="false">G249*H249*1.5</f>
        <v>0</v>
      </c>
      <c r="K249" s="6" t="n">
        <v>12.14</v>
      </c>
      <c r="L249" s="43" t="n">
        <f aca="false">K249*'Chart of Accounts'!$E$68</f>
        <v>8.1338</v>
      </c>
      <c r="O249" s="42" t="n">
        <f aca="false">I249+J249+L249</f>
        <v>78.014</v>
      </c>
    </row>
    <row r="250" customFormat="false" ht="15" hidden="false" customHeight="false" outlineLevel="0" collapsed="false">
      <c r="B250" s="7" t="s">
        <v>8883</v>
      </c>
      <c r="C250" s="39" t="n">
        <v>45673</v>
      </c>
      <c r="D250" s="7" t="s">
        <v>207</v>
      </c>
      <c r="E250" s="7" t="s">
        <v>180</v>
      </c>
      <c r="F250" s="6" t="n">
        <v>2.98</v>
      </c>
      <c r="G250" s="6" t="n">
        <v>0</v>
      </c>
      <c r="H250" s="41" t="n">
        <v>16.65</v>
      </c>
      <c r="I250" s="43" t="n">
        <f aca="false">F250*H250</f>
        <v>49.617</v>
      </c>
      <c r="J250" s="43" t="n">
        <f aca="false">G250*H250*1.5</f>
        <v>0</v>
      </c>
      <c r="K250" s="6" t="n">
        <v>8.31</v>
      </c>
      <c r="L250" s="43" t="n">
        <f aca="false">K250*'Chart of Accounts'!$E$68</f>
        <v>5.5677</v>
      </c>
      <c r="O250" s="42" t="n">
        <f aca="false">I250+J250+L250</f>
        <v>55.1847</v>
      </c>
    </row>
    <row r="251" customFormat="false" ht="15" hidden="false" customHeight="false" outlineLevel="0" collapsed="false">
      <c r="B251" s="7" t="s">
        <v>8884</v>
      </c>
      <c r="C251" s="39" t="n">
        <v>45673</v>
      </c>
      <c r="D251" s="7" t="s">
        <v>218</v>
      </c>
      <c r="E251" s="7" t="s">
        <v>180</v>
      </c>
      <c r="F251" s="6" t="n">
        <v>4.36</v>
      </c>
      <c r="G251" s="6" t="n">
        <v>0</v>
      </c>
      <c r="H251" s="41" t="n">
        <v>16.19</v>
      </c>
      <c r="I251" s="43" t="n">
        <f aca="false">F251*H251</f>
        <v>70.5884</v>
      </c>
      <c r="J251" s="43" t="n">
        <f aca="false">G251*H251*1.5</f>
        <v>0</v>
      </c>
      <c r="K251" s="6" t="n">
        <v>14.65</v>
      </c>
      <c r="L251" s="43" t="n">
        <f aca="false">K251*'Chart of Accounts'!$E$68</f>
        <v>9.8155</v>
      </c>
      <c r="O251" s="42" t="n">
        <f aca="false">I251+J251+L251</f>
        <v>80.4039</v>
      </c>
    </row>
    <row r="252" customFormat="false" ht="15" hidden="false" customHeight="false" outlineLevel="0" collapsed="false">
      <c r="B252" s="7" t="s">
        <v>8885</v>
      </c>
      <c r="C252" s="39" t="n">
        <v>45673</v>
      </c>
      <c r="D252" s="7" t="s">
        <v>212</v>
      </c>
      <c r="E252" s="7" t="s">
        <v>180</v>
      </c>
      <c r="F252" s="6" t="n">
        <v>6.59</v>
      </c>
      <c r="G252" s="6" t="n">
        <v>0</v>
      </c>
      <c r="H252" s="41" t="n">
        <v>16.71</v>
      </c>
      <c r="I252" s="43" t="n">
        <f aca="false">F252*H252</f>
        <v>110.1189</v>
      </c>
      <c r="J252" s="43" t="n">
        <f aca="false">G252*H252*1.5</f>
        <v>0</v>
      </c>
      <c r="K252" s="6" t="n">
        <v>21.19</v>
      </c>
      <c r="L252" s="43" t="n">
        <f aca="false">K252*'Chart of Accounts'!$E$68</f>
        <v>14.1973</v>
      </c>
      <c r="O252" s="42" t="n">
        <f aca="false">I252+J252+L252</f>
        <v>124.3162</v>
      </c>
    </row>
    <row r="253" customFormat="false" ht="15" hidden="false" customHeight="false" outlineLevel="0" collapsed="false">
      <c r="B253" s="7" t="s">
        <v>8886</v>
      </c>
      <c r="C253" s="39" t="n">
        <v>45673</v>
      </c>
      <c r="D253" s="7" t="s">
        <v>220</v>
      </c>
      <c r="E253" s="7" t="s">
        <v>180</v>
      </c>
      <c r="F253" s="6" t="n">
        <v>4.37</v>
      </c>
      <c r="G253" s="6" t="n">
        <v>0</v>
      </c>
      <c r="H253" s="41" t="n">
        <v>16.43</v>
      </c>
      <c r="I253" s="43" t="n">
        <f aca="false">F253*H253</f>
        <v>71.7991</v>
      </c>
      <c r="J253" s="43" t="n">
        <f aca="false">G253*H253*1.5</f>
        <v>0</v>
      </c>
      <c r="K253" s="6" t="n">
        <v>11.65</v>
      </c>
      <c r="L253" s="43" t="n">
        <f aca="false">K253*'Chart of Accounts'!$E$68</f>
        <v>7.8055</v>
      </c>
      <c r="O253" s="42" t="n">
        <f aca="false">I253+J253+L253</f>
        <v>79.6046</v>
      </c>
    </row>
    <row r="254" customFormat="false" ht="15" hidden="false" customHeight="false" outlineLevel="0" collapsed="false">
      <c r="B254" s="7" t="s">
        <v>8887</v>
      </c>
      <c r="C254" s="39" t="n">
        <v>45673</v>
      </c>
      <c r="D254" s="7" t="s">
        <v>224</v>
      </c>
      <c r="E254" s="7" t="s">
        <v>180</v>
      </c>
      <c r="F254" s="6" t="n">
        <v>3.71</v>
      </c>
      <c r="G254" s="6" t="n">
        <v>0</v>
      </c>
      <c r="H254" s="41" t="n">
        <v>14.93</v>
      </c>
      <c r="I254" s="43" t="n">
        <f aca="false">F254*H254</f>
        <v>55.3903</v>
      </c>
      <c r="J254" s="43" t="n">
        <f aca="false">G254*H254*1.5</f>
        <v>0</v>
      </c>
      <c r="K254" s="6" t="n">
        <v>12.08</v>
      </c>
      <c r="L254" s="43" t="n">
        <f aca="false">K254*'Chart of Accounts'!$E$68</f>
        <v>8.0936</v>
      </c>
      <c r="O254" s="42" t="n">
        <f aca="false">I254+J254+L254</f>
        <v>63.4839</v>
      </c>
    </row>
    <row r="255" customFormat="false" ht="15" hidden="false" customHeight="false" outlineLevel="0" collapsed="false">
      <c r="B255" s="7" t="s">
        <v>8888</v>
      </c>
      <c r="C255" s="39" t="n">
        <v>45673</v>
      </c>
      <c r="D255" s="7" t="s">
        <v>232</v>
      </c>
      <c r="E255" s="7" t="s">
        <v>180</v>
      </c>
      <c r="F255" s="6" t="n">
        <v>3.22</v>
      </c>
      <c r="G255" s="6" t="n">
        <v>0</v>
      </c>
      <c r="H255" s="41" t="n">
        <v>16.17</v>
      </c>
      <c r="I255" s="43" t="n">
        <f aca="false">F255*H255</f>
        <v>52.0674</v>
      </c>
      <c r="J255" s="43" t="n">
        <f aca="false">G255*H255*1.5</f>
        <v>0</v>
      </c>
      <c r="K255" s="6" t="n">
        <v>9.34</v>
      </c>
      <c r="L255" s="43" t="n">
        <f aca="false">K255*'Chart of Accounts'!$E$68</f>
        <v>6.2578</v>
      </c>
      <c r="O255" s="42" t="n">
        <f aca="false">I255+J255+L255</f>
        <v>58.3252</v>
      </c>
    </row>
    <row r="256" customFormat="false" ht="15" hidden="false" customHeight="false" outlineLevel="0" collapsed="false">
      <c r="B256" s="7" t="s">
        <v>8889</v>
      </c>
      <c r="C256" s="39" t="n">
        <v>45673</v>
      </c>
      <c r="D256" s="7" t="s">
        <v>222</v>
      </c>
      <c r="E256" s="7" t="s">
        <v>180</v>
      </c>
      <c r="F256" s="6" t="n">
        <v>7.33</v>
      </c>
      <c r="G256" s="6" t="n">
        <v>0</v>
      </c>
      <c r="H256" s="41" t="n">
        <v>17.84</v>
      </c>
      <c r="I256" s="43" t="n">
        <f aca="false">F256*H256</f>
        <v>130.7672</v>
      </c>
      <c r="J256" s="43" t="n">
        <f aca="false">G256*H256*1.5</f>
        <v>0</v>
      </c>
      <c r="K256" s="6" t="n">
        <v>26.18</v>
      </c>
      <c r="L256" s="43" t="n">
        <f aca="false">K256*'Chart of Accounts'!$E$68</f>
        <v>17.5406</v>
      </c>
      <c r="O256" s="42" t="n">
        <f aca="false">I256+J256+L256</f>
        <v>148.3078</v>
      </c>
    </row>
    <row r="257" customFormat="false" ht="15" hidden="false" customHeight="false" outlineLevel="0" collapsed="false">
      <c r="B257" s="7" t="s">
        <v>8890</v>
      </c>
      <c r="C257" s="39" t="n">
        <v>45673</v>
      </c>
      <c r="D257" s="7" t="s">
        <v>262</v>
      </c>
      <c r="E257" s="7" t="s">
        <v>180</v>
      </c>
      <c r="F257" s="6" t="n">
        <v>4.21</v>
      </c>
      <c r="G257" s="6" t="n">
        <v>0</v>
      </c>
      <c r="H257" s="41" t="n">
        <v>16.02</v>
      </c>
      <c r="I257" s="43" t="n">
        <f aca="false">F257*H257</f>
        <v>67.4442</v>
      </c>
      <c r="J257" s="43" t="n">
        <f aca="false">G257*H257*1.5</f>
        <v>0</v>
      </c>
      <c r="K257" s="6" t="n">
        <v>15.12</v>
      </c>
      <c r="L257" s="43" t="n">
        <f aca="false">K257*'Chart of Accounts'!$E$68</f>
        <v>10.1304</v>
      </c>
      <c r="O257" s="42" t="n">
        <f aca="false">I257+J257+L257</f>
        <v>77.5746</v>
      </c>
    </row>
    <row r="258" customFormat="false" ht="15" hidden="false" customHeight="false" outlineLevel="0" collapsed="false">
      <c r="B258" s="7" t="s">
        <v>8891</v>
      </c>
      <c r="C258" s="39" t="n">
        <v>45673</v>
      </c>
      <c r="D258" s="7" t="s">
        <v>246</v>
      </c>
      <c r="E258" s="7" t="s">
        <v>180</v>
      </c>
      <c r="F258" s="6" t="n">
        <v>7.4</v>
      </c>
      <c r="G258" s="6" t="n">
        <v>0</v>
      </c>
      <c r="H258" s="41" t="n">
        <v>16.48</v>
      </c>
      <c r="I258" s="43" t="n">
        <f aca="false">F258*H258</f>
        <v>121.952</v>
      </c>
      <c r="J258" s="43" t="n">
        <f aca="false">G258*H258*1.5</f>
        <v>0</v>
      </c>
      <c r="K258" s="6" t="n">
        <v>19.81</v>
      </c>
      <c r="L258" s="43" t="n">
        <f aca="false">K258*'Chart of Accounts'!$E$68</f>
        <v>13.2727</v>
      </c>
      <c r="O258" s="42" t="n">
        <f aca="false">I258+J258+L258</f>
        <v>135.2247</v>
      </c>
    </row>
    <row r="259" customFormat="false" ht="15" hidden="false" customHeight="false" outlineLevel="0" collapsed="false">
      <c r="B259" s="7" t="s">
        <v>8892</v>
      </c>
      <c r="C259" s="39" t="n">
        <v>45673</v>
      </c>
      <c r="D259" s="7" t="s">
        <v>214</v>
      </c>
      <c r="E259" s="7" t="s">
        <v>180</v>
      </c>
      <c r="F259" s="6" t="n">
        <v>3.79</v>
      </c>
      <c r="G259" s="6" t="n">
        <v>0</v>
      </c>
      <c r="H259" s="41" t="n">
        <v>15.67</v>
      </c>
      <c r="I259" s="43" t="n">
        <f aca="false">F259*H259</f>
        <v>59.3893</v>
      </c>
      <c r="J259" s="43" t="n">
        <f aca="false">G259*H259*1.5</f>
        <v>0</v>
      </c>
      <c r="K259" s="6" t="n">
        <v>12.47</v>
      </c>
      <c r="L259" s="43" t="n">
        <f aca="false">K259*'Chart of Accounts'!$E$68</f>
        <v>8.3549</v>
      </c>
      <c r="O259" s="42" t="n">
        <f aca="false">I259+J259+L259</f>
        <v>67.7442</v>
      </c>
    </row>
    <row r="260" customFormat="false" ht="15" hidden="false" customHeight="false" outlineLevel="0" collapsed="false">
      <c r="B260" s="7" t="s">
        <v>8893</v>
      </c>
      <c r="C260" s="39" t="n">
        <v>45673</v>
      </c>
      <c r="D260" s="7" t="s">
        <v>242</v>
      </c>
      <c r="E260" s="7" t="s">
        <v>180</v>
      </c>
      <c r="F260" s="6" t="n">
        <v>3.83</v>
      </c>
      <c r="G260" s="6" t="n">
        <v>0</v>
      </c>
      <c r="H260" s="41" t="n">
        <v>17.99</v>
      </c>
      <c r="I260" s="43" t="n">
        <f aca="false">F260*H260</f>
        <v>68.9017</v>
      </c>
      <c r="J260" s="43" t="n">
        <f aca="false">G260*H260*1.5</f>
        <v>0</v>
      </c>
      <c r="K260" s="6" t="n">
        <v>10.05</v>
      </c>
      <c r="L260" s="43" t="n">
        <f aca="false">K260*'Chart of Accounts'!$E$68</f>
        <v>6.7335</v>
      </c>
      <c r="O260" s="42" t="n">
        <f aca="false">I260+J260+L260</f>
        <v>75.6352</v>
      </c>
    </row>
    <row r="261" customFormat="false" ht="15" hidden="false" customHeight="false" outlineLevel="0" collapsed="false">
      <c r="B261" s="7" t="s">
        <v>8894</v>
      </c>
      <c r="C261" s="39" t="n">
        <v>45673</v>
      </c>
      <c r="D261" s="7" t="s">
        <v>254</v>
      </c>
      <c r="E261" s="7" t="s">
        <v>180</v>
      </c>
      <c r="F261" s="6" t="n">
        <v>3.71</v>
      </c>
      <c r="G261" s="6" t="n">
        <v>0</v>
      </c>
      <c r="H261" s="41" t="n">
        <v>17.1</v>
      </c>
      <c r="I261" s="43" t="n">
        <f aca="false">F261*H261</f>
        <v>63.441</v>
      </c>
      <c r="J261" s="43" t="n">
        <f aca="false">G261*H261*1.5</f>
        <v>0</v>
      </c>
      <c r="K261" s="6" t="n">
        <v>9.62</v>
      </c>
      <c r="L261" s="43" t="n">
        <f aca="false">K261*'Chart of Accounts'!$E$68</f>
        <v>6.4454</v>
      </c>
      <c r="O261" s="42" t="n">
        <f aca="false">I261+J261+L261</f>
        <v>69.8864</v>
      </c>
    </row>
    <row r="262" customFormat="false" ht="15" hidden="false" customHeight="false" outlineLevel="0" collapsed="false">
      <c r="B262" s="7" t="s">
        <v>8895</v>
      </c>
      <c r="C262" s="39" t="n">
        <v>45674</v>
      </c>
      <c r="D262" s="7" t="s">
        <v>187</v>
      </c>
      <c r="E262" s="7" t="s">
        <v>158</v>
      </c>
      <c r="H262" s="41" t="n">
        <v>66.48</v>
      </c>
      <c r="M262" s="6" t="n">
        <v>1</v>
      </c>
      <c r="N262" s="43" t="n">
        <f aca="false">M262*H262</f>
        <v>66.48</v>
      </c>
      <c r="O262" s="42" t="n">
        <f aca="false">N262</f>
        <v>66.48</v>
      </c>
    </row>
    <row r="263" customFormat="false" ht="15" hidden="false" customHeight="false" outlineLevel="0" collapsed="false">
      <c r="B263" s="7" t="s">
        <v>8896</v>
      </c>
      <c r="C263" s="39" t="n">
        <v>45674</v>
      </c>
      <c r="D263" s="7" t="s">
        <v>191</v>
      </c>
      <c r="E263" s="7" t="s">
        <v>180</v>
      </c>
      <c r="F263" s="6" t="n">
        <v>4.27</v>
      </c>
      <c r="G263" s="6" t="n">
        <v>0</v>
      </c>
      <c r="H263" s="41" t="n">
        <v>16.05</v>
      </c>
      <c r="I263" s="43" t="n">
        <f aca="false">F263*H263</f>
        <v>68.5335</v>
      </c>
      <c r="J263" s="43" t="n">
        <f aca="false">G263*H263*1.5</f>
        <v>0</v>
      </c>
      <c r="K263" s="6" t="n">
        <v>12.58</v>
      </c>
      <c r="L263" s="43" t="n">
        <f aca="false">K263*'Chart of Accounts'!$E$68</f>
        <v>8.4286</v>
      </c>
      <c r="O263" s="42" t="n">
        <f aca="false">I263+J263+L263</f>
        <v>76.9621</v>
      </c>
    </row>
    <row r="264" customFormat="false" ht="15" hidden="false" customHeight="false" outlineLevel="0" collapsed="false">
      <c r="B264" s="7" t="s">
        <v>8897</v>
      </c>
      <c r="C264" s="39" t="n">
        <v>45674</v>
      </c>
      <c r="D264" s="7" t="s">
        <v>194</v>
      </c>
      <c r="E264" s="7" t="s">
        <v>180</v>
      </c>
      <c r="F264" s="6" t="n">
        <v>4.69</v>
      </c>
      <c r="G264" s="6" t="n">
        <v>0</v>
      </c>
      <c r="H264" s="41" t="n">
        <v>16</v>
      </c>
      <c r="I264" s="43" t="n">
        <f aca="false">F264*H264</f>
        <v>75.04</v>
      </c>
      <c r="J264" s="43" t="n">
        <f aca="false">G264*H264*1.5</f>
        <v>0</v>
      </c>
      <c r="K264" s="6" t="n">
        <v>10.6</v>
      </c>
      <c r="L264" s="43" t="n">
        <f aca="false">K264*'Chart of Accounts'!$E$68</f>
        <v>7.102</v>
      </c>
      <c r="O264" s="42" t="n">
        <f aca="false">I264+J264+L264</f>
        <v>82.142</v>
      </c>
    </row>
    <row r="265" customFormat="false" ht="15" hidden="false" customHeight="false" outlineLevel="0" collapsed="false">
      <c r="B265" s="7" t="s">
        <v>8898</v>
      </c>
      <c r="C265" s="39" t="n">
        <v>45674</v>
      </c>
      <c r="D265" s="7" t="s">
        <v>209</v>
      </c>
      <c r="E265" s="7" t="s">
        <v>158</v>
      </c>
      <c r="H265" s="41" t="n">
        <v>73.58</v>
      </c>
      <c r="M265" s="6" t="n">
        <v>2</v>
      </c>
      <c r="N265" s="43" t="n">
        <f aca="false">M265*H265</f>
        <v>147.16</v>
      </c>
      <c r="O265" s="42" t="n">
        <f aca="false">N265</f>
        <v>147.16</v>
      </c>
    </row>
    <row r="266" customFormat="false" ht="15" hidden="false" customHeight="false" outlineLevel="0" collapsed="false">
      <c r="B266" s="7" t="s">
        <v>8899</v>
      </c>
      <c r="C266" s="39" t="n">
        <v>45674</v>
      </c>
      <c r="D266" s="7" t="s">
        <v>205</v>
      </c>
      <c r="E266" s="7" t="s">
        <v>180</v>
      </c>
      <c r="F266" s="6" t="n">
        <v>4.24</v>
      </c>
      <c r="G266" s="6" t="n">
        <v>0</v>
      </c>
      <c r="H266" s="41" t="n">
        <v>16.36</v>
      </c>
      <c r="I266" s="43" t="n">
        <f aca="false">F266*H266</f>
        <v>69.3664</v>
      </c>
      <c r="J266" s="43" t="n">
        <f aca="false">G266*H266*1.5</f>
        <v>0</v>
      </c>
      <c r="K266" s="6" t="n">
        <v>11.13</v>
      </c>
      <c r="L266" s="43" t="n">
        <f aca="false">K266*'Chart of Accounts'!$E$68</f>
        <v>7.4571</v>
      </c>
      <c r="O266" s="42" t="n">
        <f aca="false">I266+J266+L266</f>
        <v>76.8235</v>
      </c>
    </row>
    <row r="267" customFormat="false" ht="15" hidden="false" customHeight="false" outlineLevel="0" collapsed="false">
      <c r="B267" s="7" t="s">
        <v>8900</v>
      </c>
      <c r="C267" s="39" t="n">
        <v>45674</v>
      </c>
      <c r="D267" s="7" t="s">
        <v>252</v>
      </c>
      <c r="E267" s="7" t="s">
        <v>158</v>
      </c>
      <c r="H267" s="41" t="n">
        <v>57.54</v>
      </c>
      <c r="M267" s="6" t="n">
        <v>1</v>
      </c>
      <c r="N267" s="43" t="n">
        <f aca="false">M267*H267</f>
        <v>57.54</v>
      </c>
      <c r="O267" s="42" t="n">
        <f aca="false">N267</f>
        <v>57.54</v>
      </c>
    </row>
    <row r="268" customFormat="false" ht="15" hidden="false" customHeight="false" outlineLevel="0" collapsed="false">
      <c r="B268" s="7" t="s">
        <v>8901</v>
      </c>
      <c r="C268" s="39" t="n">
        <v>45674</v>
      </c>
      <c r="D268" s="7" t="s">
        <v>184</v>
      </c>
      <c r="E268" s="7" t="s">
        <v>180</v>
      </c>
      <c r="F268" s="6" t="n">
        <v>4.01</v>
      </c>
      <c r="G268" s="6" t="n">
        <v>0</v>
      </c>
      <c r="H268" s="41" t="n">
        <v>17.34</v>
      </c>
      <c r="I268" s="43" t="n">
        <f aca="false">F268*H268</f>
        <v>69.5334</v>
      </c>
      <c r="J268" s="43" t="n">
        <f aca="false">G268*H268*1.5</f>
        <v>0</v>
      </c>
      <c r="K268" s="6" t="n">
        <v>13.72</v>
      </c>
      <c r="L268" s="43" t="n">
        <f aca="false">K268*'Chart of Accounts'!$E$68</f>
        <v>9.1924</v>
      </c>
      <c r="O268" s="42" t="n">
        <f aca="false">I268+J268+L268</f>
        <v>78.7258</v>
      </c>
    </row>
    <row r="269" customFormat="false" ht="15" hidden="false" customHeight="false" outlineLevel="0" collapsed="false">
      <c r="B269" s="7" t="s">
        <v>8902</v>
      </c>
      <c r="C269" s="39" t="n">
        <v>45674</v>
      </c>
      <c r="D269" s="7" t="s">
        <v>234</v>
      </c>
      <c r="E269" s="7" t="s">
        <v>158</v>
      </c>
      <c r="H269" s="41" t="n">
        <v>89.53</v>
      </c>
      <c r="M269" s="6" t="n">
        <v>2</v>
      </c>
      <c r="N269" s="43" t="n">
        <f aca="false">M269*H269</f>
        <v>179.06</v>
      </c>
      <c r="O269" s="42" t="n">
        <f aca="false">N269</f>
        <v>179.06</v>
      </c>
    </row>
    <row r="270" customFormat="false" ht="15" hidden="false" customHeight="false" outlineLevel="0" collapsed="false">
      <c r="B270" s="7" t="s">
        <v>8903</v>
      </c>
      <c r="C270" s="39" t="n">
        <v>45674</v>
      </c>
      <c r="D270" s="7" t="s">
        <v>218</v>
      </c>
      <c r="E270" s="7" t="s">
        <v>180</v>
      </c>
      <c r="F270" s="6" t="n">
        <v>3.93</v>
      </c>
      <c r="G270" s="6" t="n">
        <v>0</v>
      </c>
      <c r="H270" s="41" t="n">
        <v>16.19</v>
      </c>
      <c r="I270" s="43" t="n">
        <f aca="false">F270*H270</f>
        <v>63.6267</v>
      </c>
      <c r="J270" s="43" t="n">
        <f aca="false">G270*H270*1.5</f>
        <v>0</v>
      </c>
      <c r="K270" s="6" t="n">
        <v>11.06</v>
      </c>
      <c r="L270" s="43" t="n">
        <f aca="false">K270*'Chart of Accounts'!$E$68</f>
        <v>7.4102</v>
      </c>
      <c r="O270" s="42" t="n">
        <f aca="false">I270+J270+L270</f>
        <v>71.0369</v>
      </c>
    </row>
    <row r="271" customFormat="false" ht="15" hidden="false" customHeight="false" outlineLevel="0" collapsed="false">
      <c r="B271" s="7" t="s">
        <v>8904</v>
      </c>
      <c r="C271" s="39" t="n">
        <v>45674</v>
      </c>
      <c r="D271" s="7" t="s">
        <v>266</v>
      </c>
      <c r="E271" s="7" t="s">
        <v>158</v>
      </c>
      <c r="H271" s="41" t="n">
        <v>75.18</v>
      </c>
      <c r="M271" s="6" t="n">
        <v>1</v>
      </c>
      <c r="N271" s="43" t="n">
        <f aca="false">M271*H271</f>
        <v>75.18</v>
      </c>
      <c r="O271" s="42" t="n">
        <f aca="false">N271</f>
        <v>75.18</v>
      </c>
    </row>
    <row r="272" customFormat="false" ht="15" hidden="false" customHeight="false" outlineLevel="0" collapsed="false">
      <c r="B272" s="7" t="s">
        <v>8905</v>
      </c>
      <c r="C272" s="39" t="n">
        <v>45674</v>
      </c>
      <c r="D272" s="7" t="s">
        <v>228</v>
      </c>
      <c r="E272" s="7" t="s">
        <v>158</v>
      </c>
      <c r="H272" s="41" t="n">
        <v>51.07</v>
      </c>
      <c r="M272" s="6" t="n">
        <v>1</v>
      </c>
      <c r="N272" s="43" t="n">
        <f aca="false">M272*H272</f>
        <v>51.07</v>
      </c>
      <c r="O272" s="42" t="n">
        <f aca="false">N272</f>
        <v>51.07</v>
      </c>
    </row>
    <row r="273" customFormat="false" ht="15" hidden="false" customHeight="false" outlineLevel="0" collapsed="false">
      <c r="B273" s="7" t="s">
        <v>8906</v>
      </c>
      <c r="C273" s="39" t="n">
        <v>45674</v>
      </c>
      <c r="D273" s="7" t="s">
        <v>220</v>
      </c>
      <c r="E273" s="7" t="s">
        <v>180</v>
      </c>
      <c r="F273" s="6" t="n">
        <v>3.91</v>
      </c>
      <c r="G273" s="6" t="n">
        <v>0</v>
      </c>
      <c r="H273" s="41" t="n">
        <v>16.43</v>
      </c>
      <c r="I273" s="43" t="n">
        <f aca="false">F273*H273</f>
        <v>64.2413</v>
      </c>
      <c r="J273" s="43" t="n">
        <f aca="false">G273*H273*1.5</f>
        <v>0</v>
      </c>
      <c r="K273" s="6" t="n">
        <v>12.99</v>
      </c>
      <c r="L273" s="43" t="n">
        <f aca="false">K273*'Chart of Accounts'!$E$68</f>
        <v>8.7033</v>
      </c>
      <c r="O273" s="42" t="n">
        <f aca="false">I273+J273+L273</f>
        <v>72.9446</v>
      </c>
    </row>
    <row r="274" customFormat="false" ht="15" hidden="false" customHeight="false" outlineLevel="0" collapsed="false">
      <c r="B274" s="7" t="s">
        <v>8907</v>
      </c>
      <c r="C274" s="39" t="n">
        <v>45674</v>
      </c>
      <c r="D274" s="7" t="s">
        <v>177</v>
      </c>
      <c r="E274" s="7" t="s">
        <v>180</v>
      </c>
      <c r="F274" s="6" t="n">
        <v>9.14</v>
      </c>
      <c r="G274" s="6" t="n">
        <v>0</v>
      </c>
      <c r="H274" s="41" t="n">
        <v>14.56</v>
      </c>
      <c r="I274" s="43" t="n">
        <f aca="false">F274*H274</f>
        <v>133.0784</v>
      </c>
      <c r="J274" s="43" t="n">
        <f aca="false">G274*H274*1.5</f>
        <v>0</v>
      </c>
      <c r="K274" s="6" t="n">
        <v>30.9</v>
      </c>
      <c r="L274" s="43" t="n">
        <f aca="false">K274*'Chart of Accounts'!$E$68</f>
        <v>20.703</v>
      </c>
      <c r="O274" s="42" t="n">
        <f aca="false">I274+J274+L274</f>
        <v>153.7814</v>
      </c>
    </row>
    <row r="275" customFormat="false" ht="15" hidden="false" customHeight="false" outlineLevel="0" collapsed="false">
      <c r="B275" s="7" t="s">
        <v>8908</v>
      </c>
      <c r="C275" s="39" t="n">
        <v>45674</v>
      </c>
      <c r="D275" s="7" t="s">
        <v>242</v>
      </c>
      <c r="E275" s="7" t="s">
        <v>180</v>
      </c>
      <c r="F275" s="6" t="n">
        <v>7.4</v>
      </c>
      <c r="G275" s="6" t="n">
        <v>0</v>
      </c>
      <c r="H275" s="41" t="n">
        <v>17.99</v>
      </c>
      <c r="I275" s="43" t="n">
        <f aca="false">F275*H275</f>
        <v>133.126</v>
      </c>
      <c r="J275" s="43" t="n">
        <f aca="false">G275*H275*1.5</f>
        <v>0</v>
      </c>
      <c r="K275" s="6" t="n">
        <v>21.89</v>
      </c>
      <c r="L275" s="43" t="n">
        <f aca="false">K275*'Chart of Accounts'!$E$68</f>
        <v>14.6663</v>
      </c>
      <c r="O275" s="42" t="n">
        <f aca="false">I275+J275+L275</f>
        <v>147.7923</v>
      </c>
    </row>
    <row r="276" customFormat="false" ht="15" hidden="false" customHeight="false" outlineLevel="0" collapsed="false">
      <c r="B276" s="7" t="s">
        <v>8909</v>
      </c>
      <c r="C276" s="39" t="n">
        <v>45674</v>
      </c>
      <c r="D276" s="7" t="s">
        <v>254</v>
      </c>
      <c r="E276" s="7" t="s">
        <v>180</v>
      </c>
      <c r="F276" s="6" t="n">
        <v>7.33</v>
      </c>
      <c r="G276" s="6" t="n">
        <v>0</v>
      </c>
      <c r="H276" s="41" t="n">
        <v>17.1</v>
      </c>
      <c r="I276" s="43" t="n">
        <f aca="false">F276*H276</f>
        <v>125.343</v>
      </c>
      <c r="J276" s="43" t="n">
        <f aca="false">G276*H276*1.5</f>
        <v>0</v>
      </c>
      <c r="K276" s="6" t="n">
        <v>26.29</v>
      </c>
      <c r="L276" s="43" t="n">
        <f aca="false">K276*'Chart of Accounts'!$E$68</f>
        <v>17.6143</v>
      </c>
      <c r="O276" s="42" t="n">
        <f aca="false">I276+J276+L276</f>
        <v>142.9573</v>
      </c>
    </row>
    <row r="277" customFormat="false" ht="15" hidden="false" customHeight="false" outlineLevel="0" collapsed="false">
      <c r="B277" s="7" t="s">
        <v>8910</v>
      </c>
      <c r="C277" s="39" t="n">
        <v>45674</v>
      </c>
      <c r="D277" s="7" t="s">
        <v>201</v>
      </c>
      <c r="E277" s="7" t="s">
        <v>180</v>
      </c>
      <c r="F277" s="6" t="n">
        <v>3.22</v>
      </c>
      <c r="G277" s="6" t="n">
        <v>0</v>
      </c>
      <c r="H277" s="41" t="n">
        <v>15.19</v>
      </c>
      <c r="I277" s="43" t="n">
        <f aca="false">F277*H277</f>
        <v>48.9118</v>
      </c>
      <c r="J277" s="43" t="n">
        <f aca="false">G277*H277*1.5</f>
        <v>0</v>
      </c>
      <c r="K277" s="6" t="n">
        <v>8.83</v>
      </c>
      <c r="L277" s="43" t="n">
        <f aca="false">K277*'Chart of Accounts'!$E$68</f>
        <v>5.9161</v>
      </c>
      <c r="O277" s="42" t="n">
        <f aca="false">I277+J277+L277</f>
        <v>54.8279</v>
      </c>
    </row>
    <row r="278" customFormat="false" ht="15" hidden="false" customHeight="false" outlineLevel="0" collapsed="false">
      <c r="B278" s="7" t="s">
        <v>8911</v>
      </c>
      <c r="C278" s="39" t="n">
        <v>45674</v>
      </c>
      <c r="D278" s="7" t="s">
        <v>207</v>
      </c>
      <c r="E278" s="7" t="s">
        <v>180</v>
      </c>
      <c r="F278" s="6" t="n">
        <v>3.54</v>
      </c>
      <c r="G278" s="6" t="n">
        <v>0</v>
      </c>
      <c r="H278" s="41" t="n">
        <v>16.65</v>
      </c>
      <c r="I278" s="43" t="n">
        <f aca="false">F278*H278</f>
        <v>58.941</v>
      </c>
      <c r="J278" s="43" t="n">
        <f aca="false">G278*H278*1.5</f>
        <v>0</v>
      </c>
      <c r="K278" s="6" t="n">
        <v>12.03</v>
      </c>
      <c r="L278" s="43" t="n">
        <f aca="false">K278*'Chart of Accounts'!$E$68</f>
        <v>8.0601</v>
      </c>
      <c r="O278" s="42" t="n">
        <f aca="false">I278+J278+L278</f>
        <v>67.0011</v>
      </c>
    </row>
    <row r="279" customFormat="false" ht="15" hidden="false" customHeight="false" outlineLevel="0" collapsed="false">
      <c r="B279" s="7" t="s">
        <v>8912</v>
      </c>
      <c r="C279" s="39" t="n">
        <v>45674</v>
      </c>
      <c r="D279" s="7" t="s">
        <v>212</v>
      </c>
      <c r="E279" s="7" t="s">
        <v>180</v>
      </c>
      <c r="F279" s="6" t="n">
        <v>3.97</v>
      </c>
      <c r="G279" s="6" t="n">
        <v>0</v>
      </c>
      <c r="H279" s="41" t="n">
        <v>16.71</v>
      </c>
      <c r="I279" s="43" t="n">
        <f aca="false">F279*H279</f>
        <v>66.3387</v>
      </c>
      <c r="J279" s="43" t="n">
        <f aca="false">G279*H279*1.5</f>
        <v>0</v>
      </c>
      <c r="K279" s="6" t="n">
        <v>13.43</v>
      </c>
      <c r="L279" s="43" t="n">
        <f aca="false">K279*'Chart of Accounts'!$E$68</f>
        <v>8.9981</v>
      </c>
      <c r="O279" s="42" t="n">
        <f aca="false">I279+J279+L279</f>
        <v>75.3368</v>
      </c>
    </row>
    <row r="280" customFormat="false" ht="15" hidden="false" customHeight="false" outlineLevel="0" collapsed="false">
      <c r="B280" s="7" t="s">
        <v>8913</v>
      </c>
      <c r="C280" s="39" t="n">
        <v>45674</v>
      </c>
      <c r="D280" s="7" t="s">
        <v>232</v>
      </c>
      <c r="E280" s="7" t="s">
        <v>180</v>
      </c>
      <c r="F280" s="6" t="n">
        <v>4.63</v>
      </c>
      <c r="G280" s="6" t="n">
        <v>0</v>
      </c>
      <c r="H280" s="41" t="n">
        <v>16.17</v>
      </c>
      <c r="I280" s="43" t="n">
        <f aca="false">F280*H280</f>
        <v>74.8671</v>
      </c>
      <c r="J280" s="43" t="n">
        <f aca="false">G280*H280*1.5</f>
        <v>0</v>
      </c>
      <c r="K280" s="6" t="n">
        <v>11.24</v>
      </c>
      <c r="L280" s="43" t="n">
        <f aca="false">K280*'Chart of Accounts'!$E$68</f>
        <v>7.5308</v>
      </c>
      <c r="O280" s="42" t="n">
        <f aca="false">I280+J280+L280</f>
        <v>82.3979</v>
      </c>
    </row>
    <row r="281" customFormat="false" ht="15" hidden="false" customHeight="false" outlineLevel="0" collapsed="false">
      <c r="B281" s="7" t="s">
        <v>8914</v>
      </c>
      <c r="C281" s="39" t="n">
        <v>45674</v>
      </c>
      <c r="D281" s="7" t="s">
        <v>224</v>
      </c>
      <c r="E281" s="7" t="s">
        <v>180</v>
      </c>
      <c r="F281" s="6" t="n">
        <v>4.39</v>
      </c>
      <c r="G281" s="6" t="n">
        <v>0</v>
      </c>
      <c r="H281" s="41" t="n">
        <v>14.93</v>
      </c>
      <c r="I281" s="43" t="n">
        <f aca="false">F281*H281</f>
        <v>65.5427</v>
      </c>
      <c r="J281" s="43" t="n">
        <f aca="false">G281*H281*1.5</f>
        <v>0</v>
      </c>
      <c r="K281" s="6" t="n">
        <v>9.97</v>
      </c>
      <c r="L281" s="43" t="n">
        <f aca="false">K281*'Chart of Accounts'!$E$68</f>
        <v>6.6799</v>
      </c>
      <c r="O281" s="42" t="n">
        <f aca="false">I281+J281+L281</f>
        <v>72.2226</v>
      </c>
    </row>
    <row r="282" customFormat="false" ht="15" hidden="false" customHeight="false" outlineLevel="0" collapsed="false">
      <c r="B282" s="7" t="s">
        <v>8915</v>
      </c>
      <c r="C282" s="39" t="n">
        <v>45674</v>
      </c>
      <c r="D282" s="7" t="s">
        <v>246</v>
      </c>
      <c r="E282" s="7" t="s">
        <v>180</v>
      </c>
      <c r="F282" s="6" t="n">
        <v>3.8</v>
      </c>
      <c r="G282" s="6" t="n">
        <v>0</v>
      </c>
      <c r="H282" s="41" t="n">
        <v>16.48</v>
      </c>
      <c r="I282" s="43" t="n">
        <f aca="false">F282*H282</f>
        <v>62.624</v>
      </c>
      <c r="J282" s="43" t="n">
        <f aca="false">G282*H282*1.5</f>
        <v>0</v>
      </c>
      <c r="K282" s="6" t="n">
        <v>11.52</v>
      </c>
      <c r="L282" s="43" t="n">
        <f aca="false">K282*'Chart of Accounts'!$E$68</f>
        <v>7.7184</v>
      </c>
      <c r="O282" s="42" t="n">
        <f aca="false">I282+J282+L282</f>
        <v>70.3424</v>
      </c>
    </row>
    <row r="283" customFormat="false" ht="15" hidden="false" customHeight="false" outlineLevel="0" collapsed="false">
      <c r="B283" s="7" t="s">
        <v>8916</v>
      </c>
      <c r="C283" s="39" t="n">
        <v>45674</v>
      </c>
      <c r="D283" s="7" t="s">
        <v>222</v>
      </c>
      <c r="E283" s="7" t="s">
        <v>180</v>
      </c>
      <c r="F283" s="6" t="n">
        <v>3.89</v>
      </c>
      <c r="G283" s="6" t="n">
        <v>0</v>
      </c>
      <c r="H283" s="41" t="n">
        <v>17.84</v>
      </c>
      <c r="I283" s="43" t="n">
        <f aca="false">F283*H283</f>
        <v>69.3976</v>
      </c>
      <c r="J283" s="43" t="n">
        <f aca="false">G283*H283*1.5</f>
        <v>0</v>
      </c>
      <c r="K283" s="6" t="n">
        <v>13.18</v>
      </c>
      <c r="L283" s="43" t="n">
        <f aca="false">K283*'Chart of Accounts'!$E$68</f>
        <v>8.8306</v>
      </c>
      <c r="O283" s="42" t="n">
        <f aca="false">I283+J283+L283</f>
        <v>78.2282</v>
      </c>
    </row>
    <row r="284" customFormat="false" ht="15" hidden="false" customHeight="false" outlineLevel="0" collapsed="false">
      <c r="B284" s="7" t="s">
        <v>8917</v>
      </c>
      <c r="C284" s="39" t="n">
        <v>45674</v>
      </c>
      <c r="D284" s="7" t="s">
        <v>262</v>
      </c>
      <c r="E284" s="7" t="s">
        <v>180</v>
      </c>
      <c r="F284" s="6" t="n">
        <v>3.59</v>
      </c>
      <c r="G284" s="6" t="n">
        <v>0</v>
      </c>
      <c r="H284" s="41" t="n">
        <v>16.02</v>
      </c>
      <c r="I284" s="43" t="n">
        <f aca="false">F284*H284</f>
        <v>57.5118</v>
      </c>
      <c r="J284" s="43" t="n">
        <f aca="false">G284*H284*1.5</f>
        <v>0</v>
      </c>
      <c r="K284" s="6" t="n">
        <v>12.38</v>
      </c>
      <c r="L284" s="43" t="n">
        <f aca="false">K284*'Chart of Accounts'!$E$68</f>
        <v>8.2946</v>
      </c>
      <c r="O284" s="42" t="n">
        <f aca="false">I284+J284+L284</f>
        <v>65.8064</v>
      </c>
    </row>
    <row r="285" customFormat="false" ht="15" hidden="false" customHeight="false" outlineLevel="0" collapsed="false">
      <c r="B285" s="7" t="s">
        <v>8918</v>
      </c>
      <c r="C285" s="39" t="n">
        <v>45674</v>
      </c>
      <c r="D285" s="7" t="s">
        <v>260</v>
      </c>
      <c r="E285" s="7" t="s">
        <v>158</v>
      </c>
      <c r="H285" s="41" t="n">
        <v>79.8</v>
      </c>
      <c r="M285" s="6" t="n">
        <v>1</v>
      </c>
      <c r="N285" s="43" t="n">
        <f aca="false">M285*H285</f>
        <v>79.8</v>
      </c>
      <c r="O285" s="42" t="n">
        <f aca="false">N285</f>
        <v>79.8</v>
      </c>
    </row>
    <row r="286" customFormat="false" ht="15" hidden="false" customHeight="false" outlineLevel="0" collapsed="false">
      <c r="B286" s="7" t="s">
        <v>8919</v>
      </c>
      <c r="C286" s="39" t="n">
        <v>45674</v>
      </c>
      <c r="D286" s="7" t="s">
        <v>214</v>
      </c>
      <c r="E286" s="7" t="s">
        <v>180</v>
      </c>
      <c r="F286" s="6" t="n">
        <v>3.53</v>
      </c>
      <c r="G286" s="6" t="n">
        <v>0</v>
      </c>
      <c r="H286" s="41" t="n">
        <v>15.67</v>
      </c>
      <c r="I286" s="43" t="n">
        <f aca="false">F286*H286</f>
        <v>55.3151</v>
      </c>
      <c r="J286" s="43" t="n">
        <f aca="false">G286*H286*1.5</f>
        <v>0</v>
      </c>
      <c r="K286" s="6" t="n">
        <v>9.54</v>
      </c>
      <c r="L286" s="43" t="n">
        <f aca="false">K286*'Chart of Accounts'!$E$68</f>
        <v>6.3918</v>
      </c>
      <c r="O286" s="42" t="n">
        <f aca="false">I286+J286+L286</f>
        <v>61.7069</v>
      </c>
    </row>
    <row r="287" customFormat="false" ht="15" hidden="false" customHeight="false" outlineLevel="0" collapsed="false">
      <c r="B287" s="7" t="s">
        <v>8920</v>
      </c>
      <c r="C287" s="39" t="n">
        <v>45675</v>
      </c>
      <c r="D287" s="7" t="s">
        <v>191</v>
      </c>
      <c r="E287" s="7" t="s">
        <v>180</v>
      </c>
      <c r="F287" s="6" t="n">
        <v>3.86</v>
      </c>
      <c r="G287" s="6" t="n">
        <v>0</v>
      </c>
      <c r="H287" s="41" t="n">
        <v>16.05</v>
      </c>
      <c r="I287" s="43" t="n">
        <f aca="false">F287*H287</f>
        <v>61.953</v>
      </c>
      <c r="J287" s="43" t="n">
        <f aca="false">G287*H287*1.5</f>
        <v>0</v>
      </c>
      <c r="K287" s="6" t="n">
        <v>11.62</v>
      </c>
      <c r="L287" s="43" t="n">
        <f aca="false">K287*'Chart of Accounts'!$E$68</f>
        <v>7.7854</v>
      </c>
      <c r="O287" s="42" t="n">
        <f aca="false">I287+J287+L287</f>
        <v>69.7384</v>
      </c>
    </row>
    <row r="288" customFormat="false" ht="15" hidden="false" customHeight="false" outlineLevel="0" collapsed="false">
      <c r="B288" s="7" t="s">
        <v>8921</v>
      </c>
      <c r="C288" s="39" t="n">
        <v>45675</v>
      </c>
      <c r="D288" s="7" t="s">
        <v>218</v>
      </c>
      <c r="E288" s="7" t="s">
        <v>180</v>
      </c>
      <c r="F288" s="6" t="n">
        <v>3.85</v>
      </c>
      <c r="G288" s="6" t="n">
        <v>0</v>
      </c>
      <c r="H288" s="41" t="n">
        <v>16.19</v>
      </c>
      <c r="I288" s="43" t="n">
        <f aca="false">F288*H288</f>
        <v>62.3315</v>
      </c>
      <c r="J288" s="43" t="n">
        <f aca="false">G288*H288*1.5</f>
        <v>0</v>
      </c>
      <c r="K288" s="6" t="n">
        <v>13.27</v>
      </c>
      <c r="L288" s="43" t="n">
        <f aca="false">K288*'Chart of Accounts'!$E$68</f>
        <v>8.8909</v>
      </c>
      <c r="O288" s="42" t="n">
        <f aca="false">I288+J288+L288</f>
        <v>71.2224</v>
      </c>
    </row>
    <row r="289" customFormat="false" ht="15" hidden="false" customHeight="false" outlineLevel="0" collapsed="false">
      <c r="B289" s="7" t="s">
        <v>8922</v>
      </c>
      <c r="C289" s="39" t="n">
        <v>45675</v>
      </c>
      <c r="D289" s="7" t="s">
        <v>212</v>
      </c>
      <c r="E289" s="7" t="s">
        <v>180</v>
      </c>
      <c r="F289" s="6" t="n">
        <v>4.15</v>
      </c>
      <c r="G289" s="6" t="n">
        <v>0</v>
      </c>
      <c r="H289" s="41" t="n">
        <v>16.71</v>
      </c>
      <c r="I289" s="43" t="n">
        <f aca="false">F289*H289</f>
        <v>69.3465</v>
      </c>
      <c r="J289" s="43" t="n">
        <f aca="false">G289*H289*1.5</f>
        <v>0</v>
      </c>
      <c r="K289" s="6" t="n">
        <v>13.79</v>
      </c>
      <c r="L289" s="43" t="n">
        <f aca="false">K289*'Chart of Accounts'!$E$68</f>
        <v>9.2393</v>
      </c>
      <c r="O289" s="42" t="n">
        <f aca="false">I289+J289+L289</f>
        <v>78.5858</v>
      </c>
    </row>
    <row r="290" customFormat="false" ht="15" hidden="false" customHeight="false" outlineLevel="0" collapsed="false">
      <c r="B290" s="7" t="s">
        <v>8923</v>
      </c>
      <c r="C290" s="39" t="n">
        <v>45675</v>
      </c>
      <c r="D290" s="7" t="s">
        <v>222</v>
      </c>
      <c r="E290" s="7" t="s">
        <v>180</v>
      </c>
      <c r="F290" s="6" t="n">
        <v>4.3</v>
      </c>
      <c r="G290" s="6" t="n">
        <v>0</v>
      </c>
      <c r="H290" s="41" t="n">
        <v>17.84</v>
      </c>
      <c r="I290" s="43" t="n">
        <f aca="false">F290*H290</f>
        <v>76.712</v>
      </c>
      <c r="J290" s="43" t="n">
        <f aca="false">G290*H290*1.5</f>
        <v>0</v>
      </c>
      <c r="K290" s="6" t="n">
        <v>11.95</v>
      </c>
      <c r="L290" s="43" t="n">
        <f aca="false">K290*'Chart of Accounts'!$E$68</f>
        <v>8.0065</v>
      </c>
      <c r="O290" s="42" t="n">
        <f aca="false">I290+J290+L290</f>
        <v>84.7185</v>
      </c>
    </row>
    <row r="291" customFormat="false" ht="15" hidden="false" customHeight="false" outlineLevel="0" collapsed="false">
      <c r="B291" s="7" t="s">
        <v>8924</v>
      </c>
      <c r="C291" s="39" t="n">
        <v>45675</v>
      </c>
      <c r="D291" s="7" t="s">
        <v>242</v>
      </c>
      <c r="E291" s="7" t="s">
        <v>180</v>
      </c>
      <c r="F291" s="6" t="n">
        <v>3.82</v>
      </c>
      <c r="G291" s="6" t="n">
        <v>0</v>
      </c>
      <c r="H291" s="41" t="n">
        <v>17.99</v>
      </c>
      <c r="I291" s="43" t="n">
        <f aca="false">F291*H291</f>
        <v>68.7218</v>
      </c>
      <c r="J291" s="43" t="n">
        <f aca="false">G291*H291*1.5</f>
        <v>0</v>
      </c>
      <c r="K291" s="6" t="n">
        <v>9.03</v>
      </c>
      <c r="L291" s="43" t="n">
        <f aca="false">K291*'Chart of Accounts'!$E$68</f>
        <v>6.0501</v>
      </c>
      <c r="O291" s="42" t="n">
        <f aca="false">I291+J291+L291</f>
        <v>74.7719</v>
      </c>
    </row>
    <row r="292" customFormat="false" ht="15" hidden="false" customHeight="false" outlineLevel="0" collapsed="false">
      <c r="B292" s="7" t="s">
        <v>8925</v>
      </c>
      <c r="C292" s="39" t="n">
        <v>45675</v>
      </c>
      <c r="D292" s="7" t="s">
        <v>254</v>
      </c>
      <c r="E292" s="7" t="s">
        <v>180</v>
      </c>
      <c r="F292" s="6" t="n">
        <v>3.66</v>
      </c>
      <c r="G292" s="6" t="n">
        <v>0</v>
      </c>
      <c r="H292" s="41" t="n">
        <v>17.1</v>
      </c>
      <c r="I292" s="43" t="n">
        <f aca="false">F292*H292</f>
        <v>62.586</v>
      </c>
      <c r="J292" s="43" t="n">
        <f aca="false">G292*H292*1.5</f>
        <v>0</v>
      </c>
      <c r="K292" s="6" t="n">
        <v>8.6</v>
      </c>
      <c r="L292" s="43" t="n">
        <f aca="false">K292*'Chart of Accounts'!$E$68</f>
        <v>5.762</v>
      </c>
      <c r="O292" s="42" t="n">
        <f aca="false">I292+J292+L292</f>
        <v>68.348</v>
      </c>
    </row>
    <row r="293" customFormat="false" ht="15" hidden="false" customHeight="false" outlineLevel="0" collapsed="false">
      <c r="B293" s="7" t="s">
        <v>8926</v>
      </c>
      <c r="C293" s="39" t="n">
        <v>45676</v>
      </c>
      <c r="D293" s="7" t="s">
        <v>191</v>
      </c>
      <c r="E293" s="7" t="s">
        <v>180</v>
      </c>
      <c r="F293" s="6" t="n">
        <v>4.24</v>
      </c>
      <c r="G293" s="6" t="n">
        <v>0</v>
      </c>
      <c r="H293" s="41" t="n">
        <v>16.05</v>
      </c>
      <c r="I293" s="43" t="n">
        <f aca="false">F293*H293</f>
        <v>68.052</v>
      </c>
      <c r="J293" s="43" t="n">
        <f aca="false">G293*H293*1.5</f>
        <v>0</v>
      </c>
      <c r="K293" s="6" t="n">
        <v>12.2</v>
      </c>
      <c r="L293" s="43" t="n">
        <f aca="false">K293*'Chart of Accounts'!$E$68</f>
        <v>8.174</v>
      </c>
      <c r="O293" s="42" t="n">
        <f aca="false">I293+J293+L293</f>
        <v>76.226</v>
      </c>
    </row>
    <row r="294" customFormat="false" ht="15" hidden="false" customHeight="false" outlineLevel="0" collapsed="false">
      <c r="B294" s="7" t="s">
        <v>8927</v>
      </c>
      <c r="C294" s="39" t="n">
        <v>45676</v>
      </c>
      <c r="D294" s="7" t="s">
        <v>218</v>
      </c>
      <c r="E294" s="7" t="s">
        <v>180</v>
      </c>
      <c r="F294" s="6" t="n">
        <v>3.71</v>
      </c>
      <c r="G294" s="6" t="n">
        <v>0</v>
      </c>
      <c r="H294" s="41" t="n">
        <v>16.19</v>
      </c>
      <c r="I294" s="43" t="n">
        <f aca="false">F294*H294</f>
        <v>60.0649</v>
      </c>
      <c r="J294" s="43" t="n">
        <f aca="false">G294*H294*1.5</f>
        <v>0</v>
      </c>
      <c r="K294" s="6" t="n">
        <v>13.32</v>
      </c>
      <c r="L294" s="43" t="n">
        <f aca="false">K294*'Chart of Accounts'!$E$68</f>
        <v>8.9244</v>
      </c>
      <c r="O294" s="42" t="n">
        <f aca="false">I294+J294+L294</f>
        <v>68.9893</v>
      </c>
    </row>
    <row r="295" customFormat="false" ht="15" hidden="false" customHeight="false" outlineLevel="0" collapsed="false">
      <c r="B295" s="7" t="s">
        <v>8928</v>
      </c>
      <c r="C295" s="39" t="n">
        <v>45676</v>
      </c>
      <c r="D295" s="7" t="s">
        <v>212</v>
      </c>
      <c r="E295" s="7" t="s">
        <v>180</v>
      </c>
      <c r="F295" s="6" t="n">
        <v>3.63</v>
      </c>
      <c r="G295" s="6" t="n">
        <v>0</v>
      </c>
      <c r="H295" s="41" t="n">
        <v>16.71</v>
      </c>
      <c r="I295" s="43" t="n">
        <f aca="false">F295*H295</f>
        <v>60.6573</v>
      </c>
      <c r="J295" s="43" t="n">
        <f aca="false">G295*H295*1.5</f>
        <v>0</v>
      </c>
      <c r="K295" s="6" t="n">
        <v>10.39</v>
      </c>
      <c r="L295" s="43" t="n">
        <f aca="false">K295*'Chart of Accounts'!$E$68</f>
        <v>6.9613</v>
      </c>
      <c r="O295" s="42" t="n">
        <f aca="false">I295+J295+L295</f>
        <v>67.6186</v>
      </c>
    </row>
    <row r="296" customFormat="false" ht="15" hidden="false" customHeight="false" outlineLevel="0" collapsed="false">
      <c r="B296" s="7" t="s">
        <v>8929</v>
      </c>
      <c r="C296" s="39" t="n">
        <v>45676</v>
      </c>
      <c r="D296" s="7" t="s">
        <v>222</v>
      </c>
      <c r="E296" s="7" t="s">
        <v>180</v>
      </c>
      <c r="F296" s="6" t="n">
        <v>3.89</v>
      </c>
      <c r="G296" s="6" t="n">
        <v>0</v>
      </c>
      <c r="H296" s="41" t="n">
        <v>17.84</v>
      </c>
      <c r="I296" s="43" t="n">
        <f aca="false">F296*H296</f>
        <v>69.3976</v>
      </c>
      <c r="J296" s="43" t="n">
        <f aca="false">G296*H296*1.5</f>
        <v>0</v>
      </c>
      <c r="K296" s="6" t="n">
        <v>10.23</v>
      </c>
      <c r="L296" s="43" t="n">
        <f aca="false">K296*'Chart of Accounts'!$E$68</f>
        <v>6.8541</v>
      </c>
      <c r="O296" s="42" t="n">
        <f aca="false">I296+J296+L296</f>
        <v>76.2517</v>
      </c>
    </row>
    <row r="297" customFormat="false" ht="15" hidden="false" customHeight="false" outlineLevel="0" collapsed="false">
      <c r="B297" s="7" t="s">
        <v>8930</v>
      </c>
      <c r="C297" s="39" t="n">
        <v>45676</v>
      </c>
      <c r="D297" s="7" t="s">
        <v>242</v>
      </c>
      <c r="E297" s="7" t="s">
        <v>180</v>
      </c>
      <c r="F297" s="6" t="n">
        <v>4.08</v>
      </c>
      <c r="G297" s="6" t="n">
        <v>0</v>
      </c>
      <c r="H297" s="41" t="n">
        <v>17.99</v>
      </c>
      <c r="I297" s="43" t="n">
        <f aca="false">F297*H297</f>
        <v>73.3992</v>
      </c>
      <c r="J297" s="43" t="n">
        <f aca="false">G297*H297*1.5</f>
        <v>0</v>
      </c>
      <c r="K297" s="6" t="n">
        <v>11.54</v>
      </c>
      <c r="L297" s="43" t="n">
        <f aca="false">K297*'Chart of Accounts'!$E$68</f>
        <v>7.7318</v>
      </c>
      <c r="O297" s="42" t="n">
        <f aca="false">I297+J297+L297</f>
        <v>81.131</v>
      </c>
    </row>
    <row r="298" customFormat="false" ht="15" hidden="false" customHeight="false" outlineLevel="0" collapsed="false">
      <c r="B298" s="7" t="s">
        <v>8931</v>
      </c>
      <c r="C298" s="39" t="n">
        <v>45676</v>
      </c>
      <c r="D298" s="7" t="s">
        <v>254</v>
      </c>
      <c r="E298" s="7" t="s">
        <v>180</v>
      </c>
      <c r="F298" s="6" t="n">
        <v>3.9</v>
      </c>
      <c r="G298" s="6" t="n">
        <v>0</v>
      </c>
      <c r="H298" s="41" t="n">
        <v>17.1</v>
      </c>
      <c r="I298" s="43" t="n">
        <f aca="false">F298*H298</f>
        <v>66.69</v>
      </c>
      <c r="J298" s="43" t="n">
        <f aca="false">G298*H298*1.5</f>
        <v>0</v>
      </c>
      <c r="K298" s="6" t="n">
        <v>10.16</v>
      </c>
      <c r="L298" s="43" t="n">
        <f aca="false">K298*'Chart of Accounts'!$E$68</f>
        <v>6.8072</v>
      </c>
      <c r="O298" s="42" t="n">
        <f aca="false">I298+J298+L298</f>
        <v>73.4972</v>
      </c>
    </row>
    <row r="299" customFormat="false" ht="15" hidden="false" customHeight="false" outlineLevel="0" collapsed="false">
      <c r="B299" s="7" t="s">
        <v>8932</v>
      </c>
      <c r="C299" s="39" t="n">
        <v>45677</v>
      </c>
      <c r="D299" s="7" t="s">
        <v>187</v>
      </c>
      <c r="E299" s="7" t="s">
        <v>158</v>
      </c>
      <c r="H299" s="41" t="n">
        <v>66.48</v>
      </c>
      <c r="M299" s="6" t="n">
        <v>1</v>
      </c>
      <c r="N299" s="43" t="n">
        <f aca="false">M299*H299</f>
        <v>66.48</v>
      </c>
      <c r="O299" s="42" t="n">
        <f aca="false">N299</f>
        <v>66.48</v>
      </c>
    </row>
    <row r="300" customFormat="false" ht="15" hidden="false" customHeight="false" outlineLevel="0" collapsed="false">
      <c r="B300" s="7" t="s">
        <v>8933</v>
      </c>
      <c r="C300" s="39" t="n">
        <v>45677</v>
      </c>
      <c r="D300" s="7" t="s">
        <v>191</v>
      </c>
      <c r="E300" s="7" t="s">
        <v>180</v>
      </c>
      <c r="F300" s="6" t="n">
        <v>3.8</v>
      </c>
      <c r="G300" s="6" t="n">
        <v>0</v>
      </c>
      <c r="H300" s="41" t="n">
        <v>16.05</v>
      </c>
      <c r="I300" s="43" t="n">
        <f aca="false">F300*H300</f>
        <v>60.99</v>
      </c>
      <c r="J300" s="43" t="n">
        <f aca="false">G300*H300*1.5</f>
        <v>0</v>
      </c>
      <c r="K300" s="6" t="n">
        <v>12.31</v>
      </c>
      <c r="L300" s="43" t="n">
        <f aca="false">K300*'Chart of Accounts'!$E$68</f>
        <v>8.2477</v>
      </c>
      <c r="O300" s="42" t="n">
        <f aca="false">I300+J300+L300</f>
        <v>69.2377</v>
      </c>
    </row>
    <row r="301" customFormat="false" ht="15" hidden="false" customHeight="false" outlineLevel="0" collapsed="false">
      <c r="B301" s="7" t="s">
        <v>8934</v>
      </c>
      <c r="C301" s="39" t="n">
        <v>45677</v>
      </c>
      <c r="D301" s="7" t="s">
        <v>194</v>
      </c>
      <c r="E301" s="7" t="s">
        <v>180</v>
      </c>
      <c r="F301" s="6" t="n">
        <v>4.67</v>
      </c>
      <c r="G301" s="6" t="n">
        <v>0</v>
      </c>
      <c r="H301" s="41" t="n">
        <v>16</v>
      </c>
      <c r="I301" s="43" t="n">
        <f aca="false">F301*H301</f>
        <v>74.72</v>
      </c>
      <c r="J301" s="43" t="n">
        <f aca="false">G301*H301*1.5</f>
        <v>0</v>
      </c>
      <c r="K301" s="6" t="n">
        <v>13.01</v>
      </c>
      <c r="L301" s="43" t="n">
        <f aca="false">K301*'Chart of Accounts'!$E$68</f>
        <v>8.7167</v>
      </c>
      <c r="O301" s="42" t="n">
        <f aca="false">I301+J301+L301</f>
        <v>83.4367</v>
      </c>
    </row>
    <row r="302" customFormat="false" ht="15" hidden="false" customHeight="false" outlineLevel="0" collapsed="false">
      <c r="B302" s="7" t="s">
        <v>8935</v>
      </c>
      <c r="C302" s="39" t="n">
        <v>45677</v>
      </c>
      <c r="D302" s="7" t="s">
        <v>201</v>
      </c>
      <c r="E302" s="7" t="s">
        <v>180</v>
      </c>
      <c r="F302" s="6" t="n">
        <v>6.09</v>
      </c>
      <c r="G302" s="6" t="n">
        <v>0</v>
      </c>
      <c r="H302" s="41" t="n">
        <v>15.19</v>
      </c>
      <c r="I302" s="43" t="n">
        <f aca="false">F302*H302</f>
        <v>92.5071</v>
      </c>
      <c r="J302" s="43" t="n">
        <f aca="false">G302*H302*1.5</f>
        <v>0</v>
      </c>
      <c r="K302" s="6" t="n">
        <v>17.33</v>
      </c>
      <c r="L302" s="43" t="n">
        <f aca="false">K302*'Chart of Accounts'!$E$68</f>
        <v>11.6111</v>
      </c>
      <c r="O302" s="42" t="n">
        <f aca="false">I302+J302+L302</f>
        <v>104.1182</v>
      </c>
    </row>
    <row r="303" customFormat="false" ht="15" hidden="false" customHeight="false" outlineLevel="0" collapsed="false">
      <c r="B303" s="7" t="s">
        <v>8936</v>
      </c>
      <c r="C303" s="39" t="n">
        <v>45677</v>
      </c>
      <c r="D303" s="7" t="s">
        <v>205</v>
      </c>
      <c r="E303" s="7" t="s">
        <v>180</v>
      </c>
      <c r="F303" s="6" t="n">
        <v>4.4</v>
      </c>
      <c r="G303" s="6" t="n">
        <v>0</v>
      </c>
      <c r="H303" s="41" t="n">
        <v>16.36</v>
      </c>
      <c r="I303" s="43" t="n">
        <f aca="false">F303*H303</f>
        <v>71.984</v>
      </c>
      <c r="J303" s="43" t="n">
        <f aca="false">G303*H303*1.5</f>
        <v>0</v>
      </c>
      <c r="K303" s="6" t="n">
        <v>12.83</v>
      </c>
      <c r="L303" s="43" t="n">
        <f aca="false">K303*'Chart of Accounts'!$E$68</f>
        <v>8.5961</v>
      </c>
      <c r="O303" s="42" t="n">
        <f aca="false">I303+J303+L303</f>
        <v>80.5801</v>
      </c>
    </row>
    <row r="304" customFormat="false" ht="15" hidden="false" customHeight="false" outlineLevel="0" collapsed="false">
      <c r="B304" s="7" t="s">
        <v>8937</v>
      </c>
      <c r="C304" s="39" t="n">
        <v>45677</v>
      </c>
      <c r="D304" s="7" t="s">
        <v>252</v>
      </c>
      <c r="E304" s="7" t="s">
        <v>158</v>
      </c>
      <c r="H304" s="41" t="n">
        <v>57.54</v>
      </c>
      <c r="M304" s="6" t="n">
        <v>1</v>
      </c>
      <c r="N304" s="43" t="n">
        <f aca="false">M304*H304</f>
        <v>57.54</v>
      </c>
      <c r="O304" s="42" t="n">
        <f aca="false">N304</f>
        <v>57.54</v>
      </c>
    </row>
    <row r="305" customFormat="false" ht="15" hidden="false" customHeight="false" outlineLevel="0" collapsed="false">
      <c r="B305" s="7" t="s">
        <v>8938</v>
      </c>
      <c r="C305" s="39" t="n">
        <v>45677</v>
      </c>
      <c r="D305" s="7" t="s">
        <v>196</v>
      </c>
      <c r="E305" s="7" t="s">
        <v>180</v>
      </c>
      <c r="F305" s="6" t="n">
        <v>6.23</v>
      </c>
      <c r="G305" s="6" t="n">
        <v>0</v>
      </c>
      <c r="H305" s="41" t="n">
        <v>15.05</v>
      </c>
      <c r="I305" s="43" t="n">
        <f aca="false">F305*H305</f>
        <v>93.7615</v>
      </c>
      <c r="J305" s="43" t="n">
        <f aca="false">G305*H305*1.5</f>
        <v>0</v>
      </c>
      <c r="K305" s="6" t="n">
        <v>20.6</v>
      </c>
      <c r="L305" s="43" t="n">
        <f aca="false">K305*'Chart of Accounts'!$E$68</f>
        <v>13.802</v>
      </c>
      <c r="O305" s="42" t="n">
        <f aca="false">I305+J305+L305</f>
        <v>107.5635</v>
      </c>
    </row>
    <row r="306" customFormat="false" ht="15" hidden="false" customHeight="false" outlineLevel="0" collapsed="false">
      <c r="B306" s="7" t="s">
        <v>8939</v>
      </c>
      <c r="C306" s="39" t="n">
        <v>45677</v>
      </c>
      <c r="D306" s="7" t="s">
        <v>184</v>
      </c>
      <c r="E306" s="7" t="s">
        <v>180</v>
      </c>
      <c r="F306" s="6" t="n">
        <v>3.67</v>
      </c>
      <c r="G306" s="6" t="n">
        <v>0</v>
      </c>
      <c r="H306" s="41" t="n">
        <v>17.34</v>
      </c>
      <c r="I306" s="43" t="n">
        <f aca="false">F306*H306</f>
        <v>63.6378</v>
      </c>
      <c r="J306" s="43" t="n">
        <f aca="false">G306*H306*1.5</f>
        <v>0</v>
      </c>
      <c r="K306" s="6" t="n">
        <v>8.85</v>
      </c>
      <c r="L306" s="43" t="n">
        <f aca="false">K306*'Chart of Accounts'!$E$68</f>
        <v>5.9295</v>
      </c>
      <c r="O306" s="42" t="n">
        <f aca="false">I306+J306+L306</f>
        <v>69.5673</v>
      </c>
    </row>
    <row r="307" customFormat="false" ht="15" hidden="false" customHeight="false" outlineLevel="0" collapsed="false">
      <c r="B307" s="7" t="s">
        <v>8940</v>
      </c>
      <c r="C307" s="39" t="n">
        <v>45677</v>
      </c>
      <c r="D307" s="7" t="s">
        <v>207</v>
      </c>
      <c r="E307" s="7" t="s">
        <v>180</v>
      </c>
      <c r="F307" s="6" t="n">
        <v>6.32</v>
      </c>
      <c r="G307" s="6" t="n">
        <v>0</v>
      </c>
      <c r="H307" s="41" t="n">
        <v>16.65</v>
      </c>
      <c r="I307" s="43" t="n">
        <f aca="false">F307*H307</f>
        <v>105.228</v>
      </c>
      <c r="J307" s="43" t="n">
        <f aca="false">G307*H307*1.5</f>
        <v>0</v>
      </c>
      <c r="K307" s="6" t="n">
        <v>17.33</v>
      </c>
      <c r="L307" s="43" t="n">
        <f aca="false">K307*'Chart of Accounts'!$E$68</f>
        <v>11.6111</v>
      </c>
      <c r="O307" s="42" t="n">
        <f aca="false">I307+J307+L307</f>
        <v>116.8391</v>
      </c>
    </row>
    <row r="308" customFormat="false" ht="15" hidden="false" customHeight="false" outlineLevel="0" collapsed="false">
      <c r="B308" s="7" t="s">
        <v>8941</v>
      </c>
      <c r="C308" s="39" t="n">
        <v>45677</v>
      </c>
      <c r="D308" s="7" t="s">
        <v>218</v>
      </c>
      <c r="E308" s="7" t="s">
        <v>180</v>
      </c>
      <c r="F308" s="6" t="n">
        <v>4.03</v>
      </c>
      <c r="G308" s="6" t="n">
        <v>0</v>
      </c>
      <c r="H308" s="41" t="n">
        <v>16.19</v>
      </c>
      <c r="I308" s="43" t="n">
        <f aca="false">F308*H308</f>
        <v>65.2457</v>
      </c>
      <c r="J308" s="43" t="n">
        <f aca="false">G308*H308*1.5</f>
        <v>0</v>
      </c>
      <c r="K308" s="6" t="n">
        <v>12.12</v>
      </c>
      <c r="L308" s="43" t="n">
        <f aca="false">K308*'Chart of Accounts'!$E$68</f>
        <v>8.1204</v>
      </c>
      <c r="O308" s="42" t="n">
        <f aca="false">I308+J308+L308</f>
        <v>73.3661</v>
      </c>
    </row>
    <row r="309" customFormat="false" ht="15" hidden="false" customHeight="false" outlineLevel="0" collapsed="false">
      <c r="B309" s="7" t="s">
        <v>8942</v>
      </c>
      <c r="C309" s="39" t="n">
        <v>45677</v>
      </c>
      <c r="D309" s="7" t="s">
        <v>212</v>
      </c>
      <c r="E309" s="7" t="s">
        <v>180</v>
      </c>
      <c r="F309" s="6" t="n">
        <v>7.08</v>
      </c>
      <c r="G309" s="6" t="n">
        <v>0</v>
      </c>
      <c r="H309" s="41" t="n">
        <v>16.71</v>
      </c>
      <c r="I309" s="43" t="n">
        <f aca="false">F309*H309</f>
        <v>118.3068</v>
      </c>
      <c r="J309" s="43" t="n">
        <f aca="false">G309*H309*1.5</f>
        <v>0</v>
      </c>
      <c r="K309" s="6" t="n">
        <v>18.51</v>
      </c>
      <c r="L309" s="43" t="n">
        <f aca="false">K309*'Chart of Accounts'!$E$68</f>
        <v>12.4017</v>
      </c>
      <c r="O309" s="42" t="n">
        <f aca="false">I309+J309+L309</f>
        <v>130.7085</v>
      </c>
    </row>
    <row r="310" customFormat="false" ht="15" hidden="false" customHeight="false" outlineLevel="0" collapsed="false">
      <c r="B310" s="7" t="s">
        <v>8943</v>
      </c>
      <c r="C310" s="39" t="n">
        <v>45677</v>
      </c>
      <c r="D310" s="7" t="s">
        <v>220</v>
      </c>
      <c r="E310" s="7" t="s">
        <v>180</v>
      </c>
      <c r="F310" s="6" t="n">
        <v>4.23</v>
      </c>
      <c r="G310" s="6" t="n">
        <v>0</v>
      </c>
      <c r="H310" s="41" t="n">
        <v>16.43</v>
      </c>
      <c r="I310" s="43" t="n">
        <f aca="false">F310*H310</f>
        <v>69.4989</v>
      </c>
      <c r="J310" s="43" t="n">
        <f aca="false">G310*H310*1.5</f>
        <v>0</v>
      </c>
      <c r="K310" s="6" t="n">
        <v>11.31</v>
      </c>
      <c r="L310" s="43" t="n">
        <f aca="false">K310*'Chart of Accounts'!$E$68</f>
        <v>7.5777</v>
      </c>
      <c r="O310" s="42" t="n">
        <f aca="false">I310+J310+L310</f>
        <v>77.0766</v>
      </c>
    </row>
    <row r="311" customFormat="false" ht="15" hidden="false" customHeight="false" outlineLevel="0" collapsed="false">
      <c r="B311" s="7" t="s">
        <v>8944</v>
      </c>
      <c r="C311" s="39" t="n">
        <v>45677</v>
      </c>
      <c r="D311" s="7" t="s">
        <v>224</v>
      </c>
      <c r="E311" s="7" t="s">
        <v>180</v>
      </c>
      <c r="F311" s="6" t="n">
        <v>8.08</v>
      </c>
      <c r="G311" s="6" t="n">
        <v>0</v>
      </c>
      <c r="H311" s="41" t="n">
        <v>14.93</v>
      </c>
      <c r="I311" s="43" t="n">
        <f aca="false">F311*H311</f>
        <v>120.6344</v>
      </c>
      <c r="J311" s="43" t="n">
        <f aca="false">G311*H311*1.5</f>
        <v>0</v>
      </c>
      <c r="K311" s="6" t="n">
        <v>28.45</v>
      </c>
      <c r="L311" s="43" t="n">
        <f aca="false">K311*'Chart of Accounts'!$E$68</f>
        <v>19.0615</v>
      </c>
      <c r="O311" s="42" t="n">
        <f aca="false">I311+J311+L311</f>
        <v>139.6959</v>
      </c>
    </row>
    <row r="312" customFormat="false" ht="15" hidden="false" customHeight="false" outlineLevel="0" collapsed="false">
      <c r="B312" s="7" t="s">
        <v>8945</v>
      </c>
      <c r="C312" s="39" t="n">
        <v>45677</v>
      </c>
      <c r="D312" s="7" t="s">
        <v>177</v>
      </c>
      <c r="E312" s="7" t="s">
        <v>180</v>
      </c>
      <c r="F312" s="6" t="n">
        <v>8.28</v>
      </c>
      <c r="G312" s="6" t="n">
        <v>0</v>
      </c>
      <c r="H312" s="41" t="n">
        <v>14.56</v>
      </c>
      <c r="I312" s="43" t="n">
        <f aca="false">F312*H312</f>
        <v>120.5568</v>
      </c>
      <c r="J312" s="43" t="n">
        <f aca="false">G312*H312*1.5</f>
        <v>0</v>
      </c>
      <c r="K312" s="6" t="n">
        <v>26.1</v>
      </c>
      <c r="L312" s="43" t="n">
        <f aca="false">K312*'Chart of Accounts'!$E$68</f>
        <v>17.487</v>
      </c>
      <c r="O312" s="42" t="n">
        <f aca="false">I312+J312+L312</f>
        <v>138.0438</v>
      </c>
    </row>
    <row r="313" customFormat="false" ht="15" hidden="false" customHeight="false" outlineLevel="0" collapsed="false">
      <c r="B313" s="7" t="s">
        <v>8946</v>
      </c>
      <c r="C313" s="39" t="n">
        <v>45677</v>
      </c>
      <c r="D313" s="7" t="s">
        <v>232</v>
      </c>
      <c r="E313" s="7" t="s">
        <v>180</v>
      </c>
      <c r="F313" s="6" t="n">
        <v>7.68</v>
      </c>
      <c r="G313" s="6" t="n">
        <v>0</v>
      </c>
      <c r="H313" s="41" t="n">
        <v>16.17</v>
      </c>
      <c r="I313" s="43" t="n">
        <f aca="false">F313*H313</f>
        <v>124.1856</v>
      </c>
      <c r="J313" s="43" t="n">
        <f aca="false">G313*H313*1.5</f>
        <v>0</v>
      </c>
      <c r="K313" s="6" t="n">
        <v>25.05</v>
      </c>
      <c r="L313" s="43" t="n">
        <f aca="false">K313*'Chart of Accounts'!$E$68</f>
        <v>16.7835</v>
      </c>
      <c r="O313" s="42" t="n">
        <f aca="false">I313+J313+L313</f>
        <v>140.9691</v>
      </c>
    </row>
    <row r="314" customFormat="false" ht="15" hidden="false" customHeight="false" outlineLevel="0" collapsed="false">
      <c r="B314" s="7" t="s">
        <v>8947</v>
      </c>
      <c r="C314" s="39" t="n">
        <v>45677</v>
      </c>
      <c r="D314" s="7" t="s">
        <v>242</v>
      </c>
      <c r="E314" s="7" t="s">
        <v>180</v>
      </c>
      <c r="F314" s="6" t="n">
        <v>7.14</v>
      </c>
      <c r="G314" s="6" t="n">
        <v>0</v>
      </c>
      <c r="H314" s="41" t="n">
        <v>17.99</v>
      </c>
      <c r="I314" s="43" t="n">
        <f aca="false">F314*H314</f>
        <v>128.4486</v>
      </c>
      <c r="J314" s="43" t="n">
        <f aca="false">G314*H314*1.5</f>
        <v>0</v>
      </c>
      <c r="K314" s="6" t="n">
        <v>21.51</v>
      </c>
      <c r="L314" s="43" t="n">
        <f aca="false">K314*'Chart of Accounts'!$E$68</f>
        <v>14.4117</v>
      </c>
      <c r="O314" s="42" t="n">
        <f aca="false">I314+J314+L314</f>
        <v>142.8603</v>
      </c>
    </row>
    <row r="315" customFormat="false" ht="15" hidden="false" customHeight="false" outlineLevel="0" collapsed="false">
      <c r="B315" s="7" t="s">
        <v>8948</v>
      </c>
      <c r="C315" s="39" t="n">
        <v>45677</v>
      </c>
      <c r="D315" s="7" t="s">
        <v>222</v>
      </c>
      <c r="E315" s="7" t="s">
        <v>180</v>
      </c>
      <c r="F315" s="6" t="n">
        <v>6.85</v>
      </c>
      <c r="G315" s="6" t="n">
        <v>0</v>
      </c>
      <c r="H315" s="41" t="n">
        <v>17.84</v>
      </c>
      <c r="I315" s="43" t="n">
        <f aca="false">F315*H315</f>
        <v>122.204</v>
      </c>
      <c r="J315" s="43" t="n">
        <f aca="false">G315*H315*1.5</f>
        <v>0</v>
      </c>
      <c r="K315" s="6" t="n">
        <v>20.91</v>
      </c>
      <c r="L315" s="43" t="n">
        <f aca="false">K315*'Chart of Accounts'!$E$68</f>
        <v>14.0097</v>
      </c>
      <c r="O315" s="42" t="n">
        <f aca="false">I315+J315+L315</f>
        <v>136.2137</v>
      </c>
    </row>
    <row r="316" customFormat="false" ht="15" hidden="false" customHeight="false" outlineLevel="0" collapsed="false">
      <c r="B316" s="7" t="s">
        <v>8949</v>
      </c>
      <c r="C316" s="39" t="n">
        <v>45677</v>
      </c>
      <c r="D316" s="7" t="s">
        <v>262</v>
      </c>
      <c r="E316" s="7" t="s">
        <v>180</v>
      </c>
      <c r="F316" s="6" t="n">
        <v>7.81</v>
      </c>
      <c r="G316" s="6" t="n">
        <v>0</v>
      </c>
      <c r="H316" s="41" t="n">
        <v>16.02</v>
      </c>
      <c r="I316" s="43" t="n">
        <f aca="false">F316*H316</f>
        <v>125.1162</v>
      </c>
      <c r="J316" s="43" t="n">
        <f aca="false">G316*H316*1.5</f>
        <v>0</v>
      </c>
      <c r="K316" s="6" t="n">
        <v>20</v>
      </c>
      <c r="L316" s="43" t="n">
        <f aca="false">K316*'Chart of Accounts'!$E$68</f>
        <v>13.4</v>
      </c>
      <c r="O316" s="42" t="n">
        <f aca="false">I316+J316+L316</f>
        <v>138.5162</v>
      </c>
    </row>
    <row r="317" customFormat="false" ht="15" hidden="false" customHeight="false" outlineLevel="0" collapsed="false">
      <c r="B317" s="7" t="s">
        <v>8950</v>
      </c>
      <c r="C317" s="39" t="n">
        <v>45677</v>
      </c>
      <c r="D317" s="7" t="s">
        <v>254</v>
      </c>
      <c r="E317" s="7" t="s">
        <v>180</v>
      </c>
      <c r="F317" s="6" t="n">
        <v>7.54</v>
      </c>
      <c r="G317" s="6" t="n">
        <v>0</v>
      </c>
      <c r="H317" s="41" t="n">
        <v>17.1</v>
      </c>
      <c r="I317" s="43" t="n">
        <f aca="false">F317*H317</f>
        <v>128.934</v>
      </c>
      <c r="J317" s="43" t="n">
        <f aca="false">G317*H317*1.5</f>
        <v>0</v>
      </c>
      <c r="K317" s="6" t="n">
        <v>23.82</v>
      </c>
      <c r="L317" s="43" t="n">
        <f aca="false">K317*'Chart of Accounts'!$E$68</f>
        <v>15.9594</v>
      </c>
      <c r="O317" s="42" t="n">
        <f aca="false">I317+J317+L317</f>
        <v>144.8934</v>
      </c>
    </row>
    <row r="318" customFormat="false" ht="15" hidden="false" customHeight="false" outlineLevel="0" collapsed="false">
      <c r="B318" s="7" t="s">
        <v>8951</v>
      </c>
      <c r="C318" s="39" t="n">
        <v>45677</v>
      </c>
      <c r="D318" s="7" t="s">
        <v>246</v>
      </c>
      <c r="E318" s="7" t="s">
        <v>180</v>
      </c>
      <c r="F318" s="6" t="n">
        <v>7.7</v>
      </c>
      <c r="G318" s="6" t="n">
        <v>0</v>
      </c>
      <c r="H318" s="41" t="n">
        <v>16.48</v>
      </c>
      <c r="I318" s="43" t="n">
        <f aca="false">F318*H318</f>
        <v>126.896</v>
      </c>
      <c r="J318" s="43" t="n">
        <f aca="false">G318*H318*1.5</f>
        <v>0</v>
      </c>
      <c r="K318" s="6" t="n">
        <v>22.64</v>
      </c>
      <c r="L318" s="43" t="n">
        <f aca="false">K318*'Chart of Accounts'!$E$68</f>
        <v>15.1688</v>
      </c>
      <c r="O318" s="42" t="n">
        <f aca="false">I318+J318+L318</f>
        <v>142.0648</v>
      </c>
    </row>
    <row r="319" customFormat="false" ht="15" hidden="false" customHeight="false" outlineLevel="0" collapsed="false">
      <c r="B319" s="7" t="s">
        <v>8952</v>
      </c>
      <c r="C319" s="39" t="n">
        <v>45677</v>
      </c>
      <c r="D319" s="7" t="s">
        <v>214</v>
      </c>
      <c r="E319" s="7" t="s">
        <v>180</v>
      </c>
      <c r="F319" s="6" t="n">
        <v>7.31</v>
      </c>
      <c r="G319" s="6" t="n">
        <v>0</v>
      </c>
      <c r="H319" s="41" t="n">
        <v>15.67</v>
      </c>
      <c r="I319" s="43" t="n">
        <f aca="false">F319*H319</f>
        <v>114.5477</v>
      </c>
      <c r="J319" s="43" t="n">
        <f aca="false">G319*H319*1.5</f>
        <v>0</v>
      </c>
      <c r="K319" s="6" t="n">
        <v>19.65</v>
      </c>
      <c r="L319" s="43" t="n">
        <f aca="false">K319*'Chart of Accounts'!$E$68</f>
        <v>13.1655</v>
      </c>
      <c r="O319" s="42" t="n">
        <f aca="false">I319+J319+L319</f>
        <v>127.7132</v>
      </c>
    </row>
    <row r="320" customFormat="false" ht="15" hidden="false" customHeight="false" outlineLevel="0" collapsed="false">
      <c r="B320" s="7" t="s">
        <v>8953</v>
      </c>
      <c r="C320" s="39" t="n">
        <v>45678</v>
      </c>
      <c r="D320" s="7" t="s">
        <v>191</v>
      </c>
      <c r="E320" s="7" t="s">
        <v>180</v>
      </c>
      <c r="F320" s="6" t="n">
        <v>4.37</v>
      </c>
      <c r="G320" s="6" t="n">
        <v>0</v>
      </c>
      <c r="H320" s="41" t="n">
        <v>16.05</v>
      </c>
      <c r="I320" s="43" t="n">
        <f aca="false">F320*H320</f>
        <v>70.1385</v>
      </c>
      <c r="J320" s="43" t="n">
        <f aca="false">G320*H320*1.5</f>
        <v>0</v>
      </c>
      <c r="K320" s="6" t="n">
        <v>12.16</v>
      </c>
      <c r="L320" s="43" t="n">
        <f aca="false">K320*'Chart of Accounts'!$E$68</f>
        <v>8.1472</v>
      </c>
      <c r="O320" s="42" t="n">
        <f aca="false">I320+J320+L320</f>
        <v>78.2857</v>
      </c>
    </row>
    <row r="321" customFormat="false" ht="15" hidden="false" customHeight="false" outlineLevel="0" collapsed="false">
      <c r="B321" s="7" t="s">
        <v>8954</v>
      </c>
      <c r="C321" s="39" t="n">
        <v>45678</v>
      </c>
      <c r="D321" s="7" t="s">
        <v>209</v>
      </c>
      <c r="E321" s="7" t="s">
        <v>158</v>
      </c>
      <c r="H321" s="41" t="n">
        <v>73.58</v>
      </c>
      <c r="M321" s="6" t="n">
        <v>2</v>
      </c>
      <c r="N321" s="43" t="n">
        <f aca="false">M321*H321</f>
        <v>147.16</v>
      </c>
      <c r="O321" s="42" t="n">
        <f aca="false">N321</f>
        <v>147.16</v>
      </c>
    </row>
    <row r="322" customFormat="false" ht="15" hidden="false" customHeight="false" outlineLevel="0" collapsed="false">
      <c r="B322" s="7" t="s">
        <v>8955</v>
      </c>
      <c r="C322" s="39" t="n">
        <v>45678</v>
      </c>
      <c r="D322" s="7" t="s">
        <v>184</v>
      </c>
      <c r="E322" s="7" t="s">
        <v>180</v>
      </c>
      <c r="F322" s="6" t="n">
        <v>3.65</v>
      </c>
      <c r="G322" s="6" t="n">
        <v>0</v>
      </c>
      <c r="H322" s="41" t="n">
        <v>17.34</v>
      </c>
      <c r="I322" s="43" t="n">
        <f aca="false">F322*H322</f>
        <v>63.291</v>
      </c>
      <c r="J322" s="43" t="n">
        <f aca="false">G322*H322*1.5</f>
        <v>0</v>
      </c>
      <c r="K322" s="6" t="n">
        <v>12.34</v>
      </c>
      <c r="L322" s="43" t="n">
        <f aca="false">K322*'Chart of Accounts'!$E$68</f>
        <v>8.2678</v>
      </c>
      <c r="O322" s="42" t="n">
        <f aca="false">I322+J322+L322</f>
        <v>71.5588</v>
      </c>
    </row>
    <row r="323" customFormat="false" ht="15" hidden="false" customHeight="false" outlineLevel="0" collapsed="false">
      <c r="B323" s="7" t="s">
        <v>8956</v>
      </c>
      <c r="C323" s="39" t="n">
        <v>45678</v>
      </c>
      <c r="D323" s="7" t="s">
        <v>234</v>
      </c>
      <c r="E323" s="7" t="s">
        <v>158</v>
      </c>
      <c r="H323" s="41" t="n">
        <v>89.53</v>
      </c>
      <c r="M323" s="6" t="n">
        <v>2</v>
      </c>
      <c r="N323" s="43" t="n">
        <f aca="false">M323*H323</f>
        <v>179.06</v>
      </c>
      <c r="O323" s="42" t="n">
        <f aca="false">N323</f>
        <v>179.06</v>
      </c>
    </row>
    <row r="324" customFormat="false" ht="15" hidden="false" customHeight="false" outlineLevel="0" collapsed="false">
      <c r="B324" s="7" t="s">
        <v>8957</v>
      </c>
      <c r="C324" s="39" t="n">
        <v>45678</v>
      </c>
      <c r="D324" s="7" t="s">
        <v>218</v>
      </c>
      <c r="E324" s="7" t="s">
        <v>180</v>
      </c>
      <c r="F324" s="6" t="n">
        <v>4.17</v>
      </c>
      <c r="G324" s="6" t="n">
        <v>0</v>
      </c>
      <c r="H324" s="41" t="n">
        <v>16.19</v>
      </c>
      <c r="I324" s="43" t="n">
        <f aca="false">F324*H324</f>
        <v>67.5123</v>
      </c>
      <c r="J324" s="43" t="n">
        <f aca="false">G324*H324*1.5</f>
        <v>0</v>
      </c>
      <c r="K324" s="6" t="n">
        <v>11.39</v>
      </c>
      <c r="L324" s="43" t="n">
        <f aca="false">K324*'Chart of Accounts'!$E$68</f>
        <v>7.6313</v>
      </c>
      <c r="O324" s="42" t="n">
        <f aca="false">I324+J324+L324</f>
        <v>75.1436</v>
      </c>
    </row>
    <row r="325" customFormat="false" ht="15" hidden="false" customHeight="false" outlineLevel="0" collapsed="false">
      <c r="B325" s="7" t="s">
        <v>8958</v>
      </c>
      <c r="C325" s="39" t="n">
        <v>45678</v>
      </c>
      <c r="D325" s="7" t="s">
        <v>266</v>
      </c>
      <c r="E325" s="7" t="s">
        <v>158</v>
      </c>
      <c r="H325" s="41" t="n">
        <v>75.18</v>
      </c>
      <c r="M325" s="6" t="n">
        <v>1</v>
      </c>
      <c r="N325" s="43" t="n">
        <f aca="false">M325*H325</f>
        <v>75.18</v>
      </c>
      <c r="O325" s="42" t="n">
        <f aca="false">N325</f>
        <v>75.18</v>
      </c>
    </row>
    <row r="326" customFormat="false" ht="15" hidden="false" customHeight="false" outlineLevel="0" collapsed="false">
      <c r="B326" s="7" t="s">
        <v>8959</v>
      </c>
      <c r="C326" s="39" t="n">
        <v>45678</v>
      </c>
      <c r="D326" s="7" t="s">
        <v>228</v>
      </c>
      <c r="E326" s="7" t="s">
        <v>158</v>
      </c>
      <c r="H326" s="41" t="n">
        <v>51.07</v>
      </c>
      <c r="M326" s="6" t="n">
        <v>1</v>
      </c>
      <c r="N326" s="43" t="n">
        <f aca="false">M326*H326</f>
        <v>51.07</v>
      </c>
      <c r="O326" s="42" t="n">
        <f aca="false">N326</f>
        <v>51.07</v>
      </c>
    </row>
    <row r="327" customFormat="false" ht="15" hidden="false" customHeight="false" outlineLevel="0" collapsed="false">
      <c r="B327" s="7" t="s">
        <v>8960</v>
      </c>
      <c r="C327" s="39" t="n">
        <v>45678</v>
      </c>
      <c r="D327" s="7" t="s">
        <v>220</v>
      </c>
      <c r="E327" s="7" t="s">
        <v>180</v>
      </c>
      <c r="F327" s="6" t="n">
        <v>3.81</v>
      </c>
      <c r="G327" s="6" t="n">
        <v>0</v>
      </c>
      <c r="H327" s="41" t="n">
        <v>16.43</v>
      </c>
      <c r="I327" s="43" t="n">
        <f aca="false">F327*H327</f>
        <v>62.5983</v>
      </c>
      <c r="J327" s="43" t="n">
        <f aca="false">G327*H327*1.5</f>
        <v>0</v>
      </c>
      <c r="K327" s="6" t="n">
        <v>11.53</v>
      </c>
      <c r="L327" s="43" t="n">
        <f aca="false">K327*'Chart of Accounts'!$E$68</f>
        <v>7.7251</v>
      </c>
      <c r="O327" s="42" t="n">
        <f aca="false">I327+J327+L327</f>
        <v>70.3234</v>
      </c>
    </row>
    <row r="328" customFormat="false" ht="15" hidden="false" customHeight="false" outlineLevel="0" collapsed="false">
      <c r="B328" s="7" t="s">
        <v>8961</v>
      </c>
      <c r="C328" s="39" t="n">
        <v>45678</v>
      </c>
      <c r="D328" s="7" t="s">
        <v>212</v>
      </c>
      <c r="E328" s="7" t="s">
        <v>180</v>
      </c>
      <c r="F328" s="6" t="n">
        <v>3.83</v>
      </c>
      <c r="G328" s="6" t="n">
        <v>0</v>
      </c>
      <c r="H328" s="41" t="n">
        <v>16.71</v>
      </c>
      <c r="I328" s="43" t="n">
        <f aca="false">F328*H328</f>
        <v>63.9993</v>
      </c>
      <c r="J328" s="43" t="n">
        <f aca="false">G328*H328*1.5</f>
        <v>0</v>
      </c>
      <c r="K328" s="6" t="n">
        <v>11.63</v>
      </c>
      <c r="L328" s="43" t="n">
        <f aca="false">K328*'Chart of Accounts'!$E$68</f>
        <v>7.7921</v>
      </c>
      <c r="O328" s="42" t="n">
        <f aca="false">I328+J328+L328</f>
        <v>71.7914</v>
      </c>
    </row>
    <row r="329" customFormat="false" ht="15" hidden="false" customHeight="false" outlineLevel="0" collapsed="false">
      <c r="B329" s="7" t="s">
        <v>8962</v>
      </c>
      <c r="C329" s="39" t="n">
        <v>45678</v>
      </c>
      <c r="D329" s="7" t="s">
        <v>246</v>
      </c>
      <c r="E329" s="7" t="s">
        <v>180</v>
      </c>
      <c r="F329" s="6" t="n">
        <v>4.21</v>
      </c>
      <c r="G329" s="6" t="n">
        <v>0</v>
      </c>
      <c r="H329" s="41" t="n">
        <v>16.48</v>
      </c>
      <c r="I329" s="43" t="n">
        <f aca="false">F329*H329</f>
        <v>69.3808</v>
      </c>
      <c r="J329" s="43" t="n">
        <f aca="false">G329*H329*1.5</f>
        <v>0</v>
      </c>
      <c r="K329" s="6" t="n">
        <v>14.7</v>
      </c>
      <c r="L329" s="43" t="n">
        <f aca="false">K329*'Chart of Accounts'!$E$68</f>
        <v>9.849</v>
      </c>
      <c r="O329" s="42" t="n">
        <f aca="false">I329+J329+L329</f>
        <v>79.2298</v>
      </c>
    </row>
    <row r="330" customFormat="false" ht="15" hidden="false" customHeight="false" outlineLevel="0" collapsed="false">
      <c r="B330" s="7" t="s">
        <v>8963</v>
      </c>
      <c r="C330" s="39" t="n">
        <v>45678</v>
      </c>
      <c r="D330" s="7" t="s">
        <v>222</v>
      </c>
      <c r="E330" s="7" t="s">
        <v>180</v>
      </c>
      <c r="F330" s="6" t="n">
        <v>4</v>
      </c>
      <c r="G330" s="6" t="n">
        <v>0</v>
      </c>
      <c r="H330" s="41" t="n">
        <v>17.84</v>
      </c>
      <c r="I330" s="43" t="n">
        <f aca="false">F330*H330</f>
        <v>71.36</v>
      </c>
      <c r="J330" s="43" t="n">
        <f aca="false">G330*H330*1.5</f>
        <v>0</v>
      </c>
      <c r="K330" s="6" t="n">
        <v>14.14</v>
      </c>
      <c r="L330" s="43" t="n">
        <f aca="false">K330*'Chart of Accounts'!$E$68</f>
        <v>9.4738</v>
      </c>
      <c r="O330" s="42" t="n">
        <f aca="false">I330+J330+L330</f>
        <v>80.8338</v>
      </c>
    </row>
    <row r="331" customFormat="false" ht="15" hidden="false" customHeight="false" outlineLevel="0" collapsed="false">
      <c r="B331" s="7" t="s">
        <v>8964</v>
      </c>
      <c r="C331" s="39" t="n">
        <v>45678</v>
      </c>
      <c r="D331" s="7" t="s">
        <v>242</v>
      </c>
      <c r="E331" s="7" t="s">
        <v>180</v>
      </c>
      <c r="F331" s="6" t="n">
        <v>4.36</v>
      </c>
      <c r="G331" s="6" t="n">
        <v>0</v>
      </c>
      <c r="H331" s="41" t="n">
        <v>17.99</v>
      </c>
      <c r="I331" s="43" t="n">
        <f aca="false">F331*H331</f>
        <v>78.4364</v>
      </c>
      <c r="J331" s="43" t="n">
        <f aca="false">G331*H331*1.5</f>
        <v>0</v>
      </c>
      <c r="K331" s="6" t="n">
        <v>13.97</v>
      </c>
      <c r="L331" s="43" t="n">
        <f aca="false">K331*'Chart of Accounts'!$E$68</f>
        <v>9.3599</v>
      </c>
      <c r="O331" s="42" t="n">
        <f aca="false">I331+J331+L331</f>
        <v>87.7963</v>
      </c>
    </row>
    <row r="332" customFormat="false" ht="15" hidden="false" customHeight="false" outlineLevel="0" collapsed="false">
      <c r="B332" s="7" t="s">
        <v>8965</v>
      </c>
      <c r="C332" s="39" t="n">
        <v>45678</v>
      </c>
      <c r="D332" s="7" t="s">
        <v>254</v>
      </c>
      <c r="E332" s="7" t="s">
        <v>180</v>
      </c>
      <c r="F332" s="6" t="n">
        <v>3.77</v>
      </c>
      <c r="G332" s="6" t="n">
        <v>0</v>
      </c>
      <c r="H332" s="41" t="n">
        <v>17.1</v>
      </c>
      <c r="I332" s="43" t="n">
        <f aca="false">F332*H332</f>
        <v>64.467</v>
      </c>
      <c r="J332" s="43" t="n">
        <f aca="false">G332*H332*1.5</f>
        <v>0</v>
      </c>
      <c r="K332" s="6" t="n">
        <v>10.45</v>
      </c>
      <c r="L332" s="43" t="n">
        <f aca="false">K332*'Chart of Accounts'!$E$68</f>
        <v>7.0015</v>
      </c>
      <c r="O332" s="42" t="n">
        <f aca="false">I332+J332+L332</f>
        <v>71.4685</v>
      </c>
    </row>
    <row r="333" customFormat="false" ht="15" hidden="false" customHeight="false" outlineLevel="0" collapsed="false">
      <c r="B333" s="7" t="s">
        <v>8966</v>
      </c>
      <c r="C333" s="39" t="n">
        <v>45678</v>
      </c>
      <c r="D333" s="7" t="s">
        <v>260</v>
      </c>
      <c r="E333" s="7" t="s">
        <v>158</v>
      </c>
      <c r="H333" s="41" t="n">
        <v>79.8</v>
      </c>
      <c r="M333" s="6" t="n">
        <v>1</v>
      </c>
      <c r="N333" s="43" t="n">
        <f aca="false">M333*H333</f>
        <v>79.8</v>
      </c>
      <c r="O333" s="42" t="n">
        <f aca="false">N333</f>
        <v>79.8</v>
      </c>
    </row>
    <row r="334" customFormat="false" ht="15" hidden="false" customHeight="false" outlineLevel="0" collapsed="false">
      <c r="B334" s="7" t="s">
        <v>8967</v>
      </c>
      <c r="C334" s="39" t="n">
        <v>45679</v>
      </c>
      <c r="D334" s="7" t="s">
        <v>187</v>
      </c>
      <c r="E334" s="7" t="s">
        <v>158</v>
      </c>
      <c r="H334" s="41" t="n">
        <v>66.48</v>
      </c>
      <c r="M334" s="6" t="n">
        <v>1</v>
      </c>
      <c r="N334" s="43" t="n">
        <f aca="false">M334*H334</f>
        <v>66.48</v>
      </c>
      <c r="O334" s="42" t="n">
        <f aca="false">N334</f>
        <v>66.48</v>
      </c>
    </row>
    <row r="335" customFormat="false" ht="15" hidden="false" customHeight="false" outlineLevel="0" collapsed="false">
      <c r="B335" s="7" t="s">
        <v>8968</v>
      </c>
      <c r="C335" s="39" t="n">
        <v>45679</v>
      </c>
      <c r="D335" s="7" t="s">
        <v>228</v>
      </c>
      <c r="E335" s="7" t="s">
        <v>158</v>
      </c>
      <c r="H335" s="41" t="n">
        <v>51.07</v>
      </c>
      <c r="M335" s="6" t="n">
        <v>1</v>
      </c>
      <c r="N335" s="43" t="n">
        <f aca="false">M335*H335</f>
        <v>51.07</v>
      </c>
      <c r="O335" s="42" t="n">
        <f aca="false">N335</f>
        <v>51.07</v>
      </c>
    </row>
    <row r="336" customFormat="false" ht="15" hidden="false" customHeight="false" outlineLevel="0" collapsed="false">
      <c r="B336" s="7" t="s">
        <v>8969</v>
      </c>
      <c r="C336" s="39" t="n">
        <v>45679</v>
      </c>
      <c r="D336" s="7" t="s">
        <v>191</v>
      </c>
      <c r="E336" s="7" t="s">
        <v>180</v>
      </c>
      <c r="F336" s="6" t="n">
        <v>4.21</v>
      </c>
      <c r="G336" s="6" t="n">
        <v>0</v>
      </c>
      <c r="H336" s="41" t="n">
        <v>16.05</v>
      </c>
      <c r="I336" s="43" t="n">
        <f aca="false">F336*H336</f>
        <v>67.5705</v>
      </c>
      <c r="J336" s="43" t="n">
        <f aca="false">G336*H336*1.5</f>
        <v>0</v>
      </c>
      <c r="K336" s="6" t="n">
        <v>10.55</v>
      </c>
      <c r="L336" s="43" t="n">
        <f aca="false">K336*'Chart of Accounts'!$E$68</f>
        <v>7.0685</v>
      </c>
      <c r="O336" s="42" t="n">
        <f aca="false">I336+J336+L336</f>
        <v>74.639</v>
      </c>
    </row>
    <row r="337" customFormat="false" ht="15" hidden="false" customHeight="false" outlineLevel="0" collapsed="false">
      <c r="B337" s="7" t="s">
        <v>8970</v>
      </c>
      <c r="C337" s="39" t="n">
        <v>45679</v>
      </c>
      <c r="D337" s="7" t="s">
        <v>194</v>
      </c>
      <c r="E337" s="7" t="s">
        <v>180</v>
      </c>
      <c r="F337" s="6" t="n">
        <v>4.73</v>
      </c>
      <c r="G337" s="6" t="n">
        <v>0</v>
      </c>
      <c r="H337" s="41" t="n">
        <v>16</v>
      </c>
      <c r="I337" s="43" t="n">
        <f aca="false">F337*H337</f>
        <v>75.68</v>
      </c>
      <c r="J337" s="43" t="n">
        <f aca="false">G337*H337*1.5</f>
        <v>0</v>
      </c>
      <c r="K337" s="6" t="n">
        <v>11.28</v>
      </c>
      <c r="L337" s="43" t="n">
        <f aca="false">K337*'Chart of Accounts'!$E$68</f>
        <v>7.5576</v>
      </c>
      <c r="O337" s="42" t="n">
        <f aca="false">I337+J337+L337</f>
        <v>83.2376</v>
      </c>
    </row>
    <row r="338" customFormat="false" ht="15" hidden="false" customHeight="false" outlineLevel="0" collapsed="false">
      <c r="B338" s="7" t="s">
        <v>8971</v>
      </c>
      <c r="C338" s="39" t="n">
        <v>45679</v>
      </c>
      <c r="D338" s="7" t="s">
        <v>205</v>
      </c>
      <c r="E338" s="7" t="s">
        <v>180</v>
      </c>
      <c r="F338" s="6" t="n">
        <v>3.66</v>
      </c>
      <c r="G338" s="6" t="n">
        <v>0</v>
      </c>
      <c r="H338" s="41" t="n">
        <v>16.36</v>
      </c>
      <c r="I338" s="43" t="n">
        <f aca="false">F338*H338</f>
        <v>59.8776</v>
      </c>
      <c r="J338" s="43" t="n">
        <f aca="false">G338*H338*1.5</f>
        <v>0</v>
      </c>
      <c r="K338" s="6" t="n">
        <v>10.15</v>
      </c>
      <c r="L338" s="43" t="n">
        <f aca="false">K338*'Chart of Accounts'!$E$68</f>
        <v>6.8005</v>
      </c>
      <c r="O338" s="42" t="n">
        <f aca="false">I338+J338+L338</f>
        <v>66.6781</v>
      </c>
    </row>
    <row r="339" customFormat="false" ht="15" hidden="false" customHeight="false" outlineLevel="0" collapsed="false">
      <c r="B339" s="7" t="s">
        <v>8972</v>
      </c>
      <c r="C339" s="39" t="n">
        <v>45679</v>
      </c>
      <c r="D339" s="7" t="s">
        <v>252</v>
      </c>
      <c r="E339" s="7" t="s">
        <v>158</v>
      </c>
      <c r="H339" s="41" t="n">
        <v>57.54</v>
      </c>
      <c r="M339" s="6" t="n">
        <v>1</v>
      </c>
      <c r="N339" s="43" t="n">
        <f aca="false">M339*H339</f>
        <v>57.54</v>
      </c>
      <c r="O339" s="42" t="n">
        <f aca="false">N339</f>
        <v>57.54</v>
      </c>
    </row>
    <row r="340" customFormat="false" ht="15" hidden="false" customHeight="false" outlineLevel="0" collapsed="false">
      <c r="B340" s="7" t="s">
        <v>8973</v>
      </c>
      <c r="C340" s="39" t="n">
        <v>45679</v>
      </c>
      <c r="D340" s="7" t="s">
        <v>184</v>
      </c>
      <c r="E340" s="7" t="s">
        <v>180</v>
      </c>
      <c r="F340" s="6" t="n">
        <v>3.7</v>
      </c>
      <c r="G340" s="6" t="n">
        <v>0</v>
      </c>
      <c r="H340" s="41" t="n">
        <v>17.34</v>
      </c>
      <c r="I340" s="43" t="n">
        <f aca="false">F340*H340</f>
        <v>64.158</v>
      </c>
      <c r="J340" s="43" t="n">
        <f aca="false">G340*H340*1.5</f>
        <v>0</v>
      </c>
      <c r="K340" s="6" t="n">
        <v>10.98</v>
      </c>
      <c r="L340" s="43" t="n">
        <f aca="false">K340*'Chart of Accounts'!$E$68</f>
        <v>7.3566</v>
      </c>
      <c r="O340" s="42" t="n">
        <f aca="false">I340+J340+L340</f>
        <v>71.5146</v>
      </c>
    </row>
    <row r="341" customFormat="false" ht="15" hidden="false" customHeight="false" outlineLevel="0" collapsed="false">
      <c r="B341" s="7" t="s">
        <v>8974</v>
      </c>
      <c r="C341" s="39" t="n">
        <v>45679</v>
      </c>
      <c r="D341" s="7" t="s">
        <v>218</v>
      </c>
      <c r="E341" s="7" t="s">
        <v>180</v>
      </c>
      <c r="F341" s="6" t="n">
        <v>4.24</v>
      </c>
      <c r="G341" s="6" t="n">
        <v>0</v>
      </c>
      <c r="H341" s="41" t="n">
        <v>16.19</v>
      </c>
      <c r="I341" s="43" t="n">
        <f aca="false">F341*H341</f>
        <v>68.6456</v>
      </c>
      <c r="J341" s="43" t="n">
        <f aca="false">G341*H341*1.5</f>
        <v>0</v>
      </c>
      <c r="K341" s="6" t="n">
        <v>9.53</v>
      </c>
      <c r="L341" s="43" t="n">
        <f aca="false">K341*'Chart of Accounts'!$E$68</f>
        <v>6.3851</v>
      </c>
      <c r="O341" s="42" t="n">
        <f aca="false">I341+J341+L341</f>
        <v>75.0307</v>
      </c>
    </row>
    <row r="342" customFormat="false" ht="15" hidden="false" customHeight="false" outlineLevel="0" collapsed="false">
      <c r="B342" s="7" t="s">
        <v>8975</v>
      </c>
      <c r="C342" s="39" t="n">
        <v>45679</v>
      </c>
      <c r="D342" s="7" t="s">
        <v>220</v>
      </c>
      <c r="E342" s="7" t="s">
        <v>180</v>
      </c>
      <c r="F342" s="6" t="n">
        <v>4.2</v>
      </c>
      <c r="G342" s="6" t="n">
        <v>0</v>
      </c>
      <c r="H342" s="41" t="n">
        <v>16.43</v>
      </c>
      <c r="I342" s="43" t="n">
        <f aca="false">F342*H342</f>
        <v>69.006</v>
      </c>
      <c r="J342" s="43" t="n">
        <f aca="false">G342*H342*1.5</f>
        <v>0</v>
      </c>
      <c r="K342" s="6" t="n">
        <v>13.75</v>
      </c>
      <c r="L342" s="43" t="n">
        <f aca="false">K342*'Chart of Accounts'!$E$68</f>
        <v>9.2125</v>
      </c>
      <c r="O342" s="42" t="n">
        <f aca="false">I342+J342+L342</f>
        <v>78.2185</v>
      </c>
    </row>
    <row r="343" customFormat="false" ht="15" hidden="false" customHeight="false" outlineLevel="0" collapsed="false">
      <c r="B343" s="7" t="s">
        <v>8976</v>
      </c>
      <c r="C343" s="39" t="n">
        <v>45679</v>
      </c>
      <c r="D343" s="7" t="s">
        <v>177</v>
      </c>
      <c r="E343" s="7" t="s">
        <v>180</v>
      </c>
      <c r="F343" s="6" t="n">
        <v>8.49</v>
      </c>
      <c r="G343" s="6" t="n">
        <v>0</v>
      </c>
      <c r="H343" s="41" t="n">
        <v>14.56</v>
      </c>
      <c r="I343" s="43" t="n">
        <f aca="false">F343*H343</f>
        <v>123.6144</v>
      </c>
      <c r="J343" s="43" t="n">
        <f aca="false">G343*H343*1.5</f>
        <v>0</v>
      </c>
      <c r="K343" s="6" t="n">
        <v>23.94</v>
      </c>
      <c r="L343" s="43" t="n">
        <f aca="false">K343*'Chart of Accounts'!$E$68</f>
        <v>16.0398</v>
      </c>
      <c r="O343" s="42" t="n">
        <f aca="false">I343+J343+L343</f>
        <v>139.6542</v>
      </c>
    </row>
    <row r="344" customFormat="false" ht="15" hidden="false" customHeight="false" outlineLevel="0" collapsed="false">
      <c r="B344" s="7" t="s">
        <v>8977</v>
      </c>
      <c r="C344" s="39" t="n">
        <v>45679</v>
      </c>
      <c r="D344" s="7" t="s">
        <v>242</v>
      </c>
      <c r="E344" s="7" t="s">
        <v>180</v>
      </c>
      <c r="F344" s="6" t="n">
        <v>7.4</v>
      </c>
      <c r="G344" s="6" t="n">
        <v>0</v>
      </c>
      <c r="H344" s="41" t="n">
        <v>17.99</v>
      </c>
      <c r="I344" s="43" t="n">
        <f aca="false">F344*H344</f>
        <v>133.126</v>
      </c>
      <c r="J344" s="43" t="n">
        <f aca="false">G344*H344*1.5</f>
        <v>0</v>
      </c>
      <c r="K344" s="6" t="n">
        <v>20.85</v>
      </c>
      <c r="L344" s="43" t="n">
        <f aca="false">K344*'Chart of Accounts'!$E$68</f>
        <v>13.9695</v>
      </c>
      <c r="O344" s="42" t="n">
        <f aca="false">I344+J344+L344</f>
        <v>147.0955</v>
      </c>
    </row>
    <row r="345" customFormat="false" ht="15" hidden="false" customHeight="false" outlineLevel="0" collapsed="false">
      <c r="B345" s="7" t="s">
        <v>8978</v>
      </c>
      <c r="C345" s="39" t="n">
        <v>45679</v>
      </c>
      <c r="D345" s="7" t="s">
        <v>254</v>
      </c>
      <c r="E345" s="7" t="s">
        <v>180</v>
      </c>
      <c r="F345" s="6" t="n">
        <v>7.12</v>
      </c>
      <c r="G345" s="6" t="n">
        <v>0</v>
      </c>
      <c r="H345" s="41" t="n">
        <v>17.1</v>
      </c>
      <c r="I345" s="43" t="n">
        <f aca="false">F345*H345</f>
        <v>121.752</v>
      </c>
      <c r="J345" s="43" t="n">
        <f aca="false">G345*H345*1.5</f>
        <v>0</v>
      </c>
      <c r="K345" s="6" t="n">
        <v>20.21</v>
      </c>
      <c r="L345" s="43" t="n">
        <f aca="false">K345*'Chart of Accounts'!$E$68</f>
        <v>13.5407</v>
      </c>
      <c r="O345" s="42" t="n">
        <f aca="false">I345+J345+L345</f>
        <v>135.2927</v>
      </c>
    </row>
    <row r="346" customFormat="false" ht="15" hidden="false" customHeight="false" outlineLevel="0" collapsed="false">
      <c r="B346" s="7" t="s">
        <v>8979</v>
      </c>
      <c r="C346" s="39" t="n">
        <v>45679</v>
      </c>
      <c r="D346" s="7" t="s">
        <v>201</v>
      </c>
      <c r="E346" s="7" t="s">
        <v>180</v>
      </c>
      <c r="F346" s="6" t="n">
        <v>3.41</v>
      </c>
      <c r="G346" s="6" t="n">
        <v>0</v>
      </c>
      <c r="H346" s="41" t="n">
        <v>15.19</v>
      </c>
      <c r="I346" s="43" t="n">
        <f aca="false">F346*H346</f>
        <v>51.7979</v>
      </c>
      <c r="J346" s="43" t="n">
        <f aca="false">G346*H346*1.5</f>
        <v>0</v>
      </c>
      <c r="K346" s="6" t="n">
        <v>10.35</v>
      </c>
      <c r="L346" s="43" t="n">
        <f aca="false">K346*'Chart of Accounts'!$E$68</f>
        <v>6.9345</v>
      </c>
      <c r="O346" s="42" t="n">
        <f aca="false">I346+J346+L346</f>
        <v>58.7324</v>
      </c>
    </row>
    <row r="347" customFormat="false" ht="15" hidden="false" customHeight="false" outlineLevel="0" collapsed="false">
      <c r="B347" s="7" t="s">
        <v>8980</v>
      </c>
      <c r="C347" s="39" t="n">
        <v>45679</v>
      </c>
      <c r="D347" s="7" t="s">
        <v>207</v>
      </c>
      <c r="E347" s="7" t="s">
        <v>180</v>
      </c>
      <c r="F347" s="6" t="n">
        <v>3.49</v>
      </c>
      <c r="G347" s="6" t="n">
        <v>0</v>
      </c>
      <c r="H347" s="41" t="n">
        <v>16.65</v>
      </c>
      <c r="I347" s="43" t="n">
        <f aca="false">F347*H347</f>
        <v>58.1085</v>
      </c>
      <c r="J347" s="43" t="n">
        <f aca="false">G347*H347*1.5</f>
        <v>0</v>
      </c>
      <c r="K347" s="6" t="n">
        <v>9.97</v>
      </c>
      <c r="L347" s="43" t="n">
        <f aca="false">K347*'Chart of Accounts'!$E$68</f>
        <v>6.6799</v>
      </c>
      <c r="O347" s="42" t="n">
        <f aca="false">I347+J347+L347</f>
        <v>64.7884</v>
      </c>
    </row>
    <row r="348" customFormat="false" ht="15" hidden="false" customHeight="false" outlineLevel="0" collapsed="false">
      <c r="B348" s="7" t="s">
        <v>8981</v>
      </c>
      <c r="C348" s="39" t="n">
        <v>45679</v>
      </c>
      <c r="D348" s="7" t="s">
        <v>212</v>
      </c>
      <c r="E348" s="7" t="s">
        <v>180</v>
      </c>
      <c r="F348" s="6" t="n">
        <v>4.26</v>
      </c>
      <c r="G348" s="6" t="n">
        <v>0</v>
      </c>
      <c r="H348" s="41" t="n">
        <v>16.71</v>
      </c>
      <c r="I348" s="43" t="n">
        <f aca="false">F348*H348</f>
        <v>71.1846</v>
      </c>
      <c r="J348" s="43" t="n">
        <f aca="false">G348*H348*1.5</f>
        <v>0</v>
      </c>
      <c r="K348" s="6" t="n">
        <v>13.89</v>
      </c>
      <c r="L348" s="43" t="n">
        <f aca="false">K348*'Chart of Accounts'!$E$68</f>
        <v>9.3063</v>
      </c>
      <c r="O348" s="42" t="n">
        <f aca="false">I348+J348+L348</f>
        <v>80.4909</v>
      </c>
    </row>
    <row r="349" customFormat="false" ht="15" hidden="false" customHeight="false" outlineLevel="0" collapsed="false">
      <c r="B349" s="7" t="s">
        <v>8982</v>
      </c>
      <c r="C349" s="39" t="n">
        <v>45679</v>
      </c>
      <c r="D349" s="7" t="s">
        <v>232</v>
      </c>
      <c r="E349" s="7" t="s">
        <v>180</v>
      </c>
      <c r="F349" s="6" t="n">
        <v>4.48</v>
      </c>
      <c r="G349" s="6" t="n">
        <v>0</v>
      </c>
      <c r="H349" s="41" t="n">
        <v>16.17</v>
      </c>
      <c r="I349" s="43" t="n">
        <f aca="false">F349*H349</f>
        <v>72.4416</v>
      </c>
      <c r="J349" s="43" t="n">
        <f aca="false">G349*H349*1.5</f>
        <v>0</v>
      </c>
      <c r="K349" s="6" t="n">
        <v>11.14</v>
      </c>
      <c r="L349" s="43" t="n">
        <f aca="false">K349*'Chart of Accounts'!$E$68</f>
        <v>7.4638</v>
      </c>
      <c r="O349" s="42" t="n">
        <f aca="false">I349+J349+L349</f>
        <v>79.9054</v>
      </c>
    </row>
    <row r="350" customFormat="false" ht="15" hidden="false" customHeight="false" outlineLevel="0" collapsed="false">
      <c r="B350" s="7" t="s">
        <v>8983</v>
      </c>
      <c r="C350" s="39" t="n">
        <v>45679</v>
      </c>
      <c r="D350" s="7" t="s">
        <v>224</v>
      </c>
      <c r="E350" s="7" t="s">
        <v>180</v>
      </c>
      <c r="F350" s="6" t="n">
        <v>4.83</v>
      </c>
      <c r="G350" s="6" t="n">
        <v>0</v>
      </c>
      <c r="H350" s="41" t="n">
        <v>14.93</v>
      </c>
      <c r="I350" s="43" t="n">
        <f aca="false">F350*H350</f>
        <v>72.1119</v>
      </c>
      <c r="J350" s="43" t="n">
        <f aca="false">G350*H350*1.5</f>
        <v>0</v>
      </c>
      <c r="K350" s="6" t="n">
        <v>14.45</v>
      </c>
      <c r="L350" s="43" t="n">
        <f aca="false">K350*'Chart of Accounts'!$E$68</f>
        <v>9.6815</v>
      </c>
      <c r="O350" s="42" t="n">
        <f aca="false">I350+J350+L350</f>
        <v>81.7934</v>
      </c>
    </row>
    <row r="351" customFormat="false" ht="15" hidden="false" customHeight="false" outlineLevel="0" collapsed="false">
      <c r="B351" s="7" t="s">
        <v>8984</v>
      </c>
      <c r="C351" s="39" t="n">
        <v>45679</v>
      </c>
      <c r="D351" s="7" t="s">
        <v>246</v>
      </c>
      <c r="E351" s="7" t="s">
        <v>180</v>
      </c>
      <c r="F351" s="6" t="n">
        <v>4.24</v>
      </c>
      <c r="G351" s="6" t="n">
        <v>0</v>
      </c>
      <c r="H351" s="41" t="n">
        <v>16.48</v>
      </c>
      <c r="I351" s="43" t="n">
        <f aca="false">F351*H351</f>
        <v>69.8752</v>
      </c>
      <c r="J351" s="43" t="n">
        <f aca="false">G351*H351*1.5</f>
        <v>0</v>
      </c>
      <c r="K351" s="6" t="n">
        <v>14.23</v>
      </c>
      <c r="L351" s="43" t="n">
        <f aca="false">K351*'Chart of Accounts'!$E$68</f>
        <v>9.5341</v>
      </c>
      <c r="O351" s="42" t="n">
        <f aca="false">I351+J351+L351</f>
        <v>79.4093</v>
      </c>
    </row>
    <row r="352" customFormat="false" ht="15" hidden="false" customHeight="false" outlineLevel="0" collapsed="false">
      <c r="B352" s="7" t="s">
        <v>8985</v>
      </c>
      <c r="C352" s="39" t="n">
        <v>45679</v>
      </c>
      <c r="D352" s="7" t="s">
        <v>222</v>
      </c>
      <c r="E352" s="7" t="s">
        <v>180</v>
      </c>
      <c r="F352" s="6" t="n">
        <v>3.62</v>
      </c>
      <c r="G352" s="6" t="n">
        <v>0</v>
      </c>
      <c r="H352" s="41" t="n">
        <v>17.84</v>
      </c>
      <c r="I352" s="43" t="n">
        <f aca="false">F352*H352</f>
        <v>64.5808</v>
      </c>
      <c r="J352" s="43" t="n">
        <f aca="false">G352*H352*1.5</f>
        <v>0</v>
      </c>
      <c r="K352" s="6" t="n">
        <v>8.7</v>
      </c>
      <c r="L352" s="43" t="n">
        <f aca="false">K352*'Chart of Accounts'!$E$68</f>
        <v>5.829</v>
      </c>
      <c r="O352" s="42" t="n">
        <f aca="false">I352+J352+L352</f>
        <v>70.4098</v>
      </c>
    </row>
    <row r="353" customFormat="false" ht="15" hidden="false" customHeight="false" outlineLevel="0" collapsed="false">
      <c r="B353" s="7" t="s">
        <v>8986</v>
      </c>
      <c r="C353" s="39" t="n">
        <v>45679</v>
      </c>
      <c r="D353" s="7" t="s">
        <v>203</v>
      </c>
      <c r="E353" s="7" t="s">
        <v>158</v>
      </c>
      <c r="H353" s="41" t="n">
        <v>49.43</v>
      </c>
      <c r="M353" s="6" t="n">
        <v>1</v>
      </c>
      <c r="N353" s="43" t="n">
        <f aca="false">M353*H353</f>
        <v>49.43</v>
      </c>
      <c r="O353" s="42" t="n">
        <f aca="false">N353</f>
        <v>49.43</v>
      </c>
    </row>
    <row r="354" customFormat="false" ht="15" hidden="false" customHeight="false" outlineLevel="0" collapsed="false">
      <c r="B354" s="7" t="s">
        <v>8987</v>
      </c>
      <c r="C354" s="39" t="n">
        <v>45679</v>
      </c>
      <c r="D354" s="7" t="s">
        <v>262</v>
      </c>
      <c r="E354" s="7" t="s">
        <v>180</v>
      </c>
      <c r="F354" s="6" t="n">
        <v>3.42</v>
      </c>
      <c r="G354" s="6" t="n">
        <v>0</v>
      </c>
      <c r="H354" s="41" t="n">
        <v>16.02</v>
      </c>
      <c r="I354" s="43" t="n">
        <f aca="false">F354*H354</f>
        <v>54.7884</v>
      </c>
      <c r="J354" s="43" t="n">
        <f aca="false">G354*H354*1.5</f>
        <v>0</v>
      </c>
      <c r="K354" s="6" t="n">
        <v>8.59</v>
      </c>
      <c r="L354" s="43" t="n">
        <f aca="false">K354*'Chart of Accounts'!$E$68</f>
        <v>5.7553</v>
      </c>
      <c r="O354" s="42" t="n">
        <f aca="false">I354+J354+L354</f>
        <v>60.5437</v>
      </c>
    </row>
    <row r="355" customFormat="false" ht="15" hidden="false" customHeight="false" outlineLevel="0" collapsed="false">
      <c r="B355" s="7" t="s">
        <v>8988</v>
      </c>
      <c r="C355" s="39" t="n">
        <v>45679</v>
      </c>
      <c r="D355" s="7" t="s">
        <v>214</v>
      </c>
      <c r="E355" s="7" t="s">
        <v>180</v>
      </c>
      <c r="F355" s="6" t="n">
        <v>3.63</v>
      </c>
      <c r="G355" s="6" t="n">
        <v>0</v>
      </c>
      <c r="H355" s="41" t="n">
        <v>15.67</v>
      </c>
      <c r="I355" s="43" t="n">
        <f aca="false">F355*H355</f>
        <v>56.8821</v>
      </c>
      <c r="J355" s="43" t="n">
        <f aca="false">G355*H355*1.5</f>
        <v>0</v>
      </c>
      <c r="K355" s="6" t="n">
        <v>10.37</v>
      </c>
      <c r="L355" s="43" t="n">
        <f aca="false">K355*'Chart of Accounts'!$E$68</f>
        <v>6.9479</v>
      </c>
      <c r="O355" s="42" t="n">
        <f aca="false">I355+J355+L355</f>
        <v>63.83</v>
      </c>
    </row>
    <row r="356" customFormat="false" ht="15" hidden="false" customHeight="false" outlineLevel="0" collapsed="false">
      <c r="B356" s="7" t="s">
        <v>8989</v>
      </c>
      <c r="C356" s="39" t="n">
        <v>45680</v>
      </c>
      <c r="D356" s="7" t="s">
        <v>191</v>
      </c>
      <c r="E356" s="7" t="s">
        <v>180</v>
      </c>
      <c r="F356" s="6" t="n">
        <v>3.93</v>
      </c>
      <c r="G356" s="6" t="n">
        <v>0</v>
      </c>
      <c r="H356" s="41" t="n">
        <v>16.05</v>
      </c>
      <c r="I356" s="43" t="n">
        <f aca="false">F356*H356</f>
        <v>63.0765</v>
      </c>
      <c r="J356" s="43" t="n">
        <f aca="false">G356*H356*1.5</f>
        <v>0</v>
      </c>
      <c r="K356" s="6" t="n">
        <v>9.66</v>
      </c>
      <c r="L356" s="43" t="n">
        <f aca="false">K356*'Chart of Accounts'!$E$68</f>
        <v>6.4722</v>
      </c>
      <c r="O356" s="42" t="n">
        <f aca="false">I356+J356+L356</f>
        <v>69.5487</v>
      </c>
    </row>
    <row r="357" customFormat="false" ht="15" hidden="false" customHeight="false" outlineLevel="0" collapsed="false">
      <c r="B357" s="7" t="s">
        <v>8990</v>
      </c>
      <c r="C357" s="39" t="n">
        <v>45680</v>
      </c>
      <c r="D357" s="7" t="s">
        <v>201</v>
      </c>
      <c r="E357" s="7" t="s">
        <v>180</v>
      </c>
      <c r="F357" s="6" t="n">
        <v>3.22</v>
      </c>
      <c r="G357" s="6" t="n">
        <v>0</v>
      </c>
      <c r="H357" s="41" t="n">
        <v>15.19</v>
      </c>
      <c r="I357" s="43" t="n">
        <f aca="false">F357*H357</f>
        <v>48.9118</v>
      </c>
      <c r="J357" s="43" t="n">
        <f aca="false">G357*H357*1.5</f>
        <v>0</v>
      </c>
      <c r="K357" s="6" t="n">
        <v>10.44</v>
      </c>
      <c r="L357" s="43" t="n">
        <f aca="false">K357*'Chart of Accounts'!$E$68</f>
        <v>6.9948</v>
      </c>
      <c r="O357" s="42" t="n">
        <f aca="false">I357+J357+L357</f>
        <v>55.9066</v>
      </c>
    </row>
    <row r="358" customFormat="false" ht="15" hidden="false" customHeight="false" outlineLevel="0" collapsed="false">
      <c r="B358" s="7" t="s">
        <v>8991</v>
      </c>
      <c r="C358" s="39" t="n">
        <v>45680</v>
      </c>
      <c r="D358" s="7" t="s">
        <v>196</v>
      </c>
      <c r="E358" s="7" t="s">
        <v>180</v>
      </c>
      <c r="F358" s="6" t="n">
        <v>5.65</v>
      </c>
      <c r="G358" s="6" t="n">
        <v>0</v>
      </c>
      <c r="H358" s="41" t="n">
        <v>15.05</v>
      </c>
      <c r="I358" s="43" t="n">
        <f aca="false">F358*H358</f>
        <v>85.0325</v>
      </c>
      <c r="J358" s="43" t="n">
        <f aca="false">G358*H358*1.5</f>
        <v>0</v>
      </c>
      <c r="K358" s="6" t="n">
        <v>18.43</v>
      </c>
      <c r="L358" s="43" t="n">
        <f aca="false">K358*'Chart of Accounts'!$E$68</f>
        <v>12.3481</v>
      </c>
      <c r="O358" s="42" t="n">
        <f aca="false">I358+J358+L358</f>
        <v>97.3806</v>
      </c>
    </row>
    <row r="359" customFormat="false" ht="15" hidden="false" customHeight="false" outlineLevel="0" collapsed="false">
      <c r="B359" s="7" t="s">
        <v>8992</v>
      </c>
      <c r="C359" s="39" t="n">
        <v>45680</v>
      </c>
      <c r="D359" s="7" t="s">
        <v>184</v>
      </c>
      <c r="E359" s="7" t="s">
        <v>180</v>
      </c>
      <c r="F359" s="6" t="n">
        <v>4.13</v>
      </c>
      <c r="G359" s="6" t="n">
        <v>0</v>
      </c>
      <c r="H359" s="41" t="n">
        <v>17.34</v>
      </c>
      <c r="I359" s="43" t="n">
        <f aca="false">F359*H359</f>
        <v>71.6142</v>
      </c>
      <c r="J359" s="43" t="n">
        <f aca="false">G359*H359*1.5</f>
        <v>0</v>
      </c>
      <c r="K359" s="6" t="n">
        <v>11.65</v>
      </c>
      <c r="L359" s="43" t="n">
        <f aca="false">K359*'Chart of Accounts'!$E$68</f>
        <v>7.8055</v>
      </c>
      <c r="O359" s="42" t="n">
        <f aca="false">I359+J359+L359</f>
        <v>79.4197</v>
      </c>
    </row>
    <row r="360" customFormat="false" ht="15" hidden="false" customHeight="false" outlineLevel="0" collapsed="false">
      <c r="B360" s="7" t="s">
        <v>8993</v>
      </c>
      <c r="C360" s="39" t="n">
        <v>45680</v>
      </c>
      <c r="D360" s="7" t="s">
        <v>207</v>
      </c>
      <c r="E360" s="7" t="s">
        <v>180</v>
      </c>
      <c r="F360" s="6" t="n">
        <v>2.8</v>
      </c>
      <c r="G360" s="6" t="n">
        <v>0</v>
      </c>
      <c r="H360" s="41" t="n">
        <v>16.65</v>
      </c>
      <c r="I360" s="43" t="n">
        <f aca="false">F360*H360</f>
        <v>46.62</v>
      </c>
      <c r="J360" s="43" t="n">
        <f aca="false">G360*H360*1.5</f>
        <v>0</v>
      </c>
      <c r="K360" s="6" t="n">
        <v>8.79</v>
      </c>
      <c r="L360" s="43" t="n">
        <f aca="false">K360*'Chart of Accounts'!$E$68</f>
        <v>5.8893</v>
      </c>
      <c r="O360" s="42" t="n">
        <f aca="false">I360+J360+L360</f>
        <v>52.5093</v>
      </c>
    </row>
    <row r="361" customFormat="false" ht="15" hidden="false" customHeight="false" outlineLevel="0" collapsed="false">
      <c r="B361" s="7" t="s">
        <v>8994</v>
      </c>
      <c r="C361" s="39" t="n">
        <v>45680</v>
      </c>
      <c r="D361" s="7" t="s">
        <v>218</v>
      </c>
      <c r="E361" s="7" t="s">
        <v>180</v>
      </c>
      <c r="F361" s="6" t="n">
        <v>3.88</v>
      </c>
      <c r="G361" s="6" t="n">
        <v>0</v>
      </c>
      <c r="H361" s="41" t="n">
        <v>16.19</v>
      </c>
      <c r="I361" s="43" t="n">
        <f aca="false">F361*H361</f>
        <v>62.8172</v>
      </c>
      <c r="J361" s="43" t="n">
        <f aca="false">G361*H361*1.5</f>
        <v>0</v>
      </c>
      <c r="K361" s="6" t="n">
        <v>9</v>
      </c>
      <c r="L361" s="43" t="n">
        <f aca="false">K361*'Chart of Accounts'!$E$68</f>
        <v>6.03</v>
      </c>
      <c r="O361" s="42" t="n">
        <f aca="false">I361+J361+L361</f>
        <v>68.8472</v>
      </c>
    </row>
    <row r="362" customFormat="false" ht="15" hidden="false" customHeight="false" outlineLevel="0" collapsed="false">
      <c r="B362" s="7" t="s">
        <v>8995</v>
      </c>
      <c r="C362" s="39" t="n">
        <v>45680</v>
      </c>
      <c r="D362" s="7" t="s">
        <v>212</v>
      </c>
      <c r="E362" s="7" t="s">
        <v>180</v>
      </c>
      <c r="F362" s="6" t="n">
        <v>7.23</v>
      </c>
      <c r="G362" s="6" t="n">
        <v>0</v>
      </c>
      <c r="H362" s="41" t="n">
        <v>16.71</v>
      </c>
      <c r="I362" s="43" t="n">
        <f aca="false">F362*H362</f>
        <v>120.8133</v>
      </c>
      <c r="J362" s="43" t="n">
        <f aca="false">G362*H362*1.5</f>
        <v>0</v>
      </c>
      <c r="K362" s="6" t="n">
        <v>25.48</v>
      </c>
      <c r="L362" s="43" t="n">
        <f aca="false">K362*'Chart of Accounts'!$E$68</f>
        <v>17.0716</v>
      </c>
      <c r="O362" s="42" t="n">
        <f aca="false">I362+J362+L362</f>
        <v>137.8849</v>
      </c>
    </row>
    <row r="363" customFormat="false" ht="15" hidden="false" customHeight="false" outlineLevel="0" collapsed="false">
      <c r="B363" s="7" t="s">
        <v>8996</v>
      </c>
      <c r="C363" s="39" t="n">
        <v>45680</v>
      </c>
      <c r="D363" s="7" t="s">
        <v>220</v>
      </c>
      <c r="E363" s="7" t="s">
        <v>180</v>
      </c>
      <c r="F363" s="6" t="n">
        <v>3.75</v>
      </c>
      <c r="G363" s="6" t="n">
        <v>0</v>
      </c>
      <c r="H363" s="41" t="n">
        <v>16.43</v>
      </c>
      <c r="I363" s="43" t="n">
        <f aca="false">F363*H363</f>
        <v>61.6125</v>
      </c>
      <c r="J363" s="43" t="n">
        <f aca="false">G363*H363*1.5</f>
        <v>0</v>
      </c>
      <c r="K363" s="6" t="n">
        <v>12.24</v>
      </c>
      <c r="L363" s="43" t="n">
        <f aca="false">K363*'Chart of Accounts'!$E$68</f>
        <v>8.2008</v>
      </c>
      <c r="O363" s="42" t="n">
        <f aca="false">I363+J363+L363</f>
        <v>69.8133</v>
      </c>
    </row>
    <row r="364" customFormat="false" ht="15" hidden="false" customHeight="false" outlineLevel="0" collapsed="false">
      <c r="B364" s="7" t="s">
        <v>8997</v>
      </c>
      <c r="C364" s="39" t="n">
        <v>45680</v>
      </c>
      <c r="D364" s="7" t="s">
        <v>224</v>
      </c>
      <c r="E364" s="7" t="s">
        <v>180</v>
      </c>
      <c r="F364" s="6" t="n">
        <v>3.78</v>
      </c>
      <c r="G364" s="6" t="n">
        <v>0</v>
      </c>
      <c r="H364" s="41" t="n">
        <v>14.93</v>
      </c>
      <c r="I364" s="43" t="n">
        <f aca="false">F364*H364</f>
        <v>56.4354</v>
      </c>
      <c r="J364" s="43" t="n">
        <f aca="false">G364*H364*1.5</f>
        <v>0</v>
      </c>
      <c r="K364" s="6" t="n">
        <v>13.55</v>
      </c>
      <c r="L364" s="43" t="n">
        <f aca="false">K364*'Chart of Accounts'!$E$68</f>
        <v>9.0785</v>
      </c>
      <c r="O364" s="42" t="n">
        <f aca="false">I364+J364+L364</f>
        <v>65.5139</v>
      </c>
    </row>
    <row r="365" customFormat="false" ht="15" hidden="false" customHeight="false" outlineLevel="0" collapsed="false">
      <c r="B365" s="7" t="s">
        <v>8998</v>
      </c>
      <c r="C365" s="39" t="n">
        <v>45680</v>
      </c>
      <c r="D365" s="7" t="s">
        <v>232</v>
      </c>
      <c r="E365" s="7" t="s">
        <v>180</v>
      </c>
      <c r="F365" s="6" t="n">
        <v>2.87</v>
      </c>
      <c r="G365" s="6" t="n">
        <v>0</v>
      </c>
      <c r="H365" s="41" t="n">
        <v>16.17</v>
      </c>
      <c r="I365" s="43" t="n">
        <f aca="false">F365*H365</f>
        <v>46.4079</v>
      </c>
      <c r="J365" s="43" t="n">
        <f aca="false">G365*H365*1.5</f>
        <v>0</v>
      </c>
      <c r="K365" s="6" t="n">
        <v>6.81</v>
      </c>
      <c r="L365" s="43" t="n">
        <f aca="false">K365*'Chart of Accounts'!$E$68</f>
        <v>4.5627</v>
      </c>
      <c r="O365" s="42" t="n">
        <f aca="false">I365+J365+L365</f>
        <v>50.9706</v>
      </c>
    </row>
    <row r="366" customFormat="false" ht="15" hidden="false" customHeight="false" outlineLevel="0" collapsed="false">
      <c r="B366" s="7" t="s">
        <v>8999</v>
      </c>
      <c r="C366" s="39" t="n">
        <v>45680</v>
      </c>
      <c r="D366" s="7" t="s">
        <v>222</v>
      </c>
      <c r="E366" s="7" t="s">
        <v>180</v>
      </c>
      <c r="F366" s="6" t="n">
        <v>7.24</v>
      </c>
      <c r="G366" s="6" t="n">
        <v>0</v>
      </c>
      <c r="H366" s="41" t="n">
        <v>17.84</v>
      </c>
      <c r="I366" s="43" t="n">
        <f aca="false">F366*H366</f>
        <v>129.1616</v>
      </c>
      <c r="J366" s="43" t="n">
        <f aca="false">G366*H366*1.5</f>
        <v>0</v>
      </c>
      <c r="K366" s="6" t="n">
        <v>21.54</v>
      </c>
      <c r="L366" s="43" t="n">
        <f aca="false">K366*'Chart of Accounts'!$E$68</f>
        <v>14.4318</v>
      </c>
      <c r="O366" s="42" t="n">
        <f aca="false">I366+J366+L366</f>
        <v>143.5934</v>
      </c>
    </row>
    <row r="367" customFormat="false" ht="15" hidden="false" customHeight="false" outlineLevel="0" collapsed="false">
      <c r="B367" s="7" t="s">
        <v>9000</v>
      </c>
      <c r="C367" s="39" t="n">
        <v>45680</v>
      </c>
      <c r="D367" s="7" t="s">
        <v>262</v>
      </c>
      <c r="E367" s="7" t="s">
        <v>180</v>
      </c>
      <c r="F367" s="6" t="n">
        <v>4.24</v>
      </c>
      <c r="G367" s="6" t="n">
        <v>0</v>
      </c>
      <c r="H367" s="41" t="n">
        <v>16.02</v>
      </c>
      <c r="I367" s="43" t="n">
        <f aca="false">F367*H367</f>
        <v>67.9248</v>
      </c>
      <c r="J367" s="43" t="n">
        <f aca="false">G367*H367*1.5</f>
        <v>0</v>
      </c>
      <c r="K367" s="6" t="n">
        <v>11.82</v>
      </c>
      <c r="L367" s="43" t="n">
        <f aca="false">K367*'Chart of Accounts'!$E$68</f>
        <v>7.9194</v>
      </c>
      <c r="O367" s="42" t="n">
        <f aca="false">I367+J367+L367</f>
        <v>75.8442</v>
      </c>
    </row>
    <row r="368" customFormat="false" ht="15" hidden="false" customHeight="false" outlineLevel="0" collapsed="false">
      <c r="B368" s="7" t="s">
        <v>9001</v>
      </c>
      <c r="C368" s="39" t="n">
        <v>45680</v>
      </c>
      <c r="D368" s="7" t="s">
        <v>246</v>
      </c>
      <c r="E368" s="7" t="s">
        <v>180</v>
      </c>
      <c r="F368" s="6" t="n">
        <v>8.23</v>
      </c>
      <c r="G368" s="6" t="n">
        <v>0</v>
      </c>
      <c r="H368" s="41" t="n">
        <v>16.48</v>
      </c>
      <c r="I368" s="43" t="n">
        <f aca="false">F368*H368</f>
        <v>135.6304</v>
      </c>
      <c r="J368" s="43" t="n">
        <f aca="false">G368*H368*1.5</f>
        <v>0</v>
      </c>
      <c r="K368" s="6" t="n">
        <v>20.27</v>
      </c>
      <c r="L368" s="43" t="n">
        <f aca="false">K368*'Chart of Accounts'!$E$68</f>
        <v>13.5809</v>
      </c>
      <c r="O368" s="42" t="n">
        <f aca="false">I368+J368+L368</f>
        <v>149.2113</v>
      </c>
    </row>
    <row r="369" customFormat="false" ht="15" hidden="false" customHeight="false" outlineLevel="0" collapsed="false">
      <c r="B369" s="7" t="s">
        <v>9002</v>
      </c>
      <c r="C369" s="39" t="n">
        <v>45680</v>
      </c>
      <c r="D369" s="7" t="s">
        <v>214</v>
      </c>
      <c r="E369" s="7" t="s">
        <v>180</v>
      </c>
      <c r="F369" s="6" t="n">
        <v>3.88</v>
      </c>
      <c r="G369" s="6" t="n">
        <v>0</v>
      </c>
      <c r="H369" s="41" t="n">
        <v>15.67</v>
      </c>
      <c r="I369" s="43" t="n">
        <f aca="false">F369*H369</f>
        <v>60.7996</v>
      </c>
      <c r="J369" s="43" t="n">
        <f aca="false">G369*H369*1.5</f>
        <v>0</v>
      </c>
      <c r="K369" s="6" t="n">
        <v>12.84</v>
      </c>
      <c r="L369" s="43" t="n">
        <f aca="false">K369*'Chart of Accounts'!$E$68</f>
        <v>8.6028</v>
      </c>
      <c r="O369" s="42" t="n">
        <f aca="false">I369+J369+L369</f>
        <v>69.4024</v>
      </c>
    </row>
    <row r="370" customFormat="false" ht="15" hidden="false" customHeight="false" outlineLevel="0" collapsed="false">
      <c r="B370" s="7" t="s">
        <v>9003</v>
      </c>
      <c r="C370" s="39" t="n">
        <v>45680</v>
      </c>
      <c r="D370" s="7" t="s">
        <v>242</v>
      </c>
      <c r="E370" s="7" t="s">
        <v>180</v>
      </c>
      <c r="F370" s="6" t="n">
        <v>4.09</v>
      </c>
      <c r="G370" s="6" t="n">
        <v>0</v>
      </c>
      <c r="H370" s="41" t="n">
        <v>17.99</v>
      </c>
      <c r="I370" s="43" t="n">
        <f aca="false">F370*H370</f>
        <v>73.5791</v>
      </c>
      <c r="J370" s="43" t="n">
        <f aca="false">G370*H370*1.5</f>
        <v>0</v>
      </c>
      <c r="K370" s="6" t="n">
        <v>11.33</v>
      </c>
      <c r="L370" s="43" t="n">
        <f aca="false">K370*'Chart of Accounts'!$E$68</f>
        <v>7.5911</v>
      </c>
      <c r="O370" s="42" t="n">
        <f aca="false">I370+J370+L370</f>
        <v>81.1702</v>
      </c>
    </row>
    <row r="371" customFormat="false" ht="15" hidden="false" customHeight="false" outlineLevel="0" collapsed="false">
      <c r="B371" s="7" t="s">
        <v>9004</v>
      </c>
      <c r="C371" s="39" t="n">
        <v>45680</v>
      </c>
      <c r="D371" s="7" t="s">
        <v>254</v>
      </c>
      <c r="E371" s="7" t="s">
        <v>180</v>
      </c>
      <c r="F371" s="6" t="n">
        <v>4.14</v>
      </c>
      <c r="G371" s="6" t="n">
        <v>0</v>
      </c>
      <c r="H371" s="41" t="n">
        <v>17.1</v>
      </c>
      <c r="I371" s="43" t="n">
        <f aca="false">F371*H371</f>
        <v>70.794</v>
      </c>
      <c r="J371" s="43" t="n">
        <f aca="false">G371*H371*1.5</f>
        <v>0</v>
      </c>
      <c r="K371" s="6" t="n">
        <v>14.71</v>
      </c>
      <c r="L371" s="43" t="n">
        <f aca="false">K371*'Chart of Accounts'!$E$68</f>
        <v>9.8557</v>
      </c>
      <c r="O371" s="42" t="n">
        <f aca="false">I371+J371+L371</f>
        <v>80.6497</v>
      </c>
    </row>
    <row r="372" customFormat="false" ht="15" hidden="false" customHeight="false" outlineLevel="0" collapsed="false">
      <c r="B372" s="7" t="s">
        <v>9005</v>
      </c>
      <c r="C372" s="39" t="n">
        <v>45681</v>
      </c>
      <c r="D372" s="7" t="s">
        <v>187</v>
      </c>
      <c r="E372" s="7" t="s">
        <v>158</v>
      </c>
      <c r="H372" s="41" t="n">
        <v>66.48</v>
      </c>
      <c r="M372" s="6" t="n">
        <v>1</v>
      </c>
      <c r="N372" s="43" t="n">
        <f aca="false">M372*H372</f>
        <v>66.48</v>
      </c>
      <c r="O372" s="42" t="n">
        <f aca="false">N372</f>
        <v>66.48</v>
      </c>
    </row>
    <row r="373" customFormat="false" ht="15" hidden="false" customHeight="false" outlineLevel="0" collapsed="false">
      <c r="B373" s="7" t="s">
        <v>9006</v>
      </c>
      <c r="C373" s="39" t="n">
        <v>45681</v>
      </c>
      <c r="D373" s="7" t="s">
        <v>191</v>
      </c>
      <c r="E373" s="7" t="s">
        <v>180</v>
      </c>
      <c r="F373" s="6" t="n">
        <v>3.68</v>
      </c>
      <c r="G373" s="6" t="n">
        <v>0</v>
      </c>
      <c r="H373" s="41" t="n">
        <v>16.05</v>
      </c>
      <c r="I373" s="43" t="n">
        <f aca="false">F373*H373</f>
        <v>59.064</v>
      </c>
      <c r="J373" s="43" t="n">
        <f aca="false">G373*H373*1.5</f>
        <v>0</v>
      </c>
      <c r="K373" s="6" t="n">
        <v>11.46</v>
      </c>
      <c r="L373" s="43" t="n">
        <f aca="false">K373*'Chart of Accounts'!$E$68</f>
        <v>7.6782</v>
      </c>
      <c r="O373" s="42" t="n">
        <f aca="false">I373+J373+L373</f>
        <v>66.7422</v>
      </c>
    </row>
    <row r="374" customFormat="false" ht="15" hidden="false" customHeight="false" outlineLevel="0" collapsed="false">
      <c r="B374" s="7" t="s">
        <v>9007</v>
      </c>
      <c r="C374" s="39" t="n">
        <v>45681</v>
      </c>
      <c r="D374" s="7" t="s">
        <v>194</v>
      </c>
      <c r="E374" s="7" t="s">
        <v>180</v>
      </c>
      <c r="F374" s="6" t="n">
        <v>4.71</v>
      </c>
      <c r="G374" s="6" t="n">
        <v>0</v>
      </c>
      <c r="H374" s="41" t="n">
        <v>16</v>
      </c>
      <c r="I374" s="43" t="n">
        <f aca="false">F374*H374</f>
        <v>75.36</v>
      </c>
      <c r="J374" s="43" t="n">
        <f aca="false">G374*H374*1.5</f>
        <v>0</v>
      </c>
      <c r="K374" s="6" t="n">
        <v>11.47</v>
      </c>
      <c r="L374" s="43" t="n">
        <f aca="false">K374*'Chart of Accounts'!$E$68</f>
        <v>7.6849</v>
      </c>
      <c r="O374" s="42" t="n">
        <f aca="false">I374+J374+L374</f>
        <v>83.0449</v>
      </c>
    </row>
    <row r="375" customFormat="false" ht="15" hidden="false" customHeight="false" outlineLevel="0" collapsed="false">
      <c r="B375" s="7" t="s">
        <v>9008</v>
      </c>
      <c r="C375" s="39" t="n">
        <v>45681</v>
      </c>
      <c r="D375" s="7" t="s">
        <v>209</v>
      </c>
      <c r="E375" s="7" t="s">
        <v>158</v>
      </c>
      <c r="H375" s="41" t="n">
        <v>73.58</v>
      </c>
      <c r="M375" s="6" t="n">
        <v>2</v>
      </c>
      <c r="N375" s="43" t="n">
        <f aca="false">M375*H375</f>
        <v>147.16</v>
      </c>
      <c r="O375" s="42" t="n">
        <f aca="false">N375</f>
        <v>147.16</v>
      </c>
    </row>
    <row r="376" customFormat="false" ht="15" hidden="false" customHeight="false" outlineLevel="0" collapsed="false">
      <c r="B376" s="7" t="s">
        <v>9009</v>
      </c>
      <c r="C376" s="39" t="n">
        <v>45681</v>
      </c>
      <c r="D376" s="7" t="s">
        <v>205</v>
      </c>
      <c r="E376" s="7" t="s">
        <v>180</v>
      </c>
      <c r="F376" s="6" t="n">
        <v>3.76</v>
      </c>
      <c r="G376" s="6" t="n">
        <v>0</v>
      </c>
      <c r="H376" s="41" t="n">
        <v>16.36</v>
      </c>
      <c r="I376" s="43" t="n">
        <f aca="false">F376*H376</f>
        <v>61.5136</v>
      </c>
      <c r="J376" s="43" t="n">
        <f aca="false">G376*H376*1.5</f>
        <v>0</v>
      </c>
      <c r="K376" s="6" t="n">
        <v>9.33</v>
      </c>
      <c r="L376" s="43" t="n">
        <f aca="false">K376*'Chart of Accounts'!$E$68</f>
        <v>6.2511</v>
      </c>
      <c r="O376" s="42" t="n">
        <f aca="false">I376+J376+L376</f>
        <v>67.7647</v>
      </c>
    </row>
    <row r="377" customFormat="false" ht="15" hidden="false" customHeight="false" outlineLevel="0" collapsed="false">
      <c r="B377" s="7" t="s">
        <v>9010</v>
      </c>
      <c r="C377" s="39" t="n">
        <v>45681</v>
      </c>
      <c r="D377" s="7" t="s">
        <v>252</v>
      </c>
      <c r="E377" s="7" t="s">
        <v>158</v>
      </c>
      <c r="H377" s="41" t="n">
        <v>57.54</v>
      </c>
      <c r="M377" s="6" t="n">
        <v>1</v>
      </c>
      <c r="N377" s="43" t="n">
        <f aca="false">M377*H377</f>
        <v>57.54</v>
      </c>
      <c r="O377" s="42" t="n">
        <f aca="false">N377</f>
        <v>57.54</v>
      </c>
    </row>
    <row r="378" customFormat="false" ht="15" hidden="false" customHeight="false" outlineLevel="0" collapsed="false">
      <c r="B378" s="7" t="s">
        <v>9011</v>
      </c>
      <c r="C378" s="39" t="n">
        <v>45681</v>
      </c>
      <c r="D378" s="7" t="s">
        <v>184</v>
      </c>
      <c r="E378" s="7" t="s">
        <v>180</v>
      </c>
      <c r="F378" s="6" t="n">
        <v>4.06</v>
      </c>
      <c r="G378" s="6" t="n">
        <v>0</v>
      </c>
      <c r="H378" s="41" t="n">
        <v>17.34</v>
      </c>
      <c r="I378" s="43" t="n">
        <f aca="false">F378*H378</f>
        <v>70.4004</v>
      </c>
      <c r="J378" s="43" t="n">
        <f aca="false">G378*H378*1.5</f>
        <v>0</v>
      </c>
      <c r="K378" s="6" t="n">
        <v>10.25</v>
      </c>
      <c r="L378" s="43" t="n">
        <f aca="false">K378*'Chart of Accounts'!$E$68</f>
        <v>6.8675</v>
      </c>
      <c r="O378" s="42" t="n">
        <f aca="false">I378+J378+L378</f>
        <v>77.2679</v>
      </c>
    </row>
    <row r="379" customFormat="false" ht="15" hidden="false" customHeight="false" outlineLevel="0" collapsed="false">
      <c r="B379" s="7" t="s">
        <v>9012</v>
      </c>
      <c r="C379" s="39" t="n">
        <v>45681</v>
      </c>
      <c r="D379" s="7" t="s">
        <v>234</v>
      </c>
      <c r="E379" s="7" t="s">
        <v>158</v>
      </c>
      <c r="H379" s="41" t="n">
        <v>89.53</v>
      </c>
      <c r="M379" s="6" t="n">
        <v>2</v>
      </c>
      <c r="N379" s="43" t="n">
        <f aca="false">M379*H379</f>
        <v>179.06</v>
      </c>
      <c r="O379" s="42" t="n">
        <f aca="false">N379</f>
        <v>179.06</v>
      </c>
    </row>
    <row r="380" customFormat="false" ht="15" hidden="false" customHeight="false" outlineLevel="0" collapsed="false">
      <c r="B380" s="7" t="s">
        <v>9013</v>
      </c>
      <c r="C380" s="39" t="n">
        <v>45681</v>
      </c>
      <c r="D380" s="7" t="s">
        <v>218</v>
      </c>
      <c r="E380" s="7" t="s">
        <v>180</v>
      </c>
      <c r="F380" s="6" t="n">
        <v>4.31</v>
      </c>
      <c r="G380" s="6" t="n">
        <v>0</v>
      </c>
      <c r="H380" s="41" t="n">
        <v>16.19</v>
      </c>
      <c r="I380" s="43" t="n">
        <f aca="false">F380*H380</f>
        <v>69.7789</v>
      </c>
      <c r="J380" s="43" t="n">
        <f aca="false">G380*H380*1.5</f>
        <v>0</v>
      </c>
      <c r="K380" s="6" t="n">
        <v>13.61</v>
      </c>
      <c r="L380" s="43" t="n">
        <f aca="false">K380*'Chart of Accounts'!$E$68</f>
        <v>9.1187</v>
      </c>
      <c r="O380" s="42" t="n">
        <f aca="false">I380+J380+L380</f>
        <v>78.8976</v>
      </c>
    </row>
    <row r="381" customFormat="false" ht="15" hidden="false" customHeight="false" outlineLevel="0" collapsed="false">
      <c r="B381" s="7" t="s">
        <v>9014</v>
      </c>
      <c r="C381" s="39" t="n">
        <v>45681</v>
      </c>
      <c r="D381" s="7" t="s">
        <v>266</v>
      </c>
      <c r="E381" s="7" t="s">
        <v>158</v>
      </c>
      <c r="H381" s="41" t="n">
        <v>75.18</v>
      </c>
      <c r="M381" s="6" t="n">
        <v>1</v>
      </c>
      <c r="N381" s="43" t="n">
        <f aca="false">M381*H381</f>
        <v>75.18</v>
      </c>
      <c r="O381" s="42" t="n">
        <f aca="false">N381</f>
        <v>75.18</v>
      </c>
    </row>
    <row r="382" customFormat="false" ht="15" hidden="false" customHeight="false" outlineLevel="0" collapsed="false">
      <c r="B382" s="7" t="s">
        <v>9015</v>
      </c>
      <c r="C382" s="39" t="n">
        <v>45681</v>
      </c>
      <c r="D382" s="7" t="s">
        <v>228</v>
      </c>
      <c r="E382" s="7" t="s">
        <v>158</v>
      </c>
      <c r="H382" s="41" t="n">
        <v>51.07</v>
      </c>
      <c r="M382" s="6" t="n">
        <v>1</v>
      </c>
      <c r="N382" s="43" t="n">
        <f aca="false">M382*H382</f>
        <v>51.07</v>
      </c>
      <c r="O382" s="42" t="n">
        <f aca="false">N382</f>
        <v>51.07</v>
      </c>
    </row>
    <row r="383" customFormat="false" ht="15" hidden="false" customHeight="false" outlineLevel="0" collapsed="false">
      <c r="B383" s="7" t="s">
        <v>9016</v>
      </c>
      <c r="C383" s="39" t="n">
        <v>45681</v>
      </c>
      <c r="D383" s="7" t="s">
        <v>177</v>
      </c>
      <c r="E383" s="7" t="s">
        <v>180</v>
      </c>
      <c r="F383" s="6" t="n">
        <v>8.49</v>
      </c>
      <c r="G383" s="6" t="n">
        <v>0</v>
      </c>
      <c r="H383" s="41" t="n">
        <v>14.56</v>
      </c>
      <c r="I383" s="43" t="n">
        <f aca="false">F383*H383</f>
        <v>123.6144</v>
      </c>
      <c r="J383" s="43" t="n">
        <f aca="false">G383*H383*1.5</f>
        <v>0</v>
      </c>
      <c r="K383" s="6" t="n">
        <v>27.91</v>
      </c>
      <c r="L383" s="43" t="n">
        <f aca="false">K383*'Chart of Accounts'!$E$68</f>
        <v>18.6997</v>
      </c>
      <c r="O383" s="42" t="n">
        <f aca="false">I383+J383+L383</f>
        <v>142.3141</v>
      </c>
    </row>
    <row r="384" customFormat="false" ht="15" hidden="false" customHeight="false" outlineLevel="0" collapsed="false">
      <c r="B384" s="7" t="s">
        <v>9017</v>
      </c>
      <c r="C384" s="39" t="n">
        <v>45681</v>
      </c>
      <c r="D384" s="7" t="s">
        <v>242</v>
      </c>
      <c r="E384" s="7" t="s">
        <v>180</v>
      </c>
      <c r="F384" s="6" t="n">
        <v>7.36</v>
      </c>
      <c r="G384" s="6" t="n">
        <v>0</v>
      </c>
      <c r="H384" s="41" t="n">
        <v>17.99</v>
      </c>
      <c r="I384" s="43" t="n">
        <f aca="false">F384*H384</f>
        <v>132.4064</v>
      </c>
      <c r="J384" s="43" t="n">
        <f aca="false">G384*H384*1.5</f>
        <v>0</v>
      </c>
      <c r="K384" s="6" t="n">
        <v>16.73</v>
      </c>
      <c r="L384" s="43" t="n">
        <f aca="false">K384*'Chart of Accounts'!$E$68</f>
        <v>11.2091</v>
      </c>
      <c r="O384" s="42" t="n">
        <f aca="false">I384+J384+L384</f>
        <v>143.6155</v>
      </c>
    </row>
    <row r="385" customFormat="false" ht="15" hidden="false" customHeight="false" outlineLevel="0" collapsed="false">
      <c r="B385" s="7" t="s">
        <v>9018</v>
      </c>
      <c r="C385" s="39" t="n">
        <v>45681</v>
      </c>
      <c r="D385" s="7" t="s">
        <v>254</v>
      </c>
      <c r="E385" s="7" t="s">
        <v>180</v>
      </c>
      <c r="F385" s="6" t="n">
        <v>7.32</v>
      </c>
      <c r="G385" s="6" t="n">
        <v>0</v>
      </c>
      <c r="H385" s="41" t="n">
        <v>17.1</v>
      </c>
      <c r="I385" s="43" t="n">
        <f aca="false">F385*H385</f>
        <v>125.172</v>
      </c>
      <c r="J385" s="43" t="n">
        <f aca="false">G385*H385*1.5</f>
        <v>0</v>
      </c>
      <c r="K385" s="6" t="n">
        <v>17.57</v>
      </c>
      <c r="L385" s="43" t="n">
        <f aca="false">K385*'Chart of Accounts'!$E$68</f>
        <v>11.7719</v>
      </c>
      <c r="O385" s="42" t="n">
        <f aca="false">I385+J385+L385</f>
        <v>136.9439</v>
      </c>
    </row>
    <row r="386" customFormat="false" ht="15" hidden="false" customHeight="false" outlineLevel="0" collapsed="false">
      <c r="B386" s="7" t="s">
        <v>9019</v>
      </c>
      <c r="C386" s="39" t="n">
        <v>45681</v>
      </c>
      <c r="D386" s="7" t="s">
        <v>201</v>
      </c>
      <c r="E386" s="7" t="s">
        <v>180</v>
      </c>
      <c r="F386" s="6" t="n">
        <v>3.18</v>
      </c>
      <c r="G386" s="6" t="n">
        <v>0</v>
      </c>
      <c r="H386" s="41" t="n">
        <v>15.19</v>
      </c>
      <c r="I386" s="43" t="n">
        <f aca="false">F386*H386</f>
        <v>48.3042</v>
      </c>
      <c r="J386" s="43" t="n">
        <f aca="false">G386*H386*1.5</f>
        <v>0</v>
      </c>
      <c r="K386" s="6" t="n">
        <v>9.74</v>
      </c>
      <c r="L386" s="43" t="n">
        <f aca="false">K386*'Chart of Accounts'!$E$68</f>
        <v>6.5258</v>
      </c>
      <c r="O386" s="42" t="n">
        <f aca="false">I386+J386+L386</f>
        <v>54.83</v>
      </c>
    </row>
    <row r="387" customFormat="false" ht="15" hidden="false" customHeight="false" outlineLevel="0" collapsed="false">
      <c r="B387" s="7" t="s">
        <v>9020</v>
      </c>
      <c r="C387" s="39" t="n">
        <v>45681</v>
      </c>
      <c r="D387" s="7" t="s">
        <v>207</v>
      </c>
      <c r="E387" s="7" t="s">
        <v>180</v>
      </c>
      <c r="F387" s="6" t="n">
        <v>3.49</v>
      </c>
      <c r="G387" s="6" t="n">
        <v>0</v>
      </c>
      <c r="H387" s="41" t="n">
        <v>16.65</v>
      </c>
      <c r="I387" s="43" t="n">
        <f aca="false">F387*H387</f>
        <v>58.1085</v>
      </c>
      <c r="J387" s="43" t="n">
        <f aca="false">G387*H387*1.5</f>
        <v>0</v>
      </c>
      <c r="K387" s="6" t="n">
        <v>12.22</v>
      </c>
      <c r="L387" s="43" t="n">
        <f aca="false">K387*'Chart of Accounts'!$E$68</f>
        <v>8.1874</v>
      </c>
      <c r="O387" s="42" t="n">
        <f aca="false">I387+J387+L387</f>
        <v>66.2959</v>
      </c>
    </row>
    <row r="388" customFormat="false" ht="15" hidden="false" customHeight="false" outlineLevel="0" collapsed="false">
      <c r="B388" s="7" t="s">
        <v>9021</v>
      </c>
      <c r="C388" s="39" t="n">
        <v>45681</v>
      </c>
      <c r="D388" s="7" t="s">
        <v>212</v>
      </c>
      <c r="E388" s="7" t="s">
        <v>180</v>
      </c>
      <c r="F388" s="6" t="n">
        <v>3.61</v>
      </c>
      <c r="G388" s="6" t="n">
        <v>0</v>
      </c>
      <c r="H388" s="41" t="n">
        <v>16.71</v>
      </c>
      <c r="I388" s="43" t="n">
        <f aca="false">F388*H388</f>
        <v>60.3231</v>
      </c>
      <c r="J388" s="43" t="n">
        <f aca="false">G388*H388*1.5</f>
        <v>0</v>
      </c>
      <c r="K388" s="6" t="n">
        <v>9.22</v>
      </c>
      <c r="L388" s="43" t="n">
        <f aca="false">K388*'Chart of Accounts'!$E$68</f>
        <v>6.1774</v>
      </c>
      <c r="O388" s="42" t="n">
        <f aca="false">I388+J388+L388</f>
        <v>66.5005</v>
      </c>
    </row>
    <row r="389" customFormat="false" ht="15" hidden="false" customHeight="false" outlineLevel="0" collapsed="false">
      <c r="B389" s="7" t="s">
        <v>9022</v>
      </c>
      <c r="C389" s="39" t="n">
        <v>45681</v>
      </c>
      <c r="D389" s="7" t="s">
        <v>232</v>
      </c>
      <c r="E389" s="7" t="s">
        <v>180</v>
      </c>
      <c r="F389" s="6" t="n">
        <v>4.8</v>
      </c>
      <c r="G389" s="6" t="n">
        <v>0</v>
      </c>
      <c r="H389" s="41" t="n">
        <v>16.17</v>
      </c>
      <c r="I389" s="43" t="n">
        <f aca="false">F389*H389</f>
        <v>77.616</v>
      </c>
      <c r="J389" s="43" t="n">
        <f aca="false">G389*H389*1.5</f>
        <v>0</v>
      </c>
      <c r="K389" s="6" t="n">
        <v>13.11</v>
      </c>
      <c r="L389" s="43" t="n">
        <f aca="false">K389*'Chart of Accounts'!$E$68</f>
        <v>8.7837</v>
      </c>
      <c r="O389" s="42" t="n">
        <f aca="false">I389+J389+L389</f>
        <v>86.3997</v>
      </c>
    </row>
    <row r="390" customFormat="false" ht="15" hidden="false" customHeight="false" outlineLevel="0" collapsed="false">
      <c r="B390" s="7" t="s">
        <v>9023</v>
      </c>
      <c r="C390" s="39" t="n">
        <v>45681</v>
      </c>
      <c r="D390" s="7" t="s">
        <v>224</v>
      </c>
      <c r="E390" s="7" t="s">
        <v>180</v>
      </c>
      <c r="F390" s="6" t="n">
        <v>4.51</v>
      </c>
      <c r="G390" s="6" t="n">
        <v>0</v>
      </c>
      <c r="H390" s="41" t="n">
        <v>14.93</v>
      </c>
      <c r="I390" s="43" t="n">
        <f aca="false">F390*H390</f>
        <v>67.3343</v>
      </c>
      <c r="J390" s="43" t="n">
        <f aca="false">G390*H390*1.5</f>
        <v>0</v>
      </c>
      <c r="K390" s="6" t="n">
        <v>14.89</v>
      </c>
      <c r="L390" s="43" t="n">
        <f aca="false">K390*'Chart of Accounts'!$E$68</f>
        <v>9.9763</v>
      </c>
      <c r="O390" s="42" t="n">
        <f aca="false">I390+J390+L390</f>
        <v>77.3106</v>
      </c>
    </row>
    <row r="391" customFormat="false" ht="15" hidden="false" customHeight="false" outlineLevel="0" collapsed="false">
      <c r="B391" s="7" t="s">
        <v>9024</v>
      </c>
      <c r="C391" s="39" t="n">
        <v>45681</v>
      </c>
      <c r="D391" s="7" t="s">
        <v>246</v>
      </c>
      <c r="E391" s="7" t="s">
        <v>180</v>
      </c>
      <c r="F391" s="6" t="n">
        <v>3.61</v>
      </c>
      <c r="G391" s="6" t="n">
        <v>0</v>
      </c>
      <c r="H391" s="41" t="n">
        <v>16.48</v>
      </c>
      <c r="I391" s="43" t="n">
        <f aca="false">F391*H391</f>
        <v>59.4928</v>
      </c>
      <c r="J391" s="43" t="n">
        <f aca="false">G391*H391*1.5</f>
        <v>0</v>
      </c>
      <c r="K391" s="6" t="n">
        <v>12.06</v>
      </c>
      <c r="L391" s="43" t="n">
        <f aca="false">K391*'Chart of Accounts'!$E$68</f>
        <v>8.0802</v>
      </c>
      <c r="O391" s="42" t="n">
        <f aca="false">I391+J391+L391</f>
        <v>67.573</v>
      </c>
    </row>
    <row r="392" customFormat="false" ht="15" hidden="false" customHeight="false" outlineLevel="0" collapsed="false">
      <c r="B392" s="7" t="s">
        <v>9025</v>
      </c>
      <c r="C392" s="39" t="n">
        <v>45681</v>
      </c>
      <c r="D392" s="7" t="s">
        <v>222</v>
      </c>
      <c r="E392" s="7" t="s">
        <v>180</v>
      </c>
      <c r="F392" s="6" t="n">
        <v>3.81</v>
      </c>
      <c r="G392" s="6" t="n">
        <v>0</v>
      </c>
      <c r="H392" s="41" t="n">
        <v>17.84</v>
      </c>
      <c r="I392" s="43" t="n">
        <f aca="false">F392*H392</f>
        <v>67.9704</v>
      </c>
      <c r="J392" s="43" t="n">
        <f aca="false">G392*H392*1.5</f>
        <v>0</v>
      </c>
      <c r="K392" s="6" t="n">
        <v>13.13</v>
      </c>
      <c r="L392" s="43" t="n">
        <f aca="false">K392*'Chart of Accounts'!$E$68</f>
        <v>8.7971</v>
      </c>
      <c r="O392" s="42" t="n">
        <f aca="false">I392+J392+L392</f>
        <v>76.7675</v>
      </c>
    </row>
    <row r="393" customFormat="false" ht="15" hidden="false" customHeight="false" outlineLevel="0" collapsed="false">
      <c r="B393" s="7" t="s">
        <v>9026</v>
      </c>
      <c r="C393" s="39" t="n">
        <v>45681</v>
      </c>
      <c r="D393" s="7" t="s">
        <v>262</v>
      </c>
      <c r="E393" s="7" t="s">
        <v>180</v>
      </c>
      <c r="F393" s="6" t="n">
        <v>3.16</v>
      </c>
      <c r="G393" s="6" t="n">
        <v>0</v>
      </c>
      <c r="H393" s="41" t="n">
        <v>16.02</v>
      </c>
      <c r="I393" s="43" t="n">
        <f aca="false">F393*H393</f>
        <v>50.6232</v>
      </c>
      <c r="J393" s="43" t="n">
        <f aca="false">G393*H393*1.5</f>
        <v>0</v>
      </c>
      <c r="K393" s="6" t="n">
        <v>10.64</v>
      </c>
      <c r="L393" s="43" t="n">
        <f aca="false">K393*'Chart of Accounts'!$E$68</f>
        <v>7.1288</v>
      </c>
      <c r="O393" s="42" t="n">
        <f aca="false">I393+J393+L393</f>
        <v>57.752</v>
      </c>
    </row>
    <row r="394" customFormat="false" ht="15" hidden="false" customHeight="false" outlineLevel="0" collapsed="false">
      <c r="B394" s="7" t="s">
        <v>9027</v>
      </c>
      <c r="C394" s="39" t="n">
        <v>45681</v>
      </c>
      <c r="D394" s="7" t="s">
        <v>260</v>
      </c>
      <c r="E394" s="7" t="s">
        <v>158</v>
      </c>
      <c r="H394" s="41" t="n">
        <v>79.8</v>
      </c>
      <c r="M394" s="6" t="n">
        <v>1</v>
      </c>
      <c r="N394" s="43" t="n">
        <f aca="false">M394*H394</f>
        <v>79.8</v>
      </c>
      <c r="O394" s="42" t="n">
        <f aca="false">N394</f>
        <v>79.8</v>
      </c>
    </row>
    <row r="395" customFormat="false" ht="15" hidden="false" customHeight="false" outlineLevel="0" collapsed="false">
      <c r="B395" s="7" t="s">
        <v>9028</v>
      </c>
      <c r="C395" s="39" t="n">
        <v>45681</v>
      </c>
      <c r="D395" s="7" t="s">
        <v>214</v>
      </c>
      <c r="E395" s="7" t="s">
        <v>180</v>
      </c>
      <c r="F395" s="6" t="n">
        <v>3.43</v>
      </c>
      <c r="G395" s="6" t="n">
        <v>0</v>
      </c>
      <c r="H395" s="41" t="n">
        <v>15.67</v>
      </c>
      <c r="I395" s="43" t="n">
        <f aca="false">F395*H395</f>
        <v>53.7481</v>
      </c>
      <c r="J395" s="43" t="n">
        <f aca="false">G395*H395*1.5</f>
        <v>0</v>
      </c>
      <c r="K395" s="6" t="n">
        <v>12.12</v>
      </c>
      <c r="L395" s="43" t="n">
        <f aca="false">K395*'Chart of Accounts'!$E$68</f>
        <v>8.1204</v>
      </c>
      <c r="O395" s="42" t="n">
        <f aca="false">I395+J395+L395</f>
        <v>61.8685</v>
      </c>
    </row>
    <row r="396" customFormat="false" ht="15" hidden="false" customHeight="false" outlineLevel="0" collapsed="false">
      <c r="B396" s="7" t="s">
        <v>9029</v>
      </c>
      <c r="C396" s="39" t="n">
        <v>45682</v>
      </c>
      <c r="D396" s="7" t="s">
        <v>191</v>
      </c>
      <c r="E396" s="7" t="s">
        <v>180</v>
      </c>
      <c r="F396" s="6" t="n">
        <v>3.96</v>
      </c>
      <c r="G396" s="6" t="n">
        <v>0</v>
      </c>
      <c r="H396" s="41" t="n">
        <v>16.05</v>
      </c>
      <c r="I396" s="43" t="n">
        <f aca="false">F396*H396</f>
        <v>63.558</v>
      </c>
      <c r="J396" s="43" t="n">
        <f aca="false">G396*H396*1.5</f>
        <v>0</v>
      </c>
      <c r="K396" s="6" t="n">
        <v>10.81</v>
      </c>
      <c r="L396" s="43" t="n">
        <f aca="false">K396*'Chart of Accounts'!$E$68</f>
        <v>7.2427</v>
      </c>
      <c r="O396" s="42" t="n">
        <f aca="false">I396+J396+L396</f>
        <v>70.8007</v>
      </c>
    </row>
    <row r="397" customFormat="false" ht="15" hidden="false" customHeight="false" outlineLevel="0" collapsed="false">
      <c r="B397" s="7" t="s">
        <v>9030</v>
      </c>
      <c r="C397" s="39" t="n">
        <v>45682</v>
      </c>
      <c r="D397" s="7" t="s">
        <v>218</v>
      </c>
      <c r="E397" s="7" t="s">
        <v>180</v>
      </c>
      <c r="F397" s="6" t="n">
        <v>4.16</v>
      </c>
      <c r="G397" s="6" t="n">
        <v>0</v>
      </c>
      <c r="H397" s="41" t="n">
        <v>16.19</v>
      </c>
      <c r="I397" s="43" t="n">
        <f aca="false">F397*H397</f>
        <v>67.3504</v>
      </c>
      <c r="J397" s="43" t="n">
        <f aca="false">G397*H397*1.5</f>
        <v>0</v>
      </c>
      <c r="K397" s="6" t="n">
        <v>14.89</v>
      </c>
      <c r="L397" s="43" t="n">
        <f aca="false">K397*'Chart of Accounts'!$E$68</f>
        <v>9.9763</v>
      </c>
      <c r="O397" s="42" t="n">
        <f aca="false">I397+J397+L397</f>
        <v>77.3267</v>
      </c>
    </row>
    <row r="398" customFormat="false" ht="15" hidden="false" customHeight="false" outlineLevel="0" collapsed="false">
      <c r="B398" s="7" t="s">
        <v>9031</v>
      </c>
      <c r="C398" s="39" t="n">
        <v>45682</v>
      </c>
      <c r="D398" s="7" t="s">
        <v>212</v>
      </c>
      <c r="E398" s="7" t="s">
        <v>180</v>
      </c>
      <c r="F398" s="6" t="n">
        <v>4.24</v>
      </c>
      <c r="G398" s="6" t="n">
        <v>0</v>
      </c>
      <c r="H398" s="41" t="n">
        <v>16.71</v>
      </c>
      <c r="I398" s="43" t="n">
        <f aca="false">F398*H398</f>
        <v>70.8504</v>
      </c>
      <c r="J398" s="43" t="n">
        <f aca="false">G398*H398*1.5</f>
        <v>0</v>
      </c>
      <c r="K398" s="6" t="n">
        <v>10.86</v>
      </c>
      <c r="L398" s="43" t="n">
        <f aca="false">K398*'Chart of Accounts'!$E$68</f>
        <v>7.2762</v>
      </c>
      <c r="O398" s="42" t="n">
        <f aca="false">I398+J398+L398</f>
        <v>78.1266</v>
      </c>
    </row>
    <row r="399" customFormat="false" ht="15" hidden="false" customHeight="false" outlineLevel="0" collapsed="false">
      <c r="B399" s="7" t="s">
        <v>9032</v>
      </c>
      <c r="C399" s="39" t="n">
        <v>45682</v>
      </c>
      <c r="D399" s="7" t="s">
        <v>222</v>
      </c>
      <c r="E399" s="7" t="s">
        <v>180</v>
      </c>
      <c r="F399" s="6" t="n">
        <v>4.14</v>
      </c>
      <c r="G399" s="6" t="n">
        <v>0</v>
      </c>
      <c r="H399" s="41" t="n">
        <v>17.84</v>
      </c>
      <c r="I399" s="43" t="n">
        <f aca="false">F399*H399</f>
        <v>73.8576</v>
      </c>
      <c r="J399" s="43" t="n">
        <f aca="false">G399*H399*1.5</f>
        <v>0</v>
      </c>
      <c r="K399" s="6" t="n">
        <v>10.42</v>
      </c>
      <c r="L399" s="43" t="n">
        <f aca="false">K399*'Chart of Accounts'!$E$68</f>
        <v>6.9814</v>
      </c>
      <c r="O399" s="42" t="n">
        <f aca="false">I399+J399+L399</f>
        <v>80.839</v>
      </c>
    </row>
    <row r="400" customFormat="false" ht="15" hidden="false" customHeight="false" outlineLevel="0" collapsed="false">
      <c r="B400" s="7" t="s">
        <v>9033</v>
      </c>
      <c r="C400" s="39" t="n">
        <v>45682</v>
      </c>
      <c r="D400" s="7" t="s">
        <v>242</v>
      </c>
      <c r="E400" s="7" t="s">
        <v>180</v>
      </c>
      <c r="F400" s="6" t="n">
        <v>4.02</v>
      </c>
      <c r="G400" s="6" t="n">
        <v>0</v>
      </c>
      <c r="H400" s="41" t="n">
        <v>17.99</v>
      </c>
      <c r="I400" s="43" t="n">
        <f aca="false">F400*H400</f>
        <v>72.3198</v>
      </c>
      <c r="J400" s="43" t="n">
        <f aca="false">G400*H400*1.5</f>
        <v>0</v>
      </c>
      <c r="K400" s="6" t="n">
        <v>14.01</v>
      </c>
      <c r="L400" s="43" t="n">
        <f aca="false">K400*'Chart of Accounts'!$E$68</f>
        <v>9.3867</v>
      </c>
      <c r="O400" s="42" t="n">
        <f aca="false">I400+J400+L400</f>
        <v>81.7065</v>
      </c>
    </row>
    <row r="401" customFormat="false" ht="15" hidden="false" customHeight="false" outlineLevel="0" collapsed="false">
      <c r="B401" s="7" t="s">
        <v>9034</v>
      </c>
      <c r="C401" s="39" t="n">
        <v>45682</v>
      </c>
      <c r="D401" s="7" t="s">
        <v>254</v>
      </c>
      <c r="E401" s="7" t="s">
        <v>180</v>
      </c>
      <c r="F401" s="6" t="n">
        <v>4.33</v>
      </c>
      <c r="G401" s="6" t="n">
        <v>0</v>
      </c>
      <c r="H401" s="41" t="n">
        <v>17.1</v>
      </c>
      <c r="I401" s="43" t="n">
        <f aca="false">F401*H401</f>
        <v>74.043</v>
      </c>
      <c r="J401" s="43" t="n">
        <f aca="false">G401*H401*1.5</f>
        <v>0</v>
      </c>
      <c r="K401" s="6" t="n">
        <v>11.94</v>
      </c>
      <c r="L401" s="43" t="n">
        <f aca="false">K401*'Chart of Accounts'!$E$68</f>
        <v>7.9998</v>
      </c>
      <c r="O401" s="42" t="n">
        <f aca="false">I401+J401+L401</f>
        <v>82.0428</v>
      </c>
    </row>
    <row r="402" customFormat="false" ht="15" hidden="false" customHeight="false" outlineLevel="0" collapsed="false">
      <c r="B402" s="7" t="s">
        <v>9035</v>
      </c>
      <c r="C402" s="39" t="n">
        <v>45683</v>
      </c>
      <c r="D402" s="7" t="s">
        <v>191</v>
      </c>
      <c r="E402" s="7" t="s">
        <v>180</v>
      </c>
      <c r="F402" s="6" t="n">
        <v>4.32</v>
      </c>
      <c r="G402" s="6" t="n">
        <v>0</v>
      </c>
      <c r="H402" s="41" t="n">
        <v>16.05</v>
      </c>
      <c r="I402" s="43" t="n">
        <f aca="false">F402*H402</f>
        <v>69.336</v>
      </c>
      <c r="J402" s="43" t="n">
        <f aca="false">G402*H402*1.5</f>
        <v>0</v>
      </c>
      <c r="K402" s="6" t="n">
        <v>11.58</v>
      </c>
      <c r="L402" s="43" t="n">
        <f aca="false">K402*'Chart of Accounts'!$E$68</f>
        <v>7.7586</v>
      </c>
      <c r="O402" s="42" t="n">
        <f aca="false">I402+J402+L402</f>
        <v>77.0946</v>
      </c>
    </row>
    <row r="403" customFormat="false" ht="15" hidden="false" customHeight="false" outlineLevel="0" collapsed="false">
      <c r="B403" s="7" t="s">
        <v>9036</v>
      </c>
      <c r="C403" s="39" t="n">
        <v>45683</v>
      </c>
      <c r="D403" s="7" t="s">
        <v>218</v>
      </c>
      <c r="E403" s="7" t="s">
        <v>180</v>
      </c>
      <c r="F403" s="6" t="n">
        <v>3.73</v>
      </c>
      <c r="G403" s="6" t="n">
        <v>0</v>
      </c>
      <c r="H403" s="41" t="n">
        <v>16.19</v>
      </c>
      <c r="I403" s="43" t="n">
        <f aca="false">F403*H403</f>
        <v>60.3887</v>
      </c>
      <c r="J403" s="43" t="n">
        <f aca="false">G403*H403*1.5</f>
        <v>0</v>
      </c>
      <c r="K403" s="6" t="n">
        <v>8.89</v>
      </c>
      <c r="L403" s="43" t="n">
        <f aca="false">K403*'Chart of Accounts'!$E$68</f>
        <v>5.9563</v>
      </c>
      <c r="O403" s="42" t="n">
        <f aca="false">I403+J403+L403</f>
        <v>66.345</v>
      </c>
    </row>
    <row r="404" customFormat="false" ht="15" hidden="false" customHeight="false" outlineLevel="0" collapsed="false">
      <c r="B404" s="7" t="s">
        <v>9037</v>
      </c>
      <c r="C404" s="39" t="n">
        <v>45683</v>
      </c>
      <c r="D404" s="7" t="s">
        <v>212</v>
      </c>
      <c r="E404" s="7" t="s">
        <v>180</v>
      </c>
      <c r="F404" s="6" t="n">
        <v>4.14</v>
      </c>
      <c r="G404" s="6" t="n">
        <v>0</v>
      </c>
      <c r="H404" s="41" t="n">
        <v>16.71</v>
      </c>
      <c r="I404" s="43" t="n">
        <f aca="false">F404*H404</f>
        <v>69.1794</v>
      </c>
      <c r="J404" s="43" t="n">
        <f aca="false">G404*H404*1.5</f>
        <v>0</v>
      </c>
      <c r="K404" s="6" t="n">
        <v>11.08</v>
      </c>
      <c r="L404" s="43" t="n">
        <f aca="false">K404*'Chart of Accounts'!$E$68</f>
        <v>7.4236</v>
      </c>
      <c r="O404" s="42" t="n">
        <f aca="false">I404+J404+L404</f>
        <v>76.603</v>
      </c>
    </row>
    <row r="405" customFormat="false" ht="15" hidden="false" customHeight="false" outlineLevel="0" collapsed="false">
      <c r="B405" s="7" t="s">
        <v>9038</v>
      </c>
      <c r="C405" s="39" t="n">
        <v>45683</v>
      </c>
      <c r="D405" s="7" t="s">
        <v>222</v>
      </c>
      <c r="E405" s="7" t="s">
        <v>180</v>
      </c>
      <c r="F405" s="6" t="n">
        <v>4.32</v>
      </c>
      <c r="G405" s="6" t="n">
        <v>0</v>
      </c>
      <c r="H405" s="41" t="n">
        <v>17.84</v>
      </c>
      <c r="I405" s="43" t="n">
        <f aca="false">F405*H405</f>
        <v>77.0688</v>
      </c>
      <c r="J405" s="43" t="n">
        <f aca="false">G405*H405*1.5</f>
        <v>0</v>
      </c>
      <c r="K405" s="6" t="n">
        <v>12.76</v>
      </c>
      <c r="L405" s="43" t="n">
        <f aca="false">K405*'Chart of Accounts'!$E$68</f>
        <v>8.5492</v>
      </c>
      <c r="O405" s="42" t="n">
        <f aca="false">I405+J405+L405</f>
        <v>85.618</v>
      </c>
    </row>
    <row r="406" customFormat="false" ht="15" hidden="false" customHeight="false" outlineLevel="0" collapsed="false">
      <c r="B406" s="7" t="s">
        <v>9039</v>
      </c>
      <c r="C406" s="39" t="n">
        <v>45683</v>
      </c>
      <c r="D406" s="7" t="s">
        <v>242</v>
      </c>
      <c r="E406" s="7" t="s">
        <v>180</v>
      </c>
      <c r="F406" s="6" t="n">
        <v>3.71</v>
      </c>
      <c r="G406" s="6" t="n">
        <v>0</v>
      </c>
      <c r="H406" s="41" t="n">
        <v>17.99</v>
      </c>
      <c r="I406" s="43" t="n">
        <f aca="false">F406*H406</f>
        <v>66.7429</v>
      </c>
      <c r="J406" s="43" t="n">
        <f aca="false">G406*H406*1.5</f>
        <v>0</v>
      </c>
      <c r="K406" s="6" t="n">
        <v>10.2</v>
      </c>
      <c r="L406" s="43" t="n">
        <f aca="false">K406*'Chart of Accounts'!$E$68</f>
        <v>6.834</v>
      </c>
      <c r="O406" s="42" t="n">
        <f aca="false">I406+J406+L406</f>
        <v>73.5769</v>
      </c>
    </row>
    <row r="407" customFormat="false" ht="15" hidden="false" customHeight="false" outlineLevel="0" collapsed="false">
      <c r="B407" s="7" t="s">
        <v>9040</v>
      </c>
      <c r="C407" s="39" t="n">
        <v>45683</v>
      </c>
      <c r="D407" s="7" t="s">
        <v>254</v>
      </c>
      <c r="E407" s="7" t="s">
        <v>180</v>
      </c>
      <c r="F407" s="6" t="n">
        <v>4.05</v>
      </c>
      <c r="G407" s="6" t="n">
        <v>0</v>
      </c>
      <c r="H407" s="41" t="n">
        <v>17.1</v>
      </c>
      <c r="I407" s="43" t="n">
        <f aca="false">F407*H407</f>
        <v>69.255</v>
      </c>
      <c r="J407" s="43" t="n">
        <f aca="false">G407*H407*1.5</f>
        <v>0</v>
      </c>
      <c r="K407" s="6" t="n">
        <v>13.32</v>
      </c>
      <c r="L407" s="43" t="n">
        <f aca="false">K407*'Chart of Accounts'!$E$68</f>
        <v>8.9244</v>
      </c>
      <c r="O407" s="42" t="n">
        <f aca="false">I407+J407+L407</f>
        <v>78.1794</v>
      </c>
    </row>
    <row r="408" customFormat="false" ht="15" hidden="false" customHeight="false" outlineLevel="0" collapsed="false">
      <c r="B408" s="7" t="s">
        <v>9041</v>
      </c>
      <c r="C408" s="39" t="n">
        <v>45684</v>
      </c>
      <c r="D408" s="7" t="s">
        <v>187</v>
      </c>
      <c r="E408" s="7" t="s">
        <v>158</v>
      </c>
      <c r="H408" s="41" t="n">
        <v>66.48</v>
      </c>
      <c r="M408" s="6" t="n">
        <v>1</v>
      </c>
      <c r="N408" s="43" t="n">
        <f aca="false">M408*H408</f>
        <v>66.48</v>
      </c>
      <c r="O408" s="42" t="n">
        <f aca="false">N408</f>
        <v>66.48</v>
      </c>
    </row>
    <row r="409" customFormat="false" ht="15" hidden="false" customHeight="false" outlineLevel="0" collapsed="false">
      <c r="B409" s="7" t="s">
        <v>9042</v>
      </c>
      <c r="C409" s="39" t="n">
        <v>45684</v>
      </c>
      <c r="D409" s="7" t="s">
        <v>191</v>
      </c>
      <c r="E409" s="7" t="s">
        <v>180</v>
      </c>
      <c r="F409" s="6" t="n">
        <v>3.77</v>
      </c>
      <c r="G409" s="6" t="n">
        <v>0</v>
      </c>
      <c r="H409" s="41" t="n">
        <v>16.05</v>
      </c>
      <c r="I409" s="43" t="n">
        <f aca="false">F409*H409</f>
        <v>60.5085</v>
      </c>
      <c r="J409" s="43" t="n">
        <f aca="false">G409*H409*1.5</f>
        <v>0</v>
      </c>
      <c r="K409" s="6" t="n">
        <v>11.45</v>
      </c>
      <c r="L409" s="43" t="n">
        <f aca="false">K409*'Chart of Accounts'!$E$68</f>
        <v>7.6715</v>
      </c>
      <c r="O409" s="42" t="n">
        <f aca="false">I409+J409+L409</f>
        <v>68.18</v>
      </c>
    </row>
    <row r="410" customFormat="false" ht="15" hidden="false" customHeight="false" outlineLevel="0" collapsed="false">
      <c r="B410" s="7" t="s">
        <v>9043</v>
      </c>
      <c r="C410" s="39" t="n">
        <v>45684</v>
      </c>
      <c r="D410" s="7" t="s">
        <v>194</v>
      </c>
      <c r="E410" s="7" t="s">
        <v>180</v>
      </c>
      <c r="F410" s="6" t="n">
        <v>4.85</v>
      </c>
      <c r="G410" s="6" t="n">
        <v>0</v>
      </c>
      <c r="H410" s="41" t="n">
        <v>16</v>
      </c>
      <c r="I410" s="43" t="n">
        <f aca="false">F410*H410</f>
        <v>77.6</v>
      </c>
      <c r="J410" s="43" t="n">
        <f aca="false">G410*H410*1.5</f>
        <v>0</v>
      </c>
      <c r="K410" s="6" t="n">
        <v>11.28</v>
      </c>
      <c r="L410" s="43" t="n">
        <f aca="false">K410*'Chart of Accounts'!$E$68</f>
        <v>7.5576</v>
      </c>
      <c r="O410" s="42" t="n">
        <f aca="false">I410+J410+L410</f>
        <v>85.1576</v>
      </c>
    </row>
    <row r="411" customFormat="false" ht="15" hidden="false" customHeight="false" outlineLevel="0" collapsed="false">
      <c r="B411" s="7" t="s">
        <v>9044</v>
      </c>
      <c r="C411" s="39" t="n">
        <v>45684</v>
      </c>
      <c r="D411" s="7" t="s">
        <v>201</v>
      </c>
      <c r="E411" s="7" t="s">
        <v>180</v>
      </c>
      <c r="F411" s="6" t="n">
        <v>6.4</v>
      </c>
      <c r="G411" s="6" t="n">
        <v>0</v>
      </c>
      <c r="H411" s="41" t="n">
        <v>15.19</v>
      </c>
      <c r="I411" s="43" t="n">
        <f aca="false">F411*H411</f>
        <v>97.216</v>
      </c>
      <c r="J411" s="43" t="n">
        <f aca="false">G411*H411*1.5</f>
        <v>0</v>
      </c>
      <c r="K411" s="6" t="n">
        <v>18.61</v>
      </c>
      <c r="L411" s="43" t="n">
        <f aca="false">K411*'Chart of Accounts'!$E$68</f>
        <v>12.4687</v>
      </c>
      <c r="O411" s="42" t="n">
        <f aca="false">I411+J411+L411</f>
        <v>109.6847</v>
      </c>
    </row>
    <row r="412" customFormat="false" ht="15" hidden="false" customHeight="false" outlineLevel="0" collapsed="false">
      <c r="B412" s="7" t="s">
        <v>9045</v>
      </c>
      <c r="C412" s="39" t="n">
        <v>45684</v>
      </c>
      <c r="D412" s="7" t="s">
        <v>205</v>
      </c>
      <c r="E412" s="7" t="s">
        <v>180</v>
      </c>
      <c r="F412" s="6" t="n">
        <v>3.83</v>
      </c>
      <c r="G412" s="6" t="n">
        <v>0</v>
      </c>
      <c r="H412" s="41" t="n">
        <v>16.36</v>
      </c>
      <c r="I412" s="43" t="n">
        <f aca="false">F412*H412</f>
        <v>62.6588</v>
      </c>
      <c r="J412" s="43" t="n">
        <f aca="false">G412*H412*1.5</f>
        <v>0</v>
      </c>
      <c r="K412" s="6" t="n">
        <v>9.73</v>
      </c>
      <c r="L412" s="43" t="n">
        <f aca="false">K412*'Chart of Accounts'!$E$68</f>
        <v>6.5191</v>
      </c>
      <c r="O412" s="42" t="n">
        <f aca="false">I412+J412+L412</f>
        <v>69.1779</v>
      </c>
    </row>
    <row r="413" customFormat="false" ht="15" hidden="false" customHeight="false" outlineLevel="0" collapsed="false">
      <c r="B413" s="7" t="s">
        <v>9046</v>
      </c>
      <c r="C413" s="39" t="n">
        <v>45684</v>
      </c>
      <c r="D413" s="7" t="s">
        <v>252</v>
      </c>
      <c r="E413" s="7" t="s">
        <v>158</v>
      </c>
      <c r="H413" s="41" t="n">
        <v>57.54</v>
      </c>
      <c r="M413" s="6" t="n">
        <v>1</v>
      </c>
      <c r="N413" s="43" t="n">
        <f aca="false">M413*H413</f>
        <v>57.54</v>
      </c>
      <c r="O413" s="42" t="n">
        <f aca="false">N413</f>
        <v>57.54</v>
      </c>
    </row>
    <row r="414" customFormat="false" ht="15" hidden="false" customHeight="false" outlineLevel="0" collapsed="false">
      <c r="B414" s="7" t="s">
        <v>9047</v>
      </c>
      <c r="C414" s="39" t="n">
        <v>45684</v>
      </c>
      <c r="D414" s="7" t="s">
        <v>196</v>
      </c>
      <c r="E414" s="7" t="s">
        <v>180</v>
      </c>
      <c r="F414" s="6" t="n">
        <v>6.15</v>
      </c>
      <c r="G414" s="6" t="n">
        <v>0</v>
      </c>
      <c r="H414" s="41" t="n">
        <v>15.05</v>
      </c>
      <c r="I414" s="43" t="n">
        <f aca="false">F414*H414</f>
        <v>92.5575</v>
      </c>
      <c r="J414" s="43" t="n">
        <f aca="false">G414*H414*1.5</f>
        <v>0</v>
      </c>
      <c r="K414" s="6" t="n">
        <v>19.69</v>
      </c>
      <c r="L414" s="43" t="n">
        <f aca="false">K414*'Chart of Accounts'!$E$68</f>
        <v>13.1923</v>
      </c>
      <c r="O414" s="42" t="n">
        <f aca="false">I414+J414+L414</f>
        <v>105.7498</v>
      </c>
    </row>
    <row r="415" customFormat="false" ht="15" hidden="false" customHeight="false" outlineLevel="0" collapsed="false">
      <c r="B415" s="7" t="s">
        <v>9048</v>
      </c>
      <c r="C415" s="39" t="n">
        <v>45684</v>
      </c>
      <c r="D415" s="7" t="s">
        <v>184</v>
      </c>
      <c r="E415" s="7" t="s">
        <v>180</v>
      </c>
      <c r="F415" s="6" t="n">
        <v>4.33</v>
      </c>
      <c r="G415" s="6" t="n">
        <v>0</v>
      </c>
      <c r="H415" s="41" t="n">
        <v>17.34</v>
      </c>
      <c r="I415" s="43" t="n">
        <f aca="false">F415*H415</f>
        <v>75.0822</v>
      </c>
      <c r="J415" s="43" t="n">
        <f aca="false">G415*H415*1.5</f>
        <v>0</v>
      </c>
      <c r="K415" s="6" t="n">
        <v>9.82</v>
      </c>
      <c r="L415" s="43" t="n">
        <f aca="false">K415*'Chart of Accounts'!$E$68</f>
        <v>6.5794</v>
      </c>
      <c r="O415" s="42" t="n">
        <f aca="false">I415+J415+L415</f>
        <v>81.6616</v>
      </c>
    </row>
    <row r="416" customFormat="false" ht="15" hidden="false" customHeight="false" outlineLevel="0" collapsed="false">
      <c r="B416" s="7" t="s">
        <v>9049</v>
      </c>
      <c r="C416" s="39" t="n">
        <v>45684</v>
      </c>
      <c r="D416" s="7" t="s">
        <v>207</v>
      </c>
      <c r="E416" s="7" t="s">
        <v>180</v>
      </c>
      <c r="F416" s="6" t="n">
        <v>6.64</v>
      </c>
      <c r="G416" s="6" t="n">
        <v>0</v>
      </c>
      <c r="H416" s="41" t="n">
        <v>16.65</v>
      </c>
      <c r="I416" s="43" t="n">
        <f aca="false">F416*H416</f>
        <v>110.556</v>
      </c>
      <c r="J416" s="43" t="n">
        <f aca="false">G416*H416*1.5</f>
        <v>0</v>
      </c>
      <c r="K416" s="6" t="n">
        <v>21.91</v>
      </c>
      <c r="L416" s="43" t="n">
        <f aca="false">K416*'Chart of Accounts'!$E$68</f>
        <v>14.6797</v>
      </c>
      <c r="O416" s="42" t="n">
        <f aca="false">I416+J416+L416</f>
        <v>125.2357</v>
      </c>
    </row>
    <row r="417" customFormat="false" ht="15" hidden="false" customHeight="false" outlineLevel="0" collapsed="false">
      <c r="B417" s="7" t="s">
        <v>9050</v>
      </c>
      <c r="C417" s="39" t="n">
        <v>45684</v>
      </c>
      <c r="D417" s="7" t="s">
        <v>218</v>
      </c>
      <c r="E417" s="7" t="s">
        <v>180</v>
      </c>
      <c r="F417" s="6" t="n">
        <v>4.29</v>
      </c>
      <c r="G417" s="6" t="n">
        <v>0</v>
      </c>
      <c r="H417" s="41" t="n">
        <v>16.19</v>
      </c>
      <c r="I417" s="43" t="n">
        <f aca="false">F417*H417</f>
        <v>69.4551</v>
      </c>
      <c r="J417" s="43" t="n">
        <f aca="false">G417*H417*1.5</f>
        <v>0</v>
      </c>
      <c r="K417" s="6" t="n">
        <v>14.61</v>
      </c>
      <c r="L417" s="43" t="n">
        <f aca="false">K417*'Chart of Accounts'!$E$68</f>
        <v>9.7887</v>
      </c>
      <c r="O417" s="42" t="n">
        <f aca="false">I417+J417+L417</f>
        <v>79.2438</v>
      </c>
    </row>
    <row r="418" customFormat="false" ht="15" hidden="false" customHeight="false" outlineLevel="0" collapsed="false">
      <c r="B418" s="7" t="s">
        <v>9051</v>
      </c>
      <c r="C418" s="39" t="n">
        <v>45684</v>
      </c>
      <c r="D418" s="7" t="s">
        <v>212</v>
      </c>
      <c r="E418" s="7" t="s">
        <v>180</v>
      </c>
      <c r="F418" s="6" t="n">
        <v>6.65</v>
      </c>
      <c r="G418" s="6" t="n">
        <v>0</v>
      </c>
      <c r="H418" s="41" t="n">
        <v>16.71</v>
      </c>
      <c r="I418" s="43" t="n">
        <f aca="false">F418*H418</f>
        <v>111.1215</v>
      </c>
      <c r="J418" s="43" t="n">
        <f aca="false">G418*H418*1.5</f>
        <v>0</v>
      </c>
      <c r="K418" s="6" t="n">
        <v>17.1</v>
      </c>
      <c r="L418" s="43" t="n">
        <f aca="false">K418*'Chart of Accounts'!$E$68</f>
        <v>11.457</v>
      </c>
      <c r="O418" s="42" t="n">
        <f aca="false">I418+J418+L418</f>
        <v>122.5785</v>
      </c>
    </row>
    <row r="419" customFormat="false" ht="15" hidden="false" customHeight="false" outlineLevel="0" collapsed="false">
      <c r="B419" s="7" t="s">
        <v>9052</v>
      </c>
      <c r="C419" s="39" t="n">
        <v>45684</v>
      </c>
      <c r="D419" s="7" t="s">
        <v>220</v>
      </c>
      <c r="E419" s="7" t="s">
        <v>180</v>
      </c>
      <c r="F419" s="6" t="n">
        <v>4.27</v>
      </c>
      <c r="G419" s="6" t="n">
        <v>0</v>
      </c>
      <c r="H419" s="41" t="n">
        <v>16.43</v>
      </c>
      <c r="I419" s="43" t="n">
        <f aca="false">F419*H419</f>
        <v>70.1561</v>
      </c>
      <c r="J419" s="43" t="n">
        <f aca="false">G419*H419*1.5</f>
        <v>0</v>
      </c>
      <c r="K419" s="6" t="n">
        <v>12.57</v>
      </c>
      <c r="L419" s="43" t="n">
        <f aca="false">K419*'Chart of Accounts'!$E$68</f>
        <v>8.4219</v>
      </c>
      <c r="O419" s="42" t="n">
        <f aca="false">I419+J419+L419</f>
        <v>78.578</v>
      </c>
    </row>
    <row r="420" customFormat="false" ht="15" hidden="false" customHeight="false" outlineLevel="0" collapsed="false">
      <c r="B420" s="7" t="s">
        <v>9053</v>
      </c>
      <c r="C420" s="39" t="n">
        <v>45684</v>
      </c>
      <c r="D420" s="7" t="s">
        <v>224</v>
      </c>
      <c r="E420" s="7" t="s">
        <v>180</v>
      </c>
      <c r="F420" s="6" t="n">
        <v>8.72</v>
      </c>
      <c r="G420" s="6" t="n">
        <v>0</v>
      </c>
      <c r="H420" s="41" t="n">
        <v>14.93</v>
      </c>
      <c r="I420" s="43" t="n">
        <f aca="false">F420*H420</f>
        <v>130.1896</v>
      </c>
      <c r="J420" s="43" t="n">
        <f aca="false">G420*H420*1.5</f>
        <v>0</v>
      </c>
      <c r="K420" s="6" t="n">
        <v>29.29</v>
      </c>
      <c r="L420" s="43" t="n">
        <f aca="false">K420*'Chart of Accounts'!$E$68</f>
        <v>19.6243</v>
      </c>
      <c r="O420" s="42" t="n">
        <f aca="false">I420+J420+L420</f>
        <v>149.8139</v>
      </c>
    </row>
    <row r="421" customFormat="false" ht="15" hidden="false" customHeight="false" outlineLevel="0" collapsed="false">
      <c r="B421" s="7" t="s">
        <v>9054</v>
      </c>
      <c r="C421" s="39" t="n">
        <v>45684</v>
      </c>
      <c r="D421" s="7" t="s">
        <v>177</v>
      </c>
      <c r="E421" s="7" t="s">
        <v>180</v>
      </c>
      <c r="F421" s="6" t="n">
        <v>8.49</v>
      </c>
      <c r="G421" s="6" t="n">
        <v>0</v>
      </c>
      <c r="H421" s="41" t="n">
        <v>14.56</v>
      </c>
      <c r="I421" s="43" t="n">
        <f aca="false">F421*H421</f>
        <v>123.6144</v>
      </c>
      <c r="J421" s="43" t="n">
        <f aca="false">G421*H421*1.5</f>
        <v>0</v>
      </c>
      <c r="K421" s="6" t="n">
        <v>22.68</v>
      </c>
      <c r="L421" s="43" t="n">
        <f aca="false">K421*'Chart of Accounts'!$E$68</f>
        <v>15.1956</v>
      </c>
      <c r="O421" s="42" t="n">
        <f aca="false">I421+J421+L421</f>
        <v>138.81</v>
      </c>
    </row>
    <row r="422" customFormat="false" ht="15" hidden="false" customHeight="false" outlineLevel="0" collapsed="false">
      <c r="B422" s="7" t="s">
        <v>9055</v>
      </c>
      <c r="C422" s="39" t="n">
        <v>45684</v>
      </c>
      <c r="D422" s="7" t="s">
        <v>232</v>
      </c>
      <c r="E422" s="7" t="s">
        <v>180</v>
      </c>
      <c r="F422" s="6" t="n">
        <v>7.71</v>
      </c>
      <c r="G422" s="6" t="n">
        <v>0</v>
      </c>
      <c r="H422" s="41" t="n">
        <v>16.17</v>
      </c>
      <c r="I422" s="43" t="n">
        <f aca="false">F422*H422</f>
        <v>124.6707</v>
      </c>
      <c r="J422" s="43" t="n">
        <f aca="false">G422*H422*1.5</f>
        <v>0</v>
      </c>
      <c r="K422" s="6" t="n">
        <v>22.7</v>
      </c>
      <c r="L422" s="43" t="n">
        <f aca="false">K422*'Chart of Accounts'!$E$68</f>
        <v>15.209</v>
      </c>
      <c r="O422" s="42" t="n">
        <f aca="false">I422+J422+L422</f>
        <v>139.8797</v>
      </c>
    </row>
    <row r="423" customFormat="false" ht="15" hidden="false" customHeight="false" outlineLevel="0" collapsed="false">
      <c r="B423" s="7" t="s">
        <v>9056</v>
      </c>
      <c r="C423" s="39" t="n">
        <v>45684</v>
      </c>
      <c r="D423" s="7" t="s">
        <v>242</v>
      </c>
      <c r="E423" s="7" t="s">
        <v>180</v>
      </c>
      <c r="F423" s="6" t="n">
        <v>7.53</v>
      </c>
      <c r="G423" s="6" t="n">
        <v>0</v>
      </c>
      <c r="H423" s="41" t="n">
        <v>17.99</v>
      </c>
      <c r="I423" s="43" t="n">
        <f aca="false">F423*H423</f>
        <v>135.4647</v>
      </c>
      <c r="J423" s="43" t="n">
        <f aca="false">G423*H423*1.5</f>
        <v>0</v>
      </c>
      <c r="K423" s="6" t="n">
        <v>24.79</v>
      </c>
      <c r="L423" s="43" t="n">
        <f aca="false">K423*'Chart of Accounts'!$E$68</f>
        <v>16.6093</v>
      </c>
      <c r="O423" s="42" t="n">
        <f aca="false">I423+J423+L423</f>
        <v>152.074</v>
      </c>
    </row>
    <row r="424" customFormat="false" ht="15" hidden="false" customHeight="false" outlineLevel="0" collapsed="false">
      <c r="B424" s="7" t="s">
        <v>9057</v>
      </c>
      <c r="C424" s="39" t="n">
        <v>45684</v>
      </c>
      <c r="D424" s="7" t="s">
        <v>222</v>
      </c>
      <c r="E424" s="7" t="s">
        <v>180</v>
      </c>
      <c r="F424" s="6" t="n">
        <v>6.95</v>
      </c>
      <c r="G424" s="6" t="n">
        <v>0</v>
      </c>
      <c r="H424" s="41" t="n">
        <v>17.84</v>
      </c>
      <c r="I424" s="43" t="n">
        <f aca="false">F424*H424</f>
        <v>123.988</v>
      </c>
      <c r="J424" s="43" t="n">
        <f aca="false">G424*H424*1.5</f>
        <v>0</v>
      </c>
      <c r="K424" s="6" t="n">
        <v>18.6</v>
      </c>
      <c r="L424" s="43" t="n">
        <f aca="false">K424*'Chart of Accounts'!$E$68</f>
        <v>12.462</v>
      </c>
      <c r="O424" s="42" t="n">
        <f aca="false">I424+J424+L424</f>
        <v>136.45</v>
      </c>
    </row>
    <row r="425" customFormat="false" ht="15" hidden="false" customHeight="false" outlineLevel="0" collapsed="false">
      <c r="B425" s="7" t="s">
        <v>9058</v>
      </c>
      <c r="C425" s="39" t="n">
        <v>45684</v>
      </c>
      <c r="D425" s="7" t="s">
        <v>262</v>
      </c>
      <c r="E425" s="7" t="s">
        <v>180</v>
      </c>
      <c r="F425" s="6" t="n">
        <v>6.99</v>
      </c>
      <c r="G425" s="6" t="n">
        <v>0</v>
      </c>
      <c r="H425" s="41" t="n">
        <v>16.02</v>
      </c>
      <c r="I425" s="43" t="n">
        <f aca="false">F425*H425</f>
        <v>111.9798</v>
      </c>
      <c r="J425" s="43" t="n">
        <f aca="false">G425*H425*1.5</f>
        <v>0</v>
      </c>
      <c r="K425" s="6" t="n">
        <v>16.42</v>
      </c>
      <c r="L425" s="43" t="n">
        <f aca="false">K425*'Chart of Accounts'!$E$68</f>
        <v>11.0014</v>
      </c>
      <c r="O425" s="42" t="n">
        <f aca="false">I425+J425+L425</f>
        <v>122.9812</v>
      </c>
    </row>
    <row r="426" customFormat="false" ht="15" hidden="false" customHeight="false" outlineLevel="0" collapsed="false">
      <c r="B426" s="7" t="s">
        <v>9059</v>
      </c>
      <c r="C426" s="39" t="n">
        <v>45684</v>
      </c>
      <c r="D426" s="7" t="s">
        <v>254</v>
      </c>
      <c r="E426" s="7" t="s">
        <v>180</v>
      </c>
      <c r="F426" s="6" t="n">
        <v>7.09</v>
      </c>
      <c r="G426" s="6" t="n">
        <v>0</v>
      </c>
      <c r="H426" s="41" t="n">
        <v>17.1</v>
      </c>
      <c r="I426" s="43" t="n">
        <f aca="false">F426*H426</f>
        <v>121.239</v>
      </c>
      <c r="J426" s="43" t="n">
        <f aca="false">G426*H426*1.5</f>
        <v>0</v>
      </c>
      <c r="K426" s="6" t="n">
        <v>25.15</v>
      </c>
      <c r="L426" s="43" t="n">
        <f aca="false">K426*'Chart of Accounts'!$E$68</f>
        <v>16.8505</v>
      </c>
      <c r="O426" s="42" t="n">
        <f aca="false">I426+J426+L426</f>
        <v>138.0895</v>
      </c>
    </row>
    <row r="427" customFormat="false" ht="15" hidden="false" customHeight="false" outlineLevel="0" collapsed="false">
      <c r="B427" s="7" t="s">
        <v>9060</v>
      </c>
      <c r="C427" s="39" t="n">
        <v>45684</v>
      </c>
      <c r="D427" s="7" t="s">
        <v>246</v>
      </c>
      <c r="E427" s="7" t="s">
        <v>180</v>
      </c>
      <c r="F427" s="6" t="n">
        <v>8.47</v>
      </c>
      <c r="G427" s="6" t="n">
        <v>0</v>
      </c>
      <c r="H427" s="41" t="n">
        <v>16.48</v>
      </c>
      <c r="I427" s="43" t="n">
        <f aca="false">F427*H427</f>
        <v>139.5856</v>
      </c>
      <c r="J427" s="43" t="n">
        <f aca="false">G427*H427*1.5</f>
        <v>0</v>
      </c>
      <c r="K427" s="6" t="n">
        <v>26.13</v>
      </c>
      <c r="L427" s="43" t="n">
        <f aca="false">K427*'Chart of Accounts'!$E$68</f>
        <v>17.5071</v>
      </c>
      <c r="O427" s="42" t="n">
        <f aca="false">I427+J427+L427</f>
        <v>157.0927</v>
      </c>
    </row>
    <row r="428" customFormat="false" ht="15" hidden="false" customHeight="false" outlineLevel="0" collapsed="false">
      <c r="B428" s="7" t="s">
        <v>9061</v>
      </c>
      <c r="C428" s="39" t="n">
        <v>45684</v>
      </c>
      <c r="D428" s="7" t="s">
        <v>214</v>
      </c>
      <c r="E428" s="7" t="s">
        <v>180</v>
      </c>
      <c r="F428" s="6" t="n">
        <v>7.03</v>
      </c>
      <c r="G428" s="6" t="n">
        <v>0</v>
      </c>
      <c r="H428" s="41" t="n">
        <v>15.67</v>
      </c>
      <c r="I428" s="43" t="n">
        <f aca="false">F428*H428</f>
        <v>110.1601</v>
      </c>
      <c r="J428" s="43" t="n">
        <f aca="false">G428*H428*1.5</f>
        <v>0</v>
      </c>
      <c r="K428" s="6" t="n">
        <v>22.99</v>
      </c>
      <c r="L428" s="43" t="n">
        <f aca="false">K428*'Chart of Accounts'!$E$68</f>
        <v>15.4033</v>
      </c>
      <c r="O428" s="42" t="n">
        <f aca="false">I428+J428+L428</f>
        <v>125.5634</v>
      </c>
    </row>
    <row r="429" customFormat="false" ht="15" hidden="false" customHeight="false" outlineLevel="0" collapsed="false">
      <c r="B429" s="7" t="s">
        <v>9062</v>
      </c>
      <c r="C429" s="39" t="n">
        <v>45685</v>
      </c>
      <c r="D429" s="7" t="s">
        <v>191</v>
      </c>
      <c r="E429" s="7" t="s">
        <v>180</v>
      </c>
      <c r="F429" s="6" t="n">
        <v>3.91</v>
      </c>
      <c r="G429" s="6" t="n">
        <v>0</v>
      </c>
      <c r="H429" s="41" t="n">
        <v>16.05</v>
      </c>
      <c r="I429" s="43" t="n">
        <f aca="false">F429*H429</f>
        <v>62.7555</v>
      </c>
      <c r="J429" s="43" t="n">
        <f aca="false">G429*H429*1.5</f>
        <v>0</v>
      </c>
      <c r="K429" s="6" t="n">
        <v>11.45</v>
      </c>
      <c r="L429" s="43" t="n">
        <f aca="false">K429*'Chart of Accounts'!$E$68</f>
        <v>7.6715</v>
      </c>
      <c r="O429" s="42" t="n">
        <f aca="false">I429+J429+L429</f>
        <v>70.427</v>
      </c>
    </row>
    <row r="430" customFormat="false" ht="15" hidden="false" customHeight="false" outlineLevel="0" collapsed="false">
      <c r="B430" s="7" t="s">
        <v>9063</v>
      </c>
      <c r="C430" s="39" t="n">
        <v>45685</v>
      </c>
      <c r="D430" s="7" t="s">
        <v>209</v>
      </c>
      <c r="E430" s="7" t="s">
        <v>158</v>
      </c>
      <c r="H430" s="41" t="n">
        <v>73.58</v>
      </c>
      <c r="M430" s="6" t="n">
        <v>2</v>
      </c>
      <c r="N430" s="43" t="n">
        <f aca="false">M430*H430</f>
        <v>147.16</v>
      </c>
      <c r="O430" s="42" t="n">
        <f aca="false">N430</f>
        <v>147.16</v>
      </c>
    </row>
    <row r="431" customFormat="false" ht="15" hidden="false" customHeight="false" outlineLevel="0" collapsed="false">
      <c r="B431" s="7" t="s">
        <v>9064</v>
      </c>
      <c r="C431" s="39" t="n">
        <v>45685</v>
      </c>
      <c r="D431" s="7" t="s">
        <v>184</v>
      </c>
      <c r="E431" s="7" t="s">
        <v>180</v>
      </c>
      <c r="F431" s="6" t="n">
        <v>4.03</v>
      </c>
      <c r="G431" s="6" t="n">
        <v>0</v>
      </c>
      <c r="H431" s="41" t="n">
        <v>17.34</v>
      </c>
      <c r="I431" s="43" t="n">
        <f aca="false">F431*H431</f>
        <v>69.8802</v>
      </c>
      <c r="J431" s="43" t="n">
        <f aca="false">G431*H431*1.5</f>
        <v>0</v>
      </c>
      <c r="K431" s="6" t="n">
        <v>8.92</v>
      </c>
      <c r="L431" s="43" t="n">
        <f aca="false">K431*'Chart of Accounts'!$E$68</f>
        <v>5.9764</v>
      </c>
      <c r="O431" s="42" t="n">
        <f aca="false">I431+J431+L431</f>
        <v>75.8566</v>
      </c>
    </row>
    <row r="432" customFormat="false" ht="15" hidden="false" customHeight="false" outlineLevel="0" collapsed="false">
      <c r="B432" s="7" t="s">
        <v>9065</v>
      </c>
      <c r="C432" s="39" t="n">
        <v>45685</v>
      </c>
      <c r="D432" s="7" t="s">
        <v>234</v>
      </c>
      <c r="E432" s="7" t="s">
        <v>158</v>
      </c>
      <c r="H432" s="41" t="n">
        <v>89.53</v>
      </c>
      <c r="M432" s="6" t="n">
        <v>2</v>
      </c>
      <c r="N432" s="43" t="n">
        <f aca="false">M432*H432</f>
        <v>179.06</v>
      </c>
      <c r="O432" s="42" t="n">
        <f aca="false">N432</f>
        <v>179.06</v>
      </c>
    </row>
    <row r="433" customFormat="false" ht="15" hidden="false" customHeight="false" outlineLevel="0" collapsed="false">
      <c r="B433" s="7" t="s">
        <v>9066</v>
      </c>
      <c r="C433" s="39" t="n">
        <v>45685</v>
      </c>
      <c r="D433" s="7" t="s">
        <v>218</v>
      </c>
      <c r="E433" s="7" t="s">
        <v>180</v>
      </c>
      <c r="F433" s="6" t="n">
        <v>3.66</v>
      </c>
      <c r="G433" s="6" t="n">
        <v>0</v>
      </c>
      <c r="H433" s="41" t="n">
        <v>16.19</v>
      </c>
      <c r="I433" s="43" t="n">
        <f aca="false">F433*H433</f>
        <v>59.2554</v>
      </c>
      <c r="J433" s="43" t="n">
        <f aca="false">G433*H433*1.5</f>
        <v>0</v>
      </c>
      <c r="K433" s="6" t="n">
        <v>8.91</v>
      </c>
      <c r="L433" s="43" t="n">
        <f aca="false">K433*'Chart of Accounts'!$E$68</f>
        <v>5.9697</v>
      </c>
      <c r="O433" s="42" t="n">
        <f aca="false">I433+J433+L433</f>
        <v>65.2251</v>
      </c>
    </row>
    <row r="434" customFormat="false" ht="15" hidden="false" customHeight="false" outlineLevel="0" collapsed="false">
      <c r="B434" s="7" t="s">
        <v>9067</v>
      </c>
      <c r="C434" s="39" t="n">
        <v>45685</v>
      </c>
      <c r="D434" s="7" t="s">
        <v>266</v>
      </c>
      <c r="E434" s="7" t="s">
        <v>158</v>
      </c>
      <c r="H434" s="41" t="n">
        <v>75.18</v>
      </c>
      <c r="M434" s="6" t="n">
        <v>1</v>
      </c>
      <c r="N434" s="43" t="n">
        <f aca="false">M434*H434</f>
        <v>75.18</v>
      </c>
      <c r="O434" s="42" t="n">
        <f aca="false">N434</f>
        <v>75.18</v>
      </c>
    </row>
    <row r="435" customFormat="false" ht="15" hidden="false" customHeight="false" outlineLevel="0" collapsed="false">
      <c r="B435" s="7" t="s">
        <v>9068</v>
      </c>
      <c r="C435" s="39" t="n">
        <v>45685</v>
      </c>
      <c r="D435" s="7" t="s">
        <v>228</v>
      </c>
      <c r="E435" s="7" t="s">
        <v>158</v>
      </c>
      <c r="H435" s="41" t="n">
        <v>51.07</v>
      </c>
      <c r="M435" s="6" t="n">
        <v>1</v>
      </c>
      <c r="N435" s="43" t="n">
        <f aca="false">M435*H435</f>
        <v>51.07</v>
      </c>
      <c r="O435" s="42" t="n">
        <f aca="false">N435</f>
        <v>51.07</v>
      </c>
    </row>
    <row r="436" customFormat="false" ht="15" hidden="false" customHeight="false" outlineLevel="0" collapsed="false">
      <c r="B436" s="7" t="s">
        <v>9069</v>
      </c>
      <c r="C436" s="39" t="n">
        <v>45685</v>
      </c>
      <c r="D436" s="7" t="s">
        <v>220</v>
      </c>
      <c r="E436" s="7" t="s">
        <v>180</v>
      </c>
      <c r="F436" s="6" t="n">
        <v>3.77</v>
      </c>
      <c r="G436" s="6" t="n">
        <v>0</v>
      </c>
      <c r="H436" s="41" t="n">
        <v>16.43</v>
      </c>
      <c r="I436" s="43" t="n">
        <f aca="false">F436*H436</f>
        <v>61.9411</v>
      </c>
      <c r="J436" s="43" t="n">
        <f aca="false">G436*H436*1.5</f>
        <v>0</v>
      </c>
      <c r="K436" s="6" t="n">
        <v>10.14</v>
      </c>
      <c r="L436" s="43" t="n">
        <f aca="false">K436*'Chart of Accounts'!$E$68</f>
        <v>6.7938</v>
      </c>
      <c r="O436" s="42" t="n">
        <f aca="false">I436+J436+L436</f>
        <v>68.7349</v>
      </c>
    </row>
    <row r="437" customFormat="false" ht="15" hidden="false" customHeight="false" outlineLevel="0" collapsed="false">
      <c r="B437" s="7" t="s">
        <v>9070</v>
      </c>
      <c r="C437" s="39" t="n">
        <v>45685</v>
      </c>
      <c r="D437" s="7" t="s">
        <v>212</v>
      </c>
      <c r="E437" s="7" t="s">
        <v>180</v>
      </c>
      <c r="F437" s="6" t="n">
        <v>4.2</v>
      </c>
      <c r="G437" s="6" t="n">
        <v>0</v>
      </c>
      <c r="H437" s="41" t="n">
        <v>16.71</v>
      </c>
      <c r="I437" s="43" t="n">
        <f aca="false">F437*H437</f>
        <v>70.182</v>
      </c>
      <c r="J437" s="43" t="n">
        <f aca="false">G437*H437*1.5</f>
        <v>0</v>
      </c>
      <c r="K437" s="6" t="n">
        <v>11.07</v>
      </c>
      <c r="L437" s="43" t="n">
        <f aca="false">K437*'Chart of Accounts'!$E$68</f>
        <v>7.4169</v>
      </c>
      <c r="O437" s="42" t="n">
        <f aca="false">I437+J437+L437</f>
        <v>77.5989</v>
      </c>
    </row>
    <row r="438" customFormat="false" ht="15" hidden="false" customHeight="false" outlineLevel="0" collapsed="false">
      <c r="B438" s="7" t="s">
        <v>9071</v>
      </c>
      <c r="C438" s="39" t="n">
        <v>45685</v>
      </c>
      <c r="D438" s="7" t="s">
        <v>246</v>
      </c>
      <c r="E438" s="7" t="s">
        <v>180</v>
      </c>
      <c r="F438" s="6" t="n">
        <v>3.97</v>
      </c>
      <c r="G438" s="6" t="n">
        <v>0</v>
      </c>
      <c r="H438" s="41" t="n">
        <v>16.48</v>
      </c>
      <c r="I438" s="43" t="n">
        <f aca="false">F438*H438</f>
        <v>65.4256</v>
      </c>
      <c r="J438" s="43" t="n">
        <f aca="false">G438*H438*1.5</f>
        <v>0</v>
      </c>
      <c r="K438" s="6" t="n">
        <v>9.53</v>
      </c>
      <c r="L438" s="43" t="n">
        <f aca="false">K438*'Chart of Accounts'!$E$68</f>
        <v>6.3851</v>
      </c>
      <c r="O438" s="42" t="n">
        <f aca="false">I438+J438+L438</f>
        <v>71.8107</v>
      </c>
    </row>
    <row r="439" customFormat="false" ht="15" hidden="false" customHeight="false" outlineLevel="0" collapsed="false">
      <c r="B439" s="7" t="s">
        <v>9072</v>
      </c>
      <c r="C439" s="39" t="n">
        <v>45685</v>
      </c>
      <c r="D439" s="7" t="s">
        <v>222</v>
      </c>
      <c r="E439" s="7" t="s">
        <v>180</v>
      </c>
      <c r="F439" s="6" t="n">
        <v>3.89</v>
      </c>
      <c r="G439" s="6" t="n">
        <v>0</v>
      </c>
      <c r="H439" s="41" t="n">
        <v>17.84</v>
      </c>
      <c r="I439" s="43" t="n">
        <f aca="false">F439*H439</f>
        <v>69.3976</v>
      </c>
      <c r="J439" s="43" t="n">
        <f aca="false">G439*H439*1.5</f>
        <v>0</v>
      </c>
      <c r="K439" s="6" t="n">
        <v>12.93</v>
      </c>
      <c r="L439" s="43" t="n">
        <f aca="false">K439*'Chart of Accounts'!$E$68</f>
        <v>8.6631</v>
      </c>
      <c r="O439" s="42" t="n">
        <f aca="false">I439+J439+L439</f>
        <v>78.0607</v>
      </c>
    </row>
    <row r="440" customFormat="false" ht="15" hidden="false" customHeight="false" outlineLevel="0" collapsed="false">
      <c r="B440" s="7" t="s">
        <v>9073</v>
      </c>
      <c r="C440" s="39" t="n">
        <v>45685</v>
      </c>
      <c r="D440" s="7" t="s">
        <v>242</v>
      </c>
      <c r="E440" s="7" t="s">
        <v>180</v>
      </c>
      <c r="F440" s="6" t="n">
        <v>4.24</v>
      </c>
      <c r="G440" s="6" t="n">
        <v>0</v>
      </c>
      <c r="H440" s="41" t="n">
        <v>17.99</v>
      </c>
      <c r="I440" s="43" t="n">
        <f aca="false">F440*H440</f>
        <v>76.2776</v>
      </c>
      <c r="J440" s="43" t="n">
        <f aca="false">G440*H440*1.5</f>
        <v>0</v>
      </c>
      <c r="K440" s="6" t="n">
        <v>11.25</v>
      </c>
      <c r="L440" s="43" t="n">
        <f aca="false">K440*'Chart of Accounts'!$E$68</f>
        <v>7.5375</v>
      </c>
      <c r="O440" s="42" t="n">
        <f aca="false">I440+J440+L440</f>
        <v>83.8151</v>
      </c>
    </row>
    <row r="441" customFormat="false" ht="15" hidden="false" customHeight="false" outlineLevel="0" collapsed="false">
      <c r="B441" s="7" t="s">
        <v>9074</v>
      </c>
      <c r="C441" s="39" t="n">
        <v>45685</v>
      </c>
      <c r="D441" s="7" t="s">
        <v>254</v>
      </c>
      <c r="E441" s="7" t="s">
        <v>180</v>
      </c>
      <c r="F441" s="6" t="n">
        <v>3.86</v>
      </c>
      <c r="G441" s="6" t="n">
        <v>0</v>
      </c>
      <c r="H441" s="41" t="n">
        <v>17.1</v>
      </c>
      <c r="I441" s="43" t="n">
        <f aca="false">F441*H441</f>
        <v>66.006</v>
      </c>
      <c r="J441" s="43" t="n">
        <f aca="false">G441*H441*1.5</f>
        <v>0</v>
      </c>
      <c r="K441" s="6" t="n">
        <v>13.76</v>
      </c>
      <c r="L441" s="43" t="n">
        <f aca="false">K441*'Chart of Accounts'!$E$68</f>
        <v>9.2192</v>
      </c>
      <c r="O441" s="42" t="n">
        <f aca="false">I441+J441+L441</f>
        <v>75.2252</v>
      </c>
    </row>
    <row r="442" customFormat="false" ht="15" hidden="false" customHeight="false" outlineLevel="0" collapsed="false">
      <c r="B442" s="7" t="s">
        <v>9075</v>
      </c>
      <c r="C442" s="39" t="n">
        <v>45685</v>
      </c>
      <c r="D442" s="7" t="s">
        <v>260</v>
      </c>
      <c r="E442" s="7" t="s">
        <v>158</v>
      </c>
      <c r="H442" s="41" t="n">
        <v>79.8</v>
      </c>
      <c r="M442" s="6" t="n">
        <v>1</v>
      </c>
      <c r="N442" s="43" t="n">
        <f aca="false">M442*H442</f>
        <v>79.8</v>
      </c>
      <c r="O442" s="42" t="n">
        <f aca="false">N442</f>
        <v>79.8</v>
      </c>
    </row>
    <row r="443" customFormat="false" ht="15" hidden="false" customHeight="false" outlineLevel="0" collapsed="false">
      <c r="B443" s="7" t="s">
        <v>9076</v>
      </c>
      <c r="C443" s="39" t="n">
        <v>45686</v>
      </c>
      <c r="D443" s="7" t="s">
        <v>187</v>
      </c>
      <c r="E443" s="7" t="s">
        <v>158</v>
      </c>
      <c r="H443" s="41" t="n">
        <v>66.48</v>
      </c>
      <c r="M443" s="6" t="n">
        <v>1</v>
      </c>
      <c r="N443" s="43" t="n">
        <f aca="false">M443*H443</f>
        <v>66.48</v>
      </c>
      <c r="O443" s="42" t="n">
        <f aca="false">N443</f>
        <v>66.48</v>
      </c>
    </row>
    <row r="444" customFormat="false" ht="15" hidden="false" customHeight="false" outlineLevel="0" collapsed="false">
      <c r="B444" s="7" t="s">
        <v>9077</v>
      </c>
      <c r="C444" s="39" t="n">
        <v>45686</v>
      </c>
      <c r="D444" s="7" t="s">
        <v>228</v>
      </c>
      <c r="E444" s="7" t="s">
        <v>158</v>
      </c>
      <c r="H444" s="41" t="n">
        <v>51.07</v>
      </c>
      <c r="M444" s="6" t="n">
        <v>1</v>
      </c>
      <c r="N444" s="43" t="n">
        <f aca="false">M444*H444</f>
        <v>51.07</v>
      </c>
      <c r="O444" s="42" t="n">
        <f aca="false">N444</f>
        <v>51.07</v>
      </c>
    </row>
    <row r="445" customFormat="false" ht="15" hidden="false" customHeight="false" outlineLevel="0" collapsed="false">
      <c r="B445" s="7" t="s">
        <v>9078</v>
      </c>
      <c r="C445" s="39" t="n">
        <v>45686</v>
      </c>
      <c r="D445" s="7" t="s">
        <v>191</v>
      </c>
      <c r="E445" s="7" t="s">
        <v>180</v>
      </c>
      <c r="F445" s="6" t="n">
        <v>3.78</v>
      </c>
      <c r="G445" s="6" t="n">
        <v>0</v>
      </c>
      <c r="H445" s="41" t="n">
        <v>16.05</v>
      </c>
      <c r="I445" s="43" t="n">
        <f aca="false">F445*H445</f>
        <v>60.669</v>
      </c>
      <c r="J445" s="43" t="n">
        <f aca="false">G445*H445*1.5</f>
        <v>0</v>
      </c>
      <c r="K445" s="6" t="n">
        <v>10.49</v>
      </c>
      <c r="L445" s="43" t="n">
        <f aca="false">K445*'Chart of Accounts'!$E$68</f>
        <v>7.0283</v>
      </c>
      <c r="O445" s="42" t="n">
        <f aca="false">I445+J445+L445</f>
        <v>67.6973</v>
      </c>
    </row>
    <row r="446" customFormat="false" ht="15" hidden="false" customHeight="false" outlineLevel="0" collapsed="false">
      <c r="B446" s="7" t="s">
        <v>9079</v>
      </c>
      <c r="C446" s="39" t="n">
        <v>45686</v>
      </c>
      <c r="D446" s="7" t="s">
        <v>194</v>
      </c>
      <c r="E446" s="7" t="s">
        <v>180</v>
      </c>
      <c r="F446" s="6" t="n">
        <v>4.71</v>
      </c>
      <c r="G446" s="6" t="n">
        <v>0</v>
      </c>
      <c r="H446" s="41" t="n">
        <v>16</v>
      </c>
      <c r="I446" s="43" t="n">
        <f aca="false">F446*H446</f>
        <v>75.36</v>
      </c>
      <c r="J446" s="43" t="n">
        <f aca="false">G446*H446*1.5</f>
        <v>0</v>
      </c>
      <c r="K446" s="6" t="n">
        <v>16.91</v>
      </c>
      <c r="L446" s="43" t="n">
        <f aca="false">K446*'Chart of Accounts'!$E$68</f>
        <v>11.3297</v>
      </c>
      <c r="O446" s="42" t="n">
        <f aca="false">I446+J446+L446</f>
        <v>86.6897</v>
      </c>
    </row>
    <row r="447" customFormat="false" ht="15" hidden="false" customHeight="false" outlineLevel="0" collapsed="false">
      <c r="B447" s="7" t="s">
        <v>9080</v>
      </c>
      <c r="C447" s="39" t="n">
        <v>45686</v>
      </c>
      <c r="D447" s="7" t="s">
        <v>205</v>
      </c>
      <c r="E447" s="7" t="s">
        <v>180</v>
      </c>
      <c r="F447" s="6" t="n">
        <v>4.21</v>
      </c>
      <c r="G447" s="6" t="n">
        <v>0</v>
      </c>
      <c r="H447" s="41" t="n">
        <v>16.36</v>
      </c>
      <c r="I447" s="43" t="n">
        <f aca="false">F447*H447</f>
        <v>68.8756</v>
      </c>
      <c r="J447" s="43" t="n">
        <f aca="false">G447*H447*1.5</f>
        <v>0</v>
      </c>
      <c r="K447" s="6" t="n">
        <v>14.98</v>
      </c>
      <c r="L447" s="43" t="n">
        <f aca="false">K447*'Chart of Accounts'!$E$68</f>
        <v>10.0366</v>
      </c>
      <c r="O447" s="42" t="n">
        <f aca="false">I447+J447+L447</f>
        <v>78.9122</v>
      </c>
    </row>
    <row r="448" customFormat="false" ht="15" hidden="false" customHeight="false" outlineLevel="0" collapsed="false">
      <c r="B448" s="7" t="s">
        <v>9081</v>
      </c>
      <c r="C448" s="39" t="n">
        <v>45686</v>
      </c>
      <c r="D448" s="7" t="s">
        <v>252</v>
      </c>
      <c r="E448" s="7" t="s">
        <v>158</v>
      </c>
      <c r="H448" s="41" t="n">
        <v>57.54</v>
      </c>
      <c r="M448" s="6" t="n">
        <v>1</v>
      </c>
      <c r="N448" s="43" t="n">
        <f aca="false">M448*H448</f>
        <v>57.54</v>
      </c>
      <c r="O448" s="42" t="n">
        <f aca="false">N448</f>
        <v>57.54</v>
      </c>
    </row>
    <row r="449" customFormat="false" ht="15" hidden="false" customHeight="false" outlineLevel="0" collapsed="false">
      <c r="B449" s="7" t="s">
        <v>9082</v>
      </c>
      <c r="C449" s="39" t="n">
        <v>45686</v>
      </c>
      <c r="D449" s="7" t="s">
        <v>184</v>
      </c>
      <c r="E449" s="7" t="s">
        <v>180</v>
      </c>
      <c r="F449" s="6" t="n">
        <v>3.88</v>
      </c>
      <c r="G449" s="6" t="n">
        <v>0</v>
      </c>
      <c r="H449" s="41" t="n">
        <v>17.34</v>
      </c>
      <c r="I449" s="43" t="n">
        <f aca="false">F449*H449</f>
        <v>67.2792</v>
      </c>
      <c r="J449" s="43" t="n">
        <f aca="false">G449*H449*1.5</f>
        <v>0</v>
      </c>
      <c r="K449" s="6" t="n">
        <v>10.52</v>
      </c>
      <c r="L449" s="43" t="n">
        <f aca="false">K449*'Chart of Accounts'!$E$68</f>
        <v>7.0484</v>
      </c>
      <c r="O449" s="42" t="n">
        <f aca="false">I449+J449+L449</f>
        <v>74.3276</v>
      </c>
    </row>
    <row r="450" customFormat="false" ht="15" hidden="false" customHeight="false" outlineLevel="0" collapsed="false">
      <c r="B450" s="7" t="s">
        <v>9083</v>
      </c>
      <c r="C450" s="39" t="n">
        <v>45686</v>
      </c>
      <c r="D450" s="7" t="s">
        <v>218</v>
      </c>
      <c r="E450" s="7" t="s">
        <v>180</v>
      </c>
      <c r="F450" s="6" t="n">
        <v>3.75</v>
      </c>
      <c r="G450" s="6" t="n">
        <v>0</v>
      </c>
      <c r="H450" s="41" t="n">
        <v>16.19</v>
      </c>
      <c r="I450" s="43" t="n">
        <f aca="false">F450*H450</f>
        <v>60.7125</v>
      </c>
      <c r="J450" s="43" t="n">
        <f aca="false">G450*H450*1.5</f>
        <v>0</v>
      </c>
      <c r="K450" s="6" t="n">
        <v>12.45</v>
      </c>
      <c r="L450" s="43" t="n">
        <f aca="false">K450*'Chart of Accounts'!$E$68</f>
        <v>8.3415</v>
      </c>
      <c r="O450" s="42" t="n">
        <f aca="false">I450+J450+L450</f>
        <v>69.054</v>
      </c>
    </row>
    <row r="451" customFormat="false" ht="15" hidden="false" customHeight="false" outlineLevel="0" collapsed="false">
      <c r="B451" s="7" t="s">
        <v>9084</v>
      </c>
      <c r="C451" s="39" t="n">
        <v>45686</v>
      </c>
      <c r="D451" s="7" t="s">
        <v>220</v>
      </c>
      <c r="E451" s="7" t="s">
        <v>180</v>
      </c>
      <c r="F451" s="6" t="n">
        <v>4.37</v>
      </c>
      <c r="G451" s="6" t="n">
        <v>0</v>
      </c>
      <c r="H451" s="41" t="n">
        <v>16.43</v>
      </c>
      <c r="I451" s="43" t="n">
        <f aca="false">F451*H451</f>
        <v>71.7991</v>
      </c>
      <c r="J451" s="43" t="n">
        <f aca="false">G451*H451*1.5</f>
        <v>0</v>
      </c>
      <c r="K451" s="6" t="n">
        <v>12.55</v>
      </c>
      <c r="L451" s="43" t="n">
        <f aca="false">K451*'Chart of Accounts'!$E$68</f>
        <v>8.4085</v>
      </c>
      <c r="O451" s="42" t="n">
        <f aca="false">I451+J451+L451</f>
        <v>80.2076</v>
      </c>
    </row>
    <row r="452" customFormat="false" ht="15" hidden="false" customHeight="false" outlineLevel="0" collapsed="false">
      <c r="B452" s="7" t="s">
        <v>9085</v>
      </c>
      <c r="C452" s="39" t="n">
        <v>45686</v>
      </c>
      <c r="D452" s="7" t="s">
        <v>177</v>
      </c>
      <c r="E452" s="7" t="s">
        <v>180</v>
      </c>
      <c r="F452" s="6" t="n">
        <v>8.24</v>
      </c>
      <c r="G452" s="6" t="n">
        <v>0</v>
      </c>
      <c r="H452" s="41" t="n">
        <v>14.56</v>
      </c>
      <c r="I452" s="43" t="n">
        <f aca="false">F452*H452</f>
        <v>119.9744</v>
      </c>
      <c r="J452" s="43" t="n">
        <f aca="false">G452*H452*1.5</f>
        <v>0</v>
      </c>
      <c r="K452" s="6" t="n">
        <v>28.04</v>
      </c>
      <c r="L452" s="43" t="n">
        <f aca="false">K452*'Chart of Accounts'!$E$68</f>
        <v>18.7868</v>
      </c>
      <c r="O452" s="42" t="n">
        <f aca="false">I452+J452+L452</f>
        <v>138.7612</v>
      </c>
    </row>
    <row r="453" customFormat="false" ht="15" hidden="false" customHeight="false" outlineLevel="0" collapsed="false">
      <c r="B453" s="7" t="s">
        <v>9086</v>
      </c>
      <c r="C453" s="39" t="n">
        <v>45686</v>
      </c>
      <c r="D453" s="7" t="s">
        <v>242</v>
      </c>
      <c r="E453" s="7" t="s">
        <v>180</v>
      </c>
      <c r="F453" s="6" t="n">
        <v>7.24</v>
      </c>
      <c r="G453" s="6" t="n">
        <v>0</v>
      </c>
      <c r="H453" s="41" t="n">
        <v>17.99</v>
      </c>
      <c r="I453" s="43" t="n">
        <f aca="false">F453*H453</f>
        <v>130.2476</v>
      </c>
      <c r="J453" s="43" t="n">
        <f aca="false">G453*H453*1.5</f>
        <v>0</v>
      </c>
      <c r="K453" s="6" t="n">
        <v>25.57</v>
      </c>
      <c r="L453" s="43" t="n">
        <f aca="false">K453*'Chart of Accounts'!$E$68</f>
        <v>17.1319</v>
      </c>
      <c r="O453" s="42" t="n">
        <f aca="false">I453+J453+L453</f>
        <v>147.3795</v>
      </c>
    </row>
    <row r="454" customFormat="false" ht="15" hidden="false" customHeight="false" outlineLevel="0" collapsed="false">
      <c r="B454" s="7" t="s">
        <v>9087</v>
      </c>
      <c r="C454" s="39" t="n">
        <v>45686</v>
      </c>
      <c r="D454" s="7" t="s">
        <v>254</v>
      </c>
      <c r="E454" s="7" t="s">
        <v>180</v>
      </c>
      <c r="F454" s="6" t="n">
        <v>6.89</v>
      </c>
      <c r="G454" s="6" t="n">
        <v>0</v>
      </c>
      <c r="H454" s="41" t="n">
        <v>17.1</v>
      </c>
      <c r="I454" s="43" t="n">
        <f aca="false">F454*H454</f>
        <v>117.819</v>
      </c>
      <c r="J454" s="43" t="n">
        <f aca="false">G454*H454*1.5</f>
        <v>0</v>
      </c>
      <c r="K454" s="6" t="n">
        <v>20.47</v>
      </c>
      <c r="L454" s="43" t="n">
        <f aca="false">K454*'Chart of Accounts'!$E$68</f>
        <v>13.7149</v>
      </c>
      <c r="O454" s="42" t="n">
        <f aca="false">I454+J454+L454</f>
        <v>131.5339</v>
      </c>
    </row>
    <row r="455" customFormat="false" ht="15" hidden="false" customHeight="false" outlineLevel="0" collapsed="false">
      <c r="B455" s="7" t="s">
        <v>9088</v>
      </c>
      <c r="C455" s="39" t="n">
        <v>45686</v>
      </c>
      <c r="D455" s="7" t="s">
        <v>201</v>
      </c>
      <c r="E455" s="7" t="s">
        <v>180</v>
      </c>
      <c r="F455" s="6" t="n">
        <v>3.3</v>
      </c>
      <c r="G455" s="6" t="n">
        <v>0</v>
      </c>
      <c r="H455" s="41" t="n">
        <v>15.19</v>
      </c>
      <c r="I455" s="43" t="n">
        <f aca="false">F455*H455</f>
        <v>50.127</v>
      </c>
      <c r="J455" s="43" t="n">
        <f aca="false">G455*H455*1.5</f>
        <v>0</v>
      </c>
      <c r="K455" s="6" t="n">
        <v>10.21</v>
      </c>
      <c r="L455" s="43" t="n">
        <f aca="false">K455*'Chart of Accounts'!$E$68</f>
        <v>6.8407</v>
      </c>
      <c r="O455" s="42" t="n">
        <f aca="false">I455+J455+L455</f>
        <v>56.9677</v>
      </c>
    </row>
    <row r="456" customFormat="false" ht="15" hidden="false" customHeight="false" outlineLevel="0" collapsed="false">
      <c r="B456" s="7" t="s">
        <v>9089</v>
      </c>
      <c r="C456" s="39" t="n">
        <v>45686</v>
      </c>
      <c r="D456" s="7" t="s">
        <v>207</v>
      </c>
      <c r="E456" s="7" t="s">
        <v>180</v>
      </c>
      <c r="F456" s="6" t="n">
        <v>3.62</v>
      </c>
      <c r="G456" s="6" t="n">
        <v>0</v>
      </c>
      <c r="H456" s="41" t="n">
        <v>16.65</v>
      </c>
      <c r="I456" s="43" t="n">
        <f aca="false">F456*H456</f>
        <v>60.273</v>
      </c>
      <c r="J456" s="43" t="n">
        <f aca="false">G456*H456*1.5</f>
        <v>0</v>
      </c>
      <c r="K456" s="6" t="n">
        <v>10.23</v>
      </c>
      <c r="L456" s="43" t="n">
        <f aca="false">K456*'Chart of Accounts'!$E$68</f>
        <v>6.8541</v>
      </c>
      <c r="O456" s="42" t="n">
        <f aca="false">I456+J456+L456</f>
        <v>67.1271</v>
      </c>
    </row>
    <row r="457" customFormat="false" ht="15" hidden="false" customHeight="false" outlineLevel="0" collapsed="false">
      <c r="B457" s="7" t="s">
        <v>9090</v>
      </c>
      <c r="C457" s="39" t="n">
        <v>45686</v>
      </c>
      <c r="D457" s="7" t="s">
        <v>212</v>
      </c>
      <c r="E457" s="7" t="s">
        <v>180</v>
      </c>
      <c r="F457" s="6" t="n">
        <v>3.61</v>
      </c>
      <c r="G457" s="6" t="n">
        <v>0</v>
      </c>
      <c r="H457" s="41" t="n">
        <v>16.71</v>
      </c>
      <c r="I457" s="43" t="n">
        <f aca="false">F457*H457</f>
        <v>60.3231</v>
      </c>
      <c r="J457" s="43" t="n">
        <f aca="false">G457*H457*1.5</f>
        <v>0</v>
      </c>
      <c r="K457" s="6" t="n">
        <v>9.95</v>
      </c>
      <c r="L457" s="43" t="n">
        <f aca="false">K457*'Chart of Accounts'!$E$68</f>
        <v>6.6665</v>
      </c>
      <c r="O457" s="42" t="n">
        <f aca="false">I457+J457+L457</f>
        <v>66.9896</v>
      </c>
    </row>
    <row r="458" customFormat="false" ht="15" hidden="false" customHeight="false" outlineLevel="0" collapsed="false">
      <c r="B458" s="7" t="s">
        <v>9091</v>
      </c>
      <c r="C458" s="39" t="n">
        <v>45686</v>
      </c>
      <c r="D458" s="7" t="s">
        <v>232</v>
      </c>
      <c r="E458" s="7" t="s">
        <v>180</v>
      </c>
      <c r="F458" s="6" t="n">
        <v>4.22</v>
      </c>
      <c r="G458" s="6" t="n">
        <v>0</v>
      </c>
      <c r="H458" s="41" t="n">
        <v>16.17</v>
      </c>
      <c r="I458" s="43" t="n">
        <f aca="false">F458*H458</f>
        <v>68.2374</v>
      </c>
      <c r="J458" s="43" t="n">
        <f aca="false">G458*H458*1.5</f>
        <v>0</v>
      </c>
      <c r="K458" s="6" t="n">
        <v>13.29</v>
      </c>
      <c r="L458" s="43" t="n">
        <f aca="false">K458*'Chart of Accounts'!$E$68</f>
        <v>8.9043</v>
      </c>
      <c r="O458" s="42" t="n">
        <f aca="false">I458+J458+L458</f>
        <v>77.1417</v>
      </c>
    </row>
    <row r="459" customFormat="false" ht="15" hidden="false" customHeight="false" outlineLevel="0" collapsed="false">
      <c r="B459" s="7" t="s">
        <v>9092</v>
      </c>
      <c r="C459" s="39" t="n">
        <v>45686</v>
      </c>
      <c r="D459" s="7" t="s">
        <v>224</v>
      </c>
      <c r="E459" s="7" t="s">
        <v>180</v>
      </c>
      <c r="F459" s="6" t="n">
        <v>4.47</v>
      </c>
      <c r="G459" s="6" t="n">
        <v>0</v>
      </c>
      <c r="H459" s="41" t="n">
        <v>14.93</v>
      </c>
      <c r="I459" s="43" t="n">
        <f aca="false">F459*H459</f>
        <v>66.7371</v>
      </c>
      <c r="J459" s="43" t="n">
        <f aca="false">G459*H459*1.5</f>
        <v>0</v>
      </c>
      <c r="K459" s="6" t="n">
        <v>10.1</v>
      </c>
      <c r="L459" s="43" t="n">
        <f aca="false">K459*'Chart of Accounts'!$E$68</f>
        <v>6.767</v>
      </c>
      <c r="O459" s="42" t="n">
        <f aca="false">I459+J459+L459</f>
        <v>73.5041</v>
      </c>
    </row>
    <row r="460" customFormat="false" ht="15" hidden="false" customHeight="false" outlineLevel="0" collapsed="false">
      <c r="B460" s="7" t="s">
        <v>9093</v>
      </c>
      <c r="C460" s="39" t="n">
        <v>45686</v>
      </c>
      <c r="D460" s="7" t="s">
        <v>246</v>
      </c>
      <c r="E460" s="7" t="s">
        <v>180</v>
      </c>
      <c r="F460" s="6" t="n">
        <v>3.94</v>
      </c>
      <c r="G460" s="6" t="n">
        <v>0</v>
      </c>
      <c r="H460" s="41" t="n">
        <v>16.48</v>
      </c>
      <c r="I460" s="43" t="n">
        <f aca="false">F460*H460</f>
        <v>64.9312</v>
      </c>
      <c r="J460" s="43" t="n">
        <f aca="false">G460*H460*1.5</f>
        <v>0</v>
      </c>
      <c r="K460" s="6" t="n">
        <v>12.65</v>
      </c>
      <c r="L460" s="43" t="n">
        <f aca="false">K460*'Chart of Accounts'!$E$68</f>
        <v>8.4755</v>
      </c>
      <c r="O460" s="42" t="n">
        <f aca="false">I460+J460+L460</f>
        <v>73.4067</v>
      </c>
    </row>
    <row r="461" customFormat="false" ht="15" hidden="false" customHeight="false" outlineLevel="0" collapsed="false">
      <c r="B461" s="7" t="s">
        <v>9094</v>
      </c>
      <c r="C461" s="39" t="n">
        <v>45686</v>
      </c>
      <c r="D461" s="7" t="s">
        <v>222</v>
      </c>
      <c r="E461" s="7" t="s">
        <v>180</v>
      </c>
      <c r="F461" s="6" t="n">
        <v>4.33</v>
      </c>
      <c r="G461" s="6" t="n">
        <v>0</v>
      </c>
      <c r="H461" s="41" t="n">
        <v>17.84</v>
      </c>
      <c r="I461" s="43" t="n">
        <f aca="false">F461*H461</f>
        <v>77.2472</v>
      </c>
      <c r="J461" s="43" t="n">
        <f aca="false">G461*H461*1.5</f>
        <v>0</v>
      </c>
      <c r="K461" s="6" t="n">
        <v>15.29</v>
      </c>
      <c r="L461" s="43" t="n">
        <f aca="false">K461*'Chart of Accounts'!$E$68</f>
        <v>10.2443</v>
      </c>
      <c r="O461" s="42" t="n">
        <f aca="false">I461+J461+L461</f>
        <v>87.4915</v>
      </c>
    </row>
    <row r="462" customFormat="false" ht="15" hidden="false" customHeight="false" outlineLevel="0" collapsed="false">
      <c r="B462" s="7" t="s">
        <v>9095</v>
      </c>
      <c r="C462" s="39" t="n">
        <v>45686</v>
      </c>
      <c r="D462" s="7" t="s">
        <v>203</v>
      </c>
      <c r="E462" s="7" t="s">
        <v>158</v>
      </c>
      <c r="H462" s="41" t="n">
        <v>49.43</v>
      </c>
      <c r="M462" s="6" t="n">
        <v>1</v>
      </c>
      <c r="N462" s="43" t="n">
        <f aca="false">M462*H462</f>
        <v>49.43</v>
      </c>
      <c r="O462" s="42" t="n">
        <f aca="false">N462</f>
        <v>49.43</v>
      </c>
    </row>
    <row r="463" customFormat="false" ht="15" hidden="false" customHeight="false" outlineLevel="0" collapsed="false">
      <c r="B463" s="7" t="s">
        <v>9096</v>
      </c>
      <c r="C463" s="39" t="n">
        <v>45686</v>
      </c>
      <c r="D463" s="7" t="s">
        <v>262</v>
      </c>
      <c r="E463" s="7" t="s">
        <v>180</v>
      </c>
      <c r="F463" s="6" t="n">
        <v>3.31</v>
      </c>
      <c r="G463" s="6" t="n">
        <v>0</v>
      </c>
      <c r="H463" s="41" t="n">
        <v>16.02</v>
      </c>
      <c r="I463" s="43" t="n">
        <f aca="false">F463*H463</f>
        <v>53.0262</v>
      </c>
      <c r="J463" s="43" t="n">
        <f aca="false">G463*H463*1.5</f>
        <v>0</v>
      </c>
      <c r="K463" s="6" t="n">
        <v>8.06</v>
      </c>
      <c r="L463" s="43" t="n">
        <f aca="false">K463*'Chart of Accounts'!$E$68</f>
        <v>5.4002</v>
      </c>
      <c r="O463" s="42" t="n">
        <f aca="false">I463+J463+L463</f>
        <v>58.4264</v>
      </c>
    </row>
    <row r="464" customFormat="false" ht="15" hidden="false" customHeight="false" outlineLevel="0" collapsed="false">
      <c r="B464" s="7" t="s">
        <v>9097</v>
      </c>
      <c r="C464" s="39" t="n">
        <v>45686</v>
      </c>
      <c r="D464" s="7" t="s">
        <v>214</v>
      </c>
      <c r="E464" s="7" t="s">
        <v>180</v>
      </c>
      <c r="F464" s="6" t="n">
        <v>3.66</v>
      </c>
      <c r="G464" s="6" t="n">
        <v>0</v>
      </c>
      <c r="H464" s="41" t="n">
        <v>15.67</v>
      </c>
      <c r="I464" s="43" t="n">
        <f aca="false">F464*H464</f>
        <v>57.3522</v>
      </c>
      <c r="J464" s="43" t="n">
        <f aca="false">G464*H464*1.5</f>
        <v>0</v>
      </c>
      <c r="K464" s="6" t="n">
        <v>9.33</v>
      </c>
      <c r="L464" s="43" t="n">
        <f aca="false">K464*'Chart of Accounts'!$E$68</f>
        <v>6.2511</v>
      </c>
      <c r="O464" s="42" t="n">
        <f aca="false">I464+J464+L464</f>
        <v>63.6033</v>
      </c>
    </row>
    <row r="465" customFormat="false" ht="15" hidden="false" customHeight="false" outlineLevel="0" collapsed="false">
      <c r="B465" s="7" t="s">
        <v>9098</v>
      </c>
      <c r="C465" s="39" t="n">
        <v>45687</v>
      </c>
      <c r="D465" s="7" t="s">
        <v>191</v>
      </c>
      <c r="E465" s="7" t="s">
        <v>180</v>
      </c>
      <c r="F465" s="6" t="n">
        <v>4.11</v>
      </c>
      <c r="G465" s="6" t="n">
        <v>0</v>
      </c>
      <c r="H465" s="41" t="n">
        <v>16.05</v>
      </c>
      <c r="I465" s="43" t="n">
        <f aca="false">F465*H465</f>
        <v>65.9655</v>
      </c>
      <c r="J465" s="43" t="n">
        <f aca="false">G465*H465*1.5</f>
        <v>0</v>
      </c>
      <c r="K465" s="6" t="n">
        <v>9.47</v>
      </c>
      <c r="L465" s="43" t="n">
        <f aca="false">K465*'Chart of Accounts'!$E$68</f>
        <v>6.3449</v>
      </c>
      <c r="O465" s="42" t="n">
        <f aca="false">I465+J465+L465</f>
        <v>72.3104</v>
      </c>
    </row>
    <row r="466" customFormat="false" ht="15" hidden="false" customHeight="false" outlineLevel="0" collapsed="false">
      <c r="B466" s="7" t="s">
        <v>9099</v>
      </c>
      <c r="C466" s="39" t="n">
        <v>45687</v>
      </c>
      <c r="D466" s="7" t="s">
        <v>201</v>
      </c>
      <c r="E466" s="7" t="s">
        <v>180</v>
      </c>
      <c r="F466" s="6" t="n">
        <v>3.21</v>
      </c>
      <c r="G466" s="6" t="n">
        <v>0</v>
      </c>
      <c r="H466" s="41" t="n">
        <v>15.19</v>
      </c>
      <c r="I466" s="43" t="n">
        <f aca="false">F466*H466</f>
        <v>48.7599</v>
      </c>
      <c r="J466" s="43" t="n">
        <f aca="false">G466*H466*1.5</f>
        <v>0</v>
      </c>
      <c r="K466" s="6" t="n">
        <v>9.22</v>
      </c>
      <c r="L466" s="43" t="n">
        <f aca="false">K466*'Chart of Accounts'!$E$68</f>
        <v>6.1774</v>
      </c>
      <c r="O466" s="42" t="n">
        <f aca="false">I466+J466+L466</f>
        <v>54.9373</v>
      </c>
    </row>
    <row r="467" customFormat="false" ht="15" hidden="false" customHeight="false" outlineLevel="0" collapsed="false">
      <c r="B467" s="7" t="s">
        <v>9100</v>
      </c>
      <c r="C467" s="39" t="n">
        <v>45687</v>
      </c>
      <c r="D467" s="7" t="s">
        <v>196</v>
      </c>
      <c r="E467" s="7" t="s">
        <v>180</v>
      </c>
      <c r="F467" s="6" t="n">
        <v>6.25</v>
      </c>
      <c r="G467" s="6" t="n">
        <v>0</v>
      </c>
      <c r="H467" s="41" t="n">
        <v>15.05</v>
      </c>
      <c r="I467" s="43" t="n">
        <f aca="false">F467*H467</f>
        <v>94.0625</v>
      </c>
      <c r="J467" s="43" t="n">
        <f aca="false">G467*H467*1.5</f>
        <v>0</v>
      </c>
      <c r="K467" s="6" t="n">
        <v>21.64</v>
      </c>
      <c r="L467" s="43" t="n">
        <f aca="false">K467*'Chart of Accounts'!$E$68</f>
        <v>14.4988</v>
      </c>
      <c r="O467" s="42" t="n">
        <f aca="false">I467+J467+L467</f>
        <v>108.5613</v>
      </c>
    </row>
    <row r="468" customFormat="false" ht="15" hidden="false" customHeight="false" outlineLevel="0" collapsed="false">
      <c r="B468" s="7" t="s">
        <v>9101</v>
      </c>
      <c r="C468" s="39" t="n">
        <v>45687</v>
      </c>
      <c r="D468" s="7" t="s">
        <v>184</v>
      </c>
      <c r="E468" s="7" t="s">
        <v>180</v>
      </c>
      <c r="F468" s="6" t="n">
        <v>4.34</v>
      </c>
      <c r="G468" s="6" t="n">
        <v>0</v>
      </c>
      <c r="H468" s="41" t="n">
        <v>17.34</v>
      </c>
      <c r="I468" s="43" t="n">
        <f aca="false">F468*H468</f>
        <v>75.2556</v>
      </c>
      <c r="J468" s="43" t="n">
        <f aca="false">G468*H468*1.5</f>
        <v>0</v>
      </c>
      <c r="K468" s="6" t="n">
        <v>10.11</v>
      </c>
      <c r="L468" s="43" t="n">
        <f aca="false">K468*'Chart of Accounts'!$E$68</f>
        <v>6.7737</v>
      </c>
      <c r="O468" s="42" t="n">
        <f aca="false">I468+J468+L468</f>
        <v>82.0293</v>
      </c>
    </row>
    <row r="469" customFormat="false" ht="15" hidden="false" customHeight="false" outlineLevel="0" collapsed="false">
      <c r="B469" s="7" t="s">
        <v>9102</v>
      </c>
      <c r="C469" s="39" t="n">
        <v>45687</v>
      </c>
      <c r="D469" s="7" t="s">
        <v>207</v>
      </c>
      <c r="E469" s="7" t="s">
        <v>180</v>
      </c>
      <c r="F469" s="6" t="n">
        <v>3.12</v>
      </c>
      <c r="G469" s="6" t="n">
        <v>0</v>
      </c>
      <c r="H469" s="41" t="n">
        <v>16.65</v>
      </c>
      <c r="I469" s="43" t="n">
        <f aca="false">F469*H469</f>
        <v>51.948</v>
      </c>
      <c r="J469" s="43" t="n">
        <f aca="false">G469*H469*1.5</f>
        <v>0</v>
      </c>
      <c r="K469" s="6" t="n">
        <v>11.1</v>
      </c>
      <c r="L469" s="43" t="n">
        <f aca="false">K469*'Chart of Accounts'!$E$68</f>
        <v>7.437</v>
      </c>
      <c r="O469" s="42" t="n">
        <f aca="false">I469+J469+L469</f>
        <v>59.385</v>
      </c>
    </row>
    <row r="470" customFormat="false" ht="15" hidden="false" customHeight="false" outlineLevel="0" collapsed="false">
      <c r="B470" s="7" t="s">
        <v>9103</v>
      </c>
      <c r="C470" s="39" t="n">
        <v>45687</v>
      </c>
      <c r="D470" s="7" t="s">
        <v>218</v>
      </c>
      <c r="E470" s="7" t="s">
        <v>180</v>
      </c>
      <c r="F470" s="6" t="n">
        <v>4.34</v>
      </c>
      <c r="G470" s="6" t="n">
        <v>0</v>
      </c>
      <c r="H470" s="41" t="n">
        <v>16.19</v>
      </c>
      <c r="I470" s="43" t="n">
        <f aca="false">F470*H470</f>
        <v>70.2646</v>
      </c>
      <c r="J470" s="43" t="n">
        <f aca="false">G470*H470*1.5</f>
        <v>0</v>
      </c>
      <c r="K470" s="6" t="n">
        <v>15.04</v>
      </c>
      <c r="L470" s="43" t="n">
        <f aca="false">K470*'Chart of Accounts'!$E$68</f>
        <v>10.0768</v>
      </c>
      <c r="O470" s="42" t="n">
        <f aca="false">I470+J470+L470</f>
        <v>80.3414</v>
      </c>
    </row>
    <row r="471" customFormat="false" ht="15" hidden="false" customHeight="false" outlineLevel="0" collapsed="false">
      <c r="B471" s="7" t="s">
        <v>9104</v>
      </c>
      <c r="C471" s="39" t="n">
        <v>45687</v>
      </c>
      <c r="D471" s="7" t="s">
        <v>212</v>
      </c>
      <c r="E471" s="7" t="s">
        <v>180</v>
      </c>
      <c r="F471" s="6" t="n">
        <v>6.74</v>
      </c>
      <c r="G471" s="6" t="n">
        <v>0</v>
      </c>
      <c r="H471" s="41" t="n">
        <v>16.71</v>
      </c>
      <c r="I471" s="43" t="n">
        <f aca="false">F471*H471</f>
        <v>112.6254</v>
      </c>
      <c r="J471" s="43" t="n">
        <f aca="false">G471*H471*1.5</f>
        <v>0</v>
      </c>
      <c r="K471" s="6" t="n">
        <v>20.11</v>
      </c>
      <c r="L471" s="43" t="n">
        <f aca="false">K471*'Chart of Accounts'!$E$68</f>
        <v>13.4737</v>
      </c>
      <c r="O471" s="42" t="n">
        <f aca="false">I471+J471+L471</f>
        <v>126.0991</v>
      </c>
    </row>
    <row r="472" customFormat="false" ht="15" hidden="false" customHeight="false" outlineLevel="0" collapsed="false">
      <c r="B472" s="7" t="s">
        <v>9105</v>
      </c>
      <c r="C472" s="39" t="n">
        <v>45687</v>
      </c>
      <c r="D472" s="7" t="s">
        <v>224</v>
      </c>
      <c r="E472" s="7" t="s">
        <v>180</v>
      </c>
      <c r="F472" s="6" t="n">
        <v>4.07</v>
      </c>
      <c r="G472" s="6" t="n">
        <v>0</v>
      </c>
      <c r="H472" s="41" t="n">
        <v>14.93</v>
      </c>
      <c r="I472" s="43" t="n">
        <f aca="false">F472*H472</f>
        <v>60.7651</v>
      </c>
      <c r="J472" s="43" t="n">
        <f aca="false">G472*H472*1.5</f>
        <v>0</v>
      </c>
      <c r="K472" s="6" t="n">
        <v>14.45</v>
      </c>
      <c r="L472" s="43" t="n">
        <f aca="false">K472*'Chart of Accounts'!$E$68</f>
        <v>9.6815</v>
      </c>
      <c r="O472" s="42" t="n">
        <f aca="false">I472+J472+L472</f>
        <v>70.4466</v>
      </c>
    </row>
    <row r="473" customFormat="false" ht="15" hidden="false" customHeight="false" outlineLevel="0" collapsed="false">
      <c r="B473" s="7" t="s">
        <v>9106</v>
      </c>
      <c r="C473" s="39" t="n">
        <v>45687</v>
      </c>
      <c r="D473" s="7" t="s">
        <v>232</v>
      </c>
      <c r="E473" s="7" t="s">
        <v>180</v>
      </c>
      <c r="F473" s="6" t="n">
        <v>2.94</v>
      </c>
      <c r="G473" s="6" t="n">
        <v>0</v>
      </c>
      <c r="H473" s="41" t="n">
        <v>16.17</v>
      </c>
      <c r="I473" s="43" t="n">
        <f aca="false">F473*H473</f>
        <v>47.5398</v>
      </c>
      <c r="J473" s="43" t="n">
        <f aca="false">G473*H473*1.5</f>
        <v>0</v>
      </c>
      <c r="K473" s="6" t="n">
        <v>10.27</v>
      </c>
      <c r="L473" s="43" t="n">
        <f aca="false">K473*'Chart of Accounts'!$E$68</f>
        <v>6.8809</v>
      </c>
      <c r="O473" s="42" t="n">
        <f aca="false">I473+J473+L473</f>
        <v>54.4207</v>
      </c>
    </row>
    <row r="474" customFormat="false" ht="15" hidden="false" customHeight="false" outlineLevel="0" collapsed="false">
      <c r="B474" s="7" t="s">
        <v>9107</v>
      </c>
      <c r="C474" s="39" t="n">
        <v>45687</v>
      </c>
      <c r="D474" s="7" t="s">
        <v>222</v>
      </c>
      <c r="E474" s="7" t="s">
        <v>180</v>
      </c>
      <c r="F474" s="6" t="n">
        <v>7.23</v>
      </c>
      <c r="G474" s="6" t="n">
        <v>0</v>
      </c>
      <c r="H474" s="41" t="n">
        <v>17.84</v>
      </c>
      <c r="I474" s="43" t="n">
        <f aca="false">F474*H474</f>
        <v>128.9832</v>
      </c>
      <c r="J474" s="43" t="n">
        <f aca="false">G474*H474*1.5</f>
        <v>0</v>
      </c>
      <c r="K474" s="6" t="n">
        <v>25.54</v>
      </c>
      <c r="L474" s="43" t="n">
        <f aca="false">K474*'Chart of Accounts'!$E$68</f>
        <v>17.1118</v>
      </c>
      <c r="O474" s="42" t="n">
        <f aca="false">I474+J474+L474</f>
        <v>146.095</v>
      </c>
    </row>
    <row r="475" customFormat="false" ht="15" hidden="false" customHeight="false" outlineLevel="0" collapsed="false">
      <c r="B475" s="7" t="s">
        <v>9108</v>
      </c>
      <c r="C475" s="39" t="n">
        <v>45687</v>
      </c>
      <c r="D475" s="7" t="s">
        <v>262</v>
      </c>
      <c r="E475" s="7" t="s">
        <v>180</v>
      </c>
      <c r="F475" s="6" t="n">
        <v>4.32</v>
      </c>
      <c r="G475" s="6" t="n">
        <v>0</v>
      </c>
      <c r="H475" s="41" t="n">
        <v>16.02</v>
      </c>
      <c r="I475" s="43" t="n">
        <f aca="false">F475*H475</f>
        <v>69.2064</v>
      </c>
      <c r="J475" s="43" t="n">
        <f aca="false">G475*H475*1.5</f>
        <v>0</v>
      </c>
      <c r="K475" s="6" t="n">
        <v>14.2</v>
      </c>
      <c r="L475" s="43" t="n">
        <f aca="false">K475*'Chart of Accounts'!$E$68</f>
        <v>9.514</v>
      </c>
      <c r="O475" s="42" t="n">
        <f aca="false">I475+J475+L475</f>
        <v>78.7204</v>
      </c>
    </row>
    <row r="476" customFormat="false" ht="15" hidden="false" customHeight="false" outlineLevel="0" collapsed="false">
      <c r="B476" s="7" t="s">
        <v>9109</v>
      </c>
      <c r="C476" s="39" t="n">
        <v>45687</v>
      </c>
      <c r="D476" s="7" t="s">
        <v>246</v>
      </c>
      <c r="E476" s="7" t="s">
        <v>180</v>
      </c>
      <c r="F476" s="6" t="n">
        <v>8.22</v>
      </c>
      <c r="G476" s="6" t="n">
        <v>0</v>
      </c>
      <c r="H476" s="41" t="n">
        <v>16.48</v>
      </c>
      <c r="I476" s="43" t="n">
        <f aca="false">F476*H476</f>
        <v>135.4656</v>
      </c>
      <c r="J476" s="43" t="n">
        <f aca="false">G476*H476*1.5</f>
        <v>0</v>
      </c>
      <c r="K476" s="6" t="n">
        <v>25.7</v>
      </c>
      <c r="L476" s="43" t="n">
        <f aca="false">K476*'Chart of Accounts'!$E$68</f>
        <v>17.219</v>
      </c>
      <c r="O476" s="42" t="n">
        <f aca="false">I476+J476+L476</f>
        <v>152.6846</v>
      </c>
    </row>
    <row r="477" customFormat="false" ht="15" hidden="false" customHeight="false" outlineLevel="0" collapsed="false">
      <c r="B477" s="7" t="s">
        <v>9110</v>
      </c>
      <c r="C477" s="39" t="n">
        <v>45687</v>
      </c>
      <c r="D477" s="7" t="s">
        <v>214</v>
      </c>
      <c r="E477" s="7" t="s">
        <v>180</v>
      </c>
      <c r="F477" s="6" t="n">
        <v>4.22</v>
      </c>
      <c r="G477" s="6" t="n">
        <v>0</v>
      </c>
      <c r="H477" s="41" t="n">
        <v>15.67</v>
      </c>
      <c r="I477" s="43" t="n">
        <f aca="false">F477*H477</f>
        <v>66.1274</v>
      </c>
      <c r="J477" s="43" t="n">
        <f aca="false">G477*H477*1.5</f>
        <v>0</v>
      </c>
      <c r="K477" s="6" t="n">
        <v>12.47</v>
      </c>
      <c r="L477" s="43" t="n">
        <f aca="false">K477*'Chart of Accounts'!$E$68</f>
        <v>8.3549</v>
      </c>
      <c r="O477" s="42" t="n">
        <f aca="false">I477+J477+L477</f>
        <v>74.4823</v>
      </c>
    </row>
    <row r="478" customFormat="false" ht="15" hidden="false" customHeight="false" outlineLevel="0" collapsed="false">
      <c r="B478" s="7" t="s">
        <v>9111</v>
      </c>
      <c r="C478" s="39" t="n">
        <v>45687</v>
      </c>
      <c r="D478" s="7" t="s">
        <v>242</v>
      </c>
      <c r="E478" s="7" t="s">
        <v>180</v>
      </c>
      <c r="F478" s="6" t="n">
        <v>4.35</v>
      </c>
      <c r="G478" s="6" t="n">
        <v>0</v>
      </c>
      <c r="H478" s="41" t="n">
        <v>17.99</v>
      </c>
      <c r="I478" s="43" t="n">
        <f aca="false">F478*H478</f>
        <v>78.2565</v>
      </c>
      <c r="J478" s="43" t="n">
        <f aca="false">G478*H478*1.5</f>
        <v>0</v>
      </c>
      <c r="K478" s="6" t="n">
        <v>12.44</v>
      </c>
      <c r="L478" s="43" t="n">
        <f aca="false">K478*'Chart of Accounts'!$E$68</f>
        <v>8.3348</v>
      </c>
      <c r="O478" s="42" t="n">
        <f aca="false">I478+J478+L478</f>
        <v>86.5913</v>
      </c>
    </row>
    <row r="479" customFormat="false" ht="15" hidden="false" customHeight="false" outlineLevel="0" collapsed="false">
      <c r="B479" s="7" t="s">
        <v>9112</v>
      </c>
      <c r="C479" s="39" t="n">
        <v>45687</v>
      </c>
      <c r="D479" s="7" t="s">
        <v>254</v>
      </c>
      <c r="E479" s="7" t="s">
        <v>180</v>
      </c>
      <c r="F479" s="6" t="n">
        <v>4.13</v>
      </c>
      <c r="G479" s="6" t="n">
        <v>0</v>
      </c>
      <c r="H479" s="41" t="n">
        <v>17.1</v>
      </c>
      <c r="I479" s="43" t="n">
        <f aca="false">F479*H479</f>
        <v>70.623</v>
      </c>
      <c r="J479" s="43" t="n">
        <f aca="false">G479*H479*1.5</f>
        <v>0</v>
      </c>
      <c r="K479" s="6" t="n">
        <v>12.12</v>
      </c>
      <c r="L479" s="43" t="n">
        <f aca="false">K479*'Chart of Accounts'!$E$68</f>
        <v>8.1204</v>
      </c>
      <c r="O479" s="42" t="n">
        <f aca="false">I479+J479+L479</f>
        <v>78.7434</v>
      </c>
    </row>
    <row r="480" customFormat="false" ht="15" hidden="false" customHeight="false" outlineLevel="0" collapsed="false">
      <c r="B480" s="7" t="s">
        <v>9113</v>
      </c>
      <c r="C480" s="39" t="n">
        <v>45688</v>
      </c>
      <c r="D480" s="7" t="s">
        <v>187</v>
      </c>
      <c r="E480" s="7" t="s">
        <v>158</v>
      </c>
      <c r="H480" s="41" t="n">
        <v>66.48</v>
      </c>
      <c r="M480" s="6" t="n">
        <v>1</v>
      </c>
      <c r="N480" s="43" t="n">
        <f aca="false">M480*H480</f>
        <v>66.48</v>
      </c>
      <c r="O480" s="42" t="n">
        <f aca="false">N480</f>
        <v>66.48</v>
      </c>
    </row>
    <row r="481" customFormat="false" ht="15" hidden="false" customHeight="false" outlineLevel="0" collapsed="false">
      <c r="B481" s="7" t="s">
        <v>9114</v>
      </c>
      <c r="C481" s="39" t="n">
        <v>45688</v>
      </c>
      <c r="D481" s="7" t="s">
        <v>191</v>
      </c>
      <c r="E481" s="7" t="s">
        <v>180</v>
      </c>
      <c r="F481" s="6" t="n">
        <v>3.72</v>
      </c>
      <c r="G481" s="6" t="n">
        <v>0</v>
      </c>
      <c r="H481" s="41" t="n">
        <v>16.05</v>
      </c>
      <c r="I481" s="43" t="n">
        <f aca="false">F481*H481</f>
        <v>59.706</v>
      </c>
      <c r="J481" s="43" t="n">
        <f aca="false">G481*H481*1.5</f>
        <v>0</v>
      </c>
      <c r="K481" s="6" t="n">
        <v>10.7</v>
      </c>
      <c r="L481" s="43" t="n">
        <f aca="false">K481*'Chart of Accounts'!$E$68</f>
        <v>7.169</v>
      </c>
      <c r="O481" s="42" t="n">
        <f aca="false">I481+J481+L481</f>
        <v>66.875</v>
      </c>
    </row>
    <row r="482" customFormat="false" ht="15" hidden="false" customHeight="false" outlineLevel="0" collapsed="false">
      <c r="B482" s="7" t="s">
        <v>9115</v>
      </c>
      <c r="C482" s="39" t="n">
        <v>45688</v>
      </c>
      <c r="D482" s="7" t="s">
        <v>194</v>
      </c>
      <c r="E482" s="7" t="s">
        <v>180</v>
      </c>
      <c r="F482" s="6" t="n">
        <v>4.89</v>
      </c>
      <c r="G482" s="6" t="n">
        <v>0</v>
      </c>
      <c r="H482" s="41" t="n">
        <v>16</v>
      </c>
      <c r="I482" s="43" t="n">
        <f aca="false">F482*H482</f>
        <v>78.24</v>
      </c>
      <c r="J482" s="43" t="n">
        <f aca="false">G482*H482*1.5</f>
        <v>0</v>
      </c>
      <c r="K482" s="6" t="n">
        <v>17.05</v>
      </c>
      <c r="L482" s="43" t="n">
        <f aca="false">K482*'Chart of Accounts'!$E$68</f>
        <v>11.4235</v>
      </c>
      <c r="O482" s="42" t="n">
        <f aca="false">I482+J482+L482</f>
        <v>89.6635</v>
      </c>
    </row>
    <row r="483" customFormat="false" ht="15" hidden="false" customHeight="false" outlineLevel="0" collapsed="false">
      <c r="B483" s="7" t="s">
        <v>9116</v>
      </c>
      <c r="C483" s="39" t="n">
        <v>45688</v>
      </c>
      <c r="D483" s="7" t="s">
        <v>209</v>
      </c>
      <c r="E483" s="7" t="s">
        <v>158</v>
      </c>
      <c r="H483" s="41" t="n">
        <v>73.58</v>
      </c>
      <c r="M483" s="6" t="n">
        <v>2</v>
      </c>
      <c r="N483" s="43" t="n">
        <f aca="false">M483*H483</f>
        <v>147.16</v>
      </c>
      <c r="O483" s="42" t="n">
        <f aca="false">N483</f>
        <v>147.16</v>
      </c>
    </row>
    <row r="484" customFormat="false" ht="15" hidden="false" customHeight="false" outlineLevel="0" collapsed="false">
      <c r="B484" s="7" t="s">
        <v>9117</v>
      </c>
      <c r="C484" s="39" t="n">
        <v>45688</v>
      </c>
      <c r="D484" s="7" t="s">
        <v>205</v>
      </c>
      <c r="E484" s="7" t="s">
        <v>180</v>
      </c>
      <c r="F484" s="6" t="n">
        <v>3.82</v>
      </c>
      <c r="G484" s="6" t="n">
        <v>0</v>
      </c>
      <c r="H484" s="41" t="n">
        <v>16.36</v>
      </c>
      <c r="I484" s="43" t="n">
        <f aca="false">F484*H484</f>
        <v>62.4952</v>
      </c>
      <c r="J484" s="43" t="n">
        <f aca="false">G484*H484*1.5</f>
        <v>0</v>
      </c>
      <c r="K484" s="6" t="n">
        <v>11.18</v>
      </c>
      <c r="L484" s="43" t="n">
        <f aca="false">K484*'Chart of Accounts'!$E$68</f>
        <v>7.4906</v>
      </c>
      <c r="O484" s="42" t="n">
        <f aca="false">I484+J484+L484</f>
        <v>69.9858</v>
      </c>
    </row>
    <row r="485" customFormat="false" ht="15" hidden="false" customHeight="false" outlineLevel="0" collapsed="false">
      <c r="B485" s="7" t="s">
        <v>9118</v>
      </c>
      <c r="C485" s="39" t="n">
        <v>45688</v>
      </c>
      <c r="D485" s="7" t="s">
        <v>252</v>
      </c>
      <c r="E485" s="7" t="s">
        <v>158</v>
      </c>
      <c r="H485" s="41" t="n">
        <v>57.54</v>
      </c>
      <c r="M485" s="6" t="n">
        <v>1</v>
      </c>
      <c r="N485" s="43" t="n">
        <f aca="false">M485*H485</f>
        <v>57.54</v>
      </c>
      <c r="O485" s="42" t="n">
        <f aca="false">N485</f>
        <v>57.54</v>
      </c>
    </row>
    <row r="486" customFormat="false" ht="15" hidden="false" customHeight="false" outlineLevel="0" collapsed="false">
      <c r="B486" s="7" t="s">
        <v>9119</v>
      </c>
      <c r="C486" s="39" t="n">
        <v>45688</v>
      </c>
      <c r="D486" s="7" t="s">
        <v>184</v>
      </c>
      <c r="E486" s="7" t="s">
        <v>180</v>
      </c>
      <c r="F486" s="6" t="n">
        <v>3.62</v>
      </c>
      <c r="G486" s="6" t="n">
        <v>0</v>
      </c>
      <c r="H486" s="41" t="n">
        <v>17.34</v>
      </c>
      <c r="I486" s="43" t="n">
        <f aca="false">F486*H486</f>
        <v>62.7708</v>
      </c>
      <c r="J486" s="43" t="n">
        <f aca="false">G486*H486*1.5</f>
        <v>0</v>
      </c>
      <c r="K486" s="6" t="n">
        <v>8.99</v>
      </c>
      <c r="L486" s="43" t="n">
        <f aca="false">K486*'Chart of Accounts'!$E$68</f>
        <v>6.0233</v>
      </c>
      <c r="O486" s="42" t="n">
        <f aca="false">I486+J486+L486</f>
        <v>68.7941</v>
      </c>
    </row>
    <row r="487" customFormat="false" ht="15" hidden="false" customHeight="false" outlineLevel="0" collapsed="false">
      <c r="B487" s="7" t="s">
        <v>9120</v>
      </c>
      <c r="C487" s="39" t="n">
        <v>45688</v>
      </c>
      <c r="D487" s="7" t="s">
        <v>234</v>
      </c>
      <c r="E487" s="7" t="s">
        <v>158</v>
      </c>
      <c r="H487" s="41" t="n">
        <v>89.53</v>
      </c>
      <c r="M487" s="6" t="n">
        <v>2</v>
      </c>
      <c r="N487" s="43" t="n">
        <f aca="false">M487*H487</f>
        <v>179.06</v>
      </c>
      <c r="O487" s="42" t="n">
        <f aca="false">N487</f>
        <v>179.06</v>
      </c>
    </row>
    <row r="488" customFormat="false" ht="15" hidden="false" customHeight="false" outlineLevel="0" collapsed="false">
      <c r="B488" s="7" t="s">
        <v>9121</v>
      </c>
      <c r="C488" s="39" t="n">
        <v>45688</v>
      </c>
      <c r="D488" s="7" t="s">
        <v>218</v>
      </c>
      <c r="E488" s="7" t="s">
        <v>180</v>
      </c>
      <c r="F488" s="6" t="n">
        <v>3.83</v>
      </c>
      <c r="G488" s="6" t="n">
        <v>0</v>
      </c>
      <c r="H488" s="41" t="n">
        <v>16.19</v>
      </c>
      <c r="I488" s="43" t="n">
        <f aca="false">F488*H488</f>
        <v>62.0077</v>
      </c>
      <c r="J488" s="43" t="n">
        <f aca="false">G488*H488*1.5</f>
        <v>0</v>
      </c>
      <c r="K488" s="6" t="n">
        <v>12.7</v>
      </c>
      <c r="L488" s="43" t="n">
        <f aca="false">K488*'Chart of Accounts'!$E$68</f>
        <v>8.509</v>
      </c>
      <c r="O488" s="42" t="n">
        <f aca="false">I488+J488+L488</f>
        <v>70.5167</v>
      </c>
    </row>
    <row r="489" customFormat="false" ht="15" hidden="false" customHeight="false" outlineLevel="0" collapsed="false">
      <c r="B489" s="7" t="s">
        <v>9122</v>
      </c>
      <c r="C489" s="39" t="n">
        <v>45688</v>
      </c>
      <c r="D489" s="7" t="s">
        <v>266</v>
      </c>
      <c r="E489" s="7" t="s">
        <v>158</v>
      </c>
      <c r="H489" s="41" t="n">
        <v>75.18</v>
      </c>
      <c r="M489" s="6" t="n">
        <v>1</v>
      </c>
      <c r="N489" s="43" t="n">
        <f aca="false">M489*H489</f>
        <v>75.18</v>
      </c>
      <c r="O489" s="42" t="n">
        <f aca="false">N489</f>
        <v>75.18</v>
      </c>
    </row>
    <row r="490" customFormat="false" ht="15" hidden="false" customHeight="false" outlineLevel="0" collapsed="false">
      <c r="B490" s="7" t="s">
        <v>9123</v>
      </c>
      <c r="C490" s="39" t="n">
        <v>45688</v>
      </c>
      <c r="D490" s="7" t="s">
        <v>228</v>
      </c>
      <c r="E490" s="7" t="s">
        <v>158</v>
      </c>
      <c r="H490" s="41" t="n">
        <v>51.07</v>
      </c>
      <c r="M490" s="6" t="n">
        <v>1</v>
      </c>
      <c r="N490" s="43" t="n">
        <f aca="false">M490*H490</f>
        <v>51.07</v>
      </c>
      <c r="O490" s="42" t="n">
        <f aca="false">N490</f>
        <v>51.07</v>
      </c>
    </row>
    <row r="491" customFormat="false" ht="15" hidden="false" customHeight="false" outlineLevel="0" collapsed="false">
      <c r="B491" s="7" t="s">
        <v>9124</v>
      </c>
      <c r="C491" s="39" t="n">
        <v>45688</v>
      </c>
      <c r="D491" s="7" t="s">
        <v>220</v>
      </c>
      <c r="E491" s="7" t="s">
        <v>180</v>
      </c>
      <c r="F491" s="6" t="n">
        <v>3.71</v>
      </c>
      <c r="G491" s="6" t="n">
        <v>0</v>
      </c>
      <c r="H491" s="41" t="n">
        <v>16.43</v>
      </c>
      <c r="I491" s="43" t="n">
        <f aca="false">F491*H491</f>
        <v>60.9553</v>
      </c>
      <c r="J491" s="43" t="n">
        <f aca="false">G491*H491*1.5</f>
        <v>0</v>
      </c>
      <c r="K491" s="6" t="n">
        <v>8.56</v>
      </c>
      <c r="L491" s="43" t="n">
        <f aca="false">K491*'Chart of Accounts'!$E$68</f>
        <v>5.7352</v>
      </c>
      <c r="O491" s="42" t="n">
        <f aca="false">I491+J491+L491</f>
        <v>66.6905</v>
      </c>
    </row>
    <row r="492" customFormat="false" ht="15" hidden="false" customHeight="false" outlineLevel="0" collapsed="false">
      <c r="B492" s="7" t="s">
        <v>9125</v>
      </c>
      <c r="C492" s="39" t="n">
        <v>45688</v>
      </c>
      <c r="D492" s="7" t="s">
        <v>177</v>
      </c>
      <c r="E492" s="7" t="s">
        <v>180</v>
      </c>
      <c r="F492" s="6" t="n">
        <v>8.32</v>
      </c>
      <c r="G492" s="6" t="n">
        <v>0</v>
      </c>
      <c r="H492" s="41" t="n">
        <v>14.56</v>
      </c>
      <c r="I492" s="43" t="n">
        <f aca="false">F492*H492</f>
        <v>121.1392</v>
      </c>
      <c r="J492" s="43" t="n">
        <f aca="false">G492*H492*1.5</f>
        <v>0</v>
      </c>
      <c r="K492" s="6" t="n">
        <v>27.64</v>
      </c>
      <c r="L492" s="43" t="n">
        <f aca="false">K492*'Chart of Accounts'!$E$68</f>
        <v>18.5188</v>
      </c>
      <c r="O492" s="42" t="n">
        <f aca="false">I492+J492+L492</f>
        <v>139.658</v>
      </c>
    </row>
    <row r="493" customFormat="false" ht="15" hidden="false" customHeight="false" outlineLevel="0" collapsed="false">
      <c r="B493" s="7" t="s">
        <v>9126</v>
      </c>
      <c r="C493" s="39" t="n">
        <v>45688</v>
      </c>
      <c r="D493" s="7" t="s">
        <v>242</v>
      </c>
      <c r="E493" s="7" t="s">
        <v>180</v>
      </c>
      <c r="F493" s="6" t="n">
        <v>7.01</v>
      </c>
      <c r="G493" s="6" t="n">
        <v>0</v>
      </c>
      <c r="H493" s="41" t="n">
        <v>17.99</v>
      </c>
      <c r="I493" s="43" t="n">
        <f aca="false">F493*H493</f>
        <v>126.1099</v>
      </c>
      <c r="J493" s="43" t="n">
        <f aca="false">G493*H493*1.5</f>
        <v>0</v>
      </c>
      <c r="K493" s="6" t="n">
        <v>23.33</v>
      </c>
      <c r="L493" s="43" t="n">
        <f aca="false">K493*'Chart of Accounts'!$E$68</f>
        <v>15.6311</v>
      </c>
      <c r="O493" s="42" t="n">
        <f aca="false">I493+J493+L493</f>
        <v>141.741</v>
      </c>
    </row>
    <row r="494" customFormat="false" ht="15" hidden="false" customHeight="false" outlineLevel="0" collapsed="false">
      <c r="B494" s="7" t="s">
        <v>9127</v>
      </c>
      <c r="C494" s="39" t="n">
        <v>45688</v>
      </c>
      <c r="D494" s="7" t="s">
        <v>254</v>
      </c>
      <c r="E494" s="7" t="s">
        <v>180</v>
      </c>
      <c r="F494" s="6" t="n">
        <v>7.52</v>
      </c>
      <c r="G494" s="6" t="n">
        <v>0</v>
      </c>
      <c r="H494" s="41" t="n">
        <v>17.1</v>
      </c>
      <c r="I494" s="43" t="n">
        <f aca="false">F494*H494</f>
        <v>128.592</v>
      </c>
      <c r="J494" s="43" t="n">
        <f aca="false">G494*H494*1.5</f>
        <v>0</v>
      </c>
      <c r="K494" s="6" t="n">
        <v>22.52</v>
      </c>
      <c r="L494" s="43" t="n">
        <f aca="false">K494*'Chart of Accounts'!$E$68</f>
        <v>15.0884</v>
      </c>
      <c r="O494" s="42" t="n">
        <f aca="false">I494+J494+L494</f>
        <v>143.6804</v>
      </c>
    </row>
    <row r="495" customFormat="false" ht="15" hidden="false" customHeight="false" outlineLevel="0" collapsed="false">
      <c r="B495" s="7" t="s">
        <v>9128</v>
      </c>
      <c r="C495" s="39" t="n">
        <v>45688</v>
      </c>
      <c r="D495" s="7" t="s">
        <v>201</v>
      </c>
      <c r="E495" s="7" t="s">
        <v>180</v>
      </c>
      <c r="F495" s="6" t="n">
        <v>3.13</v>
      </c>
      <c r="G495" s="6" t="n">
        <v>0</v>
      </c>
      <c r="H495" s="41" t="n">
        <v>15.19</v>
      </c>
      <c r="I495" s="43" t="n">
        <f aca="false">F495*H495</f>
        <v>47.5447</v>
      </c>
      <c r="J495" s="43" t="n">
        <f aca="false">G495*H495*1.5</f>
        <v>0</v>
      </c>
      <c r="K495" s="6" t="n">
        <v>10.38</v>
      </c>
      <c r="L495" s="43" t="n">
        <f aca="false">K495*'Chart of Accounts'!$E$68</f>
        <v>6.9546</v>
      </c>
      <c r="O495" s="42" t="n">
        <f aca="false">I495+J495+L495</f>
        <v>54.4993</v>
      </c>
    </row>
    <row r="496" customFormat="false" ht="15" hidden="false" customHeight="false" outlineLevel="0" collapsed="false">
      <c r="B496" s="7" t="s">
        <v>9129</v>
      </c>
      <c r="C496" s="39" t="n">
        <v>45688</v>
      </c>
      <c r="D496" s="7" t="s">
        <v>207</v>
      </c>
      <c r="E496" s="7" t="s">
        <v>180</v>
      </c>
      <c r="F496" s="6" t="n">
        <v>3.63</v>
      </c>
      <c r="G496" s="6" t="n">
        <v>0</v>
      </c>
      <c r="H496" s="41" t="n">
        <v>16.65</v>
      </c>
      <c r="I496" s="43" t="n">
        <f aca="false">F496*H496</f>
        <v>60.4395</v>
      </c>
      <c r="J496" s="43" t="n">
        <f aca="false">G496*H496*1.5</f>
        <v>0</v>
      </c>
      <c r="K496" s="6" t="n">
        <v>8.87</v>
      </c>
      <c r="L496" s="43" t="n">
        <f aca="false">K496*'Chart of Accounts'!$E$68</f>
        <v>5.9429</v>
      </c>
      <c r="O496" s="42" t="n">
        <f aca="false">I496+J496+L496</f>
        <v>66.3824</v>
      </c>
    </row>
    <row r="497" customFormat="false" ht="15" hidden="false" customHeight="false" outlineLevel="0" collapsed="false">
      <c r="B497" s="7" t="s">
        <v>9130</v>
      </c>
      <c r="C497" s="39" t="n">
        <v>45688</v>
      </c>
      <c r="D497" s="7" t="s">
        <v>212</v>
      </c>
      <c r="E497" s="7" t="s">
        <v>180</v>
      </c>
      <c r="F497" s="6" t="n">
        <v>4.24</v>
      </c>
      <c r="G497" s="6" t="n">
        <v>0</v>
      </c>
      <c r="H497" s="41" t="n">
        <v>16.71</v>
      </c>
      <c r="I497" s="43" t="n">
        <f aca="false">F497*H497</f>
        <v>70.8504</v>
      </c>
      <c r="J497" s="43" t="n">
        <f aca="false">G497*H497*1.5</f>
        <v>0</v>
      </c>
      <c r="K497" s="6" t="n">
        <v>14.18</v>
      </c>
      <c r="L497" s="43" t="n">
        <f aca="false">K497*'Chart of Accounts'!$E$68</f>
        <v>9.5006</v>
      </c>
      <c r="O497" s="42" t="n">
        <f aca="false">I497+J497+L497</f>
        <v>80.351</v>
      </c>
    </row>
    <row r="498" customFormat="false" ht="15" hidden="false" customHeight="false" outlineLevel="0" collapsed="false">
      <c r="B498" s="7" t="s">
        <v>9131</v>
      </c>
      <c r="C498" s="39" t="n">
        <v>45688</v>
      </c>
      <c r="D498" s="7" t="s">
        <v>232</v>
      </c>
      <c r="E498" s="7" t="s">
        <v>180</v>
      </c>
      <c r="F498" s="6" t="n">
        <v>4.33</v>
      </c>
      <c r="G498" s="6" t="n">
        <v>0</v>
      </c>
      <c r="H498" s="41" t="n">
        <v>16.17</v>
      </c>
      <c r="I498" s="43" t="n">
        <f aca="false">F498*H498</f>
        <v>70.0161</v>
      </c>
      <c r="J498" s="43" t="n">
        <f aca="false">G498*H498*1.5</f>
        <v>0</v>
      </c>
      <c r="K498" s="6" t="n">
        <v>12.4</v>
      </c>
      <c r="L498" s="43" t="n">
        <f aca="false">K498*'Chart of Accounts'!$E$68</f>
        <v>8.308</v>
      </c>
      <c r="O498" s="42" t="n">
        <f aca="false">I498+J498+L498</f>
        <v>78.3241</v>
      </c>
    </row>
    <row r="499" customFormat="false" ht="15" hidden="false" customHeight="false" outlineLevel="0" collapsed="false">
      <c r="B499" s="7" t="s">
        <v>9132</v>
      </c>
      <c r="C499" s="39" t="n">
        <v>45688</v>
      </c>
      <c r="D499" s="7" t="s">
        <v>224</v>
      </c>
      <c r="E499" s="7" t="s">
        <v>180</v>
      </c>
      <c r="F499" s="6" t="n">
        <v>4.39</v>
      </c>
      <c r="G499" s="6" t="n">
        <v>0</v>
      </c>
      <c r="H499" s="41" t="n">
        <v>14.93</v>
      </c>
      <c r="I499" s="43" t="n">
        <f aca="false">F499*H499</f>
        <v>65.5427</v>
      </c>
      <c r="J499" s="43" t="n">
        <f aca="false">G499*H499*1.5</f>
        <v>0</v>
      </c>
      <c r="K499" s="6" t="n">
        <v>13.75</v>
      </c>
      <c r="L499" s="43" t="n">
        <f aca="false">K499*'Chart of Accounts'!$E$68</f>
        <v>9.2125</v>
      </c>
      <c r="O499" s="42" t="n">
        <f aca="false">I499+J499+L499</f>
        <v>74.7552</v>
      </c>
    </row>
    <row r="500" customFormat="false" ht="15" hidden="false" customHeight="false" outlineLevel="0" collapsed="false">
      <c r="B500" s="7" t="s">
        <v>9133</v>
      </c>
      <c r="C500" s="39" t="n">
        <v>45688</v>
      </c>
      <c r="D500" s="7" t="s">
        <v>246</v>
      </c>
      <c r="E500" s="7" t="s">
        <v>180</v>
      </c>
      <c r="F500" s="6" t="n">
        <v>3.99</v>
      </c>
      <c r="G500" s="6" t="n">
        <v>0</v>
      </c>
      <c r="H500" s="41" t="n">
        <v>16.48</v>
      </c>
      <c r="I500" s="43" t="n">
        <f aca="false">F500*H500</f>
        <v>65.7552</v>
      </c>
      <c r="J500" s="43" t="n">
        <f aca="false">G500*H500*1.5</f>
        <v>0</v>
      </c>
      <c r="K500" s="6" t="n">
        <v>10.97</v>
      </c>
      <c r="L500" s="43" t="n">
        <f aca="false">K500*'Chart of Accounts'!$E$68</f>
        <v>7.3499</v>
      </c>
      <c r="O500" s="42" t="n">
        <f aca="false">I500+J500+L500</f>
        <v>73.1051</v>
      </c>
    </row>
    <row r="501" customFormat="false" ht="15" hidden="false" customHeight="false" outlineLevel="0" collapsed="false">
      <c r="B501" s="7" t="s">
        <v>9134</v>
      </c>
      <c r="C501" s="39" t="n">
        <v>45688</v>
      </c>
      <c r="D501" s="7" t="s">
        <v>222</v>
      </c>
      <c r="E501" s="7" t="s">
        <v>180</v>
      </c>
      <c r="F501" s="6" t="n">
        <v>3.9</v>
      </c>
      <c r="G501" s="6" t="n">
        <v>0</v>
      </c>
      <c r="H501" s="41" t="n">
        <v>17.84</v>
      </c>
      <c r="I501" s="43" t="n">
        <f aca="false">F501*H501</f>
        <v>69.576</v>
      </c>
      <c r="J501" s="43" t="n">
        <f aca="false">G501*H501*1.5</f>
        <v>0</v>
      </c>
      <c r="K501" s="6" t="n">
        <v>10.22</v>
      </c>
      <c r="L501" s="43" t="n">
        <f aca="false">K501*'Chart of Accounts'!$E$68</f>
        <v>6.8474</v>
      </c>
      <c r="O501" s="42" t="n">
        <f aca="false">I501+J501+L501</f>
        <v>76.4234</v>
      </c>
    </row>
    <row r="502" customFormat="false" ht="15" hidden="false" customHeight="false" outlineLevel="0" collapsed="false">
      <c r="B502" s="7" t="s">
        <v>9135</v>
      </c>
      <c r="C502" s="39" t="n">
        <v>45688</v>
      </c>
      <c r="D502" s="7" t="s">
        <v>262</v>
      </c>
      <c r="E502" s="7" t="s">
        <v>180</v>
      </c>
      <c r="F502" s="6" t="n">
        <v>3.36</v>
      </c>
      <c r="G502" s="6" t="n">
        <v>0</v>
      </c>
      <c r="H502" s="41" t="n">
        <v>16.02</v>
      </c>
      <c r="I502" s="43" t="n">
        <f aca="false">F502*H502</f>
        <v>53.8272</v>
      </c>
      <c r="J502" s="43" t="n">
        <f aca="false">G502*H502*1.5</f>
        <v>0</v>
      </c>
      <c r="K502" s="6" t="n">
        <v>9.4</v>
      </c>
      <c r="L502" s="43" t="n">
        <f aca="false">K502*'Chart of Accounts'!$E$68</f>
        <v>6.298</v>
      </c>
      <c r="O502" s="42" t="n">
        <f aca="false">I502+J502+L502</f>
        <v>60.1252</v>
      </c>
    </row>
    <row r="503" customFormat="false" ht="15" hidden="false" customHeight="false" outlineLevel="0" collapsed="false">
      <c r="B503" s="7" t="s">
        <v>9136</v>
      </c>
      <c r="C503" s="39" t="n">
        <v>45688</v>
      </c>
      <c r="D503" s="7" t="s">
        <v>260</v>
      </c>
      <c r="E503" s="7" t="s">
        <v>158</v>
      </c>
      <c r="H503" s="41" t="n">
        <v>79.8</v>
      </c>
      <c r="M503" s="6" t="n">
        <v>1</v>
      </c>
      <c r="N503" s="43" t="n">
        <f aca="false">M503*H503</f>
        <v>79.8</v>
      </c>
      <c r="O503" s="42" t="n">
        <f aca="false">N503</f>
        <v>79.8</v>
      </c>
    </row>
    <row r="504" customFormat="false" ht="15" hidden="false" customHeight="false" outlineLevel="0" collapsed="false">
      <c r="B504" s="7" t="s">
        <v>9137</v>
      </c>
      <c r="C504" s="39" t="n">
        <v>45688</v>
      </c>
      <c r="D504" s="7" t="s">
        <v>214</v>
      </c>
      <c r="E504" s="7" t="s">
        <v>180</v>
      </c>
      <c r="F504" s="6" t="n">
        <v>3.55</v>
      </c>
      <c r="G504" s="6" t="n">
        <v>0</v>
      </c>
      <c r="H504" s="41" t="n">
        <v>15.67</v>
      </c>
      <c r="I504" s="43" t="n">
        <f aca="false">F504*H504</f>
        <v>55.6285</v>
      </c>
      <c r="J504" s="43" t="n">
        <f aca="false">G504*H504*1.5</f>
        <v>0</v>
      </c>
      <c r="K504" s="6" t="n">
        <v>8.98</v>
      </c>
      <c r="L504" s="43" t="n">
        <f aca="false">K504*'Chart of Accounts'!$E$68</f>
        <v>6.0166</v>
      </c>
      <c r="O504" s="42" t="n">
        <f aca="false">I504+J504+L504</f>
        <v>61.6451</v>
      </c>
    </row>
    <row r="505" customFormat="false" ht="15" hidden="false" customHeight="false" outlineLevel="0" collapsed="false">
      <c r="B505" s="7" t="s">
        <v>9138</v>
      </c>
      <c r="C505" s="39" t="n">
        <v>45689</v>
      </c>
      <c r="D505" s="7" t="s">
        <v>191</v>
      </c>
      <c r="E505" s="7" t="s">
        <v>180</v>
      </c>
      <c r="F505" s="6" t="n">
        <v>4.13</v>
      </c>
      <c r="G505" s="6" t="n">
        <v>0</v>
      </c>
      <c r="H505" s="41" t="n">
        <v>16.05</v>
      </c>
      <c r="I505" s="43" t="n">
        <f aca="false">F505*H505</f>
        <v>66.2865</v>
      </c>
      <c r="J505" s="43" t="n">
        <f aca="false">G505*H505*1.5</f>
        <v>0</v>
      </c>
      <c r="K505" s="6" t="n">
        <v>13.48</v>
      </c>
      <c r="L505" s="43" t="n">
        <f aca="false">K505*'Chart of Accounts'!$E$68</f>
        <v>9.0316</v>
      </c>
      <c r="O505" s="42" t="n">
        <f aca="false">I505+J505+L505</f>
        <v>75.3181</v>
      </c>
    </row>
    <row r="506" customFormat="false" ht="15" hidden="false" customHeight="false" outlineLevel="0" collapsed="false">
      <c r="B506" s="7" t="s">
        <v>9139</v>
      </c>
      <c r="C506" s="39" t="n">
        <v>45689</v>
      </c>
      <c r="D506" s="7" t="s">
        <v>218</v>
      </c>
      <c r="E506" s="7" t="s">
        <v>180</v>
      </c>
      <c r="F506" s="6" t="n">
        <v>3.66</v>
      </c>
      <c r="G506" s="6" t="n">
        <v>0</v>
      </c>
      <c r="H506" s="41" t="n">
        <v>16.19</v>
      </c>
      <c r="I506" s="43" t="n">
        <f aca="false">F506*H506</f>
        <v>59.2554</v>
      </c>
      <c r="J506" s="43" t="n">
        <f aca="false">G506*H506*1.5</f>
        <v>0</v>
      </c>
      <c r="K506" s="6" t="n">
        <v>10.83</v>
      </c>
      <c r="L506" s="43" t="n">
        <f aca="false">K506*'Chart of Accounts'!$E$68</f>
        <v>7.2561</v>
      </c>
      <c r="O506" s="42" t="n">
        <f aca="false">I506+J506+L506</f>
        <v>66.5115</v>
      </c>
    </row>
    <row r="507" customFormat="false" ht="15" hidden="false" customHeight="false" outlineLevel="0" collapsed="false">
      <c r="B507" s="7" t="s">
        <v>9140</v>
      </c>
      <c r="C507" s="39" t="n">
        <v>45689</v>
      </c>
      <c r="D507" s="7" t="s">
        <v>212</v>
      </c>
      <c r="E507" s="7" t="s">
        <v>180</v>
      </c>
      <c r="F507" s="6" t="n">
        <v>3.92</v>
      </c>
      <c r="G507" s="6" t="n">
        <v>0</v>
      </c>
      <c r="H507" s="41" t="n">
        <v>16.71</v>
      </c>
      <c r="I507" s="43" t="n">
        <f aca="false">F507*H507</f>
        <v>65.5032</v>
      </c>
      <c r="J507" s="43" t="n">
        <f aca="false">G507*H507*1.5</f>
        <v>0</v>
      </c>
      <c r="K507" s="6" t="n">
        <v>11.4</v>
      </c>
      <c r="L507" s="43" t="n">
        <f aca="false">K507*'Chart of Accounts'!$E$68</f>
        <v>7.638</v>
      </c>
      <c r="O507" s="42" t="n">
        <f aca="false">I507+J507+L507</f>
        <v>73.1412</v>
      </c>
    </row>
    <row r="508" customFormat="false" ht="15" hidden="false" customHeight="false" outlineLevel="0" collapsed="false">
      <c r="B508" s="7" t="s">
        <v>9141</v>
      </c>
      <c r="C508" s="39" t="n">
        <v>45689</v>
      </c>
      <c r="D508" s="7" t="s">
        <v>222</v>
      </c>
      <c r="E508" s="7" t="s">
        <v>180</v>
      </c>
      <c r="F508" s="6" t="n">
        <v>4.15</v>
      </c>
      <c r="G508" s="6" t="n">
        <v>0</v>
      </c>
      <c r="H508" s="41" t="n">
        <v>17.84</v>
      </c>
      <c r="I508" s="43" t="n">
        <f aca="false">F508*H508</f>
        <v>74.036</v>
      </c>
      <c r="J508" s="43" t="n">
        <f aca="false">G508*H508*1.5</f>
        <v>0</v>
      </c>
      <c r="K508" s="6" t="n">
        <v>11.87</v>
      </c>
      <c r="L508" s="43" t="n">
        <f aca="false">K508*'Chart of Accounts'!$E$68</f>
        <v>7.9529</v>
      </c>
      <c r="O508" s="42" t="n">
        <f aca="false">I508+J508+L508</f>
        <v>81.9889</v>
      </c>
    </row>
    <row r="509" customFormat="false" ht="15" hidden="false" customHeight="false" outlineLevel="0" collapsed="false">
      <c r="B509" s="7" t="s">
        <v>9142</v>
      </c>
      <c r="C509" s="39" t="n">
        <v>45689</v>
      </c>
      <c r="D509" s="7" t="s">
        <v>242</v>
      </c>
      <c r="E509" s="7" t="s">
        <v>180</v>
      </c>
      <c r="F509" s="6" t="n">
        <v>3.89</v>
      </c>
      <c r="G509" s="6" t="n">
        <v>0</v>
      </c>
      <c r="H509" s="41" t="n">
        <v>17.99</v>
      </c>
      <c r="I509" s="43" t="n">
        <f aca="false">F509*H509</f>
        <v>69.9811</v>
      </c>
      <c r="J509" s="43" t="n">
        <f aca="false">G509*H509*1.5</f>
        <v>0</v>
      </c>
      <c r="K509" s="6" t="n">
        <v>8.66</v>
      </c>
      <c r="L509" s="43" t="n">
        <f aca="false">K509*'Chart of Accounts'!$E$68</f>
        <v>5.8022</v>
      </c>
      <c r="O509" s="42" t="n">
        <f aca="false">I509+J509+L509</f>
        <v>75.7833</v>
      </c>
    </row>
    <row r="510" customFormat="false" ht="15" hidden="false" customHeight="false" outlineLevel="0" collapsed="false">
      <c r="B510" s="7" t="s">
        <v>9143</v>
      </c>
      <c r="C510" s="39" t="n">
        <v>45689</v>
      </c>
      <c r="D510" s="7" t="s">
        <v>254</v>
      </c>
      <c r="E510" s="7" t="s">
        <v>180</v>
      </c>
      <c r="F510" s="6" t="n">
        <v>4.11</v>
      </c>
      <c r="G510" s="6" t="n">
        <v>0</v>
      </c>
      <c r="H510" s="41" t="n">
        <v>17.1</v>
      </c>
      <c r="I510" s="43" t="n">
        <f aca="false">F510*H510</f>
        <v>70.281</v>
      </c>
      <c r="J510" s="43" t="n">
        <f aca="false">G510*H510*1.5</f>
        <v>0</v>
      </c>
      <c r="K510" s="6" t="n">
        <v>9.49</v>
      </c>
      <c r="L510" s="43" t="n">
        <f aca="false">K510*'Chart of Accounts'!$E$68</f>
        <v>6.3583</v>
      </c>
      <c r="O510" s="42" t="n">
        <f aca="false">I510+J510+L510</f>
        <v>76.6393</v>
      </c>
    </row>
    <row r="511" customFormat="false" ht="15" hidden="false" customHeight="false" outlineLevel="0" collapsed="false">
      <c r="B511" s="7" t="s">
        <v>9144</v>
      </c>
      <c r="C511" s="39" t="n">
        <v>45690</v>
      </c>
      <c r="D511" s="7" t="s">
        <v>191</v>
      </c>
      <c r="E511" s="7" t="s">
        <v>180</v>
      </c>
      <c r="F511" s="6" t="n">
        <v>4.13</v>
      </c>
      <c r="G511" s="6" t="n">
        <v>0</v>
      </c>
      <c r="H511" s="41" t="n">
        <v>16.05</v>
      </c>
      <c r="I511" s="43" t="n">
        <f aca="false">F511*H511</f>
        <v>66.2865</v>
      </c>
      <c r="J511" s="43" t="n">
        <f aca="false">G511*H511*1.5</f>
        <v>0</v>
      </c>
      <c r="K511" s="6" t="n">
        <v>9.32</v>
      </c>
      <c r="L511" s="43" t="n">
        <f aca="false">K511*'Chart of Accounts'!$E$68</f>
        <v>6.2444</v>
      </c>
      <c r="O511" s="42" t="n">
        <f aca="false">I511+J511+L511</f>
        <v>72.5309</v>
      </c>
    </row>
    <row r="512" customFormat="false" ht="15" hidden="false" customHeight="false" outlineLevel="0" collapsed="false">
      <c r="B512" s="7" t="s">
        <v>9145</v>
      </c>
      <c r="C512" s="39" t="n">
        <v>45690</v>
      </c>
      <c r="D512" s="7" t="s">
        <v>218</v>
      </c>
      <c r="E512" s="7" t="s">
        <v>180</v>
      </c>
      <c r="F512" s="6" t="n">
        <v>3.64</v>
      </c>
      <c r="G512" s="6" t="n">
        <v>0</v>
      </c>
      <c r="H512" s="41" t="n">
        <v>16.19</v>
      </c>
      <c r="I512" s="43" t="n">
        <f aca="false">F512*H512</f>
        <v>58.9316</v>
      </c>
      <c r="J512" s="43" t="n">
        <f aca="false">G512*H512*1.5</f>
        <v>0</v>
      </c>
      <c r="K512" s="6" t="n">
        <v>10.69</v>
      </c>
      <c r="L512" s="43" t="n">
        <f aca="false">K512*'Chart of Accounts'!$E$68</f>
        <v>7.1623</v>
      </c>
      <c r="O512" s="42" t="n">
        <f aca="false">I512+J512+L512</f>
        <v>66.0939</v>
      </c>
    </row>
    <row r="513" customFormat="false" ht="15" hidden="false" customHeight="false" outlineLevel="0" collapsed="false">
      <c r="B513" s="7" t="s">
        <v>9146</v>
      </c>
      <c r="C513" s="39" t="n">
        <v>45690</v>
      </c>
      <c r="D513" s="7" t="s">
        <v>212</v>
      </c>
      <c r="E513" s="7" t="s">
        <v>180</v>
      </c>
      <c r="F513" s="6" t="n">
        <v>3.92</v>
      </c>
      <c r="G513" s="6" t="n">
        <v>0</v>
      </c>
      <c r="H513" s="41" t="n">
        <v>16.71</v>
      </c>
      <c r="I513" s="43" t="n">
        <f aca="false">F513*H513</f>
        <v>65.5032</v>
      </c>
      <c r="J513" s="43" t="n">
        <f aca="false">G513*H513*1.5</f>
        <v>0</v>
      </c>
      <c r="K513" s="6" t="n">
        <v>10.34</v>
      </c>
      <c r="L513" s="43" t="n">
        <f aca="false">K513*'Chart of Accounts'!$E$68</f>
        <v>6.9278</v>
      </c>
      <c r="O513" s="42" t="n">
        <f aca="false">I513+J513+L513</f>
        <v>72.431</v>
      </c>
    </row>
    <row r="514" customFormat="false" ht="15" hidden="false" customHeight="false" outlineLevel="0" collapsed="false">
      <c r="B514" s="7" t="s">
        <v>9147</v>
      </c>
      <c r="C514" s="39" t="n">
        <v>45690</v>
      </c>
      <c r="D514" s="7" t="s">
        <v>242</v>
      </c>
      <c r="E514" s="7" t="s">
        <v>180</v>
      </c>
      <c r="F514" s="6" t="n">
        <v>3.78</v>
      </c>
      <c r="G514" s="6" t="n">
        <v>0</v>
      </c>
      <c r="H514" s="41" t="n">
        <v>17.99</v>
      </c>
      <c r="I514" s="43" t="n">
        <f aca="false">F514*H514</f>
        <v>68.0022</v>
      </c>
      <c r="J514" s="43" t="n">
        <f aca="false">G514*H514*1.5</f>
        <v>0</v>
      </c>
      <c r="K514" s="6" t="n">
        <v>11.94</v>
      </c>
      <c r="L514" s="43" t="n">
        <f aca="false">K514*'Chart of Accounts'!$E$68</f>
        <v>7.9998</v>
      </c>
      <c r="O514" s="42" t="n">
        <f aca="false">I514+J514+L514</f>
        <v>76.002</v>
      </c>
    </row>
    <row r="515" customFormat="false" ht="15" hidden="false" customHeight="false" outlineLevel="0" collapsed="false">
      <c r="B515" s="7" t="s">
        <v>9148</v>
      </c>
      <c r="C515" s="39" t="n">
        <v>45690</v>
      </c>
      <c r="D515" s="7" t="s">
        <v>254</v>
      </c>
      <c r="E515" s="7" t="s">
        <v>180</v>
      </c>
      <c r="F515" s="6" t="n">
        <v>4.15</v>
      </c>
      <c r="G515" s="6" t="n">
        <v>0</v>
      </c>
      <c r="H515" s="41" t="n">
        <v>17.1</v>
      </c>
      <c r="I515" s="43" t="n">
        <f aca="false">F515*H515</f>
        <v>70.965</v>
      </c>
      <c r="J515" s="43" t="n">
        <f aca="false">G515*H515*1.5</f>
        <v>0</v>
      </c>
      <c r="K515" s="6" t="n">
        <v>10</v>
      </c>
      <c r="L515" s="43" t="n">
        <f aca="false">K515*'Chart of Accounts'!$E$68</f>
        <v>6.7</v>
      </c>
      <c r="O515" s="42" t="n">
        <f aca="false">I515+J515+L515</f>
        <v>77.665</v>
      </c>
    </row>
    <row r="516" customFormat="false" ht="15" hidden="false" customHeight="false" outlineLevel="0" collapsed="false">
      <c r="B516" s="7" t="s">
        <v>9149</v>
      </c>
      <c r="C516" s="39" t="n">
        <v>45691</v>
      </c>
      <c r="D516" s="7" t="s">
        <v>187</v>
      </c>
      <c r="E516" s="7" t="s">
        <v>158</v>
      </c>
      <c r="H516" s="41" t="n">
        <v>66.48</v>
      </c>
      <c r="M516" s="6" t="n">
        <v>1</v>
      </c>
      <c r="N516" s="43" t="n">
        <f aca="false">M516*H516</f>
        <v>66.48</v>
      </c>
      <c r="O516" s="42" t="n">
        <f aca="false">N516</f>
        <v>66.48</v>
      </c>
    </row>
    <row r="517" customFormat="false" ht="15" hidden="false" customHeight="false" outlineLevel="0" collapsed="false">
      <c r="B517" s="7" t="s">
        <v>9150</v>
      </c>
      <c r="C517" s="39" t="n">
        <v>45691</v>
      </c>
      <c r="D517" s="7" t="s">
        <v>191</v>
      </c>
      <c r="E517" s="7" t="s">
        <v>180</v>
      </c>
      <c r="F517" s="6" t="n">
        <v>3.72</v>
      </c>
      <c r="G517" s="6" t="n">
        <v>0</v>
      </c>
      <c r="H517" s="41" t="n">
        <v>16.05</v>
      </c>
      <c r="I517" s="43" t="n">
        <f aca="false">F517*H517</f>
        <v>59.706</v>
      </c>
      <c r="J517" s="43" t="n">
        <f aca="false">G517*H517*1.5</f>
        <v>0</v>
      </c>
      <c r="K517" s="6" t="n">
        <v>8.29</v>
      </c>
      <c r="L517" s="43" t="n">
        <f aca="false">K517*'Chart of Accounts'!$E$68</f>
        <v>5.5543</v>
      </c>
      <c r="O517" s="42" t="n">
        <f aca="false">I517+J517+L517</f>
        <v>65.2603</v>
      </c>
    </row>
    <row r="518" customFormat="false" ht="15" hidden="false" customHeight="false" outlineLevel="0" collapsed="false">
      <c r="B518" s="7" t="s">
        <v>9151</v>
      </c>
      <c r="C518" s="39" t="n">
        <v>45691</v>
      </c>
      <c r="D518" s="7" t="s">
        <v>194</v>
      </c>
      <c r="E518" s="7" t="s">
        <v>180</v>
      </c>
      <c r="F518" s="6" t="n">
        <v>4.48</v>
      </c>
      <c r="G518" s="6" t="n">
        <v>0</v>
      </c>
      <c r="H518" s="41" t="n">
        <v>16</v>
      </c>
      <c r="I518" s="43" t="n">
        <f aca="false">F518*H518</f>
        <v>71.68</v>
      </c>
      <c r="J518" s="43" t="n">
        <f aca="false">G518*H518*1.5</f>
        <v>0</v>
      </c>
      <c r="K518" s="6" t="n">
        <v>14.13</v>
      </c>
      <c r="L518" s="43" t="n">
        <f aca="false">K518*'Chart of Accounts'!$E$68</f>
        <v>9.4671</v>
      </c>
      <c r="O518" s="42" t="n">
        <f aca="false">I518+J518+L518</f>
        <v>81.1471</v>
      </c>
    </row>
    <row r="519" customFormat="false" ht="15" hidden="false" customHeight="false" outlineLevel="0" collapsed="false">
      <c r="B519" s="7" t="s">
        <v>9152</v>
      </c>
      <c r="C519" s="39" t="n">
        <v>45691</v>
      </c>
      <c r="D519" s="7" t="s">
        <v>201</v>
      </c>
      <c r="E519" s="7" t="s">
        <v>180</v>
      </c>
      <c r="F519" s="6" t="n">
        <v>6.6</v>
      </c>
      <c r="G519" s="6" t="n">
        <v>0</v>
      </c>
      <c r="H519" s="41" t="n">
        <v>15.19</v>
      </c>
      <c r="I519" s="43" t="n">
        <f aca="false">F519*H519</f>
        <v>100.254</v>
      </c>
      <c r="J519" s="43" t="n">
        <f aca="false">G519*H519*1.5</f>
        <v>0</v>
      </c>
      <c r="K519" s="6" t="n">
        <v>21.27</v>
      </c>
      <c r="L519" s="43" t="n">
        <f aca="false">K519*'Chart of Accounts'!$E$68</f>
        <v>14.2509</v>
      </c>
      <c r="O519" s="42" t="n">
        <f aca="false">I519+J519+L519</f>
        <v>114.5049</v>
      </c>
    </row>
    <row r="520" customFormat="false" ht="15" hidden="false" customHeight="false" outlineLevel="0" collapsed="false">
      <c r="B520" s="7" t="s">
        <v>9153</v>
      </c>
      <c r="C520" s="39" t="n">
        <v>45691</v>
      </c>
      <c r="D520" s="7" t="s">
        <v>205</v>
      </c>
      <c r="E520" s="7" t="s">
        <v>180</v>
      </c>
      <c r="F520" s="6" t="n">
        <v>3.87</v>
      </c>
      <c r="G520" s="6" t="n">
        <v>0</v>
      </c>
      <c r="H520" s="41" t="n">
        <v>16.36</v>
      </c>
      <c r="I520" s="43" t="n">
        <f aca="false">F520*H520</f>
        <v>63.3132</v>
      </c>
      <c r="J520" s="43" t="n">
        <f aca="false">G520*H520*1.5</f>
        <v>0</v>
      </c>
      <c r="K520" s="6" t="n">
        <v>12.07</v>
      </c>
      <c r="L520" s="43" t="n">
        <f aca="false">K520*'Chart of Accounts'!$E$68</f>
        <v>8.0869</v>
      </c>
      <c r="O520" s="42" t="n">
        <f aca="false">I520+J520+L520</f>
        <v>71.4001</v>
      </c>
    </row>
    <row r="521" customFormat="false" ht="15" hidden="false" customHeight="false" outlineLevel="0" collapsed="false">
      <c r="B521" s="7" t="s">
        <v>9154</v>
      </c>
      <c r="C521" s="39" t="n">
        <v>45691</v>
      </c>
      <c r="D521" s="7" t="s">
        <v>252</v>
      </c>
      <c r="E521" s="7" t="s">
        <v>158</v>
      </c>
      <c r="H521" s="41" t="n">
        <v>57.54</v>
      </c>
      <c r="M521" s="6" t="n">
        <v>1</v>
      </c>
      <c r="N521" s="43" t="n">
        <f aca="false">M521*H521</f>
        <v>57.54</v>
      </c>
      <c r="O521" s="42" t="n">
        <f aca="false">N521</f>
        <v>57.54</v>
      </c>
    </row>
    <row r="522" customFormat="false" ht="15" hidden="false" customHeight="false" outlineLevel="0" collapsed="false">
      <c r="B522" s="7" t="s">
        <v>9155</v>
      </c>
      <c r="C522" s="39" t="n">
        <v>45691</v>
      </c>
      <c r="D522" s="7" t="s">
        <v>196</v>
      </c>
      <c r="E522" s="7" t="s">
        <v>180</v>
      </c>
      <c r="F522" s="6" t="n">
        <v>6.09</v>
      </c>
      <c r="G522" s="6" t="n">
        <v>0</v>
      </c>
      <c r="H522" s="41" t="n">
        <v>15.05</v>
      </c>
      <c r="I522" s="43" t="n">
        <f aca="false">F522*H522</f>
        <v>91.6545</v>
      </c>
      <c r="J522" s="43" t="n">
        <f aca="false">G522*H522*1.5</f>
        <v>0</v>
      </c>
      <c r="K522" s="6" t="n">
        <v>13.43</v>
      </c>
      <c r="L522" s="43" t="n">
        <f aca="false">K522*'Chart of Accounts'!$E$68</f>
        <v>8.9981</v>
      </c>
      <c r="O522" s="42" t="n">
        <f aca="false">I522+J522+L522</f>
        <v>100.6526</v>
      </c>
    </row>
    <row r="523" customFormat="false" ht="15" hidden="false" customHeight="false" outlineLevel="0" collapsed="false">
      <c r="B523" s="7" t="s">
        <v>9156</v>
      </c>
      <c r="C523" s="39" t="n">
        <v>45691</v>
      </c>
      <c r="D523" s="7" t="s">
        <v>207</v>
      </c>
      <c r="E523" s="7" t="s">
        <v>180</v>
      </c>
      <c r="F523" s="6" t="n">
        <v>6.32</v>
      </c>
      <c r="G523" s="6" t="n">
        <v>0</v>
      </c>
      <c r="H523" s="41" t="n">
        <v>16.65</v>
      </c>
      <c r="I523" s="43" t="n">
        <f aca="false">F523*H523</f>
        <v>105.228</v>
      </c>
      <c r="J523" s="43" t="n">
        <f aca="false">G523*H523*1.5</f>
        <v>0</v>
      </c>
      <c r="K523" s="6" t="n">
        <v>20.3</v>
      </c>
      <c r="L523" s="43" t="n">
        <f aca="false">K523*'Chart of Accounts'!$E$68</f>
        <v>13.601</v>
      </c>
      <c r="O523" s="42" t="n">
        <f aca="false">I523+J523+L523</f>
        <v>118.829</v>
      </c>
    </row>
    <row r="524" customFormat="false" ht="15" hidden="false" customHeight="false" outlineLevel="0" collapsed="false">
      <c r="B524" s="7" t="s">
        <v>9157</v>
      </c>
      <c r="C524" s="39" t="n">
        <v>45691</v>
      </c>
      <c r="D524" s="7" t="s">
        <v>218</v>
      </c>
      <c r="E524" s="7" t="s">
        <v>180</v>
      </c>
      <c r="F524" s="6" t="n">
        <v>4.39</v>
      </c>
      <c r="G524" s="6" t="n">
        <v>0</v>
      </c>
      <c r="H524" s="41" t="n">
        <v>16.19</v>
      </c>
      <c r="I524" s="43" t="n">
        <f aca="false">F524*H524</f>
        <v>71.0741</v>
      </c>
      <c r="J524" s="43" t="n">
        <f aca="false">G524*H524*1.5</f>
        <v>0</v>
      </c>
      <c r="K524" s="6" t="n">
        <v>12.66</v>
      </c>
      <c r="L524" s="43" t="n">
        <f aca="false">K524*'Chart of Accounts'!$E$68</f>
        <v>8.4822</v>
      </c>
      <c r="O524" s="42" t="n">
        <f aca="false">I524+J524+L524</f>
        <v>79.5563</v>
      </c>
    </row>
    <row r="525" customFormat="false" ht="15" hidden="false" customHeight="false" outlineLevel="0" collapsed="false">
      <c r="B525" s="7" t="s">
        <v>9158</v>
      </c>
      <c r="C525" s="39" t="n">
        <v>45691</v>
      </c>
      <c r="D525" s="7" t="s">
        <v>212</v>
      </c>
      <c r="E525" s="7" t="s">
        <v>180</v>
      </c>
      <c r="F525" s="6" t="n">
        <v>7.05</v>
      </c>
      <c r="G525" s="6" t="n">
        <v>0</v>
      </c>
      <c r="H525" s="41" t="n">
        <v>16.71</v>
      </c>
      <c r="I525" s="43" t="n">
        <f aca="false">F525*H525</f>
        <v>117.8055</v>
      </c>
      <c r="J525" s="43" t="n">
        <f aca="false">G525*H525*1.5</f>
        <v>0</v>
      </c>
      <c r="K525" s="6" t="n">
        <v>18.45</v>
      </c>
      <c r="L525" s="43" t="n">
        <f aca="false">K525*'Chart of Accounts'!$E$68</f>
        <v>12.3615</v>
      </c>
      <c r="O525" s="42" t="n">
        <f aca="false">I525+J525+L525</f>
        <v>130.167</v>
      </c>
    </row>
    <row r="526" customFormat="false" ht="15" hidden="false" customHeight="false" outlineLevel="0" collapsed="false">
      <c r="B526" s="7" t="s">
        <v>9159</v>
      </c>
      <c r="C526" s="39" t="n">
        <v>45691</v>
      </c>
      <c r="D526" s="7" t="s">
        <v>220</v>
      </c>
      <c r="E526" s="7" t="s">
        <v>180</v>
      </c>
      <c r="F526" s="6" t="n">
        <v>3.79</v>
      </c>
      <c r="G526" s="6" t="n">
        <v>0</v>
      </c>
      <c r="H526" s="41" t="n">
        <v>16.43</v>
      </c>
      <c r="I526" s="43" t="n">
        <f aca="false">F526*H526</f>
        <v>62.2697</v>
      </c>
      <c r="J526" s="43" t="n">
        <f aca="false">G526*H526*1.5</f>
        <v>0</v>
      </c>
      <c r="K526" s="6" t="n">
        <v>13.36</v>
      </c>
      <c r="L526" s="43" t="n">
        <f aca="false">K526*'Chart of Accounts'!$E$68</f>
        <v>8.9512</v>
      </c>
      <c r="O526" s="42" t="n">
        <f aca="false">I526+J526+L526</f>
        <v>71.2209</v>
      </c>
    </row>
    <row r="527" customFormat="false" ht="15" hidden="false" customHeight="false" outlineLevel="0" collapsed="false">
      <c r="B527" s="7" t="s">
        <v>9160</v>
      </c>
      <c r="C527" s="39" t="n">
        <v>45691</v>
      </c>
      <c r="D527" s="7" t="s">
        <v>224</v>
      </c>
      <c r="E527" s="7" t="s">
        <v>180</v>
      </c>
      <c r="F527" s="6" t="n">
        <v>8.9</v>
      </c>
      <c r="G527" s="6" t="n">
        <v>0</v>
      </c>
      <c r="H527" s="41" t="n">
        <v>14.93</v>
      </c>
      <c r="I527" s="43" t="n">
        <f aca="false">F527*H527</f>
        <v>132.877</v>
      </c>
      <c r="J527" s="43" t="n">
        <f aca="false">G527*H527*1.5</f>
        <v>0</v>
      </c>
      <c r="K527" s="6" t="n">
        <v>20.41</v>
      </c>
      <c r="L527" s="43" t="n">
        <f aca="false">K527*'Chart of Accounts'!$E$68</f>
        <v>13.6747</v>
      </c>
      <c r="O527" s="42" t="n">
        <f aca="false">I527+J527+L527</f>
        <v>146.5517</v>
      </c>
    </row>
    <row r="528" customFormat="false" ht="15" hidden="false" customHeight="false" outlineLevel="0" collapsed="false">
      <c r="B528" s="7" t="s">
        <v>9161</v>
      </c>
      <c r="C528" s="39" t="n">
        <v>45691</v>
      </c>
      <c r="D528" s="7" t="s">
        <v>177</v>
      </c>
      <c r="E528" s="7" t="s">
        <v>180</v>
      </c>
      <c r="F528" s="6" t="n">
        <v>8.37</v>
      </c>
      <c r="G528" s="6" t="n">
        <v>0</v>
      </c>
      <c r="H528" s="41" t="n">
        <v>14.56</v>
      </c>
      <c r="I528" s="43" t="n">
        <f aca="false">F528*H528</f>
        <v>121.8672</v>
      </c>
      <c r="J528" s="43" t="n">
        <f aca="false">G528*H528*1.5</f>
        <v>0</v>
      </c>
      <c r="K528" s="6" t="n">
        <v>21.64</v>
      </c>
      <c r="L528" s="43" t="n">
        <f aca="false">K528*'Chart of Accounts'!$E$68</f>
        <v>14.4988</v>
      </c>
      <c r="O528" s="42" t="n">
        <f aca="false">I528+J528+L528</f>
        <v>136.366</v>
      </c>
    </row>
    <row r="529" customFormat="false" ht="15" hidden="false" customHeight="false" outlineLevel="0" collapsed="false">
      <c r="B529" s="7" t="s">
        <v>9162</v>
      </c>
      <c r="C529" s="39" t="n">
        <v>45691</v>
      </c>
      <c r="D529" s="7" t="s">
        <v>232</v>
      </c>
      <c r="E529" s="7" t="s">
        <v>180</v>
      </c>
      <c r="F529" s="6" t="n">
        <v>7.24</v>
      </c>
      <c r="G529" s="6" t="n">
        <v>0</v>
      </c>
      <c r="H529" s="41" t="n">
        <v>16.17</v>
      </c>
      <c r="I529" s="43" t="n">
        <f aca="false">F529*H529</f>
        <v>117.0708</v>
      </c>
      <c r="J529" s="43" t="n">
        <f aca="false">G529*H529*1.5</f>
        <v>0</v>
      </c>
      <c r="K529" s="6" t="n">
        <v>20.98</v>
      </c>
      <c r="L529" s="43" t="n">
        <f aca="false">K529*'Chart of Accounts'!$E$68</f>
        <v>14.0566</v>
      </c>
      <c r="O529" s="42" t="n">
        <f aca="false">I529+J529+L529</f>
        <v>131.1274</v>
      </c>
    </row>
    <row r="530" customFormat="false" ht="15" hidden="false" customHeight="false" outlineLevel="0" collapsed="false">
      <c r="B530" s="7" t="s">
        <v>9163</v>
      </c>
      <c r="C530" s="39" t="n">
        <v>45691</v>
      </c>
      <c r="D530" s="7" t="s">
        <v>242</v>
      </c>
      <c r="E530" s="7" t="s">
        <v>180</v>
      </c>
      <c r="F530" s="6" t="n">
        <v>7.14</v>
      </c>
      <c r="G530" s="6" t="n">
        <v>0</v>
      </c>
      <c r="H530" s="41" t="n">
        <v>17.99</v>
      </c>
      <c r="I530" s="43" t="n">
        <f aca="false">F530*H530</f>
        <v>128.4486</v>
      </c>
      <c r="J530" s="43" t="n">
        <f aca="false">G530*H530*1.5</f>
        <v>0</v>
      </c>
      <c r="K530" s="6" t="n">
        <v>17.08</v>
      </c>
      <c r="L530" s="43" t="n">
        <f aca="false">K530*'Chart of Accounts'!$E$68</f>
        <v>11.4436</v>
      </c>
      <c r="O530" s="42" t="n">
        <f aca="false">I530+J530+L530</f>
        <v>139.8922</v>
      </c>
    </row>
    <row r="531" customFormat="false" ht="15" hidden="false" customHeight="false" outlineLevel="0" collapsed="false">
      <c r="B531" s="7" t="s">
        <v>9164</v>
      </c>
      <c r="C531" s="39" t="n">
        <v>45691</v>
      </c>
      <c r="D531" s="7" t="s">
        <v>222</v>
      </c>
      <c r="E531" s="7" t="s">
        <v>180</v>
      </c>
      <c r="F531" s="6" t="n">
        <v>6.47</v>
      </c>
      <c r="G531" s="6" t="n">
        <v>0</v>
      </c>
      <c r="H531" s="41" t="n">
        <v>17.84</v>
      </c>
      <c r="I531" s="43" t="n">
        <f aca="false">F531*H531</f>
        <v>115.4248</v>
      </c>
      <c r="J531" s="43" t="n">
        <f aca="false">G531*H531*1.5</f>
        <v>0</v>
      </c>
      <c r="K531" s="6" t="n">
        <v>22.07</v>
      </c>
      <c r="L531" s="43" t="n">
        <f aca="false">K531*'Chart of Accounts'!$E$68</f>
        <v>14.7869</v>
      </c>
      <c r="O531" s="42" t="n">
        <f aca="false">I531+J531+L531</f>
        <v>130.2117</v>
      </c>
    </row>
    <row r="532" customFormat="false" ht="15" hidden="false" customHeight="false" outlineLevel="0" collapsed="false">
      <c r="B532" s="7" t="s">
        <v>9165</v>
      </c>
      <c r="C532" s="39" t="n">
        <v>45691</v>
      </c>
      <c r="D532" s="7" t="s">
        <v>262</v>
      </c>
      <c r="E532" s="7" t="s">
        <v>180</v>
      </c>
      <c r="F532" s="6" t="n">
        <v>6.95</v>
      </c>
      <c r="G532" s="6" t="n">
        <v>0</v>
      </c>
      <c r="H532" s="41" t="n">
        <v>16.02</v>
      </c>
      <c r="I532" s="43" t="n">
        <f aca="false">F532*H532</f>
        <v>111.339</v>
      </c>
      <c r="J532" s="43" t="n">
        <f aca="false">G532*H532*1.5</f>
        <v>0</v>
      </c>
      <c r="K532" s="6" t="n">
        <v>15.95</v>
      </c>
      <c r="L532" s="43" t="n">
        <f aca="false">K532*'Chart of Accounts'!$E$68</f>
        <v>10.6865</v>
      </c>
      <c r="O532" s="42" t="n">
        <f aca="false">I532+J532+L532</f>
        <v>122.0255</v>
      </c>
    </row>
    <row r="533" customFormat="false" ht="15" hidden="false" customHeight="false" outlineLevel="0" collapsed="false">
      <c r="B533" s="7" t="s">
        <v>9166</v>
      </c>
      <c r="C533" s="39" t="n">
        <v>45691</v>
      </c>
      <c r="D533" s="7" t="s">
        <v>254</v>
      </c>
      <c r="E533" s="7" t="s">
        <v>180</v>
      </c>
      <c r="F533" s="6" t="n">
        <v>7.58</v>
      </c>
      <c r="G533" s="6" t="n">
        <v>0</v>
      </c>
      <c r="H533" s="41" t="n">
        <v>17.1</v>
      </c>
      <c r="I533" s="43" t="n">
        <f aca="false">F533*H533</f>
        <v>129.618</v>
      </c>
      <c r="J533" s="43" t="n">
        <f aca="false">G533*H533*1.5</f>
        <v>0</v>
      </c>
      <c r="K533" s="6" t="n">
        <v>25.89</v>
      </c>
      <c r="L533" s="43" t="n">
        <f aca="false">K533*'Chart of Accounts'!$E$68</f>
        <v>17.3463</v>
      </c>
      <c r="O533" s="42" t="n">
        <f aca="false">I533+J533+L533</f>
        <v>146.9643</v>
      </c>
    </row>
    <row r="534" customFormat="false" ht="15" hidden="false" customHeight="false" outlineLevel="0" collapsed="false">
      <c r="B534" s="7" t="s">
        <v>9167</v>
      </c>
      <c r="C534" s="39" t="n">
        <v>45691</v>
      </c>
      <c r="D534" s="7" t="s">
        <v>246</v>
      </c>
      <c r="E534" s="7" t="s">
        <v>180</v>
      </c>
      <c r="F534" s="6" t="n">
        <v>8.49</v>
      </c>
      <c r="G534" s="6" t="n">
        <v>0</v>
      </c>
      <c r="H534" s="41" t="n">
        <v>16.48</v>
      </c>
      <c r="I534" s="43" t="n">
        <f aca="false">F534*H534</f>
        <v>139.9152</v>
      </c>
      <c r="J534" s="43" t="n">
        <f aca="false">G534*H534*1.5</f>
        <v>0</v>
      </c>
      <c r="K534" s="6" t="n">
        <v>21.88</v>
      </c>
      <c r="L534" s="43" t="n">
        <f aca="false">K534*'Chart of Accounts'!$E$68</f>
        <v>14.6596</v>
      </c>
      <c r="O534" s="42" t="n">
        <f aca="false">I534+J534+L534</f>
        <v>154.5748</v>
      </c>
    </row>
    <row r="535" customFormat="false" ht="15" hidden="false" customHeight="false" outlineLevel="0" collapsed="false">
      <c r="B535" s="7" t="s">
        <v>9168</v>
      </c>
      <c r="C535" s="39" t="n">
        <v>45691</v>
      </c>
      <c r="D535" s="7" t="s">
        <v>214</v>
      </c>
      <c r="E535" s="7" t="s">
        <v>180</v>
      </c>
      <c r="F535" s="6" t="n">
        <v>6.99</v>
      </c>
      <c r="G535" s="6" t="n">
        <v>0</v>
      </c>
      <c r="H535" s="41" t="n">
        <v>15.67</v>
      </c>
      <c r="I535" s="43" t="n">
        <f aca="false">F535*H535</f>
        <v>109.5333</v>
      </c>
      <c r="J535" s="43" t="n">
        <f aca="false">G535*H535*1.5</f>
        <v>0</v>
      </c>
      <c r="K535" s="6" t="n">
        <v>19.44</v>
      </c>
      <c r="L535" s="43" t="n">
        <f aca="false">K535*'Chart of Accounts'!$E$68</f>
        <v>13.0248</v>
      </c>
      <c r="O535" s="42" t="n">
        <f aca="false">I535+J535+L535</f>
        <v>122.5581</v>
      </c>
    </row>
    <row r="536" customFormat="false" ht="15" hidden="false" customHeight="false" outlineLevel="0" collapsed="false">
      <c r="B536" s="7" t="s">
        <v>9169</v>
      </c>
      <c r="C536" s="39" t="n">
        <v>45692</v>
      </c>
      <c r="D536" s="7" t="s">
        <v>191</v>
      </c>
      <c r="E536" s="7" t="s">
        <v>180</v>
      </c>
      <c r="F536" s="6" t="n">
        <v>3.83</v>
      </c>
      <c r="G536" s="6" t="n">
        <v>0</v>
      </c>
      <c r="H536" s="41" t="n">
        <v>16.05</v>
      </c>
      <c r="I536" s="43" t="n">
        <f aca="false">F536*H536</f>
        <v>61.4715</v>
      </c>
      <c r="J536" s="43" t="n">
        <f aca="false">G536*H536*1.5</f>
        <v>0</v>
      </c>
      <c r="K536" s="6" t="n">
        <v>13.11</v>
      </c>
      <c r="L536" s="43" t="n">
        <f aca="false">K536*'Chart of Accounts'!$E$68</f>
        <v>8.7837</v>
      </c>
      <c r="O536" s="42" t="n">
        <f aca="false">I536+J536+L536</f>
        <v>70.2552</v>
      </c>
    </row>
    <row r="537" customFormat="false" ht="15" hidden="false" customHeight="false" outlineLevel="0" collapsed="false">
      <c r="B537" s="7" t="s">
        <v>9170</v>
      </c>
      <c r="C537" s="39" t="n">
        <v>45692</v>
      </c>
      <c r="D537" s="7" t="s">
        <v>209</v>
      </c>
      <c r="E537" s="7" t="s">
        <v>158</v>
      </c>
      <c r="H537" s="41" t="n">
        <v>73.58</v>
      </c>
      <c r="M537" s="6" t="n">
        <v>2</v>
      </c>
      <c r="N537" s="43" t="n">
        <f aca="false">M537*H537</f>
        <v>147.16</v>
      </c>
      <c r="O537" s="42" t="n">
        <f aca="false">N537</f>
        <v>147.16</v>
      </c>
    </row>
    <row r="538" customFormat="false" ht="15" hidden="false" customHeight="false" outlineLevel="0" collapsed="false">
      <c r="B538" s="7" t="s">
        <v>9171</v>
      </c>
      <c r="C538" s="39" t="n">
        <v>45692</v>
      </c>
      <c r="D538" s="7" t="s">
        <v>184</v>
      </c>
      <c r="E538" s="7" t="s">
        <v>180</v>
      </c>
      <c r="F538" s="6" t="n">
        <v>4.21</v>
      </c>
      <c r="G538" s="6" t="n">
        <v>0</v>
      </c>
      <c r="H538" s="41" t="n">
        <v>17.34</v>
      </c>
      <c r="I538" s="43" t="n">
        <f aca="false">F538*H538</f>
        <v>73.0014</v>
      </c>
      <c r="J538" s="43" t="n">
        <f aca="false">G538*H538*1.5</f>
        <v>0</v>
      </c>
      <c r="K538" s="6" t="n">
        <v>11.15</v>
      </c>
      <c r="L538" s="43" t="n">
        <f aca="false">K538*'Chart of Accounts'!$E$68</f>
        <v>7.4705</v>
      </c>
      <c r="O538" s="42" t="n">
        <f aca="false">I538+J538+L538</f>
        <v>80.4719</v>
      </c>
    </row>
    <row r="539" customFormat="false" ht="15" hidden="false" customHeight="false" outlineLevel="0" collapsed="false">
      <c r="B539" s="7" t="s">
        <v>9172</v>
      </c>
      <c r="C539" s="39" t="n">
        <v>45692</v>
      </c>
      <c r="D539" s="7" t="s">
        <v>234</v>
      </c>
      <c r="E539" s="7" t="s">
        <v>158</v>
      </c>
      <c r="H539" s="41" t="n">
        <v>89.53</v>
      </c>
      <c r="M539" s="6" t="n">
        <v>2</v>
      </c>
      <c r="N539" s="43" t="n">
        <f aca="false">M539*H539</f>
        <v>179.06</v>
      </c>
      <c r="O539" s="42" t="n">
        <f aca="false">N539</f>
        <v>179.06</v>
      </c>
    </row>
    <row r="540" customFormat="false" ht="15" hidden="false" customHeight="false" outlineLevel="0" collapsed="false">
      <c r="B540" s="7" t="s">
        <v>9173</v>
      </c>
      <c r="C540" s="39" t="n">
        <v>45692</v>
      </c>
      <c r="D540" s="7" t="s">
        <v>218</v>
      </c>
      <c r="E540" s="7" t="s">
        <v>180</v>
      </c>
      <c r="F540" s="6" t="n">
        <v>3.89</v>
      </c>
      <c r="G540" s="6" t="n">
        <v>0</v>
      </c>
      <c r="H540" s="41" t="n">
        <v>16.19</v>
      </c>
      <c r="I540" s="43" t="n">
        <f aca="false">F540*H540</f>
        <v>62.9791</v>
      </c>
      <c r="J540" s="43" t="n">
        <f aca="false">G540*H540*1.5</f>
        <v>0</v>
      </c>
      <c r="K540" s="6" t="n">
        <v>12.59</v>
      </c>
      <c r="L540" s="43" t="n">
        <f aca="false">K540*'Chart of Accounts'!$E$68</f>
        <v>8.4353</v>
      </c>
      <c r="O540" s="42" t="n">
        <f aca="false">I540+J540+L540</f>
        <v>71.4144</v>
      </c>
    </row>
    <row r="541" customFormat="false" ht="15" hidden="false" customHeight="false" outlineLevel="0" collapsed="false">
      <c r="B541" s="7" t="s">
        <v>9174</v>
      </c>
      <c r="C541" s="39" t="n">
        <v>45692</v>
      </c>
      <c r="D541" s="7" t="s">
        <v>266</v>
      </c>
      <c r="E541" s="7" t="s">
        <v>158</v>
      </c>
      <c r="H541" s="41" t="n">
        <v>75.18</v>
      </c>
      <c r="M541" s="6" t="n">
        <v>1</v>
      </c>
      <c r="N541" s="43" t="n">
        <f aca="false">M541*H541</f>
        <v>75.18</v>
      </c>
      <c r="O541" s="42" t="n">
        <f aca="false">N541</f>
        <v>75.18</v>
      </c>
    </row>
    <row r="542" customFormat="false" ht="15" hidden="false" customHeight="false" outlineLevel="0" collapsed="false">
      <c r="B542" s="7" t="s">
        <v>9175</v>
      </c>
      <c r="C542" s="39" t="n">
        <v>45692</v>
      </c>
      <c r="D542" s="7" t="s">
        <v>228</v>
      </c>
      <c r="E542" s="7" t="s">
        <v>158</v>
      </c>
      <c r="H542" s="41" t="n">
        <v>51.07</v>
      </c>
      <c r="M542" s="6" t="n">
        <v>1</v>
      </c>
      <c r="N542" s="43" t="n">
        <f aca="false">M542*H542</f>
        <v>51.07</v>
      </c>
      <c r="O542" s="42" t="n">
        <f aca="false">N542</f>
        <v>51.07</v>
      </c>
    </row>
    <row r="543" customFormat="false" ht="15" hidden="false" customHeight="false" outlineLevel="0" collapsed="false">
      <c r="B543" s="7" t="s">
        <v>9176</v>
      </c>
      <c r="C543" s="39" t="n">
        <v>45692</v>
      </c>
      <c r="D543" s="7" t="s">
        <v>220</v>
      </c>
      <c r="E543" s="7" t="s">
        <v>180</v>
      </c>
      <c r="F543" s="6" t="n">
        <v>3.84</v>
      </c>
      <c r="G543" s="6" t="n">
        <v>0</v>
      </c>
      <c r="H543" s="41" t="n">
        <v>16.43</v>
      </c>
      <c r="I543" s="43" t="n">
        <f aca="false">F543*H543</f>
        <v>63.0912</v>
      </c>
      <c r="J543" s="43" t="n">
        <f aca="false">G543*H543*1.5</f>
        <v>0</v>
      </c>
      <c r="K543" s="6" t="n">
        <v>12.64</v>
      </c>
      <c r="L543" s="43" t="n">
        <f aca="false">K543*'Chart of Accounts'!$E$68</f>
        <v>8.4688</v>
      </c>
      <c r="O543" s="42" t="n">
        <f aca="false">I543+J543+L543</f>
        <v>71.56</v>
      </c>
    </row>
    <row r="544" customFormat="false" ht="15" hidden="false" customHeight="false" outlineLevel="0" collapsed="false">
      <c r="B544" s="7" t="s">
        <v>9177</v>
      </c>
      <c r="C544" s="39" t="n">
        <v>45692</v>
      </c>
      <c r="D544" s="7" t="s">
        <v>212</v>
      </c>
      <c r="E544" s="7" t="s">
        <v>180</v>
      </c>
      <c r="F544" s="6" t="n">
        <v>3.88</v>
      </c>
      <c r="G544" s="6" t="n">
        <v>0</v>
      </c>
      <c r="H544" s="41" t="n">
        <v>16.71</v>
      </c>
      <c r="I544" s="43" t="n">
        <f aca="false">F544*H544</f>
        <v>64.8348</v>
      </c>
      <c r="J544" s="43" t="n">
        <f aca="false">G544*H544*1.5</f>
        <v>0</v>
      </c>
      <c r="K544" s="6" t="n">
        <v>10.47</v>
      </c>
      <c r="L544" s="43" t="n">
        <f aca="false">K544*'Chart of Accounts'!$E$68</f>
        <v>7.0149</v>
      </c>
      <c r="O544" s="42" t="n">
        <f aca="false">I544+J544+L544</f>
        <v>71.8497</v>
      </c>
    </row>
    <row r="545" customFormat="false" ht="15" hidden="false" customHeight="false" outlineLevel="0" collapsed="false">
      <c r="B545" s="7" t="s">
        <v>9178</v>
      </c>
      <c r="C545" s="39" t="n">
        <v>45692</v>
      </c>
      <c r="D545" s="7" t="s">
        <v>246</v>
      </c>
      <c r="E545" s="7" t="s">
        <v>180</v>
      </c>
      <c r="F545" s="6" t="n">
        <v>4.17</v>
      </c>
      <c r="G545" s="6" t="n">
        <v>0</v>
      </c>
      <c r="H545" s="41" t="n">
        <v>16.48</v>
      </c>
      <c r="I545" s="43" t="n">
        <f aca="false">F545*H545</f>
        <v>68.7216</v>
      </c>
      <c r="J545" s="43" t="n">
        <f aca="false">G545*H545*1.5</f>
        <v>0</v>
      </c>
      <c r="K545" s="6" t="n">
        <v>11.54</v>
      </c>
      <c r="L545" s="43" t="n">
        <f aca="false">K545*'Chart of Accounts'!$E$68</f>
        <v>7.7318</v>
      </c>
      <c r="O545" s="42" t="n">
        <f aca="false">I545+J545+L545</f>
        <v>76.4534</v>
      </c>
    </row>
    <row r="546" customFormat="false" ht="15" hidden="false" customHeight="false" outlineLevel="0" collapsed="false">
      <c r="B546" s="7" t="s">
        <v>9179</v>
      </c>
      <c r="C546" s="39" t="n">
        <v>45692</v>
      </c>
      <c r="D546" s="7" t="s">
        <v>222</v>
      </c>
      <c r="E546" s="7" t="s">
        <v>180</v>
      </c>
      <c r="F546" s="6" t="n">
        <v>3.71</v>
      </c>
      <c r="G546" s="6" t="n">
        <v>0</v>
      </c>
      <c r="H546" s="41" t="n">
        <v>17.84</v>
      </c>
      <c r="I546" s="43" t="n">
        <f aca="false">F546*H546</f>
        <v>66.1864</v>
      </c>
      <c r="J546" s="43" t="n">
        <f aca="false">G546*H546*1.5</f>
        <v>0</v>
      </c>
      <c r="K546" s="6" t="n">
        <v>11.7</v>
      </c>
      <c r="L546" s="43" t="n">
        <f aca="false">K546*'Chart of Accounts'!$E$68</f>
        <v>7.839</v>
      </c>
      <c r="O546" s="42" t="n">
        <f aca="false">I546+J546+L546</f>
        <v>74.0254</v>
      </c>
    </row>
    <row r="547" customFormat="false" ht="15" hidden="false" customHeight="false" outlineLevel="0" collapsed="false">
      <c r="B547" s="7" t="s">
        <v>9180</v>
      </c>
      <c r="C547" s="39" t="n">
        <v>45692</v>
      </c>
      <c r="D547" s="7" t="s">
        <v>242</v>
      </c>
      <c r="E547" s="7" t="s">
        <v>180</v>
      </c>
      <c r="F547" s="6" t="n">
        <v>3.65</v>
      </c>
      <c r="G547" s="6" t="n">
        <v>0</v>
      </c>
      <c r="H547" s="41" t="n">
        <v>17.99</v>
      </c>
      <c r="I547" s="43" t="n">
        <f aca="false">F547*H547</f>
        <v>65.6635</v>
      </c>
      <c r="J547" s="43" t="n">
        <f aca="false">G547*H547*1.5</f>
        <v>0</v>
      </c>
      <c r="K547" s="6" t="n">
        <v>10.32</v>
      </c>
      <c r="L547" s="43" t="n">
        <f aca="false">K547*'Chart of Accounts'!$E$68</f>
        <v>6.9144</v>
      </c>
      <c r="O547" s="42" t="n">
        <f aca="false">I547+J547+L547</f>
        <v>72.5779</v>
      </c>
    </row>
    <row r="548" customFormat="false" ht="15" hidden="false" customHeight="false" outlineLevel="0" collapsed="false">
      <c r="B548" s="7" t="s">
        <v>9181</v>
      </c>
      <c r="C548" s="39" t="n">
        <v>45692</v>
      </c>
      <c r="D548" s="7" t="s">
        <v>254</v>
      </c>
      <c r="E548" s="7" t="s">
        <v>180</v>
      </c>
      <c r="F548" s="6" t="n">
        <v>4.03</v>
      </c>
      <c r="G548" s="6" t="n">
        <v>0</v>
      </c>
      <c r="H548" s="41" t="n">
        <v>17.1</v>
      </c>
      <c r="I548" s="43" t="n">
        <f aca="false">F548*H548</f>
        <v>68.913</v>
      </c>
      <c r="J548" s="43" t="n">
        <f aca="false">G548*H548*1.5</f>
        <v>0</v>
      </c>
      <c r="K548" s="6" t="n">
        <v>10.42</v>
      </c>
      <c r="L548" s="43" t="n">
        <f aca="false">K548*'Chart of Accounts'!$E$68</f>
        <v>6.9814</v>
      </c>
      <c r="O548" s="42" t="n">
        <f aca="false">I548+J548+L548</f>
        <v>75.8944</v>
      </c>
    </row>
    <row r="549" customFormat="false" ht="15" hidden="false" customHeight="false" outlineLevel="0" collapsed="false">
      <c r="B549" s="7" t="s">
        <v>9182</v>
      </c>
      <c r="C549" s="39" t="n">
        <v>45692</v>
      </c>
      <c r="D549" s="7" t="s">
        <v>260</v>
      </c>
      <c r="E549" s="7" t="s">
        <v>158</v>
      </c>
      <c r="H549" s="41" t="n">
        <v>79.8</v>
      </c>
      <c r="M549" s="6" t="n">
        <v>1</v>
      </c>
      <c r="N549" s="43" t="n">
        <f aca="false">M549*H549</f>
        <v>79.8</v>
      </c>
      <c r="O549" s="42" t="n">
        <f aca="false">N549</f>
        <v>79.8</v>
      </c>
    </row>
    <row r="550" customFormat="false" ht="15" hidden="false" customHeight="false" outlineLevel="0" collapsed="false">
      <c r="B550" s="7" t="s">
        <v>9183</v>
      </c>
      <c r="C550" s="39" t="n">
        <v>45693</v>
      </c>
      <c r="D550" s="7" t="s">
        <v>187</v>
      </c>
      <c r="E550" s="7" t="s">
        <v>158</v>
      </c>
      <c r="H550" s="41" t="n">
        <v>66.48</v>
      </c>
      <c r="M550" s="6" t="n">
        <v>1</v>
      </c>
      <c r="N550" s="43" t="n">
        <f aca="false">M550*H550</f>
        <v>66.48</v>
      </c>
      <c r="O550" s="42" t="n">
        <f aca="false">N550</f>
        <v>66.48</v>
      </c>
    </row>
    <row r="551" customFormat="false" ht="15" hidden="false" customHeight="false" outlineLevel="0" collapsed="false">
      <c r="B551" s="7" t="s">
        <v>9184</v>
      </c>
      <c r="C551" s="39" t="n">
        <v>45693</v>
      </c>
      <c r="D551" s="7" t="s">
        <v>228</v>
      </c>
      <c r="E551" s="7" t="s">
        <v>158</v>
      </c>
      <c r="H551" s="41" t="n">
        <v>51.07</v>
      </c>
      <c r="M551" s="6" t="n">
        <v>1</v>
      </c>
      <c r="N551" s="43" t="n">
        <f aca="false">M551*H551</f>
        <v>51.07</v>
      </c>
      <c r="O551" s="42" t="n">
        <f aca="false">N551</f>
        <v>51.07</v>
      </c>
    </row>
    <row r="552" customFormat="false" ht="15" hidden="false" customHeight="false" outlineLevel="0" collapsed="false">
      <c r="B552" s="7" t="s">
        <v>9185</v>
      </c>
      <c r="C552" s="39" t="n">
        <v>45693</v>
      </c>
      <c r="D552" s="7" t="s">
        <v>191</v>
      </c>
      <c r="E552" s="7" t="s">
        <v>180</v>
      </c>
      <c r="F552" s="6" t="n">
        <v>4.39</v>
      </c>
      <c r="G552" s="6" t="n">
        <v>0</v>
      </c>
      <c r="H552" s="41" t="n">
        <v>16.05</v>
      </c>
      <c r="I552" s="43" t="n">
        <f aca="false">F552*H552</f>
        <v>70.4595</v>
      </c>
      <c r="J552" s="43" t="n">
        <f aca="false">G552*H552*1.5</f>
        <v>0</v>
      </c>
      <c r="K552" s="6" t="n">
        <v>14.73</v>
      </c>
      <c r="L552" s="43" t="n">
        <f aca="false">K552*'Chart of Accounts'!$E$68</f>
        <v>9.8691</v>
      </c>
      <c r="O552" s="42" t="n">
        <f aca="false">I552+J552+L552</f>
        <v>80.3286</v>
      </c>
    </row>
    <row r="553" customFormat="false" ht="15" hidden="false" customHeight="false" outlineLevel="0" collapsed="false">
      <c r="B553" s="7" t="s">
        <v>9186</v>
      </c>
      <c r="C553" s="39" t="n">
        <v>45693</v>
      </c>
      <c r="D553" s="7" t="s">
        <v>194</v>
      </c>
      <c r="E553" s="7" t="s">
        <v>180</v>
      </c>
      <c r="F553" s="6" t="n">
        <v>5.01</v>
      </c>
      <c r="G553" s="6" t="n">
        <v>0</v>
      </c>
      <c r="H553" s="41" t="n">
        <v>16</v>
      </c>
      <c r="I553" s="43" t="n">
        <f aca="false">F553*H553</f>
        <v>80.16</v>
      </c>
      <c r="J553" s="43" t="n">
        <f aca="false">G553*H553*1.5</f>
        <v>0</v>
      </c>
      <c r="K553" s="6" t="n">
        <v>12.63</v>
      </c>
      <c r="L553" s="43" t="n">
        <f aca="false">K553*'Chart of Accounts'!$E$68</f>
        <v>8.4621</v>
      </c>
      <c r="O553" s="42" t="n">
        <f aca="false">I553+J553+L553</f>
        <v>88.6221</v>
      </c>
    </row>
    <row r="554" customFormat="false" ht="15" hidden="false" customHeight="false" outlineLevel="0" collapsed="false">
      <c r="B554" s="7" t="s">
        <v>9187</v>
      </c>
      <c r="C554" s="39" t="n">
        <v>45693</v>
      </c>
      <c r="D554" s="7" t="s">
        <v>205</v>
      </c>
      <c r="E554" s="7" t="s">
        <v>180</v>
      </c>
      <c r="F554" s="6" t="n">
        <v>4.26</v>
      </c>
      <c r="G554" s="6" t="n">
        <v>0</v>
      </c>
      <c r="H554" s="41" t="n">
        <v>16.36</v>
      </c>
      <c r="I554" s="43" t="n">
        <f aca="false">F554*H554</f>
        <v>69.6936</v>
      </c>
      <c r="J554" s="43" t="n">
        <f aca="false">G554*H554*1.5</f>
        <v>0</v>
      </c>
      <c r="K554" s="6" t="n">
        <v>13.67</v>
      </c>
      <c r="L554" s="43" t="n">
        <f aca="false">K554*'Chart of Accounts'!$E$68</f>
        <v>9.1589</v>
      </c>
      <c r="O554" s="42" t="n">
        <f aca="false">I554+J554+L554</f>
        <v>78.8525</v>
      </c>
    </row>
    <row r="555" customFormat="false" ht="15" hidden="false" customHeight="false" outlineLevel="0" collapsed="false">
      <c r="B555" s="7" t="s">
        <v>9188</v>
      </c>
      <c r="C555" s="39" t="n">
        <v>45693</v>
      </c>
      <c r="D555" s="7" t="s">
        <v>252</v>
      </c>
      <c r="E555" s="7" t="s">
        <v>158</v>
      </c>
      <c r="H555" s="41" t="n">
        <v>57.54</v>
      </c>
      <c r="M555" s="6" t="n">
        <v>1</v>
      </c>
      <c r="N555" s="43" t="n">
        <f aca="false">M555*H555</f>
        <v>57.54</v>
      </c>
      <c r="O555" s="42" t="n">
        <f aca="false">N555</f>
        <v>57.54</v>
      </c>
    </row>
    <row r="556" customFormat="false" ht="15" hidden="false" customHeight="false" outlineLevel="0" collapsed="false">
      <c r="B556" s="7" t="s">
        <v>9189</v>
      </c>
      <c r="C556" s="39" t="n">
        <v>45693</v>
      </c>
      <c r="D556" s="7" t="s">
        <v>184</v>
      </c>
      <c r="E556" s="7" t="s">
        <v>180</v>
      </c>
      <c r="F556" s="6" t="n">
        <v>3.93</v>
      </c>
      <c r="G556" s="6" t="n">
        <v>0</v>
      </c>
      <c r="H556" s="41" t="n">
        <v>17.34</v>
      </c>
      <c r="I556" s="43" t="n">
        <f aca="false">F556*H556</f>
        <v>68.1462</v>
      </c>
      <c r="J556" s="43" t="n">
        <f aca="false">G556*H556*1.5</f>
        <v>0</v>
      </c>
      <c r="K556" s="6" t="n">
        <v>8.95</v>
      </c>
      <c r="L556" s="43" t="n">
        <f aca="false">K556*'Chart of Accounts'!$E$68</f>
        <v>5.9965</v>
      </c>
      <c r="O556" s="42" t="n">
        <f aca="false">I556+J556+L556</f>
        <v>74.1427</v>
      </c>
    </row>
    <row r="557" customFormat="false" ht="15" hidden="false" customHeight="false" outlineLevel="0" collapsed="false">
      <c r="B557" s="7" t="s">
        <v>9190</v>
      </c>
      <c r="C557" s="39" t="n">
        <v>45693</v>
      </c>
      <c r="D557" s="7" t="s">
        <v>218</v>
      </c>
      <c r="E557" s="7" t="s">
        <v>180</v>
      </c>
      <c r="F557" s="6" t="n">
        <v>4.3</v>
      </c>
      <c r="G557" s="6" t="n">
        <v>0</v>
      </c>
      <c r="H557" s="41" t="n">
        <v>16.19</v>
      </c>
      <c r="I557" s="43" t="n">
        <f aca="false">F557*H557</f>
        <v>69.617</v>
      </c>
      <c r="J557" s="43" t="n">
        <f aca="false">G557*H557*1.5</f>
        <v>0</v>
      </c>
      <c r="K557" s="6" t="n">
        <v>12.68</v>
      </c>
      <c r="L557" s="43" t="n">
        <f aca="false">K557*'Chart of Accounts'!$E$68</f>
        <v>8.4956</v>
      </c>
      <c r="O557" s="42" t="n">
        <f aca="false">I557+J557+L557</f>
        <v>78.1126</v>
      </c>
    </row>
    <row r="558" customFormat="false" ht="15" hidden="false" customHeight="false" outlineLevel="0" collapsed="false">
      <c r="B558" s="7" t="s">
        <v>9191</v>
      </c>
      <c r="C558" s="39" t="n">
        <v>45693</v>
      </c>
      <c r="D558" s="7" t="s">
        <v>220</v>
      </c>
      <c r="E558" s="7" t="s">
        <v>180</v>
      </c>
      <c r="F558" s="6" t="n">
        <v>3.82</v>
      </c>
      <c r="G558" s="6" t="n">
        <v>0</v>
      </c>
      <c r="H558" s="41" t="n">
        <v>16.43</v>
      </c>
      <c r="I558" s="43" t="n">
        <f aca="false">F558*H558</f>
        <v>62.7626</v>
      </c>
      <c r="J558" s="43" t="n">
        <f aca="false">G558*H558*1.5</f>
        <v>0</v>
      </c>
      <c r="K558" s="6" t="n">
        <v>12.51</v>
      </c>
      <c r="L558" s="43" t="n">
        <f aca="false">K558*'Chart of Accounts'!$E$68</f>
        <v>8.3817</v>
      </c>
      <c r="O558" s="42" t="n">
        <f aca="false">I558+J558+L558</f>
        <v>71.1443</v>
      </c>
    </row>
    <row r="559" customFormat="false" ht="15" hidden="false" customHeight="false" outlineLevel="0" collapsed="false">
      <c r="B559" s="7" t="s">
        <v>9192</v>
      </c>
      <c r="C559" s="39" t="n">
        <v>45693</v>
      </c>
      <c r="D559" s="7" t="s">
        <v>177</v>
      </c>
      <c r="E559" s="7" t="s">
        <v>180</v>
      </c>
      <c r="F559" s="6" t="n">
        <v>9.21</v>
      </c>
      <c r="G559" s="6" t="n">
        <v>0</v>
      </c>
      <c r="H559" s="41" t="n">
        <v>14.56</v>
      </c>
      <c r="I559" s="43" t="n">
        <f aca="false">F559*H559</f>
        <v>134.0976</v>
      </c>
      <c r="J559" s="43" t="n">
        <f aca="false">G559*H559*1.5</f>
        <v>0</v>
      </c>
      <c r="K559" s="6" t="n">
        <v>24.03</v>
      </c>
      <c r="L559" s="43" t="n">
        <f aca="false">K559*'Chart of Accounts'!$E$68</f>
        <v>16.1001</v>
      </c>
      <c r="O559" s="42" t="n">
        <f aca="false">I559+J559+L559</f>
        <v>150.1977</v>
      </c>
    </row>
    <row r="560" customFormat="false" ht="15" hidden="false" customHeight="false" outlineLevel="0" collapsed="false">
      <c r="B560" s="7" t="s">
        <v>9193</v>
      </c>
      <c r="C560" s="39" t="n">
        <v>45693</v>
      </c>
      <c r="D560" s="7" t="s">
        <v>242</v>
      </c>
      <c r="E560" s="7" t="s">
        <v>180</v>
      </c>
      <c r="F560" s="6" t="n">
        <v>7.23</v>
      </c>
      <c r="G560" s="6" t="n">
        <v>0</v>
      </c>
      <c r="H560" s="41" t="n">
        <v>17.99</v>
      </c>
      <c r="I560" s="43" t="n">
        <f aca="false">F560*H560</f>
        <v>130.0677</v>
      </c>
      <c r="J560" s="43" t="n">
        <f aca="false">G560*H560*1.5</f>
        <v>0</v>
      </c>
      <c r="K560" s="6" t="n">
        <v>21.4</v>
      </c>
      <c r="L560" s="43" t="n">
        <f aca="false">K560*'Chart of Accounts'!$E$68</f>
        <v>14.338</v>
      </c>
      <c r="O560" s="42" t="n">
        <f aca="false">I560+J560+L560</f>
        <v>144.4057</v>
      </c>
    </row>
    <row r="561" customFormat="false" ht="15" hidden="false" customHeight="false" outlineLevel="0" collapsed="false">
      <c r="B561" s="7" t="s">
        <v>9194</v>
      </c>
      <c r="C561" s="39" t="n">
        <v>45693</v>
      </c>
      <c r="D561" s="7" t="s">
        <v>254</v>
      </c>
      <c r="E561" s="7" t="s">
        <v>180</v>
      </c>
      <c r="F561" s="6" t="n">
        <v>7.11</v>
      </c>
      <c r="G561" s="6" t="n">
        <v>0</v>
      </c>
      <c r="H561" s="41" t="n">
        <v>17.1</v>
      </c>
      <c r="I561" s="43" t="n">
        <f aca="false">F561*H561</f>
        <v>121.581</v>
      </c>
      <c r="J561" s="43" t="n">
        <f aca="false">G561*H561*1.5</f>
        <v>0</v>
      </c>
      <c r="K561" s="6" t="n">
        <v>24.99</v>
      </c>
      <c r="L561" s="43" t="n">
        <f aca="false">K561*'Chart of Accounts'!$E$68</f>
        <v>16.7433</v>
      </c>
      <c r="O561" s="42" t="n">
        <f aca="false">I561+J561+L561</f>
        <v>138.3243</v>
      </c>
    </row>
    <row r="562" customFormat="false" ht="15" hidden="false" customHeight="false" outlineLevel="0" collapsed="false">
      <c r="B562" s="7" t="s">
        <v>9195</v>
      </c>
      <c r="C562" s="39" t="n">
        <v>45693</v>
      </c>
      <c r="D562" s="7" t="s">
        <v>201</v>
      </c>
      <c r="E562" s="7" t="s">
        <v>180</v>
      </c>
      <c r="F562" s="6" t="n">
        <v>3.04</v>
      </c>
      <c r="G562" s="6" t="n">
        <v>0</v>
      </c>
      <c r="H562" s="41" t="n">
        <v>15.19</v>
      </c>
      <c r="I562" s="43" t="n">
        <f aca="false">F562*H562</f>
        <v>46.1776</v>
      </c>
      <c r="J562" s="43" t="n">
        <f aca="false">G562*H562*1.5</f>
        <v>0</v>
      </c>
      <c r="K562" s="6" t="n">
        <v>7.49</v>
      </c>
      <c r="L562" s="43" t="n">
        <f aca="false">K562*'Chart of Accounts'!$E$68</f>
        <v>5.0183</v>
      </c>
      <c r="O562" s="42" t="n">
        <f aca="false">I562+J562+L562</f>
        <v>51.1959</v>
      </c>
    </row>
    <row r="563" customFormat="false" ht="15" hidden="false" customHeight="false" outlineLevel="0" collapsed="false">
      <c r="B563" s="7" t="s">
        <v>9196</v>
      </c>
      <c r="C563" s="39" t="n">
        <v>45693</v>
      </c>
      <c r="D563" s="7" t="s">
        <v>207</v>
      </c>
      <c r="E563" s="7" t="s">
        <v>180</v>
      </c>
      <c r="F563" s="6" t="n">
        <v>3.29</v>
      </c>
      <c r="G563" s="6" t="n">
        <v>0</v>
      </c>
      <c r="H563" s="41" t="n">
        <v>16.65</v>
      </c>
      <c r="I563" s="43" t="n">
        <f aca="false">F563*H563</f>
        <v>54.7785</v>
      </c>
      <c r="J563" s="43" t="n">
        <f aca="false">G563*H563*1.5</f>
        <v>0</v>
      </c>
      <c r="K563" s="6" t="n">
        <v>7.3</v>
      </c>
      <c r="L563" s="43" t="n">
        <f aca="false">K563*'Chart of Accounts'!$E$68</f>
        <v>4.891</v>
      </c>
      <c r="O563" s="42" t="n">
        <f aca="false">I563+J563+L563</f>
        <v>59.6695</v>
      </c>
    </row>
    <row r="564" customFormat="false" ht="15" hidden="false" customHeight="false" outlineLevel="0" collapsed="false">
      <c r="B564" s="7" t="s">
        <v>9197</v>
      </c>
      <c r="C564" s="39" t="n">
        <v>45693</v>
      </c>
      <c r="D564" s="7" t="s">
        <v>212</v>
      </c>
      <c r="E564" s="7" t="s">
        <v>180</v>
      </c>
      <c r="F564" s="6" t="n">
        <v>4.26</v>
      </c>
      <c r="G564" s="6" t="n">
        <v>0</v>
      </c>
      <c r="H564" s="41" t="n">
        <v>16.71</v>
      </c>
      <c r="I564" s="43" t="n">
        <f aca="false">F564*H564</f>
        <v>71.1846</v>
      </c>
      <c r="J564" s="43" t="n">
        <f aca="false">G564*H564*1.5</f>
        <v>0</v>
      </c>
      <c r="K564" s="6" t="n">
        <v>15.14</v>
      </c>
      <c r="L564" s="43" t="n">
        <f aca="false">K564*'Chart of Accounts'!$E$68</f>
        <v>10.1438</v>
      </c>
      <c r="O564" s="42" t="n">
        <f aca="false">I564+J564+L564</f>
        <v>81.3284</v>
      </c>
    </row>
    <row r="565" customFormat="false" ht="15" hidden="false" customHeight="false" outlineLevel="0" collapsed="false">
      <c r="B565" s="7" t="s">
        <v>9198</v>
      </c>
      <c r="C565" s="39" t="n">
        <v>45693</v>
      </c>
      <c r="D565" s="7" t="s">
        <v>232</v>
      </c>
      <c r="E565" s="7" t="s">
        <v>180</v>
      </c>
      <c r="F565" s="6" t="n">
        <v>4.73</v>
      </c>
      <c r="G565" s="6" t="n">
        <v>0</v>
      </c>
      <c r="H565" s="41" t="n">
        <v>16.17</v>
      </c>
      <c r="I565" s="43" t="n">
        <f aca="false">F565*H565</f>
        <v>76.4841</v>
      </c>
      <c r="J565" s="43" t="n">
        <f aca="false">G565*H565*1.5</f>
        <v>0</v>
      </c>
      <c r="K565" s="6" t="n">
        <v>13.77</v>
      </c>
      <c r="L565" s="43" t="n">
        <f aca="false">K565*'Chart of Accounts'!$E$68</f>
        <v>9.2259</v>
      </c>
      <c r="O565" s="42" t="n">
        <f aca="false">I565+J565+L565</f>
        <v>85.71</v>
      </c>
    </row>
    <row r="566" customFormat="false" ht="15" hidden="false" customHeight="false" outlineLevel="0" collapsed="false">
      <c r="B566" s="7" t="s">
        <v>9199</v>
      </c>
      <c r="C566" s="39" t="n">
        <v>45693</v>
      </c>
      <c r="D566" s="7" t="s">
        <v>224</v>
      </c>
      <c r="E566" s="7" t="s">
        <v>180</v>
      </c>
      <c r="F566" s="6" t="n">
        <v>4.84</v>
      </c>
      <c r="G566" s="6" t="n">
        <v>0</v>
      </c>
      <c r="H566" s="41" t="n">
        <v>14.93</v>
      </c>
      <c r="I566" s="43" t="n">
        <f aca="false">F566*H566</f>
        <v>72.2612</v>
      </c>
      <c r="J566" s="43" t="n">
        <f aca="false">G566*H566*1.5</f>
        <v>0</v>
      </c>
      <c r="K566" s="6" t="n">
        <v>13.99</v>
      </c>
      <c r="L566" s="43" t="n">
        <f aca="false">K566*'Chart of Accounts'!$E$68</f>
        <v>9.3733</v>
      </c>
      <c r="O566" s="42" t="n">
        <f aca="false">I566+J566+L566</f>
        <v>81.6345</v>
      </c>
    </row>
    <row r="567" customFormat="false" ht="15" hidden="false" customHeight="false" outlineLevel="0" collapsed="false">
      <c r="B567" s="7" t="s">
        <v>9200</v>
      </c>
      <c r="C567" s="39" t="n">
        <v>45693</v>
      </c>
      <c r="D567" s="7" t="s">
        <v>246</v>
      </c>
      <c r="E567" s="7" t="s">
        <v>180</v>
      </c>
      <c r="F567" s="6" t="n">
        <v>4.23</v>
      </c>
      <c r="G567" s="6" t="n">
        <v>0</v>
      </c>
      <c r="H567" s="41" t="n">
        <v>16.48</v>
      </c>
      <c r="I567" s="43" t="n">
        <f aca="false">F567*H567</f>
        <v>69.7104</v>
      </c>
      <c r="J567" s="43" t="n">
        <f aca="false">G567*H567*1.5</f>
        <v>0</v>
      </c>
      <c r="K567" s="6" t="n">
        <v>14.65</v>
      </c>
      <c r="L567" s="43" t="n">
        <f aca="false">K567*'Chart of Accounts'!$E$68</f>
        <v>9.8155</v>
      </c>
      <c r="O567" s="42" t="n">
        <f aca="false">I567+J567+L567</f>
        <v>79.5259</v>
      </c>
    </row>
    <row r="568" customFormat="false" ht="15" hidden="false" customHeight="false" outlineLevel="0" collapsed="false">
      <c r="B568" s="7" t="s">
        <v>9201</v>
      </c>
      <c r="C568" s="39" t="n">
        <v>45693</v>
      </c>
      <c r="D568" s="7" t="s">
        <v>222</v>
      </c>
      <c r="E568" s="7" t="s">
        <v>180</v>
      </c>
      <c r="F568" s="6" t="n">
        <v>4.29</v>
      </c>
      <c r="G568" s="6" t="n">
        <v>0</v>
      </c>
      <c r="H568" s="41" t="n">
        <v>17.84</v>
      </c>
      <c r="I568" s="43" t="n">
        <f aca="false">F568*H568</f>
        <v>76.5336</v>
      </c>
      <c r="J568" s="43" t="n">
        <f aca="false">G568*H568*1.5</f>
        <v>0</v>
      </c>
      <c r="K568" s="6" t="n">
        <v>13.57</v>
      </c>
      <c r="L568" s="43" t="n">
        <f aca="false">K568*'Chart of Accounts'!$E$68</f>
        <v>9.0919</v>
      </c>
      <c r="O568" s="42" t="n">
        <f aca="false">I568+J568+L568</f>
        <v>85.6255</v>
      </c>
    </row>
    <row r="569" customFormat="false" ht="15" hidden="false" customHeight="false" outlineLevel="0" collapsed="false">
      <c r="B569" s="7" t="s">
        <v>9202</v>
      </c>
      <c r="C569" s="39" t="n">
        <v>45693</v>
      </c>
      <c r="D569" s="7" t="s">
        <v>203</v>
      </c>
      <c r="E569" s="7" t="s">
        <v>158</v>
      </c>
      <c r="H569" s="41" t="n">
        <v>49.43</v>
      </c>
      <c r="M569" s="6" t="n">
        <v>1</v>
      </c>
      <c r="N569" s="43" t="n">
        <f aca="false">M569*H569</f>
        <v>49.43</v>
      </c>
      <c r="O569" s="42" t="n">
        <f aca="false">N569</f>
        <v>49.43</v>
      </c>
    </row>
    <row r="570" customFormat="false" ht="15" hidden="false" customHeight="false" outlineLevel="0" collapsed="false">
      <c r="B570" s="7" t="s">
        <v>9203</v>
      </c>
      <c r="C570" s="39" t="n">
        <v>45693</v>
      </c>
      <c r="D570" s="7" t="s">
        <v>262</v>
      </c>
      <c r="E570" s="7" t="s">
        <v>180</v>
      </c>
      <c r="F570" s="6" t="n">
        <v>3.62</v>
      </c>
      <c r="G570" s="6" t="n">
        <v>0</v>
      </c>
      <c r="H570" s="41" t="n">
        <v>16.02</v>
      </c>
      <c r="I570" s="43" t="n">
        <f aca="false">F570*H570</f>
        <v>57.9924</v>
      </c>
      <c r="J570" s="43" t="n">
        <f aca="false">G570*H570*1.5</f>
        <v>0</v>
      </c>
      <c r="K570" s="6" t="n">
        <v>9.06</v>
      </c>
      <c r="L570" s="43" t="n">
        <f aca="false">K570*'Chart of Accounts'!$E$68</f>
        <v>6.0702</v>
      </c>
      <c r="O570" s="42" t="n">
        <f aca="false">I570+J570+L570</f>
        <v>64.0626</v>
      </c>
    </row>
    <row r="571" customFormat="false" ht="15" hidden="false" customHeight="false" outlineLevel="0" collapsed="false">
      <c r="B571" s="7" t="s">
        <v>9204</v>
      </c>
      <c r="C571" s="39" t="n">
        <v>45693</v>
      </c>
      <c r="D571" s="7" t="s">
        <v>214</v>
      </c>
      <c r="E571" s="7" t="s">
        <v>180</v>
      </c>
      <c r="F571" s="6" t="n">
        <v>3.11</v>
      </c>
      <c r="G571" s="6" t="n">
        <v>0</v>
      </c>
      <c r="H571" s="41" t="n">
        <v>15.67</v>
      </c>
      <c r="I571" s="43" t="n">
        <f aca="false">F571*H571</f>
        <v>48.7337</v>
      </c>
      <c r="J571" s="43" t="n">
        <f aca="false">G571*H571*1.5</f>
        <v>0</v>
      </c>
      <c r="K571" s="6" t="n">
        <v>9.17</v>
      </c>
      <c r="L571" s="43" t="n">
        <f aca="false">K571*'Chart of Accounts'!$E$68</f>
        <v>6.1439</v>
      </c>
      <c r="O571" s="42" t="n">
        <f aca="false">I571+J571+L571</f>
        <v>54.8776</v>
      </c>
    </row>
    <row r="572" customFormat="false" ht="15" hidden="false" customHeight="false" outlineLevel="0" collapsed="false">
      <c r="B572" s="7" t="s">
        <v>9205</v>
      </c>
      <c r="C572" s="39" t="n">
        <v>45694</v>
      </c>
      <c r="D572" s="7" t="s">
        <v>201</v>
      </c>
      <c r="E572" s="7" t="s">
        <v>180</v>
      </c>
      <c r="F572" s="6" t="n">
        <v>2.75</v>
      </c>
      <c r="G572" s="6" t="n">
        <v>0</v>
      </c>
      <c r="H572" s="41" t="n">
        <v>15.19</v>
      </c>
      <c r="I572" s="43" t="n">
        <f aca="false">F572*H572</f>
        <v>41.7725</v>
      </c>
      <c r="J572" s="43" t="n">
        <f aca="false">G572*H572*1.5</f>
        <v>0</v>
      </c>
      <c r="K572" s="6" t="n">
        <v>8.53</v>
      </c>
      <c r="L572" s="43" t="n">
        <f aca="false">K572*'Chart of Accounts'!$E$68</f>
        <v>5.7151</v>
      </c>
      <c r="O572" s="42" t="n">
        <f aca="false">I572+J572+L572</f>
        <v>47.4876</v>
      </c>
    </row>
    <row r="573" customFormat="false" ht="15" hidden="false" customHeight="false" outlineLevel="0" collapsed="false">
      <c r="B573" s="7" t="s">
        <v>9206</v>
      </c>
      <c r="C573" s="39" t="n">
        <v>45694</v>
      </c>
      <c r="D573" s="7" t="s">
        <v>184</v>
      </c>
      <c r="E573" s="7" t="s">
        <v>180</v>
      </c>
      <c r="F573" s="6" t="n">
        <v>4.25</v>
      </c>
      <c r="G573" s="6" t="n">
        <v>0</v>
      </c>
      <c r="H573" s="41" t="n">
        <v>17.34</v>
      </c>
      <c r="I573" s="43" t="n">
        <f aca="false">F573*H573</f>
        <v>73.695</v>
      </c>
      <c r="J573" s="43" t="n">
        <f aca="false">G573*H573*1.5</f>
        <v>0</v>
      </c>
      <c r="K573" s="6" t="n">
        <v>11.89</v>
      </c>
      <c r="L573" s="43" t="n">
        <f aca="false">K573*'Chart of Accounts'!$E$68</f>
        <v>7.9663</v>
      </c>
      <c r="O573" s="42" t="n">
        <f aca="false">I573+J573+L573</f>
        <v>81.6613</v>
      </c>
    </row>
    <row r="574" customFormat="false" ht="15" hidden="false" customHeight="false" outlineLevel="0" collapsed="false">
      <c r="B574" s="7" t="s">
        <v>9207</v>
      </c>
      <c r="C574" s="39" t="n">
        <v>45694</v>
      </c>
      <c r="D574" s="7" t="s">
        <v>207</v>
      </c>
      <c r="E574" s="7" t="s">
        <v>180</v>
      </c>
      <c r="F574" s="6" t="n">
        <v>2.78</v>
      </c>
      <c r="G574" s="6" t="n">
        <v>0</v>
      </c>
      <c r="H574" s="41" t="n">
        <v>16.65</v>
      </c>
      <c r="I574" s="43" t="n">
        <f aca="false">F574*H574</f>
        <v>46.287</v>
      </c>
      <c r="J574" s="43" t="n">
        <f aca="false">G574*H574*1.5</f>
        <v>0</v>
      </c>
      <c r="K574" s="6" t="n">
        <v>9.21</v>
      </c>
      <c r="L574" s="43" t="n">
        <f aca="false">K574*'Chart of Accounts'!$E$68</f>
        <v>6.1707</v>
      </c>
      <c r="O574" s="42" t="n">
        <f aca="false">I574+J574+L574</f>
        <v>52.4577</v>
      </c>
    </row>
    <row r="575" customFormat="false" ht="15" hidden="false" customHeight="false" outlineLevel="0" collapsed="false">
      <c r="B575" s="7" t="s">
        <v>9208</v>
      </c>
      <c r="C575" s="39" t="n">
        <v>45694</v>
      </c>
      <c r="D575" s="7" t="s">
        <v>218</v>
      </c>
      <c r="E575" s="7" t="s">
        <v>180</v>
      </c>
      <c r="F575" s="6" t="n">
        <v>4.18</v>
      </c>
      <c r="G575" s="6" t="n">
        <v>0</v>
      </c>
      <c r="H575" s="41" t="n">
        <v>16.19</v>
      </c>
      <c r="I575" s="43" t="n">
        <f aca="false">F575*H575</f>
        <v>67.6742</v>
      </c>
      <c r="J575" s="43" t="n">
        <f aca="false">G575*H575*1.5</f>
        <v>0</v>
      </c>
      <c r="K575" s="6" t="n">
        <v>14.25</v>
      </c>
      <c r="L575" s="43" t="n">
        <f aca="false">K575*'Chart of Accounts'!$E$68</f>
        <v>9.5475</v>
      </c>
      <c r="O575" s="42" t="n">
        <f aca="false">I575+J575+L575</f>
        <v>77.2217</v>
      </c>
    </row>
    <row r="576" customFormat="false" ht="15" hidden="false" customHeight="false" outlineLevel="0" collapsed="false">
      <c r="B576" s="7" t="s">
        <v>9209</v>
      </c>
      <c r="C576" s="39" t="n">
        <v>45694</v>
      </c>
      <c r="D576" s="7" t="s">
        <v>212</v>
      </c>
      <c r="E576" s="7" t="s">
        <v>180</v>
      </c>
      <c r="F576" s="6" t="n">
        <v>6.91</v>
      </c>
      <c r="G576" s="6" t="n">
        <v>0</v>
      </c>
      <c r="H576" s="41" t="n">
        <v>16.71</v>
      </c>
      <c r="I576" s="43" t="n">
        <f aca="false">F576*H576</f>
        <v>115.4661</v>
      </c>
      <c r="J576" s="43" t="n">
        <f aca="false">G576*H576*1.5</f>
        <v>0</v>
      </c>
      <c r="K576" s="6" t="n">
        <v>18.45</v>
      </c>
      <c r="L576" s="43" t="n">
        <f aca="false">K576*'Chart of Accounts'!$E$68</f>
        <v>12.3615</v>
      </c>
      <c r="O576" s="42" t="n">
        <f aca="false">I576+J576+L576</f>
        <v>127.8276</v>
      </c>
    </row>
    <row r="577" customFormat="false" ht="15" hidden="false" customHeight="false" outlineLevel="0" collapsed="false">
      <c r="B577" s="7" t="s">
        <v>9210</v>
      </c>
      <c r="C577" s="39" t="n">
        <v>45694</v>
      </c>
      <c r="D577" s="7" t="s">
        <v>220</v>
      </c>
      <c r="E577" s="7" t="s">
        <v>180</v>
      </c>
      <c r="F577" s="6" t="n">
        <v>4.2</v>
      </c>
      <c r="G577" s="6" t="n">
        <v>0</v>
      </c>
      <c r="H577" s="41" t="n">
        <v>16.43</v>
      </c>
      <c r="I577" s="43" t="n">
        <f aca="false">F577*H577</f>
        <v>69.006</v>
      </c>
      <c r="J577" s="43" t="n">
        <f aca="false">G577*H577*1.5</f>
        <v>0</v>
      </c>
      <c r="K577" s="6" t="n">
        <v>14.99</v>
      </c>
      <c r="L577" s="43" t="n">
        <f aca="false">K577*'Chart of Accounts'!$E$68</f>
        <v>10.0433</v>
      </c>
      <c r="O577" s="42" t="n">
        <f aca="false">I577+J577+L577</f>
        <v>79.0493</v>
      </c>
    </row>
    <row r="578" customFormat="false" ht="15" hidden="false" customHeight="false" outlineLevel="0" collapsed="false">
      <c r="B578" s="7" t="s">
        <v>9211</v>
      </c>
      <c r="C578" s="39" t="n">
        <v>45694</v>
      </c>
      <c r="D578" s="7" t="s">
        <v>224</v>
      </c>
      <c r="E578" s="7" t="s">
        <v>180</v>
      </c>
      <c r="F578" s="6" t="n">
        <v>3.71</v>
      </c>
      <c r="G578" s="6" t="n">
        <v>0</v>
      </c>
      <c r="H578" s="41" t="n">
        <v>14.93</v>
      </c>
      <c r="I578" s="43" t="n">
        <f aca="false">F578*H578</f>
        <v>55.3903</v>
      </c>
      <c r="J578" s="43" t="n">
        <f aca="false">G578*H578*1.5</f>
        <v>0</v>
      </c>
      <c r="K578" s="6" t="n">
        <v>8.96</v>
      </c>
      <c r="L578" s="43" t="n">
        <f aca="false">K578*'Chart of Accounts'!$E$68</f>
        <v>6.0032</v>
      </c>
      <c r="O578" s="42" t="n">
        <f aca="false">I578+J578+L578</f>
        <v>61.3935</v>
      </c>
    </row>
    <row r="579" customFormat="false" ht="15" hidden="false" customHeight="false" outlineLevel="0" collapsed="false">
      <c r="B579" s="7" t="s">
        <v>9212</v>
      </c>
      <c r="C579" s="39" t="n">
        <v>45694</v>
      </c>
      <c r="D579" s="7" t="s">
        <v>232</v>
      </c>
      <c r="E579" s="7" t="s">
        <v>180</v>
      </c>
      <c r="F579" s="6" t="n">
        <v>3.09</v>
      </c>
      <c r="G579" s="6" t="n">
        <v>0</v>
      </c>
      <c r="H579" s="41" t="n">
        <v>16.17</v>
      </c>
      <c r="I579" s="43" t="n">
        <f aca="false">F579*H579</f>
        <v>49.9653</v>
      </c>
      <c r="J579" s="43" t="n">
        <f aca="false">G579*H579*1.5</f>
        <v>0</v>
      </c>
      <c r="K579" s="6" t="n">
        <v>7.38</v>
      </c>
      <c r="L579" s="43" t="n">
        <f aca="false">K579*'Chart of Accounts'!$E$68</f>
        <v>4.9446</v>
      </c>
      <c r="O579" s="42" t="n">
        <f aca="false">I579+J579+L579</f>
        <v>54.9099</v>
      </c>
    </row>
    <row r="580" customFormat="false" ht="15" hidden="false" customHeight="false" outlineLevel="0" collapsed="false">
      <c r="B580" s="7" t="s">
        <v>9213</v>
      </c>
      <c r="C580" s="39" t="n">
        <v>45694</v>
      </c>
      <c r="D580" s="7" t="s">
        <v>222</v>
      </c>
      <c r="E580" s="7" t="s">
        <v>180</v>
      </c>
      <c r="F580" s="6" t="n">
        <v>7.21</v>
      </c>
      <c r="G580" s="6" t="n">
        <v>0</v>
      </c>
      <c r="H580" s="41" t="n">
        <v>17.84</v>
      </c>
      <c r="I580" s="43" t="n">
        <f aca="false">F580*H580</f>
        <v>128.6264</v>
      </c>
      <c r="J580" s="43" t="n">
        <f aca="false">G580*H580*1.5</f>
        <v>0</v>
      </c>
      <c r="K580" s="6" t="n">
        <v>20.76</v>
      </c>
      <c r="L580" s="43" t="n">
        <f aca="false">K580*'Chart of Accounts'!$E$68</f>
        <v>13.9092</v>
      </c>
      <c r="O580" s="42" t="n">
        <f aca="false">I580+J580+L580</f>
        <v>142.5356</v>
      </c>
    </row>
    <row r="581" customFormat="false" ht="15" hidden="false" customHeight="false" outlineLevel="0" collapsed="false">
      <c r="B581" s="7" t="s">
        <v>9214</v>
      </c>
      <c r="C581" s="39" t="n">
        <v>45694</v>
      </c>
      <c r="D581" s="7" t="s">
        <v>262</v>
      </c>
      <c r="E581" s="7" t="s">
        <v>180</v>
      </c>
      <c r="F581" s="6" t="n">
        <v>4.15</v>
      </c>
      <c r="G581" s="6" t="n">
        <v>0</v>
      </c>
      <c r="H581" s="41" t="n">
        <v>16.02</v>
      </c>
      <c r="I581" s="43" t="n">
        <f aca="false">F581*H581</f>
        <v>66.483</v>
      </c>
      <c r="J581" s="43" t="n">
        <f aca="false">G581*H581*1.5</f>
        <v>0</v>
      </c>
      <c r="K581" s="6" t="n">
        <v>10.69</v>
      </c>
      <c r="L581" s="43" t="n">
        <f aca="false">K581*'Chart of Accounts'!$E$68</f>
        <v>7.1623</v>
      </c>
      <c r="O581" s="42" t="n">
        <f aca="false">I581+J581+L581</f>
        <v>73.6453</v>
      </c>
    </row>
    <row r="582" customFormat="false" ht="15" hidden="false" customHeight="false" outlineLevel="0" collapsed="false">
      <c r="B582" s="7" t="s">
        <v>9215</v>
      </c>
      <c r="C582" s="39" t="n">
        <v>45694</v>
      </c>
      <c r="D582" s="7" t="s">
        <v>246</v>
      </c>
      <c r="E582" s="7" t="s">
        <v>180</v>
      </c>
      <c r="F582" s="6" t="n">
        <v>8.13</v>
      </c>
      <c r="G582" s="6" t="n">
        <v>0</v>
      </c>
      <c r="H582" s="41" t="n">
        <v>16.48</v>
      </c>
      <c r="I582" s="43" t="n">
        <f aca="false">F582*H582</f>
        <v>133.9824</v>
      </c>
      <c r="J582" s="43" t="n">
        <f aca="false">G582*H582*1.5</f>
        <v>0</v>
      </c>
      <c r="K582" s="6" t="n">
        <v>25.44</v>
      </c>
      <c r="L582" s="43" t="n">
        <f aca="false">K582*'Chart of Accounts'!$E$68</f>
        <v>17.0448</v>
      </c>
      <c r="O582" s="42" t="n">
        <f aca="false">I582+J582+L582</f>
        <v>151.0272</v>
      </c>
    </row>
    <row r="583" customFormat="false" ht="15" hidden="false" customHeight="false" outlineLevel="0" collapsed="false">
      <c r="B583" s="7" t="s">
        <v>9216</v>
      </c>
      <c r="C583" s="39" t="n">
        <v>45694</v>
      </c>
      <c r="D583" s="7" t="s">
        <v>196</v>
      </c>
      <c r="E583" s="7" t="s">
        <v>180</v>
      </c>
      <c r="F583" s="6" t="n">
        <v>2.78</v>
      </c>
      <c r="G583" s="6" t="n">
        <v>0</v>
      </c>
      <c r="H583" s="41" t="n">
        <v>15.05</v>
      </c>
      <c r="I583" s="43" t="n">
        <f aca="false">F583*H583</f>
        <v>41.839</v>
      </c>
      <c r="J583" s="43" t="n">
        <f aca="false">G583*H583*1.5</f>
        <v>0</v>
      </c>
      <c r="K583" s="6" t="n">
        <v>7.45</v>
      </c>
      <c r="L583" s="43" t="n">
        <f aca="false">K583*'Chart of Accounts'!$E$68</f>
        <v>4.9915</v>
      </c>
      <c r="O583" s="42" t="n">
        <f aca="false">I583+J583+L583</f>
        <v>46.8305</v>
      </c>
    </row>
    <row r="584" customFormat="false" ht="15" hidden="false" customHeight="false" outlineLevel="0" collapsed="false">
      <c r="B584" s="7" t="s">
        <v>9217</v>
      </c>
      <c r="C584" s="39" t="n">
        <v>45694</v>
      </c>
      <c r="D584" s="7" t="s">
        <v>214</v>
      </c>
      <c r="E584" s="7" t="s">
        <v>180</v>
      </c>
      <c r="F584" s="6" t="n">
        <v>4.04</v>
      </c>
      <c r="G584" s="6" t="n">
        <v>0</v>
      </c>
      <c r="H584" s="41" t="n">
        <v>15.67</v>
      </c>
      <c r="I584" s="43" t="n">
        <f aca="false">F584*H584</f>
        <v>63.3068</v>
      </c>
      <c r="J584" s="43" t="n">
        <f aca="false">G584*H584*1.5</f>
        <v>0</v>
      </c>
      <c r="K584" s="6" t="n">
        <v>12.87</v>
      </c>
      <c r="L584" s="43" t="n">
        <f aca="false">K584*'Chart of Accounts'!$E$68</f>
        <v>8.6229</v>
      </c>
      <c r="O584" s="42" t="n">
        <f aca="false">I584+J584+L584</f>
        <v>71.9297</v>
      </c>
    </row>
    <row r="585" customFormat="false" ht="15" hidden="false" customHeight="false" outlineLevel="0" collapsed="false">
      <c r="B585" s="7" t="s">
        <v>9218</v>
      </c>
      <c r="C585" s="39" t="n">
        <v>45694</v>
      </c>
      <c r="D585" s="7" t="s">
        <v>242</v>
      </c>
      <c r="E585" s="7" t="s">
        <v>180</v>
      </c>
      <c r="F585" s="6" t="n">
        <v>4.01</v>
      </c>
      <c r="G585" s="6" t="n">
        <v>0</v>
      </c>
      <c r="H585" s="41" t="n">
        <v>17.99</v>
      </c>
      <c r="I585" s="43" t="n">
        <f aca="false">F585*H585</f>
        <v>72.1399</v>
      </c>
      <c r="J585" s="43" t="n">
        <f aca="false">G585*H585*1.5</f>
        <v>0</v>
      </c>
      <c r="K585" s="6" t="n">
        <v>12.31</v>
      </c>
      <c r="L585" s="43" t="n">
        <f aca="false">K585*'Chart of Accounts'!$E$68</f>
        <v>8.2477</v>
      </c>
      <c r="O585" s="42" t="n">
        <f aca="false">I585+J585+L585</f>
        <v>80.3876</v>
      </c>
    </row>
    <row r="586" customFormat="false" ht="15" hidden="false" customHeight="false" outlineLevel="0" collapsed="false">
      <c r="B586" s="7" t="s">
        <v>9219</v>
      </c>
      <c r="C586" s="39" t="n">
        <v>45694</v>
      </c>
      <c r="D586" s="7" t="s">
        <v>254</v>
      </c>
      <c r="E586" s="7" t="s">
        <v>180</v>
      </c>
      <c r="F586" s="6" t="n">
        <v>3.64</v>
      </c>
      <c r="G586" s="6" t="n">
        <v>0</v>
      </c>
      <c r="H586" s="41" t="n">
        <v>17.1</v>
      </c>
      <c r="I586" s="43" t="n">
        <f aca="false">F586*H586</f>
        <v>62.244</v>
      </c>
      <c r="J586" s="43" t="n">
        <f aca="false">G586*H586*1.5</f>
        <v>0</v>
      </c>
      <c r="K586" s="6" t="n">
        <v>10.35</v>
      </c>
      <c r="L586" s="43" t="n">
        <f aca="false">K586*'Chart of Accounts'!$E$68</f>
        <v>6.9345</v>
      </c>
      <c r="O586" s="42" t="n">
        <f aca="false">I586+J586+L586</f>
        <v>69.1785</v>
      </c>
    </row>
    <row r="587" customFormat="false" ht="15" hidden="false" customHeight="false" outlineLevel="0" collapsed="false">
      <c r="B587" s="7" t="s">
        <v>9220</v>
      </c>
      <c r="C587" s="39" t="n">
        <v>45695</v>
      </c>
      <c r="D587" s="7" t="s">
        <v>187</v>
      </c>
      <c r="E587" s="7" t="s">
        <v>158</v>
      </c>
      <c r="H587" s="41" t="n">
        <v>66.48</v>
      </c>
      <c r="M587" s="6" t="n">
        <v>1</v>
      </c>
      <c r="N587" s="43" t="n">
        <f aca="false">M587*H587</f>
        <v>66.48</v>
      </c>
      <c r="O587" s="42" t="n">
        <f aca="false">N587</f>
        <v>66.48</v>
      </c>
    </row>
    <row r="588" customFormat="false" ht="15" hidden="false" customHeight="false" outlineLevel="0" collapsed="false">
      <c r="B588" s="7" t="s">
        <v>9221</v>
      </c>
      <c r="C588" s="39" t="n">
        <v>45695</v>
      </c>
      <c r="D588" s="7" t="s">
        <v>191</v>
      </c>
      <c r="E588" s="7" t="s">
        <v>180</v>
      </c>
      <c r="F588" s="6" t="n">
        <v>4.08</v>
      </c>
      <c r="G588" s="6" t="n">
        <v>0</v>
      </c>
      <c r="H588" s="41" t="n">
        <v>16.05</v>
      </c>
      <c r="I588" s="43" t="n">
        <f aca="false">F588*H588</f>
        <v>65.484</v>
      </c>
      <c r="J588" s="43" t="n">
        <f aca="false">G588*H588*1.5</f>
        <v>0</v>
      </c>
      <c r="K588" s="6" t="n">
        <v>9.52</v>
      </c>
      <c r="L588" s="43" t="n">
        <f aca="false">K588*'Chart of Accounts'!$E$68</f>
        <v>6.3784</v>
      </c>
      <c r="O588" s="42" t="n">
        <f aca="false">I588+J588+L588</f>
        <v>71.8624</v>
      </c>
    </row>
    <row r="589" customFormat="false" ht="15" hidden="false" customHeight="false" outlineLevel="0" collapsed="false">
      <c r="B589" s="7" t="s">
        <v>9222</v>
      </c>
      <c r="C589" s="39" t="n">
        <v>45695</v>
      </c>
      <c r="D589" s="7" t="s">
        <v>194</v>
      </c>
      <c r="E589" s="7" t="s">
        <v>180</v>
      </c>
      <c r="F589" s="6" t="n">
        <v>5.12</v>
      </c>
      <c r="G589" s="6" t="n">
        <v>0</v>
      </c>
      <c r="H589" s="41" t="n">
        <v>16</v>
      </c>
      <c r="I589" s="43" t="n">
        <f aca="false">F589*H589</f>
        <v>81.92</v>
      </c>
      <c r="J589" s="43" t="n">
        <f aca="false">G589*H589*1.5</f>
        <v>0</v>
      </c>
      <c r="K589" s="6" t="n">
        <v>11.58</v>
      </c>
      <c r="L589" s="43" t="n">
        <f aca="false">K589*'Chart of Accounts'!$E$68</f>
        <v>7.7586</v>
      </c>
      <c r="O589" s="42" t="n">
        <f aca="false">I589+J589+L589</f>
        <v>89.6786</v>
      </c>
    </row>
    <row r="590" customFormat="false" ht="15" hidden="false" customHeight="false" outlineLevel="0" collapsed="false">
      <c r="B590" s="7" t="s">
        <v>9223</v>
      </c>
      <c r="C590" s="39" t="n">
        <v>45695</v>
      </c>
      <c r="D590" s="7" t="s">
        <v>209</v>
      </c>
      <c r="E590" s="7" t="s">
        <v>158</v>
      </c>
      <c r="H590" s="41" t="n">
        <v>73.58</v>
      </c>
      <c r="M590" s="6" t="n">
        <v>1</v>
      </c>
      <c r="N590" s="43" t="n">
        <f aca="false">M590*H590</f>
        <v>73.58</v>
      </c>
      <c r="O590" s="42" t="n">
        <f aca="false">N590</f>
        <v>73.58</v>
      </c>
    </row>
    <row r="591" customFormat="false" ht="15" hidden="false" customHeight="false" outlineLevel="0" collapsed="false">
      <c r="B591" s="7" t="s">
        <v>9224</v>
      </c>
      <c r="C591" s="39" t="n">
        <v>45695</v>
      </c>
      <c r="D591" s="7" t="s">
        <v>205</v>
      </c>
      <c r="E591" s="7" t="s">
        <v>180</v>
      </c>
      <c r="F591" s="6" t="n">
        <v>4.15</v>
      </c>
      <c r="G591" s="6" t="n">
        <v>0</v>
      </c>
      <c r="H591" s="41" t="n">
        <v>16.36</v>
      </c>
      <c r="I591" s="43" t="n">
        <f aca="false">F591*H591</f>
        <v>67.894</v>
      </c>
      <c r="J591" s="43" t="n">
        <f aca="false">G591*H591*1.5</f>
        <v>0</v>
      </c>
      <c r="K591" s="6" t="n">
        <v>9.75</v>
      </c>
      <c r="L591" s="43" t="n">
        <f aca="false">K591*'Chart of Accounts'!$E$68</f>
        <v>6.5325</v>
      </c>
      <c r="O591" s="42" t="n">
        <f aca="false">I591+J591+L591</f>
        <v>74.4265</v>
      </c>
    </row>
    <row r="592" customFormat="false" ht="15" hidden="false" customHeight="false" outlineLevel="0" collapsed="false">
      <c r="B592" s="7" t="s">
        <v>9225</v>
      </c>
      <c r="C592" s="39" t="n">
        <v>45695</v>
      </c>
      <c r="D592" s="7" t="s">
        <v>184</v>
      </c>
      <c r="E592" s="7" t="s">
        <v>180</v>
      </c>
      <c r="F592" s="6" t="n">
        <v>3.61</v>
      </c>
      <c r="G592" s="6" t="n">
        <v>0</v>
      </c>
      <c r="H592" s="41" t="n">
        <v>17.34</v>
      </c>
      <c r="I592" s="43" t="n">
        <f aca="false">F592*H592</f>
        <v>62.5974</v>
      </c>
      <c r="J592" s="43" t="n">
        <f aca="false">G592*H592*1.5</f>
        <v>0</v>
      </c>
      <c r="K592" s="6" t="n">
        <v>10.13</v>
      </c>
      <c r="L592" s="43" t="n">
        <f aca="false">K592*'Chart of Accounts'!$E$68</f>
        <v>6.7871</v>
      </c>
      <c r="O592" s="42" t="n">
        <f aca="false">I592+J592+L592</f>
        <v>69.3845</v>
      </c>
    </row>
    <row r="593" customFormat="false" ht="15" hidden="false" customHeight="false" outlineLevel="0" collapsed="false">
      <c r="B593" s="7" t="s">
        <v>9226</v>
      </c>
      <c r="C593" s="39" t="n">
        <v>45695</v>
      </c>
      <c r="D593" s="7" t="s">
        <v>234</v>
      </c>
      <c r="E593" s="7" t="s">
        <v>158</v>
      </c>
      <c r="H593" s="41" t="n">
        <v>89.53</v>
      </c>
      <c r="M593" s="6" t="n">
        <v>2</v>
      </c>
      <c r="N593" s="43" t="n">
        <f aca="false">M593*H593</f>
        <v>179.06</v>
      </c>
      <c r="O593" s="42" t="n">
        <f aca="false">N593</f>
        <v>179.06</v>
      </c>
    </row>
    <row r="594" customFormat="false" ht="15" hidden="false" customHeight="false" outlineLevel="0" collapsed="false">
      <c r="B594" s="7" t="s">
        <v>9227</v>
      </c>
      <c r="C594" s="39" t="n">
        <v>45695</v>
      </c>
      <c r="D594" s="7" t="s">
        <v>218</v>
      </c>
      <c r="E594" s="7" t="s">
        <v>180</v>
      </c>
      <c r="F594" s="6" t="n">
        <v>4.17</v>
      </c>
      <c r="G594" s="6" t="n">
        <v>0</v>
      </c>
      <c r="H594" s="41" t="n">
        <v>16.19</v>
      </c>
      <c r="I594" s="43" t="n">
        <f aca="false">F594*H594</f>
        <v>67.5123</v>
      </c>
      <c r="J594" s="43" t="n">
        <f aca="false">G594*H594*1.5</f>
        <v>0</v>
      </c>
      <c r="K594" s="6" t="n">
        <v>12.73</v>
      </c>
      <c r="L594" s="43" t="n">
        <f aca="false">K594*'Chart of Accounts'!$E$68</f>
        <v>8.5291</v>
      </c>
      <c r="O594" s="42" t="n">
        <f aca="false">I594+J594+L594</f>
        <v>76.0414</v>
      </c>
    </row>
    <row r="595" customFormat="false" ht="15" hidden="false" customHeight="false" outlineLevel="0" collapsed="false">
      <c r="B595" s="7" t="s">
        <v>9228</v>
      </c>
      <c r="C595" s="39" t="n">
        <v>45695</v>
      </c>
      <c r="D595" s="7" t="s">
        <v>266</v>
      </c>
      <c r="E595" s="7" t="s">
        <v>158</v>
      </c>
      <c r="H595" s="41" t="n">
        <v>75.18</v>
      </c>
      <c r="M595" s="6" t="n">
        <v>1</v>
      </c>
      <c r="N595" s="43" t="n">
        <f aca="false">M595*H595</f>
        <v>75.18</v>
      </c>
      <c r="O595" s="42" t="n">
        <f aca="false">N595</f>
        <v>75.18</v>
      </c>
    </row>
    <row r="596" customFormat="false" ht="15" hidden="false" customHeight="false" outlineLevel="0" collapsed="false">
      <c r="B596" s="7" t="s">
        <v>9229</v>
      </c>
      <c r="C596" s="39" t="n">
        <v>45695</v>
      </c>
      <c r="D596" s="7" t="s">
        <v>228</v>
      </c>
      <c r="E596" s="7" t="s">
        <v>158</v>
      </c>
      <c r="H596" s="41" t="n">
        <v>51.07</v>
      </c>
      <c r="M596" s="6" t="n">
        <v>1</v>
      </c>
      <c r="N596" s="43" t="n">
        <f aca="false">M596*H596</f>
        <v>51.07</v>
      </c>
      <c r="O596" s="42" t="n">
        <f aca="false">N596</f>
        <v>51.07</v>
      </c>
    </row>
    <row r="597" customFormat="false" ht="15" hidden="false" customHeight="false" outlineLevel="0" collapsed="false">
      <c r="B597" s="7" t="s">
        <v>9230</v>
      </c>
      <c r="C597" s="39" t="n">
        <v>45695</v>
      </c>
      <c r="D597" s="7" t="s">
        <v>220</v>
      </c>
      <c r="E597" s="7" t="s">
        <v>180</v>
      </c>
      <c r="F597" s="6" t="n">
        <v>4.34</v>
      </c>
      <c r="G597" s="6" t="n">
        <v>0</v>
      </c>
      <c r="H597" s="41" t="n">
        <v>16.43</v>
      </c>
      <c r="I597" s="43" t="n">
        <f aca="false">F597*H597</f>
        <v>71.3062</v>
      </c>
      <c r="J597" s="43" t="n">
        <f aca="false">G597*H597*1.5</f>
        <v>0</v>
      </c>
      <c r="K597" s="6" t="n">
        <v>14.69</v>
      </c>
      <c r="L597" s="43" t="n">
        <f aca="false">K597*'Chart of Accounts'!$E$68</f>
        <v>9.8423</v>
      </c>
      <c r="O597" s="42" t="n">
        <f aca="false">I597+J597+L597</f>
        <v>81.1485</v>
      </c>
    </row>
    <row r="598" customFormat="false" ht="15" hidden="false" customHeight="false" outlineLevel="0" collapsed="false">
      <c r="B598" s="7" t="s">
        <v>9231</v>
      </c>
      <c r="C598" s="39" t="n">
        <v>45695</v>
      </c>
      <c r="D598" s="7" t="s">
        <v>177</v>
      </c>
      <c r="E598" s="7" t="s">
        <v>180</v>
      </c>
      <c r="F598" s="6" t="n">
        <v>8.29</v>
      </c>
      <c r="G598" s="6" t="n">
        <v>0</v>
      </c>
      <c r="H598" s="41" t="n">
        <v>14.56</v>
      </c>
      <c r="I598" s="43" t="n">
        <f aca="false">F598*H598</f>
        <v>120.7024</v>
      </c>
      <c r="J598" s="43" t="n">
        <f aca="false">G598*H598*1.5</f>
        <v>0</v>
      </c>
      <c r="K598" s="6" t="n">
        <v>23.85</v>
      </c>
      <c r="L598" s="43" t="n">
        <f aca="false">K598*'Chart of Accounts'!$E$68</f>
        <v>15.9795</v>
      </c>
      <c r="O598" s="42" t="n">
        <f aca="false">I598+J598+L598</f>
        <v>136.6819</v>
      </c>
    </row>
    <row r="599" customFormat="false" ht="15" hidden="false" customHeight="false" outlineLevel="0" collapsed="false">
      <c r="B599" s="7" t="s">
        <v>9232</v>
      </c>
      <c r="C599" s="39" t="n">
        <v>45695</v>
      </c>
      <c r="D599" s="7" t="s">
        <v>242</v>
      </c>
      <c r="E599" s="7" t="s">
        <v>180</v>
      </c>
      <c r="F599" s="6" t="n">
        <v>7.49</v>
      </c>
      <c r="G599" s="6" t="n">
        <v>0</v>
      </c>
      <c r="H599" s="41" t="n">
        <v>17.99</v>
      </c>
      <c r="I599" s="43" t="n">
        <f aca="false">F599*H599</f>
        <v>134.7451</v>
      </c>
      <c r="J599" s="43" t="n">
        <f aca="false">G599*H599*1.5</f>
        <v>0</v>
      </c>
      <c r="K599" s="6" t="n">
        <v>17.86</v>
      </c>
      <c r="L599" s="43" t="n">
        <f aca="false">K599*'Chart of Accounts'!$E$68</f>
        <v>11.9662</v>
      </c>
      <c r="O599" s="42" t="n">
        <f aca="false">I599+J599+L599</f>
        <v>146.7113</v>
      </c>
    </row>
    <row r="600" customFormat="false" ht="15" hidden="false" customHeight="false" outlineLevel="0" collapsed="false">
      <c r="B600" s="7" t="s">
        <v>9233</v>
      </c>
      <c r="C600" s="39" t="n">
        <v>45695</v>
      </c>
      <c r="D600" s="7" t="s">
        <v>254</v>
      </c>
      <c r="E600" s="7" t="s">
        <v>180</v>
      </c>
      <c r="F600" s="6" t="n">
        <v>7.18</v>
      </c>
      <c r="G600" s="6" t="n">
        <v>0</v>
      </c>
      <c r="H600" s="41" t="n">
        <v>17.1</v>
      </c>
      <c r="I600" s="43" t="n">
        <f aca="false">F600*H600</f>
        <v>122.778</v>
      </c>
      <c r="J600" s="43" t="n">
        <f aca="false">G600*H600*1.5</f>
        <v>0</v>
      </c>
      <c r="K600" s="6" t="n">
        <v>22</v>
      </c>
      <c r="L600" s="43" t="n">
        <f aca="false">K600*'Chart of Accounts'!$E$68</f>
        <v>14.74</v>
      </c>
      <c r="O600" s="42" t="n">
        <f aca="false">I600+J600+L600</f>
        <v>137.518</v>
      </c>
    </row>
    <row r="601" customFormat="false" ht="15" hidden="false" customHeight="false" outlineLevel="0" collapsed="false">
      <c r="B601" s="7" t="s">
        <v>9234</v>
      </c>
      <c r="C601" s="39" t="n">
        <v>45695</v>
      </c>
      <c r="D601" s="7" t="s">
        <v>201</v>
      </c>
      <c r="E601" s="7" t="s">
        <v>180</v>
      </c>
      <c r="F601" s="6" t="n">
        <v>3.16</v>
      </c>
      <c r="G601" s="6" t="n">
        <v>0</v>
      </c>
      <c r="H601" s="41" t="n">
        <v>15.19</v>
      </c>
      <c r="I601" s="43" t="n">
        <f aca="false">F601*H601</f>
        <v>48.0004</v>
      </c>
      <c r="J601" s="43" t="n">
        <f aca="false">G601*H601*1.5</f>
        <v>0</v>
      </c>
      <c r="K601" s="6" t="n">
        <v>8.5</v>
      </c>
      <c r="L601" s="43" t="n">
        <f aca="false">K601*'Chart of Accounts'!$E$68</f>
        <v>5.695</v>
      </c>
      <c r="O601" s="42" t="n">
        <f aca="false">I601+J601+L601</f>
        <v>53.6954</v>
      </c>
    </row>
    <row r="602" customFormat="false" ht="15" hidden="false" customHeight="false" outlineLevel="0" collapsed="false">
      <c r="B602" s="7" t="s">
        <v>9235</v>
      </c>
      <c r="C602" s="39" t="n">
        <v>45695</v>
      </c>
      <c r="D602" s="7" t="s">
        <v>207</v>
      </c>
      <c r="E602" s="7" t="s">
        <v>180</v>
      </c>
      <c r="F602" s="6" t="n">
        <v>3.41</v>
      </c>
      <c r="G602" s="6" t="n">
        <v>0</v>
      </c>
      <c r="H602" s="41" t="n">
        <v>16.65</v>
      </c>
      <c r="I602" s="43" t="n">
        <f aca="false">F602*H602</f>
        <v>56.7765</v>
      </c>
      <c r="J602" s="43" t="n">
        <f aca="false">G602*H602*1.5</f>
        <v>0</v>
      </c>
      <c r="K602" s="6" t="n">
        <v>10.23</v>
      </c>
      <c r="L602" s="43" t="n">
        <f aca="false">K602*'Chart of Accounts'!$E$68</f>
        <v>6.8541</v>
      </c>
      <c r="O602" s="42" t="n">
        <f aca="false">I602+J602+L602</f>
        <v>63.6306</v>
      </c>
    </row>
    <row r="603" customFormat="false" ht="15" hidden="false" customHeight="false" outlineLevel="0" collapsed="false">
      <c r="B603" s="7" t="s">
        <v>9236</v>
      </c>
      <c r="C603" s="39" t="n">
        <v>45695</v>
      </c>
      <c r="D603" s="7" t="s">
        <v>212</v>
      </c>
      <c r="E603" s="7" t="s">
        <v>180</v>
      </c>
      <c r="F603" s="6" t="n">
        <v>4.13</v>
      </c>
      <c r="G603" s="6" t="n">
        <v>0</v>
      </c>
      <c r="H603" s="41" t="n">
        <v>16.71</v>
      </c>
      <c r="I603" s="43" t="n">
        <f aca="false">F603*H603</f>
        <v>69.0123</v>
      </c>
      <c r="J603" s="43" t="n">
        <f aca="false">G603*H603*1.5</f>
        <v>0</v>
      </c>
      <c r="K603" s="6" t="n">
        <v>9.35</v>
      </c>
      <c r="L603" s="43" t="n">
        <f aca="false">K603*'Chart of Accounts'!$E$68</f>
        <v>6.2645</v>
      </c>
      <c r="O603" s="42" t="n">
        <f aca="false">I603+J603+L603</f>
        <v>75.2768</v>
      </c>
    </row>
    <row r="604" customFormat="false" ht="15" hidden="false" customHeight="false" outlineLevel="0" collapsed="false">
      <c r="B604" s="7" t="s">
        <v>9237</v>
      </c>
      <c r="C604" s="39" t="n">
        <v>45695</v>
      </c>
      <c r="D604" s="7" t="s">
        <v>232</v>
      </c>
      <c r="E604" s="7" t="s">
        <v>180</v>
      </c>
      <c r="F604" s="6" t="n">
        <v>5.09</v>
      </c>
      <c r="G604" s="6" t="n">
        <v>0</v>
      </c>
      <c r="H604" s="41" t="n">
        <v>16.17</v>
      </c>
      <c r="I604" s="43" t="n">
        <f aca="false">F604*H604</f>
        <v>82.3053</v>
      </c>
      <c r="J604" s="43" t="n">
        <f aca="false">G604*H604*1.5</f>
        <v>0</v>
      </c>
      <c r="K604" s="6" t="n">
        <v>17.24</v>
      </c>
      <c r="L604" s="43" t="n">
        <f aca="false">K604*'Chart of Accounts'!$E$68</f>
        <v>11.5508</v>
      </c>
      <c r="O604" s="42" t="n">
        <f aca="false">I604+J604+L604</f>
        <v>93.8561</v>
      </c>
    </row>
    <row r="605" customFormat="false" ht="15" hidden="false" customHeight="false" outlineLevel="0" collapsed="false">
      <c r="B605" s="7" t="s">
        <v>9238</v>
      </c>
      <c r="C605" s="39" t="n">
        <v>45695</v>
      </c>
      <c r="D605" s="7" t="s">
        <v>224</v>
      </c>
      <c r="E605" s="7" t="s">
        <v>180</v>
      </c>
      <c r="F605" s="6" t="n">
        <v>4.87</v>
      </c>
      <c r="G605" s="6" t="n">
        <v>0</v>
      </c>
      <c r="H605" s="41" t="n">
        <v>14.93</v>
      </c>
      <c r="I605" s="43" t="n">
        <f aca="false">F605*H605</f>
        <v>72.7091</v>
      </c>
      <c r="J605" s="43" t="n">
        <f aca="false">G605*H605*1.5</f>
        <v>0</v>
      </c>
      <c r="K605" s="6" t="n">
        <v>11.77</v>
      </c>
      <c r="L605" s="43" t="n">
        <f aca="false">K605*'Chart of Accounts'!$E$68</f>
        <v>7.8859</v>
      </c>
      <c r="O605" s="42" t="n">
        <f aca="false">I605+J605+L605</f>
        <v>80.595</v>
      </c>
    </row>
    <row r="606" customFormat="false" ht="15" hidden="false" customHeight="false" outlineLevel="0" collapsed="false">
      <c r="B606" s="7" t="s">
        <v>9239</v>
      </c>
      <c r="C606" s="39" t="n">
        <v>45695</v>
      </c>
      <c r="D606" s="7" t="s">
        <v>246</v>
      </c>
      <c r="E606" s="7" t="s">
        <v>180</v>
      </c>
      <c r="F606" s="6" t="n">
        <v>4.22</v>
      </c>
      <c r="G606" s="6" t="n">
        <v>0</v>
      </c>
      <c r="H606" s="41" t="n">
        <v>16.48</v>
      </c>
      <c r="I606" s="43" t="n">
        <f aca="false">F606*H606</f>
        <v>69.5456</v>
      </c>
      <c r="J606" s="43" t="n">
        <f aca="false">G606*H606*1.5</f>
        <v>0</v>
      </c>
      <c r="K606" s="6" t="n">
        <v>13.56</v>
      </c>
      <c r="L606" s="43" t="n">
        <f aca="false">K606*'Chart of Accounts'!$E$68</f>
        <v>9.0852</v>
      </c>
      <c r="O606" s="42" t="n">
        <f aca="false">I606+J606+L606</f>
        <v>78.6308</v>
      </c>
    </row>
    <row r="607" customFormat="false" ht="15" hidden="false" customHeight="false" outlineLevel="0" collapsed="false">
      <c r="B607" s="7" t="s">
        <v>9240</v>
      </c>
      <c r="C607" s="39" t="n">
        <v>45695</v>
      </c>
      <c r="D607" s="7" t="s">
        <v>222</v>
      </c>
      <c r="E607" s="7" t="s">
        <v>180</v>
      </c>
      <c r="F607" s="6" t="n">
        <v>3.82</v>
      </c>
      <c r="G607" s="6" t="n">
        <v>0</v>
      </c>
      <c r="H607" s="41" t="n">
        <v>17.84</v>
      </c>
      <c r="I607" s="43" t="n">
        <f aca="false">F607*H607</f>
        <v>68.1488</v>
      </c>
      <c r="J607" s="43" t="n">
        <f aca="false">G607*H607*1.5</f>
        <v>0</v>
      </c>
      <c r="K607" s="6" t="n">
        <v>10.29</v>
      </c>
      <c r="L607" s="43" t="n">
        <f aca="false">K607*'Chart of Accounts'!$E$68</f>
        <v>6.8943</v>
      </c>
      <c r="O607" s="42" t="n">
        <f aca="false">I607+J607+L607</f>
        <v>75.0431</v>
      </c>
    </row>
    <row r="608" customFormat="false" ht="15" hidden="false" customHeight="false" outlineLevel="0" collapsed="false">
      <c r="B608" s="7" t="s">
        <v>9241</v>
      </c>
      <c r="C608" s="39" t="n">
        <v>45695</v>
      </c>
      <c r="D608" s="7" t="s">
        <v>262</v>
      </c>
      <c r="E608" s="7" t="s">
        <v>180</v>
      </c>
      <c r="F608" s="6" t="n">
        <v>3.24</v>
      </c>
      <c r="G608" s="6" t="n">
        <v>0</v>
      </c>
      <c r="H608" s="41" t="n">
        <v>16.02</v>
      </c>
      <c r="I608" s="43" t="n">
        <f aca="false">F608*H608</f>
        <v>51.9048</v>
      </c>
      <c r="J608" s="43" t="n">
        <f aca="false">G608*H608*1.5</f>
        <v>0</v>
      </c>
      <c r="K608" s="6" t="n">
        <v>8.21</v>
      </c>
      <c r="L608" s="43" t="n">
        <f aca="false">K608*'Chart of Accounts'!$E$68</f>
        <v>5.5007</v>
      </c>
      <c r="O608" s="42" t="n">
        <f aca="false">I608+J608+L608</f>
        <v>57.4055</v>
      </c>
    </row>
    <row r="609" customFormat="false" ht="15" hidden="false" customHeight="false" outlineLevel="0" collapsed="false">
      <c r="B609" s="7" t="s">
        <v>9242</v>
      </c>
      <c r="C609" s="39" t="n">
        <v>45695</v>
      </c>
      <c r="D609" s="7" t="s">
        <v>260</v>
      </c>
      <c r="E609" s="7" t="s">
        <v>158</v>
      </c>
      <c r="H609" s="41" t="n">
        <v>79.8</v>
      </c>
      <c r="M609" s="6" t="n">
        <v>1</v>
      </c>
      <c r="N609" s="43" t="n">
        <f aca="false">M609*H609</f>
        <v>79.8</v>
      </c>
      <c r="O609" s="42" t="n">
        <f aca="false">N609</f>
        <v>79.8</v>
      </c>
    </row>
    <row r="610" customFormat="false" ht="15" hidden="false" customHeight="false" outlineLevel="0" collapsed="false">
      <c r="B610" s="7" t="s">
        <v>9243</v>
      </c>
      <c r="C610" s="39" t="n">
        <v>45695</v>
      </c>
      <c r="D610" s="7" t="s">
        <v>214</v>
      </c>
      <c r="E610" s="7" t="s">
        <v>180</v>
      </c>
      <c r="F610" s="6" t="n">
        <v>3.34</v>
      </c>
      <c r="G610" s="6" t="n">
        <v>0</v>
      </c>
      <c r="H610" s="41" t="n">
        <v>15.67</v>
      </c>
      <c r="I610" s="43" t="n">
        <f aca="false">F610*H610</f>
        <v>52.3378</v>
      </c>
      <c r="J610" s="43" t="n">
        <f aca="false">G610*H610*1.5</f>
        <v>0</v>
      </c>
      <c r="K610" s="6" t="n">
        <v>10.64</v>
      </c>
      <c r="L610" s="43" t="n">
        <f aca="false">K610*'Chart of Accounts'!$E$68</f>
        <v>7.1288</v>
      </c>
      <c r="O610" s="42" t="n">
        <f aca="false">I610+J610+L610</f>
        <v>59.4666</v>
      </c>
    </row>
    <row r="611" customFormat="false" ht="15" hidden="false" customHeight="false" outlineLevel="0" collapsed="false">
      <c r="B611" s="7" t="s">
        <v>9244</v>
      </c>
      <c r="C611" s="39" t="n">
        <v>45696</v>
      </c>
      <c r="D611" s="7" t="s">
        <v>191</v>
      </c>
      <c r="E611" s="7" t="s">
        <v>180</v>
      </c>
      <c r="F611" s="6" t="n">
        <v>3.72</v>
      </c>
      <c r="G611" s="6" t="n">
        <v>0</v>
      </c>
      <c r="H611" s="41" t="n">
        <v>16.05</v>
      </c>
      <c r="I611" s="43" t="n">
        <f aca="false">F611*H611</f>
        <v>59.706</v>
      </c>
      <c r="J611" s="43" t="n">
        <f aca="false">G611*H611*1.5</f>
        <v>0</v>
      </c>
      <c r="K611" s="6" t="n">
        <v>13.23</v>
      </c>
      <c r="L611" s="43" t="n">
        <f aca="false">K611*'Chart of Accounts'!$E$68</f>
        <v>8.8641</v>
      </c>
      <c r="O611" s="42" t="n">
        <f aca="false">I611+J611+L611</f>
        <v>68.5701</v>
      </c>
    </row>
    <row r="612" customFormat="false" ht="15" hidden="false" customHeight="false" outlineLevel="0" collapsed="false">
      <c r="B612" s="7" t="s">
        <v>9245</v>
      </c>
      <c r="C612" s="39" t="n">
        <v>45696</v>
      </c>
      <c r="D612" s="7" t="s">
        <v>218</v>
      </c>
      <c r="E612" s="7" t="s">
        <v>180</v>
      </c>
      <c r="F612" s="6" t="n">
        <v>4.04</v>
      </c>
      <c r="G612" s="6" t="n">
        <v>0</v>
      </c>
      <c r="H612" s="41" t="n">
        <v>16.19</v>
      </c>
      <c r="I612" s="43" t="n">
        <f aca="false">F612*H612</f>
        <v>65.4076</v>
      </c>
      <c r="J612" s="43" t="n">
        <f aca="false">G612*H612*1.5</f>
        <v>0</v>
      </c>
      <c r="K612" s="6" t="n">
        <v>11.43</v>
      </c>
      <c r="L612" s="43" t="n">
        <f aca="false">K612*'Chart of Accounts'!$E$68</f>
        <v>7.6581</v>
      </c>
      <c r="O612" s="42" t="n">
        <f aca="false">I612+J612+L612</f>
        <v>73.0657</v>
      </c>
    </row>
    <row r="613" customFormat="false" ht="15" hidden="false" customHeight="false" outlineLevel="0" collapsed="false">
      <c r="B613" s="7" t="s">
        <v>9246</v>
      </c>
      <c r="C613" s="39" t="n">
        <v>45696</v>
      </c>
      <c r="D613" s="7" t="s">
        <v>212</v>
      </c>
      <c r="E613" s="7" t="s">
        <v>180</v>
      </c>
      <c r="F613" s="6" t="n">
        <v>3.94</v>
      </c>
      <c r="G613" s="6" t="n">
        <v>0</v>
      </c>
      <c r="H613" s="41" t="n">
        <v>16.71</v>
      </c>
      <c r="I613" s="43" t="n">
        <f aca="false">F613*H613</f>
        <v>65.8374</v>
      </c>
      <c r="J613" s="43" t="n">
        <f aca="false">G613*H613*1.5</f>
        <v>0</v>
      </c>
      <c r="K613" s="6" t="n">
        <v>8.69</v>
      </c>
      <c r="L613" s="43" t="n">
        <f aca="false">K613*'Chart of Accounts'!$E$68</f>
        <v>5.8223</v>
      </c>
      <c r="O613" s="42" t="n">
        <f aca="false">I613+J613+L613</f>
        <v>71.6597</v>
      </c>
    </row>
    <row r="614" customFormat="false" ht="15" hidden="false" customHeight="false" outlineLevel="0" collapsed="false">
      <c r="B614" s="7" t="s">
        <v>9247</v>
      </c>
      <c r="C614" s="39" t="n">
        <v>45696</v>
      </c>
      <c r="D614" s="7" t="s">
        <v>222</v>
      </c>
      <c r="E614" s="7" t="s">
        <v>180</v>
      </c>
      <c r="F614" s="6" t="n">
        <v>4.18</v>
      </c>
      <c r="G614" s="6" t="n">
        <v>0</v>
      </c>
      <c r="H614" s="41" t="n">
        <v>17.84</v>
      </c>
      <c r="I614" s="43" t="n">
        <f aca="false">F614*H614</f>
        <v>74.5712</v>
      </c>
      <c r="J614" s="43" t="n">
        <f aca="false">G614*H614*1.5</f>
        <v>0</v>
      </c>
      <c r="K614" s="6" t="n">
        <v>10.77</v>
      </c>
      <c r="L614" s="43" t="n">
        <f aca="false">K614*'Chart of Accounts'!$E$68</f>
        <v>7.2159</v>
      </c>
      <c r="O614" s="42" t="n">
        <f aca="false">I614+J614+L614</f>
        <v>81.7871</v>
      </c>
    </row>
    <row r="615" customFormat="false" ht="15" hidden="false" customHeight="false" outlineLevel="0" collapsed="false">
      <c r="B615" s="7" t="s">
        <v>9248</v>
      </c>
      <c r="C615" s="39" t="n">
        <v>45696</v>
      </c>
      <c r="D615" s="7" t="s">
        <v>242</v>
      </c>
      <c r="E615" s="7" t="s">
        <v>180</v>
      </c>
      <c r="F615" s="6" t="n">
        <v>3.9</v>
      </c>
      <c r="G615" s="6" t="n">
        <v>0</v>
      </c>
      <c r="H615" s="41" t="n">
        <v>17.99</v>
      </c>
      <c r="I615" s="43" t="n">
        <f aca="false">F615*H615</f>
        <v>70.161</v>
      </c>
      <c r="J615" s="43" t="n">
        <f aca="false">G615*H615*1.5</f>
        <v>0</v>
      </c>
      <c r="K615" s="6" t="n">
        <v>12.12</v>
      </c>
      <c r="L615" s="43" t="n">
        <f aca="false">K615*'Chart of Accounts'!$E$68</f>
        <v>8.1204</v>
      </c>
      <c r="O615" s="42" t="n">
        <f aca="false">I615+J615+L615</f>
        <v>78.2814</v>
      </c>
    </row>
    <row r="616" customFormat="false" ht="15" hidden="false" customHeight="false" outlineLevel="0" collapsed="false">
      <c r="B616" s="7" t="s">
        <v>9249</v>
      </c>
      <c r="C616" s="39" t="n">
        <v>45696</v>
      </c>
      <c r="D616" s="7" t="s">
        <v>254</v>
      </c>
      <c r="E616" s="7" t="s">
        <v>180</v>
      </c>
      <c r="F616" s="6" t="n">
        <v>3.74</v>
      </c>
      <c r="G616" s="6" t="n">
        <v>0</v>
      </c>
      <c r="H616" s="41" t="n">
        <v>17.1</v>
      </c>
      <c r="I616" s="43" t="n">
        <f aca="false">F616*H616</f>
        <v>63.954</v>
      </c>
      <c r="J616" s="43" t="n">
        <f aca="false">G616*H616*1.5</f>
        <v>0</v>
      </c>
      <c r="K616" s="6" t="n">
        <v>9.26</v>
      </c>
      <c r="L616" s="43" t="n">
        <f aca="false">K616*'Chart of Accounts'!$E$68</f>
        <v>6.2042</v>
      </c>
      <c r="O616" s="42" t="n">
        <f aca="false">I616+J616+L616</f>
        <v>70.1582</v>
      </c>
    </row>
    <row r="617" customFormat="false" ht="15" hidden="false" customHeight="false" outlineLevel="0" collapsed="false">
      <c r="B617" s="7" t="s">
        <v>9250</v>
      </c>
      <c r="C617" s="39" t="n">
        <v>45697</v>
      </c>
      <c r="D617" s="7" t="s">
        <v>191</v>
      </c>
      <c r="E617" s="7" t="s">
        <v>180</v>
      </c>
      <c r="F617" s="6" t="n">
        <v>4.36</v>
      </c>
      <c r="G617" s="6" t="n">
        <v>0</v>
      </c>
      <c r="H617" s="41" t="n">
        <v>16.05</v>
      </c>
      <c r="I617" s="43" t="n">
        <f aca="false">F617*H617</f>
        <v>69.978</v>
      </c>
      <c r="J617" s="43" t="n">
        <f aca="false">G617*H617*1.5</f>
        <v>0</v>
      </c>
      <c r="K617" s="6" t="n">
        <v>12.5</v>
      </c>
      <c r="L617" s="43" t="n">
        <f aca="false">K617*'Chart of Accounts'!$E$68</f>
        <v>8.375</v>
      </c>
      <c r="O617" s="42" t="n">
        <f aca="false">I617+J617+L617</f>
        <v>78.353</v>
      </c>
    </row>
    <row r="618" customFormat="false" ht="15" hidden="false" customHeight="false" outlineLevel="0" collapsed="false">
      <c r="B618" s="7" t="s">
        <v>9251</v>
      </c>
      <c r="C618" s="39" t="n">
        <v>45697</v>
      </c>
      <c r="D618" s="7" t="s">
        <v>218</v>
      </c>
      <c r="E618" s="7" t="s">
        <v>180</v>
      </c>
      <c r="F618" s="6" t="n">
        <v>3.83</v>
      </c>
      <c r="G618" s="6" t="n">
        <v>0</v>
      </c>
      <c r="H618" s="41" t="n">
        <v>16.19</v>
      </c>
      <c r="I618" s="43" t="n">
        <f aca="false">F618*H618</f>
        <v>62.0077</v>
      </c>
      <c r="J618" s="43" t="n">
        <f aca="false">G618*H618*1.5</f>
        <v>0</v>
      </c>
      <c r="K618" s="6" t="n">
        <v>10.25</v>
      </c>
      <c r="L618" s="43" t="n">
        <f aca="false">K618*'Chart of Accounts'!$E$68</f>
        <v>6.8675</v>
      </c>
      <c r="O618" s="42" t="n">
        <f aca="false">I618+J618+L618</f>
        <v>68.8752</v>
      </c>
    </row>
    <row r="619" customFormat="false" ht="15" hidden="false" customHeight="false" outlineLevel="0" collapsed="false">
      <c r="B619" s="7" t="s">
        <v>9252</v>
      </c>
      <c r="C619" s="39" t="n">
        <v>45697</v>
      </c>
      <c r="D619" s="7" t="s">
        <v>222</v>
      </c>
      <c r="E619" s="7" t="s">
        <v>180</v>
      </c>
      <c r="F619" s="6" t="n">
        <v>3.83</v>
      </c>
      <c r="G619" s="6" t="n">
        <v>0</v>
      </c>
      <c r="H619" s="41" t="n">
        <v>17.84</v>
      </c>
      <c r="I619" s="43" t="n">
        <f aca="false">F619*H619</f>
        <v>68.3272</v>
      </c>
      <c r="J619" s="43" t="n">
        <f aca="false">G619*H619*1.5</f>
        <v>0</v>
      </c>
      <c r="K619" s="6" t="n">
        <v>9.29</v>
      </c>
      <c r="L619" s="43" t="n">
        <f aca="false">K619*'Chart of Accounts'!$E$68</f>
        <v>6.2243</v>
      </c>
      <c r="O619" s="42" t="n">
        <f aca="false">I619+J619+L619</f>
        <v>74.5515</v>
      </c>
    </row>
    <row r="620" customFormat="false" ht="15" hidden="false" customHeight="false" outlineLevel="0" collapsed="false">
      <c r="B620" s="7" t="s">
        <v>9253</v>
      </c>
      <c r="C620" s="39" t="n">
        <v>45697</v>
      </c>
      <c r="D620" s="7" t="s">
        <v>242</v>
      </c>
      <c r="E620" s="7" t="s">
        <v>180</v>
      </c>
      <c r="F620" s="6" t="n">
        <v>3.79</v>
      </c>
      <c r="G620" s="6" t="n">
        <v>0</v>
      </c>
      <c r="H620" s="41" t="n">
        <v>17.99</v>
      </c>
      <c r="I620" s="43" t="n">
        <f aca="false">F620*H620</f>
        <v>68.1821</v>
      </c>
      <c r="J620" s="43" t="n">
        <f aca="false">G620*H620*1.5</f>
        <v>0</v>
      </c>
      <c r="K620" s="6" t="n">
        <v>13.16</v>
      </c>
      <c r="L620" s="43" t="n">
        <f aca="false">K620*'Chart of Accounts'!$E$68</f>
        <v>8.8172</v>
      </c>
      <c r="O620" s="42" t="n">
        <f aca="false">I620+J620+L620</f>
        <v>76.9993</v>
      </c>
    </row>
    <row r="621" customFormat="false" ht="15" hidden="false" customHeight="false" outlineLevel="0" collapsed="false">
      <c r="B621" s="7" t="s">
        <v>9254</v>
      </c>
      <c r="C621" s="39" t="n">
        <v>45697</v>
      </c>
      <c r="D621" s="7" t="s">
        <v>254</v>
      </c>
      <c r="E621" s="7" t="s">
        <v>180</v>
      </c>
      <c r="F621" s="6" t="n">
        <v>4.4</v>
      </c>
      <c r="G621" s="6" t="n">
        <v>0</v>
      </c>
      <c r="H621" s="41" t="n">
        <v>17.1</v>
      </c>
      <c r="I621" s="43" t="n">
        <f aca="false">F621*H621</f>
        <v>75.24</v>
      </c>
      <c r="J621" s="43" t="n">
        <f aca="false">G621*H621*1.5</f>
        <v>0</v>
      </c>
      <c r="K621" s="6" t="n">
        <v>11.8</v>
      </c>
      <c r="L621" s="43" t="n">
        <f aca="false">K621*'Chart of Accounts'!$E$68</f>
        <v>7.906</v>
      </c>
      <c r="O621" s="42" t="n">
        <f aca="false">I621+J621+L621</f>
        <v>83.146</v>
      </c>
    </row>
    <row r="622" customFormat="false" ht="15" hidden="false" customHeight="false" outlineLevel="0" collapsed="false">
      <c r="B622" s="7" t="s">
        <v>9255</v>
      </c>
      <c r="C622" s="39" t="n">
        <v>45698</v>
      </c>
      <c r="D622" s="7" t="s">
        <v>187</v>
      </c>
      <c r="E622" s="7" t="s">
        <v>158</v>
      </c>
      <c r="H622" s="41" t="n">
        <v>66.48</v>
      </c>
      <c r="M622" s="6" t="n">
        <v>1</v>
      </c>
      <c r="N622" s="43" t="n">
        <f aca="false">M622*H622</f>
        <v>66.48</v>
      </c>
      <c r="O622" s="42" t="n">
        <f aca="false">N622</f>
        <v>66.48</v>
      </c>
    </row>
    <row r="623" customFormat="false" ht="15" hidden="false" customHeight="false" outlineLevel="0" collapsed="false">
      <c r="B623" s="7" t="s">
        <v>9256</v>
      </c>
      <c r="C623" s="39" t="n">
        <v>45698</v>
      </c>
      <c r="D623" s="7" t="s">
        <v>194</v>
      </c>
      <c r="E623" s="7" t="s">
        <v>180</v>
      </c>
      <c r="F623" s="6" t="n">
        <v>4.52</v>
      </c>
      <c r="G623" s="6" t="n">
        <v>0</v>
      </c>
      <c r="H623" s="41" t="n">
        <v>16</v>
      </c>
      <c r="I623" s="43" t="n">
        <f aca="false">F623*H623</f>
        <v>72.32</v>
      </c>
      <c r="J623" s="43" t="n">
        <f aca="false">G623*H623*1.5</f>
        <v>0</v>
      </c>
      <c r="K623" s="6" t="n">
        <v>16.05</v>
      </c>
      <c r="L623" s="43" t="n">
        <f aca="false">K623*'Chart of Accounts'!$E$68</f>
        <v>10.7535</v>
      </c>
      <c r="O623" s="42" t="n">
        <f aca="false">I623+J623+L623</f>
        <v>83.0735</v>
      </c>
    </row>
    <row r="624" customFormat="false" ht="15" hidden="false" customHeight="false" outlineLevel="0" collapsed="false">
      <c r="B624" s="7" t="s">
        <v>9257</v>
      </c>
      <c r="C624" s="39" t="n">
        <v>45698</v>
      </c>
      <c r="D624" s="7" t="s">
        <v>205</v>
      </c>
      <c r="E624" s="7" t="s">
        <v>180</v>
      </c>
      <c r="F624" s="6" t="n">
        <v>3.9</v>
      </c>
      <c r="G624" s="6" t="n">
        <v>0</v>
      </c>
      <c r="H624" s="41" t="n">
        <v>16.36</v>
      </c>
      <c r="I624" s="43" t="n">
        <f aca="false">F624*H624</f>
        <v>63.804</v>
      </c>
      <c r="J624" s="43" t="n">
        <f aca="false">G624*H624*1.5</f>
        <v>0</v>
      </c>
      <c r="K624" s="6" t="n">
        <v>12.03</v>
      </c>
      <c r="L624" s="43" t="n">
        <f aca="false">K624*'Chart of Accounts'!$E$68</f>
        <v>8.0601</v>
      </c>
      <c r="O624" s="42" t="n">
        <f aca="false">I624+J624+L624</f>
        <v>71.8641</v>
      </c>
    </row>
    <row r="625" customFormat="false" ht="15" hidden="false" customHeight="false" outlineLevel="0" collapsed="false">
      <c r="B625" s="7" t="s">
        <v>9258</v>
      </c>
      <c r="C625" s="39" t="n">
        <v>45698</v>
      </c>
      <c r="D625" s="7" t="s">
        <v>252</v>
      </c>
      <c r="E625" s="7" t="s">
        <v>158</v>
      </c>
      <c r="H625" s="41" t="n">
        <v>57.54</v>
      </c>
      <c r="M625" s="6" t="n">
        <v>1</v>
      </c>
      <c r="N625" s="43" t="n">
        <f aca="false">M625*H625</f>
        <v>57.54</v>
      </c>
      <c r="O625" s="42" t="n">
        <f aca="false">N625</f>
        <v>57.54</v>
      </c>
    </row>
    <row r="626" customFormat="false" ht="15" hidden="false" customHeight="false" outlineLevel="0" collapsed="false">
      <c r="B626" s="7" t="s">
        <v>9259</v>
      </c>
      <c r="C626" s="39" t="n">
        <v>45698</v>
      </c>
      <c r="D626" s="7" t="s">
        <v>196</v>
      </c>
      <c r="E626" s="7" t="s">
        <v>180</v>
      </c>
      <c r="F626" s="6" t="n">
        <v>6.08</v>
      </c>
      <c r="G626" s="6" t="n">
        <v>0</v>
      </c>
      <c r="H626" s="41" t="n">
        <v>15.05</v>
      </c>
      <c r="I626" s="43" t="n">
        <f aca="false">F626*H626</f>
        <v>91.504</v>
      </c>
      <c r="J626" s="43" t="n">
        <f aca="false">G626*H626*1.5</f>
        <v>0</v>
      </c>
      <c r="K626" s="6" t="n">
        <v>16.54</v>
      </c>
      <c r="L626" s="43" t="n">
        <f aca="false">K626*'Chart of Accounts'!$E$68</f>
        <v>11.0818</v>
      </c>
      <c r="O626" s="42" t="n">
        <f aca="false">I626+J626+L626</f>
        <v>102.5858</v>
      </c>
    </row>
    <row r="627" customFormat="false" ht="15" hidden="false" customHeight="false" outlineLevel="0" collapsed="false">
      <c r="B627" s="7" t="s">
        <v>9260</v>
      </c>
      <c r="C627" s="39" t="n">
        <v>45698</v>
      </c>
      <c r="D627" s="7" t="s">
        <v>184</v>
      </c>
      <c r="E627" s="7" t="s">
        <v>180</v>
      </c>
      <c r="F627" s="6" t="n">
        <v>3.82</v>
      </c>
      <c r="G627" s="6" t="n">
        <v>0</v>
      </c>
      <c r="H627" s="41" t="n">
        <v>17.34</v>
      </c>
      <c r="I627" s="43" t="n">
        <f aca="false">F627*H627</f>
        <v>66.2388</v>
      </c>
      <c r="J627" s="43" t="n">
        <f aca="false">G627*H627*1.5</f>
        <v>0</v>
      </c>
      <c r="K627" s="6" t="n">
        <v>10.13</v>
      </c>
      <c r="L627" s="43" t="n">
        <f aca="false">K627*'Chart of Accounts'!$E$68</f>
        <v>6.7871</v>
      </c>
      <c r="O627" s="42" t="n">
        <f aca="false">I627+J627+L627</f>
        <v>73.0259</v>
      </c>
    </row>
    <row r="628" customFormat="false" ht="15" hidden="false" customHeight="false" outlineLevel="0" collapsed="false">
      <c r="B628" s="7" t="s">
        <v>9261</v>
      </c>
      <c r="C628" s="39" t="n">
        <v>45698</v>
      </c>
      <c r="D628" s="7" t="s">
        <v>207</v>
      </c>
      <c r="E628" s="7" t="s">
        <v>180</v>
      </c>
      <c r="F628" s="6" t="n">
        <v>6.41</v>
      </c>
      <c r="G628" s="6" t="n">
        <v>0</v>
      </c>
      <c r="H628" s="41" t="n">
        <v>16.65</v>
      </c>
      <c r="I628" s="43" t="n">
        <f aca="false">F628*H628</f>
        <v>106.7265</v>
      </c>
      <c r="J628" s="43" t="n">
        <f aca="false">G628*H628*1.5</f>
        <v>0</v>
      </c>
      <c r="K628" s="6" t="n">
        <v>15.22</v>
      </c>
      <c r="L628" s="43" t="n">
        <f aca="false">K628*'Chart of Accounts'!$E$68</f>
        <v>10.1974</v>
      </c>
      <c r="O628" s="42" t="n">
        <f aca="false">I628+J628+L628</f>
        <v>116.9239</v>
      </c>
    </row>
    <row r="629" customFormat="false" ht="15" hidden="false" customHeight="false" outlineLevel="0" collapsed="false">
      <c r="B629" s="7" t="s">
        <v>9262</v>
      </c>
      <c r="C629" s="39" t="n">
        <v>45698</v>
      </c>
      <c r="D629" s="7" t="s">
        <v>218</v>
      </c>
      <c r="E629" s="7" t="s">
        <v>180</v>
      </c>
      <c r="F629" s="6" t="n">
        <v>3.97</v>
      </c>
      <c r="G629" s="6" t="n">
        <v>0</v>
      </c>
      <c r="H629" s="41" t="n">
        <v>16.19</v>
      </c>
      <c r="I629" s="43" t="n">
        <f aca="false">F629*H629</f>
        <v>64.2743</v>
      </c>
      <c r="J629" s="43" t="n">
        <f aca="false">G629*H629*1.5</f>
        <v>0</v>
      </c>
      <c r="K629" s="6" t="n">
        <v>11.12</v>
      </c>
      <c r="L629" s="43" t="n">
        <f aca="false">K629*'Chart of Accounts'!$E$68</f>
        <v>7.4504</v>
      </c>
      <c r="O629" s="42" t="n">
        <f aca="false">I629+J629+L629</f>
        <v>71.7247</v>
      </c>
    </row>
    <row r="630" customFormat="false" ht="15" hidden="false" customHeight="false" outlineLevel="0" collapsed="false">
      <c r="B630" s="7" t="s">
        <v>9263</v>
      </c>
      <c r="C630" s="39" t="n">
        <v>45698</v>
      </c>
      <c r="D630" s="7" t="s">
        <v>212</v>
      </c>
      <c r="E630" s="7" t="s">
        <v>180</v>
      </c>
      <c r="F630" s="6" t="n">
        <v>6.77</v>
      </c>
      <c r="G630" s="6" t="n">
        <v>0</v>
      </c>
      <c r="H630" s="41" t="n">
        <v>16.71</v>
      </c>
      <c r="I630" s="43" t="n">
        <f aca="false">F630*H630</f>
        <v>113.1267</v>
      </c>
      <c r="J630" s="43" t="n">
        <f aca="false">G630*H630*1.5</f>
        <v>0</v>
      </c>
      <c r="K630" s="6" t="n">
        <v>16.89</v>
      </c>
      <c r="L630" s="43" t="n">
        <f aca="false">K630*'Chart of Accounts'!$E$68</f>
        <v>11.3163</v>
      </c>
      <c r="O630" s="42" t="n">
        <f aca="false">I630+J630+L630</f>
        <v>124.443</v>
      </c>
    </row>
    <row r="631" customFormat="false" ht="15" hidden="false" customHeight="false" outlineLevel="0" collapsed="false">
      <c r="B631" s="7" t="s">
        <v>9264</v>
      </c>
      <c r="C631" s="39" t="n">
        <v>45698</v>
      </c>
      <c r="D631" s="7" t="s">
        <v>220</v>
      </c>
      <c r="E631" s="7" t="s">
        <v>180</v>
      </c>
      <c r="F631" s="6" t="n">
        <v>4.07</v>
      </c>
      <c r="G631" s="6" t="n">
        <v>0</v>
      </c>
      <c r="H631" s="41" t="n">
        <v>16.43</v>
      </c>
      <c r="I631" s="43" t="n">
        <f aca="false">F631*H631</f>
        <v>66.8701</v>
      </c>
      <c r="J631" s="43" t="n">
        <f aca="false">G631*H631*1.5</f>
        <v>0</v>
      </c>
      <c r="K631" s="6" t="n">
        <v>12.4</v>
      </c>
      <c r="L631" s="43" t="n">
        <f aca="false">K631*'Chart of Accounts'!$E$68</f>
        <v>8.308</v>
      </c>
      <c r="O631" s="42" t="n">
        <f aca="false">I631+J631+L631</f>
        <v>75.1781</v>
      </c>
    </row>
    <row r="632" customFormat="false" ht="15" hidden="false" customHeight="false" outlineLevel="0" collapsed="false">
      <c r="B632" s="7" t="s">
        <v>9265</v>
      </c>
      <c r="C632" s="39" t="n">
        <v>45698</v>
      </c>
      <c r="D632" s="7" t="s">
        <v>224</v>
      </c>
      <c r="E632" s="7" t="s">
        <v>180</v>
      </c>
      <c r="F632" s="6" t="n">
        <v>8</v>
      </c>
      <c r="G632" s="6" t="n">
        <v>0</v>
      </c>
      <c r="H632" s="41" t="n">
        <v>14.93</v>
      </c>
      <c r="I632" s="43" t="n">
        <f aca="false">F632*H632</f>
        <v>119.44</v>
      </c>
      <c r="J632" s="43" t="n">
        <f aca="false">G632*H632*1.5</f>
        <v>0</v>
      </c>
      <c r="K632" s="6" t="n">
        <v>22.57</v>
      </c>
      <c r="L632" s="43" t="n">
        <f aca="false">K632*'Chart of Accounts'!$E$68</f>
        <v>15.1219</v>
      </c>
      <c r="O632" s="42" t="n">
        <f aca="false">I632+J632+L632</f>
        <v>134.5619</v>
      </c>
    </row>
    <row r="633" customFormat="false" ht="15" hidden="false" customHeight="false" outlineLevel="0" collapsed="false">
      <c r="B633" s="7" t="s">
        <v>9266</v>
      </c>
      <c r="C633" s="39" t="n">
        <v>45698</v>
      </c>
      <c r="D633" s="7" t="s">
        <v>177</v>
      </c>
      <c r="E633" s="7" t="s">
        <v>180</v>
      </c>
      <c r="F633" s="6" t="n">
        <v>8.65</v>
      </c>
      <c r="G633" s="6" t="n">
        <v>0</v>
      </c>
      <c r="H633" s="41" t="n">
        <v>14.56</v>
      </c>
      <c r="I633" s="43" t="n">
        <f aca="false">F633*H633</f>
        <v>125.944</v>
      </c>
      <c r="J633" s="43" t="n">
        <f aca="false">G633*H633*1.5</f>
        <v>0</v>
      </c>
      <c r="K633" s="6" t="n">
        <v>22.45</v>
      </c>
      <c r="L633" s="43" t="n">
        <f aca="false">K633*'Chart of Accounts'!$E$68</f>
        <v>15.0415</v>
      </c>
      <c r="O633" s="42" t="n">
        <f aca="false">I633+J633+L633</f>
        <v>140.9855</v>
      </c>
    </row>
    <row r="634" customFormat="false" ht="15" hidden="false" customHeight="false" outlineLevel="0" collapsed="false">
      <c r="B634" s="7" t="s">
        <v>9267</v>
      </c>
      <c r="C634" s="39" t="n">
        <v>45698</v>
      </c>
      <c r="D634" s="7" t="s">
        <v>232</v>
      </c>
      <c r="E634" s="7" t="s">
        <v>180</v>
      </c>
      <c r="F634" s="6" t="n">
        <v>7.15</v>
      </c>
      <c r="G634" s="6" t="n">
        <v>0</v>
      </c>
      <c r="H634" s="41" t="n">
        <v>16.17</v>
      </c>
      <c r="I634" s="43" t="n">
        <f aca="false">F634*H634</f>
        <v>115.6155</v>
      </c>
      <c r="J634" s="43" t="n">
        <f aca="false">G634*H634*1.5</f>
        <v>0</v>
      </c>
      <c r="K634" s="6" t="n">
        <v>17.38</v>
      </c>
      <c r="L634" s="43" t="n">
        <f aca="false">K634*'Chart of Accounts'!$E$68</f>
        <v>11.6446</v>
      </c>
      <c r="O634" s="42" t="n">
        <f aca="false">I634+J634+L634</f>
        <v>127.2601</v>
      </c>
    </row>
    <row r="635" customFormat="false" ht="15" hidden="false" customHeight="false" outlineLevel="0" collapsed="false">
      <c r="B635" s="7" t="s">
        <v>9268</v>
      </c>
      <c r="C635" s="39" t="n">
        <v>45698</v>
      </c>
      <c r="D635" s="7" t="s">
        <v>242</v>
      </c>
      <c r="E635" s="7" t="s">
        <v>180</v>
      </c>
      <c r="F635" s="6" t="n">
        <v>7.98</v>
      </c>
      <c r="G635" s="6" t="n">
        <v>0</v>
      </c>
      <c r="H635" s="41" t="n">
        <v>17.99</v>
      </c>
      <c r="I635" s="43" t="n">
        <f aca="false">F635*H635</f>
        <v>143.5602</v>
      </c>
      <c r="J635" s="43" t="n">
        <f aca="false">G635*H635*1.5</f>
        <v>0</v>
      </c>
      <c r="K635" s="6" t="n">
        <v>17.77</v>
      </c>
      <c r="L635" s="43" t="n">
        <f aca="false">K635*'Chart of Accounts'!$E$68</f>
        <v>11.9059</v>
      </c>
      <c r="O635" s="42" t="n">
        <f aca="false">I635+J635+L635</f>
        <v>155.4661</v>
      </c>
    </row>
    <row r="636" customFormat="false" ht="15" hidden="false" customHeight="false" outlineLevel="0" collapsed="false">
      <c r="B636" s="7" t="s">
        <v>9269</v>
      </c>
      <c r="C636" s="39" t="n">
        <v>45698</v>
      </c>
      <c r="D636" s="7" t="s">
        <v>222</v>
      </c>
      <c r="E636" s="7" t="s">
        <v>180</v>
      </c>
      <c r="F636" s="6" t="n">
        <v>6.53</v>
      </c>
      <c r="G636" s="6" t="n">
        <v>0</v>
      </c>
      <c r="H636" s="41" t="n">
        <v>17.84</v>
      </c>
      <c r="I636" s="43" t="n">
        <f aca="false">F636*H636</f>
        <v>116.4952</v>
      </c>
      <c r="J636" s="43" t="n">
        <f aca="false">G636*H636*1.5</f>
        <v>0</v>
      </c>
      <c r="K636" s="6" t="n">
        <v>21.57</v>
      </c>
      <c r="L636" s="43" t="n">
        <f aca="false">K636*'Chart of Accounts'!$E$68</f>
        <v>14.4519</v>
      </c>
      <c r="O636" s="42" t="n">
        <f aca="false">I636+J636+L636</f>
        <v>130.9471</v>
      </c>
    </row>
    <row r="637" customFormat="false" ht="15" hidden="false" customHeight="false" outlineLevel="0" collapsed="false">
      <c r="B637" s="7" t="s">
        <v>9270</v>
      </c>
      <c r="C637" s="39" t="n">
        <v>45698</v>
      </c>
      <c r="D637" s="7" t="s">
        <v>262</v>
      </c>
      <c r="E637" s="7" t="s">
        <v>180</v>
      </c>
      <c r="F637" s="6" t="n">
        <v>7.46</v>
      </c>
      <c r="G637" s="6" t="n">
        <v>0</v>
      </c>
      <c r="H637" s="41" t="n">
        <v>16.02</v>
      </c>
      <c r="I637" s="43" t="n">
        <f aca="false">F637*H637</f>
        <v>119.5092</v>
      </c>
      <c r="J637" s="43" t="n">
        <f aca="false">G637*H637*1.5</f>
        <v>0</v>
      </c>
      <c r="K637" s="6" t="n">
        <v>19.9</v>
      </c>
      <c r="L637" s="43" t="n">
        <f aca="false">K637*'Chart of Accounts'!$E$68</f>
        <v>13.333</v>
      </c>
      <c r="O637" s="42" t="n">
        <f aca="false">I637+J637+L637</f>
        <v>132.8422</v>
      </c>
    </row>
    <row r="638" customFormat="false" ht="15" hidden="false" customHeight="false" outlineLevel="0" collapsed="false">
      <c r="B638" s="7" t="s">
        <v>9271</v>
      </c>
      <c r="C638" s="39" t="n">
        <v>45698</v>
      </c>
      <c r="D638" s="7" t="s">
        <v>254</v>
      </c>
      <c r="E638" s="7" t="s">
        <v>180</v>
      </c>
      <c r="F638" s="6" t="n">
        <v>7.27</v>
      </c>
      <c r="G638" s="6" t="n">
        <v>0</v>
      </c>
      <c r="H638" s="41" t="n">
        <v>17.1</v>
      </c>
      <c r="I638" s="43" t="n">
        <f aca="false">F638*H638</f>
        <v>124.317</v>
      </c>
      <c r="J638" s="43" t="n">
        <f aca="false">G638*H638*1.5</f>
        <v>0</v>
      </c>
      <c r="K638" s="6" t="n">
        <v>25.52</v>
      </c>
      <c r="L638" s="43" t="n">
        <f aca="false">K638*'Chart of Accounts'!$E$68</f>
        <v>17.0984</v>
      </c>
      <c r="O638" s="42" t="n">
        <f aca="false">I638+J638+L638</f>
        <v>141.4154</v>
      </c>
    </row>
    <row r="639" customFormat="false" ht="15" hidden="false" customHeight="false" outlineLevel="0" collapsed="false">
      <c r="B639" s="7" t="s">
        <v>9272</v>
      </c>
      <c r="C639" s="39" t="n">
        <v>45698</v>
      </c>
      <c r="D639" s="7" t="s">
        <v>201</v>
      </c>
      <c r="E639" s="7" t="s">
        <v>180</v>
      </c>
      <c r="F639" s="6" t="n">
        <v>3.57</v>
      </c>
      <c r="G639" s="6" t="n">
        <v>0</v>
      </c>
      <c r="H639" s="41" t="n">
        <v>15.19</v>
      </c>
      <c r="I639" s="43" t="n">
        <f aca="false">F639*H639</f>
        <v>54.2283</v>
      </c>
      <c r="J639" s="43" t="n">
        <f aca="false">G639*H639*1.5</f>
        <v>0</v>
      </c>
      <c r="K639" s="6" t="n">
        <v>9.37</v>
      </c>
      <c r="L639" s="43" t="n">
        <f aca="false">K639*'Chart of Accounts'!$E$68</f>
        <v>6.2779</v>
      </c>
      <c r="O639" s="42" t="n">
        <f aca="false">I639+J639+L639</f>
        <v>60.5062</v>
      </c>
    </row>
    <row r="640" customFormat="false" ht="15" hidden="false" customHeight="false" outlineLevel="0" collapsed="false">
      <c r="B640" s="7" t="s">
        <v>9273</v>
      </c>
      <c r="C640" s="39" t="n">
        <v>45698</v>
      </c>
      <c r="D640" s="7" t="s">
        <v>246</v>
      </c>
      <c r="E640" s="7" t="s">
        <v>180</v>
      </c>
      <c r="F640" s="6" t="n">
        <v>7.82</v>
      </c>
      <c r="G640" s="6" t="n">
        <v>0</v>
      </c>
      <c r="H640" s="41" t="n">
        <v>16.48</v>
      </c>
      <c r="I640" s="43" t="n">
        <f aca="false">F640*H640</f>
        <v>128.8736</v>
      </c>
      <c r="J640" s="43" t="n">
        <f aca="false">G640*H640*1.5</f>
        <v>0</v>
      </c>
      <c r="K640" s="6" t="n">
        <v>26.61</v>
      </c>
      <c r="L640" s="43" t="n">
        <f aca="false">K640*'Chart of Accounts'!$E$68</f>
        <v>17.8287</v>
      </c>
      <c r="O640" s="42" t="n">
        <f aca="false">I640+J640+L640</f>
        <v>146.7023</v>
      </c>
    </row>
    <row r="641" customFormat="false" ht="15" hidden="false" customHeight="false" outlineLevel="0" collapsed="false">
      <c r="B641" s="7" t="s">
        <v>9274</v>
      </c>
      <c r="C641" s="39" t="n">
        <v>45698</v>
      </c>
      <c r="D641" s="7" t="s">
        <v>214</v>
      </c>
      <c r="E641" s="7" t="s">
        <v>180</v>
      </c>
      <c r="F641" s="6" t="n">
        <v>7.1</v>
      </c>
      <c r="G641" s="6" t="n">
        <v>0</v>
      </c>
      <c r="H641" s="41" t="n">
        <v>15.67</v>
      </c>
      <c r="I641" s="43" t="n">
        <f aca="false">F641*H641</f>
        <v>111.257</v>
      </c>
      <c r="J641" s="43" t="n">
        <f aca="false">G641*H641*1.5</f>
        <v>0</v>
      </c>
      <c r="K641" s="6" t="n">
        <v>25.51</v>
      </c>
      <c r="L641" s="43" t="n">
        <f aca="false">K641*'Chart of Accounts'!$E$68</f>
        <v>17.0917</v>
      </c>
      <c r="O641" s="42" t="n">
        <f aca="false">I641+J641+L641</f>
        <v>128.3487</v>
      </c>
    </row>
    <row r="642" customFormat="false" ht="15" hidden="false" customHeight="false" outlineLevel="0" collapsed="false">
      <c r="B642" s="7" t="s">
        <v>9275</v>
      </c>
      <c r="C642" s="39" t="n">
        <v>45699</v>
      </c>
      <c r="D642" s="7" t="s">
        <v>191</v>
      </c>
      <c r="E642" s="7" t="s">
        <v>180</v>
      </c>
      <c r="F642" s="6" t="n">
        <v>4.34</v>
      </c>
      <c r="G642" s="6" t="n">
        <v>0</v>
      </c>
      <c r="H642" s="41" t="n">
        <v>16.05</v>
      </c>
      <c r="I642" s="43" t="n">
        <f aca="false">F642*H642</f>
        <v>69.657</v>
      </c>
      <c r="J642" s="43" t="n">
        <f aca="false">G642*H642*1.5</f>
        <v>0</v>
      </c>
      <c r="K642" s="6" t="n">
        <v>15.4</v>
      </c>
      <c r="L642" s="43" t="n">
        <f aca="false">K642*'Chart of Accounts'!$E$68</f>
        <v>10.318</v>
      </c>
      <c r="O642" s="42" t="n">
        <f aca="false">I642+J642+L642</f>
        <v>79.975</v>
      </c>
    </row>
    <row r="643" customFormat="false" ht="15" hidden="false" customHeight="false" outlineLevel="0" collapsed="false">
      <c r="B643" s="7" t="s">
        <v>9276</v>
      </c>
      <c r="C643" s="39" t="n">
        <v>45699</v>
      </c>
      <c r="D643" s="7" t="s">
        <v>209</v>
      </c>
      <c r="E643" s="7" t="s">
        <v>158</v>
      </c>
      <c r="H643" s="41" t="n">
        <v>73.58</v>
      </c>
      <c r="M643" s="6" t="n">
        <v>2</v>
      </c>
      <c r="N643" s="43" t="n">
        <f aca="false">M643*H643</f>
        <v>147.16</v>
      </c>
      <c r="O643" s="42" t="n">
        <f aca="false">N643</f>
        <v>147.16</v>
      </c>
    </row>
    <row r="644" customFormat="false" ht="15" hidden="false" customHeight="false" outlineLevel="0" collapsed="false">
      <c r="B644" s="7" t="s">
        <v>9277</v>
      </c>
      <c r="C644" s="39" t="n">
        <v>45699</v>
      </c>
      <c r="D644" s="7" t="s">
        <v>184</v>
      </c>
      <c r="E644" s="7" t="s">
        <v>180</v>
      </c>
      <c r="F644" s="6" t="n">
        <v>3.88</v>
      </c>
      <c r="G644" s="6" t="n">
        <v>0</v>
      </c>
      <c r="H644" s="41" t="n">
        <v>17.34</v>
      </c>
      <c r="I644" s="43" t="n">
        <f aca="false">F644*H644</f>
        <v>67.2792</v>
      </c>
      <c r="J644" s="43" t="n">
        <f aca="false">G644*H644*1.5</f>
        <v>0</v>
      </c>
      <c r="K644" s="6" t="n">
        <v>13.5</v>
      </c>
      <c r="L644" s="43" t="n">
        <f aca="false">K644*'Chart of Accounts'!$E$68</f>
        <v>9.045</v>
      </c>
      <c r="O644" s="42" t="n">
        <f aca="false">I644+J644+L644</f>
        <v>76.3242</v>
      </c>
    </row>
    <row r="645" customFormat="false" ht="15" hidden="false" customHeight="false" outlineLevel="0" collapsed="false">
      <c r="B645" s="7" t="s">
        <v>9278</v>
      </c>
      <c r="C645" s="39" t="n">
        <v>45699</v>
      </c>
      <c r="D645" s="7" t="s">
        <v>234</v>
      </c>
      <c r="E645" s="7" t="s">
        <v>158</v>
      </c>
      <c r="H645" s="41" t="n">
        <v>89.53</v>
      </c>
      <c r="M645" s="6" t="n">
        <v>2</v>
      </c>
      <c r="N645" s="43" t="n">
        <f aca="false">M645*H645</f>
        <v>179.06</v>
      </c>
      <c r="O645" s="42" t="n">
        <f aca="false">N645</f>
        <v>179.06</v>
      </c>
    </row>
    <row r="646" customFormat="false" ht="15" hidden="false" customHeight="false" outlineLevel="0" collapsed="false">
      <c r="B646" s="7" t="s">
        <v>9279</v>
      </c>
      <c r="C646" s="39" t="n">
        <v>45699</v>
      </c>
      <c r="D646" s="7" t="s">
        <v>218</v>
      </c>
      <c r="E646" s="7" t="s">
        <v>180</v>
      </c>
      <c r="F646" s="6" t="n">
        <v>4.09</v>
      </c>
      <c r="G646" s="6" t="n">
        <v>0</v>
      </c>
      <c r="H646" s="41" t="n">
        <v>16.19</v>
      </c>
      <c r="I646" s="43" t="n">
        <f aca="false">F646*H646</f>
        <v>66.2171</v>
      </c>
      <c r="J646" s="43" t="n">
        <f aca="false">G646*H646*1.5</f>
        <v>0</v>
      </c>
      <c r="K646" s="6" t="n">
        <v>10.71</v>
      </c>
      <c r="L646" s="43" t="n">
        <f aca="false">K646*'Chart of Accounts'!$E$68</f>
        <v>7.1757</v>
      </c>
      <c r="O646" s="42" t="n">
        <f aca="false">I646+J646+L646</f>
        <v>73.3928</v>
      </c>
    </row>
    <row r="647" customFormat="false" ht="15" hidden="false" customHeight="false" outlineLevel="0" collapsed="false">
      <c r="B647" s="7" t="s">
        <v>9280</v>
      </c>
      <c r="C647" s="39" t="n">
        <v>45699</v>
      </c>
      <c r="D647" s="7" t="s">
        <v>266</v>
      </c>
      <c r="E647" s="7" t="s">
        <v>158</v>
      </c>
      <c r="H647" s="41" t="n">
        <v>75.18</v>
      </c>
      <c r="M647" s="6" t="n">
        <v>1</v>
      </c>
      <c r="N647" s="43" t="n">
        <f aca="false">M647*H647</f>
        <v>75.18</v>
      </c>
      <c r="O647" s="42" t="n">
        <f aca="false">N647</f>
        <v>75.18</v>
      </c>
    </row>
    <row r="648" customFormat="false" ht="15" hidden="false" customHeight="false" outlineLevel="0" collapsed="false">
      <c r="B648" s="7" t="s">
        <v>9281</v>
      </c>
      <c r="C648" s="39" t="n">
        <v>45699</v>
      </c>
      <c r="D648" s="7" t="s">
        <v>228</v>
      </c>
      <c r="E648" s="7" t="s">
        <v>158</v>
      </c>
      <c r="H648" s="41" t="n">
        <v>51.07</v>
      </c>
      <c r="M648" s="6" t="n">
        <v>1</v>
      </c>
      <c r="N648" s="43" t="n">
        <f aca="false">M648*H648</f>
        <v>51.07</v>
      </c>
      <c r="O648" s="42" t="n">
        <f aca="false">N648</f>
        <v>51.07</v>
      </c>
    </row>
    <row r="649" customFormat="false" ht="15" hidden="false" customHeight="false" outlineLevel="0" collapsed="false">
      <c r="B649" s="7" t="s">
        <v>9282</v>
      </c>
      <c r="C649" s="39" t="n">
        <v>45699</v>
      </c>
      <c r="D649" s="7" t="s">
        <v>220</v>
      </c>
      <c r="E649" s="7" t="s">
        <v>180</v>
      </c>
      <c r="F649" s="6" t="n">
        <v>4.24</v>
      </c>
      <c r="G649" s="6" t="n">
        <v>0</v>
      </c>
      <c r="H649" s="41" t="n">
        <v>16.43</v>
      </c>
      <c r="I649" s="43" t="n">
        <f aca="false">F649*H649</f>
        <v>69.6632</v>
      </c>
      <c r="J649" s="43" t="n">
        <f aca="false">G649*H649*1.5</f>
        <v>0</v>
      </c>
      <c r="K649" s="6" t="n">
        <v>14.14</v>
      </c>
      <c r="L649" s="43" t="n">
        <f aca="false">K649*'Chart of Accounts'!$E$68</f>
        <v>9.4738</v>
      </c>
      <c r="O649" s="42" t="n">
        <f aca="false">I649+J649+L649</f>
        <v>79.137</v>
      </c>
    </row>
    <row r="650" customFormat="false" ht="15" hidden="false" customHeight="false" outlineLevel="0" collapsed="false">
      <c r="B650" s="7" t="s">
        <v>9283</v>
      </c>
      <c r="C650" s="39" t="n">
        <v>45699</v>
      </c>
      <c r="D650" s="7" t="s">
        <v>246</v>
      </c>
      <c r="E650" s="7" t="s">
        <v>180</v>
      </c>
      <c r="F650" s="6" t="n">
        <v>3.91</v>
      </c>
      <c r="G650" s="6" t="n">
        <v>0</v>
      </c>
      <c r="H650" s="41" t="n">
        <v>16.48</v>
      </c>
      <c r="I650" s="43" t="n">
        <f aca="false">F650*H650</f>
        <v>64.4368</v>
      </c>
      <c r="J650" s="43" t="n">
        <f aca="false">G650*H650*1.5</f>
        <v>0</v>
      </c>
      <c r="K650" s="6" t="n">
        <v>13.13</v>
      </c>
      <c r="L650" s="43" t="n">
        <f aca="false">K650*'Chart of Accounts'!$E$68</f>
        <v>8.7971</v>
      </c>
      <c r="O650" s="42" t="n">
        <f aca="false">I650+J650+L650</f>
        <v>73.2339</v>
      </c>
    </row>
    <row r="651" customFormat="false" ht="15" hidden="false" customHeight="false" outlineLevel="0" collapsed="false">
      <c r="B651" s="7" t="s">
        <v>9284</v>
      </c>
      <c r="C651" s="39" t="n">
        <v>45699</v>
      </c>
      <c r="D651" s="7" t="s">
        <v>222</v>
      </c>
      <c r="E651" s="7" t="s">
        <v>180</v>
      </c>
      <c r="F651" s="6" t="n">
        <v>3.78</v>
      </c>
      <c r="G651" s="6" t="n">
        <v>0</v>
      </c>
      <c r="H651" s="41" t="n">
        <v>17.84</v>
      </c>
      <c r="I651" s="43" t="n">
        <f aca="false">F651*H651</f>
        <v>67.4352</v>
      </c>
      <c r="J651" s="43" t="n">
        <f aca="false">G651*H651*1.5</f>
        <v>0</v>
      </c>
      <c r="K651" s="6" t="n">
        <v>11.4</v>
      </c>
      <c r="L651" s="43" t="n">
        <f aca="false">K651*'Chart of Accounts'!$E$68</f>
        <v>7.638</v>
      </c>
      <c r="O651" s="42" t="n">
        <f aca="false">I651+J651+L651</f>
        <v>75.0732</v>
      </c>
    </row>
    <row r="652" customFormat="false" ht="15" hidden="false" customHeight="false" outlineLevel="0" collapsed="false">
      <c r="B652" s="7" t="s">
        <v>9285</v>
      </c>
      <c r="C652" s="39" t="n">
        <v>45699</v>
      </c>
      <c r="D652" s="7" t="s">
        <v>242</v>
      </c>
      <c r="E652" s="7" t="s">
        <v>180</v>
      </c>
      <c r="F652" s="6" t="n">
        <v>3.65</v>
      </c>
      <c r="G652" s="6" t="n">
        <v>0</v>
      </c>
      <c r="H652" s="41" t="n">
        <v>17.99</v>
      </c>
      <c r="I652" s="43" t="n">
        <f aca="false">F652*H652</f>
        <v>65.6635</v>
      </c>
      <c r="J652" s="43" t="n">
        <f aca="false">G652*H652*1.5</f>
        <v>0</v>
      </c>
      <c r="K652" s="6" t="n">
        <v>8.84</v>
      </c>
      <c r="L652" s="43" t="n">
        <f aca="false">K652*'Chart of Accounts'!$E$68</f>
        <v>5.9228</v>
      </c>
      <c r="O652" s="42" t="n">
        <f aca="false">I652+J652+L652</f>
        <v>71.5863</v>
      </c>
    </row>
    <row r="653" customFormat="false" ht="15" hidden="false" customHeight="false" outlineLevel="0" collapsed="false">
      <c r="B653" s="7" t="s">
        <v>9286</v>
      </c>
      <c r="C653" s="39" t="n">
        <v>45699</v>
      </c>
      <c r="D653" s="7" t="s">
        <v>254</v>
      </c>
      <c r="E653" s="7" t="s">
        <v>180</v>
      </c>
      <c r="F653" s="6" t="n">
        <v>4.21</v>
      </c>
      <c r="G653" s="6" t="n">
        <v>0</v>
      </c>
      <c r="H653" s="41" t="n">
        <v>17.1</v>
      </c>
      <c r="I653" s="43" t="n">
        <f aca="false">F653*H653</f>
        <v>71.991</v>
      </c>
      <c r="J653" s="43" t="n">
        <f aca="false">G653*H653*1.5</f>
        <v>0</v>
      </c>
      <c r="K653" s="6" t="n">
        <v>10.03</v>
      </c>
      <c r="L653" s="43" t="n">
        <f aca="false">K653*'Chart of Accounts'!$E$68</f>
        <v>6.7201</v>
      </c>
      <c r="O653" s="42" t="n">
        <f aca="false">I653+J653+L653</f>
        <v>78.7111</v>
      </c>
    </row>
    <row r="654" customFormat="false" ht="15" hidden="false" customHeight="false" outlineLevel="0" collapsed="false">
      <c r="B654" s="7" t="s">
        <v>9287</v>
      </c>
      <c r="C654" s="39" t="n">
        <v>45699</v>
      </c>
      <c r="D654" s="7" t="s">
        <v>260</v>
      </c>
      <c r="E654" s="7" t="s">
        <v>158</v>
      </c>
      <c r="H654" s="41" t="n">
        <v>79.8</v>
      </c>
      <c r="M654" s="6" t="n">
        <v>1</v>
      </c>
      <c r="N654" s="43" t="n">
        <f aca="false">M654*H654</f>
        <v>79.8</v>
      </c>
      <c r="O654" s="42" t="n">
        <f aca="false">N654</f>
        <v>79.8</v>
      </c>
    </row>
    <row r="655" customFormat="false" ht="15" hidden="false" customHeight="false" outlineLevel="0" collapsed="false">
      <c r="B655" s="7" t="s">
        <v>9288</v>
      </c>
      <c r="C655" s="39" t="n">
        <v>45700</v>
      </c>
      <c r="D655" s="7" t="s">
        <v>187</v>
      </c>
      <c r="E655" s="7" t="s">
        <v>158</v>
      </c>
      <c r="H655" s="41" t="n">
        <v>66.48</v>
      </c>
      <c r="M655" s="6" t="n">
        <v>1</v>
      </c>
      <c r="N655" s="43" t="n">
        <f aca="false">M655*H655</f>
        <v>66.48</v>
      </c>
      <c r="O655" s="42" t="n">
        <f aca="false">N655</f>
        <v>66.48</v>
      </c>
    </row>
    <row r="656" customFormat="false" ht="15" hidden="false" customHeight="false" outlineLevel="0" collapsed="false">
      <c r="B656" s="7" t="s">
        <v>9289</v>
      </c>
      <c r="C656" s="39" t="n">
        <v>45700</v>
      </c>
      <c r="D656" s="7" t="s">
        <v>228</v>
      </c>
      <c r="E656" s="7" t="s">
        <v>158</v>
      </c>
      <c r="H656" s="41" t="n">
        <v>51.07</v>
      </c>
      <c r="M656" s="6" t="n">
        <v>1</v>
      </c>
      <c r="N656" s="43" t="n">
        <f aca="false">M656*H656</f>
        <v>51.07</v>
      </c>
      <c r="O656" s="42" t="n">
        <f aca="false">N656</f>
        <v>51.07</v>
      </c>
    </row>
    <row r="657" customFormat="false" ht="15" hidden="false" customHeight="false" outlineLevel="0" collapsed="false">
      <c r="B657" s="7" t="s">
        <v>9290</v>
      </c>
      <c r="C657" s="39" t="n">
        <v>45700</v>
      </c>
      <c r="D657" s="7" t="s">
        <v>191</v>
      </c>
      <c r="E657" s="7" t="s">
        <v>180</v>
      </c>
      <c r="F657" s="6" t="n">
        <v>4.24</v>
      </c>
      <c r="G657" s="6" t="n">
        <v>0</v>
      </c>
      <c r="H657" s="41" t="n">
        <v>16.05</v>
      </c>
      <c r="I657" s="43" t="n">
        <f aca="false">F657*H657</f>
        <v>68.052</v>
      </c>
      <c r="J657" s="43" t="n">
        <f aca="false">G657*H657*1.5</f>
        <v>0</v>
      </c>
      <c r="K657" s="6" t="n">
        <v>12.9</v>
      </c>
      <c r="L657" s="43" t="n">
        <f aca="false">K657*'Chart of Accounts'!$E$68</f>
        <v>8.643</v>
      </c>
      <c r="O657" s="42" t="n">
        <f aca="false">I657+J657+L657</f>
        <v>76.695</v>
      </c>
    </row>
    <row r="658" customFormat="false" ht="15" hidden="false" customHeight="false" outlineLevel="0" collapsed="false">
      <c r="B658" s="7" t="s">
        <v>9291</v>
      </c>
      <c r="C658" s="39" t="n">
        <v>45700</v>
      </c>
      <c r="D658" s="7" t="s">
        <v>194</v>
      </c>
      <c r="E658" s="7" t="s">
        <v>180</v>
      </c>
      <c r="F658" s="6" t="n">
        <v>4.99</v>
      </c>
      <c r="G658" s="6" t="n">
        <v>0</v>
      </c>
      <c r="H658" s="41" t="n">
        <v>16</v>
      </c>
      <c r="I658" s="43" t="n">
        <f aca="false">F658*H658</f>
        <v>79.84</v>
      </c>
      <c r="J658" s="43" t="n">
        <f aca="false">G658*H658*1.5</f>
        <v>0</v>
      </c>
      <c r="K658" s="6" t="n">
        <v>14.59</v>
      </c>
      <c r="L658" s="43" t="n">
        <f aca="false">K658*'Chart of Accounts'!$E$68</f>
        <v>9.7753</v>
      </c>
      <c r="O658" s="42" t="n">
        <f aca="false">I658+J658+L658</f>
        <v>89.6153</v>
      </c>
    </row>
    <row r="659" customFormat="false" ht="15" hidden="false" customHeight="false" outlineLevel="0" collapsed="false">
      <c r="B659" s="7" t="s">
        <v>9292</v>
      </c>
      <c r="C659" s="39" t="n">
        <v>45700</v>
      </c>
      <c r="D659" s="7" t="s">
        <v>205</v>
      </c>
      <c r="E659" s="7" t="s">
        <v>180</v>
      </c>
      <c r="F659" s="6" t="n">
        <v>4.24</v>
      </c>
      <c r="G659" s="6" t="n">
        <v>0</v>
      </c>
      <c r="H659" s="41" t="n">
        <v>16.36</v>
      </c>
      <c r="I659" s="43" t="n">
        <f aca="false">F659*H659</f>
        <v>69.3664</v>
      </c>
      <c r="J659" s="43" t="n">
        <f aca="false">G659*H659*1.5</f>
        <v>0</v>
      </c>
      <c r="K659" s="6" t="n">
        <v>12.57</v>
      </c>
      <c r="L659" s="43" t="n">
        <f aca="false">K659*'Chart of Accounts'!$E$68</f>
        <v>8.4219</v>
      </c>
      <c r="O659" s="42" t="n">
        <f aca="false">I659+J659+L659</f>
        <v>77.7883</v>
      </c>
    </row>
    <row r="660" customFormat="false" ht="15" hidden="false" customHeight="false" outlineLevel="0" collapsed="false">
      <c r="B660" s="7" t="s">
        <v>9293</v>
      </c>
      <c r="C660" s="39" t="n">
        <v>45700</v>
      </c>
      <c r="D660" s="7" t="s">
        <v>252</v>
      </c>
      <c r="E660" s="7" t="s">
        <v>158</v>
      </c>
      <c r="H660" s="41" t="n">
        <v>57.54</v>
      </c>
      <c r="M660" s="6" t="n">
        <v>1</v>
      </c>
      <c r="N660" s="43" t="n">
        <f aca="false">M660*H660</f>
        <v>57.54</v>
      </c>
      <c r="O660" s="42" t="n">
        <f aca="false">N660</f>
        <v>57.54</v>
      </c>
    </row>
    <row r="661" customFormat="false" ht="15" hidden="false" customHeight="false" outlineLevel="0" collapsed="false">
      <c r="B661" s="7" t="s">
        <v>9294</v>
      </c>
      <c r="C661" s="39" t="n">
        <v>45700</v>
      </c>
      <c r="D661" s="7" t="s">
        <v>184</v>
      </c>
      <c r="E661" s="7" t="s">
        <v>180</v>
      </c>
      <c r="F661" s="6" t="n">
        <v>4.05</v>
      </c>
      <c r="G661" s="6" t="n">
        <v>0</v>
      </c>
      <c r="H661" s="41" t="n">
        <v>17.34</v>
      </c>
      <c r="I661" s="43" t="n">
        <f aca="false">F661*H661</f>
        <v>70.227</v>
      </c>
      <c r="J661" s="43" t="n">
        <f aca="false">G661*H661*1.5</f>
        <v>0</v>
      </c>
      <c r="K661" s="6" t="n">
        <v>12.84</v>
      </c>
      <c r="L661" s="43" t="n">
        <f aca="false">K661*'Chart of Accounts'!$E$68</f>
        <v>8.6028</v>
      </c>
      <c r="O661" s="42" t="n">
        <f aca="false">I661+J661+L661</f>
        <v>78.8298</v>
      </c>
    </row>
    <row r="662" customFormat="false" ht="15" hidden="false" customHeight="false" outlineLevel="0" collapsed="false">
      <c r="B662" s="7" t="s">
        <v>9295</v>
      </c>
      <c r="C662" s="39" t="n">
        <v>45700</v>
      </c>
      <c r="D662" s="7" t="s">
        <v>218</v>
      </c>
      <c r="E662" s="7" t="s">
        <v>180</v>
      </c>
      <c r="F662" s="6" t="n">
        <v>4.39</v>
      </c>
      <c r="G662" s="6" t="n">
        <v>0</v>
      </c>
      <c r="H662" s="41" t="n">
        <v>16.19</v>
      </c>
      <c r="I662" s="43" t="n">
        <f aca="false">F662*H662</f>
        <v>71.0741</v>
      </c>
      <c r="J662" s="43" t="n">
        <f aca="false">G662*H662*1.5</f>
        <v>0</v>
      </c>
      <c r="K662" s="6" t="n">
        <v>10.75</v>
      </c>
      <c r="L662" s="43" t="n">
        <f aca="false">K662*'Chart of Accounts'!$E$68</f>
        <v>7.2025</v>
      </c>
      <c r="O662" s="42" t="n">
        <f aca="false">I662+J662+L662</f>
        <v>78.2766</v>
      </c>
    </row>
    <row r="663" customFormat="false" ht="15" hidden="false" customHeight="false" outlineLevel="0" collapsed="false">
      <c r="B663" s="7" t="s">
        <v>9296</v>
      </c>
      <c r="C663" s="39" t="n">
        <v>45700</v>
      </c>
      <c r="D663" s="7" t="s">
        <v>220</v>
      </c>
      <c r="E663" s="7" t="s">
        <v>180</v>
      </c>
      <c r="F663" s="6" t="n">
        <v>3.85</v>
      </c>
      <c r="G663" s="6" t="n">
        <v>0</v>
      </c>
      <c r="H663" s="41" t="n">
        <v>16.43</v>
      </c>
      <c r="I663" s="43" t="n">
        <f aca="false">F663*H663</f>
        <v>63.2555</v>
      </c>
      <c r="J663" s="43" t="n">
        <f aca="false">G663*H663*1.5</f>
        <v>0</v>
      </c>
      <c r="K663" s="6" t="n">
        <v>11.99</v>
      </c>
      <c r="L663" s="43" t="n">
        <f aca="false">K663*'Chart of Accounts'!$E$68</f>
        <v>8.0333</v>
      </c>
      <c r="O663" s="42" t="n">
        <f aca="false">I663+J663+L663</f>
        <v>71.2888</v>
      </c>
    </row>
    <row r="664" customFormat="false" ht="15" hidden="false" customHeight="false" outlineLevel="0" collapsed="false">
      <c r="B664" s="7" t="s">
        <v>9297</v>
      </c>
      <c r="C664" s="39" t="n">
        <v>45700</v>
      </c>
      <c r="D664" s="7" t="s">
        <v>177</v>
      </c>
      <c r="E664" s="7" t="s">
        <v>180</v>
      </c>
      <c r="F664" s="6" t="n">
        <v>8.89</v>
      </c>
      <c r="G664" s="6" t="n">
        <v>0</v>
      </c>
      <c r="H664" s="41" t="n">
        <v>14.56</v>
      </c>
      <c r="I664" s="43" t="n">
        <f aca="false">F664*H664</f>
        <v>129.4384</v>
      </c>
      <c r="J664" s="43" t="n">
        <f aca="false">G664*H664*1.5</f>
        <v>0</v>
      </c>
      <c r="K664" s="6" t="n">
        <v>31.41</v>
      </c>
      <c r="L664" s="43" t="n">
        <f aca="false">K664*'Chart of Accounts'!$E$68</f>
        <v>21.0447</v>
      </c>
      <c r="O664" s="42" t="n">
        <f aca="false">I664+J664+L664</f>
        <v>150.4831</v>
      </c>
    </row>
    <row r="665" customFormat="false" ht="15" hidden="false" customHeight="false" outlineLevel="0" collapsed="false">
      <c r="B665" s="7" t="s">
        <v>9298</v>
      </c>
      <c r="C665" s="39" t="n">
        <v>45700</v>
      </c>
      <c r="D665" s="7" t="s">
        <v>242</v>
      </c>
      <c r="E665" s="7" t="s">
        <v>180</v>
      </c>
      <c r="F665" s="6" t="n">
        <v>7.23</v>
      </c>
      <c r="G665" s="6" t="n">
        <v>0</v>
      </c>
      <c r="H665" s="41" t="n">
        <v>17.99</v>
      </c>
      <c r="I665" s="43" t="n">
        <f aca="false">F665*H665</f>
        <v>130.0677</v>
      </c>
      <c r="J665" s="43" t="n">
        <f aca="false">G665*H665*1.5</f>
        <v>0</v>
      </c>
      <c r="K665" s="6" t="n">
        <v>25.7</v>
      </c>
      <c r="L665" s="43" t="n">
        <f aca="false">K665*'Chart of Accounts'!$E$68</f>
        <v>17.219</v>
      </c>
      <c r="O665" s="42" t="n">
        <f aca="false">I665+J665+L665</f>
        <v>147.2867</v>
      </c>
    </row>
    <row r="666" customFormat="false" ht="15" hidden="false" customHeight="false" outlineLevel="0" collapsed="false">
      <c r="B666" s="7" t="s">
        <v>9299</v>
      </c>
      <c r="C666" s="39" t="n">
        <v>45700</v>
      </c>
      <c r="D666" s="7" t="s">
        <v>254</v>
      </c>
      <c r="E666" s="7" t="s">
        <v>180</v>
      </c>
      <c r="F666" s="6" t="n">
        <v>6.79</v>
      </c>
      <c r="G666" s="6" t="n">
        <v>0</v>
      </c>
      <c r="H666" s="41" t="n">
        <v>17.1</v>
      </c>
      <c r="I666" s="43" t="n">
        <f aca="false">F666*H666</f>
        <v>116.109</v>
      </c>
      <c r="J666" s="43" t="n">
        <f aca="false">G666*H666*1.5</f>
        <v>0</v>
      </c>
      <c r="K666" s="6" t="n">
        <v>23.64</v>
      </c>
      <c r="L666" s="43" t="n">
        <f aca="false">K666*'Chart of Accounts'!$E$68</f>
        <v>15.8388</v>
      </c>
      <c r="O666" s="42" t="n">
        <f aca="false">I666+J666+L666</f>
        <v>131.9478</v>
      </c>
    </row>
    <row r="667" customFormat="false" ht="15" hidden="false" customHeight="false" outlineLevel="0" collapsed="false">
      <c r="B667" s="7" t="s">
        <v>9300</v>
      </c>
      <c r="C667" s="39" t="n">
        <v>45700</v>
      </c>
      <c r="D667" s="7" t="s">
        <v>201</v>
      </c>
      <c r="E667" s="7" t="s">
        <v>180</v>
      </c>
      <c r="F667" s="6" t="n">
        <v>3.56</v>
      </c>
      <c r="G667" s="6" t="n">
        <v>0</v>
      </c>
      <c r="H667" s="41" t="n">
        <v>15.19</v>
      </c>
      <c r="I667" s="43" t="n">
        <f aca="false">F667*H667</f>
        <v>54.0764</v>
      </c>
      <c r="J667" s="43" t="n">
        <f aca="false">G667*H667*1.5</f>
        <v>0</v>
      </c>
      <c r="K667" s="6" t="n">
        <v>11.46</v>
      </c>
      <c r="L667" s="43" t="n">
        <f aca="false">K667*'Chart of Accounts'!$E$68</f>
        <v>7.6782</v>
      </c>
      <c r="O667" s="42" t="n">
        <f aca="false">I667+J667+L667</f>
        <v>61.7546</v>
      </c>
    </row>
    <row r="668" customFormat="false" ht="15" hidden="false" customHeight="false" outlineLevel="0" collapsed="false">
      <c r="B668" s="7" t="s">
        <v>9301</v>
      </c>
      <c r="C668" s="39" t="n">
        <v>45700</v>
      </c>
      <c r="D668" s="7" t="s">
        <v>207</v>
      </c>
      <c r="E668" s="7" t="s">
        <v>180</v>
      </c>
      <c r="F668" s="6" t="n">
        <v>3.39</v>
      </c>
      <c r="G668" s="6" t="n">
        <v>0</v>
      </c>
      <c r="H668" s="41" t="n">
        <v>16.65</v>
      </c>
      <c r="I668" s="43" t="n">
        <f aca="false">F668*H668</f>
        <v>56.4435</v>
      </c>
      <c r="J668" s="43" t="n">
        <f aca="false">G668*H668*1.5</f>
        <v>0</v>
      </c>
      <c r="K668" s="6" t="n">
        <v>8.58</v>
      </c>
      <c r="L668" s="43" t="n">
        <f aca="false">K668*'Chart of Accounts'!$E$68</f>
        <v>5.7486</v>
      </c>
      <c r="O668" s="42" t="n">
        <f aca="false">I668+J668+L668</f>
        <v>62.1921</v>
      </c>
    </row>
    <row r="669" customFormat="false" ht="15" hidden="false" customHeight="false" outlineLevel="0" collapsed="false">
      <c r="B669" s="7" t="s">
        <v>9302</v>
      </c>
      <c r="C669" s="39" t="n">
        <v>45700</v>
      </c>
      <c r="D669" s="7" t="s">
        <v>212</v>
      </c>
      <c r="E669" s="7" t="s">
        <v>180</v>
      </c>
      <c r="F669" s="6" t="n">
        <v>4.28</v>
      </c>
      <c r="G669" s="6" t="n">
        <v>0</v>
      </c>
      <c r="H669" s="41" t="n">
        <v>16.71</v>
      </c>
      <c r="I669" s="43" t="n">
        <f aca="false">F669*H669</f>
        <v>71.5188</v>
      </c>
      <c r="J669" s="43" t="n">
        <f aca="false">G669*H669*1.5</f>
        <v>0</v>
      </c>
      <c r="K669" s="6" t="n">
        <v>14.95</v>
      </c>
      <c r="L669" s="43" t="n">
        <f aca="false">K669*'Chart of Accounts'!$E$68</f>
        <v>10.0165</v>
      </c>
      <c r="O669" s="42" t="n">
        <f aca="false">I669+J669+L669</f>
        <v>81.5353</v>
      </c>
    </row>
    <row r="670" customFormat="false" ht="15" hidden="false" customHeight="false" outlineLevel="0" collapsed="false">
      <c r="B670" s="7" t="s">
        <v>9303</v>
      </c>
      <c r="C670" s="39" t="n">
        <v>45700</v>
      </c>
      <c r="D670" s="7" t="s">
        <v>232</v>
      </c>
      <c r="E670" s="7" t="s">
        <v>180</v>
      </c>
      <c r="F670" s="6" t="n">
        <v>4.55</v>
      </c>
      <c r="G670" s="6" t="n">
        <v>0</v>
      </c>
      <c r="H670" s="41" t="n">
        <v>16.17</v>
      </c>
      <c r="I670" s="43" t="n">
        <f aca="false">F670*H670</f>
        <v>73.5735</v>
      </c>
      <c r="J670" s="43" t="n">
        <f aca="false">G670*H670*1.5</f>
        <v>0</v>
      </c>
      <c r="K670" s="6" t="n">
        <v>12.78</v>
      </c>
      <c r="L670" s="43" t="n">
        <f aca="false">K670*'Chart of Accounts'!$E$68</f>
        <v>8.5626</v>
      </c>
      <c r="O670" s="42" t="n">
        <f aca="false">I670+J670+L670</f>
        <v>82.1361</v>
      </c>
    </row>
    <row r="671" customFormat="false" ht="15" hidden="false" customHeight="false" outlineLevel="0" collapsed="false">
      <c r="B671" s="7" t="s">
        <v>9304</v>
      </c>
      <c r="C671" s="39" t="n">
        <v>45700</v>
      </c>
      <c r="D671" s="7" t="s">
        <v>224</v>
      </c>
      <c r="E671" s="7" t="s">
        <v>180</v>
      </c>
      <c r="F671" s="6" t="n">
        <v>4.29</v>
      </c>
      <c r="G671" s="6" t="n">
        <v>0</v>
      </c>
      <c r="H671" s="41" t="n">
        <v>14.93</v>
      </c>
      <c r="I671" s="43" t="n">
        <f aca="false">F671*H671</f>
        <v>64.0497</v>
      </c>
      <c r="J671" s="43" t="n">
        <f aca="false">G671*H671*1.5</f>
        <v>0</v>
      </c>
      <c r="K671" s="6" t="n">
        <v>14.18</v>
      </c>
      <c r="L671" s="43" t="n">
        <f aca="false">K671*'Chart of Accounts'!$E$68</f>
        <v>9.5006</v>
      </c>
      <c r="O671" s="42" t="n">
        <f aca="false">I671+J671+L671</f>
        <v>73.5503</v>
      </c>
    </row>
    <row r="672" customFormat="false" ht="15" hidden="false" customHeight="false" outlineLevel="0" collapsed="false">
      <c r="B672" s="7" t="s">
        <v>9305</v>
      </c>
      <c r="C672" s="39" t="n">
        <v>45700</v>
      </c>
      <c r="D672" s="7" t="s">
        <v>246</v>
      </c>
      <c r="E672" s="7" t="s">
        <v>180</v>
      </c>
      <c r="F672" s="6" t="n">
        <v>3.73</v>
      </c>
      <c r="G672" s="6" t="n">
        <v>0</v>
      </c>
      <c r="H672" s="41" t="n">
        <v>16.48</v>
      </c>
      <c r="I672" s="43" t="n">
        <f aca="false">F672*H672</f>
        <v>61.4704</v>
      </c>
      <c r="J672" s="43" t="n">
        <f aca="false">G672*H672*1.5</f>
        <v>0</v>
      </c>
      <c r="K672" s="6" t="n">
        <v>10.71</v>
      </c>
      <c r="L672" s="43" t="n">
        <f aca="false">K672*'Chart of Accounts'!$E$68</f>
        <v>7.1757</v>
      </c>
      <c r="O672" s="42" t="n">
        <f aca="false">I672+J672+L672</f>
        <v>68.6461</v>
      </c>
    </row>
    <row r="673" customFormat="false" ht="15" hidden="false" customHeight="false" outlineLevel="0" collapsed="false">
      <c r="B673" s="7" t="s">
        <v>9306</v>
      </c>
      <c r="C673" s="39" t="n">
        <v>45700</v>
      </c>
      <c r="D673" s="7" t="s">
        <v>222</v>
      </c>
      <c r="E673" s="7" t="s">
        <v>180</v>
      </c>
      <c r="F673" s="6" t="n">
        <v>4.37</v>
      </c>
      <c r="G673" s="6" t="n">
        <v>0</v>
      </c>
      <c r="H673" s="41" t="n">
        <v>17.84</v>
      </c>
      <c r="I673" s="43" t="n">
        <f aca="false">F673*H673</f>
        <v>77.9608</v>
      </c>
      <c r="J673" s="43" t="n">
        <f aca="false">G673*H673*1.5</f>
        <v>0</v>
      </c>
      <c r="K673" s="6" t="n">
        <v>15.01</v>
      </c>
      <c r="L673" s="43" t="n">
        <f aca="false">K673*'Chart of Accounts'!$E$68</f>
        <v>10.0567</v>
      </c>
      <c r="O673" s="42" t="n">
        <f aca="false">I673+J673+L673</f>
        <v>88.0175</v>
      </c>
    </row>
    <row r="674" customFormat="false" ht="15" hidden="false" customHeight="false" outlineLevel="0" collapsed="false">
      <c r="B674" s="7" t="s">
        <v>9307</v>
      </c>
      <c r="C674" s="39" t="n">
        <v>45700</v>
      </c>
      <c r="D674" s="7" t="s">
        <v>203</v>
      </c>
      <c r="E674" s="7" t="s">
        <v>158</v>
      </c>
      <c r="H674" s="41" t="n">
        <v>49.43</v>
      </c>
      <c r="M674" s="6" t="n">
        <v>1</v>
      </c>
      <c r="N674" s="43" t="n">
        <f aca="false">M674*H674</f>
        <v>49.43</v>
      </c>
      <c r="O674" s="42" t="n">
        <f aca="false">N674</f>
        <v>49.43</v>
      </c>
    </row>
    <row r="675" customFormat="false" ht="15" hidden="false" customHeight="false" outlineLevel="0" collapsed="false">
      <c r="B675" s="7" t="s">
        <v>9308</v>
      </c>
      <c r="C675" s="39" t="n">
        <v>45700</v>
      </c>
      <c r="D675" s="7" t="s">
        <v>262</v>
      </c>
      <c r="E675" s="7" t="s">
        <v>180</v>
      </c>
      <c r="F675" s="6" t="n">
        <v>3.12</v>
      </c>
      <c r="G675" s="6" t="n">
        <v>0</v>
      </c>
      <c r="H675" s="41" t="n">
        <v>16.02</v>
      </c>
      <c r="I675" s="43" t="n">
        <f aca="false">F675*H675</f>
        <v>49.9824</v>
      </c>
      <c r="J675" s="43" t="n">
        <f aca="false">G675*H675*1.5</f>
        <v>0</v>
      </c>
      <c r="K675" s="6" t="n">
        <v>7.99</v>
      </c>
      <c r="L675" s="43" t="n">
        <f aca="false">K675*'Chart of Accounts'!$E$68</f>
        <v>5.3533</v>
      </c>
      <c r="O675" s="42" t="n">
        <f aca="false">I675+J675+L675</f>
        <v>55.3357</v>
      </c>
    </row>
    <row r="676" customFormat="false" ht="15" hidden="false" customHeight="false" outlineLevel="0" collapsed="false">
      <c r="B676" s="7" t="s">
        <v>9309</v>
      </c>
      <c r="C676" s="39" t="n">
        <v>45700</v>
      </c>
      <c r="D676" s="7" t="s">
        <v>214</v>
      </c>
      <c r="E676" s="7" t="s">
        <v>180</v>
      </c>
      <c r="F676" s="6" t="n">
        <v>3.63</v>
      </c>
      <c r="G676" s="6" t="n">
        <v>0</v>
      </c>
      <c r="H676" s="41" t="n">
        <v>15.67</v>
      </c>
      <c r="I676" s="43" t="n">
        <f aca="false">F676*H676</f>
        <v>56.8821</v>
      </c>
      <c r="J676" s="43" t="n">
        <f aca="false">G676*H676*1.5</f>
        <v>0</v>
      </c>
      <c r="K676" s="6" t="n">
        <v>8.96</v>
      </c>
      <c r="L676" s="43" t="n">
        <f aca="false">K676*'Chart of Accounts'!$E$68</f>
        <v>6.0032</v>
      </c>
      <c r="O676" s="42" t="n">
        <f aca="false">I676+J676+L676</f>
        <v>62.8853</v>
      </c>
    </row>
    <row r="677" customFormat="false" ht="15" hidden="false" customHeight="false" outlineLevel="0" collapsed="false">
      <c r="B677" s="7" t="s">
        <v>9310</v>
      </c>
      <c r="C677" s="39" t="n">
        <v>45701</v>
      </c>
      <c r="D677" s="7" t="s">
        <v>191</v>
      </c>
      <c r="E677" s="7" t="s">
        <v>180</v>
      </c>
      <c r="F677" s="6" t="n">
        <v>4.34</v>
      </c>
      <c r="G677" s="6" t="n">
        <v>0</v>
      </c>
      <c r="H677" s="41" t="n">
        <v>16.05</v>
      </c>
      <c r="I677" s="43" t="n">
        <f aca="false">F677*H677</f>
        <v>69.657</v>
      </c>
      <c r="J677" s="43" t="n">
        <f aca="false">G677*H677*1.5</f>
        <v>0</v>
      </c>
      <c r="K677" s="6" t="n">
        <v>11.41</v>
      </c>
      <c r="L677" s="43" t="n">
        <f aca="false">K677*'Chart of Accounts'!$E$68</f>
        <v>7.6447</v>
      </c>
      <c r="O677" s="42" t="n">
        <f aca="false">I677+J677+L677</f>
        <v>77.3017</v>
      </c>
    </row>
    <row r="678" customFormat="false" ht="15" hidden="false" customHeight="false" outlineLevel="0" collapsed="false">
      <c r="B678" s="7" t="s">
        <v>9311</v>
      </c>
      <c r="C678" s="39" t="n">
        <v>45701</v>
      </c>
      <c r="D678" s="7" t="s">
        <v>201</v>
      </c>
      <c r="E678" s="7" t="s">
        <v>180</v>
      </c>
      <c r="F678" s="6" t="n">
        <v>3.04</v>
      </c>
      <c r="G678" s="6" t="n">
        <v>0</v>
      </c>
      <c r="H678" s="41" t="n">
        <v>15.19</v>
      </c>
      <c r="I678" s="43" t="n">
        <f aca="false">F678*H678</f>
        <v>46.1776</v>
      </c>
      <c r="J678" s="43" t="n">
        <f aca="false">G678*H678*1.5</f>
        <v>0</v>
      </c>
      <c r="K678" s="6" t="n">
        <v>9.37</v>
      </c>
      <c r="L678" s="43" t="n">
        <f aca="false">K678*'Chart of Accounts'!$E$68</f>
        <v>6.2779</v>
      </c>
      <c r="O678" s="42" t="n">
        <f aca="false">I678+J678+L678</f>
        <v>52.4555</v>
      </c>
    </row>
    <row r="679" customFormat="false" ht="15" hidden="false" customHeight="false" outlineLevel="0" collapsed="false">
      <c r="B679" s="7" t="s">
        <v>9312</v>
      </c>
      <c r="C679" s="39" t="n">
        <v>45701</v>
      </c>
      <c r="D679" s="7" t="s">
        <v>196</v>
      </c>
      <c r="E679" s="7" t="s">
        <v>180</v>
      </c>
      <c r="F679" s="6" t="n">
        <v>6.08</v>
      </c>
      <c r="G679" s="6" t="n">
        <v>0</v>
      </c>
      <c r="H679" s="41" t="n">
        <v>15.05</v>
      </c>
      <c r="I679" s="43" t="n">
        <f aca="false">F679*H679</f>
        <v>91.504</v>
      </c>
      <c r="J679" s="43" t="n">
        <f aca="false">G679*H679*1.5</f>
        <v>0</v>
      </c>
      <c r="K679" s="6" t="n">
        <v>16.29</v>
      </c>
      <c r="L679" s="43" t="n">
        <f aca="false">K679*'Chart of Accounts'!$E$68</f>
        <v>10.9143</v>
      </c>
      <c r="O679" s="42" t="n">
        <f aca="false">I679+J679+L679</f>
        <v>102.4183</v>
      </c>
    </row>
    <row r="680" customFormat="false" ht="15" hidden="false" customHeight="false" outlineLevel="0" collapsed="false">
      <c r="B680" s="7" t="s">
        <v>9313</v>
      </c>
      <c r="C680" s="39" t="n">
        <v>45701</v>
      </c>
      <c r="D680" s="7" t="s">
        <v>184</v>
      </c>
      <c r="E680" s="7" t="s">
        <v>180</v>
      </c>
      <c r="F680" s="6" t="n">
        <v>3.73</v>
      </c>
      <c r="G680" s="6" t="n">
        <v>0</v>
      </c>
      <c r="H680" s="41" t="n">
        <v>17.34</v>
      </c>
      <c r="I680" s="43" t="n">
        <f aca="false">F680*H680</f>
        <v>64.6782</v>
      </c>
      <c r="J680" s="43" t="n">
        <f aca="false">G680*H680*1.5</f>
        <v>0</v>
      </c>
      <c r="K680" s="6" t="n">
        <v>9.8</v>
      </c>
      <c r="L680" s="43" t="n">
        <f aca="false">K680*'Chart of Accounts'!$E$68</f>
        <v>6.566</v>
      </c>
      <c r="O680" s="42" t="n">
        <f aca="false">I680+J680+L680</f>
        <v>71.2442</v>
      </c>
    </row>
    <row r="681" customFormat="false" ht="15" hidden="false" customHeight="false" outlineLevel="0" collapsed="false">
      <c r="B681" s="7" t="s">
        <v>9314</v>
      </c>
      <c r="C681" s="39" t="n">
        <v>45701</v>
      </c>
      <c r="D681" s="7" t="s">
        <v>207</v>
      </c>
      <c r="E681" s="7" t="s">
        <v>180</v>
      </c>
      <c r="F681" s="6" t="n">
        <v>3.13</v>
      </c>
      <c r="G681" s="6" t="n">
        <v>0</v>
      </c>
      <c r="H681" s="41" t="n">
        <v>16.65</v>
      </c>
      <c r="I681" s="43" t="n">
        <f aca="false">F681*H681</f>
        <v>52.1145</v>
      </c>
      <c r="J681" s="43" t="n">
        <f aca="false">G681*H681*1.5</f>
        <v>0</v>
      </c>
      <c r="K681" s="6" t="n">
        <v>10.82</v>
      </c>
      <c r="L681" s="43" t="n">
        <f aca="false">K681*'Chart of Accounts'!$E$68</f>
        <v>7.2494</v>
      </c>
      <c r="O681" s="42" t="n">
        <f aca="false">I681+J681+L681</f>
        <v>59.3639</v>
      </c>
    </row>
    <row r="682" customFormat="false" ht="15" hidden="false" customHeight="false" outlineLevel="0" collapsed="false">
      <c r="B682" s="7" t="s">
        <v>9315</v>
      </c>
      <c r="C682" s="39" t="n">
        <v>45701</v>
      </c>
      <c r="D682" s="7" t="s">
        <v>218</v>
      </c>
      <c r="E682" s="7" t="s">
        <v>180</v>
      </c>
      <c r="F682" s="6" t="n">
        <v>3.96</v>
      </c>
      <c r="G682" s="6" t="n">
        <v>0</v>
      </c>
      <c r="H682" s="41" t="n">
        <v>16.19</v>
      </c>
      <c r="I682" s="43" t="n">
        <f aca="false">F682*H682</f>
        <v>64.1124</v>
      </c>
      <c r="J682" s="43" t="n">
        <f aca="false">G682*H682*1.5</f>
        <v>0</v>
      </c>
      <c r="K682" s="6" t="n">
        <v>11.59</v>
      </c>
      <c r="L682" s="43" t="n">
        <f aca="false">K682*'Chart of Accounts'!$E$68</f>
        <v>7.7653</v>
      </c>
      <c r="O682" s="42" t="n">
        <f aca="false">I682+J682+L682</f>
        <v>71.8777</v>
      </c>
    </row>
    <row r="683" customFormat="false" ht="15" hidden="false" customHeight="false" outlineLevel="0" collapsed="false">
      <c r="B683" s="7" t="s">
        <v>9316</v>
      </c>
      <c r="C683" s="39" t="n">
        <v>45701</v>
      </c>
      <c r="D683" s="7" t="s">
        <v>212</v>
      </c>
      <c r="E683" s="7" t="s">
        <v>180</v>
      </c>
      <c r="F683" s="6" t="n">
        <v>7.02</v>
      </c>
      <c r="G683" s="6" t="n">
        <v>0</v>
      </c>
      <c r="H683" s="41" t="n">
        <v>16.71</v>
      </c>
      <c r="I683" s="43" t="n">
        <f aca="false">F683*H683</f>
        <v>117.3042</v>
      </c>
      <c r="J683" s="43" t="n">
        <f aca="false">G683*H683*1.5</f>
        <v>0</v>
      </c>
      <c r="K683" s="6" t="n">
        <v>17.06</v>
      </c>
      <c r="L683" s="43" t="n">
        <f aca="false">K683*'Chart of Accounts'!$E$68</f>
        <v>11.4302</v>
      </c>
      <c r="O683" s="42" t="n">
        <f aca="false">I683+J683+L683</f>
        <v>128.7344</v>
      </c>
    </row>
    <row r="684" customFormat="false" ht="15" hidden="false" customHeight="false" outlineLevel="0" collapsed="false">
      <c r="B684" s="7" t="s">
        <v>9317</v>
      </c>
      <c r="C684" s="39" t="n">
        <v>45701</v>
      </c>
      <c r="D684" s="7" t="s">
        <v>220</v>
      </c>
      <c r="E684" s="7" t="s">
        <v>180</v>
      </c>
      <c r="F684" s="6" t="n">
        <v>3.6</v>
      </c>
      <c r="G684" s="6" t="n">
        <v>0</v>
      </c>
      <c r="H684" s="41" t="n">
        <v>16.43</v>
      </c>
      <c r="I684" s="43" t="n">
        <f aca="false">F684*H684</f>
        <v>59.148</v>
      </c>
      <c r="J684" s="43" t="n">
        <f aca="false">G684*H684*1.5</f>
        <v>0</v>
      </c>
      <c r="K684" s="6" t="n">
        <v>12.83</v>
      </c>
      <c r="L684" s="43" t="n">
        <f aca="false">K684*'Chart of Accounts'!$E$68</f>
        <v>8.5961</v>
      </c>
      <c r="O684" s="42" t="n">
        <f aca="false">I684+J684+L684</f>
        <v>67.7441</v>
      </c>
    </row>
    <row r="685" customFormat="false" ht="15" hidden="false" customHeight="false" outlineLevel="0" collapsed="false">
      <c r="B685" s="7" t="s">
        <v>9318</v>
      </c>
      <c r="C685" s="39" t="n">
        <v>45701</v>
      </c>
      <c r="D685" s="7" t="s">
        <v>224</v>
      </c>
      <c r="E685" s="7" t="s">
        <v>180</v>
      </c>
      <c r="F685" s="6" t="n">
        <v>4.38</v>
      </c>
      <c r="G685" s="6" t="n">
        <v>0</v>
      </c>
      <c r="H685" s="41" t="n">
        <v>14.93</v>
      </c>
      <c r="I685" s="43" t="n">
        <f aca="false">F685*H685</f>
        <v>65.3934</v>
      </c>
      <c r="J685" s="43" t="n">
        <f aca="false">G685*H685*1.5</f>
        <v>0</v>
      </c>
      <c r="K685" s="6" t="n">
        <v>11.94</v>
      </c>
      <c r="L685" s="43" t="n">
        <f aca="false">K685*'Chart of Accounts'!$E$68</f>
        <v>7.9998</v>
      </c>
      <c r="O685" s="42" t="n">
        <f aca="false">I685+J685+L685</f>
        <v>73.3932</v>
      </c>
    </row>
    <row r="686" customFormat="false" ht="15" hidden="false" customHeight="false" outlineLevel="0" collapsed="false">
      <c r="B686" s="7" t="s">
        <v>9319</v>
      </c>
      <c r="C686" s="39" t="n">
        <v>45701</v>
      </c>
      <c r="D686" s="7" t="s">
        <v>232</v>
      </c>
      <c r="E686" s="7" t="s">
        <v>180</v>
      </c>
      <c r="F686" s="6" t="n">
        <v>2.93</v>
      </c>
      <c r="G686" s="6" t="n">
        <v>0</v>
      </c>
      <c r="H686" s="41" t="n">
        <v>16.17</v>
      </c>
      <c r="I686" s="43" t="n">
        <f aca="false">F686*H686</f>
        <v>47.3781</v>
      </c>
      <c r="J686" s="43" t="n">
        <f aca="false">G686*H686*1.5</f>
        <v>0</v>
      </c>
      <c r="K686" s="6" t="n">
        <v>8.4</v>
      </c>
      <c r="L686" s="43" t="n">
        <f aca="false">K686*'Chart of Accounts'!$E$68</f>
        <v>5.628</v>
      </c>
      <c r="O686" s="42" t="n">
        <f aca="false">I686+J686+L686</f>
        <v>53.0061</v>
      </c>
    </row>
    <row r="687" customFormat="false" ht="15" hidden="false" customHeight="false" outlineLevel="0" collapsed="false">
      <c r="B687" s="7" t="s">
        <v>9320</v>
      </c>
      <c r="C687" s="39" t="n">
        <v>45701</v>
      </c>
      <c r="D687" s="7" t="s">
        <v>222</v>
      </c>
      <c r="E687" s="7" t="s">
        <v>180</v>
      </c>
      <c r="F687" s="6" t="n">
        <v>7.34</v>
      </c>
      <c r="G687" s="6" t="n">
        <v>0</v>
      </c>
      <c r="H687" s="41" t="n">
        <v>17.84</v>
      </c>
      <c r="I687" s="43" t="n">
        <f aca="false">F687*H687</f>
        <v>130.9456</v>
      </c>
      <c r="J687" s="43" t="n">
        <f aca="false">G687*H687*1.5</f>
        <v>0</v>
      </c>
      <c r="K687" s="6" t="n">
        <v>19.62</v>
      </c>
      <c r="L687" s="43" t="n">
        <f aca="false">K687*'Chart of Accounts'!$E$68</f>
        <v>13.1454</v>
      </c>
      <c r="O687" s="42" t="n">
        <f aca="false">I687+J687+L687</f>
        <v>144.091</v>
      </c>
    </row>
    <row r="688" customFormat="false" ht="15" hidden="false" customHeight="false" outlineLevel="0" collapsed="false">
      <c r="B688" s="7" t="s">
        <v>9321</v>
      </c>
      <c r="C688" s="39" t="n">
        <v>45701</v>
      </c>
      <c r="D688" s="7" t="s">
        <v>262</v>
      </c>
      <c r="E688" s="7" t="s">
        <v>180</v>
      </c>
      <c r="F688" s="6" t="n">
        <v>4.15</v>
      </c>
      <c r="G688" s="6" t="n">
        <v>0</v>
      </c>
      <c r="H688" s="41" t="n">
        <v>16.02</v>
      </c>
      <c r="I688" s="43" t="n">
        <f aca="false">F688*H688</f>
        <v>66.483</v>
      </c>
      <c r="J688" s="43" t="n">
        <f aca="false">G688*H688*1.5</f>
        <v>0</v>
      </c>
      <c r="K688" s="6" t="n">
        <v>11.49</v>
      </c>
      <c r="L688" s="43" t="n">
        <f aca="false">K688*'Chart of Accounts'!$E$68</f>
        <v>7.6983</v>
      </c>
      <c r="O688" s="42" t="n">
        <f aca="false">I688+J688+L688</f>
        <v>74.1813</v>
      </c>
    </row>
    <row r="689" customFormat="false" ht="15" hidden="false" customHeight="false" outlineLevel="0" collapsed="false">
      <c r="B689" s="7" t="s">
        <v>9322</v>
      </c>
      <c r="C689" s="39" t="n">
        <v>45701</v>
      </c>
      <c r="D689" s="7" t="s">
        <v>246</v>
      </c>
      <c r="E689" s="7" t="s">
        <v>180</v>
      </c>
      <c r="F689" s="6" t="n">
        <v>8.45</v>
      </c>
      <c r="G689" s="6" t="n">
        <v>0</v>
      </c>
      <c r="H689" s="41" t="n">
        <v>16.48</v>
      </c>
      <c r="I689" s="43" t="n">
        <f aca="false">F689*H689</f>
        <v>139.256</v>
      </c>
      <c r="J689" s="43" t="n">
        <f aca="false">G689*H689*1.5</f>
        <v>0</v>
      </c>
      <c r="K689" s="6" t="n">
        <v>27</v>
      </c>
      <c r="L689" s="43" t="n">
        <f aca="false">K689*'Chart of Accounts'!$E$68</f>
        <v>18.09</v>
      </c>
      <c r="O689" s="42" t="n">
        <f aca="false">I689+J689+L689</f>
        <v>157.346</v>
      </c>
    </row>
    <row r="690" customFormat="false" ht="15" hidden="false" customHeight="false" outlineLevel="0" collapsed="false">
      <c r="B690" s="7" t="s">
        <v>9323</v>
      </c>
      <c r="C690" s="39" t="n">
        <v>45701</v>
      </c>
      <c r="D690" s="7" t="s">
        <v>214</v>
      </c>
      <c r="E690" s="7" t="s">
        <v>180</v>
      </c>
      <c r="F690" s="6" t="n">
        <v>4.32</v>
      </c>
      <c r="G690" s="6" t="n">
        <v>0</v>
      </c>
      <c r="H690" s="41" t="n">
        <v>15.67</v>
      </c>
      <c r="I690" s="43" t="n">
        <f aca="false">F690*H690</f>
        <v>67.6944</v>
      </c>
      <c r="J690" s="43" t="n">
        <f aca="false">G690*H690*1.5</f>
        <v>0</v>
      </c>
      <c r="K690" s="6" t="n">
        <v>11.36</v>
      </c>
      <c r="L690" s="43" t="n">
        <f aca="false">K690*'Chart of Accounts'!$E$68</f>
        <v>7.6112</v>
      </c>
      <c r="O690" s="42" t="n">
        <f aca="false">I690+J690+L690</f>
        <v>75.3056</v>
      </c>
    </row>
    <row r="691" customFormat="false" ht="15" hidden="false" customHeight="false" outlineLevel="0" collapsed="false">
      <c r="B691" s="7" t="s">
        <v>9324</v>
      </c>
      <c r="C691" s="39" t="n">
        <v>45701</v>
      </c>
      <c r="D691" s="7" t="s">
        <v>242</v>
      </c>
      <c r="E691" s="7" t="s">
        <v>180</v>
      </c>
      <c r="F691" s="6" t="n">
        <v>3.73</v>
      </c>
      <c r="G691" s="6" t="n">
        <v>0</v>
      </c>
      <c r="H691" s="41" t="n">
        <v>17.99</v>
      </c>
      <c r="I691" s="43" t="n">
        <f aca="false">F691*H691</f>
        <v>67.1027</v>
      </c>
      <c r="J691" s="43" t="n">
        <f aca="false">G691*H691*1.5</f>
        <v>0</v>
      </c>
      <c r="K691" s="6" t="n">
        <v>12.88</v>
      </c>
      <c r="L691" s="43" t="n">
        <f aca="false">K691*'Chart of Accounts'!$E$68</f>
        <v>8.6296</v>
      </c>
      <c r="O691" s="42" t="n">
        <f aca="false">I691+J691+L691</f>
        <v>75.7323</v>
      </c>
    </row>
    <row r="692" customFormat="false" ht="15" hidden="false" customHeight="false" outlineLevel="0" collapsed="false">
      <c r="B692" s="7" t="s">
        <v>9325</v>
      </c>
      <c r="C692" s="39" t="n">
        <v>45701</v>
      </c>
      <c r="D692" s="7" t="s">
        <v>254</v>
      </c>
      <c r="E692" s="7" t="s">
        <v>180</v>
      </c>
      <c r="F692" s="6" t="n">
        <v>3.75</v>
      </c>
      <c r="G692" s="6" t="n">
        <v>0</v>
      </c>
      <c r="H692" s="41" t="n">
        <v>17.1</v>
      </c>
      <c r="I692" s="43" t="n">
        <f aca="false">F692*H692</f>
        <v>64.125</v>
      </c>
      <c r="J692" s="43" t="n">
        <f aca="false">G692*H692*1.5</f>
        <v>0</v>
      </c>
      <c r="K692" s="6" t="n">
        <v>12.8</v>
      </c>
      <c r="L692" s="43" t="n">
        <f aca="false">K692*'Chart of Accounts'!$E$68</f>
        <v>8.576</v>
      </c>
      <c r="O692" s="42" t="n">
        <f aca="false">I692+J692+L692</f>
        <v>72.701</v>
      </c>
    </row>
    <row r="693" customFormat="false" ht="15" hidden="false" customHeight="false" outlineLevel="0" collapsed="false">
      <c r="B693" s="7" t="s">
        <v>9326</v>
      </c>
      <c r="C693" s="39" t="n">
        <v>45702</v>
      </c>
      <c r="D693" s="7" t="s">
        <v>187</v>
      </c>
      <c r="E693" s="7" t="s">
        <v>158</v>
      </c>
      <c r="H693" s="41" t="n">
        <v>66.48</v>
      </c>
      <c r="M693" s="6" t="n">
        <v>1</v>
      </c>
      <c r="N693" s="43" t="n">
        <f aca="false">M693*H693</f>
        <v>66.48</v>
      </c>
      <c r="O693" s="42" t="n">
        <f aca="false">N693</f>
        <v>66.48</v>
      </c>
    </row>
    <row r="694" customFormat="false" ht="15" hidden="false" customHeight="false" outlineLevel="0" collapsed="false">
      <c r="B694" s="7" t="s">
        <v>9327</v>
      </c>
      <c r="C694" s="39" t="n">
        <v>45702</v>
      </c>
      <c r="D694" s="7" t="s">
        <v>191</v>
      </c>
      <c r="E694" s="7" t="s">
        <v>180</v>
      </c>
      <c r="F694" s="6" t="n">
        <v>3.79</v>
      </c>
      <c r="G694" s="6" t="n">
        <v>0</v>
      </c>
      <c r="H694" s="41" t="n">
        <v>16.05</v>
      </c>
      <c r="I694" s="43" t="n">
        <f aca="false">F694*H694</f>
        <v>60.8295</v>
      </c>
      <c r="J694" s="43" t="n">
        <f aca="false">G694*H694*1.5</f>
        <v>0</v>
      </c>
      <c r="K694" s="6" t="n">
        <v>11.77</v>
      </c>
      <c r="L694" s="43" t="n">
        <f aca="false">K694*'Chart of Accounts'!$E$68</f>
        <v>7.8859</v>
      </c>
      <c r="O694" s="42" t="n">
        <f aca="false">I694+J694+L694</f>
        <v>68.7154</v>
      </c>
    </row>
    <row r="695" customFormat="false" ht="15" hidden="false" customHeight="false" outlineLevel="0" collapsed="false">
      <c r="B695" s="7" t="s">
        <v>9328</v>
      </c>
      <c r="C695" s="39" t="n">
        <v>45702</v>
      </c>
      <c r="D695" s="7" t="s">
        <v>194</v>
      </c>
      <c r="E695" s="7" t="s">
        <v>180</v>
      </c>
      <c r="F695" s="6" t="n">
        <v>4.98</v>
      </c>
      <c r="G695" s="6" t="n">
        <v>0</v>
      </c>
      <c r="H695" s="41" t="n">
        <v>16</v>
      </c>
      <c r="I695" s="43" t="n">
        <f aca="false">F695*H695</f>
        <v>79.68</v>
      </c>
      <c r="J695" s="43" t="n">
        <f aca="false">G695*H695*1.5</f>
        <v>0</v>
      </c>
      <c r="K695" s="6" t="n">
        <v>16.78</v>
      </c>
      <c r="L695" s="43" t="n">
        <f aca="false">K695*'Chart of Accounts'!$E$68</f>
        <v>11.2426</v>
      </c>
      <c r="O695" s="42" t="n">
        <f aca="false">I695+J695+L695</f>
        <v>90.9226</v>
      </c>
    </row>
    <row r="696" customFormat="false" ht="15" hidden="false" customHeight="false" outlineLevel="0" collapsed="false">
      <c r="B696" s="7" t="s">
        <v>9329</v>
      </c>
      <c r="C696" s="39" t="n">
        <v>45702</v>
      </c>
      <c r="D696" s="7" t="s">
        <v>209</v>
      </c>
      <c r="E696" s="7" t="s">
        <v>158</v>
      </c>
      <c r="H696" s="41" t="n">
        <v>73.58</v>
      </c>
      <c r="M696" s="6" t="n">
        <v>2</v>
      </c>
      <c r="N696" s="43" t="n">
        <f aca="false">M696*H696</f>
        <v>147.16</v>
      </c>
      <c r="O696" s="42" t="n">
        <f aca="false">N696</f>
        <v>147.16</v>
      </c>
    </row>
    <row r="697" customFormat="false" ht="15" hidden="false" customHeight="false" outlineLevel="0" collapsed="false">
      <c r="B697" s="7" t="s">
        <v>9330</v>
      </c>
      <c r="C697" s="39" t="n">
        <v>45702</v>
      </c>
      <c r="D697" s="7" t="s">
        <v>205</v>
      </c>
      <c r="E697" s="7" t="s">
        <v>180</v>
      </c>
      <c r="F697" s="6" t="n">
        <v>4.08</v>
      </c>
      <c r="G697" s="6" t="n">
        <v>0</v>
      </c>
      <c r="H697" s="41" t="n">
        <v>16.36</v>
      </c>
      <c r="I697" s="43" t="n">
        <f aca="false">F697*H697</f>
        <v>66.7488</v>
      </c>
      <c r="J697" s="43" t="n">
        <f aca="false">G697*H697*1.5</f>
        <v>0</v>
      </c>
      <c r="K697" s="6" t="n">
        <v>12.48</v>
      </c>
      <c r="L697" s="43" t="n">
        <f aca="false">K697*'Chart of Accounts'!$E$68</f>
        <v>8.3616</v>
      </c>
      <c r="O697" s="42" t="n">
        <f aca="false">I697+J697+L697</f>
        <v>75.1104</v>
      </c>
    </row>
    <row r="698" customFormat="false" ht="15" hidden="false" customHeight="false" outlineLevel="0" collapsed="false">
      <c r="B698" s="7" t="s">
        <v>9331</v>
      </c>
      <c r="C698" s="39" t="n">
        <v>45702</v>
      </c>
      <c r="D698" s="7" t="s">
        <v>252</v>
      </c>
      <c r="E698" s="7" t="s">
        <v>158</v>
      </c>
      <c r="H698" s="41" t="n">
        <v>57.54</v>
      </c>
      <c r="M698" s="6" t="n">
        <v>1</v>
      </c>
      <c r="N698" s="43" t="n">
        <f aca="false">M698*H698</f>
        <v>57.54</v>
      </c>
      <c r="O698" s="42" t="n">
        <f aca="false">N698</f>
        <v>57.54</v>
      </c>
    </row>
    <row r="699" customFormat="false" ht="15" hidden="false" customHeight="false" outlineLevel="0" collapsed="false">
      <c r="B699" s="7" t="s">
        <v>9332</v>
      </c>
      <c r="C699" s="39" t="n">
        <v>45702</v>
      </c>
      <c r="D699" s="7" t="s">
        <v>184</v>
      </c>
      <c r="E699" s="7" t="s">
        <v>180</v>
      </c>
      <c r="F699" s="6" t="n">
        <v>4.28</v>
      </c>
      <c r="G699" s="6" t="n">
        <v>0</v>
      </c>
      <c r="H699" s="41" t="n">
        <v>17.34</v>
      </c>
      <c r="I699" s="43" t="n">
        <f aca="false">F699*H699</f>
        <v>74.2152</v>
      </c>
      <c r="J699" s="43" t="n">
        <f aca="false">G699*H699*1.5</f>
        <v>0</v>
      </c>
      <c r="K699" s="6" t="n">
        <v>12.84</v>
      </c>
      <c r="L699" s="43" t="n">
        <f aca="false">K699*'Chart of Accounts'!$E$68</f>
        <v>8.6028</v>
      </c>
      <c r="O699" s="42" t="n">
        <f aca="false">I699+J699+L699</f>
        <v>82.818</v>
      </c>
    </row>
    <row r="700" customFormat="false" ht="15" hidden="false" customHeight="false" outlineLevel="0" collapsed="false">
      <c r="B700" s="7" t="s">
        <v>9333</v>
      </c>
      <c r="C700" s="39" t="n">
        <v>45702</v>
      </c>
      <c r="D700" s="7" t="s">
        <v>234</v>
      </c>
      <c r="E700" s="7" t="s">
        <v>158</v>
      </c>
      <c r="H700" s="41" t="n">
        <v>89.53</v>
      </c>
      <c r="M700" s="6" t="n">
        <v>2</v>
      </c>
      <c r="N700" s="43" t="n">
        <f aca="false">M700*H700</f>
        <v>179.06</v>
      </c>
      <c r="O700" s="42" t="n">
        <f aca="false">N700</f>
        <v>179.06</v>
      </c>
    </row>
    <row r="701" customFormat="false" ht="15" hidden="false" customHeight="false" outlineLevel="0" collapsed="false">
      <c r="B701" s="7" t="s">
        <v>9334</v>
      </c>
      <c r="C701" s="39" t="n">
        <v>45702</v>
      </c>
      <c r="D701" s="7" t="s">
        <v>218</v>
      </c>
      <c r="E701" s="7" t="s">
        <v>180</v>
      </c>
      <c r="F701" s="6" t="n">
        <v>4.04</v>
      </c>
      <c r="G701" s="6" t="n">
        <v>0</v>
      </c>
      <c r="H701" s="41" t="n">
        <v>16.19</v>
      </c>
      <c r="I701" s="43" t="n">
        <f aca="false">F701*H701</f>
        <v>65.4076</v>
      </c>
      <c r="J701" s="43" t="n">
        <f aca="false">G701*H701*1.5</f>
        <v>0</v>
      </c>
      <c r="K701" s="6" t="n">
        <v>13.2</v>
      </c>
      <c r="L701" s="43" t="n">
        <f aca="false">K701*'Chart of Accounts'!$E$68</f>
        <v>8.844</v>
      </c>
      <c r="O701" s="42" t="n">
        <f aca="false">I701+J701+L701</f>
        <v>74.2516</v>
      </c>
    </row>
    <row r="702" customFormat="false" ht="15" hidden="false" customHeight="false" outlineLevel="0" collapsed="false">
      <c r="B702" s="7" t="s">
        <v>9335</v>
      </c>
      <c r="C702" s="39" t="n">
        <v>45702</v>
      </c>
      <c r="D702" s="7" t="s">
        <v>266</v>
      </c>
      <c r="E702" s="7" t="s">
        <v>158</v>
      </c>
      <c r="H702" s="41" t="n">
        <v>75.18</v>
      </c>
      <c r="M702" s="6" t="n">
        <v>1</v>
      </c>
      <c r="N702" s="43" t="n">
        <f aca="false">M702*H702</f>
        <v>75.18</v>
      </c>
      <c r="O702" s="42" t="n">
        <f aca="false">N702</f>
        <v>75.18</v>
      </c>
    </row>
    <row r="703" customFormat="false" ht="15" hidden="false" customHeight="false" outlineLevel="0" collapsed="false">
      <c r="B703" s="7" t="s">
        <v>9336</v>
      </c>
      <c r="C703" s="39" t="n">
        <v>45702</v>
      </c>
      <c r="D703" s="7" t="s">
        <v>228</v>
      </c>
      <c r="E703" s="7" t="s">
        <v>158</v>
      </c>
      <c r="H703" s="41" t="n">
        <v>51.07</v>
      </c>
      <c r="M703" s="6" t="n">
        <v>1</v>
      </c>
      <c r="N703" s="43" t="n">
        <f aca="false">M703*H703</f>
        <v>51.07</v>
      </c>
      <c r="O703" s="42" t="n">
        <f aca="false">N703</f>
        <v>51.07</v>
      </c>
    </row>
    <row r="704" customFormat="false" ht="15" hidden="false" customHeight="false" outlineLevel="0" collapsed="false">
      <c r="B704" s="7" t="s">
        <v>9337</v>
      </c>
      <c r="C704" s="39" t="n">
        <v>45702</v>
      </c>
      <c r="D704" s="7" t="s">
        <v>220</v>
      </c>
      <c r="E704" s="7" t="s">
        <v>180</v>
      </c>
      <c r="F704" s="6" t="n">
        <v>3.65</v>
      </c>
      <c r="G704" s="6" t="n">
        <v>0</v>
      </c>
      <c r="H704" s="41" t="n">
        <v>16.43</v>
      </c>
      <c r="I704" s="43" t="n">
        <f aca="false">F704*H704</f>
        <v>59.9695</v>
      </c>
      <c r="J704" s="43" t="n">
        <f aca="false">G704*H704*1.5</f>
        <v>0</v>
      </c>
      <c r="K704" s="6" t="n">
        <v>9.19</v>
      </c>
      <c r="L704" s="43" t="n">
        <f aca="false">K704*'Chart of Accounts'!$E$68</f>
        <v>6.1573</v>
      </c>
      <c r="O704" s="42" t="n">
        <f aca="false">I704+J704+L704</f>
        <v>66.1268</v>
      </c>
    </row>
    <row r="705" customFormat="false" ht="15" hidden="false" customHeight="false" outlineLevel="0" collapsed="false">
      <c r="B705" s="7" t="s">
        <v>9338</v>
      </c>
      <c r="C705" s="39" t="n">
        <v>45702</v>
      </c>
      <c r="D705" s="7" t="s">
        <v>177</v>
      </c>
      <c r="E705" s="7" t="s">
        <v>180</v>
      </c>
      <c r="F705" s="6" t="n">
        <v>8.73</v>
      </c>
      <c r="G705" s="6" t="n">
        <v>0</v>
      </c>
      <c r="H705" s="41" t="n">
        <v>14.56</v>
      </c>
      <c r="I705" s="43" t="n">
        <f aca="false">F705*H705</f>
        <v>127.1088</v>
      </c>
      <c r="J705" s="43" t="n">
        <f aca="false">G705*H705*1.5</f>
        <v>0</v>
      </c>
      <c r="K705" s="6" t="n">
        <v>30.55</v>
      </c>
      <c r="L705" s="43" t="n">
        <f aca="false">K705*'Chart of Accounts'!$E$68</f>
        <v>20.4685</v>
      </c>
      <c r="O705" s="42" t="n">
        <f aca="false">I705+J705+L705</f>
        <v>147.5773</v>
      </c>
    </row>
    <row r="706" customFormat="false" ht="15" hidden="false" customHeight="false" outlineLevel="0" collapsed="false">
      <c r="B706" s="7" t="s">
        <v>9339</v>
      </c>
      <c r="C706" s="39" t="n">
        <v>45702</v>
      </c>
      <c r="D706" s="7" t="s">
        <v>242</v>
      </c>
      <c r="E706" s="7" t="s">
        <v>180</v>
      </c>
      <c r="F706" s="6" t="n">
        <v>7.98</v>
      </c>
      <c r="G706" s="6" t="n">
        <v>0</v>
      </c>
      <c r="H706" s="41" t="n">
        <v>17.99</v>
      </c>
      <c r="I706" s="43" t="n">
        <f aca="false">F706*H706</f>
        <v>143.5602</v>
      </c>
      <c r="J706" s="43" t="n">
        <f aca="false">G706*H706*1.5</f>
        <v>0</v>
      </c>
      <c r="K706" s="6" t="n">
        <v>24.79</v>
      </c>
      <c r="L706" s="43" t="n">
        <f aca="false">K706*'Chart of Accounts'!$E$68</f>
        <v>16.6093</v>
      </c>
      <c r="O706" s="42" t="n">
        <f aca="false">I706+J706+L706</f>
        <v>160.1695</v>
      </c>
    </row>
    <row r="707" customFormat="false" ht="15" hidden="false" customHeight="false" outlineLevel="0" collapsed="false">
      <c r="B707" s="7" t="s">
        <v>9340</v>
      </c>
      <c r="C707" s="39" t="n">
        <v>45702</v>
      </c>
      <c r="D707" s="7" t="s">
        <v>254</v>
      </c>
      <c r="E707" s="7" t="s">
        <v>180</v>
      </c>
      <c r="F707" s="6" t="n">
        <v>7.79</v>
      </c>
      <c r="G707" s="6" t="n">
        <v>0</v>
      </c>
      <c r="H707" s="41" t="n">
        <v>17.1</v>
      </c>
      <c r="I707" s="43" t="n">
        <f aca="false">F707*H707</f>
        <v>133.209</v>
      </c>
      <c r="J707" s="43" t="n">
        <f aca="false">G707*H707*1.5</f>
        <v>0</v>
      </c>
      <c r="K707" s="6" t="n">
        <v>24.13</v>
      </c>
      <c r="L707" s="43" t="n">
        <f aca="false">K707*'Chart of Accounts'!$E$68</f>
        <v>16.1671</v>
      </c>
      <c r="O707" s="42" t="n">
        <f aca="false">I707+J707+L707</f>
        <v>149.3761</v>
      </c>
    </row>
    <row r="708" customFormat="false" ht="15" hidden="false" customHeight="false" outlineLevel="0" collapsed="false">
      <c r="B708" s="7" t="s">
        <v>9341</v>
      </c>
      <c r="C708" s="39" t="n">
        <v>45702</v>
      </c>
      <c r="D708" s="7" t="s">
        <v>201</v>
      </c>
      <c r="E708" s="7" t="s">
        <v>180</v>
      </c>
      <c r="F708" s="6" t="n">
        <v>3.36</v>
      </c>
      <c r="G708" s="6" t="n">
        <v>0</v>
      </c>
      <c r="H708" s="41" t="n">
        <v>15.19</v>
      </c>
      <c r="I708" s="43" t="n">
        <f aca="false">F708*H708</f>
        <v>51.0384</v>
      </c>
      <c r="J708" s="43" t="n">
        <f aca="false">G708*H708*1.5</f>
        <v>0</v>
      </c>
      <c r="K708" s="6" t="n">
        <v>7.98</v>
      </c>
      <c r="L708" s="43" t="n">
        <f aca="false">K708*'Chart of Accounts'!$E$68</f>
        <v>5.3466</v>
      </c>
      <c r="O708" s="42" t="n">
        <f aca="false">I708+J708+L708</f>
        <v>56.385</v>
      </c>
    </row>
    <row r="709" customFormat="false" ht="15" hidden="false" customHeight="false" outlineLevel="0" collapsed="false">
      <c r="B709" s="7" t="s">
        <v>9342</v>
      </c>
      <c r="C709" s="39" t="n">
        <v>45702</v>
      </c>
      <c r="D709" s="7" t="s">
        <v>207</v>
      </c>
      <c r="E709" s="7" t="s">
        <v>180</v>
      </c>
      <c r="F709" s="6" t="n">
        <v>3.59</v>
      </c>
      <c r="G709" s="6" t="n">
        <v>0</v>
      </c>
      <c r="H709" s="41" t="n">
        <v>16.65</v>
      </c>
      <c r="I709" s="43" t="n">
        <f aca="false">F709*H709</f>
        <v>59.7735</v>
      </c>
      <c r="J709" s="43" t="n">
        <f aca="false">G709*H709*1.5</f>
        <v>0</v>
      </c>
      <c r="K709" s="6" t="n">
        <v>10.26</v>
      </c>
      <c r="L709" s="43" t="n">
        <f aca="false">K709*'Chart of Accounts'!$E$68</f>
        <v>6.8742</v>
      </c>
      <c r="O709" s="42" t="n">
        <f aca="false">I709+J709+L709</f>
        <v>66.6477</v>
      </c>
    </row>
    <row r="710" customFormat="false" ht="15" hidden="false" customHeight="false" outlineLevel="0" collapsed="false">
      <c r="B710" s="7" t="s">
        <v>9343</v>
      </c>
      <c r="C710" s="39" t="n">
        <v>45702</v>
      </c>
      <c r="D710" s="7" t="s">
        <v>212</v>
      </c>
      <c r="E710" s="7" t="s">
        <v>180</v>
      </c>
      <c r="F710" s="6" t="n">
        <v>4.32</v>
      </c>
      <c r="G710" s="6" t="n">
        <v>0</v>
      </c>
      <c r="H710" s="41" t="n">
        <v>16.71</v>
      </c>
      <c r="I710" s="43" t="n">
        <f aca="false">F710*H710</f>
        <v>72.1872</v>
      </c>
      <c r="J710" s="43" t="n">
        <f aca="false">G710*H710*1.5</f>
        <v>0</v>
      </c>
      <c r="K710" s="6" t="n">
        <v>14.73</v>
      </c>
      <c r="L710" s="43" t="n">
        <f aca="false">K710*'Chart of Accounts'!$E$68</f>
        <v>9.8691</v>
      </c>
      <c r="O710" s="42" t="n">
        <f aca="false">I710+J710+L710</f>
        <v>82.0563</v>
      </c>
    </row>
    <row r="711" customFormat="false" ht="15" hidden="false" customHeight="false" outlineLevel="0" collapsed="false">
      <c r="B711" s="7" t="s">
        <v>9344</v>
      </c>
      <c r="C711" s="39" t="n">
        <v>45702</v>
      </c>
      <c r="D711" s="7" t="s">
        <v>232</v>
      </c>
      <c r="E711" s="7" t="s">
        <v>180</v>
      </c>
      <c r="F711" s="6" t="n">
        <v>4.78</v>
      </c>
      <c r="G711" s="6" t="n">
        <v>0</v>
      </c>
      <c r="H711" s="41" t="n">
        <v>16.17</v>
      </c>
      <c r="I711" s="43" t="n">
        <f aca="false">F711*H711</f>
        <v>77.2926</v>
      </c>
      <c r="J711" s="43" t="n">
        <f aca="false">G711*H711*1.5</f>
        <v>0</v>
      </c>
      <c r="K711" s="6" t="n">
        <v>16.95</v>
      </c>
      <c r="L711" s="43" t="n">
        <f aca="false">K711*'Chart of Accounts'!$E$68</f>
        <v>11.3565</v>
      </c>
      <c r="O711" s="42" t="n">
        <f aca="false">I711+J711+L711</f>
        <v>88.6491</v>
      </c>
    </row>
    <row r="712" customFormat="false" ht="15" hidden="false" customHeight="false" outlineLevel="0" collapsed="false">
      <c r="B712" s="7" t="s">
        <v>9345</v>
      </c>
      <c r="C712" s="39" t="n">
        <v>45702</v>
      </c>
      <c r="D712" s="7" t="s">
        <v>224</v>
      </c>
      <c r="E712" s="7" t="s">
        <v>180</v>
      </c>
      <c r="F712" s="6" t="n">
        <v>4.36</v>
      </c>
      <c r="G712" s="6" t="n">
        <v>0</v>
      </c>
      <c r="H712" s="41" t="n">
        <v>14.93</v>
      </c>
      <c r="I712" s="43" t="n">
        <f aca="false">F712*H712</f>
        <v>65.0948</v>
      </c>
      <c r="J712" s="43" t="n">
        <f aca="false">G712*H712*1.5</f>
        <v>0</v>
      </c>
      <c r="K712" s="6" t="n">
        <v>13.42</v>
      </c>
      <c r="L712" s="43" t="n">
        <f aca="false">K712*'Chart of Accounts'!$E$68</f>
        <v>8.9914</v>
      </c>
      <c r="O712" s="42" t="n">
        <f aca="false">I712+J712+L712</f>
        <v>74.0862</v>
      </c>
    </row>
    <row r="713" customFormat="false" ht="15" hidden="false" customHeight="false" outlineLevel="0" collapsed="false">
      <c r="B713" s="7" t="s">
        <v>9346</v>
      </c>
      <c r="C713" s="39" t="n">
        <v>45702</v>
      </c>
      <c r="D713" s="7" t="s">
        <v>246</v>
      </c>
      <c r="E713" s="7" t="s">
        <v>180</v>
      </c>
      <c r="F713" s="6" t="n">
        <v>4.39</v>
      </c>
      <c r="G713" s="6" t="n">
        <v>0</v>
      </c>
      <c r="H713" s="41" t="n">
        <v>16.48</v>
      </c>
      <c r="I713" s="43" t="n">
        <f aca="false">F713*H713</f>
        <v>72.3472</v>
      </c>
      <c r="J713" s="43" t="n">
        <f aca="false">G713*H713*1.5</f>
        <v>0</v>
      </c>
      <c r="K713" s="6" t="n">
        <v>14.09</v>
      </c>
      <c r="L713" s="43" t="n">
        <f aca="false">K713*'Chart of Accounts'!$E$68</f>
        <v>9.4403</v>
      </c>
      <c r="O713" s="42" t="n">
        <f aca="false">I713+J713+L713</f>
        <v>81.7875</v>
      </c>
    </row>
    <row r="714" customFormat="false" ht="15" hidden="false" customHeight="false" outlineLevel="0" collapsed="false">
      <c r="B714" s="7" t="s">
        <v>9347</v>
      </c>
      <c r="C714" s="39" t="n">
        <v>45702</v>
      </c>
      <c r="D714" s="7" t="s">
        <v>222</v>
      </c>
      <c r="E714" s="7" t="s">
        <v>180</v>
      </c>
      <c r="F714" s="6" t="n">
        <v>4.1</v>
      </c>
      <c r="G714" s="6" t="n">
        <v>0</v>
      </c>
      <c r="H714" s="41" t="n">
        <v>17.84</v>
      </c>
      <c r="I714" s="43" t="n">
        <f aca="false">F714*H714</f>
        <v>73.144</v>
      </c>
      <c r="J714" s="43" t="n">
        <f aca="false">G714*H714*1.5</f>
        <v>0</v>
      </c>
      <c r="K714" s="6" t="n">
        <v>12.28</v>
      </c>
      <c r="L714" s="43" t="n">
        <f aca="false">K714*'Chart of Accounts'!$E$68</f>
        <v>8.2276</v>
      </c>
      <c r="O714" s="42" t="n">
        <f aca="false">I714+J714+L714</f>
        <v>81.3716</v>
      </c>
    </row>
    <row r="715" customFormat="false" ht="15" hidden="false" customHeight="false" outlineLevel="0" collapsed="false">
      <c r="B715" s="7" t="s">
        <v>9348</v>
      </c>
      <c r="C715" s="39" t="n">
        <v>45702</v>
      </c>
      <c r="D715" s="7" t="s">
        <v>203</v>
      </c>
      <c r="E715" s="7" t="s">
        <v>158</v>
      </c>
      <c r="H715" s="41" t="n">
        <v>49.43</v>
      </c>
      <c r="M715" s="6" t="n">
        <v>1</v>
      </c>
      <c r="N715" s="43" t="n">
        <f aca="false">M715*H715</f>
        <v>49.43</v>
      </c>
      <c r="O715" s="42" t="n">
        <f aca="false">N715</f>
        <v>49.43</v>
      </c>
    </row>
    <row r="716" customFormat="false" ht="15" hidden="false" customHeight="false" outlineLevel="0" collapsed="false">
      <c r="B716" s="7" t="s">
        <v>9349</v>
      </c>
      <c r="C716" s="39" t="n">
        <v>45702</v>
      </c>
      <c r="D716" s="7" t="s">
        <v>262</v>
      </c>
      <c r="E716" s="7" t="s">
        <v>180</v>
      </c>
      <c r="F716" s="6" t="n">
        <v>3.18</v>
      </c>
      <c r="G716" s="6" t="n">
        <v>0</v>
      </c>
      <c r="H716" s="41" t="n">
        <v>16.02</v>
      </c>
      <c r="I716" s="43" t="n">
        <f aca="false">F716*H716</f>
        <v>50.9436</v>
      </c>
      <c r="J716" s="43" t="n">
        <f aca="false">G716*H716*1.5</f>
        <v>0</v>
      </c>
      <c r="K716" s="6" t="n">
        <v>7.04</v>
      </c>
      <c r="L716" s="43" t="n">
        <f aca="false">K716*'Chart of Accounts'!$E$68</f>
        <v>4.7168</v>
      </c>
      <c r="O716" s="42" t="n">
        <f aca="false">I716+J716+L716</f>
        <v>55.6604</v>
      </c>
    </row>
    <row r="717" customFormat="false" ht="15" hidden="false" customHeight="false" outlineLevel="0" collapsed="false">
      <c r="B717" s="7" t="s">
        <v>9350</v>
      </c>
      <c r="C717" s="39" t="n">
        <v>45702</v>
      </c>
      <c r="D717" s="7" t="s">
        <v>260</v>
      </c>
      <c r="E717" s="7" t="s">
        <v>158</v>
      </c>
      <c r="H717" s="41" t="n">
        <v>79.8</v>
      </c>
      <c r="M717" s="6" t="n">
        <v>1</v>
      </c>
      <c r="N717" s="43" t="n">
        <f aca="false">M717*H717</f>
        <v>79.8</v>
      </c>
      <c r="O717" s="42" t="n">
        <f aca="false">N717</f>
        <v>79.8</v>
      </c>
    </row>
    <row r="718" customFormat="false" ht="15" hidden="false" customHeight="false" outlineLevel="0" collapsed="false">
      <c r="B718" s="7" t="s">
        <v>9351</v>
      </c>
      <c r="C718" s="39" t="n">
        <v>45702</v>
      </c>
      <c r="D718" s="7" t="s">
        <v>214</v>
      </c>
      <c r="E718" s="7" t="s">
        <v>180</v>
      </c>
      <c r="F718" s="6" t="n">
        <v>3.39</v>
      </c>
      <c r="G718" s="6" t="n">
        <v>0</v>
      </c>
      <c r="H718" s="41" t="n">
        <v>15.67</v>
      </c>
      <c r="I718" s="43" t="n">
        <f aca="false">F718*H718</f>
        <v>53.1213</v>
      </c>
      <c r="J718" s="43" t="n">
        <f aca="false">G718*H718*1.5</f>
        <v>0</v>
      </c>
      <c r="K718" s="6" t="n">
        <v>7.77</v>
      </c>
      <c r="L718" s="43" t="n">
        <f aca="false">K718*'Chart of Accounts'!$E$68</f>
        <v>5.2059</v>
      </c>
      <c r="O718" s="42" t="n">
        <f aca="false">I718+J718+L718</f>
        <v>58.3272</v>
      </c>
    </row>
    <row r="719" customFormat="false" ht="15" hidden="false" customHeight="false" outlineLevel="0" collapsed="false">
      <c r="B719" s="7" t="s">
        <v>9352</v>
      </c>
      <c r="C719" s="39" t="n">
        <v>45703</v>
      </c>
      <c r="D719" s="7" t="s">
        <v>191</v>
      </c>
      <c r="E719" s="7" t="s">
        <v>180</v>
      </c>
      <c r="F719" s="6" t="n">
        <v>3.83</v>
      </c>
      <c r="G719" s="6" t="n">
        <v>0</v>
      </c>
      <c r="H719" s="41" t="n">
        <v>16.05</v>
      </c>
      <c r="I719" s="43" t="n">
        <f aca="false">F719*H719</f>
        <v>61.4715</v>
      </c>
      <c r="J719" s="43" t="n">
        <f aca="false">G719*H719*1.5</f>
        <v>0</v>
      </c>
      <c r="K719" s="6" t="n">
        <v>12.17</v>
      </c>
      <c r="L719" s="43" t="n">
        <f aca="false">K719*'Chart of Accounts'!$E$68</f>
        <v>8.1539</v>
      </c>
      <c r="O719" s="42" t="n">
        <f aca="false">I719+J719+L719</f>
        <v>69.6254</v>
      </c>
    </row>
    <row r="720" customFormat="false" ht="15" hidden="false" customHeight="false" outlineLevel="0" collapsed="false">
      <c r="B720" s="7" t="s">
        <v>9353</v>
      </c>
      <c r="C720" s="39" t="n">
        <v>45703</v>
      </c>
      <c r="D720" s="7" t="s">
        <v>218</v>
      </c>
      <c r="E720" s="7" t="s">
        <v>180</v>
      </c>
      <c r="F720" s="6" t="n">
        <v>3.93</v>
      </c>
      <c r="G720" s="6" t="n">
        <v>0</v>
      </c>
      <c r="H720" s="41" t="n">
        <v>16.19</v>
      </c>
      <c r="I720" s="43" t="n">
        <f aca="false">F720*H720</f>
        <v>63.6267</v>
      </c>
      <c r="J720" s="43" t="n">
        <f aca="false">G720*H720*1.5</f>
        <v>0</v>
      </c>
      <c r="K720" s="6" t="n">
        <v>11.3</v>
      </c>
      <c r="L720" s="43" t="n">
        <f aca="false">K720*'Chart of Accounts'!$E$68</f>
        <v>7.571</v>
      </c>
      <c r="O720" s="42" t="n">
        <f aca="false">I720+J720+L720</f>
        <v>71.1977</v>
      </c>
    </row>
    <row r="721" customFormat="false" ht="15" hidden="false" customHeight="false" outlineLevel="0" collapsed="false">
      <c r="B721" s="7" t="s">
        <v>9354</v>
      </c>
      <c r="C721" s="39" t="n">
        <v>45703</v>
      </c>
      <c r="D721" s="7" t="s">
        <v>212</v>
      </c>
      <c r="E721" s="7" t="s">
        <v>180</v>
      </c>
      <c r="F721" s="6" t="n">
        <v>4.09</v>
      </c>
      <c r="G721" s="6" t="n">
        <v>0</v>
      </c>
      <c r="H721" s="41" t="n">
        <v>16.71</v>
      </c>
      <c r="I721" s="43" t="n">
        <f aca="false">F721*H721</f>
        <v>68.3439</v>
      </c>
      <c r="J721" s="43" t="n">
        <f aca="false">G721*H721*1.5</f>
        <v>0</v>
      </c>
      <c r="K721" s="6" t="n">
        <v>11.73</v>
      </c>
      <c r="L721" s="43" t="n">
        <f aca="false">K721*'Chart of Accounts'!$E$68</f>
        <v>7.8591</v>
      </c>
      <c r="O721" s="42" t="n">
        <f aca="false">I721+J721+L721</f>
        <v>76.203</v>
      </c>
    </row>
    <row r="722" customFormat="false" ht="15" hidden="false" customHeight="false" outlineLevel="0" collapsed="false">
      <c r="B722" s="7" t="s">
        <v>9355</v>
      </c>
      <c r="C722" s="39" t="n">
        <v>45703</v>
      </c>
      <c r="D722" s="7" t="s">
        <v>222</v>
      </c>
      <c r="E722" s="7" t="s">
        <v>180</v>
      </c>
      <c r="F722" s="6" t="n">
        <v>3.72</v>
      </c>
      <c r="G722" s="6" t="n">
        <v>0</v>
      </c>
      <c r="H722" s="41" t="n">
        <v>17.84</v>
      </c>
      <c r="I722" s="43" t="n">
        <f aca="false">F722*H722</f>
        <v>66.3648</v>
      </c>
      <c r="J722" s="43" t="n">
        <f aca="false">G722*H722*1.5</f>
        <v>0</v>
      </c>
      <c r="K722" s="6" t="n">
        <v>8.85</v>
      </c>
      <c r="L722" s="43" t="n">
        <f aca="false">K722*'Chart of Accounts'!$E$68</f>
        <v>5.9295</v>
      </c>
      <c r="O722" s="42" t="n">
        <f aca="false">I722+J722+L722</f>
        <v>72.2943</v>
      </c>
    </row>
    <row r="723" customFormat="false" ht="15" hidden="false" customHeight="false" outlineLevel="0" collapsed="false">
      <c r="B723" s="7" t="s">
        <v>9356</v>
      </c>
      <c r="C723" s="39" t="n">
        <v>45703</v>
      </c>
      <c r="D723" s="7" t="s">
        <v>242</v>
      </c>
      <c r="E723" s="7" t="s">
        <v>180</v>
      </c>
      <c r="F723" s="6" t="n">
        <v>3.63</v>
      </c>
      <c r="G723" s="6" t="n">
        <v>0</v>
      </c>
      <c r="H723" s="41" t="n">
        <v>17.99</v>
      </c>
      <c r="I723" s="43" t="n">
        <f aca="false">F723*H723</f>
        <v>65.3037</v>
      </c>
      <c r="J723" s="43" t="n">
        <f aca="false">G723*H723*1.5</f>
        <v>0</v>
      </c>
      <c r="K723" s="6" t="n">
        <v>12.45</v>
      </c>
      <c r="L723" s="43" t="n">
        <f aca="false">K723*'Chart of Accounts'!$E$68</f>
        <v>8.3415</v>
      </c>
      <c r="O723" s="42" t="n">
        <f aca="false">I723+J723+L723</f>
        <v>73.6452</v>
      </c>
    </row>
    <row r="724" customFormat="false" ht="15" hidden="false" customHeight="false" outlineLevel="0" collapsed="false">
      <c r="B724" s="7" t="s">
        <v>9357</v>
      </c>
      <c r="C724" s="39" t="n">
        <v>45703</v>
      </c>
      <c r="D724" s="7" t="s">
        <v>254</v>
      </c>
      <c r="E724" s="7" t="s">
        <v>180</v>
      </c>
      <c r="F724" s="6" t="n">
        <v>3.79</v>
      </c>
      <c r="G724" s="6" t="n">
        <v>0</v>
      </c>
      <c r="H724" s="41" t="n">
        <v>17.1</v>
      </c>
      <c r="I724" s="43" t="n">
        <f aca="false">F724*H724</f>
        <v>64.809</v>
      </c>
      <c r="J724" s="43" t="n">
        <f aca="false">G724*H724*1.5</f>
        <v>0</v>
      </c>
      <c r="K724" s="6" t="n">
        <v>10.49</v>
      </c>
      <c r="L724" s="43" t="n">
        <f aca="false">K724*'Chart of Accounts'!$E$68</f>
        <v>7.0283</v>
      </c>
      <c r="O724" s="42" t="n">
        <f aca="false">I724+J724+L724</f>
        <v>71.8373</v>
      </c>
    </row>
    <row r="725" customFormat="false" ht="15" hidden="false" customHeight="false" outlineLevel="0" collapsed="false">
      <c r="B725" s="7" t="s">
        <v>9358</v>
      </c>
      <c r="C725" s="39" t="n">
        <v>45704</v>
      </c>
      <c r="D725" s="7" t="s">
        <v>218</v>
      </c>
      <c r="E725" s="7" t="s">
        <v>180</v>
      </c>
      <c r="F725" s="6" t="n">
        <v>3.85</v>
      </c>
      <c r="G725" s="6" t="n">
        <v>0</v>
      </c>
      <c r="H725" s="41" t="n">
        <v>16.19</v>
      </c>
      <c r="I725" s="43" t="n">
        <f aca="false">F725*H725</f>
        <v>62.3315</v>
      </c>
      <c r="J725" s="43" t="n">
        <f aca="false">G725*H725*1.5</f>
        <v>0</v>
      </c>
      <c r="K725" s="6" t="n">
        <v>12.21</v>
      </c>
      <c r="L725" s="43" t="n">
        <f aca="false">K725*'Chart of Accounts'!$E$68</f>
        <v>8.1807</v>
      </c>
      <c r="O725" s="42" t="n">
        <f aca="false">I725+J725+L725</f>
        <v>70.5122</v>
      </c>
    </row>
    <row r="726" customFormat="false" ht="15" hidden="false" customHeight="false" outlineLevel="0" collapsed="false">
      <c r="B726" s="7" t="s">
        <v>9359</v>
      </c>
      <c r="C726" s="39" t="n">
        <v>45704</v>
      </c>
      <c r="D726" s="7" t="s">
        <v>212</v>
      </c>
      <c r="E726" s="7" t="s">
        <v>180</v>
      </c>
      <c r="F726" s="6" t="n">
        <v>4.15</v>
      </c>
      <c r="G726" s="6" t="n">
        <v>0</v>
      </c>
      <c r="H726" s="41" t="n">
        <v>16.71</v>
      </c>
      <c r="I726" s="43" t="n">
        <f aca="false">F726*H726</f>
        <v>69.3465</v>
      </c>
      <c r="J726" s="43" t="n">
        <f aca="false">G726*H726*1.5</f>
        <v>0</v>
      </c>
      <c r="K726" s="6" t="n">
        <v>14.76</v>
      </c>
      <c r="L726" s="43" t="n">
        <f aca="false">K726*'Chart of Accounts'!$E$68</f>
        <v>9.8892</v>
      </c>
      <c r="O726" s="42" t="n">
        <f aca="false">I726+J726+L726</f>
        <v>79.2357</v>
      </c>
    </row>
    <row r="727" customFormat="false" ht="15" hidden="false" customHeight="false" outlineLevel="0" collapsed="false">
      <c r="B727" s="7" t="s">
        <v>9360</v>
      </c>
      <c r="C727" s="39" t="n">
        <v>45704</v>
      </c>
      <c r="D727" s="7" t="s">
        <v>222</v>
      </c>
      <c r="E727" s="7" t="s">
        <v>180</v>
      </c>
      <c r="F727" s="6" t="n">
        <v>3.84</v>
      </c>
      <c r="G727" s="6" t="n">
        <v>0</v>
      </c>
      <c r="H727" s="41" t="n">
        <v>17.84</v>
      </c>
      <c r="I727" s="43" t="n">
        <f aca="false">F727*H727</f>
        <v>68.5056</v>
      </c>
      <c r="J727" s="43" t="n">
        <f aca="false">G727*H727*1.5</f>
        <v>0</v>
      </c>
      <c r="K727" s="6" t="n">
        <v>12.93</v>
      </c>
      <c r="L727" s="43" t="n">
        <f aca="false">K727*'Chart of Accounts'!$E$68</f>
        <v>8.6631</v>
      </c>
      <c r="O727" s="42" t="n">
        <f aca="false">I727+J727+L727</f>
        <v>77.1687</v>
      </c>
    </row>
    <row r="728" customFormat="false" ht="15" hidden="false" customHeight="false" outlineLevel="0" collapsed="false">
      <c r="B728" s="7" t="s">
        <v>9361</v>
      </c>
      <c r="C728" s="39" t="n">
        <v>45704</v>
      </c>
      <c r="D728" s="7" t="s">
        <v>242</v>
      </c>
      <c r="E728" s="7" t="s">
        <v>180</v>
      </c>
      <c r="F728" s="6" t="n">
        <v>3.86</v>
      </c>
      <c r="G728" s="6" t="n">
        <v>0</v>
      </c>
      <c r="H728" s="41" t="n">
        <v>17.99</v>
      </c>
      <c r="I728" s="43" t="n">
        <f aca="false">F728*H728</f>
        <v>69.4414</v>
      </c>
      <c r="J728" s="43" t="n">
        <f aca="false">G728*H728*1.5</f>
        <v>0</v>
      </c>
      <c r="K728" s="6" t="n">
        <v>9.17</v>
      </c>
      <c r="L728" s="43" t="n">
        <f aca="false">K728*'Chart of Accounts'!$E$68</f>
        <v>6.1439</v>
      </c>
      <c r="O728" s="42" t="n">
        <f aca="false">I728+J728+L728</f>
        <v>75.5853</v>
      </c>
    </row>
    <row r="729" customFormat="false" ht="15" hidden="false" customHeight="false" outlineLevel="0" collapsed="false">
      <c r="B729" s="7" t="s">
        <v>9362</v>
      </c>
      <c r="C729" s="39" t="n">
        <v>45704</v>
      </c>
      <c r="D729" s="7" t="s">
        <v>254</v>
      </c>
      <c r="E729" s="7" t="s">
        <v>180</v>
      </c>
      <c r="F729" s="6" t="n">
        <v>3.67</v>
      </c>
      <c r="G729" s="6" t="n">
        <v>0</v>
      </c>
      <c r="H729" s="41" t="n">
        <v>17.1</v>
      </c>
      <c r="I729" s="43" t="n">
        <f aca="false">F729*H729</f>
        <v>62.757</v>
      </c>
      <c r="J729" s="43" t="n">
        <f aca="false">G729*H729*1.5</f>
        <v>0</v>
      </c>
      <c r="K729" s="6" t="n">
        <v>9.42</v>
      </c>
      <c r="L729" s="43" t="n">
        <f aca="false">K729*'Chart of Accounts'!$E$68</f>
        <v>6.3114</v>
      </c>
      <c r="O729" s="42" t="n">
        <f aca="false">I729+J729+L729</f>
        <v>69.0684</v>
      </c>
    </row>
    <row r="730" customFormat="false" ht="15" hidden="false" customHeight="false" outlineLevel="0" collapsed="false">
      <c r="B730" s="7" t="s">
        <v>9363</v>
      </c>
      <c r="C730" s="39" t="n">
        <v>45705</v>
      </c>
      <c r="D730" s="7" t="s">
        <v>187</v>
      </c>
      <c r="E730" s="7" t="s">
        <v>158</v>
      </c>
      <c r="H730" s="41" t="n">
        <v>66.48</v>
      </c>
      <c r="M730" s="6" t="n">
        <v>1</v>
      </c>
      <c r="N730" s="43" t="n">
        <f aca="false">M730*H730</f>
        <v>66.48</v>
      </c>
      <c r="O730" s="42" t="n">
        <f aca="false">N730</f>
        <v>66.48</v>
      </c>
    </row>
    <row r="731" customFormat="false" ht="15" hidden="false" customHeight="false" outlineLevel="0" collapsed="false">
      <c r="B731" s="7" t="s">
        <v>9364</v>
      </c>
      <c r="C731" s="39" t="n">
        <v>45705</v>
      </c>
      <c r="D731" s="7" t="s">
        <v>191</v>
      </c>
      <c r="E731" s="7" t="s">
        <v>180</v>
      </c>
      <c r="F731" s="6" t="n">
        <v>3.9</v>
      </c>
      <c r="G731" s="6" t="n">
        <v>0</v>
      </c>
      <c r="H731" s="41" t="n">
        <v>16.05</v>
      </c>
      <c r="I731" s="43" t="n">
        <f aca="false">F731*H731</f>
        <v>62.595</v>
      </c>
      <c r="J731" s="43" t="n">
        <f aca="false">G731*H731*1.5</f>
        <v>0</v>
      </c>
      <c r="K731" s="6" t="n">
        <v>9.42</v>
      </c>
      <c r="L731" s="43" t="n">
        <f aca="false">K731*'Chart of Accounts'!$E$68</f>
        <v>6.3114</v>
      </c>
      <c r="O731" s="42" t="n">
        <f aca="false">I731+J731+L731</f>
        <v>68.9064</v>
      </c>
    </row>
    <row r="732" customFormat="false" ht="15" hidden="false" customHeight="false" outlineLevel="0" collapsed="false">
      <c r="B732" s="7" t="s">
        <v>9365</v>
      </c>
      <c r="C732" s="39" t="n">
        <v>45705</v>
      </c>
      <c r="D732" s="7" t="s">
        <v>194</v>
      </c>
      <c r="E732" s="7" t="s">
        <v>180</v>
      </c>
      <c r="F732" s="6" t="n">
        <v>4.26</v>
      </c>
      <c r="G732" s="6" t="n">
        <v>0</v>
      </c>
      <c r="H732" s="41" t="n">
        <v>16</v>
      </c>
      <c r="I732" s="43" t="n">
        <f aca="false">F732*H732</f>
        <v>68.16</v>
      </c>
      <c r="J732" s="43" t="n">
        <f aca="false">G732*H732*1.5</f>
        <v>0</v>
      </c>
      <c r="K732" s="6" t="n">
        <v>9.57</v>
      </c>
      <c r="L732" s="43" t="n">
        <f aca="false">K732*'Chart of Accounts'!$E$68</f>
        <v>6.4119</v>
      </c>
      <c r="O732" s="42" t="n">
        <f aca="false">I732+J732+L732</f>
        <v>74.5719</v>
      </c>
    </row>
    <row r="733" customFormat="false" ht="15" hidden="false" customHeight="false" outlineLevel="0" collapsed="false">
      <c r="B733" s="7" t="s">
        <v>9366</v>
      </c>
      <c r="C733" s="39" t="n">
        <v>45705</v>
      </c>
      <c r="D733" s="7" t="s">
        <v>201</v>
      </c>
      <c r="E733" s="7" t="s">
        <v>180</v>
      </c>
      <c r="F733" s="6" t="n">
        <v>6.64</v>
      </c>
      <c r="G733" s="6" t="n">
        <v>0</v>
      </c>
      <c r="H733" s="41" t="n">
        <v>15.19</v>
      </c>
      <c r="I733" s="43" t="n">
        <f aca="false">F733*H733</f>
        <v>100.8616</v>
      </c>
      <c r="J733" s="43" t="n">
        <f aca="false">G733*H733*1.5</f>
        <v>0</v>
      </c>
      <c r="K733" s="6" t="n">
        <v>18.44</v>
      </c>
      <c r="L733" s="43" t="n">
        <f aca="false">K733*'Chart of Accounts'!$E$68</f>
        <v>12.3548</v>
      </c>
      <c r="O733" s="42" t="n">
        <f aca="false">I733+J733+L733</f>
        <v>113.2164</v>
      </c>
    </row>
    <row r="734" customFormat="false" ht="15" hidden="false" customHeight="false" outlineLevel="0" collapsed="false">
      <c r="B734" s="7" t="s">
        <v>9367</v>
      </c>
      <c r="C734" s="39" t="n">
        <v>45705</v>
      </c>
      <c r="D734" s="7" t="s">
        <v>205</v>
      </c>
      <c r="E734" s="7" t="s">
        <v>180</v>
      </c>
      <c r="F734" s="6" t="n">
        <v>3.74</v>
      </c>
      <c r="G734" s="6" t="n">
        <v>0</v>
      </c>
      <c r="H734" s="41" t="n">
        <v>16.36</v>
      </c>
      <c r="I734" s="43" t="n">
        <f aca="false">F734*H734</f>
        <v>61.1864</v>
      </c>
      <c r="J734" s="43" t="n">
        <f aca="false">G734*H734*1.5</f>
        <v>0</v>
      </c>
      <c r="K734" s="6" t="n">
        <v>11.37</v>
      </c>
      <c r="L734" s="43" t="n">
        <f aca="false">K734*'Chart of Accounts'!$E$68</f>
        <v>7.6179</v>
      </c>
      <c r="O734" s="42" t="n">
        <f aca="false">I734+J734+L734</f>
        <v>68.8043</v>
      </c>
    </row>
    <row r="735" customFormat="false" ht="15" hidden="false" customHeight="false" outlineLevel="0" collapsed="false">
      <c r="B735" s="7" t="s">
        <v>9368</v>
      </c>
      <c r="C735" s="39" t="n">
        <v>45705</v>
      </c>
      <c r="D735" s="7" t="s">
        <v>252</v>
      </c>
      <c r="E735" s="7" t="s">
        <v>158</v>
      </c>
      <c r="H735" s="41" t="n">
        <v>57.54</v>
      </c>
      <c r="M735" s="6" t="n">
        <v>1</v>
      </c>
      <c r="N735" s="43" t="n">
        <f aca="false">M735*H735</f>
        <v>57.54</v>
      </c>
      <c r="O735" s="42" t="n">
        <f aca="false">N735</f>
        <v>57.54</v>
      </c>
    </row>
    <row r="736" customFormat="false" ht="15" hidden="false" customHeight="false" outlineLevel="0" collapsed="false">
      <c r="B736" s="7" t="s">
        <v>9369</v>
      </c>
      <c r="C736" s="39" t="n">
        <v>45705</v>
      </c>
      <c r="D736" s="7" t="s">
        <v>196</v>
      </c>
      <c r="E736" s="7" t="s">
        <v>180</v>
      </c>
      <c r="F736" s="6" t="n">
        <v>5.98</v>
      </c>
      <c r="G736" s="6" t="n">
        <v>0</v>
      </c>
      <c r="H736" s="41" t="n">
        <v>15.05</v>
      </c>
      <c r="I736" s="43" t="n">
        <f aca="false">F736*H736</f>
        <v>89.999</v>
      </c>
      <c r="J736" s="43" t="n">
        <f aca="false">G736*H736*1.5</f>
        <v>0</v>
      </c>
      <c r="K736" s="6" t="n">
        <v>13.6</v>
      </c>
      <c r="L736" s="43" t="n">
        <f aca="false">K736*'Chart of Accounts'!$E$68</f>
        <v>9.112</v>
      </c>
      <c r="O736" s="42" t="n">
        <f aca="false">I736+J736+L736</f>
        <v>99.111</v>
      </c>
    </row>
    <row r="737" customFormat="false" ht="15" hidden="false" customHeight="false" outlineLevel="0" collapsed="false">
      <c r="B737" s="7" t="s">
        <v>9370</v>
      </c>
      <c r="C737" s="39" t="n">
        <v>45705</v>
      </c>
      <c r="D737" s="7" t="s">
        <v>184</v>
      </c>
      <c r="E737" s="7" t="s">
        <v>180</v>
      </c>
      <c r="F737" s="6" t="n">
        <v>3.97</v>
      </c>
      <c r="G737" s="6" t="n">
        <v>0</v>
      </c>
      <c r="H737" s="41" t="n">
        <v>17.34</v>
      </c>
      <c r="I737" s="43" t="n">
        <f aca="false">F737*H737</f>
        <v>68.8398</v>
      </c>
      <c r="J737" s="43" t="n">
        <f aca="false">G737*H737*1.5</f>
        <v>0</v>
      </c>
      <c r="K737" s="6" t="n">
        <v>12.96</v>
      </c>
      <c r="L737" s="43" t="n">
        <f aca="false">K737*'Chart of Accounts'!$E$68</f>
        <v>8.6832</v>
      </c>
      <c r="O737" s="42" t="n">
        <f aca="false">I737+J737+L737</f>
        <v>77.523</v>
      </c>
    </row>
    <row r="738" customFormat="false" ht="15" hidden="false" customHeight="false" outlineLevel="0" collapsed="false">
      <c r="B738" s="7" t="s">
        <v>9371</v>
      </c>
      <c r="C738" s="39" t="n">
        <v>45705</v>
      </c>
      <c r="D738" s="7" t="s">
        <v>207</v>
      </c>
      <c r="E738" s="7" t="s">
        <v>180</v>
      </c>
      <c r="F738" s="6" t="n">
        <v>6.68</v>
      </c>
      <c r="G738" s="6" t="n">
        <v>0</v>
      </c>
      <c r="H738" s="41" t="n">
        <v>16.65</v>
      </c>
      <c r="I738" s="43" t="n">
        <f aca="false">F738*H738</f>
        <v>111.222</v>
      </c>
      <c r="J738" s="43" t="n">
        <f aca="false">G738*H738*1.5</f>
        <v>0</v>
      </c>
      <c r="K738" s="6" t="n">
        <v>21.41</v>
      </c>
      <c r="L738" s="43" t="n">
        <f aca="false">K738*'Chart of Accounts'!$E$68</f>
        <v>14.3447</v>
      </c>
      <c r="O738" s="42" t="n">
        <f aca="false">I738+J738+L738</f>
        <v>125.5667</v>
      </c>
    </row>
    <row r="739" customFormat="false" ht="15" hidden="false" customHeight="false" outlineLevel="0" collapsed="false">
      <c r="B739" s="7" t="s">
        <v>9372</v>
      </c>
      <c r="C739" s="39" t="n">
        <v>45705</v>
      </c>
      <c r="D739" s="7" t="s">
        <v>218</v>
      </c>
      <c r="E739" s="7" t="s">
        <v>180</v>
      </c>
      <c r="F739" s="6" t="n">
        <v>3.96</v>
      </c>
      <c r="G739" s="6" t="n">
        <v>0</v>
      </c>
      <c r="H739" s="41" t="n">
        <v>16.19</v>
      </c>
      <c r="I739" s="43" t="n">
        <f aca="false">F739*H739</f>
        <v>64.1124</v>
      </c>
      <c r="J739" s="43" t="n">
        <f aca="false">G739*H739*1.5</f>
        <v>0</v>
      </c>
      <c r="K739" s="6" t="n">
        <v>10.2</v>
      </c>
      <c r="L739" s="43" t="n">
        <f aca="false">K739*'Chart of Accounts'!$E$68</f>
        <v>6.834</v>
      </c>
      <c r="O739" s="42" t="n">
        <f aca="false">I739+J739+L739</f>
        <v>70.9464</v>
      </c>
    </row>
    <row r="740" customFormat="false" ht="15" hidden="false" customHeight="false" outlineLevel="0" collapsed="false">
      <c r="B740" s="7" t="s">
        <v>9373</v>
      </c>
      <c r="C740" s="39" t="n">
        <v>45705</v>
      </c>
      <c r="D740" s="7" t="s">
        <v>212</v>
      </c>
      <c r="E740" s="7" t="s">
        <v>180</v>
      </c>
      <c r="F740" s="6" t="n">
        <v>6.87</v>
      </c>
      <c r="G740" s="6" t="n">
        <v>0</v>
      </c>
      <c r="H740" s="41" t="n">
        <v>16.71</v>
      </c>
      <c r="I740" s="43" t="n">
        <f aca="false">F740*H740</f>
        <v>114.7977</v>
      </c>
      <c r="J740" s="43" t="n">
        <f aca="false">G740*H740*1.5</f>
        <v>0</v>
      </c>
      <c r="K740" s="6" t="n">
        <v>23.1</v>
      </c>
      <c r="L740" s="43" t="n">
        <f aca="false">K740*'Chart of Accounts'!$E$68</f>
        <v>15.477</v>
      </c>
      <c r="O740" s="42" t="n">
        <f aca="false">I740+J740+L740</f>
        <v>130.2747</v>
      </c>
    </row>
    <row r="741" customFormat="false" ht="15" hidden="false" customHeight="false" outlineLevel="0" collapsed="false">
      <c r="B741" s="7" t="s">
        <v>9374</v>
      </c>
      <c r="C741" s="39" t="n">
        <v>45705</v>
      </c>
      <c r="D741" s="7" t="s">
        <v>220</v>
      </c>
      <c r="E741" s="7" t="s">
        <v>180</v>
      </c>
      <c r="F741" s="6" t="n">
        <v>3.81</v>
      </c>
      <c r="G741" s="6" t="n">
        <v>0</v>
      </c>
      <c r="H741" s="41" t="n">
        <v>16.43</v>
      </c>
      <c r="I741" s="43" t="n">
        <f aca="false">F741*H741</f>
        <v>62.5983</v>
      </c>
      <c r="J741" s="43" t="n">
        <f aca="false">G741*H741*1.5</f>
        <v>0</v>
      </c>
      <c r="K741" s="6" t="n">
        <v>13.58</v>
      </c>
      <c r="L741" s="43" t="n">
        <f aca="false">K741*'Chart of Accounts'!$E$68</f>
        <v>9.0986</v>
      </c>
      <c r="O741" s="42" t="n">
        <f aca="false">I741+J741+L741</f>
        <v>71.6969</v>
      </c>
    </row>
    <row r="742" customFormat="false" ht="15" hidden="false" customHeight="false" outlineLevel="0" collapsed="false">
      <c r="B742" s="7" t="s">
        <v>9375</v>
      </c>
      <c r="C742" s="39" t="n">
        <v>45705</v>
      </c>
      <c r="D742" s="7" t="s">
        <v>224</v>
      </c>
      <c r="E742" s="7" t="s">
        <v>180</v>
      </c>
      <c r="F742" s="6" t="n">
        <v>8.12</v>
      </c>
      <c r="G742" s="6" t="n">
        <v>0</v>
      </c>
      <c r="H742" s="41" t="n">
        <v>14.93</v>
      </c>
      <c r="I742" s="43" t="n">
        <f aca="false">F742*H742</f>
        <v>121.2316</v>
      </c>
      <c r="J742" s="43" t="n">
        <f aca="false">G742*H742*1.5</f>
        <v>0</v>
      </c>
      <c r="K742" s="6" t="n">
        <v>28.24</v>
      </c>
      <c r="L742" s="43" t="n">
        <f aca="false">K742*'Chart of Accounts'!$E$68</f>
        <v>18.9208</v>
      </c>
      <c r="O742" s="42" t="n">
        <f aca="false">I742+J742+L742</f>
        <v>140.1524</v>
      </c>
    </row>
    <row r="743" customFormat="false" ht="15" hidden="false" customHeight="false" outlineLevel="0" collapsed="false">
      <c r="B743" s="7" t="s">
        <v>9376</v>
      </c>
      <c r="C743" s="39" t="n">
        <v>45705</v>
      </c>
      <c r="D743" s="7" t="s">
        <v>177</v>
      </c>
      <c r="E743" s="7" t="s">
        <v>180</v>
      </c>
      <c r="F743" s="6" t="n">
        <v>9.35</v>
      </c>
      <c r="G743" s="6" t="n">
        <v>0</v>
      </c>
      <c r="H743" s="41" t="n">
        <v>14.56</v>
      </c>
      <c r="I743" s="43" t="n">
        <f aca="false">F743*H743</f>
        <v>136.136</v>
      </c>
      <c r="J743" s="43" t="n">
        <f aca="false">G743*H743*1.5</f>
        <v>0</v>
      </c>
      <c r="K743" s="6" t="n">
        <v>29.46</v>
      </c>
      <c r="L743" s="43" t="n">
        <f aca="false">K743*'Chart of Accounts'!$E$68</f>
        <v>19.7382</v>
      </c>
      <c r="O743" s="42" t="n">
        <f aca="false">I743+J743+L743</f>
        <v>155.8742</v>
      </c>
    </row>
    <row r="744" customFormat="false" ht="15" hidden="false" customHeight="false" outlineLevel="0" collapsed="false">
      <c r="B744" s="7" t="s">
        <v>9377</v>
      </c>
      <c r="C744" s="39" t="n">
        <v>45705</v>
      </c>
      <c r="D744" s="7" t="s">
        <v>232</v>
      </c>
      <c r="E744" s="7" t="s">
        <v>180</v>
      </c>
      <c r="F744" s="6" t="n">
        <v>7.94</v>
      </c>
      <c r="G744" s="6" t="n">
        <v>0</v>
      </c>
      <c r="H744" s="41" t="n">
        <v>16.17</v>
      </c>
      <c r="I744" s="43" t="n">
        <f aca="false">F744*H744</f>
        <v>128.3898</v>
      </c>
      <c r="J744" s="43" t="n">
        <f aca="false">G744*H744*1.5</f>
        <v>0</v>
      </c>
      <c r="K744" s="6" t="n">
        <v>19.12</v>
      </c>
      <c r="L744" s="43" t="n">
        <f aca="false">K744*'Chart of Accounts'!$E$68</f>
        <v>12.8104</v>
      </c>
      <c r="O744" s="42" t="n">
        <f aca="false">I744+J744+L744</f>
        <v>141.2002</v>
      </c>
    </row>
    <row r="745" customFormat="false" ht="15" hidden="false" customHeight="false" outlineLevel="0" collapsed="false">
      <c r="B745" s="7" t="s">
        <v>9378</v>
      </c>
      <c r="C745" s="39" t="n">
        <v>45705</v>
      </c>
      <c r="D745" s="7" t="s">
        <v>242</v>
      </c>
      <c r="E745" s="7" t="s">
        <v>180</v>
      </c>
      <c r="F745" s="6" t="n">
        <v>7.63</v>
      </c>
      <c r="G745" s="6" t="n">
        <v>0</v>
      </c>
      <c r="H745" s="41" t="n">
        <v>17.99</v>
      </c>
      <c r="I745" s="43" t="n">
        <f aca="false">F745*H745</f>
        <v>137.2637</v>
      </c>
      <c r="J745" s="43" t="n">
        <f aca="false">G745*H745*1.5</f>
        <v>0</v>
      </c>
      <c r="K745" s="6" t="n">
        <v>19.37</v>
      </c>
      <c r="L745" s="43" t="n">
        <f aca="false">K745*'Chart of Accounts'!$E$68</f>
        <v>12.9779</v>
      </c>
      <c r="O745" s="42" t="n">
        <f aca="false">I745+J745+L745</f>
        <v>150.2416</v>
      </c>
    </row>
    <row r="746" customFormat="false" ht="15" hidden="false" customHeight="false" outlineLevel="0" collapsed="false">
      <c r="B746" s="7" t="s">
        <v>9379</v>
      </c>
      <c r="C746" s="39" t="n">
        <v>45705</v>
      </c>
      <c r="D746" s="7" t="s">
        <v>222</v>
      </c>
      <c r="E746" s="7" t="s">
        <v>180</v>
      </c>
      <c r="F746" s="6" t="n">
        <v>7.12</v>
      </c>
      <c r="G746" s="6" t="n">
        <v>0</v>
      </c>
      <c r="H746" s="41" t="n">
        <v>17.84</v>
      </c>
      <c r="I746" s="43" t="n">
        <f aca="false">F746*H746</f>
        <v>127.0208</v>
      </c>
      <c r="J746" s="43" t="n">
        <f aca="false">G746*H746*1.5</f>
        <v>0</v>
      </c>
      <c r="K746" s="6" t="n">
        <v>25.08</v>
      </c>
      <c r="L746" s="43" t="n">
        <f aca="false">K746*'Chart of Accounts'!$E$68</f>
        <v>16.8036</v>
      </c>
      <c r="O746" s="42" t="n">
        <f aca="false">I746+J746+L746</f>
        <v>143.8244</v>
      </c>
    </row>
    <row r="747" customFormat="false" ht="15" hidden="false" customHeight="false" outlineLevel="0" collapsed="false">
      <c r="B747" s="7" t="s">
        <v>9380</v>
      </c>
      <c r="C747" s="39" t="n">
        <v>45705</v>
      </c>
      <c r="D747" s="7" t="s">
        <v>262</v>
      </c>
      <c r="E747" s="7" t="s">
        <v>180</v>
      </c>
      <c r="F747" s="6" t="n">
        <v>6.95</v>
      </c>
      <c r="G747" s="6" t="n">
        <v>0</v>
      </c>
      <c r="H747" s="41" t="n">
        <v>16.02</v>
      </c>
      <c r="I747" s="43" t="n">
        <f aca="false">F747*H747</f>
        <v>111.339</v>
      </c>
      <c r="J747" s="43" t="n">
        <f aca="false">G747*H747*1.5</f>
        <v>0</v>
      </c>
      <c r="K747" s="6" t="n">
        <v>16.4</v>
      </c>
      <c r="L747" s="43" t="n">
        <f aca="false">K747*'Chart of Accounts'!$E$68</f>
        <v>10.988</v>
      </c>
      <c r="O747" s="42" t="n">
        <f aca="false">I747+J747+L747</f>
        <v>122.327</v>
      </c>
    </row>
    <row r="748" customFormat="false" ht="15" hidden="false" customHeight="false" outlineLevel="0" collapsed="false">
      <c r="B748" s="7" t="s">
        <v>9381</v>
      </c>
      <c r="C748" s="39" t="n">
        <v>45705</v>
      </c>
      <c r="D748" s="7" t="s">
        <v>254</v>
      </c>
      <c r="E748" s="7" t="s">
        <v>180</v>
      </c>
      <c r="F748" s="6" t="n">
        <v>7.41</v>
      </c>
      <c r="G748" s="6" t="n">
        <v>0</v>
      </c>
      <c r="H748" s="41" t="n">
        <v>17.1</v>
      </c>
      <c r="I748" s="43" t="n">
        <f aca="false">F748*H748</f>
        <v>126.711</v>
      </c>
      <c r="J748" s="43" t="n">
        <f aca="false">G748*H748*1.5</f>
        <v>0</v>
      </c>
      <c r="K748" s="6" t="n">
        <v>21.08</v>
      </c>
      <c r="L748" s="43" t="n">
        <f aca="false">K748*'Chart of Accounts'!$E$68</f>
        <v>14.1236</v>
      </c>
      <c r="O748" s="42" t="n">
        <f aca="false">I748+J748+L748</f>
        <v>140.8346</v>
      </c>
    </row>
    <row r="749" customFormat="false" ht="15" hidden="false" customHeight="false" outlineLevel="0" collapsed="false">
      <c r="B749" s="7" t="s">
        <v>9382</v>
      </c>
      <c r="C749" s="39" t="n">
        <v>45705</v>
      </c>
      <c r="D749" s="7" t="s">
        <v>214</v>
      </c>
      <c r="E749" s="7" t="s">
        <v>180</v>
      </c>
      <c r="F749" s="6" t="n">
        <v>7.26</v>
      </c>
      <c r="G749" s="6" t="n">
        <v>0</v>
      </c>
      <c r="H749" s="41" t="n">
        <v>15.67</v>
      </c>
      <c r="I749" s="43" t="n">
        <f aca="false">F749*H749</f>
        <v>113.7642</v>
      </c>
      <c r="J749" s="43" t="n">
        <f aca="false">G749*H749*1.5</f>
        <v>0</v>
      </c>
      <c r="K749" s="6" t="n">
        <v>24.3</v>
      </c>
      <c r="L749" s="43" t="n">
        <f aca="false">K749*'Chart of Accounts'!$E$68</f>
        <v>16.281</v>
      </c>
      <c r="O749" s="42" t="n">
        <f aca="false">I749+J749+L749</f>
        <v>130.0452</v>
      </c>
    </row>
    <row r="750" customFormat="false" ht="15" hidden="false" customHeight="false" outlineLevel="0" collapsed="false">
      <c r="B750" s="7" t="s">
        <v>9383</v>
      </c>
      <c r="C750" s="39" t="n">
        <v>45705</v>
      </c>
      <c r="D750" s="7" t="s">
        <v>246</v>
      </c>
      <c r="E750" s="7" t="s">
        <v>180</v>
      </c>
      <c r="F750" s="6" t="n">
        <v>4.36</v>
      </c>
      <c r="G750" s="6" t="n">
        <v>0</v>
      </c>
      <c r="H750" s="41" t="n">
        <v>16.48</v>
      </c>
      <c r="I750" s="43" t="n">
        <f aca="false">F750*H750</f>
        <v>71.8528</v>
      </c>
      <c r="J750" s="43" t="n">
        <f aca="false">G750*H750*1.5</f>
        <v>0</v>
      </c>
      <c r="K750" s="6" t="n">
        <v>12.01</v>
      </c>
      <c r="L750" s="43" t="n">
        <f aca="false">K750*'Chart of Accounts'!$E$68</f>
        <v>8.0467</v>
      </c>
      <c r="O750" s="42" t="n">
        <f aca="false">I750+J750+L750</f>
        <v>79.8995</v>
      </c>
    </row>
    <row r="751" customFormat="false" ht="15" hidden="false" customHeight="false" outlineLevel="0" collapsed="false">
      <c r="B751" s="7" t="s">
        <v>9384</v>
      </c>
      <c r="C751" s="39" t="n">
        <v>45706</v>
      </c>
      <c r="D751" s="7" t="s">
        <v>191</v>
      </c>
      <c r="E751" s="7" t="s">
        <v>180</v>
      </c>
      <c r="F751" s="6" t="n">
        <v>4.17</v>
      </c>
      <c r="G751" s="6" t="n">
        <v>0</v>
      </c>
      <c r="H751" s="41" t="n">
        <v>16.05</v>
      </c>
      <c r="I751" s="43" t="n">
        <f aca="false">F751*H751</f>
        <v>66.9285</v>
      </c>
      <c r="J751" s="43" t="n">
        <f aca="false">G751*H751*1.5</f>
        <v>0</v>
      </c>
      <c r="K751" s="6" t="n">
        <v>14.5</v>
      </c>
      <c r="L751" s="43" t="n">
        <f aca="false">K751*'Chart of Accounts'!$E$68</f>
        <v>9.715</v>
      </c>
      <c r="O751" s="42" t="n">
        <f aca="false">I751+J751+L751</f>
        <v>76.6435</v>
      </c>
    </row>
    <row r="752" customFormat="false" ht="15" hidden="false" customHeight="false" outlineLevel="0" collapsed="false">
      <c r="B752" s="7" t="s">
        <v>9385</v>
      </c>
      <c r="C752" s="39" t="n">
        <v>45706</v>
      </c>
      <c r="D752" s="7" t="s">
        <v>209</v>
      </c>
      <c r="E752" s="7" t="s">
        <v>158</v>
      </c>
      <c r="H752" s="41" t="n">
        <v>73.58</v>
      </c>
      <c r="M752" s="6" t="n">
        <v>2</v>
      </c>
      <c r="N752" s="43" t="n">
        <f aca="false">M752*H752</f>
        <v>147.16</v>
      </c>
      <c r="O752" s="42" t="n">
        <f aca="false">N752</f>
        <v>147.16</v>
      </c>
    </row>
    <row r="753" customFormat="false" ht="15" hidden="false" customHeight="false" outlineLevel="0" collapsed="false">
      <c r="B753" s="7" t="s">
        <v>9386</v>
      </c>
      <c r="C753" s="39" t="n">
        <v>45706</v>
      </c>
      <c r="D753" s="7" t="s">
        <v>184</v>
      </c>
      <c r="E753" s="7" t="s">
        <v>180</v>
      </c>
      <c r="F753" s="6" t="n">
        <v>3.84</v>
      </c>
      <c r="G753" s="6" t="n">
        <v>0</v>
      </c>
      <c r="H753" s="41" t="n">
        <v>17.34</v>
      </c>
      <c r="I753" s="43" t="n">
        <f aca="false">F753*H753</f>
        <v>66.5856</v>
      </c>
      <c r="J753" s="43" t="n">
        <f aca="false">G753*H753*1.5</f>
        <v>0</v>
      </c>
      <c r="K753" s="6" t="n">
        <v>9.84</v>
      </c>
      <c r="L753" s="43" t="n">
        <f aca="false">K753*'Chart of Accounts'!$E$68</f>
        <v>6.5928</v>
      </c>
      <c r="O753" s="42" t="n">
        <f aca="false">I753+J753+L753</f>
        <v>73.1784</v>
      </c>
    </row>
    <row r="754" customFormat="false" ht="15" hidden="false" customHeight="false" outlineLevel="0" collapsed="false">
      <c r="B754" s="7" t="s">
        <v>9387</v>
      </c>
      <c r="C754" s="39" t="n">
        <v>45706</v>
      </c>
      <c r="D754" s="7" t="s">
        <v>234</v>
      </c>
      <c r="E754" s="7" t="s">
        <v>158</v>
      </c>
      <c r="H754" s="41" t="n">
        <v>89.53</v>
      </c>
      <c r="M754" s="6" t="n">
        <v>2</v>
      </c>
      <c r="N754" s="43" t="n">
        <f aca="false">M754*H754</f>
        <v>179.06</v>
      </c>
      <c r="O754" s="42" t="n">
        <f aca="false">N754</f>
        <v>179.06</v>
      </c>
    </row>
    <row r="755" customFormat="false" ht="15" hidden="false" customHeight="false" outlineLevel="0" collapsed="false">
      <c r="B755" s="7" t="s">
        <v>9388</v>
      </c>
      <c r="C755" s="39" t="n">
        <v>45706</v>
      </c>
      <c r="D755" s="7" t="s">
        <v>218</v>
      </c>
      <c r="E755" s="7" t="s">
        <v>180</v>
      </c>
      <c r="F755" s="6" t="n">
        <v>4.19</v>
      </c>
      <c r="G755" s="6" t="n">
        <v>0</v>
      </c>
      <c r="H755" s="41" t="n">
        <v>16.19</v>
      </c>
      <c r="I755" s="43" t="n">
        <f aca="false">F755*H755</f>
        <v>67.8361</v>
      </c>
      <c r="J755" s="43" t="n">
        <f aca="false">G755*H755*1.5</f>
        <v>0</v>
      </c>
      <c r="K755" s="6" t="n">
        <v>14.85</v>
      </c>
      <c r="L755" s="43" t="n">
        <f aca="false">K755*'Chart of Accounts'!$E$68</f>
        <v>9.9495</v>
      </c>
      <c r="O755" s="42" t="n">
        <f aca="false">I755+J755+L755</f>
        <v>77.7856</v>
      </c>
    </row>
    <row r="756" customFormat="false" ht="15" hidden="false" customHeight="false" outlineLevel="0" collapsed="false">
      <c r="B756" s="7" t="s">
        <v>9389</v>
      </c>
      <c r="C756" s="39" t="n">
        <v>45706</v>
      </c>
      <c r="D756" s="7" t="s">
        <v>266</v>
      </c>
      <c r="E756" s="7" t="s">
        <v>158</v>
      </c>
      <c r="H756" s="41" t="n">
        <v>75.18</v>
      </c>
      <c r="M756" s="6" t="n">
        <v>1</v>
      </c>
      <c r="N756" s="43" t="n">
        <f aca="false">M756*H756</f>
        <v>75.18</v>
      </c>
      <c r="O756" s="42" t="n">
        <f aca="false">N756</f>
        <v>75.18</v>
      </c>
    </row>
    <row r="757" customFormat="false" ht="15" hidden="false" customHeight="false" outlineLevel="0" collapsed="false">
      <c r="B757" s="7" t="s">
        <v>9390</v>
      </c>
      <c r="C757" s="39" t="n">
        <v>45706</v>
      </c>
      <c r="D757" s="7" t="s">
        <v>228</v>
      </c>
      <c r="E757" s="7" t="s">
        <v>158</v>
      </c>
      <c r="H757" s="41" t="n">
        <v>51.07</v>
      </c>
      <c r="M757" s="6" t="n">
        <v>1</v>
      </c>
      <c r="N757" s="43" t="n">
        <f aca="false">M757*H757</f>
        <v>51.07</v>
      </c>
      <c r="O757" s="42" t="n">
        <f aca="false">N757</f>
        <v>51.07</v>
      </c>
    </row>
    <row r="758" customFormat="false" ht="15" hidden="false" customHeight="false" outlineLevel="0" collapsed="false">
      <c r="B758" s="7" t="s">
        <v>9391</v>
      </c>
      <c r="C758" s="39" t="n">
        <v>45706</v>
      </c>
      <c r="D758" s="7" t="s">
        <v>220</v>
      </c>
      <c r="E758" s="7" t="s">
        <v>180</v>
      </c>
      <c r="F758" s="6" t="n">
        <v>4.3</v>
      </c>
      <c r="G758" s="6" t="n">
        <v>0</v>
      </c>
      <c r="H758" s="41" t="n">
        <v>16.43</v>
      </c>
      <c r="I758" s="43" t="n">
        <f aca="false">F758*H758</f>
        <v>70.649</v>
      </c>
      <c r="J758" s="43" t="n">
        <f aca="false">G758*H758*1.5</f>
        <v>0</v>
      </c>
      <c r="K758" s="6" t="n">
        <v>11.44</v>
      </c>
      <c r="L758" s="43" t="n">
        <f aca="false">K758*'Chart of Accounts'!$E$68</f>
        <v>7.6648</v>
      </c>
      <c r="O758" s="42" t="n">
        <f aca="false">I758+J758+L758</f>
        <v>78.3138</v>
      </c>
    </row>
    <row r="759" customFormat="false" ht="15" hidden="false" customHeight="false" outlineLevel="0" collapsed="false">
      <c r="B759" s="7" t="s">
        <v>9392</v>
      </c>
      <c r="C759" s="39" t="n">
        <v>45706</v>
      </c>
      <c r="D759" s="7" t="s">
        <v>212</v>
      </c>
      <c r="E759" s="7" t="s">
        <v>180</v>
      </c>
      <c r="F759" s="6" t="n">
        <v>3.9</v>
      </c>
      <c r="G759" s="6" t="n">
        <v>0</v>
      </c>
      <c r="H759" s="41" t="n">
        <v>16.71</v>
      </c>
      <c r="I759" s="43" t="n">
        <f aca="false">F759*H759</f>
        <v>65.169</v>
      </c>
      <c r="J759" s="43" t="n">
        <f aca="false">G759*H759*1.5</f>
        <v>0</v>
      </c>
      <c r="K759" s="6" t="n">
        <v>11.7</v>
      </c>
      <c r="L759" s="43" t="n">
        <f aca="false">K759*'Chart of Accounts'!$E$68</f>
        <v>7.839</v>
      </c>
      <c r="O759" s="42" t="n">
        <f aca="false">I759+J759+L759</f>
        <v>73.008</v>
      </c>
    </row>
    <row r="760" customFormat="false" ht="15" hidden="false" customHeight="false" outlineLevel="0" collapsed="false">
      <c r="B760" s="7" t="s">
        <v>9393</v>
      </c>
      <c r="C760" s="39" t="n">
        <v>45706</v>
      </c>
      <c r="D760" s="7" t="s">
        <v>246</v>
      </c>
      <c r="E760" s="7" t="s">
        <v>180</v>
      </c>
      <c r="F760" s="6" t="n">
        <v>3.76</v>
      </c>
      <c r="G760" s="6" t="n">
        <v>0</v>
      </c>
      <c r="H760" s="41" t="n">
        <v>16.48</v>
      </c>
      <c r="I760" s="43" t="n">
        <f aca="false">F760*H760</f>
        <v>61.9648</v>
      </c>
      <c r="J760" s="43" t="n">
        <f aca="false">G760*H760*1.5</f>
        <v>0</v>
      </c>
      <c r="K760" s="6" t="n">
        <v>12.42</v>
      </c>
      <c r="L760" s="43" t="n">
        <f aca="false">K760*'Chart of Accounts'!$E$68</f>
        <v>8.3214</v>
      </c>
      <c r="O760" s="42" t="n">
        <f aca="false">I760+J760+L760</f>
        <v>70.2862</v>
      </c>
    </row>
    <row r="761" customFormat="false" ht="15" hidden="false" customHeight="false" outlineLevel="0" collapsed="false">
      <c r="B761" s="7" t="s">
        <v>9394</v>
      </c>
      <c r="C761" s="39" t="n">
        <v>45706</v>
      </c>
      <c r="D761" s="7" t="s">
        <v>222</v>
      </c>
      <c r="E761" s="7" t="s">
        <v>180</v>
      </c>
      <c r="F761" s="6" t="n">
        <v>4.02</v>
      </c>
      <c r="G761" s="6" t="n">
        <v>0</v>
      </c>
      <c r="H761" s="41" t="n">
        <v>17.84</v>
      </c>
      <c r="I761" s="43" t="n">
        <f aca="false">F761*H761</f>
        <v>71.7168</v>
      </c>
      <c r="J761" s="43" t="n">
        <f aca="false">G761*H761*1.5</f>
        <v>0</v>
      </c>
      <c r="K761" s="6" t="n">
        <v>13.79</v>
      </c>
      <c r="L761" s="43" t="n">
        <f aca="false">K761*'Chart of Accounts'!$E$68</f>
        <v>9.2393</v>
      </c>
      <c r="O761" s="42" t="n">
        <f aca="false">I761+J761+L761</f>
        <v>80.9561</v>
      </c>
    </row>
    <row r="762" customFormat="false" ht="15" hidden="false" customHeight="false" outlineLevel="0" collapsed="false">
      <c r="B762" s="7" t="s">
        <v>9395</v>
      </c>
      <c r="C762" s="39" t="n">
        <v>45706</v>
      </c>
      <c r="D762" s="7" t="s">
        <v>242</v>
      </c>
      <c r="E762" s="7" t="s">
        <v>180</v>
      </c>
      <c r="F762" s="6" t="n">
        <v>3.72</v>
      </c>
      <c r="G762" s="6" t="n">
        <v>0</v>
      </c>
      <c r="H762" s="41" t="n">
        <v>17.99</v>
      </c>
      <c r="I762" s="43" t="n">
        <f aca="false">F762*H762</f>
        <v>66.9228</v>
      </c>
      <c r="J762" s="43" t="n">
        <f aca="false">G762*H762*1.5</f>
        <v>0</v>
      </c>
      <c r="K762" s="6" t="n">
        <v>11.49</v>
      </c>
      <c r="L762" s="43" t="n">
        <f aca="false">K762*'Chart of Accounts'!$E$68</f>
        <v>7.6983</v>
      </c>
      <c r="O762" s="42" t="n">
        <f aca="false">I762+J762+L762</f>
        <v>74.6211</v>
      </c>
    </row>
    <row r="763" customFormat="false" ht="15" hidden="false" customHeight="false" outlineLevel="0" collapsed="false">
      <c r="B763" s="7" t="s">
        <v>9396</v>
      </c>
      <c r="C763" s="39" t="n">
        <v>45706</v>
      </c>
      <c r="D763" s="7" t="s">
        <v>203</v>
      </c>
      <c r="E763" s="7" t="s">
        <v>158</v>
      </c>
      <c r="H763" s="41" t="n">
        <v>49.43</v>
      </c>
      <c r="M763" s="6" t="n">
        <v>1</v>
      </c>
      <c r="N763" s="43" t="n">
        <f aca="false">M763*H763</f>
        <v>49.43</v>
      </c>
      <c r="O763" s="42" t="n">
        <f aca="false">N763</f>
        <v>49.43</v>
      </c>
    </row>
    <row r="764" customFormat="false" ht="15" hidden="false" customHeight="false" outlineLevel="0" collapsed="false">
      <c r="B764" s="7" t="s">
        <v>9397</v>
      </c>
      <c r="C764" s="39" t="n">
        <v>45706</v>
      </c>
      <c r="D764" s="7" t="s">
        <v>254</v>
      </c>
      <c r="E764" s="7" t="s">
        <v>180</v>
      </c>
      <c r="F764" s="6" t="n">
        <v>3.71</v>
      </c>
      <c r="G764" s="6" t="n">
        <v>0</v>
      </c>
      <c r="H764" s="41" t="n">
        <v>17.1</v>
      </c>
      <c r="I764" s="43" t="n">
        <f aca="false">F764*H764</f>
        <v>63.441</v>
      </c>
      <c r="J764" s="43" t="n">
        <f aca="false">G764*H764*1.5</f>
        <v>0</v>
      </c>
      <c r="K764" s="6" t="n">
        <v>10.87</v>
      </c>
      <c r="L764" s="43" t="n">
        <f aca="false">K764*'Chart of Accounts'!$E$68</f>
        <v>7.2829</v>
      </c>
      <c r="O764" s="42" t="n">
        <f aca="false">I764+J764+L764</f>
        <v>70.7239</v>
      </c>
    </row>
    <row r="765" customFormat="false" ht="15" hidden="false" customHeight="false" outlineLevel="0" collapsed="false">
      <c r="B765" s="7" t="s">
        <v>9398</v>
      </c>
      <c r="C765" s="39" t="n">
        <v>45706</v>
      </c>
      <c r="D765" s="7" t="s">
        <v>260</v>
      </c>
      <c r="E765" s="7" t="s">
        <v>158</v>
      </c>
      <c r="H765" s="41" t="n">
        <v>79.8</v>
      </c>
      <c r="M765" s="6" t="n">
        <v>1</v>
      </c>
      <c r="N765" s="43" t="n">
        <f aca="false">M765*H765</f>
        <v>79.8</v>
      </c>
      <c r="O765" s="42" t="n">
        <f aca="false">N765</f>
        <v>79.8</v>
      </c>
    </row>
    <row r="766" customFormat="false" ht="15" hidden="false" customHeight="false" outlineLevel="0" collapsed="false">
      <c r="B766" s="7" t="s">
        <v>9399</v>
      </c>
      <c r="C766" s="39" t="n">
        <v>45707</v>
      </c>
      <c r="D766" s="7" t="s">
        <v>187</v>
      </c>
      <c r="E766" s="7" t="s">
        <v>158</v>
      </c>
      <c r="H766" s="41" t="n">
        <v>66.48</v>
      </c>
      <c r="M766" s="6" t="n">
        <v>1</v>
      </c>
      <c r="N766" s="43" t="n">
        <f aca="false">M766*H766</f>
        <v>66.48</v>
      </c>
      <c r="O766" s="42" t="n">
        <f aca="false">N766</f>
        <v>66.48</v>
      </c>
    </row>
    <row r="767" customFormat="false" ht="15" hidden="false" customHeight="false" outlineLevel="0" collapsed="false">
      <c r="B767" s="7" t="s">
        <v>9400</v>
      </c>
      <c r="C767" s="39" t="n">
        <v>45707</v>
      </c>
      <c r="D767" s="7" t="s">
        <v>228</v>
      </c>
      <c r="E767" s="7" t="s">
        <v>158</v>
      </c>
      <c r="H767" s="41" t="n">
        <v>51.07</v>
      </c>
      <c r="M767" s="6" t="n">
        <v>1</v>
      </c>
      <c r="N767" s="43" t="n">
        <f aca="false">M767*H767</f>
        <v>51.07</v>
      </c>
      <c r="O767" s="42" t="n">
        <f aca="false">N767</f>
        <v>51.07</v>
      </c>
    </row>
    <row r="768" customFormat="false" ht="15" hidden="false" customHeight="false" outlineLevel="0" collapsed="false">
      <c r="B768" s="7" t="s">
        <v>9401</v>
      </c>
      <c r="C768" s="39" t="n">
        <v>45707</v>
      </c>
      <c r="D768" s="7" t="s">
        <v>191</v>
      </c>
      <c r="E768" s="7" t="s">
        <v>180</v>
      </c>
      <c r="F768" s="6" t="n">
        <v>3.73</v>
      </c>
      <c r="G768" s="6" t="n">
        <v>0</v>
      </c>
      <c r="H768" s="41" t="n">
        <v>16.05</v>
      </c>
      <c r="I768" s="43" t="n">
        <f aca="false">F768*H768</f>
        <v>59.8665</v>
      </c>
      <c r="J768" s="43" t="n">
        <f aca="false">G768*H768*1.5</f>
        <v>0</v>
      </c>
      <c r="K768" s="6" t="n">
        <v>8.86</v>
      </c>
      <c r="L768" s="43" t="n">
        <f aca="false">K768*'Chart of Accounts'!$E$68</f>
        <v>5.9362</v>
      </c>
      <c r="O768" s="42" t="n">
        <f aca="false">I768+J768+L768</f>
        <v>65.8027</v>
      </c>
    </row>
    <row r="769" customFormat="false" ht="15" hidden="false" customHeight="false" outlineLevel="0" collapsed="false">
      <c r="B769" s="7" t="s">
        <v>9402</v>
      </c>
      <c r="C769" s="39" t="n">
        <v>45707</v>
      </c>
      <c r="D769" s="7" t="s">
        <v>194</v>
      </c>
      <c r="E769" s="7" t="s">
        <v>180</v>
      </c>
      <c r="F769" s="6" t="n">
        <v>4.32</v>
      </c>
      <c r="G769" s="6" t="n">
        <v>0</v>
      </c>
      <c r="H769" s="41" t="n">
        <v>16</v>
      </c>
      <c r="I769" s="43" t="n">
        <f aca="false">F769*H769</f>
        <v>69.12</v>
      </c>
      <c r="J769" s="43" t="n">
        <f aca="false">G769*H769*1.5</f>
        <v>0</v>
      </c>
      <c r="K769" s="6" t="n">
        <v>13.2</v>
      </c>
      <c r="L769" s="43" t="n">
        <f aca="false">K769*'Chart of Accounts'!$E$68</f>
        <v>8.844</v>
      </c>
      <c r="O769" s="42" t="n">
        <f aca="false">I769+J769+L769</f>
        <v>77.964</v>
      </c>
    </row>
    <row r="770" customFormat="false" ht="15" hidden="false" customHeight="false" outlineLevel="0" collapsed="false">
      <c r="B770" s="7" t="s">
        <v>9403</v>
      </c>
      <c r="C770" s="39" t="n">
        <v>45707</v>
      </c>
      <c r="D770" s="7" t="s">
        <v>205</v>
      </c>
      <c r="E770" s="7" t="s">
        <v>180</v>
      </c>
      <c r="F770" s="6" t="n">
        <v>3.94</v>
      </c>
      <c r="G770" s="6" t="n">
        <v>0</v>
      </c>
      <c r="H770" s="41" t="n">
        <v>16.36</v>
      </c>
      <c r="I770" s="43" t="n">
        <f aca="false">F770*H770</f>
        <v>64.4584</v>
      </c>
      <c r="J770" s="43" t="n">
        <f aca="false">G770*H770*1.5</f>
        <v>0</v>
      </c>
      <c r="K770" s="6" t="n">
        <v>9.9</v>
      </c>
      <c r="L770" s="43" t="n">
        <f aca="false">K770*'Chart of Accounts'!$E$68</f>
        <v>6.633</v>
      </c>
      <c r="O770" s="42" t="n">
        <f aca="false">I770+J770+L770</f>
        <v>71.0914</v>
      </c>
    </row>
    <row r="771" customFormat="false" ht="15" hidden="false" customHeight="false" outlineLevel="0" collapsed="false">
      <c r="B771" s="7" t="s">
        <v>9404</v>
      </c>
      <c r="C771" s="39" t="n">
        <v>45707</v>
      </c>
      <c r="D771" s="7" t="s">
        <v>252</v>
      </c>
      <c r="E771" s="7" t="s">
        <v>158</v>
      </c>
      <c r="H771" s="41" t="n">
        <v>57.54</v>
      </c>
      <c r="M771" s="6" t="n">
        <v>1</v>
      </c>
      <c r="N771" s="43" t="n">
        <f aca="false">M771*H771</f>
        <v>57.54</v>
      </c>
      <c r="O771" s="42" t="n">
        <f aca="false">N771</f>
        <v>57.54</v>
      </c>
    </row>
    <row r="772" customFormat="false" ht="15" hidden="false" customHeight="false" outlineLevel="0" collapsed="false">
      <c r="B772" s="7" t="s">
        <v>9405</v>
      </c>
      <c r="C772" s="39" t="n">
        <v>45707</v>
      </c>
      <c r="D772" s="7" t="s">
        <v>184</v>
      </c>
      <c r="E772" s="7" t="s">
        <v>180</v>
      </c>
      <c r="F772" s="6" t="n">
        <v>4.31</v>
      </c>
      <c r="G772" s="6" t="n">
        <v>0</v>
      </c>
      <c r="H772" s="41" t="n">
        <v>17.34</v>
      </c>
      <c r="I772" s="43" t="n">
        <f aca="false">F772*H772</f>
        <v>74.7354</v>
      </c>
      <c r="J772" s="43" t="n">
        <f aca="false">G772*H772*1.5</f>
        <v>0</v>
      </c>
      <c r="K772" s="6" t="n">
        <v>15.39</v>
      </c>
      <c r="L772" s="43" t="n">
        <f aca="false">K772*'Chart of Accounts'!$E$68</f>
        <v>10.3113</v>
      </c>
      <c r="O772" s="42" t="n">
        <f aca="false">I772+J772+L772</f>
        <v>85.0467</v>
      </c>
    </row>
    <row r="773" customFormat="false" ht="15" hidden="false" customHeight="false" outlineLevel="0" collapsed="false">
      <c r="B773" s="7" t="s">
        <v>9406</v>
      </c>
      <c r="C773" s="39" t="n">
        <v>45707</v>
      </c>
      <c r="D773" s="7" t="s">
        <v>220</v>
      </c>
      <c r="E773" s="7" t="s">
        <v>180</v>
      </c>
      <c r="F773" s="6" t="n">
        <v>3.8</v>
      </c>
      <c r="G773" s="6" t="n">
        <v>0</v>
      </c>
      <c r="H773" s="41" t="n">
        <v>16.43</v>
      </c>
      <c r="I773" s="43" t="n">
        <f aca="false">F773*H773</f>
        <v>62.434</v>
      </c>
      <c r="J773" s="43" t="n">
        <f aca="false">G773*H773*1.5</f>
        <v>0</v>
      </c>
      <c r="K773" s="6" t="n">
        <v>11.61</v>
      </c>
      <c r="L773" s="43" t="n">
        <f aca="false">K773*'Chart of Accounts'!$E$68</f>
        <v>7.7787</v>
      </c>
      <c r="O773" s="42" t="n">
        <f aca="false">I773+J773+L773</f>
        <v>70.2127</v>
      </c>
    </row>
    <row r="774" customFormat="false" ht="15" hidden="false" customHeight="false" outlineLevel="0" collapsed="false">
      <c r="B774" s="7" t="s">
        <v>9407</v>
      </c>
      <c r="C774" s="39" t="n">
        <v>45707</v>
      </c>
      <c r="D774" s="7" t="s">
        <v>177</v>
      </c>
      <c r="E774" s="7" t="s">
        <v>180</v>
      </c>
      <c r="F774" s="6" t="n">
        <v>8.52</v>
      </c>
      <c r="G774" s="6" t="n">
        <v>0</v>
      </c>
      <c r="H774" s="41" t="n">
        <v>14.56</v>
      </c>
      <c r="I774" s="43" t="n">
        <f aca="false">F774*H774</f>
        <v>124.0512</v>
      </c>
      <c r="J774" s="43" t="n">
        <f aca="false">G774*H774*1.5</f>
        <v>0</v>
      </c>
      <c r="K774" s="6" t="n">
        <v>30.49</v>
      </c>
      <c r="L774" s="43" t="n">
        <f aca="false">K774*'Chart of Accounts'!$E$68</f>
        <v>20.4283</v>
      </c>
      <c r="O774" s="42" t="n">
        <f aca="false">I774+J774+L774</f>
        <v>144.4795</v>
      </c>
    </row>
    <row r="775" customFormat="false" ht="15" hidden="false" customHeight="false" outlineLevel="0" collapsed="false">
      <c r="B775" s="7" t="s">
        <v>9408</v>
      </c>
      <c r="C775" s="39" t="n">
        <v>45707</v>
      </c>
      <c r="D775" s="7" t="s">
        <v>242</v>
      </c>
      <c r="E775" s="7" t="s">
        <v>180</v>
      </c>
      <c r="F775" s="6" t="n">
        <v>7.24</v>
      </c>
      <c r="G775" s="6" t="n">
        <v>0</v>
      </c>
      <c r="H775" s="41" t="n">
        <v>17.99</v>
      </c>
      <c r="I775" s="43" t="n">
        <f aca="false">F775*H775</f>
        <v>130.2476</v>
      </c>
      <c r="J775" s="43" t="n">
        <f aca="false">G775*H775*1.5</f>
        <v>0</v>
      </c>
      <c r="K775" s="6" t="n">
        <v>18.69</v>
      </c>
      <c r="L775" s="43" t="n">
        <f aca="false">K775*'Chart of Accounts'!$E$68</f>
        <v>12.5223</v>
      </c>
      <c r="O775" s="42" t="n">
        <f aca="false">I775+J775+L775</f>
        <v>142.7699</v>
      </c>
    </row>
    <row r="776" customFormat="false" ht="15" hidden="false" customHeight="false" outlineLevel="0" collapsed="false">
      <c r="B776" s="7" t="s">
        <v>9409</v>
      </c>
      <c r="C776" s="39" t="n">
        <v>45707</v>
      </c>
      <c r="D776" s="7" t="s">
        <v>254</v>
      </c>
      <c r="E776" s="7" t="s">
        <v>180</v>
      </c>
      <c r="F776" s="6" t="n">
        <v>7.23</v>
      </c>
      <c r="G776" s="6" t="n">
        <v>0</v>
      </c>
      <c r="H776" s="41" t="n">
        <v>17.1</v>
      </c>
      <c r="I776" s="43" t="n">
        <f aca="false">F776*H776</f>
        <v>123.633</v>
      </c>
      <c r="J776" s="43" t="n">
        <f aca="false">G776*H776*1.5</f>
        <v>0</v>
      </c>
      <c r="K776" s="6" t="n">
        <v>24.02</v>
      </c>
      <c r="L776" s="43" t="n">
        <f aca="false">K776*'Chart of Accounts'!$E$68</f>
        <v>16.0934</v>
      </c>
      <c r="O776" s="42" t="n">
        <f aca="false">I776+J776+L776</f>
        <v>139.7264</v>
      </c>
    </row>
    <row r="777" customFormat="false" ht="15" hidden="false" customHeight="false" outlineLevel="0" collapsed="false">
      <c r="B777" s="7" t="s">
        <v>9410</v>
      </c>
      <c r="C777" s="39" t="n">
        <v>45707</v>
      </c>
      <c r="D777" s="7" t="s">
        <v>201</v>
      </c>
      <c r="E777" s="7" t="s">
        <v>180</v>
      </c>
      <c r="F777" s="6" t="n">
        <v>3.23</v>
      </c>
      <c r="G777" s="6" t="n">
        <v>0</v>
      </c>
      <c r="H777" s="41" t="n">
        <v>15.19</v>
      </c>
      <c r="I777" s="43" t="n">
        <f aca="false">F777*H777</f>
        <v>49.0637</v>
      </c>
      <c r="J777" s="43" t="n">
        <f aca="false">G777*H777*1.5</f>
        <v>0</v>
      </c>
      <c r="K777" s="6" t="n">
        <v>7.85</v>
      </c>
      <c r="L777" s="43" t="n">
        <f aca="false">K777*'Chart of Accounts'!$E$68</f>
        <v>5.2595</v>
      </c>
      <c r="O777" s="42" t="n">
        <f aca="false">I777+J777+L777</f>
        <v>54.3232</v>
      </c>
    </row>
    <row r="778" customFormat="false" ht="15" hidden="false" customHeight="false" outlineLevel="0" collapsed="false">
      <c r="B778" s="7" t="s">
        <v>9411</v>
      </c>
      <c r="C778" s="39" t="n">
        <v>45707</v>
      </c>
      <c r="D778" s="7" t="s">
        <v>207</v>
      </c>
      <c r="E778" s="7" t="s">
        <v>180</v>
      </c>
      <c r="F778" s="6" t="n">
        <v>3.23</v>
      </c>
      <c r="G778" s="6" t="n">
        <v>0</v>
      </c>
      <c r="H778" s="41" t="n">
        <v>16.65</v>
      </c>
      <c r="I778" s="43" t="n">
        <f aca="false">F778*H778</f>
        <v>53.7795</v>
      </c>
      <c r="J778" s="43" t="n">
        <f aca="false">G778*H778*1.5</f>
        <v>0</v>
      </c>
      <c r="K778" s="6" t="n">
        <v>9.71</v>
      </c>
      <c r="L778" s="43" t="n">
        <f aca="false">K778*'Chart of Accounts'!$E$68</f>
        <v>6.5057</v>
      </c>
      <c r="O778" s="42" t="n">
        <f aca="false">I778+J778+L778</f>
        <v>60.2852</v>
      </c>
    </row>
    <row r="779" customFormat="false" ht="15" hidden="false" customHeight="false" outlineLevel="0" collapsed="false">
      <c r="B779" s="7" t="s">
        <v>9412</v>
      </c>
      <c r="C779" s="39" t="n">
        <v>45707</v>
      </c>
      <c r="D779" s="7" t="s">
        <v>212</v>
      </c>
      <c r="E779" s="7" t="s">
        <v>180</v>
      </c>
      <c r="F779" s="6" t="n">
        <v>3.75</v>
      </c>
      <c r="G779" s="6" t="n">
        <v>0</v>
      </c>
      <c r="H779" s="41" t="n">
        <v>16.71</v>
      </c>
      <c r="I779" s="43" t="n">
        <f aca="false">F779*H779</f>
        <v>62.6625</v>
      </c>
      <c r="J779" s="43" t="n">
        <f aca="false">G779*H779*1.5</f>
        <v>0</v>
      </c>
      <c r="K779" s="6" t="n">
        <v>11.6</v>
      </c>
      <c r="L779" s="43" t="n">
        <f aca="false">K779*'Chart of Accounts'!$E$68</f>
        <v>7.772</v>
      </c>
      <c r="O779" s="42" t="n">
        <f aca="false">I779+J779+L779</f>
        <v>70.4345</v>
      </c>
    </row>
    <row r="780" customFormat="false" ht="15" hidden="false" customHeight="false" outlineLevel="0" collapsed="false">
      <c r="B780" s="7" t="s">
        <v>9413</v>
      </c>
      <c r="C780" s="39" t="n">
        <v>45707</v>
      </c>
      <c r="D780" s="7" t="s">
        <v>232</v>
      </c>
      <c r="E780" s="7" t="s">
        <v>180</v>
      </c>
      <c r="F780" s="6" t="n">
        <v>4.58</v>
      </c>
      <c r="G780" s="6" t="n">
        <v>0</v>
      </c>
      <c r="H780" s="41" t="n">
        <v>16.17</v>
      </c>
      <c r="I780" s="43" t="n">
        <f aca="false">F780*H780</f>
        <v>74.0586</v>
      </c>
      <c r="J780" s="43" t="n">
        <f aca="false">G780*H780*1.5</f>
        <v>0</v>
      </c>
      <c r="K780" s="6" t="n">
        <v>15.42</v>
      </c>
      <c r="L780" s="43" t="n">
        <f aca="false">K780*'Chart of Accounts'!$E$68</f>
        <v>10.3314</v>
      </c>
      <c r="O780" s="42" t="n">
        <f aca="false">I780+J780+L780</f>
        <v>84.39</v>
      </c>
    </row>
    <row r="781" customFormat="false" ht="15" hidden="false" customHeight="false" outlineLevel="0" collapsed="false">
      <c r="B781" s="7" t="s">
        <v>9414</v>
      </c>
      <c r="C781" s="39" t="n">
        <v>45707</v>
      </c>
      <c r="D781" s="7" t="s">
        <v>224</v>
      </c>
      <c r="E781" s="7" t="s">
        <v>180</v>
      </c>
      <c r="F781" s="6" t="n">
        <v>4.32</v>
      </c>
      <c r="G781" s="6" t="n">
        <v>0</v>
      </c>
      <c r="H781" s="41" t="n">
        <v>14.93</v>
      </c>
      <c r="I781" s="43" t="n">
        <f aca="false">F781*H781</f>
        <v>64.4976</v>
      </c>
      <c r="J781" s="43" t="n">
        <f aca="false">G781*H781*1.5</f>
        <v>0</v>
      </c>
      <c r="K781" s="6" t="n">
        <v>15.33</v>
      </c>
      <c r="L781" s="43" t="n">
        <f aca="false">K781*'Chart of Accounts'!$E$68</f>
        <v>10.2711</v>
      </c>
      <c r="O781" s="42" t="n">
        <f aca="false">I781+J781+L781</f>
        <v>74.7687</v>
      </c>
    </row>
    <row r="782" customFormat="false" ht="15" hidden="false" customHeight="false" outlineLevel="0" collapsed="false">
      <c r="B782" s="7" t="s">
        <v>9415</v>
      </c>
      <c r="C782" s="39" t="n">
        <v>45707</v>
      </c>
      <c r="D782" s="7" t="s">
        <v>246</v>
      </c>
      <c r="E782" s="7" t="s">
        <v>180</v>
      </c>
      <c r="F782" s="6" t="n">
        <v>3.74</v>
      </c>
      <c r="G782" s="6" t="n">
        <v>0</v>
      </c>
      <c r="H782" s="41" t="n">
        <v>16.48</v>
      </c>
      <c r="I782" s="43" t="n">
        <f aca="false">F782*H782</f>
        <v>61.6352</v>
      </c>
      <c r="J782" s="43" t="n">
        <f aca="false">G782*H782*1.5</f>
        <v>0</v>
      </c>
      <c r="K782" s="6" t="n">
        <v>11.62</v>
      </c>
      <c r="L782" s="43" t="n">
        <f aca="false">K782*'Chart of Accounts'!$E$68</f>
        <v>7.7854</v>
      </c>
      <c r="O782" s="42" t="n">
        <f aca="false">I782+J782+L782</f>
        <v>69.4206</v>
      </c>
    </row>
    <row r="783" customFormat="false" ht="15" hidden="false" customHeight="false" outlineLevel="0" collapsed="false">
      <c r="B783" s="7" t="s">
        <v>9416</v>
      </c>
      <c r="C783" s="39" t="n">
        <v>45707</v>
      </c>
      <c r="D783" s="7" t="s">
        <v>222</v>
      </c>
      <c r="E783" s="7" t="s">
        <v>180</v>
      </c>
      <c r="F783" s="6" t="n">
        <v>3.63</v>
      </c>
      <c r="G783" s="6" t="n">
        <v>0</v>
      </c>
      <c r="H783" s="41" t="n">
        <v>17.84</v>
      </c>
      <c r="I783" s="43" t="n">
        <f aca="false">F783*H783</f>
        <v>64.7592</v>
      </c>
      <c r="J783" s="43" t="n">
        <f aca="false">G783*H783*1.5</f>
        <v>0</v>
      </c>
      <c r="K783" s="6" t="n">
        <v>9.63</v>
      </c>
      <c r="L783" s="43" t="n">
        <f aca="false">K783*'Chart of Accounts'!$E$68</f>
        <v>6.4521</v>
      </c>
      <c r="O783" s="42" t="n">
        <f aca="false">I783+J783+L783</f>
        <v>71.2113</v>
      </c>
    </row>
    <row r="784" customFormat="false" ht="15" hidden="false" customHeight="false" outlineLevel="0" collapsed="false">
      <c r="B784" s="7" t="s">
        <v>9417</v>
      </c>
      <c r="C784" s="39" t="n">
        <v>45707</v>
      </c>
      <c r="D784" s="7" t="s">
        <v>203</v>
      </c>
      <c r="E784" s="7" t="s">
        <v>158</v>
      </c>
      <c r="H784" s="41" t="n">
        <v>49.43</v>
      </c>
      <c r="M784" s="6" t="n">
        <v>1</v>
      </c>
      <c r="N784" s="43" t="n">
        <f aca="false">M784*H784</f>
        <v>49.43</v>
      </c>
      <c r="O784" s="42" t="n">
        <f aca="false">N784</f>
        <v>49.43</v>
      </c>
    </row>
    <row r="785" customFormat="false" ht="15" hidden="false" customHeight="false" outlineLevel="0" collapsed="false">
      <c r="B785" s="7" t="s">
        <v>9418</v>
      </c>
      <c r="C785" s="39" t="n">
        <v>45707</v>
      </c>
      <c r="D785" s="7" t="s">
        <v>262</v>
      </c>
      <c r="E785" s="7" t="s">
        <v>180</v>
      </c>
      <c r="F785" s="6" t="n">
        <v>3.46</v>
      </c>
      <c r="G785" s="6" t="n">
        <v>0</v>
      </c>
      <c r="H785" s="41" t="n">
        <v>16.02</v>
      </c>
      <c r="I785" s="43" t="n">
        <f aca="false">F785*H785</f>
        <v>55.4292</v>
      </c>
      <c r="J785" s="43" t="n">
        <f aca="false">G785*H785*1.5</f>
        <v>0</v>
      </c>
      <c r="K785" s="6" t="n">
        <v>9.63</v>
      </c>
      <c r="L785" s="43" t="n">
        <f aca="false">K785*'Chart of Accounts'!$E$68</f>
        <v>6.4521</v>
      </c>
      <c r="O785" s="42" t="n">
        <f aca="false">I785+J785+L785</f>
        <v>61.8813</v>
      </c>
    </row>
    <row r="786" customFormat="false" ht="15" hidden="false" customHeight="false" outlineLevel="0" collapsed="false">
      <c r="B786" s="7" t="s">
        <v>9419</v>
      </c>
      <c r="C786" s="39" t="n">
        <v>45707</v>
      </c>
      <c r="D786" s="7" t="s">
        <v>214</v>
      </c>
      <c r="E786" s="7" t="s">
        <v>180</v>
      </c>
      <c r="F786" s="6" t="n">
        <v>3.46</v>
      </c>
      <c r="G786" s="6" t="n">
        <v>0</v>
      </c>
      <c r="H786" s="41" t="n">
        <v>15.67</v>
      </c>
      <c r="I786" s="43" t="n">
        <f aca="false">F786*H786</f>
        <v>54.2182</v>
      </c>
      <c r="J786" s="43" t="n">
        <f aca="false">G786*H786*1.5</f>
        <v>0</v>
      </c>
      <c r="K786" s="6" t="n">
        <v>9.62</v>
      </c>
      <c r="L786" s="43" t="n">
        <f aca="false">K786*'Chart of Accounts'!$E$68</f>
        <v>6.4454</v>
      </c>
      <c r="O786" s="42" t="n">
        <f aca="false">I786+J786+L786</f>
        <v>60.6636</v>
      </c>
    </row>
    <row r="787" customFormat="false" ht="15" hidden="false" customHeight="false" outlineLevel="0" collapsed="false">
      <c r="B787" s="7" t="s">
        <v>9420</v>
      </c>
      <c r="C787" s="39" t="n">
        <v>45708</v>
      </c>
      <c r="D787" s="7" t="s">
        <v>191</v>
      </c>
      <c r="E787" s="7" t="s">
        <v>180</v>
      </c>
      <c r="F787" s="6" t="n">
        <v>4.08</v>
      </c>
      <c r="G787" s="6" t="n">
        <v>0</v>
      </c>
      <c r="H787" s="41" t="n">
        <v>16.05</v>
      </c>
      <c r="I787" s="43" t="n">
        <f aca="false">F787*H787</f>
        <v>65.484</v>
      </c>
      <c r="J787" s="43" t="n">
        <f aca="false">G787*H787*1.5</f>
        <v>0</v>
      </c>
      <c r="K787" s="6" t="n">
        <v>12.94</v>
      </c>
      <c r="L787" s="43" t="n">
        <f aca="false">K787*'Chart of Accounts'!$E$68</f>
        <v>8.6698</v>
      </c>
      <c r="O787" s="42" t="n">
        <f aca="false">I787+J787+L787</f>
        <v>74.1538</v>
      </c>
    </row>
    <row r="788" customFormat="false" ht="15" hidden="false" customHeight="false" outlineLevel="0" collapsed="false">
      <c r="B788" s="7" t="s">
        <v>9421</v>
      </c>
      <c r="C788" s="39" t="n">
        <v>45708</v>
      </c>
      <c r="D788" s="7" t="s">
        <v>201</v>
      </c>
      <c r="E788" s="7" t="s">
        <v>180</v>
      </c>
      <c r="F788" s="6" t="n">
        <v>2.76</v>
      </c>
      <c r="G788" s="6" t="n">
        <v>0</v>
      </c>
      <c r="H788" s="41" t="n">
        <v>15.19</v>
      </c>
      <c r="I788" s="43" t="n">
        <f aca="false">F788*H788</f>
        <v>41.9244</v>
      </c>
      <c r="J788" s="43" t="n">
        <f aca="false">G788*H788*1.5</f>
        <v>0</v>
      </c>
      <c r="K788" s="6" t="n">
        <v>9.11</v>
      </c>
      <c r="L788" s="43" t="n">
        <f aca="false">K788*'Chart of Accounts'!$E$68</f>
        <v>6.1037</v>
      </c>
      <c r="O788" s="42" t="n">
        <f aca="false">I788+J788+L788</f>
        <v>48.0281</v>
      </c>
    </row>
    <row r="789" customFormat="false" ht="15" hidden="false" customHeight="false" outlineLevel="0" collapsed="false">
      <c r="B789" s="7" t="s">
        <v>9422</v>
      </c>
      <c r="C789" s="39" t="n">
        <v>45708</v>
      </c>
      <c r="D789" s="7" t="s">
        <v>196</v>
      </c>
      <c r="E789" s="7" t="s">
        <v>180</v>
      </c>
      <c r="F789" s="6" t="n">
        <v>5.53</v>
      </c>
      <c r="G789" s="6" t="n">
        <v>0</v>
      </c>
      <c r="H789" s="41" t="n">
        <v>15.05</v>
      </c>
      <c r="I789" s="43" t="n">
        <f aca="false">F789*H789</f>
        <v>83.2265</v>
      </c>
      <c r="J789" s="43" t="n">
        <f aca="false">G789*H789*1.5</f>
        <v>0</v>
      </c>
      <c r="K789" s="6" t="n">
        <v>18.34</v>
      </c>
      <c r="L789" s="43" t="n">
        <f aca="false">K789*'Chart of Accounts'!$E$68</f>
        <v>12.2878</v>
      </c>
      <c r="O789" s="42" t="n">
        <f aca="false">I789+J789+L789</f>
        <v>95.5143</v>
      </c>
    </row>
    <row r="790" customFormat="false" ht="15" hidden="false" customHeight="false" outlineLevel="0" collapsed="false">
      <c r="B790" s="7" t="s">
        <v>9423</v>
      </c>
      <c r="C790" s="39" t="n">
        <v>45708</v>
      </c>
      <c r="D790" s="7" t="s">
        <v>184</v>
      </c>
      <c r="E790" s="7" t="s">
        <v>180</v>
      </c>
      <c r="F790" s="6" t="n">
        <v>3.76</v>
      </c>
      <c r="G790" s="6" t="n">
        <v>0</v>
      </c>
      <c r="H790" s="41" t="n">
        <v>17.34</v>
      </c>
      <c r="I790" s="43" t="n">
        <f aca="false">F790*H790</f>
        <v>65.1984</v>
      </c>
      <c r="J790" s="43" t="n">
        <f aca="false">G790*H790*1.5</f>
        <v>0</v>
      </c>
      <c r="K790" s="6" t="n">
        <v>8.71</v>
      </c>
      <c r="L790" s="43" t="n">
        <f aca="false">K790*'Chart of Accounts'!$E$68</f>
        <v>5.8357</v>
      </c>
      <c r="O790" s="42" t="n">
        <f aca="false">I790+J790+L790</f>
        <v>71.0341</v>
      </c>
    </row>
    <row r="791" customFormat="false" ht="15" hidden="false" customHeight="false" outlineLevel="0" collapsed="false">
      <c r="B791" s="7" t="s">
        <v>9424</v>
      </c>
      <c r="C791" s="39" t="n">
        <v>45708</v>
      </c>
      <c r="D791" s="7" t="s">
        <v>207</v>
      </c>
      <c r="E791" s="7" t="s">
        <v>180</v>
      </c>
      <c r="F791" s="6" t="n">
        <v>2.82</v>
      </c>
      <c r="G791" s="6" t="n">
        <v>0</v>
      </c>
      <c r="H791" s="41" t="n">
        <v>16.65</v>
      </c>
      <c r="I791" s="43" t="n">
        <f aca="false">F791*H791</f>
        <v>46.953</v>
      </c>
      <c r="J791" s="43" t="n">
        <f aca="false">G791*H791*1.5</f>
        <v>0</v>
      </c>
      <c r="K791" s="6" t="n">
        <v>7.6</v>
      </c>
      <c r="L791" s="43" t="n">
        <f aca="false">K791*'Chart of Accounts'!$E$68</f>
        <v>5.092</v>
      </c>
      <c r="O791" s="42" t="n">
        <f aca="false">I791+J791+L791</f>
        <v>52.045</v>
      </c>
    </row>
    <row r="792" customFormat="false" ht="15" hidden="false" customHeight="false" outlineLevel="0" collapsed="false">
      <c r="B792" s="7" t="s">
        <v>9425</v>
      </c>
      <c r="C792" s="39" t="n">
        <v>45708</v>
      </c>
      <c r="D792" s="7" t="s">
        <v>218</v>
      </c>
      <c r="E792" s="7" t="s">
        <v>180</v>
      </c>
      <c r="F792" s="6" t="n">
        <v>3.63</v>
      </c>
      <c r="G792" s="6" t="n">
        <v>0</v>
      </c>
      <c r="H792" s="41" t="n">
        <v>16.19</v>
      </c>
      <c r="I792" s="43" t="n">
        <f aca="false">F792*H792</f>
        <v>58.7697</v>
      </c>
      <c r="J792" s="43" t="n">
        <f aca="false">G792*H792*1.5</f>
        <v>0</v>
      </c>
      <c r="K792" s="6" t="n">
        <v>12.37</v>
      </c>
      <c r="L792" s="43" t="n">
        <f aca="false">K792*'Chart of Accounts'!$E$68</f>
        <v>8.2879</v>
      </c>
      <c r="O792" s="42" t="n">
        <f aca="false">I792+J792+L792</f>
        <v>67.0576</v>
      </c>
    </row>
    <row r="793" customFormat="false" ht="15" hidden="false" customHeight="false" outlineLevel="0" collapsed="false">
      <c r="B793" s="7" t="s">
        <v>9426</v>
      </c>
      <c r="C793" s="39" t="n">
        <v>45708</v>
      </c>
      <c r="D793" s="7" t="s">
        <v>212</v>
      </c>
      <c r="E793" s="7" t="s">
        <v>180</v>
      </c>
      <c r="F793" s="6" t="n">
        <v>7</v>
      </c>
      <c r="G793" s="6" t="n">
        <v>0</v>
      </c>
      <c r="H793" s="41" t="n">
        <v>16.71</v>
      </c>
      <c r="I793" s="43" t="n">
        <f aca="false">F793*H793</f>
        <v>116.97</v>
      </c>
      <c r="J793" s="43" t="n">
        <f aca="false">G793*H793*1.5</f>
        <v>0</v>
      </c>
      <c r="K793" s="6" t="n">
        <v>15.59</v>
      </c>
      <c r="L793" s="43" t="n">
        <f aca="false">K793*'Chart of Accounts'!$E$68</f>
        <v>10.4453</v>
      </c>
      <c r="O793" s="42" t="n">
        <f aca="false">I793+J793+L793</f>
        <v>127.4153</v>
      </c>
    </row>
    <row r="794" customFormat="false" ht="15" hidden="false" customHeight="false" outlineLevel="0" collapsed="false">
      <c r="B794" s="7" t="s">
        <v>9427</v>
      </c>
      <c r="C794" s="39" t="n">
        <v>45708</v>
      </c>
      <c r="D794" s="7" t="s">
        <v>220</v>
      </c>
      <c r="E794" s="7" t="s">
        <v>180</v>
      </c>
      <c r="F794" s="6" t="n">
        <v>4.14</v>
      </c>
      <c r="G794" s="6" t="n">
        <v>0</v>
      </c>
      <c r="H794" s="41" t="n">
        <v>16.43</v>
      </c>
      <c r="I794" s="43" t="n">
        <f aca="false">F794*H794</f>
        <v>68.0202</v>
      </c>
      <c r="J794" s="43" t="n">
        <f aca="false">G794*H794*1.5</f>
        <v>0</v>
      </c>
      <c r="K794" s="6" t="n">
        <v>10.09</v>
      </c>
      <c r="L794" s="43" t="n">
        <f aca="false">K794*'Chart of Accounts'!$E$68</f>
        <v>6.7603</v>
      </c>
      <c r="O794" s="42" t="n">
        <f aca="false">I794+J794+L794</f>
        <v>74.7805</v>
      </c>
    </row>
    <row r="795" customFormat="false" ht="15" hidden="false" customHeight="false" outlineLevel="0" collapsed="false">
      <c r="B795" s="7" t="s">
        <v>9428</v>
      </c>
      <c r="C795" s="39" t="n">
        <v>45708</v>
      </c>
      <c r="D795" s="7" t="s">
        <v>224</v>
      </c>
      <c r="E795" s="7" t="s">
        <v>180</v>
      </c>
      <c r="F795" s="6" t="n">
        <v>4.14</v>
      </c>
      <c r="G795" s="6" t="n">
        <v>0</v>
      </c>
      <c r="H795" s="41" t="n">
        <v>14.93</v>
      </c>
      <c r="I795" s="43" t="n">
        <f aca="false">F795*H795</f>
        <v>61.8102</v>
      </c>
      <c r="J795" s="43" t="n">
        <f aca="false">G795*H795*1.5</f>
        <v>0</v>
      </c>
      <c r="K795" s="6" t="n">
        <v>11.61</v>
      </c>
      <c r="L795" s="43" t="n">
        <f aca="false">K795*'Chart of Accounts'!$E$68</f>
        <v>7.7787</v>
      </c>
      <c r="O795" s="42" t="n">
        <f aca="false">I795+J795+L795</f>
        <v>69.5889</v>
      </c>
    </row>
    <row r="796" customFormat="false" ht="15" hidden="false" customHeight="false" outlineLevel="0" collapsed="false">
      <c r="B796" s="7" t="s">
        <v>9429</v>
      </c>
      <c r="C796" s="39" t="n">
        <v>45708</v>
      </c>
      <c r="D796" s="7" t="s">
        <v>232</v>
      </c>
      <c r="E796" s="7" t="s">
        <v>180</v>
      </c>
      <c r="F796" s="6" t="n">
        <v>3.01</v>
      </c>
      <c r="G796" s="6" t="n">
        <v>0</v>
      </c>
      <c r="H796" s="41" t="n">
        <v>16.17</v>
      </c>
      <c r="I796" s="43" t="n">
        <f aca="false">F796*H796</f>
        <v>48.6717</v>
      </c>
      <c r="J796" s="43" t="n">
        <f aca="false">G796*H796*1.5</f>
        <v>0</v>
      </c>
      <c r="K796" s="6" t="n">
        <v>10.47</v>
      </c>
      <c r="L796" s="43" t="n">
        <f aca="false">K796*'Chart of Accounts'!$E$68</f>
        <v>7.0149</v>
      </c>
      <c r="O796" s="42" t="n">
        <f aca="false">I796+J796+L796</f>
        <v>55.6866</v>
      </c>
    </row>
    <row r="797" customFormat="false" ht="15" hidden="false" customHeight="false" outlineLevel="0" collapsed="false">
      <c r="B797" s="7" t="s">
        <v>9430</v>
      </c>
      <c r="C797" s="39" t="n">
        <v>45708</v>
      </c>
      <c r="D797" s="7" t="s">
        <v>222</v>
      </c>
      <c r="E797" s="7" t="s">
        <v>180</v>
      </c>
      <c r="F797" s="6" t="n">
        <v>7.15</v>
      </c>
      <c r="G797" s="6" t="n">
        <v>0</v>
      </c>
      <c r="H797" s="41" t="n">
        <v>17.84</v>
      </c>
      <c r="I797" s="43" t="n">
        <f aca="false">F797*H797</f>
        <v>127.556</v>
      </c>
      <c r="J797" s="43" t="n">
        <f aca="false">G797*H797*1.5</f>
        <v>0</v>
      </c>
      <c r="K797" s="6" t="n">
        <v>23.15</v>
      </c>
      <c r="L797" s="43" t="n">
        <f aca="false">K797*'Chart of Accounts'!$E$68</f>
        <v>15.5105</v>
      </c>
      <c r="O797" s="42" t="n">
        <f aca="false">I797+J797+L797</f>
        <v>143.0665</v>
      </c>
    </row>
    <row r="798" customFormat="false" ht="15" hidden="false" customHeight="false" outlineLevel="0" collapsed="false">
      <c r="B798" s="7" t="s">
        <v>9431</v>
      </c>
      <c r="C798" s="39" t="n">
        <v>45708</v>
      </c>
      <c r="D798" s="7" t="s">
        <v>262</v>
      </c>
      <c r="E798" s="7" t="s">
        <v>180</v>
      </c>
      <c r="F798" s="6" t="n">
        <v>3.84</v>
      </c>
      <c r="G798" s="6" t="n">
        <v>0</v>
      </c>
      <c r="H798" s="41" t="n">
        <v>16.02</v>
      </c>
      <c r="I798" s="43" t="n">
        <f aca="false">F798*H798</f>
        <v>61.5168</v>
      </c>
      <c r="J798" s="43" t="n">
        <f aca="false">G798*H798*1.5</f>
        <v>0</v>
      </c>
      <c r="K798" s="6" t="n">
        <v>10.95</v>
      </c>
      <c r="L798" s="43" t="n">
        <f aca="false">K798*'Chart of Accounts'!$E$68</f>
        <v>7.3365</v>
      </c>
      <c r="O798" s="42" t="n">
        <f aca="false">I798+J798+L798</f>
        <v>68.8533</v>
      </c>
    </row>
    <row r="799" customFormat="false" ht="15" hidden="false" customHeight="false" outlineLevel="0" collapsed="false">
      <c r="B799" s="7" t="s">
        <v>9432</v>
      </c>
      <c r="C799" s="39" t="n">
        <v>45708</v>
      </c>
      <c r="D799" s="7" t="s">
        <v>246</v>
      </c>
      <c r="E799" s="7" t="s">
        <v>180</v>
      </c>
      <c r="F799" s="6" t="n">
        <v>8.13</v>
      </c>
      <c r="G799" s="6" t="n">
        <v>0</v>
      </c>
      <c r="H799" s="41" t="n">
        <v>16.48</v>
      </c>
      <c r="I799" s="43" t="n">
        <f aca="false">F799*H799</f>
        <v>133.9824</v>
      </c>
      <c r="J799" s="43" t="n">
        <f aca="false">G799*H799*1.5</f>
        <v>0</v>
      </c>
      <c r="K799" s="6" t="n">
        <v>26.76</v>
      </c>
      <c r="L799" s="43" t="n">
        <f aca="false">K799*'Chart of Accounts'!$E$68</f>
        <v>17.9292</v>
      </c>
      <c r="O799" s="42" t="n">
        <f aca="false">I799+J799+L799</f>
        <v>151.9116</v>
      </c>
    </row>
    <row r="800" customFormat="false" ht="15" hidden="false" customHeight="false" outlineLevel="0" collapsed="false">
      <c r="B800" s="7" t="s">
        <v>9433</v>
      </c>
      <c r="C800" s="39" t="n">
        <v>45708</v>
      </c>
      <c r="D800" s="7" t="s">
        <v>214</v>
      </c>
      <c r="E800" s="7" t="s">
        <v>180</v>
      </c>
      <c r="F800" s="6" t="n">
        <v>4.28</v>
      </c>
      <c r="G800" s="6" t="n">
        <v>0</v>
      </c>
      <c r="H800" s="41" t="n">
        <v>15.67</v>
      </c>
      <c r="I800" s="43" t="n">
        <f aca="false">F800*H800</f>
        <v>67.0676</v>
      </c>
      <c r="J800" s="43" t="n">
        <f aca="false">G800*H800*1.5</f>
        <v>0</v>
      </c>
      <c r="K800" s="6" t="n">
        <v>11.83</v>
      </c>
      <c r="L800" s="43" t="n">
        <f aca="false">K800*'Chart of Accounts'!$E$68</f>
        <v>7.9261</v>
      </c>
      <c r="O800" s="42" t="n">
        <f aca="false">I800+J800+L800</f>
        <v>74.9937</v>
      </c>
    </row>
    <row r="801" customFormat="false" ht="15" hidden="false" customHeight="false" outlineLevel="0" collapsed="false">
      <c r="B801" s="7" t="s">
        <v>9434</v>
      </c>
      <c r="C801" s="39" t="n">
        <v>45708</v>
      </c>
      <c r="D801" s="7" t="s">
        <v>242</v>
      </c>
      <c r="E801" s="7" t="s">
        <v>180</v>
      </c>
      <c r="F801" s="6" t="n">
        <v>3.75</v>
      </c>
      <c r="G801" s="6" t="n">
        <v>0</v>
      </c>
      <c r="H801" s="41" t="n">
        <v>17.99</v>
      </c>
      <c r="I801" s="43" t="n">
        <f aca="false">F801*H801</f>
        <v>67.4625</v>
      </c>
      <c r="J801" s="43" t="n">
        <f aca="false">G801*H801*1.5</f>
        <v>0</v>
      </c>
      <c r="K801" s="6" t="n">
        <v>8.31</v>
      </c>
      <c r="L801" s="43" t="n">
        <f aca="false">K801*'Chart of Accounts'!$E$68</f>
        <v>5.5677</v>
      </c>
      <c r="O801" s="42" t="n">
        <f aca="false">I801+J801+L801</f>
        <v>73.0302</v>
      </c>
    </row>
    <row r="802" customFormat="false" ht="15" hidden="false" customHeight="false" outlineLevel="0" collapsed="false">
      <c r="B802" s="7" t="s">
        <v>9435</v>
      </c>
      <c r="C802" s="39" t="n">
        <v>45708</v>
      </c>
      <c r="D802" s="7" t="s">
        <v>254</v>
      </c>
      <c r="E802" s="7" t="s">
        <v>180</v>
      </c>
      <c r="F802" s="6" t="n">
        <v>3.82</v>
      </c>
      <c r="G802" s="6" t="n">
        <v>0</v>
      </c>
      <c r="H802" s="41" t="n">
        <v>17.1</v>
      </c>
      <c r="I802" s="43" t="n">
        <f aca="false">F802*H802</f>
        <v>65.322</v>
      </c>
      <c r="J802" s="43" t="n">
        <f aca="false">G802*H802*1.5</f>
        <v>0</v>
      </c>
      <c r="K802" s="6" t="n">
        <v>12.25</v>
      </c>
      <c r="L802" s="43" t="n">
        <f aca="false">K802*'Chart of Accounts'!$E$68</f>
        <v>8.2075</v>
      </c>
      <c r="O802" s="42" t="n">
        <f aca="false">I802+J802+L802</f>
        <v>73.5295</v>
      </c>
    </row>
    <row r="803" customFormat="false" ht="15" hidden="false" customHeight="false" outlineLevel="0" collapsed="false">
      <c r="B803" s="7" t="s">
        <v>9436</v>
      </c>
      <c r="C803" s="39" t="n">
        <v>45709</v>
      </c>
      <c r="D803" s="7" t="s">
        <v>187</v>
      </c>
      <c r="E803" s="7" t="s">
        <v>158</v>
      </c>
      <c r="H803" s="41" t="n">
        <v>66.48</v>
      </c>
      <c r="M803" s="6" t="n">
        <v>1</v>
      </c>
      <c r="N803" s="43" t="n">
        <f aca="false">M803*H803</f>
        <v>66.48</v>
      </c>
      <c r="O803" s="42" t="n">
        <f aca="false">N803</f>
        <v>66.48</v>
      </c>
    </row>
    <row r="804" customFormat="false" ht="15" hidden="false" customHeight="false" outlineLevel="0" collapsed="false">
      <c r="B804" s="7" t="s">
        <v>9437</v>
      </c>
      <c r="C804" s="39" t="n">
        <v>45709</v>
      </c>
      <c r="D804" s="7" t="s">
        <v>191</v>
      </c>
      <c r="E804" s="7" t="s">
        <v>180</v>
      </c>
      <c r="F804" s="6" t="n">
        <v>3.69</v>
      </c>
      <c r="G804" s="6" t="n">
        <v>0</v>
      </c>
      <c r="H804" s="41" t="n">
        <v>16.05</v>
      </c>
      <c r="I804" s="43" t="n">
        <f aca="false">F804*H804</f>
        <v>59.2245</v>
      </c>
      <c r="J804" s="43" t="n">
        <f aca="false">G804*H804*1.5</f>
        <v>0</v>
      </c>
      <c r="K804" s="6" t="n">
        <v>8.86</v>
      </c>
      <c r="L804" s="43" t="n">
        <f aca="false">K804*'Chart of Accounts'!$E$68</f>
        <v>5.9362</v>
      </c>
      <c r="O804" s="42" t="n">
        <f aca="false">I804+J804+L804</f>
        <v>65.1607</v>
      </c>
    </row>
    <row r="805" customFormat="false" ht="15" hidden="false" customHeight="false" outlineLevel="0" collapsed="false">
      <c r="B805" s="7" t="s">
        <v>9438</v>
      </c>
      <c r="C805" s="39" t="n">
        <v>45709</v>
      </c>
      <c r="D805" s="7" t="s">
        <v>194</v>
      </c>
      <c r="E805" s="7" t="s">
        <v>180</v>
      </c>
      <c r="F805" s="6" t="n">
        <v>5.08</v>
      </c>
      <c r="G805" s="6" t="n">
        <v>0</v>
      </c>
      <c r="H805" s="41" t="n">
        <v>16</v>
      </c>
      <c r="I805" s="43" t="n">
        <f aca="false">F805*H805</f>
        <v>81.28</v>
      </c>
      <c r="J805" s="43" t="n">
        <f aca="false">G805*H805*1.5</f>
        <v>0</v>
      </c>
      <c r="K805" s="6" t="n">
        <v>15.18</v>
      </c>
      <c r="L805" s="43" t="n">
        <f aca="false">K805*'Chart of Accounts'!$E$68</f>
        <v>10.1706</v>
      </c>
      <c r="O805" s="42" t="n">
        <f aca="false">I805+J805+L805</f>
        <v>91.4506</v>
      </c>
    </row>
    <row r="806" customFormat="false" ht="15" hidden="false" customHeight="false" outlineLevel="0" collapsed="false">
      <c r="B806" s="7" t="s">
        <v>9439</v>
      </c>
      <c r="C806" s="39" t="n">
        <v>45709</v>
      </c>
      <c r="D806" s="7" t="s">
        <v>209</v>
      </c>
      <c r="E806" s="7" t="s">
        <v>158</v>
      </c>
      <c r="H806" s="41" t="n">
        <v>73.58</v>
      </c>
      <c r="M806" s="6" t="n">
        <v>2</v>
      </c>
      <c r="N806" s="43" t="n">
        <f aca="false">M806*H806</f>
        <v>147.16</v>
      </c>
      <c r="O806" s="42" t="n">
        <f aca="false">N806</f>
        <v>147.16</v>
      </c>
    </row>
    <row r="807" customFormat="false" ht="15" hidden="false" customHeight="false" outlineLevel="0" collapsed="false">
      <c r="B807" s="7" t="s">
        <v>9440</v>
      </c>
      <c r="C807" s="39" t="n">
        <v>45709</v>
      </c>
      <c r="D807" s="7" t="s">
        <v>205</v>
      </c>
      <c r="E807" s="7" t="s">
        <v>180</v>
      </c>
      <c r="F807" s="6" t="n">
        <v>3.75</v>
      </c>
      <c r="G807" s="6" t="n">
        <v>0</v>
      </c>
      <c r="H807" s="41" t="n">
        <v>16.36</v>
      </c>
      <c r="I807" s="43" t="n">
        <f aca="false">F807*H807</f>
        <v>61.35</v>
      </c>
      <c r="J807" s="43" t="n">
        <f aca="false">G807*H807*1.5</f>
        <v>0</v>
      </c>
      <c r="K807" s="6" t="n">
        <v>11.27</v>
      </c>
      <c r="L807" s="43" t="n">
        <f aca="false">K807*'Chart of Accounts'!$E$68</f>
        <v>7.5509</v>
      </c>
      <c r="O807" s="42" t="n">
        <f aca="false">I807+J807+L807</f>
        <v>68.9009</v>
      </c>
    </row>
    <row r="808" customFormat="false" ht="15" hidden="false" customHeight="false" outlineLevel="0" collapsed="false">
      <c r="B808" s="7" t="s">
        <v>9441</v>
      </c>
      <c r="C808" s="39" t="n">
        <v>45709</v>
      </c>
      <c r="D808" s="7" t="s">
        <v>252</v>
      </c>
      <c r="E808" s="7" t="s">
        <v>158</v>
      </c>
      <c r="H808" s="41" t="n">
        <v>57.54</v>
      </c>
      <c r="M808" s="6" t="n">
        <v>1</v>
      </c>
      <c r="N808" s="43" t="n">
        <f aca="false">M808*H808</f>
        <v>57.54</v>
      </c>
      <c r="O808" s="42" t="n">
        <f aca="false">N808</f>
        <v>57.54</v>
      </c>
    </row>
    <row r="809" customFormat="false" ht="15" hidden="false" customHeight="false" outlineLevel="0" collapsed="false">
      <c r="B809" s="7" t="s">
        <v>9442</v>
      </c>
      <c r="C809" s="39" t="n">
        <v>45709</v>
      </c>
      <c r="D809" s="7" t="s">
        <v>184</v>
      </c>
      <c r="E809" s="7" t="s">
        <v>180</v>
      </c>
      <c r="F809" s="6" t="n">
        <v>4.38</v>
      </c>
      <c r="G809" s="6" t="n">
        <v>0</v>
      </c>
      <c r="H809" s="41" t="n">
        <v>17.34</v>
      </c>
      <c r="I809" s="43" t="n">
        <f aca="false">F809*H809</f>
        <v>75.9492</v>
      </c>
      <c r="J809" s="43" t="n">
        <f aca="false">G809*H809*1.5</f>
        <v>0</v>
      </c>
      <c r="K809" s="6" t="n">
        <v>13.95</v>
      </c>
      <c r="L809" s="43" t="n">
        <f aca="false">K809*'Chart of Accounts'!$E$68</f>
        <v>9.3465</v>
      </c>
      <c r="O809" s="42" t="n">
        <f aca="false">I809+J809+L809</f>
        <v>85.2957</v>
      </c>
    </row>
    <row r="810" customFormat="false" ht="15" hidden="false" customHeight="false" outlineLevel="0" collapsed="false">
      <c r="B810" s="7" t="s">
        <v>9443</v>
      </c>
      <c r="C810" s="39" t="n">
        <v>45709</v>
      </c>
      <c r="D810" s="7" t="s">
        <v>234</v>
      </c>
      <c r="E810" s="7" t="s">
        <v>158</v>
      </c>
      <c r="H810" s="41" t="n">
        <v>89.53</v>
      </c>
      <c r="M810" s="6" t="n">
        <v>2</v>
      </c>
      <c r="N810" s="43" t="n">
        <f aca="false">M810*H810</f>
        <v>179.06</v>
      </c>
      <c r="O810" s="42" t="n">
        <f aca="false">N810</f>
        <v>179.06</v>
      </c>
    </row>
    <row r="811" customFormat="false" ht="15" hidden="false" customHeight="false" outlineLevel="0" collapsed="false">
      <c r="B811" s="7" t="s">
        <v>9444</v>
      </c>
      <c r="C811" s="39" t="n">
        <v>45709</v>
      </c>
      <c r="D811" s="7" t="s">
        <v>218</v>
      </c>
      <c r="E811" s="7" t="s">
        <v>180</v>
      </c>
      <c r="F811" s="6" t="n">
        <v>3.81</v>
      </c>
      <c r="G811" s="6" t="n">
        <v>0</v>
      </c>
      <c r="H811" s="41" t="n">
        <v>16.19</v>
      </c>
      <c r="I811" s="43" t="n">
        <f aca="false">F811*H811</f>
        <v>61.6839</v>
      </c>
      <c r="J811" s="43" t="n">
        <f aca="false">G811*H811*1.5</f>
        <v>0</v>
      </c>
      <c r="K811" s="6" t="n">
        <v>11.78</v>
      </c>
      <c r="L811" s="43" t="n">
        <f aca="false">K811*'Chart of Accounts'!$E$68</f>
        <v>7.8926</v>
      </c>
      <c r="O811" s="42" t="n">
        <f aca="false">I811+J811+L811</f>
        <v>69.5765</v>
      </c>
    </row>
    <row r="812" customFormat="false" ht="15" hidden="false" customHeight="false" outlineLevel="0" collapsed="false">
      <c r="B812" s="7" t="s">
        <v>9445</v>
      </c>
      <c r="C812" s="39" t="n">
        <v>45709</v>
      </c>
      <c r="D812" s="7" t="s">
        <v>266</v>
      </c>
      <c r="E812" s="7" t="s">
        <v>158</v>
      </c>
      <c r="H812" s="41" t="n">
        <v>75.18</v>
      </c>
      <c r="M812" s="6" t="n">
        <v>1</v>
      </c>
      <c r="N812" s="43" t="n">
        <f aca="false">M812*H812</f>
        <v>75.18</v>
      </c>
      <c r="O812" s="42" t="n">
        <f aca="false">N812</f>
        <v>75.18</v>
      </c>
    </row>
    <row r="813" customFormat="false" ht="15" hidden="false" customHeight="false" outlineLevel="0" collapsed="false">
      <c r="B813" s="7" t="s">
        <v>9446</v>
      </c>
      <c r="C813" s="39" t="n">
        <v>45709</v>
      </c>
      <c r="D813" s="7" t="s">
        <v>228</v>
      </c>
      <c r="E813" s="7" t="s">
        <v>158</v>
      </c>
      <c r="H813" s="41" t="n">
        <v>51.07</v>
      </c>
      <c r="M813" s="6" t="n">
        <v>1</v>
      </c>
      <c r="N813" s="43" t="n">
        <f aca="false">M813*H813</f>
        <v>51.07</v>
      </c>
      <c r="O813" s="42" t="n">
        <f aca="false">N813</f>
        <v>51.07</v>
      </c>
    </row>
    <row r="814" customFormat="false" ht="15" hidden="false" customHeight="false" outlineLevel="0" collapsed="false">
      <c r="B814" s="7" t="s">
        <v>9447</v>
      </c>
      <c r="C814" s="39" t="n">
        <v>45709</v>
      </c>
      <c r="D814" s="7" t="s">
        <v>220</v>
      </c>
      <c r="E814" s="7" t="s">
        <v>180</v>
      </c>
      <c r="F814" s="6" t="n">
        <v>3.87</v>
      </c>
      <c r="G814" s="6" t="n">
        <v>0</v>
      </c>
      <c r="H814" s="41" t="n">
        <v>16.43</v>
      </c>
      <c r="I814" s="43" t="n">
        <f aca="false">F814*H814</f>
        <v>63.5841</v>
      </c>
      <c r="J814" s="43" t="n">
        <f aca="false">G814*H814*1.5</f>
        <v>0</v>
      </c>
      <c r="K814" s="6" t="n">
        <v>10.86</v>
      </c>
      <c r="L814" s="43" t="n">
        <f aca="false">K814*'Chart of Accounts'!$E$68</f>
        <v>7.2762</v>
      </c>
      <c r="O814" s="42" t="n">
        <f aca="false">I814+J814+L814</f>
        <v>70.8603</v>
      </c>
    </row>
    <row r="815" customFormat="false" ht="15" hidden="false" customHeight="false" outlineLevel="0" collapsed="false">
      <c r="B815" s="7" t="s">
        <v>9448</v>
      </c>
      <c r="C815" s="39" t="n">
        <v>45709</v>
      </c>
      <c r="D815" s="7" t="s">
        <v>177</v>
      </c>
      <c r="E815" s="7" t="s">
        <v>180</v>
      </c>
      <c r="F815" s="6" t="n">
        <v>8.59</v>
      </c>
      <c r="G815" s="6" t="n">
        <v>0</v>
      </c>
      <c r="H815" s="41" t="n">
        <v>14.56</v>
      </c>
      <c r="I815" s="43" t="n">
        <f aca="false">F815*H815</f>
        <v>125.0704</v>
      </c>
      <c r="J815" s="43" t="n">
        <f aca="false">G815*H815*1.5</f>
        <v>0</v>
      </c>
      <c r="K815" s="6" t="n">
        <v>29.03</v>
      </c>
      <c r="L815" s="43" t="n">
        <f aca="false">K815*'Chart of Accounts'!$E$68</f>
        <v>19.4501</v>
      </c>
      <c r="O815" s="42" t="n">
        <f aca="false">I815+J815+L815</f>
        <v>144.5205</v>
      </c>
    </row>
    <row r="816" customFormat="false" ht="15" hidden="false" customHeight="false" outlineLevel="0" collapsed="false">
      <c r="B816" s="7" t="s">
        <v>9449</v>
      </c>
      <c r="C816" s="39" t="n">
        <v>45709</v>
      </c>
      <c r="D816" s="7" t="s">
        <v>242</v>
      </c>
      <c r="E816" s="7" t="s">
        <v>180</v>
      </c>
      <c r="F816" s="6" t="n">
        <v>6.9</v>
      </c>
      <c r="G816" s="6" t="n">
        <v>0</v>
      </c>
      <c r="H816" s="41" t="n">
        <v>17.99</v>
      </c>
      <c r="I816" s="43" t="n">
        <f aca="false">F816*H816</f>
        <v>124.131</v>
      </c>
      <c r="J816" s="43" t="n">
        <f aca="false">G816*H816*1.5</f>
        <v>0</v>
      </c>
      <c r="K816" s="6" t="n">
        <v>19.11</v>
      </c>
      <c r="L816" s="43" t="n">
        <f aca="false">K816*'Chart of Accounts'!$E$68</f>
        <v>12.8037</v>
      </c>
      <c r="O816" s="42" t="n">
        <f aca="false">I816+J816+L816</f>
        <v>136.9347</v>
      </c>
    </row>
    <row r="817" customFormat="false" ht="15" hidden="false" customHeight="false" outlineLevel="0" collapsed="false">
      <c r="B817" s="7" t="s">
        <v>9450</v>
      </c>
      <c r="C817" s="39" t="n">
        <v>45709</v>
      </c>
      <c r="D817" s="7" t="s">
        <v>254</v>
      </c>
      <c r="E817" s="7" t="s">
        <v>180</v>
      </c>
      <c r="F817" s="6" t="n">
        <v>7.2</v>
      </c>
      <c r="G817" s="6" t="n">
        <v>0</v>
      </c>
      <c r="H817" s="41" t="n">
        <v>17.1</v>
      </c>
      <c r="I817" s="43" t="n">
        <f aca="false">F817*H817</f>
        <v>123.12</v>
      </c>
      <c r="J817" s="43" t="n">
        <f aca="false">G817*H817*1.5</f>
        <v>0</v>
      </c>
      <c r="K817" s="6" t="n">
        <v>24.56</v>
      </c>
      <c r="L817" s="43" t="n">
        <f aca="false">K817*'Chart of Accounts'!$E$68</f>
        <v>16.4552</v>
      </c>
      <c r="O817" s="42" t="n">
        <f aca="false">I817+J817+L817</f>
        <v>139.5752</v>
      </c>
    </row>
    <row r="818" customFormat="false" ht="15" hidden="false" customHeight="false" outlineLevel="0" collapsed="false">
      <c r="B818" s="7" t="s">
        <v>9451</v>
      </c>
      <c r="C818" s="39" t="n">
        <v>45709</v>
      </c>
      <c r="D818" s="7" t="s">
        <v>201</v>
      </c>
      <c r="E818" s="7" t="s">
        <v>180</v>
      </c>
      <c r="F818" s="6" t="n">
        <v>3.04</v>
      </c>
      <c r="G818" s="6" t="n">
        <v>0</v>
      </c>
      <c r="H818" s="41" t="n">
        <v>15.19</v>
      </c>
      <c r="I818" s="43" t="n">
        <f aca="false">F818*H818</f>
        <v>46.1776</v>
      </c>
      <c r="J818" s="43" t="n">
        <f aca="false">G818*H818*1.5</f>
        <v>0</v>
      </c>
      <c r="K818" s="6" t="n">
        <v>9.43</v>
      </c>
      <c r="L818" s="43" t="n">
        <f aca="false">K818*'Chart of Accounts'!$E$68</f>
        <v>6.3181</v>
      </c>
      <c r="O818" s="42" t="n">
        <f aca="false">I818+J818+L818</f>
        <v>52.4957</v>
      </c>
    </row>
    <row r="819" customFormat="false" ht="15" hidden="false" customHeight="false" outlineLevel="0" collapsed="false">
      <c r="B819" s="7" t="s">
        <v>9452</v>
      </c>
      <c r="C819" s="39" t="n">
        <v>45709</v>
      </c>
      <c r="D819" s="7" t="s">
        <v>207</v>
      </c>
      <c r="E819" s="7" t="s">
        <v>180</v>
      </c>
      <c r="F819" s="6" t="n">
        <v>3.57</v>
      </c>
      <c r="G819" s="6" t="n">
        <v>0</v>
      </c>
      <c r="H819" s="41" t="n">
        <v>16.65</v>
      </c>
      <c r="I819" s="43" t="n">
        <f aca="false">F819*H819</f>
        <v>59.4405</v>
      </c>
      <c r="J819" s="43" t="n">
        <f aca="false">G819*H819*1.5</f>
        <v>0</v>
      </c>
      <c r="K819" s="6" t="n">
        <v>9.36</v>
      </c>
      <c r="L819" s="43" t="n">
        <f aca="false">K819*'Chart of Accounts'!$E$68</f>
        <v>6.2712</v>
      </c>
      <c r="O819" s="42" t="n">
        <f aca="false">I819+J819+L819</f>
        <v>65.7117</v>
      </c>
    </row>
    <row r="820" customFormat="false" ht="15" hidden="false" customHeight="false" outlineLevel="0" collapsed="false">
      <c r="B820" s="7" t="s">
        <v>9453</v>
      </c>
      <c r="C820" s="39" t="n">
        <v>45709</v>
      </c>
      <c r="D820" s="7" t="s">
        <v>212</v>
      </c>
      <c r="E820" s="7" t="s">
        <v>180</v>
      </c>
      <c r="F820" s="6" t="n">
        <v>3.66</v>
      </c>
      <c r="G820" s="6" t="n">
        <v>0</v>
      </c>
      <c r="H820" s="41" t="n">
        <v>16.71</v>
      </c>
      <c r="I820" s="43" t="n">
        <f aca="false">F820*H820</f>
        <v>61.1586</v>
      </c>
      <c r="J820" s="43" t="n">
        <f aca="false">G820*H820*1.5</f>
        <v>0</v>
      </c>
      <c r="K820" s="6" t="n">
        <v>10.37</v>
      </c>
      <c r="L820" s="43" t="n">
        <f aca="false">K820*'Chart of Accounts'!$E$68</f>
        <v>6.9479</v>
      </c>
      <c r="O820" s="42" t="n">
        <f aca="false">I820+J820+L820</f>
        <v>68.1065</v>
      </c>
    </row>
    <row r="821" customFormat="false" ht="15" hidden="false" customHeight="false" outlineLevel="0" collapsed="false">
      <c r="B821" s="7" t="s">
        <v>9454</v>
      </c>
      <c r="C821" s="39" t="n">
        <v>45709</v>
      </c>
      <c r="D821" s="7" t="s">
        <v>232</v>
      </c>
      <c r="E821" s="7" t="s">
        <v>180</v>
      </c>
      <c r="F821" s="6" t="n">
        <v>4.8</v>
      </c>
      <c r="G821" s="6" t="n">
        <v>0</v>
      </c>
      <c r="H821" s="41" t="n">
        <v>16.17</v>
      </c>
      <c r="I821" s="43" t="n">
        <f aca="false">F821*H821</f>
        <v>77.616</v>
      </c>
      <c r="J821" s="43" t="n">
        <f aca="false">G821*H821*1.5</f>
        <v>0</v>
      </c>
      <c r="K821" s="6" t="n">
        <v>13.85</v>
      </c>
      <c r="L821" s="43" t="n">
        <f aca="false">K821*'Chart of Accounts'!$E$68</f>
        <v>9.2795</v>
      </c>
      <c r="O821" s="42" t="n">
        <f aca="false">I821+J821+L821</f>
        <v>86.8955</v>
      </c>
    </row>
    <row r="822" customFormat="false" ht="15" hidden="false" customHeight="false" outlineLevel="0" collapsed="false">
      <c r="B822" s="7" t="s">
        <v>9455</v>
      </c>
      <c r="C822" s="39" t="n">
        <v>45709</v>
      </c>
      <c r="D822" s="7" t="s">
        <v>224</v>
      </c>
      <c r="E822" s="7" t="s">
        <v>180</v>
      </c>
      <c r="F822" s="6" t="n">
        <v>4.63</v>
      </c>
      <c r="G822" s="6" t="n">
        <v>0</v>
      </c>
      <c r="H822" s="41" t="n">
        <v>14.93</v>
      </c>
      <c r="I822" s="43" t="n">
        <f aca="false">F822*H822</f>
        <v>69.1259</v>
      </c>
      <c r="J822" s="43" t="n">
        <f aca="false">G822*H822*1.5</f>
        <v>0</v>
      </c>
      <c r="K822" s="6" t="n">
        <v>15.64</v>
      </c>
      <c r="L822" s="43" t="n">
        <f aca="false">K822*'Chart of Accounts'!$E$68</f>
        <v>10.4788</v>
      </c>
      <c r="O822" s="42" t="n">
        <f aca="false">I822+J822+L822</f>
        <v>79.6047</v>
      </c>
    </row>
    <row r="823" customFormat="false" ht="15" hidden="false" customHeight="false" outlineLevel="0" collapsed="false">
      <c r="B823" s="7" t="s">
        <v>9456</v>
      </c>
      <c r="C823" s="39" t="n">
        <v>45709</v>
      </c>
      <c r="D823" s="7" t="s">
        <v>246</v>
      </c>
      <c r="E823" s="7" t="s">
        <v>180</v>
      </c>
      <c r="F823" s="6" t="n">
        <v>4</v>
      </c>
      <c r="G823" s="6" t="n">
        <v>0</v>
      </c>
      <c r="H823" s="41" t="n">
        <v>16.48</v>
      </c>
      <c r="I823" s="43" t="n">
        <f aca="false">F823*H823</f>
        <v>65.92</v>
      </c>
      <c r="J823" s="43" t="n">
        <f aca="false">G823*H823*1.5</f>
        <v>0</v>
      </c>
      <c r="K823" s="6" t="n">
        <v>12.75</v>
      </c>
      <c r="L823" s="43" t="n">
        <f aca="false">K823*'Chart of Accounts'!$E$68</f>
        <v>8.5425</v>
      </c>
      <c r="O823" s="42" t="n">
        <f aca="false">I823+J823+L823</f>
        <v>74.4625</v>
      </c>
    </row>
    <row r="824" customFormat="false" ht="15" hidden="false" customHeight="false" outlineLevel="0" collapsed="false">
      <c r="B824" s="7" t="s">
        <v>9457</v>
      </c>
      <c r="C824" s="39" t="n">
        <v>45709</v>
      </c>
      <c r="D824" s="7" t="s">
        <v>222</v>
      </c>
      <c r="E824" s="7" t="s">
        <v>180</v>
      </c>
      <c r="F824" s="6" t="n">
        <v>3.93</v>
      </c>
      <c r="G824" s="6" t="n">
        <v>0</v>
      </c>
      <c r="H824" s="41" t="n">
        <v>17.84</v>
      </c>
      <c r="I824" s="43" t="n">
        <f aca="false">F824*H824</f>
        <v>70.1112</v>
      </c>
      <c r="J824" s="43" t="n">
        <f aca="false">G824*H824*1.5</f>
        <v>0</v>
      </c>
      <c r="K824" s="6" t="n">
        <v>10.4</v>
      </c>
      <c r="L824" s="43" t="n">
        <f aca="false">K824*'Chart of Accounts'!$E$68</f>
        <v>6.968</v>
      </c>
      <c r="O824" s="42" t="n">
        <f aca="false">I824+J824+L824</f>
        <v>77.0792</v>
      </c>
    </row>
    <row r="825" customFormat="false" ht="15" hidden="false" customHeight="false" outlineLevel="0" collapsed="false">
      <c r="B825" s="7" t="s">
        <v>9458</v>
      </c>
      <c r="C825" s="39" t="n">
        <v>45709</v>
      </c>
      <c r="D825" s="7" t="s">
        <v>203</v>
      </c>
      <c r="E825" s="7" t="s">
        <v>158</v>
      </c>
      <c r="H825" s="41" t="n">
        <v>49.43</v>
      </c>
      <c r="M825" s="6" t="n">
        <v>1</v>
      </c>
      <c r="N825" s="43" t="n">
        <f aca="false">M825*H825</f>
        <v>49.43</v>
      </c>
      <c r="O825" s="42" t="n">
        <f aca="false">N825</f>
        <v>49.43</v>
      </c>
    </row>
    <row r="826" customFormat="false" ht="15" hidden="false" customHeight="false" outlineLevel="0" collapsed="false">
      <c r="B826" s="7" t="s">
        <v>9459</v>
      </c>
      <c r="C826" s="39" t="n">
        <v>45709</v>
      </c>
      <c r="D826" s="7" t="s">
        <v>262</v>
      </c>
      <c r="E826" s="7" t="s">
        <v>180</v>
      </c>
      <c r="F826" s="6" t="n">
        <v>3.45</v>
      </c>
      <c r="G826" s="6" t="n">
        <v>0</v>
      </c>
      <c r="H826" s="41" t="n">
        <v>16.02</v>
      </c>
      <c r="I826" s="43" t="n">
        <f aca="false">F826*H826</f>
        <v>55.269</v>
      </c>
      <c r="J826" s="43" t="n">
        <f aca="false">G826*H826*1.5</f>
        <v>0</v>
      </c>
      <c r="K826" s="6" t="n">
        <v>10.77</v>
      </c>
      <c r="L826" s="43" t="n">
        <f aca="false">K826*'Chart of Accounts'!$E$68</f>
        <v>7.2159</v>
      </c>
      <c r="O826" s="42" t="n">
        <f aca="false">I826+J826+L826</f>
        <v>62.4849</v>
      </c>
    </row>
    <row r="827" customFormat="false" ht="15" hidden="false" customHeight="false" outlineLevel="0" collapsed="false">
      <c r="B827" s="7" t="s">
        <v>9460</v>
      </c>
      <c r="C827" s="39" t="n">
        <v>45709</v>
      </c>
      <c r="D827" s="7" t="s">
        <v>260</v>
      </c>
      <c r="E827" s="7" t="s">
        <v>158</v>
      </c>
      <c r="H827" s="41" t="n">
        <v>79.8</v>
      </c>
      <c r="M827" s="6" t="n">
        <v>1</v>
      </c>
      <c r="N827" s="43" t="n">
        <f aca="false">M827*H827</f>
        <v>79.8</v>
      </c>
      <c r="O827" s="42" t="n">
        <f aca="false">N827</f>
        <v>79.8</v>
      </c>
    </row>
    <row r="828" customFormat="false" ht="15" hidden="false" customHeight="false" outlineLevel="0" collapsed="false">
      <c r="B828" s="7" t="s">
        <v>9461</v>
      </c>
      <c r="C828" s="39" t="n">
        <v>45709</v>
      </c>
      <c r="D828" s="7" t="s">
        <v>214</v>
      </c>
      <c r="E828" s="7" t="s">
        <v>180</v>
      </c>
      <c r="F828" s="6" t="n">
        <v>3.44</v>
      </c>
      <c r="G828" s="6" t="n">
        <v>0</v>
      </c>
      <c r="H828" s="41" t="n">
        <v>15.67</v>
      </c>
      <c r="I828" s="43" t="n">
        <f aca="false">F828*H828</f>
        <v>53.9048</v>
      </c>
      <c r="J828" s="43" t="n">
        <f aca="false">G828*H828*1.5</f>
        <v>0</v>
      </c>
      <c r="K828" s="6" t="n">
        <v>7.82</v>
      </c>
      <c r="L828" s="43" t="n">
        <f aca="false">K828*'Chart of Accounts'!$E$68</f>
        <v>5.2394</v>
      </c>
      <c r="O828" s="42" t="n">
        <f aca="false">I828+J828+L828</f>
        <v>59.1442</v>
      </c>
    </row>
    <row r="829" customFormat="false" ht="15" hidden="false" customHeight="false" outlineLevel="0" collapsed="false">
      <c r="B829" s="7" t="s">
        <v>9462</v>
      </c>
      <c r="C829" s="39" t="n">
        <v>45710</v>
      </c>
      <c r="D829" s="7" t="s">
        <v>191</v>
      </c>
      <c r="E829" s="7" t="s">
        <v>180</v>
      </c>
      <c r="F829" s="6" t="n">
        <v>4.26</v>
      </c>
      <c r="G829" s="6" t="n">
        <v>0</v>
      </c>
      <c r="H829" s="41" t="n">
        <v>16.05</v>
      </c>
      <c r="I829" s="43" t="n">
        <f aca="false">F829*H829</f>
        <v>68.373</v>
      </c>
      <c r="J829" s="43" t="n">
        <f aca="false">G829*H829*1.5</f>
        <v>0</v>
      </c>
      <c r="K829" s="6" t="n">
        <v>14.87</v>
      </c>
      <c r="L829" s="43" t="n">
        <f aca="false">K829*'Chart of Accounts'!$E$68</f>
        <v>9.9629</v>
      </c>
      <c r="O829" s="42" t="n">
        <f aca="false">I829+J829+L829</f>
        <v>78.3359</v>
      </c>
    </row>
    <row r="830" customFormat="false" ht="15" hidden="false" customHeight="false" outlineLevel="0" collapsed="false">
      <c r="B830" s="7" t="s">
        <v>9463</v>
      </c>
      <c r="C830" s="39" t="n">
        <v>45710</v>
      </c>
      <c r="D830" s="7" t="s">
        <v>218</v>
      </c>
      <c r="E830" s="7" t="s">
        <v>180</v>
      </c>
      <c r="F830" s="6" t="n">
        <v>4.02</v>
      </c>
      <c r="G830" s="6" t="n">
        <v>0</v>
      </c>
      <c r="H830" s="41" t="n">
        <v>16.19</v>
      </c>
      <c r="I830" s="43" t="n">
        <f aca="false">F830*H830</f>
        <v>65.0838</v>
      </c>
      <c r="J830" s="43" t="n">
        <f aca="false">G830*H830*1.5</f>
        <v>0</v>
      </c>
      <c r="K830" s="6" t="n">
        <v>9.83</v>
      </c>
      <c r="L830" s="43" t="n">
        <f aca="false">K830*'Chart of Accounts'!$E$68</f>
        <v>6.5861</v>
      </c>
      <c r="O830" s="42" t="n">
        <f aca="false">I830+J830+L830</f>
        <v>71.6699</v>
      </c>
    </row>
    <row r="831" customFormat="false" ht="15" hidden="false" customHeight="false" outlineLevel="0" collapsed="false">
      <c r="B831" s="7" t="s">
        <v>9464</v>
      </c>
      <c r="C831" s="39" t="n">
        <v>45710</v>
      </c>
      <c r="D831" s="7" t="s">
        <v>212</v>
      </c>
      <c r="E831" s="7" t="s">
        <v>180</v>
      </c>
      <c r="F831" s="6" t="n">
        <v>3.73</v>
      </c>
      <c r="G831" s="6" t="n">
        <v>0</v>
      </c>
      <c r="H831" s="41" t="n">
        <v>16.71</v>
      </c>
      <c r="I831" s="43" t="n">
        <f aca="false">F831*H831</f>
        <v>62.3283</v>
      </c>
      <c r="J831" s="43" t="n">
        <f aca="false">G831*H831*1.5</f>
        <v>0</v>
      </c>
      <c r="K831" s="6" t="n">
        <v>9.5</v>
      </c>
      <c r="L831" s="43" t="n">
        <f aca="false">K831*'Chart of Accounts'!$E$68</f>
        <v>6.365</v>
      </c>
      <c r="O831" s="42" t="n">
        <f aca="false">I831+J831+L831</f>
        <v>68.6933</v>
      </c>
    </row>
    <row r="832" customFormat="false" ht="15" hidden="false" customHeight="false" outlineLevel="0" collapsed="false">
      <c r="B832" s="7" t="s">
        <v>9465</v>
      </c>
      <c r="C832" s="39" t="n">
        <v>45710</v>
      </c>
      <c r="D832" s="7" t="s">
        <v>222</v>
      </c>
      <c r="E832" s="7" t="s">
        <v>180</v>
      </c>
      <c r="F832" s="6" t="n">
        <v>4.18</v>
      </c>
      <c r="G832" s="6" t="n">
        <v>0</v>
      </c>
      <c r="H832" s="41" t="n">
        <v>17.84</v>
      </c>
      <c r="I832" s="43" t="n">
        <f aca="false">F832*H832</f>
        <v>74.5712</v>
      </c>
      <c r="J832" s="43" t="n">
        <f aca="false">G832*H832*1.5</f>
        <v>0</v>
      </c>
      <c r="K832" s="6" t="n">
        <v>11.54</v>
      </c>
      <c r="L832" s="43" t="n">
        <f aca="false">K832*'Chart of Accounts'!$E$68</f>
        <v>7.7318</v>
      </c>
      <c r="O832" s="42" t="n">
        <f aca="false">I832+J832+L832</f>
        <v>82.303</v>
      </c>
    </row>
    <row r="833" customFormat="false" ht="15" hidden="false" customHeight="false" outlineLevel="0" collapsed="false">
      <c r="B833" s="7" t="s">
        <v>9466</v>
      </c>
      <c r="C833" s="39" t="n">
        <v>45710</v>
      </c>
      <c r="D833" s="7" t="s">
        <v>242</v>
      </c>
      <c r="E833" s="7" t="s">
        <v>180</v>
      </c>
      <c r="F833" s="6" t="n">
        <v>3.75</v>
      </c>
      <c r="G833" s="6" t="n">
        <v>0</v>
      </c>
      <c r="H833" s="41" t="n">
        <v>17.99</v>
      </c>
      <c r="I833" s="43" t="n">
        <f aca="false">F833*H833</f>
        <v>67.4625</v>
      </c>
      <c r="J833" s="43" t="n">
        <f aca="false">G833*H833*1.5</f>
        <v>0</v>
      </c>
      <c r="K833" s="6" t="n">
        <v>10.84</v>
      </c>
      <c r="L833" s="43" t="n">
        <f aca="false">K833*'Chart of Accounts'!$E$68</f>
        <v>7.2628</v>
      </c>
      <c r="O833" s="42" t="n">
        <f aca="false">I833+J833+L833</f>
        <v>74.7253</v>
      </c>
    </row>
    <row r="834" customFormat="false" ht="15" hidden="false" customHeight="false" outlineLevel="0" collapsed="false">
      <c r="B834" s="7" t="s">
        <v>9467</v>
      </c>
      <c r="C834" s="39" t="n">
        <v>45710</v>
      </c>
      <c r="D834" s="7" t="s">
        <v>254</v>
      </c>
      <c r="E834" s="7" t="s">
        <v>180</v>
      </c>
      <c r="F834" s="6" t="n">
        <v>3.97</v>
      </c>
      <c r="G834" s="6" t="n">
        <v>0</v>
      </c>
      <c r="H834" s="41" t="n">
        <v>17.1</v>
      </c>
      <c r="I834" s="43" t="n">
        <f aca="false">F834*H834</f>
        <v>67.887</v>
      </c>
      <c r="J834" s="43" t="n">
        <f aca="false">G834*H834*1.5</f>
        <v>0</v>
      </c>
      <c r="K834" s="6" t="n">
        <v>9.53</v>
      </c>
      <c r="L834" s="43" t="n">
        <f aca="false">K834*'Chart of Accounts'!$E$68</f>
        <v>6.3851</v>
      </c>
      <c r="O834" s="42" t="n">
        <f aca="false">I834+J834+L834</f>
        <v>74.2721</v>
      </c>
    </row>
    <row r="835" customFormat="false" ht="15" hidden="false" customHeight="false" outlineLevel="0" collapsed="false">
      <c r="B835" s="7" t="s">
        <v>9468</v>
      </c>
      <c r="C835" s="39" t="n">
        <v>45711</v>
      </c>
      <c r="D835" s="7" t="s">
        <v>191</v>
      </c>
      <c r="E835" s="7" t="s">
        <v>180</v>
      </c>
      <c r="F835" s="6" t="n">
        <v>3.69</v>
      </c>
      <c r="G835" s="6" t="n">
        <v>0</v>
      </c>
      <c r="H835" s="41" t="n">
        <v>16.05</v>
      </c>
      <c r="I835" s="43" t="n">
        <f aca="false">F835*H835</f>
        <v>59.2245</v>
      </c>
      <c r="J835" s="43" t="n">
        <f aca="false">G835*H835*1.5</f>
        <v>0</v>
      </c>
      <c r="K835" s="6" t="n">
        <v>11.76</v>
      </c>
      <c r="L835" s="43" t="n">
        <f aca="false">K835*'Chart of Accounts'!$E$68</f>
        <v>7.8792</v>
      </c>
      <c r="O835" s="42" t="n">
        <f aca="false">I835+J835+L835</f>
        <v>67.1037</v>
      </c>
    </row>
    <row r="836" customFormat="false" ht="15" hidden="false" customHeight="false" outlineLevel="0" collapsed="false">
      <c r="B836" s="7" t="s">
        <v>9469</v>
      </c>
      <c r="C836" s="39" t="n">
        <v>45711</v>
      </c>
      <c r="D836" s="7" t="s">
        <v>218</v>
      </c>
      <c r="E836" s="7" t="s">
        <v>180</v>
      </c>
      <c r="F836" s="6" t="n">
        <v>4.27</v>
      </c>
      <c r="G836" s="6" t="n">
        <v>0</v>
      </c>
      <c r="H836" s="41" t="n">
        <v>16.19</v>
      </c>
      <c r="I836" s="43" t="n">
        <f aca="false">F836*H836</f>
        <v>69.1313</v>
      </c>
      <c r="J836" s="43" t="n">
        <f aca="false">G836*H836*1.5</f>
        <v>0</v>
      </c>
      <c r="K836" s="6" t="n">
        <v>9.76</v>
      </c>
      <c r="L836" s="43" t="n">
        <f aca="false">K836*'Chart of Accounts'!$E$68</f>
        <v>6.5392</v>
      </c>
      <c r="O836" s="42" t="n">
        <f aca="false">I836+J836+L836</f>
        <v>75.6705</v>
      </c>
    </row>
    <row r="837" customFormat="false" ht="15" hidden="false" customHeight="false" outlineLevel="0" collapsed="false">
      <c r="B837" s="7" t="s">
        <v>9470</v>
      </c>
      <c r="C837" s="39" t="n">
        <v>45711</v>
      </c>
      <c r="D837" s="7" t="s">
        <v>212</v>
      </c>
      <c r="E837" s="7" t="s">
        <v>180</v>
      </c>
      <c r="F837" s="6" t="n">
        <v>3.96</v>
      </c>
      <c r="G837" s="6" t="n">
        <v>0</v>
      </c>
      <c r="H837" s="41" t="n">
        <v>16.71</v>
      </c>
      <c r="I837" s="43" t="n">
        <f aca="false">F837*H837</f>
        <v>66.1716</v>
      </c>
      <c r="J837" s="43" t="n">
        <f aca="false">G837*H837*1.5</f>
        <v>0</v>
      </c>
      <c r="K837" s="6" t="n">
        <v>11.11</v>
      </c>
      <c r="L837" s="43" t="n">
        <f aca="false">K837*'Chart of Accounts'!$E$68</f>
        <v>7.4437</v>
      </c>
      <c r="O837" s="42" t="n">
        <f aca="false">I837+J837+L837</f>
        <v>73.6153</v>
      </c>
    </row>
    <row r="838" customFormat="false" ht="15" hidden="false" customHeight="false" outlineLevel="0" collapsed="false">
      <c r="B838" s="7" t="s">
        <v>9471</v>
      </c>
      <c r="C838" s="39" t="n">
        <v>45711</v>
      </c>
      <c r="D838" s="7" t="s">
        <v>222</v>
      </c>
      <c r="E838" s="7" t="s">
        <v>180</v>
      </c>
      <c r="F838" s="6" t="n">
        <v>3.71</v>
      </c>
      <c r="G838" s="6" t="n">
        <v>0</v>
      </c>
      <c r="H838" s="41" t="n">
        <v>17.84</v>
      </c>
      <c r="I838" s="43" t="n">
        <f aca="false">F838*H838</f>
        <v>66.1864</v>
      </c>
      <c r="J838" s="43" t="n">
        <f aca="false">G838*H838*1.5</f>
        <v>0</v>
      </c>
      <c r="K838" s="6" t="n">
        <v>13.1</v>
      </c>
      <c r="L838" s="43" t="n">
        <f aca="false">K838*'Chart of Accounts'!$E$68</f>
        <v>8.777</v>
      </c>
      <c r="O838" s="42" t="n">
        <f aca="false">I838+J838+L838</f>
        <v>74.9634</v>
      </c>
    </row>
    <row r="839" customFormat="false" ht="15" hidden="false" customHeight="false" outlineLevel="0" collapsed="false">
      <c r="B839" s="7" t="s">
        <v>9472</v>
      </c>
      <c r="C839" s="39" t="n">
        <v>45711</v>
      </c>
      <c r="D839" s="7" t="s">
        <v>242</v>
      </c>
      <c r="E839" s="7" t="s">
        <v>180</v>
      </c>
      <c r="F839" s="6" t="n">
        <v>3.64</v>
      </c>
      <c r="G839" s="6" t="n">
        <v>0</v>
      </c>
      <c r="H839" s="41" t="n">
        <v>17.99</v>
      </c>
      <c r="I839" s="43" t="n">
        <f aca="false">F839*H839</f>
        <v>65.4836</v>
      </c>
      <c r="J839" s="43" t="n">
        <f aca="false">G839*H839*1.5</f>
        <v>0</v>
      </c>
      <c r="K839" s="6" t="n">
        <v>12.14</v>
      </c>
      <c r="L839" s="43" t="n">
        <f aca="false">K839*'Chart of Accounts'!$E$68</f>
        <v>8.1338</v>
      </c>
      <c r="O839" s="42" t="n">
        <f aca="false">I839+J839+L839</f>
        <v>73.6174</v>
      </c>
    </row>
    <row r="840" customFormat="false" ht="15" hidden="false" customHeight="false" outlineLevel="0" collapsed="false">
      <c r="B840" s="7" t="s">
        <v>9473</v>
      </c>
      <c r="C840" s="39" t="n">
        <v>45711</v>
      </c>
      <c r="D840" s="7" t="s">
        <v>254</v>
      </c>
      <c r="E840" s="7" t="s">
        <v>180</v>
      </c>
      <c r="F840" s="6" t="n">
        <v>3.99</v>
      </c>
      <c r="G840" s="6" t="n">
        <v>0</v>
      </c>
      <c r="H840" s="41" t="n">
        <v>17.1</v>
      </c>
      <c r="I840" s="43" t="n">
        <f aca="false">F840*H840</f>
        <v>68.229</v>
      </c>
      <c r="J840" s="43" t="n">
        <f aca="false">G840*H840*1.5</f>
        <v>0</v>
      </c>
      <c r="K840" s="6" t="n">
        <v>10.27</v>
      </c>
      <c r="L840" s="43" t="n">
        <f aca="false">K840*'Chart of Accounts'!$E$68</f>
        <v>6.8809</v>
      </c>
      <c r="O840" s="42" t="n">
        <f aca="false">I840+J840+L840</f>
        <v>75.1099</v>
      </c>
    </row>
    <row r="841" customFormat="false" ht="15" hidden="false" customHeight="false" outlineLevel="0" collapsed="false">
      <c r="B841" s="7" t="s">
        <v>9474</v>
      </c>
      <c r="C841" s="39" t="n">
        <v>45712</v>
      </c>
      <c r="D841" s="7" t="s">
        <v>187</v>
      </c>
      <c r="E841" s="7" t="s">
        <v>158</v>
      </c>
      <c r="H841" s="41" t="n">
        <v>66.48</v>
      </c>
      <c r="M841" s="6" t="n">
        <v>1</v>
      </c>
      <c r="N841" s="43" t="n">
        <f aca="false">M841*H841</f>
        <v>66.48</v>
      </c>
      <c r="O841" s="42" t="n">
        <f aca="false">N841</f>
        <v>66.48</v>
      </c>
    </row>
    <row r="842" customFormat="false" ht="15" hidden="false" customHeight="false" outlineLevel="0" collapsed="false">
      <c r="B842" s="7" t="s">
        <v>9475</v>
      </c>
      <c r="C842" s="39" t="n">
        <v>45712</v>
      </c>
      <c r="D842" s="7" t="s">
        <v>191</v>
      </c>
      <c r="E842" s="7" t="s">
        <v>180</v>
      </c>
      <c r="F842" s="6" t="n">
        <v>3.7</v>
      </c>
      <c r="G842" s="6" t="n">
        <v>0</v>
      </c>
      <c r="H842" s="41" t="n">
        <v>16.05</v>
      </c>
      <c r="I842" s="43" t="n">
        <f aca="false">F842*H842</f>
        <v>59.385</v>
      </c>
      <c r="J842" s="43" t="n">
        <f aca="false">G842*H842*1.5</f>
        <v>0</v>
      </c>
      <c r="K842" s="6" t="n">
        <v>11.1</v>
      </c>
      <c r="L842" s="43" t="n">
        <f aca="false">K842*'Chart of Accounts'!$E$68</f>
        <v>7.437</v>
      </c>
      <c r="O842" s="42" t="n">
        <f aca="false">I842+J842+L842</f>
        <v>66.822</v>
      </c>
    </row>
    <row r="843" customFormat="false" ht="15" hidden="false" customHeight="false" outlineLevel="0" collapsed="false">
      <c r="B843" s="7" t="s">
        <v>9476</v>
      </c>
      <c r="C843" s="39" t="n">
        <v>45712</v>
      </c>
      <c r="D843" s="7" t="s">
        <v>194</v>
      </c>
      <c r="E843" s="7" t="s">
        <v>180</v>
      </c>
      <c r="F843" s="6" t="n">
        <v>5.02</v>
      </c>
      <c r="G843" s="6" t="n">
        <v>0</v>
      </c>
      <c r="H843" s="41" t="n">
        <v>16</v>
      </c>
      <c r="I843" s="43" t="n">
        <f aca="false">F843*H843</f>
        <v>80.32</v>
      </c>
      <c r="J843" s="43" t="n">
        <f aca="false">G843*H843*1.5</f>
        <v>0</v>
      </c>
      <c r="K843" s="6" t="n">
        <v>15.42</v>
      </c>
      <c r="L843" s="43" t="n">
        <f aca="false">K843*'Chart of Accounts'!$E$68</f>
        <v>10.3314</v>
      </c>
      <c r="O843" s="42" t="n">
        <f aca="false">I843+J843+L843</f>
        <v>90.6514</v>
      </c>
    </row>
    <row r="844" customFormat="false" ht="15" hidden="false" customHeight="false" outlineLevel="0" collapsed="false">
      <c r="B844" s="7" t="s">
        <v>9477</v>
      </c>
      <c r="C844" s="39" t="n">
        <v>45712</v>
      </c>
      <c r="D844" s="7" t="s">
        <v>201</v>
      </c>
      <c r="E844" s="7" t="s">
        <v>180</v>
      </c>
      <c r="F844" s="6" t="n">
        <v>6.85</v>
      </c>
      <c r="G844" s="6" t="n">
        <v>0</v>
      </c>
      <c r="H844" s="41" t="n">
        <v>15.19</v>
      </c>
      <c r="I844" s="43" t="n">
        <f aca="false">F844*H844</f>
        <v>104.0515</v>
      </c>
      <c r="J844" s="43" t="n">
        <f aca="false">G844*H844*1.5</f>
        <v>0</v>
      </c>
      <c r="K844" s="6" t="n">
        <v>18</v>
      </c>
      <c r="L844" s="43" t="n">
        <f aca="false">K844*'Chart of Accounts'!$E$68</f>
        <v>12.06</v>
      </c>
      <c r="O844" s="42" t="n">
        <f aca="false">I844+J844+L844</f>
        <v>116.1115</v>
      </c>
    </row>
    <row r="845" customFormat="false" ht="15" hidden="false" customHeight="false" outlineLevel="0" collapsed="false">
      <c r="B845" s="7" t="s">
        <v>9478</v>
      </c>
      <c r="C845" s="39" t="n">
        <v>45712</v>
      </c>
      <c r="D845" s="7" t="s">
        <v>205</v>
      </c>
      <c r="E845" s="7" t="s">
        <v>180</v>
      </c>
      <c r="F845" s="6" t="n">
        <v>3.82</v>
      </c>
      <c r="G845" s="6" t="n">
        <v>0</v>
      </c>
      <c r="H845" s="41" t="n">
        <v>16.36</v>
      </c>
      <c r="I845" s="43" t="n">
        <f aca="false">F845*H845</f>
        <v>62.4952</v>
      </c>
      <c r="J845" s="43" t="n">
        <f aca="false">G845*H845*1.5</f>
        <v>0</v>
      </c>
      <c r="K845" s="6" t="n">
        <v>9.64</v>
      </c>
      <c r="L845" s="43" t="n">
        <f aca="false">K845*'Chart of Accounts'!$E$68</f>
        <v>6.4588</v>
      </c>
      <c r="O845" s="42" t="n">
        <f aca="false">I845+J845+L845</f>
        <v>68.954</v>
      </c>
    </row>
    <row r="846" customFormat="false" ht="15" hidden="false" customHeight="false" outlineLevel="0" collapsed="false">
      <c r="B846" s="7" t="s">
        <v>9479</v>
      </c>
      <c r="C846" s="39" t="n">
        <v>45712</v>
      </c>
      <c r="D846" s="7" t="s">
        <v>252</v>
      </c>
      <c r="E846" s="7" t="s">
        <v>158</v>
      </c>
      <c r="H846" s="41" t="n">
        <v>57.54</v>
      </c>
      <c r="M846" s="6" t="n">
        <v>1</v>
      </c>
      <c r="N846" s="43" t="n">
        <f aca="false">M846*H846</f>
        <v>57.54</v>
      </c>
      <c r="O846" s="42" t="n">
        <f aca="false">N846</f>
        <v>57.54</v>
      </c>
    </row>
    <row r="847" customFormat="false" ht="15" hidden="false" customHeight="false" outlineLevel="0" collapsed="false">
      <c r="B847" s="7" t="s">
        <v>9480</v>
      </c>
      <c r="C847" s="39" t="n">
        <v>45712</v>
      </c>
      <c r="D847" s="7" t="s">
        <v>196</v>
      </c>
      <c r="E847" s="7" t="s">
        <v>180</v>
      </c>
      <c r="F847" s="6" t="n">
        <v>5.99</v>
      </c>
      <c r="G847" s="6" t="n">
        <v>0</v>
      </c>
      <c r="H847" s="41" t="n">
        <v>15.05</v>
      </c>
      <c r="I847" s="43" t="n">
        <f aca="false">F847*H847</f>
        <v>90.1495</v>
      </c>
      <c r="J847" s="43" t="n">
        <f aca="false">G847*H847*1.5</f>
        <v>0</v>
      </c>
      <c r="K847" s="6" t="n">
        <v>18</v>
      </c>
      <c r="L847" s="43" t="n">
        <f aca="false">K847*'Chart of Accounts'!$E$68</f>
        <v>12.06</v>
      </c>
      <c r="O847" s="42" t="n">
        <f aca="false">I847+J847+L847</f>
        <v>102.2095</v>
      </c>
    </row>
    <row r="848" customFormat="false" ht="15" hidden="false" customHeight="false" outlineLevel="0" collapsed="false">
      <c r="B848" s="7" t="s">
        <v>9481</v>
      </c>
      <c r="C848" s="39" t="n">
        <v>45712</v>
      </c>
      <c r="D848" s="7" t="s">
        <v>184</v>
      </c>
      <c r="E848" s="7" t="s">
        <v>180</v>
      </c>
      <c r="F848" s="6" t="n">
        <v>4.16</v>
      </c>
      <c r="G848" s="6" t="n">
        <v>0</v>
      </c>
      <c r="H848" s="41" t="n">
        <v>17.34</v>
      </c>
      <c r="I848" s="43" t="n">
        <f aca="false">F848*H848</f>
        <v>72.1344</v>
      </c>
      <c r="J848" s="43" t="n">
        <f aca="false">G848*H848*1.5</f>
        <v>0</v>
      </c>
      <c r="K848" s="6" t="n">
        <v>12.57</v>
      </c>
      <c r="L848" s="43" t="n">
        <f aca="false">K848*'Chart of Accounts'!$E$68</f>
        <v>8.4219</v>
      </c>
      <c r="O848" s="42" t="n">
        <f aca="false">I848+J848+L848</f>
        <v>80.5563</v>
      </c>
    </row>
    <row r="849" customFormat="false" ht="15" hidden="false" customHeight="false" outlineLevel="0" collapsed="false">
      <c r="B849" s="7" t="s">
        <v>9482</v>
      </c>
      <c r="C849" s="39" t="n">
        <v>45712</v>
      </c>
      <c r="D849" s="7" t="s">
        <v>207</v>
      </c>
      <c r="E849" s="7" t="s">
        <v>180</v>
      </c>
      <c r="F849" s="6" t="n">
        <v>6.76</v>
      </c>
      <c r="G849" s="6" t="n">
        <v>0</v>
      </c>
      <c r="H849" s="41" t="n">
        <v>16.65</v>
      </c>
      <c r="I849" s="43" t="n">
        <f aca="false">F849*H849</f>
        <v>112.554</v>
      </c>
      <c r="J849" s="43" t="n">
        <f aca="false">G849*H849*1.5</f>
        <v>0</v>
      </c>
      <c r="K849" s="6" t="n">
        <v>17.5</v>
      </c>
      <c r="L849" s="43" t="n">
        <f aca="false">K849*'Chart of Accounts'!$E$68</f>
        <v>11.725</v>
      </c>
      <c r="O849" s="42" t="n">
        <f aca="false">I849+J849+L849</f>
        <v>124.279</v>
      </c>
    </row>
    <row r="850" customFormat="false" ht="15" hidden="false" customHeight="false" outlineLevel="0" collapsed="false">
      <c r="B850" s="7" t="s">
        <v>9483</v>
      </c>
      <c r="C850" s="39" t="n">
        <v>45712</v>
      </c>
      <c r="D850" s="7" t="s">
        <v>218</v>
      </c>
      <c r="E850" s="7" t="s">
        <v>180</v>
      </c>
      <c r="F850" s="6" t="n">
        <v>4.1</v>
      </c>
      <c r="G850" s="6" t="n">
        <v>0</v>
      </c>
      <c r="H850" s="41" t="n">
        <v>16.19</v>
      </c>
      <c r="I850" s="43" t="n">
        <f aca="false">F850*H850</f>
        <v>66.379</v>
      </c>
      <c r="J850" s="43" t="n">
        <f aca="false">G850*H850*1.5</f>
        <v>0</v>
      </c>
      <c r="K850" s="6" t="n">
        <v>13.92</v>
      </c>
      <c r="L850" s="43" t="n">
        <f aca="false">K850*'Chart of Accounts'!$E$68</f>
        <v>9.3264</v>
      </c>
      <c r="O850" s="42" t="n">
        <f aca="false">I850+J850+L850</f>
        <v>75.7054</v>
      </c>
    </row>
    <row r="851" customFormat="false" ht="15" hidden="false" customHeight="false" outlineLevel="0" collapsed="false">
      <c r="B851" s="7" t="s">
        <v>9484</v>
      </c>
      <c r="C851" s="39" t="n">
        <v>45712</v>
      </c>
      <c r="D851" s="7" t="s">
        <v>212</v>
      </c>
      <c r="E851" s="7" t="s">
        <v>180</v>
      </c>
      <c r="F851" s="6" t="n">
        <v>6.78</v>
      </c>
      <c r="G851" s="6" t="n">
        <v>0</v>
      </c>
      <c r="H851" s="41" t="n">
        <v>16.71</v>
      </c>
      <c r="I851" s="43" t="n">
        <f aca="false">F851*H851</f>
        <v>113.2938</v>
      </c>
      <c r="J851" s="43" t="n">
        <f aca="false">G851*H851*1.5</f>
        <v>0</v>
      </c>
      <c r="K851" s="6" t="n">
        <v>21.93</v>
      </c>
      <c r="L851" s="43" t="n">
        <f aca="false">K851*'Chart of Accounts'!$E$68</f>
        <v>14.6931</v>
      </c>
      <c r="O851" s="42" t="n">
        <f aca="false">I851+J851+L851</f>
        <v>127.9869</v>
      </c>
    </row>
    <row r="852" customFormat="false" ht="15" hidden="false" customHeight="false" outlineLevel="0" collapsed="false">
      <c r="B852" s="7" t="s">
        <v>9485</v>
      </c>
      <c r="C852" s="39" t="n">
        <v>45712</v>
      </c>
      <c r="D852" s="7" t="s">
        <v>220</v>
      </c>
      <c r="E852" s="7" t="s">
        <v>180</v>
      </c>
      <c r="F852" s="6" t="n">
        <v>4.37</v>
      </c>
      <c r="G852" s="6" t="n">
        <v>0</v>
      </c>
      <c r="H852" s="41" t="n">
        <v>16.43</v>
      </c>
      <c r="I852" s="43" t="n">
        <f aca="false">F852*H852</f>
        <v>71.7991</v>
      </c>
      <c r="J852" s="43" t="n">
        <f aca="false">G852*H852*1.5</f>
        <v>0</v>
      </c>
      <c r="K852" s="6" t="n">
        <v>13.72</v>
      </c>
      <c r="L852" s="43" t="n">
        <f aca="false">K852*'Chart of Accounts'!$E$68</f>
        <v>9.1924</v>
      </c>
      <c r="O852" s="42" t="n">
        <f aca="false">I852+J852+L852</f>
        <v>80.9915</v>
      </c>
    </row>
    <row r="853" customFormat="false" ht="15" hidden="false" customHeight="false" outlineLevel="0" collapsed="false">
      <c r="B853" s="7" t="s">
        <v>9486</v>
      </c>
      <c r="C853" s="39" t="n">
        <v>45712</v>
      </c>
      <c r="D853" s="7" t="s">
        <v>224</v>
      </c>
      <c r="E853" s="7" t="s">
        <v>180</v>
      </c>
      <c r="F853" s="6" t="n">
        <v>8.35</v>
      </c>
      <c r="G853" s="6" t="n">
        <v>0</v>
      </c>
      <c r="H853" s="41" t="n">
        <v>14.93</v>
      </c>
      <c r="I853" s="43" t="n">
        <f aca="false">F853*H853</f>
        <v>124.6655</v>
      </c>
      <c r="J853" s="43" t="n">
        <f aca="false">G853*H853*1.5</f>
        <v>0</v>
      </c>
      <c r="K853" s="6" t="n">
        <v>28.48</v>
      </c>
      <c r="L853" s="43" t="n">
        <f aca="false">K853*'Chart of Accounts'!$E$68</f>
        <v>19.0816</v>
      </c>
      <c r="O853" s="42" t="n">
        <f aca="false">I853+J853+L853</f>
        <v>143.7471</v>
      </c>
    </row>
    <row r="854" customFormat="false" ht="15" hidden="false" customHeight="false" outlineLevel="0" collapsed="false">
      <c r="B854" s="7" t="s">
        <v>9487</v>
      </c>
      <c r="C854" s="39" t="n">
        <v>45712</v>
      </c>
      <c r="D854" s="7" t="s">
        <v>177</v>
      </c>
      <c r="E854" s="7" t="s">
        <v>180</v>
      </c>
      <c r="F854" s="6" t="n">
        <v>8.66</v>
      </c>
      <c r="G854" s="6" t="n">
        <v>0</v>
      </c>
      <c r="H854" s="41" t="n">
        <v>14.56</v>
      </c>
      <c r="I854" s="43" t="n">
        <f aca="false">F854*H854</f>
        <v>126.0896</v>
      </c>
      <c r="J854" s="43" t="n">
        <f aca="false">G854*H854*1.5</f>
        <v>0</v>
      </c>
      <c r="K854" s="6" t="n">
        <v>28.64</v>
      </c>
      <c r="L854" s="43" t="n">
        <f aca="false">K854*'Chart of Accounts'!$E$68</f>
        <v>19.1888</v>
      </c>
      <c r="O854" s="42" t="n">
        <f aca="false">I854+J854+L854</f>
        <v>145.2784</v>
      </c>
    </row>
    <row r="855" customFormat="false" ht="15" hidden="false" customHeight="false" outlineLevel="0" collapsed="false">
      <c r="B855" s="7" t="s">
        <v>9488</v>
      </c>
      <c r="C855" s="39" t="n">
        <v>45712</v>
      </c>
      <c r="D855" s="7" t="s">
        <v>232</v>
      </c>
      <c r="E855" s="7" t="s">
        <v>180</v>
      </c>
      <c r="F855" s="6" t="n">
        <v>7.37</v>
      </c>
      <c r="G855" s="6" t="n">
        <v>0</v>
      </c>
      <c r="H855" s="41" t="n">
        <v>16.17</v>
      </c>
      <c r="I855" s="43" t="n">
        <f aca="false">F855*H855</f>
        <v>119.1729</v>
      </c>
      <c r="J855" s="43" t="n">
        <f aca="false">G855*H855*1.5</f>
        <v>0</v>
      </c>
      <c r="K855" s="6" t="n">
        <v>23.32</v>
      </c>
      <c r="L855" s="43" t="n">
        <f aca="false">K855*'Chart of Accounts'!$E$68</f>
        <v>15.6244</v>
      </c>
      <c r="O855" s="42" t="n">
        <f aca="false">I855+J855+L855</f>
        <v>134.7973</v>
      </c>
    </row>
    <row r="856" customFormat="false" ht="15" hidden="false" customHeight="false" outlineLevel="0" collapsed="false">
      <c r="B856" s="7" t="s">
        <v>9489</v>
      </c>
      <c r="C856" s="39" t="n">
        <v>45712</v>
      </c>
      <c r="D856" s="7" t="s">
        <v>242</v>
      </c>
      <c r="E856" s="7" t="s">
        <v>180</v>
      </c>
      <c r="F856" s="6" t="n">
        <v>7.35</v>
      </c>
      <c r="G856" s="6" t="n">
        <v>0</v>
      </c>
      <c r="H856" s="41" t="n">
        <v>17.99</v>
      </c>
      <c r="I856" s="43" t="n">
        <f aca="false">F856*H856</f>
        <v>132.2265</v>
      </c>
      <c r="J856" s="43" t="n">
        <f aca="false">G856*H856*1.5</f>
        <v>0</v>
      </c>
      <c r="K856" s="6" t="n">
        <v>17.97</v>
      </c>
      <c r="L856" s="43" t="n">
        <f aca="false">K856*'Chart of Accounts'!$E$68</f>
        <v>12.0399</v>
      </c>
      <c r="O856" s="42" t="n">
        <f aca="false">I856+J856+L856</f>
        <v>144.2664</v>
      </c>
    </row>
    <row r="857" customFormat="false" ht="15" hidden="false" customHeight="false" outlineLevel="0" collapsed="false">
      <c r="B857" s="7" t="s">
        <v>9490</v>
      </c>
      <c r="C857" s="39" t="n">
        <v>45712</v>
      </c>
      <c r="D857" s="7" t="s">
        <v>222</v>
      </c>
      <c r="E857" s="7" t="s">
        <v>180</v>
      </c>
      <c r="F857" s="6" t="n">
        <v>7.31</v>
      </c>
      <c r="G857" s="6" t="n">
        <v>0</v>
      </c>
      <c r="H857" s="41" t="n">
        <v>17.84</v>
      </c>
      <c r="I857" s="43" t="n">
        <f aca="false">F857*H857</f>
        <v>130.4104</v>
      </c>
      <c r="J857" s="43" t="n">
        <f aca="false">G857*H857*1.5</f>
        <v>0</v>
      </c>
      <c r="K857" s="6" t="n">
        <v>20.88</v>
      </c>
      <c r="L857" s="43" t="n">
        <f aca="false">K857*'Chart of Accounts'!$E$68</f>
        <v>13.9896</v>
      </c>
      <c r="O857" s="42" t="n">
        <f aca="false">I857+J857+L857</f>
        <v>144.4</v>
      </c>
    </row>
    <row r="858" customFormat="false" ht="15" hidden="false" customHeight="false" outlineLevel="0" collapsed="false">
      <c r="B858" s="7" t="s">
        <v>9491</v>
      </c>
      <c r="C858" s="39" t="n">
        <v>45712</v>
      </c>
      <c r="D858" s="7" t="s">
        <v>262</v>
      </c>
      <c r="E858" s="7" t="s">
        <v>180</v>
      </c>
      <c r="F858" s="6" t="n">
        <v>7.5</v>
      </c>
      <c r="G858" s="6" t="n">
        <v>0</v>
      </c>
      <c r="H858" s="41" t="n">
        <v>16.02</v>
      </c>
      <c r="I858" s="43" t="n">
        <f aca="false">F858*H858</f>
        <v>120.15</v>
      </c>
      <c r="J858" s="43" t="n">
        <f aca="false">G858*H858*1.5</f>
        <v>0</v>
      </c>
      <c r="K858" s="6" t="n">
        <v>23.79</v>
      </c>
      <c r="L858" s="43" t="n">
        <f aca="false">K858*'Chart of Accounts'!$E$68</f>
        <v>15.9393</v>
      </c>
      <c r="O858" s="42" t="n">
        <f aca="false">I858+J858+L858</f>
        <v>136.0893</v>
      </c>
    </row>
    <row r="859" customFormat="false" ht="15" hidden="false" customHeight="false" outlineLevel="0" collapsed="false">
      <c r="B859" s="7" t="s">
        <v>9492</v>
      </c>
      <c r="C859" s="39" t="n">
        <v>45712</v>
      </c>
      <c r="D859" s="7" t="s">
        <v>254</v>
      </c>
      <c r="E859" s="7" t="s">
        <v>180</v>
      </c>
      <c r="F859" s="6" t="n">
        <v>7.48</v>
      </c>
      <c r="G859" s="6" t="n">
        <v>0</v>
      </c>
      <c r="H859" s="41" t="n">
        <v>17.1</v>
      </c>
      <c r="I859" s="43" t="n">
        <f aca="false">F859*H859</f>
        <v>127.908</v>
      </c>
      <c r="J859" s="43" t="n">
        <f aca="false">G859*H859*1.5</f>
        <v>0</v>
      </c>
      <c r="K859" s="6" t="n">
        <v>19.96</v>
      </c>
      <c r="L859" s="43" t="n">
        <f aca="false">K859*'Chart of Accounts'!$E$68</f>
        <v>13.3732</v>
      </c>
      <c r="O859" s="42" t="n">
        <f aca="false">I859+J859+L859</f>
        <v>141.2812</v>
      </c>
    </row>
    <row r="860" customFormat="false" ht="15" hidden="false" customHeight="false" outlineLevel="0" collapsed="false">
      <c r="B860" s="7" t="s">
        <v>9493</v>
      </c>
      <c r="C860" s="39" t="n">
        <v>45712</v>
      </c>
      <c r="D860" s="7" t="s">
        <v>246</v>
      </c>
      <c r="E860" s="7" t="s">
        <v>180</v>
      </c>
      <c r="F860" s="6" t="n">
        <v>8.09</v>
      </c>
      <c r="G860" s="6" t="n">
        <v>0</v>
      </c>
      <c r="H860" s="41" t="n">
        <v>16.48</v>
      </c>
      <c r="I860" s="43" t="n">
        <f aca="false">F860*H860</f>
        <v>133.3232</v>
      </c>
      <c r="J860" s="43" t="n">
        <f aca="false">G860*H860*1.5</f>
        <v>0</v>
      </c>
      <c r="K860" s="6" t="n">
        <v>20.04</v>
      </c>
      <c r="L860" s="43" t="n">
        <f aca="false">K860*'Chart of Accounts'!$E$68</f>
        <v>13.4268</v>
      </c>
      <c r="O860" s="42" t="n">
        <f aca="false">I860+J860+L860</f>
        <v>146.75</v>
      </c>
    </row>
    <row r="861" customFormat="false" ht="15" hidden="false" customHeight="false" outlineLevel="0" collapsed="false">
      <c r="B861" s="7" t="s">
        <v>9494</v>
      </c>
      <c r="C861" s="39" t="n">
        <v>45712</v>
      </c>
      <c r="D861" s="7" t="s">
        <v>214</v>
      </c>
      <c r="E861" s="7" t="s">
        <v>180</v>
      </c>
      <c r="F861" s="6" t="n">
        <v>7.37</v>
      </c>
      <c r="G861" s="6" t="n">
        <v>0</v>
      </c>
      <c r="H861" s="41" t="n">
        <v>15.67</v>
      </c>
      <c r="I861" s="43" t="n">
        <f aca="false">F861*H861</f>
        <v>115.4879</v>
      </c>
      <c r="J861" s="43" t="n">
        <f aca="false">G861*H861*1.5</f>
        <v>0</v>
      </c>
      <c r="K861" s="6" t="n">
        <v>24.75</v>
      </c>
      <c r="L861" s="43" t="n">
        <f aca="false">K861*'Chart of Accounts'!$E$68</f>
        <v>16.5825</v>
      </c>
      <c r="O861" s="42" t="n">
        <f aca="false">I861+J861+L861</f>
        <v>132.0704</v>
      </c>
    </row>
    <row r="862" customFormat="false" ht="15" hidden="false" customHeight="false" outlineLevel="0" collapsed="false">
      <c r="B862" s="7" t="s">
        <v>9495</v>
      </c>
      <c r="C862" s="39" t="n">
        <v>45713</v>
      </c>
      <c r="D862" s="7" t="s">
        <v>191</v>
      </c>
      <c r="E862" s="7" t="s">
        <v>180</v>
      </c>
      <c r="F862" s="6" t="n">
        <v>4.05</v>
      </c>
      <c r="G862" s="6" t="n">
        <v>0</v>
      </c>
      <c r="H862" s="41" t="n">
        <v>16.05</v>
      </c>
      <c r="I862" s="43" t="n">
        <f aca="false">F862*H862</f>
        <v>65.0025</v>
      </c>
      <c r="J862" s="43" t="n">
        <f aca="false">G862*H862*1.5</f>
        <v>0</v>
      </c>
      <c r="K862" s="6" t="n">
        <v>13.59</v>
      </c>
      <c r="L862" s="43" t="n">
        <f aca="false">K862*'Chart of Accounts'!$E$68</f>
        <v>9.1053</v>
      </c>
      <c r="O862" s="42" t="n">
        <f aca="false">I862+J862+L862</f>
        <v>74.1078</v>
      </c>
    </row>
    <row r="863" customFormat="false" ht="15" hidden="false" customHeight="false" outlineLevel="0" collapsed="false">
      <c r="B863" s="7" t="s">
        <v>9496</v>
      </c>
      <c r="C863" s="39" t="n">
        <v>45713</v>
      </c>
      <c r="D863" s="7" t="s">
        <v>209</v>
      </c>
      <c r="E863" s="7" t="s">
        <v>158</v>
      </c>
      <c r="H863" s="41" t="n">
        <v>73.58</v>
      </c>
      <c r="M863" s="6" t="n">
        <v>2</v>
      </c>
      <c r="N863" s="43" t="n">
        <f aca="false">M863*H863</f>
        <v>147.16</v>
      </c>
      <c r="O863" s="42" t="n">
        <f aca="false">N863</f>
        <v>147.16</v>
      </c>
    </row>
    <row r="864" customFormat="false" ht="15" hidden="false" customHeight="false" outlineLevel="0" collapsed="false">
      <c r="B864" s="7" t="s">
        <v>9497</v>
      </c>
      <c r="C864" s="39" t="n">
        <v>45713</v>
      </c>
      <c r="D864" s="7" t="s">
        <v>184</v>
      </c>
      <c r="E864" s="7" t="s">
        <v>180</v>
      </c>
      <c r="F864" s="6" t="n">
        <v>3.72</v>
      </c>
      <c r="G864" s="6" t="n">
        <v>0</v>
      </c>
      <c r="H864" s="41" t="n">
        <v>17.34</v>
      </c>
      <c r="I864" s="43" t="n">
        <f aca="false">F864*H864</f>
        <v>64.5048</v>
      </c>
      <c r="J864" s="43" t="n">
        <f aca="false">G864*H864*1.5</f>
        <v>0</v>
      </c>
      <c r="K864" s="6" t="n">
        <v>8.7</v>
      </c>
      <c r="L864" s="43" t="n">
        <f aca="false">K864*'Chart of Accounts'!$E$68</f>
        <v>5.829</v>
      </c>
      <c r="O864" s="42" t="n">
        <f aca="false">I864+J864+L864</f>
        <v>70.3338</v>
      </c>
    </row>
    <row r="865" customFormat="false" ht="15" hidden="false" customHeight="false" outlineLevel="0" collapsed="false">
      <c r="B865" s="7" t="s">
        <v>9498</v>
      </c>
      <c r="C865" s="39" t="n">
        <v>45713</v>
      </c>
      <c r="D865" s="7" t="s">
        <v>234</v>
      </c>
      <c r="E865" s="7" t="s">
        <v>158</v>
      </c>
      <c r="H865" s="41" t="n">
        <v>89.53</v>
      </c>
      <c r="M865" s="6" t="n">
        <v>2</v>
      </c>
      <c r="N865" s="43" t="n">
        <f aca="false">M865*H865</f>
        <v>179.06</v>
      </c>
      <c r="O865" s="42" t="n">
        <f aca="false">N865</f>
        <v>179.06</v>
      </c>
    </row>
    <row r="866" customFormat="false" ht="15" hidden="false" customHeight="false" outlineLevel="0" collapsed="false">
      <c r="B866" s="7" t="s">
        <v>9499</v>
      </c>
      <c r="C866" s="39" t="n">
        <v>45713</v>
      </c>
      <c r="D866" s="7" t="s">
        <v>218</v>
      </c>
      <c r="E866" s="7" t="s">
        <v>180</v>
      </c>
      <c r="F866" s="6" t="n">
        <v>4.13</v>
      </c>
      <c r="G866" s="6" t="n">
        <v>0</v>
      </c>
      <c r="H866" s="41" t="n">
        <v>16.19</v>
      </c>
      <c r="I866" s="43" t="n">
        <f aca="false">F866*H866</f>
        <v>66.8647</v>
      </c>
      <c r="J866" s="43" t="n">
        <f aca="false">G866*H866*1.5</f>
        <v>0</v>
      </c>
      <c r="K866" s="6" t="n">
        <v>10.37</v>
      </c>
      <c r="L866" s="43" t="n">
        <f aca="false">K866*'Chart of Accounts'!$E$68</f>
        <v>6.9479</v>
      </c>
      <c r="O866" s="42" t="n">
        <f aca="false">I866+J866+L866</f>
        <v>73.8126</v>
      </c>
    </row>
    <row r="867" customFormat="false" ht="15" hidden="false" customHeight="false" outlineLevel="0" collapsed="false">
      <c r="B867" s="7" t="s">
        <v>9500</v>
      </c>
      <c r="C867" s="39" t="n">
        <v>45713</v>
      </c>
      <c r="D867" s="7" t="s">
        <v>266</v>
      </c>
      <c r="E867" s="7" t="s">
        <v>158</v>
      </c>
      <c r="H867" s="41" t="n">
        <v>75.18</v>
      </c>
      <c r="M867" s="6" t="n">
        <v>1</v>
      </c>
      <c r="N867" s="43" t="n">
        <f aca="false">M867*H867</f>
        <v>75.18</v>
      </c>
      <c r="O867" s="42" t="n">
        <f aca="false">N867</f>
        <v>75.18</v>
      </c>
    </row>
    <row r="868" customFormat="false" ht="15" hidden="false" customHeight="false" outlineLevel="0" collapsed="false">
      <c r="B868" s="7" t="s">
        <v>9501</v>
      </c>
      <c r="C868" s="39" t="n">
        <v>45713</v>
      </c>
      <c r="D868" s="7" t="s">
        <v>228</v>
      </c>
      <c r="E868" s="7" t="s">
        <v>158</v>
      </c>
      <c r="H868" s="41" t="n">
        <v>51.07</v>
      </c>
      <c r="M868" s="6" t="n">
        <v>1</v>
      </c>
      <c r="N868" s="43" t="n">
        <f aca="false">M868*H868</f>
        <v>51.07</v>
      </c>
      <c r="O868" s="42" t="n">
        <f aca="false">N868</f>
        <v>51.07</v>
      </c>
    </row>
    <row r="869" customFormat="false" ht="15" hidden="false" customHeight="false" outlineLevel="0" collapsed="false">
      <c r="B869" s="7" t="s">
        <v>9502</v>
      </c>
      <c r="C869" s="39" t="n">
        <v>45713</v>
      </c>
      <c r="D869" s="7" t="s">
        <v>220</v>
      </c>
      <c r="E869" s="7" t="s">
        <v>180</v>
      </c>
      <c r="F869" s="6" t="n">
        <v>4</v>
      </c>
      <c r="G869" s="6" t="n">
        <v>0</v>
      </c>
      <c r="H869" s="41" t="n">
        <v>16.43</v>
      </c>
      <c r="I869" s="43" t="n">
        <f aca="false">F869*H869</f>
        <v>65.72</v>
      </c>
      <c r="J869" s="43" t="n">
        <f aca="false">G869*H869*1.5</f>
        <v>0</v>
      </c>
      <c r="K869" s="6" t="n">
        <v>8.91</v>
      </c>
      <c r="L869" s="43" t="n">
        <f aca="false">K869*'Chart of Accounts'!$E$68</f>
        <v>5.9697</v>
      </c>
      <c r="O869" s="42" t="n">
        <f aca="false">I869+J869+L869</f>
        <v>71.6897</v>
      </c>
    </row>
    <row r="870" customFormat="false" ht="15" hidden="false" customHeight="false" outlineLevel="0" collapsed="false">
      <c r="B870" s="7" t="s">
        <v>9503</v>
      </c>
      <c r="C870" s="39" t="n">
        <v>45713</v>
      </c>
      <c r="D870" s="7" t="s">
        <v>212</v>
      </c>
      <c r="E870" s="7" t="s">
        <v>180</v>
      </c>
      <c r="F870" s="6" t="n">
        <v>3.67</v>
      </c>
      <c r="G870" s="6" t="n">
        <v>0</v>
      </c>
      <c r="H870" s="41" t="n">
        <v>16.71</v>
      </c>
      <c r="I870" s="43" t="n">
        <f aca="false">F870*H870</f>
        <v>61.3257</v>
      </c>
      <c r="J870" s="43" t="n">
        <f aca="false">G870*H870*1.5</f>
        <v>0</v>
      </c>
      <c r="K870" s="6" t="n">
        <v>10.55</v>
      </c>
      <c r="L870" s="43" t="n">
        <f aca="false">K870*'Chart of Accounts'!$E$68</f>
        <v>7.0685</v>
      </c>
      <c r="O870" s="42" t="n">
        <f aca="false">I870+J870+L870</f>
        <v>68.3942</v>
      </c>
    </row>
    <row r="871" customFormat="false" ht="15" hidden="false" customHeight="false" outlineLevel="0" collapsed="false">
      <c r="B871" s="7" t="s">
        <v>9504</v>
      </c>
      <c r="C871" s="39" t="n">
        <v>45713</v>
      </c>
      <c r="D871" s="7" t="s">
        <v>246</v>
      </c>
      <c r="E871" s="7" t="s">
        <v>180</v>
      </c>
      <c r="F871" s="6" t="n">
        <v>4.26</v>
      </c>
      <c r="G871" s="6" t="n">
        <v>0</v>
      </c>
      <c r="H871" s="41" t="n">
        <v>16.48</v>
      </c>
      <c r="I871" s="43" t="n">
        <f aca="false">F871*H871</f>
        <v>70.2048</v>
      </c>
      <c r="J871" s="43" t="n">
        <f aca="false">G871*H871*1.5</f>
        <v>0</v>
      </c>
      <c r="K871" s="6" t="n">
        <v>11.03</v>
      </c>
      <c r="L871" s="43" t="n">
        <f aca="false">K871*'Chart of Accounts'!$E$68</f>
        <v>7.3901</v>
      </c>
      <c r="O871" s="42" t="n">
        <f aca="false">I871+J871+L871</f>
        <v>77.5949</v>
      </c>
    </row>
    <row r="872" customFormat="false" ht="15" hidden="false" customHeight="false" outlineLevel="0" collapsed="false">
      <c r="B872" s="7" t="s">
        <v>9505</v>
      </c>
      <c r="C872" s="39" t="n">
        <v>45713</v>
      </c>
      <c r="D872" s="7" t="s">
        <v>222</v>
      </c>
      <c r="E872" s="7" t="s">
        <v>180</v>
      </c>
      <c r="F872" s="6" t="n">
        <v>4.14</v>
      </c>
      <c r="G872" s="6" t="n">
        <v>0</v>
      </c>
      <c r="H872" s="41" t="n">
        <v>17.84</v>
      </c>
      <c r="I872" s="43" t="n">
        <f aca="false">F872*H872</f>
        <v>73.8576</v>
      </c>
      <c r="J872" s="43" t="n">
        <f aca="false">G872*H872*1.5</f>
        <v>0</v>
      </c>
      <c r="K872" s="6" t="n">
        <v>10.55</v>
      </c>
      <c r="L872" s="43" t="n">
        <f aca="false">K872*'Chart of Accounts'!$E$68</f>
        <v>7.0685</v>
      </c>
      <c r="O872" s="42" t="n">
        <f aca="false">I872+J872+L872</f>
        <v>80.9261</v>
      </c>
    </row>
    <row r="873" customFormat="false" ht="15" hidden="false" customHeight="false" outlineLevel="0" collapsed="false">
      <c r="B873" s="7" t="s">
        <v>9506</v>
      </c>
      <c r="C873" s="39" t="n">
        <v>45713</v>
      </c>
      <c r="D873" s="7" t="s">
        <v>242</v>
      </c>
      <c r="E873" s="7" t="s">
        <v>180</v>
      </c>
      <c r="F873" s="6" t="n">
        <v>4.09</v>
      </c>
      <c r="G873" s="6" t="n">
        <v>0</v>
      </c>
      <c r="H873" s="41" t="n">
        <v>17.99</v>
      </c>
      <c r="I873" s="43" t="n">
        <f aca="false">F873*H873</f>
        <v>73.5791</v>
      </c>
      <c r="J873" s="43" t="n">
        <f aca="false">G873*H873*1.5</f>
        <v>0</v>
      </c>
      <c r="K873" s="6" t="n">
        <v>14.14</v>
      </c>
      <c r="L873" s="43" t="n">
        <f aca="false">K873*'Chart of Accounts'!$E$68</f>
        <v>9.4738</v>
      </c>
      <c r="O873" s="42" t="n">
        <f aca="false">I873+J873+L873</f>
        <v>83.0529</v>
      </c>
    </row>
    <row r="874" customFormat="false" ht="15" hidden="false" customHeight="false" outlineLevel="0" collapsed="false">
      <c r="B874" s="7" t="s">
        <v>9507</v>
      </c>
      <c r="C874" s="39" t="n">
        <v>45713</v>
      </c>
      <c r="D874" s="7" t="s">
        <v>203</v>
      </c>
      <c r="E874" s="7" t="s">
        <v>158</v>
      </c>
      <c r="H874" s="41" t="n">
        <v>49.43</v>
      </c>
      <c r="M874" s="6" t="n">
        <v>1</v>
      </c>
      <c r="N874" s="43" t="n">
        <f aca="false">M874*H874</f>
        <v>49.43</v>
      </c>
      <c r="O874" s="42" t="n">
        <f aca="false">N874</f>
        <v>49.43</v>
      </c>
    </row>
    <row r="875" customFormat="false" ht="15" hidden="false" customHeight="false" outlineLevel="0" collapsed="false">
      <c r="B875" s="7" t="s">
        <v>9508</v>
      </c>
      <c r="C875" s="39" t="n">
        <v>45713</v>
      </c>
      <c r="D875" s="7" t="s">
        <v>254</v>
      </c>
      <c r="E875" s="7" t="s">
        <v>180</v>
      </c>
      <c r="F875" s="6" t="n">
        <v>4.36</v>
      </c>
      <c r="G875" s="6" t="n">
        <v>0</v>
      </c>
      <c r="H875" s="41" t="n">
        <v>17.1</v>
      </c>
      <c r="I875" s="43" t="n">
        <f aca="false">F875*H875</f>
        <v>74.556</v>
      </c>
      <c r="J875" s="43" t="n">
        <f aca="false">G875*H875*1.5</f>
        <v>0</v>
      </c>
      <c r="K875" s="6" t="n">
        <v>13.74</v>
      </c>
      <c r="L875" s="43" t="n">
        <f aca="false">K875*'Chart of Accounts'!$E$68</f>
        <v>9.2058</v>
      </c>
      <c r="O875" s="42" t="n">
        <f aca="false">I875+J875+L875</f>
        <v>83.7618</v>
      </c>
    </row>
    <row r="876" customFormat="false" ht="15" hidden="false" customHeight="false" outlineLevel="0" collapsed="false">
      <c r="B876" s="7" t="s">
        <v>9509</v>
      </c>
      <c r="C876" s="39" t="n">
        <v>45713</v>
      </c>
      <c r="D876" s="7" t="s">
        <v>260</v>
      </c>
      <c r="E876" s="7" t="s">
        <v>158</v>
      </c>
      <c r="H876" s="41" t="n">
        <v>79.8</v>
      </c>
      <c r="M876" s="6" t="n">
        <v>1</v>
      </c>
      <c r="N876" s="43" t="n">
        <f aca="false">M876*H876</f>
        <v>79.8</v>
      </c>
      <c r="O876" s="42" t="n">
        <f aca="false">N876</f>
        <v>79.8</v>
      </c>
    </row>
    <row r="877" customFormat="false" ht="15" hidden="false" customHeight="false" outlineLevel="0" collapsed="false">
      <c r="B877" s="7" t="s">
        <v>9510</v>
      </c>
      <c r="C877" s="39" t="n">
        <v>45714</v>
      </c>
      <c r="D877" s="7" t="s">
        <v>187</v>
      </c>
      <c r="E877" s="7" t="s">
        <v>158</v>
      </c>
      <c r="H877" s="41" t="n">
        <v>66.48</v>
      </c>
      <c r="M877" s="6" t="n">
        <v>1</v>
      </c>
      <c r="N877" s="43" t="n">
        <f aca="false">M877*H877</f>
        <v>66.48</v>
      </c>
      <c r="O877" s="42" t="n">
        <f aca="false">N877</f>
        <v>66.48</v>
      </c>
    </row>
    <row r="878" customFormat="false" ht="15" hidden="false" customHeight="false" outlineLevel="0" collapsed="false">
      <c r="B878" s="7" t="s">
        <v>9511</v>
      </c>
      <c r="C878" s="39" t="n">
        <v>45714</v>
      </c>
      <c r="D878" s="7" t="s">
        <v>228</v>
      </c>
      <c r="E878" s="7" t="s">
        <v>158</v>
      </c>
      <c r="H878" s="41" t="n">
        <v>51.07</v>
      </c>
      <c r="M878" s="6" t="n">
        <v>1</v>
      </c>
      <c r="N878" s="43" t="n">
        <f aca="false">M878*H878</f>
        <v>51.07</v>
      </c>
      <c r="O878" s="42" t="n">
        <f aca="false">N878</f>
        <v>51.07</v>
      </c>
    </row>
    <row r="879" customFormat="false" ht="15" hidden="false" customHeight="false" outlineLevel="0" collapsed="false">
      <c r="B879" s="7" t="s">
        <v>9512</v>
      </c>
      <c r="C879" s="39" t="n">
        <v>45714</v>
      </c>
      <c r="D879" s="7" t="s">
        <v>191</v>
      </c>
      <c r="E879" s="7" t="s">
        <v>180</v>
      </c>
      <c r="F879" s="6" t="n">
        <v>4.01</v>
      </c>
      <c r="G879" s="6" t="n">
        <v>0</v>
      </c>
      <c r="H879" s="41" t="n">
        <v>16.05</v>
      </c>
      <c r="I879" s="43" t="n">
        <f aca="false">F879*H879</f>
        <v>64.3605</v>
      </c>
      <c r="J879" s="43" t="n">
        <f aca="false">G879*H879*1.5</f>
        <v>0</v>
      </c>
      <c r="K879" s="6" t="n">
        <v>9.11</v>
      </c>
      <c r="L879" s="43" t="n">
        <f aca="false">K879*'Chart of Accounts'!$E$68</f>
        <v>6.1037</v>
      </c>
      <c r="O879" s="42" t="n">
        <f aca="false">I879+J879+L879</f>
        <v>70.4642</v>
      </c>
    </row>
    <row r="880" customFormat="false" ht="15" hidden="false" customHeight="false" outlineLevel="0" collapsed="false">
      <c r="B880" s="7" t="s">
        <v>9513</v>
      </c>
      <c r="C880" s="39" t="n">
        <v>45714</v>
      </c>
      <c r="D880" s="7" t="s">
        <v>194</v>
      </c>
      <c r="E880" s="7" t="s">
        <v>180</v>
      </c>
      <c r="F880" s="6" t="n">
        <v>5.09</v>
      </c>
      <c r="G880" s="6" t="n">
        <v>0</v>
      </c>
      <c r="H880" s="41" t="n">
        <v>16</v>
      </c>
      <c r="I880" s="43" t="n">
        <f aca="false">F880*H880</f>
        <v>81.44</v>
      </c>
      <c r="J880" s="43" t="n">
        <f aca="false">G880*H880*1.5</f>
        <v>0</v>
      </c>
      <c r="K880" s="6" t="n">
        <v>18.22</v>
      </c>
      <c r="L880" s="43" t="n">
        <f aca="false">K880*'Chart of Accounts'!$E$68</f>
        <v>12.2074</v>
      </c>
      <c r="O880" s="42" t="n">
        <f aca="false">I880+J880+L880</f>
        <v>93.6474</v>
      </c>
    </row>
    <row r="881" customFormat="false" ht="15" hidden="false" customHeight="false" outlineLevel="0" collapsed="false">
      <c r="B881" s="7" t="s">
        <v>9514</v>
      </c>
      <c r="C881" s="39" t="n">
        <v>45714</v>
      </c>
      <c r="D881" s="7" t="s">
        <v>205</v>
      </c>
      <c r="E881" s="7" t="s">
        <v>180</v>
      </c>
      <c r="F881" s="6" t="n">
        <v>3.65</v>
      </c>
      <c r="G881" s="6" t="n">
        <v>0</v>
      </c>
      <c r="H881" s="41" t="n">
        <v>16.36</v>
      </c>
      <c r="I881" s="43" t="n">
        <f aca="false">F881*H881</f>
        <v>59.714</v>
      </c>
      <c r="J881" s="43" t="n">
        <f aca="false">G881*H881*1.5</f>
        <v>0</v>
      </c>
      <c r="K881" s="6" t="n">
        <v>10.19</v>
      </c>
      <c r="L881" s="43" t="n">
        <f aca="false">K881*'Chart of Accounts'!$E$68</f>
        <v>6.8273</v>
      </c>
      <c r="O881" s="42" t="n">
        <f aca="false">I881+J881+L881</f>
        <v>66.5413</v>
      </c>
    </row>
    <row r="882" customFormat="false" ht="15" hidden="false" customHeight="false" outlineLevel="0" collapsed="false">
      <c r="B882" s="7" t="s">
        <v>9515</v>
      </c>
      <c r="C882" s="39" t="n">
        <v>45714</v>
      </c>
      <c r="D882" s="7" t="s">
        <v>252</v>
      </c>
      <c r="E882" s="7" t="s">
        <v>158</v>
      </c>
      <c r="H882" s="41" t="n">
        <v>57.54</v>
      </c>
      <c r="M882" s="6" t="n">
        <v>1</v>
      </c>
      <c r="N882" s="43" t="n">
        <f aca="false">M882*H882</f>
        <v>57.54</v>
      </c>
      <c r="O882" s="42" t="n">
        <f aca="false">N882</f>
        <v>57.54</v>
      </c>
    </row>
    <row r="883" customFormat="false" ht="15" hidden="false" customHeight="false" outlineLevel="0" collapsed="false">
      <c r="B883" s="7" t="s">
        <v>9516</v>
      </c>
      <c r="C883" s="39" t="n">
        <v>45714</v>
      </c>
      <c r="D883" s="7" t="s">
        <v>184</v>
      </c>
      <c r="E883" s="7" t="s">
        <v>180</v>
      </c>
      <c r="F883" s="6" t="n">
        <v>4.03</v>
      </c>
      <c r="G883" s="6" t="n">
        <v>0</v>
      </c>
      <c r="H883" s="41" t="n">
        <v>17.34</v>
      </c>
      <c r="I883" s="43" t="n">
        <f aca="false">F883*H883</f>
        <v>69.8802</v>
      </c>
      <c r="J883" s="43" t="n">
        <f aca="false">G883*H883*1.5</f>
        <v>0</v>
      </c>
      <c r="K883" s="6" t="n">
        <v>9.44</v>
      </c>
      <c r="L883" s="43" t="n">
        <f aca="false">K883*'Chart of Accounts'!$E$68</f>
        <v>6.3248</v>
      </c>
      <c r="O883" s="42" t="n">
        <f aca="false">I883+J883+L883</f>
        <v>76.205</v>
      </c>
    </row>
    <row r="884" customFormat="false" ht="15" hidden="false" customHeight="false" outlineLevel="0" collapsed="false">
      <c r="B884" s="7" t="s">
        <v>9517</v>
      </c>
      <c r="C884" s="39" t="n">
        <v>45714</v>
      </c>
      <c r="D884" s="7" t="s">
        <v>218</v>
      </c>
      <c r="E884" s="7" t="s">
        <v>180</v>
      </c>
      <c r="F884" s="6" t="n">
        <v>4.22</v>
      </c>
      <c r="G884" s="6" t="n">
        <v>0</v>
      </c>
      <c r="H884" s="41" t="n">
        <v>16.19</v>
      </c>
      <c r="I884" s="43" t="n">
        <f aca="false">F884*H884</f>
        <v>68.3218</v>
      </c>
      <c r="J884" s="43" t="n">
        <f aca="false">G884*H884*1.5</f>
        <v>0</v>
      </c>
      <c r="K884" s="6" t="n">
        <v>10.34</v>
      </c>
      <c r="L884" s="43" t="n">
        <f aca="false">K884*'Chart of Accounts'!$E$68</f>
        <v>6.9278</v>
      </c>
      <c r="O884" s="42" t="n">
        <f aca="false">I884+J884+L884</f>
        <v>75.2496</v>
      </c>
    </row>
    <row r="885" customFormat="false" ht="15" hidden="false" customHeight="false" outlineLevel="0" collapsed="false">
      <c r="B885" s="7" t="s">
        <v>9518</v>
      </c>
      <c r="C885" s="39" t="n">
        <v>45714</v>
      </c>
      <c r="D885" s="7" t="s">
        <v>220</v>
      </c>
      <c r="E885" s="7" t="s">
        <v>180</v>
      </c>
      <c r="F885" s="6" t="n">
        <v>4.2</v>
      </c>
      <c r="G885" s="6" t="n">
        <v>0</v>
      </c>
      <c r="H885" s="41" t="n">
        <v>16.43</v>
      </c>
      <c r="I885" s="43" t="n">
        <f aca="false">F885*H885</f>
        <v>69.006</v>
      </c>
      <c r="J885" s="43" t="n">
        <f aca="false">G885*H885*1.5</f>
        <v>0</v>
      </c>
      <c r="K885" s="6" t="n">
        <v>10.96</v>
      </c>
      <c r="L885" s="43" t="n">
        <f aca="false">K885*'Chart of Accounts'!$E$68</f>
        <v>7.3432</v>
      </c>
      <c r="O885" s="42" t="n">
        <f aca="false">I885+J885+L885</f>
        <v>76.3492</v>
      </c>
    </row>
    <row r="886" customFormat="false" ht="15" hidden="false" customHeight="false" outlineLevel="0" collapsed="false">
      <c r="B886" s="7" t="s">
        <v>9519</v>
      </c>
      <c r="C886" s="39" t="n">
        <v>45714</v>
      </c>
      <c r="D886" s="7" t="s">
        <v>177</v>
      </c>
      <c r="E886" s="7" t="s">
        <v>180</v>
      </c>
      <c r="F886" s="6" t="n">
        <v>3.87</v>
      </c>
      <c r="G886" s="6" t="n">
        <v>0</v>
      </c>
      <c r="H886" s="41" t="n">
        <v>14.56</v>
      </c>
      <c r="I886" s="43" t="n">
        <f aca="false">F886*H886</f>
        <v>56.3472</v>
      </c>
      <c r="J886" s="43" t="n">
        <f aca="false">G886*H886*1.5</f>
        <v>0</v>
      </c>
      <c r="K886" s="6" t="n">
        <v>11.09</v>
      </c>
      <c r="L886" s="43" t="n">
        <f aca="false">K886*'Chart of Accounts'!$E$68</f>
        <v>7.4303</v>
      </c>
      <c r="O886" s="42" t="n">
        <f aca="false">I886+J886+L886</f>
        <v>63.7775</v>
      </c>
    </row>
    <row r="887" customFormat="false" ht="15" hidden="false" customHeight="false" outlineLevel="0" collapsed="false">
      <c r="B887" s="7" t="s">
        <v>9520</v>
      </c>
      <c r="C887" s="39" t="n">
        <v>45714</v>
      </c>
      <c r="D887" s="7" t="s">
        <v>242</v>
      </c>
      <c r="E887" s="7" t="s">
        <v>180</v>
      </c>
      <c r="F887" s="6" t="n">
        <v>7.77</v>
      </c>
      <c r="G887" s="6" t="n">
        <v>0</v>
      </c>
      <c r="H887" s="41" t="n">
        <v>17.99</v>
      </c>
      <c r="I887" s="43" t="n">
        <f aca="false">F887*H887</f>
        <v>139.7823</v>
      </c>
      <c r="J887" s="43" t="n">
        <f aca="false">G887*H887*1.5</f>
        <v>0</v>
      </c>
      <c r="K887" s="6" t="n">
        <v>19.85</v>
      </c>
      <c r="L887" s="43" t="n">
        <f aca="false">K887*'Chart of Accounts'!$E$68</f>
        <v>13.2995</v>
      </c>
      <c r="O887" s="42" t="n">
        <f aca="false">I887+J887+L887</f>
        <v>153.0818</v>
      </c>
    </row>
    <row r="888" customFormat="false" ht="15" hidden="false" customHeight="false" outlineLevel="0" collapsed="false">
      <c r="B888" s="7" t="s">
        <v>9521</v>
      </c>
      <c r="C888" s="39" t="n">
        <v>45714</v>
      </c>
      <c r="D888" s="7" t="s">
        <v>254</v>
      </c>
      <c r="E888" s="7" t="s">
        <v>180</v>
      </c>
      <c r="F888" s="6" t="n">
        <v>7.39</v>
      </c>
      <c r="G888" s="6" t="n">
        <v>0</v>
      </c>
      <c r="H888" s="41" t="n">
        <v>17.1</v>
      </c>
      <c r="I888" s="43" t="n">
        <f aca="false">F888*H888</f>
        <v>126.369</v>
      </c>
      <c r="J888" s="43" t="n">
        <f aca="false">G888*H888*1.5</f>
        <v>0</v>
      </c>
      <c r="K888" s="6" t="n">
        <v>22.81</v>
      </c>
      <c r="L888" s="43" t="n">
        <f aca="false">K888*'Chart of Accounts'!$E$68</f>
        <v>15.2827</v>
      </c>
      <c r="O888" s="42" t="n">
        <f aca="false">I888+J888+L888</f>
        <v>141.6517</v>
      </c>
    </row>
    <row r="889" customFormat="false" ht="15" hidden="false" customHeight="false" outlineLevel="0" collapsed="false">
      <c r="B889" s="7" t="s">
        <v>9522</v>
      </c>
      <c r="C889" s="39" t="n">
        <v>45714</v>
      </c>
      <c r="D889" s="7" t="s">
        <v>201</v>
      </c>
      <c r="E889" s="7" t="s">
        <v>180</v>
      </c>
      <c r="F889" s="6" t="n">
        <v>3.42</v>
      </c>
      <c r="G889" s="6" t="n">
        <v>0</v>
      </c>
      <c r="H889" s="41" t="n">
        <v>15.19</v>
      </c>
      <c r="I889" s="43" t="n">
        <f aca="false">F889*H889</f>
        <v>51.9498</v>
      </c>
      <c r="J889" s="43" t="n">
        <f aca="false">G889*H889*1.5</f>
        <v>0</v>
      </c>
      <c r="K889" s="6" t="n">
        <v>10.1</v>
      </c>
      <c r="L889" s="43" t="n">
        <f aca="false">K889*'Chart of Accounts'!$E$68</f>
        <v>6.767</v>
      </c>
      <c r="O889" s="42" t="n">
        <f aca="false">I889+J889+L889</f>
        <v>58.7168</v>
      </c>
    </row>
    <row r="890" customFormat="false" ht="15" hidden="false" customHeight="false" outlineLevel="0" collapsed="false">
      <c r="B890" s="7" t="s">
        <v>9523</v>
      </c>
      <c r="C890" s="39" t="n">
        <v>45714</v>
      </c>
      <c r="D890" s="7" t="s">
        <v>207</v>
      </c>
      <c r="E890" s="7" t="s">
        <v>180</v>
      </c>
      <c r="F890" s="6" t="n">
        <v>3.45</v>
      </c>
      <c r="G890" s="6" t="n">
        <v>0</v>
      </c>
      <c r="H890" s="41" t="n">
        <v>16.65</v>
      </c>
      <c r="I890" s="43" t="n">
        <f aca="false">F890*H890</f>
        <v>57.4425</v>
      </c>
      <c r="J890" s="43" t="n">
        <f aca="false">G890*H890*1.5</f>
        <v>0</v>
      </c>
      <c r="K890" s="6" t="n">
        <v>8.51</v>
      </c>
      <c r="L890" s="43" t="n">
        <f aca="false">K890*'Chart of Accounts'!$E$68</f>
        <v>5.7017</v>
      </c>
      <c r="O890" s="42" t="n">
        <f aca="false">I890+J890+L890</f>
        <v>63.1442</v>
      </c>
    </row>
    <row r="891" customFormat="false" ht="15" hidden="false" customHeight="false" outlineLevel="0" collapsed="false">
      <c r="B891" s="7" t="s">
        <v>9524</v>
      </c>
      <c r="C891" s="39" t="n">
        <v>45714</v>
      </c>
      <c r="D891" s="7" t="s">
        <v>212</v>
      </c>
      <c r="E891" s="7" t="s">
        <v>180</v>
      </c>
      <c r="F891" s="6" t="n">
        <v>4.09</v>
      </c>
      <c r="G891" s="6" t="n">
        <v>0</v>
      </c>
      <c r="H891" s="41" t="n">
        <v>16.71</v>
      </c>
      <c r="I891" s="43" t="n">
        <f aca="false">F891*H891</f>
        <v>68.3439</v>
      </c>
      <c r="J891" s="43" t="n">
        <f aca="false">G891*H891*1.5</f>
        <v>0</v>
      </c>
      <c r="K891" s="6" t="n">
        <v>13.69</v>
      </c>
      <c r="L891" s="43" t="n">
        <f aca="false">K891*'Chart of Accounts'!$E$68</f>
        <v>9.1723</v>
      </c>
      <c r="O891" s="42" t="n">
        <f aca="false">I891+J891+L891</f>
        <v>77.5162</v>
      </c>
    </row>
    <row r="892" customFormat="false" ht="15" hidden="false" customHeight="false" outlineLevel="0" collapsed="false">
      <c r="B892" s="7" t="s">
        <v>9525</v>
      </c>
      <c r="C892" s="39" t="n">
        <v>45714</v>
      </c>
      <c r="D892" s="7" t="s">
        <v>232</v>
      </c>
      <c r="E892" s="7" t="s">
        <v>180</v>
      </c>
      <c r="F892" s="6" t="n">
        <v>4.85</v>
      </c>
      <c r="G892" s="6" t="n">
        <v>0</v>
      </c>
      <c r="H892" s="41" t="n">
        <v>16.17</v>
      </c>
      <c r="I892" s="43" t="n">
        <f aca="false">F892*H892</f>
        <v>78.4245</v>
      </c>
      <c r="J892" s="43" t="n">
        <f aca="false">G892*H892*1.5</f>
        <v>0</v>
      </c>
      <c r="K892" s="6" t="n">
        <v>11.74</v>
      </c>
      <c r="L892" s="43" t="n">
        <f aca="false">K892*'Chart of Accounts'!$E$68</f>
        <v>7.8658</v>
      </c>
      <c r="O892" s="42" t="n">
        <f aca="false">I892+J892+L892</f>
        <v>86.2903</v>
      </c>
    </row>
    <row r="893" customFormat="false" ht="15" hidden="false" customHeight="false" outlineLevel="0" collapsed="false">
      <c r="B893" s="7" t="s">
        <v>9526</v>
      </c>
      <c r="C893" s="39" t="n">
        <v>45714</v>
      </c>
      <c r="D893" s="7" t="s">
        <v>224</v>
      </c>
      <c r="E893" s="7" t="s">
        <v>180</v>
      </c>
      <c r="F893" s="6" t="n">
        <v>4.3</v>
      </c>
      <c r="G893" s="6" t="n">
        <v>0</v>
      </c>
      <c r="H893" s="41" t="n">
        <v>14.93</v>
      </c>
      <c r="I893" s="43" t="n">
        <f aca="false">F893*H893</f>
        <v>64.199</v>
      </c>
      <c r="J893" s="43" t="n">
        <f aca="false">G893*H893*1.5</f>
        <v>0</v>
      </c>
      <c r="K893" s="6" t="n">
        <v>10.92</v>
      </c>
      <c r="L893" s="43" t="n">
        <f aca="false">K893*'Chart of Accounts'!$E$68</f>
        <v>7.3164</v>
      </c>
      <c r="O893" s="42" t="n">
        <f aca="false">I893+J893+L893</f>
        <v>71.5154</v>
      </c>
    </row>
    <row r="894" customFormat="false" ht="15" hidden="false" customHeight="false" outlineLevel="0" collapsed="false">
      <c r="B894" s="7" t="s">
        <v>9527</v>
      </c>
      <c r="C894" s="39" t="n">
        <v>45714</v>
      </c>
      <c r="D894" s="7" t="s">
        <v>246</v>
      </c>
      <c r="E894" s="7" t="s">
        <v>180</v>
      </c>
      <c r="F894" s="6" t="n">
        <v>3.67</v>
      </c>
      <c r="G894" s="6" t="n">
        <v>0</v>
      </c>
      <c r="H894" s="41" t="n">
        <v>16.48</v>
      </c>
      <c r="I894" s="43" t="n">
        <f aca="false">F894*H894</f>
        <v>60.4816</v>
      </c>
      <c r="J894" s="43" t="n">
        <f aca="false">G894*H894*1.5</f>
        <v>0</v>
      </c>
      <c r="K894" s="6" t="n">
        <v>9.86</v>
      </c>
      <c r="L894" s="43" t="n">
        <f aca="false">K894*'Chart of Accounts'!$E$68</f>
        <v>6.6062</v>
      </c>
      <c r="O894" s="42" t="n">
        <f aca="false">I894+J894+L894</f>
        <v>67.0878</v>
      </c>
    </row>
    <row r="895" customFormat="false" ht="15" hidden="false" customHeight="false" outlineLevel="0" collapsed="false">
      <c r="B895" s="7" t="s">
        <v>9528</v>
      </c>
      <c r="C895" s="39" t="n">
        <v>45714</v>
      </c>
      <c r="D895" s="7" t="s">
        <v>222</v>
      </c>
      <c r="E895" s="7" t="s">
        <v>180</v>
      </c>
      <c r="F895" s="6" t="n">
        <v>3.92</v>
      </c>
      <c r="G895" s="6" t="n">
        <v>0</v>
      </c>
      <c r="H895" s="41" t="n">
        <v>17.84</v>
      </c>
      <c r="I895" s="43" t="n">
        <f aca="false">F895*H895</f>
        <v>69.9328</v>
      </c>
      <c r="J895" s="43" t="n">
        <f aca="false">G895*H895*1.5</f>
        <v>0</v>
      </c>
      <c r="K895" s="6" t="n">
        <v>10.4</v>
      </c>
      <c r="L895" s="43" t="n">
        <f aca="false">K895*'Chart of Accounts'!$E$68</f>
        <v>6.968</v>
      </c>
      <c r="O895" s="42" t="n">
        <f aca="false">I895+J895+L895</f>
        <v>76.9008</v>
      </c>
    </row>
    <row r="896" customFormat="false" ht="15" hidden="false" customHeight="false" outlineLevel="0" collapsed="false">
      <c r="B896" s="7" t="s">
        <v>9529</v>
      </c>
      <c r="C896" s="39" t="n">
        <v>45714</v>
      </c>
      <c r="D896" s="7" t="s">
        <v>203</v>
      </c>
      <c r="E896" s="7" t="s">
        <v>158</v>
      </c>
      <c r="H896" s="41" t="n">
        <v>49.43</v>
      </c>
      <c r="M896" s="6" t="n">
        <v>1</v>
      </c>
      <c r="N896" s="43" t="n">
        <f aca="false">M896*H896</f>
        <v>49.43</v>
      </c>
      <c r="O896" s="42" t="n">
        <f aca="false">N896</f>
        <v>49.43</v>
      </c>
    </row>
    <row r="897" customFormat="false" ht="15" hidden="false" customHeight="false" outlineLevel="0" collapsed="false">
      <c r="B897" s="7" t="s">
        <v>9530</v>
      </c>
      <c r="C897" s="39" t="n">
        <v>45714</v>
      </c>
      <c r="D897" s="7" t="s">
        <v>262</v>
      </c>
      <c r="E897" s="7" t="s">
        <v>180</v>
      </c>
      <c r="F897" s="6" t="n">
        <v>3.1</v>
      </c>
      <c r="G897" s="6" t="n">
        <v>0</v>
      </c>
      <c r="H897" s="41" t="n">
        <v>16.02</v>
      </c>
      <c r="I897" s="43" t="n">
        <f aca="false">F897*H897</f>
        <v>49.662</v>
      </c>
      <c r="J897" s="43" t="n">
        <f aca="false">G897*H897*1.5</f>
        <v>0</v>
      </c>
      <c r="K897" s="6" t="n">
        <v>7.14</v>
      </c>
      <c r="L897" s="43" t="n">
        <f aca="false">K897*'Chart of Accounts'!$E$68</f>
        <v>4.7838</v>
      </c>
      <c r="O897" s="42" t="n">
        <f aca="false">I897+J897+L897</f>
        <v>54.4458</v>
      </c>
    </row>
    <row r="898" customFormat="false" ht="15" hidden="false" customHeight="false" outlineLevel="0" collapsed="false">
      <c r="B898" s="7" t="s">
        <v>9531</v>
      </c>
      <c r="C898" s="39" t="n">
        <v>45714</v>
      </c>
      <c r="D898" s="7" t="s">
        <v>214</v>
      </c>
      <c r="E898" s="7" t="s">
        <v>180</v>
      </c>
      <c r="F898" s="6" t="n">
        <v>3.63</v>
      </c>
      <c r="G898" s="6" t="n">
        <v>0</v>
      </c>
      <c r="H898" s="41" t="n">
        <v>15.67</v>
      </c>
      <c r="I898" s="43" t="n">
        <f aca="false">F898*H898</f>
        <v>56.8821</v>
      </c>
      <c r="J898" s="43" t="n">
        <f aca="false">G898*H898*1.5</f>
        <v>0</v>
      </c>
      <c r="K898" s="6" t="n">
        <v>8.23</v>
      </c>
      <c r="L898" s="43" t="n">
        <f aca="false">K898*'Chart of Accounts'!$E$68</f>
        <v>5.5141</v>
      </c>
      <c r="O898" s="42" t="n">
        <f aca="false">I898+J898+L898</f>
        <v>62.3962</v>
      </c>
    </row>
    <row r="899" customFormat="false" ht="15" hidden="false" customHeight="false" outlineLevel="0" collapsed="false">
      <c r="B899" s="7" t="s">
        <v>9532</v>
      </c>
      <c r="C899" s="39" t="n">
        <v>45715</v>
      </c>
      <c r="D899" s="7" t="s">
        <v>191</v>
      </c>
      <c r="E899" s="7" t="s">
        <v>180</v>
      </c>
      <c r="F899" s="6" t="n">
        <v>3.92</v>
      </c>
      <c r="G899" s="6" t="n">
        <v>0</v>
      </c>
      <c r="H899" s="41" t="n">
        <v>16.05</v>
      </c>
      <c r="I899" s="43" t="n">
        <f aca="false">F899*H899</f>
        <v>62.916</v>
      </c>
      <c r="J899" s="43" t="n">
        <f aca="false">G899*H899*1.5</f>
        <v>0</v>
      </c>
      <c r="K899" s="6" t="n">
        <v>9.99</v>
      </c>
      <c r="L899" s="43" t="n">
        <f aca="false">K899*'Chart of Accounts'!$E$68</f>
        <v>6.6933</v>
      </c>
      <c r="O899" s="42" t="n">
        <f aca="false">I899+J899+L899</f>
        <v>69.6093</v>
      </c>
    </row>
    <row r="900" customFormat="false" ht="15" hidden="false" customHeight="false" outlineLevel="0" collapsed="false">
      <c r="B900" s="7" t="s">
        <v>9533</v>
      </c>
      <c r="C900" s="39" t="n">
        <v>45715</v>
      </c>
      <c r="D900" s="7" t="s">
        <v>201</v>
      </c>
      <c r="E900" s="7" t="s">
        <v>180</v>
      </c>
      <c r="F900" s="6" t="n">
        <v>2.83</v>
      </c>
      <c r="G900" s="6" t="n">
        <v>0</v>
      </c>
      <c r="H900" s="41" t="n">
        <v>15.19</v>
      </c>
      <c r="I900" s="43" t="n">
        <f aca="false">F900*H900</f>
        <v>42.9877</v>
      </c>
      <c r="J900" s="43" t="n">
        <f aca="false">G900*H900*1.5</f>
        <v>0</v>
      </c>
      <c r="K900" s="6" t="n">
        <v>6.75</v>
      </c>
      <c r="L900" s="43" t="n">
        <f aca="false">K900*'Chart of Accounts'!$E$68</f>
        <v>4.5225</v>
      </c>
      <c r="O900" s="42" t="n">
        <f aca="false">I900+J900+L900</f>
        <v>47.5102</v>
      </c>
    </row>
    <row r="901" customFormat="false" ht="15" hidden="false" customHeight="false" outlineLevel="0" collapsed="false">
      <c r="B901" s="7" t="s">
        <v>9534</v>
      </c>
      <c r="C901" s="39" t="n">
        <v>45715</v>
      </c>
      <c r="D901" s="7" t="s">
        <v>196</v>
      </c>
      <c r="E901" s="7" t="s">
        <v>180</v>
      </c>
      <c r="F901" s="6" t="n">
        <v>5.72</v>
      </c>
      <c r="G901" s="6" t="n">
        <v>0</v>
      </c>
      <c r="H901" s="41" t="n">
        <v>15.05</v>
      </c>
      <c r="I901" s="43" t="n">
        <f aca="false">F901*H901</f>
        <v>86.086</v>
      </c>
      <c r="J901" s="43" t="n">
        <f aca="false">G901*H901*1.5</f>
        <v>0</v>
      </c>
      <c r="K901" s="6" t="n">
        <v>13.35</v>
      </c>
      <c r="L901" s="43" t="n">
        <f aca="false">K901*'Chart of Accounts'!$E$68</f>
        <v>8.9445</v>
      </c>
      <c r="O901" s="42" t="n">
        <f aca="false">I901+J901+L901</f>
        <v>95.0305</v>
      </c>
    </row>
    <row r="902" customFormat="false" ht="15" hidden="false" customHeight="false" outlineLevel="0" collapsed="false">
      <c r="B902" s="7" t="s">
        <v>9535</v>
      </c>
      <c r="C902" s="39" t="n">
        <v>45715</v>
      </c>
      <c r="D902" s="7" t="s">
        <v>184</v>
      </c>
      <c r="E902" s="7" t="s">
        <v>180</v>
      </c>
      <c r="F902" s="6" t="n">
        <v>3.71</v>
      </c>
      <c r="G902" s="6" t="n">
        <v>0</v>
      </c>
      <c r="H902" s="41" t="n">
        <v>17.34</v>
      </c>
      <c r="I902" s="43" t="n">
        <f aca="false">F902*H902</f>
        <v>64.3314</v>
      </c>
      <c r="J902" s="43" t="n">
        <f aca="false">G902*H902*1.5</f>
        <v>0</v>
      </c>
      <c r="K902" s="6" t="n">
        <v>8.31</v>
      </c>
      <c r="L902" s="43" t="n">
        <f aca="false">K902*'Chart of Accounts'!$E$68</f>
        <v>5.5677</v>
      </c>
      <c r="O902" s="42" t="n">
        <f aca="false">I902+J902+L902</f>
        <v>69.8991</v>
      </c>
    </row>
    <row r="903" customFormat="false" ht="15" hidden="false" customHeight="false" outlineLevel="0" collapsed="false">
      <c r="B903" s="7" t="s">
        <v>9536</v>
      </c>
      <c r="C903" s="39" t="n">
        <v>45715</v>
      </c>
      <c r="D903" s="7" t="s">
        <v>207</v>
      </c>
      <c r="E903" s="7" t="s">
        <v>180</v>
      </c>
      <c r="F903" s="6" t="n">
        <v>2.85</v>
      </c>
      <c r="G903" s="6" t="n">
        <v>0</v>
      </c>
      <c r="H903" s="41" t="n">
        <v>16.65</v>
      </c>
      <c r="I903" s="43" t="n">
        <f aca="false">F903*H903</f>
        <v>47.4525</v>
      </c>
      <c r="J903" s="43" t="n">
        <f aca="false">G903*H903*1.5</f>
        <v>0</v>
      </c>
      <c r="K903" s="6" t="n">
        <v>9.1</v>
      </c>
      <c r="L903" s="43" t="n">
        <f aca="false">K903*'Chart of Accounts'!$E$68</f>
        <v>6.097</v>
      </c>
      <c r="O903" s="42" t="n">
        <f aca="false">I903+J903+L903</f>
        <v>53.5495</v>
      </c>
    </row>
    <row r="904" customFormat="false" ht="15" hidden="false" customHeight="false" outlineLevel="0" collapsed="false">
      <c r="B904" s="7" t="s">
        <v>9537</v>
      </c>
      <c r="C904" s="39" t="n">
        <v>45715</v>
      </c>
      <c r="D904" s="7" t="s">
        <v>218</v>
      </c>
      <c r="E904" s="7" t="s">
        <v>180</v>
      </c>
      <c r="F904" s="6" t="n">
        <v>4.05</v>
      </c>
      <c r="G904" s="6" t="n">
        <v>0</v>
      </c>
      <c r="H904" s="41" t="n">
        <v>16.19</v>
      </c>
      <c r="I904" s="43" t="n">
        <f aca="false">F904*H904</f>
        <v>65.5695</v>
      </c>
      <c r="J904" s="43" t="n">
        <f aca="false">G904*H904*1.5</f>
        <v>0</v>
      </c>
      <c r="K904" s="6" t="n">
        <v>10.98</v>
      </c>
      <c r="L904" s="43" t="n">
        <f aca="false">K904*'Chart of Accounts'!$E$68</f>
        <v>7.3566</v>
      </c>
      <c r="O904" s="42" t="n">
        <f aca="false">I904+J904+L904</f>
        <v>72.9261</v>
      </c>
    </row>
    <row r="905" customFormat="false" ht="15" hidden="false" customHeight="false" outlineLevel="0" collapsed="false">
      <c r="B905" s="7" t="s">
        <v>9538</v>
      </c>
      <c r="C905" s="39" t="n">
        <v>45715</v>
      </c>
      <c r="D905" s="7" t="s">
        <v>212</v>
      </c>
      <c r="E905" s="7" t="s">
        <v>180</v>
      </c>
      <c r="F905" s="6" t="n">
        <v>7.44</v>
      </c>
      <c r="G905" s="6" t="n">
        <v>0</v>
      </c>
      <c r="H905" s="41" t="n">
        <v>16.71</v>
      </c>
      <c r="I905" s="43" t="n">
        <f aca="false">F905*H905</f>
        <v>124.3224</v>
      </c>
      <c r="J905" s="43" t="n">
        <f aca="false">G905*H905*1.5</f>
        <v>0</v>
      </c>
      <c r="K905" s="6" t="n">
        <v>20.08</v>
      </c>
      <c r="L905" s="43" t="n">
        <f aca="false">K905*'Chart of Accounts'!$E$68</f>
        <v>13.4536</v>
      </c>
      <c r="O905" s="42" t="n">
        <f aca="false">I905+J905+L905</f>
        <v>137.776</v>
      </c>
    </row>
    <row r="906" customFormat="false" ht="15" hidden="false" customHeight="false" outlineLevel="0" collapsed="false">
      <c r="B906" s="7" t="s">
        <v>9539</v>
      </c>
      <c r="C906" s="39" t="n">
        <v>45715</v>
      </c>
      <c r="D906" s="7" t="s">
        <v>220</v>
      </c>
      <c r="E906" s="7" t="s">
        <v>180</v>
      </c>
      <c r="F906" s="6" t="n">
        <v>3.66</v>
      </c>
      <c r="G906" s="6" t="n">
        <v>0</v>
      </c>
      <c r="H906" s="41" t="n">
        <v>16.43</v>
      </c>
      <c r="I906" s="43" t="n">
        <f aca="false">F906*H906</f>
        <v>60.1338</v>
      </c>
      <c r="J906" s="43" t="n">
        <f aca="false">G906*H906*1.5</f>
        <v>0</v>
      </c>
      <c r="K906" s="6" t="n">
        <v>10.79</v>
      </c>
      <c r="L906" s="43" t="n">
        <f aca="false">K906*'Chart of Accounts'!$E$68</f>
        <v>7.2293</v>
      </c>
      <c r="O906" s="42" t="n">
        <f aca="false">I906+J906+L906</f>
        <v>67.3631</v>
      </c>
    </row>
    <row r="907" customFormat="false" ht="15" hidden="false" customHeight="false" outlineLevel="0" collapsed="false">
      <c r="B907" s="7" t="s">
        <v>9540</v>
      </c>
      <c r="C907" s="39" t="n">
        <v>45715</v>
      </c>
      <c r="D907" s="7" t="s">
        <v>224</v>
      </c>
      <c r="E907" s="7" t="s">
        <v>180</v>
      </c>
      <c r="F907" s="6" t="n">
        <v>3.76</v>
      </c>
      <c r="G907" s="6" t="n">
        <v>0</v>
      </c>
      <c r="H907" s="41" t="n">
        <v>14.93</v>
      </c>
      <c r="I907" s="43" t="n">
        <f aca="false">F907*H907</f>
        <v>56.1368</v>
      </c>
      <c r="J907" s="43" t="n">
        <f aca="false">G907*H907*1.5</f>
        <v>0</v>
      </c>
      <c r="K907" s="6" t="n">
        <v>10.9</v>
      </c>
      <c r="L907" s="43" t="n">
        <f aca="false">K907*'Chart of Accounts'!$E$68</f>
        <v>7.303</v>
      </c>
      <c r="O907" s="42" t="n">
        <f aca="false">I907+J907+L907</f>
        <v>63.4398</v>
      </c>
    </row>
    <row r="908" customFormat="false" ht="15" hidden="false" customHeight="false" outlineLevel="0" collapsed="false">
      <c r="B908" s="7" t="s">
        <v>9541</v>
      </c>
      <c r="C908" s="39" t="n">
        <v>45715</v>
      </c>
      <c r="D908" s="7" t="s">
        <v>232</v>
      </c>
      <c r="E908" s="7" t="s">
        <v>180</v>
      </c>
      <c r="F908" s="6" t="n">
        <v>2.91</v>
      </c>
      <c r="G908" s="6" t="n">
        <v>0</v>
      </c>
      <c r="H908" s="41" t="n">
        <v>16.17</v>
      </c>
      <c r="I908" s="43" t="n">
        <f aca="false">F908*H908</f>
        <v>47.0547</v>
      </c>
      <c r="J908" s="43" t="n">
        <f aca="false">G908*H908*1.5</f>
        <v>0</v>
      </c>
      <c r="K908" s="6" t="n">
        <v>9.68</v>
      </c>
      <c r="L908" s="43" t="n">
        <f aca="false">K908*'Chart of Accounts'!$E$68</f>
        <v>6.4856</v>
      </c>
      <c r="O908" s="42" t="n">
        <f aca="false">I908+J908+L908</f>
        <v>53.5403</v>
      </c>
    </row>
    <row r="909" customFormat="false" ht="15" hidden="false" customHeight="false" outlineLevel="0" collapsed="false">
      <c r="B909" s="7" t="s">
        <v>9542</v>
      </c>
      <c r="C909" s="39" t="n">
        <v>45715</v>
      </c>
      <c r="D909" s="7" t="s">
        <v>222</v>
      </c>
      <c r="E909" s="7" t="s">
        <v>180</v>
      </c>
      <c r="F909" s="6" t="n">
        <v>6.83</v>
      </c>
      <c r="G909" s="6" t="n">
        <v>0</v>
      </c>
      <c r="H909" s="41" t="n">
        <v>17.84</v>
      </c>
      <c r="I909" s="43" t="n">
        <f aca="false">F909*H909</f>
        <v>121.8472</v>
      </c>
      <c r="J909" s="43" t="n">
        <f aca="false">G909*H909*1.5</f>
        <v>0</v>
      </c>
      <c r="K909" s="6" t="n">
        <v>24.17</v>
      </c>
      <c r="L909" s="43" t="n">
        <f aca="false">K909*'Chart of Accounts'!$E$68</f>
        <v>16.1939</v>
      </c>
      <c r="O909" s="42" t="n">
        <f aca="false">I909+J909+L909</f>
        <v>138.0411</v>
      </c>
    </row>
    <row r="910" customFormat="false" ht="15" hidden="false" customHeight="false" outlineLevel="0" collapsed="false">
      <c r="B910" s="7" t="s">
        <v>9543</v>
      </c>
      <c r="C910" s="39" t="n">
        <v>45715</v>
      </c>
      <c r="D910" s="7" t="s">
        <v>262</v>
      </c>
      <c r="E910" s="7" t="s">
        <v>180</v>
      </c>
      <c r="F910" s="6" t="n">
        <v>3.99</v>
      </c>
      <c r="G910" s="6" t="n">
        <v>0</v>
      </c>
      <c r="H910" s="41" t="n">
        <v>16.02</v>
      </c>
      <c r="I910" s="43" t="n">
        <f aca="false">F910*H910</f>
        <v>63.9198</v>
      </c>
      <c r="J910" s="43" t="n">
        <f aca="false">G910*H910*1.5</f>
        <v>0</v>
      </c>
      <c r="K910" s="6" t="n">
        <v>10.27</v>
      </c>
      <c r="L910" s="43" t="n">
        <f aca="false">K910*'Chart of Accounts'!$E$68</f>
        <v>6.8809</v>
      </c>
      <c r="O910" s="42" t="n">
        <f aca="false">I910+J910+L910</f>
        <v>70.8007</v>
      </c>
    </row>
    <row r="911" customFormat="false" ht="15" hidden="false" customHeight="false" outlineLevel="0" collapsed="false">
      <c r="B911" s="7" t="s">
        <v>9544</v>
      </c>
      <c r="C911" s="39" t="n">
        <v>45715</v>
      </c>
      <c r="D911" s="7" t="s">
        <v>246</v>
      </c>
      <c r="E911" s="7" t="s">
        <v>180</v>
      </c>
      <c r="F911" s="6" t="n">
        <v>8.39</v>
      </c>
      <c r="G911" s="6" t="n">
        <v>0</v>
      </c>
      <c r="H911" s="41" t="n">
        <v>16.48</v>
      </c>
      <c r="I911" s="43" t="n">
        <f aca="false">F911*H911</f>
        <v>138.2672</v>
      </c>
      <c r="J911" s="43" t="n">
        <f aca="false">G911*H911*1.5</f>
        <v>0</v>
      </c>
      <c r="K911" s="6" t="n">
        <v>30.18</v>
      </c>
      <c r="L911" s="43" t="n">
        <f aca="false">K911*'Chart of Accounts'!$E$68</f>
        <v>20.2206</v>
      </c>
      <c r="O911" s="42" t="n">
        <f aca="false">I911+J911+L911</f>
        <v>158.4878</v>
      </c>
    </row>
    <row r="912" customFormat="false" ht="15" hidden="false" customHeight="false" outlineLevel="0" collapsed="false">
      <c r="B912" s="7" t="s">
        <v>9545</v>
      </c>
      <c r="C912" s="39" t="n">
        <v>45715</v>
      </c>
      <c r="D912" s="7" t="s">
        <v>214</v>
      </c>
      <c r="E912" s="7" t="s">
        <v>180</v>
      </c>
      <c r="F912" s="6" t="n">
        <v>4.11</v>
      </c>
      <c r="G912" s="6" t="n">
        <v>0</v>
      </c>
      <c r="H912" s="41" t="n">
        <v>15.67</v>
      </c>
      <c r="I912" s="43" t="n">
        <f aca="false">F912*H912</f>
        <v>64.4037</v>
      </c>
      <c r="J912" s="43" t="n">
        <f aca="false">G912*H912*1.5</f>
        <v>0</v>
      </c>
      <c r="K912" s="6" t="n">
        <v>9.34</v>
      </c>
      <c r="L912" s="43" t="n">
        <f aca="false">K912*'Chart of Accounts'!$E$68</f>
        <v>6.2578</v>
      </c>
      <c r="O912" s="42" t="n">
        <f aca="false">I912+J912+L912</f>
        <v>70.6615</v>
      </c>
    </row>
    <row r="913" customFormat="false" ht="15" hidden="false" customHeight="false" outlineLevel="0" collapsed="false">
      <c r="B913" s="7" t="s">
        <v>9546</v>
      </c>
      <c r="C913" s="39" t="n">
        <v>45715</v>
      </c>
      <c r="D913" s="7" t="s">
        <v>242</v>
      </c>
      <c r="E913" s="7" t="s">
        <v>180</v>
      </c>
      <c r="F913" s="6" t="n">
        <v>3.69</v>
      </c>
      <c r="G913" s="6" t="n">
        <v>0</v>
      </c>
      <c r="H913" s="41" t="n">
        <v>17.99</v>
      </c>
      <c r="I913" s="43" t="n">
        <f aca="false">F913*H913</f>
        <v>66.3831</v>
      </c>
      <c r="J913" s="43" t="n">
        <f aca="false">G913*H913*1.5</f>
        <v>0</v>
      </c>
      <c r="K913" s="6" t="n">
        <v>8.9</v>
      </c>
      <c r="L913" s="43" t="n">
        <f aca="false">K913*'Chart of Accounts'!$E$68</f>
        <v>5.963</v>
      </c>
      <c r="O913" s="42" t="n">
        <f aca="false">I913+J913+L913</f>
        <v>72.3461</v>
      </c>
    </row>
    <row r="914" customFormat="false" ht="15" hidden="false" customHeight="false" outlineLevel="0" collapsed="false">
      <c r="B914" s="7" t="s">
        <v>9547</v>
      </c>
      <c r="C914" s="39" t="n">
        <v>45715</v>
      </c>
      <c r="D914" s="7" t="s">
        <v>254</v>
      </c>
      <c r="E914" s="7" t="s">
        <v>180</v>
      </c>
      <c r="F914" s="6" t="n">
        <v>3.82</v>
      </c>
      <c r="G914" s="6" t="n">
        <v>0</v>
      </c>
      <c r="H914" s="41" t="n">
        <v>17.1</v>
      </c>
      <c r="I914" s="43" t="n">
        <f aca="false">F914*H914</f>
        <v>65.322</v>
      </c>
      <c r="J914" s="43" t="n">
        <f aca="false">G914*H914*1.5</f>
        <v>0</v>
      </c>
      <c r="K914" s="6" t="n">
        <v>13.19</v>
      </c>
      <c r="L914" s="43" t="n">
        <f aca="false">K914*'Chart of Accounts'!$E$68</f>
        <v>8.8373</v>
      </c>
      <c r="O914" s="42" t="n">
        <f aca="false">I914+J914+L914</f>
        <v>74.1593</v>
      </c>
    </row>
    <row r="915" customFormat="false" ht="15" hidden="false" customHeight="false" outlineLevel="0" collapsed="false">
      <c r="B915" s="7" t="s">
        <v>9548</v>
      </c>
      <c r="C915" s="39" t="n">
        <v>45716</v>
      </c>
      <c r="D915" s="7" t="s">
        <v>187</v>
      </c>
      <c r="E915" s="7" t="s">
        <v>158</v>
      </c>
      <c r="H915" s="41" t="n">
        <v>66.48</v>
      </c>
      <c r="M915" s="6" t="n">
        <v>1</v>
      </c>
      <c r="N915" s="43" t="n">
        <f aca="false">M915*H915</f>
        <v>66.48</v>
      </c>
      <c r="O915" s="42" t="n">
        <f aca="false">N915</f>
        <v>66.48</v>
      </c>
    </row>
    <row r="916" customFormat="false" ht="15" hidden="false" customHeight="false" outlineLevel="0" collapsed="false">
      <c r="B916" s="7" t="s">
        <v>9549</v>
      </c>
      <c r="C916" s="39" t="n">
        <v>45716</v>
      </c>
      <c r="D916" s="7" t="s">
        <v>191</v>
      </c>
      <c r="E916" s="7" t="s">
        <v>180</v>
      </c>
      <c r="F916" s="6" t="n">
        <v>4.18</v>
      </c>
      <c r="G916" s="6" t="n">
        <v>0</v>
      </c>
      <c r="H916" s="41" t="n">
        <v>16.05</v>
      </c>
      <c r="I916" s="43" t="n">
        <f aca="false">F916*H916</f>
        <v>67.089</v>
      </c>
      <c r="J916" s="43" t="n">
        <f aca="false">G916*H916*1.5</f>
        <v>0</v>
      </c>
      <c r="K916" s="6" t="n">
        <v>13.98</v>
      </c>
      <c r="L916" s="43" t="n">
        <f aca="false">K916*'Chart of Accounts'!$E$68</f>
        <v>9.3666</v>
      </c>
      <c r="O916" s="42" t="n">
        <f aca="false">I916+J916+L916</f>
        <v>76.4556</v>
      </c>
    </row>
    <row r="917" customFormat="false" ht="15" hidden="false" customHeight="false" outlineLevel="0" collapsed="false">
      <c r="B917" s="7" t="s">
        <v>9550</v>
      </c>
      <c r="C917" s="39" t="n">
        <v>45716</v>
      </c>
      <c r="D917" s="7" t="s">
        <v>194</v>
      </c>
      <c r="E917" s="7" t="s">
        <v>180</v>
      </c>
      <c r="F917" s="6" t="n">
        <v>4.79</v>
      </c>
      <c r="G917" s="6" t="n">
        <v>0</v>
      </c>
      <c r="H917" s="41" t="n">
        <v>16</v>
      </c>
      <c r="I917" s="43" t="n">
        <f aca="false">F917*H917</f>
        <v>76.64</v>
      </c>
      <c r="J917" s="43" t="n">
        <f aca="false">G917*H917*1.5</f>
        <v>0</v>
      </c>
      <c r="K917" s="6" t="n">
        <v>15.07</v>
      </c>
      <c r="L917" s="43" t="n">
        <f aca="false">K917*'Chart of Accounts'!$E$68</f>
        <v>10.0969</v>
      </c>
      <c r="O917" s="42" t="n">
        <f aca="false">I917+J917+L917</f>
        <v>86.7369</v>
      </c>
    </row>
    <row r="918" customFormat="false" ht="15" hidden="false" customHeight="false" outlineLevel="0" collapsed="false">
      <c r="B918" s="7" t="s">
        <v>9551</v>
      </c>
      <c r="C918" s="39" t="n">
        <v>45716</v>
      </c>
      <c r="D918" s="7" t="s">
        <v>209</v>
      </c>
      <c r="E918" s="7" t="s">
        <v>158</v>
      </c>
      <c r="H918" s="41" t="n">
        <v>73.58</v>
      </c>
      <c r="M918" s="6" t="n">
        <v>2</v>
      </c>
      <c r="N918" s="43" t="n">
        <f aca="false">M918*H918</f>
        <v>147.16</v>
      </c>
      <c r="O918" s="42" t="n">
        <f aca="false">N918</f>
        <v>147.16</v>
      </c>
    </row>
    <row r="919" customFormat="false" ht="15" hidden="false" customHeight="false" outlineLevel="0" collapsed="false">
      <c r="B919" s="7" t="s">
        <v>9552</v>
      </c>
      <c r="C919" s="39" t="n">
        <v>45716</v>
      </c>
      <c r="D919" s="7" t="s">
        <v>205</v>
      </c>
      <c r="E919" s="7" t="s">
        <v>180</v>
      </c>
      <c r="F919" s="6" t="n">
        <v>3.81</v>
      </c>
      <c r="G919" s="6" t="n">
        <v>0</v>
      </c>
      <c r="H919" s="41" t="n">
        <v>16.36</v>
      </c>
      <c r="I919" s="43" t="n">
        <f aca="false">F919*H919</f>
        <v>62.3316</v>
      </c>
      <c r="J919" s="43" t="n">
        <f aca="false">G919*H919*1.5</f>
        <v>0</v>
      </c>
      <c r="K919" s="6" t="n">
        <v>13.43</v>
      </c>
      <c r="L919" s="43" t="n">
        <f aca="false">K919*'Chart of Accounts'!$E$68</f>
        <v>8.9981</v>
      </c>
      <c r="O919" s="42" t="n">
        <f aca="false">I919+J919+L919</f>
        <v>71.3297</v>
      </c>
    </row>
    <row r="920" customFormat="false" ht="15" hidden="false" customHeight="false" outlineLevel="0" collapsed="false">
      <c r="B920" s="7" t="s">
        <v>9553</v>
      </c>
      <c r="C920" s="39" t="n">
        <v>45716</v>
      </c>
      <c r="D920" s="7" t="s">
        <v>252</v>
      </c>
      <c r="E920" s="7" t="s">
        <v>158</v>
      </c>
      <c r="H920" s="41" t="n">
        <v>57.54</v>
      </c>
      <c r="M920" s="6" t="n">
        <v>1</v>
      </c>
      <c r="N920" s="43" t="n">
        <f aca="false">M920*H920</f>
        <v>57.54</v>
      </c>
      <c r="O920" s="42" t="n">
        <f aca="false">N920</f>
        <v>57.54</v>
      </c>
    </row>
    <row r="921" customFormat="false" ht="15" hidden="false" customHeight="false" outlineLevel="0" collapsed="false">
      <c r="B921" s="7" t="s">
        <v>9554</v>
      </c>
      <c r="C921" s="39" t="n">
        <v>45716</v>
      </c>
      <c r="D921" s="7" t="s">
        <v>184</v>
      </c>
      <c r="E921" s="7" t="s">
        <v>180</v>
      </c>
      <c r="F921" s="6" t="n">
        <v>4.31</v>
      </c>
      <c r="G921" s="6" t="n">
        <v>0</v>
      </c>
      <c r="H921" s="41" t="n">
        <v>17.34</v>
      </c>
      <c r="I921" s="43" t="n">
        <f aca="false">F921*H921</f>
        <v>74.7354</v>
      </c>
      <c r="J921" s="43" t="n">
        <f aca="false">G921*H921*1.5</f>
        <v>0</v>
      </c>
      <c r="K921" s="6" t="n">
        <v>11.85</v>
      </c>
      <c r="L921" s="43" t="n">
        <f aca="false">K921*'Chart of Accounts'!$E$68</f>
        <v>7.9395</v>
      </c>
      <c r="O921" s="42" t="n">
        <f aca="false">I921+J921+L921</f>
        <v>82.6749</v>
      </c>
    </row>
    <row r="922" customFormat="false" ht="15" hidden="false" customHeight="false" outlineLevel="0" collapsed="false">
      <c r="B922" s="7" t="s">
        <v>9555</v>
      </c>
      <c r="C922" s="39" t="n">
        <v>45716</v>
      </c>
      <c r="D922" s="7" t="s">
        <v>234</v>
      </c>
      <c r="E922" s="7" t="s">
        <v>158</v>
      </c>
      <c r="H922" s="41" t="n">
        <v>89.53</v>
      </c>
      <c r="M922" s="6" t="n">
        <v>2</v>
      </c>
      <c r="N922" s="43" t="n">
        <f aca="false">M922*H922</f>
        <v>179.06</v>
      </c>
      <c r="O922" s="42" t="n">
        <f aca="false">N922</f>
        <v>179.06</v>
      </c>
    </row>
    <row r="923" customFormat="false" ht="15" hidden="false" customHeight="false" outlineLevel="0" collapsed="false">
      <c r="B923" s="7" t="s">
        <v>9556</v>
      </c>
      <c r="C923" s="39" t="n">
        <v>45716</v>
      </c>
      <c r="D923" s="7" t="s">
        <v>266</v>
      </c>
      <c r="E923" s="7" t="s">
        <v>158</v>
      </c>
      <c r="H923" s="41" t="n">
        <v>75.18</v>
      </c>
      <c r="M923" s="6" t="n">
        <v>1</v>
      </c>
      <c r="N923" s="43" t="n">
        <f aca="false">M923*H923</f>
        <v>75.18</v>
      </c>
      <c r="O923" s="42" t="n">
        <f aca="false">N923</f>
        <v>75.18</v>
      </c>
    </row>
    <row r="924" customFormat="false" ht="15" hidden="false" customHeight="false" outlineLevel="0" collapsed="false">
      <c r="B924" s="7" t="s">
        <v>9557</v>
      </c>
      <c r="C924" s="39" t="n">
        <v>45716</v>
      </c>
      <c r="D924" s="7" t="s">
        <v>228</v>
      </c>
      <c r="E924" s="7" t="s">
        <v>158</v>
      </c>
      <c r="H924" s="41" t="n">
        <v>51.07</v>
      </c>
      <c r="M924" s="6" t="n">
        <v>1</v>
      </c>
      <c r="N924" s="43" t="n">
        <f aca="false">M924*H924</f>
        <v>51.07</v>
      </c>
      <c r="O924" s="42" t="n">
        <f aca="false">N924</f>
        <v>51.07</v>
      </c>
    </row>
    <row r="925" customFormat="false" ht="15" hidden="false" customHeight="false" outlineLevel="0" collapsed="false">
      <c r="B925" s="7" t="s">
        <v>9558</v>
      </c>
      <c r="C925" s="39" t="n">
        <v>45716</v>
      </c>
      <c r="D925" s="7" t="s">
        <v>220</v>
      </c>
      <c r="E925" s="7" t="s">
        <v>180</v>
      </c>
      <c r="F925" s="6" t="n">
        <v>3.74</v>
      </c>
      <c r="G925" s="6" t="n">
        <v>0</v>
      </c>
      <c r="H925" s="41" t="n">
        <v>16.43</v>
      </c>
      <c r="I925" s="43" t="n">
        <f aca="false">F925*H925</f>
        <v>61.4482</v>
      </c>
      <c r="J925" s="43" t="n">
        <f aca="false">G925*H925*1.5</f>
        <v>0</v>
      </c>
      <c r="K925" s="6" t="n">
        <v>8.6</v>
      </c>
      <c r="L925" s="43" t="n">
        <f aca="false">K925*'Chart of Accounts'!$E$68</f>
        <v>5.762</v>
      </c>
      <c r="O925" s="42" t="n">
        <f aca="false">I925+J925+L925</f>
        <v>67.2102</v>
      </c>
    </row>
    <row r="926" customFormat="false" ht="15" hidden="false" customHeight="false" outlineLevel="0" collapsed="false">
      <c r="B926" s="7" t="s">
        <v>9559</v>
      </c>
      <c r="C926" s="39" t="n">
        <v>45716</v>
      </c>
      <c r="D926" s="7" t="s">
        <v>177</v>
      </c>
      <c r="E926" s="7" t="s">
        <v>180</v>
      </c>
      <c r="F926" s="6" t="n">
        <v>4.37</v>
      </c>
      <c r="G926" s="6" t="n">
        <v>0</v>
      </c>
      <c r="H926" s="41" t="n">
        <v>14.56</v>
      </c>
      <c r="I926" s="43" t="n">
        <f aca="false">F926*H926</f>
        <v>63.6272</v>
      </c>
      <c r="J926" s="43" t="n">
        <f aca="false">G926*H926*1.5</f>
        <v>0</v>
      </c>
      <c r="K926" s="6" t="n">
        <v>13.25</v>
      </c>
      <c r="L926" s="43" t="n">
        <f aca="false">K926*'Chart of Accounts'!$E$68</f>
        <v>8.8775</v>
      </c>
      <c r="O926" s="42" t="n">
        <f aca="false">I926+J926+L926</f>
        <v>72.5047</v>
      </c>
    </row>
    <row r="927" customFormat="false" ht="15" hidden="false" customHeight="false" outlineLevel="0" collapsed="false">
      <c r="B927" s="7" t="s">
        <v>9560</v>
      </c>
      <c r="C927" s="39" t="n">
        <v>45716</v>
      </c>
      <c r="D927" s="7" t="s">
        <v>242</v>
      </c>
      <c r="E927" s="7" t="s">
        <v>180</v>
      </c>
      <c r="F927" s="6" t="n">
        <v>7.32</v>
      </c>
      <c r="G927" s="6" t="n">
        <v>0</v>
      </c>
      <c r="H927" s="41" t="n">
        <v>17.99</v>
      </c>
      <c r="I927" s="43" t="n">
        <f aca="false">F927*H927</f>
        <v>131.6868</v>
      </c>
      <c r="J927" s="43" t="n">
        <f aca="false">G927*H927*1.5</f>
        <v>0</v>
      </c>
      <c r="K927" s="6" t="n">
        <v>17.71</v>
      </c>
      <c r="L927" s="43" t="n">
        <f aca="false">K927*'Chart of Accounts'!$E$68</f>
        <v>11.8657</v>
      </c>
      <c r="O927" s="42" t="n">
        <f aca="false">I927+J927+L927</f>
        <v>143.5525</v>
      </c>
    </row>
    <row r="928" customFormat="false" ht="15" hidden="false" customHeight="false" outlineLevel="0" collapsed="false">
      <c r="B928" s="7" t="s">
        <v>9561</v>
      </c>
      <c r="C928" s="39" t="n">
        <v>45716</v>
      </c>
      <c r="D928" s="7" t="s">
        <v>254</v>
      </c>
      <c r="E928" s="7" t="s">
        <v>180</v>
      </c>
      <c r="F928" s="6" t="n">
        <v>7.21</v>
      </c>
      <c r="G928" s="6" t="n">
        <v>0</v>
      </c>
      <c r="H928" s="41" t="n">
        <v>17.1</v>
      </c>
      <c r="I928" s="43" t="n">
        <f aca="false">F928*H928</f>
        <v>123.291</v>
      </c>
      <c r="J928" s="43" t="n">
        <f aca="false">G928*H928*1.5</f>
        <v>0</v>
      </c>
      <c r="K928" s="6" t="n">
        <v>24.07</v>
      </c>
      <c r="L928" s="43" t="n">
        <f aca="false">K928*'Chart of Accounts'!$E$68</f>
        <v>16.1269</v>
      </c>
      <c r="O928" s="42" t="n">
        <f aca="false">I928+J928+L928</f>
        <v>139.4179</v>
      </c>
    </row>
    <row r="929" customFormat="false" ht="15" hidden="false" customHeight="false" outlineLevel="0" collapsed="false">
      <c r="B929" s="7" t="s">
        <v>9562</v>
      </c>
      <c r="C929" s="39" t="n">
        <v>45716</v>
      </c>
      <c r="D929" s="7" t="s">
        <v>201</v>
      </c>
      <c r="E929" s="7" t="s">
        <v>180</v>
      </c>
      <c r="F929" s="6" t="n">
        <v>3.14</v>
      </c>
      <c r="G929" s="6" t="n">
        <v>0</v>
      </c>
      <c r="H929" s="41" t="n">
        <v>15.19</v>
      </c>
      <c r="I929" s="43" t="n">
        <f aca="false">F929*H929</f>
        <v>47.6966</v>
      </c>
      <c r="J929" s="43" t="n">
        <f aca="false">G929*H929*1.5</f>
        <v>0</v>
      </c>
      <c r="K929" s="6" t="n">
        <v>10.67</v>
      </c>
      <c r="L929" s="43" t="n">
        <f aca="false">K929*'Chart of Accounts'!$E$68</f>
        <v>7.1489</v>
      </c>
      <c r="O929" s="42" t="n">
        <f aca="false">I929+J929+L929</f>
        <v>54.8455</v>
      </c>
    </row>
    <row r="930" customFormat="false" ht="15" hidden="false" customHeight="false" outlineLevel="0" collapsed="false">
      <c r="B930" s="7" t="s">
        <v>9563</v>
      </c>
      <c r="C930" s="39" t="n">
        <v>45716</v>
      </c>
      <c r="D930" s="7" t="s">
        <v>207</v>
      </c>
      <c r="E930" s="7" t="s">
        <v>180</v>
      </c>
      <c r="F930" s="6" t="n">
        <v>3.31</v>
      </c>
      <c r="G930" s="6" t="n">
        <v>0</v>
      </c>
      <c r="H930" s="41" t="n">
        <v>16.65</v>
      </c>
      <c r="I930" s="43" t="n">
        <f aca="false">F930*H930</f>
        <v>55.1115</v>
      </c>
      <c r="J930" s="43" t="n">
        <f aca="false">G930*H930*1.5</f>
        <v>0</v>
      </c>
      <c r="K930" s="6" t="n">
        <v>7.89</v>
      </c>
      <c r="L930" s="43" t="n">
        <f aca="false">K930*'Chart of Accounts'!$E$68</f>
        <v>5.2863</v>
      </c>
      <c r="O930" s="42" t="n">
        <f aca="false">I930+J930+L930</f>
        <v>60.3978</v>
      </c>
    </row>
    <row r="931" customFormat="false" ht="15" hidden="false" customHeight="false" outlineLevel="0" collapsed="false">
      <c r="B931" s="7" t="s">
        <v>9564</v>
      </c>
      <c r="C931" s="39" t="n">
        <v>45716</v>
      </c>
      <c r="D931" s="7" t="s">
        <v>212</v>
      </c>
      <c r="E931" s="7" t="s">
        <v>180</v>
      </c>
      <c r="F931" s="6" t="n">
        <v>4.38</v>
      </c>
      <c r="G931" s="6" t="n">
        <v>0</v>
      </c>
      <c r="H931" s="41" t="n">
        <v>16.71</v>
      </c>
      <c r="I931" s="43" t="n">
        <f aca="false">F931*H931</f>
        <v>73.1898</v>
      </c>
      <c r="J931" s="43" t="n">
        <f aca="false">G931*H931*1.5</f>
        <v>0</v>
      </c>
      <c r="K931" s="6" t="n">
        <v>11.06</v>
      </c>
      <c r="L931" s="43" t="n">
        <f aca="false">K931*'Chart of Accounts'!$E$68</f>
        <v>7.4102</v>
      </c>
      <c r="O931" s="42" t="n">
        <f aca="false">I931+J931+L931</f>
        <v>80.6</v>
      </c>
    </row>
    <row r="932" customFormat="false" ht="15" hidden="false" customHeight="false" outlineLevel="0" collapsed="false">
      <c r="B932" s="7" t="s">
        <v>9565</v>
      </c>
      <c r="C932" s="39" t="n">
        <v>45716</v>
      </c>
      <c r="D932" s="7" t="s">
        <v>232</v>
      </c>
      <c r="E932" s="7" t="s">
        <v>180</v>
      </c>
      <c r="F932" s="6" t="n">
        <v>4.45</v>
      </c>
      <c r="G932" s="6" t="n">
        <v>0</v>
      </c>
      <c r="H932" s="41" t="n">
        <v>16.17</v>
      </c>
      <c r="I932" s="43" t="n">
        <f aca="false">F932*H932</f>
        <v>71.9565</v>
      </c>
      <c r="J932" s="43" t="n">
        <f aca="false">G932*H932*1.5</f>
        <v>0</v>
      </c>
      <c r="K932" s="6" t="n">
        <v>14.78</v>
      </c>
      <c r="L932" s="43" t="n">
        <f aca="false">K932*'Chart of Accounts'!$E$68</f>
        <v>9.9026</v>
      </c>
      <c r="O932" s="42" t="n">
        <f aca="false">I932+J932+L932</f>
        <v>81.8591</v>
      </c>
    </row>
    <row r="933" customFormat="false" ht="15" hidden="false" customHeight="false" outlineLevel="0" collapsed="false">
      <c r="B933" s="7" t="s">
        <v>9566</v>
      </c>
      <c r="C933" s="39" t="n">
        <v>45716</v>
      </c>
      <c r="D933" s="7" t="s">
        <v>224</v>
      </c>
      <c r="E933" s="7" t="s">
        <v>180</v>
      </c>
      <c r="F933" s="6" t="n">
        <v>4.81</v>
      </c>
      <c r="G933" s="6" t="n">
        <v>0</v>
      </c>
      <c r="H933" s="41" t="n">
        <v>14.93</v>
      </c>
      <c r="I933" s="43" t="n">
        <f aca="false">F933*H933</f>
        <v>71.8133</v>
      </c>
      <c r="J933" s="43" t="n">
        <f aca="false">G933*H933*1.5</f>
        <v>0</v>
      </c>
      <c r="K933" s="6" t="n">
        <v>10.82</v>
      </c>
      <c r="L933" s="43" t="n">
        <f aca="false">K933*'Chart of Accounts'!$E$68</f>
        <v>7.2494</v>
      </c>
      <c r="O933" s="42" t="n">
        <f aca="false">I933+J933+L933</f>
        <v>79.0627</v>
      </c>
    </row>
    <row r="934" customFormat="false" ht="15" hidden="false" customHeight="false" outlineLevel="0" collapsed="false">
      <c r="B934" s="7" t="s">
        <v>9567</v>
      </c>
      <c r="C934" s="39" t="n">
        <v>45716</v>
      </c>
      <c r="D934" s="7" t="s">
        <v>246</v>
      </c>
      <c r="E934" s="7" t="s">
        <v>180</v>
      </c>
      <c r="F934" s="6" t="n">
        <v>4.33</v>
      </c>
      <c r="G934" s="6" t="n">
        <v>0</v>
      </c>
      <c r="H934" s="41" t="n">
        <v>16.48</v>
      </c>
      <c r="I934" s="43" t="n">
        <f aca="false">F934*H934</f>
        <v>71.3584</v>
      </c>
      <c r="J934" s="43" t="n">
        <f aca="false">G934*H934*1.5</f>
        <v>0</v>
      </c>
      <c r="K934" s="6" t="n">
        <v>12.47</v>
      </c>
      <c r="L934" s="43" t="n">
        <f aca="false">K934*'Chart of Accounts'!$E$68</f>
        <v>8.3549</v>
      </c>
      <c r="O934" s="42" t="n">
        <f aca="false">I934+J934+L934</f>
        <v>79.7133</v>
      </c>
    </row>
    <row r="935" customFormat="false" ht="15" hidden="false" customHeight="false" outlineLevel="0" collapsed="false">
      <c r="B935" s="7" t="s">
        <v>9568</v>
      </c>
      <c r="C935" s="39" t="n">
        <v>45716</v>
      </c>
      <c r="D935" s="7" t="s">
        <v>222</v>
      </c>
      <c r="E935" s="7" t="s">
        <v>180</v>
      </c>
      <c r="F935" s="6" t="n">
        <v>4.29</v>
      </c>
      <c r="G935" s="6" t="n">
        <v>0</v>
      </c>
      <c r="H935" s="41" t="n">
        <v>17.84</v>
      </c>
      <c r="I935" s="43" t="n">
        <f aca="false">F935*H935</f>
        <v>76.5336</v>
      </c>
      <c r="J935" s="43" t="n">
        <f aca="false">G935*H935*1.5</f>
        <v>0</v>
      </c>
      <c r="K935" s="6" t="n">
        <v>12.54</v>
      </c>
      <c r="L935" s="43" t="n">
        <f aca="false">K935*'Chart of Accounts'!$E$68</f>
        <v>8.4018</v>
      </c>
      <c r="O935" s="42" t="n">
        <f aca="false">I935+J935+L935</f>
        <v>84.9354</v>
      </c>
    </row>
    <row r="936" customFormat="false" ht="15" hidden="false" customHeight="false" outlineLevel="0" collapsed="false">
      <c r="B936" s="7" t="s">
        <v>9569</v>
      </c>
      <c r="C936" s="39" t="n">
        <v>45716</v>
      </c>
      <c r="D936" s="7" t="s">
        <v>203</v>
      </c>
      <c r="E936" s="7" t="s">
        <v>158</v>
      </c>
      <c r="H936" s="41" t="n">
        <v>49.43</v>
      </c>
      <c r="M936" s="6" t="n">
        <v>1</v>
      </c>
      <c r="N936" s="43" t="n">
        <f aca="false">M936*H936</f>
        <v>49.43</v>
      </c>
      <c r="O936" s="42" t="n">
        <f aca="false">N936</f>
        <v>49.43</v>
      </c>
    </row>
    <row r="937" customFormat="false" ht="15" hidden="false" customHeight="false" outlineLevel="0" collapsed="false">
      <c r="B937" s="7" t="s">
        <v>9570</v>
      </c>
      <c r="C937" s="39" t="n">
        <v>45716</v>
      </c>
      <c r="D937" s="7" t="s">
        <v>262</v>
      </c>
      <c r="E937" s="7" t="s">
        <v>180</v>
      </c>
      <c r="F937" s="6" t="n">
        <v>3.14</v>
      </c>
      <c r="G937" s="6" t="n">
        <v>0</v>
      </c>
      <c r="H937" s="41" t="n">
        <v>16.02</v>
      </c>
      <c r="I937" s="43" t="n">
        <f aca="false">F937*H937</f>
        <v>50.3028</v>
      </c>
      <c r="J937" s="43" t="n">
        <f aca="false">G937*H937*1.5</f>
        <v>0</v>
      </c>
      <c r="K937" s="6" t="n">
        <v>9.49</v>
      </c>
      <c r="L937" s="43" t="n">
        <f aca="false">K937*'Chart of Accounts'!$E$68</f>
        <v>6.3583</v>
      </c>
      <c r="O937" s="42" t="n">
        <f aca="false">I937+J937+L937</f>
        <v>56.6611</v>
      </c>
    </row>
    <row r="938" customFormat="false" ht="15" hidden="false" customHeight="false" outlineLevel="0" collapsed="false">
      <c r="B938" s="7" t="s">
        <v>9571</v>
      </c>
      <c r="C938" s="39" t="n">
        <v>45716</v>
      </c>
      <c r="D938" s="7" t="s">
        <v>260</v>
      </c>
      <c r="E938" s="7" t="s">
        <v>158</v>
      </c>
      <c r="H938" s="41" t="n">
        <v>79.8</v>
      </c>
      <c r="M938" s="6" t="n">
        <v>1</v>
      </c>
      <c r="N938" s="43" t="n">
        <f aca="false">M938*H938</f>
        <v>79.8</v>
      </c>
      <c r="O938" s="42" t="n">
        <f aca="false">N938</f>
        <v>79.8</v>
      </c>
    </row>
    <row r="939" customFormat="false" ht="15" hidden="false" customHeight="false" outlineLevel="0" collapsed="false">
      <c r="B939" s="7" t="s">
        <v>9572</v>
      </c>
      <c r="C939" s="39" t="n">
        <v>45716</v>
      </c>
      <c r="D939" s="7" t="s">
        <v>214</v>
      </c>
      <c r="E939" s="7" t="s">
        <v>180</v>
      </c>
      <c r="F939" s="6" t="n">
        <v>3.32</v>
      </c>
      <c r="G939" s="6" t="n">
        <v>0</v>
      </c>
      <c r="H939" s="41" t="n">
        <v>15.67</v>
      </c>
      <c r="I939" s="43" t="n">
        <f aca="false">F939*H939</f>
        <v>52.0244</v>
      </c>
      <c r="J939" s="43" t="n">
        <f aca="false">G939*H939*1.5</f>
        <v>0</v>
      </c>
      <c r="K939" s="6" t="n">
        <v>11.23</v>
      </c>
      <c r="L939" s="43" t="n">
        <f aca="false">K939*'Chart of Accounts'!$E$68</f>
        <v>7.5241</v>
      </c>
      <c r="O939" s="42" t="n">
        <f aca="false">I939+J939+L939</f>
        <v>59.5485</v>
      </c>
    </row>
    <row r="940" customFormat="false" ht="15" hidden="false" customHeight="false" outlineLevel="0" collapsed="false">
      <c r="B940" s="7" t="s">
        <v>9573</v>
      </c>
      <c r="C940" s="39" t="n">
        <v>45717</v>
      </c>
      <c r="D940" s="7" t="s">
        <v>191</v>
      </c>
      <c r="E940" s="7" t="s">
        <v>180</v>
      </c>
      <c r="F940" s="6" t="n">
        <v>3.7</v>
      </c>
      <c r="G940" s="6" t="n">
        <v>0</v>
      </c>
      <c r="H940" s="41" t="n">
        <v>16.05</v>
      </c>
      <c r="I940" s="43" t="n">
        <f aca="false">F940*H940</f>
        <v>59.385</v>
      </c>
      <c r="J940" s="43" t="n">
        <f aca="false">G940*H940*1.5</f>
        <v>0</v>
      </c>
      <c r="K940" s="6" t="n">
        <v>12.4</v>
      </c>
      <c r="L940" s="43" t="n">
        <f aca="false">K940*'Chart of Accounts'!$E$68</f>
        <v>8.308</v>
      </c>
      <c r="O940" s="42" t="n">
        <f aca="false">I940+J940+L940</f>
        <v>67.693</v>
      </c>
    </row>
    <row r="941" customFormat="false" ht="15" hidden="false" customHeight="false" outlineLevel="0" collapsed="false">
      <c r="B941" s="7" t="s">
        <v>9574</v>
      </c>
      <c r="C941" s="39" t="n">
        <v>45717</v>
      </c>
      <c r="D941" s="7" t="s">
        <v>218</v>
      </c>
      <c r="E941" s="7" t="s">
        <v>180</v>
      </c>
      <c r="F941" s="6" t="n">
        <v>4.01</v>
      </c>
      <c r="G941" s="6" t="n">
        <v>0</v>
      </c>
      <c r="H941" s="41" t="n">
        <v>16.19</v>
      </c>
      <c r="I941" s="43" t="n">
        <f aca="false">F941*H941</f>
        <v>64.9219</v>
      </c>
      <c r="J941" s="43" t="n">
        <f aca="false">G941*H941*1.5</f>
        <v>0</v>
      </c>
      <c r="K941" s="6" t="n">
        <v>12.94</v>
      </c>
      <c r="L941" s="43" t="n">
        <f aca="false">K941*'Chart of Accounts'!$E$68</f>
        <v>8.6698</v>
      </c>
      <c r="O941" s="42" t="n">
        <f aca="false">I941+J941+L941</f>
        <v>73.5917</v>
      </c>
    </row>
    <row r="942" customFormat="false" ht="15" hidden="false" customHeight="false" outlineLevel="0" collapsed="false">
      <c r="B942" s="7" t="s">
        <v>9575</v>
      </c>
      <c r="C942" s="39" t="n">
        <v>45717</v>
      </c>
      <c r="D942" s="7" t="s">
        <v>212</v>
      </c>
      <c r="E942" s="7" t="s">
        <v>180</v>
      </c>
      <c r="F942" s="6" t="n">
        <v>3.73</v>
      </c>
      <c r="G942" s="6" t="n">
        <v>0</v>
      </c>
      <c r="H942" s="41" t="n">
        <v>16.71</v>
      </c>
      <c r="I942" s="43" t="n">
        <f aca="false">F942*H942</f>
        <v>62.3283</v>
      </c>
      <c r="J942" s="43" t="n">
        <f aca="false">G942*H942*1.5</f>
        <v>0</v>
      </c>
      <c r="K942" s="6" t="n">
        <v>12.83</v>
      </c>
      <c r="L942" s="43" t="n">
        <f aca="false">K942*'Chart of Accounts'!$E$68</f>
        <v>8.5961</v>
      </c>
      <c r="O942" s="42" t="n">
        <f aca="false">I942+J942+L942</f>
        <v>70.9244</v>
      </c>
    </row>
    <row r="943" customFormat="false" ht="15" hidden="false" customHeight="false" outlineLevel="0" collapsed="false">
      <c r="B943" s="7" t="s">
        <v>9576</v>
      </c>
      <c r="C943" s="39" t="n">
        <v>45717</v>
      </c>
      <c r="D943" s="7" t="s">
        <v>222</v>
      </c>
      <c r="E943" s="7" t="s">
        <v>180</v>
      </c>
      <c r="F943" s="6" t="n">
        <v>3.92</v>
      </c>
      <c r="G943" s="6" t="n">
        <v>0</v>
      </c>
      <c r="H943" s="41" t="n">
        <v>17.84</v>
      </c>
      <c r="I943" s="43" t="n">
        <f aca="false">F943*H943</f>
        <v>69.9328</v>
      </c>
      <c r="J943" s="43" t="n">
        <f aca="false">G943*H943*1.5</f>
        <v>0</v>
      </c>
      <c r="K943" s="6" t="n">
        <v>13.58</v>
      </c>
      <c r="L943" s="43" t="n">
        <f aca="false">K943*'Chart of Accounts'!$E$68</f>
        <v>9.0986</v>
      </c>
      <c r="O943" s="42" t="n">
        <f aca="false">I943+J943+L943</f>
        <v>79.0314</v>
      </c>
    </row>
    <row r="944" customFormat="false" ht="15" hidden="false" customHeight="false" outlineLevel="0" collapsed="false">
      <c r="B944" s="7" t="s">
        <v>9577</v>
      </c>
      <c r="C944" s="39" t="n">
        <v>45717</v>
      </c>
      <c r="D944" s="7" t="s">
        <v>242</v>
      </c>
      <c r="E944" s="7" t="s">
        <v>180</v>
      </c>
      <c r="F944" s="6" t="n">
        <v>4.3</v>
      </c>
      <c r="G944" s="6" t="n">
        <v>0</v>
      </c>
      <c r="H944" s="41" t="n">
        <v>17.99</v>
      </c>
      <c r="I944" s="43" t="n">
        <f aca="false">F944*H944</f>
        <v>77.357</v>
      </c>
      <c r="J944" s="43" t="n">
        <f aca="false">G944*H944*1.5</f>
        <v>0</v>
      </c>
      <c r="K944" s="6" t="n">
        <v>11.56</v>
      </c>
      <c r="L944" s="43" t="n">
        <f aca="false">K944*'Chart of Accounts'!$E$68</f>
        <v>7.7452</v>
      </c>
      <c r="O944" s="42" t="n">
        <f aca="false">I944+J944+L944</f>
        <v>85.1022</v>
      </c>
    </row>
    <row r="945" customFormat="false" ht="15" hidden="false" customHeight="false" outlineLevel="0" collapsed="false">
      <c r="B945" s="7" t="s">
        <v>9578</v>
      </c>
      <c r="C945" s="39" t="n">
        <v>45717</v>
      </c>
      <c r="D945" s="7" t="s">
        <v>254</v>
      </c>
      <c r="E945" s="7" t="s">
        <v>180</v>
      </c>
      <c r="F945" s="6" t="n">
        <v>4.36</v>
      </c>
      <c r="G945" s="6" t="n">
        <v>0</v>
      </c>
      <c r="H945" s="41" t="n">
        <v>17.1</v>
      </c>
      <c r="I945" s="43" t="n">
        <f aca="false">F945*H945</f>
        <v>74.556</v>
      </c>
      <c r="J945" s="43" t="n">
        <f aca="false">G945*H945*1.5</f>
        <v>0</v>
      </c>
      <c r="K945" s="6" t="n">
        <v>14.13</v>
      </c>
      <c r="L945" s="43" t="n">
        <f aca="false">K945*'Chart of Accounts'!$E$68</f>
        <v>9.4671</v>
      </c>
      <c r="O945" s="42" t="n">
        <f aca="false">I945+J945+L945</f>
        <v>84.0231</v>
      </c>
    </row>
    <row r="946" customFormat="false" ht="15" hidden="false" customHeight="false" outlineLevel="0" collapsed="false">
      <c r="B946" s="7" t="s">
        <v>9579</v>
      </c>
      <c r="C946" s="39" t="n">
        <v>45718</v>
      </c>
      <c r="D946" s="7" t="s">
        <v>191</v>
      </c>
      <c r="E946" s="7" t="s">
        <v>180</v>
      </c>
      <c r="F946" s="6" t="n">
        <v>3.98</v>
      </c>
      <c r="G946" s="6" t="n">
        <v>0</v>
      </c>
      <c r="H946" s="41" t="n">
        <v>16.05</v>
      </c>
      <c r="I946" s="43" t="n">
        <f aca="false">F946*H946</f>
        <v>63.879</v>
      </c>
      <c r="J946" s="43" t="n">
        <f aca="false">G946*H946*1.5</f>
        <v>0</v>
      </c>
      <c r="K946" s="6" t="n">
        <v>12.82</v>
      </c>
      <c r="L946" s="43" t="n">
        <f aca="false">K946*'Chart of Accounts'!$E$68</f>
        <v>8.5894</v>
      </c>
      <c r="O946" s="42" t="n">
        <f aca="false">I946+J946+L946</f>
        <v>72.4684</v>
      </c>
    </row>
    <row r="947" customFormat="false" ht="15" hidden="false" customHeight="false" outlineLevel="0" collapsed="false">
      <c r="B947" s="7" t="s">
        <v>9580</v>
      </c>
      <c r="C947" s="39" t="n">
        <v>45718</v>
      </c>
      <c r="D947" s="7" t="s">
        <v>218</v>
      </c>
      <c r="E947" s="7" t="s">
        <v>180</v>
      </c>
      <c r="F947" s="6" t="n">
        <v>3.93</v>
      </c>
      <c r="G947" s="6" t="n">
        <v>0</v>
      </c>
      <c r="H947" s="41" t="n">
        <v>16.19</v>
      </c>
      <c r="I947" s="43" t="n">
        <f aca="false">F947*H947</f>
        <v>63.6267</v>
      </c>
      <c r="J947" s="43" t="n">
        <f aca="false">G947*H947*1.5</f>
        <v>0</v>
      </c>
      <c r="K947" s="6" t="n">
        <v>10.35</v>
      </c>
      <c r="L947" s="43" t="n">
        <f aca="false">K947*'Chart of Accounts'!$E$68</f>
        <v>6.9345</v>
      </c>
      <c r="O947" s="42" t="n">
        <f aca="false">I947+J947+L947</f>
        <v>70.5612</v>
      </c>
    </row>
    <row r="948" customFormat="false" ht="15" hidden="false" customHeight="false" outlineLevel="0" collapsed="false">
      <c r="B948" s="7" t="s">
        <v>9581</v>
      </c>
      <c r="C948" s="39" t="n">
        <v>45718</v>
      </c>
      <c r="D948" s="7" t="s">
        <v>212</v>
      </c>
      <c r="E948" s="7" t="s">
        <v>180</v>
      </c>
      <c r="F948" s="6" t="n">
        <v>4.21</v>
      </c>
      <c r="G948" s="6" t="n">
        <v>0</v>
      </c>
      <c r="H948" s="41" t="n">
        <v>16.71</v>
      </c>
      <c r="I948" s="43" t="n">
        <f aca="false">F948*H948</f>
        <v>70.3491</v>
      </c>
      <c r="J948" s="43" t="n">
        <f aca="false">G948*H948*1.5</f>
        <v>0</v>
      </c>
      <c r="K948" s="6" t="n">
        <v>14.93</v>
      </c>
      <c r="L948" s="43" t="n">
        <f aca="false">K948*'Chart of Accounts'!$E$68</f>
        <v>10.0031</v>
      </c>
      <c r="O948" s="42" t="n">
        <f aca="false">I948+J948+L948</f>
        <v>80.3522</v>
      </c>
    </row>
    <row r="949" customFormat="false" ht="15" hidden="false" customHeight="false" outlineLevel="0" collapsed="false">
      <c r="B949" s="7" t="s">
        <v>9582</v>
      </c>
      <c r="C949" s="39" t="n">
        <v>45718</v>
      </c>
      <c r="D949" s="7" t="s">
        <v>222</v>
      </c>
      <c r="E949" s="7" t="s">
        <v>180</v>
      </c>
      <c r="F949" s="6" t="n">
        <v>3.73</v>
      </c>
      <c r="G949" s="6" t="n">
        <v>0</v>
      </c>
      <c r="H949" s="41" t="n">
        <v>17.84</v>
      </c>
      <c r="I949" s="43" t="n">
        <f aca="false">F949*H949</f>
        <v>66.5432</v>
      </c>
      <c r="J949" s="43" t="n">
        <f aca="false">G949*H949*1.5</f>
        <v>0</v>
      </c>
      <c r="K949" s="6" t="n">
        <v>13.07</v>
      </c>
      <c r="L949" s="43" t="n">
        <f aca="false">K949*'Chart of Accounts'!$E$68</f>
        <v>8.7569</v>
      </c>
      <c r="O949" s="42" t="n">
        <f aca="false">I949+J949+L949</f>
        <v>75.3001</v>
      </c>
    </row>
    <row r="950" customFormat="false" ht="15" hidden="false" customHeight="false" outlineLevel="0" collapsed="false">
      <c r="B950" s="7" t="s">
        <v>9583</v>
      </c>
      <c r="C950" s="39" t="n">
        <v>45718</v>
      </c>
      <c r="D950" s="7" t="s">
        <v>242</v>
      </c>
      <c r="E950" s="7" t="s">
        <v>180</v>
      </c>
      <c r="F950" s="6" t="n">
        <v>4.08</v>
      </c>
      <c r="G950" s="6" t="n">
        <v>0</v>
      </c>
      <c r="H950" s="41" t="n">
        <v>17.99</v>
      </c>
      <c r="I950" s="43" t="n">
        <f aca="false">F950*H950</f>
        <v>73.3992</v>
      </c>
      <c r="J950" s="43" t="n">
        <f aca="false">G950*H950*1.5</f>
        <v>0</v>
      </c>
      <c r="K950" s="6" t="n">
        <v>14.54</v>
      </c>
      <c r="L950" s="43" t="n">
        <f aca="false">K950*'Chart of Accounts'!$E$68</f>
        <v>9.7418</v>
      </c>
      <c r="O950" s="42" t="n">
        <f aca="false">I950+J950+L950</f>
        <v>83.141</v>
      </c>
    </row>
    <row r="951" customFormat="false" ht="15" hidden="false" customHeight="false" outlineLevel="0" collapsed="false">
      <c r="B951" s="7" t="s">
        <v>9584</v>
      </c>
      <c r="C951" s="39" t="n">
        <v>45719</v>
      </c>
      <c r="D951" s="7" t="s">
        <v>187</v>
      </c>
      <c r="E951" s="7" t="s">
        <v>158</v>
      </c>
      <c r="H951" s="41" t="n">
        <v>66.48</v>
      </c>
      <c r="M951" s="6" t="n">
        <v>1</v>
      </c>
      <c r="N951" s="43" t="n">
        <f aca="false">M951*H951</f>
        <v>66.48</v>
      </c>
      <c r="O951" s="42" t="n">
        <f aca="false">N951</f>
        <v>66.48</v>
      </c>
    </row>
    <row r="952" customFormat="false" ht="15" hidden="false" customHeight="false" outlineLevel="0" collapsed="false">
      <c r="B952" s="7" t="s">
        <v>9585</v>
      </c>
      <c r="C952" s="39" t="n">
        <v>45719</v>
      </c>
      <c r="D952" s="7" t="s">
        <v>191</v>
      </c>
      <c r="E952" s="7" t="s">
        <v>180</v>
      </c>
      <c r="F952" s="6" t="n">
        <v>3.72</v>
      </c>
      <c r="G952" s="6" t="n">
        <v>0</v>
      </c>
      <c r="H952" s="41" t="n">
        <v>16.05</v>
      </c>
      <c r="I952" s="43" t="n">
        <f aca="false">F952*H952</f>
        <v>59.706</v>
      </c>
      <c r="J952" s="43" t="n">
        <f aca="false">G952*H952*1.5</f>
        <v>0</v>
      </c>
      <c r="K952" s="6" t="n">
        <v>11.39</v>
      </c>
      <c r="L952" s="43" t="n">
        <f aca="false">K952*'Chart of Accounts'!$E$68</f>
        <v>7.6313</v>
      </c>
      <c r="O952" s="42" t="n">
        <f aca="false">I952+J952+L952</f>
        <v>67.3373</v>
      </c>
    </row>
    <row r="953" customFormat="false" ht="15" hidden="false" customHeight="false" outlineLevel="0" collapsed="false">
      <c r="B953" s="7" t="s">
        <v>9586</v>
      </c>
      <c r="C953" s="39" t="n">
        <v>45719</v>
      </c>
      <c r="D953" s="7" t="s">
        <v>194</v>
      </c>
      <c r="E953" s="7" t="s">
        <v>180</v>
      </c>
      <c r="F953" s="6" t="n">
        <v>4.77</v>
      </c>
      <c r="G953" s="6" t="n">
        <v>0</v>
      </c>
      <c r="H953" s="41" t="n">
        <v>16</v>
      </c>
      <c r="I953" s="43" t="n">
        <f aca="false">F953*H953</f>
        <v>76.32</v>
      </c>
      <c r="J953" s="43" t="n">
        <f aca="false">G953*H953*1.5</f>
        <v>0</v>
      </c>
      <c r="K953" s="6" t="n">
        <v>16.33</v>
      </c>
      <c r="L953" s="43" t="n">
        <f aca="false">K953*'Chart of Accounts'!$E$68</f>
        <v>10.9411</v>
      </c>
      <c r="O953" s="42" t="n">
        <f aca="false">I953+J953+L953</f>
        <v>87.2611</v>
      </c>
    </row>
    <row r="954" customFormat="false" ht="15" hidden="false" customHeight="false" outlineLevel="0" collapsed="false">
      <c r="B954" s="7" t="s">
        <v>9587</v>
      </c>
      <c r="C954" s="39" t="n">
        <v>45719</v>
      </c>
      <c r="D954" s="7" t="s">
        <v>201</v>
      </c>
      <c r="E954" s="7" t="s">
        <v>180</v>
      </c>
      <c r="F954" s="6" t="n">
        <v>6.14</v>
      </c>
      <c r="G954" s="6" t="n">
        <v>0</v>
      </c>
      <c r="H954" s="41" t="n">
        <v>15.19</v>
      </c>
      <c r="I954" s="43" t="n">
        <f aca="false">F954*H954</f>
        <v>93.2666</v>
      </c>
      <c r="J954" s="43" t="n">
        <f aca="false">G954*H954*1.5</f>
        <v>0</v>
      </c>
      <c r="K954" s="6" t="n">
        <v>14.45</v>
      </c>
      <c r="L954" s="43" t="n">
        <f aca="false">K954*'Chart of Accounts'!$E$68</f>
        <v>9.6815</v>
      </c>
      <c r="O954" s="42" t="n">
        <f aca="false">I954+J954+L954</f>
        <v>102.9481</v>
      </c>
    </row>
    <row r="955" customFormat="false" ht="15" hidden="false" customHeight="false" outlineLevel="0" collapsed="false">
      <c r="B955" s="7" t="s">
        <v>9588</v>
      </c>
      <c r="C955" s="39" t="n">
        <v>45719</v>
      </c>
      <c r="D955" s="7" t="s">
        <v>205</v>
      </c>
      <c r="E955" s="7" t="s">
        <v>180</v>
      </c>
      <c r="F955" s="6" t="n">
        <v>3.7</v>
      </c>
      <c r="G955" s="6" t="n">
        <v>0</v>
      </c>
      <c r="H955" s="41" t="n">
        <v>16.36</v>
      </c>
      <c r="I955" s="43" t="n">
        <f aca="false">F955*H955</f>
        <v>60.532</v>
      </c>
      <c r="J955" s="43" t="n">
        <f aca="false">G955*H955*1.5</f>
        <v>0</v>
      </c>
      <c r="K955" s="6" t="n">
        <v>11.72</v>
      </c>
      <c r="L955" s="43" t="n">
        <f aca="false">K955*'Chart of Accounts'!$E$68</f>
        <v>7.8524</v>
      </c>
      <c r="O955" s="42" t="n">
        <f aca="false">I955+J955+L955</f>
        <v>68.3844</v>
      </c>
    </row>
    <row r="956" customFormat="false" ht="15" hidden="false" customHeight="false" outlineLevel="0" collapsed="false">
      <c r="B956" s="7" t="s">
        <v>9589</v>
      </c>
      <c r="C956" s="39" t="n">
        <v>45719</v>
      </c>
      <c r="D956" s="7" t="s">
        <v>252</v>
      </c>
      <c r="E956" s="7" t="s">
        <v>158</v>
      </c>
      <c r="H956" s="41" t="n">
        <v>57.54</v>
      </c>
      <c r="M956" s="6" t="n">
        <v>1</v>
      </c>
      <c r="N956" s="43" t="n">
        <f aca="false">M956*H956</f>
        <v>57.54</v>
      </c>
      <c r="O956" s="42" t="n">
        <f aca="false">N956</f>
        <v>57.54</v>
      </c>
    </row>
    <row r="957" customFormat="false" ht="15" hidden="false" customHeight="false" outlineLevel="0" collapsed="false">
      <c r="B957" s="7" t="s">
        <v>9590</v>
      </c>
      <c r="C957" s="39" t="n">
        <v>45719</v>
      </c>
      <c r="D957" s="7" t="s">
        <v>196</v>
      </c>
      <c r="E957" s="7" t="s">
        <v>180</v>
      </c>
      <c r="F957" s="6" t="n">
        <v>6.28</v>
      </c>
      <c r="G957" s="6" t="n">
        <v>0</v>
      </c>
      <c r="H957" s="41" t="n">
        <v>15.05</v>
      </c>
      <c r="I957" s="43" t="n">
        <f aca="false">F957*H957</f>
        <v>94.514</v>
      </c>
      <c r="J957" s="43" t="n">
        <f aca="false">G957*H957*1.5</f>
        <v>0</v>
      </c>
      <c r="K957" s="6" t="n">
        <v>21.36</v>
      </c>
      <c r="L957" s="43" t="n">
        <f aca="false">K957*'Chart of Accounts'!$E$68</f>
        <v>14.3112</v>
      </c>
      <c r="O957" s="42" t="n">
        <f aca="false">I957+J957+L957</f>
        <v>108.8252</v>
      </c>
    </row>
    <row r="958" customFormat="false" ht="15" hidden="false" customHeight="false" outlineLevel="0" collapsed="false">
      <c r="B958" s="7" t="s">
        <v>9591</v>
      </c>
      <c r="C958" s="39" t="n">
        <v>45719</v>
      </c>
      <c r="D958" s="7" t="s">
        <v>184</v>
      </c>
      <c r="E958" s="7" t="s">
        <v>180</v>
      </c>
      <c r="F958" s="6" t="n">
        <v>4.02</v>
      </c>
      <c r="G958" s="6" t="n">
        <v>0</v>
      </c>
      <c r="H958" s="41" t="n">
        <v>17.34</v>
      </c>
      <c r="I958" s="43" t="n">
        <f aca="false">F958*H958</f>
        <v>69.7068</v>
      </c>
      <c r="J958" s="43" t="n">
        <f aca="false">G958*H958*1.5</f>
        <v>0</v>
      </c>
      <c r="K958" s="6" t="n">
        <v>10.61</v>
      </c>
      <c r="L958" s="43" t="n">
        <f aca="false">K958*'Chart of Accounts'!$E$68</f>
        <v>7.1087</v>
      </c>
      <c r="O958" s="42" t="n">
        <f aca="false">I958+J958+L958</f>
        <v>76.8155</v>
      </c>
    </row>
    <row r="959" customFormat="false" ht="15" hidden="false" customHeight="false" outlineLevel="0" collapsed="false">
      <c r="B959" s="7" t="s">
        <v>9592</v>
      </c>
      <c r="C959" s="39" t="n">
        <v>45719</v>
      </c>
      <c r="D959" s="7" t="s">
        <v>207</v>
      </c>
      <c r="E959" s="7" t="s">
        <v>180</v>
      </c>
      <c r="F959" s="6" t="n">
        <v>6.29</v>
      </c>
      <c r="G959" s="6" t="n">
        <v>0</v>
      </c>
      <c r="H959" s="41" t="n">
        <v>16.65</v>
      </c>
      <c r="I959" s="43" t="n">
        <f aca="false">F959*H959</f>
        <v>104.7285</v>
      </c>
      <c r="J959" s="43" t="n">
        <f aca="false">G959*H959*1.5</f>
        <v>0</v>
      </c>
      <c r="K959" s="6" t="n">
        <v>18.21</v>
      </c>
      <c r="L959" s="43" t="n">
        <f aca="false">K959*'Chart of Accounts'!$E$68</f>
        <v>12.2007</v>
      </c>
      <c r="O959" s="42" t="n">
        <f aca="false">I959+J959+L959</f>
        <v>116.9292</v>
      </c>
    </row>
    <row r="960" customFormat="false" ht="15" hidden="false" customHeight="false" outlineLevel="0" collapsed="false">
      <c r="B960" s="7" t="s">
        <v>9593</v>
      </c>
      <c r="C960" s="39" t="n">
        <v>45719</v>
      </c>
      <c r="D960" s="7" t="s">
        <v>218</v>
      </c>
      <c r="E960" s="7" t="s">
        <v>180</v>
      </c>
      <c r="F960" s="6" t="n">
        <v>4.19</v>
      </c>
      <c r="G960" s="6" t="n">
        <v>0</v>
      </c>
      <c r="H960" s="41" t="n">
        <v>16.19</v>
      </c>
      <c r="I960" s="43" t="n">
        <f aca="false">F960*H960</f>
        <v>67.8361</v>
      </c>
      <c r="J960" s="43" t="n">
        <f aca="false">G960*H960*1.5</f>
        <v>0</v>
      </c>
      <c r="K960" s="6" t="n">
        <v>9.93</v>
      </c>
      <c r="L960" s="43" t="n">
        <f aca="false">K960*'Chart of Accounts'!$E$68</f>
        <v>6.6531</v>
      </c>
      <c r="O960" s="42" t="n">
        <f aca="false">I960+J960+L960</f>
        <v>74.4892</v>
      </c>
    </row>
    <row r="961" customFormat="false" ht="15" hidden="false" customHeight="false" outlineLevel="0" collapsed="false">
      <c r="B961" s="7" t="s">
        <v>9594</v>
      </c>
      <c r="C961" s="39" t="n">
        <v>45719</v>
      </c>
      <c r="D961" s="7" t="s">
        <v>212</v>
      </c>
      <c r="E961" s="7" t="s">
        <v>180</v>
      </c>
      <c r="F961" s="6" t="n">
        <v>7.15</v>
      </c>
      <c r="G961" s="6" t="n">
        <v>0</v>
      </c>
      <c r="H961" s="41" t="n">
        <v>16.71</v>
      </c>
      <c r="I961" s="43" t="n">
        <f aca="false">F961*H961</f>
        <v>119.4765</v>
      </c>
      <c r="J961" s="43" t="n">
        <f aca="false">G961*H961*1.5</f>
        <v>0</v>
      </c>
      <c r="K961" s="6" t="n">
        <v>25.06</v>
      </c>
      <c r="L961" s="43" t="n">
        <f aca="false">K961*'Chart of Accounts'!$E$68</f>
        <v>16.7902</v>
      </c>
      <c r="O961" s="42" t="n">
        <f aca="false">I961+J961+L961</f>
        <v>136.2667</v>
      </c>
    </row>
    <row r="962" customFormat="false" ht="15" hidden="false" customHeight="false" outlineLevel="0" collapsed="false">
      <c r="B962" s="7" t="s">
        <v>9595</v>
      </c>
      <c r="C962" s="39" t="n">
        <v>45719</v>
      </c>
      <c r="D962" s="7" t="s">
        <v>220</v>
      </c>
      <c r="E962" s="7" t="s">
        <v>180</v>
      </c>
      <c r="F962" s="6" t="n">
        <v>3.79</v>
      </c>
      <c r="G962" s="6" t="n">
        <v>0</v>
      </c>
      <c r="H962" s="41" t="n">
        <v>16.43</v>
      </c>
      <c r="I962" s="43" t="n">
        <f aca="false">F962*H962</f>
        <v>62.2697</v>
      </c>
      <c r="J962" s="43" t="n">
        <f aca="false">G962*H962*1.5</f>
        <v>0</v>
      </c>
      <c r="K962" s="6" t="n">
        <v>10.63</v>
      </c>
      <c r="L962" s="43" t="n">
        <f aca="false">K962*'Chart of Accounts'!$E$68</f>
        <v>7.1221</v>
      </c>
      <c r="O962" s="42" t="n">
        <f aca="false">I962+J962+L962</f>
        <v>69.3918</v>
      </c>
    </row>
    <row r="963" customFormat="false" ht="15" hidden="false" customHeight="false" outlineLevel="0" collapsed="false">
      <c r="B963" s="7" t="s">
        <v>9596</v>
      </c>
      <c r="C963" s="39" t="n">
        <v>45719</v>
      </c>
      <c r="D963" s="7" t="s">
        <v>224</v>
      </c>
      <c r="E963" s="7" t="s">
        <v>180</v>
      </c>
      <c r="F963" s="6" t="n">
        <v>9.14</v>
      </c>
      <c r="G963" s="6" t="n">
        <v>0</v>
      </c>
      <c r="H963" s="41" t="n">
        <v>14.93</v>
      </c>
      <c r="I963" s="43" t="n">
        <f aca="false">F963*H963</f>
        <v>136.4602</v>
      </c>
      <c r="J963" s="43" t="n">
        <f aca="false">G963*H963*1.5</f>
        <v>0</v>
      </c>
      <c r="K963" s="6" t="n">
        <v>23.06</v>
      </c>
      <c r="L963" s="43" t="n">
        <f aca="false">K963*'Chart of Accounts'!$E$68</f>
        <v>15.4502</v>
      </c>
      <c r="O963" s="42" t="n">
        <f aca="false">I963+J963+L963</f>
        <v>151.9104</v>
      </c>
    </row>
    <row r="964" customFormat="false" ht="15" hidden="false" customHeight="false" outlineLevel="0" collapsed="false">
      <c r="B964" s="7" t="s">
        <v>9597</v>
      </c>
      <c r="C964" s="39" t="n">
        <v>45719</v>
      </c>
      <c r="D964" s="7" t="s">
        <v>177</v>
      </c>
      <c r="E964" s="7" t="s">
        <v>180</v>
      </c>
      <c r="F964" s="6" t="n">
        <v>4.17</v>
      </c>
      <c r="G964" s="6" t="n">
        <v>0</v>
      </c>
      <c r="H964" s="41" t="n">
        <v>14.56</v>
      </c>
      <c r="I964" s="43" t="n">
        <f aca="false">F964*H964</f>
        <v>60.7152</v>
      </c>
      <c r="J964" s="43" t="n">
        <f aca="false">G964*H964*1.5</f>
        <v>0</v>
      </c>
      <c r="K964" s="6" t="n">
        <v>14.77</v>
      </c>
      <c r="L964" s="43" t="n">
        <f aca="false">K964*'Chart of Accounts'!$E$68</f>
        <v>9.8959</v>
      </c>
      <c r="O964" s="42" t="n">
        <f aca="false">I964+J964+L964</f>
        <v>70.6111</v>
      </c>
    </row>
    <row r="965" customFormat="false" ht="15" hidden="false" customHeight="false" outlineLevel="0" collapsed="false">
      <c r="B965" s="7" t="s">
        <v>9598</v>
      </c>
      <c r="C965" s="39" t="n">
        <v>45719</v>
      </c>
      <c r="D965" s="7" t="s">
        <v>242</v>
      </c>
      <c r="E965" s="7" t="s">
        <v>180</v>
      </c>
      <c r="F965" s="6" t="n">
        <v>6.95</v>
      </c>
      <c r="G965" s="6" t="n">
        <v>0</v>
      </c>
      <c r="H965" s="41" t="n">
        <v>17.99</v>
      </c>
      <c r="I965" s="43" t="n">
        <f aca="false">F965*H965</f>
        <v>125.0305</v>
      </c>
      <c r="J965" s="43" t="n">
        <f aca="false">G965*H965*1.5</f>
        <v>0</v>
      </c>
      <c r="K965" s="6" t="n">
        <v>21.44</v>
      </c>
      <c r="L965" s="43" t="n">
        <f aca="false">K965*'Chart of Accounts'!$E$68</f>
        <v>14.3648</v>
      </c>
      <c r="O965" s="42" t="n">
        <f aca="false">I965+J965+L965</f>
        <v>139.3953</v>
      </c>
    </row>
    <row r="966" customFormat="false" ht="15" hidden="false" customHeight="false" outlineLevel="0" collapsed="false">
      <c r="B966" s="7" t="s">
        <v>9599</v>
      </c>
      <c r="C966" s="39" t="n">
        <v>45719</v>
      </c>
      <c r="D966" s="7" t="s">
        <v>222</v>
      </c>
      <c r="E966" s="7" t="s">
        <v>180</v>
      </c>
      <c r="F966" s="6" t="n">
        <v>6.74</v>
      </c>
      <c r="G966" s="6" t="n">
        <v>0</v>
      </c>
      <c r="H966" s="41" t="n">
        <v>17.84</v>
      </c>
      <c r="I966" s="43" t="n">
        <f aca="false">F966*H966</f>
        <v>120.2416</v>
      </c>
      <c r="J966" s="43" t="n">
        <f aca="false">G966*H966*1.5</f>
        <v>0</v>
      </c>
      <c r="K966" s="6" t="n">
        <v>16.07</v>
      </c>
      <c r="L966" s="43" t="n">
        <f aca="false">K966*'Chart of Accounts'!$E$68</f>
        <v>10.7669</v>
      </c>
      <c r="O966" s="42" t="n">
        <f aca="false">I966+J966+L966</f>
        <v>131.0085</v>
      </c>
    </row>
    <row r="967" customFormat="false" ht="15" hidden="false" customHeight="false" outlineLevel="0" collapsed="false">
      <c r="B967" s="7" t="s">
        <v>9600</v>
      </c>
      <c r="C967" s="39" t="n">
        <v>45719</v>
      </c>
      <c r="D967" s="7" t="s">
        <v>262</v>
      </c>
      <c r="E967" s="7" t="s">
        <v>180</v>
      </c>
      <c r="F967" s="6" t="n">
        <v>7.29</v>
      </c>
      <c r="G967" s="6" t="n">
        <v>0</v>
      </c>
      <c r="H967" s="41" t="n">
        <v>16.02</v>
      </c>
      <c r="I967" s="43" t="n">
        <f aca="false">F967*H967</f>
        <v>116.7858</v>
      </c>
      <c r="J967" s="43" t="n">
        <f aca="false">G967*H967*1.5</f>
        <v>0</v>
      </c>
      <c r="K967" s="6" t="n">
        <v>18.87</v>
      </c>
      <c r="L967" s="43" t="n">
        <f aca="false">K967*'Chart of Accounts'!$E$68</f>
        <v>12.6429</v>
      </c>
      <c r="O967" s="42" t="n">
        <f aca="false">I967+J967+L967</f>
        <v>129.4287</v>
      </c>
    </row>
    <row r="968" customFormat="false" ht="15" hidden="false" customHeight="false" outlineLevel="0" collapsed="false">
      <c r="B968" s="7" t="s">
        <v>9601</v>
      </c>
      <c r="C968" s="39" t="n">
        <v>45719</v>
      </c>
      <c r="D968" s="7" t="s">
        <v>254</v>
      </c>
      <c r="E968" s="7" t="s">
        <v>180</v>
      </c>
      <c r="F968" s="6" t="n">
        <v>7.53</v>
      </c>
      <c r="G968" s="6" t="n">
        <v>0</v>
      </c>
      <c r="H968" s="41" t="n">
        <v>17.1</v>
      </c>
      <c r="I968" s="43" t="n">
        <f aca="false">F968*H968</f>
        <v>128.763</v>
      </c>
      <c r="J968" s="43" t="n">
        <f aca="false">G968*H968*1.5</f>
        <v>0</v>
      </c>
      <c r="K968" s="6" t="n">
        <v>19.16</v>
      </c>
      <c r="L968" s="43" t="n">
        <f aca="false">K968*'Chart of Accounts'!$E$68</f>
        <v>12.8372</v>
      </c>
      <c r="O968" s="42" t="n">
        <f aca="false">I968+J968+L968</f>
        <v>141.6002</v>
      </c>
    </row>
    <row r="969" customFormat="false" ht="15" hidden="false" customHeight="false" outlineLevel="0" collapsed="false">
      <c r="B969" s="7" t="s">
        <v>9602</v>
      </c>
      <c r="C969" s="39" t="n">
        <v>45719</v>
      </c>
      <c r="D969" s="7" t="s">
        <v>246</v>
      </c>
      <c r="E969" s="7" t="s">
        <v>180</v>
      </c>
      <c r="F969" s="6" t="n">
        <v>8.03</v>
      </c>
      <c r="G969" s="6" t="n">
        <v>0</v>
      </c>
      <c r="H969" s="41" t="n">
        <v>16.48</v>
      </c>
      <c r="I969" s="43" t="n">
        <f aca="false">F969*H969</f>
        <v>132.3344</v>
      </c>
      <c r="J969" s="43" t="n">
        <f aca="false">G969*H969*1.5</f>
        <v>0</v>
      </c>
      <c r="K969" s="6" t="n">
        <v>27.11</v>
      </c>
      <c r="L969" s="43" t="n">
        <f aca="false">K969*'Chart of Accounts'!$E$68</f>
        <v>18.1637</v>
      </c>
      <c r="O969" s="42" t="n">
        <f aca="false">I969+J969+L969</f>
        <v>150.4981</v>
      </c>
    </row>
    <row r="970" customFormat="false" ht="15" hidden="false" customHeight="false" outlineLevel="0" collapsed="false">
      <c r="B970" s="7" t="s">
        <v>9603</v>
      </c>
      <c r="C970" s="39" t="n">
        <v>45719</v>
      </c>
      <c r="D970" s="7" t="s">
        <v>232</v>
      </c>
      <c r="E970" s="7" t="s">
        <v>180</v>
      </c>
      <c r="F970" s="6" t="n">
        <v>4.31</v>
      </c>
      <c r="G970" s="6" t="n">
        <v>0</v>
      </c>
      <c r="H970" s="41" t="n">
        <v>16.17</v>
      </c>
      <c r="I970" s="43" t="n">
        <f aca="false">F970*H970</f>
        <v>69.6927</v>
      </c>
      <c r="J970" s="43" t="n">
        <f aca="false">G970*H970*1.5</f>
        <v>0</v>
      </c>
      <c r="K970" s="6" t="n">
        <v>12.08</v>
      </c>
      <c r="L970" s="43" t="n">
        <f aca="false">K970*'Chart of Accounts'!$E$68</f>
        <v>8.0936</v>
      </c>
      <c r="O970" s="42" t="n">
        <f aca="false">I970+J970+L970</f>
        <v>77.7863</v>
      </c>
    </row>
    <row r="971" customFormat="false" ht="15" hidden="false" customHeight="false" outlineLevel="0" collapsed="false">
      <c r="B971" s="7" t="s">
        <v>9604</v>
      </c>
      <c r="C971" s="39" t="n">
        <v>45719</v>
      </c>
      <c r="D971" s="7" t="s">
        <v>214</v>
      </c>
      <c r="E971" s="7" t="s">
        <v>180</v>
      </c>
      <c r="F971" s="6" t="n">
        <v>7.27</v>
      </c>
      <c r="G971" s="6" t="n">
        <v>0</v>
      </c>
      <c r="H971" s="41" t="n">
        <v>15.67</v>
      </c>
      <c r="I971" s="43" t="n">
        <f aca="false">F971*H971</f>
        <v>113.9209</v>
      </c>
      <c r="J971" s="43" t="n">
        <f aca="false">G971*H971*1.5</f>
        <v>0</v>
      </c>
      <c r="K971" s="6" t="n">
        <v>23.58</v>
      </c>
      <c r="L971" s="43" t="n">
        <f aca="false">K971*'Chart of Accounts'!$E$68</f>
        <v>15.7986</v>
      </c>
      <c r="O971" s="42" t="n">
        <f aca="false">I971+J971+L971</f>
        <v>129.7195</v>
      </c>
    </row>
    <row r="972" customFormat="false" ht="15" hidden="false" customHeight="false" outlineLevel="0" collapsed="false">
      <c r="B972" s="7" t="s">
        <v>9605</v>
      </c>
      <c r="C972" s="39" t="n">
        <v>45720</v>
      </c>
      <c r="D972" s="7" t="s">
        <v>191</v>
      </c>
      <c r="E972" s="7" t="s">
        <v>180</v>
      </c>
      <c r="F972" s="6" t="n">
        <v>4.34</v>
      </c>
      <c r="G972" s="6" t="n">
        <v>0</v>
      </c>
      <c r="H972" s="41" t="n">
        <v>16.05</v>
      </c>
      <c r="I972" s="43" t="n">
        <f aca="false">F972*H972</f>
        <v>69.657</v>
      </c>
      <c r="J972" s="43" t="n">
        <f aca="false">G972*H972*1.5</f>
        <v>0</v>
      </c>
      <c r="K972" s="6" t="n">
        <v>10.36</v>
      </c>
      <c r="L972" s="43" t="n">
        <f aca="false">K972*'Chart of Accounts'!$E$68</f>
        <v>6.9412</v>
      </c>
      <c r="O972" s="42" t="n">
        <f aca="false">I972+J972+L972</f>
        <v>76.5982</v>
      </c>
    </row>
    <row r="973" customFormat="false" ht="15" hidden="false" customHeight="false" outlineLevel="0" collapsed="false">
      <c r="B973" s="7" t="s">
        <v>9606</v>
      </c>
      <c r="C973" s="39" t="n">
        <v>45720</v>
      </c>
      <c r="D973" s="7" t="s">
        <v>209</v>
      </c>
      <c r="E973" s="7" t="s">
        <v>158</v>
      </c>
      <c r="H973" s="41" t="n">
        <v>73.58</v>
      </c>
      <c r="M973" s="6" t="n">
        <v>2</v>
      </c>
      <c r="N973" s="43" t="n">
        <f aca="false">M973*H973</f>
        <v>147.16</v>
      </c>
      <c r="O973" s="42" t="n">
        <f aca="false">N973</f>
        <v>147.16</v>
      </c>
    </row>
    <row r="974" customFormat="false" ht="15" hidden="false" customHeight="false" outlineLevel="0" collapsed="false">
      <c r="B974" s="7" t="s">
        <v>9607</v>
      </c>
      <c r="C974" s="39" t="n">
        <v>45720</v>
      </c>
      <c r="D974" s="7" t="s">
        <v>184</v>
      </c>
      <c r="E974" s="7" t="s">
        <v>180</v>
      </c>
      <c r="F974" s="6" t="n">
        <v>4.09</v>
      </c>
      <c r="G974" s="6" t="n">
        <v>0</v>
      </c>
      <c r="H974" s="41" t="n">
        <v>17.34</v>
      </c>
      <c r="I974" s="43" t="n">
        <f aca="false">F974*H974</f>
        <v>70.9206</v>
      </c>
      <c r="J974" s="43" t="n">
        <f aca="false">G974*H974*1.5</f>
        <v>0</v>
      </c>
      <c r="K974" s="6" t="n">
        <v>13.88</v>
      </c>
      <c r="L974" s="43" t="n">
        <f aca="false">K974*'Chart of Accounts'!$E$68</f>
        <v>9.2996</v>
      </c>
      <c r="O974" s="42" t="n">
        <f aca="false">I974+J974+L974</f>
        <v>80.2202</v>
      </c>
    </row>
    <row r="975" customFormat="false" ht="15" hidden="false" customHeight="false" outlineLevel="0" collapsed="false">
      <c r="B975" s="7" t="s">
        <v>9608</v>
      </c>
      <c r="C975" s="39" t="n">
        <v>45720</v>
      </c>
      <c r="D975" s="7" t="s">
        <v>234</v>
      </c>
      <c r="E975" s="7" t="s">
        <v>158</v>
      </c>
      <c r="H975" s="41" t="n">
        <v>89.53</v>
      </c>
      <c r="M975" s="6" t="n">
        <v>2</v>
      </c>
      <c r="N975" s="43" t="n">
        <f aca="false">M975*H975</f>
        <v>179.06</v>
      </c>
      <c r="O975" s="42" t="n">
        <f aca="false">N975</f>
        <v>179.06</v>
      </c>
    </row>
    <row r="976" customFormat="false" ht="15" hidden="false" customHeight="false" outlineLevel="0" collapsed="false">
      <c r="B976" s="7" t="s">
        <v>9609</v>
      </c>
      <c r="C976" s="39" t="n">
        <v>45720</v>
      </c>
      <c r="D976" s="7" t="s">
        <v>218</v>
      </c>
      <c r="E976" s="7" t="s">
        <v>180</v>
      </c>
      <c r="F976" s="6" t="n">
        <v>3.82</v>
      </c>
      <c r="G976" s="6" t="n">
        <v>0</v>
      </c>
      <c r="H976" s="41" t="n">
        <v>16.19</v>
      </c>
      <c r="I976" s="43" t="n">
        <f aca="false">F976*H976</f>
        <v>61.8458</v>
      </c>
      <c r="J976" s="43" t="n">
        <f aca="false">G976*H976*1.5</f>
        <v>0</v>
      </c>
      <c r="K976" s="6" t="n">
        <v>11.99</v>
      </c>
      <c r="L976" s="43" t="n">
        <f aca="false">K976*'Chart of Accounts'!$E$68</f>
        <v>8.0333</v>
      </c>
      <c r="O976" s="42" t="n">
        <f aca="false">I976+J976+L976</f>
        <v>69.8791</v>
      </c>
    </row>
    <row r="977" customFormat="false" ht="15" hidden="false" customHeight="false" outlineLevel="0" collapsed="false">
      <c r="B977" s="7" t="s">
        <v>9610</v>
      </c>
      <c r="C977" s="39" t="n">
        <v>45720</v>
      </c>
      <c r="D977" s="7" t="s">
        <v>266</v>
      </c>
      <c r="E977" s="7" t="s">
        <v>158</v>
      </c>
      <c r="H977" s="41" t="n">
        <v>75.18</v>
      </c>
      <c r="M977" s="6" t="n">
        <v>1</v>
      </c>
      <c r="N977" s="43" t="n">
        <f aca="false">M977*H977</f>
        <v>75.18</v>
      </c>
      <c r="O977" s="42" t="n">
        <f aca="false">N977</f>
        <v>75.18</v>
      </c>
    </row>
    <row r="978" customFormat="false" ht="15" hidden="false" customHeight="false" outlineLevel="0" collapsed="false">
      <c r="B978" s="7" t="s">
        <v>9611</v>
      </c>
      <c r="C978" s="39" t="n">
        <v>45720</v>
      </c>
      <c r="D978" s="7" t="s">
        <v>228</v>
      </c>
      <c r="E978" s="7" t="s">
        <v>158</v>
      </c>
      <c r="H978" s="41" t="n">
        <v>51.07</v>
      </c>
      <c r="M978" s="6" t="n">
        <v>1</v>
      </c>
      <c r="N978" s="43" t="n">
        <f aca="false">M978*H978</f>
        <v>51.07</v>
      </c>
      <c r="O978" s="42" t="n">
        <f aca="false">N978</f>
        <v>51.07</v>
      </c>
    </row>
    <row r="979" customFormat="false" ht="15" hidden="false" customHeight="false" outlineLevel="0" collapsed="false">
      <c r="B979" s="7" t="s">
        <v>9612</v>
      </c>
      <c r="C979" s="39" t="n">
        <v>45720</v>
      </c>
      <c r="D979" s="7" t="s">
        <v>220</v>
      </c>
      <c r="E979" s="7" t="s">
        <v>180</v>
      </c>
      <c r="F979" s="6" t="n">
        <v>4.18</v>
      </c>
      <c r="G979" s="6" t="n">
        <v>0</v>
      </c>
      <c r="H979" s="41" t="n">
        <v>16.43</v>
      </c>
      <c r="I979" s="43" t="n">
        <f aca="false">F979*H979</f>
        <v>68.6774</v>
      </c>
      <c r="J979" s="43" t="n">
        <f aca="false">G979*H979*1.5</f>
        <v>0</v>
      </c>
      <c r="K979" s="6" t="n">
        <v>14.3</v>
      </c>
      <c r="L979" s="43" t="n">
        <f aca="false">K979*'Chart of Accounts'!$E$68</f>
        <v>9.581</v>
      </c>
      <c r="O979" s="42" t="n">
        <f aca="false">I979+J979+L979</f>
        <v>78.2584</v>
      </c>
    </row>
    <row r="980" customFormat="false" ht="15" hidden="false" customHeight="false" outlineLevel="0" collapsed="false">
      <c r="B980" s="7" t="s">
        <v>9613</v>
      </c>
      <c r="C980" s="39" t="n">
        <v>45720</v>
      </c>
      <c r="D980" s="7" t="s">
        <v>212</v>
      </c>
      <c r="E980" s="7" t="s">
        <v>180</v>
      </c>
      <c r="F980" s="6" t="n">
        <v>3.88</v>
      </c>
      <c r="G980" s="6" t="n">
        <v>0</v>
      </c>
      <c r="H980" s="41" t="n">
        <v>16.71</v>
      </c>
      <c r="I980" s="43" t="n">
        <f aca="false">F980*H980</f>
        <v>64.8348</v>
      </c>
      <c r="J980" s="43" t="n">
        <f aca="false">G980*H980*1.5</f>
        <v>0</v>
      </c>
      <c r="K980" s="6" t="n">
        <v>12.11</v>
      </c>
      <c r="L980" s="43" t="n">
        <f aca="false">K980*'Chart of Accounts'!$E$68</f>
        <v>8.1137</v>
      </c>
      <c r="O980" s="42" t="n">
        <f aca="false">I980+J980+L980</f>
        <v>72.9485</v>
      </c>
    </row>
    <row r="981" customFormat="false" ht="15" hidden="false" customHeight="false" outlineLevel="0" collapsed="false">
      <c r="B981" s="7" t="s">
        <v>9614</v>
      </c>
      <c r="C981" s="39" t="n">
        <v>45720</v>
      </c>
      <c r="D981" s="7" t="s">
        <v>246</v>
      </c>
      <c r="E981" s="7" t="s">
        <v>180</v>
      </c>
      <c r="F981" s="6" t="n">
        <v>4.05</v>
      </c>
      <c r="G981" s="6" t="n">
        <v>0</v>
      </c>
      <c r="H981" s="41" t="n">
        <v>16.48</v>
      </c>
      <c r="I981" s="43" t="n">
        <f aca="false">F981*H981</f>
        <v>66.744</v>
      </c>
      <c r="J981" s="43" t="n">
        <f aca="false">G981*H981*1.5</f>
        <v>0</v>
      </c>
      <c r="K981" s="6" t="n">
        <v>13.97</v>
      </c>
      <c r="L981" s="43" t="n">
        <f aca="false">K981*'Chart of Accounts'!$E$68</f>
        <v>9.3599</v>
      </c>
      <c r="O981" s="42" t="n">
        <f aca="false">I981+J981+L981</f>
        <v>76.1039</v>
      </c>
    </row>
    <row r="982" customFormat="false" ht="15" hidden="false" customHeight="false" outlineLevel="0" collapsed="false">
      <c r="B982" s="7" t="s">
        <v>9615</v>
      </c>
      <c r="C982" s="39" t="n">
        <v>45720</v>
      </c>
      <c r="D982" s="7" t="s">
        <v>222</v>
      </c>
      <c r="E982" s="7" t="s">
        <v>180</v>
      </c>
      <c r="F982" s="6" t="n">
        <v>3.69</v>
      </c>
      <c r="G982" s="6" t="n">
        <v>0</v>
      </c>
      <c r="H982" s="41" t="n">
        <v>17.84</v>
      </c>
      <c r="I982" s="43" t="n">
        <f aca="false">F982*H982</f>
        <v>65.8296</v>
      </c>
      <c r="J982" s="43" t="n">
        <f aca="false">G982*H982*1.5</f>
        <v>0</v>
      </c>
      <c r="K982" s="6" t="n">
        <v>11.82</v>
      </c>
      <c r="L982" s="43" t="n">
        <f aca="false">K982*'Chart of Accounts'!$E$68</f>
        <v>7.9194</v>
      </c>
      <c r="O982" s="42" t="n">
        <f aca="false">I982+J982+L982</f>
        <v>73.749</v>
      </c>
    </row>
    <row r="983" customFormat="false" ht="15" hidden="false" customHeight="false" outlineLevel="0" collapsed="false">
      <c r="B983" s="7" t="s">
        <v>9616</v>
      </c>
      <c r="C983" s="39" t="n">
        <v>45720</v>
      </c>
      <c r="D983" s="7" t="s">
        <v>242</v>
      </c>
      <c r="E983" s="7" t="s">
        <v>180</v>
      </c>
      <c r="F983" s="6" t="n">
        <v>4.03</v>
      </c>
      <c r="G983" s="6" t="n">
        <v>0</v>
      </c>
      <c r="H983" s="41" t="n">
        <v>17.99</v>
      </c>
      <c r="I983" s="43" t="n">
        <f aca="false">F983*H983</f>
        <v>72.4997</v>
      </c>
      <c r="J983" s="43" t="n">
        <f aca="false">G983*H983*1.5</f>
        <v>0</v>
      </c>
      <c r="K983" s="6" t="n">
        <v>10.21</v>
      </c>
      <c r="L983" s="43" t="n">
        <f aca="false">K983*'Chart of Accounts'!$E$68</f>
        <v>6.8407</v>
      </c>
      <c r="O983" s="42" t="n">
        <f aca="false">I983+J983+L983</f>
        <v>79.3404</v>
      </c>
    </row>
    <row r="984" customFormat="false" ht="15" hidden="false" customHeight="false" outlineLevel="0" collapsed="false">
      <c r="B984" s="7" t="s">
        <v>9617</v>
      </c>
      <c r="C984" s="39" t="n">
        <v>45720</v>
      </c>
      <c r="D984" s="7" t="s">
        <v>203</v>
      </c>
      <c r="E984" s="7" t="s">
        <v>158</v>
      </c>
      <c r="H984" s="41" t="n">
        <v>49.43</v>
      </c>
      <c r="M984" s="6" t="n">
        <v>1</v>
      </c>
      <c r="N984" s="43" t="n">
        <f aca="false">M984*H984</f>
        <v>49.43</v>
      </c>
      <c r="O984" s="42" t="n">
        <f aca="false">N984</f>
        <v>49.43</v>
      </c>
    </row>
    <row r="985" customFormat="false" ht="15" hidden="false" customHeight="false" outlineLevel="0" collapsed="false">
      <c r="B985" s="7" t="s">
        <v>9618</v>
      </c>
      <c r="C985" s="39" t="n">
        <v>45720</v>
      </c>
      <c r="D985" s="7" t="s">
        <v>254</v>
      </c>
      <c r="E985" s="7" t="s">
        <v>180</v>
      </c>
      <c r="F985" s="6" t="n">
        <v>3.79</v>
      </c>
      <c r="G985" s="6" t="n">
        <v>0</v>
      </c>
      <c r="H985" s="41" t="n">
        <v>17.1</v>
      </c>
      <c r="I985" s="43" t="n">
        <f aca="false">F985*H985</f>
        <v>64.809</v>
      </c>
      <c r="J985" s="43" t="n">
        <f aca="false">G985*H985*1.5</f>
        <v>0</v>
      </c>
      <c r="K985" s="6" t="n">
        <v>9.04</v>
      </c>
      <c r="L985" s="43" t="n">
        <f aca="false">K985*'Chart of Accounts'!$E$68</f>
        <v>6.0568</v>
      </c>
      <c r="O985" s="42" t="n">
        <f aca="false">I985+J985+L985</f>
        <v>70.8658</v>
      </c>
    </row>
    <row r="986" customFormat="false" ht="15" hidden="false" customHeight="false" outlineLevel="0" collapsed="false">
      <c r="B986" s="7" t="s">
        <v>9619</v>
      </c>
      <c r="C986" s="39" t="n">
        <v>45720</v>
      </c>
      <c r="D986" s="7" t="s">
        <v>260</v>
      </c>
      <c r="E986" s="7" t="s">
        <v>158</v>
      </c>
      <c r="H986" s="41" t="n">
        <v>79.8</v>
      </c>
      <c r="M986" s="6" t="n">
        <v>1</v>
      </c>
      <c r="N986" s="43" t="n">
        <f aca="false">M986*H986</f>
        <v>79.8</v>
      </c>
      <c r="O986" s="42" t="n">
        <f aca="false">N986</f>
        <v>79.8</v>
      </c>
    </row>
    <row r="987" customFormat="false" ht="15" hidden="false" customHeight="false" outlineLevel="0" collapsed="false">
      <c r="B987" s="7" t="s">
        <v>9620</v>
      </c>
      <c r="C987" s="39" t="n">
        <v>45721</v>
      </c>
      <c r="D987" s="7" t="s">
        <v>187</v>
      </c>
      <c r="E987" s="7" t="s">
        <v>158</v>
      </c>
      <c r="H987" s="41" t="n">
        <v>66.48</v>
      </c>
      <c r="M987" s="6" t="n">
        <v>1</v>
      </c>
      <c r="N987" s="43" t="n">
        <f aca="false">M987*H987</f>
        <v>66.48</v>
      </c>
      <c r="O987" s="42" t="n">
        <f aca="false">N987</f>
        <v>66.48</v>
      </c>
    </row>
    <row r="988" customFormat="false" ht="15" hidden="false" customHeight="false" outlineLevel="0" collapsed="false">
      <c r="B988" s="7" t="s">
        <v>9621</v>
      </c>
      <c r="C988" s="39" t="n">
        <v>45721</v>
      </c>
      <c r="D988" s="7" t="s">
        <v>228</v>
      </c>
      <c r="E988" s="7" t="s">
        <v>158</v>
      </c>
      <c r="H988" s="41" t="n">
        <v>51.07</v>
      </c>
      <c r="M988" s="6" t="n">
        <v>1</v>
      </c>
      <c r="N988" s="43" t="n">
        <f aca="false">M988*H988</f>
        <v>51.07</v>
      </c>
      <c r="O988" s="42" t="n">
        <f aca="false">N988</f>
        <v>51.07</v>
      </c>
    </row>
    <row r="989" customFormat="false" ht="15" hidden="false" customHeight="false" outlineLevel="0" collapsed="false">
      <c r="B989" s="7" t="s">
        <v>9622</v>
      </c>
      <c r="C989" s="39" t="n">
        <v>45721</v>
      </c>
      <c r="D989" s="7" t="s">
        <v>191</v>
      </c>
      <c r="E989" s="7" t="s">
        <v>180</v>
      </c>
      <c r="F989" s="6" t="n">
        <v>4.24</v>
      </c>
      <c r="G989" s="6" t="n">
        <v>0</v>
      </c>
      <c r="H989" s="41" t="n">
        <v>16.05</v>
      </c>
      <c r="I989" s="43" t="n">
        <f aca="false">F989*H989</f>
        <v>68.052</v>
      </c>
      <c r="J989" s="43" t="n">
        <f aca="false">G989*H989*1.5</f>
        <v>0</v>
      </c>
      <c r="K989" s="6" t="n">
        <v>14.52</v>
      </c>
      <c r="L989" s="43" t="n">
        <f aca="false">K989*'Chart of Accounts'!$E$68</f>
        <v>9.7284</v>
      </c>
      <c r="O989" s="42" t="n">
        <f aca="false">I989+J989+L989</f>
        <v>77.7804</v>
      </c>
    </row>
    <row r="990" customFormat="false" ht="15" hidden="false" customHeight="false" outlineLevel="0" collapsed="false">
      <c r="B990" s="7" t="s">
        <v>9623</v>
      </c>
      <c r="C990" s="39" t="n">
        <v>45721</v>
      </c>
      <c r="D990" s="7" t="s">
        <v>194</v>
      </c>
      <c r="E990" s="7" t="s">
        <v>180</v>
      </c>
      <c r="F990" s="6" t="n">
        <v>4.7</v>
      </c>
      <c r="G990" s="6" t="n">
        <v>0</v>
      </c>
      <c r="H990" s="41" t="n">
        <v>16</v>
      </c>
      <c r="I990" s="43" t="n">
        <f aca="false">F990*H990</f>
        <v>75.2</v>
      </c>
      <c r="J990" s="43" t="n">
        <f aca="false">G990*H990*1.5</f>
        <v>0</v>
      </c>
      <c r="K990" s="6" t="n">
        <v>10.35</v>
      </c>
      <c r="L990" s="43" t="n">
        <f aca="false">K990*'Chart of Accounts'!$E$68</f>
        <v>6.9345</v>
      </c>
      <c r="O990" s="42" t="n">
        <f aca="false">I990+J990+L990</f>
        <v>82.1345</v>
      </c>
    </row>
    <row r="991" customFormat="false" ht="15" hidden="false" customHeight="false" outlineLevel="0" collapsed="false">
      <c r="B991" s="7" t="s">
        <v>9624</v>
      </c>
      <c r="C991" s="39" t="n">
        <v>45721</v>
      </c>
      <c r="D991" s="7" t="s">
        <v>205</v>
      </c>
      <c r="E991" s="7" t="s">
        <v>180</v>
      </c>
      <c r="F991" s="6" t="n">
        <v>3.83</v>
      </c>
      <c r="G991" s="6" t="n">
        <v>0</v>
      </c>
      <c r="H991" s="41" t="n">
        <v>16.36</v>
      </c>
      <c r="I991" s="43" t="n">
        <f aca="false">F991*H991</f>
        <v>62.6588</v>
      </c>
      <c r="J991" s="43" t="n">
        <f aca="false">G991*H991*1.5</f>
        <v>0</v>
      </c>
      <c r="K991" s="6" t="n">
        <v>10.76</v>
      </c>
      <c r="L991" s="43" t="n">
        <f aca="false">K991*'Chart of Accounts'!$E$68</f>
        <v>7.2092</v>
      </c>
      <c r="O991" s="42" t="n">
        <f aca="false">I991+J991+L991</f>
        <v>69.868</v>
      </c>
    </row>
    <row r="992" customFormat="false" ht="15" hidden="false" customHeight="false" outlineLevel="0" collapsed="false">
      <c r="B992" s="7" t="s">
        <v>9625</v>
      </c>
      <c r="C992" s="39" t="n">
        <v>45721</v>
      </c>
      <c r="D992" s="7" t="s">
        <v>252</v>
      </c>
      <c r="E992" s="7" t="s">
        <v>158</v>
      </c>
      <c r="H992" s="41" t="n">
        <v>57.54</v>
      </c>
      <c r="M992" s="6" t="n">
        <v>1</v>
      </c>
      <c r="N992" s="43" t="n">
        <f aca="false">M992*H992</f>
        <v>57.54</v>
      </c>
      <c r="O992" s="42" t="n">
        <f aca="false">N992</f>
        <v>57.54</v>
      </c>
    </row>
    <row r="993" customFormat="false" ht="15" hidden="false" customHeight="false" outlineLevel="0" collapsed="false">
      <c r="B993" s="7" t="s">
        <v>9626</v>
      </c>
      <c r="C993" s="39" t="n">
        <v>45721</v>
      </c>
      <c r="D993" s="7" t="s">
        <v>184</v>
      </c>
      <c r="E993" s="7" t="s">
        <v>180</v>
      </c>
      <c r="F993" s="6" t="n">
        <v>3.85</v>
      </c>
      <c r="G993" s="6" t="n">
        <v>0</v>
      </c>
      <c r="H993" s="41" t="n">
        <v>17.34</v>
      </c>
      <c r="I993" s="43" t="n">
        <f aca="false">F993*H993</f>
        <v>66.759</v>
      </c>
      <c r="J993" s="43" t="n">
        <f aca="false">G993*H993*1.5</f>
        <v>0</v>
      </c>
      <c r="K993" s="6" t="n">
        <v>8.86</v>
      </c>
      <c r="L993" s="43" t="n">
        <f aca="false">K993*'Chart of Accounts'!$E$68</f>
        <v>5.9362</v>
      </c>
      <c r="O993" s="42" t="n">
        <f aca="false">I993+J993+L993</f>
        <v>72.6952</v>
      </c>
    </row>
    <row r="994" customFormat="false" ht="15" hidden="false" customHeight="false" outlineLevel="0" collapsed="false">
      <c r="B994" s="7" t="s">
        <v>9627</v>
      </c>
      <c r="C994" s="39" t="n">
        <v>45721</v>
      </c>
      <c r="D994" s="7" t="s">
        <v>218</v>
      </c>
      <c r="E994" s="7" t="s">
        <v>180</v>
      </c>
      <c r="F994" s="6" t="n">
        <v>3.75</v>
      </c>
      <c r="G994" s="6" t="n">
        <v>0</v>
      </c>
      <c r="H994" s="41" t="n">
        <v>16.19</v>
      </c>
      <c r="I994" s="43" t="n">
        <f aca="false">F994*H994</f>
        <v>60.7125</v>
      </c>
      <c r="J994" s="43" t="n">
        <f aca="false">G994*H994*1.5</f>
        <v>0</v>
      </c>
      <c r="K994" s="6" t="n">
        <v>8.47</v>
      </c>
      <c r="L994" s="43" t="n">
        <f aca="false">K994*'Chart of Accounts'!$E$68</f>
        <v>5.6749</v>
      </c>
      <c r="O994" s="42" t="n">
        <f aca="false">I994+J994+L994</f>
        <v>66.3874</v>
      </c>
    </row>
    <row r="995" customFormat="false" ht="15" hidden="false" customHeight="false" outlineLevel="0" collapsed="false">
      <c r="B995" s="7" t="s">
        <v>9628</v>
      </c>
      <c r="C995" s="39" t="n">
        <v>45721</v>
      </c>
      <c r="D995" s="7" t="s">
        <v>220</v>
      </c>
      <c r="E995" s="7" t="s">
        <v>180</v>
      </c>
      <c r="F995" s="6" t="n">
        <v>3.75</v>
      </c>
      <c r="G995" s="6" t="n">
        <v>0</v>
      </c>
      <c r="H995" s="41" t="n">
        <v>16.43</v>
      </c>
      <c r="I995" s="43" t="n">
        <f aca="false">F995*H995</f>
        <v>61.6125</v>
      </c>
      <c r="J995" s="43" t="n">
        <f aca="false">G995*H995*1.5</f>
        <v>0</v>
      </c>
      <c r="K995" s="6" t="n">
        <v>9.06</v>
      </c>
      <c r="L995" s="43" t="n">
        <f aca="false">K995*'Chart of Accounts'!$E$68</f>
        <v>6.0702</v>
      </c>
      <c r="O995" s="42" t="n">
        <f aca="false">I995+J995+L995</f>
        <v>67.6827</v>
      </c>
    </row>
    <row r="996" customFormat="false" ht="15" hidden="false" customHeight="false" outlineLevel="0" collapsed="false">
      <c r="B996" s="7" t="s">
        <v>9629</v>
      </c>
      <c r="C996" s="39" t="n">
        <v>45721</v>
      </c>
      <c r="D996" s="7" t="s">
        <v>177</v>
      </c>
      <c r="E996" s="7" t="s">
        <v>180</v>
      </c>
      <c r="F996" s="6" t="n">
        <v>8.24</v>
      </c>
      <c r="G996" s="6" t="n">
        <v>0</v>
      </c>
      <c r="H996" s="41" t="n">
        <v>14.56</v>
      </c>
      <c r="I996" s="43" t="n">
        <f aca="false">F996*H996</f>
        <v>119.9744</v>
      </c>
      <c r="J996" s="43" t="n">
        <f aca="false">G996*H996*1.5</f>
        <v>0</v>
      </c>
      <c r="K996" s="6" t="n">
        <v>21.75</v>
      </c>
      <c r="L996" s="43" t="n">
        <f aca="false">K996*'Chart of Accounts'!$E$68</f>
        <v>14.5725</v>
      </c>
      <c r="O996" s="42" t="n">
        <f aca="false">I996+J996+L996</f>
        <v>134.5469</v>
      </c>
    </row>
    <row r="997" customFormat="false" ht="15" hidden="false" customHeight="false" outlineLevel="0" collapsed="false">
      <c r="B997" s="7" t="s">
        <v>9630</v>
      </c>
      <c r="C997" s="39" t="n">
        <v>45721</v>
      </c>
      <c r="D997" s="7" t="s">
        <v>242</v>
      </c>
      <c r="E997" s="7" t="s">
        <v>180</v>
      </c>
      <c r="F997" s="6" t="n">
        <v>7.78</v>
      </c>
      <c r="G997" s="6" t="n">
        <v>0</v>
      </c>
      <c r="H997" s="41" t="n">
        <v>17.99</v>
      </c>
      <c r="I997" s="43" t="n">
        <f aca="false">F997*H997</f>
        <v>139.9622</v>
      </c>
      <c r="J997" s="43" t="n">
        <f aca="false">G997*H997*1.5</f>
        <v>0</v>
      </c>
      <c r="K997" s="6" t="n">
        <v>23.24</v>
      </c>
      <c r="L997" s="43" t="n">
        <f aca="false">K997*'Chart of Accounts'!$E$68</f>
        <v>15.5708</v>
      </c>
      <c r="O997" s="42" t="n">
        <f aca="false">I997+J997+L997</f>
        <v>155.533</v>
      </c>
    </row>
    <row r="998" customFormat="false" ht="15" hidden="false" customHeight="false" outlineLevel="0" collapsed="false">
      <c r="B998" s="7" t="s">
        <v>9631</v>
      </c>
      <c r="C998" s="39" t="n">
        <v>45721</v>
      </c>
      <c r="D998" s="7" t="s">
        <v>254</v>
      </c>
      <c r="E998" s="7" t="s">
        <v>180</v>
      </c>
      <c r="F998" s="6" t="n">
        <v>7.66</v>
      </c>
      <c r="G998" s="6" t="n">
        <v>0</v>
      </c>
      <c r="H998" s="41" t="n">
        <v>17.1</v>
      </c>
      <c r="I998" s="43" t="n">
        <f aca="false">F998*H998</f>
        <v>130.986</v>
      </c>
      <c r="J998" s="43" t="n">
        <f aca="false">G998*H998*1.5</f>
        <v>0</v>
      </c>
      <c r="K998" s="6" t="n">
        <v>20.99</v>
      </c>
      <c r="L998" s="43" t="n">
        <f aca="false">K998*'Chart of Accounts'!$E$68</f>
        <v>14.0633</v>
      </c>
      <c r="O998" s="42" t="n">
        <f aca="false">I998+J998+L998</f>
        <v>145.0493</v>
      </c>
    </row>
    <row r="999" customFormat="false" ht="15" hidden="false" customHeight="false" outlineLevel="0" collapsed="false">
      <c r="B999" s="7" t="s">
        <v>9632</v>
      </c>
      <c r="C999" s="39" t="n">
        <v>45721</v>
      </c>
      <c r="D999" s="7" t="s">
        <v>201</v>
      </c>
      <c r="E999" s="7" t="s">
        <v>180</v>
      </c>
      <c r="F999" s="6" t="n">
        <v>3.64</v>
      </c>
      <c r="G999" s="6" t="n">
        <v>0</v>
      </c>
      <c r="H999" s="41" t="n">
        <v>15.19</v>
      </c>
      <c r="I999" s="43" t="n">
        <f aca="false">F999*H999</f>
        <v>55.2916</v>
      </c>
      <c r="J999" s="43" t="n">
        <f aca="false">G999*H999*1.5</f>
        <v>0</v>
      </c>
      <c r="K999" s="6" t="n">
        <v>12.13</v>
      </c>
      <c r="L999" s="43" t="n">
        <f aca="false">K999*'Chart of Accounts'!$E$68</f>
        <v>8.1271</v>
      </c>
      <c r="O999" s="42" t="n">
        <f aca="false">I999+J999+L999</f>
        <v>63.4187</v>
      </c>
    </row>
    <row r="1000" customFormat="false" ht="15" hidden="false" customHeight="false" outlineLevel="0" collapsed="false">
      <c r="B1000" s="7" t="s">
        <v>9633</v>
      </c>
      <c r="C1000" s="39" t="n">
        <v>45721</v>
      </c>
      <c r="D1000" s="7" t="s">
        <v>207</v>
      </c>
      <c r="E1000" s="7" t="s">
        <v>180</v>
      </c>
      <c r="F1000" s="6" t="n">
        <v>3.57</v>
      </c>
      <c r="G1000" s="6" t="n">
        <v>0</v>
      </c>
      <c r="H1000" s="41" t="n">
        <v>16.65</v>
      </c>
      <c r="I1000" s="43" t="n">
        <f aca="false">F1000*H1000</f>
        <v>59.4405</v>
      </c>
      <c r="J1000" s="43" t="n">
        <f aca="false">G1000*H1000*1.5</f>
        <v>0</v>
      </c>
      <c r="K1000" s="6" t="n">
        <v>11.19</v>
      </c>
      <c r="L1000" s="43" t="n">
        <f aca="false">K1000*'Chart of Accounts'!$E$68</f>
        <v>7.4973</v>
      </c>
      <c r="O1000" s="42" t="n">
        <f aca="false">I1000+J1000+L1000</f>
        <v>66.9378</v>
      </c>
    </row>
    <row r="1001" customFormat="false" ht="15" hidden="false" customHeight="false" outlineLevel="0" collapsed="false">
      <c r="B1001" s="7" t="s">
        <v>9634</v>
      </c>
      <c r="C1001" s="39" t="n">
        <v>45721</v>
      </c>
      <c r="D1001" s="7" t="s">
        <v>212</v>
      </c>
      <c r="E1001" s="7" t="s">
        <v>180</v>
      </c>
      <c r="F1001" s="6" t="n">
        <v>3.9</v>
      </c>
      <c r="G1001" s="6" t="n">
        <v>0</v>
      </c>
      <c r="H1001" s="41" t="n">
        <v>16.71</v>
      </c>
      <c r="I1001" s="43" t="n">
        <f aca="false">F1001*H1001</f>
        <v>65.169</v>
      </c>
      <c r="J1001" s="43" t="n">
        <f aca="false">G1001*H1001*1.5</f>
        <v>0</v>
      </c>
      <c r="K1001" s="6" t="n">
        <v>10.87</v>
      </c>
      <c r="L1001" s="43" t="n">
        <f aca="false">K1001*'Chart of Accounts'!$E$68</f>
        <v>7.2829</v>
      </c>
      <c r="O1001" s="42" t="n">
        <f aca="false">I1001+J1001+L1001</f>
        <v>72.4519</v>
      </c>
    </row>
    <row r="1002" customFormat="false" ht="15" hidden="false" customHeight="false" outlineLevel="0" collapsed="false">
      <c r="B1002" s="7" t="s">
        <v>9635</v>
      </c>
      <c r="C1002" s="39" t="n">
        <v>45721</v>
      </c>
      <c r="D1002" s="7" t="s">
        <v>232</v>
      </c>
      <c r="E1002" s="7" t="s">
        <v>180</v>
      </c>
      <c r="F1002" s="6" t="n">
        <v>5.02</v>
      </c>
      <c r="G1002" s="6" t="n">
        <v>0</v>
      </c>
      <c r="H1002" s="41" t="n">
        <v>16.17</v>
      </c>
      <c r="I1002" s="43" t="n">
        <f aca="false">F1002*H1002</f>
        <v>81.1734</v>
      </c>
      <c r="J1002" s="43" t="n">
        <f aca="false">G1002*H1002*1.5</f>
        <v>0</v>
      </c>
      <c r="K1002" s="6" t="n">
        <v>14.17</v>
      </c>
      <c r="L1002" s="43" t="n">
        <f aca="false">K1002*'Chart of Accounts'!$E$68</f>
        <v>9.4939</v>
      </c>
      <c r="O1002" s="42" t="n">
        <f aca="false">I1002+J1002+L1002</f>
        <v>90.6673</v>
      </c>
    </row>
    <row r="1003" customFormat="false" ht="15" hidden="false" customHeight="false" outlineLevel="0" collapsed="false">
      <c r="B1003" s="7" t="s">
        <v>9636</v>
      </c>
      <c r="C1003" s="39" t="n">
        <v>45721</v>
      </c>
      <c r="D1003" s="7" t="s">
        <v>224</v>
      </c>
      <c r="E1003" s="7" t="s">
        <v>180</v>
      </c>
      <c r="F1003" s="6" t="n">
        <v>4.37</v>
      </c>
      <c r="G1003" s="6" t="n">
        <v>0</v>
      </c>
      <c r="H1003" s="41" t="n">
        <v>14.93</v>
      </c>
      <c r="I1003" s="43" t="n">
        <f aca="false">F1003*H1003</f>
        <v>65.2441</v>
      </c>
      <c r="J1003" s="43" t="n">
        <f aca="false">G1003*H1003*1.5</f>
        <v>0</v>
      </c>
      <c r="K1003" s="6" t="n">
        <v>14.98</v>
      </c>
      <c r="L1003" s="43" t="n">
        <f aca="false">K1003*'Chart of Accounts'!$E$68</f>
        <v>10.0366</v>
      </c>
      <c r="O1003" s="42" t="n">
        <f aca="false">I1003+J1003+L1003</f>
        <v>75.2807</v>
      </c>
    </row>
    <row r="1004" customFormat="false" ht="15" hidden="false" customHeight="false" outlineLevel="0" collapsed="false">
      <c r="B1004" s="7" t="s">
        <v>9637</v>
      </c>
      <c r="C1004" s="39" t="n">
        <v>45721</v>
      </c>
      <c r="D1004" s="7" t="s">
        <v>246</v>
      </c>
      <c r="E1004" s="7" t="s">
        <v>180</v>
      </c>
      <c r="F1004" s="6" t="n">
        <v>3.92</v>
      </c>
      <c r="G1004" s="6" t="n">
        <v>0</v>
      </c>
      <c r="H1004" s="41" t="n">
        <v>16.48</v>
      </c>
      <c r="I1004" s="43" t="n">
        <f aca="false">F1004*H1004</f>
        <v>64.6016</v>
      </c>
      <c r="J1004" s="43" t="n">
        <f aca="false">G1004*H1004*1.5</f>
        <v>0</v>
      </c>
      <c r="K1004" s="6" t="n">
        <v>10.3</v>
      </c>
      <c r="L1004" s="43" t="n">
        <f aca="false">K1004*'Chart of Accounts'!$E$68</f>
        <v>6.901</v>
      </c>
      <c r="O1004" s="42" t="n">
        <f aca="false">I1004+J1004+L1004</f>
        <v>71.5026</v>
      </c>
    </row>
    <row r="1005" customFormat="false" ht="15" hidden="false" customHeight="false" outlineLevel="0" collapsed="false">
      <c r="B1005" s="7" t="s">
        <v>9638</v>
      </c>
      <c r="C1005" s="39" t="n">
        <v>45721</v>
      </c>
      <c r="D1005" s="7" t="s">
        <v>222</v>
      </c>
      <c r="E1005" s="7" t="s">
        <v>180</v>
      </c>
      <c r="F1005" s="6" t="n">
        <v>4.02</v>
      </c>
      <c r="G1005" s="6" t="n">
        <v>0</v>
      </c>
      <c r="H1005" s="41" t="n">
        <v>17.84</v>
      </c>
      <c r="I1005" s="43" t="n">
        <f aca="false">F1005*H1005</f>
        <v>71.7168</v>
      </c>
      <c r="J1005" s="43" t="n">
        <f aca="false">G1005*H1005*1.5</f>
        <v>0</v>
      </c>
      <c r="K1005" s="6" t="n">
        <v>12.7</v>
      </c>
      <c r="L1005" s="43" t="n">
        <f aca="false">K1005*'Chart of Accounts'!$E$68</f>
        <v>8.509</v>
      </c>
      <c r="O1005" s="42" t="n">
        <f aca="false">I1005+J1005+L1005</f>
        <v>80.2258</v>
      </c>
    </row>
    <row r="1006" customFormat="false" ht="15" hidden="false" customHeight="false" outlineLevel="0" collapsed="false">
      <c r="B1006" s="7" t="s">
        <v>9639</v>
      </c>
      <c r="C1006" s="39" t="n">
        <v>45721</v>
      </c>
      <c r="D1006" s="7" t="s">
        <v>203</v>
      </c>
      <c r="E1006" s="7" t="s">
        <v>158</v>
      </c>
      <c r="H1006" s="41" t="n">
        <v>49.43</v>
      </c>
      <c r="M1006" s="6" t="n">
        <v>1</v>
      </c>
      <c r="N1006" s="43" t="n">
        <f aca="false">M1006*H1006</f>
        <v>49.43</v>
      </c>
      <c r="O1006" s="42" t="n">
        <f aca="false">N1006</f>
        <v>49.43</v>
      </c>
    </row>
    <row r="1007" customFormat="false" ht="15" hidden="false" customHeight="false" outlineLevel="0" collapsed="false">
      <c r="B1007" s="7" t="s">
        <v>9640</v>
      </c>
      <c r="C1007" s="39" t="n">
        <v>45721</v>
      </c>
      <c r="D1007" s="7" t="s">
        <v>262</v>
      </c>
      <c r="E1007" s="7" t="s">
        <v>180</v>
      </c>
      <c r="F1007" s="6" t="n">
        <v>3.35</v>
      </c>
      <c r="G1007" s="6" t="n">
        <v>0</v>
      </c>
      <c r="H1007" s="41" t="n">
        <v>16.02</v>
      </c>
      <c r="I1007" s="43" t="n">
        <f aca="false">F1007*H1007</f>
        <v>53.667</v>
      </c>
      <c r="J1007" s="43" t="n">
        <f aca="false">G1007*H1007*1.5</f>
        <v>0</v>
      </c>
      <c r="K1007" s="6" t="n">
        <v>10.62</v>
      </c>
      <c r="L1007" s="43" t="n">
        <f aca="false">K1007*'Chart of Accounts'!$E$68</f>
        <v>7.1154</v>
      </c>
      <c r="O1007" s="42" t="n">
        <f aca="false">I1007+J1007+L1007</f>
        <v>60.7824</v>
      </c>
    </row>
    <row r="1008" customFormat="false" ht="15" hidden="false" customHeight="false" outlineLevel="0" collapsed="false">
      <c r="B1008" s="7" t="s">
        <v>9641</v>
      </c>
      <c r="C1008" s="39" t="n">
        <v>45721</v>
      </c>
      <c r="D1008" s="7" t="s">
        <v>214</v>
      </c>
      <c r="E1008" s="7" t="s">
        <v>180</v>
      </c>
      <c r="F1008" s="6" t="n">
        <v>3.24</v>
      </c>
      <c r="G1008" s="6" t="n">
        <v>0</v>
      </c>
      <c r="H1008" s="41" t="n">
        <v>15.67</v>
      </c>
      <c r="I1008" s="43" t="n">
        <f aca="false">F1008*H1008</f>
        <v>50.7708</v>
      </c>
      <c r="J1008" s="43" t="n">
        <f aca="false">G1008*H1008*1.5</f>
        <v>0</v>
      </c>
      <c r="K1008" s="6" t="n">
        <v>9.04</v>
      </c>
      <c r="L1008" s="43" t="n">
        <f aca="false">K1008*'Chart of Accounts'!$E$68</f>
        <v>6.0568</v>
      </c>
      <c r="O1008" s="42" t="n">
        <f aca="false">I1008+J1008+L1008</f>
        <v>56.8276</v>
      </c>
    </row>
    <row r="1009" customFormat="false" ht="15" hidden="false" customHeight="false" outlineLevel="0" collapsed="false">
      <c r="B1009" s="7" t="s">
        <v>9642</v>
      </c>
      <c r="C1009" s="39" t="n">
        <v>45722</v>
      </c>
      <c r="D1009" s="7" t="s">
        <v>191</v>
      </c>
      <c r="E1009" s="7" t="s">
        <v>180</v>
      </c>
      <c r="F1009" s="6" t="n">
        <v>3.87</v>
      </c>
      <c r="G1009" s="6" t="n">
        <v>0</v>
      </c>
      <c r="H1009" s="41" t="n">
        <v>16.05</v>
      </c>
      <c r="I1009" s="43" t="n">
        <f aca="false">F1009*H1009</f>
        <v>62.1135</v>
      </c>
      <c r="J1009" s="43" t="n">
        <f aca="false">G1009*H1009*1.5</f>
        <v>0</v>
      </c>
      <c r="K1009" s="6" t="n">
        <v>13.46</v>
      </c>
      <c r="L1009" s="43" t="n">
        <f aca="false">K1009*'Chart of Accounts'!$E$68</f>
        <v>9.0182</v>
      </c>
      <c r="O1009" s="42" t="n">
        <f aca="false">I1009+J1009+L1009</f>
        <v>71.1317</v>
      </c>
    </row>
    <row r="1010" customFormat="false" ht="15" hidden="false" customHeight="false" outlineLevel="0" collapsed="false">
      <c r="B1010" s="7" t="s">
        <v>9643</v>
      </c>
      <c r="C1010" s="39" t="n">
        <v>45722</v>
      </c>
      <c r="D1010" s="7" t="s">
        <v>201</v>
      </c>
      <c r="E1010" s="7" t="s">
        <v>180</v>
      </c>
      <c r="F1010" s="6" t="n">
        <v>2.95</v>
      </c>
      <c r="G1010" s="6" t="n">
        <v>0</v>
      </c>
      <c r="H1010" s="41" t="n">
        <v>15.19</v>
      </c>
      <c r="I1010" s="43" t="n">
        <f aca="false">F1010*H1010</f>
        <v>44.8105</v>
      </c>
      <c r="J1010" s="43" t="n">
        <f aca="false">G1010*H1010*1.5</f>
        <v>0</v>
      </c>
      <c r="K1010" s="6" t="n">
        <v>8.58</v>
      </c>
      <c r="L1010" s="43" t="n">
        <f aca="false">K1010*'Chart of Accounts'!$E$68</f>
        <v>5.7486</v>
      </c>
      <c r="O1010" s="42" t="n">
        <f aca="false">I1010+J1010+L1010</f>
        <v>50.5591</v>
      </c>
    </row>
    <row r="1011" customFormat="false" ht="15" hidden="false" customHeight="false" outlineLevel="0" collapsed="false">
      <c r="B1011" s="7" t="s">
        <v>9644</v>
      </c>
      <c r="C1011" s="39" t="n">
        <v>45722</v>
      </c>
      <c r="D1011" s="7" t="s">
        <v>196</v>
      </c>
      <c r="E1011" s="7" t="s">
        <v>180</v>
      </c>
      <c r="F1011" s="6" t="n">
        <v>5.85</v>
      </c>
      <c r="G1011" s="6" t="n">
        <v>0</v>
      </c>
      <c r="H1011" s="41" t="n">
        <v>15.05</v>
      </c>
      <c r="I1011" s="43" t="n">
        <f aca="false">F1011*H1011</f>
        <v>88.0425</v>
      </c>
      <c r="J1011" s="43" t="n">
        <f aca="false">G1011*H1011*1.5</f>
        <v>0</v>
      </c>
      <c r="K1011" s="6" t="n">
        <v>18.97</v>
      </c>
      <c r="L1011" s="43" t="n">
        <f aca="false">K1011*'Chart of Accounts'!$E$68</f>
        <v>12.7099</v>
      </c>
      <c r="O1011" s="42" t="n">
        <f aca="false">I1011+J1011+L1011</f>
        <v>100.7524</v>
      </c>
    </row>
    <row r="1012" customFormat="false" ht="15" hidden="false" customHeight="false" outlineLevel="0" collapsed="false">
      <c r="B1012" s="7" t="s">
        <v>9645</v>
      </c>
      <c r="C1012" s="39" t="n">
        <v>45722</v>
      </c>
      <c r="D1012" s="7" t="s">
        <v>184</v>
      </c>
      <c r="E1012" s="7" t="s">
        <v>180</v>
      </c>
      <c r="F1012" s="6" t="n">
        <v>4.38</v>
      </c>
      <c r="G1012" s="6" t="n">
        <v>0</v>
      </c>
      <c r="H1012" s="41" t="n">
        <v>17.34</v>
      </c>
      <c r="I1012" s="43" t="n">
        <f aca="false">F1012*H1012</f>
        <v>75.9492</v>
      </c>
      <c r="J1012" s="43" t="n">
        <f aca="false">G1012*H1012*1.5</f>
        <v>0</v>
      </c>
      <c r="K1012" s="6" t="n">
        <v>13.27</v>
      </c>
      <c r="L1012" s="43" t="n">
        <f aca="false">K1012*'Chart of Accounts'!$E$68</f>
        <v>8.8909</v>
      </c>
      <c r="O1012" s="42" t="n">
        <f aca="false">I1012+J1012+L1012</f>
        <v>84.8401</v>
      </c>
    </row>
    <row r="1013" customFormat="false" ht="15" hidden="false" customHeight="false" outlineLevel="0" collapsed="false">
      <c r="B1013" s="7" t="s">
        <v>9646</v>
      </c>
      <c r="C1013" s="39" t="n">
        <v>45722</v>
      </c>
      <c r="D1013" s="7" t="s">
        <v>207</v>
      </c>
      <c r="E1013" s="7" t="s">
        <v>180</v>
      </c>
      <c r="F1013" s="6" t="n">
        <v>3.13</v>
      </c>
      <c r="G1013" s="6" t="n">
        <v>0</v>
      </c>
      <c r="H1013" s="41" t="n">
        <v>16.65</v>
      </c>
      <c r="I1013" s="43" t="n">
        <f aca="false">F1013*H1013</f>
        <v>52.1145</v>
      </c>
      <c r="J1013" s="43" t="n">
        <f aca="false">G1013*H1013*1.5</f>
        <v>0</v>
      </c>
      <c r="K1013" s="6" t="n">
        <v>7.36</v>
      </c>
      <c r="L1013" s="43" t="n">
        <f aca="false">K1013*'Chart of Accounts'!$E$68</f>
        <v>4.9312</v>
      </c>
      <c r="O1013" s="42" t="n">
        <f aca="false">I1013+J1013+L1013</f>
        <v>57.0457</v>
      </c>
    </row>
    <row r="1014" customFormat="false" ht="15" hidden="false" customHeight="false" outlineLevel="0" collapsed="false">
      <c r="B1014" s="7" t="s">
        <v>9647</v>
      </c>
      <c r="C1014" s="39" t="n">
        <v>45722</v>
      </c>
      <c r="D1014" s="7" t="s">
        <v>218</v>
      </c>
      <c r="E1014" s="7" t="s">
        <v>180</v>
      </c>
      <c r="F1014" s="6" t="n">
        <v>4.29</v>
      </c>
      <c r="G1014" s="6" t="n">
        <v>0</v>
      </c>
      <c r="H1014" s="41" t="n">
        <v>16.19</v>
      </c>
      <c r="I1014" s="43" t="n">
        <f aca="false">F1014*H1014</f>
        <v>69.4551</v>
      </c>
      <c r="J1014" s="43" t="n">
        <f aca="false">G1014*H1014*1.5</f>
        <v>0</v>
      </c>
      <c r="K1014" s="6" t="n">
        <v>9.91</v>
      </c>
      <c r="L1014" s="43" t="n">
        <f aca="false">K1014*'Chart of Accounts'!$E$68</f>
        <v>6.6397</v>
      </c>
      <c r="O1014" s="42" t="n">
        <f aca="false">I1014+J1014+L1014</f>
        <v>76.0948</v>
      </c>
    </row>
    <row r="1015" customFormat="false" ht="15" hidden="false" customHeight="false" outlineLevel="0" collapsed="false">
      <c r="B1015" s="7" t="s">
        <v>9648</v>
      </c>
      <c r="C1015" s="39" t="n">
        <v>45722</v>
      </c>
      <c r="D1015" s="7" t="s">
        <v>212</v>
      </c>
      <c r="E1015" s="7" t="s">
        <v>180</v>
      </c>
      <c r="F1015" s="6" t="n">
        <v>6.82</v>
      </c>
      <c r="G1015" s="6" t="n">
        <v>0</v>
      </c>
      <c r="H1015" s="41" t="n">
        <v>16.71</v>
      </c>
      <c r="I1015" s="43" t="n">
        <f aca="false">F1015*H1015</f>
        <v>113.9622</v>
      </c>
      <c r="J1015" s="43" t="n">
        <f aca="false">G1015*H1015*1.5</f>
        <v>0</v>
      </c>
      <c r="K1015" s="6" t="n">
        <v>17.72</v>
      </c>
      <c r="L1015" s="43" t="n">
        <f aca="false">K1015*'Chart of Accounts'!$E$68</f>
        <v>11.8724</v>
      </c>
      <c r="O1015" s="42" t="n">
        <f aca="false">I1015+J1015+L1015</f>
        <v>125.8346</v>
      </c>
    </row>
    <row r="1016" customFormat="false" ht="15" hidden="false" customHeight="false" outlineLevel="0" collapsed="false">
      <c r="B1016" s="7" t="s">
        <v>9649</v>
      </c>
      <c r="C1016" s="39" t="n">
        <v>45722</v>
      </c>
      <c r="D1016" s="7" t="s">
        <v>220</v>
      </c>
      <c r="E1016" s="7" t="s">
        <v>180</v>
      </c>
      <c r="F1016" s="6" t="n">
        <v>3.94</v>
      </c>
      <c r="G1016" s="6" t="n">
        <v>0</v>
      </c>
      <c r="H1016" s="41" t="n">
        <v>16.43</v>
      </c>
      <c r="I1016" s="43" t="n">
        <f aca="false">F1016*H1016</f>
        <v>64.7342</v>
      </c>
      <c r="J1016" s="43" t="n">
        <f aca="false">G1016*H1016*1.5</f>
        <v>0</v>
      </c>
      <c r="K1016" s="6" t="n">
        <v>12.83</v>
      </c>
      <c r="L1016" s="43" t="n">
        <f aca="false">K1016*'Chart of Accounts'!$E$68</f>
        <v>8.5961</v>
      </c>
      <c r="O1016" s="42" t="n">
        <f aca="false">I1016+J1016+L1016</f>
        <v>73.3303</v>
      </c>
    </row>
    <row r="1017" customFormat="false" ht="15" hidden="false" customHeight="false" outlineLevel="0" collapsed="false">
      <c r="B1017" s="7" t="s">
        <v>9650</v>
      </c>
      <c r="C1017" s="39" t="n">
        <v>45722</v>
      </c>
      <c r="D1017" s="7" t="s">
        <v>224</v>
      </c>
      <c r="E1017" s="7" t="s">
        <v>180</v>
      </c>
      <c r="F1017" s="6" t="n">
        <v>4.1</v>
      </c>
      <c r="G1017" s="6" t="n">
        <v>0</v>
      </c>
      <c r="H1017" s="41" t="n">
        <v>14.93</v>
      </c>
      <c r="I1017" s="43" t="n">
        <f aca="false">F1017*H1017</f>
        <v>61.213</v>
      </c>
      <c r="J1017" s="43" t="n">
        <f aca="false">G1017*H1017*1.5</f>
        <v>0</v>
      </c>
      <c r="K1017" s="6" t="n">
        <v>13.23</v>
      </c>
      <c r="L1017" s="43" t="n">
        <f aca="false">K1017*'Chart of Accounts'!$E$68</f>
        <v>8.8641</v>
      </c>
      <c r="O1017" s="42" t="n">
        <f aca="false">I1017+J1017+L1017</f>
        <v>70.0771</v>
      </c>
    </row>
    <row r="1018" customFormat="false" ht="15" hidden="false" customHeight="false" outlineLevel="0" collapsed="false">
      <c r="B1018" s="7" t="s">
        <v>9651</v>
      </c>
      <c r="C1018" s="39" t="n">
        <v>45722</v>
      </c>
      <c r="D1018" s="7" t="s">
        <v>232</v>
      </c>
      <c r="E1018" s="7" t="s">
        <v>180</v>
      </c>
      <c r="F1018" s="6" t="n">
        <v>2.99</v>
      </c>
      <c r="G1018" s="6" t="n">
        <v>0</v>
      </c>
      <c r="H1018" s="41" t="n">
        <v>16.17</v>
      </c>
      <c r="I1018" s="43" t="n">
        <f aca="false">F1018*H1018</f>
        <v>48.3483</v>
      </c>
      <c r="J1018" s="43" t="n">
        <f aca="false">G1018*H1018*1.5</f>
        <v>0</v>
      </c>
      <c r="K1018" s="6" t="n">
        <v>10.13</v>
      </c>
      <c r="L1018" s="43" t="n">
        <f aca="false">K1018*'Chart of Accounts'!$E$68</f>
        <v>6.7871</v>
      </c>
      <c r="O1018" s="42" t="n">
        <f aca="false">I1018+J1018+L1018</f>
        <v>55.1354</v>
      </c>
    </row>
    <row r="1019" customFormat="false" ht="15" hidden="false" customHeight="false" outlineLevel="0" collapsed="false">
      <c r="B1019" s="7" t="s">
        <v>9652</v>
      </c>
      <c r="C1019" s="39" t="n">
        <v>45722</v>
      </c>
      <c r="D1019" s="7" t="s">
        <v>222</v>
      </c>
      <c r="E1019" s="7" t="s">
        <v>180</v>
      </c>
      <c r="F1019" s="6" t="n">
        <v>6.56</v>
      </c>
      <c r="G1019" s="6" t="n">
        <v>0</v>
      </c>
      <c r="H1019" s="41" t="n">
        <v>17.84</v>
      </c>
      <c r="I1019" s="43" t="n">
        <f aca="false">F1019*H1019</f>
        <v>117.0304</v>
      </c>
      <c r="J1019" s="43" t="n">
        <f aca="false">G1019*H1019*1.5</f>
        <v>0</v>
      </c>
      <c r="K1019" s="6" t="n">
        <v>21.16</v>
      </c>
      <c r="L1019" s="43" t="n">
        <f aca="false">K1019*'Chart of Accounts'!$E$68</f>
        <v>14.1772</v>
      </c>
      <c r="O1019" s="42" t="n">
        <f aca="false">I1019+J1019+L1019</f>
        <v>131.2076</v>
      </c>
    </row>
    <row r="1020" customFormat="false" ht="15" hidden="false" customHeight="false" outlineLevel="0" collapsed="false">
      <c r="B1020" s="7" t="s">
        <v>9653</v>
      </c>
      <c r="C1020" s="39" t="n">
        <v>45722</v>
      </c>
      <c r="D1020" s="7" t="s">
        <v>262</v>
      </c>
      <c r="E1020" s="7" t="s">
        <v>180</v>
      </c>
      <c r="F1020" s="6" t="n">
        <v>3.77</v>
      </c>
      <c r="G1020" s="6" t="n">
        <v>0</v>
      </c>
      <c r="H1020" s="41" t="n">
        <v>16.02</v>
      </c>
      <c r="I1020" s="43" t="n">
        <f aca="false">F1020*H1020</f>
        <v>60.3954</v>
      </c>
      <c r="J1020" s="43" t="n">
        <f aca="false">G1020*H1020*1.5</f>
        <v>0</v>
      </c>
      <c r="K1020" s="6" t="n">
        <v>11.46</v>
      </c>
      <c r="L1020" s="43" t="n">
        <f aca="false">K1020*'Chart of Accounts'!$E$68</f>
        <v>7.6782</v>
      </c>
      <c r="O1020" s="42" t="n">
        <f aca="false">I1020+J1020+L1020</f>
        <v>68.0736</v>
      </c>
    </row>
    <row r="1021" customFormat="false" ht="15" hidden="false" customHeight="false" outlineLevel="0" collapsed="false">
      <c r="B1021" s="7" t="s">
        <v>9654</v>
      </c>
      <c r="C1021" s="39" t="n">
        <v>45722</v>
      </c>
      <c r="D1021" s="7" t="s">
        <v>246</v>
      </c>
      <c r="E1021" s="7" t="s">
        <v>180</v>
      </c>
      <c r="F1021" s="6" t="n">
        <v>8.01</v>
      </c>
      <c r="G1021" s="6" t="n">
        <v>0</v>
      </c>
      <c r="H1021" s="41" t="n">
        <v>16.48</v>
      </c>
      <c r="I1021" s="43" t="n">
        <f aca="false">F1021*H1021</f>
        <v>132.0048</v>
      </c>
      <c r="J1021" s="43" t="n">
        <f aca="false">G1021*H1021*1.5</f>
        <v>0</v>
      </c>
      <c r="K1021" s="6" t="n">
        <v>23.07</v>
      </c>
      <c r="L1021" s="43" t="n">
        <f aca="false">K1021*'Chart of Accounts'!$E$68</f>
        <v>15.4569</v>
      </c>
      <c r="O1021" s="42" t="n">
        <f aca="false">I1021+J1021+L1021</f>
        <v>147.4617</v>
      </c>
    </row>
    <row r="1022" customFormat="false" ht="15" hidden="false" customHeight="false" outlineLevel="0" collapsed="false">
      <c r="B1022" s="7" t="s">
        <v>9655</v>
      </c>
      <c r="C1022" s="39" t="n">
        <v>45722</v>
      </c>
      <c r="D1022" s="7" t="s">
        <v>214</v>
      </c>
      <c r="E1022" s="7" t="s">
        <v>180</v>
      </c>
      <c r="F1022" s="6" t="n">
        <v>4.14</v>
      </c>
      <c r="G1022" s="6" t="n">
        <v>0</v>
      </c>
      <c r="H1022" s="41" t="n">
        <v>15.67</v>
      </c>
      <c r="I1022" s="43" t="n">
        <f aca="false">F1022*H1022</f>
        <v>64.8738</v>
      </c>
      <c r="J1022" s="43" t="n">
        <f aca="false">G1022*H1022*1.5</f>
        <v>0</v>
      </c>
      <c r="K1022" s="6" t="n">
        <v>12.08</v>
      </c>
      <c r="L1022" s="43" t="n">
        <f aca="false">K1022*'Chart of Accounts'!$E$68</f>
        <v>8.0936</v>
      </c>
      <c r="O1022" s="42" t="n">
        <f aca="false">I1022+J1022+L1022</f>
        <v>72.9674</v>
      </c>
    </row>
    <row r="1023" customFormat="false" ht="15" hidden="false" customHeight="false" outlineLevel="0" collapsed="false">
      <c r="B1023" s="7" t="s">
        <v>9656</v>
      </c>
      <c r="C1023" s="39" t="n">
        <v>45722</v>
      </c>
      <c r="D1023" s="7" t="s">
        <v>242</v>
      </c>
      <c r="E1023" s="7" t="s">
        <v>180</v>
      </c>
      <c r="F1023" s="6" t="n">
        <v>4.22</v>
      </c>
      <c r="G1023" s="6" t="n">
        <v>0</v>
      </c>
      <c r="H1023" s="41" t="n">
        <v>17.99</v>
      </c>
      <c r="I1023" s="43" t="n">
        <f aca="false">F1023*H1023</f>
        <v>75.9178</v>
      </c>
      <c r="J1023" s="43" t="n">
        <f aca="false">G1023*H1023*1.5</f>
        <v>0</v>
      </c>
      <c r="K1023" s="6" t="n">
        <v>12.24</v>
      </c>
      <c r="L1023" s="43" t="n">
        <f aca="false">K1023*'Chart of Accounts'!$E$68</f>
        <v>8.2008</v>
      </c>
      <c r="O1023" s="42" t="n">
        <f aca="false">I1023+J1023+L1023</f>
        <v>84.1186</v>
      </c>
    </row>
    <row r="1024" customFormat="false" ht="15" hidden="false" customHeight="false" outlineLevel="0" collapsed="false">
      <c r="B1024" s="7" t="s">
        <v>9657</v>
      </c>
      <c r="C1024" s="39" t="n">
        <v>45722</v>
      </c>
      <c r="D1024" s="7" t="s">
        <v>254</v>
      </c>
      <c r="E1024" s="7" t="s">
        <v>180</v>
      </c>
      <c r="F1024" s="6" t="n">
        <v>4.09</v>
      </c>
      <c r="G1024" s="6" t="n">
        <v>0</v>
      </c>
      <c r="H1024" s="41" t="n">
        <v>17.1</v>
      </c>
      <c r="I1024" s="43" t="n">
        <f aca="false">F1024*H1024</f>
        <v>69.939</v>
      </c>
      <c r="J1024" s="43" t="n">
        <f aca="false">G1024*H1024*1.5</f>
        <v>0</v>
      </c>
      <c r="K1024" s="6" t="n">
        <v>9.56</v>
      </c>
      <c r="L1024" s="43" t="n">
        <f aca="false">K1024*'Chart of Accounts'!$E$68</f>
        <v>6.4052</v>
      </c>
      <c r="O1024" s="42" t="n">
        <f aca="false">I1024+J1024+L1024</f>
        <v>76.3442</v>
      </c>
    </row>
    <row r="1025" customFormat="false" ht="15" hidden="false" customHeight="false" outlineLevel="0" collapsed="false">
      <c r="B1025" s="7" t="s">
        <v>9658</v>
      </c>
      <c r="C1025" s="39" t="n">
        <v>45723</v>
      </c>
      <c r="D1025" s="7" t="s">
        <v>187</v>
      </c>
      <c r="E1025" s="7" t="s">
        <v>158</v>
      </c>
      <c r="H1025" s="41" t="n">
        <v>66.48</v>
      </c>
      <c r="M1025" s="6" t="n">
        <v>1</v>
      </c>
      <c r="N1025" s="43" t="n">
        <f aca="false">M1025*H1025</f>
        <v>66.48</v>
      </c>
      <c r="O1025" s="42" t="n">
        <f aca="false">N1025</f>
        <v>66.48</v>
      </c>
    </row>
    <row r="1026" customFormat="false" ht="15" hidden="false" customHeight="false" outlineLevel="0" collapsed="false">
      <c r="B1026" s="7" t="s">
        <v>9659</v>
      </c>
      <c r="C1026" s="39" t="n">
        <v>45723</v>
      </c>
      <c r="D1026" s="7" t="s">
        <v>191</v>
      </c>
      <c r="E1026" s="7" t="s">
        <v>180</v>
      </c>
      <c r="F1026" s="6" t="n">
        <v>3.94</v>
      </c>
      <c r="G1026" s="6" t="n">
        <v>0</v>
      </c>
      <c r="H1026" s="41" t="n">
        <v>16.05</v>
      </c>
      <c r="I1026" s="43" t="n">
        <f aca="false">F1026*H1026</f>
        <v>63.237</v>
      </c>
      <c r="J1026" s="43" t="n">
        <f aca="false">G1026*H1026*1.5</f>
        <v>0</v>
      </c>
      <c r="K1026" s="6" t="n">
        <v>11.94</v>
      </c>
      <c r="L1026" s="43" t="n">
        <f aca="false">K1026*'Chart of Accounts'!$E$68</f>
        <v>7.9998</v>
      </c>
      <c r="O1026" s="42" t="n">
        <f aca="false">I1026+J1026+L1026</f>
        <v>71.2368</v>
      </c>
    </row>
    <row r="1027" customFormat="false" ht="15" hidden="false" customHeight="false" outlineLevel="0" collapsed="false">
      <c r="B1027" s="7" t="s">
        <v>9660</v>
      </c>
      <c r="C1027" s="39" t="n">
        <v>45723</v>
      </c>
      <c r="D1027" s="7" t="s">
        <v>194</v>
      </c>
      <c r="E1027" s="7" t="s">
        <v>180</v>
      </c>
      <c r="F1027" s="6" t="n">
        <v>5.05</v>
      </c>
      <c r="G1027" s="6" t="n">
        <v>0</v>
      </c>
      <c r="H1027" s="41" t="n">
        <v>16</v>
      </c>
      <c r="I1027" s="43" t="n">
        <f aca="false">F1027*H1027</f>
        <v>80.8</v>
      </c>
      <c r="J1027" s="43" t="n">
        <f aca="false">G1027*H1027*1.5</f>
        <v>0</v>
      </c>
      <c r="K1027" s="6" t="n">
        <v>11.38</v>
      </c>
      <c r="L1027" s="43" t="n">
        <f aca="false">K1027*'Chart of Accounts'!$E$68</f>
        <v>7.6246</v>
      </c>
      <c r="O1027" s="42" t="n">
        <f aca="false">I1027+J1027+L1027</f>
        <v>88.4246</v>
      </c>
    </row>
    <row r="1028" customFormat="false" ht="15" hidden="false" customHeight="false" outlineLevel="0" collapsed="false">
      <c r="B1028" s="7" t="s">
        <v>9661</v>
      </c>
      <c r="C1028" s="39" t="n">
        <v>45723</v>
      </c>
      <c r="D1028" s="7" t="s">
        <v>209</v>
      </c>
      <c r="E1028" s="7" t="s">
        <v>158</v>
      </c>
      <c r="H1028" s="41" t="n">
        <v>73.58</v>
      </c>
      <c r="M1028" s="6" t="n">
        <v>2</v>
      </c>
      <c r="N1028" s="43" t="n">
        <f aca="false">M1028*H1028</f>
        <v>147.16</v>
      </c>
      <c r="O1028" s="42" t="n">
        <f aca="false">N1028</f>
        <v>147.16</v>
      </c>
    </row>
    <row r="1029" customFormat="false" ht="15" hidden="false" customHeight="false" outlineLevel="0" collapsed="false">
      <c r="B1029" s="7" t="s">
        <v>9662</v>
      </c>
      <c r="C1029" s="39" t="n">
        <v>45723</v>
      </c>
      <c r="D1029" s="7" t="s">
        <v>205</v>
      </c>
      <c r="E1029" s="7" t="s">
        <v>180</v>
      </c>
      <c r="F1029" s="6" t="n">
        <v>4.08</v>
      </c>
      <c r="G1029" s="6" t="n">
        <v>0</v>
      </c>
      <c r="H1029" s="41" t="n">
        <v>16.36</v>
      </c>
      <c r="I1029" s="43" t="n">
        <f aca="false">F1029*H1029</f>
        <v>66.7488</v>
      </c>
      <c r="J1029" s="43" t="n">
        <f aca="false">G1029*H1029*1.5</f>
        <v>0</v>
      </c>
      <c r="K1029" s="6" t="n">
        <v>13.54</v>
      </c>
      <c r="L1029" s="43" t="n">
        <f aca="false">K1029*'Chart of Accounts'!$E$68</f>
        <v>9.0718</v>
      </c>
      <c r="O1029" s="42" t="n">
        <f aca="false">I1029+J1029+L1029</f>
        <v>75.8206</v>
      </c>
    </row>
    <row r="1030" customFormat="false" ht="15" hidden="false" customHeight="false" outlineLevel="0" collapsed="false">
      <c r="B1030" s="7" t="s">
        <v>9663</v>
      </c>
      <c r="C1030" s="39" t="n">
        <v>45723</v>
      </c>
      <c r="D1030" s="7" t="s">
        <v>252</v>
      </c>
      <c r="E1030" s="7" t="s">
        <v>158</v>
      </c>
      <c r="H1030" s="41" t="n">
        <v>57.54</v>
      </c>
      <c r="M1030" s="6" t="n">
        <v>1</v>
      </c>
      <c r="N1030" s="43" t="n">
        <f aca="false">M1030*H1030</f>
        <v>57.54</v>
      </c>
      <c r="O1030" s="42" t="n">
        <f aca="false">N1030</f>
        <v>57.54</v>
      </c>
    </row>
    <row r="1031" customFormat="false" ht="15" hidden="false" customHeight="false" outlineLevel="0" collapsed="false">
      <c r="B1031" s="7" t="s">
        <v>9664</v>
      </c>
      <c r="C1031" s="39" t="n">
        <v>45723</v>
      </c>
      <c r="D1031" s="7" t="s">
        <v>184</v>
      </c>
      <c r="E1031" s="7" t="s">
        <v>180</v>
      </c>
      <c r="F1031" s="6" t="n">
        <v>4.02</v>
      </c>
      <c r="G1031" s="6" t="n">
        <v>0</v>
      </c>
      <c r="H1031" s="41" t="n">
        <v>17.34</v>
      </c>
      <c r="I1031" s="43" t="n">
        <f aca="false">F1031*H1031</f>
        <v>69.7068</v>
      </c>
      <c r="J1031" s="43" t="n">
        <f aca="false">G1031*H1031*1.5</f>
        <v>0</v>
      </c>
      <c r="K1031" s="6" t="n">
        <v>13.89</v>
      </c>
      <c r="L1031" s="43" t="n">
        <f aca="false">K1031*'Chart of Accounts'!$E$68</f>
        <v>9.3063</v>
      </c>
      <c r="O1031" s="42" t="n">
        <f aca="false">I1031+J1031+L1031</f>
        <v>79.0131</v>
      </c>
    </row>
    <row r="1032" customFormat="false" ht="15" hidden="false" customHeight="false" outlineLevel="0" collapsed="false">
      <c r="B1032" s="7" t="s">
        <v>9665</v>
      </c>
      <c r="C1032" s="39" t="n">
        <v>45723</v>
      </c>
      <c r="D1032" s="7" t="s">
        <v>234</v>
      </c>
      <c r="E1032" s="7" t="s">
        <v>158</v>
      </c>
      <c r="H1032" s="41" t="n">
        <v>89.53</v>
      </c>
      <c r="M1032" s="6" t="n">
        <v>2</v>
      </c>
      <c r="N1032" s="43" t="n">
        <f aca="false">M1032*H1032</f>
        <v>179.06</v>
      </c>
      <c r="O1032" s="42" t="n">
        <f aca="false">N1032</f>
        <v>179.06</v>
      </c>
    </row>
    <row r="1033" customFormat="false" ht="15" hidden="false" customHeight="false" outlineLevel="0" collapsed="false">
      <c r="B1033" s="7" t="s">
        <v>9666</v>
      </c>
      <c r="C1033" s="39" t="n">
        <v>45723</v>
      </c>
      <c r="D1033" s="7" t="s">
        <v>218</v>
      </c>
      <c r="E1033" s="7" t="s">
        <v>180</v>
      </c>
      <c r="F1033" s="6" t="n">
        <v>3.8</v>
      </c>
      <c r="G1033" s="6" t="n">
        <v>0</v>
      </c>
      <c r="H1033" s="41" t="n">
        <v>16.19</v>
      </c>
      <c r="I1033" s="43" t="n">
        <f aca="false">F1033*H1033</f>
        <v>61.522</v>
      </c>
      <c r="J1033" s="43" t="n">
        <f aca="false">G1033*H1033*1.5</f>
        <v>0</v>
      </c>
      <c r="K1033" s="6" t="n">
        <v>11.85</v>
      </c>
      <c r="L1033" s="43" t="n">
        <f aca="false">K1033*'Chart of Accounts'!$E$68</f>
        <v>7.9395</v>
      </c>
      <c r="O1033" s="42" t="n">
        <f aca="false">I1033+J1033+L1033</f>
        <v>69.4615</v>
      </c>
    </row>
    <row r="1034" customFormat="false" ht="15" hidden="false" customHeight="false" outlineLevel="0" collapsed="false">
      <c r="B1034" s="7" t="s">
        <v>9667</v>
      </c>
      <c r="C1034" s="39" t="n">
        <v>45723</v>
      </c>
      <c r="D1034" s="7" t="s">
        <v>266</v>
      </c>
      <c r="E1034" s="7" t="s">
        <v>158</v>
      </c>
      <c r="H1034" s="41" t="n">
        <v>75.18</v>
      </c>
      <c r="M1034" s="6" t="n">
        <v>1</v>
      </c>
      <c r="N1034" s="43" t="n">
        <f aca="false">M1034*H1034</f>
        <v>75.18</v>
      </c>
      <c r="O1034" s="42" t="n">
        <f aca="false">N1034</f>
        <v>75.18</v>
      </c>
    </row>
    <row r="1035" customFormat="false" ht="15" hidden="false" customHeight="false" outlineLevel="0" collapsed="false">
      <c r="B1035" s="7" t="s">
        <v>9668</v>
      </c>
      <c r="C1035" s="39" t="n">
        <v>45723</v>
      </c>
      <c r="D1035" s="7" t="s">
        <v>228</v>
      </c>
      <c r="E1035" s="7" t="s">
        <v>158</v>
      </c>
      <c r="H1035" s="41" t="n">
        <v>51.07</v>
      </c>
      <c r="M1035" s="6" t="n">
        <v>1</v>
      </c>
      <c r="N1035" s="43" t="n">
        <f aca="false">M1035*H1035</f>
        <v>51.07</v>
      </c>
      <c r="O1035" s="42" t="n">
        <f aca="false">N1035</f>
        <v>51.07</v>
      </c>
    </row>
    <row r="1036" customFormat="false" ht="15" hidden="false" customHeight="false" outlineLevel="0" collapsed="false">
      <c r="B1036" s="7" t="s">
        <v>9669</v>
      </c>
      <c r="C1036" s="39" t="n">
        <v>45723</v>
      </c>
      <c r="D1036" s="7" t="s">
        <v>220</v>
      </c>
      <c r="E1036" s="7" t="s">
        <v>180</v>
      </c>
      <c r="F1036" s="6" t="n">
        <v>4.22</v>
      </c>
      <c r="G1036" s="6" t="n">
        <v>0</v>
      </c>
      <c r="H1036" s="41" t="n">
        <v>16.43</v>
      </c>
      <c r="I1036" s="43" t="n">
        <f aca="false">F1036*H1036</f>
        <v>69.3346</v>
      </c>
      <c r="J1036" s="43" t="n">
        <f aca="false">G1036*H1036*1.5</f>
        <v>0</v>
      </c>
      <c r="K1036" s="6" t="n">
        <v>11.56</v>
      </c>
      <c r="L1036" s="43" t="n">
        <f aca="false">K1036*'Chart of Accounts'!$E$68</f>
        <v>7.7452</v>
      </c>
      <c r="O1036" s="42" t="n">
        <f aca="false">I1036+J1036+L1036</f>
        <v>77.0798</v>
      </c>
    </row>
    <row r="1037" customFormat="false" ht="15" hidden="false" customHeight="false" outlineLevel="0" collapsed="false">
      <c r="B1037" s="7" t="s">
        <v>9670</v>
      </c>
      <c r="C1037" s="39" t="n">
        <v>45723</v>
      </c>
      <c r="D1037" s="7" t="s">
        <v>177</v>
      </c>
      <c r="E1037" s="7" t="s">
        <v>180</v>
      </c>
      <c r="F1037" s="6" t="n">
        <v>8.11</v>
      </c>
      <c r="G1037" s="6" t="n">
        <v>0</v>
      </c>
      <c r="H1037" s="41" t="n">
        <v>14.56</v>
      </c>
      <c r="I1037" s="43" t="n">
        <f aca="false">F1037*H1037</f>
        <v>118.0816</v>
      </c>
      <c r="J1037" s="43" t="n">
        <f aca="false">G1037*H1037*1.5</f>
        <v>0</v>
      </c>
      <c r="K1037" s="6" t="n">
        <v>20.6</v>
      </c>
      <c r="L1037" s="43" t="n">
        <f aca="false">K1037*'Chart of Accounts'!$E$68</f>
        <v>13.802</v>
      </c>
      <c r="O1037" s="42" t="n">
        <f aca="false">I1037+J1037+L1037</f>
        <v>131.8836</v>
      </c>
    </row>
    <row r="1038" customFormat="false" ht="15" hidden="false" customHeight="false" outlineLevel="0" collapsed="false">
      <c r="B1038" s="7" t="s">
        <v>9671</v>
      </c>
      <c r="C1038" s="39" t="n">
        <v>45723</v>
      </c>
      <c r="D1038" s="7" t="s">
        <v>242</v>
      </c>
      <c r="E1038" s="7" t="s">
        <v>180</v>
      </c>
      <c r="F1038" s="6" t="n">
        <v>7.23</v>
      </c>
      <c r="G1038" s="6" t="n">
        <v>0</v>
      </c>
      <c r="H1038" s="41" t="n">
        <v>17.99</v>
      </c>
      <c r="I1038" s="43" t="n">
        <f aca="false">F1038*H1038</f>
        <v>130.0677</v>
      </c>
      <c r="J1038" s="43" t="n">
        <f aca="false">G1038*H1038*1.5</f>
        <v>0</v>
      </c>
      <c r="K1038" s="6" t="n">
        <v>21.2</v>
      </c>
      <c r="L1038" s="43" t="n">
        <f aca="false">K1038*'Chart of Accounts'!$E$68</f>
        <v>14.204</v>
      </c>
      <c r="O1038" s="42" t="n">
        <f aca="false">I1038+J1038+L1038</f>
        <v>144.2717</v>
      </c>
    </row>
    <row r="1039" customFormat="false" ht="15" hidden="false" customHeight="false" outlineLevel="0" collapsed="false">
      <c r="B1039" s="7" t="s">
        <v>9672</v>
      </c>
      <c r="C1039" s="39" t="n">
        <v>45723</v>
      </c>
      <c r="D1039" s="7" t="s">
        <v>254</v>
      </c>
      <c r="E1039" s="7" t="s">
        <v>180</v>
      </c>
      <c r="F1039" s="6" t="n">
        <v>7.33</v>
      </c>
      <c r="G1039" s="6" t="n">
        <v>0</v>
      </c>
      <c r="H1039" s="41" t="n">
        <v>17.1</v>
      </c>
      <c r="I1039" s="43" t="n">
        <f aca="false">F1039*H1039</f>
        <v>125.343</v>
      </c>
      <c r="J1039" s="43" t="n">
        <f aca="false">G1039*H1039*1.5</f>
        <v>0</v>
      </c>
      <c r="K1039" s="6" t="n">
        <v>20.31</v>
      </c>
      <c r="L1039" s="43" t="n">
        <f aca="false">K1039*'Chart of Accounts'!$E$68</f>
        <v>13.6077</v>
      </c>
      <c r="O1039" s="42" t="n">
        <f aca="false">I1039+J1039+L1039</f>
        <v>138.9507</v>
      </c>
    </row>
    <row r="1040" customFormat="false" ht="15" hidden="false" customHeight="false" outlineLevel="0" collapsed="false">
      <c r="B1040" s="7" t="s">
        <v>9673</v>
      </c>
      <c r="C1040" s="39" t="n">
        <v>45723</v>
      </c>
      <c r="D1040" s="7" t="s">
        <v>201</v>
      </c>
      <c r="E1040" s="7" t="s">
        <v>180</v>
      </c>
      <c r="F1040" s="6" t="n">
        <v>3.35</v>
      </c>
      <c r="G1040" s="6" t="n">
        <v>0</v>
      </c>
      <c r="H1040" s="41" t="n">
        <v>15.19</v>
      </c>
      <c r="I1040" s="43" t="n">
        <f aca="false">F1040*H1040</f>
        <v>50.8865</v>
      </c>
      <c r="J1040" s="43" t="n">
        <f aca="false">G1040*H1040*1.5</f>
        <v>0</v>
      </c>
      <c r="K1040" s="6" t="n">
        <v>9.75</v>
      </c>
      <c r="L1040" s="43" t="n">
        <f aca="false">K1040*'Chart of Accounts'!$E$68</f>
        <v>6.5325</v>
      </c>
      <c r="O1040" s="42" t="n">
        <f aca="false">I1040+J1040+L1040</f>
        <v>57.419</v>
      </c>
    </row>
    <row r="1041" customFormat="false" ht="15" hidden="false" customHeight="false" outlineLevel="0" collapsed="false">
      <c r="B1041" s="7" t="s">
        <v>9674</v>
      </c>
      <c r="C1041" s="39" t="n">
        <v>45723</v>
      </c>
      <c r="D1041" s="7" t="s">
        <v>207</v>
      </c>
      <c r="E1041" s="7" t="s">
        <v>180</v>
      </c>
      <c r="F1041" s="6" t="n">
        <v>3.24</v>
      </c>
      <c r="G1041" s="6" t="n">
        <v>0</v>
      </c>
      <c r="H1041" s="41" t="n">
        <v>16.65</v>
      </c>
      <c r="I1041" s="43" t="n">
        <f aca="false">F1041*H1041</f>
        <v>53.946</v>
      </c>
      <c r="J1041" s="43" t="n">
        <f aca="false">G1041*H1041*1.5</f>
        <v>0</v>
      </c>
      <c r="K1041" s="6" t="n">
        <v>10.34</v>
      </c>
      <c r="L1041" s="43" t="n">
        <f aca="false">K1041*'Chart of Accounts'!$E$68</f>
        <v>6.9278</v>
      </c>
      <c r="O1041" s="42" t="n">
        <f aca="false">I1041+J1041+L1041</f>
        <v>60.8738</v>
      </c>
    </row>
    <row r="1042" customFormat="false" ht="15" hidden="false" customHeight="false" outlineLevel="0" collapsed="false">
      <c r="B1042" s="7" t="s">
        <v>9675</v>
      </c>
      <c r="C1042" s="39" t="n">
        <v>45723</v>
      </c>
      <c r="D1042" s="7" t="s">
        <v>212</v>
      </c>
      <c r="E1042" s="7" t="s">
        <v>180</v>
      </c>
      <c r="F1042" s="6" t="n">
        <v>3.97</v>
      </c>
      <c r="G1042" s="6" t="n">
        <v>0</v>
      </c>
      <c r="H1042" s="41" t="n">
        <v>16.71</v>
      </c>
      <c r="I1042" s="43" t="n">
        <f aca="false">F1042*H1042</f>
        <v>66.3387</v>
      </c>
      <c r="J1042" s="43" t="n">
        <f aca="false">G1042*H1042*1.5</f>
        <v>0</v>
      </c>
      <c r="K1042" s="6" t="n">
        <v>12.81</v>
      </c>
      <c r="L1042" s="43" t="n">
        <f aca="false">K1042*'Chart of Accounts'!$E$68</f>
        <v>8.5827</v>
      </c>
      <c r="O1042" s="42" t="n">
        <f aca="false">I1042+J1042+L1042</f>
        <v>74.9214</v>
      </c>
    </row>
    <row r="1043" customFormat="false" ht="15" hidden="false" customHeight="false" outlineLevel="0" collapsed="false">
      <c r="B1043" s="7" t="s">
        <v>9676</v>
      </c>
      <c r="C1043" s="39" t="n">
        <v>45723</v>
      </c>
      <c r="D1043" s="7" t="s">
        <v>232</v>
      </c>
      <c r="E1043" s="7" t="s">
        <v>180</v>
      </c>
      <c r="F1043" s="6" t="n">
        <v>4.7</v>
      </c>
      <c r="G1043" s="6" t="n">
        <v>0</v>
      </c>
      <c r="H1043" s="41" t="n">
        <v>16.17</v>
      </c>
      <c r="I1043" s="43" t="n">
        <f aca="false">F1043*H1043</f>
        <v>75.999</v>
      </c>
      <c r="J1043" s="43" t="n">
        <f aca="false">G1043*H1043*1.5</f>
        <v>0</v>
      </c>
      <c r="K1043" s="6" t="n">
        <v>10.92</v>
      </c>
      <c r="L1043" s="43" t="n">
        <f aca="false">K1043*'Chart of Accounts'!$E$68</f>
        <v>7.3164</v>
      </c>
      <c r="O1043" s="42" t="n">
        <f aca="false">I1043+J1043+L1043</f>
        <v>83.3154</v>
      </c>
    </row>
    <row r="1044" customFormat="false" ht="15" hidden="false" customHeight="false" outlineLevel="0" collapsed="false">
      <c r="B1044" s="7" t="s">
        <v>9677</v>
      </c>
      <c r="C1044" s="39" t="n">
        <v>45723</v>
      </c>
      <c r="D1044" s="7" t="s">
        <v>224</v>
      </c>
      <c r="E1044" s="7" t="s">
        <v>180</v>
      </c>
      <c r="F1044" s="6" t="n">
        <v>4.9</v>
      </c>
      <c r="G1044" s="6" t="n">
        <v>0</v>
      </c>
      <c r="H1044" s="41" t="n">
        <v>14.93</v>
      </c>
      <c r="I1044" s="43" t="n">
        <f aca="false">F1044*H1044</f>
        <v>73.157</v>
      </c>
      <c r="J1044" s="43" t="n">
        <f aca="false">G1044*H1044*1.5</f>
        <v>0</v>
      </c>
      <c r="K1044" s="6" t="n">
        <v>16.39</v>
      </c>
      <c r="L1044" s="43" t="n">
        <f aca="false">K1044*'Chart of Accounts'!$E$68</f>
        <v>10.9813</v>
      </c>
      <c r="O1044" s="42" t="n">
        <f aca="false">I1044+J1044+L1044</f>
        <v>84.1383</v>
      </c>
    </row>
    <row r="1045" customFormat="false" ht="15" hidden="false" customHeight="false" outlineLevel="0" collapsed="false">
      <c r="B1045" s="7" t="s">
        <v>9678</v>
      </c>
      <c r="C1045" s="39" t="n">
        <v>45723</v>
      </c>
      <c r="D1045" s="7" t="s">
        <v>246</v>
      </c>
      <c r="E1045" s="7" t="s">
        <v>180</v>
      </c>
      <c r="F1045" s="6" t="n">
        <v>3.99</v>
      </c>
      <c r="G1045" s="6" t="n">
        <v>0</v>
      </c>
      <c r="H1045" s="41" t="n">
        <v>16.48</v>
      </c>
      <c r="I1045" s="43" t="n">
        <f aca="false">F1045*H1045</f>
        <v>65.7552</v>
      </c>
      <c r="J1045" s="43" t="n">
        <f aca="false">G1045*H1045*1.5</f>
        <v>0</v>
      </c>
      <c r="K1045" s="6" t="n">
        <v>10.75</v>
      </c>
      <c r="L1045" s="43" t="n">
        <f aca="false">K1045*'Chart of Accounts'!$E$68</f>
        <v>7.2025</v>
      </c>
      <c r="O1045" s="42" t="n">
        <f aca="false">I1045+J1045+L1045</f>
        <v>72.9577</v>
      </c>
    </row>
    <row r="1046" customFormat="false" ht="15" hidden="false" customHeight="false" outlineLevel="0" collapsed="false">
      <c r="B1046" s="7" t="s">
        <v>9679</v>
      </c>
      <c r="C1046" s="39" t="n">
        <v>45723</v>
      </c>
      <c r="D1046" s="7" t="s">
        <v>222</v>
      </c>
      <c r="E1046" s="7" t="s">
        <v>180</v>
      </c>
      <c r="F1046" s="6" t="n">
        <v>3.85</v>
      </c>
      <c r="G1046" s="6" t="n">
        <v>0</v>
      </c>
      <c r="H1046" s="41" t="n">
        <v>17.84</v>
      </c>
      <c r="I1046" s="43" t="n">
        <f aca="false">F1046*H1046</f>
        <v>68.684</v>
      </c>
      <c r="J1046" s="43" t="n">
        <f aca="false">G1046*H1046*1.5</f>
        <v>0</v>
      </c>
      <c r="K1046" s="6" t="n">
        <v>10.74</v>
      </c>
      <c r="L1046" s="43" t="n">
        <f aca="false">K1046*'Chart of Accounts'!$E$68</f>
        <v>7.1958</v>
      </c>
      <c r="O1046" s="42" t="n">
        <f aca="false">I1046+J1046+L1046</f>
        <v>75.8798</v>
      </c>
    </row>
    <row r="1047" customFormat="false" ht="15" hidden="false" customHeight="false" outlineLevel="0" collapsed="false">
      <c r="B1047" s="7" t="s">
        <v>9680</v>
      </c>
      <c r="C1047" s="39" t="n">
        <v>45723</v>
      </c>
      <c r="D1047" s="7" t="s">
        <v>203</v>
      </c>
      <c r="E1047" s="7" t="s">
        <v>158</v>
      </c>
      <c r="H1047" s="41" t="n">
        <v>49.43</v>
      </c>
      <c r="M1047" s="6" t="n">
        <v>1</v>
      </c>
      <c r="N1047" s="43" t="n">
        <f aca="false">M1047*H1047</f>
        <v>49.43</v>
      </c>
      <c r="O1047" s="42" t="n">
        <f aca="false">N1047</f>
        <v>49.43</v>
      </c>
    </row>
    <row r="1048" customFormat="false" ht="15" hidden="false" customHeight="false" outlineLevel="0" collapsed="false">
      <c r="B1048" s="7" t="s">
        <v>9681</v>
      </c>
      <c r="C1048" s="39" t="n">
        <v>45723</v>
      </c>
      <c r="D1048" s="7" t="s">
        <v>262</v>
      </c>
      <c r="E1048" s="7" t="s">
        <v>180</v>
      </c>
      <c r="F1048" s="6" t="n">
        <v>3.46</v>
      </c>
      <c r="G1048" s="6" t="n">
        <v>0</v>
      </c>
      <c r="H1048" s="41" t="n">
        <v>16.02</v>
      </c>
      <c r="I1048" s="43" t="n">
        <f aca="false">F1048*H1048</f>
        <v>55.4292</v>
      </c>
      <c r="J1048" s="43" t="n">
        <f aca="false">G1048*H1048*1.5</f>
        <v>0</v>
      </c>
      <c r="K1048" s="6" t="n">
        <v>10.5</v>
      </c>
      <c r="L1048" s="43" t="n">
        <f aca="false">K1048*'Chart of Accounts'!$E$68</f>
        <v>7.035</v>
      </c>
      <c r="O1048" s="42" t="n">
        <f aca="false">I1048+J1048+L1048</f>
        <v>62.4642</v>
      </c>
    </row>
    <row r="1049" customFormat="false" ht="15" hidden="false" customHeight="false" outlineLevel="0" collapsed="false">
      <c r="B1049" s="7" t="s">
        <v>9682</v>
      </c>
      <c r="C1049" s="39" t="n">
        <v>45723</v>
      </c>
      <c r="D1049" s="7" t="s">
        <v>260</v>
      </c>
      <c r="E1049" s="7" t="s">
        <v>158</v>
      </c>
      <c r="H1049" s="41" t="n">
        <v>79.8</v>
      </c>
      <c r="M1049" s="6" t="n">
        <v>1</v>
      </c>
      <c r="N1049" s="43" t="n">
        <f aca="false">M1049*H1049</f>
        <v>79.8</v>
      </c>
      <c r="O1049" s="42" t="n">
        <f aca="false">N1049</f>
        <v>79.8</v>
      </c>
    </row>
    <row r="1050" customFormat="false" ht="15" hidden="false" customHeight="false" outlineLevel="0" collapsed="false">
      <c r="B1050" s="7" t="s">
        <v>9683</v>
      </c>
      <c r="C1050" s="39" t="n">
        <v>45723</v>
      </c>
      <c r="D1050" s="7" t="s">
        <v>214</v>
      </c>
      <c r="E1050" s="7" t="s">
        <v>180</v>
      </c>
      <c r="F1050" s="6" t="n">
        <v>3.13</v>
      </c>
      <c r="G1050" s="6" t="n">
        <v>0</v>
      </c>
      <c r="H1050" s="41" t="n">
        <v>15.67</v>
      </c>
      <c r="I1050" s="43" t="n">
        <f aca="false">F1050*H1050</f>
        <v>49.0471</v>
      </c>
      <c r="J1050" s="43" t="n">
        <f aca="false">G1050*H1050*1.5</f>
        <v>0</v>
      </c>
      <c r="K1050" s="6" t="n">
        <v>11.24</v>
      </c>
      <c r="L1050" s="43" t="n">
        <f aca="false">K1050*'Chart of Accounts'!$E$68</f>
        <v>7.5308</v>
      </c>
      <c r="O1050" s="42" t="n">
        <f aca="false">I1050+J1050+L1050</f>
        <v>56.5779</v>
      </c>
    </row>
    <row r="1051" customFormat="false" ht="15" hidden="false" customHeight="false" outlineLevel="0" collapsed="false">
      <c r="B1051" s="7" t="s">
        <v>9684</v>
      </c>
      <c r="C1051" s="39" t="n">
        <v>45724</v>
      </c>
      <c r="D1051" s="7" t="s">
        <v>191</v>
      </c>
      <c r="E1051" s="7" t="s">
        <v>180</v>
      </c>
      <c r="F1051" s="6" t="n">
        <v>4.26</v>
      </c>
      <c r="G1051" s="6" t="n">
        <v>0</v>
      </c>
      <c r="H1051" s="41" t="n">
        <v>16.05</v>
      </c>
      <c r="I1051" s="43" t="n">
        <f aca="false">F1051*H1051</f>
        <v>68.373</v>
      </c>
      <c r="J1051" s="43" t="n">
        <f aca="false">G1051*H1051*1.5</f>
        <v>0</v>
      </c>
      <c r="K1051" s="6" t="n">
        <v>13.12</v>
      </c>
      <c r="L1051" s="43" t="n">
        <f aca="false">K1051*'Chart of Accounts'!$E$68</f>
        <v>8.7904</v>
      </c>
      <c r="O1051" s="42" t="n">
        <f aca="false">I1051+J1051+L1051</f>
        <v>77.1634</v>
      </c>
    </row>
    <row r="1052" customFormat="false" ht="15" hidden="false" customHeight="false" outlineLevel="0" collapsed="false">
      <c r="B1052" s="7" t="s">
        <v>9685</v>
      </c>
      <c r="C1052" s="39" t="n">
        <v>45724</v>
      </c>
      <c r="D1052" s="7" t="s">
        <v>218</v>
      </c>
      <c r="E1052" s="7" t="s">
        <v>180</v>
      </c>
      <c r="F1052" s="6" t="n">
        <v>4.1</v>
      </c>
      <c r="G1052" s="6" t="n">
        <v>0</v>
      </c>
      <c r="H1052" s="41" t="n">
        <v>16.19</v>
      </c>
      <c r="I1052" s="43" t="n">
        <f aca="false">F1052*H1052</f>
        <v>66.379</v>
      </c>
      <c r="J1052" s="43" t="n">
        <f aca="false">G1052*H1052*1.5</f>
        <v>0</v>
      </c>
      <c r="K1052" s="6" t="n">
        <v>12.81</v>
      </c>
      <c r="L1052" s="43" t="n">
        <f aca="false">K1052*'Chart of Accounts'!$E$68</f>
        <v>8.5827</v>
      </c>
      <c r="O1052" s="42" t="n">
        <f aca="false">I1052+J1052+L1052</f>
        <v>74.9617</v>
      </c>
    </row>
    <row r="1053" customFormat="false" ht="15" hidden="false" customHeight="false" outlineLevel="0" collapsed="false">
      <c r="B1053" s="7" t="s">
        <v>9686</v>
      </c>
      <c r="C1053" s="39" t="n">
        <v>45724</v>
      </c>
      <c r="D1053" s="7" t="s">
        <v>212</v>
      </c>
      <c r="E1053" s="7" t="s">
        <v>180</v>
      </c>
      <c r="F1053" s="6" t="n">
        <v>4.09</v>
      </c>
      <c r="G1053" s="6" t="n">
        <v>0</v>
      </c>
      <c r="H1053" s="41" t="n">
        <v>16.71</v>
      </c>
      <c r="I1053" s="43" t="n">
        <f aca="false">F1053*H1053</f>
        <v>68.3439</v>
      </c>
      <c r="J1053" s="43" t="n">
        <f aca="false">G1053*H1053*1.5</f>
        <v>0</v>
      </c>
      <c r="K1053" s="6" t="n">
        <v>11.18</v>
      </c>
      <c r="L1053" s="43" t="n">
        <f aca="false">K1053*'Chart of Accounts'!$E$68</f>
        <v>7.4906</v>
      </c>
      <c r="O1053" s="42" t="n">
        <f aca="false">I1053+J1053+L1053</f>
        <v>75.8345</v>
      </c>
    </row>
    <row r="1054" customFormat="false" ht="15" hidden="false" customHeight="false" outlineLevel="0" collapsed="false">
      <c r="B1054" s="7" t="s">
        <v>9687</v>
      </c>
      <c r="C1054" s="39" t="n">
        <v>45724</v>
      </c>
      <c r="D1054" s="7" t="s">
        <v>222</v>
      </c>
      <c r="E1054" s="7" t="s">
        <v>180</v>
      </c>
      <c r="F1054" s="6" t="n">
        <v>4.12</v>
      </c>
      <c r="G1054" s="6" t="n">
        <v>0</v>
      </c>
      <c r="H1054" s="41" t="n">
        <v>17.84</v>
      </c>
      <c r="I1054" s="43" t="n">
        <f aca="false">F1054*H1054</f>
        <v>73.5008</v>
      </c>
      <c r="J1054" s="43" t="n">
        <f aca="false">G1054*H1054*1.5</f>
        <v>0</v>
      </c>
      <c r="K1054" s="6" t="n">
        <v>14.79</v>
      </c>
      <c r="L1054" s="43" t="n">
        <f aca="false">K1054*'Chart of Accounts'!$E$68</f>
        <v>9.9093</v>
      </c>
      <c r="O1054" s="42" t="n">
        <f aca="false">I1054+J1054+L1054</f>
        <v>83.4101</v>
      </c>
    </row>
    <row r="1055" customFormat="false" ht="15" hidden="false" customHeight="false" outlineLevel="0" collapsed="false">
      <c r="B1055" s="7" t="s">
        <v>9688</v>
      </c>
      <c r="C1055" s="39" t="n">
        <v>45724</v>
      </c>
      <c r="D1055" s="7" t="s">
        <v>242</v>
      </c>
      <c r="E1055" s="7" t="s">
        <v>180</v>
      </c>
      <c r="F1055" s="6" t="n">
        <v>3.75</v>
      </c>
      <c r="G1055" s="6" t="n">
        <v>0</v>
      </c>
      <c r="H1055" s="41" t="n">
        <v>17.99</v>
      </c>
      <c r="I1055" s="43" t="n">
        <f aca="false">F1055*H1055</f>
        <v>67.4625</v>
      </c>
      <c r="J1055" s="43" t="n">
        <f aca="false">G1055*H1055*1.5</f>
        <v>0</v>
      </c>
      <c r="K1055" s="6" t="n">
        <v>12.23</v>
      </c>
      <c r="L1055" s="43" t="n">
        <f aca="false">K1055*'Chart of Accounts'!$E$68</f>
        <v>8.1941</v>
      </c>
      <c r="O1055" s="42" t="n">
        <f aca="false">I1055+J1055+L1055</f>
        <v>75.6566</v>
      </c>
    </row>
    <row r="1056" customFormat="false" ht="15" hidden="false" customHeight="false" outlineLevel="0" collapsed="false">
      <c r="B1056" s="7" t="s">
        <v>9689</v>
      </c>
      <c r="C1056" s="39" t="n">
        <v>45724</v>
      </c>
      <c r="D1056" s="7" t="s">
        <v>254</v>
      </c>
      <c r="E1056" s="7" t="s">
        <v>180</v>
      </c>
      <c r="F1056" s="6" t="n">
        <v>3.69</v>
      </c>
      <c r="G1056" s="6" t="n">
        <v>0</v>
      </c>
      <c r="H1056" s="41" t="n">
        <v>17.1</v>
      </c>
      <c r="I1056" s="43" t="n">
        <f aca="false">F1056*H1056</f>
        <v>63.099</v>
      </c>
      <c r="J1056" s="43" t="n">
        <f aca="false">G1056*H1056*1.5</f>
        <v>0</v>
      </c>
      <c r="K1056" s="6" t="n">
        <v>10.89</v>
      </c>
      <c r="L1056" s="43" t="n">
        <f aca="false">K1056*'Chart of Accounts'!$E$68</f>
        <v>7.2963</v>
      </c>
      <c r="O1056" s="42" t="n">
        <f aca="false">I1056+J1056+L1056</f>
        <v>70.3953</v>
      </c>
    </row>
    <row r="1057" customFormat="false" ht="15" hidden="false" customHeight="false" outlineLevel="0" collapsed="false">
      <c r="B1057" s="7" t="s">
        <v>9690</v>
      </c>
      <c r="C1057" s="39" t="n">
        <v>45725</v>
      </c>
      <c r="D1057" s="7" t="s">
        <v>191</v>
      </c>
      <c r="E1057" s="7" t="s">
        <v>180</v>
      </c>
      <c r="F1057" s="6" t="n">
        <v>4.16</v>
      </c>
      <c r="G1057" s="6" t="n">
        <v>0</v>
      </c>
      <c r="H1057" s="41" t="n">
        <v>16.05</v>
      </c>
      <c r="I1057" s="43" t="n">
        <f aca="false">F1057*H1057</f>
        <v>66.768</v>
      </c>
      <c r="J1057" s="43" t="n">
        <f aca="false">G1057*H1057*1.5</f>
        <v>0</v>
      </c>
      <c r="K1057" s="6" t="n">
        <v>10.09</v>
      </c>
      <c r="L1057" s="43" t="n">
        <f aca="false">K1057*'Chart of Accounts'!$E$68</f>
        <v>6.7603</v>
      </c>
      <c r="O1057" s="42" t="n">
        <f aca="false">I1057+J1057+L1057</f>
        <v>73.5283</v>
      </c>
    </row>
    <row r="1058" customFormat="false" ht="15" hidden="false" customHeight="false" outlineLevel="0" collapsed="false">
      <c r="B1058" s="7" t="s">
        <v>9691</v>
      </c>
      <c r="C1058" s="39" t="n">
        <v>45725</v>
      </c>
      <c r="D1058" s="7" t="s">
        <v>218</v>
      </c>
      <c r="E1058" s="7" t="s">
        <v>180</v>
      </c>
      <c r="F1058" s="6" t="n">
        <v>3.72</v>
      </c>
      <c r="G1058" s="6" t="n">
        <v>0</v>
      </c>
      <c r="H1058" s="41" t="n">
        <v>16.19</v>
      </c>
      <c r="I1058" s="43" t="n">
        <f aca="false">F1058*H1058</f>
        <v>60.2268</v>
      </c>
      <c r="J1058" s="43" t="n">
        <f aca="false">G1058*H1058*1.5</f>
        <v>0</v>
      </c>
      <c r="K1058" s="6" t="n">
        <v>10.68</v>
      </c>
      <c r="L1058" s="43" t="n">
        <f aca="false">K1058*'Chart of Accounts'!$E$68</f>
        <v>7.1556</v>
      </c>
      <c r="O1058" s="42" t="n">
        <f aca="false">I1058+J1058+L1058</f>
        <v>67.3824</v>
      </c>
    </row>
    <row r="1059" customFormat="false" ht="15" hidden="false" customHeight="false" outlineLevel="0" collapsed="false">
      <c r="B1059" s="7" t="s">
        <v>9692</v>
      </c>
      <c r="C1059" s="39" t="n">
        <v>45725</v>
      </c>
      <c r="D1059" s="7" t="s">
        <v>212</v>
      </c>
      <c r="E1059" s="7" t="s">
        <v>180</v>
      </c>
      <c r="F1059" s="6" t="n">
        <v>4.38</v>
      </c>
      <c r="G1059" s="6" t="n">
        <v>0</v>
      </c>
      <c r="H1059" s="41" t="n">
        <v>16.71</v>
      </c>
      <c r="I1059" s="43" t="n">
        <f aca="false">F1059*H1059</f>
        <v>73.1898</v>
      </c>
      <c r="J1059" s="43" t="n">
        <f aca="false">G1059*H1059*1.5</f>
        <v>0</v>
      </c>
      <c r="K1059" s="6" t="n">
        <v>12.85</v>
      </c>
      <c r="L1059" s="43" t="n">
        <f aca="false">K1059*'Chart of Accounts'!$E$68</f>
        <v>8.6095</v>
      </c>
      <c r="O1059" s="42" t="n">
        <f aca="false">I1059+J1059+L1059</f>
        <v>81.7993</v>
      </c>
    </row>
    <row r="1060" customFormat="false" ht="15" hidden="false" customHeight="false" outlineLevel="0" collapsed="false">
      <c r="B1060" s="7" t="s">
        <v>9693</v>
      </c>
      <c r="C1060" s="39" t="n">
        <v>45725</v>
      </c>
      <c r="D1060" s="7" t="s">
        <v>242</v>
      </c>
      <c r="E1060" s="7" t="s">
        <v>180</v>
      </c>
      <c r="F1060" s="6" t="n">
        <v>3.72</v>
      </c>
      <c r="G1060" s="6" t="n">
        <v>0</v>
      </c>
      <c r="H1060" s="41" t="n">
        <v>17.99</v>
      </c>
      <c r="I1060" s="43" t="n">
        <f aca="false">F1060*H1060</f>
        <v>66.9228</v>
      </c>
      <c r="J1060" s="43" t="n">
        <f aca="false">G1060*H1060*1.5</f>
        <v>0</v>
      </c>
      <c r="K1060" s="6" t="n">
        <v>8.25</v>
      </c>
      <c r="L1060" s="43" t="n">
        <f aca="false">K1060*'Chart of Accounts'!$E$68</f>
        <v>5.5275</v>
      </c>
      <c r="O1060" s="42" t="n">
        <f aca="false">I1060+J1060+L1060</f>
        <v>72.4503</v>
      </c>
    </row>
    <row r="1061" customFormat="false" ht="15" hidden="false" customHeight="false" outlineLevel="0" collapsed="false">
      <c r="B1061" s="7" t="s">
        <v>9694</v>
      </c>
      <c r="C1061" s="39" t="n">
        <v>45725</v>
      </c>
      <c r="D1061" s="7" t="s">
        <v>254</v>
      </c>
      <c r="E1061" s="7" t="s">
        <v>180</v>
      </c>
      <c r="F1061" s="6" t="n">
        <v>3.85</v>
      </c>
      <c r="G1061" s="6" t="n">
        <v>0</v>
      </c>
      <c r="H1061" s="41" t="n">
        <v>17.1</v>
      </c>
      <c r="I1061" s="43" t="n">
        <f aca="false">F1061*H1061</f>
        <v>65.835</v>
      </c>
      <c r="J1061" s="43" t="n">
        <f aca="false">G1061*H1061*1.5</f>
        <v>0</v>
      </c>
      <c r="K1061" s="6" t="n">
        <v>13.59</v>
      </c>
      <c r="L1061" s="43" t="n">
        <f aca="false">K1061*'Chart of Accounts'!$E$68</f>
        <v>9.1053</v>
      </c>
      <c r="O1061" s="42" t="n">
        <f aca="false">I1061+J1061+L1061</f>
        <v>74.9403</v>
      </c>
    </row>
    <row r="1062" customFormat="false" ht="15" hidden="false" customHeight="false" outlineLevel="0" collapsed="false">
      <c r="B1062" s="7" t="s">
        <v>9695</v>
      </c>
      <c r="C1062" s="39" t="n">
        <v>45726</v>
      </c>
      <c r="D1062" s="7" t="s">
        <v>187</v>
      </c>
      <c r="E1062" s="7" t="s">
        <v>158</v>
      </c>
      <c r="H1062" s="41" t="n">
        <v>66.48</v>
      </c>
      <c r="M1062" s="6" t="n">
        <v>1</v>
      </c>
      <c r="N1062" s="43" t="n">
        <f aca="false">M1062*H1062</f>
        <v>66.48</v>
      </c>
      <c r="O1062" s="42" t="n">
        <f aca="false">N1062</f>
        <v>66.48</v>
      </c>
    </row>
    <row r="1063" customFormat="false" ht="15" hidden="false" customHeight="false" outlineLevel="0" collapsed="false">
      <c r="B1063" s="7" t="s">
        <v>9696</v>
      </c>
      <c r="C1063" s="39" t="n">
        <v>45726</v>
      </c>
      <c r="D1063" s="7" t="s">
        <v>191</v>
      </c>
      <c r="E1063" s="7" t="s">
        <v>180</v>
      </c>
      <c r="F1063" s="6" t="n">
        <v>4.27</v>
      </c>
      <c r="G1063" s="6" t="n">
        <v>0</v>
      </c>
      <c r="H1063" s="41" t="n">
        <v>16.05</v>
      </c>
      <c r="I1063" s="43" t="n">
        <f aca="false">F1063*H1063</f>
        <v>68.5335</v>
      </c>
      <c r="J1063" s="43" t="n">
        <f aca="false">G1063*H1063*1.5</f>
        <v>0</v>
      </c>
      <c r="K1063" s="6" t="n">
        <v>13.67</v>
      </c>
      <c r="L1063" s="43" t="n">
        <f aca="false">K1063*'Chart of Accounts'!$E$68</f>
        <v>9.1589</v>
      </c>
      <c r="O1063" s="42" t="n">
        <f aca="false">I1063+J1063+L1063</f>
        <v>77.6924</v>
      </c>
    </row>
    <row r="1064" customFormat="false" ht="15" hidden="false" customHeight="false" outlineLevel="0" collapsed="false">
      <c r="B1064" s="7" t="s">
        <v>9697</v>
      </c>
      <c r="C1064" s="39" t="n">
        <v>45726</v>
      </c>
      <c r="D1064" s="7" t="s">
        <v>194</v>
      </c>
      <c r="E1064" s="7" t="s">
        <v>180</v>
      </c>
      <c r="F1064" s="6" t="n">
        <v>4.92</v>
      </c>
      <c r="G1064" s="6" t="n">
        <v>0</v>
      </c>
      <c r="H1064" s="41" t="n">
        <v>16</v>
      </c>
      <c r="I1064" s="43" t="n">
        <f aca="false">F1064*H1064</f>
        <v>78.72</v>
      </c>
      <c r="J1064" s="43" t="n">
        <f aca="false">G1064*H1064*1.5</f>
        <v>0</v>
      </c>
      <c r="K1064" s="6" t="n">
        <v>11.9</v>
      </c>
      <c r="L1064" s="43" t="n">
        <f aca="false">K1064*'Chart of Accounts'!$E$68</f>
        <v>7.973</v>
      </c>
      <c r="O1064" s="42" t="n">
        <f aca="false">I1064+J1064+L1064</f>
        <v>86.693</v>
      </c>
    </row>
    <row r="1065" customFormat="false" ht="15" hidden="false" customHeight="false" outlineLevel="0" collapsed="false">
      <c r="B1065" s="7" t="s">
        <v>9698</v>
      </c>
      <c r="C1065" s="39" t="n">
        <v>45726</v>
      </c>
      <c r="D1065" s="7" t="s">
        <v>201</v>
      </c>
      <c r="E1065" s="7" t="s">
        <v>180</v>
      </c>
      <c r="F1065" s="6" t="n">
        <v>6.24</v>
      </c>
      <c r="G1065" s="6" t="n">
        <v>0</v>
      </c>
      <c r="H1065" s="41" t="n">
        <v>15.19</v>
      </c>
      <c r="I1065" s="43" t="n">
        <f aca="false">F1065*H1065</f>
        <v>94.7856</v>
      </c>
      <c r="J1065" s="43" t="n">
        <f aca="false">G1065*H1065*1.5</f>
        <v>0</v>
      </c>
      <c r="K1065" s="6" t="n">
        <v>13.74</v>
      </c>
      <c r="L1065" s="43" t="n">
        <f aca="false">K1065*'Chart of Accounts'!$E$68</f>
        <v>9.2058</v>
      </c>
      <c r="O1065" s="42" t="n">
        <f aca="false">I1065+J1065+L1065</f>
        <v>103.9914</v>
      </c>
    </row>
    <row r="1066" customFormat="false" ht="15" hidden="false" customHeight="false" outlineLevel="0" collapsed="false">
      <c r="B1066" s="7" t="s">
        <v>9699</v>
      </c>
      <c r="C1066" s="39" t="n">
        <v>45726</v>
      </c>
      <c r="D1066" s="7" t="s">
        <v>205</v>
      </c>
      <c r="E1066" s="7" t="s">
        <v>180</v>
      </c>
      <c r="F1066" s="6" t="n">
        <v>4.26</v>
      </c>
      <c r="G1066" s="6" t="n">
        <v>0</v>
      </c>
      <c r="H1066" s="41" t="n">
        <v>16.36</v>
      </c>
      <c r="I1066" s="43" t="n">
        <f aca="false">F1066*H1066</f>
        <v>69.6936</v>
      </c>
      <c r="J1066" s="43" t="n">
        <f aca="false">G1066*H1066*1.5</f>
        <v>0</v>
      </c>
      <c r="K1066" s="6" t="n">
        <v>13.18</v>
      </c>
      <c r="L1066" s="43" t="n">
        <f aca="false">K1066*'Chart of Accounts'!$E$68</f>
        <v>8.8306</v>
      </c>
      <c r="O1066" s="42" t="n">
        <f aca="false">I1066+J1066+L1066</f>
        <v>78.5242</v>
      </c>
    </row>
    <row r="1067" customFormat="false" ht="15" hidden="false" customHeight="false" outlineLevel="0" collapsed="false">
      <c r="B1067" s="7" t="s">
        <v>9700</v>
      </c>
      <c r="C1067" s="39" t="n">
        <v>45726</v>
      </c>
      <c r="D1067" s="7" t="s">
        <v>252</v>
      </c>
      <c r="E1067" s="7" t="s">
        <v>158</v>
      </c>
      <c r="H1067" s="41" t="n">
        <v>57.54</v>
      </c>
      <c r="M1067" s="6" t="n">
        <v>1</v>
      </c>
      <c r="N1067" s="43" t="n">
        <f aca="false">M1067*H1067</f>
        <v>57.54</v>
      </c>
      <c r="O1067" s="42" t="n">
        <f aca="false">N1067</f>
        <v>57.54</v>
      </c>
    </row>
    <row r="1068" customFormat="false" ht="15" hidden="false" customHeight="false" outlineLevel="0" collapsed="false">
      <c r="B1068" s="7" t="s">
        <v>9701</v>
      </c>
      <c r="C1068" s="39" t="n">
        <v>45726</v>
      </c>
      <c r="D1068" s="7" t="s">
        <v>196</v>
      </c>
      <c r="E1068" s="7" t="s">
        <v>180</v>
      </c>
      <c r="F1068" s="6" t="n">
        <v>5.92</v>
      </c>
      <c r="G1068" s="6" t="n">
        <v>0</v>
      </c>
      <c r="H1068" s="41" t="n">
        <v>15.05</v>
      </c>
      <c r="I1068" s="43" t="n">
        <f aca="false">F1068*H1068</f>
        <v>89.096</v>
      </c>
      <c r="J1068" s="43" t="n">
        <f aca="false">G1068*H1068*1.5</f>
        <v>0</v>
      </c>
      <c r="K1068" s="6" t="n">
        <v>17.62</v>
      </c>
      <c r="L1068" s="43" t="n">
        <f aca="false">K1068*'Chart of Accounts'!$E$68</f>
        <v>11.8054</v>
      </c>
      <c r="O1068" s="42" t="n">
        <f aca="false">I1068+J1068+L1068</f>
        <v>100.9014</v>
      </c>
    </row>
    <row r="1069" customFormat="false" ht="15" hidden="false" customHeight="false" outlineLevel="0" collapsed="false">
      <c r="B1069" s="7" t="s">
        <v>9702</v>
      </c>
      <c r="C1069" s="39" t="n">
        <v>45726</v>
      </c>
      <c r="D1069" s="7" t="s">
        <v>184</v>
      </c>
      <c r="E1069" s="7" t="s">
        <v>180</v>
      </c>
      <c r="F1069" s="6" t="n">
        <v>4.22</v>
      </c>
      <c r="G1069" s="6" t="n">
        <v>0</v>
      </c>
      <c r="H1069" s="41" t="n">
        <v>17.34</v>
      </c>
      <c r="I1069" s="43" t="n">
        <f aca="false">F1069*H1069</f>
        <v>73.1748</v>
      </c>
      <c r="J1069" s="43" t="n">
        <f aca="false">G1069*H1069*1.5</f>
        <v>0</v>
      </c>
      <c r="K1069" s="6" t="n">
        <v>13.26</v>
      </c>
      <c r="L1069" s="43" t="n">
        <f aca="false">K1069*'Chart of Accounts'!$E$68</f>
        <v>8.8842</v>
      </c>
      <c r="O1069" s="42" t="n">
        <f aca="false">I1069+J1069+L1069</f>
        <v>82.059</v>
      </c>
    </row>
    <row r="1070" customFormat="false" ht="15" hidden="false" customHeight="false" outlineLevel="0" collapsed="false">
      <c r="B1070" s="7" t="s">
        <v>9703</v>
      </c>
      <c r="C1070" s="39" t="n">
        <v>45726</v>
      </c>
      <c r="D1070" s="7" t="s">
        <v>207</v>
      </c>
      <c r="E1070" s="7" t="s">
        <v>180</v>
      </c>
      <c r="F1070" s="6" t="n">
        <v>6.45</v>
      </c>
      <c r="G1070" s="6" t="n">
        <v>0</v>
      </c>
      <c r="H1070" s="41" t="n">
        <v>16.65</v>
      </c>
      <c r="I1070" s="43" t="n">
        <f aca="false">F1070*H1070</f>
        <v>107.3925</v>
      </c>
      <c r="J1070" s="43" t="n">
        <f aca="false">G1070*H1070*1.5</f>
        <v>0</v>
      </c>
      <c r="K1070" s="6" t="n">
        <v>22.71</v>
      </c>
      <c r="L1070" s="43" t="n">
        <f aca="false">K1070*'Chart of Accounts'!$E$68</f>
        <v>15.2157</v>
      </c>
      <c r="O1070" s="42" t="n">
        <f aca="false">I1070+J1070+L1070</f>
        <v>122.6082</v>
      </c>
    </row>
    <row r="1071" customFormat="false" ht="15" hidden="false" customHeight="false" outlineLevel="0" collapsed="false">
      <c r="B1071" s="7" t="s">
        <v>9704</v>
      </c>
      <c r="C1071" s="39" t="n">
        <v>45726</v>
      </c>
      <c r="D1071" s="7" t="s">
        <v>218</v>
      </c>
      <c r="E1071" s="7" t="s">
        <v>180</v>
      </c>
      <c r="F1071" s="6" t="n">
        <v>3.86</v>
      </c>
      <c r="G1071" s="6" t="n">
        <v>0</v>
      </c>
      <c r="H1071" s="41" t="n">
        <v>16.19</v>
      </c>
      <c r="I1071" s="43" t="n">
        <f aca="false">F1071*H1071</f>
        <v>62.4934</v>
      </c>
      <c r="J1071" s="43" t="n">
        <f aca="false">G1071*H1071*1.5</f>
        <v>0</v>
      </c>
      <c r="K1071" s="6" t="n">
        <v>10.06</v>
      </c>
      <c r="L1071" s="43" t="n">
        <f aca="false">K1071*'Chart of Accounts'!$E$68</f>
        <v>6.7402</v>
      </c>
      <c r="O1071" s="42" t="n">
        <f aca="false">I1071+J1071+L1071</f>
        <v>69.2336</v>
      </c>
    </row>
    <row r="1072" customFormat="false" ht="15" hidden="false" customHeight="false" outlineLevel="0" collapsed="false">
      <c r="B1072" s="7" t="s">
        <v>9705</v>
      </c>
      <c r="C1072" s="39" t="n">
        <v>45726</v>
      </c>
      <c r="D1072" s="7" t="s">
        <v>212</v>
      </c>
      <c r="E1072" s="7" t="s">
        <v>180</v>
      </c>
      <c r="F1072" s="6" t="n">
        <v>7.05</v>
      </c>
      <c r="G1072" s="6" t="n">
        <v>0</v>
      </c>
      <c r="H1072" s="41" t="n">
        <v>16.71</v>
      </c>
      <c r="I1072" s="43" t="n">
        <f aca="false">F1072*H1072</f>
        <v>117.8055</v>
      </c>
      <c r="J1072" s="43" t="n">
        <f aca="false">G1072*H1072*1.5</f>
        <v>0</v>
      </c>
      <c r="K1072" s="6" t="n">
        <v>17.03</v>
      </c>
      <c r="L1072" s="43" t="n">
        <f aca="false">K1072*'Chart of Accounts'!$E$68</f>
        <v>11.4101</v>
      </c>
      <c r="O1072" s="42" t="n">
        <f aca="false">I1072+J1072+L1072</f>
        <v>129.2156</v>
      </c>
    </row>
    <row r="1073" customFormat="false" ht="15" hidden="false" customHeight="false" outlineLevel="0" collapsed="false">
      <c r="B1073" s="7" t="s">
        <v>9706</v>
      </c>
      <c r="C1073" s="39" t="n">
        <v>45726</v>
      </c>
      <c r="D1073" s="7" t="s">
        <v>220</v>
      </c>
      <c r="E1073" s="7" t="s">
        <v>180</v>
      </c>
      <c r="F1073" s="6" t="n">
        <v>4.11</v>
      </c>
      <c r="G1073" s="6" t="n">
        <v>0</v>
      </c>
      <c r="H1073" s="41" t="n">
        <v>16.43</v>
      </c>
      <c r="I1073" s="43" t="n">
        <f aca="false">F1073*H1073</f>
        <v>67.5273</v>
      </c>
      <c r="J1073" s="43" t="n">
        <f aca="false">G1073*H1073*1.5</f>
        <v>0</v>
      </c>
      <c r="K1073" s="6" t="n">
        <v>10.15</v>
      </c>
      <c r="L1073" s="43" t="n">
        <f aca="false">K1073*'Chart of Accounts'!$E$68</f>
        <v>6.8005</v>
      </c>
      <c r="O1073" s="42" t="n">
        <f aca="false">I1073+J1073+L1073</f>
        <v>74.3278</v>
      </c>
    </row>
    <row r="1074" customFormat="false" ht="15" hidden="false" customHeight="false" outlineLevel="0" collapsed="false">
      <c r="B1074" s="7" t="s">
        <v>9707</v>
      </c>
      <c r="C1074" s="39" t="n">
        <v>45726</v>
      </c>
      <c r="D1074" s="7" t="s">
        <v>224</v>
      </c>
      <c r="E1074" s="7" t="s">
        <v>180</v>
      </c>
      <c r="F1074" s="6" t="n">
        <v>8.67</v>
      </c>
      <c r="G1074" s="6" t="n">
        <v>0</v>
      </c>
      <c r="H1074" s="41" t="n">
        <v>14.93</v>
      </c>
      <c r="I1074" s="43" t="n">
        <f aca="false">F1074*H1074</f>
        <v>129.4431</v>
      </c>
      <c r="J1074" s="43" t="n">
        <f aca="false">G1074*H1074*1.5</f>
        <v>0</v>
      </c>
      <c r="K1074" s="6" t="n">
        <v>21.63</v>
      </c>
      <c r="L1074" s="43" t="n">
        <f aca="false">K1074*'Chart of Accounts'!$E$68</f>
        <v>14.4921</v>
      </c>
      <c r="O1074" s="42" t="n">
        <f aca="false">I1074+J1074+L1074</f>
        <v>143.9352</v>
      </c>
    </row>
    <row r="1075" customFormat="false" ht="15" hidden="false" customHeight="false" outlineLevel="0" collapsed="false">
      <c r="B1075" s="7" t="s">
        <v>9708</v>
      </c>
      <c r="C1075" s="39" t="n">
        <v>45726</v>
      </c>
      <c r="D1075" s="7" t="s">
        <v>177</v>
      </c>
      <c r="E1075" s="7" t="s">
        <v>180</v>
      </c>
      <c r="F1075" s="6" t="n">
        <v>8.61</v>
      </c>
      <c r="G1075" s="6" t="n">
        <v>0</v>
      </c>
      <c r="H1075" s="41" t="n">
        <v>14.56</v>
      </c>
      <c r="I1075" s="43" t="n">
        <f aca="false">F1075*H1075</f>
        <v>125.3616</v>
      </c>
      <c r="J1075" s="43" t="n">
        <f aca="false">G1075*H1075*1.5</f>
        <v>0</v>
      </c>
      <c r="K1075" s="6" t="n">
        <v>24</v>
      </c>
      <c r="L1075" s="43" t="n">
        <f aca="false">K1075*'Chart of Accounts'!$E$68</f>
        <v>16.08</v>
      </c>
      <c r="O1075" s="42" t="n">
        <f aca="false">I1075+J1075+L1075</f>
        <v>141.4416</v>
      </c>
    </row>
    <row r="1076" customFormat="false" ht="15" hidden="false" customHeight="false" outlineLevel="0" collapsed="false">
      <c r="B1076" s="7" t="s">
        <v>9709</v>
      </c>
      <c r="C1076" s="39" t="n">
        <v>45726</v>
      </c>
      <c r="D1076" s="7" t="s">
        <v>232</v>
      </c>
      <c r="E1076" s="7" t="s">
        <v>180</v>
      </c>
      <c r="F1076" s="6" t="n">
        <v>7.25</v>
      </c>
      <c r="G1076" s="6" t="n">
        <v>0</v>
      </c>
      <c r="H1076" s="41" t="n">
        <v>16.17</v>
      </c>
      <c r="I1076" s="43" t="n">
        <f aca="false">F1076*H1076</f>
        <v>117.2325</v>
      </c>
      <c r="J1076" s="43" t="n">
        <f aca="false">G1076*H1076*1.5</f>
        <v>0</v>
      </c>
      <c r="K1076" s="6" t="n">
        <v>16.13</v>
      </c>
      <c r="L1076" s="43" t="n">
        <f aca="false">K1076*'Chart of Accounts'!$E$68</f>
        <v>10.8071</v>
      </c>
      <c r="O1076" s="42" t="n">
        <f aca="false">I1076+J1076+L1076</f>
        <v>128.0396</v>
      </c>
    </row>
    <row r="1077" customFormat="false" ht="15" hidden="false" customHeight="false" outlineLevel="0" collapsed="false">
      <c r="B1077" s="7" t="s">
        <v>9710</v>
      </c>
      <c r="C1077" s="39" t="n">
        <v>45726</v>
      </c>
      <c r="D1077" s="7" t="s">
        <v>242</v>
      </c>
      <c r="E1077" s="7" t="s">
        <v>180</v>
      </c>
      <c r="F1077" s="6" t="n">
        <v>6.73</v>
      </c>
      <c r="G1077" s="6" t="n">
        <v>0</v>
      </c>
      <c r="H1077" s="41" t="n">
        <v>17.99</v>
      </c>
      <c r="I1077" s="43" t="n">
        <f aca="false">F1077*H1077</f>
        <v>121.0727</v>
      </c>
      <c r="J1077" s="43" t="n">
        <f aca="false">G1077*H1077*1.5</f>
        <v>0</v>
      </c>
      <c r="K1077" s="6" t="n">
        <v>19.67</v>
      </c>
      <c r="L1077" s="43" t="n">
        <f aca="false">K1077*'Chart of Accounts'!$E$68</f>
        <v>13.1789</v>
      </c>
      <c r="O1077" s="42" t="n">
        <f aca="false">I1077+J1077+L1077</f>
        <v>134.2516</v>
      </c>
    </row>
    <row r="1078" customFormat="false" ht="15" hidden="false" customHeight="false" outlineLevel="0" collapsed="false">
      <c r="B1078" s="7" t="s">
        <v>9711</v>
      </c>
      <c r="C1078" s="39" t="n">
        <v>45726</v>
      </c>
      <c r="D1078" s="7" t="s">
        <v>222</v>
      </c>
      <c r="E1078" s="7" t="s">
        <v>180</v>
      </c>
      <c r="F1078" s="6" t="n">
        <v>7.32</v>
      </c>
      <c r="G1078" s="6" t="n">
        <v>0</v>
      </c>
      <c r="H1078" s="41" t="n">
        <v>17.84</v>
      </c>
      <c r="I1078" s="43" t="n">
        <f aca="false">F1078*H1078</f>
        <v>130.5888</v>
      </c>
      <c r="J1078" s="43" t="n">
        <f aca="false">G1078*H1078*1.5</f>
        <v>0</v>
      </c>
      <c r="K1078" s="6" t="n">
        <v>23.56</v>
      </c>
      <c r="L1078" s="43" t="n">
        <f aca="false">K1078*'Chart of Accounts'!$E$68</f>
        <v>15.7852</v>
      </c>
      <c r="O1078" s="42" t="n">
        <f aca="false">I1078+J1078+L1078</f>
        <v>146.374</v>
      </c>
    </row>
    <row r="1079" customFormat="false" ht="15" hidden="false" customHeight="false" outlineLevel="0" collapsed="false">
      <c r="B1079" s="7" t="s">
        <v>9712</v>
      </c>
      <c r="C1079" s="39" t="n">
        <v>45726</v>
      </c>
      <c r="D1079" s="7" t="s">
        <v>262</v>
      </c>
      <c r="E1079" s="7" t="s">
        <v>180</v>
      </c>
      <c r="F1079" s="6" t="n">
        <v>3.67</v>
      </c>
      <c r="G1079" s="6" t="n">
        <v>0</v>
      </c>
      <c r="H1079" s="41" t="n">
        <v>16.02</v>
      </c>
      <c r="I1079" s="43" t="n">
        <f aca="false">F1079*H1079</f>
        <v>58.7934</v>
      </c>
      <c r="J1079" s="43" t="n">
        <f aca="false">G1079*H1079*1.5</f>
        <v>0</v>
      </c>
      <c r="K1079" s="6" t="n">
        <v>11.73</v>
      </c>
      <c r="L1079" s="43" t="n">
        <f aca="false">K1079*'Chart of Accounts'!$E$68</f>
        <v>7.8591</v>
      </c>
      <c r="O1079" s="42" t="n">
        <f aca="false">I1079+J1079+L1079</f>
        <v>66.6525</v>
      </c>
    </row>
    <row r="1080" customFormat="false" ht="15" hidden="false" customHeight="false" outlineLevel="0" collapsed="false">
      <c r="B1080" s="7" t="s">
        <v>9713</v>
      </c>
      <c r="C1080" s="39" t="n">
        <v>45726</v>
      </c>
      <c r="D1080" s="7" t="s">
        <v>254</v>
      </c>
      <c r="E1080" s="7" t="s">
        <v>180</v>
      </c>
      <c r="F1080" s="6" t="n">
        <v>7.41</v>
      </c>
      <c r="G1080" s="6" t="n">
        <v>0</v>
      </c>
      <c r="H1080" s="41" t="n">
        <v>17.1</v>
      </c>
      <c r="I1080" s="43" t="n">
        <f aca="false">F1080*H1080</f>
        <v>126.711</v>
      </c>
      <c r="J1080" s="43" t="n">
        <f aca="false">G1080*H1080*1.5</f>
        <v>0</v>
      </c>
      <c r="K1080" s="6" t="n">
        <v>16.6</v>
      </c>
      <c r="L1080" s="43" t="n">
        <f aca="false">K1080*'Chart of Accounts'!$E$68</f>
        <v>11.122</v>
      </c>
      <c r="O1080" s="42" t="n">
        <f aca="false">I1080+J1080+L1080</f>
        <v>137.833</v>
      </c>
    </row>
    <row r="1081" customFormat="false" ht="15" hidden="false" customHeight="false" outlineLevel="0" collapsed="false">
      <c r="B1081" s="7" t="s">
        <v>9714</v>
      </c>
      <c r="C1081" s="39" t="n">
        <v>45726</v>
      </c>
      <c r="D1081" s="7" t="s">
        <v>246</v>
      </c>
      <c r="E1081" s="7" t="s">
        <v>180</v>
      </c>
      <c r="F1081" s="6" t="n">
        <v>8.4</v>
      </c>
      <c r="G1081" s="6" t="n">
        <v>0</v>
      </c>
      <c r="H1081" s="41" t="n">
        <v>16.48</v>
      </c>
      <c r="I1081" s="43" t="n">
        <f aca="false">F1081*H1081</f>
        <v>138.432</v>
      </c>
      <c r="J1081" s="43" t="n">
        <f aca="false">G1081*H1081*1.5</f>
        <v>0</v>
      </c>
      <c r="K1081" s="6" t="n">
        <v>24.75</v>
      </c>
      <c r="L1081" s="43" t="n">
        <f aca="false">K1081*'Chart of Accounts'!$E$68</f>
        <v>16.5825</v>
      </c>
      <c r="O1081" s="42" t="n">
        <f aca="false">I1081+J1081+L1081</f>
        <v>155.0145</v>
      </c>
    </row>
    <row r="1082" customFormat="false" ht="15" hidden="false" customHeight="false" outlineLevel="0" collapsed="false">
      <c r="B1082" s="7" t="s">
        <v>9715</v>
      </c>
      <c r="C1082" s="39" t="n">
        <v>45726</v>
      </c>
      <c r="D1082" s="7" t="s">
        <v>214</v>
      </c>
      <c r="E1082" s="7" t="s">
        <v>180</v>
      </c>
      <c r="F1082" s="6" t="n">
        <v>7.36</v>
      </c>
      <c r="G1082" s="6" t="n">
        <v>0</v>
      </c>
      <c r="H1082" s="41" t="n">
        <v>15.67</v>
      </c>
      <c r="I1082" s="43" t="n">
        <f aca="false">F1082*H1082</f>
        <v>115.3312</v>
      </c>
      <c r="J1082" s="43" t="n">
        <f aca="false">G1082*H1082*1.5</f>
        <v>0</v>
      </c>
      <c r="K1082" s="6" t="n">
        <v>16.7</v>
      </c>
      <c r="L1082" s="43" t="n">
        <f aca="false">K1082*'Chart of Accounts'!$E$68</f>
        <v>11.189</v>
      </c>
      <c r="O1082" s="42" t="n">
        <f aca="false">I1082+J1082+L1082</f>
        <v>126.5202</v>
      </c>
    </row>
    <row r="1083" customFormat="false" ht="15" hidden="false" customHeight="false" outlineLevel="0" collapsed="false">
      <c r="B1083" s="7" t="s">
        <v>9716</v>
      </c>
      <c r="C1083" s="39" t="n">
        <v>45727</v>
      </c>
      <c r="D1083" s="7" t="s">
        <v>191</v>
      </c>
      <c r="E1083" s="7" t="s">
        <v>180</v>
      </c>
      <c r="F1083" s="6" t="n">
        <v>4.26</v>
      </c>
      <c r="G1083" s="6" t="n">
        <v>0</v>
      </c>
      <c r="H1083" s="41" t="n">
        <v>16.05</v>
      </c>
      <c r="I1083" s="43" t="n">
        <f aca="false">F1083*H1083</f>
        <v>68.373</v>
      </c>
      <c r="J1083" s="43" t="n">
        <f aca="false">G1083*H1083*1.5</f>
        <v>0</v>
      </c>
      <c r="K1083" s="6" t="n">
        <v>11.76</v>
      </c>
      <c r="L1083" s="43" t="n">
        <f aca="false">K1083*'Chart of Accounts'!$E$68</f>
        <v>7.8792</v>
      </c>
      <c r="O1083" s="42" t="n">
        <f aca="false">I1083+J1083+L1083</f>
        <v>76.2522</v>
      </c>
    </row>
    <row r="1084" customFormat="false" ht="15" hidden="false" customHeight="false" outlineLevel="0" collapsed="false">
      <c r="B1084" s="7" t="s">
        <v>9717</v>
      </c>
      <c r="C1084" s="39" t="n">
        <v>45727</v>
      </c>
      <c r="D1084" s="7" t="s">
        <v>209</v>
      </c>
      <c r="E1084" s="7" t="s">
        <v>158</v>
      </c>
      <c r="H1084" s="41" t="n">
        <v>73.58</v>
      </c>
      <c r="M1084" s="6" t="n">
        <v>2</v>
      </c>
      <c r="N1084" s="43" t="n">
        <f aca="false">M1084*H1084</f>
        <v>147.16</v>
      </c>
      <c r="O1084" s="42" t="n">
        <f aca="false">N1084</f>
        <v>147.16</v>
      </c>
    </row>
    <row r="1085" customFormat="false" ht="15" hidden="false" customHeight="false" outlineLevel="0" collapsed="false">
      <c r="B1085" s="7" t="s">
        <v>9718</v>
      </c>
      <c r="C1085" s="39" t="n">
        <v>45727</v>
      </c>
      <c r="D1085" s="7" t="s">
        <v>184</v>
      </c>
      <c r="E1085" s="7" t="s">
        <v>180</v>
      </c>
      <c r="F1085" s="6" t="n">
        <v>3.93</v>
      </c>
      <c r="G1085" s="6" t="n">
        <v>0</v>
      </c>
      <c r="H1085" s="41" t="n">
        <v>17.34</v>
      </c>
      <c r="I1085" s="43" t="n">
        <f aca="false">F1085*H1085</f>
        <v>68.1462</v>
      </c>
      <c r="J1085" s="43" t="n">
        <f aca="false">G1085*H1085*1.5</f>
        <v>0</v>
      </c>
      <c r="K1085" s="6" t="n">
        <v>11.09</v>
      </c>
      <c r="L1085" s="43" t="n">
        <f aca="false">K1085*'Chart of Accounts'!$E$68</f>
        <v>7.4303</v>
      </c>
      <c r="O1085" s="42" t="n">
        <f aca="false">I1085+J1085+L1085</f>
        <v>75.5765</v>
      </c>
    </row>
    <row r="1086" customFormat="false" ht="15" hidden="false" customHeight="false" outlineLevel="0" collapsed="false">
      <c r="B1086" s="7" t="s">
        <v>9719</v>
      </c>
      <c r="C1086" s="39" t="n">
        <v>45727</v>
      </c>
      <c r="D1086" s="7" t="s">
        <v>234</v>
      </c>
      <c r="E1086" s="7" t="s">
        <v>158</v>
      </c>
      <c r="H1086" s="41" t="n">
        <v>89.53</v>
      </c>
      <c r="M1086" s="6" t="n">
        <v>2</v>
      </c>
      <c r="N1086" s="43" t="n">
        <f aca="false">M1086*H1086</f>
        <v>179.06</v>
      </c>
      <c r="O1086" s="42" t="n">
        <f aca="false">N1086</f>
        <v>179.06</v>
      </c>
    </row>
    <row r="1087" customFormat="false" ht="15" hidden="false" customHeight="false" outlineLevel="0" collapsed="false">
      <c r="B1087" s="7" t="s">
        <v>9720</v>
      </c>
      <c r="C1087" s="39" t="n">
        <v>45727</v>
      </c>
      <c r="D1087" s="7" t="s">
        <v>218</v>
      </c>
      <c r="E1087" s="7" t="s">
        <v>180</v>
      </c>
      <c r="F1087" s="6" t="n">
        <v>3.74</v>
      </c>
      <c r="G1087" s="6" t="n">
        <v>0</v>
      </c>
      <c r="H1087" s="41" t="n">
        <v>16.19</v>
      </c>
      <c r="I1087" s="43" t="n">
        <f aca="false">F1087*H1087</f>
        <v>60.5506</v>
      </c>
      <c r="J1087" s="43" t="n">
        <f aca="false">G1087*H1087*1.5</f>
        <v>0</v>
      </c>
      <c r="K1087" s="6" t="n">
        <v>12.86</v>
      </c>
      <c r="L1087" s="43" t="n">
        <f aca="false">K1087*'Chart of Accounts'!$E$68</f>
        <v>8.6162</v>
      </c>
      <c r="O1087" s="42" t="n">
        <f aca="false">I1087+J1087+L1087</f>
        <v>69.1668</v>
      </c>
    </row>
    <row r="1088" customFormat="false" ht="15" hidden="false" customHeight="false" outlineLevel="0" collapsed="false">
      <c r="B1088" s="7" t="s">
        <v>9721</v>
      </c>
      <c r="C1088" s="39" t="n">
        <v>45727</v>
      </c>
      <c r="D1088" s="7" t="s">
        <v>266</v>
      </c>
      <c r="E1088" s="7" t="s">
        <v>158</v>
      </c>
      <c r="H1088" s="41" t="n">
        <v>75.18</v>
      </c>
      <c r="M1088" s="6" t="n">
        <v>1</v>
      </c>
      <c r="N1088" s="43" t="n">
        <f aca="false">M1088*H1088</f>
        <v>75.18</v>
      </c>
      <c r="O1088" s="42" t="n">
        <f aca="false">N1088</f>
        <v>75.18</v>
      </c>
    </row>
    <row r="1089" customFormat="false" ht="15" hidden="false" customHeight="false" outlineLevel="0" collapsed="false">
      <c r="B1089" s="7" t="s">
        <v>9722</v>
      </c>
      <c r="C1089" s="39" t="n">
        <v>45727</v>
      </c>
      <c r="D1089" s="7" t="s">
        <v>228</v>
      </c>
      <c r="E1089" s="7" t="s">
        <v>158</v>
      </c>
      <c r="H1089" s="41" t="n">
        <v>51.07</v>
      </c>
      <c r="M1089" s="6" t="n">
        <v>1</v>
      </c>
      <c r="N1089" s="43" t="n">
        <f aca="false">M1089*H1089</f>
        <v>51.07</v>
      </c>
      <c r="O1089" s="42" t="n">
        <f aca="false">N1089</f>
        <v>51.07</v>
      </c>
    </row>
    <row r="1090" customFormat="false" ht="15" hidden="false" customHeight="false" outlineLevel="0" collapsed="false">
      <c r="B1090" s="7" t="s">
        <v>9723</v>
      </c>
      <c r="C1090" s="39" t="n">
        <v>45727</v>
      </c>
      <c r="D1090" s="7" t="s">
        <v>220</v>
      </c>
      <c r="E1090" s="7" t="s">
        <v>180</v>
      </c>
      <c r="F1090" s="6" t="n">
        <v>4.07</v>
      </c>
      <c r="G1090" s="6" t="n">
        <v>0</v>
      </c>
      <c r="H1090" s="41" t="n">
        <v>16.43</v>
      </c>
      <c r="I1090" s="43" t="n">
        <f aca="false">F1090*H1090</f>
        <v>66.8701</v>
      </c>
      <c r="J1090" s="43" t="n">
        <f aca="false">G1090*H1090*1.5</f>
        <v>0</v>
      </c>
      <c r="K1090" s="6" t="n">
        <v>13.29</v>
      </c>
      <c r="L1090" s="43" t="n">
        <f aca="false">K1090*'Chart of Accounts'!$E$68</f>
        <v>8.9043</v>
      </c>
      <c r="O1090" s="42" t="n">
        <f aca="false">I1090+J1090+L1090</f>
        <v>75.7744</v>
      </c>
    </row>
    <row r="1091" customFormat="false" ht="15" hidden="false" customHeight="false" outlineLevel="0" collapsed="false">
      <c r="B1091" s="7" t="s">
        <v>9724</v>
      </c>
      <c r="C1091" s="39" t="n">
        <v>45727</v>
      </c>
      <c r="D1091" s="7" t="s">
        <v>246</v>
      </c>
      <c r="E1091" s="7" t="s">
        <v>180</v>
      </c>
      <c r="F1091" s="6" t="n">
        <v>4.19</v>
      </c>
      <c r="G1091" s="6" t="n">
        <v>0</v>
      </c>
      <c r="H1091" s="41" t="n">
        <v>16.48</v>
      </c>
      <c r="I1091" s="43" t="n">
        <f aca="false">F1091*H1091</f>
        <v>69.0512</v>
      </c>
      <c r="J1091" s="43" t="n">
        <f aca="false">G1091*H1091*1.5</f>
        <v>0</v>
      </c>
      <c r="K1091" s="6" t="n">
        <v>12.64</v>
      </c>
      <c r="L1091" s="43" t="n">
        <f aca="false">K1091*'Chart of Accounts'!$E$68</f>
        <v>8.4688</v>
      </c>
      <c r="O1091" s="42" t="n">
        <f aca="false">I1091+J1091+L1091</f>
        <v>77.52</v>
      </c>
    </row>
    <row r="1092" customFormat="false" ht="15" hidden="false" customHeight="false" outlineLevel="0" collapsed="false">
      <c r="B1092" s="7" t="s">
        <v>9725</v>
      </c>
      <c r="C1092" s="39" t="n">
        <v>45727</v>
      </c>
      <c r="D1092" s="7" t="s">
        <v>222</v>
      </c>
      <c r="E1092" s="7" t="s">
        <v>180</v>
      </c>
      <c r="F1092" s="6" t="n">
        <v>4.24</v>
      </c>
      <c r="G1092" s="6" t="n">
        <v>0</v>
      </c>
      <c r="H1092" s="41" t="n">
        <v>17.84</v>
      </c>
      <c r="I1092" s="43" t="n">
        <f aca="false">F1092*H1092</f>
        <v>75.6416</v>
      </c>
      <c r="J1092" s="43" t="n">
        <f aca="false">G1092*H1092*1.5</f>
        <v>0</v>
      </c>
      <c r="K1092" s="6" t="n">
        <v>15.2</v>
      </c>
      <c r="L1092" s="43" t="n">
        <f aca="false">K1092*'Chart of Accounts'!$E$68</f>
        <v>10.184</v>
      </c>
      <c r="O1092" s="42" t="n">
        <f aca="false">I1092+J1092+L1092</f>
        <v>85.8256</v>
      </c>
    </row>
    <row r="1093" customFormat="false" ht="15" hidden="false" customHeight="false" outlineLevel="0" collapsed="false">
      <c r="B1093" s="7" t="s">
        <v>9726</v>
      </c>
      <c r="C1093" s="39" t="n">
        <v>45727</v>
      </c>
      <c r="D1093" s="7" t="s">
        <v>242</v>
      </c>
      <c r="E1093" s="7" t="s">
        <v>180</v>
      </c>
      <c r="F1093" s="6" t="n">
        <v>4.02</v>
      </c>
      <c r="G1093" s="6" t="n">
        <v>0</v>
      </c>
      <c r="H1093" s="41" t="n">
        <v>17.99</v>
      </c>
      <c r="I1093" s="43" t="n">
        <f aca="false">F1093*H1093</f>
        <v>72.3198</v>
      </c>
      <c r="J1093" s="43" t="n">
        <f aca="false">G1093*H1093*1.5</f>
        <v>0</v>
      </c>
      <c r="K1093" s="6" t="n">
        <v>10.93</v>
      </c>
      <c r="L1093" s="43" t="n">
        <f aca="false">K1093*'Chart of Accounts'!$E$68</f>
        <v>7.3231</v>
      </c>
      <c r="O1093" s="42" t="n">
        <f aca="false">I1093+J1093+L1093</f>
        <v>79.6429</v>
      </c>
    </row>
    <row r="1094" customFormat="false" ht="15" hidden="false" customHeight="false" outlineLevel="0" collapsed="false">
      <c r="B1094" s="7" t="s">
        <v>9727</v>
      </c>
      <c r="C1094" s="39" t="n">
        <v>45727</v>
      </c>
      <c r="D1094" s="7" t="s">
        <v>203</v>
      </c>
      <c r="E1094" s="7" t="s">
        <v>158</v>
      </c>
      <c r="H1094" s="41" t="n">
        <v>49.43</v>
      </c>
      <c r="M1094" s="6" t="n">
        <v>1</v>
      </c>
      <c r="N1094" s="43" t="n">
        <f aca="false">M1094*H1094</f>
        <v>49.43</v>
      </c>
      <c r="O1094" s="42" t="n">
        <f aca="false">N1094</f>
        <v>49.43</v>
      </c>
    </row>
    <row r="1095" customFormat="false" ht="15" hidden="false" customHeight="false" outlineLevel="0" collapsed="false">
      <c r="B1095" s="7" t="s">
        <v>9728</v>
      </c>
      <c r="C1095" s="39" t="n">
        <v>45727</v>
      </c>
      <c r="D1095" s="7" t="s">
        <v>254</v>
      </c>
      <c r="E1095" s="7" t="s">
        <v>180</v>
      </c>
      <c r="F1095" s="6" t="n">
        <v>3.68</v>
      </c>
      <c r="G1095" s="6" t="n">
        <v>0</v>
      </c>
      <c r="H1095" s="41" t="n">
        <v>17.1</v>
      </c>
      <c r="I1095" s="43" t="n">
        <f aca="false">F1095*H1095</f>
        <v>62.928</v>
      </c>
      <c r="J1095" s="43" t="n">
        <f aca="false">G1095*H1095*1.5</f>
        <v>0</v>
      </c>
      <c r="K1095" s="6" t="n">
        <v>11.4</v>
      </c>
      <c r="L1095" s="43" t="n">
        <f aca="false">K1095*'Chart of Accounts'!$E$68</f>
        <v>7.638</v>
      </c>
      <c r="O1095" s="42" t="n">
        <f aca="false">I1095+J1095+L1095</f>
        <v>70.566</v>
      </c>
    </row>
    <row r="1096" customFormat="false" ht="15" hidden="false" customHeight="false" outlineLevel="0" collapsed="false">
      <c r="B1096" s="7" t="s">
        <v>9729</v>
      </c>
      <c r="C1096" s="39" t="n">
        <v>45727</v>
      </c>
      <c r="D1096" s="7" t="s">
        <v>260</v>
      </c>
      <c r="E1096" s="7" t="s">
        <v>158</v>
      </c>
      <c r="H1096" s="41" t="n">
        <v>79.8</v>
      </c>
      <c r="M1096" s="6" t="n">
        <v>1</v>
      </c>
      <c r="N1096" s="43" t="n">
        <f aca="false">M1096*H1096</f>
        <v>79.8</v>
      </c>
      <c r="O1096" s="42" t="n">
        <f aca="false">N1096</f>
        <v>79.8</v>
      </c>
    </row>
    <row r="1097" customFormat="false" ht="15" hidden="false" customHeight="false" outlineLevel="0" collapsed="false">
      <c r="B1097" s="7" t="s">
        <v>9730</v>
      </c>
      <c r="C1097" s="39" t="n">
        <v>45728</v>
      </c>
      <c r="D1097" s="7" t="s">
        <v>187</v>
      </c>
      <c r="E1097" s="7" t="s">
        <v>158</v>
      </c>
      <c r="H1097" s="41" t="n">
        <v>66.48</v>
      </c>
      <c r="M1097" s="6" t="n">
        <v>1</v>
      </c>
      <c r="N1097" s="43" t="n">
        <f aca="false">M1097*H1097</f>
        <v>66.48</v>
      </c>
      <c r="O1097" s="42" t="n">
        <f aca="false">N1097</f>
        <v>66.48</v>
      </c>
    </row>
    <row r="1098" customFormat="false" ht="15" hidden="false" customHeight="false" outlineLevel="0" collapsed="false">
      <c r="B1098" s="7" t="s">
        <v>9731</v>
      </c>
      <c r="C1098" s="39" t="n">
        <v>45728</v>
      </c>
      <c r="D1098" s="7" t="s">
        <v>228</v>
      </c>
      <c r="E1098" s="7" t="s">
        <v>158</v>
      </c>
      <c r="H1098" s="41" t="n">
        <v>51.07</v>
      </c>
      <c r="M1098" s="6" t="n">
        <v>1</v>
      </c>
      <c r="N1098" s="43" t="n">
        <f aca="false">M1098*H1098</f>
        <v>51.07</v>
      </c>
      <c r="O1098" s="42" t="n">
        <f aca="false">N1098</f>
        <v>51.07</v>
      </c>
    </row>
    <row r="1099" customFormat="false" ht="15" hidden="false" customHeight="false" outlineLevel="0" collapsed="false">
      <c r="B1099" s="7" t="s">
        <v>9732</v>
      </c>
      <c r="C1099" s="39" t="n">
        <v>45728</v>
      </c>
      <c r="D1099" s="7" t="s">
        <v>191</v>
      </c>
      <c r="E1099" s="7" t="s">
        <v>180</v>
      </c>
      <c r="F1099" s="6" t="n">
        <v>4.14</v>
      </c>
      <c r="G1099" s="6" t="n">
        <v>0</v>
      </c>
      <c r="H1099" s="41" t="n">
        <v>16.05</v>
      </c>
      <c r="I1099" s="43" t="n">
        <f aca="false">F1099*H1099</f>
        <v>66.447</v>
      </c>
      <c r="J1099" s="43" t="n">
        <f aca="false">G1099*H1099*1.5</f>
        <v>0</v>
      </c>
      <c r="K1099" s="6" t="n">
        <v>11.12</v>
      </c>
      <c r="L1099" s="43" t="n">
        <f aca="false">K1099*'Chart of Accounts'!$E$68</f>
        <v>7.4504</v>
      </c>
      <c r="O1099" s="42" t="n">
        <f aca="false">I1099+J1099+L1099</f>
        <v>73.8974</v>
      </c>
    </row>
    <row r="1100" customFormat="false" ht="15" hidden="false" customHeight="false" outlineLevel="0" collapsed="false">
      <c r="B1100" s="7" t="s">
        <v>9733</v>
      </c>
      <c r="C1100" s="39" t="n">
        <v>45728</v>
      </c>
      <c r="D1100" s="7" t="s">
        <v>194</v>
      </c>
      <c r="E1100" s="7" t="s">
        <v>180</v>
      </c>
      <c r="F1100" s="6" t="n">
        <v>4.3</v>
      </c>
      <c r="G1100" s="6" t="n">
        <v>0</v>
      </c>
      <c r="H1100" s="41" t="n">
        <v>16</v>
      </c>
      <c r="I1100" s="43" t="n">
        <f aca="false">F1100*H1100</f>
        <v>68.8</v>
      </c>
      <c r="J1100" s="43" t="n">
        <f aca="false">G1100*H1100*1.5</f>
        <v>0</v>
      </c>
      <c r="K1100" s="6" t="n">
        <v>11.17</v>
      </c>
      <c r="L1100" s="43" t="n">
        <f aca="false">K1100*'Chart of Accounts'!$E$68</f>
        <v>7.4839</v>
      </c>
      <c r="O1100" s="42" t="n">
        <f aca="false">I1100+J1100+L1100</f>
        <v>76.2839</v>
      </c>
    </row>
    <row r="1101" customFormat="false" ht="15" hidden="false" customHeight="false" outlineLevel="0" collapsed="false">
      <c r="B1101" s="7" t="s">
        <v>9734</v>
      </c>
      <c r="C1101" s="39" t="n">
        <v>45728</v>
      </c>
      <c r="D1101" s="7" t="s">
        <v>205</v>
      </c>
      <c r="E1101" s="7" t="s">
        <v>180</v>
      </c>
      <c r="F1101" s="6" t="n">
        <v>4</v>
      </c>
      <c r="G1101" s="6" t="n">
        <v>0</v>
      </c>
      <c r="H1101" s="41" t="n">
        <v>16.36</v>
      </c>
      <c r="I1101" s="43" t="n">
        <f aca="false">F1101*H1101</f>
        <v>65.44</v>
      </c>
      <c r="J1101" s="43" t="n">
        <f aca="false">G1101*H1101*1.5</f>
        <v>0</v>
      </c>
      <c r="K1101" s="6" t="n">
        <v>11.87</v>
      </c>
      <c r="L1101" s="43" t="n">
        <f aca="false">K1101*'Chart of Accounts'!$E$68</f>
        <v>7.9529</v>
      </c>
      <c r="O1101" s="42" t="n">
        <f aca="false">I1101+J1101+L1101</f>
        <v>73.3929</v>
      </c>
    </row>
    <row r="1102" customFormat="false" ht="15" hidden="false" customHeight="false" outlineLevel="0" collapsed="false">
      <c r="B1102" s="7" t="s">
        <v>9735</v>
      </c>
      <c r="C1102" s="39" t="n">
        <v>45728</v>
      </c>
      <c r="D1102" s="7" t="s">
        <v>252</v>
      </c>
      <c r="E1102" s="7" t="s">
        <v>158</v>
      </c>
      <c r="H1102" s="41" t="n">
        <v>57.54</v>
      </c>
      <c r="M1102" s="6" t="n">
        <v>1</v>
      </c>
      <c r="N1102" s="43" t="n">
        <f aca="false">M1102*H1102</f>
        <v>57.54</v>
      </c>
      <c r="O1102" s="42" t="n">
        <f aca="false">N1102</f>
        <v>57.54</v>
      </c>
    </row>
    <row r="1103" customFormat="false" ht="15" hidden="false" customHeight="false" outlineLevel="0" collapsed="false">
      <c r="B1103" s="7" t="s">
        <v>9736</v>
      </c>
      <c r="C1103" s="39" t="n">
        <v>45728</v>
      </c>
      <c r="D1103" s="7" t="s">
        <v>184</v>
      </c>
      <c r="E1103" s="7" t="s">
        <v>180</v>
      </c>
      <c r="F1103" s="6" t="n">
        <v>4.04</v>
      </c>
      <c r="G1103" s="6" t="n">
        <v>0</v>
      </c>
      <c r="H1103" s="41" t="n">
        <v>17.34</v>
      </c>
      <c r="I1103" s="43" t="n">
        <f aca="false">F1103*H1103</f>
        <v>70.0536</v>
      </c>
      <c r="J1103" s="43" t="n">
        <f aca="false">G1103*H1103*1.5</f>
        <v>0</v>
      </c>
      <c r="K1103" s="6" t="n">
        <v>11.22</v>
      </c>
      <c r="L1103" s="43" t="n">
        <f aca="false">K1103*'Chart of Accounts'!$E$68</f>
        <v>7.5174</v>
      </c>
      <c r="O1103" s="42" t="n">
        <f aca="false">I1103+J1103+L1103</f>
        <v>77.571</v>
      </c>
    </row>
    <row r="1104" customFormat="false" ht="15" hidden="false" customHeight="false" outlineLevel="0" collapsed="false">
      <c r="B1104" s="7" t="s">
        <v>9737</v>
      </c>
      <c r="C1104" s="39" t="n">
        <v>45728</v>
      </c>
      <c r="D1104" s="7" t="s">
        <v>218</v>
      </c>
      <c r="E1104" s="7" t="s">
        <v>180</v>
      </c>
      <c r="F1104" s="6" t="n">
        <v>3.93</v>
      </c>
      <c r="G1104" s="6" t="n">
        <v>0</v>
      </c>
      <c r="H1104" s="41" t="n">
        <v>16.19</v>
      </c>
      <c r="I1104" s="43" t="n">
        <f aca="false">F1104*H1104</f>
        <v>63.6267</v>
      </c>
      <c r="J1104" s="43" t="n">
        <f aca="false">G1104*H1104*1.5</f>
        <v>0</v>
      </c>
      <c r="K1104" s="6" t="n">
        <v>13.55</v>
      </c>
      <c r="L1104" s="43" t="n">
        <f aca="false">K1104*'Chart of Accounts'!$E$68</f>
        <v>9.0785</v>
      </c>
      <c r="O1104" s="42" t="n">
        <f aca="false">I1104+J1104+L1104</f>
        <v>72.7052</v>
      </c>
    </row>
    <row r="1105" customFormat="false" ht="15" hidden="false" customHeight="false" outlineLevel="0" collapsed="false">
      <c r="B1105" s="7" t="s">
        <v>9738</v>
      </c>
      <c r="C1105" s="39" t="n">
        <v>45728</v>
      </c>
      <c r="D1105" s="7" t="s">
        <v>220</v>
      </c>
      <c r="E1105" s="7" t="s">
        <v>180</v>
      </c>
      <c r="F1105" s="6" t="n">
        <v>3.86</v>
      </c>
      <c r="G1105" s="6" t="n">
        <v>0</v>
      </c>
      <c r="H1105" s="41" t="n">
        <v>16.43</v>
      </c>
      <c r="I1105" s="43" t="n">
        <f aca="false">F1105*H1105</f>
        <v>63.4198</v>
      </c>
      <c r="J1105" s="43" t="n">
        <f aca="false">G1105*H1105*1.5</f>
        <v>0</v>
      </c>
      <c r="K1105" s="6" t="n">
        <v>9.9</v>
      </c>
      <c r="L1105" s="43" t="n">
        <f aca="false">K1105*'Chart of Accounts'!$E$68</f>
        <v>6.633</v>
      </c>
      <c r="O1105" s="42" t="n">
        <f aca="false">I1105+J1105+L1105</f>
        <v>70.0528</v>
      </c>
    </row>
    <row r="1106" customFormat="false" ht="15" hidden="false" customHeight="false" outlineLevel="0" collapsed="false">
      <c r="B1106" s="7" t="s">
        <v>9739</v>
      </c>
      <c r="C1106" s="39" t="n">
        <v>45728</v>
      </c>
      <c r="D1106" s="7" t="s">
        <v>177</v>
      </c>
      <c r="E1106" s="7" t="s">
        <v>180</v>
      </c>
      <c r="F1106" s="6" t="n">
        <v>8.46</v>
      </c>
      <c r="G1106" s="6" t="n">
        <v>0</v>
      </c>
      <c r="H1106" s="41" t="n">
        <v>14.56</v>
      </c>
      <c r="I1106" s="43" t="n">
        <f aca="false">F1106*H1106</f>
        <v>123.1776</v>
      </c>
      <c r="J1106" s="43" t="n">
        <f aca="false">G1106*H1106*1.5</f>
        <v>0</v>
      </c>
      <c r="K1106" s="6" t="n">
        <v>24.31</v>
      </c>
      <c r="L1106" s="43" t="n">
        <f aca="false">K1106*'Chart of Accounts'!$E$68</f>
        <v>16.2877</v>
      </c>
      <c r="O1106" s="42" t="n">
        <f aca="false">I1106+J1106+L1106</f>
        <v>139.4653</v>
      </c>
    </row>
    <row r="1107" customFormat="false" ht="15" hidden="false" customHeight="false" outlineLevel="0" collapsed="false">
      <c r="B1107" s="7" t="s">
        <v>9740</v>
      </c>
      <c r="C1107" s="39" t="n">
        <v>45728</v>
      </c>
      <c r="D1107" s="7" t="s">
        <v>242</v>
      </c>
      <c r="E1107" s="7" t="s">
        <v>180</v>
      </c>
      <c r="F1107" s="6" t="n">
        <v>7.01</v>
      </c>
      <c r="G1107" s="6" t="n">
        <v>0</v>
      </c>
      <c r="H1107" s="41" t="n">
        <v>17.99</v>
      </c>
      <c r="I1107" s="43" t="n">
        <f aca="false">F1107*H1107</f>
        <v>126.1099</v>
      </c>
      <c r="J1107" s="43" t="n">
        <f aca="false">G1107*H1107*1.5</f>
        <v>0</v>
      </c>
      <c r="K1107" s="6" t="n">
        <v>20.96</v>
      </c>
      <c r="L1107" s="43" t="n">
        <f aca="false">K1107*'Chart of Accounts'!$E$68</f>
        <v>14.0432</v>
      </c>
      <c r="O1107" s="42" t="n">
        <f aca="false">I1107+J1107+L1107</f>
        <v>140.1531</v>
      </c>
    </row>
    <row r="1108" customFormat="false" ht="15" hidden="false" customHeight="false" outlineLevel="0" collapsed="false">
      <c r="B1108" s="7" t="s">
        <v>9741</v>
      </c>
      <c r="C1108" s="39" t="n">
        <v>45728</v>
      </c>
      <c r="D1108" s="7" t="s">
        <v>254</v>
      </c>
      <c r="E1108" s="7" t="s">
        <v>180</v>
      </c>
      <c r="F1108" s="6" t="n">
        <v>7.16</v>
      </c>
      <c r="G1108" s="6" t="n">
        <v>0</v>
      </c>
      <c r="H1108" s="41" t="n">
        <v>17.1</v>
      </c>
      <c r="I1108" s="43" t="n">
        <f aca="false">F1108*H1108</f>
        <v>122.436</v>
      </c>
      <c r="J1108" s="43" t="n">
        <f aca="false">G1108*H1108*1.5</f>
        <v>0</v>
      </c>
      <c r="K1108" s="6" t="n">
        <v>25.21</v>
      </c>
      <c r="L1108" s="43" t="n">
        <f aca="false">K1108*'Chart of Accounts'!$E$68</f>
        <v>16.8907</v>
      </c>
      <c r="O1108" s="42" t="n">
        <f aca="false">I1108+J1108+L1108</f>
        <v>139.3267</v>
      </c>
    </row>
    <row r="1109" customFormat="false" ht="15" hidden="false" customHeight="false" outlineLevel="0" collapsed="false">
      <c r="B1109" s="7" t="s">
        <v>9742</v>
      </c>
      <c r="C1109" s="39" t="n">
        <v>45728</v>
      </c>
      <c r="D1109" s="7" t="s">
        <v>201</v>
      </c>
      <c r="E1109" s="7" t="s">
        <v>180</v>
      </c>
      <c r="F1109" s="6" t="n">
        <v>3.01</v>
      </c>
      <c r="G1109" s="6" t="n">
        <v>0</v>
      </c>
      <c r="H1109" s="41" t="n">
        <v>15.19</v>
      </c>
      <c r="I1109" s="43" t="n">
        <f aca="false">F1109*H1109</f>
        <v>45.7219</v>
      </c>
      <c r="J1109" s="43" t="n">
        <f aca="false">G1109*H1109*1.5</f>
        <v>0</v>
      </c>
      <c r="K1109" s="6" t="n">
        <v>8.22</v>
      </c>
      <c r="L1109" s="43" t="n">
        <f aca="false">K1109*'Chart of Accounts'!$E$68</f>
        <v>5.5074</v>
      </c>
      <c r="O1109" s="42" t="n">
        <f aca="false">I1109+J1109+L1109</f>
        <v>51.2293</v>
      </c>
    </row>
    <row r="1110" customFormat="false" ht="15" hidden="false" customHeight="false" outlineLevel="0" collapsed="false">
      <c r="B1110" s="7" t="s">
        <v>9743</v>
      </c>
      <c r="C1110" s="39" t="n">
        <v>45728</v>
      </c>
      <c r="D1110" s="7" t="s">
        <v>207</v>
      </c>
      <c r="E1110" s="7" t="s">
        <v>180</v>
      </c>
      <c r="F1110" s="6" t="n">
        <v>3</v>
      </c>
      <c r="G1110" s="6" t="n">
        <v>0</v>
      </c>
      <c r="H1110" s="41" t="n">
        <v>16.65</v>
      </c>
      <c r="I1110" s="43" t="n">
        <f aca="false">F1110*H1110</f>
        <v>49.95</v>
      </c>
      <c r="J1110" s="43" t="n">
        <f aca="false">G1110*H1110*1.5</f>
        <v>0</v>
      </c>
      <c r="K1110" s="6" t="n">
        <v>8.76</v>
      </c>
      <c r="L1110" s="43" t="n">
        <f aca="false">K1110*'Chart of Accounts'!$E$68</f>
        <v>5.8692</v>
      </c>
      <c r="O1110" s="42" t="n">
        <f aca="false">I1110+J1110+L1110</f>
        <v>55.8192</v>
      </c>
    </row>
    <row r="1111" customFormat="false" ht="15" hidden="false" customHeight="false" outlineLevel="0" collapsed="false">
      <c r="B1111" s="7" t="s">
        <v>9744</v>
      </c>
      <c r="C1111" s="39" t="n">
        <v>45728</v>
      </c>
      <c r="D1111" s="7" t="s">
        <v>212</v>
      </c>
      <c r="E1111" s="7" t="s">
        <v>180</v>
      </c>
      <c r="F1111" s="6" t="n">
        <v>3.85</v>
      </c>
      <c r="G1111" s="6" t="n">
        <v>0</v>
      </c>
      <c r="H1111" s="41" t="n">
        <v>16.71</v>
      </c>
      <c r="I1111" s="43" t="n">
        <f aca="false">F1111*H1111</f>
        <v>64.3335</v>
      </c>
      <c r="J1111" s="43" t="n">
        <f aca="false">G1111*H1111*1.5</f>
        <v>0</v>
      </c>
      <c r="K1111" s="6" t="n">
        <v>10.72</v>
      </c>
      <c r="L1111" s="43" t="n">
        <f aca="false">K1111*'Chart of Accounts'!$E$68</f>
        <v>7.1824</v>
      </c>
      <c r="O1111" s="42" t="n">
        <f aca="false">I1111+J1111+L1111</f>
        <v>71.5159</v>
      </c>
    </row>
    <row r="1112" customFormat="false" ht="15" hidden="false" customHeight="false" outlineLevel="0" collapsed="false">
      <c r="B1112" s="7" t="s">
        <v>9745</v>
      </c>
      <c r="C1112" s="39" t="n">
        <v>45728</v>
      </c>
      <c r="D1112" s="7" t="s">
        <v>232</v>
      </c>
      <c r="E1112" s="7" t="s">
        <v>180</v>
      </c>
      <c r="F1112" s="6" t="n">
        <v>4.97</v>
      </c>
      <c r="G1112" s="6" t="n">
        <v>0</v>
      </c>
      <c r="H1112" s="41" t="n">
        <v>16.17</v>
      </c>
      <c r="I1112" s="43" t="n">
        <f aca="false">F1112*H1112</f>
        <v>80.3649</v>
      </c>
      <c r="J1112" s="43" t="n">
        <f aca="false">G1112*H1112*1.5</f>
        <v>0</v>
      </c>
      <c r="K1112" s="6" t="n">
        <v>13.53</v>
      </c>
      <c r="L1112" s="43" t="n">
        <f aca="false">K1112*'Chart of Accounts'!$E$68</f>
        <v>9.0651</v>
      </c>
      <c r="O1112" s="42" t="n">
        <f aca="false">I1112+J1112+L1112</f>
        <v>89.43</v>
      </c>
    </row>
    <row r="1113" customFormat="false" ht="15" hidden="false" customHeight="false" outlineLevel="0" collapsed="false">
      <c r="B1113" s="7" t="s">
        <v>9746</v>
      </c>
      <c r="C1113" s="39" t="n">
        <v>45728</v>
      </c>
      <c r="D1113" s="7" t="s">
        <v>224</v>
      </c>
      <c r="E1113" s="7" t="s">
        <v>180</v>
      </c>
      <c r="F1113" s="6" t="n">
        <v>4.73</v>
      </c>
      <c r="G1113" s="6" t="n">
        <v>0</v>
      </c>
      <c r="H1113" s="41" t="n">
        <v>14.93</v>
      </c>
      <c r="I1113" s="43" t="n">
        <f aca="false">F1113*H1113</f>
        <v>70.6189</v>
      </c>
      <c r="J1113" s="43" t="n">
        <f aca="false">G1113*H1113*1.5</f>
        <v>0</v>
      </c>
      <c r="K1113" s="6" t="n">
        <v>16.16</v>
      </c>
      <c r="L1113" s="43" t="n">
        <f aca="false">K1113*'Chart of Accounts'!$E$68</f>
        <v>10.8272</v>
      </c>
      <c r="O1113" s="42" t="n">
        <f aca="false">I1113+J1113+L1113</f>
        <v>81.4461</v>
      </c>
    </row>
    <row r="1114" customFormat="false" ht="15" hidden="false" customHeight="false" outlineLevel="0" collapsed="false">
      <c r="B1114" s="7" t="s">
        <v>9747</v>
      </c>
      <c r="C1114" s="39" t="n">
        <v>45728</v>
      </c>
      <c r="D1114" s="7" t="s">
        <v>246</v>
      </c>
      <c r="E1114" s="7" t="s">
        <v>180</v>
      </c>
      <c r="F1114" s="6" t="n">
        <v>3.97</v>
      </c>
      <c r="G1114" s="6" t="n">
        <v>0</v>
      </c>
      <c r="H1114" s="41" t="n">
        <v>16.48</v>
      </c>
      <c r="I1114" s="43" t="n">
        <f aca="false">F1114*H1114</f>
        <v>65.4256</v>
      </c>
      <c r="J1114" s="43" t="n">
        <f aca="false">G1114*H1114*1.5</f>
        <v>0</v>
      </c>
      <c r="K1114" s="6" t="n">
        <v>10.61</v>
      </c>
      <c r="L1114" s="43" t="n">
        <f aca="false">K1114*'Chart of Accounts'!$E$68</f>
        <v>7.1087</v>
      </c>
      <c r="O1114" s="42" t="n">
        <f aca="false">I1114+J1114+L1114</f>
        <v>72.5343</v>
      </c>
    </row>
    <row r="1115" customFormat="false" ht="15" hidden="false" customHeight="false" outlineLevel="0" collapsed="false">
      <c r="B1115" s="7" t="s">
        <v>9748</v>
      </c>
      <c r="C1115" s="39" t="n">
        <v>45728</v>
      </c>
      <c r="D1115" s="7" t="s">
        <v>222</v>
      </c>
      <c r="E1115" s="7" t="s">
        <v>180</v>
      </c>
      <c r="F1115" s="6" t="n">
        <v>4.31</v>
      </c>
      <c r="G1115" s="6" t="n">
        <v>0</v>
      </c>
      <c r="H1115" s="41" t="n">
        <v>17.84</v>
      </c>
      <c r="I1115" s="43" t="n">
        <f aca="false">F1115*H1115</f>
        <v>76.8904</v>
      </c>
      <c r="J1115" s="43" t="n">
        <f aca="false">G1115*H1115*1.5</f>
        <v>0</v>
      </c>
      <c r="K1115" s="6" t="n">
        <v>12.45</v>
      </c>
      <c r="L1115" s="43" t="n">
        <f aca="false">K1115*'Chart of Accounts'!$E$68</f>
        <v>8.3415</v>
      </c>
      <c r="O1115" s="42" t="n">
        <f aca="false">I1115+J1115+L1115</f>
        <v>85.2319</v>
      </c>
    </row>
    <row r="1116" customFormat="false" ht="15" hidden="false" customHeight="false" outlineLevel="0" collapsed="false">
      <c r="B1116" s="7" t="s">
        <v>9749</v>
      </c>
      <c r="C1116" s="39" t="n">
        <v>45728</v>
      </c>
      <c r="D1116" s="7" t="s">
        <v>203</v>
      </c>
      <c r="E1116" s="7" t="s">
        <v>158</v>
      </c>
      <c r="H1116" s="41" t="n">
        <v>49.43</v>
      </c>
      <c r="M1116" s="6" t="n">
        <v>1</v>
      </c>
      <c r="N1116" s="43" t="n">
        <f aca="false">M1116*H1116</f>
        <v>49.43</v>
      </c>
      <c r="O1116" s="42" t="n">
        <f aca="false">N1116</f>
        <v>49.43</v>
      </c>
    </row>
    <row r="1117" customFormat="false" ht="15" hidden="false" customHeight="false" outlineLevel="0" collapsed="false">
      <c r="B1117" s="7" t="s">
        <v>9750</v>
      </c>
      <c r="C1117" s="39" t="n">
        <v>45728</v>
      </c>
      <c r="D1117" s="7" t="s">
        <v>262</v>
      </c>
      <c r="E1117" s="7" t="s">
        <v>180</v>
      </c>
      <c r="F1117" s="6" t="n">
        <v>3.32</v>
      </c>
      <c r="G1117" s="6" t="n">
        <v>0</v>
      </c>
      <c r="H1117" s="41" t="n">
        <v>16.02</v>
      </c>
      <c r="I1117" s="43" t="n">
        <f aca="false">F1117*H1117</f>
        <v>53.1864</v>
      </c>
      <c r="J1117" s="43" t="n">
        <f aca="false">G1117*H1117*1.5</f>
        <v>0</v>
      </c>
      <c r="K1117" s="6" t="n">
        <v>7.77</v>
      </c>
      <c r="L1117" s="43" t="n">
        <f aca="false">K1117*'Chart of Accounts'!$E$68</f>
        <v>5.2059</v>
      </c>
      <c r="O1117" s="42" t="n">
        <f aca="false">I1117+J1117+L1117</f>
        <v>58.3923</v>
      </c>
    </row>
    <row r="1118" customFormat="false" ht="15" hidden="false" customHeight="false" outlineLevel="0" collapsed="false">
      <c r="B1118" s="7" t="s">
        <v>9751</v>
      </c>
      <c r="C1118" s="39" t="n">
        <v>45728</v>
      </c>
      <c r="D1118" s="7" t="s">
        <v>214</v>
      </c>
      <c r="E1118" s="7" t="s">
        <v>180</v>
      </c>
      <c r="F1118" s="6" t="n">
        <v>3.43</v>
      </c>
      <c r="G1118" s="6" t="n">
        <v>0</v>
      </c>
      <c r="H1118" s="41" t="n">
        <v>15.67</v>
      </c>
      <c r="I1118" s="43" t="n">
        <f aca="false">F1118*H1118</f>
        <v>53.7481</v>
      </c>
      <c r="J1118" s="43" t="n">
        <f aca="false">G1118*H1118*1.5</f>
        <v>0</v>
      </c>
      <c r="K1118" s="6" t="n">
        <v>9.59</v>
      </c>
      <c r="L1118" s="43" t="n">
        <f aca="false">K1118*'Chart of Accounts'!$E$68</f>
        <v>6.4253</v>
      </c>
      <c r="O1118" s="42" t="n">
        <f aca="false">I1118+J1118+L1118</f>
        <v>60.1734</v>
      </c>
    </row>
    <row r="1119" customFormat="false" ht="15" hidden="false" customHeight="false" outlineLevel="0" collapsed="false">
      <c r="B1119" s="7" t="s">
        <v>9752</v>
      </c>
      <c r="C1119" s="39" t="n">
        <v>45729</v>
      </c>
      <c r="D1119" s="7" t="s">
        <v>191</v>
      </c>
      <c r="E1119" s="7" t="s">
        <v>180</v>
      </c>
      <c r="F1119" s="6" t="n">
        <v>3.87</v>
      </c>
      <c r="G1119" s="6" t="n">
        <v>0</v>
      </c>
      <c r="H1119" s="41" t="n">
        <v>16.05</v>
      </c>
      <c r="I1119" s="43" t="n">
        <f aca="false">F1119*H1119</f>
        <v>62.1135</v>
      </c>
      <c r="J1119" s="43" t="n">
        <f aca="false">G1119*H1119*1.5</f>
        <v>0</v>
      </c>
      <c r="K1119" s="6" t="n">
        <v>10.43</v>
      </c>
      <c r="L1119" s="43" t="n">
        <f aca="false">K1119*'Chart of Accounts'!$E$68</f>
        <v>6.9881</v>
      </c>
      <c r="O1119" s="42" t="n">
        <f aca="false">I1119+J1119+L1119</f>
        <v>69.1016</v>
      </c>
    </row>
    <row r="1120" customFormat="false" ht="15" hidden="false" customHeight="false" outlineLevel="0" collapsed="false">
      <c r="B1120" s="7" t="s">
        <v>9753</v>
      </c>
      <c r="C1120" s="39" t="n">
        <v>45729</v>
      </c>
      <c r="D1120" s="7" t="s">
        <v>201</v>
      </c>
      <c r="E1120" s="7" t="s">
        <v>180</v>
      </c>
      <c r="F1120" s="6" t="n">
        <v>3.26</v>
      </c>
      <c r="G1120" s="6" t="n">
        <v>0</v>
      </c>
      <c r="H1120" s="41" t="n">
        <v>15.19</v>
      </c>
      <c r="I1120" s="43" t="n">
        <f aca="false">F1120*H1120</f>
        <v>49.5194</v>
      </c>
      <c r="J1120" s="43" t="n">
        <f aca="false">G1120*H1120*1.5</f>
        <v>0</v>
      </c>
      <c r="K1120" s="6" t="n">
        <v>7.38</v>
      </c>
      <c r="L1120" s="43" t="n">
        <f aca="false">K1120*'Chart of Accounts'!$E$68</f>
        <v>4.9446</v>
      </c>
      <c r="O1120" s="42" t="n">
        <f aca="false">I1120+J1120+L1120</f>
        <v>54.464</v>
      </c>
    </row>
    <row r="1121" customFormat="false" ht="15" hidden="false" customHeight="false" outlineLevel="0" collapsed="false">
      <c r="B1121" s="7" t="s">
        <v>9754</v>
      </c>
      <c r="C1121" s="39" t="n">
        <v>45729</v>
      </c>
      <c r="D1121" s="7" t="s">
        <v>196</v>
      </c>
      <c r="E1121" s="7" t="s">
        <v>180</v>
      </c>
      <c r="F1121" s="6" t="n">
        <v>6.16</v>
      </c>
      <c r="G1121" s="6" t="n">
        <v>0</v>
      </c>
      <c r="H1121" s="41" t="n">
        <v>15.05</v>
      </c>
      <c r="I1121" s="43" t="n">
        <f aca="false">F1121*H1121</f>
        <v>92.708</v>
      </c>
      <c r="J1121" s="43" t="n">
        <f aca="false">G1121*H1121*1.5</f>
        <v>0</v>
      </c>
      <c r="K1121" s="6" t="n">
        <v>19.32</v>
      </c>
      <c r="L1121" s="43" t="n">
        <f aca="false">K1121*'Chart of Accounts'!$E$68</f>
        <v>12.9444</v>
      </c>
      <c r="O1121" s="42" t="n">
        <f aca="false">I1121+J1121+L1121</f>
        <v>105.6524</v>
      </c>
    </row>
    <row r="1122" customFormat="false" ht="15" hidden="false" customHeight="false" outlineLevel="0" collapsed="false">
      <c r="B1122" s="7" t="s">
        <v>9755</v>
      </c>
      <c r="C1122" s="39" t="n">
        <v>45729</v>
      </c>
      <c r="D1122" s="7" t="s">
        <v>184</v>
      </c>
      <c r="E1122" s="7" t="s">
        <v>180</v>
      </c>
      <c r="F1122" s="6" t="n">
        <v>4.11</v>
      </c>
      <c r="G1122" s="6" t="n">
        <v>0</v>
      </c>
      <c r="H1122" s="41" t="n">
        <v>17.34</v>
      </c>
      <c r="I1122" s="43" t="n">
        <f aca="false">F1122*H1122</f>
        <v>71.2674</v>
      </c>
      <c r="J1122" s="43" t="n">
        <f aca="false">G1122*H1122*1.5</f>
        <v>0</v>
      </c>
      <c r="K1122" s="6" t="n">
        <v>13.62</v>
      </c>
      <c r="L1122" s="43" t="n">
        <f aca="false">K1122*'Chart of Accounts'!$E$68</f>
        <v>9.1254</v>
      </c>
      <c r="O1122" s="42" t="n">
        <f aca="false">I1122+J1122+L1122</f>
        <v>80.3928</v>
      </c>
    </row>
    <row r="1123" customFormat="false" ht="15" hidden="false" customHeight="false" outlineLevel="0" collapsed="false">
      <c r="B1123" s="7" t="s">
        <v>9756</v>
      </c>
      <c r="C1123" s="39" t="n">
        <v>45729</v>
      </c>
      <c r="D1123" s="7" t="s">
        <v>207</v>
      </c>
      <c r="E1123" s="7" t="s">
        <v>180</v>
      </c>
      <c r="F1123" s="6" t="n">
        <v>3.01</v>
      </c>
      <c r="G1123" s="6" t="n">
        <v>0</v>
      </c>
      <c r="H1123" s="41" t="n">
        <v>16.65</v>
      </c>
      <c r="I1123" s="43" t="n">
        <f aca="false">F1123*H1123</f>
        <v>50.1165</v>
      </c>
      <c r="J1123" s="43" t="n">
        <f aca="false">G1123*H1123*1.5</f>
        <v>0</v>
      </c>
      <c r="K1123" s="6" t="n">
        <v>10.08</v>
      </c>
      <c r="L1123" s="43" t="n">
        <f aca="false">K1123*'Chart of Accounts'!$E$68</f>
        <v>6.7536</v>
      </c>
      <c r="O1123" s="42" t="n">
        <f aca="false">I1123+J1123+L1123</f>
        <v>56.8701</v>
      </c>
    </row>
    <row r="1124" customFormat="false" ht="15" hidden="false" customHeight="false" outlineLevel="0" collapsed="false">
      <c r="B1124" s="7" t="s">
        <v>9757</v>
      </c>
      <c r="C1124" s="39" t="n">
        <v>45729</v>
      </c>
      <c r="D1124" s="7" t="s">
        <v>218</v>
      </c>
      <c r="E1124" s="7" t="s">
        <v>180</v>
      </c>
      <c r="F1124" s="6" t="n">
        <v>3.86</v>
      </c>
      <c r="G1124" s="6" t="n">
        <v>0</v>
      </c>
      <c r="H1124" s="41" t="n">
        <v>16.19</v>
      </c>
      <c r="I1124" s="43" t="n">
        <f aca="false">F1124*H1124</f>
        <v>62.4934</v>
      </c>
      <c r="J1124" s="43" t="n">
        <f aca="false">G1124*H1124*1.5</f>
        <v>0</v>
      </c>
      <c r="K1124" s="6" t="n">
        <v>9.61</v>
      </c>
      <c r="L1124" s="43" t="n">
        <f aca="false">K1124*'Chart of Accounts'!$E$68</f>
        <v>6.4387</v>
      </c>
      <c r="O1124" s="42" t="n">
        <f aca="false">I1124+J1124+L1124</f>
        <v>68.9321</v>
      </c>
    </row>
    <row r="1125" customFormat="false" ht="15" hidden="false" customHeight="false" outlineLevel="0" collapsed="false">
      <c r="B1125" s="7" t="s">
        <v>9758</v>
      </c>
      <c r="C1125" s="39" t="n">
        <v>45729</v>
      </c>
      <c r="D1125" s="7" t="s">
        <v>212</v>
      </c>
      <c r="E1125" s="7" t="s">
        <v>180</v>
      </c>
      <c r="F1125" s="6" t="n">
        <v>7.08</v>
      </c>
      <c r="G1125" s="6" t="n">
        <v>0</v>
      </c>
      <c r="H1125" s="41" t="n">
        <v>16.71</v>
      </c>
      <c r="I1125" s="43" t="n">
        <f aca="false">F1125*H1125</f>
        <v>118.3068</v>
      </c>
      <c r="J1125" s="43" t="n">
        <f aca="false">G1125*H1125*1.5</f>
        <v>0</v>
      </c>
      <c r="K1125" s="6" t="n">
        <v>18.59</v>
      </c>
      <c r="L1125" s="43" t="n">
        <f aca="false">K1125*'Chart of Accounts'!$E$68</f>
        <v>12.4553</v>
      </c>
      <c r="O1125" s="42" t="n">
        <f aca="false">I1125+J1125+L1125</f>
        <v>130.7621</v>
      </c>
    </row>
    <row r="1126" customFormat="false" ht="15" hidden="false" customHeight="false" outlineLevel="0" collapsed="false">
      <c r="B1126" s="7" t="s">
        <v>9759</v>
      </c>
      <c r="C1126" s="39" t="n">
        <v>45729</v>
      </c>
      <c r="D1126" s="7" t="s">
        <v>220</v>
      </c>
      <c r="E1126" s="7" t="s">
        <v>180</v>
      </c>
      <c r="F1126" s="6" t="n">
        <v>4.2</v>
      </c>
      <c r="G1126" s="6" t="n">
        <v>0</v>
      </c>
      <c r="H1126" s="41" t="n">
        <v>16.43</v>
      </c>
      <c r="I1126" s="43" t="n">
        <f aca="false">F1126*H1126</f>
        <v>69.006</v>
      </c>
      <c r="J1126" s="43" t="n">
        <f aca="false">G1126*H1126*1.5</f>
        <v>0</v>
      </c>
      <c r="K1126" s="6" t="n">
        <v>14.69</v>
      </c>
      <c r="L1126" s="43" t="n">
        <f aca="false">K1126*'Chart of Accounts'!$E$68</f>
        <v>9.8423</v>
      </c>
      <c r="O1126" s="42" t="n">
        <f aca="false">I1126+J1126+L1126</f>
        <v>78.8483</v>
      </c>
    </row>
    <row r="1127" customFormat="false" ht="15" hidden="false" customHeight="false" outlineLevel="0" collapsed="false">
      <c r="B1127" s="7" t="s">
        <v>9760</v>
      </c>
      <c r="C1127" s="39" t="n">
        <v>45729</v>
      </c>
      <c r="D1127" s="7" t="s">
        <v>224</v>
      </c>
      <c r="E1127" s="7" t="s">
        <v>180</v>
      </c>
      <c r="F1127" s="6" t="n">
        <v>3.95</v>
      </c>
      <c r="G1127" s="6" t="n">
        <v>0</v>
      </c>
      <c r="H1127" s="41" t="n">
        <v>14.93</v>
      </c>
      <c r="I1127" s="43" t="n">
        <f aca="false">F1127*H1127</f>
        <v>58.9735</v>
      </c>
      <c r="J1127" s="43" t="n">
        <f aca="false">G1127*H1127*1.5</f>
        <v>0</v>
      </c>
      <c r="K1127" s="6" t="n">
        <v>9.18</v>
      </c>
      <c r="L1127" s="43" t="n">
        <f aca="false">K1127*'Chart of Accounts'!$E$68</f>
        <v>6.1506</v>
      </c>
      <c r="O1127" s="42" t="n">
        <f aca="false">I1127+J1127+L1127</f>
        <v>65.1241</v>
      </c>
    </row>
    <row r="1128" customFormat="false" ht="15" hidden="false" customHeight="false" outlineLevel="0" collapsed="false">
      <c r="B1128" s="7" t="s">
        <v>9761</v>
      </c>
      <c r="C1128" s="39" t="n">
        <v>45729</v>
      </c>
      <c r="D1128" s="7" t="s">
        <v>232</v>
      </c>
      <c r="E1128" s="7" t="s">
        <v>180</v>
      </c>
      <c r="F1128" s="6" t="n">
        <v>2.9</v>
      </c>
      <c r="G1128" s="6" t="n">
        <v>0</v>
      </c>
      <c r="H1128" s="41" t="n">
        <v>16.17</v>
      </c>
      <c r="I1128" s="43" t="n">
        <f aca="false">F1128*H1128</f>
        <v>46.893</v>
      </c>
      <c r="J1128" s="43" t="n">
        <f aca="false">G1128*H1128*1.5</f>
        <v>0</v>
      </c>
      <c r="K1128" s="6" t="n">
        <v>6.58</v>
      </c>
      <c r="L1128" s="43" t="n">
        <f aca="false">K1128*'Chart of Accounts'!$E$68</f>
        <v>4.4086</v>
      </c>
      <c r="O1128" s="42" t="n">
        <f aca="false">I1128+J1128+L1128</f>
        <v>51.3016</v>
      </c>
    </row>
    <row r="1129" customFormat="false" ht="15" hidden="false" customHeight="false" outlineLevel="0" collapsed="false">
      <c r="B1129" s="7" t="s">
        <v>9762</v>
      </c>
      <c r="C1129" s="39" t="n">
        <v>45729</v>
      </c>
      <c r="D1129" s="7" t="s">
        <v>222</v>
      </c>
      <c r="E1129" s="7" t="s">
        <v>180</v>
      </c>
      <c r="F1129" s="6" t="n">
        <v>6.78</v>
      </c>
      <c r="G1129" s="6" t="n">
        <v>0</v>
      </c>
      <c r="H1129" s="41" t="n">
        <v>17.84</v>
      </c>
      <c r="I1129" s="43" t="n">
        <f aca="false">F1129*H1129</f>
        <v>120.9552</v>
      </c>
      <c r="J1129" s="43" t="n">
        <f aca="false">G1129*H1129*1.5</f>
        <v>0</v>
      </c>
      <c r="K1129" s="6" t="n">
        <v>20.86</v>
      </c>
      <c r="L1129" s="43" t="n">
        <f aca="false">K1129*'Chart of Accounts'!$E$68</f>
        <v>13.9762</v>
      </c>
      <c r="O1129" s="42" t="n">
        <f aca="false">I1129+J1129+L1129</f>
        <v>134.9314</v>
      </c>
    </row>
    <row r="1130" customFormat="false" ht="15" hidden="false" customHeight="false" outlineLevel="0" collapsed="false">
      <c r="B1130" s="7" t="s">
        <v>9763</v>
      </c>
      <c r="C1130" s="39" t="n">
        <v>45729</v>
      </c>
      <c r="D1130" s="7" t="s">
        <v>262</v>
      </c>
      <c r="E1130" s="7" t="s">
        <v>180</v>
      </c>
      <c r="F1130" s="6" t="n">
        <v>3.95</v>
      </c>
      <c r="G1130" s="6" t="n">
        <v>0</v>
      </c>
      <c r="H1130" s="41" t="n">
        <v>16.02</v>
      </c>
      <c r="I1130" s="43" t="n">
        <f aca="false">F1130*H1130</f>
        <v>63.279</v>
      </c>
      <c r="J1130" s="43" t="n">
        <f aca="false">G1130*H1130*1.5</f>
        <v>0</v>
      </c>
      <c r="K1130" s="6" t="n">
        <v>11.12</v>
      </c>
      <c r="L1130" s="43" t="n">
        <f aca="false">K1130*'Chart of Accounts'!$E$68</f>
        <v>7.4504</v>
      </c>
      <c r="O1130" s="42" t="n">
        <f aca="false">I1130+J1130+L1130</f>
        <v>70.7294</v>
      </c>
    </row>
    <row r="1131" customFormat="false" ht="15" hidden="false" customHeight="false" outlineLevel="0" collapsed="false">
      <c r="B1131" s="7" t="s">
        <v>9764</v>
      </c>
      <c r="C1131" s="39" t="n">
        <v>45729</v>
      </c>
      <c r="D1131" s="7" t="s">
        <v>246</v>
      </c>
      <c r="E1131" s="7" t="s">
        <v>180</v>
      </c>
      <c r="F1131" s="6" t="n">
        <v>7.75</v>
      </c>
      <c r="G1131" s="6" t="n">
        <v>0</v>
      </c>
      <c r="H1131" s="41" t="n">
        <v>16.48</v>
      </c>
      <c r="I1131" s="43" t="n">
        <f aca="false">F1131*H1131</f>
        <v>127.72</v>
      </c>
      <c r="J1131" s="43" t="n">
        <f aca="false">G1131*H1131*1.5</f>
        <v>0</v>
      </c>
      <c r="K1131" s="6" t="n">
        <v>23.44</v>
      </c>
      <c r="L1131" s="43" t="n">
        <f aca="false">K1131*'Chart of Accounts'!$E$68</f>
        <v>15.7048</v>
      </c>
      <c r="O1131" s="42" t="n">
        <f aca="false">I1131+J1131+L1131</f>
        <v>143.4248</v>
      </c>
    </row>
    <row r="1132" customFormat="false" ht="15" hidden="false" customHeight="false" outlineLevel="0" collapsed="false">
      <c r="B1132" s="7" t="s">
        <v>9765</v>
      </c>
      <c r="C1132" s="39" t="n">
        <v>45729</v>
      </c>
      <c r="D1132" s="7" t="s">
        <v>214</v>
      </c>
      <c r="E1132" s="7" t="s">
        <v>180</v>
      </c>
      <c r="F1132" s="6" t="n">
        <v>3.94</v>
      </c>
      <c r="G1132" s="6" t="n">
        <v>0</v>
      </c>
      <c r="H1132" s="41" t="n">
        <v>15.67</v>
      </c>
      <c r="I1132" s="43" t="n">
        <f aca="false">F1132*H1132</f>
        <v>61.7398</v>
      </c>
      <c r="J1132" s="43" t="n">
        <f aca="false">G1132*H1132*1.5</f>
        <v>0</v>
      </c>
      <c r="K1132" s="6" t="n">
        <v>9.48</v>
      </c>
      <c r="L1132" s="43" t="n">
        <f aca="false">K1132*'Chart of Accounts'!$E$68</f>
        <v>6.3516</v>
      </c>
      <c r="O1132" s="42" t="n">
        <f aca="false">I1132+J1132+L1132</f>
        <v>68.0914</v>
      </c>
    </row>
    <row r="1133" customFormat="false" ht="15" hidden="false" customHeight="false" outlineLevel="0" collapsed="false">
      <c r="B1133" s="7" t="s">
        <v>9766</v>
      </c>
      <c r="C1133" s="39" t="n">
        <v>45729</v>
      </c>
      <c r="D1133" s="7" t="s">
        <v>242</v>
      </c>
      <c r="E1133" s="7" t="s">
        <v>180</v>
      </c>
      <c r="F1133" s="6" t="n">
        <v>4.22</v>
      </c>
      <c r="G1133" s="6" t="n">
        <v>0</v>
      </c>
      <c r="H1133" s="41" t="n">
        <v>17.99</v>
      </c>
      <c r="I1133" s="43" t="n">
        <f aca="false">F1133*H1133</f>
        <v>75.9178</v>
      </c>
      <c r="J1133" s="43" t="n">
        <f aca="false">G1133*H1133*1.5</f>
        <v>0</v>
      </c>
      <c r="K1133" s="6" t="n">
        <v>13.54</v>
      </c>
      <c r="L1133" s="43" t="n">
        <f aca="false">K1133*'Chart of Accounts'!$E$68</f>
        <v>9.0718</v>
      </c>
      <c r="O1133" s="42" t="n">
        <f aca="false">I1133+J1133+L1133</f>
        <v>84.9896</v>
      </c>
    </row>
    <row r="1134" customFormat="false" ht="15" hidden="false" customHeight="false" outlineLevel="0" collapsed="false">
      <c r="B1134" s="7" t="s">
        <v>9767</v>
      </c>
      <c r="C1134" s="39" t="n">
        <v>45729</v>
      </c>
      <c r="D1134" s="7" t="s">
        <v>254</v>
      </c>
      <c r="E1134" s="7" t="s">
        <v>180</v>
      </c>
      <c r="F1134" s="6" t="n">
        <v>4.26</v>
      </c>
      <c r="G1134" s="6" t="n">
        <v>0</v>
      </c>
      <c r="H1134" s="41" t="n">
        <v>17.1</v>
      </c>
      <c r="I1134" s="43" t="n">
        <f aca="false">F1134*H1134</f>
        <v>72.846</v>
      </c>
      <c r="J1134" s="43" t="n">
        <f aca="false">G1134*H1134*1.5</f>
        <v>0</v>
      </c>
      <c r="K1134" s="6" t="n">
        <v>10.18</v>
      </c>
      <c r="L1134" s="43" t="n">
        <f aca="false">K1134*'Chart of Accounts'!$E$68</f>
        <v>6.8206</v>
      </c>
      <c r="O1134" s="42" t="n">
        <f aca="false">I1134+J1134+L1134</f>
        <v>79.6666</v>
      </c>
    </row>
    <row r="1135" customFormat="false" ht="15" hidden="false" customHeight="false" outlineLevel="0" collapsed="false">
      <c r="B1135" s="7" t="s">
        <v>9768</v>
      </c>
      <c r="C1135" s="39" t="n">
        <v>45730</v>
      </c>
      <c r="D1135" s="7" t="s">
        <v>187</v>
      </c>
      <c r="E1135" s="7" t="s">
        <v>158</v>
      </c>
      <c r="H1135" s="41" t="n">
        <v>66.48</v>
      </c>
      <c r="M1135" s="6" t="n">
        <v>1</v>
      </c>
      <c r="N1135" s="43" t="n">
        <f aca="false">M1135*H1135</f>
        <v>66.48</v>
      </c>
      <c r="O1135" s="42" t="n">
        <f aca="false">N1135</f>
        <v>66.48</v>
      </c>
    </row>
    <row r="1136" customFormat="false" ht="15" hidden="false" customHeight="false" outlineLevel="0" collapsed="false">
      <c r="B1136" s="7" t="s">
        <v>9769</v>
      </c>
      <c r="C1136" s="39" t="n">
        <v>45730</v>
      </c>
      <c r="D1136" s="7" t="s">
        <v>191</v>
      </c>
      <c r="E1136" s="7" t="s">
        <v>180</v>
      </c>
      <c r="F1136" s="6" t="n">
        <v>4.15</v>
      </c>
      <c r="G1136" s="6" t="n">
        <v>0</v>
      </c>
      <c r="H1136" s="41" t="n">
        <v>16.05</v>
      </c>
      <c r="I1136" s="43" t="n">
        <f aca="false">F1136*H1136</f>
        <v>66.6075</v>
      </c>
      <c r="J1136" s="43" t="n">
        <f aca="false">G1136*H1136*1.5</f>
        <v>0</v>
      </c>
      <c r="K1136" s="6" t="n">
        <v>12.2</v>
      </c>
      <c r="L1136" s="43" t="n">
        <f aca="false">K1136*'Chart of Accounts'!$E$68</f>
        <v>8.174</v>
      </c>
      <c r="O1136" s="42" t="n">
        <f aca="false">I1136+J1136+L1136</f>
        <v>74.7815</v>
      </c>
    </row>
    <row r="1137" customFormat="false" ht="15" hidden="false" customHeight="false" outlineLevel="0" collapsed="false">
      <c r="B1137" s="7" t="s">
        <v>9770</v>
      </c>
      <c r="C1137" s="39" t="n">
        <v>45730</v>
      </c>
      <c r="D1137" s="7" t="s">
        <v>194</v>
      </c>
      <c r="E1137" s="7" t="s">
        <v>180</v>
      </c>
      <c r="F1137" s="6" t="n">
        <v>4.28</v>
      </c>
      <c r="G1137" s="6" t="n">
        <v>0</v>
      </c>
      <c r="H1137" s="41" t="n">
        <v>16</v>
      </c>
      <c r="I1137" s="43" t="n">
        <f aca="false">F1137*H1137</f>
        <v>68.48</v>
      </c>
      <c r="J1137" s="43" t="n">
        <f aca="false">G1137*H1137*1.5</f>
        <v>0</v>
      </c>
      <c r="K1137" s="6" t="n">
        <v>15.18</v>
      </c>
      <c r="L1137" s="43" t="n">
        <f aca="false">K1137*'Chart of Accounts'!$E$68</f>
        <v>10.1706</v>
      </c>
      <c r="O1137" s="42" t="n">
        <f aca="false">I1137+J1137+L1137</f>
        <v>78.6506</v>
      </c>
    </row>
    <row r="1138" customFormat="false" ht="15" hidden="false" customHeight="false" outlineLevel="0" collapsed="false">
      <c r="B1138" s="7" t="s">
        <v>9771</v>
      </c>
      <c r="C1138" s="39" t="n">
        <v>45730</v>
      </c>
      <c r="D1138" s="7" t="s">
        <v>209</v>
      </c>
      <c r="E1138" s="7" t="s">
        <v>158</v>
      </c>
      <c r="H1138" s="41" t="n">
        <v>73.58</v>
      </c>
      <c r="M1138" s="6" t="n">
        <v>2</v>
      </c>
      <c r="N1138" s="43" t="n">
        <f aca="false">M1138*H1138</f>
        <v>147.16</v>
      </c>
      <c r="O1138" s="42" t="n">
        <f aca="false">N1138</f>
        <v>147.16</v>
      </c>
    </row>
    <row r="1139" customFormat="false" ht="15" hidden="false" customHeight="false" outlineLevel="0" collapsed="false">
      <c r="B1139" s="7" t="s">
        <v>9772</v>
      </c>
      <c r="C1139" s="39" t="n">
        <v>45730</v>
      </c>
      <c r="D1139" s="7" t="s">
        <v>205</v>
      </c>
      <c r="E1139" s="7" t="s">
        <v>180</v>
      </c>
      <c r="F1139" s="6" t="n">
        <v>3.83</v>
      </c>
      <c r="G1139" s="6" t="n">
        <v>0</v>
      </c>
      <c r="H1139" s="41" t="n">
        <v>16.36</v>
      </c>
      <c r="I1139" s="43" t="n">
        <f aca="false">F1139*H1139</f>
        <v>62.6588</v>
      </c>
      <c r="J1139" s="43" t="n">
        <f aca="false">G1139*H1139*1.5</f>
        <v>0</v>
      </c>
      <c r="K1139" s="6" t="n">
        <v>10.72</v>
      </c>
      <c r="L1139" s="43" t="n">
        <f aca="false">K1139*'Chart of Accounts'!$E$68</f>
        <v>7.1824</v>
      </c>
      <c r="O1139" s="42" t="n">
        <f aca="false">I1139+J1139+L1139</f>
        <v>69.8412</v>
      </c>
    </row>
    <row r="1140" customFormat="false" ht="15" hidden="false" customHeight="false" outlineLevel="0" collapsed="false">
      <c r="B1140" s="7" t="s">
        <v>9773</v>
      </c>
      <c r="C1140" s="39" t="n">
        <v>45730</v>
      </c>
      <c r="D1140" s="7" t="s">
        <v>252</v>
      </c>
      <c r="E1140" s="7" t="s">
        <v>158</v>
      </c>
      <c r="H1140" s="41" t="n">
        <v>57.54</v>
      </c>
      <c r="M1140" s="6" t="n">
        <v>1</v>
      </c>
      <c r="N1140" s="43" t="n">
        <f aca="false">M1140*H1140</f>
        <v>57.54</v>
      </c>
      <c r="O1140" s="42" t="n">
        <f aca="false">N1140</f>
        <v>57.54</v>
      </c>
    </row>
    <row r="1141" customFormat="false" ht="15" hidden="false" customHeight="false" outlineLevel="0" collapsed="false">
      <c r="B1141" s="7" t="s">
        <v>9774</v>
      </c>
      <c r="C1141" s="39" t="n">
        <v>45730</v>
      </c>
      <c r="D1141" s="7" t="s">
        <v>184</v>
      </c>
      <c r="E1141" s="7" t="s">
        <v>180</v>
      </c>
      <c r="F1141" s="6" t="n">
        <v>4.19</v>
      </c>
      <c r="G1141" s="6" t="n">
        <v>0</v>
      </c>
      <c r="H1141" s="41" t="n">
        <v>17.34</v>
      </c>
      <c r="I1141" s="43" t="n">
        <f aca="false">F1141*H1141</f>
        <v>72.6546</v>
      </c>
      <c r="J1141" s="43" t="n">
        <f aca="false">G1141*H1141*1.5</f>
        <v>0</v>
      </c>
      <c r="K1141" s="6" t="n">
        <v>13.67</v>
      </c>
      <c r="L1141" s="43" t="n">
        <f aca="false">K1141*'Chart of Accounts'!$E$68</f>
        <v>9.1589</v>
      </c>
      <c r="O1141" s="42" t="n">
        <f aca="false">I1141+J1141+L1141</f>
        <v>81.8135</v>
      </c>
    </row>
    <row r="1142" customFormat="false" ht="15" hidden="false" customHeight="false" outlineLevel="0" collapsed="false">
      <c r="B1142" s="7" t="s">
        <v>9775</v>
      </c>
      <c r="C1142" s="39" t="n">
        <v>45730</v>
      </c>
      <c r="D1142" s="7" t="s">
        <v>234</v>
      </c>
      <c r="E1142" s="7" t="s">
        <v>158</v>
      </c>
      <c r="H1142" s="41" t="n">
        <v>89.53</v>
      </c>
      <c r="M1142" s="6" t="n">
        <v>2</v>
      </c>
      <c r="N1142" s="43" t="n">
        <f aca="false">M1142*H1142</f>
        <v>179.06</v>
      </c>
      <c r="O1142" s="42" t="n">
        <f aca="false">N1142</f>
        <v>179.06</v>
      </c>
    </row>
    <row r="1143" customFormat="false" ht="15" hidden="false" customHeight="false" outlineLevel="0" collapsed="false">
      <c r="B1143" s="7" t="s">
        <v>9776</v>
      </c>
      <c r="C1143" s="39" t="n">
        <v>45730</v>
      </c>
      <c r="D1143" s="7" t="s">
        <v>218</v>
      </c>
      <c r="E1143" s="7" t="s">
        <v>180</v>
      </c>
      <c r="F1143" s="6" t="n">
        <v>4.39</v>
      </c>
      <c r="G1143" s="6" t="n">
        <v>0</v>
      </c>
      <c r="H1143" s="41" t="n">
        <v>16.19</v>
      </c>
      <c r="I1143" s="43" t="n">
        <f aca="false">F1143*H1143</f>
        <v>71.0741</v>
      </c>
      <c r="J1143" s="43" t="n">
        <f aca="false">G1143*H1143*1.5</f>
        <v>0</v>
      </c>
      <c r="K1143" s="6" t="n">
        <v>10.97</v>
      </c>
      <c r="L1143" s="43" t="n">
        <f aca="false">K1143*'Chart of Accounts'!$E$68</f>
        <v>7.3499</v>
      </c>
      <c r="O1143" s="42" t="n">
        <f aca="false">I1143+J1143+L1143</f>
        <v>78.424</v>
      </c>
    </row>
    <row r="1144" customFormat="false" ht="15" hidden="false" customHeight="false" outlineLevel="0" collapsed="false">
      <c r="B1144" s="7" t="s">
        <v>9777</v>
      </c>
      <c r="C1144" s="39" t="n">
        <v>45730</v>
      </c>
      <c r="D1144" s="7" t="s">
        <v>266</v>
      </c>
      <c r="E1144" s="7" t="s">
        <v>158</v>
      </c>
      <c r="H1144" s="41" t="n">
        <v>75.18</v>
      </c>
      <c r="M1144" s="6" t="n">
        <v>1</v>
      </c>
      <c r="N1144" s="43" t="n">
        <f aca="false">M1144*H1144</f>
        <v>75.18</v>
      </c>
      <c r="O1144" s="42" t="n">
        <f aca="false">N1144</f>
        <v>75.18</v>
      </c>
    </row>
    <row r="1145" customFormat="false" ht="15" hidden="false" customHeight="false" outlineLevel="0" collapsed="false">
      <c r="B1145" s="7" t="s">
        <v>9778</v>
      </c>
      <c r="C1145" s="39" t="n">
        <v>45730</v>
      </c>
      <c r="D1145" s="7" t="s">
        <v>228</v>
      </c>
      <c r="E1145" s="7" t="s">
        <v>158</v>
      </c>
      <c r="H1145" s="41" t="n">
        <v>51.07</v>
      </c>
      <c r="M1145" s="6" t="n">
        <v>1</v>
      </c>
      <c r="N1145" s="43" t="n">
        <f aca="false">M1145*H1145</f>
        <v>51.07</v>
      </c>
      <c r="O1145" s="42" t="n">
        <f aca="false">N1145</f>
        <v>51.07</v>
      </c>
    </row>
    <row r="1146" customFormat="false" ht="15" hidden="false" customHeight="false" outlineLevel="0" collapsed="false">
      <c r="B1146" s="7" t="s">
        <v>9779</v>
      </c>
      <c r="C1146" s="39" t="n">
        <v>45730</v>
      </c>
      <c r="D1146" s="7" t="s">
        <v>220</v>
      </c>
      <c r="E1146" s="7" t="s">
        <v>180</v>
      </c>
      <c r="F1146" s="6" t="n">
        <v>4.16</v>
      </c>
      <c r="G1146" s="6" t="n">
        <v>0</v>
      </c>
      <c r="H1146" s="41" t="n">
        <v>16.43</v>
      </c>
      <c r="I1146" s="43" t="n">
        <f aca="false">F1146*H1146</f>
        <v>68.3488</v>
      </c>
      <c r="J1146" s="43" t="n">
        <f aca="false">G1146*H1146*1.5</f>
        <v>0</v>
      </c>
      <c r="K1146" s="6" t="n">
        <v>13.64</v>
      </c>
      <c r="L1146" s="43" t="n">
        <f aca="false">K1146*'Chart of Accounts'!$E$68</f>
        <v>9.1388</v>
      </c>
      <c r="O1146" s="42" t="n">
        <f aca="false">I1146+J1146+L1146</f>
        <v>77.4876</v>
      </c>
    </row>
    <row r="1147" customFormat="false" ht="15" hidden="false" customHeight="false" outlineLevel="0" collapsed="false">
      <c r="B1147" s="7" t="s">
        <v>9780</v>
      </c>
      <c r="C1147" s="39" t="n">
        <v>45730</v>
      </c>
      <c r="D1147" s="7" t="s">
        <v>177</v>
      </c>
      <c r="E1147" s="7" t="s">
        <v>180</v>
      </c>
      <c r="F1147" s="6" t="n">
        <v>8.98</v>
      </c>
      <c r="G1147" s="6" t="n">
        <v>0</v>
      </c>
      <c r="H1147" s="41" t="n">
        <v>14.56</v>
      </c>
      <c r="I1147" s="43" t="n">
        <f aca="false">F1147*H1147</f>
        <v>130.7488</v>
      </c>
      <c r="J1147" s="43" t="n">
        <f aca="false">G1147*H1147*1.5</f>
        <v>0</v>
      </c>
      <c r="K1147" s="6" t="n">
        <v>28.6</v>
      </c>
      <c r="L1147" s="43" t="n">
        <f aca="false">K1147*'Chart of Accounts'!$E$68</f>
        <v>19.162</v>
      </c>
      <c r="O1147" s="42" t="n">
        <f aca="false">I1147+J1147+L1147</f>
        <v>149.9108</v>
      </c>
    </row>
    <row r="1148" customFormat="false" ht="15" hidden="false" customHeight="false" outlineLevel="0" collapsed="false">
      <c r="B1148" s="7" t="s">
        <v>9781</v>
      </c>
      <c r="C1148" s="39" t="n">
        <v>45730</v>
      </c>
      <c r="D1148" s="7" t="s">
        <v>242</v>
      </c>
      <c r="E1148" s="7" t="s">
        <v>180</v>
      </c>
      <c r="F1148" s="6" t="n">
        <v>7.84</v>
      </c>
      <c r="G1148" s="6" t="n">
        <v>0</v>
      </c>
      <c r="H1148" s="41" t="n">
        <v>17.99</v>
      </c>
      <c r="I1148" s="43" t="n">
        <f aca="false">F1148*H1148</f>
        <v>141.0416</v>
      </c>
      <c r="J1148" s="43" t="n">
        <f aca="false">G1148*H1148*1.5</f>
        <v>0</v>
      </c>
      <c r="K1148" s="6" t="n">
        <v>22.54</v>
      </c>
      <c r="L1148" s="43" t="n">
        <f aca="false">K1148*'Chart of Accounts'!$E$68</f>
        <v>15.1018</v>
      </c>
      <c r="O1148" s="42" t="n">
        <f aca="false">I1148+J1148+L1148</f>
        <v>156.1434</v>
      </c>
    </row>
    <row r="1149" customFormat="false" ht="15" hidden="false" customHeight="false" outlineLevel="0" collapsed="false">
      <c r="B1149" s="7" t="s">
        <v>9782</v>
      </c>
      <c r="C1149" s="39" t="n">
        <v>45730</v>
      </c>
      <c r="D1149" s="7" t="s">
        <v>254</v>
      </c>
      <c r="E1149" s="7" t="s">
        <v>180</v>
      </c>
      <c r="F1149" s="6" t="n">
        <v>7.09</v>
      </c>
      <c r="G1149" s="6" t="n">
        <v>0</v>
      </c>
      <c r="H1149" s="41" t="n">
        <v>17.1</v>
      </c>
      <c r="I1149" s="43" t="n">
        <f aca="false">F1149*H1149</f>
        <v>121.239</v>
      </c>
      <c r="J1149" s="43" t="n">
        <f aca="false">G1149*H1149*1.5</f>
        <v>0</v>
      </c>
      <c r="K1149" s="6" t="n">
        <v>18</v>
      </c>
      <c r="L1149" s="43" t="n">
        <f aca="false">K1149*'Chart of Accounts'!$E$68</f>
        <v>12.06</v>
      </c>
      <c r="O1149" s="42" t="n">
        <f aca="false">I1149+J1149+L1149</f>
        <v>133.299</v>
      </c>
    </row>
    <row r="1150" customFormat="false" ht="15" hidden="false" customHeight="false" outlineLevel="0" collapsed="false">
      <c r="B1150" s="7" t="s">
        <v>9783</v>
      </c>
      <c r="C1150" s="39" t="n">
        <v>45730</v>
      </c>
      <c r="D1150" s="7" t="s">
        <v>201</v>
      </c>
      <c r="E1150" s="7" t="s">
        <v>180</v>
      </c>
      <c r="F1150" s="6" t="n">
        <v>3.26</v>
      </c>
      <c r="G1150" s="6" t="n">
        <v>0</v>
      </c>
      <c r="H1150" s="41" t="n">
        <v>15.19</v>
      </c>
      <c r="I1150" s="43" t="n">
        <f aca="false">F1150*H1150</f>
        <v>49.5194</v>
      </c>
      <c r="J1150" s="43" t="n">
        <f aca="false">G1150*H1150*1.5</f>
        <v>0</v>
      </c>
      <c r="K1150" s="6" t="n">
        <v>10.26</v>
      </c>
      <c r="L1150" s="43" t="n">
        <f aca="false">K1150*'Chart of Accounts'!$E$68</f>
        <v>6.8742</v>
      </c>
      <c r="O1150" s="42" t="n">
        <f aca="false">I1150+J1150+L1150</f>
        <v>56.3936</v>
      </c>
    </row>
    <row r="1151" customFormat="false" ht="15" hidden="false" customHeight="false" outlineLevel="0" collapsed="false">
      <c r="B1151" s="7" t="s">
        <v>9784</v>
      </c>
      <c r="C1151" s="39" t="n">
        <v>45730</v>
      </c>
      <c r="D1151" s="7" t="s">
        <v>207</v>
      </c>
      <c r="E1151" s="7" t="s">
        <v>180</v>
      </c>
      <c r="F1151" s="6" t="n">
        <v>3.47</v>
      </c>
      <c r="G1151" s="6" t="n">
        <v>0</v>
      </c>
      <c r="H1151" s="41" t="n">
        <v>16.65</v>
      </c>
      <c r="I1151" s="43" t="n">
        <f aca="false">F1151*H1151</f>
        <v>57.7755</v>
      </c>
      <c r="J1151" s="43" t="n">
        <f aca="false">G1151*H1151*1.5</f>
        <v>0</v>
      </c>
      <c r="K1151" s="6" t="n">
        <v>8.12</v>
      </c>
      <c r="L1151" s="43" t="n">
        <f aca="false">K1151*'Chart of Accounts'!$E$68</f>
        <v>5.4404</v>
      </c>
      <c r="O1151" s="42" t="n">
        <f aca="false">I1151+J1151+L1151</f>
        <v>63.2159</v>
      </c>
    </row>
    <row r="1152" customFormat="false" ht="15" hidden="false" customHeight="false" outlineLevel="0" collapsed="false">
      <c r="B1152" s="7" t="s">
        <v>9785</v>
      </c>
      <c r="C1152" s="39" t="n">
        <v>45730</v>
      </c>
      <c r="D1152" s="7" t="s">
        <v>212</v>
      </c>
      <c r="E1152" s="7" t="s">
        <v>180</v>
      </c>
      <c r="F1152" s="6" t="n">
        <v>4.08</v>
      </c>
      <c r="G1152" s="6" t="n">
        <v>0</v>
      </c>
      <c r="H1152" s="41" t="n">
        <v>16.71</v>
      </c>
      <c r="I1152" s="43" t="n">
        <f aca="false">F1152*H1152</f>
        <v>68.1768</v>
      </c>
      <c r="J1152" s="43" t="n">
        <f aca="false">G1152*H1152*1.5</f>
        <v>0</v>
      </c>
      <c r="K1152" s="6" t="n">
        <v>11.8</v>
      </c>
      <c r="L1152" s="43" t="n">
        <f aca="false">K1152*'Chart of Accounts'!$E$68</f>
        <v>7.906</v>
      </c>
      <c r="O1152" s="42" t="n">
        <f aca="false">I1152+J1152+L1152</f>
        <v>76.0828</v>
      </c>
    </row>
    <row r="1153" customFormat="false" ht="15" hidden="false" customHeight="false" outlineLevel="0" collapsed="false">
      <c r="B1153" s="7" t="s">
        <v>9786</v>
      </c>
      <c r="C1153" s="39" t="n">
        <v>45730</v>
      </c>
      <c r="D1153" s="7" t="s">
        <v>232</v>
      </c>
      <c r="E1153" s="7" t="s">
        <v>180</v>
      </c>
      <c r="F1153" s="6" t="n">
        <v>4.24</v>
      </c>
      <c r="G1153" s="6" t="n">
        <v>0</v>
      </c>
      <c r="H1153" s="41" t="n">
        <v>16.17</v>
      </c>
      <c r="I1153" s="43" t="n">
        <f aca="false">F1153*H1153</f>
        <v>68.5608</v>
      </c>
      <c r="J1153" s="43" t="n">
        <f aca="false">G1153*H1153*1.5</f>
        <v>0</v>
      </c>
      <c r="K1153" s="6" t="n">
        <v>12.64</v>
      </c>
      <c r="L1153" s="43" t="n">
        <f aca="false">K1153*'Chart of Accounts'!$E$68</f>
        <v>8.4688</v>
      </c>
      <c r="O1153" s="42" t="n">
        <f aca="false">I1153+J1153+L1153</f>
        <v>77.0296</v>
      </c>
    </row>
    <row r="1154" customFormat="false" ht="15" hidden="false" customHeight="false" outlineLevel="0" collapsed="false">
      <c r="B1154" s="7" t="s">
        <v>9787</v>
      </c>
      <c r="C1154" s="39" t="n">
        <v>45730</v>
      </c>
      <c r="D1154" s="7" t="s">
        <v>224</v>
      </c>
      <c r="E1154" s="7" t="s">
        <v>180</v>
      </c>
      <c r="F1154" s="6" t="n">
        <v>4.66</v>
      </c>
      <c r="G1154" s="6" t="n">
        <v>0</v>
      </c>
      <c r="H1154" s="41" t="n">
        <v>14.93</v>
      </c>
      <c r="I1154" s="43" t="n">
        <f aca="false">F1154*H1154</f>
        <v>69.5738</v>
      </c>
      <c r="J1154" s="43" t="n">
        <f aca="false">G1154*H1154*1.5</f>
        <v>0</v>
      </c>
      <c r="K1154" s="6" t="n">
        <v>10.96</v>
      </c>
      <c r="L1154" s="43" t="n">
        <f aca="false">K1154*'Chart of Accounts'!$E$68</f>
        <v>7.3432</v>
      </c>
      <c r="O1154" s="42" t="n">
        <f aca="false">I1154+J1154+L1154</f>
        <v>76.917</v>
      </c>
    </row>
    <row r="1155" customFormat="false" ht="15" hidden="false" customHeight="false" outlineLevel="0" collapsed="false">
      <c r="B1155" s="7" t="s">
        <v>9788</v>
      </c>
      <c r="C1155" s="39" t="n">
        <v>45730</v>
      </c>
      <c r="D1155" s="7" t="s">
        <v>246</v>
      </c>
      <c r="E1155" s="7" t="s">
        <v>180</v>
      </c>
      <c r="F1155" s="6" t="n">
        <v>4.4</v>
      </c>
      <c r="G1155" s="6" t="n">
        <v>0</v>
      </c>
      <c r="H1155" s="41" t="n">
        <v>16.48</v>
      </c>
      <c r="I1155" s="43" t="n">
        <f aca="false">F1155*H1155</f>
        <v>72.512</v>
      </c>
      <c r="J1155" s="43" t="n">
        <f aca="false">G1155*H1155*1.5</f>
        <v>0</v>
      </c>
      <c r="K1155" s="6" t="n">
        <v>14.5</v>
      </c>
      <c r="L1155" s="43" t="n">
        <f aca="false">K1155*'Chart of Accounts'!$E$68</f>
        <v>9.715</v>
      </c>
      <c r="O1155" s="42" t="n">
        <f aca="false">I1155+J1155+L1155</f>
        <v>82.227</v>
      </c>
    </row>
    <row r="1156" customFormat="false" ht="15" hidden="false" customHeight="false" outlineLevel="0" collapsed="false">
      <c r="B1156" s="7" t="s">
        <v>9789</v>
      </c>
      <c r="C1156" s="39" t="n">
        <v>45730</v>
      </c>
      <c r="D1156" s="7" t="s">
        <v>222</v>
      </c>
      <c r="E1156" s="7" t="s">
        <v>180</v>
      </c>
      <c r="F1156" s="6" t="n">
        <v>3.65</v>
      </c>
      <c r="G1156" s="6" t="n">
        <v>0</v>
      </c>
      <c r="H1156" s="41" t="n">
        <v>17.84</v>
      </c>
      <c r="I1156" s="43" t="n">
        <f aca="false">F1156*H1156</f>
        <v>65.116</v>
      </c>
      <c r="J1156" s="43" t="n">
        <f aca="false">G1156*H1156*1.5</f>
        <v>0</v>
      </c>
      <c r="K1156" s="6" t="n">
        <v>12.32</v>
      </c>
      <c r="L1156" s="43" t="n">
        <f aca="false">K1156*'Chart of Accounts'!$E$68</f>
        <v>8.2544</v>
      </c>
      <c r="O1156" s="42" t="n">
        <f aca="false">I1156+J1156+L1156</f>
        <v>73.3704</v>
      </c>
    </row>
    <row r="1157" customFormat="false" ht="15" hidden="false" customHeight="false" outlineLevel="0" collapsed="false">
      <c r="B1157" s="7" t="s">
        <v>9790</v>
      </c>
      <c r="C1157" s="39" t="n">
        <v>45730</v>
      </c>
      <c r="D1157" s="7" t="s">
        <v>203</v>
      </c>
      <c r="E1157" s="7" t="s">
        <v>158</v>
      </c>
      <c r="H1157" s="41" t="n">
        <v>49.43</v>
      </c>
      <c r="M1157" s="6" t="n">
        <v>1</v>
      </c>
      <c r="N1157" s="43" t="n">
        <f aca="false">M1157*H1157</f>
        <v>49.43</v>
      </c>
      <c r="O1157" s="42" t="n">
        <f aca="false">N1157</f>
        <v>49.43</v>
      </c>
    </row>
    <row r="1158" customFormat="false" ht="15" hidden="false" customHeight="false" outlineLevel="0" collapsed="false">
      <c r="B1158" s="7" t="s">
        <v>9791</v>
      </c>
      <c r="C1158" s="39" t="n">
        <v>45730</v>
      </c>
      <c r="D1158" s="7" t="s">
        <v>262</v>
      </c>
      <c r="E1158" s="7" t="s">
        <v>180</v>
      </c>
      <c r="F1158" s="6" t="n">
        <v>3.26</v>
      </c>
      <c r="G1158" s="6" t="n">
        <v>0</v>
      </c>
      <c r="H1158" s="41" t="n">
        <v>16.02</v>
      </c>
      <c r="I1158" s="43" t="n">
        <f aca="false">F1158*H1158</f>
        <v>52.2252</v>
      </c>
      <c r="J1158" s="43" t="n">
        <f aca="false">G1158*H1158*1.5</f>
        <v>0</v>
      </c>
      <c r="K1158" s="6" t="n">
        <v>7.66</v>
      </c>
      <c r="L1158" s="43" t="n">
        <f aca="false">K1158*'Chart of Accounts'!$E$68</f>
        <v>5.1322</v>
      </c>
      <c r="O1158" s="42" t="n">
        <f aca="false">I1158+J1158+L1158</f>
        <v>57.3574</v>
      </c>
    </row>
    <row r="1159" customFormat="false" ht="15" hidden="false" customHeight="false" outlineLevel="0" collapsed="false">
      <c r="B1159" s="7" t="s">
        <v>9792</v>
      </c>
      <c r="C1159" s="39" t="n">
        <v>45730</v>
      </c>
      <c r="D1159" s="7" t="s">
        <v>260</v>
      </c>
      <c r="E1159" s="7" t="s">
        <v>158</v>
      </c>
      <c r="H1159" s="41" t="n">
        <v>79.8</v>
      </c>
      <c r="M1159" s="6" t="n">
        <v>1</v>
      </c>
      <c r="N1159" s="43" t="n">
        <f aca="false">M1159*H1159</f>
        <v>79.8</v>
      </c>
      <c r="O1159" s="42" t="n">
        <f aca="false">N1159</f>
        <v>79.8</v>
      </c>
    </row>
    <row r="1160" customFormat="false" ht="15" hidden="false" customHeight="false" outlineLevel="0" collapsed="false">
      <c r="B1160" s="7" t="s">
        <v>9793</v>
      </c>
      <c r="C1160" s="39" t="n">
        <v>45730</v>
      </c>
      <c r="D1160" s="7" t="s">
        <v>214</v>
      </c>
      <c r="E1160" s="7" t="s">
        <v>180</v>
      </c>
      <c r="F1160" s="6" t="n">
        <v>3.28</v>
      </c>
      <c r="G1160" s="6" t="n">
        <v>0</v>
      </c>
      <c r="H1160" s="41" t="n">
        <v>15.67</v>
      </c>
      <c r="I1160" s="43" t="n">
        <f aca="false">F1160*H1160</f>
        <v>51.3976</v>
      </c>
      <c r="J1160" s="43" t="n">
        <f aca="false">G1160*H1160*1.5</f>
        <v>0</v>
      </c>
      <c r="K1160" s="6" t="n">
        <v>8.52</v>
      </c>
      <c r="L1160" s="43" t="n">
        <f aca="false">K1160*'Chart of Accounts'!$E$68</f>
        <v>5.7084</v>
      </c>
      <c r="O1160" s="42" t="n">
        <f aca="false">I1160+J1160+L1160</f>
        <v>57.106</v>
      </c>
    </row>
    <row r="1161" customFormat="false" ht="15" hidden="false" customHeight="false" outlineLevel="0" collapsed="false">
      <c r="B1161" s="7" t="s">
        <v>9794</v>
      </c>
      <c r="C1161" s="39" t="n">
        <v>45731</v>
      </c>
      <c r="D1161" s="7" t="s">
        <v>191</v>
      </c>
      <c r="E1161" s="7" t="s">
        <v>180</v>
      </c>
      <c r="F1161" s="6" t="n">
        <v>4.06</v>
      </c>
      <c r="G1161" s="6" t="n">
        <v>0</v>
      </c>
      <c r="H1161" s="41" t="n">
        <v>16.05</v>
      </c>
      <c r="I1161" s="43" t="n">
        <f aca="false">F1161*H1161</f>
        <v>65.163</v>
      </c>
      <c r="J1161" s="43" t="n">
        <f aca="false">G1161*H1161*1.5</f>
        <v>0</v>
      </c>
      <c r="K1161" s="6" t="n">
        <v>11.66</v>
      </c>
      <c r="L1161" s="43" t="n">
        <f aca="false">K1161*'Chart of Accounts'!$E$68</f>
        <v>7.8122</v>
      </c>
      <c r="O1161" s="42" t="n">
        <f aca="false">I1161+J1161+L1161</f>
        <v>72.9752</v>
      </c>
    </row>
    <row r="1162" customFormat="false" ht="15" hidden="false" customHeight="false" outlineLevel="0" collapsed="false">
      <c r="B1162" s="7" t="s">
        <v>9795</v>
      </c>
      <c r="C1162" s="39" t="n">
        <v>45731</v>
      </c>
      <c r="D1162" s="7" t="s">
        <v>218</v>
      </c>
      <c r="E1162" s="7" t="s">
        <v>180</v>
      </c>
      <c r="F1162" s="6" t="n">
        <v>3.71</v>
      </c>
      <c r="G1162" s="6" t="n">
        <v>0</v>
      </c>
      <c r="H1162" s="41" t="n">
        <v>16.19</v>
      </c>
      <c r="I1162" s="43" t="n">
        <f aca="false">F1162*H1162</f>
        <v>60.0649</v>
      </c>
      <c r="J1162" s="43" t="n">
        <f aca="false">G1162*H1162*1.5</f>
        <v>0</v>
      </c>
      <c r="K1162" s="6" t="n">
        <v>8.96</v>
      </c>
      <c r="L1162" s="43" t="n">
        <f aca="false">K1162*'Chart of Accounts'!$E$68</f>
        <v>6.0032</v>
      </c>
      <c r="O1162" s="42" t="n">
        <f aca="false">I1162+J1162+L1162</f>
        <v>66.0681</v>
      </c>
    </row>
    <row r="1163" customFormat="false" ht="15" hidden="false" customHeight="false" outlineLevel="0" collapsed="false">
      <c r="B1163" s="7" t="s">
        <v>9796</v>
      </c>
      <c r="C1163" s="39" t="n">
        <v>45731</v>
      </c>
      <c r="D1163" s="7" t="s">
        <v>212</v>
      </c>
      <c r="E1163" s="7" t="s">
        <v>180</v>
      </c>
      <c r="F1163" s="6" t="n">
        <v>4.33</v>
      </c>
      <c r="G1163" s="6" t="n">
        <v>0</v>
      </c>
      <c r="H1163" s="41" t="n">
        <v>16.71</v>
      </c>
      <c r="I1163" s="43" t="n">
        <f aca="false">F1163*H1163</f>
        <v>72.3543</v>
      </c>
      <c r="J1163" s="43" t="n">
        <f aca="false">G1163*H1163*1.5</f>
        <v>0</v>
      </c>
      <c r="K1163" s="6" t="n">
        <v>14.69</v>
      </c>
      <c r="L1163" s="43" t="n">
        <f aca="false">K1163*'Chart of Accounts'!$E$68</f>
        <v>9.8423</v>
      </c>
      <c r="O1163" s="42" t="n">
        <f aca="false">I1163+J1163+L1163</f>
        <v>82.1966</v>
      </c>
    </row>
    <row r="1164" customFormat="false" ht="15" hidden="false" customHeight="false" outlineLevel="0" collapsed="false">
      <c r="B1164" s="7" t="s">
        <v>9797</v>
      </c>
      <c r="C1164" s="39" t="n">
        <v>45731</v>
      </c>
      <c r="D1164" s="7" t="s">
        <v>222</v>
      </c>
      <c r="E1164" s="7" t="s">
        <v>180</v>
      </c>
      <c r="F1164" s="6" t="n">
        <v>4.22</v>
      </c>
      <c r="G1164" s="6" t="n">
        <v>0</v>
      </c>
      <c r="H1164" s="41" t="n">
        <v>17.84</v>
      </c>
      <c r="I1164" s="43" t="n">
        <f aca="false">F1164*H1164</f>
        <v>75.2848</v>
      </c>
      <c r="J1164" s="43" t="n">
        <f aca="false">G1164*H1164*1.5</f>
        <v>0</v>
      </c>
      <c r="K1164" s="6" t="n">
        <v>10.13</v>
      </c>
      <c r="L1164" s="43" t="n">
        <f aca="false">K1164*'Chart of Accounts'!$E$68</f>
        <v>6.7871</v>
      </c>
      <c r="O1164" s="42" t="n">
        <f aca="false">I1164+J1164+L1164</f>
        <v>82.0719</v>
      </c>
    </row>
    <row r="1165" customFormat="false" ht="15" hidden="false" customHeight="false" outlineLevel="0" collapsed="false">
      <c r="B1165" s="7" t="s">
        <v>9798</v>
      </c>
      <c r="C1165" s="39" t="n">
        <v>45731</v>
      </c>
      <c r="D1165" s="7" t="s">
        <v>242</v>
      </c>
      <c r="E1165" s="7" t="s">
        <v>180</v>
      </c>
      <c r="F1165" s="6" t="n">
        <v>3.73</v>
      </c>
      <c r="G1165" s="6" t="n">
        <v>0</v>
      </c>
      <c r="H1165" s="41" t="n">
        <v>17.99</v>
      </c>
      <c r="I1165" s="43" t="n">
        <f aca="false">F1165*H1165</f>
        <v>67.1027</v>
      </c>
      <c r="J1165" s="43" t="n">
        <f aca="false">G1165*H1165*1.5</f>
        <v>0</v>
      </c>
      <c r="K1165" s="6" t="n">
        <v>11.68</v>
      </c>
      <c r="L1165" s="43" t="n">
        <f aca="false">K1165*'Chart of Accounts'!$E$68</f>
        <v>7.8256</v>
      </c>
      <c r="O1165" s="42" t="n">
        <f aca="false">I1165+J1165+L1165</f>
        <v>74.9283</v>
      </c>
    </row>
    <row r="1166" customFormat="false" ht="15" hidden="false" customHeight="false" outlineLevel="0" collapsed="false">
      <c r="B1166" s="7" t="s">
        <v>9799</v>
      </c>
      <c r="C1166" s="39" t="n">
        <v>45731</v>
      </c>
      <c r="D1166" s="7" t="s">
        <v>254</v>
      </c>
      <c r="E1166" s="7" t="s">
        <v>180</v>
      </c>
      <c r="F1166" s="6" t="n">
        <v>4.18</v>
      </c>
      <c r="G1166" s="6" t="n">
        <v>0</v>
      </c>
      <c r="H1166" s="41" t="n">
        <v>17.1</v>
      </c>
      <c r="I1166" s="43" t="n">
        <f aca="false">F1166*H1166</f>
        <v>71.478</v>
      </c>
      <c r="J1166" s="43" t="n">
        <f aca="false">G1166*H1166*1.5</f>
        <v>0</v>
      </c>
      <c r="K1166" s="6" t="n">
        <v>10.01</v>
      </c>
      <c r="L1166" s="43" t="n">
        <f aca="false">K1166*'Chart of Accounts'!$E$68</f>
        <v>6.7067</v>
      </c>
      <c r="O1166" s="42" t="n">
        <f aca="false">I1166+J1166+L1166</f>
        <v>78.1847</v>
      </c>
    </row>
    <row r="1167" customFormat="false" ht="15" hidden="false" customHeight="false" outlineLevel="0" collapsed="false">
      <c r="B1167" s="7" t="s">
        <v>9800</v>
      </c>
      <c r="C1167" s="39" t="n">
        <v>45732</v>
      </c>
      <c r="D1167" s="7" t="s">
        <v>191</v>
      </c>
      <c r="E1167" s="7" t="s">
        <v>180</v>
      </c>
      <c r="F1167" s="6" t="n">
        <v>3.72</v>
      </c>
      <c r="G1167" s="6" t="n">
        <v>0</v>
      </c>
      <c r="H1167" s="41" t="n">
        <v>16.05</v>
      </c>
      <c r="I1167" s="43" t="n">
        <f aca="false">F1167*H1167</f>
        <v>59.706</v>
      </c>
      <c r="J1167" s="43" t="n">
        <f aca="false">G1167*H1167*1.5</f>
        <v>0</v>
      </c>
      <c r="K1167" s="6" t="n">
        <v>10.14</v>
      </c>
      <c r="L1167" s="43" t="n">
        <f aca="false">K1167*'Chart of Accounts'!$E$68</f>
        <v>6.7938</v>
      </c>
      <c r="O1167" s="42" t="n">
        <f aca="false">I1167+J1167+L1167</f>
        <v>66.4998</v>
      </c>
    </row>
    <row r="1168" customFormat="false" ht="15" hidden="false" customHeight="false" outlineLevel="0" collapsed="false">
      <c r="B1168" s="7" t="s">
        <v>9801</v>
      </c>
      <c r="C1168" s="39" t="n">
        <v>45732</v>
      </c>
      <c r="D1168" s="7" t="s">
        <v>218</v>
      </c>
      <c r="E1168" s="7" t="s">
        <v>180</v>
      </c>
      <c r="F1168" s="6" t="n">
        <v>4.38</v>
      </c>
      <c r="G1168" s="6" t="n">
        <v>0</v>
      </c>
      <c r="H1168" s="41" t="n">
        <v>16.19</v>
      </c>
      <c r="I1168" s="43" t="n">
        <f aca="false">F1168*H1168</f>
        <v>70.9122</v>
      </c>
      <c r="J1168" s="43" t="n">
        <f aca="false">G1168*H1168*1.5</f>
        <v>0</v>
      </c>
      <c r="K1168" s="6" t="n">
        <v>14.65</v>
      </c>
      <c r="L1168" s="43" t="n">
        <f aca="false">K1168*'Chart of Accounts'!$E$68</f>
        <v>9.8155</v>
      </c>
      <c r="O1168" s="42" t="n">
        <f aca="false">I1168+J1168+L1168</f>
        <v>80.7277</v>
      </c>
    </row>
    <row r="1169" customFormat="false" ht="15" hidden="false" customHeight="false" outlineLevel="0" collapsed="false">
      <c r="B1169" s="7" t="s">
        <v>9802</v>
      </c>
      <c r="C1169" s="39" t="n">
        <v>45732</v>
      </c>
      <c r="D1169" s="7" t="s">
        <v>212</v>
      </c>
      <c r="E1169" s="7" t="s">
        <v>180</v>
      </c>
      <c r="F1169" s="6" t="n">
        <v>4.2</v>
      </c>
      <c r="G1169" s="6" t="n">
        <v>0</v>
      </c>
      <c r="H1169" s="41" t="n">
        <v>16.71</v>
      </c>
      <c r="I1169" s="43" t="n">
        <f aca="false">F1169*H1169</f>
        <v>70.182</v>
      </c>
      <c r="J1169" s="43" t="n">
        <f aca="false">G1169*H1169*1.5</f>
        <v>0</v>
      </c>
      <c r="K1169" s="6" t="n">
        <v>11.22</v>
      </c>
      <c r="L1169" s="43" t="n">
        <f aca="false">K1169*'Chart of Accounts'!$E$68</f>
        <v>7.5174</v>
      </c>
      <c r="O1169" s="42" t="n">
        <f aca="false">I1169+J1169+L1169</f>
        <v>77.6994</v>
      </c>
    </row>
    <row r="1170" customFormat="false" ht="15" hidden="false" customHeight="false" outlineLevel="0" collapsed="false">
      <c r="B1170" s="7" t="s">
        <v>9803</v>
      </c>
      <c r="C1170" s="39" t="n">
        <v>45732</v>
      </c>
      <c r="D1170" s="7" t="s">
        <v>222</v>
      </c>
      <c r="E1170" s="7" t="s">
        <v>180</v>
      </c>
      <c r="F1170" s="6" t="n">
        <v>4.19</v>
      </c>
      <c r="G1170" s="6" t="n">
        <v>0</v>
      </c>
      <c r="H1170" s="41" t="n">
        <v>17.84</v>
      </c>
      <c r="I1170" s="43" t="n">
        <f aca="false">F1170*H1170</f>
        <v>74.7496</v>
      </c>
      <c r="J1170" s="43" t="n">
        <f aca="false">G1170*H1170*1.5</f>
        <v>0</v>
      </c>
      <c r="K1170" s="6" t="n">
        <v>9.36</v>
      </c>
      <c r="L1170" s="43" t="n">
        <f aca="false">K1170*'Chart of Accounts'!$E$68</f>
        <v>6.2712</v>
      </c>
      <c r="O1170" s="42" t="n">
        <f aca="false">I1170+J1170+L1170</f>
        <v>81.0208</v>
      </c>
    </row>
    <row r="1171" customFormat="false" ht="15" hidden="false" customHeight="false" outlineLevel="0" collapsed="false">
      <c r="B1171" s="7" t="s">
        <v>9804</v>
      </c>
      <c r="C1171" s="39" t="n">
        <v>45732</v>
      </c>
      <c r="D1171" s="7" t="s">
        <v>242</v>
      </c>
      <c r="E1171" s="7" t="s">
        <v>180</v>
      </c>
      <c r="F1171" s="6" t="n">
        <v>3.71</v>
      </c>
      <c r="G1171" s="6" t="n">
        <v>0</v>
      </c>
      <c r="H1171" s="41" t="n">
        <v>17.99</v>
      </c>
      <c r="I1171" s="43" t="n">
        <f aca="false">F1171*H1171</f>
        <v>66.7429</v>
      </c>
      <c r="J1171" s="43" t="n">
        <f aca="false">G1171*H1171*1.5</f>
        <v>0</v>
      </c>
      <c r="K1171" s="6" t="n">
        <v>8.46</v>
      </c>
      <c r="L1171" s="43" t="n">
        <f aca="false">K1171*'Chart of Accounts'!$E$68</f>
        <v>5.6682</v>
      </c>
      <c r="O1171" s="42" t="n">
        <f aca="false">I1171+J1171+L1171</f>
        <v>72.4111</v>
      </c>
    </row>
    <row r="1172" customFormat="false" ht="15" hidden="false" customHeight="false" outlineLevel="0" collapsed="false">
      <c r="B1172" s="7" t="s">
        <v>9805</v>
      </c>
      <c r="C1172" s="39" t="n">
        <v>45732</v>
      </c>
      <c r="D1172" s="7" t="s">
        <v>254</v>
      </c>
      <c r="E1172" s="7" t="s">
        <v>180</v>
      </c>
      <c r="F1172" s="6" t="n">
        <v>4.09</v>
      </c>
      <c r="G1172" s="6" t="n">
        <v>0</v>
      </c>
      <c r="H1172" s="41" t="n">
        <v>17.1</v>
      </c>
      <c r="I1172" s="43" t="n">
        <f aca="false">F1172*H1172</f>
        <v>69.939</v>
      </c>
      <c r="J1172" s="43" t="n">
        <f aca="false">G1172*H1172*1.5</f>
        <v>0</v>
      </c>
      <c r="K1172" s="6" t="n">
        <v>10.96</v>
      </c>
      <c r="L1172" s="43" t="n">
        <f aca="false">K1172*'Chart of Accounts'!$E$68</f>
        <v>7.3432</v>
      </c>
      <c r="O1172" s="42" t="n">
        <f aca="false">I1172+J1172+L1172</f>
        <v>77.2822</v>
      </c>
    </row>
    <row r="1173" customFormat="false" ht="15" hidden="false" customHeight="false" outlineLevel="0" collapsed="false">
      <c r="B1173" s="7" t="s">
        <v>9806</v>
      </c>
      <c r="C1173" s="39" t="n">
        <v>45733</v>
      </c>
      <c r="D1173" s="7" t="s">
        <v>187</v>
      </c>
      <c r="E1173" s="7" t="s">
        <v>158</v>
      </c>
      <c r="H1173" s="41" t="n">
        <v>66.48</v>
      </c>
      <c r="M1173" s="6" t="n">
        <v>1</v>
      </c>
      <c r="N1173" s="43" t="n">
        <f aca="false">M1173*H1173</f>
        <v>66.48</v>
      </c>
      <c r="O1173" s="42" t="n">
        <f aca="false">N1173</f>
        <v>66.48</v>
      </c>
    </row>
    <row r="1174" customFormat="false" ht="15" hidden="false" customHeight="false" outlineLevel="0" collapsed="false">
      <c r="B1174" s="7" t="s">
        <v>9807</v>
      </c>
      <c r="C1174" s="39" t="n">
        <v>45733</v>
      </c>
      <c r="D1174" s="7" t="s">
        <v>191</v>
      </c>
      <c r="E1174" s="7" t="s">
        <v>180</v>
      </c>
      <c r="F1174" s="6" t="n">
        <v>3.66</v>
      </c>
      <c r="G1174" s="6" t="n">
        <v>0</v>
      </c>
      <c r="H1174" s="41" t="n">
        <v>16.05</v>
      </c>
      <c r="I1174" s="43" t="n">
        <f aca="false">F1174*H1174</f>
        <v>58.743</v>
      </c>
      <c r="J1174" s="43" t="n">
        <f aca="false">G1174*H1174*1.5</f>
        <v>0</v>
      </c>
      <c r="K1174" s="6" t="n">
        <v>11.07</v>
      </c>
      <c r="L1174" s="43" t="n">
        <f aca="false">K1174*'Chart of Accounts'!$E$68</f>
        <v>7.4169</v>
      </c>
      <c r="O1174" s="42" t="n">
        <f aca="false">I1174+J1174+L1174</f>
        <v>66.1599</v>
      </c>
    </row>
    <row r="1175" customFormat="false" ht="15" hidden="false" customHeight="false" outlineLevel="0" collapsed="false">
      <c r="B1175" s="7" t="s">
        <v>9808</v>
      </c>
      <c r="C1175" s="39" t="n">
        <v>45733</v>
      </c>
      <c r="D1175" s="7" t="s">
        <v>194</v>
      </c>
      <c r="E1175" s="7" t="s">
        <v>180</v>
      </c>
      <c r="F1175" s="6" t="n">
        <v>4.99</v>
      </c>
      <c r="G1175" s="6" t="n">
        <v>0</v>
      </c>
      <c r="H1175" s="41" t="n">
        <v>16</v>
      </c>
      <c r="I1175" s="43" t="n">
        <f aca="false">F1175*H1175</f>
        <v>79.84</v>
      </c>
      <c r="J1175" s="43" t="n">
        <f aca="false">G1175*H1175*1.5</f>
        <v>0</v>
      </c>
      <c r="K1175" s="6" t="n">
        <v>11.2</v>
      </c>
      <c r="L1175" s="43" t="n">
        <f aca="false">K1175*'Chart of Accounts'!$E$68</f>
        <v>7.504</v>
      </c>
      <c r="O1175" s="42" t="n">
        <f aca="false">I1175+J1175+L1175</f>
        <v>87.344</v>
      </c>
    </row>
    <row r="1176" customFormat="false" ht="15" hidden="false" customHeight="false" outlineLevel="0" collapsed="false">
      <c r="B1176" s="7" t="s">
        <v>9809</v>
      </c>
      <c r="C1176" s="39" t="n">
        <v>45733</v>
      </c>
      <c r="D1176" s="7" t="s">
        <v>201</v>
      </c>
      <c r="E1176" s="7" t="s">
        <v>180</v>
      </c>
      <c r="F1176" s="6" t="n">
        <v>5.92</v>
      </c>
      <c r="G1176" s="6" t="n">
        <v>0</v>
      </c>
      <c r="H1176" s="41" t="n">
        <v>15.19</v>
      </c>
      <c r="I1176" s="43" t="n">
        <f aca="false">F1176*H1176</f>
        <v>89.9248</v>
      </c>
      <c r="J1176" s="43" t="n">
        <f aca="false">G1176*H1176*1.5</f>
        <v>0</v>
      </c>
      <c r="K1176" s="6" t="n">
        <v>21.26</v>
      </c>
      <c r="L1176" s="43" t="n">
        <f aca="false">K1176*'Chart of Accounts'!$E$68</f>
        <v>14.2442</v>
      </c>
      <c r="O1176" s="42" t="n">
        <f aca="false">I1176+J1176+L1176</f>
        <v>104.169</v>
      </c>
    </row>
    <row r="1177" customFormat="false" ht="15" hidden="false" customHeight="false" outlineLevel="0" collapsed="false">
      <c r="B1177" s="7" t="s">
        <v>9810</v>
      </c>
      <c r="C1177" s="39" t="n">
        <v>45733</v>
      </c>
      <c r="D1177" s="7" t="s">
        <v>205</v>
      </c>
      <c r="E1177" s="7" t="s">
        <v>180</v>
      </c>
      <c r="F1177" s="6" t="n">
        <v>3.73</v>
      </c>
      <c r="G1177" s="6" t="n">
        <v>0</v>
      </c>
      <c r="H1177" s="41" t="n">
        <v>16.36</v>
      </c>
      <c r="I1177" s="43" t="n">
        <f aca="false">F1177*H1177</f>
        <v>61.0228</v>
      </c>
      <c r="J1177" s="43" t="n">
        <f aca="false">G1177*H1177*1.5</f>
        <v>0</v>
      </c>
      <c r="K1177" s="6" t="n">
        <v>11.97</v>
      </c>
      <c r="L1177" s="43" t="n">
        <f aca="false">K1177*'Chart of Accounts'!$E$68</f>
        <v>8.0199</v>
      </c>
      <c r="O1177" s="42" t="n">
        <f aca="false">I1177+J1177+L1177</f>
        <v>69.0427</v>
      </c>
    </row>
    <row r="1178" customFormat="false" ht="15" hidden="false" customHeight="false" outlineLevel="0" collapsed="false">
      <c r="B1178" s="7" t="s">
        <v>9811</v>
      </c>
      <c r="C1178" s="39" t="n">
        <v>45733</v>
      </c>
      <c r="D1178" s="7" t="s">
        <v>252</v>
      </c>
      <c r="E1178" s="7" t="s">
        <v>158</v>
      </c>
      <c r="H1178" s="41" t="n">
        <v>57.54</v>
      </c>
      <c r="M1178" s="6" t="n">
        <v>1</v>
      </c>
      <c r="N1178" s="43" t="n">
        <f aca="false">M1178*H1178</f>
        <v>57.54</v>
      </c>
      <c r="O1178" s="42" t="n">
        <f aca="false">N1178</f>
        <v>57.54</v>
      </c>
    </row>
    <row r="1179" customFormat="false" ht="15" hidden="false" customHeight="false" outlineLevel="0" collapsed="false">
      <c r="B1179" s="7" t="s">
        <v>9812</v>
      </c>
      <c r="C1179" s="39" t="n">
        <v>45733</v>
      </c>
      <c r="D1179" s="7" t="s">
        <v>196</v>
      </c>
      <c r="E1179" s="7" t="s">
        <v>180</v>
      </c>
      <c r="F1179" s="6" t="n">
        <v>5.54</v>
      </c>
      <c r="G1179" s="6" t="n">
        <v>0</v>
      </c>
      <c r="H1179" s="41" t="n">
        <v>15.05</v>
      </c>
      <c r="I1179" s="43" t="n">
        <f aca="false">F1179*H1179</f>
        <v>83.377</v>
      </c>
      <c r="J1179" s="43" t="n">
        <f aca="false">G1179*H1179*1.5</f>
        <v>0</v>
      </c>
      <c r="K1179" s="6" t="n">
        <v>17.35</v>
      </c>
      <c r="L1179" s="43" t="n">
        <f aca="false">K1179*'Chart of Accounts'!$E$68</f>
        <v>11.6245</v>
      </c>
      <c r="O1179" s="42" t="n">
        <f aca="false">I1179+J1179+L1179</f>
        <v>95.0015</v>
      </c>
    </row>
    <row r="1180" customFormat="false" ht="15" hidden="false" customHeight="false" outlineLevel="0" collapsed="false">
      <c r="B1180" s="7" t="s">
        <v>9813</v>
      </c>
      <c r="C1180" s="39" t="n">
        <v>45733</v>
      </c>
      <c r="D1180" s="7" t="s">
        <v>184</v>
      </c>
      <c r="E1180" s="7" t="s">
        <v>180</v>
      </c>
      <c r="F1180" s="6" t="n">
        <v>3.76</v>
      </c>
      <c r="G1180" s="6" t="n">
        <v>0</v>
      </c>
      <c r="H1180" s="41" t="n">
        <v>17.34</v>
      </c>
      <c r="I1180" s="43" t="n">
        <f aca="false">F1180*H1180</f>
        <v>65.1984</v>
      </c>
      <c r="J1180" s="43" t="n">
        <f aca="false">G1180*H1180*1.5</f>
        <v>0</v>
      </c>
      <c r="K1180" s="6" t="n">
        <v>11.36</v>
      </c>
      <c r="L1180" s="43" t="n">
        <f aca="false">K1180*'Chart of Accounts'!$E$68</f>
        <v>7.6112</v>
      </c>
      <c r="O1180" s="42" t="n">
        <f aca="false">I1180+J1180+L1180</f>
        <v>72.8096</v>
      </c>
    </row>
    <row r="1181" customFormat="false" ht="15" hidden="false" customHeight="false" outlineLevel="0" collapsed="false">
      <c r="B1181" s="7" t="s">
        <v>9814</v>
      </c>
      <c r="C1181" s="39" t="n">
        <v>45733</v>
      </c>
      <c r="D1181" s="7" t="s">
        <v>207</v>
      </c>
      <c r="E1181" s="7" t="s">
        <v>180</v>
      </c>
      <c r="F1181" s="6" t="n">
        <v>6.42</v>
      </c>
      <c r="G1181" s="6" t="n">
        <v>0</v>
      </c>
      <c r="H1181" s="41" t="n">
        <v>16.65</v>
      </c>
      <c r="I1181" s="43" t="n">
        <f aca="false">F1181*H1181</f>
        <v>106.893</v>
      </c>
      <c r="J1181" s="43" t="n">
        <f aca="false">G1181*H1181*1.5</f>
        <v>0</v>
      </c>
      <c r="K1181" s="6" t="n">
        <v>19.07</v>
      </c>
      <c r="L1181" s="43" t="n">
        <f aca="false">K1181*'Chart of Accounts'!$E$68</f>
        <v>12.7769</v>
      </c>
      <c r="O1181" s="42" t="n">
        <f aca="false">I1181+J1181+L1181</f>
        <v>119.6699</v>
      </c>
    </row>
    <row r="1182" customFormat="false" ht="15" hidden="false" customHeight="false" outlineLevel="0" collapsed="false">
      <c r="B1182" s="7" t="s">
        <v>9815</v>
      </c>
      <c r="C1182" s="39" t="n">
        <v>45733</v>
      </c>
      <c r="D1182" s="7" t="s">
        <v>218</v>
      </c>
      <c r="E1182" s="7" t="s">
        <v>180</v>
      </c>
      <c r="F1182" s="6" t="n">
        <v>4.29</v>
      </c>
      <c r="G1182" s="6" t="n">
        <v>0</v>
      </c>
      <c r="H1182" s="41" t="n">
        <v>16.19</v>
      </c>
      <c r="I1182" s="43" t="n">
        <f aca="false">F1182*H1182</f>
        <v>69.4551</v>
      </c>
      <c r="J1182" s="43" t="n">
        <f aca="false">G1182*H1182*1.5</f>
        <v>0</v>
      </c>
      <c r="K1182" s="6" t="n">
        <v>10.69</v>
      </c>
      <c r="L1182" s="43" t="n">
        <f aca="false">K1182*'Chart of Accounts'!$E$68</f>
        <v>7.1623</v>
      </c>
      <c r="O1182" s="42" t="n">
        <f aca="false">I1182+J1182+L1182</f>
        <v>76.6174</v>
      </c>
    </row>
    <row r="1183" customFormat="false" ht="15" hidden="false" customHeight="false" outlineLevel="0" collapsed="false">
      <c r="B1183" s="7" t="s">
        <v>9816</v>
      </c>
      <c r="C1183" s="39" t="n">
        <v>45733</v>
      </c>
      <c r="D1183" s="7" t="s">
        <v>212</v>
      </c>
      <c r="E1183" s="7" t="s">
        <v>180</v>
      </c>
      <c r="F1183" s="6" t="n">
        <v>7.29</v>
      </c>
      <c r="G1183" s="6" t="n">
        <v>0</v>
      </c>
      <c r="H1183" s="41" t="n">
        <v>16.71</v>
      </c>
      <c r="I1183" s="43" t="n">
        <f aca="false">F1183*H1183</f>
        <v>121.8159</v>
      </c>
      <c r="J1183" s="43" t="n">
        <f aca="false">G1183*H1183*1.5</f>
        <v>0</v>
      </c>
      <c r="K1183" s="6" t="n">
        <v>24.68</v>
      </c>
      <c r="L1183" s="43" t="n">
        <f aca="false">K1183*'Chart of Accounts'!$E$68</f>
        <v>16.5356</v>
      </c>
      <c r="O1183" s="42" t="n">
        <f aca="false">I1183+J1183+L1183</f>
        <v>138.3515</v>
      </c>
    </row>
    <row r="1184" customFormat="false" ht="15" hidden="false" customHeight="false" outlineLevel="0" collapsed="false">
      <c r="B1184" s="7" t="s">
        <v>9817</v>
      </c>
      <c r="C1184" s="39" t="n">
        <v>45733</v>
      </c>
      <c r="D1184" s="7" t="s">
        <v>220</v>
      </c>
      <c r="E1184" s="7" t="s">
        <v>180</v>
      </c>
      <c r="F1184" s="6" t="n">
        <v>4.18</v>
      </c>
      <c r="G1184" s="6" t="n">
        <v>0</v>
      </c>
      <c r="H1184" s="41" t="n">
        <v>16.43</v>
      </c>
      <c r="I1184" s="43" t="n">
        <f aca="false">F1184*H1184</f>
        <v>68.6774</v>
      </c>
      <c r="J1184" s="43" t="n">
        <f aca="false">G1184*H1184*1.5</f>
        <v>0</v>
      </c>
      <c r="K1184" s="6" t="n">
        <v>11.55</v>
      </c>
      <c r="L1184" s="43" t="n">
        <f aca="false">K1184*'Chart of Accounts'!$E$68</f>
        <v>7.7385</v>
      </c>
      <c r="O1184" s="42" t="n">
        <f aca="false">I1184+J1184+L1184</f>
        <v>76.4159</v>
      </c>
    </row>
    <row r="1185" customFormat="false" ht="15" hidden="false" customHeight="false" outlineLevel="0" collapsed="false">
      <c r="B1185" s="7" t="s">
        <v>9818</v>
      </c>
      <c r="C1185" s="39" t="n">
        <v>45733</v>
      </c>
      <c r="D1185" s="7" t="s">
        <v>224</v>
      </c>
      <c r="E1185" s="7" t="s">
        <v>180</v>
      </c>
      <c r="F1185" s="6" t="n">
        <v>8.56</v>
      </c>
      <c r="G1185" s="6" t="n">
        <v>0</v>
      </c>
      <c r="H1185" s="41" t="n">
        <v>14.93</v>
      </c>
      <c r="I1185" s="43" t="n">
        <f aca="false">F1185*H1185</f>
        <v>127.8008</v>
      </c>
      <c r="J1185" s="43" t="n">
        <f aca="false">G1185*H1185*1.5</f>
        <v>0</v>
      </c>
      <c r="K1185" s="6" t="n">
        <v>24.32</v>
      </c>
      <c r="L1185" s="43" t="n">
        <f aca="false">K1185*'Chart of Accounts'!$E$68</f>
        <v>16.2944</v>
      </c>
      <c r="O1185" s="42" t="n">
        <f aca="false">I1185+J1185+L1185</f>
        <v>144.0952</v>
      </c>
    </row>
    <row r="1186" customFormat="false" ht="15" hidden="false" customHeight="false" outlineLevel="0" collapsed="false">
      <c r="B1186" s="7" t="s">
        <v>9819</v>
      </c>
      <c r="C1186" s="39" t="n">
        <v>45733</v>
      </c>
      <c r="D1186" s="7" t="s">
        <v>177</v>
      </c>
      <c r="E1186" s="7" t="s">
        <v>180</v>
      </c>
      <c r="F1186" s="6" t="n">
        <v>8.49</v>
      </c>
      <c r="G1186" s="6" t="n">
        <v>0</v>
      </c>
      <c r="H1186" s="41" t="n">
        <v>14.56</v>
      </c>
      <c r="I1186" s="43" t="n">
        <f aca="false">F1186*H1186</f>
        <v>123.6144</v>
      </c>
      <c r="J1186" s="43" t="n">
        <f aca="false">G1186*H1186*1.5</f>
        <v>0</v>
      </c>
      <c r="K1186" s="6" t="n">
        <v>24.86</v>
      </c>
      <c r="L1186" s="43" t="n">
        <f aca="false">K1186*'Chart of Accounts'!$E$68</f>
        <v>16.6562</v>
      </c>
      <c r="O1186" s="42" t="n">
        <f aca="false">I1186+J1186+L1186</f>
        <v>140.2706</v>
      </c>
    </row>
    <row r="1187" customFormat="false" ht="15" hidden="false" customHeight="false" outlineLevel="0" collapsed="false">
      <c r="B1187" s="7" t="s">
        <v>9820</v>
      </c>
      <c r="C1187" s="39" t="n">
        <v>45733</v>
      </c>
      <c r="D1187" s="7" t="s">
        <v>232</v>
      </c>
      <c r="E1187" s="7" t="s">
        <v>180</v>
      </c>
      <c r="F1187" s="6" t="n">
        <v>7.68</v>
      </c>
      <c r="G1187" s="6" t="n">
        <v>0</v>
      </c>
      <c r="H1187" s="41" t="n">
        <v>16.17</v>
      </c>
      <c r="I1187" s="43" t="n">
        <f aca="false">F1187*H1187</f>
        <v>124.1856</v>
      </c>
      <c r="J1187" s="43" t="n">
        <f aca="false">G1187*H1187*1.5</f>
        <v>0</v>
      </c>
      <c r="K1187" s="6" t="n">
        <v>22.04</v>
      </c>
      <c r="L1187" s="43" t="n">
        <f aca="false">K1187*'Chart of Accounts'!$E$68</f>
        <v>14.7668</v>
      </c>
      <c r="O1187" s="42" t="n">
        <f aca="false">I1187+J1187+L1187</f>
        <v>138.9524</v>
      </c>
    </row>
    <row r="1188" customFormat="false" ht="15" hidden="false" customHeight="false" outlineLevel="0" collapsed="false">
      <c r="B1188" s="7" t="s">
        <v>9821</v>
      </c>
      <c r="C1188" s="39" t="n">
        <v>45733</v>
      </c>
      <c r="D1188" s="7" t="s">
        <v>242</v>
      </c>
      <c r="E1188" s="7" t="s">
        <v>180</v>
      </c>
      <c r="F1188" s="6" t="n">
        <v>7.33</v>
      </c>
      <c r="G1188" s="6" t="n">
        <v>0</v>
      </c>
      <c r="H1188" s="41" t="n">
        <v>17.99</v>
      </c>
      <c r="I1188" s="43" t="n">
        <f aca="false">F1188*H1188</f>
        <v>131.8667</v>
      </c>
      <c r="J1188" s="43" t="n">
        <f aca="false">G1188*H1188*1.5</f>
        <v>0</v>
      </c>
      <c r="K1188" s="6" t="n">
        <v>19.31</v>
      </c>
      <c r="L1188" s="43" t="n">
        <f aca="false">K1188*'Chart of Accounts'!$E$68</f>
        <v>12.9377</v>
      </c>
      <c r="O1188" s="42" t="n">
        <f aca="false">I1188+J1188+L1188</f>
        <v>144.8044</v>
      </c>
    </row>
    <row r="1189" customFormat="false" ht="15" hidden="false" customHeight="false" outlineLevel="0" collapsed="false">
      <c r="B1189" s="7" t="s">
        <v>9822</v>
      </c>
      <c r="C1189" s="39" t="n">
        <v>45733</v>
      </c>
      <c r="D1189" s="7" t="s">
        <v>222</v>
      </c>
      <c r="E1189" s="7" t="s">
        <v>180</v>
      </c>
      <c r="F1189" s="6" t="n">
        <v>6.88</v>
      </c>
      <c r="G1189" s="6" t="n">
        <v>0</v>
      </c>
      <c r="H1189" s="41" t="n">
        <v>17.84</v>
      </c>
      <c r="I1189" s="43" t="n">
        <f aca="false">F1189*H1189</f>
        <v>122.7392</v>
      </c>
      <c r="J1189" s="43" t="n">
        <f aca="false">G1189*H1189*1.5</f>
        <v>0</v>
      </c>
      <c r="K1189" s="6" t="n">
        <v>16.07</v>
      </c>
      <c r="L1189" s="43" t="n">
        <f aca="false">K1189*'Chart of Accounts'!$E$68</f>
        <v>10.7669</v>
      </c>
      <c r="O1189" s="42" t="n">
        <f aca="false">I1189+J1189+L1189</f>
        <v>133.5061</v>
      </c>
    </row>
    <row r="1190" customFormat="false" ht="15" hidden="false" customHeight="false" outlineLevel="0" collapsed="false">
      <c r="B1190" s="7" t="s">
        <v>9823</v>
      </c>
      <c r="C1190" s="39" t="n">
        <v>45733</v>
      </c>
      <c r="D1190" s="7" t="s">
        <v>262</v>
      </c>
      <c r="E1190" s="7" t="s">
        <v>180</v>
      </c>
      <c r="F1190" s="6" t="n">
        <v>7.78</v>
      </c>
      <c r="G1190" s="6" t="n">
        <v>0</v>
      </c>
      <c r="H1190" s="41" t="n">
        <v>16.02</v>
      </c>
      <c r="I1190" s="43" t="n">
        <f aca="false">F1190*H1190</f>
        <v>124.6356</v>
      </c>
      <c r="J1190" s="43" t="n">
        <f aca="false">G1190*H1190*1.5</f>
        <v>0</v>
      </c>
      <c r="K1190" s="6" t="n">
        <v>19.45</v>
      </c>
      <c r="L1190" s="43" t="n">
        <f aca="false">K1190*'Chart of Accounts'!$E$68</f>
        <v>13.0315</v>
      </c>
      <c r="O1190" s="42" t="n">
        <f aca="false">I1190+J1190+L1190</f>
        <v>137.6671</v>
      </c>
    </row>
    <row r="1191" customFormat="false" ht="15" hidden="false" customHeight="false" outlineLevel="0" collapsed="false">
      <c r="B1191" s="7" t="s">
        <v>9824</v>
      </c>
      <c r="C1191" s="39" t="n">
        <v>45733</v>
      </c>
      <c r="D1191" s="7" t="s">
        <v>254</v>
      </c>
      <c r="E1191" s="7" t="s">
        <v>180</v>
      </c>
      <c r="F1191" s="6" t="n">
        <v>7.23</v>
      </c>
      <c r="G1191" s="6" t="n">
        <v>0</v>
      </c>
      <c r="H1191" s="41" t="n">
        <v>17.1</v>
      </c>
      <c r="I1191" s="43" t="n">
        <f aca="false">F1191*H1191</f>
        <v>123.633</v>
      </c>
      <c r="J1191" s="43" t="n">
        <f aca="false">G1191*H1191*1.5</f>
        <v>0</v>
      </c>
      <c r="K1191" s="6" t="n">
        <v>17.95</v>
      </c>
      <c r="L1191" s="43" t="n">
        <f aca="false">K1191*'Chart of Accounts'!$E$68</f>
        <v>12.0265</v>
      </c>
      <c r="O1191" s="42" t="n">
        <f aca="false">I1191+J1191+L1191</f>
        <v>135.6595</v>
      </c>
    </row>
    <row r="1192" customFormat="false" ht="15" hidden="false" customHeight="false" outlineLevel="0" collapsed="false">
      <c r="B1192" s="7" t="s">
        <v>9825</v>
      </c>
      <c r="C1192" s="39" t="n">
        <v>45733</v>
      </c>
      <c r="D1192" s="7" t="s">
        <v>246</v>
      </c>
      <c r="E1192" s="7" t="s">
        <v>180</v>
      </c>
      <c r="F1192" s="6" t="n">
        <v>7.47</v>
      </c>
      <c r="G1192" s="6" t="n">
        <v>0</v>
      </c>
      <c r="H1192" s="41" t="n">
        <v>16.48</v>
      </c>
      <c r="I1192" s="43" t="n">
        <f aca="false">F1192*H1192</f>
        <v>123.1056</v>
      </c>
      <c r="J1192" s="43" t="n">
        <f aca="false">G1192*H1192*1.5</f>
        <v>0</v>
      </c>
      <c r="K1192" s="6" t="n">
        <v>24.73</v>
      </c>
      <c r="L1192" s="43" t="n">
        <f aca="false">K1192*'Chart of Accounts'!$E$68</f>
        <v>16.5691</v>
      </c>
      <c r="O1192" s="42" t="n">
        <f aca="false">I1192+J1192+L1192</f>
        <v>139.6747</v>
      </c>
    </row>
    <row r="1193" customFormat="false" ht="15" hidden="false" customHeight="false" outlineLevel="0" collapsed="false">
      <c r="B1193" s="7" t="s">
        <v>9826</v>
      </c>
      <c r="C1193" s="39" t="n">
        <v>45733</v>
      </c>
      <c r="D1193" s="7" t="s">
        <v>214</v>
      </c>
      <c r="E1193" s="7" t="s">
        <v>180</v>
      </c>
      <c r="F1193" s="6" t="n">
        <v>7.9</v>
      </c>
      <c r="G1193" s="6" t="n">
        <v>0</v>
      </c>
      <c r="H1193" s="41" t="n">
        <v>15.67</v>
      </c>
      <c r="I1193" s="43" t="n">
        <f aca="false">F1193*H1193</f>
        <v>123.793</v>
      </c>
      <c r="J1193" s="43" t="n">
        <f aca="false">G1193*H1193*1.5</f>
        <v>0</v>
      </c>
      <c r="K1193" s="6" t="n">
        <v>20.5</v>
      </c>
      <c r="L1193" s="43" t="n">
        <f aca="false">K1193*'Chart of Accounts'!$E$68</f>
        <v>13.735</v>
      </c>
      <c r="O1193" s="42" t="n">
        <f aca="false">I1193+J1193+L1193</f>
        <v>137.528</v>
      </c>
    </row>
    <row r="1194" customFormat="false" ht="15" hidden="false" customHeight="false" outlineLevel="0" collapsed="false">
      <c r="B1194" s="7" t="s">
        <v>9827</v>
      </c>
      <c r="C1194" s="39" t="n">
        <v>45734</v>
      </c>
      <c r="D1194" s="7" t="s">
        <v>191</v>
      </c>
      <c r="E1194" s="7" t="s">
        <v>180</v>
      </c>
      <c r="F1194" s="6" t="n">
        <v>3.85</v>
      </c>
      <c r="G1194" s="6" t="n">
        <v>0</v>
      </c>
      <c r="H1194" s="41" t="n">
        <v>16.05</v>
      </c>
      <c r="I1194" s="43" t="n">
        <f aca="false">F1194*H1194</f>
        <v>61.7925</v>
      </c>
      <c r="J1194" s="43" t="n">
        <f aca="false">G1194*H1194*1.5</f>
        <v>0</v>
      </c>
      <c r="K1194" s="6" t="n">
        <v>11.31</v>
      </c>
      <c r="L1194" s="43" t="n">
        <f aca="false">K1194*'Chart of Accounts'!$E$68</f>
        <v>7.5777</v>
      </c>
      <c r="O1194" s="42" t="n">
        <f aca="false">I1194+J1194+L1194</f>
        <v>69.3702</v>
      </c>
    </row>
    <row r="1195" customFormat="false" ht="15" hidden="false" customHeight="false" outlineLevel="0" collapsed="false">
      <c r="B1195" s="7" t="s">
        <v>9828</v>
      </c>
      <c r="C1195" s="39" t="n">
        <v>45734</v>
      </c>
      <c r="D1195" s="7" t="s">
        <v>209</v>
      </c>
      <c r="E1195" s="7" t="s">
        <v>158</v>
      </c>
      <c r="H1195" s="41" t="n">
        <v>73.58</v>
      </c>
      <c r="M1195" s="6" t="n">
        <v>2</v>
      </c>
      <c r="N1195" s="43" t="n">
        <f aca="false">M1195*H1195</f>
        <v>147.16</v>
      </c>
      <c r="O1195" s="42" t="n">
        <f aca="false">N1195</f>
        <v>147.16</v>
      </c>
    </row>
    <row r="1196" customFormat="false" ht="15" hidden="false" customHeight="false" outlineLevel="0" collapsed="false">
      <c r="B1196" s="7" t="s">
        <v>9829</v>
      </c>
      <c r="C1196" s="39" t="n">
        <v>45734</v>
      </c>
      <c r="D1196" s="7" t="s">
        <v>234</v>
      </c>
      <c r="E1196" s="7" t="s">
        <v>158</v>
      </c>
      <c r="H1196" s="41" t="n">
        <v>89.53</v>
      </c>
      <c r="M1196" s="6" t="n">
        <v>2</v>
      </c>
      <c r="N1196" s="43" t="n">
        <f aca="false">M1196*H1196</f>
        <v>179.06</v>
      </c>
      <c r="O1196" s="42" t="n">
        <f aca="false">N1196</f>
        <v>179.06</v>
      </c>
    </row>
    <row r="1197" customFormat="false" ht="15" hidden="false" customHeight="false" outlineLevel="0" collapsed="false">
      <c r="B1197" s="7" t="s">
        <v>9830</v>
      </c>
      <c r="C1197" s="39" t="n">
        <v>45734</v>
      </c>
      <c r="D1197" s="7" t="s">
        <v>218</v>
      </c>
      <c r="E1197" s="7" t="s">
        <v>180</v>
      </c>
      <c r="F1197" s="6" t="n">
        <v>4.25</v>
      </c>
      <c r="G1197" s="6" t="n">
        <v>0</v>
      </c>
      <c r="H1197" s="41" t="n">
        <v>16.19</v>
      </c>
      <c r="I1197" s="43" t="n">
        <f aca="false">F1197*H1197</f>
        <v>68.8075</v>
      </c>
      <c r="J1197" s="43" t="n">
        <f aca="false">G1197*H1197*1.5</f>
        <v>0</v>
      </c>
      <c r="K1197" s="6" t="n">
        <v>13.95</v>
      </c>
      <c r="L1197" s="43" t="n">
        <f aca="false">K1197*'Chart of Accounts'!$E$68</f>
        <v>9.3465</v>
      </c>
      <c r="O1197" s="42" t="n">
        <f aca="false">I1197+J1197+L1197</f>
        <v>78.154</v>
      </c>
    </row>
    <row r="1198" customFormat="false" ht="15" hidden="false" customHeight="false" outlineLevel="0" collapsed="false">
      <c r="B1198" s="7" t="s">
        <v>9831</v>
      </c>
      <c r="C1198" s="39" t="n">
        <v>45734</v>
      </c>
      <c r="D1198" s="7" t="s">
        <v>266</v>
      </c>
      <c r="E1198" s="7" t="s">
        <v>158</v>
      </c>
      <c r="H1198" s="41" t="n">
        <v>75.18</v>
      </c>
      <c r="M1198" s="6" t="n">
        <v>1</v>
      </c>
      <c r="N1198" s="43" t="n">
        <f aca="false">M1198*H1198</f>
        <v>75.18</v>
      </c>
      <c r="O1198" s="42" t="n">
        <f aca="false">N1198</f>
        <v>75.18</v>
      </c>
    </row>
    <row r="1199" customFormat="false" ht="15" hidden="false" customHeight="false" outlineLevel="0" collapsed="false">
      <c r="B1199" s="7" t="s">
        <v>9832</v>
      </c>
      <c r="C1199" s="39" t="n">
        <v>45734</v>
      </c>
      <c r="D1199" s="7" t="s">
        <v>228</v>
      </c>
      <c r="E1199" s="7" t="s">
        <v>158</v>
      </c>
      <c r="H1199" s="41" t="n">
        <v>51.07</v>
      </c>
      <c r="M1199" s="6" t="n">
        <v>1</v>
      </c>
      <c r="N1199" s="43" t="n">
        <f aca="false">M1199*H1199</f>
        <v>51.07</v>
      </c>
      <c r="O1199" s="42" t="n">
        <f aca="false">N1199</f>
        <v>51.07</v>
      </c>
    </row>
    <row r="1200" customFormat="false" ht="15" hidden="false" customHeight="false" outlineLevel="0" collapsed="false">
      <c r="B1200" s="7" t="s">
        <v>9833</v>
      </c>
      <c r="C1200" s="39" t="n">
        <v>45734</v>
      </c>
      <c r="D1200" s="7" t="s">
        <v>220</v>
      </c>
      <c r="E1200" s="7" t="s">
        <v>180</v>
      </c>
      <c r="F1200" s="6" t="n">
        <v>4.31</v>
      </c>
      <c r="G1200" s="6" t="n">
        <v>0</v>
      </c>
      <c r="H1200" s="41" t="n">
        <v>16.43</v>
      </c>
      <c r="I1200" s="43" t="n">
        <f aca="false">F1200*H1200</f>
        <v>70.8133</v>
      </c>
      <c r="J1200" s="43" t="n">
        <f aca="false">G1200*H1200*1.5</f>
        <v>0</v>
      </c>
      <c r="K1200" s="6" t="n">
        <v>9.84</v>
      </c>
      <c r="L1200" s="43" t="n">
        <f aca="false">K1200*'Chart of Accounts'!$E$68</f>
        <v>6.5928</v>
      </c>
      <c r="O1200" s="42" t="n">
        <f aca="false">I1200+J1200+L1200</f>
        <v>77.4061</v>
      </c>
    </row>
    <row r="1201" customFormat="false" ht="15" hidden="false" customHeight="false" outlineLevel="0" collapsed="false">
      <c r="B1201" s="7" t="s">
        <v>9834</v>
      </c>
      <c r="C1201" s="39" t="n">
        <v>45734</v>
      </c>
      <c r="D1201" s="7" t="s">
        <v>212</v>
      </c>
      <c r="E1201" s="7" t="s">
        <v>180</v>
      </c>
      <c r="F1201" s="6" t="n">
        <v>4.26</v>
      </c>
      <c r="G1201" s="6" t="n">
        <v>0</v>
      </c>
      <c r="H1201" s="41" t="n">
        <v>16.71</v>
      </c>
      <c r="I1201" s="43" t="n">
        <f aca="false">F1201*H1201</f>
        <v>71.1846</v>
      </c>
      <c r="J1201" s="43" t="n">
        <f aca="false">G1201*H1201*1.5</f>
        <v>0</v>
      </c>
      <c r="K1201" s="6" t="n">
        <v>9.55</v>
      </c>
      <c r="L1201" s="43" t="n">
        <f aca="false">K1201*'Chart of Accounts'!$E$68</f>
        <v>6.3985</v>
      </c>
      <c r="O1201" s="42" t="n">
        <f aca="false">I1201+J1201+L1201</f>
        <v>77.5831</v>
      </c>
    </row>
    <row r="1202" customFormat="false" ht="15" hidden="false" customHeight="false" outlineLevel="0" collapsed="false">
      <c r="B1202" s="7" t="s">
        <v>9835</v>
      </c>
      <c r="C1202" s="39" t="n">
        <v>45734</v>
      </c>
      <c r="D1202" s="7" t="s">
        <v>246</v>
      </c>
      <c r="E1202" s="7" t="s">
        <v>180</v>
      </c>
      <c r="F1202" s="6" t="n">
        <v>3.86</v>
      </c>
      <c r="G1202" s="6" t="n">
        <v>0</v>
      </c>
      <c r="H1202" s="41" t="n">
        <v>16.48</v>
      </c>
      <c r="I1202" s="43" t="n">
        <f aca="false">F1202*H1202</f>
        <v>63.6128</v>
      </c>
      <c r="J1202" s="43" t="n">
        <f aca="false">G1202*H1202*1.5</f>
        <v>0</v>
      </c>
      <c r="K1202" s="6" t="n">
        <v>8.92</v>
      </c>
      <c r="L1202" s="43" t="n">
        <f aca="false">K1202*'Chart of Accounts'!$E$68</f>
        <v>5.9764</v>
      </c>
      <c r="O1202" s="42" t="n">
        <f aca="false">I1202+J1202+L1202</f>
        <v>69.5892</v>
      </c>
    </row>
    <row r="1203" customFormat="false" ht="15" hidden="false" customHeight="false" outlineLevel="0" collapsed="false">
      <c r="B1203" s="7" t="s">
        <v>9836</v>
      </c>
      <c r="C1203" s="39" t="n">
        <v>45734</v>
      </c>
      <c r="D1203" s="7" t="s">
        <v>222</v>
      </c>
      <c r="E1203" s="7" t="s">
        <v>180</v>
      </c>
      <c r="F1203" s="6" t="n">
        <v>4.39</v>
      </c>
      <c r="G1203" s="6" t="n">
        <v>0</v>
      </c>
      <c r="H1203" s="41" t="n">
        <v>17.84</v>
      </c>
      <c r="I1203" s="43" t="n">
        <f aca="false">F1203*H1203</f>
        <v>78.3176</v>
      </c>
      <c r="J1203" s="43" t="n">
        <f aca="false">G1203*H1203*1.5</f>
        <v>0</v>
      </c>
      <c r="K1203" s="6" t="n">
        <v>11.03</v>
      </c>
      <c r="L1203" s="43" t="n">
        <f aca="false">K1203*'Chart of Accounts'!$E$68</f>
        <v>7.3901</v>
      </c>
      <c r="O1203" s="42" t="n">
        <f aca="false">I1203+J1203+L1203</f>
        <v>85.7077</v>
      </c>
    </row>
    <row r="1204" customFormat="false" ht="15" hidden="false" customHeight="false" outlineLevel="0" collapsed="false">
      <c r="B1204" s="7" t="s">
        <v>9837</v>
      </c>
      <c r="C1204" s="39" t="n">
        <v>45734</v>
      </c>
      <c r="D1204" s="7" t="s">
        <v>242</v>
      </c>
      <c r="E1204" s="7" t="s">
        <v>180</v>
      </c>
      <c r="F1204" s="6" t="n">
        <v>4.13</v>
      </c>
      <c r="G1204" s="6" t="n">
        <v>0</v>
      </c>
      <c r="H1204" s="41" t="n">
        <v>17.99</v>
      </c>
      <c r="I1204" s="43" t="n">
        <f aca="false">F1204*H1204</f>
        <v>74.2987</v>
      </c>
      <c r="J1204" s="43" t="n">
        <f aca="false">G1204*H1204*1.5</f>
        <v>0</v>
      </c>
      <c r="K1204" s="6" t="n">
        <v>10</v>
      </c>
      <c r="L1204" s="43" t="n">
        <f aca="false">K1204*'Chart of Accounts'!$E$68</f>
        <v>6.7</v>
      </c>
      <c r="O1204" s="42" t="n">
        <f aca="false">I1204+J1204+L1204</f>
        <v>80.9987</v>
      </c>
    </row>
    <row r="1205" customFormat="false" ht="15" hidden="false" customHeight="false" outlineLevel="0" collapsed="false">
      <c r="B1205" s="7" t="s">
        <v>9838</v>
      </c>
      <c r="C1205" s="39" t="n">
        <v>45734</v>
      </c>
      <c r="D1205" s="7" t="s">
        <v>203</v>
      </c>
      <c r="E1205" s="7" t="s">
        <v>158</v>
      </c>
      <c r="H1205" s="41" t="n">
        <v>49.43</v>
      </c>
      <c r="M1205" s="6" t="n">
        <v>1</v>
      </c>
      <c r="N1205" s="43" t="n">
        <f aca="false">M1205*H1205</f>
        <v>49.43</v>
      </c>
      <c r="O1205" s="42" t="n">
        <f aca="false">N1205</f>
        <v>49.43</v>
      </c>
    </row>
    <row r="1206" customFormat="false" ht="15" hidden="false" customHeight="false" outlineLevel="0" collapsed="false">
      <c r="B1206" s="7" t="s">
        <v>9839</v>
      </c>
      <c r="C1206" s="39" t="n">
        <v>45734</v>
      </c>
      <c r="D1206" s="7" t="s">
        <v>254</v>
      </c>
      <c r="E1206" s="7" t="s">
        <v>180</v>
      </c>
      <c r="F1206" s="6" t="n">
        <v>3.89</v>
      </c>
      <c r="G1206" s="6" t="n">
        <v>0</v>
      </c>
      <c r="H1206" s="41" t="n">
        <v>17.1</v>
      </c>
      <c r="I1206" s="43" t="n">
        <f aca="false">F1206*H1206</f>
        <v>66.519</v>
      </c>
      <c r="J1206" s="43" t="n">
        <f aca="false">G1206*H1206*1.5</f>
        <v>0</v>
      </c>
      <c r="K1206" s="6" t="n">
        <v>10.23</v>
      </c>
      <c r="L1206" s="43" t="n">
        <f aca="false">K1206*'Chart of Accounts'!$E$68</f>
        <v>6.8541</v>
      </c>
      <c r="O1206" s="42" t="n">
        <f aca="false">I1206+J1206+L1206</f>
        <v>73.3731</v>
      </c>
    </row>
    <row r="1207" customFormat="false" ht="15" hidden="false" customHeight="false" outlineLevel="0" collapsed="false">
      <c r="B1207" s="7" t="s">
        <v>9840</v>
      </c>
      <c r="C1207" s="39" t="n">
        <v>45734</v>
      </c>
      <c r="D1207" s="7" t="s">
        <v>260</v>
      </c>
      <c r="E1207" s="7" t="s">
        <v>158</v>
      </c>
      <c r="H1207" s="41" t="n">
        <v>79.8</v>
      </c>
      <c r="M1207" s="6" t="n">
        <v>1</v>
      </c>
      <c r="N1207" s="43" t="n">
        <f aca="false">M1207*H1207</f>
        <v>79.8</v>
      </c>
      <c r="O1207" s="42" t="n">
        <f aca="false">N1207</f>
        <v>79.8</v>
      </c>
    </row>
    <row r="1208" customFormat="false" ht="15" hidden="false" customHeight="false" outlineLevel="0" collapsed="false">
      <c r="B1208" s="7" t="s">
        <v>9841</v>
      </c>
      <c r="C1208" s="39" t="n">
        <v>45735</v>
      </c>
      <c r="D1208" s="7" t="s">
        <v>187</v>
      </c>
      <c r="E1208" s="7" t="s">
        <v>158</v>
      </c>
      <c r="H1208" s="41" t="n">
        <v>66.48</v>
      </c>
      <c r="M1208" s="6" t="n">
        <v>1</v>
      </c>
      <c r="N1208" s="43" t="n">
        <f aca="false">M1208*H1208</f>
        <v>66.48</v>
      </c>
      <c r="O1208" s="42" t="n">
        <f aca="false">N1208</f>
        <v>66.48</v>
      </c>
    </row>
    <row r="1209" customFormat="false" ht="15" hidden="false" customHeight="false" outlineLevel="0" collapsed="false">
      <c r="B1209" s="7" t="s">
        <v>9842</v>
      </c>
      <c r="C1209" s="39" t="n">
        <v>45735</v>
      </c>
      <c r="D1209" s="7" t="s">
        <v>228</v>
      </c>
      <c r="E1209" s="7" t="s">
        <v>158</v>
      </c>
      <c r="H1209" s="41" t="n">
        <v>51.07</v>
      </c>
      <c r="M1209" s="6" t="n">
        <v>1</v>
      </c>
      <c r="N1209" s="43" t="n">
        <f aca="false">M1209*H1209</f>
        <v>51.07</v>
      </c>
      <c r="O1209" s="42" t="n">
        <f aca="false">N1209</f>
        <v>51.07</v>
      </c>
    </row>
    <row r="1210" customFormat="false" ht="15" hidden="false" customHeight="false" outlineLevel="0" collapsed="false">
      <c r="B1210" s="7" t="s">
        <v>9843</v>
      </c>
      <c r="C1210" s="39" t="n">
        <v>45735</v>
      </c>
      <c r="D1210" s="7" t="s">
        <v>191</v>
      </c>
      <c r="E1210" s="7" t="s">
        <v>180</v>
      </c>
      <c r="F1210" s="6" t="n">
        <v>3.86</v>
      </c>
      <c r="G1210" s="6" t="n">
        <v>0</v>
      </c>
      <c r="H1210" s="41" t="n">
        <v>16.05</v>
      </c>
      <c r="I1210" s="43" t="n">
        <f aca="false">F1210*H1210</f>
        <v>61.953</v>
      </c>
      <c r="J1210" s="43" t="n">
        <f aca="false">G1210*H1210*1.5</f>
        <v>0</v>
      </c>
      <c r="K1210" s="6" t="n">
        <v>13.55</v>
      </c>
      <c r="L1210" s="43" t="n">
        <f aca="false">K1210*'Chart of Accounts'!$E$68</f>
        <v>9.0785</v>
      </c>
      <c r="O1210" s="42" t="n">
        <f aca="false">I1210+J1210+L1210</f>
        <v>71.0315</v>
      </c>
    </row>
    <row r="1211" customFormat="false" ht="15" hidden="false" customHeight="false" outlineLevel="0" collapsed="false">
      <c r="B1211" s="7" t="s">
        <v>9844</v>
      </c>
      <c r="C1211" s="39" t="n">
        <v>45735</v>
      </c>
      <c r="D1211" s="7" t="s">
        <v>194</v>
      </c>
      <c r="E1211" s="7" t="s">
        <v>180</v>
      </c>
      <c r="F1211" s="6" t="n">
        <v>4.4</v>
      </c>
      <c r="G1211" s="6" t="n">
        <v>0</v>
      </c>
      <c r="H1211" s="41" t="n">
        <v>16</v>
      </c>
      <c r="I1211" s="43" t="n">
        <f aca="false">F1211*H1211</f>
        <v>70.4</v>
      </c>
      <c r="J1211" s="43" t="n">
        <f aca="false">G1211*H1211*1.5</f>
        <v>0</v>
      </c>
      <c r="K1211" s="6" t="n">
        <v>15.75</v>
      </c>
      <c r="L1211" s="43" t="n">
        <f aca="false">K1211*'Chart of Accounts'!$E$68</f>
        <v>10.5525</v>
      </c>
      <c r="O1211" s="42" t="n">
        <f aca="false">I1211+J1211+L1211</f>
        <v>80.9525</v>
      </c>
    </row>
    <row r="1212" customFormat="false" ht="15" hidden="false" customHeight="false" outlineLevel="0" collapsed="false">
      <c r="B1212" s="7" t="s">
        <v>9845</v>
      </c>
      <c r="C1212" s="39" t="n">
        <v>45735</v>
      </c>
      <c r="D1212" s="7" t="s">
        <v>205</v>
      </c>
      <c r="E1212" s="7" t="s">
        <v>180</v>
      </c>
      <c r="F1212" s="6" t="n">
        <v>4.38</v>
      </c>
      <c r="G1212" s="6" t="n">
        <v>0</v>
      </c>
      <c r="H1212" s="41" t="n">
        <v>16.36</v>
      </c>
      <c r="I1212" s="43" t="n">
        <f aca="false">F1212*H1212</f>
        <v>71.6568</v>
      </c>
      <c r="J1212" s="43" t="n">
        <f aca="false">G1212*H1212*1.5</f>
        <v>0</v>
      </c>
      <c r="K1212" s="6" t="n">
        <v>12.65</v>
      </c>
      <c r="L1212" s="43" t="n">
        <f aca="false">K1212*'Chart of Accounts'!$E$68</f>
        <v>8.4755</v>
      </c>
      <c r="O1212" s="42" t="n">
        <f aca="false">I1212+J1212+L1212</f>
        <v>80.1323</v>
      </c>
    </row>
    <row r="1213" customFormat="false" ht="15" hidden="false" customHeight="false" outlineLevel="0" collapsed="false">
      <c r="B1213" s="7" t="s">
        <v>9846</v>
      </c>
      <c r="C1213" s="39" t="n">
        <v>45735</v>
      </c>
      <c r="D1213" s="7" t="s">
        <v>252</v>
      </c>
      <c r="E1213" s="7" t="s">
        <v>158</v>
      </c>
      <c r="H1213" s="41" t="n">
        <v>57.54</v>
      </c>
      <c r="M1213" s="6" t="n">
        <v>1</v>
      </c>
      <c r="N1213" s="43" t="n">
        <f aca="false">M1213*H1213</f>
        <v>57.54</v>
      </c>
      <c r="O1213" s="42" t="n">
        <f aca="false">N1213</f>
        <v>57.54</v>
      </c>
    </row>
    <row r="1214" customFormat="false" ht="15" hidden="false" customHeight="false" outlineLevel="0" collapsed="false">
      <c r="B1214" s="7" t="s">
        <v>9847</v>
      </c>
      <c r="C1214" s="39" t="n">
        <v>45735</v>
      </c>
      <c r="D1214" s="7" t="s">
        <v>184</v>
      </c>
      <c r="E1214" s="7" t="s">
        <v>180</v>
      </c>
      <c r="F1214" s="6" t="n">
        <v>4.17</v>
      </c>
      <c r="G1214" s="6" t="n">
        <v>0</v>
      </c>
      <c r="H1214" s="41" t="n">
        <v>17.34</v>
      </c>
      <c r="I1214" s="43" t="n">
        <f aca="false">F1214*H1214</f>
        <v>72.3078</v>
      </c>
      <c r="J1214" s="43" t="n">
        <f aca="false">G1214*H1214*1.5</f>
        <v>0</v>
      </c>
      <c r="K1214" s="6" t="n">
        <v>14.86</v>
      </c>
      <c r="L1214" s="43" t="n">
        <f aca="false">K1214*'Chart of Accounts'!$E$68</f>
        <v>9.9562</v>
      </c>
      <c r="O1214" s="42" t="n">
        <f aca="false">I1214+J1214+L1214</f>
        <v>82.264</v>
      </c>
    </row>
    <row r="1215" customFormat="false" ht="15" hidden="false" customHeight="false" outlineLevel="0" collapsed="false">
      <c r="B1215" s="7" t="s">
        <v>9848</v>
      </c>
      <c r="C1215" s="39" t="n">
        <v>45735</v>
      </c>
      <c r="D1215" s="7" t="s">
        <v>218</v>
      </c>
      <c r="E1215" s="7" t="s">
        <v>180</v>
      </c>
      <c r="F1215" s="6" t="n">
        <v>3.81</v>
      </c>
      <c r="G1215" s="6" t="n">
        <v>0</v>
      </c>
      <c r="H1215" s="41" t="n">
        <v>16.19</v>
      </c>
      <c r="I1215" s="43" t="n">
        <f aca="false">F1215*H1215</f>
        <v>61.6839</v>
      </c>
      <c r="J1215" s="43" t="n">
        <f aca="false">G1215*H1215*1.5</f>
        <v>0</v>
      </c>
      <c r="K1215" s="6" t="n">
        <v>9.86</v>
      </c>
      <c r="L1215" s="43" t="n">
        <f aca="false">K1215*'Chart of Accounts'!$E$68</f>
        <v>6.6062</v>
      </c>
      <c r="O1215" s="42" t="n">
        <f aca="false">I1215+J1215+L1215</f>
        <v>68.2901</v>
      </c>
    </row>
    <row r="1216" customFormat="false" ht="15" hidden="false" customHeight="false" outlineLevel="0" collapsed="false">
      <c r="B1216" s="7" t="s">
        <v>9849</v>
      </c>
      <c r="C1216" s="39" t="n">
        <v>45735</v>
      </c>
      <c r="D1216" s="7" t="s">
        <v>220</v>
      </c>
      <c r="E1216" s="7" t="s">
        <v>180</v>
      </c>
      <c r="F1216" s="6" t="n">
        <v>4.34</v>
      </c>
      <c r="G1216" s="6" t="n">
        <v>0</v>
      </c>
      <c r="H1216" s="41" t="n">
        <v>16.43</v>
      </c>
      <c r="I1216" s="43" t="n">
        <f aca="false">F1216*H1216</f>
        <v>71.3062</v>
      </c>
      <c r="J1216" s="43" t="n">
        <f aca="false">G1216*H1216*1.5</f>
        <v>0</v>
      </c>
      <c r="K1216" s="6" t="n">
        <v>12.21</v>
      </c>
      <c r="L1216" s="43" t="n">
        <f aca="false">K1216*'Chart of Accounts'!$E$68</f>
        <v>8.1807</v>
      </c>
      <c r="O1216" s="42" t="n">
        <f aca="false">I1216+J1216+L1216</f>
        <v>79.4869</v>
      </c>
    </row>
    <row r="1217" customFormat="false" ht="15" hidden="false" customHeight="false" outlineLevel="0" collapsed="false">
      <c r="B1217" s="7" t="s">
        <v>9850</v>
      </c>
      <c r="C1217" s="39" t="n">
        <v>45735</v>
      </c>
      <c r="D1217" s="7" t="s">
        <v>177</v>
      </c>
      <c r="E1217" s="7" t="s">
        <v>180</v>
      </c>
      <c r="F1217" s="6" t="n">
        <v>8.43</v>
      </c>
      <c r="G1217" s="6" t="n">
        <v>0</v>
      </c>
      <c r="H1217" s="41" t="n">
        <v>14.56</v>
      </c>
      <c r="I1217" s="43" t="n">
        <f aca="false">F1217*H1217</f>
        <v>122.7408</v>
      </c>
      <c r="J1217" s="43" t="n">
        <f aca="false">G1217*H1217*1.5</f>
        <v>0</v>
      </c>
      <c r="K1217" s="6" t="n">
        <v>25.25</v>
      </c>
      <c r="L1217" s="43" t="n">
        <f aca="false">K1217*'Chart of Accounts'!$E$68</f>
        <v>16.9175</v>
      </c>
      <c r="O1217" s="42" t="n">
        <f aca="false">I1217+J1217+L1217</f>
        <v>139.6583</v>
      </c>
    </row>
    <row r="1218" customFormat="false" ht="15" hidden="false" customHeight="false" outlineLevel="0" collapsed="false">
      <c r="B1218" s="7" t="s">
        <v>9851</v>
      </c>
      <c r="C1218" s="39" t="n">
        <v>45735</v>
      </c>
      <c r="D1218" s="7" t="s">
        <v>242</v>
      </c>
      <c r="E1218" s="7" t="s">
        <v>180</v>
      </c>
      <c r="F1218" s="6" t="n">
        <v>7.93</v>
      </c>
      <c r="G1218" s="6" t="n">
        <v>0</v>
      </c>
      <c r="H1218" s="41" t="n">
        <v>17.99</v>
      </c>
      <c r="I1218" s="43" t="n">
        <f aca="false">F1218*H1218</f>
        <v>142.6607</v>
      </c>
      <c r="J1218" s="43" t="n">
        <f aca="false">G1218*H1218*1.5</f>
        <v>0</v>
      </c>
      <c r="K1218" s="6" t="n">
        <v>28.12</v>
      </c>
      <c r="L1218" s="43" t="n">
        <f aca="false">K1218*'Chart of Accounts'!$E$68</f>
        <v>18.8404</v>
      </c>
      <c r="O1218" s="42" t="n">
        <f aca="false">I1218+J1218+L1218</f>
        <v>161.5011</v>
      </c>
    </row>
    <row r="1219" customFormat="false" ht="15" hidden="false" customHeight="false" outlineLevel="0" collapsed="false">
      <c r="B1219" s="7" t="s">
        <v>9852</v>
      </c>
      <c r="C1219" s="39" t="n">
        <v>45735</v>
      </c>
      <c r="D1219" s="7" t="s">
        <v>254</v>
      </c>
      <c r="E1219" s="7" t="s">
        <v>180</v>
      </c>
      <c r="F1219" s="6" t="n">
        <v>7.1</v>
      </c>
      <c r="G1219" s="6" t="n">
        <v>0</v>
      </c>
      <c r="H1219" s="41" t="n">
        <v>17.1</v>
      </c>
      <c r="I1219" s="43" t="n">
        <f aca="false">F1219*H1219</f>
        <v>121.41</v>
      </c>
      <c r="J1219" s="43" t="n">
        <f aca="false">G1219*H1219*1.5</f>
        <v>0</v>
      </c>
      <c r="K1219" s="6" t="n">
        <v>19.72</v>
      </c>
      <c r="L1219" s="43" t="n">
        <f aca="false">K1219*'Chart of Accounts'!$E$68</f>
        <v>13.2124</v>
      </c>
      <c r="O1219" s="42" t="n">
        <f aca="false">I1219+J1219+L1219</f>
        <v>134.6224</v>
      </c>
    </row>
    <row r="1220" customFormat="false" ht="15" hidden="false" customHeight="false" outlineLevel="0" collapsed="false">
      <c r="B1220" s="7" t="s">
        <v>9853</v>
      </c>
      <c r="C1220" s="39" t="n">
        <v>45735</v>
      </c>
      <c r="D1220" s="7" t="s">
        <v>201</v>
      </c>
      <c r="E1220" s="7" t="s">
        <v>180</v>
      </c>
      <c r="F1220" s="6" t="n">
        <v>3.53</v>
      </c>
      <c r="G1220" s="6" t="n">
        <v>0</v>
      </c>
      <c r="H1220" s="41" t="n">
        <v>15.19</v>
      </c>
      <c r="I1220" s="43" t="n">
        <f aca="false">F1220*H1220</f>
        <v>53.6207</v>
      </c>
      <c r="J1220" s="43" t="n">
        <f aca="false">G1220*H1220*1.5</f>
        <v>0</v>
      </c>
      <c r="K1220" s="6" t="n">
        <v>12.66</v>
      </c>
      <c r="L1220" s="43" t="n">
        <f aca="false">K1220*'Chart of Accounts'!$E$68</f>
        <v>8.4822</v>
      </c>
      <c r="O1220" s="42" t="n">
        <f aca="false">I1220+J1220+L1220</f>
        <v>62.1029</v>
      </c>
    </row>
    <row r="1221" customFormat="false" ht="15" hidden="false" customHeight="false" outlineLevel="0" collapsed="false">
      <c r="B1221" s="7" t="s">
        <v>9854</v>
      </c>
      <c r="C1221" s="39" t="n">
        <v>45735</v>
      </c>
      <c r="D1221" s="7" t="s">
        <v>207</v>
      </c>
      <c r="E1221" s="7" t="s">
        <v>180</v>
      </c>
      <c r="F1221" s="6" t="n">
        <v>3.41</v>
      </c>
      <c r="G1221" s="6" t="n">
        <v>0</v>
      </c>
      <c r="H1221" s="41" t="n">
        <v>16.65</v>
      </c>
      <c r="I1221" s="43" t="n">
        <f aca="false">F1221*H1221</f>
        <v>56.7765</v>
      </c>
      <c r="J1221" s="43" t="n">
        <f aca="false">G1221*H1221*1.5</f>
        <v>0</v>
      </c>
      <c r="K1221" s="6" t="n">
        <v>9.48</v>
      </c>
      <c r="L1221" s="43" t="n">
        <f aca="false">K1221*'Chart of Accounts'!$E$68</f>
        <v>6.3516</v>
      </c>
      <c r="O1221" s="42" t="n">
        <f aca="false">I1221+J1221+L1221</f>
        <v>63.1281</v>
      </c>
    </row>
    <row r="1222" customFormat="false" ht="15" hidden="false" customHeight="false" outlineLevel="0" collapsed="false">
      <c r="B1222" s="7" t="s">
        <v>9855</v>
      </c>
      <c r="C1222" s="39" t="n">
        <v>45735</v>
      </c>
      <c r="D1222" s="7" t="s">
        <v>212</v>
      </c>
      <c r="E1222" s="7" t="s">
        <v>180</v>
      </c>
      <c r="F1222" s="6" t="n">
        <v>3.88</v>
      </c>
      <c r="G1222" s="6" t="n">
        <v>0</v>
      </c>
      <c r="H1222" s="41" t="n">
        <v>16.71</v>
      </c>
      <c r="I1222" s="43" t="n">
        <f aca="false">F1222*H1222</f>
        <v>64.8348</v>
      </c>
      <c r="J1222" s="43" t="n">
        <f aca="false">G1222*H1222*1.5</f>
        <v>0</v>
      </c>
      <c r="K1222" s="6" t="n">
        <v>10.64</v>
      </c>
      <c r="L1222" s="43" t="n">
        <f aca="false">K1222*'Chart of Accounts'!$E$68</f>
        <v>7.1288</v>
      </c>
      <c r="O1222" s="42" t="n">
        <f aca="false">I1222+J1222+L1222</f>
        <v>71.9636</v>
      </c>
    </row>
    <row r="1223" customFormat="false" ht="15" hidden="false" customHeight="false" outlineLevel="0" collapsed="false">
      <c r="B1223" s="7" t="s">
        <v>9856</v>
      </c>
      <c r="C1223" s="39" t="n">
        <v>45735</v>
      </c>
      <c r="D1223" s="7" t="s">
        <v>232</v>
      </c>
      <c r="E1223" s="7" t="s">
        <v>180</v>
      </c>
      <c r="F1223" s="6" t="n">
        <v>4.8</v>
      </c>
      <c r="G1223" s="6" t="n">
        <v>0</v>
      </c>
      <c r="H1223" s="41" t="n">
        <v>16.17</v>
      </c>
      <c r="I1223" s="43" t="n">
        <f aca="false">F1223*H1223</f>
        <v>77.616</v>
      </c>
      <c r="J1223" s="43" t="n">
        <f aca="false">G1223*H1223*1.5</f>
        <v>0</v>
      </c>
      <c r="K1223" s="6" t="n">
        <v>14</v>
      </c>
      <c r="L1223" s="43" t="n">
        <f aca="false">K1223*'Chart of Accounts'!$E$68</f>
        <v>9.38</v>
      </c>
      <c r="O1223" s="42" t="n">
        <f aca="false">I1223+J1223+L1223</f>
        <v>86.996</v>
      </c>
    </row>
    <row r="1224" customFormat="false" ht="15" hidden="false" customHeight="false" outlineLevel="0" collapsed="false">
      <c r="B1224" s="7" t="s">
        <v>9857</v>
      </c>
      <c r="C1224" s="39" t="n">
        <v>45735</v>
      </c>
      <c r="D1224" s="7" t="s">
        <v>224</v>
      </c>
      <c r="E1224" s="7" t="s">
        <v>180</v>
      </c>
      <c r="F1224" s="6" t="n">
        <v>4.26</v>
      </c>
      <c r="G1224" s="6" t="n">
        <v>0</v>
      </c>
      <c r="H1224" s="41" t="n">
        <v>14.93</v>
      </c>
      <c r="I1224" s="43" t="n">
        <f aca="false">F1224*H1224</f>
        <v>63.6018</v>
      </c>
      <c r="J1224" s="43" t="n">
        <f aca="false">G1224*H1224*1.5</f>
        <v>0</v>
      </c>
      <c r="K1224" s="6" t="n">
        <v>12.33</v>
      </c>
      <c r="L1224" s="43" t="n">
        <f aca="false">K1224*'Chart of Accounts'!$E$68</f>
        <v>8.2611</v>
      </c>
      <c r="O1224" s="42" t="n">
        <f aca="false">I1224+J1224+L1224</f>
        <v>71.8629</v>
      </c>
    </row>
    <row r="1225" customFormat="false" ht="15" hidden="false" customHeight="false" outlineLevel="0" collapsed="false">
      <c r="B1225" s="7" t="s">
        <v>9858</v>
      </c>
      <c r="C1225" s="39" t="n">
        <v>45735</v>
      </c>
      <c r="D1225" s="7" t="s">
        <v>246</v>
      </c>
      <c r="E1225" s="7" t="s">
        <v>180</v>
      </c>
      <c r="F1225" s="6" t="n">
        <v>4.21</v>
      </c>
      <c r="G1225" s="6" t="n">
        <v>0</v>
      </c>
      <c r="H1225" s="41" t="n">
        <v>16.48</v>
      </c>
      <c r="I1225" s="43" t="n">
        <f aca="false">F1225*H1225</f>
        <v>69.3808</v>
      </c>
      <c r="J1225" s="43" t="n">
        <f aca="false">G1225*H1225*1.5</f>
        <v>0</v>
      </c>
      <c r="K1225" s="6" t="n">
        <v>10.41</v>
      </c>
      <c r="L1225" s="43" t="n">
        <f aca="false">K1225*'Chart of Accounts'!$E$68</f>
        <v>6.9747</v>
      </c>
      <c r="O1225" s="42" t="n">
        <f aca="false">I1225+J1225+L1225</f>
        <v>76.3555</v>
      </c>
    </row>
    <row r="1226" customFormat="false" ht="15" hidden="false" customHeight="false" outlineLevel="0" collapsed="false">
      <c r="B1226" s="7" t="s">
        <v>9859</v>
      </c>
      <c r="C1226" s="39" t="n">
        <v>45735</v>
      </c>
      <c r="D1226" s="7" t="s">
        <v>222</v>
      </c>
      <c r="E1226" s="7" t="s">
        <v>180</v>
      </c>
      <c r="F1226" s="6" t="n">
        <v>3.92</v>
      </c>
      <c r="G1226" s="6" t="n">
        <v>0</v>
      </c>
      <c r="H1226" s="41" t="n">
        <v>17.84</v>
      </c>
      <c r="I1226" s="43" t="n">
        <f aca="false">F1226*H1226</f>
        <v>69.9328</v>
      </c>
      <c r="J1226" s="43" t="n">
        <f aca="false">G1226*H1226*1.5</f>
        <v>0</v>
      </c>
      <c r="K1226" s="6" t="n">
        <v>9.17</v>
      </c>
      <c r="L1226" s="43" t="n">
        <f aca="false">K1226*'Chart of Accounts'!$E$68</f>
        <v>6.1439</v>
      </c>
      <c r="O1226" s="42" t="n">
        <f aca="false">I1226+J1226+L1226</f>
        <v>76.0767</v>
      </c>
    </row>
    <row r="1227" customFormat="false" ht="15" hidden="false" customHeight="false" outlineLevel="0" collapsed="false">
      <c r="B1227" s="7" t="s">
        <v>9860</v>
      </c>
      <c r="C1227" s="39" t="n">
        <v>45735</v>
      </c>
      <c r="D1227" s="7" t="s">
        <v>203</v>
      </c>
      <c r="E1227" s="7" t="s">
        <v>158</v>
      </c>
      <c r="H1227" s="41" t="n">
        <v>49.43</v>
      </c>
      <c r="M1227" s="6" t="n">
        <v>1</v>
      </c>
      <c r="N1227" s="43" t="n">
        <f aca="false">M1227*H1227</f>
        <v>49.43</v>
      </c>
      <c r="O1227" s="42" t="n">
        <f aca="false">N1227</f>
        <v>49.43</v>
      </c>
    </row>
    <row r="1228" customFormat="false" ht="15" hidden="false" customHeight="false" outlineLevel="0" collapsed="false">
      <c r="B1228" s="7" t="s">
        <v>9861</v>
      </c>
      <c r="C1228" s="39" t="n">
        <v>45735</v>
      </c>
      <c r="D1228" s="7" t="s">
        <v>262</v>
      </c>
      <c r="E1228" s="7" t="s">
        <v>180</v>
      </c>
      <c r="F1228" s="6" t="n">
        <v>3.02</v>
      </c>
      <c r="G1228" s="6" t="n">
        <v>0</v>
      </c>
      <c r="H1228" s="41" t="n">
        <v>16.02</v>
      </c>
      <c r="I1228" s="43" t="n">
        <f aca="false">F1228*H1228</f>
        <v>48.3804</v>
      </c>
      <c r="J1228" s="43" t="n">
        <f aca="false">G1228*H1228*1.5</f>
        <v>0</v>
      </c>
      <c r="K1228" s="6" t="n">
        <v>9.2</v>
      </c>
      <c r="L1228" s="43" t="n">
        <f aca="false">K1228*'Chart of Accounts'!$E$68</f>
        <v>6.164</v>
      </c>
      <c r="O1228" s="42" t="n">
        <f aca="false">I1228+J1228+L1228</f>
        <v>54.5444</v>
      </c>
    </row>
    <row r="1229" customFormat="false" ht="15" hidden="false" customHeight="false" outlineLevel="0" collapsed="false">
      <c r="B1229" s="7" t="s">
        <v>9862</v>
      </c>
      <c r="C1229" s="39" t="n">
        <v>45735</v>
      </c>
      <c r="D1229" s="7" t="s">
        <v>214</v>
      </c>
      <c r="E1229" s="7" t="s">
        <v>180</v>
      </c>
      <c r="F1229" s="6" t="n">
        <v>3.31</v>
      </c>
      <c r="G1229" s="6" t="n">
        <v>0</v>
      </c>
      <c r="H1229" s="41" t="n">
        <v>15.67</v>
      </c>
      <c r="I1229" s="43" t="n">
        <f aca="false">F1229*H1229</f>
        <v>51.8677</v>
      </c>
      <c r="J1229" s="43" t="n">
        <f aca="false">G1229*H1229*1.5</f>
        <v>0</v>
      </c>
      <c r="K1229" s="6" t="n">
        <v>9.03</v>
      </c>
      <c r="L1229" s="43" t="n">
        <f aca="false">K1229*'Chart of Accounts'!$E$68</f>
        <v>6.0501</v>
      </c>
      <c r="O1229" s="42" t="n">
        <f aca="false">I1229+J1229+L1229</f>
        <v>57.9178</v>
      </c>
    </row>
    <row r="1230" customFormat="false" ht="15" hidden="false" customHeight="false" outlineLevel="0" collapsed="false">
      <c r="B1230" s="7" t="s">
        <v>9863</v>
      </c>
      <c r="C1230" s="39" t="n">
        <v>45736</v>
      </c>
      <c r="D1230" s="7" t="s">
        <v>191</v>
      </c>
      <c r="E1230" s="7" t="s">
        <v>180</v>
      </c>
      <c r="F1230" s="6" t="n">
        <v>4.14</v>
      </c>
      <c r="G1230" s="6" t="n">
        <v>0</v>
      </c>
      <c r="H1230" s="41" t="n">
        <v>16.05</v>
      </c>
      <c r="I1230" s="43" t="n">
        <f aca="false">F1230*H1230</f>
        <v>66.447</v>
      </c>
      <c r="J1230" s="43" t="n">
        <f aca="false">G1230*H1230*1.5</f>
        <v>0</v>
      </c>
      <c r="K1230" s="6" t="n">
        <v>9.95</v>
      </c>
      <c r="L1230" s="43" t="n">
        <f aca="false">K1230*'Chart of Accounts'!$E$68</f>
        <v>6.6665</v>
      </c>
      <c r="O1230" s="42" t="n">
        <f aca="false">I1230+J1230+L1230</f>
        <v>73.1135</v>
      </c>
    </row>
    <row r="1231" customFormat="false" ht="15" hidden="false" customHeight="false" outlineLevel="0" collapsed="false">
      <c r="B1231" s="7" t="s">
        <v>9864</v>
      </c>
      <c r="C1231" s="39" t="n">
        <v>45736</v>
      </c>
      <c r="D1231" s="7" t="s">
        <v>201</v>
      </c>
      <c r="E1231" s="7" t="s">
        <v>180</v>
      </c>
      <c r="F1231" s="6" t="n">
        <v>3.05</v>
      </c>
      <c r="G1231" s="6" t="n">
        <v>0</v>
      </c>
      <c r="H1231" s="41" t="n">
        <v>15.19</v>
      </c>
      <c r="I1231" s="43" t="n">
        <f aca="false">F1231*H1231</f>
        <v>46.3295</v>
      </c>
      <c r="J1231" s="43" t="n">
        <f aca="false">G1231*H1231*1.5</f>
        <v>0</v>
      </c>
      <c r="K1231" s="6" t="n">
        <v>7.37</v>
      </c>
      <c r="L1231" s="43" t="n">
        <f aca="false">K1231*'Chart of Accounts'!$E$68</f>
        <v>4.9379</v>
      </c>
      <c r="O1231" s="42" t="n">
        <f aca="false">I1231+J1231+L1231</f>
        <v>51.2674</v>
      </c>
    </row>
    <row r="1232" customFormat="false" ht="15" hidden="false" customHeight="false" outlineLevel="0" collapsed="false">
      <c r="B1232" s="7" t="s">
        <v>9865</v>
      </c>
      <c r="C1232" s="39" t="n">
        <v>45736</v>
      </c>
      <c r="D1232" s="7" t="s">
        <v>196</v>
      </c>
      <c r="E1232" s="7" t="s">
        <v>180</v>
      </c>
      <c r="F1232" s="6" t="n">
        <v>6.34</v>
      </c>
      <c r="G1232" s="6" t="n">
        <v>0</v>
      </c>
      <c r="H1232" s="41" t="n">
        <v>15.05</v>
      </c>
      <c r="I1232" s="43" t="n">
        <f aca="false">F1232*H1232</f>
        <v>95.417</v>
      </c>
      <c r="J1232" s="43" t="n">
        <f aca="false">G1232*H1232*1.5</f>
        <v>0</v>
      </c>
      <c r="K1232" s="6" t="n">
        <v>20.85</v>
      </c>
      <c r="L1232" s="43" t="n">
        <f aca="false">K1232*'Chart of Accounts'!$E$68</f>
        <v>13.9695</v>
      </c>
      <c r="O1232" s="42" t="n">
        <f aca="false">I1232+J1232+L1232</f>
        <v>109.3865</v>
      </c>
    </row>
    <row r="1233" customFormat="false" ht="15" hidden="false" customHeight="false" outlineLevel="0" collapsed="false">
      <c r="B1233" s="7" t="s">
        <v>9866</v>
      </c>
      <c r="C1233" s="39" t="n">
        <v>45736</v>
      </c>
      <c r="D1233" s="7" t="s">
        <v>184</v>
      </c>
      <c r="E1233" s="7" t="s">
        <v>180</v>
      </c>
      <c r="F1233" s="6" t="n">
        <v>4.27</v>
      </c>
      <c r="G1233" s="6" t="n">
        <v>0</v>
      </c>
      <c r="H1233" s="41" t="n">
        <v>17.34</v>
      </c>
      <c r="I1233" s="43" t="n">
        <f aca="false">F1233*H1233</f>
        <v>74.0418</v>
      </c>
      <c r="J1233" s="43" t="n">
        <f aca="false">G1233*H1233*1.5</f>
        <v>0</v>
      </c>
      <c r="K1233" s="6" t="n">
        <v>13.17</v>
      </c>
      <c r="L1233" s="43" t="n">
        <f aca="false">K1233*'Chart of Accounts'!$E$68</f>
        <v>8.8239</v>
      </c>
      <c r="O1233" s="42" t="n">
        <f aca="false">I1233+J1233+L1233</f>
        <v>82.8657</v>
      </c>
    </row>
    <row r="1234" customFormat="false" ht="15" hidden="false" customHeight="false" outlineLevel="0" collapsed="false">
      <c r="B1234" s="7" t="s">
        <v>9867</v>
      </c>
      <c r="C1234" s="39" t="n">
        <v>45736</v>
      </c>
      <c r="D1234" s="7" t="s">
        <v>207</v>
      </c>
      <c r="E1234" s="7" t="s">
        <v>180</v>
      </c>
      <c r="F1234" s="6" t="n">
        <v>3.02</v>
      </c>
      <c r="G1234" s="6" t="n">
        <v>0</v>
      </c>
      <c r="H1234" s="41" t="n">
        <v>16.65</v>
      </c>
      <c r="I1234" s="43" t="n">
        <f aca="false">F1234*H1234</f>
        <v>50.283</v>
      </c>
      <c r="J1234" s="43" t="n">
        <f aca="false">G1234*H1234*1.5</f>
        <v>0</v>
      </c>
      <c r="K1234" s="6" t="n">
        <v>6.88</v>
      </c>
      <c r="L1234" s="43" t="n">
        <f aca="false">K1234*'Chart of Accounts'!$E$68</f>
        <v>4.6096</v>
      </c>
      <c r="O1234" s="42" t="n">
        <f aca="false">I1234+J1234+L1234</f>
        <v>54.8926</v>
      </c>
    </row>
    <row r="1235" customFormat="false" ht="15" hidden="false" customHeight="false" outlineLevel="0" collapsed="false">
      <c r="B1235" s="7" t="s">
        <v>9868</v>
      </c>
      <c r="C1235" s="39" t="n">
        <v>45736</v>
      </c>
      <c r="D1235" s="7" t="s">
        <v>218</v>
      </c>
      <c r="E1235" s="7" t="s">
        <v>180</v>
      </c>
      <c r="F1235" s="6" t="n">
        <v>3.75</v>
      </c>
      <c r="G1235" s="6" t="n">
        <v>0</v>
      </c>
      <c r="H1235" s="41" t="n">
        <v>16.19</v>
      </c>
      <c r="I1235" s="43" t="n">
        <f aca="false">F1235*H1235</f>
        <v>60.7125</v>
      </c>
      <c r="J1235" s="43" t="n">
        <f aca="false">G1235*H1235*1.5</f>
        <v>0</v>
      </c>
      <c r="K1235" s="6" t="n">
        <v>9.12</v>
      </c>
      <c r="L1235" s="43" t="n">
        <f aca="false">K1235*'Chart of Accounts'!$E$68</f>
        <v>6.1104</v>
      </c>
      <c r="O1235" s="42" t="n">
        <f aca="false">I1235+J1235+L1235</f>
        <v>66.8229</v>
      </c>
    </row>
    <row r="1236" customFormat="false" ht="15" hidden="false" customHeight="false" outlineLevel="0" collapsed="false">
      <c r="B1236" s="7" t="s">
        <v>9869</v>
      </c>
      <c r="C1236" s="39" t="n">
        <v>45736</v>
      </c>
      <c r="D1236" s="7" t="s">
        <v>212</v>
      </c>
      <c r="E1236" s="7" t="s">
        <v>180</v>
      </c>
      <c r="F1236" s="6" t="n">
        <v>6.6</v>
      </c>
      <c r="G1236" s="6" t="n">
        <v>0</v>
      </c>
      <c r="H1236" s="41" t="n">
        <v>16.71</v>
      </c>
      <c r="I1236" s="43" t="n">
        <f aca="false">F1236*H1236</f>
        <v>110.286</v>
      </c>
      <c r="J1236" s="43" t="n">
        <f aca="false">G1236*H1236*1.5</f>
        <v>0</v>
      </c>
      <c r="K1236" s="6" t="n">
        <v>16.83</v>
      </c>
      <c r="L1236" s="43" t="n">
        <f aca="false">K1236*'Chart of Accounts'!$E$68</f>
        <v>11.2761</v>
      </c>
      <c r="O1236" s="42" t="n">
        <f aca="false">I1236+J1236+L1236</f>
        <v>121.5621</v>
      </c>
    </row>
    <row r="1237" customFormat="false" ht="15" hidden="false" customHeight="false" outlineLevel="0" collapsed="false">
      <c r="B1237" s="7" t="s">
        <v>9870</v>
      </c>
      <c r="C1237" s="39" t="n">
        <v>45736</v>
      </c>
      <c r="D1237" s="7" t="s">
        <v>220</v>
      </c>
      <c r="E1237" s="7" t="s">
        <v>180</v>
      </c>
      <c r="F1237" s="6" t="n">
        <v>3.82</v>
      </c>
      <c r="G1237" s="6" t="n">
        <v>0</v>
      </c>
      <c r="H1237" s="41" t="n">
        <v>16.43</v>
      </c>
      <c r="I1237" s="43" t="n">
        <f aca="false">F1237*H1237</f>
        <v>62.7626</v>
      </c>
      <c r="J1237" s="43" t="n">
        <f aca="false">G1237*H1237*1.5</f>
        <v>0</v>
      </c>
      <c r="K1237" s="6" t="n">
        <v>9.1</v>
      </c>
      <c r="L1237" s="43" t="n">
        <f aca="false">K1237*'Chart of Accounts'!$E$68</f>
        <v>6.097</v>
      </c>
      <c r="O1237" s="42" t="n">
        <f aca="false">I1237+J1237+L1237</f>
        <v>68.8596</v>
      </c>
    </row>
    <row r="1238" customFormat="false" ht="15" hidden="false" customHeight="false" outlineLevel="0" collapsed="false">
      <c r="B1238" s="7" t="s">
        <v>9871</v>
      </c>
      <c r="C1238" s="39" t="n">
        <v>45736</v>
      </c>
      <c r="D1238" s="7" t="s">
        <v>224</v>
      </c>
      <c r="E1238" s="7" t="s">
        <v>180</v>
      </c>
      <c r="F1238" s="6" t="n">
        <v>3.9</v>
      </c>
      <c r="G1238" s="6" t="n">
        <v>0</v>
      </c>
      <c r="H1238" s="41" t="n">
        <v>14.93</v>
      </c>
      <c r="I1238" s="43" t="n">
        <f aca="false">F1238*H1238</f>
        <v>58.227</v>
      </c>
      <c r="J1238" s="43" t="n">
        <f aca="false">G1238*H1238*1.5</f>
        <v>0</v>
      </c>
      <c r="K1238" s="6" t="n">
        <v>13.48</v>
      </c>
      <c r="L1238" s="43" t="n">
        <f aca="false">K1238*'Chart of Accounts'!$E$68</f>
        <v>9.0316</v>
      </c>
      <c r="O1238" s="42" t="n">
        <f aca="false">I1238+J1238+L1238</f>
        <v>67.2586</v>
      </c>
    </row>
    <row r="1239" customFormat="false" ht="15" hidden="false" customHeight="false" outlineLevel="0" collapsed="false">
      <c r="B1239" s="7" t="s">
        <v>9872</v>
      </c>
      <c r="C1239" s="39" t="n">
        <v>45736</v>
      </c>
      <c r="D1239" s="7" t="s">
        <v>232</v>
      </c>
      <c r="E1239" s="7" t="s">
        <v>180</v>
      </c>
      <c r="F1239" s="6" t="n">
        <v>3.02</v>
      </c>
      <c r="G1239" s="6" t="n">
        <v>0</v>
      </c>
      <c r="H1239" s="41" t="n">
        <v>16.17</v>
      </c>
      <c r="I1239" s="43" t="n">
        <f aca="false">F1239*H1239</f>
        <v>48.8334</v>
      </c>
      <c r="J1239" s="43" t="n">
        <f aca="false">G1239*H1239*1.5</f>
        <v>0</v>
      </c>
      <c r="K1239" s="6" t="n">
        <v>7.86</v>
      </c>
      <c r="L1239" s="43" t="n">
        <f aca="false">K1239*'Chart of Accounts'!$E$68</f>
        <v>5.2662</v>
      </c>
      <c r="O1239" s="42" t="n">
        <f aca="false">I1239+J1239+L1239</f>
        <v>54.0996</v>
      </c>
    </row>
    <row r="1240" customFormat="false" ht="15" hidden="false" customHeight="false" outlineLevel="0" collapsed="false">
      <c r="B1240" s="7" t="s">
        <v>9873</v>
      </c>
      <c r="C1240" s="39" t="n">
        <v>45736</v>
      </c>
      <c r="D1240" s="7" t="s">
        <v>222</v>
      </c>
      <c r="E1240" s="7" t="s">
        <v>180</v>
      </c>
      <c r="F1240" s="6" t="n">
        <v>6.41</v>
      </c>
      <c r="G1240" s="6" t="n">
        <v>0</v>
      </c>
      <c r="H1240" s="41" t="n">
        <v>17.84</v>
      </c>
      <c r="I1240" s="43" t="n">
        <f aca="false">F1240*H1240</f>
        <v>114.3544</v>
      </c>
      <c r="J1240" s="43" t="n">
        <f aca="false">G1240*H1240*1.5</f>
        <v>0</v>
      </c>
      <c r="K1240" s="6" t="n">
        <v>17.44</v>
      </c>
      <c r="L1240" s="43" t="n">
        <f aca="false">K1240*'Chart of Accounts'!$E$68</f>
        <v>11.6848</v>
      </c>
      <c r="O1240" s="42" t="n">
        <f aca="false">I1240+J1240+L1240</f>
        <v>126.0392</v>
      </c>
    </row>
    <row r="1241" customFormat="false" ht="15" hidden="false" customHeight="false" outlineLevel="0" collapsed="false">
      <c r="B1241" s="7" t="s">
        <v>9874</v>
      </c>
      <c r="C1241" s="39" t="n">
        <v>45736</v>
      </c>
      <c r="D1241" s="7" t="s">
        <v>262</v>
      </c>
      <c r="E1241" s="7" t="s">
        <v>180</v>
      </c>
      <c r="F1241" s="6" t="n">
        <v>4</v>
      </c>
      <c r="G1241" s="6" t="n">
        <v>0</v>
      </c>
      <c r="H1241" s="41" t="n">
        <v>16.02</v>
      </c>
      <c r="I1241" s="43" t="n">
        <f aca="false">F1241*H1241</f>
        <v>64.08</v>
      </c>
      <c r="J1241" s="43" t="n">
        <f aca="false">G1241*H1241*1.5</f>
        <v>0</v>
      </c>
      <c r="K1241" s="6" t="n">
        <v>12.96</v>
      </c>
      <c r="L1241" s="43" t="n">
        <f aca="false">K1241*'Chart of Accounts'!$E$68</f>
        <v>8.6832</v>
      </c>
      <c r="O1241" s="42" t="n">
        <f aca="false">I1241+J1241+L1241</f>
        <v>72.7632</v>
      </c>
    </row>
    <row r="1242" customFormat="false" ht="15" hidden="false" customHeight="false" outlineLevel="0" collapsed="false">
      <c r="B1242" s="7" t="s">
        <v>9875</v>
      </c>
      <c r="C1242" s="39" t="n">
        <v>45736</v>
      </c>
      <c r="D1242" s="7" t="s">
        <v>246</v>
      </c>
      <c r="E1242" s="7" t="s">
        <v>180</v>
      </c>
      <c r="F1242" s="6" t="n">
        <v>7.93</v>
      </c>
      <c r="G1242" s="6" t="n">
        <v>0</v>
      </c>
      <c r="H1242" s="41" t="n">
        <v>16.48</v>
      </c>
      <c r="I1242" s="43" t="n">
        <f aca="false">F1242*H1242</f>
        <v>130.6864</v>
      </c>
      <c r="J1242" s="43" t="n">
        <f aca="false">G1242*H1242*1.5</f>
        <v>0</v>
      </c>
      <c r="K1242" s="6" t="n">
        <v>22.46</v>
      </c>
      <c r="L1242" s="43" t="n">
        <f aca="false">K1242*'Chart of Accounts'!$E$68</f>
        <v>15.0482</v>
      </c>
      <c r="O1242" s="42" t="n">
        <f aca="false">I1242+J1242+L1242</f>
        <v>145.7346</v>
      </c>
    </row>
    <row r="1243" customFormat="false" ht="15" hidden="false" customHeight="false" outlineLevel="0" collapsed="false">
      <c r="B1243" s="7" t="s">
        <v>9876</v>
      </c>
      <c r="C1243" s="39" t="n">
        <v>45736</v>
      </c>
      <c r="D1243" s="7" t="s">
        <v>214</v>
      </c>
      <c r="E1243" s="7" t="s">
        <v>180</v>
      </c>
      <c r="F1243" s="6" t="n">
        <v>4.01</v>
      </c>
      <c r="G1243" s="6" t="n">
        <v>0</v>
      </c>
      <c r="H1243" s="41" t="n">
        <v>15.67</v>
      </c>
      <c r="I1243" s="43" t="n">
        <f aca="false">F1243*H1243</f>
        <v>62.8367</v>
      </c>
      <c r="J1243" s="43" t="n">
        <f aca="false">G1243*H1243*1.5</f>
        <v>0</v>
      </c>
      <c r="K1243" s="6" t="n">
        <v>13.58</v>
      </c>
      <c r="L1243" s="43" t="n">
        <f aca="false">K1243*'Chart of Accounts'!$E$68</f>
        <v>9.0986</v>
      </c>
      <c r="O1243" s="42" t="n">
        <f aca="false">I1243+J1243+L1243</f>
        <v>71.9353</v>
      </c>
    </row>
    <row r="1244" customFormat="false" ht="15" hidden="false" customHeight="false" outlineLevel="0" collapsed="false">
      <c r="B1244" s="7" t="s">
        <v>9877</v>
      </c>
      <c r="C1244" s="39" t="n">
        <v>45736</v>
      </c>
      <c r="D1244" s="7" t="s">
        <v>242</v>
      </c>
      <c r="E1244" s="7" t="s">
        <v>180</v>
      </c>
      <c r="F1244" s="6" t="n">
        <v>4.28</v>
      </c>
      <c r="G1244" s="6" t="n">
        <v>0</v>
      </c>
      <c r="H1244" s="41" t="n">
        <v>17.99</v>
      </c>
      <c r="I1244" s="43" t="n">
        <f aca="false">F1244*H1244</f>
        <v>76.9972</v>
      </c>
      <c r="J1244" s="43" t="n">
        <f aca="false">G1244*H1244*1.5</f>
        <v>0</v>
      </c>
      <c r="K1244" s="6" t="n">
        <v>15.13</v>
      </c>
      <c r="L1244" s="43" t="n">
        <f aca="false">K1244*'Chart of Accounts'!$E$68</f>
        <v>10.1371</v>
      </c>
      <c r="O1244" s="42" t="n">
        <f aca="false">I1244+J1244+L1244</f>
        <v>87.1343</v>
      </c>
    </row>
    <row r="1245" customFormat="false" ht="15" hidden="false" customHeight="false" outlineLevel="0" collapsed="false">
      <c r="B1245" s="7" t="s">
        <v>9878</v>
      </c>
      <c r="C1245" s="39" t="n">
        <v>45736</v>
      </c>
      <c r="D1245" s="7" t="s">
        <v>254</v>
      </c>
      <c r="E1245" s="7" t="s">
        <v>180</v>
      </c>
      <c r="F1245" s="6" t="n">
        <v>4.31</v>
      </c>
      <c r="G1245" s="6" t="n">
        <v>0</v>
      </c>
      <c r="H1245" s="41" t="n">
        <v>17.1</v>
      </c>
      <c r="I1245" s="43" t="n">
        <f aca="false">F1245*H1245</f>
        <v>73.701</v>
      </c>
      <c r="J1245" s="43" t="n">
        <f aca="false">G1245*H1245*1.5</f>
        <v>0</v>
      </c>
      <c r="K1245" s="6" t="n">
        <v>10.59</v>
      </c>
      <c r="L1245" s="43" t="n">
        <f aca="false">K1245*'Chart of Accounts'!$E$68</f>
        <v>7.0953</v>
      </c>
      <c r="O1245" s="42" t="n">
        <f aca="false">I1245+J1245+L1245</f>
        <v>80.7963</v>
      </c>
    </row>
    <row r="1246" customFormat="false" ht="15" hidden="false" customHeight="false" outlineLevel="0" collapsed="false">
      <c r="B1246" s="7" t="s">
        <v>9879</v>
      </c>
      <c r="C1246" s="39" t="n">
        <v>45737</v>
      </c>
      <c r="D1246" s="7" t="s">
        <v>191</v>
      </c>
      <c r="E1246" s="7" t="s">
        <v>180</v>
      </c>
      <c r="F1246" s="6" t="n">
        <v>4.11</v>
      </c>
      <c r="G1246" s="6" t="n">
        <v>0</v>
      </c>
      <c r="H1246" s="41" t="n">
        <v>16.05</v>
      </c>
      <c r="I1246" s="43" t="n">
        <f aca="false">F1246*H1246</f>
        <v>65.9655</v>
      </c>
      <c r="J1246" s="43" t="n">
        <f aca="false">G1246*H1246*1.5</f>
        <v>0</v>
      </c>
      <c r="K1246" s="6" t="n">
        <v>9.5</v>
      </c>
      <c r="L1246" s="43" t="n">
        <f aca="false">K1246*'Chart of Accounts'!$E$68</f>
        <v>6.365</v>
      </c>
      <c r="O1246" s="42" t="n">
        <f aca="false">I1246+J1246+L1246</f>
        <v>72.3305</v>
      </c>
    </row>
    <row r="1247" customFormat="false" ht="15" hidden="false" customHeight="false" outlineLevel="0" collapsed="false">
      <c r="B1247" s="7" t="s">
        <v>9880</v>
      </c>
      <c r="C1247" s="39" t="n">
        <v>45737</v>
      </c>
      <c r="D1247" s="7" t="s">
        <v>194</v>
      </c>
      <c r="E1247" s="7" t="s">
        <v>180</v>
      </c>
      <c r="F1247" s="6" t="n">
        <v>4.47</v>
      </c>
      <c r="G1247" s="6" t="n">
        <v>0</v>
      </c>
      <c r="H1247" s="41" t="n">
        <v>16</v>
      </c>
      <c r="I1247" s="43" t="n">
        <f aca="false">F1247*H1247</f>
        <v>71.52</v>
      </c>
      <c r="J1247" s="43" t="n">
        <f aca="false">G1247*H1247*1.5</f>
        <v>0</v>
      </c>
      <c r="K1247" s="6" t="n">
        <v>12.14</v>
      </c>
      <c r="L1247" s="43" t="n">
        <f aca="false">K1247*'Chart of Accounts'!$E$68</f>
        <v>8.1338</v>
      </c>
      <c r="O1247" s="42" t="n">
        <f aca="false">I1247+J1247+L1247</f>
        <v>79.6538</v>
      </c>
    </row>
    <row r="1248" customFormat="false" ht="15" hidden="false" customHeight="false" outlineLevel="0" collapsed="false">
      <c r="B1248" s="7" t="s">
        <v>9881</v>
      </c>
      <c r="C1248" s="39" t="n">
        <v>45737</v>
      </c>
      <c r="D1248" s="7" t="s">
        <v>209</v>
      </c>
      <c r="E1248" s="7" t="s">
        <v>158</v>
      </c>
      <c r="H1248" s="41" t="n">
        <v>73.58</v>
      </c>
      <c r="M1248" s="6" t="n">
        <v>2</v>
      </c>
      <c r="N1248" s="43" t="n">
        <f aca="false">M1248*H1248</f>
        <v>147.16</v>
      </c>
      <c r="O1248" s="42" t="n">
        <f aca="false">N1248</f>
        <v>147.16</v>
      </c>
    </row>
    <row r="1249" customFormat="false" ht="15" hidden="false" customHeight="false" outlineLevel="0" collapsed="false">
      <c r="B1249" s="7" t="s">
        <v>9882</v>
      </c>
      <c r="C1249" s="39" t="n">
        <v>45737</v>
      </c>
      <c r="D1249" s="7" t="s">
        <v>205</v>
      </c>
      <c r="E1249" s="7" t="s">
        <v>180</v>
      </c>
      <c r="F1249" s="6" t="n">
        <v>3.69</v>
      </c>
      <c r="G1249" s="6" t="n">
        <v>0</v>
      </c>
      <c r="H1249" s="41" t="n">
        <v>16.36</v>
      </c>
      <c r="I1249" s="43" t="n">
        <f aca="false">F1249*H1249</f>
        <v>60.3684</v>
      </c>
      <c r="J1249" s="43" t="n">
        <f aca="false">G1249*H1249*1.5</f>
        <v>0</v>
      </c>
      <c r="K1249" s="6" t="n">
        <v>11.03</v>
      </c>
      <c r="L1249" s="43" t="n">
        <f aca="false">K1249*'Chart of Accounts'!$E$68</f>
        <v>7.3901</v>
      </c>
      <c r="O1249" s="42" t="n">
        <f aca="false">I1249+J1249+L1249</f>
        <v>67.7585</v>
      </c>
    </row>
    <row r="1250" customFormat="false" ht="15" hidden="false" customHeight="false" outlineLevel="0" collapsed="false">
      <c r="B1250" s="7" t="s">
        <v>9883</v>
      </c>
      <c r="C1250" s="39" t="n">
        <v>45737</v>
      </c>
      <c r="D1250" s="7" t="s">
        <v>252</v>
      </c>
      <c r="E1250" s="7" t="s">
        <v>158</v>
      </c>
      <c r="H1250" s="41" t="n">
        <v>57.54</v>
      </c>
      <c r="M1250" s="6" t="n">
        <v>1</v>
      </c>
      <c r="N1250" s="43" t="n">
        <f aca="false">M1250*H1250</f>
        <v>57.54</v>
      </c>
      <c r="O1250" s="42" t="n">
        <f aca="false">N1250</f>
        <v>57.54</v>
      </c>
    </row>
    <row r="1251" customFormat="false" ht="15" hidden="false" customHeight="false" outlineLevel="0" collapsed="false">
      <c r="B1251" s="7" t="s">
        <v>9884</v>
      </c>
      <c r="C1251" s="39" t="n">
        <v>45737</v>
      </c>
      <c r="D1251" s="7" t="s">
        <v>184</v>
      </c>
      <c r="E1251" s="7" t="s">
        <v>180</v>
      </c>
      <c r="F1251" s="6" t="n">
        <v>3.82</v>
      </c>
      <c r="G1251" s="6" t="n">
        <v>0</v>
      </c>
      <c r="H1251" s="41" t="n">
        <v>17.34</v>
      </c>
      <c r="I1251" s="43" t="n">
        <f aca="false">F1251*H1251</f>
        <v>66.2388</v>
      </c>
      <c r="J1251" s="43" t="n">
        <f aca="false">G1251*H1251*1.5</f>
        <v>0</v>
      </c>
      <c r="K1251" s="6" t="n">
        <v>8.64</v>
      </c>
      <c r="L1251" s="43" t="n">
        <f aca="false">K1251*'Chart of Accounts'!$E$68</f>
        <v>5.7888</v>
      </c>
      <c r="O1251" s="42" t="n">
        <f aca="false">I1251+J1251+L1251</f>
        <v>72.0276</v>
      </c>
    </row>
    <row r="1252" customFormat="false" ht="15" hidden="false" customHeight="false" outlineLevel="0" collapsed="false">
      <c r="B1252" s="7" t="s">
        <v>9885</v>
      </c>
      <c r="C1252" s="39" t="n">
        <v>45737</v>
      </c>
      <c r="D1252" s="7" t="s">
        <v>234</v>
      </c>
      <c r="E1252" s="7" t="s">
        <v>158</v>
      </c>
      <c r="H1252" s="41" t="n">
        <v>89.53</v>
      </c>
      <c r="M1252" s="6" t="n">
        <v>2</v>
      </c>
      <c r="N1252" s="43" t="n">
        <f aca="false">M1252*H1252</f>
        <v>179.06</v>
      </c>
      <c r="O1252" s="42" t="n">
        <f aca="false">N1252</f>
        <v>179.06</v>
      </c>
    </row>
    <row r="1253" customFormat="false" ht="15" hidden="false" customHeight="false" outlineLevel="0" collapsed="false">
      <c r="B1253" s="7" t="s">
        <v>9886</v>
      </c>
      <c r="C1253" s="39" t="n">
        <v>45737</v>
      </c>
      <c r="D1253" s="7" t="s">
        <v>218</v>
      </c>
      <c r="E1253" s="7" t="s">
        <v>180</v>
      </c>
      <c r="F1253" s="6" t="n">
        <v>4.31</v>
      </c>
      <c r="G1253" s="6" t="n">
        <v>0</v>
      </c>
      <c r="H1253" s="41" t="n">
        <v>16.19</v>
      </c>
      <c r="I1253" s="43" t="n">
        <f aca="false">F1253*H1253</f>
        <v>69.7789</v>
      </c>
      <c r="J1253" s="43" t="n">
        <f aca="false">G1253*H1253*1.5</f>
        <v>0</v>
      </c>
      <c r="K1253" s="6" t="n">
        <v>11.07</v>
      </c>
      <c r="L1253" s="43" t="n">
        <f aca="false">K1253*'Chart of Accounts'!$E$68</f>
        <v>7.4169</v>
      </c>
      <c r="O1253" s="42" t="n">
        <f aca="false">I1253+J1253+L1253</f>
        <v>77.1958</v>
      </c>
    </row>
    <row r="1254" customFormat="false" ht="15" hidden="false" customHeight="false" outlineLevel="0" collapsed="false">
      <c r="B1254" s="7" t="s">
        <v>9887</v>
      </c>
      <c r="C1254" s="39" t="n">
        <v>45737</v>
      </c>
      <c r="D1254" s="7" t="s">
        <v>266</v>
      </c>
      <c r="E1254" s="7" t="s">
        <v>158</v>
      </c>
      <c r="H1254" s="41" t="n">
        <v>75.18</v>
      </c>
      <c r="M1254" s="6" t="n">
        <v>1</v>
      </c>
      <c r="N1254" s="43" t="n">
        <f aca="false">M1254*H1254</f>
        <v>75.18</v>
      </c>
      <c r="O1254" s="42" t="n">
        <f aca="false">N1254</f>
        <v>75.18</v>
      </c>
    </row>
    <row r="1255" customFormat="false" ht="15" hidden="false" customHeight="false" outlineLevel="0" collapsed="false">
      <c r="B1255" s="7" t="s">
        <v>9888</v>
      </c>
      <c r="C1255" s="39" t="n">
        <v>45737</v>
      </c>
      <c r="D1255" s="7" t="s">
        <v>228</v>
      </c>
      <c r="E1255" s="7" t="s">
        <v>158</v>
      </c>
      <c r="H1255" s="41" t="n">
        <v>51.07</v>
      </c>
      <c r="M1255" s="6" t="n">
        <v>1</v>
      </c>
      <c r="N1255" s="43" t="n">
        <f aca="false">M1255*H1255</f>
        <v>51.07</v>
      </c>
      <c r="O1255" s="42" t="n">
        <f aca="false">N1255</f>
        <v>51.07</v>
      </c>
    </row>
    <row r="1256" customFormat="false" ht="15" hidden="false" customHeight="false" outlineLevel="0" collapsed="false">
      <c r="B1256" s="7" t="s">
        <v>9889</v>
      </c>
      <c r="C1256" s="39" t="n">
        <v>45737</v>
      </c>
      <c r="D1256" s="7" t="s">
        <v>220</v>
      </c>
      <c r="E1256" s="7" t="s">
        <v>180</v>
      </c>
      <c r="F1256" s="6" t="n">
        <v>4.16</v>
      </c>
      <c r="G1256" s="6" t="n">
        <v>0</v>
      </c>
      <c r="H1256" s="41" t="n">
        <v>16.43</v>
      </c>
      <c r="I1256" s="43" t="n">
        <f aca="false">F1256*H1256</f>
        <v>68.3488</v>
      </c>
      <c r="J1256" s="43" t="n">
        <f aca="false">G1256*H1256*1.5</f>
        <v>0</v>
      </c>
      <c r="K1256" s="6" t="n">
        <v>14.53</v>
      </c>
      <c r="L1256" s="43" t="n">
        <f aca="false">K1256*'Chart of Accounts'!$E$68</f>
        <v>9.7351</v>
      </c>
      <c r="O1256" s="42" t="n">
        <f aca="false">I1256+J1256+L1256</f>
        <v>78.0839</v>
      </c>
    </row>
    <row r="1257" customFormat="false" ht="15" hidden="false" customHeight="false" outlineLevel="0" collapsed="false">
      <c r="B1257" s="7" t="s">
        <v>9890</v>
      </c>
      <c r="C1257" s="39" t="n">
        <v>45737</v>
      </c>
      <c r="D1257" s="7" t="s">
        <v>177</v>
      </c>
      <c r="E1257" s="7" t="s">
        <v>180</v>
      </c>
      <c r="F1257" s="6" t="n">
        <v>9.26</v>
      </c>
      <c r="G1257" s="6" t="n">
        <v>0</v>
      </c>
      <c r="H1257" s="41" t="n">
        <v>14.56</v>
      </c>
      <c r="I1257" s="43" t="n">
        <f aca="false">F1257*H1257</f>
        <v>134.8256</v>
      </c>
      <c r="J1257" s="43" t="n">
        <f aca="false">G1257*H1257*1.5</f>
        <v>0</v>
      </c>
      <c r="K1257" s="6" t="n">
        <v>31.4</v>
      </c>
      <c r="L1257" s="43" t="n">
        <f aca="false">K1257*'Chart of Accounts'!$E$68</f>
        <v>21.038</v>
      </c>
      <c r="O1257" s="42" t="n">
        <f aca="false">I1257+J1257+L1257</f>
        <v>155.8636</v>
      </c>
    </row>
    <row r="1258" customFormat="false" ht="15" hidden="false" customHeight="false" outlineLevel="0" collapsed="false">
      <c r="B1258" s="7" t="s">
        <v>9891</v>
      </c>
      <c r="C1258" s="39" t="n">
        <v>45737</v>
      </c>
      <c r="D1258" s="7" t="s">
        <v>242</v>
      </c>
      <c r="E1258" s="7" t="s">
        <v>180</v>
      </c>
      <c r="F1258" s="6" t="n">
        <v>7.28</v>
      </c>
      <c r="G1258" s="6" t="n">
        <v>0</v>
      </c>
      <c r="H1258" s="41" t="n">
        <v>17.99</v>
      </c>
      <c r="I1258" s="43" t="n">
        <f aca="false">F1258*H1258</f>
        <v>130.9672</v>
      </c>
      <c r="J1258" s="43" t="n">
        <f aca="false">G1258*H1258*1.5</f>
        <v>0</v>
      </c>
      <c r="K1258" s="6" t="n">
        <v>17.71</v>
      </c>
      <c r="L1258" s="43" t="n">
        <f aca="false">K1258*'Chart of Accounts'!$E$68</f>
        <v>11.8657</v>
      </c>
      <c r="O1258" s="42" t="n">
        <f aca="false">I1258+J1258+L1258</f>
        <v>142.8329</v>
      </c>
    </row>
    <row r="1259" customFormat="false" ht="15" hidden="false" customHeight="false" outlineLevel="0" collapsed="false">
      <c r="B1259" s="7" t="s">
        <v>9892</v>
      </c>
      <c r="C1259" s="39" t="n">
        <v>45737</v>
      </c>
      <c r="D1259" s="7" t="s">
        <v>254</v>
      </c>
      <c r="E1259" s="7" t="s">
        <v>180</v>
      </c>
      <c r="F1259" s="6" t="n">
        <v>7.61</v>
      </c>
      <c r="G1259" s="6" t="n">
        <v>0</v>
      </c>
      <c r="H1259" s="41" t="n">
        <v>17.1</v>
      </c>
      <c r="I1259" s="43" t="n">
        <f aca="false">F1259*H1259</f>
        <v>130.131</v>
      </c>
      <c r="J1259" s="43" t="n">
        <f aca="false">G1259*H1259*1.5</f>
        <v>0</v>
      </c>
      <c r="K1259" s="6" t="n">
        <v>25.93</v>
      </c>
      <c r="L1259" s="43" t="n">
        <f aca="false">K1259*'Chart of Accounts'!$E$68</f>
        <v>17.3731</v>
      </c>
      <c r="O1259" s="42" t="n">
        <f aca="false">I1259+J1259+L1259</f>
        <v>147.5041</v>
      </c>
    </row>
    <row r="1260" customFormat="false" ht="15" hidden="false" customHeight="false" outlineLevel="0" collapsed="false">
      <c r="B1260" s="7" t="s">
        <v>9893</v>
      </c>
      <c r="C1260" s="39" t="n">
        <v>45737</v>
      </c>
      <c r="D1260" s="7" t="s">
        <v>201</v>
      </c>
      <c r="E1260" s="7" t="s">
        <v>180</v>
      </c>
      <c r="F1260" s="6" t="n">
        <v>3.51</v>
      </c>
      <c r="G1260" s="6" t="n">
        <v>0</v>
      </c>
      <c r="H1260" s="41" t="n">
        <v>15.19</v>
      </c>
      <c r="I1260" s="43" t="n">
        <f aca="false">F1260*H1260</f>
        <v>53.3169</v>
      </c>
      <c r="J1260" s="43" t="n">
        <f aca="false">G1260*H1260*1.5</f>
        <v>0</v>
      </c>
      <c r="K1260" s="6" t="n">
        <v>12.06</v>
      </c>
      <c r="L1260" s="43" t="n">
        <f aca="false">K1260*'Chart of Accounts'!$E$68</f>
        <v>8.0802</v>
      </c>
      <c r="O1260" s="42" t="n">
        <f aca="false">I1260+J1260+L1260</f>
        <v>61.3971</v>
      </c>
    </row>
    <row r="1261" customFormat="false" ht="15" hidden="false" customHeight="false" outlineLevel="0" collapsed="false">
      <c r="B1261" s="7" t="s">
        <v>9894</v>
      </c>
      <c r="C1261" s="39" t="n">
        <v>45737</v>
      </c>
      <c r="D1261" s="7" t="s">
        <v>207</v>
      </c>
      <c r="E1261" s="7" t="s">
        <v>180</v>
      </c>
      <c r="F1261" s="6" t="n">
        <v>3.53</v>
      </c>
      <c r="G1261" s="6" t="n">
        <v>0</v>
      </c>
      <c r="H1261" s="41" t="n">
        <v>16.65</v>
      </c>
      <c r="I1261" s="43" t="n">
        <f aca="false">F1261*H1261</f>
        <v>58.7745</v>
      </c>
      <c r="J1261" s="43" t="n">
        <f aca="false">G1261*H1261*1.5</f>
        <v>0</v>
      </c>
      <c r="K1261" s="6" t="n">
        <v>7.83</v>
      </c>
      <c r="L1261" s="43" t="n">
        <f aca="false">K1261*'Chart of Accounts'!$E$68</f>
        <v>5.2461</v>
      </c>
      <c r="O1261" s="42" t="n">
        <f aca="false">I1261+J1261+L1261</f>
        <v>64.0206</v>
      </c>
    </row>
    <row r="1262" customFormat="false" ht="15" hidden="false" customHeight="false" outlineLevel="0" collapsed="false">
      <c r="B1262" s="7" t="s">
        <v>9895</v>
      </c>
      <c r="C1262" s="39" t="n">
        <v>45737</v>
      </c>
      <c r="D1262" s="7" t="s">
        <v>212</v>
      </c>
      <c r="E1262" s="7" t="s">
        <v>180</v>
      </c>
      <c r="F1262" s="6" t="n">
        <v>3.85</v>
      </c>
      <c r="G1262" s="6" t="n">
        <v>0</v>
      </c>
      <c r="H1262" s="41" t="n">
        <v>16.71</v>
      </c>
      <c r="I1262" s="43" t="n">
        <f aca="false">F1262*H1262</f>
        <v>64.3335</v>
      </c>
      <c r="J1262" s="43" t="n">
        <f aca="false">G1262*H1262*1.5</f>
        <v>0</v>
      </c>
      <c r="K1262" s="6" t="n">
        <v>8.84</v>
      </c>
      <c r="L1262" s="43" t="n">
        <f aca="false">K1262*'Chart of Accounts'!$E$68</f>
        <v>5.9228</v>
      </c>
      <c r="O1262" s="42" t="n">
        <f aca="false">I1262+J1262+L1262</f>
        <v>70.2563</v>
      </c>
    </row>
    <row r="1263" customFormat="false" ht="15" hidden="false" customHeight="false" outlineLevel="0" collapsed="false">
      <c r="B1263" s="7" t="s">
        <v>9896</v>
      </c>
      <c r="C1263" s="39" t="n">
        <v>45737</v>
      </c>
      <c r="D1263" s="7" t="s">
        <v>232</v>
      </c>
      <c r="E1263" s="7" t="s">
        <v>180</v>
      </c>
      <c r="F1263" s="6" t="n">
        <v>5.04</v>
      </c>
      <c r="G1263" s="6" t="n">
        <v>0</v>
      </c>
      <c r="H1263" s="41" t="n">
        <v>16.17</v>
      </c>
      <c r="I1263" s="43" t="n">
        <f aca="false">F1263*H1263</f>
        <v>81.4968</v>
      </c>
      <c r="J1263" s="43" t="n">
        <f aca="false">G1263*H1263*1.5</f>
        <v>0</v>
      </c>
      <c r="K1263" s="6" t="n">
        <v>13.93</v>
      </c>
      <c r="L1263" s="43" t="n">
        <f aca="false">K1263*'Chart of Accounts'!$E$68</f>
        <v>9.3331</v>
      </c>
      <c r="O1263" s="42" t="n">
        <f aca="false">I1263+J1263+L1263</f>
        <v>90.8299</v>
      </c>
    </row>
    <row r="1264" customFormat="false" ht="15" hidden="false" customHeight="false" outlineLevel="0" collapsed="false">
      <c r="B1264" s="7" t="s">
        <v>9897</v>
      </c>
      <c r="C1264" s="39" t="n">
        <v>45737</v>
      </c>
      <c r="D1264" s="7" t="s">
        <v>224</v>
      </c>
      <c r="E1264" s="7" t="s">
        <v>180</v>
      </c>
      <c r="F1264" s="6" t="n">
        <v>4.37</v>
      </c>
      <c r="G1264" s="6" t="n">
        <v>0</v>
      </c>
      <c r="H1264" s="41" t="n">
        <v>14.93</v>
      </c>
      <c r="I1264" s="43" t="n">
        <f aca="false">F1264*H1264</f>
        <v>65.2441</v>
      </c>
      <c r="J1264" s="43" t="n">
        <f aca="false">G1264*H1264*1.5</f>
        <v>0</v>
      </c>
      <c r="K1264" s="6" t="n">
        <v>9.88</v>
      </c>
      <c r="L1264" s="43" t="n">
        <f aca="false">K1264*'Chart of Accounts'!$E$68</f>
        <v>6.6196</v>
      </c>
      <c r="O1264" s="42" t="n">
        <f aca="false">I1264+J1264+L1264</f>
        <v>71.8637</v>
      </c>
    </row>
    <row r="1265" customFormat="false" ht="15" hidden="false" customHeight="false" outlineLevel="0" collapsed="false">
      <c r="B1265" s="7" t="s">
        <v>9898</v>
      </c>
      <c r="C1265" s="39" t="n">
        <v>45737</v>
      </c>
      <c r="D1265" s="7" t="s">
        <v>246</v>
      </c>
      <c r="E1265" s="7" t="s">
        <v>180</v>
      </c>
      <c r="F1265" s="6" t="n">
        <v>3.65</v>
      </c>
      <c r="G1265" s="6" t="n">
        <v>0</v>
      </c>
      <c r="H1265" s="41" t="n">
        <v>16.48</v>
      </c>
      <c r="I1265" s="43" t="n">
        <f aca="false">F1265*H1265</f>
        <v>60.152</v>
      </c>
      <c r="J1265" s="43" t="n">
        <f aca="false">G1265*H1265*1.5</f>
        <v>0</v>
      </c>
      <c r="K1265" s="6" t="n">
        <v>10.8</v>
      </c>
      <c r="L1265" s="43" t="n">
        <f aca="false">K1265*'Chart of Accounts'!$E$68</f>
        <v>7.236</v>
      </c>
      <c r="O1265" s="42" t="n">
        <f aca="false">I1265+J1265+L1265</f>
        <v>67.388</v>
      </c>
    </row>
    <row r="1266" customFormat="false" ht="15" hidden="false" customHeight="false" outlineLevel="0" collapsed="false">
      <c r="B1266" s="7" t="s">
        <v>9899</v>
      </c>
      <c r="C1266" s="39" t="n">
        <v>45737</v>
      </c>
      <c r="D1266" s="7" t="s">
        <v>222</v>
      </c>
      <c r="E1266" s="7" t="s">
        <v>180</v>
      </c>
      <c r="F1266" s="6" t="n">
        <v>4.28</v>
      </c>
      <c r="G1266" s="6" t="n">
        <v>0</v>
      </c>
      <c r="H1266" s="41" t="n">
        <v>17.84</v>
      </c>
      <c r="I1266" s="43" t="n">
        <f aca="false">F1266*H1266</f>
        <v>76.3552</v>
      </c>
      <c r="J1266" s="43" t="n">
        <f aca="false">G1266*H1266*1.5</f>
        <v>0</v>
      </c>
      <c r="K1266" s="6" t="n">
        <v>10.1</v>
      </c>
      <c r="L1266" s="43" t="n">
        <f aca="false">K1266*'Chart of Accounts'!$E$68</f>
        <v>6.767</v>
      </c>
      <c r="O1266" s="42" t="n">
        <f aca="false">I1266+J1266+L1266</f>
        <v>83.1222</v>
      </c>
    </row>
    <row r="1267" customFormat="false" ht="15" hidden="false" customHeight="false" outlineLevel="0" collapsed="false">
      <c r="B1267" s="7" t="s">
        <v>9900</v>
      </c>
      <c r="C1267" s="39" t="n">
        <v>45737</v>
      </c>
      <c r="D1267" s="7" t="s">
        <v>203</v>
      </c>
      <c r="E1267" s="7" t="s">
        <v>158</v>
      </c>
      <c r="H1267" s="41" t="n">
        <v>49.43</v>
      </c>
      <c r="M1267" s="6" t="n">
        <v>1</v>
      </c>
      <c r="N1267" s="43" t="n">
        <f aca="false">M1267*H1267</f>
        <v>49.43</v>
      </c>
      <c r="O1267" s="42" t="n">
        <f aca="false">N1267</f>
        <v>49.43</v>
      </c>
    </row>
    <row r="1268" customFormat="false" ht="15" hidden="false" customHeight="false" outlineLevel="0" collapsed="false">
      <c r="B1268" s="7" t="s">
        <v>9901</v>
      </c>
      <c r="C1268" s="39" t="n">
        <v>45737</v>
      </c>
      <c r="D1268" s="7" t="s">
        <v>262</v>
      </c>
      <c r="E1268" s="7" t="s">
        <v>180</v>
      </c>
      <c r="F1268" s="6" t="n">
        <v>3.05</v>
      </c>
      <c r="G1268" s="6" t="n">
        <v>0</v>
      </c>
      <c r="H1268" s="41" t="n">
        <v>16.02</v>
      </c>
      <c r="I1268" s="43" t="n">
        <f aca="false">F1268*H1268</f>
        <v>48.861</v>
      </c>
      <c r="J1268" s="43" t="n">
        <f aca="false">G1268*H1268*1.5</f>
        <v>0</v>
      </c>
      <c r="K1268" s="6" t="n">
        <v>7.48</v>
      </c>
      <c r="L1268" s="43" t="n">
        <f aca="false">K1268*'Chart of Accounts'!$E$68</f>
        <v>5.0116</v>
      </c>
      <c r="O1268" s="42" t="n">
        <f aca="false">I1268+J1268+L1268</f>
        <v>53.8726</v>
      </c>
    </row>
    <row r="1269" customFormat="false" ht="15" hidden="false" customHeight="false" outlineLevel="0" collapsed="false">
      <c r="B1269" s="7" t="s">
        <v>9902</v>
      </c>
      <c r="C1269" s="39" t="n">
        <v>45737</v>
      </c>
      <c r="D1269" s="7" t="s">
        <v>260</v>
      </c>
      <c r="E1269" s="7" t="s">
        <v>158</v>
      </c>
      <c r="H1269" s="41" t="n">
        <v>79.8</v>
      </c>
      <c r="M1269" s="6" t="n">
        <v>1</v>
      </c>
      <c r="N1269" s="43" t="n">
        <f aca="false">M1269*H1269</f>
        <v>79.8</v>
      </c>
      <c r="O1269" s="42" t="n">
        <f aca="false">N1269</f>
        <v>79.8</v>
      </c>
    </row>
    <row r="1270" customFormat="false" ht="15" hidden="false" customHeight="false" outlineLevel="0" collapsed="false">
      <c r="B1270" s="7" t="s">
        <v>9903</v>
      </c>
      <c r="C1270" s="39" t="n">
        <v>45737</v>
      </c>
      <c r="D1270" s="7" t="s">
        <v>214</v>
      </c>
      <c r="E1270" s="7" t="s">
        <v>180</v>
      </c>
      <c r="F1270" s="6" t="n">
        <v>3.14</v>
      </c>
      <c r="G1270" s="6" t="n">
        <v>0</v>
      </c>
      <c r="H1270" s="41" t="n">
        <v>15.67</v>
      </c>
      <c r="I1270" s="43" t="n">
        <f aca="false">F1270*H1270</f>
        <v>49.2038</v>
      </c>
      <c r="J1270" s="43" t="n">
        <f aca="false">G1270*H1270*1.5</f>
        <v>0</v>
      </c>
      <c r="K1270" s="6" t="n">
        <v>9.45</v>
      </c>
      <c r="L1270" s="43" t="n">
        <f aca="false">K1270*'Chart of Accounts'!$E$68</f>
        <v>6.3315</v>
      </c>
      <c r="O1270" s="42" t="n">
        <f aca="false">I1270+J1270+L1270</f>
        <v>55.5353</v>
      </c>
    </row>
    <row r="1271" customFormat="false" ht="15" hidden="false" customHeight="false" outlineLevel="0" collapsed="false">
      <c r="B1271" s="7" t="s">
        <v>9904</v>
      </c>
      <c r="C1271" s="39" t="n">
        <v>45738</v>
      </c>
      <c r="D1271" s="7" t="s">
        <v>191</v>
      </c>
      <c r="E1271" s="7" t="s">
        <v>180</v>
      </c>
      <c r="F1271" s="6" t="n">
        <v>4.16</v>
      </c>
      <c r="G1271" s="6" t="n">
        <v>0</v>
      </c>
      <c r="H1271" s="41" t="n">
        <v>16.05</v>
      </c>
      <c r="I1271" s="43" t="n">
        <f aca="false">F1271*H1271</f>
        <v>66.768</v>
      </c>
      <c r="J1271" s="43" t="n">
        <f aca="false">G1271*H1271*1.5</f>
        <v>0</v>
      </c>
      <c r="K1271" s="6" t="n">
        <v>11.99</v>
      </c>
      <c r="L1271" s="43" t="n">
        <f aca="false">K1271*'Chart of Accounts'!$E$68</f>
        <v>8.0333</v>
      </c>
      <c r="O1271" s="42" t="n">
        <f aca="false">I1271+J1271+L1271</f>
        <v>74.8013</v>
      </c>
    </row>
    <row r="1272" customFormat="false" ht="15" hidden="false" customHeight="false" outlineLevel="0" collapsed="false">
      <c r="B1272" s="7" t="s">
        <v>9905</v>
      </c>
      <c r="C1272" s="39" t="n">
        <v>45738</v>
      </c>
      <c r="D1272" s="7" t="s">
        <v>218</v>
      </c>
      <c r="E1272" s="7" t="s">
        <v>180</v>
      </c>
      <c r="F1272" s="6" t="n">
        <v>4.19</v>
      </c>
      <c r="G1272" s="6" t="n">
        <v>0</v>
      </c>
      <c r="H1272" s="41" t="n">
        <v>16.19</v>
      </c>
      <c r="I1272" s="43" t="n">
        <f aca="false">F1272*H1272</f>
        <v>67.8361</v>
      </c>
      <c r="J1272" s="43" t="n">
        <f aca="false">G1272*H1272*1.5</f>
        <v>0</v>
      </c>
      <c r="K1272" s="6" t="n">
        <v>12.46</v>
      </c>
      <c r="L1272" s="43" t="n">
        <f aca="false">K1272*'Chart of Accounts'!$E$68</f>
        <v>8.3482</v>
      </c>
      <c r="O1272" s="42" t="n">
        <f aca="false">I1272+J1272+L1272</f>
        <v>76.1843</v>
      </c>
    </row>
    <row r="1273" customFormat="false" ht="15" hidden="false" customHeight="false" outlineLevel="0" collapsed="false">
      <c r="B1273" s="7" t="s">
        <v>9906</v>
      </c>
      <c r="C1273" s="39" t="n">
        <v>45738</v>
      </c>
      <c r="D1273" s="7" t="s">
        <v>212</v>
      </c>
      <c r="E1273" s="7" t="s">
        <v>180</v>
      </c>
      <c r="F1273" s="6" t="n">
        <v>3.69</v>
      </c>
      <c r="G1273" s="6" t="n">
        <v>0</v>
      </c>
      <c r="H1273" s="41" t="n">
        <v>16.71</v>
      </c>
      <c r="I1273" s="43" t="n">
        <f aca="false">F1273*H1273</f>
        <v>61.6599</v>
      </c>
      <c r="J1273" s="43" t="n">
        <f aca="false">G1273*H1273*1.5</f>
        <v>0</v>
      </c>
      <c r="K1273" s="6" t="n">
        <v>12.1</v>
      </c>
      <c r="L1273" s="43" t="n">
        <f aca="false">K1273*'Chart of Accounts'!$E$68</f>
        <v>8.107</v>
      </c>
      <c r="O1273" s="42" t="n">
        <f aca="false">I1273+J1273+L1273</f>
        <v>69.7669</v>
      </c>
    </row>
    <row r="1274" customFormat="false" ht="15" hidden="false" customHeight="false" outlineLevel="0" collapsed="false">
      <c r="B1274" s="7" t="s">
        <v>9907</v>
      </c>
      <c r="C1274" s="39" t="n">
        <v>45738</v>
      </c>
      <c r="D1274" s="7" t="s">
        <v>222</v>
      </c>
      <c r="E1274" s="7" t="s">
        <v>180</v>
      </c>
      <c r="F1274" s="6" t="n">
        <v>3.68</v>
      </c>
      <c r="G1274" s="6" t="n">
        <v>0</v>
      </c>
      <c r="H1274" s="41" t="n">
        <v>17.84</v>
      </c>
      <c r="I1274" s="43" t="n">
        <f aca="false">F1274*H1274</f>
        <v>65.6512</v>
      </c>
      <c r="J1274" s="43" t="n">
        <f aca="false">G1274*H1274*1.5</f>
        <v>0</v>
      </c>
      <c r="K1274" s="6" t="n">
        <v>10.6</v>
      </c>
      <c r="L1274" s="43" t="n">
        <f aca="false">K1274*'Chart of Accounts'!$E$68</f>
        <v>7.102</v>
      </c>
      <c r="O1274" s="42" t="n">
        <f aca="false">I1274+J1274+L1274</f>
        <v>72.7532</v>
      </c>
    </row>
    <row r="1275" customFormat="false" ht="15" hidden="false" customHeight="false" outlineLevel="0" collapsed="false">
      <c r="B1275" s="7" t="s">
        <v>9908</v>
      </c>
      <c r="C1275" s="39" t="n">
        <v>45738</v>
      </c>
      <c r="D1275" s="7" t="s">
        <v>242</v>
      </c>
      <c r="E1275" s="7" t="s">
        <v>180</v>
      </c>
      <c r="F1275" s="6" t="n">
        <v>3.92</v>
      </c>
      <c r="G1275" s="6" t="n">
        <v>0</v>
      </c>
      <c r="H1275" s="41" t="n">
        <v>17.99</v>
      </c>
      <c r="I1275" s="43" t="n">
        <f aca="false">F1275*H1275</f>
        <v>70.5208</v>
      </c>
      <c r="J1275" s="43" t="n">
        <f aca="false">G1275*H1275*1.5</f>
        <v>0</v>
      </c>
      <c r="K1275" s="6" t="n">
        <v>11.99</v>
      </c>
      <c r="L1275" s="43" t="n">
        <f aca="false">K1275*'Chart of Accounts'!$E$68</f>
        <v>8.0333</v>
      </c>
      <c r="O1275" s="42" t="n">
        <f aca="false">I1275+J1275+L1275</f>
        <v>78.5541</v>
      </c>
    </row>
    <row r="1276" customFormat="false" ht="15" hidden="false" customHeight="false" outlineLevel="0" collapsed="false">
      <c r="B1276" s="7" t="s">
        <v>9909</v>
      </c>
      <c r="C1276" s="39" t="n">
        <v>45738</v>
      </c>
      <c r="D1276" s="7" t="s">
        <v>254</v>
      </c>
      <c r="E1276" s="7" t="s">
        <v>180</v>
      </c>
      <c r="F1276" s="6" t="n">
        <v>4.08</v>
      </c>
      <c r="G1276" s="6" t="n">
        <v>0</v>
      </c>
      <c r="H1276" s="41" t="n">
        <v>17.1</v>
      </c>
      <c r="I1276" s="43" t="n">
        <f aca="false">F1276*H1276</f>
        <v>69.768</v>
      </c>
      <c r="J1276" s="43" t="n">
        <f aca="false">G1276*H1276*1.5</f>
        <v>0</v>
      </c>
      <c r="K1276" s="6" t="n">
        <v>12.31</v>
      </c>
      <c r="L1276" s="43" t="n">
        <f aca="false">K1276*'Chart of Accounts'!$E$68</f>
        <v>8.2477</v>
      </c>
      <c r="O1276" s="42" t="n">
        <f aca="false">I1276+J1276+L1276</f>
        <v>78.0157</v>
      </c>
    </row>
    <row r="1277" customFormat="false" ht="15" hidden="false" customHeight="false" outlineLevel="0" collapsed="false">
      <c r="B1277" s="7" t="s">
        <v>9910</v>
      </c>
      <c r="C1277" s="39" t="n">
        <v>45739</v>
      </c>
      <c r="D1277" s="7" t="s">
        <v>191</v>
      </c>
      <c r="E1277" s="7" t="s">
        <v>180</v>
      </c>
      <c r="F1277" s="6" t="n">
        <v>4.12</v>
      </c>
      <c r="G1277" s="6" t="n">
        <v>0</v>
      </c>
      <c r="H1277" s="41" t="n">
        <v>16.05</v>
      </c>
      <c r="I1277" s="43" t="n">
        <f aca="false">F1277*H1277</f>
        <v>66.126</v>
      </c>
      <c r="J1277" s="43" t="n">
        <f aca="false">G1277*H1277*1.5</f>
        <v>0</v>
      </c>
      <c r="K1277" s="6" t="n">
        <v>11.27</v>
      </c>
      <c r="L1277" s="43" t="n">
        <f aca="false">K1277*'Chart of Accounts'!$E$68</f>
        <v>7.5509</v>
      </c>
      <c r="O1277" s="42" t="n">
        <f aca="false">I1277+J1277+L1277</f>
        <v>73.6769</v>
      </c>
    </row>
    <row r="1278" customFormat="false" ht="15" hidden="false" customHeight="false" outlineLevel="0" collapsed="false">
      <c r="B1278" s="7" t="s">
        <v>9911</v>
      </c>
      <c r="C1278" s="39" t="n">
        <v>45739</v>
      </c>
      <c r="D1278" s="7" t="s">
        <v>218</v>
      </c>
      <c r="E1278" s="7" t="s">
        <v>180</v>
      </c>
      <c r="F1278" s="6" t="n">
        <v>3.71</v>
      </c>
      <c r="G1278" s="6" t="n">
        <v>0</v>
      </c>
      <c r="H1278" s="41" t="n">
        <v>16.19</v>
      </c>
      <c r="I1278" s="43" t="n">
        <f aca="false">F1278*H1278</f>
        <v>60.0649</v>
      </c>
      <c r="J1278" s="43" t="n">
        <f aca="false">G1278*H1278*1.5</f>
        <v>0</v>
      </c>
      <c r="K1278" s="6" t="n">
        <v>9.17</v>
      </c>
      <c r="L1278" s="43" t="n">
        <f aca="false">K1278*'Chart of Accounts'!$E$68</f>
        <v>6.1439</v>
      </c>
      <c r="O1278" s="42" t="n">
        <f aca="false">I1278+J1278+L1278</f>
        <v>66.2088</v>
      </c>
    </row>
    <row r="1279" customFormat="false" ht="15" hidden="false" customHeight="false" outlineLevel="0" collapsed="false">
      <c r="B1279" s="7" t="s">
        <v>9912</v>
      </c>
      <c r="C1279" s="39" t="n">
        <v>45739</v>
      </c>
      <c r="D1279" s="7" t="s">
        <v>212</v>
      </c>
      <c r="E1279" s="7" t="s">
        <v>180</v>
      </c>
      <c r="F1279" s="6" t="n">
        <v>4.25</v>
      </c>
      <c r="G1279" s="6" t="n">
        <v>0</v>
      </c>
      <c r="H1279" s="41" t="n">
        <v>16.71</v>
      </c>
      <c r="I1279" s="43" t="n">
        <f aca="false">F1279*H1279</f>
        <v>71.0175</v>
      </c>
      <c r="J1279" s="43" t="n">
        <f aca="false">G1279*H1279*1.5</f>
        <v>0</v>
      </c>
      <c r="K1279" s="6" t="n">
        <v>9.84</v>
      </c>
      <c r="L1279" s="43" t="n">
        <f aca="false">K1279*'Chart of Accounts'!$E$68</f>
        <v>6.5928</v>
      </c>
      <c r="O1279" s="42" t="n">
        <f aca="false">I1279+J1279+L1279</f>
        <v>77.6103</v>
      </c>
    </row>
    <row r="1280" customFormat="false" ht="15" hidden="false" customHeight="false" outlineLevel="0" collapsed="false">
      <c r="B1280" s="7" t="s">
        <v>9913</v>
      </c>
      <c r="C1280" s="39" t="n">
        <v>45739</v>
      </c>
      <c r="D1280" s="7" t="s">
        <v>222</v>
      </c>
      <c r="E1280" s="7" t="s">
        <v>180</v>
      </c>
      <c r="F1280" s="6" t="n">
        <v>3.96</v>
      </c>
      <c r="G1280" s="6" t="n">
        <v>0</v>
      </c>
      <c r="H1280" s="41" t="n">
        <v>17.84</v>
      </c>
      <c r="I1280" s="43" t="n">
        <f aca="false">F1280*H1280</f>
        <v>70.6464</v>
      </c>
      <c r="J1280" s="43" t="n">
        <f aca="false">G1280*H1280*1.5</f>
        <v>0</v>
      </c>
      <c r="K1280" s="6" t="n">
        <v>9.49</v>
      </c>
      <c r="L1280" s="43" t="n">
        <f aca="false">K1280*'Chart of Accounts'!$E$68</f>
        <v>6.3583</v>
      </c>
      <c r="O1280" s="42" t="n">
        <f aca="false">I1280+J1280+L1280</f>
        <v>77.0047</v>
      </c>
    </row>
    <row r="1281" customFormat="false" ht="15" hidden="false" customHeight="false" outlineLevel="0" collapsed="false">
      <c r="B1281" s="7" t="s">
        <v>9914</v>
      </c>
      <c r="C1281" s="39" t="n">
        <v>45739</v>
      </c>
      <c r="D1281" s="7" t="s">
        <v>242</v>
      </c>
      <c r="E1281" s="7" t="s">
        <v>180</v>
      </c>
      <c r="F1281" s="6" t="n">
        <v>3.96</v>
      </c>
      <c r="G1281" s="6" t="n">
        <v>0</v>
      </c>
      <c r="H1281" s="41" t="n">
        <v>17.99</v>
      </c>
      <c r="I1281" s="43" t="n">
        <f aca="false">F1281*H1281</f>
        <v>71.2404</v>
      </c>
      <c r="J1281" s="43" t="n">
        <f aca="false">G1281*H1281*1.5</f>
        <v>0</v>
      </c>
      <c r="K1281" s="6" t="n">
        <v>10.88</v>
      </c>
      <c r="L1281" s="43" t="n">
        <f aca="false">K1281*'Chart of Accounts'!$E$68</f>
        <v>7.2896</v>
      </c>
      <c r="O1281" s="42" t="n">
        <f aca="false">I1281+J1281+L1281</f>
        <v>78.53</v>
      </c>
    </row>
    <row r="1282" customFormat="false" ht="15" hidden="false" customHeight="false" outlineLevel="0" collapsed="false">
      <c r="B1282" s="7" t="s">
        <v>9915</v>
      </c>
      <c r="C1282" s="39" t="n">
        <v>45739</v>
      </c>
      <c r="D1282" s="7" t="s">
        <v>254</v>
      </c>
      <c r="E1282" s="7" t="s">
        <v>180</v>
      </c>
      <c r="F1282" s="6" t="n">
        <v>3.84</v>
      </c>
      <c r="G1282" s="6" t="n">
        <v>0</v>
      </c>
      <c r="H1282" s="41" t="n">
        <v>17.1</v>
      </c>
      <c r="I1282" s="43" t="n">
        <f aca="false">F1282*H1282</f>
        <v>65.664</v>
      </c>
      <c r="J1282" s="43" t="n">
        <f aca="false">G1282*H1282*1.5</f>
        <v>0</v>
      </c>
      <c r="K1282" s="6" t="n">
        <v>10.18</v>
      </c>
      <c r="L1282" s="43" t="n">
        <f aca="false">K1282*'Chart of Accounts'!$E$68</f>
        <v>6.8206</v>
      </c>
      <c r="O1282" s="42" t="n">
        <f aca="false">I1282+J1282+L1282</f>
        <v>72.4846</v>
      </c>
    </row>
    <row r="1283" customFormat="false" ht="15" hidden="false" customHeight="false" outlineLevel="0" collapsed="false">
      <c r="B1283" s="7" t="s">
        <v>9916</v>
      </c>
      <c r="C1283" s="39" t="n">
        <v>45740</v>
      </c>
      <c r="D1283" s="7" t="s">
        <v>187</v>
      </c>
      <c r="E1283" s="7" t="s">
        <v>158</v>
      </c>
      <c r="H1283" s="41" t="n">
        <v>66.48</v>
      </c>
      <c r="M1283" s="6" t="n">
        <v>1</v>
      </c>
      <c r="N1283" s="43" t="n">
        <f aca="false">M1283*H1283</f>
        <v>66.48</v>
      </c>
      <c r="O1283" s="42" t="n">
        <f aca="false">N1283</f>
        <v>66.48</v>
      </c>
    </row>
    <row r="1284" customFormat="false" ht="15" hidden="false" customHeight="false" outlineLevel="0" collapsed="false">
      <c r="B1284" s="7" t="s">
        <v>9917</v>
      </c>
      <c r="C1284" s="39" t="n">
        <v>45740</v>
      </c>
      <c r="D1284" s="7" t="s">
        <v>191</v>
      </c>
      <c r="E1284" s="7" t="s">
        <v>180</v>
      </c>
      <c r="F1284" s="6" t="n">
        <v>4.33</v>
      </c>
      <c r="G1284" s="6" t="n">
        <v>0</v>
      </c>
      <c r="H1284" s="41" t="n">
        <v>16.05</v>
      </c>
      <c r="I1284" s="43" t="n">
        <f aca="false">F1284*H1284</f>
        <v>69.4965</v>
      </c>
      <c r="J1284" s="43" t="n">
        <f aca="false">G1284*H1284*1.5</f>
        <v>0</v>
      </c>
      <c r="K1284" s="6" t="n">
        <v>12.87</v>
      </c>
      <c r="L1284" s="43" t="n">
        <f aca="false">K1284*'Chart of Accounts'!$E$68</f>
        <v>8.6229</v>
      </c>
      <c r="O1284" s="42" t="n">
        <f aca="false">I1284+J1284+L1284</f>
        <v>78.1194</v>
      </c>
    </row>
    <row r="1285" customFormat="false" ht="15" hidden="false" customHeight="false" outlineLevel="0" collapsed="false">
      <c r="B1285" s="7" t="s">
        <v>9918</v>
      </c>
      <c r="C1285" s="39" t="n">
        <v>45740</v>
      </c>
      <c r="D1285" s="7" t="s">
        <v>194</v>
      </c>
      <c r="E1285" s="7" t="s">
        <v>180</v>
      </c>
      <c r="F1285" s="6" t="n">
        <v>4.77</v>
      </c>
      <c r="G1285" s="6" t="n">
        <v>0</v>
      </c>
      <c r="H1285" s="41" t="n">
        <v>16</v>
      </c>
      <c r="I1285" s="43" t="n">
        <f aca="false">F1285*H1285</f>
        <v>76.32</v>
      </c>
      <c r="J1285" s="43" t="n">
        <f aca="false">G1285*H1285*1.5</f>
        <v>0</v>
      </c>
      <c r="K1285" s="6" t="n">
        <v>15.92</v>
      </c>
      <c r="L1285" s="43" t="n">
        <f aca="false">K1285*'Chart of Accounts'!$E$68</f>
        <v>10.6664</v>
      </c>
      <c r="O1285" s="42" t="n">
        <f aca="false">I1285+J1285+L1285</f>
        <v>86.9864</v>
      </c>
    </row>
    <row r="1286" customFormat="false" ht="15" hidden="false" customHeight="false" outlineLevel="0" collapsed="false">
      <c r="B1286" s="7" t="s">
        <v>9919</v>
      </c>
      <c r="C1286" s="39" t="n">
        <v>45740</v>
      </c>
      <c r="D1286" s="7" t="s">
        <v>201</v>
      </c>
      <c r="E1286" s="7" t="s">
        <v>180</v>
      </c>
      <c r="F1286" s="6" t="n">
        <v>6.39</v>
      </c>
      <c r="G1286" s="6" t="n">
        <v>0</v>
      </c>
      <c r="H1286" s="41" t="n">
        <v>15.19</v>
      </c>
      <c r="I1286" s="43" t="n">
        <f aca="false">F1286*H1286</f>
        <v>97.0641</v>
      </c>
      <c r="J1286" s="43" t="n">
        <f aca="false">G1286*H1286*1.5</f>
        <v>0</v>
      </c>
      <c r="K1286" s="6" t="n">
        <v>21.73</v>
      </c>
      <c r="L1286" s="43" t="n">
        <f aca="false">K1286*'Chart of Accounts'!$E$68</f>
        <v>14.5591</v>
      </c>
      <c r="O1286" s="42" t="n">
        <f aca="false">I1286+J1286+L1286</f>
        <v>111.6232</v>
      </c>
    </row>
    <row r="1287" customFormat="false" ht="15" hidden="false" customHeight="false" outlineLevel="0" collapsed="false">
      <c r="B1287" s="7" t="s">
        <v>9920</v>
      </c>
      <c r="C1287" s="39" t="n">
        <v>45740</v>
      </c>
      <c r="D1287" s="7" t="s">
        <v>264</v>
      </c>
      <c r="E1287" s="7" t="s">
        <v>158</v>
      </c>
      <c r="H1287" s="41" t="n">
        <v>55.55</v>
      </c>
      <c r="M1287" s="6" t="n">
        <v>1</v>
      </c>
      <c r="N1287" s="43" t="n">
        <f aca="false">M1287*H1287</f>
        <v>55.55</v>
      </c>
      <c r="O1287" s="42" t="n">
        <f aca="false">N1287</f>
        <v>55.55</v>
      </c>
    </row>
    <row r="1288" customFormat="false" ht="15" hidden="false" customHeight="false" outlineLevel="0" collapsed="false">
      <c r="B1288" s="7" t="s">
        <v>9921</v>
      </c>
      <c r="C1288" s="39" t="n">
        <v>45740</v>
      </c>
      <c r="D1288" s="7" t="s">
        <v>252</v>
      </c>
      <c r="E1288" s="7" t="s">
        <v>158</v>
      </c>
      <c r="H1288" s="41" t="n">
        <v>57.54</v>
      </c>
      <c r="M1288" s="6" t="n">
        <v>1</v>
      </c>
      <c r="N1288" s="43" t="n">
        <f aca="false">M1288*H1288</f>
        <v>57.54</v>
      </c>
      <c r="O1288" s="42" t="n">
        <f aca="false">N1288</f>
        <v>57.54</v>
      </c>
    </row>
    <row r="1289" customFormat="false" ht="15" hidden="false" customHeight="false" outlineLevel="0" collapsed="false">
      <c r="B1289" s="7" t="s">
        <v>9922</v>
      </c>
      <c r="C1289" s="39" t="n">
        <v>45740</v>
      </c>
      <c r="D1289" s="7" t="s">
        <v>196</v>
      </c>
      <c r="E1289" s="7" t="s">
        <v>180</v>
      </c>
      <c r="F1289" s="6" t="n">
        <v>5.95</v>
      </c>
      <c r="G1289" s="6" t="n">
        <v>0</v>
      </c>
      <c r="H1289" s="41" t="n">
        <v>15.05</v>
      </c>
      <c r="I1289" s="43" t="n">
        <f aca="false">F1289*H1289</f>
        <v>89.5475</v>
      </c>
      <c r="J1289" s="43" t="n">
        <f aca="false">G1289*H1289*1.5</f>
        <v>0</v>
      </c>
      <c r="K1289" s="6" t="n">
        <v>15.61</v>
      </c>
      <c r="L1289" s="43" t="n">
        <f aca="false">K1289*'Chart of Accounts'!$E$68</f>
        <v>10.4587</v>
      </c>
      <c r="O1289" s="42" t="n">
        <f aca="false">I1289+J1289+L1289</f>
        <v>100.0062</v>
      </c>
    </row>
    <row r="1290" customFormat="false" ht="15" hidden="false" customHeight="false" outlineLevel="0" collapsed="false">
      <c r="B1290" s="7" t="s">
        <v>9923</v>
      </c>
      <c r="C1290" s="39" t="n">
        <v>45740</v>
      </c>
      <c r="D1290" s="7" t="s">
        <v>184</v>
      </c>
      <c r="E1290" s="7" t="s">
        <v>180</v>
      </c>
      <c r="F1290" s="6" t="n">
        <v>3.91</v>
      </c>
      <c r="G1290" s="6" t="n">
        <v>0</v>
      </c>
      <c r="H1290" s="41" t="n">
        <v>17.34</v>
      </c>
      <c r="I1290" s="43" t="n">
        <f aca="false">F1290*H1290</f>
        <v>67.7994</v>
      </c>
      <c r="J1290" s="43" t="n">
        <f aca="false">G1290*H1290*1.5</f>
        <v>0</v>
      </c>
      <c r="K1290" s="6" t="n">
        <v>9.45</v>
      </c>
      <c r="L1290" s="43" t="n">
        <f aca="false">K1290*'Chart of Accounts'!$E$68</f>
        <v>6.3315</v>
      </c>
      <c r="O1290" s="42" t="n">
        <f aca="false">I1290+J1290+L1290</f>
        <v>74.1309</v>
      </c>
    </row>
    <row r="1291" customFormat="false" ht="15" hidden="false" customHeight="false" outlineLevel="0" collapsed="false">
      <c r="B1291" s="7" t="s">
        <v>9924</v>
      </c>
      <c r="C1291" s="39" t="n">
        <v>45740</v>
      </c>
      <c r="D1291" s="7" t="s">
        <v>207</v>
      </c>
      <c r="E1291" s="7" t="s">
        <v>180</v>
      </c>
      <c r="F1291" s="6" t="n">
        <v>6</v>
      </c>
      <c r="G1291" s="6" t="n">
        <v>0</v>
      </c>
      <c r="H1291" s="41" t="n">
        <v>16.65</v>
      </c>
      <c r="I1291" s="43" t="n">
        <f aca="false">F1291*H1291</f>
        <v>99.9</v>
      </c>
      <c r="J1291" s="43" t="n">
        <f aca="false">G1291*H1291*1.5</f>
        <v>0</v>
      </c>
      <c r="K1291" s="6" t="n">
        <v>14.42</v>
      </c>
      <c r="L1291" s="43" t="n">
        <f aca="false">K1291*'Chart of Accounts'!$E$68</f>
        <v>9.6614</v>
      </c>
      <c r="O1291" s="42" t="n">
        <f aca="false">I1291+J1291+L1291</f>
        <v>109.5614</v>
      </c>
    </row>
    <row r="1292" customFormat="false" ht="15" hidden="false" customHeight="false" outlineLevel="0" collapsed="false">
      <c r="B1292" s="7" t="s">
        <v>9925</v>
      </c>
      <c r="C1292" s="39" t="n">
        <v>45740</v>
      </c>
      <c r="D1292" s="7" t="s">
        <v>218</v>
      </c>
      <c r="E1292" s="7" t="s">
        <v>180</v>
      </c>
      <c r="F1292" s="6" t="n">
        <v>4.34</v>
      </c>
      <c r="G1292" s="6" t="n">
        <v>0</v>
      </c>
      <c r="H1292" s="41" t="n">
        <v>16.19</v>
      </c>
      <c r="I1292" s="43" t="n">
        <f aca="false">F1292*H1292</f>
        <v>70.2646</v>
      </c>
      <c r="J1292" s="43" t="n">
        <f aca="false">G1292*H1292*1.5</f>
        <v>0</v>
      </c>
      <c r="K1292" s="6" t="n">
        <v>14.4</v>
      </c>
      <c r="L1292" s="43" t="n">
        <f aca="false">K1292*'Chart of Accounts'!$E$68</f>
        <v>9.648</v>
      </c>
      <c r="O1292" s="42" t="n">
        <f aca="false">I1292+J1292+L1292</f>
        <v>79.9126</v>
      </c>
    </row>
    <row r="1293" customFormat="false" ht="15" hidden="false" customHeight="false" outlineLevel="0" collapsed="false">
      <c r="B1293" s="7" t="s">
        <v>9926</v>
      </c>
      <c r="C1293" s="39" t="n">
        <v>45740</v>
      </c>
      <c r="D1293" s="7" t="s">
        <v>212</v>
      </c>
      <c r="E1293" s="7" t="s">
        <v>180</v>
      </c>
      <c r="F1293" s="6" t="n">
        <v>7.19</v>
      </c>
      <c r="G1293" s="6" t="n">
        <v>0</v>
      </c>
      <c r="H1293" s="41" t="n">
        <v>16.71</v>
      </c>
      <c r="I1293" s="43" t="n">
        <f aca="false">F1293*H1293</f>
        <v>120.1449</v>
      </c>
      <c r="J1293" s="43" t="n">
        <f aca="false">G1293*H1293*1.5</f>
        <v>0</v>
      </c>
      <c r="K1293" s="6" t="n">
        <v>18.43</v>
      </c>
      <c r="L1293" s="43" t="n">
        <f aca="false">K1293*'Chart of Accounts'!$E$68</f>
        <v>12.3481</v>
      </c>
      <c r="O1293" s="42" t="n">
        <f aca="false">I1293+J1293+L1293</f>
        <v>132.493</v>
      </c>
    </row>
    <row r="1294" customFormat="false" ht="15" hidden="false" customHeight="false" outlineLevel="0" collapsed="false">
      <c r="B1294" s="7" t="s">
        <v>9927</v>
      </c>
      <c r="C1294" s="39" t="n">
        <v>45740</v>
      </c>
      <c r="D1294" s="7" t="s">
        <v>224</v>
      </c>
      <c r="E1294" s="7" t="s">
        <v>180</v>
      </c>
      <c r="F1294" s="6" t="n">
        <v>9.13</v>
      </c>
      <c r="G1294" s="6" t="n">
        <v>0</v>
      </c>
      <c r="H1294" s="41" t="n">
        <v>14.93</v>
      </c>
      <c r="I1294" s="43" t="n">
        <f aca="false">F1294*H1294</f>
        <v>136.3109</v>
      </c>
      <c r="J1294" s="43" t="n">
        <f aca="false">G1294*H1294*1.5</f>
        <v>0</v>
      </c>
      <c r="K1294" s="6" t="n">
        <v>27.18</v>
      </c>
      <c r="L1294" s="43" t="n">
        <f aca="false">K1294*'Chart of Accounts'!$E$68</f>
        <v>18.2106</v>
      </c>
      <c r="O1294" s="42" t="n">
        <f aca="false">I1294+J1294+L1294</f>
        <v>154.5215</v>
      </c>
    </row>
    <row r="1295" customFormat="false" ht="15" hidden="false" customHeight="false" outlineLevel="0" collapsed="false">
      <c r="B1295" s="7" t="s">
        <v>9928</v>
      </c>
      <c r="C1295" s="39" t="n">
        <v>45740</v>
      </c>
      <c r="D1295" s="7" t="s">
        <v>177</v>
      </c>
      <c r="E1295" s="7" t="s">
        <v>180</v>
      </c>
      <c r="F1295" s="6" t="n">
        <v>7.97</v>
      </c>
      <c r="G1295" s="6" t="n">
        <v>0</v>
      </c>
      <c r="H1295" s="41" t="n">
        <v>14.56</v>
      </c>
      <c r="I1295" s="43" t="n">
        <f aca="false">F1295*H1295</f>
        <v>116.0432</v>
      </c>
      <c r="J1295" s="43" t="n">
        <f aca="false">G1295*H1295*1.5</f>
        <v>0</v>
      </c>
      <c r="K1295" s="6" t="n">
        <v>20.34</v>
      </c>
      <c r="L1295" s="43" t="n">
        <f aca="false">K1295*'Chart of Accounts'!$E$68</f>
        <v>13.6278</v>
      </c>
      <c r="O1295" s="42" t="n">
        <f aca="false">I1295+J1295+L1295</f>
        <v>129.671</v>
      </c>
    </row>
    <row r="1296" customFormat="false" ht="15" hidden="false" customHeight="false" outlineLevel="0" collapsed="false">
      <c r="B1296" s="7" t="s">
        <v>9929</v>
      </c>
      <c r="C1296" s="39" t="n">
        <v>45740</v>
      </c>
      <c r="D1296" s="7" t="s">
        <v>232</v>
      </c>
      <c r="E1296" s="7" t="s">
        <v>180</v>
      </c>
      <c r="F1296" s="6" t="n">
        <v>8.22</v>
      </c>
      <c r="G1296" s="6" t="n">
        <v>0</v>
      </c>
      <c r="H1296" s="41" t="n">
        <v>16.17</v>
      </c>
      <c r="I1296" s="43" t="n">
        <f aca="false">F1296*H1296</f>
        <v>132.9174</v>
      </c>
      <c r="J1296" s="43" t="n">
        <f aca="false">G1296*H1296*1.5</f>
        <v>0</v>
      </c>
      <c r="K1296" s="6" t="n">
        <v>24.35</v>
      </c>
      <c r="L1296" s="43" t="n">
        <f aca="false">K1296*'Chart of Accounts'!$E$68</f>
        <v>16.3145</v>
      </c>
      <c r="O1296" s="42" t="n">
        <f aca="false">I1296+J1296+L1296</f>
        <v>149.2319</v>
      </c>
    </row>
    <row r="1297" customFormat="false" ht="15" hidden="false" customHeight="false" outlineLevel="0" collapsed="false">
      <c r="B1297" s="7" t="s">
        <v>9930</v>
      </c>
      <c r="C1297" s="39" t="n">
        <v>45740</v>
      </c>
      <c r="D1297" s="7" t="s">
        <v>242</v>
      </c>
      <c r="E1297" s="7" t="s">
        <v>180</v>
      </c>
      <c r="F1297" s="6" t="n">
        <v>7.63</v>
      </c>
      <c r="G1297" s="6" t="n">
        <v>0</v>
      </c>
      <c r="H1297" s="41" t="n">
        <v>17.99</v>
      </c>
      <c r="I1297" s="43" t="n">
        <f aca="false">F1297*H1297</f>
        <v>137.2637</v>
      </c>
      <c r="J1297" s="43" t="n">
        <f aca="false">G1297*H1297*1.5</f>
        <v>0</v>
      </c>
      <c r="K1297" s="6" t="n">
        <v>20.98</v>
      </c>
      <c r="L1297" s="43" t="n">
        <f aca="false">K1297*'Chart of Accounts'!$E$68</f>
        <v>14.0566</v>
      </c>
      <c r="O1297" s="42" t="n">
        <f aca="false">I1297+J1297+L1297</f>
        <v>151.3203</v>
      </c>
    </row>
    <row r="1298" customFormat="false" ht="15" hidden="false" customHeight="false" outlineLevel="0" collapsed="false">
      <c r="B1298" s="7" t="s">
        <v>9931</v>
      </c>
      <c r="C1298" s="39" t="n">
        <v>45740</v>
      </c>
      <c r="D1298" s="7" t="s">
        <v>222</v>
      </c>
      <c r="E1298" s="7" t="s">
        <v>180</v>
      </c>
      <c r="F1298" s="6" t="n">
        <v>2.95</v>
      </c>
      <c r="G1298" s="6" t="n">
        <v>0</v>
      </c>
      <c r="H1298" s="41" t="n">
        <v>17.84</v>
      </c>
      <c r="I1298" s="43" t="n">
        <f aca="false">F1298*H1298</f>
        <v>52.628</v>
      </c>
      <c r="J1298" s="43" t="n">
        <f aca="false">G1298*H1298*1.5</f>
        <v>0</v>
      </c>
      <c r="K1298" s="6" t="n">
        <v>9.48</v>
      </c>
      <c r="L1298" s="43" t="n">
        <f aca="false">K1298*'Chart of Accounts'!$E$68</f>
        <v>6.3516</v>
      </c>
      <c r="O1298" s="42" t="n">
        <f aca="false">I1298+J1298+L1298</f>
        <v>58.9796</v>
      </c>
    </row>
    <row r="1299" customFormat="false" ht="15" hidden="false" customHeight="false" outlineLevel="0" collapsed="false">
      <c r="B1299" s="7" t="s">
        <v>9932</v>
      </c>
      <c r="C1299" s="39" t="n">
        <v>45740</v>
      </c>
      <c r="D1299" s="7" t="s">
        <v>262</v>
      </c>
      <c r="E1299" s="7" t="s">
        <v>180</v>
      </c>
      <c r="F1299" s="6" t="n">
        <v>7.06</v>
      </c>
      <c r="G1299" s="6" t="n">
        <v>0</v>
      </c>
      <c r="H1299" s="41" t="n">
        <v>16.02</v>
      </c>
      <c r="I1299" s="43" t="n">
        <f aca="false">F1299*H1299</f>
        <v>113.1012</v>
      </c>
      <c r="J1299" s="43" t="n">
        <f aca="false">G1299*H1299*1.5</f>
        <v>0</v>
      </c>
      <c r="K1299" s="6" t="n">
        <v>17.95</v>
      </c>
      <c r="L1299" s="43" t="n">
        <f aca="false">K1299*'Chart of Accounts'!$E$68</f>
        <v>12.0265</v>
      </c>
      <c r="O1299" s="42" t="n">
        <f aca="false">I1299+J1299+L1299</f>
        <v>125.1277</v>
      </c>
    </row>
    <row r="1300" customFormat="false" ht="15" hidden="false" customHeight="false" outlineLevel="0" collapsed="false">
      <c r="B1300" s="7" t="s">
        <v>9933</v>
      </c>
      <c r="C1300" s="39" t="n">
        <v>45740</v>
      </c>
      <c r="D1300" s="7" t="s">
        <v>254</v>
      </c>
      <c r="E1300" s="7" t="s">
        <v>180</v>
      </c>
      <c r="F1300" s="6" t="n">
        <v>7.16</v>
      </c>
      <c r="G1300" s="6" t="n">
        <v>0</v>
      </c>
      <c r="H1300" s="41" t="n">
        <v>17.1</v>
      </c>
      <c r="I1300" s="43" t="n">
        <f aca="false">F1300*H1300</f>
        <v>122.436</v>
      </c>
      <c r="J1300" s="43" t="n">
        <f aca="false">G1300*H1300*1.5</f>
        <v>0</v>
      </c>
      <c r="K1300" s="6" t="n">
        <v>20.38</v>
      </c>
      <c r="L1300" s="43" t="n">
        <f aca="false">K1300*'Chart of Accounts'!$E$68</f>
        <v>13.6546</v>
      </c>
      <c r="O1300" s="42" t="n">
        <f aca="false">I1300+J1300+L1300</f>
        <v>136.0906</v>
      </c>
    </row>
    <row r="1301" customFormat="false" ht="15" hidden="false" customHeight="false" outlineLevel="0" collapsed="false">
      <c r="B1301" s="7" t="s">
        <v>9934</v>
      </c>
      <c r="C1301" s="39" t="n">
        <v>45740</v>
      </c>
      <c r="D1301" s="7" t="s">
        <v>246</v>
      </c>
      <c r="E1301" s="7" t="s">
        <v>180</v>
      </c>
      <c r="F1301" s="6" t="n">
        <v>7.72</v>
      </c>
      <c r="G1301" s="6" t="n">
        <v>0</v>
      </c>
      <c r="H1301" s="41" t="n">
        <v>16.48</v>
      </c>
      <c r="I1301" s="43" t="n">
        <f aca="false">F1301*H1301</f>
        <v>127.2256</v>
      </c>
      <c r="J1301" s="43" t="n">
        <f aca="false">G1301*H1301*1.5</f>
        <v>0</v>
      </c>
      <c r="K1301" s="6" t="n">
        <v>21.98</v>
      </c>
      <c r="L1301" s="43" t="n">
        <f aca="false">K1301*'Chart of Accounts'!$E$68</f>
        <v>14.7266</v>
      </c>
      <c r="O1301" s="42" t="n">
        <f aca="false">I1301+J1301+L1301</f>
        <v>141.9522</v>
      </c>
    </row>
    <row r="1302" customFormat="false" ht="15" hidden="false" customHeight="false" outlineLevel="0" collapsed="false">
      <c r="B1302" s="7" t="s">
        <v>9935</v>
      </c>
      <c r="C1302" s="39" t="n">
        <v>45740</v>
      </c>
      <c r="D1302" s="7" t="s">
        <v>214</v>
      </c>
      <c r="E1302" s="7" t="s">
        <v>180</v>
      </c>
      <c r="F1302" s="6" t="n">
        <v>7.3</v>
      </c>
      <c r="G1302" s="6" t="n">
        <v>0</v>
      </c>
      <c r="H1302" s="41" t="n">
        <v>15.67</v>
      </c>
      <c r="I1302" s="43" t="n">
        <f aca="false">F1302*H1302</f>
        <v>114.391</v>
      </c>
      <c r="J1302" s="43" t="n">
        <f aca="false">G1302*H1302*1.5</f>
        <v>0</v>
      </c>
      <c r="K1302" s="6" t="n">
        <v>19.13</v>
      </c>
      <c r="L1302" s="43" t="n">
        <f aca="false">K1302*'Chart of Accounts'!$E$68</f>
        <v>12.8171</v>
      </c>
      <c r="O1302" s="42" t="n">
        <f aca="false">I1302+J1302+L1302</f>
        <v>127.2081</v>
      </c>
    </row>
    <row r="1303" customFormat="false" ht="15" hidden="false" customHeight="false" outlineLevel="0" collapsed="false">
      <c r="B1303" s="7" t="s">
        <v>9936</v>
      </c>
      <c r="C1303" s="39" t="n">
        <v>45741</v>
      </c>
      <c r="D1303" s="7" t="s">
        <v>191</v>
      </c>
      <c r="E1303" s="7" t="s">
        <v>180</v>
      </c>
      <c r="F1303" s="6" t="n">
        <v>3.64</v>
      </c>
      <c r="G1303" s="6" t="n">
        <v>0</v>
      </c>
      <c r="H1303" s="41" t="n">
        <v>16.05</v>
      </c>
      <c r="I1303" s="43" t="n">
        <f aca="false">F1303*H1303</f>
        <v>58.422</v>
      </c>
      <c r="J1303" s="43" t="n">
        <f aca="false">G1303*H1303*1.5</f>
        <v>0</v>
      </c>
      <c r="K1303" s="6" t="n">
        <v>8.22</v>
      </c>
      <c r="L1303" s="43" t="n">
        <f aca="false">K1303*'Chart of Accounts'!$E$68</f>
        <v>5.5074</v>
      </c>
      <c r="O1303" s="42" t="n">
        <f aca="false">I1303+J1303+L1303</f>
        <v>63.9294</v>
      </c>
    </row>
    <row r="1304" customFormat="false" ht="15" hidden="false" customHeight="false" outlineLevel="0" collapsed="false">
      <c r="B1304" s="7" t="s">
        <v>9937</v>
      </c>
      <c r="C1304" s="39" t="n">
        <v>45741</v>
      </c>
      <c r="D1304" s="7" t="s">
        <v>209</v>
      </c>
      <c r="E1304" s="7" t="s">
        <v>158</v>
      </c>
      <c r="H1304" s="41" t="n">
        <v>73.58</v>
      </c>
      <c r="M1304" s="6" t="n">
        <v>2</v>
      </c>
      <c r="N1304" s="43" t="n">
        <f aca="false">M1304*H1304</f>
        <v>147.16</v>
      </c>
      <c r="O1304" s="42" t="n">
        <f aca="false">N1304</f>
        <v>147.16</v>
      </c>
    </row>
    <row r="1305" customFormat="false" ht="15" hidden="false" customHeight="false" outlineLevel="0" collapsed="false">
      <c r="B1305" s="7" t="s">
        <v>9938</v>
      </c>
      <c r="C1305" s="39" t="n">
        <v>45741</v>
      </c>
      <c r="D1305" s="7" t="s">
        <v>184</v>
      </c>
      <c r="E1305" s="7" t="s">
        <v>180</v>
      </c>
      <c r="F1305" s="6" t="n">
        <v>4</v>
      </c>
      <c r="G1305" s="6" t="n">
        <v>0</v>
      </c>
      <c r="H1305" s="41" t="n">
        <v>17.34</v>
      </c>
      <c r="I1305" s="43" t="n">
        <f aca="false">F1305*H1305</f>
        <v>69.36</v>
      </c>
      <c r="J1305" s="43" t="n">
        <f aca="false">G1305*H1305*1.5</f>
        <v>0</v>
      </c>
      <c r="K1305" s="6" t="n">
        <v>14.08</v>
      </c>
      <c r="L1305" s="43" t="n">
        <f aca="false">K1305*'Chart of Accounts'!$E$68</f>
        <v>9.4336</v>
      </c>
      <c r="O1305" s="42" t="n">
        <f aca="false">I1305+J1305+L1305</f>
        <v>78.7936</v>
      </c>
    </row>
    <row r="1306" customFormat="false" ht="15" hidden="false" customHeight="false" outlineLevel="0" collapsed="false">
      <c r="B1306" s="7" t="s">
        <v>9939</v>
      </c>
      <c r="C1306" s="39" t="n">
        <v>45741</v>
      </c>
      <c r="D1306" s="7" t="s">
        <v>234</v>
      </c>
      <c r="E1306" s="7" t="s">
        <v>158</v>
      </c>
      <c r="H1306" s="41" t="n">
        <v>89.53</v>
      </c>
      <c r="M1306" s="6" t="n">
        <v>2</v>
      </c>
      <c r="N1306" s="43" t="n">
        <f aca="false">M1306*H1306</f>
        <v>179.06</v>
      </c>
      <c r="O1306" s="42" t="n">
        <f aca="false">N1306</f>
        <v>179.06</v>
      </c>
    </row>
    <row r="1307" customFormat="false" ht="15" hidden="false" customHeight="false" outlineLevel="0" collapsed="false">
      <c r="B1307" s="7" t="s">
        <v>9940</v>
      </c>
      <c r="C1307" s="39" t="n">
        <v>45741</v>
      </c>
      <c r="D1307" s="7" t="s">
        <v>218</v>
      </c>
      <c r="E1307" s="7" t="s">
        <v>180</v>
      </c>
      <c r="F1307" s="6" t="n">
        <v>3.61</v>
      </c>
      <c r="G1307" s="6" t="n">
        <v>0</v>
      </c>
      <c r="H1307" s="41" t="n">
        <v>16.19</v>
      </c>
      <c r="I1307" s="43" t="n">
        <f aca="false">F1307*H1307</f>
        <v>58.4459</v>
      </c>
      <c r="J1307" s="43" t="n">
        <f aca="false">G1307*H1307*1.5</f>
        <v>0</v>
      </c>
      <c r="K1307" s="6" t="n">
        <v>12.18</v>
      </c>
      <c r="L1307" s="43" t="n">
        <f aca="false">K1307*'Chart of Accounts'!$E$68</f>
        <v>8.1606</v>
      </c>
      <c r="O1307" s="42" t="n">
        <f aca="false">I1307+J1307+L1307</f>
        <v>66.6065</v>
      </c>
    </row>
    <row r="1308" customFormat="false" ht="15" hidden="false" customHeight="false" outlineLevel="0" collapsed="false">
      <c r="B1308" s="7" t="s">
        <v>9941</v>
      </c>
      <c r="C1308" s="39" t="n">
        <v>45741</v>
      </c>
      <c r="D1308" s="7" t="s">
        <v>266</v>
      </c>
      <c r="E1308" s="7" t="s">
        <v>158</v>
      </c>
      <c r="H1308" s="41" t="n">
        <v>75.18</v>
      </c>
      <c r="M1308" s="6" t="n">
        <v>1</v>
      </c>
      <c r="N1308" s="43" t="n">
        <f aca="false">M1308*H1308</f>
        <v>75.18</v>
      </c>
      <c r="O1308" s="42" t="n">
        <f aca="false">N1308</f>
        <v>75.18</v>
      </c>
    </row>
    <row r="1309" customFormat="false" ht="15" hidden="false" customHeight="false" outlineLevel="0" collapsed="false">
      <c r="B1309" s="7" t="s">
        <v>9942</v>
      </c>
      <c r="C1309" s="39" t="n">
        <v>45741</v>
      </c>
      <c r="D1309" s="7" t="s">
        <v>228</v>
      </c>
      <c r="E1309" s="7" t="s">
        <v>158</v>
      </c>
      <c r="H1309" s="41" t="n">
        <v>51.07</v>
      </c>
      <c r="M1309" s="6" t="n">
        <v>1</v>
      </c>
      <c r="N1309" s="43" t="n">
        <f aca="false">M1309*H1309</f>
        <v>51.07</v>
      </c>
      <c r="O1309" s="42" t="n">
        <f aca="false">N1309</f>
        <v>51.07</v>
      </c>
    </row>
    <row r="1310" customFormat="false" ht="15" hidden="false" customHeight="false" outlineLevel="0" collapsed="false">
      <c r="B1310" s="7" t="s">
        <v>9943</v>
      </c>
      <c r="C1310" s="39" t="n">
        <v>45741</v>
      </c>
      <c r="D1310" s="7" t="s">
        <v>220</v>
      </c>
      <c r="E1310" s="7" t="s">
        <v>180</v>
      </c>
      <c r="F1310" s="6" t="n">
        <v>3.99</v>
      </c>
      <c r="G1310" s="6" t="n">
        <v>0</v>
      </c>
      <c r="H1310" s="41" t="n">
        <v>16.43</v>
      </c>
      <c r="I1310" s="43" t="n">
        <f aca="false">F1310*H1310</f>
        <v>65.5557</v>
      </c>
      <c r="J1310" s="43" t="n">
        <f aca="false">G1310*H1310*1.5</f>
        <v>0</v>
      </c>
      <c r="K1310" s="6" t="n">
        <v>13.65</v>
      </c>
      <c r="L1310" s="43" t="n">
        <f aca="false">K1310*'Chart of Accounts'!$E$68</f>
        <v>9.1455</v>
      </c>
      <c r="O1310" s="42" t="n">
        <f aca="false">I1310+J1310+L1310</f>
        <v>74.7012</v>
      </c>
    </row>
    <row r="1311" customFormat="false" ht="15" hidden="false" customHeight="false" outlineLevel="0" collapsed="false">
      <c r="B1311" s="7" t="s">
        <v>9944</v>
      </c>
      <c r="C1311" s="39" t="n">
        <v>45741</v>
      </c>
      <c r="D1311" s="7" t="s">
        <v>212</v>
      </c>
      <c r="E1311" s="7" t="s">
        <v>180</v>
      </c>
      <c r="F1311" s="6" t="n">
        <v>3.87</v>
      </c>
      <c r="G1311" s="6" t="n">
        <v>0</v>
      </c>
      <c r="H1311" s="41" t="n">
        <v>16.71</v>
      </c>
      <c r="I1311" s="43" t="n">
        <f aca="false">F1311*H1311</f>
        <v>64.6677</v>
      </c>
      <c r="J1311" s="43" t="n">
        <f aca="false">G1311*H1311*1.5</f>
        <v>0</v>
      </c>
      <c r="K1311" s="6" t="n">
        <v>13.46</v>
      </c>
      <c r="L1311" s="43" t="n">
        <f aca="false">K1311*'Chart of Accounts'!$E$68</f>
        <v>9.0182</v>
      </c>
      <c r="O1311" s="42" t="n">
        <f aca="false">I1311+J1311+L1311</f>
        <v>73.6859</v>
      </c>
    </row>
    <row r="1312" customFormat="false" ht="15" hidden="false" customHeight="false" outlineLevel="0" collapsed="false">
      <c r="B1312" s="7" t="s">
        <v>9945</v>
      </c>
      <c r="C1312" s="39" t="n">
        <v>45741</v>
      </c>
      <c r="D1312" s="7" t="s">
        <v>246</v>
      </c>
      <c r="E1312" s="7" t="s">
        <v>180</v>
      </c>
      <c r="F1312" s="6" t="n">
        <v>3.95</v>
      </c>
      <c r="G1312" s="6" t="n">
        <v>0</v>
      </c>
      <c r="H1312" s="41" t="n">
        <v>16.48</v>
      </c>
      <c r="I1312" s="43" t="n">
        <f aca="false">F1312*H1312</f>
        <v>65.096</v>
      </c>
      <c r="J1312" s="43" t="n">
        <f aca="false">G1312*H1312*1.5</f>
        <v>0</v>
      </c>
      <c r="K1312" s="6" t="n">
        <v>8.86</v>
      </c>
      <c r="L1312" s="43" t="n">
        <f aca="false">K1312*'Chart of Accounts'!$E$68</f>
        <v>5.9362</v>
      </c>
      <c r="O1312" s="42" t="n">
        <f aca="false">I1312+J1312+L1312</f>
        <v>71.0322</v>
      </c>
    </row>
    <row r="1313" customFormat="false" ht="15" hidden="false" customHeight="false" outlineLevel="0" collapsed="false">
      <c r="B1313" s="7" t="s">
        <v>9946</v>
      </c>
      <c r="C1313" s="39" t="n">
        <v>45741</v>
      </c>
      <c r="D1313" s="7" t="s">
        <v>222</v>
      </c>
      <c r="E1313" s="7" t="s">
        <v>180</v>
      </c>
      <c r="F1313" s="6" t="n">
        <v>4.19</v>
      </c>
      <c r="G1313" s="6" t="n">
        <v>0</v>
      </c>
      <c r="H1313" s="41" t="n">
        <v>17.84</v>
      </c>
      <c r="I1313" s="43" t="n">
        <f aca="false">F1313*H1313</f>
        <v>74.7496</v>
      </c>
      <c r="J1313" s="43" t="n">
        <f aca="false">G1313*H1313*1.5</f>
        <v>0</v>
      </c>
      <c r="K1313" s="6" t="n">
        <v>10.11</v>
      </c>
      <c r="L1313" s="43" t="n">
        <f aca="false">K1313*'Chart of Accounts'!$E$68</f>
        <v>6.7737</v>
      </c>
      <c r="O1313" s="42" t="n">
        <f aca="false">I1313+J1313+L1313</f>
        <v>81.5233</v>
      </c>
    </row>
    <row r="1314" customFormat="false" ht="15" hidden="false" customHeight="false" outlineLevel="0" collapsed="false">
      <c r="B1314" s="7" t="s">
        <v>9947</v>
      </c>
      <c r="C1314" s="39" t="n">
        <v>45741</v>
      </c>
      <c r="D1314" s="7" t="s">
        <v>242</v>
      </c>
      <c r="E1314" s="7" t="s">
        <v>180</v>
      </c>
      <c r="F1314" s="6" t="n">
        <v>4.2</v>
      </c>
      <c r="G1314" s="6" t="n">
        <v>0</v>
      </c>
      <c r="H1314" s="41" t="n">
        <v>17.99</v>
      </c>
      <c r="I1314" s="43" t="n">
        <f aca="false">F1314*H1314</f>
        <v>75.558</v>
      </c>
      <c r="J1314" s="43" t="n">
        <f aca="false">G1314*H1314*1.5</f>
        <v>0</v>
      </c>
      <c r="K1314" s="6" t="n">
        <v>13.23</v>
      </c>
      <c r="L1314" s="43" t="n">
        <f aca="false">K1314*'Chart of Accounts'!$E$68</f>
        <v>8.8641</v>
      </c>
      <c r="O1314" s="42" t="n">
        <f aca="false">I1314+J1314+L1314</f>
        <v>84.4221</v>
      </c>
    </row>
    <row r="1315" customFormat="false" ht="15" hidden="false" customHeight="false" outlineLevel="0" collapsed="false">
      <c r="B1315" s="7" t="s">
        <v>9948</v>
      </c>
      <c r="C1315" s="39" t="n">
        <v>45741</v>
      </c>
      <c r="D1315" s="7" t="s">
        <v>203</v>
      </c>
      <c r="E1315" s="7" t="s">
        <v>158</v>
      </c>
      <c r="H1315" s="41" t="n">
        <v>49.43</v>
      </c>
      <c r="M1315" s="6" t="n">
        <v>1</v>
      </c>
      <c r="N1315" s="43" t="n">
        <f aca="false">M1315*H1315</f>
        <v>49.43</v>
      </c>
      <c r="O1315" s="42" t="n">
        <f aca="false">N1315</f>
        <v>49.43</v>
      </c>
    </row>
    <row r="1316" customFormat="false" ht="15" hidden="false" customHeight="false" outlineLevel="0" collapsed="false">
      <c r="B1316" s="7" t="s">
        <v>9949</v>
      </c>
      <c r="C1316" s="39" t="n">
        <v>45741</v>
      </c>
      <c r="D1316" s="7" t="s">
        <v>254</v>
      </c>
      <c r="E1316" s="7" t="s">
        <v>180</v>
      </c>
      <c r="F1316" s="6" t="n">
        <v>4.2</v>
      </c>
      <c r="G1316" s="6" t="n">
        <v>0</v>
      </c>
      <c r="H1316" s="41" t="n">
        <v>17.1</v>
      </c>
      <c r="I1316" s="43" t="n">
        <f aca="false">F1316*H1316</f>
        <v>71.82</v>
      </c>
      <c r="J1316" s="43" t="n">
        <f aca="false">G1316*H1316*1.5</f>
        <v>0</v>
      </c>
      <c r="K1316" s="6" t="n">
        <v>12.95</v>
      </c>
      <c r="L1316" s="43" t="n">
        <f aca="false">K1316*'Chart of Accounts'!$E$68</f>
        <v>8.6765</v>
      </c>
      <c r="O1316" s="42" t="n">
        <f aca="false">I1316+J1316+L1316</f>
        <v>80.4965</v>
      </c>
    </row>
    <row r="1317" customFormat="false" ht="15" hidden="false" customHeight="false" outlineLevel="0" collapsed="false">
      <c r="B1317" s="7" t="s">
        <v>9950</v>
      </c>
      <c r="C1317" s="39" t="n">
        <v>45741</v>
      </c>
      <c r="D1317" s="7" t="s">
        <v>260</v>
      </c>
      <c r="E1317" s="7" t="s">
        <v>158</v>
      </c>
      <c r="H1317" s="41" t="n">
        <v>79.8</v>
      </c>
      <c r="M1317" s="6" t="n">
        <v>1</v>
      </c>
      <c r="N1317" s="43" t="n">
        <f aca="false">M1317*H1317</f>
        <v>79.8</v>
      </c>
      <c r="O1317" s="42" t="n">
        <f aca="false">N1317</f>
        <v>79.8</v>
      </c>
    </row>
    <row r="1318" customFormat="false" ht="15" hidden="false" customHeight="false" outlineLevel="0" collapsed="false">
      <c r="B1318" s="7" t="s">
        <v>9951</v>
      </c>
      <c r="C1318" s="39" t="n">
        <v>45742</v>
      </c>
      <c r="D1318" s="7" t="s">
        <v>228</v>
      </c>
      <c r="E1318" s="7" t="s">
        <v>158</v>
      </c>
      <c r="H1318" s="41" t="n">
        <v>51.07</v>
      </c>
      <c r="M1318" s="6" t="n">
        <v>1</v>
      </c>
      <c r="N1318" s="43" t="n">
        <f aca="false">M1318*H1318</f>
        <v>51.07</v>
      </c>
      <c r="O1318" s="42" t="n">
        <f aca="false">N1318</f>
        <v>51.07</v>
      </c>
    </row>
    <row r="1319" customFormat="false" ht="15" hidden="false" customHeight="false" outlineLevel="0" collapsed="false">
      <c r="B1319" s="7" t="s">
        <v>9952</v>
      </c>
      <c r="C1319" s="39" t="n">
        <v>45742</v>
      </c>
      <c r="D1319" s="7" t="s">
        <v>191</v>
      </c>
      <c r="E1319" s="7" t="s">
        <v>180</v>
      </c>
      <c r="F1319" s="6" t="n">
        <v>4.36</v>
      </c>
      <c r="G1319" s="6" t="n">
        <v>0</v>
      </c>
      <c r="H1319" s="41" t="n">
        <v>16.05</v>
      </c>
      <c r="I1319" s="43" t="n">
        <f aca="false">F1319*H1319</f>
        <v>69.978</v>
      </c>
      <c r="J1319" s="43" t="n">
        <f aca="false">G1319*H1319*1.5</f>
        <v>0</v>
      </c>
      <c r="K1319" s="6" t="n">
        <v>14.55</v>
      </c>
      <c r="L1319" s="43" t="n">
        <f aca="false">K1319*'Chart of Accounts'!$E$68</f>
        <v>9.7485</v>
      </c>
      <c r="O1319" s="42" t="n">
        <f aca="false">I1319+J1319+L1319</f>
        <v>79.7265</v>
      </c>
    </row>
    <row r="1320" customFormat="false" ht="15" hidden="false" customHeight="false" outlineLevel="0" collapsed="false">
      <c r="B1320" s="7" t="s">
        <v>9953</v>
      </c>
      <c r="C1320" s="39" t="n">
        <v>45742</v>
      </c>
      <c r="D1320" s="7" t="s">
        <v>194</v>
      </c>
      <c r="E1320" s="7" t="s">
        <v>180</v>
      </c>
      <c r="F1320" s="6" t="n">
        <v>4.53</v>
      </c>
      <c r="G1320" s="6" t="n">
        <v>0</v>
      </c>
      <c r="H1320" s="41" t="n">
        <v>16</v>
      </c>
      <c r="I1320" s="43" t="n">
        <f aca="false">F1320*H1320</f>
        <v>72.48</v>
      </c>
      <c r="J1320" s="43" t="n">
        <f aca="false">G1320*H1320*1.5</f>
        <v>0</v>
      </c>
      <c r="K1320" s="6" t="n">
        <v>15.8</v>
      </c>
      <c r="L1320" s="43" t="n">
        <f aca="false">K1320*'Chart of Accounts'!$E$68</f>
        <v>10.586</v>
      </c>
      <c r="O1320" s="42" t="n">
        <f aca="false">I1320+J1320+L1320</f>
        <v>83.066</v>
      </c>
    </row>
    <row r="1321" customFormat="false" ht="15" hidden="false" customHeight="false" outlineLevel="0" collapsed="false">
      <c r="B1321" s="7" t="s">
        <v>9954</v>
      </c>
      <c r="C1321" s="39" t="n">
        <v>45742</v>
      </c>
      <c r="D1321" s="7" t="s">
        <v>205</v>
      </c>
      <c r="E1321" s="7" t="s">
        <v>180</v>
      </c>
      <c r="F1321" s="6" t="n">
        <v>4.12</v>
      </c>
      <c r="G1321" s="6" t="n">
        <v>0</v>
      </c>
      <c r="H1321" s="41" t="n">
        <v>16.36</v>
      </c>
      <c r="I1321" s="43" t="n">
        <f aca="false">F1321*H1321</f>
        <v>67.4032</v>
      </c>
      <c r="J1321" s="43" t="n">
        <f aca="false">G1321*H1321*1.5</f>
        <v>0</v>
      </c>
      <c r="K1321" s="6" t="n">
        <v>13.61</v>
      </c>
      <c r="L1321" s="43" t="n">
        <f aca="false">K1321*'Chart of Accounts'!$E$68</f>
        <v>9.1187</v>
      </c>
      <c r="O1321" s="42" t="n">
        <f aca="false">I1321+J1321+L1321</f>
        <v>76.5219</v>
      </c>
    </row>
    <row r="1322" customFormat="false" ht="15" hidden="false" customHeight="false" outlineLevel="0" collapsed="false">
      <c r="B1322" s="7" t="s">
        <v>9955</v>
      </c>
      <c r="C1322" s="39" t="n">
        <v>45742</v>
      </c>
      <c r="D1322" s="7" t="s">
        <v>264</v>
      </c>
      <c r="E1322" s="7" t="s">
        <v>158</v>
      </c>
      <c r="H1322" s="41" t="n">
        <v>55.55</v>
      </c>
      <c r="M1322" s="6" t="n">
        <v>1</v>
      </c>
      <c r="N1322" s="43" t="n">
        <f aca="false">M1322*H1322</f>
        <v>55.55</v>
      </c>
      <c r="O1322" s="42" t="n">
        <f aca="false">N1322</f>
        <v>55.55</v>
      </c>
    </row>
    <row r="1323" customFormat="false" ht="15" hidden="false" customHeight="false" outlineLevel="0" collapsed="false">
      <c r="B1323" s="7" t="s">
        <v>9956</v>
      </c>
      <c r="C1323" s="39" t="n">
        <v>45742</v>
      </c>
      <c r="D1323" s="7" t="s">
        <v>252</v>
      </c>
      <c r="E1323" s="7" t="s">
        <v>158</v>
      </c>
      <c r="H1323" s="41" t="n">
        <v>57.54</v>
      </c>
      <c r="M1323" s="6" t="n">
        <v>1</v>
      </c>
      <c r="N1323" s="43" t="n">
        <f aca="false">M1323*H1323</f>
        <v>57.54</v>
      </c>
      <c r="O1323" s="42" t="n">
        <f aca="false">N1323</f>
        <v>57.54</v>
      </c>
    </row>
    <row r="1324" customFormat="false" ht="15" hidden="false" customHeight="false" outlineLevel="0" collapsed="false">
      <c r="B1324" s="7" t="s">
        <v>9957</v>
      </c>
      <c r="C1324" s="39" t="n">
        <v>45742</v>
      </c>
      <c r="D1324" s="7" t="s">
        <v>184</v>
      </c>
      <c r="E1324" s="7" t="s">
        <v>180</v>
      </c>
      <c r="F1324" s="6" t="n">
        <v>4.14</v>
      </c>
      <c r="G1324" s="6" t="n">
        <v>0</v>
      </c>
      <c r="H1324" s="41" t="n">
        <v>17.34</v>
      </c>
      <c r="I1324" s="43" t="n">
        <f aca="false">F1324*H1324</f>
        <v>71.7876</v>
      </c>
      <c r="J1324" s="43" t="n">
        <f aca="false">G1324*H1324*1.5</f>
        <v>0</v>
      </c>
      <c r="K1324" s="6" t="n">
        <v>12.61</v>
      </c>
      <c r="L1324" s="43" t="n">
        <f aca="false">K1324*'Chart of Accounts'!$E$68</f>
        <v>8.4487</v>
      </c>
      <c r="O1324" s="42" t="n">
        <f aca="false">I1324+J1324+L1324</f>
        <v>80.2363</v>
      </c>
    </row>
    <row r="1325" customFormat="false" ht="15" hidden="false" customHeight="false" outlineLevel="0" collapsed="false">
      <c r="B1325" s="7" t="s">
        <v>9958</v>
      </c>
      <c r="C1325" s="39" t="n">
        <v>45742</v>
      </c>
      <c r="D1325" s="7" t="s">
        <v>218</v>
      </c>
      <c r="E1325" s="7" t="s">
        <v>180</v>
      </c>
      <c r="F1325" s="6" t="n">
        <v>4.14</v>
      </c>
      <c r="G1325" s="6" t="n">
        <v>0</v>
      </c>
      <c r="H1325" s="41" t="n">
        <v>16.19</v>
      </c>
      <c r="I1325" s="43" t="n">
        <f aca="false">F1325*H1325</f>
        <v>67.0266</v>
      </c>
      <c r="J1325" s="43" t="n">
        <f aca="false">G1325*H1325*1.5</f>
        <v>0</v>
      </c>
      <c r="K1325" s="6" t="n">
        <v>10.55</v>
      </c>
      <c r="L1325" s="43" t="n">
        <f aca="false">K1325*'Chart of Accounts'!$E$68</f>
        <v>7.0685</v>
      </c>
      <c r="O1325" s="42" t="n">
        <f aca="false">I1325+J1325+L1325</f>
        <v>74.0951</v>
      </c>
    </row>
    <row r="1326" customFormat="false" ht="15" hidden="false" customHeight="false" outlineLevel="0" collapsed="false">
      <c r="B1326" s="7" t="s">
        <v>9959</v>
      </c>
      <c r="C1326" s="39" t="n">
        <v>45742</v>
      </c>
      <c r="D1326" s="7" t="s">
        <v>177</v>
      </c>
      <c r="E1326" s="7" t="s">
        <v>180</v>
      </c>
      <c r="F1326" s="6" t="n">
        <v>8</v>
      </c>
      <c r="G1326" s="6" t="n">
        <v>0</v>
      </c>
      <c r="H1326" s="41" t="n">
        <v>14.56</v>
      </c>
      <c r="I1326" s="43" t="n">
        <f aca="false">F1326*H1326</f>
        <v>116.48</v>
      </c>
      <c r="J1326" s="43" t="n">
        <f aca="false">G1326*H1326*1.5</f>
        <v>0</v>
      </c>
      <c r="K1326" s="6" t="n">
        <v>24.03</v>
      </c>
      <c r="L1326" s="43" t="n">
        <f aca="false">K1326*'Chart of Accounts'!$E$68</f>
        <v>16.1001</v>
      </c>
      <c r="O1326" s="42" t="n">
        <f aca="false">I1326+J1326+L1326</f>
        <v>132.5801</v>
      </c>
    </row>
    <row r="1327" customFormat="false" ht="15" hidden="false" customHeight="false" outlineLevel="0" collapsed="false">
      <c r="B1327" s="7" t="s">
        <v>9960</v>
      </c>
      <c r="C1327" s="39" t="n">
        <v>45742</v>
      </c>
      <c r="D1327" s="7" t="s">
        <v>242</v>
      </c>
      <c r="E1327" s="7" t="s">
        <v>180</v>
      </c>
      <c r="F1327" s="6" t="n">
        <v>7.52</v>
      </c>
      <c r="G1327" s="6" t="n">
        <v>0</v>
      </c>
      <c r="H1327" s="41" t="n">
        <v>17.99</v>
      </c>
      <c r="I1327" s="43" t="n">
        <f aca="false">F1327*H1327</f>
        <v>135.2848</v>
      </c>
      <c r="J1327" s="43" t="n">
        <f aca="false">G1327*H1327*1.5</f>
        <v>0</v>
      </c>
      <c r="K1327" s="6" t="n">
        <v>16.61</v>
      </c>
      <c r="L1327" s="43" t="n">
        <f aca="false">K1327*'Chart of Accounts'!$E$68</f>
        <v>11.1287</v>
      </c>
      <c r="O1327" s="42" t="n">
        <f aca="false">I1327+J1327+L1327</f>
        <v>146.4135</v>
      </c>
    </row>
    <row r="1328" customFormat="false" ht="15" hidden="false" customHeight="false" outlineLevel="0" collapsed="false">
      <c r="B1328" s="7" t="s">
        <v>9961</v>
      </c>
      <c r="C1328" s="39" t="n">
        <v>45742</v>
      </c>
      <c r="D1328" s="7" t="s">
        <v>201</v>
      </c>
      <c r="E1328" s="7" t="s">
        <v>180</v>
      </c>
      <c r="F1328" s="6" t="n">
        <v>3.04</v>
      </c>
      <c r="G1328" s="6" t="n">
        <v>0</v>
      </c>
      <c r="H1328" s="41" t="n">
        <v>15.19</v>
      </c>
      <c r="I1328" s="43" t="n">
        <f aca="false">F1328*H1328</f>
        <v>46.1776</v>
      </c>
      <c r="J1328" s="43" t="n">
        <f aca="false">G1328*H1328*1.5</f>
        <v>0</v>
      </c>
      <c r="K1328" s="6" t="n">
        <v>7.05</v>
      </c>
      <c r="L1328" s="43" t="n">
        <f aca="false">K1328*'Chart of Accounts'!$E$68</f>
        <v>4.7235</v>
      </c>
      <c r="O1328" s="42" t="n">
        <f aca="false">I1328+J1328+L1328</f>
        <v>50.9011</v>
      </c>
    </row>
    <row r="1329" customFormat="false" ht="15" hidden="false" customHeight="false" outlineLevel="0" collapsed="false">
      <c r="B1329" s="7" t="s">
        <v>9962</v>
      </c>
      <c r="C1329" s="39" t="n">
        <v>45742</v>
      </c>
      <c r="D1329" s="7" t="s">
        <v>207</v>
      </c>
      <c r="E1329" s="7" t="s">
        <v>180</v>
      </c>
      <c r="F1329" s="6" t="n">
        <v>3.14</v>
      </c>
      <c r="G1329" s="6" t="n">
        <v>0</v>
      </c>
      <c r="H1329" s="41" t="n">
        <v>16.65</v>
      </c>
      <c r="I1329" s="43" t="n">
        <f aca="false">F1329*H1329</f>
        <v>52.281</v>
      </c>
      <c r="J1329" s="43" t="n">
        <f aca="false">G1329*H1329*1.5</f>
        <v>0</v>
      </c>
      <c r="K1329" s="6" t="n">
        <v>8.07</v>
      </c>
      <c r="L1329" s="43" t="n">
        <f aca="false">K1329*'Chart of Accounts'!$E$68</f>
        <v>5.4069</v>
      </c>
      <c r="O1329" s="42" t="n">
        <f aca="false">I1329+J1329+L1329</f>
        <v>57.6879</v>
      </c>
    </row>
    <row r="1330" customFormat="false" ht="15" hidden="false" customHeight="false" outlineLevel="0" collapsed="false">
      <c r="B1330" s="7" t="s">
        <v>9963</v>
      </c>
      <c r="C1330" s="39" t="n">
        <v>45742</v>
      </c>
      <c r="D1330" s="7" t="s">
        <v>212</v>
      </c>
      <c r="E1330" s="7" t="s">
        <v>180</v>
      </c>
      <c r="F1330" s="6" t="n">
        <v>4.37</v>
      </c>
      <c r="G1330" s="6" t="n">
        <v>0</v>
      </c>
      <c r="H1330" s="41" t="n">
        <v>16.71</v>
      </c>
      <c r="I1330" s="43" t="n">
        <f aca="false">F1330*H1330</f>
        <v>73.0227</v>
      </c>
      <c r="J1330" s="43" t="n">
        <f aca="false">G1330*H1330*1.5</f>
        <v>0</v>
      </c>
      <c r="K1330" s="6" t="n">
        <v>15.31</v>
      </c>
      <c r="L1330" s="43" t="n">
        <f aca="false">K1330*'Chart of Accounts'!$E$68</f>
        <v>10.2577</v>
      </c>
      <c r="O1330" s="42" t="n">
        <f aca="false">I1330+J1330+L1330</f>
        <v>83.2804</v>
      </c>
    </row>
    <row r="1331" customFormat="false" ht="15" hidden="false" customHeight="false" outlineLevel="0" collapsed="false">
      <c r="B1331" s="7" t="s">
        <v>9964</v>
      </c>
      <c r="C1331" s="39" t="n">
        <v>45742</v>
      </c>
      <c r="D1331" s="7" t="s">
        <v>232</v>
      </c>
      <c r="E1331" s="7" t="s">
        <v>180</v>
      </c>
      <c r="F1331" s="6" t="n">
        <v>4.55</v>
      </c>
      <c r="G1331" s="6" t="n">
        <v>0</v>
      </c>
      <c r="H1331" s="41" t="n">
        <v>16.17</v>
      </c>
      <c r="I1331" s="43" t="n">
        <f aca="false">F1331*H1331</f>
        <v>73.5735</v>
      </c>
      <c r="J1331" s="43" t="n">
        <f aca="false">G1331*H1331*1.5</f>
        <v>0</v>
      </c>
      <c r="K1331" s="6" t="n">
        <v>15.03</v>
      </c>
      <c r="L1331" s="43" t="n">
        <f aca="false">K1331*'Chart of Accounts'!$E$68</f>
        <v>10.0701</v>
      </c>
      <c r="O1331" s="42" t="n">
        <f aca="false">I1331+J1331+L1331</f>
        <v>83.6436</v>
      </c>
    </row>
    <row r="1332" customFormat="false" ht="15" hidden="false" customHeight="false" outlineLevel="0" collapsed="false">
      <c r="B1332" s="7" t="s">
        <v>9965</v>
      </c>
      <c r="C1332" s="39" t="n">
        <v>45742</v>
      </c>
      <c r="D1332" s="7" t="s">
        <v>224</v>
      </c>
      <c r="E1332" s="7" t="s">
        <v>180</v>
      </c>
      <c r="F1332" s="6" t="n">
        <v>4.95</v>
      </c>
      <c r="G1332" s="6" t="n">
        <v>0</v>
      </c>
      <c r="H1332" s="41" t="n">
        <v>14.93</v>
      </c>
      <c r="I1332" s="43" t="n">
        <f aca="false">F1332*H1332</f>
        <v>73.9035</v>
      </c>
      <c r="J1332" s="43" t="n">
        <f aca="false">G1332*H1332*1.5</f>
        <v>0</v>
      </c>
      <c r="K1332" s="6" t="n">
        <v>16.94</v>
      </c>
      <c r="L1332" s="43" t="n">
        <f aca="false">K1332*'Chart of Accounts'!$E$68</f>
        <v>11.3498</v>
      </c>
      <c r="O1332" s="42" t="n">
        <f aca="false">I1332+J1332+L1332</f>
        <v>85.2533</v>
      </c>
    </row>
    <row r="1333" customFormat="false" ht="15" hidden="false" customHeight="false" outlineLevel="0" collapsed="false">
      <c r="B1333" s="7" t="s">
        <v>9966</v>
      </c>
      <c r="C1333" s="39" t="n">
        <v>45742</v>
      </c>
      <c r="D1333" s="7" t="s">
        <v>246</v>
      </c>
      <c r="E1333" s="7" t="s">
        <v>180</v>
      </c>
      <c r="F1333" s="6" t="n">
        <v>3.75</v>
      </c>
      <c r="G1333" s="6" t="n">
        <v>0</v>
      </c>
      <c r="H1333" s="41" t="n">
        <v>16.48</v>
      </c>
      <c r="I1333" s="43" t="n">
        <f aca="false">F1333*H1333</f>
        <v>61.8</v>
      </c>
      <c r="J1333" s="43" t="n">
        <f aca="false">G1333*H1333*1.5</f>
        <v>0</v>
      </c>
      <c r="K1333" s="6" t="n">
        <v>11.23</v>
      </c>
      <c r="L1333" s="43" t="n">
        <f aca="false">K1333*'Chart of Accounts'!$E$68</f>
        <v>7.5241</v>
      </c>
      <c r="O1333" s="42" t="n">
        <f aca="false">I1333+J1333+L1333</f>
        <v>69.3241</v>
      </c>
    </row>
    <row r="1334" customFormat="false" ht="15" hidden="false" customHeight="false" outlineLevel="0" collapsed="false">
      <c r="B1334" s="7" t="s">
        <v>9967</v>
      </c>
      <c r="C1334" s="39" t="n">
        <v>45742</v>
      </c>
      <c r="D1334" s="7" t="s">
        <v>222</v>
      </c>
      <c r="E1334" s="7" t="s">
        <v>180</v>
      </c>
      <c r="F1334" s="6" t="n">
        <v>3.66</v>
      </c>
      <c r="G1334" s="6" t="n">
        <v>0</v>
      </c>
      <c r="H1334" s="41" t="n">
        <v>17.84</v>
      </c>
      <c r="I1334" s="43" t="n">
        <f aca="false">F1334*H1334</f>
        <v>65.2944</v>
      </c>
      <c r="J1334" s="43" t="n">
        <f aca="false">G1334*H1334*1.5</f>
        <v>0</v>
      </c>
      <c r="K1334" s="6" t="n">
        <v>11.87</v>
      </c>
      <c r="L1334" s="43" t="n">
        <f aca="false">K1334*'Chart of Accounts'!$E$68</f>
        <v>7.9529</v>
      </c>
      <c r="O1334" s="42" t="n">
        <f aca="false">I1334+J1334+L1334</f>
        <v>73.2473</v>
      </c>
    </row>
    <row r="1335" customFormat="false" ht="15" hidden="false" customHeight="false" outlineLevel="0" collapsed="false">
      <c r="B1335" s="7" t="s">
        <v>9968</v>
      </c>
      <c r="C1335" s="39" t="n">
        <v>45742</v>
      </c>
      <c r="D1335" s="7" t="s">
        <v>203</v>
      </c>
      <c r="E1335" s="7" t="s">
        <v>158</v>
      </c>
      <c r="H1335" s="41" t="n">
        <v>49.43</v>
      </c>
      <c r="M1335" s="6" t="n">
        <v>1</v>
      </c>
      <c r="N1335" s="43" t="n">
        <f aca="false">M1335*H1335</f>
        <v>49.43</v>
      </c>
      <c r="O1335" s="42" t="n">
        <f aca="false">N1335</f>
        <v>49.43</v>
      </c>
    </row>
    <row r="1336" customFormat="false" ht="15" hidden="false" customHeight="false" outlineLevel="0" collapsed="false">
      <c r="B1336" s="7" t="s">
        <v>9969</v>
      </c>
      <c r="C1336" s="39" t="n">
        <v>45742</v>
      </c>
      <c r="D1336" s="7" t="s">
        <v>262</v>
      </c>
      <c r="E1336" s="7" t="s">
        <v>180</v>
      </c>
      <c r="F1336" s="6" t="n">
        <v>3.18</v>
      </c>
      <c r="G1336" s="6" t="n">
        <v>0</v>
      </c>
      <c r="H1336" s="41" t="n">
        <v>16.02</v>
      </c>
      <c r="I1336" s="43" t="n">
        <f aca="false">F1336*H1336</f>
        <v>50.9436</v>
      </c>
      <c r="J1336" s="43" t="n">
        <f aca="false">G1336*H1336*1.5</f>
        <v>0</v>
      </c>
      <c r="K1336" s="6" t="n">
        <v>10.69</v>
      </c>
      <c r="L1336" s="43" t="n">
        <f aca="false">K1336*'Chart of Accounts'!$E$68</f>
        <v>7.1623</v>
      </c>
      <c r="O1336" s="42" t="n">
        <f aca="false">I1336+J1336+L1336</f>
        <v>58.1059</v>
      </c>
    </row>
    <row r="1337" customFormat="false" ht="15" hidden="false" customHeight="false" outlineLevel="0" collapsed="false">
      <c r="B1337" s="7" t="s">
        <v>9970</v>
      </c>
      <c r="C1337" s="39" t="n">
        <v>45742</v>
      </c>
      <c r="D1337" s="7" t="s">
        <v>254</v>
      </c>
      <c r="E1337" s="7" t="s">
        <v>180</v>
      </c>
      <c r="F1337" s="6" t="n">
        <v>4.4</v>
      </c>
      <c r="G1337" s="6" t="n">
        <v>0</v>
      </c>
      <c r="H1337" s="41" t="n">
        <v>17.1</v>
      </c>
      <c r="I1337" s="43" t="n">
        <f aca="false">F1337*H1337</f>
        <v>75.24</v>
      </c>
      <c r="J1337" s="43" t="n">
        <f aca="false">G1337*H1337*1.5</f>
        <v>0</v>
      </c>
      <c r="K1337" s="6" t="n">
        <v>14.7</v>
      </c>
      <c r="L1337" s="43" t="n">
        <f aca="false">K1337*'Chart of Accounts'!$E$68</f>
        <v>9.849</v>
      </c>
      <c r="O1337" s="42" t="n">
        <f aca="false">I1337+J1337+L1337</f>
        <v>85.089</v>
      </c>
    </row>
    <row r="1338" customFormat="false" ht="15" hidden="false" customHeight="false" outlineLevel="0" collapsed="false">
      <c r="B1338" s="7" t="s">
        <v>9971</v>
      </c>
      <c r="C1338" s="39" t="n">
        <v>45742</v>
      </c>
      <c r="D1338" s="7" t="s">
        <v>214</v>
      </c>
      <c r="E1338" s="7" t="s">
        <v>180</v>
      </c>
      <c r="F1338" s="6" t="n">
        <v>3.12</v>
      </c>
      <c r="G1338" s="6" t="n">
        <v>0</v>
      </c>
      <c r="H1338" s="41" t="n">
        <v>15.67</v>
      </c>
      <c r="I1338" s="43" t="n">
        <f aca="false">F1338*H1338</f>
        <v>48.8904</v>
      </c>
      <c r="J1338" s="43" t="n">
        <f aca="false">G1338*H1338*1.5</f>
        <v>0</v>
      </c>
      <c r="K1338" s="6" t="n">
        <v>10.38</v>
      </c>
      <c r="L1338" s="43" t="n">
        <f aca="false">K1338*'Chart of Accounts'!$E$68</f>
        <v>6.9546</v>
      </c>
      <c r="O1338" s="42" t="n">
        <f aca="false">I1338+J1338+L1338</f>
        <v>55.845</v>
      </c>
    </row>
    <row r="1339" customFormat="false" ht="15" hidden="false" customHeight="false" outlineLevel="0" collapsed="false">
      <c r="B1339" s="7" t="s">
        <v>9972</v>
      </c>
      <c r="C1339" s="39" t="n">
        <v>45743</v>
      </c>
      <c r="D1339" s="7" t="s">
        <v>191</v>
      </c>
      <c r="E1339" s="7" t="s">
        <v>180</v>
      </c>
      <c r="F1339" s="6" t="n">
        <v>3.69</v>
      </c>
      <c r="G1339" s="6" t="n">
        <v>0</v>
      </c>
      <c r="H1339" s="41" t="n">
        <v>16.05</v>
      </c>
      <c r="I1339" s="43" t="n">
        <f aca="false">F1339*H1339</f>
        <v>59.2245</v>
      </c>
      <c r="J1339" s="43" t="n">
        <f aca="false">G1339*H1339*1.5</f>
        <v>0</v>
      </c>
      <c r="K1339" s="6" t="n">
        <v>11.3</v>
      </c>
      <c r="L1339" s="43" t="n">
        <f aca="false">K1339*'Chart of Accounts'!$E$68</f>
        <v>7.571</v>
      </c>
      <c r="O1339" s="42" t="n">
        <f aca="false">I1339+J1339+L1339</f>
        <v>66.7955</v>
      </c>
    </row>
    <row r="1340" customFormat="false" ht="15" hidden="false" customHeight="false" outlineLevel="0" collapsed="false">
      <c r="B1340" s="7" t="s">
        <v>9973</v>
      </c>
      <c r="C1340" s="39" t="n">
        <v>45743</v>
      </c>
      <c r="D1340" s="7" t="s">
        <v>201</v>
      </c>
      <c r="E1340" s="7" t="s">
        <v>180</v>
      </c>
      <c r="F1340" s="6" t="n">
        <v>3.07</v>
      </c>
      <c r="G1340" s="6" t="n">
        <v>0</v>
      </c>
      <c r="H1340" s="41" t="n">
        <v>15.19</v>
      </c>
      <c r="I1340" s="43" t="n">
        <f aca="false">F1340*H1340</f>
        <v>46.6333</v>
      </c>
      <c r="J1340" s="43" t="n">
        <f aca="false">G1340*H1340*1.5</f>
        <v>0</v>
      </c>
      <c r="K1340" s="6" t="n">
        <v>9.91</v>
      </c>
      <c r="L1340" s="43" t="n">
        <f aca="false">K1340*'Chart of Accounts'!$E$68</f>
        <v>6.6397</v>
      </c>
      <c r="O1340" s="42" t="n">
        <f aca="false">I1340+J1340+L1340</f>
        <v>53.273</v>
      </c>
    </row>
    <row r="1341" customFormat="false" ht="15" hidden="false" customHeight="false" outlineLevel="0" collapsed="false">
      <c r="B1341" s="7" t="s">
        <v>9974</v>
      </c>
      <c r="C1341" s="39" t="n">
        <v>45743</v>
      </c>
      <c r="D1341" s="7" t="s">
        <v>196</v>
      </c>
      <c r="E1341" s="7" t="s">
        <v>180</v>
      </c>
      <c r="F1341" s="6" t="n">
        <v>5.76</v>
      </c>
      <c r="G1341" s="6" t="n">
        <v>0</v>
      </c>
      <c r="H1341" s="41" t="n">
        <v>15.05</v>
      </c>
      <c r="I1341" s="43" t="n">
        <f aca="false">F1341*H1341</f>
        <v>86.688</v>
      </c>
      <c r="J1341" s="43" t="n">
        <f aca="false">G1341*H1341*1.5</f>
        <v>0</v>
      </c>
      <c r="K1341" s="6" t="n">
        <v>19.5</v>
      </c>
      <c r="L1341" s="43" t="n">
        <f aca="false">K1341*'Chart of Accounts'!$E$68</f>
        <v>13.065</v>
      </c>
      <c r="O1341" s="42" t="n">
        <f aca="false">I1341+J1341+L1341</f>
        <v>99.753</v>
      </c>
    </row>
    <row r="1342" customFormat="false" ht="15" hidden="false" customHeight="false" outlineLevel="0" collapsed="false">
      <c r="B1342" s="7" t="s">
        <v>9975</v>
      </c>
      <c r="C1342" s="39" t="n">
        <v>45743</v>
      </c>
      <c r="D1342" s="7" t="s">
        <v>184</v>
      </c>
      <c r="E1342" s="7" t="s">
        <v>180</v>
      </c>
      <c r="F1342" s="6" t="n">
        <v>4.18</v>
      </c>
      <c r="G1342" s="6" t="n">
        <v>0</v>
      </c>
      <c r="H1342" s="41" t="n">
        <v>17.34</v>
      </c>
      <c r="I1342" s="43" t="n">
        <f aca="false">F1342*H1342</f>
        <v>72.4812</v>
      </c>
      <c r="J1342" s="43" t="n">
        <f aca="false">G1342*H1342*1.5</f>
        <v>0</v>
      </c>
      <c r="K1342" s="6" t="n">
        <v>11.41</v>
      </c>
      <c r="L1342" s="43" t="n">
        <f aca="false">K1342*'Chart of Accounts'!$E$68</f>
        <v>7.6447</v>
      </c>
      <c r="O1342" s="42" t="n">
        <f aca="false">I1342+J1342+L1342</f>
        <v>80.1259</v>
      </c>
    </row>
    <row r="1343" customFormat="false" ht="15" hidden="false" customHeight="false" outlineLevel="0" collapsed="false">
      <c r="B1343" s="7" t="s">
        <v>9976</v>
      </c>
      <c r="C1343" s="39" t="n">
        <v>45743</v>
      </c>
      <c r="D1343" s="7" t="s">
        <v>207</v>
      </c>
      <c r="E1343" s="7" t="s">
        <v>180</v>
      </c>
      <c r="F1343" s="6" t="n">
        <v>3</v>
      </c>
      <c r="G1343" s="6" t="n">
        <v>0</v>
      </c>
      <c r="H1343" s="41" t="n">
        <v>16.65</v>
      </c>
      <c r="I1343" s="43" t="n">
        <f aca="false">F1343*H1343</f>
        <v>49.95</v>
      </c>
      <c r="J1343" s="43" t="n">
        <f aca="false">G1343*H1343*1.5</f>
        <v>0</v>
      </c>
      <c r="K1343" s="6" t="n">
        <v>9.36</v>
      </c>
      <c r="L1343" s="43" t="n">
        <f aca="false">K1343*'Chart of Accounts'!$E$68</f>
        <v>6.2712</v>
      </c>
      <c r="O1343" s="42" t="n">
        <f aca="false">I1343+J1343+L1343</f>
        <v>56.2212</v>
      </c>
    </row>
    <row r="1344" customFormat="false" ht="15" hidden="false" customHeight="false" outlineLevel="0" collapsed="false">
      <c r="B1344" s="7" t="s">
        <v>9977</v>
      </c>
      <c r="C1344" s="39" t="n">
        <v>45743</v>
      </c>
      <c r="D1344" s="7" t="s">
        <v>218</v>
      </c>
      <c r="E1344" s="7" t="s">
        <v>180</v>
      </c>
      <c r="F1344" s="6" t="n">
        <v>3.63</v>
      </c>
      <c r="G1344" s="6" t="n">
        <v>0</v>
      </c>
      <c r="H1344" s="41" t="n">
        <v>16.19</v>
      </c>
      <c r="I1344" s="43" t="n">
        <f aca="false">F1344*H1344</f>
        <v>58.7697</v>
      </c>
      <c r="J1344" s="43" t="n">
        <f aca="false">G1344*H1344*1.5</f>
        <v>0</v>
      </c>
      <c r="K1344" s="6" t="n">
        <v>11.03</v>
      </c>
      <c r="L1344" s="43" t="n">
        <f aca="false">K1344*'Chart of Accounts'!$E$68</f>
        <v>7.3901</v>
      </c>
      <c r="O1344" s="42" t="n">
        <f aca="false">I1344+J1344+L1344</f>
        <v>66.1598</v>
      </c>
    </row>
    <row r="1345" customFormat="false" ht="15" hidden="false" customHeight="false" outlineLevel="0" collapsed="false">
      <c r="B1345" s="7" t="s">
        <v>9978</v>
      </c>
      <c r="C1345" s="39" t="n">
        <v>45743</v>
      </c>
      <c r="D1345" s="7" t="s">
        <v>212</v>
      </c>
      <c r="E1345" s="7" t="s">
        <v>180</v>
      </c>
      <c r="F1345" s="6" t="n">
        <v>6.74</v>
      </c>
      <c r="G1345" s="6" t="n">
        <v>0</v>
      </c>
      <c r="H1345" s="41" t="n">
        <v>16.71</v>
      </c>
      <c r="I1345" s="43" t="n">
        <f aca="false">F1345*H1345</f>
        <v>112.6254</v>
      </c>
      <c r="J1345" s="43" t="n">
        <f aca="false">G1345*H1345*1.5</f>
        <v>0</v>
      </c>
      <c r="K1345" s="6" t="n">
        <v>23.21</v>
      </c>
      <c r="L1345" s="43" t="n">
        <f aca="false">K1345*'Chart of Accounts'!$E$68</f>
        <v>15.5507</v>
      </c>
      <c r="O1345" s="42" t="n">
        <f aca="false">I1345+J1345+L1345</f>
        <v>128.1761</v>
      </c>
    </row>
    <row r="1346" customFormat="false" ht="15" hidden="false" customHeight="false" outlineLevel="0" collapsed="false">
      <c r="B1346" s="7" t="s">
        <v>9979</v>
      </c>
      <c r="C1346" s="39" t="n">
        <v>45743</v>
      </c>
      <c r="D1346" s="7" t="s">
        <v>220</v>
      </c>
      <c r="E1346" s="7" t="s">
        <v>180</v>
      </c>
      <c r="F1346" s="6" t="n">
        <v>4.17</v>
      </c>
      <c r="G1346" s="6" t="n">
        <v>0</v>
      </c>
      <c r="H1346" s="41" t="n">
        <v>16.43</v>
      </c>
      <c r="I1346" s="43" t="n">
        <f aca="false">F1346*H1346</f>
        <v>68.5131</v>
      </c>
      <c r="J1346" s="43" t="n">
        <f aca="false">G1346*H1346*1.5</f>
        <v>0</v>
      </c>
      <c r="K1346" s="6" t="n">
        <v>13.41</v>
      </c>
      <c r="L1346" s="43" t="n">
        <f aca="false">K1346*'Chart of Accounts'!$E$68</f>
        <v>8.9847</v>
      </c>
      <c r="O1346" s="42" t="n">
        <f aca="false">I1346+J1346+L1346</f>
        <v>77.4978</v>
      </c>
    </row>
    <row r="1347" customFormat="false" ht="15" hidden="false" customHeight="false" outlineLevel="0" collapsed="false">
      <c r="B1347" s="7" t="s">
        <v>9980</v>
      </c>
      <c r="C1347" s="39" t="n">
        <v>45743</v>
      </c>
      <c r="D1347" s="7" t="s">
        <v>224</v>
      </c>
      <c r="E1347" s="7" t="s">
        <v>180</v>
      </c>
      <c r="F1347" s="6" t="n">
        <v>3.92</v>
      </c>
      <c r="G1347" s="6" t="n">
        <v>0</v>
      </c>
      <c r="H1347" s="41" t="n">
        <v>14.93</v>
      </c>
      <c r="I1347" s="43" t="n">
        <f aca="false">F1347*H1347</f>
        <v>58.5256</v>
      </c>
      <c r="J1347" s="43" t="n">
        <f aca="false">G1347*H1347*1.5</f>
        <v>0</v>
      </c>
      <c r="K1347" s="6" t="n">
        <v>10.87</v>
      </c>
      <c r="L1347" s="43" t="n">
        <f aca="false">K1347*'Chart of Accounts'!$E$68</f>
        <v>7.2829</v>
      </c>
      <c r="O1347" s="42" t="n">
        <f aca="false">I1347+J1347+L1347</f>
        <v>65.8085</v>
      </c>
    </row>
    <row r="1348" customFormat="false" ht="15" hidden="false" customHeight="false" outlineLevel="0" collapsed="false">
      <c r="B1348" s="7" t="s">
        <v>9981</v>
      </c>
      <c r="C1348" s="39" t="n">
        <v>45743</v>
      </c>
      <c r="D1348" s="7" t="s">
        <v>232</v>
      </c>
      <c r="E1348" s="7" t="s">
        <v>180</v>
      </c>
      <c r="F1348" s="6" t="n">
        <v>2.74</v>
      </c>
      <c r="G1348" s="6" t="n">
        <v>0</v>
      </c>
      <c r="H1348" s="41" t="n">
        <v>16.17</v>
      </c>
      <c r="I1348" s="43" t="n">
        <f aca="false">F1348*H1348</f>
        <v>44.3058</v>
      </c>
      <c r="J1348" s="43" t="n">
        <f aca="false">G1348*H1348*1.5</f>
        <v>0</v>
      </c>
      <c r="K1348" s="6" t="n">
        <v>8.15</v>
      </c>
      <c r="L1348" s="43" t="n">
        <f aca="false">K1348*'Chart of Accounts'!$E$68</f>
        <v>5.4605</v>
      </c>
      <c r="O1348" s="42" t="n">
        <f aca="false">I1348+J1348+L1348</f>
        <v>49.7663</v>
      </c>
    </row>
    <row r="1349" customFormat="false" ht="15" hidden="false" customHeight="false" outlineLevel="0" collapsed="false">
      <c r="B1349" s="7" t="s">
        <v>9982</v>
      </c>
      <c r="C1349" s="39" t="n">
        <v>45743</v>
      </c>
      <c r="D1349" s="7" t="s">
        <v>222</v>
      </c>
      <c r="E1349" s="7" t="s">
        <v>180</v>
      </c>
      <c r="F1349" s="6" t="n">
        <v>7.02</v>
      </c>
      <c r="G1349" s="6" t="n">
        <v>0</v>
      </c>
      <c r="H1349" s="41" t="n">
        <v>17.84</v>
      </c>
      <c r="I1349" s="43" t="n">
        <f aca="false">F1349*H1349</f>
        <v>125.2368</v>
      </c>
      <c r="J1349" s="43" t="n">
        <f aca="false">G1349*H1349*1.5</f>
        <v>0</v>
      </c>
      <c r="K1349" s="6" t="n">
        <v>23.08</v>
      </c>
      <c r="L1349" s="43" t="n">
        <f aca="false">K1349*'Chart of Accounts'!$E$68</f>
        <v>15.4636</v>
      </c>
      <c r="O1349" s="42" t="n">
        <f aca="false">I1349+J1349+L1349</f>
        <v>140.7004</v>
      </c>
    </row>
    <row r="1350" customFormat="false" ht="15" hidden="false" customHeight="false" outlineLevel="0" collapsed="false">
      <c r="B1350" s="7" t="s">
        <v>9983</v>
      </c>
      <c r="C1350" s="39" t="n">
        <v>45743</v>
      </c>
      <c r="D1350" s="7" t="s">
        <v>262</v>
      </c>
      <c r="E1350" s="7" t="s">
        <v>180</v>
      </c>
      <c r="F1350" s="6" t="n">
        <v>4.03</v>
      </c>
      <c r="G1350" s="6" t="n">
        <v>0</v>
      </c>
      <c r="H1350" s="41" t="n">
        <v>16.02</v>
      </c>
      <c r="I1350" s="43" t="n">
        <f aca="false">F1350*H1350</f>
        <v>64.5606</v>
      </c>
      <c r="J1350" s="43" t="n">
        <f aca="false">G1350*H1350*1.5</f>
        <v>0</v>
      </c>
      <c r="K1350" s="6" t="n">
        <v>10.5</v>
      </c>
      <c r="L1350" s="43" t="n">
        <f aca="false">K1350*'Chart of Accounts'!$E$68</f>
        <v>7.035</v>
      </c>
      <c r="O1350" s="42" t="n">
        <f aca="false">I1350+J1350+L1350</f>
        <v>71.5956</v>
      </c>
    </row>
    <row r="1351" customFormat="false" ht="15" hidden="false" customHeight="false" outlineLevel="0" collapsed="false">
      <c r="B1351" s="7" t="s">
        <v>9984</v>
      </c>
      <c r="C1351" s="39" t="n">
        <v>45743</v>
      </c>
      <c r="D1351" s="7" t="s">
        <v>246</v>
      </c>
      <c r="E1351" s="7" t="s">
        <v>180</v>
      </c>
      <c r="F1351" s="6" t="n">
        <v>8.49</v>
      </c>
      <c r="G1351" s="6" t="n">
        <v>0</v>
      </c>
      <c r="H1351" s="41" t="n">
        <v>16.48</v>
      </c>
      <c r="I1351" s="43" t="n">
        <f aca="false">F1351*H1351</f>
        <v>139.9152</v>
      </c>
      <c r="J1351" s="43" t="n">
        <f aca="false">G1351*H1351*1.5</f>
        <v>0</v>
      </c>
      <c r="K1351" s="6" t="n">
        <v>30.19</v>
      </c>
      <c r="L1351" s="43" t="n">
        <f aca="false">K1351*'Chart of Accounts'!$E$68</f>
        <v>20.2273</v>
      </c>
      <c r="O1351" s="42" t="n">
        <f aca="false">I1351+J1351+L1351</f>
        <v>160.1425</v>
      </c>
    </row>
    <row r="1352" customFormat="false" ht="15" hidden="false" customHeight="false" outlineLevel="0" collapsed="false">
      <c r="B1352" s="7" t="s">
        <v>9985</v>
      </c>
      <c r="C1352" s="39" t="n">
        <v>45743</v>
      </c>
      <c r="D1352" s="7" t="s">
        <v>214</v>
      </c>
      <c r="E1352" s="7" t="s">
        <v>180</v>
      </c>
      <c r="F1352" s="6" t="n">
        <v>3.83</v>
      </c>
      <c r="G1352" s="6" t="n">
        <v>0</v>
      </c>
      <c r="H1352" s="41" t="n">
        <v>15.67</v>
      </c>
      <c r="I1352" s="43" t="n">
        <f aca="false">F1352*H1352</f>
        <v>60.0161</v>
      </c>
      <c r="J1352" s="43" t="n">
        <f aca="false">G1352*H1352*1.5</f>
        <v>0</v>
      </c>
      <c r="K1352" s="6" t="n">
        <v>9.61</v>
      </c>
      <c r="L1352" s="43" t="n">
        <f aca="false">K1352*'Chart of Accounts'!$E$68</f>
        <v>6.4387</v>
      </c>
      <c r="O1352" s="42" t="n">
        <f aca="false">I1352+J1352+L1352</f>
        <v>66.4548</v>
      </c>
    </row>
    <row r="1353" customFormat="false" ht="15" hidden="false" customHeight="false" outlineLevel="0" collapsed="false">
      <c r="B1353" s="7" t="s">
        <v>9986</v>
      </c>
      <c r="C1353" s="39" t="n">
        <v>45743</v>
      </c>
      <c r="D1353" s="7" t="s">
        <v>242</v>
      </c>
      <c r="E1353" s="7" t="s">
        <v>180</v>
      </c>
      <c r="F1353" s="6" t="n">
        <v>3.99</v>
      </c>
      <c r="G1353" s="6" t="n">
        <v>0</v>
      </c>
      <c r="H1353" s="41" t="n">
        <v>17.99</v>
      </c>
      <c r="I1353" s="43" t="n">
        <f aca="false">F1353*H1353</f>
        <v>71.7801</v>
      </c>
      <c r="J1353" s="43" t="n">
        <f aca="false">G1353*H1353*1.5</f>
        <v>0</v>
      </c>
      <c r="K1353" s="6" t="n">
        <v>9.22</v>
      </c>
      <c r="L1353" s="43" t="n">
        <f aca="false">K1353*'Chart of Accounts'!$E$68</f>
        <v>6.1774</v>
      </c>
      <c r="O1353" s="42" t="n">
        <f aca="false">I1353+J1353+L1353</f>
        <v>77.9575</v>
      </c>
    </row>
    <row r="1354" customFormat="false" ht="15" hidden="false" customHeight="false" outlineLevel="0" collapsed="false">
      <c r="B1354" s="7" t="s">
        <v>9987</v>
      </c>
      <c r="C1354" s="39" t="n">
        <v>45743</v>
      </c>
      <c r="D1354" s="7" t="s">
        <v>254</v>
      </c>
      <c r="E1354" s="7" t="s">
        <v>180</v>
      </c>
      <c r="F1354" s="6" t="n">
        <v>3.75</v>
      </c>
      <c r="G1354" s="6" t="n">
        <v>0</v>
      </c>
      <c r="H1354" s="41" t="n">
        <v>17.1</v>
      </c>
      <c r="I1354" s="43" t="n">
        <f aca="false">F1354*H1354</f>
        <v>64.125</v>
      </c>
      <c r="J1354" s="43" t="n">
        <f aca="false">G1354*H1354*1.5</f>
        <v>0</v>
      </c>
      <c r="K1354" s="6" t="n">
        <v>8.74</v>
      </c>
      <c r="L1354" s="43" t="n">
        <f aca="false">K1354*'Chart of Accounts'!$E$68</f>
        <v>5.8558</v>
      </c>
      <c r="O1354" s="42" t="n">
        <f aca="false">I1354+J1354+L1354</f>
        <v>69.9808</v>
      </c>
    </row>
    <row r="1355" customFormat="false" ht="15" hidden="false" customHeight="false" outlineLevel="0" collapsed="false">
      <c r="B1355" s="7" t="s">
        <v>9988</v>
      </c>
      <c r="C1355" s="39" t="n">
        <v>45744</v>
      </c>
      <c r="D1355" s="7" t="s">
        <v>187</v>
      </c>
      <c r="E1355" s="7" t="s">
        <v>158</v>
      </c>
      <c r="H1355" s="41" t="n">
        <v>66.48</v>
      </c>
      <c r="M1355" s="6" t="n">
        <v>1</v>
      </c>
      <c r="N1355" s="43" t="n">
        <f aca="false">M1355*H1355</f>
        <v>66.48</v>
      </c>
      <c r="O1355" s="42" t="n">
        <f aca="false">N1355</f>
        <v>66.48</v>
      </c>
    </row>
    <row r="1356" customFormat="false" ht="15" hidden="false" customHeight="false" outlineLevel="0" collapsed="false">
      <c r="B1356" s="7" t="s">
        <v>9989</v>
      </c>
      <c r="C1356" s="39" t="n">
        <v>45744</v>
      </c>
      <c r="D1356" s="7" t="s">
        <v>191</v>
      </c>
      <c r="E1356" s="7" t="s">
        <v>180</v>
      </c>
      <c r="F1356" s="6" t="n">
        <v>4.23</v>
      </c>
      <c r="G1356" s="6" t="n">
        <v>0</v>
      </c>
      <c r="H1356" s="41" t="n">
        <v>16.05</v>
      </c>
      <c r="I1356" s="43" t="n">
        <f aca="false">F1356*H1356</f>
        <v>67.8915</v>
      </c>
      <c r="J1356" s="43" t="n">
        <f aca="false">G1356*H1356*1.5</f>
        <v>0</v>
      </c>
      <c r="K1356" s="6" t="n">
        <v>13.78</v>
      </c>
      <c r="L1356" s="43" t="n">
        <f aca="false">K1356*'Chart of Accounts'!$E$68</f>
        <v>9.2326</v>
      </c>
      <c r="O1356" s="42" t="n">
        <f aca="false">I1356+J1356+L1356</f>
        <v>77.1241</v>
      </c>
    </row>
    <row r="1357" customFormat="false" ht="15" hidden="false" customHeight="false" outlineLevel="0" collapsed="false">
      <c r="B1357" s="7" t="s">
        <v>9990</v>
      </c>
      <c r="C1357" s="39" t="n">
        <v>45744</v>
      </c>
      <c r="D1357" s="7" t="s">
        <v>194</v>
      </c>
      <c r="E1357" s="7" t="s">
        <v>180</v>
      </c>
      <c r="F1357" s="6" t="n">
        <v>5.1</v>
      </c>
      <c r="G1357" s="6" t="n">
        <v>0</v>
      </c>
      <c r="H1357" s="41" t="n">
        <v>16</v>
      </c>
      <c r="I1357" s="43" t="n">
        <f aca="false">F1357*H1357</f>
        <v>81.6</v>
      </c>
      <c r="J1357" s="43" t="n">
        <f aca="false">G1357*H1357*1.5</f>
        <v>0</v>
      </c>
      <c r="K1357" s="6" t="n">
        <v>14.9</v>
      </c>
      <c r="L1357" s="43" t="n">
        <f aca="false">K1357*'Chart of Accounts'!$E$68</f>
        <v>9.983</v>
      </c>
      <c r="O1357" s="42" t="n">
        <f aca="false">I1357+J1357+L1357</f>
        <v>91.583</v>
      </c>
    </row>
    <row r="1358" customFormat="false" ht="15" hidden="false" customHeight="false" outlineLevel="0" collapsed="false">
      <c r="B1358" s="7" t="s">
        <v>9991</v>
      </c>
      <c r="C1358" s="39" t="n">
        <v>45744</v>
      </c>
      <c r="D1358" s="7" t="s">
        <v>209</v>
      </c>
      <c r="E1358" s="7" t="s">
        <v>158</v>
      </c>
      <c r="H1358" s="41" t="n">
        <v>73.58</v>
      </c>
      <c r="M1358" s="6" t="n">
        <v>2</v>
      </c>
      <c r="N1358" s="43" t="n">
        <f aca="false">M1358*H1358</f>
        <v>147.16</v>
      </c>
      <c r="O1358" s="42" t="n">
        <f aca="false">N1358</f>
        <v>147.16</v>
      </c>
    </row>
    <row r="1359" customFormat="false" ht="15" hidden="false" customHeight="false" outlineLevel="0" collapsed="false">
      <c r="B1359" s="7" t="s">
        <v>9992</v>
      </c>
      <c r="C1359" s="39" t="n">
        <v>45744</v>
      </c>
      <c r="D1359" s="7" t="s">
        <v>205</v>
      </c>
      <c r="E1359" s="7" t="s">
        <v>180</v>
      </c>
      <c r="F1359" s="6" t="n">
        <v>4.18</v>
      </c>
      <c r="G1359" s="6" t="n">
        <v>0</v>
      </c>
      <c r="H1359" s="41" t="n">
        <v>16.36</v>
      </c>
      <c r="I1359" s="43" t="n">
        <f aca="false">F1359*H1359</f>
        <v>68.3848</v>
      </c>
      <c r="J1359" s="43" t="n">
        <f aca="false">G1359*H1359*1.5</f>
        <v>0</v>
      </c>
      <c r="K1359" s="6" t="n">
        <v>9.84</v>
      </c>
      <c r="L1359" s="43" t="n">
        <f aca="false">K1359*'Chart of Accounts'!$E$68</f>
        <v>6.5928</v>
      </c>
      <c r="O1359" s="42" t="n">
        <f aca="false">I1359+J1359+L1359</f>
        <v>74.9776</v>
      </c>
    </row>
    <row r="1360" customFormat="false" ht="15" hidden="false" customHeight="false" outlineLevel="0" collapsed="false">
      <c r="B1360" s="7" t="s">
        <v>9993</v>
      </c>
      <c r="C1360" s="39" t="n">
        <v>45744</v>
      </c>
      <c r="D1360" s="7" t="s">
        <v>264</v>
      </c>
      <c r="E1360" s="7" t="s">
        <v>158</v>
      </c>
      <c r="H1360" s="41" t="n">
        <v>55.55</v>
      </c>
      <c r="M1360" s="6" t="n">
        <v>1</v>
      </c>
      <c r="N1360" s="43" t="n">
        <f aca="false">M1360*H1360</f>
        <v>55.55</v>
      </c>
      <c r="O1360" s="42" t="n">
        <f aca="false">N1360</f>
        <v>55.55</v>
      </c>
    </row>
    <row r="1361" customFormat="false" ht="15" hidden="false" customHeight="false" outlineLevel="0" collapsed="false">
      <c r="B1361" s="7" t="s">
        <v>9994</v>
      </c>
      <c r="C1361" s="39" t="n">
        <v>45744</v>
      </c>
      <c r="D1361" s="7" t="s">
        <v>252</v>
      </c>
      <c r="E1361" s="7" t="s">
        <v>158</v>
      </c>
      <c r="H1361" s="41" t="n">
        <v>57.54</v>
      </c>
      <c r="M1361" s="6" t="n">
        <v>1</v>
      </c>
      <c r="N1361" s="43" t="n">
        <f aca="false">M1361*H1361</f>
        <v>57.54</v>
      </c>
      <c r="O1361" s="42" t="n">
        <f aca="false">N1361</f>
        <v>57.54</v>
      </c>
    </row>
    <row r="1362" customFormat="false" ht="15" hidden="false" customHeight="false" outlineLevel="0" collapsed="false">
      <c r="B1362" s="7" t="s">
        <v>9995</v>
      </c>
      <c r="C1362" s="39" t="n">
        <v>45744</v>
      </c>
      <c r="D1362" s="7" t="s">
        <v>184</v>
      </c>
      <c r="E1362" s="7" t="s">
        <v>180</v>
      </c>
      <c r="F1362" s="6" t="n">
        <v>3.79</v>
      </c>
      <c r="G1362" s="6" t="n">
        <v>0</v>
      </c>
      <c r="H1362" s="41" t="n">
        <v>17.34</v>
      </c>
      <c r="I1362" s="43" t="n">
        <f aca="false">F1362*H1362</f>
        <v>65.7186</v>
      </c>
      <c r="J1362" s="43" t="n">
        <f aca="false">G1362*H1362*1.5</f>
        <v>0</v>
      </c>
      <c r="K1362" s="6" t="n">
        <v>12.89</v>
      </c>
      <c r="L1362" s="43" t="n">
        <f aca="false">K1362*'Chart of Accounts'!$E$68</f>
        <v>8.6363</v>
      </c>
      <c r="O1362" s="42" t="n">
        <f aca="false">I1362+J1362+L1362</f>
        <v>74.3549</v>
      </c>
    </row>
    <row r="1363" customFormat="false" ht="15" hidden="false" customHeight="false" outlineLevel="0" collapsed="false">
      <c r="B1363" s="7" t="s">
        <v>9996</v>
      </c>
      <c r="C1363" s="39" t="n">
        <v>45744</v>
      </c>
      <c r="D1363" s="7" t="s">
        <v>218</v>
      </c>
      <c r="E1363" s="7" t="s">
        <v>180</v>
      </c>
      <c r="F1363" s="6" t="n">
        <v>3.64</v>
      </c>
      <c r="G1363" s="6" t="n">
        <v>0</v>
      </c>
      <c r="H1363" s="41" t="n">
        <v>16.19</v>
      </c>
      <c r="I1363" s="43" t="n">
        <f aca="false">F1363*H1363</f>
        <v>58.9316</v>
      </c>
      <c r="J1363" s="43" t="n">
        <f aca="false">G1363*H1363*1.5</f>
        <v>0</v>
      </c>
      <c r="K1363" s="6" t="n">
        <v>12.36</v>
      </c>
      <c r="L1363" s="43" t="n">
        <f aca="false">K1363*'Chart of Accounts'!$E$68</f>
        <v>8.2812</v>
      </c>
      <c r="O1363" s="42" t="n">
        <f aca="false">I1363+J1363+L1363</f>
        <v>67.2128</v>
      </c>
    </row>
    <row r="1364" customFormat="false" ht="15" hidden="false" customHeight="false" outlineLevel="0" collapsed="false">
      <c r="B1364" s="7" t="s">
        <v>9997</v>
      </c>
      <c r="C1364" s="39" t="n">
        <v>45744</v>
      </c>
      <c r="D1364" s="7" t="s">
        <v>266</v>
      </c>
      <c r="E1364" s="7" t="s">
        <v>158</v>
      </c>
      <c r="H1364" s="41" t="n">
        <v>75.18</v>
      </c>
      <c r="M1364" s="6" t="n">
        <v>1</v>
      </c>
      <c r="N1364" s="43" t="n">
        <f aca="false">M1364*H1364</f>
        <v>75.18</v>
      </c>
      <c r="O1364" s="42" t="n">
        <f aca="false">N1364</f>
        <v>75.18</v>
      </c>
    </row>
    <row r="1365" customFormat="false" ht="15" hidden="false" customHeight="false" outlineLevel="0" collapsed="false">
      <c r="B1365" s="7" t="s">
        <v>9998</v>
      </c>
      <c r="C1365" s="39" t="n">
        <v>45744</v>
      </c>
      <c r="D1365" s="7" t="s">
        <v>228</v>
      </c>
      <c r="E1365" s="7" t="s">
        <v>158</v>
      </c>
      <c r="H1365" s="41" t="n">
        <v>51.07</v>
      </c>
      <c r="M1365" s="6" t="n">
        <v>1</v>
      </c>
      <c r="N1365" s="43" t="n">
        <f aca="false">M1365*H1365</f>
        <v>51.07</v>
      </c>
      <c r="O1365" s="42" t="n">
        <f aca="false">N1365</f>
        <v>51.07</v>
      </c>
    </row>
    <row r="1366" customFormat="false" ht="15" hidden="false" customHeight="false" outlineLevel="0" collapsed="false">
      <c r="B1366" s="7" t="s">
        <v>9999</v>
      </c>
      <c r="C1366" s="39" t="n">
        <v>45744</v>
      </c>
      <c r="D1366" s="7" t="s">
        <v>220</v>
      </c>
      <c r="E1366" s="7" t="s">
        <v>180</v>
      </c>
      <c r="F1366" s="6" t="n">
        <v>4.07</v>
      </c>
      <c r="G1366" s="6" t="n">
        <v>0</v>
      </c>
      <c r="H1366" s="41" t="n">
        <v>16.43</v>
      </c>
      <c r="I1366" s="43" t="n">
        <f aca="false">F1366*H1366</f>
        <v>66.8701</v>
      </c>
      <c r="J1366" s="43" t="n">
        <f aca="false">G1366*H1366*1.5</f>
        <v>0</v>
      </c>
      <c r="K1366" s="6" t="n">
        <v>12.56</v>
      </c>
      <c r="L1366" s="43" t="n">
        <f aca="false">K1366*'Chart of Accounts'!$E$68</f>
        <v>8.4152</v>
      </c>
      <c r="O1366" s="42" t="n">
        <f aca="false">I1366+J1366+L1366</f>
        <v>75.2853</v>
      </c>
    </row>
    <row r="1367" customFormat="false" ht="15" hidden="false" customHeight="false" outlineLevel="0" collapsed="false">
      <c r="B1367" s="7" t="s">
        <v>10000</v>
      </c>
      <c r="C1367" s="39" t="n">
        <v>45744</v>
      </c>
      <c r="D1367" s="7" t="s">
        <v>177</v>
      </c>
      <c r="E1367" s="7" t="s">
        <v>180</v>
      </c>
      <c r="F1367" s="6" t="n">
        <v>8.72</v>
      </c>
      <c r="G1367" s="6" t="n">
        <v>0</v>
      </c>
      <c r="H1367" s="41" t="n">
        <v>14.56</v>
      </c>
      <c r="I1367" s="43" t="n">
        <f aca="false">F1367*H1367</f>
        <v>126.9632</v>
      </c>
      <c r="J1367" s="43" t="n">
        <f aca="false">G1367*H1367*1.5</f>
        <v>0</v>
      </c>
      <c r="K1367" s="6" t="n">
        <v>22.99</v>
      </c>
      <c r="L1367" s="43" t="n">
        <f aca="false">K1367*'Chart of Accounts'!$E$68</f>
        <v>15.4033</v>
      </c>
      <c r="O1367" s="42" t="n">
        <f aca="false">I1367+J1367+L1367</f>
        <v>142.3665</v>
      </c>
    </row>
    <row r="1368" customFormat="false" ht="15" hidden="false" customHeight="false" outlineLevel="0" collapsed="false">
      <c r="B1368" s="7" t="s">
        <v>10001</v>
      </c>
      <c r="C1368" s="39" t="n">
        <v>45744</v>
      </c>
      <c r="D1368" s="7" t="s">
        <v>242</v>
      </c>
      <c r="E1368" s="7" t="s">
        <v>180</v>
      </c>
      <c r="F1368" s="6" t="n">
        <v>7.37</v>
      </c>
      <c r="G1368" s="6" t="n">
        <v>0</v>
      </c>
      <c r="H1368" s="41" t="n">
        <v>17.99</v>
      </c>
      <c r="I1368" s="43" t="n">
        <f aca="false">F1368*H1368</f>
        <v>132.5863</v>
      </c>
      <c r="J1368" s="43" t="n">
        <f aca="false">G1368*H1368*1.5</f>
        <v>0</v>
      </c>
      <c r="K1368" s="6" t="n">
        <v>26</v>
      </c>
      <c r="L1368" s="43" t="n">
        <f aca="false">K1368*'Chart of Accounts'!$E$68</f>
        <v>17.42</v>
      </c>
      <c r="O1368" s="42" t="n">
        <f aca="false">I1368+J1368+L1368</f>
        <v>150.0063</v>
      </c>
    </row>
    <row r="1369" customFormat="false" ht="15" hidden="false" customHeight="false" outlineLevel="0" collapsed="false">
      <c r="B1369" s="7" t="s">
        <v>10002</v>
      </c>
      <c r="C1369" s="39" t="n">
        <v>45744</v>
      </c>
      <c r="D1369" s="7" t="s">
        <v>254</v>
      </c>
      <c r="E1369" s="7" t="s">
        <v>180</v>
      </c>
      <c r="F1369" s="6" t="n">
        <v>7.39</v>
      </c>
      <c r="G1369" s="6" t="n">
        <v>0</v>
      </c>
      <c r="H1369" s="41" t="n">
        <v>17.1</v>
      </c>
      <c r="I1369" s="43" t="n">
        <f aca="false">F1369*H1369</f>
        <v>126.369</v>
      </c>
      <c r="J1369" s="43" t="n">
        <f aca="false">G1369*H1369*1.5</f>
        <v>0</v>
      </c>
      <c r="K1369" s="6" t="n">
        <v>19.79</v>
      </c>
      <c r="L1369" s="43" t="n">
        <f aca="false">K1369*'Chart of Accounts'!$E$68</f>
        <v>13.2593</v>
      </c>
      <c r="O1369" s="42" t="n">
        <f aca="false">I1369+J1369+L1369</f>
        <v>139.6283</v>
      </c>
    </row>
    <row r="1370" customFormat="false" ht="15" hidden="false" customHeight="false" outlineLevel="0" collapsed="false">
      <c r="B1370" s="7" t="s">
        <v>10003</v>
      </c>
      <c r="C1370" s="39" t="n">
        <v>45744</v>
      </c>
      <c r="D1370" s="7" t="s">
        <v>201</v>
      </c>
      <c r="E1370" s="7" t="s">
        <v>180</v>
      </c>
      <c r="F1370" s="6" t="n">
        <v>3.65</v>
      </c>
      <c r="G1370" s="6" t="n">
        <v>0</v>
      </c>
      <c r="H1370" s="41" t="n">
        <v>15.19</v>
      </c>
      <c r="I1370" s="43" t="n">
        <f aca="false">F1370*H1370</f>
        <v>55.4435</v>
      </c>
      <c r="J1370" s="43" t="n">
        <f aca="false">G1370*H1370*1.5</f>
        <v>0</v>
      </c>
      <c r="K1370" s="6" t="n">
        <v>8.47</v>
      </c>
      <c r="L1370" s="43" t="n">
        <f aca="false">K1370*'Chart of Accounts'!$E$68</f>
        <v>5.6749</v>
      </c>
      <c r="O1370" s="42" t="n">
        <f aca="false">I1370+J1370+L1370</f>
        <v>61.1184</v>
      </c>
    </row>
    <row r="1371" customFormat="false" ht="15" hidden="false" customHeight="false" outlineLevel="0" collapsed="false">
      <c r="B1371" s="7" t="s">
        <v>10004</v>
      </c>
      <c r="C1371" s="39" t="n">
        <v>45744</v>
      </c>
      <c r="D1371" s="7" t="s">
        <v>207</v>
      </c>
      <c r="E1371" s="7" t="s">
        <v>180</v>
      </c>
      <c r="F1371" s="6" t="n">
        <v>3.56</v>
      </c>
      <c r="G1371" s="6" t="n">
        <v>0</v>
      </c>
      <c r="H1371" s="41" t="n">
        <v>16.65</v>
      </c>
      <c r="I1371" s="43" t="n">
        <f aca="false">F1371*H1371</f>
        <v>59.274</v>
      </c>
      <c r="J1371" s="43" t="n">
        <f aca="false">G1371*H1371*1.5</f>
        <v>0</v>
      </c>
      <c r="K1371" s="6" t="n">
        <v>11.34</v>
      </c>
      <c r="L1371" s="43" t="n">
        <f aca="false">K1371*'Chart of Accounts'!$E$68</f>
        <v>7.5978</v>
      </c>
      <c r="O1371" s="42" t="n">
        <f aca="false">I1371+J1371+L1371</f>
        <v>66.8718</v>
      </c>
    </row>
    <row r="1372" customFormat="false" ht="15" hidden="false" customHeight="false" outlineLevel="0" collapsed="false">
      <c r="B1372" s="7" t="s">
        <v>10005</v>
      </c>
      <c r="C1372" s="39" t="n">
        <v>45744</v>
      </c>
      <c r="D1372" s="7" t="s">
        <v>212</v>
      </c>
      <c r="E1372" s="7" t="s">
        <v>180</v>
      </c>
      <c r="F1372" s="6" t="n">
        <v>4.07</v>
      </c>
      <c r="G1372" s="6" t="n">
        <v>0</v>
      </c>
      <c r="H1372" s="41" t="n">
        <v>16.71</v>
      </c>
      <c r="I1372" s="43" t="n">
        <f aca="false">F1372*H1372</f>
        <v>68.0097</v>
      </c>
      <c r="J1372" s="43" t="n">
        <f aca="false">G1372*H1372*1.5</f>
        <v>0</v>
      </c>
      <c r="K1372" s="6" t="n">
        <v>9.85</v>
      </c>
      <c r="L1372" s="43" t="n">
        <f aca="false">K1372*'Chart of Accounts'!$E$68</f>
        <v>6.5995</v>
      </c>
      <c r="O1372" s="42" t="n">
        <f aca="false">I1372+J1372+L1372</f>
        <v>74.6092</v>
      </c>
    </row>
    <row r="1373" customFormat="false" ht="15" hidden="false" customHeight="false" outlineLevel="0" collapsed="false">
      <c r="B1373" s="7" t="s">
        <v>10006</v>
      </c>
      <c r="C1373" s="39" t="n">
        <v>45744</v>
      </c>
      <c r="D1373" s="7" t="s">
        <v>232</v>
      </c>
      <c r="E1373" s="7" t="s">
        <v>180</v>
      </c>
      <c r="F1373" s="6" t="n">
        <v>4.72</v>
      </c>
      <c r="G1373" s="6" t="n">
        <v>0</v>
      </c>
      <c r="H1373" s="41" t="n">
        <v>16.17</v>
      </c>
      <c r="I1373" s="43" t="n">
        <f aca="false">F1373*H1373</f>
        <v>76.3224</v>
      </c>
      <c r="J1373" s="43" t="n">
        <f aca="false">G1373*H1373*1.5</f>
        <v>0</v>
      </c>
      <c r="K1373" s="6" t="n">
        <v>14.59</v>
      </c>
      <c r="L1373" s="43" t="n">
        <f aca="false">K1373*'Chart of Accounts'!$E$68</f>
        <v>9.7753</v>
      </c>
      <c r="O1373" s="42" t="n">
        <f aca="false">I1373+J1373+L1373</f>
        <v>86.0977</v>
      </c>
    </row>
    <row r="1374" customFormat="false" ht="15" hidden="false" customHeight="false" outlineLevel="0" collapsed="false">
      <c r="B1374" s="7" t="s">
        <v>10007</v>
      </c>
      <c r="C1374" s="39" t="n">
        <v>45744</v>
      </c>
      <c r="D1374" s="7" t="s">
        <v>224</v>
      </c>
      <c r="E1374" s="7" t="s">
        <v>180</v>
      </c>
      <c r="F1374" s="6" t="n">
        <v>4.24</v>
      </c>
      <c r="G1374" s="6" t="n">
        <v>0</v>
      </c>
      <c r="H1374" s="41" t="n">
        <v>14.93</v>
      </c>
      <c r="I1374" s="43" t="n">
        <f aca="false">F1374*H1374</f>
        <v>63.3032</v>
      </c>
      <c r="J1374" s="43" t="n">
        <f aca="false">G1374*H1374*1.5</f>
        <v>0</v>
      </c>
      <c r="K1374" s="6" t="n">
        <v>11.97</v>
      </c>
      <c r="L1374" s="43" t="n">
        <f aca="false">K1374*'Chart of Accounts'!$E$68</f>
        <v>8.0199</v>
      </c>
      <c r="O1374" s="42" t="n">
        <f aca="false">I1374+J1374+L1374</f>
        <v>71.3231</v>
      </c>
    </row>
    <row r="1375" customFormat="false" ht="15" hidden="false" customHeight="false" outlineLevel="0" collapsed="false">
      <c r="B1375" s="7" t="s">
        <v>10008</v>
      </c>
      <c r="C1375" s="39" t="n">
        <v>45744</v>
      </c>
      <c r="D1375" s="7" t="s">
        <v>234</v>
      </c>
      <c r="E1375" s="7" t="s">
        <v>158</v>
      </c>
      <c r="H1375" s="41" t="n">
        <v>89.53</v>
      </c>
      <c r="M1375" s="6" t="n">
        <v>1</v>
      </c>
      <c r="N1375" s="43" t="n">
        <f aca="false">M1375*H1375</f>
        <v>89.53</v>
      </c>
      <c r="O1375" s="42" t="n">
        <f aca="false">N1375</f>
        <v>89.53</v>
      </c>
    </row>
    <row r="1376" customFormat="false" ht="15" hidden="false" customHeight="false" outlineLevel="0" collapsed="false">
      <c r="B1376" s="7" t="s">
        <v>10009</v>
      </c>
      <c r="C1376" s="39" t="n">
        <v>45744</v>
      </c>
      <c r="D1376" s="7" t="s">
        <v>222</v>
      </c>
      <c r="E1376" s="7" t="s">
        <v>180</v>
      </c>
      <c r="F1376" s="6" t="n">
        <v>4.34</v>
      </c>
      <c r="G1376" s="6" t="n">
        <v>0</v>
      </c>
      <c r="H1376" s="41" t="n">
        <v>17.84</v>
      </c>
      <c r="I1376" s="43" t="n">
        <f aca="false">F1376*H1376</f>
        <v>77.4256</v>
      </c>
      <c r="J1376" s="43" t="n">
        <f aca="false">G1376*H1376*1.5</f>
        <v>0</v>
      </c>
      <c r="K1376" s="6" t="n">
        <v>13.12</v>
      </c>
      <c r="L1376" s="43" t="n">
        <f aca="false">K1376*'Chart of Accounts'!$E$68</f>
        <v>8.7904</v>
      </c>
      <c r="O1376" s="42" t="n">
        <f aca="false">I1376+J1376+L1376</f>
        <v>86.216</v>
      </c>
    </row>
    <row r="1377" customFormat="false" ht="15" hidden="false" customHeight="false" outlineLevel="0" collapsed="false">
      <c r="B1377" s="7" t="s">
        <v>10010</v>
      </c>
      <c r="C1377" s="39" t="n">
        <v>45744</v>
      </c>
      <c r="D1377" s="7" t="s">
        <v>203</v>
      </c>
      <c r="E1377" s="7" t="s">
        <v>158</v>
      </c>
      <c r="H1377" s="41" t="n">
        <v>49.43</v>
      </c>
      <c r="M1377" s="6" t="n">
        <v>1</v>
      </c>
      <c r="N1377" s="43" t="n">
        <f aca="false">M1377*H1377</f>
        <v>49.43</v>
      </c>
      <c r="O1377" s="42" t="n">
        <f aca="false">N1377</f>
        <v>49.43</v>
      </c>
    </row>
    <row r="1378" customFormat="false" ht="15" hidden="false" customHeight="false" outlineLevel="0" collapsed="false">
      <c r="B1378" s="7" t="s">
        <v>10011</v>
      </c>
      <c r="C1378" s="39" t="n">
        <v>45744</v>
      </c>
      <c r="D1378" s="7" t="s">
        <v>262</v>
      </c>
      <c r="E1378" s="7" t="s">
        <v>180</v>
      </c>
      <c r="F1378" s="6" t="n">
        <v>3.18</v>
      </c>
      <c r="G1378" s="6" t="n">
        <v>0</v>
      </c>
      <c r="H1378" s="41" t="n">
        <v>16.02</v>
      </c>
      <c r="I1378" s="43" t="n">
        <f aca="false">F1378*H1378</f>
        <v>50.9436</v>
      </c>
      <c r="J1378" s="43" t="n">
        <f aca="false">G1378*H1378*1.5</f>
        <v>0</v>
      </c>
      <c r="K1378" s="6" t="n">
        <v>7.01</v>
      </c>
      <c r="L1378" s="43" t="n">
        <f aca="false">K1378*'Chart of Accounts'!$E$68</f>
        <v>4.6967</v>
      </c>
      <c r="O1378" s="42" t="n">
        <f aca="false">I1378+J1378+L1378</f>
        <v>55.6403</v>
      </c>
    </row>
    <row r="1379" customFormat="false" ht="15" hidden="false" customHeight="false" outlineLevel="0" collapsed="false">
      <c r="B1379" s="7" t="s">
        <v>10012</v>
      </c>
      <c r="C1379" s="39" t="n">
        <v>45744</v>
      </c>
      <c r="D1379" s="7" t="s">
        <v>260</v>
      </c>
      <c r="E1379" s="7" t="s">
        <v>158</v>
      </c>
      <c r="H1379" s="41" t="n">
        <v>79.8</v>
      </c>
      <c r="M1379" s="6" t="n">
        <v>1</v>
      </c>
      <c r="N1379" s="43" t="n">
        <f aca="false">M1379*H1379</f>
        <v>79.8</v>
      </c>
      <c r="O1379" s="42" t="n">
        <f aca="false">N1379</f>
        <v>79.8</v>
      </c>
    </row>
    <row r="1380" customFormat="false" ht="15" hidden="false" customHeight="false" outlineLevel="0" collapsed="false">
      <c r="B1380" s="7" t="s">
        <v>10013</v>
      </c>
      <c r="C1380" s="39" t="n">
        <v>45744</v>
      </c>
      <c r="D1380" s="7" t="s">
        <v>214</v>
      </c>
      <c r="E1380" s="7" t="s">
        <v>180</v>
      </c>
      <c r="F1380" s="6" t="n">
        <v>3.55</v>
      </c>
      <c r="G1380" s="6" t="n">
        <v>0</v>
      </c>
      <c r="H1380" s="41" t="n">
        <v>15.67</v>
      </c>
      <c r="I1380" s="43" t="n">
        <f aca="false">F1380*H1380</f>
        <v>55.6285</v>
      </c>
      <c r="J1380" s="43" t="n">
        <f aca="false">G1380*H1380*1.5</f>
        <v>0</v>
      </c>
      <c r="K1380" s="6" t="n">
        <v>9.36</v>
      </c>
      <c r="L1380" s="43" t="n">
        <f aca="false">K1380*'Chart of Accounts'!$E$68</f>
        <v>6.2712</v>
      </c>
      <c r="O1380" s="42" t="n">
        <f aca="false">I1380+J1380+L1380</f>
        <v>61.8997</v>
      </c>
    </row>
    <row r="1381" customFormat="false" ht="15" hidden="false" customHeight="false" outlineLevel="0" collapsed="false">
      <c r="B1381" s="7" t="s">
        <v>10014</v>
      </c>
      <c r="C1381" s="39" t="n">
        <v>45745</v>
      </c>
      <c r="D1381" s="7" t="s">
        <v>191</v>
      </c>
      <c r="E1381" s="7" t="s">
        <v>180</v>
      </c>
      <c r="F1381" s="6" t="n">
        <v>4.38</v>
      </c>
      <c r="G1381" s="6" t="n">
        <v>0</v>
      </c>
      <c r="H1381" s="41" t="n">
        <v>16.05</v>
      </c>
      <c r="I1381" s="43" t="n">
        <f aca="false">F1381*H1381</f>
        <v>70.299</v>
      </c>
      <c r="J1381" s="43" t="n">
        <f aca="false">G1381*H1381*1.5</f>
        <v>0</v>
      </c>
      <c r="K1381" s="6" t="n">
        <v>9.87</v>
      </c>
      <c r="L1381" s="43" t="n">
        <f aca="false">K1381*'Chart of Accounts'!$E$68</f>
        <v>6.6129</v>
      </c>
      <c r="O1381" s="42" t="n">
        <f aca="false">I1381+J1381+L1381</f>
        <v>76.9119</v>
      </c>
    </row>
    <row r="1382" customFormat="false" ht="15" hidden="false" customHeight="false" outlineLevel="0" collapsed="false">
      <c r="B1382" s="7" t="s">
        <v>10015</v>
      </c>
      <c r="C1382" s="39" t="n">
        <v>45745</v>
      </c>
      <c r="D1382" s="7" t="s">
        <v>218</v>
      </c>
      <c r="E1382" s="7" t="s">
        <v>180</v>
      </c>
      <c r="F1382" s="6" t="n">
        <v>4.39</v>
      </c>
      <c r="G1382" s="6" t="n">
        <v>0</v>
      </c>
      <c r="H1382" s="41" t="n">
        <v>16.19</v>
      </c>
      <c r="I1382" s="43" t="n">
        <f aca="false">F1382*H1382</f>
        <v>71.0741</v>
      </c>
      <c r="J1382" s="43" t="n">
        <f aca="false">G1382*H1382*1.5</f>
        <v>0</v>
      </c>
      <c r="K1382" s="6" t="n">
        <v>11.88</v>
      </c>
      <c r="L1382" s="43" t="n">
        <f aca="false">K1382*'Chart of Accounts'!$E$68</f>
        <v>7.9596</v>
      </c>
      <c r="O1382" s="42" t="n">
        <f aca="false">I1382+J1382+L1382</f>
        <v>79.0337</v>
      </c>
    </row>
    <row r="1383" customFormat="false" ht="15" hidden="false" customHeight="false" outlineLevel="0" collapsed="false">
      <c r="B1383" s="7" t="s">
        <v>10016</v>
      </c>
      <c r="C1383" s="39" t="n">
        <v>45745</v>
      </c>
      <c r="D1383" s="7" t="s">
        <v>212</v>
      </c>
      <c r="E1383" s="7" t="s">
        <v>180</v>
      </c>
      <c r="F1383" s="6" t="n">
        <v>4.1</v>
      </c>
      <c r="G1383" s="6" t="n">
        <v>0</v>
      </c>
      <c r="H1383" s="41" t="n">
        <v>16.71</v>
      </c>
      <c r="I1383" s="43" t="n">
        <f aca="false">F1383*H1383</f>
        <v>68.511</v>
      </c>
      <c r="J1383" s="43" t="n">
        <f aca="false">G1383*H1383*1.5</f>
        <v>0</v>
      </c>
      <c r="K1383" s="6" t="n">
        <v>9.03</v>
      </c>
      <c r="L1383" s="43" t="n">
        <f aca="false">K1383*'Chart of Accounts'!$E$68</f>
        <v>6.0501</v>
      </c>
      <c r="O1383" s="42" t="n">
        <f aca="false">I1383+J1383+L1383</f>
        <v>74.5611</v>
      </c>
    </row>
    <row r="1384" customFormat="false" ht="15" hidden="false" customHeight="false" outlineLevel="0" collapsed="false">
      <c r="B1384" s="7" t="s">
        <v>10017</v>
      </c>
      <c r="C1384" s="39" t="n">
        <v>45745</v>
      </c>
      <c r="D1384" s="7" t="s">
        <v>222</v>
      </c>
      <c r="E1384" s="7" t="s">
        <v>180</v>
      </c>
      <c r="F1384" s="6" t="n">
        <v>3.69</v>
      </c>
      <c r="G1384" s="6" t="n">
        <v>0</v>
      </c>
      <c r="H1384" s="41" t="n">
        <v>17.84</v>
      </c>
      <c r="I1384" s="43" t="n">
        <f aca="false">F1384*H1384</f>
        <v>65.8296</v>
      </c>
      <c r="J1384" s="43" t="n">
        <f aca="false">G1384*H1384*1.5</f>
        <v>0</v>
      </c>
      <c r="K1384" s="6" t="n">
        <v>11.97</v>
      </c>
      <c r="L1384" s="43" t="n">
        <f aca="false">K1384*'Chart of Accounts'!$E$68</f>
        <v>8.0199</v>
      </c>
      <c r="O1384" s="42" t="n">
        <f aca="false">I1384+J1384+L1384</f>
        <v>73.8495</v>
      </c>
    </row>
    <row r="1385" customFormat="false" ht="15" hidden="false" customHeight="false" outlineLevel="0" collapsed="false">
      <c r="B1385" s="7" t="s">
        <v>10018</v>
      </c>
      <c r="C1385" s="39" t="n">
        <v>45745</v>
      </c>
      <c r="D1385" s="7" t="s">
        <v>242</v>
      </c>
      <c r="E1385" s="7" t="s">
        <v>180</v>
      </c>
      <c r="F1385" s="6" t="n">
        <v>4.33</v>
      </c>
      <c r="G1385" s="6" t="n">
        <v>0</v>
      </c>
      <c r="H1385" s="41" t="n">
        <v>17.99</v>
      </c>
      <c r="I1385" s="43" t="n">
        <f aca="false">F1385*H1385</f>
        <v>77.8967</v>
      </c>
      <c r="J1385" s="43" t="n">
        <f aca="false">G1385*H1385*1.5</f>
        <v>0</v>
      </c>
      <c r="K1385" s="6" t="n">
        <v>14.33</v>
      </c>
      <c r="L1385" s="43" t="n">
        <f aca="false">K1385*'Chart of Accounts'!$E$68</f>
        <v>9.6011</v>
      </c>
      <c r="O1385" s="42" t="n">
        <f aca="false">I1385+J1385+L1385</f>
        <v>87.4978</v>
      </c>
    </row>
    <row r="1386" customFormat="false" ht="15" hidden="false" customHeight="false" outlineLevel="0" collapsed="false">
      <c r="B1386" s="7" t="s">
        <v>10019</v>
      </c>
      <c r="C1386" s="39" t="n">
        <v>45745</v>
      </c>
      <c r="D1386" s="7" t="s">
        <v>254</v>
      </c>
      <c r="E1386" s="7" t="s">
        <v>180</v>
      </c>
      <c r="F1386" s="6" t="n">
        <v>4.34</v>
      </c>
      <c r="G1386" s="6" t="n">
        <v>0</v>
      </c>
      <c r="H1386" s="41" t="n">
        <v>17.1</v>
      </c>
      <c r="I1386" s="43" t="n">
        <f aca="false">F1386*H1386</f>
        <v>74.214</v>
      </c>
      <c r="J1386" s="43" t="n">
        <f aca="false">G1386*H1386*1.5</f>
        <v>0</v>
      </c>
      <c r="K1386" s="6" t="n">
        <v>14.45</v>
      </c>
      <c r="L1386" s="43" t="n">
        <f aca="false">K1386*'Chart of Accounts'!$E$68</f>
        <v>9.6815</v>
      </c>
      <c r="O1386" s="42" t="n">
        <f aca="false">I1386+J1386+L1386</f>
        <v>83.8955</v>
      </c>
    </row>
    <row r="1387" customFormat="false" ht="15" hidden="false" customHeight="false" outlineLevel="0" collapsed="false">
      <c r="B1387" s="7" t="s">
        <v>10020</v>
      </c>
      <c r="C1387" s="39" t="n">
        <v>45746</v>
      </c>
      <c r="D1387" s="7" t="s">
        <v>191</v>
      </c>
      <c r="E1387" s="7" t="s">
        <v>180</v>
      </c>
      <c r="F1387" s="6" t="n">
        <v>3.77</v>
      </c>
      <c r="G1387" s="6" t="n">
        <v>0</v>
      </c>
      <c r="H1387" s="41" t="n">
        <v>16.05</v>
      </c>
      <c r="I1387" s="43" t="n">
        <f aca="false">F1387*H1387</f>
        <v>60.5085</v>
      </c>
      <c r="J1387" s="43" t="n">
        <f aca="false">G1387*H1387*1.5</f>
        <v>0</v>
      </c>
      <c r="K1387" s="6" t="n">
        <v>13.06</v>
      </c>
      <c r="L1387" s="43" t="n">
        <f aca="false">K1387*'Chart of Accounts'!$E$68</f>
        <v>8.7502</v>
      </c>
      <c r="O1387" s="42" t="n">
        <f aca="false">I1387+J1387+L1387</f>
        <v>69.2587</v>
      </c>
    </row>
    <row r="1388" customFormat="false" ht="15" hidden="false" customHeight="false" outlineLevel="0" collapsed="false">
      <c r="B1388" s="7" t="s">
        <v>10021</v>
      </c>
      <c r="C1388" s="39" t="n">
        <v>45746</v>
      </c>
      <c r="D1388" s="7" t="s">
        <v>218</v>
      </c>
      <c r="E1388" s="7" t="s">
        <v>180</v>
      </c>
      <c r="F1388" s="6" t="n">
        <v>4.31</v>
      </c>
      <c r="G1388" s="6" t="n">
        <v>0</v>
      </c>
      <c r="H1388" s="41" t="n">
        <v>16.19</v>
      </c>
      <c r="I1388" s="43" t="n">
        <f aca="false">F1388*H1388</f>
        <v>69.7789</v>
      </c>
      <c r="J1388" s="43" t="n">
        <f aca="false">G1388*H1388*1.5</f>
        <v>0</v>
      </c>
      <c r="K1388" s="6" t="n">
        <v>12.22</v>
      </c>
      <c r="L1388" s="43" t="n">
        <f aca="false">K1388*'Chart of Accounts'!$E$68</f>
        <v>8.1874</v>
      </c>
      <c r="O1388" s="42" t="n">
        <f aca="false">I1388+J1388+L1388</f>
        <v>77.9663</v>
      </c>
    </row>
    <row r="1389" customFormat="false" ht="15" hidden="false" customHeight="false" outlineLevel="0" collapsed="false">
      <c r="B1389" s="7" t="s">
        <v>10022</v>
      </c>
      <c r="C1389" s="39" t="n">
        <v>45746</v>
      </c>
      <c r="D1389" s="7" t="s">
        <v>212</v>
      </c>
      <c r="E1389" s="7" t="s">
        <v>180</v>
      </c>
      <c r="F1389" s="6" t="n">
        <v>3.64</v>
      </c>
      <c r="G1389" s="6" t="n">
        <v>0</v>
      </c>
      <c r="H1389" s="41" t="n">
        <v>16.71</v>
      </c>
      <c r="I1389" s="43" t="n">
        <f aca="false">F1389*H1389</f>
        <v>60.8244</v>
      </c>
      <c r="J1389" s="43" t="n">
        <f aca="false">G1389*H1389*1.5</f>
        <v>0</v>
      </c>
      <c r="K1389" s="6" t="n">
        <v>9.52</v>
      </c>
      <c r="L1389" s="43" t="n">
        <f aca="false">K1389*'Chart of Accounts'!$E$68</f>
        <v>6.3784</v>
      </c>
      <c r="O1389" s="42" t="n">
        <f aca="false">I1389+J1389+L1389</f>
        <v>67.2028</v>
      </c>
    </row>
    <row r="1390" customFormat="false" ht="15" hidden="false" customHeight="false" outlineLevel="0" collapsed="false">
      <c r="B1390" s="7" t="s">
        <v>10023</v>
      </c>
      <c r="C1390" s="39" t="n">
        <v>45746</v>
      </c>
      <c r="D1390" s="7" t="s">
        <v>222</v>
      </c>
      <c r="E1390" s="7" t="s">
        <v>180</v>
      </c>
      <c r="F1390" s="6" t="n">
        <v>3.62</v>
      </c>
      <c r="G1390" s="6" t="n">
        <v>0</v>
      </c>
      <c r="H1390" s="41" t="n">
        <v>17.84</v>
      </c>
      <c r="I1390" s="43" t="n">
        <f aca="false">F1390*H1390</f>
        <v>64.5808</v>
      </c>
      <c r="J1390" s="43" t="n">
        <f aca="false">G1390*H1390*1.5</f>
        <v>0</v>
      </c>
      <c r="K1390" s="6" t="n">
        <v>12.11</v>
      </c>
      <c r="L1390" s="43" t="n">
        <f aca="false">K1390*'Chart of Accounts'!$E$68</f>
        <v>8.1137</v>
      </c>
      <c r="O1390" s="42" t="n">
        <f aca="false">I1390+J1390+L1390</f>
        <v>72.6945</v>
      </c>
    </row>
    <row r="1391" customFormat="false" ht="15" hidden="false" customHeight="false" outlineLevel="0" collapsed="false">
      <c r="B1391" s="7" t="s">
        <v>10024</v>
      </c>
      <c r="C1391" s="39" t="n">
        <v>45746</v>
      </c>
      <c r="D1391" s="7" t="s">
        <v>242</v>
      </c>
      <c r="E1391" s="7" t="s">
        <v>180</v>
      </c>
      <c r="F1391" s="6" t="n">
        <v>3.79</v>
      </c>
      <c r="G1391" s="6" t="n">
        <v>0</v>
      </c>
      <c r="H1391" s="41" t="n">
        <v>17.99</v>
      </c>
      <c r="I1391" s="43" t="n">
        <f aca="false">F1391*H1391</f>
        <v>68.1821</v>
      </c>
      <c r="J1391" s="43" t="n">
        <f aca="false">G1391*H1391*1.5</f>
        <v>0</v>
      </c>
      <c r="K1391" s="6" t="n">
        <v>10.77</v>
      </c>
      <c r="L1391" s="43" t="n">
        <f aca="false">K1391*'Chart of Accounts'!$E$68</f>
        <v>7.2159</v>
      </c>
      <c r="O1391" s="42" t="n">
        <f aca="false">I1391+J1391+L1391</f>
        <v>75.398</v>
      </c>
    </row>
    <row r="1392" customFormat="false" ht="15" hidden="false" customHeight="false" outlineLevel="0" collapsed="false">
      <c r="B1392" s="7" t="s">
        <v>10025</v>
      </c>
      <c r="C1392" s="39" t="n">
        <v>45746</v>
      </c>
      <c r="D1392" s="7" t="s">
        <v>254</v>
      </c>
      <c r="E1392" s="7" t="s">
        <v>180</v>
      </c>
      <c r="F1392" s="6" t="n">
        <v>3.94</v>
      </c>
      <c r="G1392" s="6" t="n">
        <v>0</v>
      </c>
      <c r="H1392" s="41" t="n">
        <v>17.1</v>
      </c>
      <c r="I1392" s="43" t="n">
        <f aca="false">F1392*H1392</f>
        <v>67.374</v>
      </c>
      <c r="J1392" s="43" t="n">
        <f aca="false">G1392*H1392*1.5</f>
        <v>0</v>
      </c>
      <c r="K1392" s="6" t="n">
        <v>9.84</v>
      </c>
      <c r="L1392" s="43" t="n">
        <f aca="false">K1392*'Chart of Accounts'!$E$68</f>
        <v>6.5928</v>
      </c>
      <c r="O1392" s="42" t="n">
        <f aca="false">I1392+J1392+L1392</f>
        <v>73.9668</v>
      </c>
    </row>
    <row r="1393" customFormat="false" ht="15" hidden="false" customHeight="false" outlineLevel="0" collapsed="false">
      <c r="B1393" s="7" t="s">
        <v>10026</v>
      </c>
      <c r="C1393" s="39" t="n">
        <v>45747</v>
      </c>
      <c r="D1393" s="7" t="s">
        <v>187</v>
      </c>
      <c r="E1393" s="7" t="s">
        <v>158</v>
      </c>
      <c r="H1393" s="41" t="n">
        <v>66.48</v>
      </c>
      <c r="M1393" s="6" t="n">
        <v>1</v>
      </c>
      <c r="N1393" s="43" t="n">
        <f aca="false">M1393*H1393</f>
        <v>66.48</v>
      </c>
      <c r="O1393" s="42" t="n">
        <f aca="false">N1393</f>
        <v>66.48</v>
      </c>
    </row>
    <row r="1394" customFormat="false" ht="15" hidden="false" customHeight="false" outlineLevel="0" collapsed="false">
      <c r="B1394" s="7" t="s">
        <v>10027</v>
      </c>
      <c r="C1394" s="39" t="n">
        <v>45747</v>
      </c>
      <c r="D1394" s="7" t="s">
        <v>191</v>
      </c>
      <c r="E1394" s="7" t="s">
        <v>180</v>
      </c>
      <c r="F1394" s="6" t="n">
        <v>3.79</v>
      </c>
      <c r="G1394" s="6" t="n">
        <v>0</v>
      </c>
      <c r="H1394" s="41" t="n">
        <v>16.05</v>
      </c>
      <c r="I1394" s="43" t="n">
        <f aca="false">F1394*H1394</f>
        <v>60.8295</v>
      </c>
      <c r="J1394" s="43" t="n">
        <f aca="false">G1394*H1394*1.5</f>
        <v>0</v>
      </c>
      <c r="K1394" s="6" t="n">
        <v>8.45</v>
      </c>
      <c r="L1394" s="43" t="n">
        <f aca="false">K1394*'Chart of Accounts'!$E$68</f>
        <v>5.6615</v>
      </c>
      <c r="O1394" s="42" t="n">
        <f aca="false">I1394+J1394+L1394</f>
        <v>66.491</v>
      </c>
    </row>
    <row r="1395" customFormat="false" ht="15" hidden="false" customHeight="false" outlineLevel="0" collapsed="false">
      <c r="B1395" s="7" t="s">
        <v>10028</v>
      </c>
      <c r="C1395" s="39" t="n">
        <v>45747</v>
      </c>
      <c r="D1395" s="7" t="s">
        <v>194</v>
      </c>
      <c r="E1395" s="7" t="s">
        <v>180</v>
      </c>
      <c r="F1395" s="6" t="n">
        <v>5.03</v>
      </c>
      <c r="G1395" s="6" t="n">
        <v>0</v>
      </c>
      <c r="H1395" s="41" t="n">
        <v>16</v>
      </c>
      <c r="I1395" s="43" t="n">
        <f aca="false">F1395*H1395</f>
        <v>80.48</v>
      </c>
      <c r="J1395" s="43" t="n">
        <f aca="false">G1395*H1395*1.5</f>
        <v>0</v>
      </c>
      <c r="K1395" s="6" t="n">
        <v>11.8</v>
      </c>
      <c r="L1395" s="43" t="n">
        <f aca="false">K1395*'Chart of Accounts'!$E$68</f>
        <v>7.906</v>
      </c>
      <c r="O1395" s="42" t="n">
        <f aca="false">I1395+J1395+L1395</f>
        <v>88.386</v>
      </c>
    </row>
    <row r="1396" customFormat="false" ht="15" hidden="false" customHeight="false" outlineLevel="0" collapsed="false">
      <c r="B1396" s="7" t="s">
        <v>10029</v>
      </c>
      <c r="C1396" s="39" t="n">
        <v>45747</v>
      </c>
      <c r="D1396" s="7" t="s">
        <v>201</v>
      </c>
      <c r="E1396" s="7" t="s">
        <v>180</v>
      </c>
      <c r="F1396" s="6" t="n">
        <v>6.19</v>
      </c>
      <c r="G1396" s="6" t="n">
        <v>0</v>
      </c>
      <c r="H1396" s="41" t="n">
        <v>15.19</v>
      </c>
      <c r="I1396" s="43" t="n">
        <f aca="false">F1396*H1396</f>
        <v>94.0261</v>
      </c>
      <c r="J1396" s="43" t="n">
        <f aca="false">G1396*H1396*1.5</f>
        <v>0</v>
      </c>
      <c r="K1396" s="6" t="n">
        <v>20.63</v>
      </c>
      <c r="L1396" s="43" t="n">
        <f aca="false">K1396*'Chart of Accounts'!$E$68</f>
        <v>13.8221</v>
      </c>
      <c r="O1396" s="42" t="n">
        <f aca="false">I1396+J1396+L1396</f>
        <v>107.8482</v>
      </c>
    </row>
    <row r="1397" customFormat="false" ht="15" hidden="false" customHeight="false" outlineLevel="0" collapsed="false">
      <c r="B1397" s="7" t="s">
        <v>10030</v>
      </c>
      <c r="C1397" s="39" t="n">
        <v>45747</v>
      </c>
      <c r="D1397" s="7" t="s">
        <v>205</v>
      </c>
      <c r="E1397" s="7" t="s">
        <v>180</v>
      </c>
      <c r="F1397" s="6" t="n">
        <v>4.09</v>
      </c>
      <c r="G1397" s="6" t="n">
        <v>0</v>
      </c>
      <c r="H1397" s="41" t="n">
        <v>16.36</v>
      </c>
      <c r="I1397" s="43" t="n">
        <f aca="false">F1397*H1397</f>
        <v>66.9124</v>
      </c>
      <c r="J1397" s="43" t="n">
        <f aca="false">G1397*H1397*1.5</f>
        <v>0</v>
      </c>
      <c r="K1397" s="6" t="n">
        <v>11.02</v>
      </c>
      <c r="L1397" s="43" t="n">
        <f aca="false">K1397*'Chart of Accounts'!$E$68</f>
        <v>7.3834</v>
      </c>
      <c r="O1397" s="42" t="n">
        <f aca="false">I1397+J1397+L1397</f>
        <v>74.2958</v>
      </c>
    </row>
    <row r="1398" customFormat="false" ht="15" hidden="false" customHeight="false" outlineLevel="0" collapsed="false">
      <c r="B1398" s="7" t="s">
        <v>10031</v>
      </c>
      <c r="C1398" s="39" t="n">
        <v>45747</v>
      </c>
      <c r="D1398" s="7" t="s">
        <v>264</v>
      </c>
      <c r="E1398" s="7" t="s">
        <v>158</v>
      </c>
      <c r="H1398" s="41" t="n">
        <v>55.55</v>
      </c>
      <c r="M1398" s="6" t="n">
        <v>1</v>
      </c>
      <c r="N1398" s="43" t="n">
        <f aca="false">M1398*H1398</f>
        <v>55.55</v>
      </c>
      <c r="O1398" s="42" t="n">
        <f aca="false">N1398</f>
        <v>55.55</v>
      </c>
    </row>
    <row r="1399" customFormat="false" ht="15" hidden="false" customHeight="false" outlineLevel="0" collapsed="false">
      <c r="B1399" s="7" t="s">
        <v>10032</v>
      </c>
      <c r="C1399" s="39" t="n">
        <v>45747</v>
      </c>
      <c r="D1399" s="7" t="s">
        <v>252</v>
      </c>
      <c r="E1399" s="7" t="s">
        <v>158</v>
      </c>
      <c r="H1399" s="41" t="n">
        <v>57.54</v>
      </c>
      <c r="M1399" s="6" t="n">
        <v>1</v>
      </c>
      <c r="N1399" s="43" t="n">
        <f aca="false">M1399*H1399</f>
        <v>57.54</v>
      </c>
      <c r="O1399" s="42" t="n">
        <f aca="false">N1399</f>
        <v>57.54</v>
      </c>
    </row>
    <row r="1400" customFormat="false" ht="15" hidden="false" customHeight="false" outlineLevel="0" collapsed="false">
      <c r="B1400" s="7" t="s">
        <v>10033</v>
      </c>
      <c r="C1400" s="39" t="n">
        <v>45747</v>
      </c>
      <c r="D1400" s="7" t="s">
        <v>196</v>
      </c>
      <c r="E1400" s="7" t="s">
        <v>180</v>
      </c>
      <c r="F1400" s="6" t="n">
        <v>6.08</v>
      </c>
      <c r="G1400" s="6" t="n">
        <v>0</v>
      </c>
      <c r="H1400" s="41" t="n">
        <v>15.05</v>
      </c>
      <c r="I1400" s="43" t="n">
        <f aca="false">F1400*H1400</f>
        <v>91.504</v>
      </c>
      <c r="J1400" s="43" t="n">
        <f aca="false">G1400*H1400*1.5</f>
        <v>0</v>
      </c>
      <c r="K1400" s="6" t="n">
        <v>21.13</v>
      </c>
      <c r="L1400" s="43" t="n">
        <f aca="false">K1400*'Chart of Accounts'!$E$68</f>
        <v>14.1571</v>
      </c>
      <c r="O1400" s="42" t="n">
        <f aca="false">I1400+J1400+L1400</f>
        <v>105.6611</v>
      </c>
    </row>
    <row r="1401" customFormat="false" ht="15" hidden="false" customHeight="false" outlineLevel="0" collapsed="false">
      <c r="B1401" s="7" t="s">
        <v>10034</v>
      </c>
      <c r="C1401" s="39" t="n">
        <v>45747</v>
      </c>
      <c r="D1401" s="7" t="s">
        <v>184</v>
      </c>
      <c r="E1401" s="7" t="s">
        <v>180</v>
      </c>
      <c r="F1401" s="6" t="n">
        <v>3.97</v>
      </c>
      <c r="G1401" s="6" t="n">
        <v>0</v>
      </c>
      <c r="H1401" s="41" t="n">
        <v>17.34</v>
      </c>
      <c r="I1401" s="43" t="n">
        <f aca="false">F1401*H1401</f>
        <v>68.8398</v>
      </c>
      <c r="J1401" s="43" t="n">
        <f aca="false">G1401*H1401*1.5</f>
        <v>0</v>
      </c>
      <c r="K1401" s="6" t="n">
        <v>10.24</v>
      </c>
      <c r="L1401" s="43" t="n">
        <f aca="false">K1401*'Chart of Accounts'!$E$68</f>
        <v>6.8608</v>
      </c>
      <c r="O1401" s="42" t="n">
        <f aca="false">I1401+J1401+L1401</f>
        <v>75.7006</v>
      </c>
    </row>
    <row r="1402" customFormat="false" ht="15" hidden="false" customHeight="false" outlineLevel="0" collapsed="false">
      <c r="B1402" s="7" t="s">
        <v>10035</v>
      </c>
      <c r="C1402" s="39" t="n">
        <v>45747</v>
      </c>
      <c r="D1402" s="7" t="s">
        <v>207</v>
      </c>
      <c r="E1402" s="7" t="s">
        <v>180</v>
      </c>
      <c r="F1402" s="6" t="n">
        <v>5.89</v>
      </c>
      <c r="G1402" s="6" t="n">
        <v>0</v>
      </c>
      <c r="H1402" s="41" t="n">
        <v>16.65</v>
      </c>
      <c r="I1402" s="43" t="n">
        <f aca="false">F1402*H1402</f>
        <v>98.0685</v>
      </c>
      <c r="J1402" s="43" t="n">
        <f aca="false">G1402*H1402*1.5</f>
        <v>0</v>
      </c>
      <c r="K1402" s="6" t="n">
        <v>16.86</v>
      </c>
      <c r="L1402" s="43" t="n">
        <f aca="false">K1402*'Chart of Accounts'!$E$68</f>
        <v>11.2962</v>
      </c>
      <c r="O1402" s="42" t="n">
        <f aca="false">I1402+J1402+L1402</f>
        <v>109.3647</v>
      </c>
    </row>
    <row r="1403" customFormat="false" ht="15" hidden="false" customHeight="false" outlineLevel="0" collapsed="false">
      <c r="B1403" s="7" t="s">
        <v>10036</v>
      </c>
      <c r="C1403" s="39" t="n">
        <v>45747</v>
      </c>
      <c r="D1403" s="7" t="s">
        <v>218</v>
      </c>
      <c r="E1403" s="7" t="s">
        <v>180</v>
      </c>
      <c r="F1403" s="6" t="n">
        <v>4.24</v>
      </c>
      <c r="G1403" s="6" t="n">
        <v>0</v>
      </c>
      <c r="H1403" s="41" t="n">
        <v>16.19</v>
      </c>
      <c r="I1403" s="43" t="n">
        <f aca="false">F1403*H1403</f>
        <v>68.6456</v>
      </c>
      <c r="J1403" s="43" t="n">
        <f aca="false">G1403*H1403*1.5</f>
        <v>0</v>
      </c>
      <c r="K1403" s="6" t="n">
        <v>14.95</v>
      </c>
      <c r="L1403" s="43" t="n">
        <f aca="false">K1403*'Chart of Accounts'!$E$68</f>
        <v>10.0165</v>
      </c>
      <c r="O1403" s="42" t="n">
        <f aca="false">I1403+J1403+L1403</f>
        <v>78.6621</v>
      </c>
    </row>
    <row r="1404" customFormat="false" ht="15" hidden="false" customHeight="false" outlineLevel="0" collapsed="false">
      <c r="B1404" s="7" t="s">
        <v>10037</v>
      </c>
      <c r="C1404" s="39" t="n">
        <v>45747</v>
      </c>
      <c r="D1404" s="7" t="s">
        <v>212</v>
      </c>
      <c r="E1404" s="7" t="s">
        <v>180</v>
      </c>
      <c r="F1404" s="6" t="n">
        <v>6.98</v>
      </c>
      <c r="G1404" s="6" t="n">
        <v>0</v>
      </c>
      <c r="H1404" s="41" t="n">
        <v>16.71</v>
      </c>
      <c r="I1404" s="43" t="n">
        <f aca="false">F1404*H1404</f>
        <v>116.6358</v>
      </c>
      <c r="J1404" s="43" t="n">
        <f aca="false">G1404*H1404*1.5</f>
        <v>0</v>
      </c>
      <c r="K1404" s="6" t="n">
        <v>16.85</v>
      </c>
      <c r="L1404" s="43" t="n">
        <f aca="false">K1404*'Chart of Accounts'!$E$68</f>
        <v>11.2895</v>
      </c>
      <c r="O1404" s="42" t="n">
        <f aca="false">I1404+J1404+L1404</f>
        <v>127.9253</v>
      </c>
    </row>
    <row r="1405" customFormat="false" ht="15" hidden="false" customHeight="false" outlineLevel="0" collapsed="false">
      <c r="B1405" s="7" t="s">
        <v>10038</v>
      </c>
      <c r="C1405" s="39" t="n">
        <v>45747</v>
      </c>
      <c r="D1405" s="7" t="s">
        <v>220</v>
      </c>
      <c r="E1405" s="7" t="s">
        <v>180</v>
      </c>
      <c r="F1405" s="6" t="n">
        <v>3.93</v>
      </c>
      <c r="G1405" s="6" t="n">
        <v>0</v>
      </c>
      <c r="H1405" s="41" t="n">
        <v>16.43</v>
      </c>
      <c r="I1405" s="43" t="n">
        <f aca="false">F1405*H1405</f>
        <v>64.5699</v>
      </c>
      <c r="J1405" s="43" t="n">
        <f aca="false">G1405*H1405*1.5</f>
        <v>0</v>
      </c>
      <c r="K1405" s="6" t="n">
        <v>10.45</v>
      </c>
      <c r="L1405" s="43" t="n">
        <f aca="false">K1405*'Chart of Accounts'!$E$68</f>
        <v>7.0015</v>
      </c>
      <c r="O1405" s="42" t="n">
        <f aca="false">I1405+J1405+L1405</f>
        <v>71.5714</v>
      </c>
    </row>
    <row r="1406" customFormat="false" ht="15" hidden="false" customHeight="false" outlineLevel="0" collapsed="false">
      <c r="B1406" s="7" t="s">
        <v>10039</v>
      </c>
      <c r="C1406" s="39" t="n">
        <v>45747</v>
      </c>
      <c r="D1406" s="7" t="s">
        <v>224</v>
      </c>
      <c r="E1406" s="7" t="s">
        <v>180</v>
      </c>
      <c r="F1406" s="6" t="n">
        <v>8.14</v>
      </c>
      <c r="G1406" s="6" t="n">
        <v>0</v>
      </c>
      <c r="H1406" s="41" t="n">
        <v>14.93</v>
      </c>
      <c r="I1406" s="43" t="n">
        <f aca="false">F1406*H1406</f>
        <v>121.5302</v>
      </c>
      <c r="J1406" s="43" t="n">
        <f aca="false">G1406*H1406*1.5</f>
        <v>0</v>
      </c>
      <c r="K1406" s="6" t="n">
        <v>29.04</v>
      </c>
      <c r="L1406" s="43" t="n">
        <f aca="false">K1406*'Chart of Accounts'!$E$68</f>
        <v>19.4568</v>
      </c>
      <c r="O1406" s="42" t="n">
        <f aca="false">I1406+J1406+L1406</f>
        <v>140.987</v>
      </c>
    </row>
    <row r="1407" customFormat="false" ht="15" hidden="false" customHeight="false" outlineLevel="0" collapsed="false">
      <c r="B1407" s="7" t="s">
        <v>10040</v>
      </c>
      <c r="C1407" s="39" t="n">
        <v>45747</v>
      </c>
      <c r="D1407" s="7" t="s">
        <v>177</v>
      </c>
      <c r="E1407" s="7" t="s">
        <v>180</v>
      </c>
      <c r="F1407" s="6" t="n">
        <v>8.44</v>
      </c>
      <c r="G1407" s="6" t="n">
        <v>0</v>
      </c>
      <c r="H1407" s="41" t="n">
        <v>14.56</v>
      </c>
      <c r="I1407" s="43" t="n">
        <f aca="false">F1407*H1407</f>
        <v>122.8864</v>
      </c>
      <c r="J1407" s="43" t="n">
        <f aca="false">G1407*H1407*1.5</f>
        <v>0</v>
      </c>
      <c r="K1407" s="6" t="n">
        <v>25.65</v>
      </c>
      <c r="L1407" s="43" t="n">
        <f aca="false">K1407*'Chart of Accounts'!$E$68</f>
        <v>17.1855</v>
      </c>
      <c r="O1407" s="42" t="n">
        <f aca="false">I1407+J1407+L1407</f>
        <v>140.0719</v>
      </c>
    </row>
    <row r="1408" customFormat="false" ht="15" hidden="false" customHeight="false" outlineLevel="0" collapsed="false">
      <c r="B1408" s="7" t="s">
        <v>10041</v>
      </c>
      <c r="C1408" s="39" t="n">
        <v>45747</v>
      </c>
      <c r="D1408" s="7" t="s">
        <v>232</v>
      </c>
      <c r="E1408" s="7" t="s">
        <v>180</v>
      </c>
      <c r="F1408" s="6" t="n">
        <v>7.67</v>
      </c>
      <c r="G1408" s="6" t="n">
        <v>0</v>
      </c>
      <c r="H1408" s="41" t="n">
        <v>16.17</v>
      </c>
      <c r="I1408" s="43" t="n">
        <f aca="false">F1408*H1408</f>
        <v>124.0239</v>
      </c>
      <c r="J1408" s="43" t="n">
        <f aca="false">G1408*H1408*1.5</f>
        <v>0</v>
      </c>
      <c r="K1408" s="6" t="n">
        <v>25.36</v>
      </c>
      <c r="L1408" s="43" t="n">
        <f aca="false">K1408*'Chart of Accounts'!$E$68</f>
        <v>16.9912</v>
      </c>
      <c r="O1408" s="42" t="n">
        <f aca="false">I1408+J1408+L1408</f>
        <v>141.0151</v>
      </c>
    </row>
    <row r="1409" customFormat="false" ht="15" hidden="false" customHeight="false" outlineLevel="0" collapsed="false">
      <c r="B1409" s="7" t="s">
        <v>10042</v>
      </c>
      <c r="C1409" s="39" t="n">
        <v>45747</v>
      </c>
      <c r="D1409" s="7" t="s">
        <v>242</v>
      </c>
      <c r="E1409" s="7" t="s">
        <v>180</v>
      </c>
      <c r="F1409" s="6" t="n">
        <v>7.25</v>
      </c>
      <c r="G1409" s="6" t="n">
        <v>0</v>
      </c>
      <c r="H1409" s="41" t="n">
        <v>17.99</v>
      </c>
      <c r="I1409" s="43" t="n">
        <f aca="false">F1409*H1409</f>
        <v>130.4275</v>
      </c>
      <c r="J1409" s="43" t="n">
        <f aca="false">G1409*H1409*1.5</f>
        <v>0</v>
      </c>
      <c r="K1409" s="6" t="n">
        <v>20.57</v>
      </c>
      <c r="L1409" s="43" t="n">
        <f aca="false">K1409*'Chart of Accounts'!$E$68</f>
        <v>13.7819</v>
      </c>
      <c r="O1409" s="42" t="n">
        <f aca="false">I1409+J1409+L1409</f>
        <v>144.2094</v>
      </c>
    </row>
    <row r="1410" customFormat="false" ht="15" hidden="false" customHeight="false" outlineLevel="0" collapsed="false">
      <c r="B1410" s="7" t="s">
        <v>10043</v>
      </c>
      <c r="C1410" s="39" t="n">
        <v>45747</v>
      </c>
      <c r="D1410" s="7" t="s">
        <v>222</v>
      </c>
      <c r="E1410" s="7" t="s">
        <v>180</v>
      </c>
      <c r="F1410" s="6" t="n">
        <v>6.9</v>
      </c>
      <c r="G1410" s="6" t="n">
        <v>0</v>
      </c>
      <c r="H1410" s="41" t="n">
        <v>17.84</v>
      </c>
      <c r="I1410" s="43" t="n">
        <f aca="false">F1410*H1410</f>
        <v>123.096</v>
      </c>
      <c r="J1410" s="43" t="n">
        <f aca="false">G1410*H1410*1.5</f>
        <v>0</v>
      </c>
      <c r="K1410" s="6" t="n">
        <v>17.77</v>
      </c>
      <c r="L1410" s="43" t="n">
        <f aca="false">K1410*'Chart of Accounts'!$E$68</f>
        <v>11.9059</v>
      </c>
      <c r="O1410" s="42" t="n">
        <f aca="false">I1410+J1410+L1410</f>
        <v>135.0019</v>
      </c>
    </row>
    <row r="1411" customFormat="false" ht="15" hidden="false" customHeight="false" outlineLevel="0" collapsed="false">
      <c r="B1411" s="7" t="s">
        <v>10044</v>
      </c>
      <c r="C1411" s="39" t="n">
        <v>45747</v>
      </c>
      <c r="D1411" s="7" t="s">
        <v>262</v>
      </c>
      <c r="E1411" s="7" t="s">
        <v>180</v>
      </c>
      <c r="F1411" s="6" t="n">
        <v>8.02</v>
      </c>
      <c r="G1411" s="6" t="n">
        <v>0</v>
      </c>
      <c r="H1411" s="41" t="n">
        <v>16.02</v>
      </c>
      <c r="I1411" s="43" t="n">
        <f aca="false">F1411*H1411</f>
        <v>128.4804</v>
      </c>
      <c r="J1411" s="43" t="n">
        <f aca="false">G1411*H1411*1.5</f>
        <v>0</v>
      </c>
      <c r="K1411" s="6" t="n">
        <v>20.14</v>
      </c>
      <c r="L1411" s="43" t="n">
        <f aca="false">K1411*'Chart of Accounts'!$E$68</f>
        <v>13.4938</v>
      </c>
      <c r="O1411" s="42" t="n">
        <f aca="false">I1411+J1411+L1411</f>
        <v>141.9742</v>
      </c>
    </row>
    <row r="1412" customFormat="false" ht="15" hidden="false" customHeight="false" outlineLevel="0" collapsed="false">
      <c r="B1412" s="7" t="s">
        <v>10045</v>
      </c>
      <c r="C1412" s="39" t="n">
        <v>45747</v>
      </c>
      <c r="D1412" s="7" t="s">
        <v>254</v>
      </c>
      <c r="E1412" s="7" t="s">
        <v>180</v>
      </c>
      <c r="F1412" s="6" t="n">
        <v>7.51</v>
      </c>
      <c r="G1412" s="6" t="n">
        <v>0</v>
      </c>
      <c r="H1412" s="41" t="n">
        <v>17.1</v>
      </c>
      <c r="I1412" s="43" t="n">
        <f aca="false">F1412*H1412</f>
        <v>128.421</v>
      </c>
      <c r="J1412" s="43" t="n">
        <f aca="false">G1412*H1412*1.5</f>
        <v>0</v>
      </c>
      <c r="K1412" s="6" t="n">
        <v>25.54</v>
      </c>
      <c r="L1412" s="43" t="n">
        <f aca="false">K1412*'Chart of Accounts'!$E$68</f>
        <v>17.1118</v>
      </c>
      <c r="O1412" s="42" t="n">
        <f aca="false">I1412+J1412+L1412</f>
        <v>145.5328</v>
      </c>
    </row>
    <row r="1413" customFormat="false" ht="15" hidden="false" customHeight="false" outlineLevel="0" collapsed="false">
      <c r="B1413" s="7" t="s">
        <v>10046</v>
      </c>
      <c r="C1413" s="39" t="n">
        <v>45747</v>
      </c>
      <c r="D1413" s="7" t="s">
        <v>246</v>
      </c>
      <c r="E1413" s="7" t="s">
        <v>180</v>
      </c>
      <c r="F1413" s="6" t="n">
        <v>3.79</v>
      </c>
      <c r="G1413" s="6" t="n">
        <v>0</v>
      </c>
      <c r="H1413" s="41" t="n">
        <v>16.48</v>
      </c>
      <c r="I1413" s="43" t="n">
        <f aca="false">F1413*H1413</f>
        <v>62.4592</v>
      </c>
      <c r="J1413" s="43" t="n">
        <f aca="false">G1413*H1413*1.5</f>
        <v>0</v>
      </c>
      <c r="K1413" s="6" t="n">
        <v>13.31</v>
      </c>
      <c r="L1413" s="43" t="n">
        <f aca="false">K1413*'Chart of Accounts'!$E$68</f>
        <v>8.9177</v>
      </c>
      <c r="O1413" s="42" t="n">
        <f aca="false">I1413+J1413+L1413</f>
        <v>71.3769</v>
      </c>
    </row>
    <row r="1414" customFormat="false" ht="15" hidden="false" customHeight="false" outlineLevel="0" collapsed="false">
      <c r="B1414" s="7" t="s">
        <v>10047</v>
      </c>
      <c r="C1414" s="39" t="n">
        <v>45747</v>
      </c>
      <c r="D1414" s="7" t="s">
        <v>214</v>
      </c>
      <c r="E1414" s="7" t="s">
        <v>180</v>
      </c>
      <c r="F1414" s="6" t="n">
        <v>7.46</v>
      </c>
      <c r="G1414" s="6" t="n">
        <v>0</v>
      </c>
      <c r="H1414" s="41" t="n">
        <v>15.67</v>
      </c>
      <c r="I1414" s="43" t="n">
        <f aca="false">F1414*H1414</f>
        <v>116.8982</v>
      </c>
      <c r="J1414" s="43" t="n">
        <f aca="false">G1414*H1414*1.5</f>
        <v>0</v>
      </c>
      <c r="K1414" s="6" t="n">
        <v>19.19</v>
      </c>
      <c r="L1414" s="43" t="n">
        <f aca="false">K1414*'Chart of Accounts'!$E$68</f>
        <v>12.8573</v>
      </c>
      <c r="O1414" s="42" t="n">
        <f aca="false">I1414+J1414+L1414</f>
        <v>129.7555</v>
      </c>
    </row>
    <row r="1415" customFormat="false" ht="15" hidden="false" customHeight="false" outlineLevel="0" collapsed="false">
      <c r="B1415" s="7" t="s">
        <v>10048</v>
      </c>
      <c r="C1415" s="39" t="n">
        <v>45748</v>
      </c>
      <c r="D1415" s="7" t="s">
        <v>191</v>
      </c>
      <c r="E1415" s="7" t="s">
        <v>180</v>
      </c>
      <c r="F1415" s="6" t="n">
        <v>3.89</v>
      </c>
      <c r="G1415" s="6" t="n">
        <v>0</v>
      </c>
      <c r="H1415" s="41" t="n">
        <v>16.05</v>
      </c>
      <c r="I1415" s="43" t="n">
        <f aca="false">F1415*H1415</f>
        <v>62.4345</v>
      </c>
      <c r="J1415" s="43" t="n">
        <f aca="false">G1415*H1415*1.5</f>
        <v>0</v>
      </c>
      <c r="K1415" s="6" t="n">
        <v>11.92</v>
      </c>
      <c r="L1415" s="43" t="n">
        <f aca="false">K1415*'Chart of Accounts'!$E$68</f>
        <v>7.9864</v>
      </c>
      <c r="O1415" s="42" t="n">
        <f aca="false">I1415+J1415+L1415</f>
        <v>70.4209</v>
      </c>
    </row>
    <row r="1416" customFormat="false" ht="15" hidden="false" customHeight="false" outlineLevel="0" collapsed="false">
      <c r="B1416" s="7" t="s">
        <v>10049</v>
      </c>
      <c r="C1416" s="39" t="n">
        <v>45748</v>
      </c>
      <c r="D1416" s="7" t="s">
        <v>209</v>
      </c>
      <c r="E1416" s="7" t="s">
        <v>158</v>
      </c>
      <c r="H1416" s="41" t="n">
        <v>73.58</v>
      </c>
      <c r="M1416" s="6" t="n">
        <v>2</v>
      </c>
      <c r="N1416" s="43" t="n">
        <f aca="false">M1416*H1416</f>
        <v>147.16</v>
      </c>
      <c r="O1416" s="42" t="n">
        <f aca="false">N1416</f>
        <v>147.16</v>
      </c>
    </row>
    <row r="1417" customFormat="false" ht="15" hidden="false" customHeight="false" outlineLevel="0" collapsed="false">
      <c r="B1417" s="7" t="s">
        <v>10050</v>
      </c>
      <c r="C1417" s="39" t="n">
        <v>45748</v>
      </c>
      <c r="D1417" s="7" t="s">
        <v>184</v>
      </c>
      <c r="E1417" s="7" t="s">
        <v>180</v>
      </c>
      <c r="F1417" s="6" t="n">
        <v>4.17</v>
      </c>
      <c r="G1417" s="6" t="n">
        <v>0</v>
      </c>
      <c r="H1417" s="41" t="n">
        <v>17.34</v>
      </c>
      <c r="I1417" s="43" t="n">
        <f aca="false">F1417*H1417</f>
        <v>72.3078</v>
      </c>
      <c r="J1417" s="43" t="n">
        <f aca="false">G1417*H1417*1.5</f>
        <v>0</v>
      </c>
      <c r="K1417" s="6" t="n">
        <v>12.56</v>
      </c>
      <c r="L1417" s="43" t="n">
        <f aca="false">K1417*'Chart of Accounts'!$E$68</f>
        <v>8.4152</v>
      </c>
      <c r="O1417" s="42" t="n">
        <f aca="false">I1417+J1417+L1417</f>
        <v>80.723</v>
      </c>
    </row>
    <row r="1418" customFormat="false" ht="15" hidden="false" customHeight="false" outlineLevel="0" collapsed="false">
      <c r="B1418" s="7" t="s">
        <v>10051</v>
      </c>
      <c r="C1418" s="39" t="n">
        <v>45748</v>
      </c>
      <c r="D1418" s="7" t="s">
        <v>234</v>
      </c>
      <c r="E1418" s="7" t="s">
        <v>158</v>
      </c>
      <c r="H1418" s="41" t="n">
        <v>89.53</v>
      </c>
      <c r="M1418" s="6" t="n">
        <v>2</v>
      </c>
      <c r="N1418" s="43" t="n">
        <f aca="false">M1418*H1418</f>
        <v>179.06</v>
      </c>
      <c r="O1418" s="42" t="n">
        <f aca="false">N1418</f>
        <v>179.06</v>
      </c>
    </row>
    <row r="1419" customFormat="false" ht="15" hidden="false" customHeight="false" outlineLevel="0" collapsed="false">
      <c r="B1419" s="7" t="s">
        <v>10052</v>
      </c>
      <c r="C1419" s="39" t="n">
        <v>45748</v>
      </c>
      <c r="D1419" s="7" t="s">
        <v>218</v>
      </c>
      <c r="E1419" s="7" t="s">
        <v>180</v>
      </c>
      <c r="F1419" s="6" t="n">
        <v>4.35</v>
      </c>
      <c r="G1419" s="6" t="n">
        <v>0</v>
      </c>
      <c r="H1419" s="41" t="n">
        <v>16.19</v>
      </c>
      <c r="I1419" s="43" t="n">
        <f aca="false">F1419*H1419</f>
        <v>70.4265</v>
      </c>
      <c r="J1419" s="43" t="n">
        <f aca="false">G1419*H1419*1.5</f>
        <v>0</v>
      </c>
      <c r="K1419" s="6" t="n">
        <v>15.18</v>
      </c>
      <c r="L1419" s="43" t="n">
        <f aca="false">K1419*'Chart of Accounts'!$E$68</f>
        <v>10.1706</v>
      </c>
      <c r="O1419" s="42" t="n">
        <f aca="false">I1419+J1419+L1419</f>
        <v>80.5971</v>
      </c>
    </row>
    <row r="1420" customFormat="false" ht="15" hidden="false" customHeight="false" outlineLevel="0" collapsed="false">
      <c r="B1420" s="7" t="s">
        <v>10053</v>
      </c>
      <c r="C1420" s="39" t="n">
        <v>45748</v>
      </c>
      <c r="D1420" s="7" t="s">
        <v>266</v>
      </c>
      <c r="E1420" s="7" t="s">
        <v>158</v>
      </c>
      <c r="H1420" s="41" t="n">
        <v>75.18</v>
      </c>
      <c r="M1420" s="6" t="n">
        <v>1</v>
      </c>
      <c r="N1420" s="43" t="n">
        <f aca="false">M1420*H1420</f>
        <v>75.18</v>
      </c>
      <c r="O1420" s="42" t="n">
        <f aca="false">N1420</f>
        <v>75.18</v>
      </c>
    </row>
    <row r="1421" customFormat="false" ht="15" hidden="false" customHeight="false" outlineLevel="0" collapsed="false">
      <c r="B1421" s="7" t="s">
        <v>10054</v>
      </c>
      <c r="C1421" s="39" t="n">
        <v>45748</v>
      </c>
      <c r="D1421" s="7" t="s">
        <v>228</v>
      </c>
      <c r="E1421" s="7" t="s">
        <v>158</v>
      </c>
      <c r="H1421" s="41" t="n">
        <v>51.07</v>
      </c>
      <c r="M1421" s="6" t="n">
        <v>1</v>
      </c>
      <c r="N1421" s="43" t="n">
        <f aca="false">M1421*H1421</f>
        <v>51.07</v>
      </c>
      <c r="O1421" s="42" t="n">
        <f aca="false">N1421</f>
        <v>51.07</v>
      </c>
    </row>
    <row r="1422" customFormat="false" ht="15" hidden="false" customHeight="false" outlineLevel="0" collapsed="false">
      <c r="B1422" s="7" t="s">
        <v>10055</v>
      </c>
      <c r="C1422" s="39" t="n">
        <v>45748</v>
      </c>
      <c r="D1422" s="7" t="s">
        <v>220</v>
      </c>
      <c r="E1422" s="7" t="s">
        <v>180</v>
      </c>
      <c r="F1422" s="6" t="n">
        <v>3.82</v>
      </c>
      <c r="G1422" s="6" t="n">
        <v>0</v>
      </c>
      <c r="H1422" s="41" t="n">
        <v>16.43</v>
      </c>
      <c r="I1422" s="43" t="n">
        <f aca="false">F1422*H1422</f>
        <v>62.7626</v>
      </c>
      <c r="J1422" s="43" t="n">
        <f aca="false">G1422*H1422*1.5</f>
        <v>0</v>
      </c>
      <c r="K1422" s="6" t="n">
        <v>11.21</v>
      </c>
      <c r="L1422" s="43" t="n">
        <f aca="false">K1422*'Chart of Accounts'!$E$68</f>
        <v>7.5107</v>
      </c>
      <c r="O1422" s="42" t="n">
        <f aca="false">I1422+J1422+L1422</f>
        <v>70.2733</v>
      </c>
    </row>
    <row r="1423" customFormat="false" ht="15" hidden="false" customHeight="false" outlineLevel="0" collapsed="false">
      <c r="B1423" s="7" t="s">
        <v>10056</v>
      </c>
      <c r="C1423" s="39" t="n">
        <v>45748</v>
      </c>
      <c r="D1423" s="7" t="s">
        <v>212</v>
      </c>
      <c r="E1423" s="7" t="s">
        <v>180</v>
      </c>
      <c r="F1423" s="6" t="n">
        <v>3.99</v>
      </c>
      <c r="G1423" s="6" t="n">
        <v>0</v>
      </c>
      <c r="H1423" s="41" t="n">
        <v>16.71</v>
      </c>
      <c r="I1423" s="43" t="n">
        <f aca="false">F1423*H1423</f>
        <v>66.6729</v>
      </c>
      <c r="J1423" s="43" t="n">
        <f aca="false">G1423*H1423*1.5</f>
        <v>0</v>
      </c>
      <c r="K1423" s="6" t="n">
        <v>8.8</v>
      </c>
      <c r="L1423" s="43" t="n">
        <f aca="false">K1423*'Chart of Accounts'!$E$68</f>
        <v>5.896</v>
      </c>
      <c r="O1423" s="42" t="n">
        <f aca="false">I1423+J1423+L1423</f>
        <v>72.5689</v>
      </c>
    </row>
    <row r="1424" customFormat="false" ht="15" hidden="false" customHeight="false" outlineLevel="0" collapsed="false">
      <c r="B1424" s="7" t="s">
        <v>10057</v>
      </c>
      <c r="C1424" s="39" t="n">
        <v>45748</v>
      </c>
      <c r="D1424" s="7" t="s">
        <v>246</v>
      </c>
      <c r="E1424" s="7" t="s">
        <v>180</v>
      </c>
      <c r="F1424" s="6" t="n">
        <v>4.36</v>
      </c>
      <c r="G1424" s="6" t="n">
        <v>0</v>
      </c>
      <c r="H1424" s="41" t="n">
        <v>16.48</v>
      </c>
      <c r="I1424" s="43" t="n">
        <f aca="false">F1424*H1424</f>
        <v>71.8528</v>
      </c>
      <c r="J1424" s="43" t="n">
        <f aca="false">G1424*H1424*1.5</f>
        <v>0</v>
      </c>
      <c r="K1424" s="6" t="n">
        <v>15.35</v>
      </c>
      <c r="L1424" s="43" t="n">
        <f aca="false">K1424*'Chart of Accounts'!$E$68</f>
        <v>10.2845</v>
      </c>
      <c r="O1424" s="42" t="n">
        <f aca="false">I1424+J1424+L1424</f>
        <v>82.1373</v>
      </c>
    </row>
    <row r="1425" customFormat="false" ht="15" hidden="false" customHeight="false" outlineLevel="0" collapsed="false">
      <c r="B1425" s="7" t="s">
        <v>10058</v>
      </c>
      <c r="C1425" s="39" t="n">
        <v>45748</v>
      </c>
      <c r="D1425" s="7" t="s">
        <v>222</v>
      </c>
      <c r="E1425" s="7" t="s">
        <v>180</v>
      </c>
      <c r="F1425" s="6" t="n">
        <v>3.65</v>
      </c>
      <c r="G1425" s="6" t="n">
        <v>0</v>
      </c>
      <c r="H1425" s="41" t="n">
        <v>17.84</v>
      </c>
      <c r="I1425" s="43" t="n">
        <f aca="false">F1425*H1425</f>
        <v>65.116</v>
      </c>
      <c r="J1425" s="43" t="n">
        <f aca="false">G1425*H1425*1.5</f>
        <v>0</v>
      </c>
      <c r="K1425" s="6" t="n">
        <v>9.29</v>
      </c>
      <c r="L1425" s="43" t="n">
        <f aca="false">K1425*'Chart of Accounts'!$E$68</f>
        <v>6.2243</v>
      </c>
      <c r="O1425" s="42" t="n">
        <f aca="false">I1425+J1425+L1425</f>
        <v>71.3403</v>
      </c>
    </row>
    <row r="1426" customFormat="false" ht="15" hidden="false" customHeight="false" outlineLevel="0" collapsed="false">
      <c r="B1426" s="7" t="s">
        <v>10059</v>
      </c>
      <c r="C1426" s="39" t="n">
        <v>45748</v>
      </c>
      <c r="D1426" s="7" t="s">
        <v>242</v>
      </c>
      <c r="E1426" s="7" t="s">
        <v>180</v>
      </c>
      <c r="F1426" s="6" t="n">
        <v>3.66</v>
      </c>
      <c r="G1426" s="6" t="n">
        <v>0</v>
      </c>
      <c r="H1426" s="41" t="n">
        <v>17.99</v>
      </c>
      <c r="I1426" s="43" t="n">
        <f aca="false">F1426*H1426</f>
        <v>65.8434</v>
      </c>
      <c r="J1426" s="43" t="n">
        <f aca="false">G1426*H1426*1.5</f>
        <v>0</v>
      </c>
      <c r="K1426" s="6" t="n">
        <v>8.6</v>
      </c>
      <c r="L1426" s="43" t="n">
        <f aca="false">K1426*'Chart of Accounts'!$E$68</f>
        <v>5.762</v>
      </c>
      <c r="O1426" s="42" t="n">
        <f aca="false">I1426+J1426+L1426</f>
        <v>71.6054</v>
      </c>
    </row>
    <row r="1427" customFormat="false" ht="15" hidden="false" customHeight="false" outlineLevel="0" collapsed="false">
      <c r="B1427" s="7" t="s">
        <v>10060</v>
      </c>
      <c r="C1427" s="39" t="n">
        <v>45748</v>
      </c>
      <c r="D1427" s="7" t="s">
        <v>203</v>
      </c>
      <c r="E1427" s="7" t="s">
        <v>158</v>
      </c>
      <c r="H1427" s="41" t="n">
        <v>49.43</v>
      </c>
      <c r="M1427" s="6" t="n">
        <v>1</v>
      </c>
      <c r="N1427" s="43" t="n">
        <f aca="false">M1427*H1427</f>
        <v>49.43</v>
      </c>
      <c r="O1427" s="42" t="n">
        <f aca="false">N1427</f>
        <v>49.43</v>
      </c>
    </row>
    <row r="1428" customFormat="false" ht="15" hidden="false" customHeight="false" outlineLevel="0" collapsed="false">
      <c r="B1428" s="7" t="s">
        <v>10061</v>
      </c>
      <c r="C1428" s="39" t="n">
        <v>45748</v>
      </c>
      <c r="D1428" s="7" t="s">
        <v>254</v>
      </c>
      <c r="E1428" s="7" t="s">
        <v>180</v>
      </c>
      <c r="F1428" s="6" t="n">
        <v>4.16</v>
      </c>
      <c r="G1428" s="6" t="n">
        <v>0</v>
      </c>
      <c r="H1428" s="41" t="n">
        <v>17.1</v>
      </c>
      <c r="I1428" s="43" t="n">
        <f aca="false">F1428*H1428</f>
        <v>71.136</v>
      </c>
      <c r="J1428" s="43" t="n">
        <f aca="false">G1428*H1428*1.5</f>
        <v>0</v>
      </c>
      <c r="K1428" s="6" t="n">
        <v>10.48</v>
      </c>
      <c r="L1428" s="43" t="n">
        <f aca="false">K1428*'Chart of Accounts'!$E$68</f>
        <v>7.0216</v>
      </c>
      <c r="O1428" s="42" t="n">
        <f aca="false">I1428+J1428+L1428</f>
        <v>78.1576</v>
      </c>
    </row>
    <row r="1429" customFormat="false" ht="15" hidden="false" customHeight="false" outlineLevel="0" collapsed="false">
      <c r="B1429" s="7" t="s">
        <v>10062</v>
      </c>
      <c r="C1429" s="39" t="n">
        <v>45748</v>
      </c>
      <c r="D1429" s="7" t="s">
        <v>260</v>
      </c>
      <c r="E1429" s="7" t="s">
        <v>158</v>
      </c>
      <c r="H1429" s="41" t="n">
        <v>79.8</v>
      </c>
      <c r="M1429" s="6" t="n">
        <v>1</v>
      </c>
      <c r="N1429" s="43" t="n">
        <f aca="false">M1429*H1429</f>
        <v>79.8</v>
      </c>
      <c r="O1429" s="42" t="n">
        <f aca="false">N1429</f>
        <v>79.8</v>
      </c>
    </row>
    <row r="1430" customFormat="false" ht="15" hidden="false" customHeight="false" outlineLevel="0" collapsed="false">
      <c r="B1430" s="7" t="s">
        <v>10063</v>
      </c>
      <c r="C1430" s="39" t="n">
        <v>45749</v>
      </c>
      <c r="D1430" s="7" t="s">
        <v>187</v>
      </c>
      <c r="E1430" s="7" t="s">
        <v>158</v>
      </c>
      <c r="H1430" s="41" t="n">
        <v>66.48</v>
      </c>
      <c r="M1430" s="6" t="n">
        <v>1</v>
      </c>
      <c r="N1430" s="43" t="n">
        <f aca="false">M1430*H1430</f>
        <v>66.48</v>
      </c>
      <c r="O1430" s="42" t="n">
        <f aca="false">N1430</f>
        <v>66.48</v>
      </c>
    </row>
    <row r="1431" customFormat="false" ht="15" hidden="false" customHeight="false" outlineLevel="0" collapsed="false">
      <c r="B1431" s="7" t="s">
        <v>10064</v>
      </c>
      <c r="C1431" s="39" t="n">
        <v>45749</v>
      </c>
      <c r="D1431" s="7" t="s">
        <v>228</v>
      </c>
      <c r="E1431" s="7" t="s">
        <v>158</v>
      </c>
      <c r="H1431" s="41" t="n">
        <v>51.07</v>
      </c>
      <c r="M1431" s="6" t="n">
        <v>1</v>
      </c>
      <c r="N1431" s="43" t="n">
        <f aca="false">M1431*H1431</f>
        <v>51.07</v>
      </c>
      <c r="O1431" s="42" t="n">
        <f aca="false">N1431</f>
        <v>51.07</v>
      </c>
    </row>
    <row r="1432" customFormat="false" ht="15" hidden="false" customHeight="false" outlineLevel="0" collapsed="false">
      <c r="B1432" s="7" t="s">
        <v>10065</v>
      </c>
      <c r="C1432" s="39" t="n">
        <v>45749</v>
      </c>
      <c r="D1432" s="7" t="s">
        <v>191</v>
      </c>
      <c r="E1432" s="7" t="s">
        <v>180</v>
      </c>
      <c r="F1432" s="6" t="n">
        <v>3.83</v>
      </c>
      <c r="G1432" s="6" t="n">
        <v>0</v>
      </c>
      <c r="H1432" s="41" t="n">
        <v>16.05</v>
      </c>
      <c r="I1432" s="43" t="n">
        <f aca="false">F1432*H1432</f>
        <v>61.4715</v>
      </c>
      <c r="J1432" s="43" t="n">
        <f aca="false">G1432*H1432*1.5</f>
        <v>0</v>
      </c>
      <c r="K1432" s="6" t="n">
        <v>12.44</v>
      </c>
      <c r="L1432" s="43" t="n">
        <f aca="false">K1432*'Chart of Accounts'!$E$68</f>
        <v>8.3348</v>
      </c>
      <c r="O1432" s="42" t="n">
        <f aca="false">I1432+J1432+L1432</f>
        <v>69.8063</v>
      </c>
    </row>
    <row r="1433" customFormat="false" ht="15" hidden="false" customHeight="false" outlineLevel="0" collapsed="false">
      <c r="B1433" s="7" t="s">
        <v>10066</v>
      </c>
      <c r="C1433" s="39" t="n">
        <v>45749</v>
      </c>
      <c r="D1433" s="7" t="s">
        <v>194</v>
      </c>
      <c r="E1433" s="7" t="s">
        <v>180</v>
      </c>
      <c r="F1433" s="6" t="n">
        <v>4.42</v>
      </c>
      <c r="G1433" s="6" t="n">
        <v>0</v>
      </c>
      <c r="H1433" s="41" t="n">
        <v>16</v>
      </c>
      <c r="I1433" s="43" t="n">
        <f aca="false">F1433*H1433</f>
        <v>70.72</v>
      </c>
      <c r="J1433" s="43" t="n">
        <f aca="false">G1433*H1433*1.5</f>
        <v>0</v>
      </c>
      <c r="K1433" s="6" t="n">
        <v>15.91</v>
      </c>
      <c r="L1433" s="43" t="n">
        <f aca="false">K1433*'Chart of Accounts'!$E$68</f>
        <v>10.6597</v>
      </c>
      <c r="O1433" s="42" t="n">
        <f aca="false">I1433+J1433+L1433</f>
        <v>81.3797</v>
      </c>
    </row>
    <row r="1434" customFormat="false" ht="15" hidden="false" customHeight="false" outlineLevel="0" collapsed="false">
      <c r="B1434" s="7" t="s">
        <v>10067</v>
      </c>
      <c r="C1434" s="39" t="n">
        <v>45749</v>
      </c>
      <c r="D1434" s="7" t="s">
        <v>205</v>
      </c>
      <c r="E1434" s="7" t="s">
        <v>180</v>
      </c>
      <c r="F1434" s="6" t="n">
        <v>3.93</v>
      </c>
      <c r="G1434" s="6" t="n">
        <v>0</v>
      </c>
      <c r="H1434" s="41" t="n">
        <v>16.36</v>
      </c>
      <c r="I1434" s="43" t="n">
        <f aca="false">F1434*H1434</f>
        <v>64.2948</v>
      </c>
      <c r="J1434" s="43" t="n">
        <f aca="false">G1434*H1434*1.5</f>
        <v>0</v>
      </c>
      <c r="K1434" s="6" t="n">
        <v>10.24</v>
      </c>
      <c r="L1434" s="43" t="n">
        <f aca="false">K1434*'Chart of Accounts'!$E$68</f>
        <v>6.8608</v>
      </c>
      <c r="O1434" s="42" t="n">
        <f aca="false">I1434+J1434+L1434</f>
        <v>71.1556</v>
      </c>
    </row>
    <row r="1435" customFormat="false" ht="15" hidden="false" customHeight="false" outlineLevel="0" collapsed="false">
      <c r="B1435" s="7" t="s">
        <v>10068</v>
      </c>
      <c r="C1435" s="39" t="n">
        <v>45749</v>
      </c>
      <c r="D1435" s="7" t="s">
        <v>264</v>
      </c>
      <c r="E1435" s="7" t="s">
        <v>158</v>
      </c>
      <c r="H1435" s="41" t="n">
        <v>55.55</v>
      </c>
      <c r="M1435" s="6" t="n">
        <v>1</v>
      </c>
      <c r="N1435" s="43" t="n">
        <f aca="false">M1435*H1435</f>
        <v>55.55</v>
      </c>
      <c r="O1435" s="42" t="n">
        <f aca="false">N1435</f>
        <v>55.55</v>
      </c>
    </row>
    <row r="1436" customFormat="false" ht="15" hidden="false" customHeight="false" outlineLevel="0" collapsed="false">
      <c r="B1436" s="7" t="s">
        <v>10069</v>
      </c>
      <c r="C1436" s="39" t="n">
        <v>45749</v>
      </c>
      <c r="D1436" s="7" t="s">
        <v>252</v>
      </c>
      <c r="E1436" s="7" t="s">
        <v>158</v>
      </c>
      <c r="H1436" s="41" t="n">
        <v>57.54</v>
      </c>
      <c r="M1436" s="6" t="n">
        <v>1</v>
      </c>
      <c r="N1436" s="43" t="n">
        <f aca="false">M1436*H1436</f>
        <v>57.54</v>
      </c>
      <c r="O1436" s="42" t="n">
        <f aca="false">N1436</f>
        <v>57.54</v>
      </c>
    </row>
    <row r="1437" customFormat="false" ht="15" hidden="false" customHeight="false" outlineLevel="0" collapsed="false">
      <c r="B1437" s="7" t="s">
        <v>10070</v>
      </c>
      <c r="C1437" s="39" t="n">
        <v>45749</v>
      </c>
      <c r="D1437" s="7" t="s">
        <v>184</v>
      </c>
      <c r="E1437" s="7" t="s">
        <v>180</v>
      </c>
      <c r="F1437" s="6" t="n">
        <v>3.71</v>
      </c>
      <c r="G1437" s="6" t="n">
        <v>0</v>
      </c>
      <c r="H1437" s="41" t="n">
        <v>17.34</v>
      </c>
      <c r="I1437" s="43" t="n">
        <f aca="false">F1437*H1437</f>
        <v>64.3314</v>
      </c>
      <c r="J1437" s="43" t="n">
        <f aca="false">G1437*H1437*1.5</f>
        <v>0</v>
      </c>
      <c r="K1437" s="6" t="n">
        <v>9.13</v>
      </c>
      <c r="L1437" s="43" t="n">
        <f aca="false">K1437*'Chart of Accounts'!$E$68</f>
        <v>6.1171</v>
      </c>
      <c r="O1437" s="42" t="n">
        <f aca="false">I1437+J1437+L1437</f>
        <v>70.4485</v>
      </c>
    </row>
    <row r="1438" customFormat="false" ht="15" hidden="false" customHeight="false" outlineLevel="0" collapsed="false">
      <c r="B1438" s="7" t="s">
        <v>10071</v>
      </c>
      <c r="C1438" s="39" t="n">
        <v>45749</v>
      </c>
      <c r="D1438" s="7" t="s">
        <v>218</v>
      </c>
      <c r="E1438" s="7" t="s">
        <v>180</v>
      </c>
      <c r="F1438" s="6" t="n">
        <v>3.81</v>
      </c>
      <c r="G1438" s="6" t="n">
        <v>0</v>
      </c>
      <c r="H1438" s="41" t="n">
        <v>16.19</v>
      </c>
      <c r="I1438" s="43" t="n">
        <f aca="false">F1438*H1438</f>
        <v>61.6839</v>
      </c>
      <c r="J1438" s="43" t="n">
        <f aca="false">G1438*H1438*1.5</f>
        <v>0</v>
      </c>
      <c r="K1438" s="6" t="n">
        <v>11.74</v>
      </c>
      <c r="L1438" s="43" t="n">
        <f aca="false">K1438*'Chart of Accounts'!$E$68</f>
        <v>7.8658</v>
      </c>
      <c r="O1438" s="42" t="n">
        <f aca="false">I1438+J1438+L1438</f>
        <v>69.5497</v>
      </c>
    </row>
    <row r="1439" customFormat="false" ht="15" hidden="false" customHeight="false" outlineLevel="0" collapsed="false">
      <c r="B1439" s="7" t="s">
        <v>10072</v>
      </c>
      <c r="C1439" s="39" t="n">
        <v>45749</v>
      </c>
      <c r="D1439" s="7" t="s">
        <v>220</v>
      </c>
      <c r="E1439" s="7" t="s">
        <v>180</v>
      </c>
      <c r="F1439" s="6" t="n">
        <v>4.22</v>
      </c>
      <c r="G1439" s="6" t="n">
        <v>0</v>
      </c>
      <c r="H1439" s="41" t="n">
        <v>16.43</v>
      </c>
      <c r="I1439" s="43" t="n">
        <f aca="false">F1439*H1439</f>
        <v>69.3346</v>
      </c>
      <c r="J1439" s="43" t="n">
        <f aca="false">G1439*H1439*1.5</f>
        <v>0</v>
      </c>
      <c r="K1439" s="6" t="n">
        <v>14.98</v>
      </c>
      <c r="L1439" s="43" t="n">
        <f aca="false">K1439*'Chart of Accounts'!$E$68</f>
        <v>10.0366</v>
      </c>
      <c r="O1439" s="42" t="n">
        <f aca="false">I1439+J1439+L1439</f>
        <v>79.3712</v>
      </c>
    </row>
    <row r="1440" customFormat="false" ht="15" hidden="false" customHeight="false" outlineLevel="0" collapsed="false">
      <c r="B1440" s="7" t="s">
        <v>10073</v>
      </c>
      <c r="C1440" s="39" t="n">
        <v>45749</v>
      </c>
      <c r="D1440" s="7" t="s">
        <v>177</v>
      </c>
      <c r="E1440" s="7" t="s">
        <v>180</v>
      </c>
      <c r="F1440" s="6" t="n">
        <v>8.84</v>
      </c>
      <c r="G1440" s="6" t="n">
        <v>0</v>
      </c>
      <c r="H1440" s="41" t="n">
        <v>14.56</v>
      </c>
      <c r="I1440" s="43" t="n">
        <f aca="false">F1440*H1440</f>
        <v>128.7104</v>
      </c>
      <c r="J1440" s="43" t="n">
        <f aca="false">G1440*H1440*1.5</f>
        <v>0</v>
      </c>
      <c r="K1440" s="6" t="n">
        <v>20.32</v>
      </c>
      <c r="L1440" s="43" t="n">
        <f aca="false">K1440*'Chart of Accounts'!$E$68</f>
        <v>13.6144</v>
      </c>
      <c r="O1440" s="42" t="n">
        <f aca="false">I1440+J1440+L1440</f>
        <v>142.3248</v>
      </c>
    </row>
    <row r="1441" customFormat="false" ht="15" hidden="false" customHeight="false" outlineLevel="0" collapsed="false">
      <c r="B1441" s="7" t="s">
        <v>10074</v>
      </c>
      <c r="C1441" s="39" t="n">
        <v>45749</v>
      </c>
      <c r="D1441" s="7" t="s">
        <v>242</v>
      </c>
      <c r="E1441" s="7" t="s">
        <v>180</v>
      </c>
      <c r="F1441" s="6" t="n">
        <v>7.34</v>
      </c>
      <c r="G1441" s="6" t="n">
        <v>0</v>
      </c>
      <c r="H1441" s="41" t="n">
        <v>17.99</v>
      </c>
      <c r="I1441" s="43" t="n">
        <f aca="false">F1441*H1441</f>
        <v>132.0466</v>
      </c>
      <c r="J1441" s="43" t="n">
        <f aca="false">G1441*H1441*1.5</f>
        <v>0</v>
      </c>
      <c r="K1441" s="6" t="n">
        <v>24.71</v>
      </c>
      <c r="L1441" s="43" t="n">
        <f aca="false">K1441*'Chart of Accounts'!$E$68</f>
        <v>16.5557</v>
      </c>
      <c r="O1441" s="42" t="n">
        <f aca="false">I1441+J1441+L1441</f>
        <v>148.6023</v>
      </c>
    </row>
    <row r="1442" customFormat="false" ht="15" hidden="false" customHeight="false" outlineLevel="0" collapsed="false">
      <c r="B1442" s="7" t="s">
        <v>10075</v>
      </c>
      <c r="C1442" s="39" t="n">
        <v>45749</v>
      </c>
      <c r="D1442" s="7" t="s">
        <v>254</v>
      </c>
      <c r="E1442" s="7" t="s">
        <v>180</v>
      </c>
      <c r="F1442" s="6" t="n">
        <v>7.62</v>
      </c>
      <c r="G1442" s="6" t="n">
        <v>0</v>
      </c>
      <c r="H1442" s="41" t="n">
        <v>17.1</v>
      </c>
      <c r="I1442" s="43" t="n">
        <f aca="false">F1442*H1442</f>
        <v>130.302</v>
      </c>
      <c r="J1442" s="43" t="n">
        <f aca="false">G1442*H1442*1.5</f>
        <v>0</v>
      </c>
      <c r="K1442" s="6" t="n">
        <v>16.94</v>
      </c>
      <c r="L1442" s="43" t="n">
        <f aca="false">K1442*'Chart of Accounts'!$E$68</f>
        <v>11.3498</v>
      </c>
      <c r="O1442" s="42" t="n">
        <f aca="false">I1442+J1442+L1442</f>
        <v>141.6518</v>
      </c>
    </row>
    <row r="1443" customFormat="false" ht="15" hidden="false" customHeight="false" outlineLevel="0" collapsed="false">
      <c r="B1443" s="7" t="s">
        <v>10076</v>
      </c>
      <c r="C1443" s="39" t="n">
        <v>45749</v>
      </c>
      <c r="D1443" s="7" t="s">
        <v>201</v>
      </c>
      <c r="E1443" s="7" t="s">
        <v>180</v>
      </c>
      <c r="F1443" s="6" t="n">
        <v>3.1</v>
      </c>
      <c r="G1443" s="6" t="n">
        <v>0</v>
      </c>
      <c r="H1443" s="41" t="n">
        <v>15.19</v>
      </c>
      <c r="I1443" s="43" t="n">
        <f aca="false">F1443*H1443</f>
        <v>47.089</v>
      </c>
      <c r="J1443" s="43" t="n">
        <f aca="false">G1443*H1443*1.5</f>
        <v>0</v>
      </c>
      <c r="K1443" s="6" t="n">
        <v>7.55</v>
      </c>
      <c r="L1443" s="43" t="n">
        <f aca="false">K1443*'Chart of Accounts'!$E$68</f>
        <v>5.0585</v>
      </c>
      <c r="O1443" s="42" t="n">
        <f aca="false">I1443+J1443+L1443</f>
        <v>52.1475</v>
      </c>
    </row>
    <row r="1444" customFormat="false" ht="15" hidden="false" customHeight="false" outlineLevel="0" collapsed="false">
      <c r="B1444" s="7" t="s">
        <v>10077</v>
      </c>
      <c r="C1444" s="39" t="n">
        <v>45749</v>
      </c>
      <c r="D1444" s="7" t="s">
        <v>207</v>
      </c>
      <c r="E1444" s="7" t="s">
        <v>180</v>
      </c>
      <c r="F1444" s="6" t="n">
        <v>3.21</v>
      </c>
      <c r="G1444" s="6" t="n">
        <v>0</v>
      </c>
      <c r="H1444" s="41" t="n">
        <v>16.65</v>
      </c>
      <c r="I1444" s="43" t="n">
        <f aca="false">F1444*H1444</f>
        <v>53.4465</v>
      </c>
      <c r="J1444" s="43" t="n">
        <f aca="false">G1444*H1444*1.5</f>
        <v>0</v>
      </c>
      <c r="K1444" s="6" t="n">
        <v>10.47</v>
      </c>
      <c r="L1444" s="43" t="n">
        <f aca="false">K1444*'Chart of Accounts'!$E$68</f>
        <v>7.0149</v>
      </c>
      <c r="O1444" s="42" t="n">
        <f aca="false">I1444+J1444+L1444</f>
        <v>60.4614</v>
      </c>
    </row>
    <row r="1445" customFormat="false" ht="15" hidden="false" customHeight="false" outlineLevel="0" collapsed="false">
      <c r="B1445" s="7" t="s">
        <v>10078</v>
      </c>
      <c r="C1445" s="39" t="n">
        <v>45749</v>
      </c>
      <c r="D1445" s="7" t="s">
        <v>212</v>
      </c>
      <c r="E1445" s="7" t="s">
        <v>180</v>
      </c>
      <c r="F1445" s="6" t="n">
        <v>3.75</v>
      </c>
      <c r="G1445" s="6" t="n">
        <v>0</v>
      </c>
      <c r="H1445" s="41" t="n">
        <v>16.71</v>
      </c>
      <c r="I1445" s="43" t="n">
        <f aca="false">F1445*H1445</f>
        <v>62.6625</v>
      </c>
      <c r="J1445" s="43" t="n">
        <f aca="false">G1445*H1445*1.5</f>
        <v>0</v>
      </c>
      <c r="K1445" s="6" t="n">
        <v>10.62</v>
      </c>
      <c r="L1445" s="43" t="n">
        <f aca="false">K1445*'Chart of Accounts'!$E$68</f>
        <v>7.1154</v>
      </c>
      <c r="O1445" s="42" t="n">
        <f aca="false">I1445+J1445+L1445</f>
        <v>69.7779</v>
      </c>
    </row>
    <row r="1446" customFormat="false" ht="15" hidden="false" customHeight="false" outlineLevel="0" collapsed="false">
      <c r="B1446" s="7" t="s">
        <v>10079</v>
      </c>
      <c r="C1446" s="39" t="n">
        <v>45749</v>
      </c>
      <c r="D1446" s="7" t="s">
        <v>232</v>
      </c>
      <c r="E1446" s="7" t="s">
        <v>180</v>
      </c>
      <c r="F1446" s="6" t="n">
        <v>4.5</v>
      </c>
      <c r="G1446" s="6" t="n">
        <v>0</v>
      </c>
      <c r="H1446" s="41" t="n">
        <v>16.17</v>
      </c>
      <c r="I1446" s="43" t="n">
        <f aca="false">F1446*H1446</f>
        <v>72.765</v>
      </c>
      <c r="J1446" s="43" t="n">
        <f aca="false">G1446*H1446*1.5</f>
        <v>0</v>
      </c>
      <c r="K1446" s="6" t="n">
        <v>11.37</v>
      </c>
      <c r="L1446" s="43" t="n">
        <f aca="false">K1446*'Chart of Accounts'!$E$68</f>
        <v>7.6179</v>
      </c>
      <c r="O1446" s="42" t="n">
        <f aca="false">I1446+J1446+L1446</f>
        <v>80.3829</v>
      </c>
    </row>
    <row r="1447" customFormat="false" ht="15" hidden="false" customHeight="false" outlineLevel="0" collapsed="false">
      <c r="B1447" s="7" t="s">
        <v>10080</v>
      </c>
      <c r="C1447" s="39" t="n">
        <v>45749</v>
      </c>
      <c r="D1447" s="7" t="s">
        <v>224</v>
      </c>
      <c r="E1447" s="7" t="s">
        <v>180</v>
      </c>
      <c r="F1447" s="6" t="n">
        <v>4.7</v>
      </c>
      <c r="G1447" s="6" t="n">
        <v>0</v>
      </c>
      <c r="H1447" s="41" t="n">
        <v>14.93</v>
      </c>
      <c r="I1447" s="43" t="n">
        <f aca="false">F1447*H1447</f>
        <v>70.171</v>
      </c>
      <c r="J1447" s="43" t="n">
        <f aca="false">G1447*H1447*1.5</f>
        <v>0</v>
      </c>
      <c r="K1447" s="6" t="n">
        <v>10.77</v>
      </c>
      <c r="L1447" s="43" t="n">
        <f aca="false">K1447*'Chart of Accounts'!$E$68</f>
        <v>7.2159</v>
      </c>
      <c r="O1447" s="42" t="n">
        <f aca="false">I1447+J1447+L1447</f>
        <v>77.3869</v>
      </c>
    </row>
    <row r="1448" customFormat="false" ht="15" hidden="false" customHeight="false" outlineLevel="0" collapsed="false">
      <c r="B1448" s="7" t="s">
        <v>10081</v>
      </c>
      <c r="C1448" s="39" t="n">
        <v>45749</v>
      </c>
      <c r="D1448" s="7" t="s">
        <v>246</v>
      </c>
      <c r="E1448" s="7" t="s">
        <v>180</v>
      </c>
      <c r="F1448" s="6" t="n">
        <v>4.34</v>
      </c>
      <c r="G1448" s="6" t="n">
        <v>0</v>
      </c>
      <c r="H1448" s="41" t="n">
        <v>16.48</v>
      </c>
      <c r="I1448" s="43" t="n">
        <f aca="false">F1448*H1448</f>
        <v>71.5232</v>
      </c>
      <c r="J1448" s="43" t="n">
        <f aca="false">G1448*H1448*1.5</f>
        <v>0</v>
      </c>
      <c r="K1448" s="6" t="n">
        <v>13.47</v>
      </c>
      <c r="L1448" s="43" t="n">
        <f aca="false">K1448*'Chart of Accounts'!$E$68</f>
        <v>9.0249</v>
      </c>
      <c r="O1448" s="42" t="n">
        <f aca="false">I1448+J1448+L1448</f>
        <v>80.5481</v>
      </c>
    </row>
    <row r="1449" customFormat="false" ht="15" hidden="false" customHeight="false" outlineLevel="0" collapsed="false">
      <c r="B1449" s="7" t="s">
        <v>10082</v>
      </c>
      <c r="C1449" s="39" t="n">
        <v>45749</v>
      </c>
      <c r="D1449" s="7" t="s">
        <v>222</v>
      </c>
      <c r="E1449" s="7" t="s">
        <v>180</v>
      </c>
      <c r="F1449" s="6" t="n">
        <v>3.72</v>
      </c>
      <c r="G1449" s="6" t="n">
        <v>0</v>
      </c>
      <c r="H1449" s="41" t="n">
        <v>17.84</v>
      </c>
      <c r="I1449" s="43" t="n">
        <f aca="false">F1449*H1449</f>
        <v>66.3648</v>
      </c>
      <c r="J1449" s="43" t="n">
        <f aca="false">G1449*H1449*1.5</f>
        <v>0</v>
      </c>
      <c r="K1449" s="6" t="n">
        <v>8.42</v>
      </c>
      <c r="L1449" s="43" t="n">
        <f aca="false">K1449*'Chart of Accounts'!$E$68</f>
        <v>5.6414</v>
      </c>
      <c r="O1449" s="42" t="n">
        <f aca="false">I1449+J1449+L1449</f>
        <v>72.0062</v>
      </c>
    </row>
    <row r="1450" customFormat="false" ht="15" hidden="false" customHeight="false" outlineLevel="0" collapsed="false">
      <c r="B1450" s="7" t="s">
        <v>10083</v>
      </c>
      <c r="C1450" s="39" t="n">
        <v>45749</v>
      </c>
      <c r="D1450" s="7" t="s">
        <v>203</v>
      </c>
      <c r="E1450" s="7" t="s">
        <v>158</v>
      </c>
      <c r="H1450" s="41" t="n">
        <v>49.43</v>
      </c>
      <c r="M1450" s="6" t="n">
        <v>1</v>
      </c>
      <c r="N1450" s="43" t="n">
        <f aca="false">M1450*H1450</f>
        <v>49.43</v>
      </c>
      <c r="O1450" s="42" t="n">
        <f aca="false">N1450</f>
        <v>49.43</v>
      </c>
    </row>
    <row r="1451" customFormat="false" ht="15" hidden="false" customHeight="false" outlineLevel="0" collapsed="false">
      <c r="B1451" s="7" t="s">
        <v>10084</v>
      </c>
      <c r="C1451" s="39" t="n">
        <v>45749</v>
      </c>
      <c r="D1451" s="7" t="s">
        <v>262</v>
      </c>
      <c r="E1451" s="7" t="s">
        <v>180</v>
      </c>
      <c r="F1451" s="6" t="n">
        <v>3.19</v>
      </c>
      <c r="G1451" s="6" t="n">
        <v>0</v>
      </c>
      <c r="H1451" s="41" t="n">
        <v>16.02</v>
      </c>
      <c r="I1451" s="43" t="n">
        <f aca="false">F1451*H1451</f>
        <v>51.1038</v>
      </c>
      <c r="J1451" s="43" t="n">
        <f aca="false">G1451*H1451*1.5</f>
        <v>0</v>
      </c>
      <c r="K1451" s="6" t="n">
        <v>9.2</v>
      </c>
      <c r="L1451" s="43" t="n">
        <f aca="false">K1451*'Chart of Accounts'!$E$68</f>
        <v>6.164</v>
      </c>
      <c r="O1451" s="42" t="n">
        <f aca="false">I1451+J1451+L1451</f>
        <v>57.2678</v>
      </c>
    </row>
    <row r="1452" customFormat="false" ht="15" hidden="false" customHeight="false" outlineLevel="0" collapsed="false">
      <c r="B1452" s="7" t="s">
        <v>10085</v>
      </c>
      <c r="C1452" s="39" t="n">
        <v>45749</v>
      </c>
      <c r="D1452" s="7" t="s">
        <v>214</v>
      </c>
      <c r="E1452" s="7" t="s">
        <v>180</v>
      </c>
      <c r="F1452" s="6" t="n">
        <v>3.6</v>
      </c>
      <c r="G1452" s="6" t="n">
        <v>0</v>
      </c>
      <c r="H1452" s="41" t="n">
        <v>15.67</v>
      </c>
      <c r="I1452" s="43" t="n">
        <f aca="false">F1452*H1452</f>
        <v>56.412</v>
      </c>
      <c r="J1452" s="43" t="n">
        <f aca="false">G1452*H1452*1.5</f>
        <v>0</v>
      </c>
      <c r="K1452" s="6" t="n">
        <v>12.7</v>
      </c>
      <c r="L1452" s="43" t="n">
        <f aca="false">K1452*'Chart of Accounts'!$E$68</f>
        <v>8.509</v>
      </c>
      <c r="O1452" s="42" t="n">
        <f aca="false">I1452+J1452+L1452</f>
        <v>64.921</v>
      </c>
    </row>
    <row r="1453" customFormat="false" ht="15" hidden="false" customHeight="false" outlineLevel="0" collapsed="false">
      <c r="B1453" s="7" t="s">
        <v>10086</v>
      </c>
      <c r="C1453" s="39" t="n">
        <v>45750</v>
      </c>
      <c r="D1453" s="7" t="s">
        <v>191</v>
      </c>
      <c r="E1453" s="7" t="s">
        <v>180</v>
      </c>
      <c r="F1453" s="6" t="n">
        <v>4.04</v>
      </c>
      <c r="G1453" s="6" t="n">
        <v>0</v>
      </c>
      <c r="H1453" s="41" t="n">
        <v>16.05</v>
      </c>
      <c r="I1453" s="43" t="n">
        <f aca="false">F1453*H1453</f>
        <v>64.842</v>
      </c>
      <c r="J1453" s="43" t="n">
        <f aca="false">G1453*H1453*1.5</f>
        <v>0</v>
      </c>
      <c r="K1453" s="6" t="n">
        <v>10.25</v>
      </c>
      <c r="L1453" s="43" t="n">
        <f aca="false">K1453*'Chart of Accounts'!$E$68</f>
        <v>6.8675</v>
      </c>
      <c r="O1453" s="42" t="n">
        <f aca="false">I1453+J1453+L1453</f>
        <v>71.7095</v>
      </c>
    </row>
    <row r="1454" customFormat="false" ht="15" hidden="false" customHeight="false" outlineLevel="0" collapsed="false">
      <c r="B1454" s="7" t="s">
        <v>10087</v>
      </c>
      <c r="C1454" s="39" t="n">
        <v>45750</v>
      </c>
      <c r="D1454" s="7" t="s">
        <v>201</v>
      </c>
      <c r="E1454" s="7" t="s">
        <v>180</v>
      </c>
      <c r="F1454" s="6" t="n">
        <v>3.2</v>
      </c>
      <c r="G1454" s="6" t="n">
        <v>0</v>
      </c>
      <c r="H1454" s="41" t="n">
        <v>15.19</v>
      </c>
      <c r="I1454" s="43" t="n">
        <f aca="false">F1454*H1454</f>
        <v>48.608</v>
      </c>
      <c r="J1454" s="43" t="n">
        <f aca="false">G1454*H1454*1.5</f>
        <v>0</v>
      </c>
      <c r="K1454" s="6" t="n">
        <v>10.11</v>
      </c>
      <c r="L1454" s="43" t="n">
        <f aca="false">K1454*'Chart of Accounts'!$E$68</f>
        <v>6.7737</v>
      </c>
      <c r="O1454" s="42" t="n">
        <f aca="false">I1454+J1454+L1454</f>
        <v>55.3817</v>
      </c>
    </row>
    <row r="1455" customFormat="false" ht="15" hidden="false" customHeight="false" outlineLevel="0" collapsed="false">
      <c r="B1455" s="7" t="s">
        <v>10088</v>
      </c>
      <c r="C1455" s="39" t="n">
        <v>45750</v>
      </c>
      <c r="D1455" s="7" t="s">
        <v>196</v>
      </c>
      <c r="E1455" s="7" t="s">
        <v>180</v>
      </c>
      <c r="F1455" s="6" t="n">
        <v>5.51</v>
      </c>
      <c r="G1455" s="6" t="n">
        <v>0</v>
      </c>
      <c r="H1455" s="41" t="n">
        <v>15.05</v>
      </c>
      <c r="I1455" s="43" t="n">
        <f aca="false">F1455*H1455</f>
        <v>82.9255</v>
      </c>
      <c r="J1455" s="43" t="n">
        <f aca="false">G1455*H1455*1.5</f>
        <v>0</v>
      </c>
      <c r="K1455" s="6" t="n">
        <v>12.4</v>
      </c>
      <c r="L1455" s="43" t="n">
        <f aca="false">K1455*'Chart of Accounts'!$E$68</f>
        <v>8.308</v>
      </c>
      <c r="O1455" s="42" t="n">
        <f aca="false">I1455+J1455+L1455</f>
        <v>91.2335</v>
      </c>
    </row>
    <row r="1456" customFormat="false" ht="15" hidden="false" customHeight="false" outlineLevel="0" collapsed="false">
      <c r="B1456" s="7" t="s">
        <v>10089</v>
      </c>
      <c r="C1456" s="39" t="n">
        <v>45750</v>
      </c>
      <c r="D1456" s="7" t="s">
        <v>184</v>
      </c>
      <c r="E1456" s="7" t="s">
        <v>180</v>
      </c>
      <c r="F1456" s="6" t="n">
        <v>3.78</v>
      </c>
      <c r="G1456" s="6" t="n">
        <v>0</v>
      </c>
      <c r="H1456" s="41" t="n">
        <v>17.34</v>
      </c>
      <c r="I1456" s="43" t="n">
        <f aca="false">F1456*H1456</f>
        <v>65.5452</v>
      </c>
      <c r="J1456" s="43" t="n">
        <f aca="false">G1456*H1456*1.5</f>
        <v>0</v>
      </c>
      <c r="K1456" s="6" t="n">
        <v>8.46</v>
      </c>
      <c r="L1456" s="43" t="n">
        <f aca="false">K1456*'Chart of Accounts'!$E$68</f>
        <v>5.6682</v>
      </c>
      <c r="O1456" s="42" t="n">
        <f aca="false">I1456+J1456+L1456</f>
        <v>71.2134</v>
      </c>
    </row>
    <row r="1457" customFormat="false" ht="15" hidden="false" customHeight="false" outlineLevel="0" collapsed="false">
      <c r="B1457" s="7" t="s">
        <v>10090</v>
      </c>
      <c r="C1457" s="39" t="n">
        <v>45750</v>
      </c>
      <c r="D1457" s="7" t="s">
        <v>207</v>
      </c>
      <c r="E1457" s="7" t="s">
        <v>180</v>
      </c>
      <c r="F1457" s="6" t="n">
        <v>2.71</v>
      </c>
      <c r="G1457" s="6" t="n">
        <v>0</v>
      </c>
      <c r="H1457" s="41" t="n">
        <v>16.65</v>
      </c>
      <c r="I1457" s="43" t="n">
        <f aca="false">F1457*H1457</f>
        <v>45.1215</v>
      </c>
      <c r="J1457" s="43" t="n">
        <f aca="false">G1457*H1457*1.5</f>
        <v>0</v>
      </c>
      <c r="K1457" s="6" t="n">
        <v>7.99</v>
      </c>
      <c r="L1457" s="43" t="n">
        <f aca="false">K1457*'Chart of Accounts'!$E$68</f>
        <v>5.3533</v>
      </c>
      <c r="O1457" s="42" t="n">
        <f aca="false">I1457+J1457+L1457</f>
        <v>50.4748</v>
      </c>
    </row>
    <row r="1458" customFormat="false" ht="15" hidden="false" customHeight="false" outlineLevel="0" collapsed="false">
      <c r="B1458" s="7" t="s">
        <v>10091</v>
      </c>
      <c r="C1458" s="39" t="n">
        <v>45750</v>
      </c>
      <c r="D1458" s="7" t="s">
        <v>218</v>
      </c>
      <c r="E1458" s="7" t="s">
        <v>180</v>
      </c>
      <c r="F1458" s="6" t="n">
        <v>4.14</v>
      </c>
      <c r="G1458" s="6" t="n">
        <v>0</v>
      </c>
      <c r="H1458" s="41" t="n">
        <v>16.19</v>
      </c>
      <c r="I1458" s="43" t="n">
        <f aca="false">F1458*H1458</f>
        <v>67.0266</v>
      </c>
      <c r="J1458" s="43" t="n">
        <f aca="false">G1458*H1458*1.5</f>
        <v>0</v>
      </c>
      <c r="K1458" s="6" t="n">
        <v>11.46</v>
      </c>
      <c r="L1458" s="43" t="n">
        <f aca="false">K1458*'Chart of Accounts'!$E$68</f>
        <v>7.6782</v>
      </c>
      <c r="O1458" s="42" t="n">
        <f aca="false">I1458+J1458+L1458</f>
        <v>74.7048</v>
      </c>
    </row>
    <row r="1459" customFormat="false" ht="15" hidden="false" customHeight="false" outlineLevel="0" collapsed="false">
      <c r="B1459" s="7" t="s">
        <v>10092</v>
      </c>
      <c r="C1459" s="39" t="n">
        <v>45750</v>
      </c>
      <c r="D1459" s="7" t="s">
        <v>212</v>
      </c>
      <c r="E1459" s="7" t="s">
        <v>180</v>
      </c>
      <c r="F1459" s="6" t="n">
        <v>7.06</v>
      </c>
      <c r="G1459" s="6" t="n">
        <v>0</v>
      </c>
      <c r="H1459" s="41" t="n">
        <v>16.71</v>
      </c>
      <c r="I1459" s="43" t="n">
        <f aca="false">F1459*H1459</f>
        <v>117.9726</v>
      </c>
      <c r="J1459" s="43" t="n">
        <f aca="false">G1459*H1459*1.5</f>
        <v>0</v>
      </c>
      <c r="K1459" s="6" t="n">
        <v>18.82</v>
      </c>
      <c r="L1459" s="43" t="n">
        <f aca="false">K1459*'Chart of Accounts'!$E$68</f>
        <v>12.6094</v>
      </c>
      <c r="O1459" s="42" t="n">
        <f aca="false">I1459+J1459+L1459</f>
        <v>130.582</v>
      </c>
    </row>
    <row r="1460" customFormat="false" ht="15" hidden="false" customHeight="false" outlineLevel="0" collapsed="false">
      <c r="B1460" s="7" t="s">
        <v>10093</v>
      </c>
      <c r="C1460" s="39" t="n">
        <v>45750</v>
      </c>
      <c r="D1460" s="7" t="s">
        <v>220</v>
      </c>
      <c r="E1460" s="7" t="s">
        <v>180</v>
      </c>
      <c r="F1460" s="6" t="n">
        <v>4.35</v>
      </c>
      <c r="G1460" s="6" t="n">
        <v>0</v>
      </c>
      <c r="H1460" s="41" t="n">
        <v>16.43</v>
      </c>
      <c r="I1460" s="43" t="n">
        <f aca="false">F1460*H1460</f>
        <v>71.4705</v>
      </c>
      <c r="J1460" s="43" t="n">
        <f aca="false">G1460*H1460*1.5</f>
        <v>0</v>
      </c>
      <c r="K1460" s="6" t="n">
        <v>12.05</v>
      </c>
      <c r="L1460" s="43" t="n">
        <f aca="false">K1460*'Chart of Accounts'!$E$68</f>
        <v>8.0735</v>
      </c>
      <c r="O1460" s="42" t="n">
        <f aca="false">I1460+J1460+L1460</f>
        <v>79.544</v>
      </c>
    </row>
    <row r="1461" customFormat="false" ht="15" hidden="false" customHeight="false" outlineLevel="0" collapsed="false">
      <c r="B1461" s="7" t="s">
        <v>10094</v>
      </c>
      <c r="C1461" s="39" t="n">
        <v>45750</v>
      </c>
      <c r="D1461" s="7" t="s">
        <v>224</v>
      </c>
      <c r="E1461" s="7" t="s">
        <v>180</v>
      </c>
      <c r="F1461" s="6" t="n">
        <v>3.72</v>
      </c>
      <c r="G1461" s="6" t="n">
        <v>0</v>
      </c>
      <c r="H1461" s="41" t="n">
        <v>14.93</v>
      </c>
      <c r="I1461" s="43" t="n">
        <f aca="false">F1461*H1461</f>
        <v>55.5396</v>
      </c>
      <c r="J1461" s="43" t="n">
        <f aca="false">G1461*H1461*1.5</f>
        <v>0</v>
      </c>
      <c r="K1461" s="6" t="n">
        <v>8.68</v>
      </c>
      <c r="L1461" s="43" t="n">
        <f aca="false">K1461*'Chart of Accounts'!$E$68</f>
        <v>5.8156</v>
      </c>
      <c r="O1461" s="42" t="n">
        <f aca="false">I1461+J1461+L1461</f>
        <v>61.3552</v>
      </c>
    </row>
    <row r="1462" customFormat="false" ht="15" hidden="false" customHeight="false" outlineLevel="0" collapsed="false">
      <c r="B1462" s="7" t="s">
        <v>10095</v>
      </c>
      <c r="C1462" s="39" t="n">
        <v>45750</v>
      </c>
      <c r="D1462" s="7" t="s">
        <v>232</v>
      </c>
      <c r="E1462" s="7" t="s">
        <v>180</v>
      </c>
      <c r="F1462" s="6" t="n">
        <v>2.92</v>
      </c>
      <c r="G1462" s="6" t="n">
        <v>0</v>
      </c>
      <c r="H1462" s="41" t="n">
        <v>16.17</v>
      </c>
      <c r="I1462" s="43" t="n">
        <f aca="false">F1462*H1462</f>
        <v>47.2164</v>
      </c>
      <c r="J1462" s="43" t="n">
        <f aca="false">G1462*H1462*1.5</f>
        <v>0</v>
      </c>
      <c r="K1462" s="6" t="n">
        <v>7.74</v>
      </c>
      <c r="L1462" s="43" t="n">
        <f aca="false">K1462*'Chart of Accounts'!$E$68</f>
        <v>5.1858</v>
      </c>
      <c r="O1462" s="42" t="n">
        <f aca="false">I1462+J1462+L1462</f>
        <v>52.4022</v>
      </c>
    </row>
    <row r="1463" customFormat="false" ht="15" hidden="false" customHeight="false" outlineLevel="0" collapsed="false">
      <c r="B1463" s="7" t="s">
        <v>10096</v>
      </c>
      <c r="C1463" s="39" t="n">
        <v>45750</v>
      </c>
      <c r="D1463" s="7" t="s">
        <v>222</v>
      </c>
      <c r="E1463" s="7" t="s">
        <v>180</v>
      </c>
      <c r="F1463" s="6" t="n">
        <v>7.49</v>
      </c>
      <c r="G1463" s="6" t="n">
        <v>0</v>
      </c>
      <c r="H1463" s="41" t="n">
        <v>17.84</v>
      </c>
      <c r="I1463" s="43" t="n">
        <f aca="false">F1463*H1463</f>
        <v>133.6216</v>
      </c>
      <c r="J1463" s="43" t="n">
        <f aca="false">G1463*H1463*1.5</f>
        <v>0</v>
      </c>
      <c r="K1463" s="6" t="n">
        <v>20.63</v>
      </c>
      <c r="L1463" s="43" t="n">
        <f aca="false">K1463*'Chart of Accounts'!$E$68</f>
        <v>13.8221</v>
      </c>
      <c r="O1463" s="42" t="n">
        <f aca="false">I1463+J1463+L1463</f>
        <v>147.4437</v>
      </c>
    </row>
    <row r="1464" customFormat="false" ht="15" hidden="false" customHeight="false" outlineLevel="0" collapsed="false">
      <c r="B1464" s="7" t="s">
        <v>10097</v>
      </c>
      <c r="C1464" s="39" t="n">
        <v>45750</v>
      </c>
      <c r="D1464" s="7" t="s">
        <v>262</v>
      </c>
      <c r="E1464" s="7" t="s">
        <v>180</v>
      </c>
      <c r="F1464" s="6" t="n">
        <v>4.18</v>
      </c>
      <c r="G1464" s="6" t="n">
        <v>0</v>
      </c>
      <c r="H1464" s="41" t="n">
        <v>16.02</v>
      </c>
      <c r="I1464" s="43" t="n">
        <f aca="false">F1464*H1464</f>
        <v>66.9636</v>
      </c>
      <c r="J1464" s="43" t="n">
        <f aca="false">G1464*H1464*1.5</f>
        <v>0</v>
      </c>
      <c r="K1464" s="6" t="n">
        <v>11.47</v>
      </c>
      <c r="L1464" s="43" t="n">
        <f aca="false">K1464*'Chart of Accounts'!$E$68</f>
        <v>7.6849</v>
      </c>
      <c r="O1464" s="42" t="n">
        <f aca="false">I1464+J1464+L1464</f>
        <v>74.6485</v>
      </c>
    </row>
    <row r="1465" customFormat="false" ht="15" hidden="false" customHeight="false" outlineLevel="0" collapsed="false">
      <c r="B1465" s="7" t="s">
        <v>10098</v>
      </c>
      <c r="C1465" s="39" t="n">
        <v>45750</v>
      </c>
      <c r="D1465" s="7" t="s">
        <v>246</v>
      </c>
      <c r="E1465" s="7" t="s">
        <v>180</v>
      </c>
      <c r="F1465" s="6" t="n">
        <v>8.77</v>
      </c>
      <c r="G1465" s="6" t="n">
        <v>0</v>
      </c>
      <c r="H1465" s="41" t="n">
        <v>16.48</v>
      </c>
      <c r="I1465" s="43" t="n">
        <f aca="false">F1465*H1465</f>
        <v>144.5296</v>
      </c>
      <c r="J1465" s="43" t="n">
        <f aca="false">G1465*H1465*1.5</f>
        <v>0</v>
      </c>
      <c r="K1465" s="6" t="n">
        <v>22.84</v>
      </c>
      <c r="L1465" s="43" t="n">
        <f aca="false">K1465*'Chart of Accounts'!$E$68</f>
        <v>15.3028</v>
      </c>
      <c r="O1465" s="42" t="n">
        <f aca="false">I1465+J1465+L1465</f>
        <v>159.8324</v>
      </c>
    </row>
    <row r="1466" customFormat="false" ht="15" hidden="false" customHeight="false" outlineLevel="0" collapsed="false">
      <c r="B1466" s="7" t="s">
        <v>10099</v>
      </c>
      <c r="C1466" s="39" t="n">
        <v>45750</v>
      </c>
      <c r="D1466" s="7" t="s">
        <v>214</v>
      </c>
      <c r="E1466" s="7" t="s">
        <v>180</v>
      </c>
      <c r="F1466" s="6" t="n">
        <v>3.77</v>
      </c>
      <c r="G1466" s="6" t="n">
        <v>0</v>
      </c>
      <c r="H1466" s="41" t="n">
        <v>15.67</v>
      </c>
      <c r="I1466" s="43" t="n">
        <f aca="false">F1466*H1466</f>
        <v>59.0759</v>
      </c>
      <c r="J1466" s="43" t="n">
        <f aca="false">G1466*H1466*1.5</f>
        <v>0</v>
      </c>
      <c r="K1466" s="6" t="n">
        <v>8.62</v>
      </c>
      <c r="L1466" s="43" t="n">
        <f aca="false">K1466*'Chart of Accounts'!$E$68</f>
        <v>5.7754</v>
      </c>
      <c r="O1466" s="42" t="n">
        <f aca="false">I1466+J1466+L1466</f>
        <v>64.8513</v>
      </c>
    </row>
    <row r="1467" customFormat="false" ht="15" hidden="false" customHeight="false" outlineLevel="0" collapsed="false">
      <c r="B1467" s="7" t="s">
        <v>10100</v>
      </c>
      <c r="C1467" s="39" t="n">
        <v>45750</v>
      </c>
      <c r="D1467" s="7" t="s">
        <v>242</v>
      </c>
      <c r="E1467" s="7" t="s">
        <v>180</v>
      </c>
      <c r="F1467" s="6" t="n">
        <v>4.33</v>
      </c>
      <c r="G1467" s="6" t="n">
        <v>0</v>
      </c>
      <c r="H1467" s="41" t="n">
        <v>17.99</v>
      </c>
      <c r="I1467" s="43" t="n">
        <f aca="false">F1467*H1467</f>
        <v>77.8967</v>
      </c>
      <c r="J1467" s="43" t="n">
        <f aca="false">G1467*H1467*1.5</f>
        <v>0</v>
      </c>
      <c r="K1467" s="6" t="n">
        <v>12.2</v>
      </c>
      <c r="L1467" s="43" t="n">
        <f aca="false">K1467*'Chart of Accounts'!$E$68</f>
        <v>8.174</v>
      </c>
      <c r="O1467" s="42" t="n">
        <f aca="false">I1467+J1467+L1467</f>
        <v>86.0707</v>
      </c>
    </row>
    <row r="1468" customFormat="false" ht="15" hidden="false" customHeight="false" outlineLevel="0" collapsed="false">
      <c r="B1468" s="7" t="s">
        <v>10101</v>
      </c>
      <c r="C1468" s="39" t="n">
        <v>45750</v>
      </c>
      <c r="D1468" s="7" t="s">
        <v>254</v>
      </c>
      <c r="E1468" s="7" t="s">
        <v>180</v>
      </c>
      <c r="F1468" s="6" t="n">
        <v>4.17</v>
      </c>
      <c r="G1468" s="6" t="n">
        <v>0</v>
      </c>
      <c r="H1468" s="41" t="n">
        <v>17.1</v>
      </c>
      <c r="I1468" s="43" t="n">
        <f aca="false">F1468*H1468</f>
        <v>71.307</v>
      </c>
      <c r="J1468" s="43" t="n">
        <f aca="false">G1468*H1468*1.5</f>
        <v>0</v>
      </c>
      <c r="K1468" s="6" t="n">
        <v>14.72</v>
      </c>
      <c r="L1468" s="43" t="n">
        <f aca="false">K1468*'Chart of Accounts'!$E$68</f>
        <v>9.8624</v>
      </c>
      <c r="O1468" s="42" t="n">
        <f aca="false">I1468+J1468+L1468</f>
        <v>81.1694</v>
      </c>
    </row>
    <row r="1469" customFormat="false" ht="15" hidden="false" customHeight="false" outlineLevel="0" collapsed="false">
      <c r="B1469" s="7" t="s">
        <v>10102</v>
      </c>
      <c r="C1469" s="39" t="n">
        <v>45751</v>
      </c>
      <c r="D1469" s="7" t="s">
        <v>187</v>
      </c>
      <c r="E1469" s="7" t="s">
        <v>158</v>
      </c>
      <c r="H1469" s="41" t="n">
        <v>66.48</v>
      </c>
      <c r="M1469" s="6" t="n">
        <v>1</v>
      </c>
      <c r="N1469" s="43" t="n">
        <f aca="false">M1469*H1469</f>
        <v>66.48</v>
      </c>
      <c r="O1469" s="42" t="n">
        <f aca="false">N1469</f>
        <v>66.48</v>
      </c>
    </row>
    <row r="1470" customFormat="false" ht="15" hidden="false" customHeight="false" outlineLevel="0" collapsed="false">
      <c r="B1470" s="7" t="s">
        <v>10103</v>
      </c>
      <c r="C1470" s="39" t="n">
        <v>45751</v>
      </c>
      <c r="D1470" s="7" t="s">
        <v>191</v>
      </c>
      <c r="E1470" s="7" t="s">
        <v>180</v>
      </c>
      <c r="F1470" s="6" t="n">
        <v>3.63</v>
      </c>
      <c r="G1470" s="6" t="n">
        <v>0</v>
      </c>
      <c r="H1470" s="41" t="n">
        <v>16.05</v>
      </c>
      <c r="I1470" s="43" t="n">
        <f aca="false">F1470*H1470</f>
        <v>58.2615</v>
      </c>
      <c r="J1470" s="43" t="n">
        <f aca="false">G1470*H1470*1.5</f>
        <v>0</v>
      </c>
      <c r="K1470" s="6" t="n">
        <v>10.02</v>
      </c>
      <c r="L1470" s="43" t="n">
        <f aca="false">K1470*'Chart of Accounts'!$E$68</f>
        <v>6.7134</v>
      </c>
      <c r="O1470" s="42" t="n">
        <f aca="false">I1470+J1470+L1470</f>
        <v>64.9749</v>
      </c>
    </row>
    <row r="1471" customFormat="false" ht="15" hidden="false" customHeight="false" outlineLevel="0" collapsed="false">
      <c r="B1471" s="7" t="s">
        <v>10104</v>
      </c>
      <c r="C1471" s="39" t="n">
        <v>45751</v>
      </c>
      <c r="D1471" s="7" t="s">
        <v>194</v>
      </c>
      <c r="E1471" s="7" t="s">
        <v>180</v>
      </c>
      <c r="F1471" s="6" t="n">
        <v>4.48</v>
      </c>
      <c r="G1471" s="6" t="n">
        <v>0</v>
      </c>
      <c r="H1471" s="41" t="n">
        <v>16</v>
      </c>
      <c r="I1471" s="43" t="n">
        <f aca="false">F1471*H1471</f>
        <v>71.68</v>
      </c>
      <c r="J1471" s="43" t="n">
        <f aca="false">G1471*H1471*1.5</f>
        <v>0</v>
      </c>
      <c r="K1471" s="6" t="n">
        <v>13.62</v>
      </c>
      <c r="L1471" s="43" t="n">
        <f aca="false">K1471*'Chart of Accounts'!$E$68</f>
        <v>9.1254</v>
      </c>
      <c r="O1471" s="42" t="n">
        <f aca="false">I1471+J1471+L1471</f>
        <v>80.8054</v>
      </c>
    </row>
    <row r="1472" customFormat="false" ht="15" hidden="false" customHeight="false" outlineLevel="0" collapsed="false">
      <c r="B1472" s="7" t="s">
        <v>10105</v>
      </c>
      <c r="C1472" s="39" t="n">
        <v>45751</v>
      </c>
      <c r="D1472" s="7" t="s">
        <v>205</v>
      </c>
      <c r="E1472" s="7" t="s">
        <v>180</v>
      </c>
      <c r="F1472" s="6" t="n">
        <v>3.84</v>
      </c>
      <c r="G1472" s="6" t="n">
        <v>0</v>
      </c>
      <c r="H1472" s="41" t="n">
        <v>16.36</v>
      </c>
      <c r="I1472" s="43" t="n">
        <f aca="false">F1472*H1472</f>
        <v>62.8224</v>
      </c>
      <c r="J1472" s="43" t="n">
        <f aca="false">G1472*H1472*1.5</f>
        <v>0</v>
      </c>
      <c r="K1472" s="6" t="n">
        <v>13.16</v>
      </c>
      <c r="L1472" s="43" t="n">
        <f aca="false">K1472*'Chart of Accounts'!$E$68</f>
        <v>8.8172</v>
      </c>
      <c r="O1472" s="42" t="n">
        <f aca="false">I1472+J1472+L1472</f>
        <v>71.6396</v>
      </c>
    </row>
    <row r="1473" customFormat="false" ht="15" hidden="false" customHeight="false" outlineLevel="0" collapsed="false">
      <c r="B1473" s="7" t="s">
        <v>10106</v>
      </c>
      <c r="C1473" s="39" t="n">
        <v>45751</v>
      </c>
      <c r="D1473" s="7" t="s">
        <v>264</v>
      </c>
      <c r="E1473" s="7" t="s">
        <v>158</v>
      </c>
      <c r="H1473" s="41" t="n">
        <v>55.55</v>
      </c>
      <c r="M1473" s="6" t="n">
        <v>1</v>
      </c>
      <c r="N1473" s="43" t="n">
        <f aca="false">M1473*H1473</f>
        <v>55.55</v>
      </c>
      <c r="O1473" s="42" t="n">
        <f aca="false">N1473</f>
        <v>55.55</v>
      </c>
    </row>
    <row r="1474" customFormat="false" ht="15" hidden="false" customHeight="false" outlineLevel="0" collapsed="false">
      <c r="B1474" s="7" t="s">
        <v>10107</v>
      </c>
      <c r="C1474" s="39" t="n">
        <v>45751</v>
      </c>
      <c r="D1474" s="7" t="s">
        <v>252</v>
      </c>
      <c r="E1474" s="7" t="s">
        <v>158</v>
      </c>
      <c r="H1474" s="41" t="n">
        <v>57.54</v>
      </c>
      <c r="M1474" s="6" t="n">
        <v>1</v>
      </c>
      <c r="N1474" s="43" t="n">
        <f aca="false">M1474*H1474</f>
        <v>57.54</v>
      </c>
      <c r="O1474" s="42" t="n">
        <f aca="false">N1474</f>
        <v>57.54</v>
      </c>
    </row>
    <row r="1475" customFormat="false" ht="15" hidden="false" customHeight="false" outlineLevel="0" collapsed="false">
      <c r="B1475" s="7" t="s">
        <v>10108</v>
      </c>
      <c r="C1475" s="39" t="n">
        <v>45751</v>
      </c>
      <c r="D1475" s="7" t="s">
        <v>184</v>
      </c>
      <c r="E1475" s="7" t="s">
        <v>180</v>
      </c>
      <c r="F1475" s="6" t="n">
        <v>3.62</v>
      </c>
      <c r="G1475" s="6" t="n">
        <v>0</v>
      </c>
      <c r="H1475" s="41" t="n">
        <v>17.34</v>
      </c>
      <c r="I1475" s="43" t="n">
        <f aca="false">F1475*H1475</f>
        <v>62.7708</v>
      </c>
      <c r="J1475" s="43" t="n">
        <f aca="false">G1475*H1475*1.5</f>
        <v>0</v>
      </c>
      <c r="K1475" s="6" t="n">
        <v>9.88</v>
      </c>
      <c r="L1475" s="43" t="n">
        <f aca="false">K1475*'Chart of Accounts'!$E$68</f>
        <v>6.6196</v>
      </c>
      <c r="O1475" s="42" t="n">
        <f aca="false">I1475+J1475+L1475</f>
        <v>69.3904</v>
      </c>
    </row>
    <row r="1476" customFormat="false" ht="15" hidden="false" customHeight="false" outlineLevel="0" collapsed="false">
      <c r="B1476" s="7" t="s">
        <v>10109</v>
      </c>
      <c r="C1476" s="39" t="n">
        <v>45751</v>
      </c>
      <c r="D1476" s="7" t="s">
        <v>234</v>
      </c>
      <c r="E1476" s="7" t="s">
        <v>158</v>
      </c>
      <c r="H1476" s="41" t="n">
        <v>89.53</v>
      </c>
      <c r="M1476" s="6" t="n">
        <v>2</v>
      </c>
      <c r="N1476" s="43" t="n">
        <f aca="false">M1476*H1476</f>
        <v>179.06</v>
      </c>
      <c r="O1476" s="42" t="n">
        <f aca="false">N1476</f>
        <v>179.06</v>
      </c>
    </row>
    <row r="1477" customFormat="false" ht="15" hidden="false" customHeight="false" outlineLevel="0" collapsed="false">
      <c r="B1477" s="7" t="s">
        <v>10110</v>
      </c>
      <c r="C1477" s="39" t="n">
        <v>45751</v>
      </c>
      <c r="D1477" s="7" t="s">
        <v>218</v>
      </c>
      <c r="E1477" s="7" t="s">
        <v>180</v>
      </c>
      <c r="F1477" s="6" t="n">
        <v>3.98</v>
      </c>
      <c r="G1477" s="6" t="n">
        <v>0</v>
      </c>
      <c r="H1477" s="41" t="n">
        <v>16.19</v>
      </c>
      <c r="I1477" s="43" t="n">
        <f aca="false">F1477*H1477</f>
        <v>64.4362</v>
      </c>
      <c r="J1477" s="43" t="n">
        <f aca="false">G1477*H1477*1.5</f>
        <v>0</v>
      </c>
      <c r="K1477" s="6" t="n">
        <v>12.3</v>
      </c>
      <c r="L1477" s="43" t="n">
        <f aca="false">K1477*'Chart of Accounts'!$E$68</f>
        <v>8.241</v>
      </c>
      <c r="O1477" s="42" t="n">
        <f aca="false">I1477+J1477+L1477</f>
        <v>72.6772</v>
      </c>
    </row>
    <row r="1478" customFormat="false" ht="15" hidden="false" customHeight="false" outlineLevel="0" collapsed="false">
      <c r="B1478" s="7" t="s">
        <v>10111</v>
      </c>
      <c r="C1478" s="39" t="n">
        <v>45751</v>
      </c>
      <c r="D1478" s="7" t="s">
        <v>266</v>
      </c>
      <c r="E1478" s="7" t="s">
        <v>158</v>
      </c>
      <c r="H1478" s="41" t="n">
        <v>75.18</v>
      </c>
      <c r="M1478" s="6" t="n">
        <v>1</v>
      </c>
      <c r="N1478" s="43" t="n">
        <f aca="false">M1478*H1478</f>
        <v>75.18</v>
      </c>
      <c r="O1478" s="42" t="n">
        <f aca="false">N1478</f>
        <v>75.18</v>
      </c>
    </row>
    <row r="1479" customFormat="false" ht="15" hidden="false" customHeight="false" outlineLevel="0" collapsed="false">
      <c r="B1479" s="7" t="s">
        <v>10112</v>
      </c>
      <c r="C1479" s="39" t="n">
        <v>45751</v>
      </c>
      <c r="D1479" s="7" t="s">
        <v>228</v>
      </c>
      <c r="E1479" s="7" t="s">
        <v>158</v>
      </c>
      <c r="H1479" s="41" t="n">
        <v>51.07</v>
      </c>
      <c r="M1479" s="6" t="n">
        <v>1</v>
      </c>
      <c r="N1479" s="43" t="n">
        <f aca="false">M1479*H1479</f>
        <v>51.07</v>
      </c>
      <c r="O1479" s="42" t="n">
        <f aca="false">N1479</f>
        <v>51.07</v>
      </c>
    </row>
    <row r="1480" customFormat="false" ht="15" hidden="false" customHeight="false" outlineLevel="0" collapsed="false">
      <c r="B1480" s="7" t="s">
        <v>10113</v>
      </c>
      <c r="C1480" s="39" t="n">
        <v>45751</v>
      </c>
      <c r="D1480" s="7" t="s">
        <v>220</v>
      </c>
      <c r="E1480" s="7" t="s">
        <v>180</v>
      </c>
      <c r="F1480" s="6" t="n">
        <v>3.81</v>
      </c>
      <c r="G1480" s="6" t="n">
        <v>0</v>
      </c>
      <c r="H1480" s="41" t="n">
        <v>16.43</v>
      </c>
      <c r="I1480" s="43" t="n">
        <f aca="false">F1480*H1480</f>
        <v>62.5983</v>
      </c>
      <c r="J1480" s="43" t="n">
        <f aca="false">G1480*H1480*1.5</f>
        <v>0</v>
      </c>
      <c r="K1480" s="6" t="n">
        <v>11.5</v>
      </c>
      <c r="L1480" s="43" t="n">
        <f aca="false">K1480*'Chart of Accounts'!$E$68</f>
        <v>7.705</v>
      </c>
      <c r="O1480" s="42" t="n">
        <f aca="false">I1480+J1480+L1480</f>
        <v>70.3033</v>
      </c>
    </row>
    <row r="1481" customFormat="false" ht="15" hidden="false" customHeight="false" outlineLevel="0" collapsed="false">
      <c r="B1481" s="7" t="s">
        <v>10114</v>
      </c>
      <c r="C1481" s="39" t="n">
        <v>45751</v>
      </c>
      <c r="D1481" s="7" t="s">
        <v>177</v>
      </c>
      <c r="E1481" s="7" t="s">
        <v>180</v>
      </c>
      <c r="F1481" s="6" t="n">
        <v>9.08</v>
      </c>
      <c r="G1481" s="6" t="n">
        <v>0</v>
      </c>
      <c r="H1481" s="41" t="n">
        <v>14.56</v>
      </c>
      <c r="I1481" s="43" t="n">
        <f aca="false">F1481*H1481</f>
        <v>132.2048</v>
      </c>
      <c r="J1481" s="43" t="n">
        <f aca="false">G1481*H1481*1.5</f>
        <v>0</v>
      </c>
      <c r="K1481" s="6" t="n">
        <v>26.57</v>
      </c>
      <c r="L1481" s="43" t="n">
        <f aca="false">K1481*'Chart of Accounts'!$E$68</f>
        <v>17.8019</v>
      </c>
      <c r="O1481" s="42" t="n">
        <f aca="false">I1481+J1481+L1481</f>
        <v>150.0067</v>
      </c>
    </row>
    <row r="1482" customFormat="false" ht="15" hidden="false" customHeight="false" outlineLevel="0" collapsed="false">
      <c r="B1482" s="7" t="s">
        <v>10115</v>
      </c>
      <c r="C1482" s="39" t="n">
        <v>45751</v>
      </c>
      <c r="D1482" s="7" t="s">
        <v>242</v>
      </c>
      <c r="E1482" s="7" t="s">
        <v>180</v>
      </c>
      <c r="F1482" s="6" t="n">
        <v>7.09</v>
      </c>
      <c r="G1482" s="6" t="n">
        <v>0</v>
      </c>
      <c r="H1482" s="41" t="n">
        <v>17.99</v>
      </c>
      <c r="I1482" s="43" t="n">
        <f aca="false">F1482*H1482</f>
        <v>127.5491</v>
      </c>
      <c r="J1482" s="43" t="n">
        <f aca="false">G1482*H1482*1.5</f>
        <v>0</v>
      </c>
      <c r="K1482" s="6" t="n">
        <v>18.29</v>
      </c>
      <c r="L1482" s="43" t="n">
        <f aca="false">K1482*'Chart of Accounts'!$E$68</f>
        <v>12.2543</v>
      </c>
      <c r="O1482" s="42" t="n">
        <f aca="false">I1482+J1482+L1482</f>
        <v>139.8034</v>
      </c>
    </row>
    <row r="1483" customFormat="false" ht="15" hidden="false" customHeight="false" outlineLevel="0" collapsed="false">
      <c r="B1483" s="7" t="s">
        <v>10116</v>
      </c>
      <c r="C1483" s="39" t="n">
        <v>45751</v>
      </c>
      <c r="D1483" s="7" t="s">
        <v>254</v>
      </c>
      <c r="E1483" s="7" t="s">
        <v>180</v>
      </c>
      <c r="F1483" s="6" t="n">
        <v>7.33</v>
      </c>
      <c r="G1483" s="6" t="n">
        <v>0</v>
      </c>
      <c r="H1483" s="41" t="n">
        <v>17.1</v>
      </c>
      <c r="I1483" s="43" t="n">
        <f aca="false">F1483*H1483</f>
        <v>125.343</v>
      </c>
      <c r="J1483" s="43" t="n">
        <f aca="false">G1483*H1483*1.5</f>
        <v>0</v>
      </c>
      <c r="K1483" s="6" t="n">
        <v>18.72</v>
      </c>
      <c r="L1483" s="43" t="n">
        <f aca="false">K1483*'Chart of Accounts'!$E$68</f>
        <v>12.5424</v>
      </c>
      <c r="O1483" s="42" t="n">
        <f aca="false">I1483+J1483+L1483</f>
        <v>137.8854</v>
      </c>
    </row>
    <row r="1484" customFormat="false" ht="15" hidden="false" customHeight="false" outlineLevel="0" collapsed="false">
      <c r="B1484" s="7" t="s">
        <v>10117</v>
      </c>
      <c r="C1484" s="39" t="n">
        <v>45751</v>
      </c>
      <c r="D1484" s="7" t="s">
        <v>201</v>
      </c>
      <c r="E1484" s="7" t="s">
        <v>180</v>
      </c>
      <c r="F1484" s="6" t="n">
        <v>3.43</v>
      </c>
      <c r="G1484" s="6" t="n">
        <v>0</v>
      </c>
      <c r="H1484" s="41" t="n">
        <v>15.19</v>
      </c>
      <c r="I1484" s="43" t="n">
        <f aca="false">F1484*H1484</f>
        <v>52.1017</v>
      </c>
      <c r="J1484" s="43" t="n">
        <f aca="false">G1484*H1484*1.5</f>
        <v>0</v>
      </c>
      <c r="K1484" s="6" t="n">
        <v>7.88</v>
      </c>
      <c r="L1484" s="43" t="n">
        <f aca="false">K1484*'Chart of Accounts'!$E$68</f>
        <v>5.2796</v>
      </c>
      <c r="O1484" s="42" t="n">
        <f aca="false">I1484+J1484+L1484</f>
        <v>57.3813</v>
      </c>
    </row>
    <row r="1485" customFormat="false" ht="15" hidden="false" customHeight="false" outlineLevel="0" collapsed="false">
      <c r="B1485" s="7" t="s">
        <v>10118</v>
      </c>
      <c r="C1485" s="39" t="n">
        <v>45751</v>
      </c>
      <c r="D1485" s="7" t="s">
        <v>207</v>
      </c>
      <c r="E1485" s="7" t="s">
        <v>180</v>
      </c>
      <c r="F1485" s="6" t="n">
        <v>3.42</v>
      </c>
      <c r="G1485" s="6" t="n">
        <v>0</v>
      </c>
      <c r="H1485" s="41" t="n">
        <v>16.65</v>
      </c>
      <c r="I1485" s="43" t="n">
        <f aca="false">F1485*H1485</f>
        <v>56.943</v>
      </c>
      <c r="J1485" s="43" t="n">
        <f aca="false">G1485*H1485*1.5</f>
        <v>0</v>
      </c>
      <c r="K1485" s="6" t="n">
        <v>7.58</v>
      </c>
      <c r="L1485" s="43" t="n">
        <f aca="false">K1485*'Chart of Accounts'!$E$68</f>
        <v>5.0786</v>
      </c>
      <c r="O1485" s="42" t="n">
        <f aca="false">I1485+J1485+L1485</f>
        <v>62.0216</v>
      </c>
    </row>
    <row r="1486" customFormat="false" ht="15" hidden="false" customHeight="false" outlineLevel="0" collapsed="false">
      <c r="B1486" s="7" t="s">
        <v>10119</v>
      </c>
      <c r="C1486" s="39" t="n">
        <v>45751</v>
      </c>
      <c r="D1486" s="7" t="s">
        <v>212</v>
      </c>
      <c r="E1486" s="7" t="s">
        <v>180</v>
      </c>
      <c r="F1486" s="6" t="n">
        <v>3.73</v>
      </c>
      <c r="G1486" s="6" t="n">
        <v>0</v>
      </c>
      <c r="H1486" s="41" t="n">
        <v>16.71</v>
      </c>
      <c r="I1486" s="43" t="n">
        <f aca="false">F1486*H1486</f>
        <v>62.3283</v>
      </c>
      <c r="J1486" s="43" t="n">
        <f aca="false">G1486*H1486*1.5</f>
        <v>0</v>
      </c>
      <c r="K1486" s="6" t="n">
        <v>11.6</v>
      </c>
      <c r="L1486" s="43" t="n">
        <f aca="false">K1486*'Chart of Accounts'!$E$68</f>
        <v>7.772</v>
      </c>
      <c r="O1486" s="42" t="n">
        <f aca="false">I1486+J1486+L1486</f>
        <v>70.1003</v>
      </c>
    </row>
    <row r="1487" customFormat="false" ht="15" hidden="false" customHeight="false" outlineLevel="0" collapsed="false">
      <c r="B1487" s="7" t="s">
        <v>10120</v>
      </c>
      <c r="C1487" s="39" t="n">
        <v>45751</v>
      </c>
      <c r="D1487" s="7" t="s">
        <v>209</v>
      </c>
      <c r="E1487" s="7" t="s">
        <v>158</v>
      </c>
      <c r="H1487" s="41" t="n">
        <v>73.58</v>
      </c>
      <c r="M1487" s="6" t="n">
        <v>1</v>
      </c>
      <c r="N1487" s="43" t="n">
        <f aca="false">M1487*H1487</f>
        <v>73.58</v>
      </c>
      <c r="O1487" s="42" t="n">
        <f aca="false">N1487</f>
        <v>73.58</v>
      </c>
    </row>
    <row r="1488" customFormat="false" ht="15" hidden="false" customHeight="false" outlineLevel="0" collapsed="false">
      <c r="B1488" s="7" t="s">
        <v>10121</v>
      </c>
      <c r="C1488" s="39" t="n">
        <v>45751</v>
      </c>
      <c r="D1488" s="7" t="s">
        <v>232</v>
      </c>
      <c r="E1488" s="7" t="s">
        <v>180</v>
      </c>
      <c r="F1488" s="6" t="n">
        <v>4.85</v>
      </c>
      <c r="G1488" s="6" t="n">
        <v>0</v>
      </c>
      <c r="H1488" s="41" t="n">
        <v>16.17</v>
      </c>
      <c r="I1488" s="43" t="n">
        <f aca="false">F1488*H1488</f>
        <v>78.4245</v>
      </c>
      <c r="J1488" s="43" t="n">
        <f aca="false">G1488*H1488*1.5</f>
        <v>0</v>
      </c>
      <c r="K1488" s="6" t="n">
        <v>13.42</v>
      </c>
      <c r="L1488" s="43" t="n">
        <f aca="false">K1488*'Chart of Accounts'!$E$68</f>
        <v>8.9914</v>
      </c>
      <c r="O1488" s="42" t="n">
        <f aca="false">I1488+J1488+L1488</f>
        <v>87.4159</v>
      </c>
    </row>
    <row r="1489" customFormat="false" ht="15" hidden="false" customHeight="false" outlineLevel="0" collapsed="false">
      <c r="B1489" s="7" t="s">
        <v>10122</v>
      </c>
      <c r="C1489" s="39" t="n">
        <v>45751</v>
      </c>
      <c r="D1489" s="7" t="s">
        <v>224</v>
      </c>
      <c r="E1489" s="7" t="s">
        <v>180</v>
      </c>
      <c r="F1489" s="6" t="n">
        <v>4.53</v>
      </c>
      <c r="G1489" s="6" t="n">
        <v>0</v>
      </c>
      <c r="H1489" s="41" t="n">
        <v>14.93</v>
      </c>
      <c r="I1489" s="43" t="n">
        <f aca="false">F1489*H1489</f>
        <v>67.6329</v>
      </c>
      <c r="J1489" s="43" t="n">
        <f aca="false">G1489*H1489*1.5</f>
        <v>0</v>
      </c>
      <c r="K1489" s="6" t="n">
        <v>10.64</v>
      </c>
      <c r="L1489" s="43" t="n">
        <f aca="false">K1489*'Chart of Accounts'!$E$68</f>
        <v>7.1288</v>
      </c>
      <c r="O1489" s="42" t="n">
        <f aca="false">I1489+J1489+L1489</f>
        <v>74.7617</v>
      </c>
    </row>
    <row r="1490" customFormat="false" ht="15" hidden="false" customHeight="false" outlineLevel="0" collapsed="false">
      <c r="B1490" s="7" t="s">
        <v>10123</v>
      </c>
      <c r="C1490" s="39" t="n">
        <v>45751</v>
      </c>
      <c r="D1490" s="7" t="s">
        <v>246</v>
      </c>
      <c r="E1490" s="7" t="s">
        <v>180</v>
      </c>
      <c r="F1490" s="6" t="n">
        <v>4.34</v>
      </c>
      <c r="G1490" s="6" t="n">
        <v>0</v>
      </c>
      <c r="H1490" s="41" t="n">
        <v>16.48</v>
      </c>
      <c r="I1490" s="43" t="n">
        <f aca="false">F1490*H1490</f>
        <v>71.5232</v>
      </c>
      <c r="J1490" s="43" t="n">
        <f aca="false">G1490*H1490*1.5</f>
        <v>0</v>
      </c>
      <c r="K1490" s="6" t="n">
        <v>15.55</v>
      </c>
      <c r="L1490" s="43" t="n">
        <f aca="false">K1490*'Chart of Accounts'!$E$68</f>
        <v>10.4185</v>
      </c>
      <c r="O1490" s="42" t="n">
        <f aca="false">I1490+J1490+L1490</f>
        <v>81.9417</v>
      </c>
    </row>
    <row r="1491" customFormat="false" ht="15" hidden="false" customHeight="false" outlineLevel="0" collapsed="false">
      <c r="B1491" s="7" t="s">
        <v>10124</v>
      </c>
      <c r="C1491" s="39" t="n">
        <v>45751</v>
      </c>
      <c r="D1491" s="7" t="s">
        <v>222</v>
      </c>
      <c r="E1491" s="7" t="s">
        <v>180</v>
      </c>
      <c r="F1491" s="6" t="n">
        <v>4</v>
      </c>
      <c r="G1491" s="6" t="n">
        <v>0</v>
      </c>
      <c r="H1491" s="41" t="n">
        <v>17.84</v>
      </c>
      <c r="I1491" s="43" t="n">
        <f aca="false">F1491*H1491</f>
        <v>71.36</v>
      </c>
      <c r="J1491" s="43" t="n">
        <f aca="false">G1491*H1491*1.5</f>
        <v>0</v>
      </c>
      <c r="K1491" s="6" t="n">
        <v>13.96</v>
      </c>
      <c r="L1491" s="43" t="n">
        <f aca="false">K1491*'Chart of Accounts'!$E$68</f>
        <v>9.3532</v>
      </c>
      <c r="O1491" s="42" t="n">
        <f aca="false">I1491+J1491+L1491</f>
        <v>80.7132</v>
      </c>
    </row>
    <row r="1492" customFormat="false" ht="15" hidden="false" customHeight="false" outlineLevel="0" collapsed="false">
      <c r="B1492" s="7" t="s">
        <v>10125</v>
      </c>
      <c r="C1492" s="39" t="n">
        <v>45751</v>
      </c>
      <c r="D1492" s="7" t="s">
        <v>203</v>
      </c>
      <c r="E1492" s="7" t="s">
        <v>158</v>
      </c>
      <c r="H1492" s="41" t="n">
        <v>49.43</v>
      </c>
      <c r="M1492" s="6" t="n">
        <v>1</v>
      </c>
      <c r="N1492" s="43" t="n">
        <f aca="false">M1492*H1492</f>
        <v>49.43</v>
      </c>
      <c r="O1492" s="42" t="n">
        <f aca="false">N1492</f>
        <v>49.43</v>
      </c>
    </row>
    <row r="1493" customFormat="false" ht="15" hidden="false" customHeight="false" outlineLevel="0" collapsed="false">
      <c r="B1493" s="7" t="s">
        <v>10126</v>
      </c>
      <c r="C1493" s="39" t="n">
        <v>45751</v>
      </c>
      <c r="D1493" s="7" t="s">
        <v>262</v>
      </c>
      <c r="E1493" s="7" t="s">
        <v>180</v>
      </c>
      <c r="F1493" s="6" t="n">
        <v>3.54</v>
      </c>
      <c r="G1493" s="6" t="n">
        <v>0</v>
      </c>
      <c r="H1493" s="41" t="n">
        <v>16.02</v>
      </c>
      <c r="I1493" s="43" t="n">
        <f aca="false">F1493*H1493</f>
        <v>56.7108</v>
      </c>
      <c r="J1493" s="43" t="n">
        <f aca="false">G1493*H1493*1.5</f>
        <v>0</v>
      </c>
      <c r="K1493" s="6" t="n">
        <v>10.05</v>
      </c>
      <c r="L1493" s="43" t="n">
        <f aca="false">K1493*'Chart of Accounts'!$E$68</f>
        <v>6.7335</v>
      </c>
      <c r="O1493" s="42" t="n">
        <f aca="false">I1493+J1493+L1493</f>
        <v>63.4443</v>
      </c>
    </row>
    <row r="1494" customFormat="false" ht="15" hidden="false" customHeight="false" outlineLevel="0" collapsed="false">
      <c r="B1494" s="7" t="s">
        <v>10127</v>
      </c>
      <c r="C1494" s="39" t="n">
        <v>45751</v>
      </c>
      <c r="D1494" s="7" t="s">
        <v>260</v>
      </c>
      <c r="E1494" s="7" t="s">
        <v>158</v>
      </c>
      <c r="H1494" s="41" t="n">
        <v>79.8</v>
      </c>
      <c r="M1494" s="6" t="n">
        <v>1</v>
      </c>
      <c r="N1494" s="43" t="n">
        <f aca="false">M1494*H1494</f>
        <v>79.8</v>
      </c>
      <c r="O1494" s="42" t="n">
        <f aca="false">N1494</f>
        <v>79.8</v>
      </c>
    </row>
    <row r="1495" customFormat="false" ht="15" hidden="false" customHeight="false" outlineLevel="0" collapsed="false">
      <c r="B1495" s="7" t="s">
        <v>10128</v>
      </c>
      <c r="C1495" s="39" t="n">
        <v>45751</v>
      </c>
      <c r="D1495" s="7" t="s">
        <v>214</v>
      </c>
      <c r="E1495" s="7" t="s">
        <v>180</v>
      </c>
      <c r="F1495" s="6" t="n">
        <v>3.29</v>
      </c>
      <c r="G1495" s="6" t="n">
        <v>0</v>
      </c>
      <c r="H1495" s="41" t="n">
        <v>15.67</v>
      </c>
      <c r="I1495" s="43" t="n">
        <f aca="false">F1495*H1495</f>
        <v>51.5543</v>
      </c>
      <c r="J1495" s="43" t="n">
        <f aca="false">G1495*H1495*1.5</f>
        <v>0</v>
      </c>
      <c r="K1495" s="6" t="n">
        <v>9.4</v>
      </c>
      <c r="L1495" s="43" t="n">
        <f aca="false">K1495*'Chart of Accounts'!$E$68</f>
        <v>6.298</v>
      </c>
      <c r="O1495" s="42" t="n">
        <f aca="false">I1495+J1495+L1495</f>
        <v>57.8523</v>
      </c>
    </row>
    <row r="1496" customFormat="false" ht="15" hidden="false" customHeight="false" outlineLevel="0" collapsed="false">
      <c r="B1496" s="7" t="s">
        <v>10129</v>
      </c>
      <c r="C1496" s="39" t="n">
        <v>45752</v>
      </c>
      <c r="D1496" s="7" t="s">
        <v>191</v>
      </c>
      <c r="E1496" s="7" t="s">
        <v>180</v>
      </c>
      <c r="F1496" s="6" t="n">
        <v>4.2</v>
      </c>
      <c r="G1496" s="6" t="n">
        <v>0</v>
      </c>
      <c r="H1496" s="41" t="n">
        <v>16.05</v>
      </c>
      <c r="I1496" s="43" t="n">
        <f aca="false">F1496*H1496</f>
        <v>67.41</v>
      </c>
      <c r="J1496" s="43" t="n">
        <f aca="false">G1496*H1496*1.5</f>
        <v>0</v>
      </c>
      <c r="K1496" s="6" t="n">
        <v>13.67</v>
      </c>
      <c r="L1496" s="43" t="n">
        <f aca="false">K1496*'Chart of Accounts'!$E$68</f>
        <v>9.1589</v>
      </c>
      <c r="O1496" s="42" t="n">
        <f aca="false">I1496+J1496+L1496</f>
        <v>76.5689</v>
      </c>
    </row>
    <row r="1497" customFormat="false" ht="15" hidden="false" customHeight="false" outlineLevel="0" collapsed="false">
      <c r="B1497" s="7" t="s">
        <v>10130</v>
      </c>
      <c r="C1497" s="39" t="n">
        <v>45752</v>
      </c>
      <c r="D1497" s="7" t="s">
        <v>218</v>
      </c>
      <c r="E1497" s="7" t="s">
        <v>180</v>
      </c>
      <c r="F1497" s="6" t="n">
        <v>4.16</v>
      </c>
      <c r="G1497" s="6" t="n">
        <v>0</v>
      </c>
      <c r="H1497" s="41" t="n">
        <v>16.19</v>
      </c>
      <c r="I1497" s="43" t="n">
        <f aca="false">F1497*H1497</f>
        <v>67.3504</v>
      </c>
      <c r="J1497" s="43" t="n">
        <f aca="false">G1497*H1497*1.5</f>
        <v>0</v>
      </c>
      <c r="K1497" s="6" t="n">
        <v>11.74</v>
      </c>
      <c r="L1497" s="43" t="n">
        <f aca="false">K1497*'Chart of Accounts'!$E$68</f>
        <v>7.8658</v>
      </c>
      <c r="O1497" s="42" t="n">
        <f aca="false">I1497+J1497+L1497</f>
        <v>75.2162</v>
      </c>
    </row>
    <row r="1498" customFormat="false" ht="15" hidden="false" customHeight="false" outlineLevel="0" collapsed="false">
      <c r="B1498" s="7" t="s">
        <v>10131</v>
      </c>
      <c r="C1498" s="39" t="n">
        <v>45752</v>
      </c>
      <c r="D1498" s="7" t="s">
        <v>212</v>
      </c>
      <c r="E1498" s="7" t="s">
        <v>180</v>
      </c>
      <c r="F1498" s="6" t="n">
        <v>3.77</v>
      </c>
      <c r="G1498" s="6" t="n">
        <v>0</v>
      </c>
      <c r="H1498" s="41" t="n">
        <v>16.71</v>
      </c>
      <c r="I1498" s="43" t="n">
        <f aca="false">F1498*H1498</f>
        <v>62.9967</v>
      </c>
      <c r="J1498" s="43" t="n">
        <f aca="false">G1498*H1498*1.5</f>
        <v>0</v>
      </c>
      <c r="K1498" s="6" t="n">
        <v>13.31</v>
      </c>
      <c r="L1498" s="43" t="n">
        <f aca="false">K1498*'Chart of Accounts'!$E$68</f>
        <v>8.9177</v>
      </c>
      <c r="O1498" s="42" t="n">
        <f aca="false">I1498+J1498+L1498</f>
        <v>71.9144</v>
      </c>
    </row>
    <row r="1499" customFormat="false" ht="15" hidden="false" customHeight="false" outlineLevel="0" collapsed="false">
      <c r="B1499" s="7" t="s">
        <v>10132</v>
      </c>
      <c r="C1499" s="39" t="n">
        <v>45752</v>
      </c>
      <c r="D1499" s="7" t="s">
        <v>222</v>
      </c>
      <c r="E1499" s="7" t="s">
        <v>180</v>
      </c>
      <c r="F1499" s="6" t="n">
        <v>4.21</v>
      </c>
      <c r="G1499" s="6" t="n">
        <v>0</v>
      </c>
      <c r="H1499" s="41" t="n">
        <v>17.84</v>
      </c>
      <c r="I1499" s="43" t="n">
        <f aca="false">F1499*H1499</f>
        <v>75.1064</v>
      </c>
      <c r="J1499" s="43" t="n">
        <f aca="false">G1499*H1499*1.5</f>
        <v>0</v>
      </c>
      <c r="K1499" s="6" t="n">
        <v>13.77</v>
      </c>
      <c r="L1499" s="43" t="n">
        <f aca="false">K1499*'Chart of Accounts'!$E$68</f>
        <v>9.2259</v>
      </c>
      <c r="O1499" s="42" t="n">
        <f aca="false">I1499+J1499+L1499</f>
        <v>84.3323</v>
      </c>
    </row>
    <row r="1500" customFormat="false" ht="15" hidden="false" customHeight="false" outlineLevel="0" collapsed="false">
      <c r="B1500" s="7" t="s">
        <v>10133</v>
      </c>
      <c r="C1500" s="39" t="n">
        <v>45752</v>
      </c>
      <c r="D1500" s="7" t="s">
        <v>242</v>
      </c>
      <c r="E1500" s="7" t="s">
        <v>180</v>
      </c>
      <c r="F1500" s="6" t="n">
        <v>3.99</v>
      </c>
      <c r="G1500" s="6" t="n">
        <v>0</v>
      </c>
      <c r="H1500" s="41" t="n">
        <v>17.99</v>
      </c>
      <c r="I1500" s="43" t="n">
        <f aca="false">F1500*H1500</f>
        <v>71.7801</v>
      </c>
      <c r="J1500" s="43" t="n">
        <f aca="false">G1500*H1500*1.5</f>
        <v>0</v>
      </c>
      <c r="K1500" s="6" t="n">
        <v>10.02</v>
      </c>
      <c r="L1500" s="43" t="n">
        <f aca="false">K1500*'Chart of Accounts'!$E$68</f>
        <v>6.7134</v>
      </c>
      <c r="O1500" s="42" t="n">
        <f aca="false">I1500+J1500+L1500</f>
        <v>78.4935</v>
      </c>
    </row>
    <row r="1501" customFormat="false" ht="15" hidden="false" customHeight="false" outlineLevel="0" collapsed="false">
      <c r="B1501" s="7" t="s">
        <v>10134</v>
      </c>
      <c r="C1501" s="39" t="n">
        <v>45752</v>
      </c>
      <c r="D1501" s="7" t="s">
        <v>254</v>
      </c>
      <c r="E1501" s="7" t="s">
        <v>180</v>
      </c>
      <c r="F1501" s="6" t="n">
        <v>3.63</v>
      </c>
      <c r="G1501" s="6" t="n">
        <v>0</v>
      </c>
      <c r="H1501" s="41" t="n">
        <v>17.1</v>
      </c>
      <c r="I1501" s="43" t="n">
        <f aca="false">F1501*H1501</f>
        <v>62.073</v>
      </c>
      <c r="J1501" s="43" t="n">
        <f aca="false">G1501*H1501*1.5</f>
        <v>0</v>
      </c>
      <c r="K1501" s="6" t="n">
        <v>10.43</v>
      </c>
      <c r="L1501" s="43" t="n">
        <f aca="false">K1501*'Chart of Accounts'!$E$68</f>
        <v>6.9881</v>
      </c>
      <c r="O1501" s="42" t="n">
        <f aca="false">I1501+J1501+L1501</f>
        <v>69.0611</v>
      </c>
    </row>
    <row r="1502" customFormat="false" ht="15" hidden="false" customHeight="false" outlineLevel="0" collapsed="false">
      <c r="B1502" s="7" t="s">
        <v>10135</v>
      </c>
      <c r="C1502" s="39" t="n">
        <v>45753</v>
      </c>
      <c r="D1502" s="7" t="s">
        <v>191</v>
      </c>
      <c r="E1502" s="7" t="s">
        <v>180</v>
      </c>
      <c r="F1502" s="6" t="n">
        <v>3.98</v>
      </c>
      <c r="G1502" s="6" t="n">
        <v>0</v>
      </c>
      <c r="H1502" s="41" t="n">
        <v>16.05</v>
      </c>
      <c r="I1502" s="43" t="n">
        <f aca="false">F1502*H1502</f>
        <v>63.879</v>
      </c>
      <c r="J1502" s="43" t="n">
        <f aca="false">G1502*H1502*1.5</f>
        <v>0</v>
      </c>
      <c r="K1502" s="6" t="n">
        <v>11.96</v>
      </c>
      <c r="L1502" s="43" t="n">
        <f aca="false">K1502*'Chart of Accounts'!$E$68</f>
        <v>8.0132</v>
      </c>
      <c r="O1502" s="42" t="n">
        <f aca="false">I1502+J1502+L1502</f>
        <v>71.8922</v>
      </c>
    </row>
    <row r="1503" customFormat="false" ht="15" hidden="false" customHeight="false" outlineLevel="0" collapsed="false">
      <c r="B1503" s="7" t="s">
        <v>10136</v>
      </c>
      <c r="C1503" s="39" t="n">
        <v>45753</v>
      </c>
      <c r="D1503" s="7" t="s">
        <v>212</v>
      </c>
      <c r="E1503" s="7" t="s">
        <v>180</v>
      </c>
      <c r="F1503" s="6" t="n">
        <v>4.23</v>
      </c>
      <c r="G1503" s="6" t="n">
        <v>0</v>
      </c>
      <c r="H1503" s="41" t="n">
        <v>16.71</v>
      </c>
      <c r="I1503" s="43" t="n">
        <f aca="false">F1503*H1503</f>
        <v>70.6833</v>
      </c>
      <c r="J1503" s="43" t="n">
        <f aca="false">G1503*H1503*1.5</f>
        <v>0</v>
      </c>
      <c r="K1503" s="6" t="n">
        <v>11.14</v>
      </c>
      <c r="L1503" s="43" t="n">
        <f aca="false">K1503*'Chart of Accounts'!$E$68</f>
        <v>7.4638</v>
      </c>
      <c r="O1503" s="42" t="n">
        <f aca="false">I1503+J1503+L1503</f>
        <v>78.1471</v>
      </c>
    </row>
    <row r="1504" customFormat="false" ht="15" hidden="false" customHeight="false" outlineLevel="0" collapsed="false">
      <c r="B1504" s="7" t="s">
        <v>10137</v>
      </c>
      <c r="C1504" s="39" t="n">
        <v>45753</v>
      </c>
      <c r="D1504" s="7" t="s">
        <v>222</v>
      </c>
      <c r="E1504" s="7" t="s">
        <v>180</v>
      </c>
      <c r="F1504" s="6" t="n">
        <v>4.32</v>
      </c>
      <c r="G1504" s="6" t="n">
        <v>0</v>
      </c>
      <c r="H1504" s="41" t="n">
        <v>17.84</v>
      </c>
      <c r="I1504" s="43" t="n">
        <f aca="false">F1504*H1504</f>
        <v>77.0688</v>
      </c>
      <c r="J1504" s="43" t="n">
        <f aca="false">G1504*H1504*1.5</f>
        <v>0</v>
      </c>
      <c r="K1504" s="6" t="n">
        <v>10.7</v>
      </c>
      <c r="L1504" s="43" t="n">
        <f aca="false">K1504*'Chart of Accounts'!$E$68</f>
        <v>7.169</v>
      </c>
      <c r="O1504" s="42" t="n">
        <f aca="false">I1504+J1504+L1504</f>
        <v>84.2378</v>
      </c>
    </row>
    <row r="1505" customFormat="false" ht="15" hidden="false" customHeight="false" outlineLevel="0" collapsed="false">
      <c r="B1505" s="7" t="s">
        <v>10138</v>
      </c>
      <c r="C1505" s="39" t="n">
        <v>45753</v>
      </c>
      <c r="D1505" s="7" t="s">
        <v>242</v>
      </c>
      <c r="E1505" s="7" t="s">
        <v>180</v>
      </c>
      <c r="F1505" s="6" t="n">
        <v>3.67</v>
      </c>
      <c r="G1505" s="6" t="n">
        <v>0</v>
      </c>
      <c r="H1505" s="41" t="n">
        <v>17.99</v>
      </c>
      <c r="I1505" s="43" t="n">
        <f aca="false">F1505*H1505</f>
        <v>66.0233</v>
      </c>
      <c r="J1505" s="43" t="n">
        <f aca="false">G1505*H1505*1.5</f>
        <v>0</v>
      </c>
      <c r="K1505" s="6" t="n">
        <v>9.11</v>
      </c>
      <c r="L1505" s="43" t="n">
        <f aca="false">K1505*'Chart of Accounts'!$E$68</f>
        <v>6.1037</v>
      </c>
      <c r="O1505" s="42" t="n">
        <f aca="false">I1505+J1505+L1505</f>
        <v>72.127</v>
      </c>
    </row>
    <row r="1506" customFormat="false" ht="15" hidden="false" customHeight="false" outlineLevel="0" collapsed="false">
      <c r="B1506" s="7" t="s">
        <v>10139</v>
      </c>
      <c r="C1506" s="39" t="n">
        <v>45753</v>
      </c>
      <c r="D1506" s="7" t="s">
        <v>254</v>
      </c>
      <c r="E1506" s="7" t="s">
        <v>180</v>
      </c>
      <c r="F1506" s="6" t="n">
        <v>4.36</v>
      </c>
      <c r="G1506" s="6" t="n">
        <v>0</v>
      </c>
      <c r="H1506" s="41" t="n">
        <v>17.1</v>
      </c>
      <c r="I1506" s="43" t="n">
        <f aca="false">F1506*H1506</f>
        <v>74.556</v>
      </c>
      <c r="J1506" s="43" t="n">
        <f aca="false">G1506*H1506*1.5</f>
        <v>0</v>
      </c>
      <c r="K1506" s="6" t="n">
        <v>15.64</v>
      </c>
      <c r="L1506" s="43" t="n">
        <f aca="false">K1506*'Chart of Accounts'!$E$68</f>
        <v>10.4788</v>
      </c>
      <c r="O1506" s="42" t="n">
        <f aca="false">I1506+J1506+L1506</f>
        <v>85.0348</v>
      </c>
    </row>
    <row r="1507" customFormat="false" ht="15" hidden="false" customHeight="false" outlineLevel="0" collapsed="false">
      <c r="B1507" s="7" t="s">
        <v>10140</v>
      </c>
      <c r="C1507" s="39" t="n">
        <v>45754</v>
      </c>
      <c r="D1507" s="7" t="s">
        <v>187</v>
      </c>
      <c r="E1507" s="7" t="s">
        <v>158</v>
      </c>
      <c r="H1507" s="41" t="n">
        <v>66.48</v>
      </c>
      <c r="M1507" s="6" t="n">
        <v>1</v>
      </c>
      <c r="N1507" s="43" t="n">
        <f aca="false">M1507*H1507</f>
        <v>66.48</v>
      </c>
      <c r="O1507" s="42" t="n">
        <f aca="false">N1507</f>
        <v>66.48</v>
      </c>
    </row>
    <row r="1508" customFormat="false" ht="15" hidden="false" customHeight="false" outlineLevel="0" collapsed="false">
      <c r="B1508" s="7" t="s">
        <v>10141</v>
      </c>
      <c r="C1508" s="39" t="n">
        <v>45754</v>
      </c>
      <c r="D1508" s="7" t="s">
        <v>191</v>
      </c>
      <c r="E1508" s="7" t="s">
        <v>180</v>
      </c>
      <c r="F1508" s="6" t="n">
        <v>4.06</v>
      </c>
      <c r="G1508" s="6" t="n">
        <v>0</v>
      </c>
      <c r="H1508" s="41" t="n">
        <v>16.05</v>
      </c>
      <c r="I1508" s="43" t="n">
        <f aca="false">F1508*H1508</f>
        <v>65.163</v>
      </c>
      <c r="J1508" s="43" t="n">
        <f aca="false">G1508*H1508*1.5</f>
        <v>0</v>
      </c>
      <c r="K1508" s="6" t="n">
        <v>9.14</v>
      </c>
      <c r="L1508" s="43" t="n">
        <f aca="false">K1508*'Chart of Accounts'!$E$68</f>
        <v>6.1238</v>
      </c>
      <c r="O1508" s="42" t="n">
        <f aca="false">I1508+J1508+L1508</f>
        <v>71.2868</v>
      </c>
    </row>
    <row r="1509" customFormat="false" ht="15" hidden="false" customHeight="false" outlineLevel="0" collapsed="false">
      <c r="B1509" s="7" t="s">
        <v>10142</v>
      </c>
      <c r="C1509" s="39" t="n">
        <v>45754</v>
      </c>
      <c r="D1509" s="7" t="s">
        <v>194</v>
      </c>
      <c r="E1509" s="7" t="s">
        <v>180</v>
      </c>
      <c r="F1509" s="6" t="n">
        <v>4.21</v>
      </c>
      <c r="G1509" s="6" t="n">
        <v>0</v>
      </c>
      <c r="H1509" s="41" t="n">
        <v>16</v>
      </c>
      <c r="I1509" s="43" t="n">
        <f aca="false">F1509*H1509</f>
        <v>67.36</v>
      </c>
      <c r="J1509" s="43" t="n">
        <f aca="false">G1509*H1509*1.5</f>
        <v>0</v>
      </c>
      <c r="K1509" s="6" t="n">
        <v>12.37</v>
      </c>
      <c r="L1509" s="43" t="n">
        <f aca="false">K1509*'Chart of Accounts'!$E$68</f>
        <v>8.2879</v>
      </c>
      <c r="O1509" s="42" t="n">
        <f aca="false">I1509+J1509+L1509</f>
        <v>75.6479</v>
      </c>
    </row>
    <row r="1510" customFormat="false" ht="15" hidden="false" customHeight="false" outlineLevel="0" collapsed="false">
      <c r="B1510" s="7" t="s">
        <v>10143</v>
      </c>
      <c r="C1510" s="39" t="n">
        <v>45754</v>
      </c>
      <c r="D1510" s="7" t="s">
        <v>201</v>
      </c>
      <c r="E1510" s="7" t="s">
        <v>180</v>
      </c>
      <c r="F1510" s="6" t="n">
        <v>8.7</v>
      </c>
      <c r="G1510" s="6" t="n">
        <v>0</v>
      </c>
      <c r="H1510" s="41" t="n">
        <v>15.19</v>
      </c>
      <c r="I1510" s="43" t="n">
        <f aca="false">F1510*H1510</f>
        <v>132.153</v>
      </c>
      <c r="J1510" s="43" t="n">
        <f aca="false">G1510*H1510*1.5</f>
        <v>0</v>
      </c>
      <c r="K1510" s="6" t="n">
        <v>20.49</v>
      </c>
      <c r="L1510" s="43" t="n">
        <f aca="false">K1510*'Chart of Accounts'!$E$68</f>
        <v>13.7283</v>
      </c>
      <c r="O1510" s="42" t="n">
        <f aca="false">I1510+J1510+L1510</f>
        <v>145.8813</v>
      </c>
    </row>
    <row r="1511" customFormat="false" ht="15" hidden="false" customHeight="false" outlineLevel="0" collapsed="false">
      <c r="B1511" s="7" t="s">
        <v>10144</v>
      </c>
      <c r="C1511" s="39" t="n">
        <v>45754</v>
      </c>
      <c r="D1511" s="7" t="s">
        <v>205</v>
      </c>
      <c r="E1511" s="7" t="s">
        <v>180</v>
      </c>
      <c r="F1511" s="6" t="n">
        <v>4.38</v>
      </c>
      <c r="G1511" s="6" t="n">
        <v>0</v>
      </c>
      <c r="H1511" s="41" t="n">
        <v>16.36</v>
      </c>
      <c r="I1511" s="43" t="n">
        <f aca="false">F1511*H1511</f>
        <v>71.6568</v>
      </c>
      <c r="J1511" s="43" t="n">
        <f aca="false">G1511*H1511*1.5</f>
        <v>0</v>
      </c>
      <c r="K1511" s="6" t="n">
        <v>15.06</v>
      </c>
      <c r="L1511" s="43" t="n">
        <f aca="false">K1511*'Chart of Accounts'!$E$68</f>
        <v>10.0902</v>
      </c>
      <c r="O1511" s="42" t="n">
        <f aca="false">I1511+J1511+L1511</f>
        <v>81.747</v>
      </c>
    </row>
    <row r="1512" customFormat="false" ht="15" hidden="false" customHeight="false" outlineLevel="0" collapsed="false">
      <c r="B1512" s="7" t="s">
        <v>10145</v>
      </c>
      <c r="C1512" s="39" t="n">
        <v>45754</v>
      </c>
      <c r="D1512" s="7" t="s">
        <v>264</v>
      </c>
      <c r="E1512" s="7" t="s">
        <v>158</v>
      </c>
      <c r="H1512" s="41" t="n">
        <v>55.55</v>
      </c>
      <c r="M1512" s="6" t="n">
        <v>1</v>
      </c>
      <c r="N1512" s="43" t="n">
        <f aca="false">M1512*H1512</f>
        <v>55.55</v>
      </c>
      <c r="O1512" s="42" t="n">
        <f aca="false">N1512</f>
        <v>55.55</v>
      </c>
    </row>
    <row r="1513" customFormat="false" ht="15" hidden="false" customHeight="false" outlineLevel="0" collapsed="false">
      <c r="B1513" s="7" t="s">
        <v>10146</v>
      </c>
      <c r="C1513" s="39" t="n">
        <v>45754</v>
      </c>
      <c r="D1513" s="7" t="s">
        <v>252</v>
      </c>
      <c r="E1513" s="7" t="s">
        <v>158</v>
      </c>
      <c r="H1513" s="41" t="n">
        <v>57.54</v>
      </c>
      <c r="M1513" s="6" t="n">
        <v>1</v>
      </c>
      <c r="N1513" s="43" t="n">
        <f aca="false">M1513*H1513</f>
        <v>57.54</v>
      </c>
      <c r="O1513" s="42" t="n">
        <f aca="false">N1513</f>
        <v>57.54</v>
      </c>
    </row>
    <row r="1514" customFormat="false" ht="15" hidden="false" customHeight="false" outlineLevel="0" collapsed="false">
      <c r="B1514" s="7" t="s">
        <v>10147</v>
      </c>
      <c r="C1514" s="39" t="n">
        <v>45754</v>
      </c>
      <c r="D1514" s="7" t="s">
        <v>196</v>
      </c>
      <c r="E1514" s="7" t="s">
        <v>180</v>
      </c>
      <c r="F1514" s="6" t="n">
        <v>5.8</v>
      </c>
      <c r="G1514" s="6" t="n">
        <v>0</v>
      </c>
      <c r="H1514" s="41" t="n">
        <v>15.05</v>
      </c>
      <c r="I1514" s="43" t="n">
        <f aca="false">F1514*H1514</f>
        <v>87.29</v>
      </c>
      <c r="J1514" s="43" t="n">
        <f aca="false">G1514*H1514*1.5</f>
        <v>0</v>
      </c>
      <c r="K1514" s="6" t="n">
        <v>16.35</v>
      </c>
      <c r="L1514" s="43" t="n">
        <f aca="false">K1514*'Chart of Accounts'!$E$68</f>
        <v>10.9545</v>
      </c>
      <c r="O1514" s="42" t="n">
        <f aca="false">I1514+J1514+L1514</f>
        <v>98.2445</v>
      </c>
    </row>
    <row r="1515" customFormat="false" ht="15" hidden="false" customHeight="false" outlineLevel="0" collapsed="false">
      <c r="B1515" s="7" t="s">
        <v>10148</v>
      </c>
      <c r="C1515" s="39" t="n">
        <v>45754</v>
      </c>
      <c r="D1515" s="7" t="s">
        <v>184</v>
      </c>
      <c r="E1515" s="7" t="s">
        <v>180</v>
      </c>
      <c r="F1515" s="6" t="n">
        <v>3.77</v>
      </c>
      <c r="G1515" s="6" t="n">
        <v>0</v>
      </c>
      <c r="H1515" s="41" t="n">
        <v>17.34</v>
      </c>
      <c r="I1515" s="43" t="n">
        <f aca="false">F1515*H1515</f>
        <v>65.3718</v>
      </c>
      <c r="J1515" s="43" t="n">
        <f aca="false">G1515*H1515*1.5</f>
        <v>0</v>
      </c>
      <c r="K1515" s="6" t="n">
        <v>11.32</v>
      </c>
      <c r="L1515" s="43" t="n">
        <f aca="false">K1515*'Chart of Accounts'!$E$68</f>
        <v>7.5844</v>
      </c>
      <c r="O1515" s="42" t="n">
        <f aca="false">I1515+J1515+L1515</f>
        <v>72.9562</v>
      </c>
    </row>
    <row r="1516" customFormat="false" ht="15" hidden="false" customHeight="false" outlineLevel="0" collapsed="false">
      <c r="B1516" s="7" t="s">
        <v>10149</v>
      </c>
      <c r="C1516" s="39" t="n">
        <v>45754</v>
      </c>
      <c r="D1516" s="7" t="s">
        <v>207</v>
      </c>
      <c r="E1516" s="7" t="s">
        <v>180</v>
      </c>
      <c r="F1516" s="6" t="n">
        <v>6.69</v>
      </c>
      <c r="G1516" s="6" t="n">
        <v>0</v>
      </c>
      <c r="H1516" s="41" t="n">
        <v>16.65</v>
      </c>
      <c r="I1516" s="43" t="n">
        <f aca="false">F1516*H1516</f>
        <v>111.3885</v>
      </c>
      <c r="J1516" s="43" t="n">
        <f aca="false">G1516*H1516*1.5</f>
        <v>0</v>
      </c>
      <c r="K1516" s="6" t="n">
        <v>21.83</v>
      </c>
      <c r="L1516" s="43" t="n">
        <f aca="false">K1516*'Chart of Accounts'!$E$68</f>
        <v>14.6261</v>
      </c>
      <c r="O1516" s="42" t="n">
        <f aca="false">I1516+J1516+L1516</f>
        <v>126.0146</v>
      </c>
    </row>
    <row r="1517" customFormat="false" ht="15" hidden="false" customHeight="false" outlineLevel="0" collapsed="false">
      <c r="B1517" s="7" t="s">
        <v>10150</v>
      </c>
      <c r="C1517" s="39" t="n">
        <v>45754</v>
      </c>
      <c r="D1517" s="7" t="s">
        <v>218</v>
      </c>
      <c r="E1517" s="7" t="s">
        <v>180</v>
      </c>
      <c r="F1517" s="6" t="n">
        <v>3.71</v>
      </c>
      <c r="G1517" s="6" t="n">
        <v>0</v>
      </c>
      <c r="H1517" s="41" t="n">
        <v>16.19</v>
      </c>
      <c r="I1517" s="43" t="n">
        <f aca="false">F1517*H1517</f>
        <v>60.0649</v>
      </c>
      <c r="J1517" s="43" t="n">
        <f aca="false">G1517*H1517*1.5</f>
        <v>0</v>
      </c>
      <c r="K1517" s="6" t="n">
        <v>12.48</v>
      </c>
      <c r="L1517" s="43" t="n">
        <f aca="false">K1517*'Chart of Accounts'!$E$68</f>
        <v>8.3616</v>
      </c>
      <c r="O1517" s="42" t="n">
        <f aca="false">I1517+J1517+L1517</f>
        <v>68.4265</v>
      </c>
    </row>
    <row r="1518" customFormat="false" ht="15" hidden="false" customHeight="false" outlineLevel="0" collapsed="false">
      <c r="B1518" s="7" t="s">
        <v>10151</v>
      </c>
      <c r="C1518" s="39" t="n">
        <v>45754</v>
      </c>
      <c r="D1518" s="7" t="s">
        <v>212</v>
      </c>
      <c r="E1518" s="7" t="s">
        <v>180</v>
      </c>
      <c r="F1518" s="6" t="n">
        <v>7.3</v>
      </c>
      <c r="G1518" s="6" t="n">
        <v>0</v>
      </c>
      <c r="H1518" s="41" t="n">
        <v>16.71</v>
      </c>
      <c r="I1518" s="43" t="n">
        <f aca="false">F1518*H1518</f>
        <v>121.983</v>
      </c>
      <c r="J1518" s="43" t="n">
        <f aca="false">G1518*H1518*1.5</f>
        <v>0</v>
      </c>
      <c r="K1518" s="6" t="n">
        <v>26.21</v>
      </c>
      <c r="L1518" s="43" t="n">
        <f aca="false">K1518*'Chart of Accounts'!$E$68</f>
        <v>17.5607</v>
      </c>
      <c r="O1518" s="42" t="n">
        <f aca="false">I1518+J1518+L1518</f>
        <v>139.5437</v>
      </c>
    </row>
    <row r="1519" customFormat="false" ht="15" hidden="false" customHeight="false" outlineLevel="0" collapsed="false">
      <c r="B1519" s="7" t="s">
        <v>10152</v>
      </c>
      <c r="C1519" s="39" t="n">
        <v>45754</v>
      </c>
      <c r="D1519" s="7" t="s">
        <v>220</v>
      </c>
      <c r="E1519" s="7" t="s">
        <v>180</v>
      </c>
      <c r="F1519" s="6" t="n">
        <v>3.69</v>
      </c>
      <c r="G1519" s="6" t="n">
        <v>0</v>
      </c>
      <c r="H1519" s="41" t="n">
        <v>16.43</v>
      </c>
      <c r="I1519" s="43" t="n">
        <f aca="false">F1519*H1519</f>
        <v>60.6267</v>
      </c>
      <c r="J1519" s="43" t="n">
        <f aca="false">G1519*H1519*1.5</f>
        <v>0</v>
      </c>
      <c r="K1519" s="6" t="n">
        <v>9.55</v>
      </c>
      <c r="L1519" s="43" t="n">
        <f aca="false">K1519*'Chart of Accounts'!$E$68</f>
        <v>6.3985</v>
      </c>
      <c r="O1519" s="42" t="n">
        <f aca="false">I1519+J1519+L1519</f>
        <v>67.0252</v>
      </c>
    </row>
    <row r="1520" customFormat="false" ht="15" hidden="false" customHeight="false" outlineLevel="0" collapsed="false">
      <c r="B1520" s="7" t="s">
        <v>10153</v>
      </c>
      <c r="C1520" s="39" t="n">
        <v>45754</v>
      </c>
      <c r="D1520" s="7" t="s">
        <v>224</v>
      </c>
      <c r="E1520" s="7" t="s">
        <v>180</v>
      </c>
      <c r="F1520" s="6" t="n">
        <v>8.15</v>
      </c>
      <c r="G1520" s="6" t="n">
        <v>0</v>
      </c>
      <c r="H1520" s="41" t="n">
        <v>14.93</v>
      </c>
      <c r="I1520" s="43" t="n">
        <f aca="false">F1520*H1520</f>
        <v>121.6795</v>
      </c>
      <c r="J1520" s="43" t="n">
        <f aca="false">G1520*H1520*1.5</f>
        <v>0</v>
      </c>
      <c r="K1520" s="6" t="n">
        <v>18.2</v>
      </c>
      <c r="L1520" s="43" t="n">
        <f aca="false">K1520*'Chart of Accounts'!$E$68</f>
        <v>12.194</v>
      </c>
      <c r="O1520" s="42" t="n">
        <f aca="false">I1520+J1520+L1520</f>
        <v>133.8735</v>
      </c>
    </row>
    <row r="1521" customFormat="false" ht="15" hidden="false" customHeight="false" outlineLevel="0" collapsed="false">
      <c r="B1521" s="7" t="s">
        <v>10154</v>
      </c>
      <c r="C1521" s="39" t="n">
        <v>45754</v>
      </c>
      <c r="D1521" s="7" t="s">
        <v>177</v>
      </c>
      <c r="E1521" s="7" t="s">
        <v>180</v>
      </c>
      <c r="F1521" s="6" t="n">
        <v>8.7</v>
      </c>
      <c r="G1521" s="6" t="n">
        <v>0</v>
      </c>
      <c r="H1521" s="41" t="n">
        <v>14.56</v>
      </c>
      <c r="I1521" s="43" t="n">
        <f aca="false">F1521*H1521</f>
        <v>126.672</v>
      </c>
      <c r="J1521" s="43" t="n">
        <f aca="false">G1521*H1521*1.5</f>
        <v>0</v>
      </c>
      <c r="K1521" s="6" t="n">
        <v>30.37</v>
      </c>
      <c r="L1521" s="43" t="n">
        <f aca="false">K1521*'Chart of Accounts'!$E$68</f>
        <v>20.3479</v>
      </c>
      <c r="O1521" s="42" t="n">
        <f aca="false">I1521+J1521+L1521</f>
        <v>147.0199</v>
      </c>
    </row>
    <row r="1522" customFormat="false" ht="15" hidden="false" customHeight="false" outlineLevel="0" collapsed="false">
      <c r="B1522" s="7" t="s">
        <v>10155</v>
      </c>
      <c r="C1522" s="39" t="n">
        <v>45754</v>
      </c>
      <c r="D1522" s="7" t="s">
        <v>232</v>
      </c>
      <c r="E1522" s="7" t="s">
        <v>180</v>
      </c>
      <c r="F1522" s="6" t="n">
        <v>7.75</v>
      </c>
      <c r="G1522" s="6" t="n">
        <v>0</v>
      </c>
      <c r="H1522" s="41" t="n">
        <v>16.17</v>
      </c>
      <c r="I1522" s="43" t="n">
        <f aca="false">F1522*H1522</f>
        <v>125.3175</v>
      </c>
      <c r="J1522" s="43" t="n">
        <f aca="false">G1522*H1522*1.5</f>
        <v>0</v>
      </c>
      <c r="K1522" s="6" t="n">
        <v>19.96</v>
      </c>
      <c r="L1522" s="43" t="n">
        <f aca="false">K1522*'Chart of Accounts'!$E$68</f>
        <v>13.3732</v>
      </c>
      <c r="O1522" s="42" t="n">
        <f aca="false">I1522+J1522+L1522</f>
        <v>138.6907</v>
      </c>
    </row>
    <row r="1523" customFormat="false" ht="15" hidden="false" customHeight="false" outlineLevel="0" collapsed="false">
      <c r="B1523" s="7" t="s">
        <v>10156</v>
      </c>
      <c r="C1523" s="39" t="n">
        <v>45754</v>
      </c>
      <c r="D1523" s="7" t="s">
        <v>242</v>
      </c>
      <c r="E1523" s="7" t="s">
        <v>180</v>
      </c>
      <c r="F1523" s="6" t="n">
        <v>7.7</v>
      </c>
      <c r="G1523" s="6" t="n">
        <v>0</v>
      </c>
      <c r="H1523" s="41" t="n">
        <v>17.99</v>
      </c>
      <c r="I1523" s="43" t="n">
        <f aca="false">F1523*H1523</f>
        <v>138.523</v>
      </c>
      <c r="J1523" s="43" t="n">
        <f aca="false">G1523*H1523*1.5</f>
        <v>0</v>
      </c>
      <c r="K1523" s="6" t="n">
        <v>20.11</v>
      </c>
      <c r="L1523" s="43" t="n">
        <f aca="false">K1523*'Chart of Accounts'!$E$68</f>
        <v>13.4737</v>
      </c>
      <c r="O1523" s="42" t="n">
        <f aca="false">I1523+J1523+L1523</f>
        <v>151.9967</v>
      </c>
    </row>
    <row r="1524" customFormat="false" ht="15" hidden="false" customHeight="false" outlineLevel="0" collapsed="false">
      <c r="B1524" s="7" t="s">
        <v>10157</v>
      </c>
      <c r="C1524" s="39" t="n">
        <v>45754</v>
      </c>
      <c r="D1524" s="7" t="s">
        <v>222</v>
      </c>
      <c r="E1524" s="7" t="s">
        <v>180</v>
      </c>
      <c r="F1524" s="6" t="n">
        <v>6.94</v>
      </c>
      <c r="G1524" s="6" t="n">
        <v>0</v>
      </c>
      <c r="H1524" s="41" t="n">
        <v>17.84</v>
      </c>
      <c r="I1524" s="43" t="n">
        <f aca="false">F1524*H1524</f>
        <v>123.8096</v>
      </c>
      <c r="J1524" s="43" t="n">
        <f aca="false">G1524*H1524*1.5</f>
        <v>0</v>
      </c>
      <c r="K1524" s="6" t="n">
        <v>24.45</v>
      </c>
      <c r="L1524" s="43" t="n">
        <f aca="false">K1524*'Chart of Accounts'!$E$68</f>
        <v>16.3815</v>
      </c>
      <c r="O1524" s="42" t="n">
        <f aca="false">I1524+J1524+L1524</f>
        <v>140.1911</v>
      </c>
    </row>
    <row r="1525" customFormat="false" ht="15" hidden="false" customHeight="false" outlineLevel="0" collapsed="false">
      <c r="B1525" s="7" t="s">
        <v>10158</v>
      </c>
      <c r="C1525" s="39" t="n">
        <v>45754</v>
      </c>
      <c r="D1525" s="7" t="s">
        <v>262</v>
      </c>
      <c r="E1525" s="7" t="s">
        <v>180</v>
      </c>
      <c r="F1525" s="6" t="n">
        <v>7.05</v>
      </c>
      <c r="G1525" s="6" t="n">
        <v>0</v>
      </c>
      <c r="H1525" s="41" t="n">
        <v>16.02</v>
      </c>
      <c r="I1525" s="43" t="n">
        <f aca="false">F1525*H1525</f>
        <v>112.941</v>
      </c>
      <c r="J1525" s="43" t="n">
        <f aca="false">G1525*H1525*1.5</f>
        <v>0</v>
      </c>
      <c r="K1525" s="6" t="n">
        <v>23.51</v>
      </c>
      <c r="L1525" s="43" t="n">
        <f aca="false">K1525*'Chart of Accounts'!$E$68</f>
        <v>15.7517</v>
      </c>
      <c r="O1525" s="42" t="n">
        <f aca="false">I1525+J1525+L1525</f>
        <v>128.6927</v>
      </c>
    </row>
    <row r="1526" customFormat="false" ht="15" hidden="false" customHeight="false" outlineLevel="0" collapsed="false">
      <c r="B1526" s="7" t="s">
        <v>10159</v>
      </c>
      <c r="C1526" s="39" t="n">
        <v>45754</v>
      </c>
      <c r="D1526" s="7" t="s">
        <v>254</v>
      </c>
      <c r="E1526" s="7" t="s">
        <v>180</v>
      </c>
      <c r="F1526" s="6" t="n">
        <v>6.73</v>
      </c>
      <c r="G1526" s="6" t="n">
        <v>0</v>
      </c>
      <c r="H1526" s="41" t="n">
        <v>17.1</v>
      </c>
      <c r="I1526" s="43" t="n">
        <f aca="false">F1526*H1526</f>
        <v>115.083</v>
      </c>
      <c r="J1526" s="43" t="n">
        <f aca="false">G1526*H1526*1.5</f>
        <v>0</v>
      </c>
      <c r="K1526" s="6" t="n">
        <v>17.95</v>
      </c>
      <c r="L1526" s="43" t="n">
        <f aca="false">K1526*'Chart of Accounts'!$E$68</f>
        <v>12.0265</v>
      </c>
      <c r="O1526" s="42" t="n">
        <f aca="false">I1526+J1526+L1526</f>
        <v>127.1095</v>
      </c>
    </row>
    <row r="1527" customFormat="false" ht="15" hidden="false" customHeight="false" outlineLevel="0" collapsed="false">
      <c r="B1527" s="7" t="s">
        <v>10160</v>
      </c>
      <c r="C1527" s="39" t="n">
        <v>45754</v>
      </c>
      <c r="D1527" s="7" t="s">
        <v>246</v>
      </c>
      <c r="E1527" s="7" t="s">
        <v>180</v>
      </c>
      <c r="F1527" s="6" t="n">
        <v>8.27</v>
      </c>
      <c r="G1527" s="6" t="n">
        <v>0</v>
      </c>
      <c r="H1527" s="41" t="n">
        <v>16.48</v>
      </c>
      <c r="I1527" s="43" t="n">
        <f aca="false">F1527*H1527</f>
        <v>136.2896</v>
      </c>
      <c r="J1527" s="43" t="n">
        <f aca="false">G1527*H1527*1.5</f>
        <v>0</v>
      </c>
      <c r="K1527" s="6" t="n">
        <v>25.05</v>
      </c>
      <c r="L1527" s="43" t="n">
        <f aca="false">K1527*'Chart of Accounts'!$E$68</f>
        <v>16.7835</v>
      </c>
      <c r="O1527" s="42" t="n">
        <f aca="false">I1527+J1527+L1527</f>
        <v>153.0731</v>
      </c>
    </row>
    <row r="1528" customFormat="false" ht="15" hidden="false" customHeight="false" outlineLevel="0" collapsed="false">
      <c r="B1528" s="7" t="s">
        <v>10161</v>
      </c>
      <c r="C1528" s="39" t="n">
        <v>45754</v>
      </c>
      <c r="D1528" s="7" t="s">
        <v>214</v>
      </c>
      <c r="E1528" s="7" t="s">
        <v>180</v>
      </c>
      <c r="F1528" s="6" t="n">
        <v>7.52</v>
      </c>
      <c r="G1528" s="6" t="n">
        <v>0</v>
      </c>
      <c r="H1528" s="41" t="n">
        <v>15.67</v>
      </c>
      <c r="I1528" s="43" t="n">
        <f aca="false">F1528*H1528</f>
        <v>117.8384</v>
      </c>
      <c r="J1528" s="43" t="n">
        <f aca="false">G1528*H1528*1.5</f>
        <v>0</v>
      </c>
      <c r="K1528" s="6" t="n">
        <v>21.26</v>
      </c>
      <c r="L1528" s="43" t="n">
        <f aca="false">K1528*'Chart of Accounts'!$E$68</f>
        <v>14.2442</v>
      </c>
      <c r="O1528" s="42" t="n">
        <f aca="false">I1528+J1528+L1528</f>
        <v>132.0826</v>
      </c>
    </row>
    <row r="1529" customFormat="false" ht="15" hidden="false" customHeight="false" outlineLevel="0" collapsed="false">
      <c r="B1529" s="7" t="s">
        <v>10162</v>
      </c>
      <c r="C1529" s="39" t="n">
        <v>45755</v>
      </c>
      <c r="D1529" s="7" t="s">
        <v>191</v>
      </c>
      <c r="E1529" s="7" t="s">
        <v>180</v>
      </c>
      <c r="F1529" s="6" t="n">
        <v>4.29</v>
      </c>
      <c r="G1529" s="6" t="n">
        <v>0</v>
      </c>
      <c r="H1529" s="41" t="n">
        <v>16.05</v>
      </c>
      <c r="I1529" s="43" t="n">
        <f aca="false">F1529*H1529</f>
        <v>68.8545</v>
      </c>
      <c r="J1529" s="43" t="n">
        <f aca="false">G1529*H1529*1.5</f>
        <v>0</v>
      </c>
      <c r="K1529" s="6" t="n">
        <v>10.8</v>
      </c>
      <c r="L1529" s="43" t="n">
        <f aca="false">K1529*'Chart of Accounts'!$E$68</f>
        <v>7.236</v>
      </c>
      <c r="O1529" s="42" t="n">
        <f aca="false">I1529+J1529+L1529</f>
        <v>76.0905</v>
      </c>
    </row>
    <row r="1530" customFormat="false" ht="15" hidden="false" customHeight="false" outlineLevel="0" collapsed="false">
      <c r="B1530" s="7" t="s">
        <v>10163</v>
      </c>
      <c r="C1530" s="39" t="n">
        <v>45755</v>
      </c>
      <c r="D1530" s="7" t="s">
        <v>209</v>
      </c>
      <c r="E1530" s="7" t="s">
        <v>158</v>
      </c>
      <c r="H1530" s="41" t="n">
        <v>73.58</v>
      </c>
      <c r="M1530" s="6" t="n">
        <v>2</v>
      </c>
      <c r="N1530" s="43" t="n">
        <f aca="false">M1530*H1530</f>
        <v>147.16</v>
      </c>
      <c r="O1530" s="42" t="n">
        <f aca="false">N1530</f>
        <v>147.16</v>
      </c>
    </row>
    <row r="1531" customFormat="false" ht="15" hidden="false" customHeight="false" outlineLevel="0" collapsed="false">
      <c r="B1531" s="7" t="s">
        <v>10164</v>
      </c>
      <c r="C1531" s="39" t="n">
        <v>45755</v>
      </c>
      <c r="D1531" s="7" t="s">
        <v>184</v>
      </c>
      <c r="E1531" s="7" t="s">
        <v>180</v>
      </c>
      <c r="F1531" s="6" t="n">
        <v>3.91</v>
      </c>
      <c r="G1531" s="6" t="n">
        <v>0</v>
      </c>
      <c r="H1531" s="41" t="n">
        <v>17.34</v>
      </c>
      <c r="I1531" s="43" t="n">
        <f aca="false">F1531*H1531</f>
        <v>67.7994</v>
      </c>
      <c r="J1531" s="43" t="n">
        <f aca="false">G1531*H1531*1.5</f>
        <v>0</v>
      </c>
      <c r="K1531" s="6" t="n">
        <v>9.88</v>
      </c>
      <c r="L1531" s="43" t="n">
        <f aca="false">K1531*'Chart of Accounts'!$E$68</f>
        <v>6.6196</v>
      </c>
      <c r="O1531" s="42" t="n">
        <f aca="false">I1531+J1531+L1531</f>
        <v>74.419</v>
      </c>
    </row>
    <row r="1532" customFormat="false" ht="15" hidden="false" customHeight="false" outlineLevel="0" collapsed="false">
      <c r="B1532" s="7" t="s">
        <v>10165</v>
      </c>
      <c r="C1532" s="39" t="n">
        <v>45755</v>
      </c>
      <c r="D1532" s="7" t="s">
        <v>234</v>
      </c>
      <c r="E1532" s="7" t="s">
        <v>158</v>
      </c>
      <c r="H1532" s="41" t="n">
        <v>89.53</v>
      </c>
      <c r="M1532" s="6" t="n">
        <v>2</v>
      </c>
      <c r="N1532" s="43" t="n">
        <f aca="false">M1532*H1532</f>
        <v>179.06</v>
      </c>
      <c r="O1532" s="42" t="n">
        <f aca="false">N1532</f>
        <v>179.06</v>
      </c>
    </row>
    <row r="1533" customFormat="false" ht="15" hidden="false" customHeight="false" outlineLevel="0" collapsed="false">
      <c r="B1533" s="7" t="s">
        <v>10166</v>
      </c>
      <c r="C1533" s="39" t="n">
        <v>45755</v>
      </c>
      <c r="D1533" s="7" t="s">
        <v>218</v>
      </c>
      <c r="E1533" s="7" t="s">
        <v>180</v>
      </c>
      <c r="F1533" s="6" t="n">
        <v>4.29</v>
      </c>
      <c r="G1533" s="6" t="n">
        <v>0</v>
      </c>
      <c r="H1533" s="41" t="n">
        <v>16.19</v>
      </c>
      <c r="I1533" s="43" t="n">
        <f aca="false">F1533*H1533</f>
        <v>69.4551</v>
      </c>
      <c r="J1533" s="43" t="n">
        <f aca="false">G1533*H1533*1.5</f>
        <v>0</v>
      </c>
      <c r="K1533" s="6" t="n">
        <v>13.41</v>
      </c>
      <c r="L1533" s="43" t="n">
        <f aca="false">K1533*'Chart of Accounts'!$E$68</f>
        <v>8.9847</v>
      </c>
      <c r="O1533" s="42" t="n">
        <f aca="false">I1533+J1533+L1533</f>
        <v>78.4398</v>
      </c>
    </row>
    <row r="1534" customFormat="false" ht="15" hidden="false" customHeight="false" outlineLevel="0" collapsed="false">
      <c r="B1534" s="7" t="s">
        <v>10167</v>
      </c>
      <c r="C1534" s="39" t="n">
        <v>45755</v>
      </c>
      <c r="D1534" s="7" t="s">
        <v>266</v>
      </c>
      <c r="E1534" s="7" t="s">
        <v>158</v>
      </c>
      <c r="H1534" s="41" t="n">
        <v>75.18</v>
      </c>
      <c r="M1534" s="6" t="n">
        <v>1</v>
      </c>
      <c r="N1534" s="43" t="n">
        <f aca="false">M1534*H1534</f>
        <v>75.18</v>
      </c>
      <c r="O1534" s="42" t="n">
        <f aca="false">N1534</f>
        <v>75.18</v>
      </c>
    </row>
    <row r="1535" customFormat="false" ht="15" hidden="false" customHeight="false" outlineLevel="0" collapsed="false">
      <c r="B1535" s="7" t="s">
        <v>10168</v>
      </c>
      <c r="C1535" s="39" t="n">
        <v>45755</v>
      </c>
      <c r="D1535" s="7" t="s">
        <v>228</v>
      </c>
      <c r="E1535" s="7" t="s">
        <v>158</v>
      </c>
      <c r="H1535" s="41" t="n">
        <v>51.07</v>
      </c>
      <c r="M1535" s="6" t="n">
        <v>1</v>
      </c>
      <c r="N1535" s="43" t="n">
        <f aca="false">M1535*H1535</f>
        <v>51.07</v>
      </c>
      <c r="O1535" s="42" t="n">
        <f aca="false">N1535</f>
        <v>51.07</v>
      </c>
    </row>
    <row r="1536" customFormat="false" ht="15" hidden="false" customHeight="false" outlineLevel="0" collapsed="false">
      <c r="B1536" s="7" t="s">
        <v>10169</v>
      </c>
      <c r="C1536" s="39" t="n">
        <v>45755</v>
      </c>
      <c r="D1536" s="7" t="s">
        <v>220</v>
      </c>
      <c r="E1536" s="7" t="s">
        <v>180</v>
      </c>
      <c r="F1536" s="6" t="n">
        <v>4.13</v>
      </c>
      <c r="G1536" s="6" t="n">
        <v>0</v>
      </c>
      <c r="H1536" s="41" t="n">
        <v>16.43</v>
      </c>
      <c r="I1536" s="43" t="n">
        <f aca="false">F1536*H1536</f>
        <v>67.8559</v>
      </c>
      <c r="J1536" s="43" t="n">
        <f aca="false">G1536*H1536*1.5</f>
        <v>0</v>
      </c>
      <c r="K1536" s="6" t="n">
        <v>10.84</v>
      </c>
      <c r="L1536" s="43" t="n">
        <f aca="false">K1536*'Chart of Accounts'!$E$68</f>
        <v>7.2628</v>
      </c>
      <c r="O1536" s="42" t="n">
        <f aca="false">I1536+J1536+L1536</f>
        <v>75.1187</v>
      </c>
    </row>
    <row r="1537" customFormat="false" ht="15" hidden="false" customHeight="false" outlineLevel="0" collapsed="false">
      <c r="B1537" s="7" t="s">
        <v>10170</v>
      </c>
      <c r="C1537" s="39" t="n">
        <v>45755</v>
      </c>
      <c r="D1537" s="7" t="s">
        <v>212</v>
      </c>
      <c r="E1537" s="7" t="s">
        <v>180</v>
      </c>
      <c r="F1537" s="6" t="n">
        <v>3.98</v>
      </c>
      <c r="G1537" s="6" t="n">
        <v>0</v>
      </c>
      <c r="H1537" s="41" t="n">
        <v>16.71</v>
      </c>
      <c r="I1537" s="43" t="n">
        <f aca="false">F1537*H1537</f>
        <v>66.5058</v>
      </c>
      <c r="J1537" s="43" t="n">
        <f aca="false">G1537*H1537*1.5</f>
        <v>0</v>
      </c>
      <c r="K1537" s="6" t="n">
        <v>11.9</v>
      </c>
      <c r="L1537" s="43" t="n">
        <f aca="false">K1537*'Chart of Accounts'!$E$68</f>
        <v>7.973</v>
      </c>
      <c r="O1537" s="42" t="n">
        <f aca="false">I1537+J1537+L1537</f>
        <v>74.4788</v>
      </c>
    </row>
    <row r="1538" customFormat="false" ht="15" hidden="false" customHeight="false" outlineLevel="0" collapsed="false">
      <c r="B1538" s="7" t="s">
        <v>10171</v>
      </c>
      <c r="C1538" s="39" t="n">
        <v>45755</v>
      </c>
      <c r="D1538" s="7" t="s">
        <v>246</v>
      </c>
      <c r="E1538" s="7" t="s">
        <v>180</v>
      </c>
      <c r="F1538" s="6" t="n">
        <v>3.86</v>
      </c>
      <c r="G1538" s="6" t="n">
        <v>0</v>
      </c>
      <c r="H1538" s="41" t="n">
        <v>16.48</v>
      </c>
      <c r="I1538" s="43" t="n">
        <f aca="false">F1538*H1538</f>
        <v>63.6128</v>
      </c>
      <c r="J1538" s="43" t="n">
        <f aca="false">G1538*H1538*1.5</f>
        <v>0</v>
      </c>
      <c r="K1538" s="6" t="n">
        <v>10.69</v>
      </c>
      <c r="L1538" s="43" t="n">
        <f aca="false">K1538*'Chart of Accounts'!$E$68</f>
        <v>7.1623</v>
      </c>
      <c r="O1538" s="42" t="n">
        <f aca="false">I1538+J1538+L1538</f>
        <v>70.7751</v>
      </c>
    </row>
    <row r="1539" customFormat="false" ht="15" hidden="false" customHeight="false" outlineLevel="0" collapsed="false">
      <c r="B1539" s="7" t="s">
        <v>10172</v>
      </c>
      <c r="C1539" s="39" t="n">
        <v>45755</v>
      </c>
      <c r="D1539" s="7" t="s">
        <v>222</v>
      </c>
      <c r="E1539" s="7" t="s">
        <v>180</v>
      </c>
      <c r="F1539" s="6" t="n">
        <v>4.27</v>
      </c>
      <c r="G1539" s="6" t="n">
        <v>0</v>
      </c>
      <c r="H1539" s="41" t="n">
        <v>17.84</v>
      </c>
      <c r="I1539" s="43" t="n">
        <f aca="false">F1539*H1539</f>
        <v>76.1768</v>
      </c>
      <c r="J1539" s="43" t="n">
        <f aca="false">G1539*H1539*1.5</f>
        <v>0</v>
      </c>
      <c r="K1539" s="6" t="n">
        <v>13.59</v>
      </c>
      <c r="L1539" s="43" t="n">
        <f aca="false">K1539*'Chart of Accounts'!$E$68</f>
        <v>9.1053</v>
      </c>
      <c r="O1539" s="42" t="n">
        <f aca="false">I1539+J1539+L1539</f>
        <v>85.2821</v>
      </c>
    </row>
    <row r="1540" customFormat="false" ht="15" hidden="false" customHeight="false" outlineLevel="0" collapsed="false">
      <c r="B1540" s="7" t="s">
        <v>10173</v>
      </c>
      <c r="C1540" s="39" t="n">
        <v>45755</v>
      </c>
      <c r="D1540" s="7" t="s">
        <v>242</v>
      </c>
      <c r="E1540" s="7" t="s">
        <v>180</v>
      </c>
      <c r="F1540" s="6" t="n">
        <v>3.62</v>
      </c>
      <c r="G1540" s="6" t="n">
        <v>0</v>
      </c>
      <c r="H1540" s="41" t="n">
        <v>17.99</v>
      </c>
      <c r="I1540" s="43" t="n">
        <f aca="false">F1540*H1540</f>
        <v>65.1238</v>
      </c>
      <c r="J1540" s="43" t="n">
        <f aca="false">G1540*H1540*1.5</f>
        <v>0</v>
      </c>
      <c r="K1540" s="6" t="n">
        <v>9.7</v>
      </c>
      <c r="L1540" s="43" t="n">
        <f aca="false">K1540*'Chart of Accounts'!$E$68</f>
        <v>6.499</v>
      </c>
      <c r="O1540" s="42" t="n">
        <f aca="false">I1540+J1540+L1540</f>
        <v>71.6228</v>
      </c>
    </row>
    <row r="1541" customFormat="false" ht="15" hidden="false" customHeight="false" outlineLevel="0" collapsed="false">
      <c r="B1541" s="7" t="s">
        <v>10174</v>
      </c>
      <c r="C1541" s="39" t="n">
        <v>45755</v>
      </c>
      <c r="D1541" s="7" t="s">
        <v>203</v>
      </c>
      <c r="E1541" s="7" t="s">
        <v>158</v>
      </c>
      <c r="H1541" s="41" t="n">
        <v>49.43</v>
      </c>
      <c r="M1541" s="6" t="n">
        <v>1</v>
      </c>
      <c r="N1541" s="43" t="n">
        <f aca="false">M1541*H1541</f>
        <v>49.43</v>
      </c>
      <c r="O1541" s="42" t="n">
        <f aca="false">N1541</f>
        <v>49.43</v>
      </c>
    </row>
    <row r="1542" customFormat="false" ht="15" hidden="false" customHeight="false" outlineLevel="0" collapsed="false">
      <c r="B1542" s="7" t="s">
        <v>10175</v>
      </c>
      <c r="C1542" s="39" t="n">
        <v>45755</v>
      </c>
      <c r="D1542" s="7" t="s">
        <v>254</v>
      </c>
      <c r="E1542" s="7" t="s">
        <v>180</v>
      </c>
      <c r="F1542" s="6" t="n">
        <v>3.88</v>
      </c>
      <c r="G1542" s="6" t="n">
        <v>0</v>
      </c>
      <c r="H1542" s="41" t="n">
        <v>17.1</v>
      </c>
      <c r="I1542" s="43" t="n">
        <f aca="false">F1542*H1542</f>
        <v>66.348</v>
      </c>
      <c r="J1542" s="43" t="n">
        <f aca="false">G1542*H1542*1.5</f>
        <v>0</v>
      </c>
      <c r="K1542" s="6" t="n">
        <v>13.64</v>
      </c>
      <c r="L1542" s="43" t="n">
        <f aca="false">K1542*'Chart of Accounts'!$E$68</f>
        <v>9.1388</v>
      </c>
      <c r="O1542" s="42" t="n">
        <f aca="false">I1542+J1542+L1542</f>
        <v>75.4868</v>
      </c>
    </row>
    <row r="1543" customFormat="false" ht="15" hidden="false" customHeight="false" outlineLevel="0" collapsed="false">
      <c r="B1543" s="7" t="s">
        <v>10176</v>
      </c>
      <c r="C1543" s="39" t="n">
        <v>45755</v>
      </c>
      <c r="D1543" s="7" t="s">
        <v>260</v>
      </c>
      <c r="E1543" s="7" t="s">
        <v>158</v>
      </c>
      <c r="H1543" s="41" t="n">
        <v>79.8</v>
      </c>
      <c r="M1543" s="6" t="n">
        <v>1</v>
      </c>
      <c r="N1543" s="43" t="n">
        <f aca="false">M1543*H1543</f>
        <v>79.8</v>
      </c>
      <c r="O1543" s="42" t="n">
        <f aca="false">N1543</f>
        <v>79.8</v>
      </c>
    </row>
    <row r="1544" customFormat="false" ht="15" hidden="false" customHeight="false" outlineLevel="0" collapsed="false">
      <c r="B1544" s="7" t="s">
        <v>10177</v>
      </c>
      <c r="C1544" s="39" t="n">
        <v>45756</v>
      </c>
      <c r="D1544" s="7" t="s">
        <v>187</v>
      </c>
      <c r="E1544" s="7" t="s">
        <v>158</v>
      </c>
      <c r="H1544" s="41" t="n">
        <v>66.48</v>
      </c>
      <c r="M1544" s="6" t="n">
        <v>1</v>
      </c>
      <c r="N1544" s="43" t="n">
        <f aca="false">M1544*H1544</f>
        <v>66.48</v>
      </c>
      <c r="O1544" s="42" t="n">
        <f aca="false">N1544</f>
        <v>66.48</v>
      </c>
    </row>
    <row r="1545" customFormat="false" ht="15" hidden="false" customHeight="false" outlineLevel="0" collapsed="false">
      <c r="B1545" s="7" t="s">
        <v>10178</v>
      </c>
      <c r="C1545" s="39" t="n">
        <v>45756</v>
      </c>
      <c r="D1545" s="7" t="s">
        <v>228</v>
      </c>
      <c r="E1545" s="7" t="s">
        <v>158</v>
      </c>
      <c r="H1545" s="41" t="n">
        <v>51.07</v>
      </c>
      <c r="M1545" s="6" t="n">
        <v>1</v>
      </c>
      <c r="N1545" s="43" t="n">
        <f aca="false">M1545*H1545</f>
        <v>51.07</v>
      </c>
      <c r="O1545" s="42" t="n">
        <f aca="false">N1545</f>
        <v>51.07</v>
      </c>
    </row>
    <row r="1546" customFormat="false" ht="15" hidden="false" customHeight="false" outlineLevel="0" collapsed="false">
      <c r="B1546" s="7" t="s">
        <v>10179</v>
      </c>
      <c r="C1546" s="39" t="n">
        <v>45756</v>
      </c>
      <c r="D1546" s="7" t="s">
        <v>191</v>
      </c>
      <c r="E1546" s="7" t="s">
        <v>180</v>
      </c>
      <c r="F1546" s="6" t="n">
        <v>4.29</v>
      </c>
      <c r="G1546" s="6" t="n">
        <v>0</v>
      </c>
      <c r="H1546" s="41" t="n">
        <v>16.05</v>
      </c>
      <c r="I1546" s="43" t="n">
        <f aca="false">F1546*H1546</f>
        <v>68.8545</v>
      </c>
      <c r="J1546" s="43" t="n">
        <f aca="false">G1546*H1546*1.5</f>
        <v>0</v>
      </c>
      <c r="K1546" s="6" t="n">
        <v>10.81</v>
      </c>
      <c r="L1546" s="43" t="n">
        <f aca="false">K1546*'Chart of Accounts'!$E$68</f>
        <v>7.2427</v>
      </c>
      <c r="O1546" s="42" t="n">
        <f aca="false">I1546+J1546+L1546</f>
        <v>76.0972</v>
      </c>
    </row>
    <row r="1547" customFormat="false" ht="15" hidden="false" customHeight="false" outlineLevel="0" collapsed="false">
      <c r="B1547" s="7" t="s">
        <v>10180</v>
      </c>
      <c r="C1547" s="39" t="n">
        <v>45756</v>
      </c>
      <c r="D1547" s="7" t="s">
        <v>194</v>
      </c>
      <c r="E1547" s="7" t="s">
        <v>180</v>
      </c>
      <c r="F1547" s="6" t="n">
        <v>4.45</v>
      </c>
      <c r="G1547" s="6" t="n">
        <v>0</v>
      </c>
      <c r="H1547" s="41" t="n">
        <v>16</v>
      </c>
      <c r="I1547" s="43" t="n">
        <f aca="false">F1547*H1547</f>
        <v>71.2</v>
      </c>
      <c r="J1547" s="43" t="n">
        <f aca="false">G1547*H1547*1.5</f>
        <v>0</v>
      </c>
      <c r="K1547" s="6" t="n">
        <v>15.93</v>
      </c>
      <c r="L1547" s="43" t="n">
        <f aca="false">K1547*'Chart of Accounts'!$E$68</f>
        <v>10.6731</v>
      </c>
      <c r="O1547" s="42" t="n">
        <f aca="false">I1547+J1547+L1547</f>
        <v>81.8731</v>
      </c>
    </row>
    <row r="1548" customFormat="false" ht="15" hidden="false" customHeight="false" outlineLevel="0" collapsed="false">
      <c r="B1548" s="7" t="s">
        <v>10181</v>
      </c>
      <c r="C1548" s="39" t="n">
        <v>45756</v>
      </c>
      <c r="D1548" s="7" t="s">
        <v>205</v>
      </c>
      <c r="E1548" s="7" t="s">
        <v>180</v>
      </c>
      <c r="F1548" s="6" t="n">
        <v>4.39</v>
      </c>
      <c r="G1548" s="6" t="n">
        <v>0</v>
      </c>
      <c r="H1548" s="41" t="n">
        <v>16.36</v>
      </c>
      <c r="I1548" s="43" t="n">
        <f aca="false">F1548*H1548</f>
        <v>71.8204</v>
      </c>
      <c r="J1548" s="43" t="n">
        <f aca="false">G1548*H1548*1.5</f>
        <v>0</v>
      </c>
      <c r="K1548" s="6" t="n">
        <v>12.61</v>
      </c>
      <c r="L1548" s="43" t="n">
        <f aca="false">K1548*'Chart of Accounts'!$E$68</f>
        <v>8.4487</v>
      </c>
      <c r="O1548" s="42" t="n">
        <f aca="false">I1548+J1548+L1548</f>
        <v>80.2691</v>
      </c>
    </row>
    <row r="1549" customFormat="false" ht="15" hidden="false" customHeight="false" outlineLevel="0" collapsed="false">
      <c r="B1549" s="7" t="s">
        <v>10182</v>
      </c>
      <c r="C1549" s="39" t="n">
        <v>45756</v>
      </c>
      <c r="D1549" s="7" t="s">
        <v>264</v>
      </c>
      <c r="E1549" s="7" t="s">
        <v>158</v>
      </c>
      <c r="H1549" s="41" t="n">
        <v>55.55</v>
      </c>
      <c r="M1549" s="6" t="n">
        <v>1</v>
      </c>
      <c r="N1549" s="43" t="n">
        <f aca="false">M1549*H1549</f>
        <v>55.55</v>
      </c>
      <c r="O1549" s="42" t="n">
        <f aca="false">N1549</f>
        <v>55.55</v>
      </c>
    </row>
    <row r="1550" customFormat="false" ht="15" hidden="false" customHeight="false" outlineLevel="0" collapsed="false">
      <c r="B1550" s="7" t="s">
        <v>10183</v>
      </c>
      <c r="C1550" s="39" t="n">
        <v>45756</v>
      </c>
      <c r="D1550" s="7" t="s">
        <v>252</v>
      </c>
      <c r="E1550" s="7" t="s">
        <v>158</v>
      </c>
      <c r="H1550" s="41" t="n">
        <v>57.54</v>
      </c>
      <c r="M1550" s="6" t="n">
        <v>1</v>
      </c>
      <c r="N1550" s="43" t="n">
        <f aca="false">M1550*H1550</f>
        <v>57.54</v>
      </c>
      <c r="O1550" s="42" t="n">
        <f aca="false">N1550</f>
        <v>57.54</v>
      </c>
    </row>
    <row r="1551" customFormat="false" ht="15" hidden="false" customHeight="false" outlineLevel="0" collapsed="false">
      <c r="B1551" s="7" t="s">
        <v>10184</v>
      </c>
      <c r="C1551" s="39" t="n">
        <v>45756</v>
      </c>
      <c r="D1551" s="7" t="s">
        <v>184</v>
      </c>
      <c r="E1551" s="7" t="s">
        <v>180</v>
      </c>
      <c r="F1551" s="6" t="n">
        <v>4.21</v>
      </c>
      <c r="G1551" s="6" t="n">
        <v>0</v>
      </c>
      <c r="H1551" s="41" t="n">
        <v>17.34</v>
      </c>
      <c r="I1551" s="43" t="n">
        <f aca="false">F1551*H1551</f>
        <v>73.0014</v>
      </c>
      <c r="J1551" s="43" t="n">
        <f aca="false">G1551*H1551*1.5</f>
        <v>0</v>
      </c>
      <c r="K1551" s="6" t="n">
        <v>13.27</v>
      </c>
      <c r="L1551" s="43" t="n">
        <f aca="false">K1551*'Chart of Accounts'!$E$68</f>
        <v>8.8909</v>
      </c>
      <c r="O1551" s="42" t="n">
        <f aca="false">I1551+J1551+L1551</f>
        <v>81.8923</v>
      </c>
    </row>
    <row r="1552" customFormat="false" ht="15" hidden="false" customHeight="false" outlineLevel="0" collapsed="false">
      <c r="B1552" s="7" t="s">
        <v>10185</v>
      </c>
      <c r="C1552" s="39" t="n">
        <v>45756</v>
      </c>
      <c r="D1552" s="7" t="s">
        <v>218</v>
      </c>
      <c r="E1552" s="7" t="s">
        <v>180</v>
      </c>
      <c r="F1552" s="6" t="n">
        <v>3.89</v>
      </c>
      <c r="G1552" s="6" t="n">
        <v>0</v>
      </c>
      <c r="H1552" s="41" t="n">
        <v>16.19</v>
      </c>
      <c r="I1552" s="43" t="n">
        <f aca="false">F1552*H1552</f>
        <v>62.9791</v>
      </c>
      <c r="J1552" s="43" t="n">
        <f aca="false">G1552*H1552*1.5</f>
        <v>0</v>
      </c>
      <c r="K1552" s="6" t="n">
        <v>13.02</v>
      </c>
      <c r="L1552" s="43" t="n">
        <f aca="false">K1552*'Chart of Accounts'!$E$68</f>
        <v>8.7234</v>
      </c>
      <c r="O1552" s="42" t="n">
        <f aca="false">I1552+J1552+L1552</f>
        <v>71.7025</v>
      </c>
    </row>
    <row r="1553" customFormat="false" ht="15" hidden="false" customHeight="false" outlineLevel="0" collapsed="false">
      <c r="B1553" s="7" t="s">
        <v>10186</v>
      </c>
      <c r="C1553" s="39" t="n">
        <v>45756</v>
      </c>
      <c r="D1553" s="7" t="s">
        <v>220</v>
      </c>
      <c r="E1553" s="7" t="s">
        <v>180</v>
      </c>
      <c r="F1553" s="6" t="n">
        <v>4.28</v>
      </c>
      <c r="G1553" s="6" t="n">
        <v>0</v>
      </c>
      <c r="H1553" s="41" t="n">
        <v>16.43</v>
      </c>
      <c r="I1553" s="43" t="n">
        <f aca="false">F1553*H1553</f>
        <v>70.3204</v>
      </c>
      <c r="J1553" s="43" t="n">
        <f aca="false">G1553*H1553*1.5</f>
        <v>0</v>
      </c>
      <c r="K1553" s="6" t="n">
        <v>13.77</v>
      </c>
      <c r="L1553" s="43" t="n">
        <f aca="false">K1553*'Chart of Accounts'!$E$68</f>
        <v>9.2259</v>
      </c>
      <c r="O1553" s="42" t="n">
        <f aca="false">I1553+J1553+L1553</f>
        <v>79.5463</v>
      </c>
    </row>
    <row r="1554" customFormat="false" ht="15" hidden="false" customHeight="false" outlineLevel="0" collapsed="false">
      <c r="B1554" s="7" t="s">
        <v>10187</v>
      </c>
      <c r="C1554" s="39" t="n">
        <v>45756</v>
      </c>
      <c r="D1554" s="7" t="s">
        <v>177</v>
      </c>
      <c r="E1554" s="7" t="s">
        <v>180</v>
      </c>
      <c r="F1554" s="6" t="n">
        <v>8.37</v>
      </c>
      <c r="G1554" s="6" t="n">
        <v>0</v>
      </c>
      <c r="H1554" s="41" t="n">
        <v>14.56</v>
      </c>
      <c r="I1554" s="43" t="n">
        <f aca="false">F1554*H1554</f>
        <v>121.8672</v>
      </c>
      <c r="J1554" s="43" t="n">
        <f aca="false">G1554*H1554*1.5</f>
        <v>0</v>
      </c>
      <c r="K1554" s="6" t="n">
        <v>22.63</v>
      </c>
      <c r="L1554" s="43" t="n">
        <f aca="false">K1554*'Chart of Accounts'!$E$68</f>
        <v>15.1621</v>
      </c>
      <c r="O1554" s="42" t="n">
        <f aca="false">I1554+J1554+L1554</f>
        <v>137.0293</v>
      </c>
    </row>
    <row r="1555" customFormat="false" ht="15" hidden="false" customHeight="false" outlineLevel="0" collapsed="false">
      <c r="B1555" s="7" t="s">
        <v>10188</v>
      </c>
      <c r="C1555" s="39" t="n">
        <v>45756</v>
      </c>
      <c r="D1555" s="7" t="s">
        <v>242</v>
      </c>
      <c r="E1555" s="7" t="s">
        <v>180</v>
      </c>
      <c r="F1555" s="6" t="n">
        <v>7.85</v>
      </c>
      <c r="G1555" s="6" t="n">
        <v>0</v>
      </c>
      <c r="H1555" s="41" t="n">
        <v>17.99</v>
      </c>
      <c r="I1555" s="43" t="n">
        <f aca="false">F1555*H1555</f>
        <v>141.2215</v>
      </c>
      <c r="J1555" s="43" t="n">
        <f aca="false">G1555*H1555*1.5</f>
        <v>0</v>
      </c>
      <c r="K1555" s="6" t="n">
        <v>27.24</v>
      </c>
      <c r="L1555" s="43" t="n">
        <f aca="false">K1555*'Chart of Accounts'!$E$68</f>
        <v>18.2508</v>
      </c>
      <c r="O1555" s="42" t="n">
        <f aca="false">I1555+J1555+L1555</f>
        <v>159.4723</v>
      </c>
    </row>
    <row r="1556" customFormat="false" ht="15" hidden="false" customHeight="false" outlineLevel="0" collapsed="false">
      <c r="B1556" s="7" t="s">
        <v>10189</v>
      </c>
      <c r="C1556" s="39" t="n">
        <v>45756</v>
      </c>
      <c r="D1556" s="7" t="s">
        <v>254</v>
      </c>
      <c r="E1556" s="7" t="s">
        <v>180</v>
      </c>
      <c r="F1556" s="6" t="n">
        <v>7.45</v>
      </c>
      <c r="G1556" s="6" t="n">
        <v>0</v>
      </c>
      <c r="H1556" s="41" t="n">
        <v>17.1</v>
      </c>
      <c r="I1556" s="43" t="n">
        <f aca="false">F1556*H1556</f>
        <v>127.395</v>
      </c>
      <c r="J1556" s="43" t="n">
        <f aca="false">G1556*H1556*1.5</f>
        <v>0</v>
      </c>
      <c r="K1556" s="6" t="n">
        <v>25.53</v>
      </c>
      <c r="L1556" s="43" t="n">
        <f aca="false">K1556*'Chart of Accounts'!$E$68</f>
        <v>17.1051</v>
      </c>
      <c r="O1556" s="42" t="n">
        <f aca="false">I1556+J1556+L1556</f>
        <v>144.5001</v>
      </c>
    </row>
    <row r="1557" customFormat="false" ht="15" hidden="false" customHeight="false" outlineLevel="0" collapsed="false">
      <c r="B1557" s="7" t="s">
        <v>10190</v>
      </c>
      <c r="C1557" s="39" t="n">
        <v>45756</v>
      </c>
      <c r="D1557" s="7" t="s">
        <v>201</v>
      </c>
      <c r="E1557" s="7" t="s">
        <v>180</v>
      </c>
      <c r="F1557" s="6" t="n">
        <v>3.06</v>
      </c>
      <c r="G1557" s="6" t="n">
        <v>0</v>
      </c>
      <c r="H1557" s="41" t="n">
        <v>15.19</v>
      </c>
      <c r="I1557" s="43" t="n">
        <f aca="false">F1557*H1557</f>
        <v>46.4814</v>
      </c>
      <c r="J1557" s="43" t="n">
        <f aca="false">G1557*H1557*1.5</f>
        <v>0</v>
      </c>
      <c r="K1557" s="6" t="n">
        <v>9.98</v>
      </c>
      <c r="L1557" s="43" t="n">
        <f aca="false">K1557*'Chart of Accounts'!$E$68</f>
        <v>6.6866</v>
      </c>
      <c r="O1557" s="42" t="n">
        <f aca="false">I1557+J1557+L1557</f>
        <v>53.168</v>
      </c>
    </row>
    <row r="1558" customFormat="false" ht="15" hidden="false" customHeight="false" outlineLevel="0" collapsed="false">
      <c r="B1558" s="7" t="s">
        <v>10191</v>
      </c>
      <c r="C1558" s="39" t="n">
        <v>45756</v>
      </c>
      <c r="D1558" s="7" t="s">
        <v>207</v>
      </c>
      <c r="E1558" s="7" t="s">
        <v>180</v>
      </c>
      <c r="F1558" s="6" t="n">
        <v>3.53</v>
      </c>
      <c r="G1558" s="6" t="n">
        <v>0</v>
      </c>
      <c r="H1558" s="41" t="n">
        <v>16.65</v>
      </c>
      <c r="I1558" s="43" t="n">
        <f aca="false">F1558*H1558</f>
        <v>58.7745</v>
      </c>
      <c r="J1558" s="43" t="n">
        <f aca="false">G1558*H1558*1.5</f>
        <v>0</v>
      </c>
      <c r="K1558" s="6" t="n">
        <v>9.3</v>
      </c>
      <c r="L1558" s="43" t="n">
        <f aca="false">K1558*'Chart of Accounts'!$E$68</f>
        <v>6.231</v>
      </c>
      <c r="O1558" s="42" t="n">
        <f aca="false">I1558+J1558+L1558</f>
        <v>65.0055</v>
      </c>
    </row>
    <row r="1559" customFormat="false" ht="15" hidden="false" customHeight="false" outlineLevel="0" collapsed="false">
      <c r="B1559" s="7" t="s">
        <v>10192</v>
      </c>
      <c r="C1559" s="39" t="n">
        <v>45756</v>
      </c>
      <c r="D1559" s="7" t="s">
        <v>212</v>
      </c>
      <c r="E1559" s="7" t="s">
        <v>180</v>
      </c>
      <c r="F1559" s="6" t="n">
        <v>4.24</v>
      </c>
      <c r="G1559" s="6" t="n">
        <v>0</v>
      </c>
      <c r="H1559" s="41" t="n">
        <v>16.71</v>
      </c>
      <c r="I1559" s="43" t="n">
        <f aca="false">F1559*H1559</f>
        <v>70.8504</v>
      </c>
      <c r="J1559" s="43" t="n">
        <f aca="false">G1559*H1559*1.5</f>
        <v>0</v>
      </c>
      <c r="K1559" s="6" t="n">
        <v>13.45</v>
      </c>
      <c r="L1559" s="43" t="n">
        <f aca="false">K1559*'Chart of Accounts'!$E$68</f>
        <v>9.0115</v>
      </c>
      <c r="O1559" s="42" t="n">
        <f aca="false">I1559+J1559+L1559</f>
        <v>79.8619</v>
      </c>
    </row>
    <row r="1560" customFormat="false" ht="15" hidden="false" customHeight="false" outlineLevel="0" collapsed="false">
      <c r="B1560" s="7" t="s">
        <v>10193</v>
      </c>
      <c r="C1560" s="39" t="n">
        <v>45756</v>
      </c>
      <c r="D1560" s="7" t="s">
        <v>232</v>
      </c>
      <c r="E1560" s="7" t="s">
        <v>180</v>
      </c>
      <c r="F1560" s="6" t="n">
        <v>4.95</v>
      </c>
      <c r="G1560" s="6" t="n">
        <v>0</v>
      </c>
      <c r="H1560" s="41" t="n">
        <v>16.17</v>
      </c>
      <c r="I1560" s="43" t="n">
        <f aca="false">F1560*H1560</f>
        <v>80.0415</v>
      </c>
      <c r="J1560" s="43" t="n">
        <f aca="false">G1560*H1560*1.5</f>
        <v>0</v>
      </c>
      <c r="K1560" s="6" t="n">
        <v>14.95</v>
      </c>
      <c r="L1560" s="43" t="n">
        <f aca="false">K1560*'Chart of Accounts'!$E$68</f>
        <v>10.0165</v>
      </c>
      <c r="O1560" s="42" t="n">
        <f aca="false">I1560+J1560+L1560</f>
        <v>90.058</v>
      </c>
    </row>
    <row r="1561" customFormat="false" ht="15" hidden="false" customHeight="false" outlineLevel="0" collapsed="false">
      <c r="B1561" s="7" t="s">
        <v>10194</v>
      </c>
      <c r="C1561" s="39" t="n">
        <v>45756</v>
      </c>
      <c r="D1561" s="7" t="s">
        <v>224</v>
      </c>
      <c r="E1561" s="7" t="s">
        <v>180</v>
      </c>
      <c r="F1561" s="6" t="n">
        <v>4.39</v>
      </c>
      <c r="G1561" s="6" t="n">
        <v>0</v>
      </c>
      <c r="H1561" s="41" t="n">
        <v>14.93</v>
      </c>
      <c r="I1561" s="43" t="n">
        <f aca="false">F1561*H1561</f>
        <v>65.5427</v>
      </c>
      <c r="J1561" s="43" t="n">
        <f aca="false">G1561*H1561*1.5</f>
        <v>0</v>
      </c>
      <c r="K1561" s="6" t="n">
        <v>10.76</v>
      </c>
      <c r="L1561" s="43" t="n">
        <f aca="false">K1561*'Chart of Accounts'!$E$68</f>
        <v>7.2092</v>
      </c>
      <c r="O1561" s="42" t="n">
        <f aca="false">I1561+J1561+L1561</f>
        <v>72.7519</v>
      </c>
    </row>
    <row r="1562" customFormat="false" ht="15" hidden="false" customHeight="false" outlineLevel="0" collapsed="false">
      <c r="B1562" s="7" t="s">
        <v>10195</v>
      </c>
      <c r="C1562" s="39" t="n">
        <v>45756</v>
      </c>
      <c r="D1562" s="7" t="s">
        <v>246</v>
      </c>
      <c r="E1562" s="7" t="s">
        <v>180</v>
      </c>
      <c r="F1562" s="6" t="n">
        <v>3.96</v>
      </c>
      <c r="G1562" s="6" t="n">
        <v>0</v>
      </c>
      <c r="H1562" s="41" t="n">
        <v>16.48</v>
      </c>
      <c r="I1562" s="43" t="n">
        <f aca="false">F1562*H1562</f>
        <v>65.2608</v>
      </c>
      <c r="J1562" s="43" t="n">
        <f aca="false">G1562*H1562*1.5</f>
        <v>0</v>
      </c>
      <c r="K1562" s="6" t="n">
        <v>12.19</v>
      </c>
      <c r="L1562" s="43" t="n">
        <f aca="false">K1562*'Chart of Accounts'!$E$68</f>
        <v>8.1673</v>
      </c>
      <c r="O1562" s="42" t="n">
        <f aca="false">I1562+J1562+L1562</f>
        <v>73.4281</v>
      </c>
    </row>
    <row r="1563" customFormat="false" ht="15" hidden="false" customHeight="false" outlineLevel="0" collapsed="false">
      <c r="B1563" s="7" t="s">
        <v>10196</v>
      </c>
      <c r="C1563" s="39" t="n">
        <v>45756</v>
      </c>
      <c r="D1563" s="7" t="s">
        <v>222</v>
      </c>
      <c r="E1563" s="7" t="s">
        <v>180</v>
      </c>
      <c r="F1563" s="6" t="n">
        <v>3.61</v>
      </c>
      <c r="G1563" s="6" t="n">
        <v>0</v>
      </c>
      <c r="H1563" s="41" t="n">
        <v>17.84</v>
      </c>
      <c r="I1563" s="43" t="n">
        <f aca="false">F1563*H1563</f>
        <v>64.4024</v>
      </c>
      <c r="J1563" s="43" t="n">
        <f aca="false">G1563*H1563*1.5</f>
        <v>0</v>
      </c>
      <c r="K1563" s="6" t="n">
        <v>12.89</v>
      </c>
      <c r="L1563" s="43" t="n">
        <f aca="false">K1563*'Chart of Accounts'!$E$68</f>
        <v>8.6363</v>
      </c>
      <c r="O1563" s="42" t="n">
        <f aca="false">I1563+J1563+L1563</f>
        <v>73.0387</v>
      </c>
    </row>
    <row r="1564" customFormat="false" ht="15" hidden="false" customHeight="false" outlineLevel="0" collapsed="false">
      <c r="B1564" s="7" t="s">
        <v>10197</v>
      </c>
      <c r="C1564" s="39" t="n">
        <v>45756</v>
      </c>
      <c r="D1564" s="7" t="s">
        <v>203</v>
      </c>
      <c r="E1564" s="7" t="s">
        <v>158</v>
      </c>
      <c r="H1564" s="41" t="n">
        <v>49.43</v>
      </c>
      <c r="M1564" s="6" t="n">
        <v>1</v>
      </c>
      <c r="N1564" s="43" t="n">
        <f aca="false">M1564*H1564</f>
        <v>49.43</v>
      </c>
      <c r="O1564" s="42" t="n">
        <f aca="false">N1564</f>
        <v>49.43</v>
      </c>
    </row>
    <row r="1565" customFormat="false" ht="15" hidden="false" customHeight="false" outlineLevel="0" collapsed="false">
      <c r="B1565" s="7" t="s">
        <v>10198</v>
      </c>
      <c r="C1565" s="39" t="n">
        <v>45756</v>
      </c>
      <c r="D1565" s="7" t="s">
        <v>262</v>
      </c>
      <c r="E1565" s="7" t="s">
        <v>180</v>
      </c>
      <c r="F1565" s="6" t="n">
        <v>3.36</v>
      </c>
      <c r="G1565" s="6" t="n">
        <v>0</v>
      </c>
      <c r="H1565" s="41" t="n">
        <v>16.02</v>
      </c>
      <c r="I1565" s="43" t="n">
        <f aca="false">F1565*H1565</f>
        <v>53.8272</v>
      </c>
      <c r="J1565" s="43" t="n">
        <f aca="false">G1565*H1565*1.5</f>
        <v>0</v>
      </c>
      <c r="K1565" s="6" t="n">
        <v>8.4</v>
      </c>
      <c r="L1565" s="43" t="n">
        <f aca="false">K1565*'Chart of Accounts'!$E$68</f>
        <v>5.628</v>
      </c>
      <c r="O1565" s="42" t="n">
        <f aca="false">I1565+J1565+L1565</f>
        <v>59.4552</v>
      </c>
    </row>
    <row r="1566" customFormat="false" ht="15" hidden="false" customHeight="false" outlineLevel="0" collapsed="false">
      <c r="B1566" s="7" t="s">
        <v>10199</v>
      </c>
      <c r="C1566" s="39" t="n">
        <v>45756</v>
      </c>
      <c r="D1566" s="7" t="s">
        <v>214</v>
      </c>
      <c r="E1566" s="7" t="s">
        <v>180</v>
      </c>
      <c r="F1566" s="6" t="n">
        <v>3.35</v>
      </c>
      <c r="G1566" s="6" t="n">
        <v>0</v>
      </c>
      <c r="H1566" s="41" t="n">
        <v>15.67</v>
      </c>
      <c r="I1566" s="43" t="n">
        <f aca="false">F1566*H1566</f>
        <v>52.4945</v>
      </c>
      <c r="J1566" s="43" t="n">
        <f aca="false">G1566*H1566*1.5</f>
        <v>0</v>
      </c>
      <c r="K1566" s="6" t="n">
        <v>9.18</v>
      </c>
      <c r="L1566" s="43" t="n">
        <f aca="false">K1566*'Chart of Accounts'!$E$68</f>
        <v>6.1506</v>
      </c>
      <c r="O1566" s="42" t="n">
        <f aca="false">I1566+J1566+L1566</f>
        <v>58.6451</v>
      </c>
    </row>
    <row r="1567" customFormat="false" ht="15" hidden="false" customHeight="false" outlineLevel="0" collapsed="false">
      <c r="B1567" s="7" t="s">
        <v>10200</v>
      </c>
      <c r="C1567" s="39" t="n">
        <v>45757</v>
      </c>
      <c r="D1567" s="7" t="s">
        <v>191</v>
      </c>
      <c r="E1567" s="7" t="s">
        <v>180</v>
      </c>
      <c r="F1567" s="6" t="n">
        <v>3.95</v>
      </c>
      <c r="G1567" s="6" t="n">
        <v>0</v>
      </c>
      <c r="H1567" s="41" t="n">
        <v>16.05</v>
      </c>
      <c r="I1567" s="43" t="n">
        <f aca="false">F1567*H1567</f>
        <v>63.3975</v>
      </c>
      <c r="J1567" s="43" t="n">
        <f aca="false">G1567*H1567*1.5</f>
        <v>0</v>
      </c>
      <c r="K1567" s="6" t="n">
        <v>9.31</v>
      </c>
      <c r="L1567" s="43" t="n">
        <f aca="false">K1567*'Chart of Accounts'!$E$68</f>
        <v>6.2377</v>
      </c>
      <c r="O1567" s="42" t="n">
        <f aca="false">I1567+J1567+L1567</f>
        <v>69.6352</v>
      </c>
    </row>
    <row r="1568" customFormat="false" ht="15" hidden="false" customHeight="false" outlineLevel="0" collapsed="false">
      <c r="B1568" s="7" t="s">
        <v>10201</v>
      </c>
      <c r="C1568" s="39" t="n">
        <v>45757</v>
      </c>
      <c r="D1568" s="7" t="s">
        <v>201</v>
      </c>
      <c r="E1568" s="7" t="s">
        <v>180</v>
      </c>
      <c r="F1568" s="6" t="n">
        <v>5.66</v>
      </c>
      <c r="G1568" s="6" t="n">
        <v>0</v>
      </c>
      <c r="H1568" s="41" t="n">
        <v>15.19</v>
      </c>
      <c r="I1568" s="43" t="n">
        <f aca="false">F1568*H1568</f>
        <v>85.9754</v>
      </c>
      <c r="J1568" s="43" t="n">
        <f aca="false">G1568*H1568*1.5</f>
        <v>0</v>
      </c>
      <c r="K1568" s="6" t="n">
        <v>18.31</v>
      </c>
      <c r="L1568" s="43" t="n">
        <f aca="false">K1568*'Chart of Accounts'!$E$68</f>
        <v>12.2677</v>
      </c>
      <c r="O1568" s="42" t="n">
        <f aca="false">I1568+J1568+L1568</f>
        <v>98.2431</v>
      </c>
    </row>
    <row r="1569" customFormat="false" ht="15" hidden="false" customHeight="false" outlineLevel="0" collapsed="false">
      <c r="B1569" s="7" t="s">
        <v>10202</v>
      </c>
      <c r="C1569" s="39" t="n">
        <v>45757</v>
      </c>
      <c r="D1569" s="7" t="s">
        <v>196</v>
      </c>
      <c r="E1569" s="7" t="s">
        <v>180</v>
      </c>
      <c r="F1569" s="6" t="n">
        <v>6.2</v>
      </c>
      <c r="G1569" s="6" t="n">
        <v>0</v>
      </c>
      <c r="H1569" s="41" t="n">
        <v>15.05</v>
      </c>
      <c r="I1569" s="43" t="n">
        <f aca="false">F1569*H1569</f>
        <v>93.31</v>
      </c>
      <c r="J1569" s="43" t="n">
        <f aca="false">G1569*H1569*1.5</f>
        <v>0</v>
      </c>
      <c r="K1569" s="6" t="n">
        <v>17.79</v>
      </c>
      <c r="L1569" s="43" t="n">
        <f aca="false">K1569*'Chart of Accounts'!$E$68</f>
        <v>11.9193</v>
      </c>
      <c r="O1569" s="42" t="n">
        <f aca="false">I1569+J1569+L1569</f>
        <v>105.2293</v>
      </c>
    </row>
    <row r="1570" customFormat="false" ht="15" hidden="false" customHeight="false" outlineLevel="0" collapsed="false">
      <c r="B1570" s="7" t="s">
        <v>10203</v>
      </c>
      <c r="C1570" s="39" t="n">
        <v>45757</v>
      </c>
      <c r="D1570" s="7" t="s">
        <v>184</v>
      </c>
      <c r="E1570" s="7" t="s">
        <v>180</v>
      </c>
      <c r="F1570" s="6" t="n">
        <v>4.08</v>
      </c>
      <c r="G1570" s="6" t="n">
        <v>0</v>
      </c>
      <c r="H1570" s="41" t="n">
        <v>17.34</v>
      </c>
      <c r="I1570" s="43" t="n">
        <f aca="false">F1570*H1570</f>
        <v>70.7472</v>
      </c>
      <c r="J1570" s="43" t="n">
        <f aca="false">G1570*H1570*1.5</f>
        <v>0</v>
      </c>
      <c r="K1570" s="6" t="n">
        <v>13.73</v>
      </c>
      <c r="L1570" s="43" t="n">
        <f aca="false">K1570*'Chart of Accounts'!$E$68</f>
        <v>9.1991</v>
      </c>
      <c r="O1570" s="42" t="n">
        <f aca="false">I1570+J1570+L1570</f>
        <v>79.9463</v>
      </c>
    </row>
    <row r="1571" customFormat="false" ht="15" hidden="false" customHeight="false" outlineLevel="0" collapsed="false">
      <c r="B1571" s="7" t="s">
        <v>10204</v>
      </c>
      <c r="C1571" s="39" t="n">
        <v>45757</v>
      </c>
      <c r="D1571" s="7" t="s">
        <v>207</v>
      </c>
      <c r="E1571" s="7" t="s">
        <v>180</v>
      </c>
      <c r="F1571" s="6" t="n">
        <v>2.82</v>
      </c>
      <c r="G1571" s="6" t="n">
        <v>0</v>
      </c>
      <c r="H1571" s="41" t="n">
        <v>16.65</v>
      </c>
      <c r="I1571" s="43" t="n">
        <f aca="false">F1571*H1571</f>
        <v>46.953</v>
      </c>
      <c r="J1571" s="43" t="n">
        <f aca="false">G1571*H1571*1.5</f>
        <v>0</v>
      </c>
      <c r="K1571" s="6" t="n">
        <v>7.13</v>
      </c>
      <c r="L1571" s="43" t="n">
        <f aca="false">K1571*'Chart of Accounts'!$E$68</f>
        <v>4.7771</v>
      </c>
      <c r="O1571" s="42" t="n">
        <f aca="false">I1571+J1571+L1571</f>
        <v>51.7301</v>
      </c>
    </row>
    <row r="1572" customFormat="false" ht="15" hidden="false" customHeight="false" outlineLevel="0" collapsed="false">
      <c r="B1572" s="7" t="s">
        <v>10205</v>
      </c>
      <c r="C1572" s="39" t="n">
        <v>45757</v>
      </c>
      <c r="D1572" s="7" t="s">
        <v>218</v>
      </c>
      <c r="E1572" s="7" t="s">
        <v>180</v>
      </c>
      <c r="F1572" s="6" t="n">
        <v>3.97</v>
      </c>
      <c r="G1572" s="6" t="n">
        <v>0</v>
      </c>
      <c r="H1572" s="41" t="n">
        <v>16.19</v>
      </c>
      <c r="I1572" s="43" t="n">
        <f aca="false">F1572*H1572</f>
        <v>64.2743</v>
      </c>
      <c r="J1572" s="43" t="n">
        <f aca="false">G1572*H1572*1.5</f>
        <v>0</v>
      </c>
      <c r="K1572" s="6" t="n">
        <v>14.26</v>
      </c>
      <c r="L1572" s="43" t="n">
        <f aca="false">K1572*'Chart of Accounts'!$E$68</f>
        <v>9.5542</v>
      </c>
      <c r="O1572" s="42" t="n">
        <f aca="false">I1572+J1572+L1572</f>
        <v>73.8285</v>
      </c>
    </row>
    <row r="1573" customFormat="false" ht="15" hidden="false" customHeight="false" outlineLevel="0" collapsed="false">
      <c r="B1573" s="7" t="s">
        <v>10206</v>
      </c>
      <c r="C1573" s="39" t="n">
        <v>45757</v>
      </c>
      <c r="D1573" s="7" t="s">
        <v>212</v>
      </c>
      <c r="E1573" s="7" t="s">
        <v>180</v>
      </c>
      <c r="F1573" s="6" t="n">
        <v>7.44</v>
      </c>
      <c r="G1573" s="6" t="n">
        <v>0</v>
      </c>
      <c r="H1573" s="41" t="n">
        <v>16.71</v>
      </c>
      <c r="I1573" s="43" t="n">
        <f aca="false">F1573*H1573</f>
        <v>124.3224</v>
      </c>
      <c r="J1573" s="43" t="n">
        <f aca="false">G1573*H1573*1.5</f>
        <v>0</v>
      </c>
      <c r="K1573" s="6" t="n">
        <v>18.62</v>
      </c>
      <c r="L1573" s="43" t="n">
        <f aca="false">K1573*'Chart of Accounts'!$E$68</f>
        <v>12.4754</v>
      </c>
      <c r="O1573" s="42" t="n">
        <f aca="false">I1573+J1573+L1573</f>
        <v>136.7978</v>
      </c>
    </row>
    <row r="1574" customFormat="false" ht="15" hidden="false" customHeight="false" outlineLevel="0" collapsed="false">
      <c r="B1574" s="7" t="s">
        <v>10207</v>
      </c>
      <c r="C1574" s="39" t="n">
        <v>45757</v>
      </c>
      <c r="D1574" s="7" t="s">
        <v>220</v>
      </c>
      <c r="E1574" s="7" t="s">
        <v>180</v>
      </c>
      <c r="F1574" s="6" t="n">
        <v>3.71</v>
      </c>
      <c r="G1574" s="6" t="n">
        <v>0</v>
      </c>
      <c r="H1574" s="41" t="n">
        <v>16.43</v>
      </c>
      <c r="I1574" s="43" t="n">
        <f aca="false">F1574*H1574</f>
        <v>60.9553</v>
      </c>
      <c r="J1574" s="43" t="n">
        <f aca="false">G1574*H1574*1.5</f>
        <v>0</v>
      </c>
      <c r="K1574" s="6" t="n">
        <v>11.11</v>
      </c>
      <c r="L1574" s="43" t="n">
        <f aca="false">K1574*'Chart of Accounts'!$E$68</f>
        <v>7.4437</v>
      </c>
      <c r="O1574" s="42" t="n">
        <f aca="false">I1574+J1574+L1574</f>
        <v>68.399</v>
      </c>
    </row>
    <row r="1575" customFormat="false" ht="15" hidden="false" customHeight="false" outlineLevel="0" collapsed="false">
      <c r="B1575" s="7" t="s">
        <v>10208</v>
      </c>
      <c r="C1575" s="39" t="n">
        <v>45757</v>
      </c>
      <c r="D1575" s="7" t="s">
        <v>224</v>
      </c>
      <c r="E1575" s="7" t="s">
        <v>180</v>
      </c>
      <c r="F1575" s="6" t="n">
        <v>4.13</v>
      </c>
      <c r="G1575" s="6" t="n">
        <v>0</v>
      </c>
      <c r="H1575" s="41" t="n">
        <v>14.93</v>
      </c>
      <c r="I1575" s="43" t="n">
        <f aca="false">F1575*H1575</f>
        <v>61.6609</v>
      </c>
      <c r="J1575" s="43" t="n">
        <f aca="false">G1575*H1575*1.5</f>
        <v>0</v>
      </c>
      <c r="K1575" s="6" t="n">
        <v>10.84</v>
      </c>
      <c r="L1575" s="43" t="n">
        <f aca="false">K1575*'Chart of Accounts'!$E$68</f>
        <v>7.2628</v>
      </c>
      <c r="O1575" s="42" t="n">
        <f aca="false">I1575+J1575+L1575</f>
        <v>68.9237</v>
      </c>
    </row>
    <row r="1576" customFormat="false" ht="15" hidden="false" customHeight="false" outlineLevel="0" collapsed="false">
      <c r="B1576" s="7" t="s">
        <v>10209</v>
      </c>
      <c r="C1576" s="39" t="n">
        <v>45757</v>
      </c>
      <c r="D1576" s="7" t="s">
        <v>232</v>
      </c>
      <c r="E1576" s="7" t="s">
        <v>180</v>
      </c>
      <c r="F1576" s="6" t="n">
        <v>3.28</v>
      </c>
      <c r="G1576" s="6" t="n">
        <v>0</v>
      </c>
      <c r="H1576" s="41" t="n">
        <v>16.17</v>
      </c>
      <c r="I1576" s="43" t="n">
        <f aca="false">F1576*H1576</f>
        <v>53.0376</v>
      </c>
      <c r="J1576" s="43" t="n">
        <f aca="false">G1576*H1576*1.5</f>
        <v>0</v>
      </c>
      <c r="K1576" s="6" t="n">
        <v>9.18</v>
      </c>
      <c r="L1576" s="43" t="n">
        <f aca="false">K1576*'Chart of Accounts'!$E$68</f>
        <v>6.1506</v>
      </c>
      <c r="O1576" s="42" t="n">
        <f aca="false">I1576+J1576+L1576</f>
        <v>59.1882</v>
      </c>
    </row>
    <row r="1577" customFormat="false" ht="15" hidden="false" customHeight="false" outlineLevel="0" collapsed="false">
      <c r="B1577" s="7" t="s">
        <v>10210</v>
      </c>
      <c r="C1577" s="39" t="n">
        <v>45757</v>
      </c>
      <c r="D1577" s="7" t="s">
        <v>222</v>
      </c>
      <c r="E1577" s="7" t="s">
        <v>180</v>
      </c>
      <c r="F1577" s="6" t="n">
        <v>7.08</v>
      </c>
      <c r="G1577" s="6" t="n">
        <v>0</v>
      </c>
      <c r="H1577" s="41" t="n">
        <v>17.84</v>
      </c>
      <c r="I1577" s="43" t="n">
        <f aca="false">F1577*H1577</f>
        <v>126.3072</v>
      </c>
      <c r="J1577" s="43" t="n">
        <f aca="false">G1577*H1577*1.5</f>
        <v>0</v>
      </c>
      <c r="K1577" s="6" t="n">
        <v>24.63</v>
      </c>
      <c r="L1577" s="43" t="n">
        <f aca="false">K1577*'Chart of Accounts'!$E$68</f>
        <v>16.5021</v>
      </c>
      <c r="O1577" s="42" t="n">
        <f aca="false">I1577+J1577+L1577</f>
        <v>142.8093</v>
      </c>
    </row>
    <row r="1578" customFormat="false" ht="15" hidden="false" customHeight="false" outlineLevel="0" collapsed="false">
      <c r="B1578" s="7" t="s">
        <v>10211</v>
      </c>
      <c r="C1578" s="39" t="n">
        <v>45757</v>
      </c>
      <c r="D1578" s="7" t="s">
        <v>262</v>
      </c>
      <c r="E1578" s="7" t="s">
        <v>180</v>
      </c>
      <c r="F1578" s="6" t="n">
        <v>4.29</v>
      </c>
      <c r="G1578" s="6" t="n">
        <v>0</v>
      </c>
      <c r="H1578" s="41" t="n">
        <v>16.02</v>
      </c>
      <c r="I1578" s="43" t="n">
        <f aca="false">F1578*H1578</f>
        <v>68.7258</v>
      </c>
      <c r="J1578" s="43" t="n">
        <f aca="false">G1578*H1578*1.5</f>
        <v>0</v>
      </c>
      <c r="K1578" s="6" t="n">
        <v>11.08</v>
      </c>
      <c r="L1578" s="43" t="n">
        <f aca="false">K1578*'Chart of Accounts'!$E$68</f>
        <v>7.4236</v>
      </c>
      <c r="O1578" s="42" t="n">
        <f aca="false">I1578+J1578+L1578</f>
        <v>76.1494</v>
      </c>
    </row>
    <row r="1579" customFormat="false" ht="15" hidden="false" customHeight="false" outlineLevel="0" collapsed="false">
      <c r="B1579" s="7" t="s">
        <v>10212</v>
      </c>
      <c r="C1579" s="39" t="n">
        <v>45757</v>
      </c>
      <c r="D1579" s="7" t="s">
        <v>246</v>
      </c>
      <c r="E1579" s="7" t="s">
        <v>180</v>
      </c>
      <c r="F1579" s="6" t="n">
        <v>7.48</v>
      </c>
      <c r="G1579" s="6" t="n">
        <v>0</v>
      </c>
      <c r="H1579" s="41" t="n">
        <v>16.48</v>
      </c>
      <c r="I1579" s="43" t="n">
        <f aca="false">F1579*H1579</f>
        <v>123.2704</v>
      </c>
      <c r="J1579" s="43" t="n">
        <f aca="false">G1579*H1579*1.5</f>
        <v>0</v>
      </c>
      <c r="K1579" s="6" t="n">
        <v>21.64</v>
      </c>
      <c r="L1579" s="43" t="n">
        <f aca="false">K1579*'Chart of Accounts'!$E$68</f>
        <v>14.4988</v>
      </c>
      <c r="O1579" s="42" t="n">
        <f aca="false">I1579+J1579+L1579</f>
        <v>137.7692</v>
      </c>
    </row>
    <row r="1580" customFormat="false" ht="15" hidden="false" customHeight="false" outlineLevel="0" collapsed="false">
      <c r="B1580" s="7" t="s">
        <v>10213</v>
      </c>
      <c r="C1580" s="39" t="n">
        <v>45757</v>
      </c>
      <c r="D1580" s="7" t="s">
        <v>214</v>
      </c>
      <c r="E1580" s="7" t="s">
        <v>180</v>
      </c>
      <c r="F1580" s="6" t="n">
        <v>4.35</v>
      </c>
      <c r="G1580" s="6" t="n">
        <v>0</v>
      </c>
      <c r="H1580" s="41" t="n">
        <v>15.67</v>
      </c>
      <c r="I1580" s="43" t="n">
        <f aca="false">F1580*H1580</f>
        <v>68.1645</v>
      </c>
      <c r="J1580" s="43" t="n">
        <f aca="false">G1580*H1580*1.5</f>
        <v>0</v>
      </c>
      <c r="K1580" s="6" t="n">
        <v>13.97</v>
      </c>
      <c r="L1580" s="43" t="n">
        <f aca="false">K1580*'Chart of Accounts'!$E$68</f>
        <v>9.3599</v>
      </c>
      <c r="O1580" s="42" t="n">
        <f aca="false">I1580+J1580+L1580</f>
        <v>77.5244</v>
      </c>
    </row>
    <row r="1581" customFormat="false" ht="15" hidden="false" customHeight="false" outlineLevel="0" collapsed="false">
      <c r="B1581" s="7" t="s">
        <v>10214</v>
      </c>
      <c r="C1581" s="39" t="n">
        <v>45757</v>
      </c>
      <c r="D1581" s="7" t="s">
        <v>242</v>
      </c>
      <c r="E1581" s="7" t="s">
        <v>180</v>
      </c>
      <c r="F1581" s="6" t="n">
        <v>4.2</v>
      </c>
      <c r="G1581" s="6" t="n">
        <v>0</v>
      </c>
      <c r="H1581" s="41" t="n">
        <v>17.99</v>
      </c>
      <c r="I1581" s="43" t="n">
        <f aca="false">F1581*H1581</f>
        <v>75.558</v>
      </c>
      <c r="J1581" s="43" t="n">
        <f aca="false">G1581*H1581*1.5</f>
        <v>0</v>
      </c>
      <c r="K1581" s="6" t="n">
        <v>14.7</v>
      </c>
      <c r="L1581" s="43" t="n">
        <f aca="false">K1581*'Chart of Accounts'!$E$68</f>
        <v>9.849</v>
      </c>
      <c r="O1581" s="42" t="n">
        <f aca="false">I1581+J1581+L1581</f>
        <v>85.407</v>
      </c>
    </row>
    <row r="1582" customFormat="false" ht="15" hidden="false" customHeight="false" outlineLevel="0" collapsed="false">
      <c r="B1582" s="7" t="s">
        <v>10215</v>
      </c>
      <c r="C1582" s="39" t="n">
        <v>45757</v>
      </c>
      <c r="D1582" s="7" t="s">
        <v>254</v>
      </c>
      <c r="E1582" s="7" t="s">
        <v>180</v>
      </c>
      <c r="F1582" s="6" t="n">
        <v>3.72</v>
      </c>
      <c r="G1582" s="6" t="n">
        <v>0</v>
      </c>
      <c r="H1582" s="41" t="n">
        <v>17.1</v>
      </c>
      <c r="I1582" s="43" t="n">
        <f aca="false">F1582*H1582</f>
        <v>63.612</v>
      </c>
      <c r="J1582" s="43" t="n">
        <f aca="false">G1582*H1582*1.5</f>
        <v>0</v>
      </c>
      <c r="K1582" s="6" t="n">
        <v>9.21</v>
      </c>
      <c r="L1582" s="43" t="n">
        <f aca="false">K1582*'Chart of Accounts'!$E$68</f>
        <v>6.1707</v>
      </c>
      <c r="O1582" s="42" t="n">
        <f aca="false">I1582+J1582+L1582</f>
        <v>69.7827</v>
      </c>
    </row>
    <row r="1583" customFormat="false" ht="15" hidden="false" customHeight="false" outlineLevel="0" collapsed="false">
      <c r="B1583" s="7" t="s">
        <v>10216</v>
      </c>
      <c r="C1583" s="39" t="n">
        <v>45758</v>
      </c>
      <c r="D1583" s="7" t="s">
        <v>187</v>
      </c>
      <c r="E1583" s="7" t="s">
        <v>158</v>
      </c>
      <c r="H1583" s="41" t="n">
        <v>66.48</v>
      </c>
      <c r="M1583" s="6" t="n">
        <v>1</v>
      </c>
      <c r="N1583" s="43" t="n">
        <f aca="false">M1583*H1583</f>
        <v>66.48</v>
      </c>
      <c r="O1583" s="42" t="n">
        <f aca="false">N1583</f>
        <v>66.48</v>
      </c>
    </row>
    <row r="1584" customFormat="false" ht="15" hidden="false" customHeight="false" outlineLevel="0" collapsed="false">
      <c r="B1584" s="7" t="s">
        <v>10217</v>
      </c>
      <c r="C1584" s="39" t="n">
        <v>45758</v>
      </c>
      <c r="D1584" s="7" t="s">
        <v>191</v>
      </c>
      <c r="E1584" s="7" t="s">
        <v>180</v>
      </c>
      <c r="F1584" s="6" t="n">
        <v>3.99</v>
      </c>
      <c r="G1584" s="6" t="n">
        <v>0</v>
      </c>
      <c r="H1584" s="41" t="n">
        <v>16.05</v>
      </c>
      <c r="I1584" s="43" t="n">
        <f aca="false">F1584*H1584</f>
        <v>64.0395</v>
      </c>
      <c r="J1584" s="43" t="n">
        <f aca="false">G1584*H1584*1.5</f>
        <v>0</v>
      </c>
      <c r="K1584" s="6" t="n">
        <v>12.95</v>
      </c>
      <c r="L1584" s="43" t="n">
        <f aca="false">K1584*'Chart of Accounts'!$E$68</f>
        <v>8.6765</v>
      </c>
      <c r="O1584" s="42" t="n">
        <f aca="false">I1584+J1584+L1584</f>
        <v>72.716</v>
      </c>
    </row>
    <row r="1585" customFormat="false" ht="15" hidden="false" customHeight="false" outlineLevel="0" collapsed="false">
      <c r="B1585" s="7" t="s">
        <v>10218</v>
      </c>
      <c r="C1585" s="39" t="n">
        <v>45758</v>
      </c>
      <c r="D1585" s="7" t="s">
        <v>194</v>
      </c>
      <c r="E1585" s="7" t="s">
        <v>180</v>
      </c>
      <c r="F1585" s="6" t="n">
        <v>4.5</v>
      </c>
      <c r="G1585" s="6" t="n">
        <v>0</v>
      </c>
      <c r="H1585" s="41" t="n">
        <v>16</v>
      </c>
      <c r="I1585" s="43" t="n">
        <f aca="false">F1585*H1585</f>
        <v>72</v>
      </c>
      <c r="J1585" s="43" t="n">
        <f aca="false">G1585*H1585*1.5</f>
        <v>0</v>
      </c>
      <c r="K1585" s="6" t="n">
        <v>13.43</v>
      </c>
      <c r="L1585" s="43" t="n">
        <f aca="false">K1585*'Chart of Accounts'!$E$68</f>
        <v>8.9981</v>
      </c>
      <c r="O1585" s="42" t="n">
        <f aca="false">I1585+J1585+L1585</f>
        <v>80.9981</v>
      </c>
    </row>
    <row r="1586" customFormat="false" ht="15" hidden="false" customHeight="false" outlineLevel="0" collapsed="false">
      <c r="B1586" s="7" t="s">
        <v>10219</v>
      </c>
      <c r="C1586" s="39" t="n">
        <v>45758</v>
      </c>
      <c r="D1586" s="7" t="s">
        <v>209</v>
      </c>
      <c r="E1586" s="7" t="s">
        <v>158</v>
      </c>
      <c r="H1586" s="41" t="n">
        <v>73.58</v>
      </c>
      <c r="M1586" s="6" t="n">
        <v>2</v>
      </c>
      <c r="N1586" s="43" t="n">
        <f aca="false">M1586*H1586</f>
        <v>147.16</v>
      </c>
      <c r="O1586" s="42" t="n">
        <f aca="false">N1586</f>
        <v>147.16</v>
      </c>
    </row>
    <row r="1587" customFormat="false" ht="15" hidden="false" customHeight="false" outlineLevel="0" collapsed="false">
      <c r="B1587" s="7" t="s">
        <v>10220</v>
      </c>
      <c r="C1587" s="39" t="n">
        <v>45758</v>
      </c>
      <c r="D1587" s="7" t="s">
        <v>205</v>
      </c>
      <c r="E1587" s="7" t="s">
        <v>180</v>
      </c>
      <c r="F1587" s="6" t="n">
        <v>3.89</v>
      </c>
      <c r="G1587" s="6" t="n">
        <v>0</v>
      </c>
      <c r="H1587" s="41" t="n">
        <v>16.36</v>
      </c>
      <c r="I1587" s="43" t="n">
        <f aca="false">F1587*H1587</f>
        <v>63.6404</v>
      </c>
      <c r="J1587" s="43" t="n">
        <f aca="false">G1587*H1587*1.5</f>
        <v>0</v>
      </c>
      <c r="K1587" s="6" t="n">
        <v>10.46</v>
      </c>
      <c r="L1587" s="43" t="n">
        <f aca="false">K1587*'Chart of Accounts'!$E$68</f>
        <v>7.0082</v>
      </c>
      <c r="O1587" s="42" t="n">
        <f aca="false">I1587+J1587+L1587</f>
        <v>70.6486</v>
      </c>
    </row>
    <row r="1588" customFormat="false" ht="15" hidden="false" customHeight="false" outlineLevel="0" collapsed="false">
      <c r="B1588" s="7" t="s">
        <v>10221</v>
      </c>
      <c r="C1588" s="39" t="n">
        <v>45758</v>
      </c>
      <c r="D1588" s="7" t="s">
        <v>264</v>
      </c>
      <c r="E1588" s="7" t="s">
        <v>158</v>
      </c>
      <c r="H1588" s="41" t="n">
        <v>55.55</v>
      </c>
      <c r="M1588" s="6" t="n">
        <v>1</v>
      </c>
      <c r="N1588" s="43" t="n">
        <f aca="false">M1588*H1588</f>
        <v>55.55</v>
      </c>
      <c r="O1588" s="42" t="n">
        <f aca="false">N1588</f>
        <v>55.55</v>
      </c>
    </row>
    <row r="1589" customFormat="false" ht="15" hidden="false" customHeight="false" outlineLevel="0" collapsed="false">
      <c r="B1589" s="7" t="s">
        <v>10222</v>
      </c>
      <c r="C1589" s="39" t="n">
        <v>45758</v>
      </c>
      <c r="D1589" s="7" t="s">
        <v>252</v>
      </c>
      <c r="E1589" s="7" t="s">
        <v>158</v>
      </c>
      <c r="H1589" s="41" t="n">
        <v>57.54</v>
      </c>
      <c r="M1589" s="6" t="n">
        <v>1</v>
      </c>
      <c r="N1589" s="43" t="n">
        <f aca="false">M1589*H1589</f>
        <v>57.54</v>
      </c>
      <c r="O1589" s="42" t="n">
        <f aca="false">N1589</f>
        <v>57.54</v>
      </c>
    </row>
    <row r="1590" customFormat="false" ht="15" hidden="false" customHeight="false" outlineLevel="0" collapsed="false">
      <c r="B1590" s="7" t="s">
        <v>10223</v>
      </c>
      <c r="C1590" s="39" t="n">
        <v>45758</v>
      </c>
      <c r="D1590" s="7" t="s">
        <v>184</v>
      </c>
      <c r="E1590" s="7" t="s">
        <v>180</v>
      </c>
      <c r="F1590" s="6" t="n">
        <v>4.15</v>
      </c>
      <c r="G1590" s="6" t="n">
        <v>0</v>
      </c>
      <c r="H1590" s="41" t="n">
        <v>17.34</v>
      </c>
      <c r="I1590" s="43" t="n">
        <f aca="false">F1590*H1590</f>
        <v>71.961</v>
      </c>
      <c r="J1590" s="43" t="n">
        <f aca="false">G1590*H1590*1.5</f>
        <v>0</v>
      </c>
      <c r="K1590" s="6" t="n">
        <v>12.19</v>
      </c>
      <c r="L1590" s="43" t="n">
        <f aca="false">K1590*'Chart of Accounts'!$E$68</f>
        <v>8.1673</v>
      </c>
      <c r="O1590" s="42" t="n">
        <f aca="false">I1590+J1590+L1590</f>
        <v>80.1283</v>
      </c>
    </row>
    <row r="1591" customFormat="false" ht="15" hidden="false" customHeight="false" outlineLevel="0" collapsed="false">
      <c r="B1591" s="7" t="s">
        <v>10224</v>
      </c>
      <c r="C1591" s="39" t="n">
        <v>45758</v>
      </c>
      <c r="D1591" s="7" t="s">
        <v>234</v>
      </c>
      <c r="E1591" s="7" t="s">
        <v>158</v>
      </c>
      <c r="H1591" s="41" t="n">
        <v>89.53</v>
      </c>
      <c r="M1591" s="6" t="n">
        <v>2</v>
      </c>
      <c r="N1591" s="43" t="n">
        <f aca="false">M1591*H1591</f>
        <v>179.06</v>
      </c>
      <c r="O1591" s="42" t="n">
        <f aca="false">N1591</f>
        <v>179.06</v>
      </c>
    </row>
    <row r="1592" customFormat="false" ht="15" hidden="false" customHeight="false" outlineLevel="0" collapsed="false">
      <c r="B1592" s="7" t="s">
        <v>10225</v>
      </c>
      <c r="C1592" s="39" t="n">
        <v>45758</v>
      </c>
      <c r="D1592" s="7" t="s">
        <v>218</v>
      </c>
      <c r="E1592" s="7" t="s">
        <v>180</v>
      </c>
      <c r="F1592" s="6" t="n">
        <v>3.89</v>
      </c>
      <c r="G1592" s="6" t="n">
        <v>0</v>
      </c>
      <c r="H1592" s="41" t="n">
        <v>16.19</v>
      </c>
      <c r="I1592" s="43" t="n">
        <f aca="false">F1592*H1592</f>
        <v>62.9791</v>
      </c>
      <c r="J1592" s="43" t="n">
        <f aca="false">G1592*H1592*1.5</f>
        <v>0</v>
      </c>
      <c r="K1592" s="6" t="n">
        <v>13.23</v>
      </c>
      <c r="L1592" s="43" t="n">
        <f aca="false">K1592*'Chart of Accounts'!$E$68</f>
        <v>8.8641</v>
      </c>
      <c r="O1592" s="42" t="n">
        <f aca="false">I1592+J1592+L1592</f>
        <v>71.8432</v>
      </c>
    </row>
    <row r="1593" customFormat="false" ht="15" hidden="false" customHeight="false" outlineLevel="0" collapsed="false">
      <c r="B1593" s="7" t="s">
        <v>10226</v>
      </c>
      <c r="C1593" s="39" t="n">
        <v>45758</v>
      </c>
      <c r="D1593" s="7" t="s">
        <v>266</v>
      </c>
      <c r="E1593" s="7" t="s">
        <v>158</v>
      </c>
      <c r="H1593" s="41" t="n">
        <v>75.18</v>
      </c>
      <c r="M1593" s="6" t="n">
        <v>1</v>
      </c>
      <c r="N1593" s="43" t="n">
        <f aca="false">M1593*H1593</f>
        <v>75.18</v>
      </c>
      <c r="O1593" s="42" t="n">
        <f aca="false">N1593</f>
        <v>75.18</v>
      </c>
    </row>
    <row r="1594" customFormat="false" ht="15" hidden="false" customHeight="false" outlineLevel="0" collapsed="false">
      <c r="B1594" s="7" t="s">
        <v>10227</v>
      </c>
      <c r="C1594" s="39" t="n">
        <v>45758</v>
      </c>
      <c r="D1594" s="7" t="s">
        <v>228</v>
      </c>
      <c r="E1594" s="7" t="s">
        <v>158</v>
      </c>
      <c r="H1594" s="41" t="n">
        <v>51.07</v>
      </c>
      <c r="M1594" s="6" t="n">
        <v>1</v>
      </c>
      <c r="N1594" s="43" t="n">
        <f aca="false">M1594*H1594</f>
        <v>51.07</v>
      </c>
      <c r="O1594" s="42" t="n">
        <f aca="false">N1594</f>
        <v>51.07</v>
      </c>
    </row>
    <row r="1595" customFormat="false" ht="15" hidden="false" customHeight="false" outlineLevel="0" collapsed="false">
      <c r="B1595" s="7" t="s">
        <v>10228</v>
      </c>
      <c r="C1595" s="39" t="n">
        <v>45758</v>
      </c>
      <c r="D1595" s="7" t="s">
        <v>220</v>
      </c>
      <c r="E1595" s="7" t="s">
        <v>180</v>
      </c>
      <c r="F1595" s="6" t="n">
        <v>3.8</v>
      </c>
      <c r="G1595" s="6" t="n">
        <v>0</v>
      </c>
      <c r="H1595" s="41" t="n">
        <v>16.43</v>
      </c>
      <c r="I1595" s="43" t="n">
        <f aca="false">F1595*H1595</f>
        <v>62.434</v>
      </c>
      <c r="J1595" s="43" t="n">
        <f aca="false">G1595*H1595*1.5</f>
        <v>0</v>
      </c>
      <c r="K1595" s="6" t="n">
        <v>13.52</v>
      </c>
      <c r="L1595" s="43" t="n">
        <f aca="false">K1595*'Chart of Accounts'!$E$68</f>
        <v>9.0584</v>
      </c>
      <c r="O1595" s="42" t="n">
        <f aca="false">I1595+J1595+L1595</f>
        <v>71.4924</v>
      </c>
    </row>
    <row r="1596" customFormat="false" ht="15" hidden="false" customHeight="false" outlineLevel="0" collapsed="false">
      <c r="B1596" s="7" t="s">
        <v>10229</v>
      </c>
      <c r="C1596" s="39" t="n">
        <v>45758</v>
      </c>
      <c r="D1596" s="7" t="s">
        <v>177</v>
      </c>
      <c r="E1596" s="7" t="s">
        <v>180</v>
      </c>
      <c r="F1596" s="6" t="n">
        <v>8.2</v>
      </c>
      <c r="G1596" s="6" t="n">
        <v>0</v>
      </c>
      <c r="H1596" s="41" t="n">
        <v>14.56</v>
      </c>
      <c r="I1596" s="43" t="n">
        <f aca="false">F1596*H1596</f>
        <v>119.392</v>
      </c>
      <c r="J1596" s="43" t="n">
        <f aca="false">G1596*H1596*1.5</f>
        <v>0</v>
      </c>
      <c r="K1596" s="6" t="n">
        <v>20.84</v>
      </c>
      <c r="L1596" s="43" t="n">
        <f aca="false">K1596*'Chart of Accounts'!$E$68</f>
        <v>13.9628</v>
      </c>
      <c r="O1596" s="42" t="n">
        <f aca="false">I1596+J1596+L1596</f>
        <v>133.3548</v>
      </c>
    </row>
    <row r="1597" customFormat="false" ht="15" hidden="false" customHeight="false" outlineLevel="0" collapsed="false">
      <c r="B1597" s="7" t="s">
        <v>10230</v>
      </c>
      <c r="C1597" s="39" t="n">
        <v>45758</v>
      </c>
      <c r="D1597" s="7" t="s">
        <v>242</v>
      </c>
      <c r="E1597" s="7" t="s">
        <v>180</v>
      </c>
      <c r="F1597" s="6" t="n">
        <v>7.87</v>
      </c>
      <c r="G1597" s="6" t="n">
        <v>0</v>
      </c>
      <c r="H1597" s="41" t="n">
        <v>17.99</v>
      </c>
      <c r="I1597" s="43" t="n">
        <f aca="false">F1597*H1597</f>
        <v>141.5813</v>
      </c>
      <c r="J1597" s="43" t="n">
        <f aca="false">G1597*H1597*1.5</f>
        <v>0</v>
      </c>
      <c r="K1597" s="6" t="n">
        <v>24.16</v>
      </c>
      <c r="L1597" s="43" t="n">
        <f aca="false">K1597*'Chart of Accounts'!$E$68</f>
        <v>16.1872</v>
      </c>
      <c r="O1597" s="42" t="n">
        <f aca="false">I1597+J1597+L1597</f>
        <v>157.7685</v>
      </c>
    </row>
    <row r="1598" customFormat="false" ht="15" hidden="false" customHeight="false" outlineLevel="0" collapsed="false">
      <c r="B1598" s="7" t="s">
        <v>10231</v>
      </c>
      <c r="C1598" s="39" t="n">
        <v>45758</v>
      </c>
      <c r="D1598" s="7" t="s">
        <v>254</v>
      </c>
      <c r="E1598" s="7" t="s">
        <v>180</v>
      </c>
      <c r="F1598" s="6" t="n">
        <v>7.66</v>
      </c>
      <c r="G1598" s="6" t="n">
        <v>0</v>
      </c>
      <c r="H1598" s="41" t="n">
        <v>17.1</v>
      </c>
      <c r="I1598" s="43" t="n">
        <f aca="false">F1598*H1598</f>
        <v>130.986</v>
      </c>
      <c r="J1598" s="43" t="n">
        <f aca="false">G1598*H1598*1.5</f>
        <v>0</v>
      </c>
      <c r="K1598" s="6" t="n">
        <v>26.14</v>
      </c>
      <c r="L1598" s="43" t="n">
        <f aca="false">K1598*'Chart of Accounts'!$E$68</f>
        <v>17.5138</v>
      </c>
      <c r="O1598" s="42" t="n">
        <f aca="false">I1598+J1598+L1598</f>
        <v>148.4998</v>
      </c>
    </row>
    <row r="1599" customFormat="false" ht="15" hidden="false" customHeight="false" outlineLevel="0" collapsed="false">
      <c r="B1599" s="7" t="s">
        <v>10232</v>
      </c>
      <c r="C1599" s="39" t="n">
        <v>45758</v>
      </c>
      <c r="D1599" s="7" t="s">
        <v>201</v>
      </c>
      <c r="E1599" s="7" t="s">
        <v>180</v>
      </c>
      <c r="F1599" s="6" t="n">
        <v>3.58</v>
      </c>
      <c r="G1599" s="6" t="n">
        <v>0</v>
      </c>
      <c r="H1599" s="41" t="n">
        <v>15.19</v>
      </c>
      <c r="I1599" s="43" t="n">
        <f aca="false">F1599*H1599</f>
        <v>54.3802</v>
      </c>
      <c r="J1599" s="43" t="n">
        <f aca="false">G1599*H1599*1.5</f>
        <v>0</v>
      </c>
      <c r="K1599" s="6" t="n">
        <v>11.18</v>
      </c>
      <c r="L1599" s="43" t="n">
        <f aca="false">K1599*'Chart of Accounts'!$E$68</f>
        <v>7.4906</v>
      </c>
      <c r="O1599" s="42" t="n">
        <f aca="false">I1599+J1599+L1599</f>
        <v>61.8708</v>
      </c>
    </row>
    <row r="1600" customFormat="false" ht="15" hidden="false" customHeight="false" outlineLevel="0" collapsed="false">
      <c r="B1600" s="7" t="s">
        <v>10233</v>
      </c>
      <c r="C1600" s="39" t="n">
        <v>45758</v>
      </c>
      <c r="D1600" s="7" t="s">
        <v>207</v>
      </c>
      <c r="E1600" s="7" t="s">
        <v>180</v>
      </c>
      <c r="F1600" s="6" t="n">
        <v>3.31</v>
      </c>
      <c r="G1600" s="6" t="n">
        <v>0</v>
      </c>
      <c r="H1600" s="41" t="n">
        <v>16.65</v>
      </c>
      <c r="I1600" s="43" t="n">
        <f aca="false">F1600*H1600</f>
        <v>55.1115</v>
      </c>
      <c r="J1600" s="43" t="n">
        <f aca="false">G1600*H1600*1.5</f>
        <v>0</v>
      </c>
      <c r="K1600" s="6" t="n">
        <v>9.08</v>
      </c>
      <c r="L1600" s="43" t="n">
        <f aca="false">K1600*'Chart of Accounts'!$E$68</f>
        <v>6.0836</v>
      </c>
      <c r="O1600" s="42" t="n">
        <f aca="false">I1600+J1600+L1600</f>
        <v>61.1951</v>
      </c>
    </row>
    <row r="1601" customFormat="false" ht="15" hidden="false" customHeight="false" outlineLevel="0" collapsed="false">
      <c r="B1601" s="7" t="s">
        <v>10234</v>
      </c>
      <c r="C1601" s="39" t="n">
        <v>45758</v>
      </c>
      <c r="D1601" s="7" t="s">
        <v>212</v>
      </c>
      <c r="E1601" s="7" t="s">
        <v>180</v>
      </c>
      <c r="F1601" s="6" t="n">
        <v>4.17</v>
      </c>
      <c r="G1601" s="6" t="n">
        <v>0</v>
      </c>
      <c r="H1601" s="41" t="n">
        <v>16.71</v>
      </c>
      <c r="I1601" s="43" t="n">
        <f aca="false">F1601*H1601</f>
        <v>69.6807</v>
      </c>
      <c r="J1601" s="43" t="n">
        <f aca="false">G1601*H1601*1.5</f>
        <v>0</v>
      </c>
      <c r="K1601" s="6" t="n">
        <v>11.82</v>
      </c>
      <c r="L1601" s="43" t="n">
        <f aca="false">K1601*'Chart of Accounts'!$E$68</f>
        <v>7.9194</v>
      </c>
      <c r="O1601" s="42" t="n">
        <f aca="false">I1601+J1601+L1601</f>
        <v>77.6001</v>
      </c>
    </row>
    <row r="1602" customFormat="false" ht="15" hidden="false" customHeight="false" outlineLevel="0" collapsed="false">
      <c r="B1602" s="7" t="s">
        <v>10235</v>
      </c>
      <c r="C1602" s="39" t="n">
        <v>45758</v>
      </c>
      <c r="D1602" s="7" t="s">
        <v>232</v>
      </c>
      <c r="E1602" s="7" t="s">
        <v>180</v>
      </c>
      <c r="F1602" s="6" t="n">
        <v>4.53</v>
      </c>
      <c r="G1602" s="6" t="n">
        <v>0</v>
      </c>
      <c r="H1602" s="41" t="n">
        <v>16.17</v>
      </c>
      <c r="I1602" s="43" t="n">
        <f aca="false">F1602*H1602</f>
        <v>73.2501</v>
      </c>
      <c r="J1602" s="43" t="n">
        <f aca="false">G1602*H1602*1.5</f>
        <v>0</v>
      </c>
      <c r="K1602" s="6" t="n">
        <v>10.55</v>
      </c>
      <c r="L1602" s="43" t="n">
        <f aca="false">K1602*'Chart of Accounts'!$E$68</f>
        <v>7.0685</v>
      </c>
      <c r="O1602" s="42" t="n">
        <f aca="false">I1602+J1602+L1602</f>
        <v>80.3186</v>
      </c>
    </row>
    <row r="1603" customFormat="false" ht="15" hidden="false" customHeight="false" outlineLevel="0" collapsed="false">
      <c r="B1603" s="7" t="s">
        <v>10236</v>
      </c>
      <c r="C1603" s="39" t="n">
        <v>45758</v>
      </c>
      <c r="D1603" s="7" t="s">
        <v>224</v>
      </c>
      <c r="E1603" s="7" t="s">
        <v>180</v>
      </c>
      <c r="F1603" s="6" t="n">
        <v>4.89</v>
      </c>
      <c r="G1603" s="6" t="n">
        <v>0</v>
      </c>
      <c r="H1603" s="41" t="n">
        <v>14.93</v>
      </c>
      <c r="I1603" s="43" t="n">
        <f aca="false">F1603*H1603</f>
        <v>73.0077</v>
      </c>
      <c r="J1603" s="43" t="n">
        <f aca="false">G1603*H1603*1.5</f>
        <v>0</v>
      </c>
      <c r="K1603" s="6" t="n">
        <v>15.56</v>
      </c>
      <c r="L1603" s="43" t="n">
        <f aca="false">K1603*'Chart of Accounts'!$E$68</f>
        <v>10.4252</v>
      </c>
      <c r="O1603" s="42" t="n">
        <f aca="false">I1603+J1603+L1603</f>
        <v>83.4329</v>
      </c>
    </row>
    <row r="1604" customFormat="false" ht="15" hidden="false" customHeight="false" outlineLevel="0" collapsed="false">
      <c r="B1604" s="7" t="s">
        <v>10237</v>
      </c>
      <c r="C1604" s="39" t="n">
        <v>45758</v>
      </c>
      <c r="D1604" s="7" t="s">
        <v>238</v>
      </c>
      <c r="E1604" s="7" t="s">
        <v>180</v>
      </c>
      <c r="F1604" s="6" t="n">
        <v>4.23</v>
      </c>
      <c r="G1604" s="6" t="n">
        <v>0</v>
      </c>
      <c r="H1604" s="41" t="n">
        <v>15.85</v>
      </c>
      <c r="I1604" s="43" t="n">
        <f aca="false">F1604*H1604</f>
        <v>67.0455</v>
      </c>
      <c r="J1604" s="43" t="n">
        <f aca="false">G1604*H1604*1.5</f>
        <v>0</v>
      </c>
      <c r="K1604" s="6" t="n">
        <v>15.17</v>
      </c>
      <c r="L1604" s="43" t="n">
        <f aca="false">K1604*'Chart of Accounts'!$E$68</f>
        <v>10.1639</v>
      </c>
      <c r="O1604" s="42" t="n">
        <f aca="false">I1604+J1604+L1604</f>
        <v>77.2094</v>
      </c>
    </row>
    <row r="1605" customFormat="false" ht="15" hidden="false" customHeight="false" outlineLevel="0" collapsed="false">
      <c r="B1605" s="7" t="s">
        <v>10238</v>
      </c>
      <c r="C1605" s="39" t="n">
        <v>45758</v>
      </c>
      <c r="D1605" s="7" t="s">
        <v>246</v>
      </c>
      <c r="E1605" s="7" t="s">
        <v>180</v>
      </c>
      <c r="F1605" s="6" t="n">
        <v>4.1</v>
      </c>
      <c r="G1605" s="6" t="n">
        <v>0</v>
      </c>
      <c r="H1605" s="41" t="n">
        <v>16.48</v>
      </c>
      <c r="I1605" s="43" t="n">
        <f aca="false">F1605*H1605</f>
        <v>67.568</v>
      </c>
      <c r="J1605" s="43" t="n">
        <f aca="false">G1605*H1605*1.5</f>
        <v>0</v>
      </c>
      <c r="K1605" s="6" t="n">
        <v>14.52</v>
      </c>
      <c r="L1605" s="43" t="n">
        <f aca="false">K1605*'Chart of Accounts'!$E$68</f>
        <v>9.7284</v>
      </c>
      <c r="O1605" s="42" t="n">
        <f aca="false">I1605+J1605+L1605</f>
        <v>77.2964</v>
      </c>
    </row>
    <row r="1606" customFormat="false" ht="15" hidden="false" customHeight="false" outlineLevel="0" collapsed="false">
      <c r="B1606" s="7" t="s">
        <v>10239</v>
      </c>
      <c r="C1606" s="39" t="n">
        <v>45758</v>
      </c>
      <c r="D1606" s="7" t="s">
        <v>222</v>
      </c>
      <c r="E1606" s="7" t="s">
        <v>180</v>
      </c>
      <c r="F1606" s="6" t="n">
        <v>3.73</v>
      </c>
      <c r="G1606" s="6" t="n">
        <v>0</v>
      </c>
      <c r="H1606" s="41" t="n">
        <v>17.84</v>
      </c>
      <c r="I1606" s="43" t="n">
        <f aca="false">F1606*H1606</f>
        <v>66.5432</v>
      </c>
      <c r="J1606" s="43" t="n">
        <f aca="false">G1606*H1606*1.5</f>
        <v>0</v>
      </c>
      <c r="K1606" s="6" t="n">
        <v>9.63</v>
      </c>
      <c r="L1606" s="43" t="n">
        <f aca="false">K1606*'Chart of Accounts'!$E$68</f>
        <v>6.4521</v>
      </c>
      <c r="O1606" s="42" t="n">
        <f aca="false">I1606+J1606+L1606</f>
        <v>72.9953</v>
      </c>
    </row>
    <row r="1607" customFormat="false" ht="15" hidden="false" customHeight="false" outlineLevel="0" collapsed="false">
      <c r="B1607" s="7" t="s">
        <v>10240</v>
      </c>
      <c r="C1607" s="39" t="n">
        <v>45758</v>
      </c>
      <c r="D1607" s="7" t="s">
        <v>203</v>
      </c>
      <c r="E1607" s="7" t="s">
        <v>158</v>
      </c>
      <c r="H1607" s="41" t="n">
        <v>49.43</v>
      </c>
      <c r="M1607" s="6" t="n">
        <v>1</v>
      </c>
      <c r="N1607" s="43" t="n">
        <f aca="false">M1607*H1607</f>
        <v>49.43</v>
      </c>
      <c r="O1607" s="42" t="n">
        <f aca="false">N1607</f>
        <v>49.43</v>
      </c>
    </row>
    <row r="1608" customFormat="false" ht="15" hidden="false" customHeight="false" outlineLevel="0" collapsed="false">
      <c r="B1608" s="7" t="s">
        <v>10241</v>
      </c>
      <c r="C1608" s="39" t="n">
        <v>45758</v>
      </c>
      <c r="D1608" s="7" t="s">
        <v>262</v>
      </c>
      <c r="E1608" s="7" t="s">
        <v>180</v>
      </c>
      <c r="F1608" s="6" t="n">
        <v>3.32</v>
      </c>
      <c r="G1608" s="6" t="n">
        <v>0</v>
      </c>
      <c r="H1608" s="41" t="n">
        <v>16.02</v>
      </c>
      <c r="I1608" s="43" t="n">
        <f aca="false">F1608*H1608</f>
        <v>53.1864</v>
      </c>
      <c r="J1608" s="43" t="n">
        <f aca="false">G1608*H1608*1.5</f>
        <v>0</v>
      </c>
      <c r="K1608" s="6" t="n">
        <v>8.24</v>
      </c>
      <c r="L1608" s="43" t="n">
        <f aca="false">K1608*'Chart of Accounts'!$E$68</f>
        <v>5.5208</v>
      </c>
      <c r="O1608" s="42" t="n">
        <f aca="false">I1608+J1608+L1608</f>
        <v>58.7072</v>
      </c>
    </row>
    <row r="1609" customFormat="false" ht="15" hidden="false" customHeight="false" outlineLevel="0" collapsed="false">
      <c r="B1609" s="7" t="s">
        <v>10242</v>
      </c>
      <c r="C1609" s="39" t="n">
        <v>45758</v>
      </c>
      <c r="D1609" s="7" t="s">
        <v>260</v>
      </c>
      <c r="E1609" s="7" t="s">
        <v>158</v>
      </c>
      <c r="H1609" s="41" t="n">
        <v>79.8</v>
      </c>
      <c r="M1609" s="6" t="n">
        <v>1</v>
      </c>
      <c r="N1609" s="43" t="n">
        <f aca="false">M1609*H1609</f>
        <v>79.8</v>
      </c>
      <c r="O1609" s="42" t="n">
        <f aca="false">N1609</f>
        <v>79.8</v>
      </c>
    </row>
    <row r="1610" customFormat="false" ht="15" hidden="false" customHeight="false" outlineLevel="0" collapsed="false">
      <c r="B1610" s="7" t="s">
        <v>10243</v>
      </c>
      <c r="C1610" s="39" t="n">
        <v>45758</v>
      </c>
      <c r="D1610" s="7" t="s">
        <v>214</v>
      </c>
      <c r="E1610" s="7" t="s">
        <v>180</v>
      </c>
      <c r="F1610" s="6" t="n">
        <v>3.58</v>
      </c>
      <c r="G1610" s="6" t="n">
        <v>0</v>
      </c>
      <c r="H1610" s="41" t="n">
        <v>15.67</v>
      </c>
      <c r="I1610" s="43" t="n">
        <f aca="false">F1610*H1610</f>
        <v>56.0986</v>
      </c>
      <c r="J1610" s="43" t="n">
        <f aca="false">G1610*H1610*1.5</f>
        <v>0</v>
      </c>
      <c r="K1610" s="6" t="n">
        <v>8.5</v>
      </c>
      <c r="L1610" s="43" t="n">
        <f aca="false">K1610*'Chart of Accounts'!$E$68</f>
        <v>5.695</v>
      </c>
      <c r="O1610" s="42" t="n">
        <f aca="false">I1610+J1610+L1610</f>
        <v>61.7936</v>
      </c>
    </row>
    <row r="1611" customFormat="false" ht="15" hidden="false" customHeight="false" outlineLevel="0" collapsed="false">
      <c r="B1611" s="7" t="s">
        <v>10244</v>
      </c>
      <c r="C1611" s="39" t="n">
        <v>45759</v>
      </c>
      <c r="D1611" s="7" t="s">
        <v>191</v>
      </c>
      <c r="E1611" s="7" t="s">
        <v>180</v>
      </c>
      <c r="F1611" s="6" t="n">
        <v>4.12</v>
      </c>
      <c r="G1611" s="6" t="n">
        <v>0</v>
      </c>
      <c r="H1611" s="41" t="n">
        <v>16.05</v>
      </c>
      <c r="I1611" s="43" t="n">
        <f aca="false">F1611*H1611</f>
        <v>66.126</v>
      </c>
      <c r="J1611" s="43" t="n">
        <f aca="false">G1611*H1611*1.5</f>
        <v>0</v>
      </c>
      <c r="K1611" s="6" t="n">
        <v>13.48</v>
      </c>
      <c r="L1611" s="43" t="n">
        <f aca="false">K1611*'Chart of Accounts'!$E$68</f>
        <v>9.0316</v>
      </c>
      <c r="O1611" s="42" t="n">
        <f aca="false">I1611+J1611+L1611</f>
        <v>75.1576</v>
      </c>
    </row>
    <row r="1612" customFormat="false" ht="15" hidden="false" customHeight="false" outlineLevel="0" collapsed="false">
      <c r="B1612" s="7" t="s">
        <v>10245</v>
      </c>
      <c r="C1612" s="39" t="n">
        <v>45759</v>
      </c>
      <c r="D1612" s="7" t="s">
        <v>218</v>
      </c>
      <c r="E1612" s="7" t="s">
        <v>180</v>
      </c>
      <c r="F1612" s="6" t="n">
        <v>4.38</v>
      </c>
      <c r="G1612" s="6" t="n">
        <v>0</v>
      </c>
      <c r="H1612" s="41" t="n">
        <v>16.19</v>
      </c>
      <c r="I1612" s="43" t="n">
        <f aca="false">F1612*H1612</f>
        <v>70.9122</v>
      </c>
      <c r="J1612" s="43" t="n">
        <f aca="false">G1612*H1612*1.5</f>
        <v>0</v>
      </c>
      <c r="K1612" s="6" t="n">
        <v>15.26</v>
      </c>
      <c r="L1612" s="43" t="n">
        <f aca="false">K1612*'Chart of Accounts'!$E$68</f>
        <v>10.2242</v>
      </c>
      <c r="O1612" s="42" t="n">
        <f aca="false">I1612+J1612+L1612</f>
        <v>81.1364</v>
      </c>
    </row>
    <row r="1613" customFormat="false" ht="15" hidden="false" customHeight="false" outlineLevel="0" collapsed="false">
      <c r="B1613" s="7" t="s">
        <v>10246</v>
      </c>
      <c r="C1613" s="39" t="n">
        <v>45759</v>
      </c>
      <c r="D1613" s="7" t="s">
        <v>212</v>
      </c>
      <c r="E1613" s="7" t="s">
        <v>180</v>
      </c>
      <c r="F1613" s="6" t="n">
        <v>3.74</v>
      </c>
      <c r="G1613" s="6" t="n">
        <v>0</v>
      </c>
      <c r="H1613" s="41" t="n">
        <v>16.71</v>
      </c>
      <c r="I1613" s="43" t="n">
        <f aca="false">F1613*H1613</f>
        <v>62.4954</v>
      </c>
      <c r="J1613" s="43" t="n">
        <f aca="false">G1613*H1613*1.5</f>
        <v>0</v>
      </c>
      <c r="K1613" s="6" t="n">
        <v>10.27</v>
      </c>
      <c r="L1613" s="43" t="n">
        <f aca="false">K1613*'Chart of Accounts'!$E$68</f>
        <v>6.8809</v>
      </c>
      <c r="O1613" s="42" t="n">
        <f aca="false">I1613+J1613+L1613</f>
        <v>69.3763</v>
      </c>
    </row>
    <row r="1614" customFormat="false" ht="15" hidden="false" customHeight="false" outlineLevel="0" collapsed="false">
      <c r="B1614" s="7" t="s">
        <v>10247</v>
      </c>
      <c r="C1614" s="39" t="n">
        <v>45759</v>
      </c>
      <c r="D1614" s="7" t="s">
        <v>222</v>
      </c>
      <c r="E1614" s="7" t="s">
        <v>180</v>
      </c>
      <c r="F1614" s="6" t="n">
        <v>3.81</v>
      </c>
      <c r="G1614" s="6" t="n">
        <v>0</v>
      </c>
      <c r="H1614" s="41" t="n">
        <v>17.84</v>
      </c>
      <c r="I1614" s="43" t="n">
        <f aca="false">F1614*H1614</f>
        <v>67.9704</v>
      </c>
      <c r="J1614" s="43" t="n">
        <f aca="false">G1614*H1614*1.5</f>
        <v>0</v>
      </c>
      <c r="K1614" s="6" t="n">
        <v>13.38</v>
      </c>
      <c r="L1614" s="43" t="n">
        <f aca="false">K1614*'Chart of Accounts'!$E$68</f>
        <v>8.9646</v>
      </c>
      <c r="O1614" s="42" t="n">
        <f aca="false">I1614+J1614+L1614</f>
        <v>76.935</v>
      </c>
    </row>
    <row r="1615" customFormat="false" ht="15" hidden="false" customHeight="false" outlineLevel="0" collapsed="false">
      <c r="B1615" s="7" t="s">
        <v>10248</v>
      </c>
      <c r="C1615" s="39" t="n">
        <v>45759</v>
      </c>
      <c r="D1615" s="7" t="s">
        <v>242</v>
      </c>
      <c r="E1615" s="7" t="s">
        <v>180</v>
      </c>
      <c r="F1615" s="6" t="n">
        <v>4.36</v>
      </c>
      <c r="G1615" s="6" t="n">
        <v>0</v>
      </c>
      <c r="H1615" s="41" t="n">
        <v>17.99</v>
      </c>
      <c r="I1615" s="43" t="n">
        <f aca="false">F1615*H1615</f>
        <v>78.4364</v>
      </c>
      <c r="J1615" s="43" t="n">
        <f aca="false">G1615*H1615*1.5</f>
        <v>0</v>
      </c>
      <c r="K1615" s="6" t="n">
        <v>12.22</v>
      </c>
      <c r="L1615" s="43" t="n">
        <f aca="false">K1615*'Chart of Accounts'!$E$68</f>
        <v>8.1874</v>
      </c>
      <c r="O1615" s="42" t="n">
        <f aca="false">I1615+J1615+L1615</f>
        <v>86.6238</v>
      </c>
    </row>
    <row r="1616" customFormat="false" ht="15" hidden="false" customHeight="false" outlineLevel="0" collapsed="false">
      <c r="B1616" s="7" t="s">
        <v>10249</v>
      </c>
      <c r="C1616" s="39" t="n">
        <v>45759</v>
      </c>
      <c r="D1616" s="7" t="s">
        <v>254</v>
      </c>
      <c r="E1616" s="7" t="s">
        <v>180</v>
      </c>
      <c r="F1616" s="6" t="n">
        <v>3.95</v>
      </c>
      <c r="G1616" s="6" t="n">
        <v>0</v>
      </c>
      <c r="H1616" s="41" t="n">
        <v>17.1</v>
      </c>
      <c r="I1616" s="43" t="n">
        <f aca="false">F1616*H1616</f>
        <v>67.545</v>
      </c>
      <c r="J1616" s="43" t="n">
        <f aca="false">G1616*H1616*1.5</f>
        <v>0</v>
      </c>
      <c r="K1616" s="6" t="n">
        <v>10.71</v>
      </c>
      <c r="L1616" s="43" t="n">
        <f aca="false">K1616*'Chart of Accounts'!$E$68</f>
        <v>7.1757</v>
      </c>
      <c r="O1616" s="42" t="n">
        <f aca="false">I1616+J1616+L1616</f>
        <v>74.7207</v>
      </c>
    </row>
    <row r="1617" customFormat="false" ht="15" hidden="false" customHeight="false" outlineLevel="0" collapsed="false">
      <c r="B1617" s="7" t="s">
        <v>10250</v>
      </c>
      <c r="C1617" s="39" t="n">
        <v>45760</v>
      </c>
      <c r="D1617" s="7" t="s">
        <v>191</v>
      </c>
      <c r="E1617" s="7" t="s">
        <v>180</v>
      </c>
      <c r="F1617" s="6" t="n">
        <v>4.14</v>
      </c>
      <c r="G1617" s="6" t="n">
        <v>0</v>
      </c>
      <c r="H1617" s="41" t="n">
        <v>16.05</v>
      </c>
      <c r="I1617" s="43" t="n">
        <f aca="false">F1617*H1617</f>
        <v>66.447</v>
      </c>
      <c r="J1617" s="43" t="n">
        <f aca="false">G1617*H1617*1.5</f>
        <v>0</v>
      </c>
      <c r="K1617" s="6" t="n">
        <v>12.35</v>
      </c>
      <c r="L1617" s="43" t="n">
        <f aca="false">K1617*'Chart of Accounts'!$E$68</f>
        <v>8.2745</v>
      </c>
      <c r="O1617" s="42" t="n">
        <f aca="false">I1617+J1617+L1617</f>
        <v>74.7215</v>
      </c>
    </row>
    <row r="1618" customFormat="false" ht="15" hidden="false" customHeight="false" outlineLevel="0" collapsed="false">
      <c r="B1618" s="7" t="s">
        <v>10251</v>
      </c>
      <c r="C1618" s="39" t="n">
        <v>45760</v>
      </c>
      <c r="D1618" s="7" t="s">
        <v>218</v>
      </c>
      <c r="E1618" s="7" t="s">
        <v>180</v>
      </c>
      <c r="F1618" s="6" t="n">
        <v>3.75</v>
      </c>
      <c r="G1618" s="6" t="n">
        <v>0</v>
      </c>
      <c r="H1618" s="41" t="n">
        <v>16.19</v>
      </c>
      <c r="I1618" s="43" t="n">
        <f aca="false">F1618*H1618</f>
        <v>60.7125</v>
      </c>
      <c r="J1618" s="43" t="n">
        <f aca="false">G1618*H1618*1.5</f>
        <v>0</v>
      </c>
      <c r="K1618" s="6" t="n">
        <v>8.78</v>
      </c>
      <c r="L1618" s="43" t="n">
        <f aca="false">K1618*'Chart of Accounts'!$E$68</f>
        <v>5.8826</v>
      </c>
      <c r="O1618" s="42" t="n">
        <f aca="false">I1618+J1618+L1618</f>
        <v>66.5951</v>
      </c>
    </row>
    <row r="1619" customFormat="false" ht="15" hidden="false" customHeight="false" outlineLevel="0" collapsed="false">
      <c r="B1619" s="7" t="s">
        <v>10252</v>
      </c>
      <c r="C1619" s="39" t="n">
        <v>45760</v>
      </c>
      <c r="D1619" s="7" t="s">
        <v>212</v>
      </c>
      <c r="E1619" s="7" t="s">
        <v>180</v>
      </c>
      <c r="F1619" s="6" t="n">
        <v>3.83</v>
      </c>
      <c r="G1619" s="6" t="n">
        <v>0</v>
      </c>
      <c r="H1619" s="41" t="n">
        <v>16.71</v>
      </c>
      <c r="I1619" s="43" t="n">
        <f aca="false">F1619*H1619</f>
        <v>63.9993</v>
      </c>
      <c r="J1619" s="43" t="n">
        <f aca="false">G1619*H1619*1.5</f>
        <v>0</v>
      </c>
      <c r="K1619" s="6" t="n">
        <v>13.11</v>
      </c>
      <c r="L1619" s="43" t="n">
        <f aca="false">K1619*'Chart of Accounts'!$E$68</f>
        <v>8.7837</v>
      </c>
      <c r="O1619" s="42" t="n">
        <f aca="false">I1619+J1619+L1619</f>
        <v>72.783</v>
      </c>
    </row>
    <row r="1620" customFormat="false" ht="15" hidden="false" customHeight="false" outlineLevel="0" collapsed="false">
      <c r="B1620" s="7" t="s">
        <v>10253</v>
      </c>
      <c r="C1620" s="39" t="n">
        <v>45760</v>
      </c>
      <c r="D1620" s="7" t="s">
        <v>222</v>
      </c>
      <c r="E1620" s="7" t="s">
        <v>180</v>
      </c>
      <c r="F1620" s="6" t="n">
        <v>4.29</v>
      </c>
      <c r="G1620" s="6" t="n">
        <v>0</v>
      </c>
      <c r="H1620" s="41" t="n">
        <v>17.84</v>
      </c>
      <c r="I1620" s="43" t="n">
        <f aca="false">F1620*H1620</f>
        <v>76.5336</v>
      </c>
      <c r="J1620" s="43" t="n">
        <f aca="false">G1620*H1620*1.5</f>
        <v>0</v>
      </c>
      <c r="K1620" s="6" t="n">
        <v>14.39</v>
      </c>
      <c r="L1620" s="43" t="n">
        <f aca="false">K1620*'Chart of Accounts'!$E$68</f>
        <v>9.6413</v>
      </c>
      <c r="O1620" s="42" t="n">
        <f aca="false">I1620+J1620+L1620</f>
        <v>86.1749</v>
      </c>
    </row>
    <row r="1621" customFormat="false" ht="15" hidden="false" customHeight="false" outlineLevel="0" collapsed="false">
      <c r="B1621" s="7" t="s">
        <v>10254</v>
      </c>
      <c r="C1621" s="39" t="n">
        <v>45760</v>
      </c>
      <c r="D1621" s="7" t="s">
        <v>242</v>
      </c>
      <c r="E1621" s="7" t="s">
        <v>180</v>
      </c>
      <c r="F1621" s="6" t="n">
        <v>3.83</v>
      </c>
      <c r="G1621" s="6" t="n">
        <v>0</v>
      </c>
      <c r="H1621" s="41" t="n">
        <v>17.99</v>
      </c>
      <c r="I1621" s="43" t="n">
        <f aca="false">F1621*H1621</f>
        <v>68.9017</v>
      </c>
      <c r="J1621" s="43" t="n">
        <f aca="false">G1621*H1621*1.5</f>
        <v>0</v>
      </c>
      <c r="K1621" s="6" t="n">
        <v>10.91</v>
      </c>
      <c r="L1621" s="43" t="n">
        <f aca="false">K1621*'Chart of Accounts'!$E$68</f>
        <v>7.3097</v>
      </c>
      <c r="O1621" s="42" t="n">
        <f aca="false">I1621+J1621+L1621</f>
        <v>76.2114</v>
      </c>
    </row>
    <row r="1622" customFormat="false" ht="15" hidden="false" customHeight="false" outlineLevel="0" collapsed="false">
      <c r="B1622" s="7" t="s">
        <v>10255</v>
      </c>
      <c r="C1622" s="39" t="n">
        <v>45760</v>
      </c>
      <c r="D1622" s="7" t="s">
        <v>254</v>
      </c>
      <c r="E1622" s="7" t="s">
        <v>180</v>
      </c>
      <c r="F1622" s="6" t="n">
        <v>3.93</v>
      </c>
      <c r="G1622" s="6" t="n">
        <v>0</v>
      </c>
      <c r="H1622" s="41" t="n">
        <v>17.1</v>
      </c>
      <c r="I1622" s="43" t="n">
        <f aca="false">F1622*H1622</f>
        <v>67.203</v>
      </c>
      <c r="J1622" s="43" t="n">
        <f aca="false">G1622*H1622*1.5</f>
        <v>0</v>
      </c>
      <c r="K1622" s="6" t="n">
        <v>9.34</v>
      </c>
      <c r="L1622" s="43" t="n">
        <f aca="false">K1622*'Chart of Accounts'!$E$68</f>
        <v>6.2578</v>
      </c>
      <c r="O1622" s="42" t="n">
        <f aca="false">I1622+J1622+L1622</f>
        <v>73.4608</v>
      </c>
    </row>
    <row r="1623" customFormat="false" ht="15" hidden="false" customHeight="false" outlineLevel="0" collapsed="false">
      <c r="B1623" s="7" t="s">
        <v>10256</v>
      </c>
      <c r="C1623" s="39" t="n">
        <v>45761</v>
      </c>
      <c r="D1623" s="7" t="s">
        <v>187</v>
      </c>
      <c r="E1623" s="7" t="s">
        <v>158</v>
      </c>
      <c r="H1623" s="41" t="n">
        <v>66.48</v>
      </c>
      <c r="M1623" s="6" t="n">
        <v>1</v>
      </c>
      <c r="N1623" s="43" t="n">
        <f aca="false">M1623*H1623</f>
        <v>66.48</v>
      </c>
      <c r="O1623" s="42" t="n">
        <f aca="false">N1623</f>
        <v>66.48</v>
      </c>
    </row>
    <row r="1624" customFormat="false" ht="15" hidden="false" customHeight="false" outlineLevel="0" collapsed="false">
      <c r="B1624" s="7" t="s">
        <v>10257</v>
      </c>
      <c r="C1624" s="39" t="n">
        <v>45761</v>
      </c>
      <c r="D1624" s="7" t="s">
        <v>191</v>
      </c>
      <c r="E1624" s="7" t="s">
        <v>180</v>
      </c>
      <c r="F1624" s="6" t="n">
        <v>3.9</v>
      </c>
      <c r="G1624" s="6" t="n">
        <v>0</v>
      </c>
      <c r="H1624" s="41" t="n">
        <v>16.05</v>
      </c>
      <c r="I1624" s="43" t="n">
        <f aca="false">F1624*H1624</f>
        <v>62.595</v>
      </c>
      <c r="J1624" s="43" t="n">
        <f aca="false">G1624*H1624*1.5</f>
        <v>0</v>
      </c>
      <c r="K1624" s="6" t="n">
        <v>13.39</v>
      </c>
      <c r="L1624" s="43" t="n">
        <f aca="false">K1624*'Chart of Accounts'!$E$68</f>
        <v>8.9713</v>
      </c>
      <c r="O1624" s="42" t="n">
        <f aca="false">I1624+J1624+L1624</f>
        <v>71.5663</v>
      </c>
    </row>
    <row r="1625" customFormat="false" ht="15" hidden="false" customHeight="false" outlineLevel="0" collapsed="false">
      <c r="B1625" s="7" t="s">
        <v>10258</v>
      </c>
      <c r="C1625" s="39" t="n">
        <v>45761</v>
      </c>
      <c r="D1625" s="7" t="s">
        <v>194</v>
      </c>
      <c r="E1625" s="7" t="s">
        <v>180</v>
      </c>
      <c r="F1625" s="6" t="n">
        <v>4.21</v>
      </c>
      <c r="G1625" s="6" t="n">
        <v>0</v>
      </c>
      <c r="H1625" s="41" t="n">
        <v>16</v>
      </c>
      <c r="I1625" s="43" t="n">
        <f aca="false">F1625*H1625</f>
        <v>67.36</v>
      </c>
      <c r="J1625" s="43" t="n">
        <f aca="false">G1625*H1625*1.5</f>
        <v>0</v>
      </c>
      <c r="K1625" s="6" t="n">
        <v>9.98</v>
      </c>
      <c r="L1625" s="43" t="n">
        <f aca="false">K1625*'Chart of Accounts'!$E$68</f>
        <v>6.6866</v>
      </c>
      <c r="O1625" s="42" t="n">
        <f aca="false">I1625+J1625+L1625</f>
        <v>74.0466</v>
      </c>
    </row>
    <row r="1626" customFormat="false" ht="15" hidden="false" customHeight="false" outlineLevel="0" collapsed="false">
      <c r="B1626" s="7" t="s">
        <v>10259</v>
      </c>
      <c r="C1626" s="39" t="n">
        <v>45761</v>
      </c>
      <c r="D1626" s="7" t="s">
        <v>201</v>
      </c>
      <c r="E1626" s="7" t="s">
        <v>180</v>
      </c>
      <c r="F1626" s="6" t="n">
        <v>9.46</v>
      </c>
      <c r="G1626" s="6" t="n">
        <v>0</v>
      </c>
      <c r="H1626" s="41" t="n">
        <v>15.19</v>
      </c>
      <c r="I1626" s="43" t="n">
        <f aca="false">F1626*H1626</f>
        <v>143.6974</v>
      </c>
      <c r="J1626" s="43" t="n">
        <f aca="false">G1626*H1626*1.5</f>
        <v>0</v>
      </c>
      <c r="K1626" s="6" t="n">
        <v>22.62</v>
      </c>
      <c r="L1626" s="43" t="n">
        <f aca="false">K1626*'Chart of Accounts'!$E$68</f>
        <v>15.1554</v>
      </c>
      <c r="O1626" s="42" t="n">
        <f aca="false">I1626+J1626+L1626</f>
        <v>158.8528</v>
      </c>
    </row>
    <row r="1627" customFormat="false" ht="15" hidden="false" customHeight="false" outlineLevel="0" collapsed="false">
      <c r="B1627" s="7" t="s">
        <v>10260</v>
      </c>
      <c r="C1627" s="39" t="n">
        <v>45761</v>
      </c>
      <c r="D1627" s="7" t="s">
        <v>205</v>
      </c>
      <c r="E1627" s="7" t="s">
        <v>180</v>
      </c>
      <c r="F1627" s="6" t="n">
        <v>4.17</v>
      </c>
      <c r="G1627" s="6" t="n">
        <v>0</v>
      </c>
      <c r="H1627" s="41" t="n">
        <v>16.36</v>
      </c>
      <c r="I1627" s="43" t="n">
        <f aca="false">F1627*H1627</f>
        <v>68.2212</v>
      </c>
      <c r="J1627" s="43" t="n">
        <f aca="false">G1627*H1627*1.5</f>
        <v>0</v>
      </c>
      <c r="K1627" s="6" t="n">
        <v>9.32</v>
      </c>
      <c r="L1627" s="43" t="n">
        <f aca="false">K1627*'Chart of Accounts'!$E$68</f>
        <v>6.2444</v>
      </c>
      <c r="O1627" s="42" t="n">
        <f aca="false">I1627+J1627+L1627</f>
        <v>74.4656</v>
      </c>
    </row>
    <row r="1628" customFormat="false" ht="15" hidden="false" customHeight="false" outlineLevel="0" collapsed="false">
      <c r="B1628" s="7" t="s">
        <v>10261</v>
      </c>
      <c r="C1628" s="39" t="n">
        <v>45761</v>
      </c>
      <c r="D1628" s="7" t="s">
        <v>264</v>
      </c>
      <c r="E1628" s="7" t="s">
        <v>158</v>
      </c>
      <c r="H1628" s="41" t="n">
        <v>55.55</v>
      </c>
      <c r="M1628" s="6" t="n">
        <v>1</v>
      </c>
      <c r="N1628" s="43" t="n">
        <f aca="false">M1628*H1628</f>
        <v>55.55</v>
      </c>
      <c r="O1628" s="42" t="n">
        <f aca="false">N1628</f>
        <v>55.55</v>
      </c>
    </row>
    <row r="1629" customFormat="false" ht="15" hidden="false" customHeight="false" outlineLevel="0" collapsed="false">
      <c r="B1629" s="7" t="s">
        <v>10262</v>
      </c>
      <c r="C1629" s="39" t="n">
        <v>45761</v>
      </c>
      <c r="D1629" s="7" t="s">
        <v>252</v>
      </c>
      <c r="E1629" s="7" t="s">
        <v>158</v>
      </c>
      <c r="H1629" s="41" t="n">
        <v>57.54</v>
      </c>
      <c r="M1629" s="6" t="n">
        <v>1</v>
      </c>
      <c r="N1629" s="43" t="n">
        <f aca="false">M1629*H1629</f>
        <v>57.54</v>
      </c>
      <c r="O1629" s="42" t="n">
        <f aca="false">N1629</f>
        <v>57.54</v>
      </c>
    </row>
    <row r="1630" customFormat="false" ht="15" hidden="false" customHeight="false" outlineLevel="0" collapsed="false">
      <c r="B1630" s="7" t="s">
        <v>10263</v>
      </c>
      <c r="C1630" s="39" t="n">
        <v>45761</v>
      </c>
      <c r="D1630" s="7" t="s">
        <v>196</v>
      </c>
      <c r="E1630" s="7" t="s">
        <v>180</v>
      </c>
      <c r="F1630" s="6" t="n">
        <v>6.48</v>
      </c>
      <c r="G1630" s="6" t="n">
        <v>0</v>
      </c>
      <c r="H1630" s="41" t="n">
        <v>15.05</v>
      </c>
      <c r="I1630" s="43" t="n">
        <f aca="false">F1630*H1630</f>
        <v>97.524</v>
      </c>
      <c r="J1630" s="43" t="n">
        <f aca="false">G1630*H1630*1.5</f>
        <v>0</v>
      </c>
      <c r="K1630" s="6" t="n">
        <v>20.58</v>
      </c>
      <c r="L1630" s="43" t="n">
        <f aca="false">K1630*'Chart of Accounts'!$E$68</f>
        <v>13.7886</v>
      </c>
      <c r="O1630" s="42" t="n">
        <f aca="false">I1630+J1630+L1630</f>
        <v>111.3126</v>
      </c>
    </row>
    <row r="1631" customFormat="false" ht="15" hidden="false" customHeight="false" outlineLevel="0" collapsed="false">
      <c r="B1631" s="7" t="s">
        <v>10264</v>
      </c>
      <c r="C1631" s="39" t="n">
        <v>45761</v>
      </c>
      <c r="D1631" s="7" t="s">
        <v>184</v>
      </c>
      <c r="E1631" s="7" t="s">
        <v>180</v>
      </c>
      <c r="F1631" s="6" t="n">
        <v>4.2</v>
      </c>
      <c r="G1631" s="6" t="n">
        <v>0</v>
      </c>
      <c r="H1631" s="41" t="n">
        <v>17.34</v>
      </c>
      <c r="I1631" s="43" t="n">
        <f aca="false">F1631*H1631</f>
        <v>72.828</v>
      </c>
      <c r="J1631" s="43" t="n">
        <f aca="false">G1631*H1631*1.5</f>
        <v>0</v>
      </c>
      <c r="K1631" s="6" t="n">
        <v>12.69</v>
      </c>
      <c r="L1631" s="43" t="n">
        <f aca="false">K1631*'Chart of Accounts'!$E$68</f>
        <v>8.5023</v>
      </c>
      <c r="O1631" s="42" t="n">
        <f aca="false">I1631+J1631+L1631</f>
        <v>81.3303</v>
      </c>
    </row>
    <row r="1632" customFormat="false" ht="15" hidden="false" customHeight="false" outlineLevel="0" collapsed="false">
      <c r="B1632" s="7" t="s">
        <v>10265</v>
      </c>
      <c r="C1632" s="39" t="n">
        <v>45761</v>
      </c>
      <c r="D1632" s="7" t="s">
        <v>207</v>
      </c>
      <c r="E1632" s="7" t="s">
        <v>180</v>
      </c>
      <c r="F1632" s="6" t="n">
        <v>6.09</v>
      </c>
      <c r="G1632" s="6" t="n">
        <v>0</v>
      </c>
      <c r="H1632" s="41" t="n">
        <v>16.65</v>
      </c>
      <c r="I1632" s="43" t="n">
        <f aca="false">F1632*H1632</f>
        <v>101.3985</v>
      </c>
      <c r="J1632" s="43" t="n">
        <f aca="false">G1632*H1632*1.5</f>
        <v>0</v>
      </c>
      <c r="K1632" s="6" t="n">
        <v>18.62</v>
      </c>
      <c r="L1632" s="43" t="n">
        <f aca="false">K1632*'Chart of Accounts'!$E$68</f>
        <v>12.4754</v>
      </c>
      <c r="O1632" s="42" t="n">
        <f aca="false">I1632+J1632+L1632</f>
        <v>113.8739</v>
      </c>
    </row>
    <row r="1633" customFormat="false" ht="15" hidden="false" customHeight="false" outlineLevel="0" collapsed="false">
      <c r="B1633" s="7" t="s">
        <v>10266</v>
      </c>
      <c r="C1633" s="39" t="n">
        <v>45761</v>
      </c>
      <c r="D1633" s="7" t="s">
        <v>218</v>
      </c>
      <c r="E1633" s="7" t="s">
        <v>180</v>
      </c>
      <c r="F1633" s="6" t="n">
        <v>3.9</v>
      </c>
      <c r="G1633" s="6" t="n">
        <v>0</v>
      </c>
      <c r="H1633" s="41" t="n">
        <v>16.19</v>
      </c>
      <c r="I1633" s="43" t="n">
        <f aca="false">F1633*H1633</f>
        <v>63.141</v>
      </c>
      <c r="J1633" s="43" t="n">
        <f aca="false">G1633*H1633*1.5</f>
        <v>0</v>
      </c>
      <c r="K1633" s="6" t="n">
        <v>13.68</v>
      </c>
      <c r="L1633" s="43" t="n">
        <f aca="false">K1633*'Chart of Accounts'!$E$68</f>
        <v>9.1656</v>
      </c>
      <c r="O1633" s="42" t="n">
        <f aca="false">I1633+J1633+L1633</f>
        <v>72.3066</v>
      </c>
    </row>
    <row r="1634" customFormat="false" ht="15" hidden="false" customHeight="false" outlineLevel="0" collapsed="false">
      <c r="B1634" s="7" t="s">
        <v>10267</v>
      </c>
      <c r="C1634" s="39" t="n">
        <v>45761</v>
      </c>
      <c r="D1634" s="7" t="s">
        <v>212</v>
      </c>
      <c r="E1634" s="7" t="s">
        <v>180</v>
      </c>
      <c r="F1634" s="6" t="n">
        <v>7</v>
      </c>
      <c r="G1634" s="6" t="n">
        <v>0</v>
      </c>
      <c r="H1634" s="41" t="n">
        <v>16.71</v>
      </c>
      <c r="I1634" s="43" t="n">
        <f aca="false">F1634*H1634</f>
        <v>116.97</v>
      </c>
      <c r="J1634" s="43" t="n">
        <f aca="false">G1634*H1634*1.5</f>
        <v>0</v>
      </c>
      <c r="K1634" s="6" t="n">
        <v>19.04</v>
      </c>
      <c r="L1634" s="43" t="n">
        <f aca="false">K1634*'Chart of Accounts'!$E$68</f>
        <v>12.7568</v>
      </c>
      <c r="O1634" s="42" t="n">
        <f aca="false">I1634+J1634+L1634</f>
        <v>129.7268</v>
      </c>
    </row>
    <row r="1635" customFormat="false" ht="15" hidden="false" customHeight="false" outlineLevel="0" collapsed="false">
      <c r="B1635" s="7" t="s">
        <v>10268</v>
      </c>
      <c r="C1635" s="39" t="n">
        <v>45761</v>
      </c>
      <c r="D1635" s="7" t="s">
        <v>220</v>
      </c>
      <c r="E1635" s="7" t="s">
        <v>180</v>
      </c>
      <c r="F1635" s="6" t="n">
        <v>4.34</v>
      </c>
      <c r="G1635" s="6" t="n">
        <v>0</v>
      </c>
      <c r="H1635" s="41" t="n">
        <v>16.43</v>
      </c>
      <c r="I1635" s="43" t="n">
        <f aca="false">F1635*H1635</f>
        <v>71.3062</v>
      </c>
      <c r="J1635" s="43" t="n">
        <f aca="false">G1635*H1635*1.5</f>
        <v>0</v>
      </c>
      <c r="K1635" s="6" t="n">
        <v>11.15</v>
      </c>
      <c r="L1635" s="43" t="n">
        <f aca="false">K1635*'Chart of Accounts'!$E$68</f>
        <v>7.4705</v>
      </c>
      <c r="O1635" s="42" t="n">
        <f aca="false">I1635+J1635+L1635</f>
        <v>78.7767</v>
      </c>
    </row>
    <row r="1636" customFormat="false" ht="15" hidden="false" customHeight="false" outlineLevel="0" collapsed="false">
      <c r="B1636" s="7" t="s">
        <v>10269</v>
      </c>
      <c r="C1636" s="39" t="n">
        <v>45761</v>
      </c>
      <c r="D1636" s="7" t="s">
        <v>224</v>
      </c>
      <c r="E1636" s="7" t="s">
        <v>180</v>
      </c>
      <c r="F1636" s="6" t="n">
        <v>8.52</v>
      </c>
      <c r="G1636" s="6" t="n">
        <v>0</v>
      </c>
      <c r="H1636" s="41" t="n">
        <v>14.93</v>
      </c>
      <c r="I1636" s="43" t="n">
        <f aca="false">F1636*H1636</f>
        <v>127.2036</v>
      </c>
      <c r="J1636" s="43" t="n">
        <f aca="false">G1636*H1636*1.5</f>
        <v>0</v>
      </c>
      <c r="K1636" s="6" t="n">
        <v>22.35</v>
      </c>
      <c r="L1636" s="43" t="n">
        <f aca="false">K1636*'Chart of Accounts'!$E$68</f>
        <v>14.9745</v>
      </c>
      <c r="O1636" s="42" t="n">
        <f aca="false">I1636+J1636+L1636</f>
        <v>142.1781</v>
      </c>
    </row>
    <row r="1637" customFormat="false" ht="15" hidden="false" customHeight="false" outlineLevel="0" collapsed="false">
      <c r="B1637" s="7" t="s">
        <v>10270</v>
      </c>
      <c r="C1637" s="39" t="n">
        <v>45761</v>
      </c>
      <c r="D1637" s="7" t="s">
        <v>177</v>
      </c>
      <c r="E1637" s="7" t="s">
        <v>180</v>
      </c>
      <c r="F1637" s="6" t="n">
        <v>8.31</v>
      </c>
      <c r="G1637" s="6" t="n">
        <v>0</v>
      </c>
      <c r="H1637" s="41" t="n">
        <v>14.56</v>
      </c>
      <c r="I1637" s="43" t="n">
        <f aca="false">F1637*H1637</f>
        <v>120.9936</v>
      </c>
      <c r="J1637" s="43" t="n">
        <f aca="false">G1637*H1637*1.5</f>
        <v>0</v>
      </c>
      <c r="K1637" s="6" t="n">
        <v>20.71</v>
      </c>
      <c r="L1637" s="43" t="n">
        <f aca="false">K1637*'Chart of Accounts'!$E$68</f>
        <v>13.8757</v>
      </c>
      <c r="O1637" s="42" t="n">
        <f aca="false">I1637+J1637+L1637</f>
        <v>134.8693</v>
      </c>
    </row>
    <row r="1638" customFormat="false" ht="15" hidden="false" customHeight="false" outlineLevel="0" collapsed="false">
      <c r="B1638" s="7" t="s">
        <v>10271</v>
      </c>
      <c r="C1638" s="39" t="n">
        <v>45761</v>
      </c>
      <c r="D1638" s="7" t="s">
        <v>232</v>
      </c>
      <c r="E1638" s="7" t="s">
        <v>180</v>
      </c>
      <c r="F1638" s="6" t="n">
        <v>7.87</v>
      </c>
      <c r="G1638" s="6" t="n">
        <v>0</v>
      </c>
      <c r="H1638" s="41" t="n">
        <v>16.17</v>
      </c>
      <c r="I1638" s="43" t="n">
        <f aca="false">F1638*H1638</f>
        <v>127.2579</v>
      </c>
      <c r="J1638" s="43" t="n">
        <f aca="false">G1638*H1638*1.5</f>
        <v>0</v>
      </c>
      <c r="K1638" s="6" t="n">
        <v>23.84</v>
      </c>
      <c r="L1638" s="43" t="n">
        <f aca="false">K1638*'Chart of Accounts'!$E$68</f>
        <v>15.9728</v>
      </c>
      <c r="O1638" s="42" t="n">
        <f aca="false">I1638+J1638+L1638</f>
        <v>143.2307</v>
      </c>
    </row>
    <row r="1639" customFormat="false" ht="15" hidden="false" customHeight="false" outlineLevel="0" collapsed="false">
      <c r="B1639" s="7" t="s">
        <v>10272</v>
      </c>
      <c r="C1639" s="39" t="n">
        <v>45761</v>
      </c>
      <c r="D1639" s="7" t="s">
        <v>242</v>
      </c>
      <c r="E1639" s="7" t="s">
        <v>180</v>
      </c>
      <c r="F1639" s="6" t="n">
        <v>7.93</v>
      </c>
      <c r="G1639" s="6" t="n">
        <v>0</v>
      </c>
      <c r="H1639" s="41" t="n">
        <v>17.99</v>
      </c>
      <c r="I1639" s="43" t="n">
        <f aca="false">F1639*H1639</f>
        <v>142.6607</v>
      </c>
      <c r="J1639" s="43" t="n">
        <f aca="false">G1639*H1639*1.5</f>
        <v>0</v>
      </c>
      <c r="K1639" s="6" t="n">
        <v>25.15</v>
      </c>
      <c r="L1639" s="43" t="n">
        <f aca="false">K1639*'Chart of Accounts'!$E$68</f>
        <v>16.8505</v>
      </c>
      <c r="O1639" s="42" t="n">
        <f aca="false">I1639+J1639+L1639</f>
        <v>159.5112</v>
      </c>
    </row>
    <row r="1640" customFormat="false" ht="15" hidden="false" customHeight="false" outlineLevel="0" collapsed="false">
      <c r="B1640" s="7" t="s">
        <v>10273</v>
      </c>
      <c r="C1640" s="39" t="n">
        <v>45761</v>
      </c>
      <c r="D1640" s="7" t="s">
        <v>222</v>
      </c>
      <c r="E1640" s="7" t="s">
        <v>180</v>
      </c>
      <c r="F1640" s="6" t="n">
        <v>6.73</v>
      </c>
      <c r="G1640" s="6" t="n">
        <v>0</v>
      </c>
      <c r="H1640" s="41" t="n">
        <v>17.84</v>
      </c>
      <c r="I1640" s="43" t="n">
        <f aca="false">F1640*H1640</f>
        <v>120.0632</v>
      </c>
      <c r="J1640" s="43" t="n">
        <f aca="false">G1640*H1640*1.5</f>
        <v>0</v>
      </c>
      <c r="K1640" s="6" t="n">
        <v>19.03</v>
      </c>
      <c r="L1640" s="43" t="n">
        <f aca="false">K1640*'Chart of Accounts'!$E$68</f>
        <v>12.7501</v>
      </c>
      <c r="O1640" s="42" t="n">
        <f aca="false">I1640+J1640+L1640</f>
        <v>132.8133</v>
      </c>
    </row>
    <row r="1641" customFormat="false" ht="15" hidden="false" customHeight="false" outlineLevel="0" collapsed="false">
      <c r="B1641" s="7" t="s">
        <v>10274</v>
      </c>
      <c r="C1641" s="39" t="n">
        <v>45761</v>
      </c>
      <c r="D1641" s="7" t="s">
        <v>262</v>
      </c>
      <c r="E1641" s="7" t="s">
        <v>180</v>
      </c>
      <c r="F1641" s="6" t="n">
        <v>7.3</v>
      </c>
      <c r="G1641" s="6" t="n">
        <v>0</v>
      </c>
      <c r="H1641" s="41" t="n">
        <v>16.02</v>
      </c>
      <c r="I1641" s="43" t="n">
        <f aca="false">F1641*H1641</f>
        <v>116.946</v>
      </c>
      <c r="J1641" s="43" t="n">
        <f aca="false">G1641*H1641*1.5</f>
        <v>0</v>
      </c>
      <c r="K1641" s="6" t="n">
        <v>17.1</v>
      </c>
      <c r="L1641" s="43" t="n">
        <f aca="false">K1641*'Chart of Accounts'!$E$68</f>
        <v>11.457</v>
      </c>
      <c r="O1641" s="42" t="n">
        <f aca="false">I1641+J1641+L1641</f>
        <v>128.403</v>
      </c>
    </row>
    <row r="1642" customFormat="false" ht="15" hidden="false" customHeight="false" outlineLevel="0" collapsed="false">
      <c r="B1642" s="7" t="s">
        <v>10275</v>
      </c>
      <c r="C1642" s="39" t="n">
        <v>45761</v>
      </c>
      <c r="D1642" s="7" t="s">
        <v>254</v>
      </c>
      <c r="E1642" s="7" t="s">
        <v>180</v>
      </c>
      <c r="F1642" s="6" t="n">
        <v>7.93</v>
      </c>
      <c r="G1642" s="6" t="n">
        <v>0</v>
      </c>
      <c r="H1642" s="41" t="n">
        <v>17.1</v>
      </c>
      <c r="I1642" s="43" t="n">
        <f aca="false">F1642*H1642</f>
        <v>135.603</v>
      </c>
      <c r="J1642" s="43" t="n">
        <f aca="false">G1642*H1642*1.5</f>
        <v>0</v>
      </c>
      <c r="K1642" s="6" t="n">
        <v>20.73</v>
      </c>
      <c r="L1642" s="43" t="n">
        <f aca="false">K1642*'Chart of Accounts'!$E$68</f>
        <v>13.8891</v>
      </c>
      <c r="O1642" s="42" t="n">
        <f aca="false">I1642+J1642+L1642</f>
        <v>149.4921</v>
      </c>
    </row>
    <row r="1643" customFormat="false" ht="15" hidden="false" customHeight="false" outlineLevel="0" collapsed="false">
      <c r="B1643" s="7" t="s">
        <v>10276</v>
      </c>
      <c r="C1643" s="39" t="n">
        <v>45761</v>
      </c>
      <c r="D1643" s="7" t="s">
        <v>246</v>
      </c>
      <c r="E1643" s="7" t="s">
        <v>180</v>
      </c>
      <c r="F1643" s="6" t="n">
        <v>7.65</v>
      </c>
      <c r="G1643" s="6" t="n">
        <v>0</v>
      </c>
      <c r="H1643" s="41" t="n">
        <v>16.48</v>
      </c>
      <c r="I1643" s="43" t="n">
        <f aca="false">F1643*H1643</f>
        <v>126.072</v>
      </c>
      <c r="J1643" s="43" t="n">
        <f aca="false">G1643*H1643*1.5</f>
        <v>0</v>
      </c>
      <c r="K1643" s="6" t="n">
        <v>27.3</v>
      </c>
      <c r="L1643" s="43" t="n">
        <f aca="false">K1643*'Chart of Accounts'!$E$68</f>
        <v>18.291</v>
      </c>
      <c r="O1643" s="42" t="n">
        <f aca="false">I1643+J1643+L1643</f>
        <v>144.363</v>
      </c>
    </row>
    <row r="1644" customFormat="false" ht="15" hidden="false" customHeight="false" outlineLevel="0" collapsed="false">
      <c r="B1644" s="7" t="s">
        <v>10277</v>
      </c>
      <c r="C1644" s="39" t="n">
        <v>45761</v>
      </c>
      <c r="D1644" s="7" t="s">
        <v>214</v>
      </c>
      <c r="E1644" s="7" t="s">
        <v>180</v>
      </c>
      <c r="F1644" s="6" t="n">
        <v>7.34</v>
      </c>
      <c r="G1644" s="6" t="n">
        <v>0</v>
      </c>
      <c r="H1644" s="41" t="n">
        <v>15.67</v>
      </c>
      <c r="I1644" s="43" t="n">
        <f aca="false">F1644*H1644</f>
        <v>115.0178</v>
      </c>
      <c r="J1644" s="43" t="n">
        <f aca="false">G1644*H1644*1.5</f>
        <v>0</v>
      </c>
      <c r="K1644" s="6" t="n">
        <v>22.79</v>
      </c>
      <c r="L1644" s="43" t="n">
        <f aca="false">K1644*'Chart of Accounts'!$E$68</f>
        <v>15.2693</v>
      </c>
      <c r="O1644" s="42" t="n">
        <f aca="false">I1644+J1644+L1644</f>
        <v>130.2871</v>
      </c>
    </row>
    <row r="1645" customFormat="false" ht="15" hidden="false" customHeight="false" outlineLevel="0" collapsed="false">
      <c r="B1645" s="7" t="s">
        <v>10278</v>
      </c>
      <c r="C1645" s="39" t="n">
        <v>45761</v>
      </c>
      <c r="D1645" s="7" t="s">
        <v>238</v>
      </c>
      <c r="E1645" s="7" t="s">
        <v>180</v>
      </c>
      <c r="F1645" s="6" t="n">
        <v>4.07</v>
      </c>
      <c r="G1645" s="6" t="n">
        <v>0</v>
      </c>
      <c r="H1645" s="41" t="n">
        <v>15.85</v>
      </c>
      <c r="I1645" s="43" t="n">
        <f aca="false">F1645*H1645</f>
        <v>64.5095</v>
      </c>
      <c r="J1645" s="43" t="n">
        <f aca="false">G1645*H1645*1.5</f>
        <v>0</v>
      </c>
      <c r="K1645" s="6" t="n">
        <v>11.01</v>
      </c>
      <c r="L1645" s="43" t="n">
        <f aca="false">K1645*'Chart of Accounts'!$E$68</f>
        <v>7.3767</v>
      </c>
      <c r="O1645" s="42" t="n">
        <f aca="false">I1645+J1645+L1645</f>
        <v>71.8862</v>
      </c>
    </row>
    <row r="1646" customFormat="false" ht="15" hidden="false" customHeight="false" outlineLevel="0" collapsed="false">
      <c r="B1646" s="7" t="s">
        <v>10279</v>
      </c>
      <c r="C1646" s="39" t="n">
        <v>45762</v>
      </c>
      <c r="D1646" s="7" t="s">
        <v>191</v>
      </c>
      <c r="E1646" s="7" t="s">
        <v>180</v>
      </c>
      <c r="F1646" s="6" t="n">
        <v>3.6</v>
      </c>
      <c r="G1646" s="6" t="n">
        <v>0</v>
      </c>
      <c r="H1646" s="41" t="n">
        <v>16.05</v>
      </c>
      <c r="I1646" s="43" t="n">
        <f aca="false">F1646*H1646</f>
        <v>57.78</v>
      </c>
      <c r="J1646" s="43" t="n">
        <f aca="false">G1646*H1646*1.5</f>
        <v>0</v>
      </c>
      <c r="K1646" s="6" t="n">
        <v>7.94</v>
      </c>
      <c r="L1646" s="43" t="n">
        <f aca="false">K1646*'Chart of Accounts'!$E$68</f>
        <v>5.3198</v>
      </c>
      <c r="O1646" s="42" t="n">
        <f aca="false">I1646+J1646+L1646</f>
        <v>63.0998</v>
      </c>
    </row>
    <row r="1647" customFormat="false" ht="15" hidden="false" customHeight="false" outlineLevel="0" collapsed="false">
      <c r="B1647" s="7" t="s">
        <v>10280</v>
      </c>
      <c r="C1647" s="39" t="n">
        <v>45762</v>
      </c>
      <c r="D1647" s="7" t="s">
        <v>209</v>
      </c>
      <c r="E1647" s="7" t="s">
        <v>158</v>
      </c>
      <c r="H1647" s="41" t="n">
        <v>73.58</v>
      </c>
      <c r="M1647" s="6" t="n">
        <v>2</v>
      </c>
      <c r="N1647" s="43" t="n">
        <f aca="false">M1647*H1647</f>
        <v>147.16</v>
      </c>
      <c r="O1647" s="42" t="n">
        <f aca="false">N1647</f>
        <v>147.16</v>
      </c>
    </row>
    <row r="1648" customFormat="false" ht="15" hidden="false" customHeight="false" outlineLevel="0" collapsed="false">
      <c r="B1648" s="7" t="s">
        <v>10281</v>
      </c>
      <c r="C1648" s="39" t="n">
        <v>45762</v>
      </c>
      <c r="D1648" s="7" t="s">
        <v>184</v>
      </c>
      <c r="E1648" s="7" t="s">
        <v>180</v>
      </c>
      <c r="F1648" s="6" t="n">
        <v>4.19</v>
      </c>
      <c r="G1648" s="6" t="n">
        <v>0</v>
      </c>
      <c r="H1648" s="41" t="n">
        <v>17.34</v>
      </c>
      <c r="I1648" s="43" t="n">
        <f aca="false">F1648*H1648</f>
        <v>72.6546</v>
      </c>
      <c r="J1648" s="43" t="n">
        <f aca="false">G1648*H1648*1.5</f>
        <v>0</v>
      </c>
      <c r="K1648" s="6" t="n">
        <v>14.34</v>
      </c>
      <c r="L1648" s="43" t="n">
        <f aca="false">K1648*'Chart of Accounts'!$E$68</f>
        <v>9.6078</v>
      </c>
      <c r="O1648" s="42" t="n">
        <f aca="false">I1648+J1648+L1648</f>
        <v>82.2624</v>
      </c>
    </row>
    <row r="1649" customFormat="false" ht="15" hidden="false" customHeight="false" outlineLevel="0" collapsed="false">
      <c r="B1649" s="7" t="s">
        <v>10282</v>
      </c>
      <c r="C1649" s="39" t="n">
        <v>45762</v>
      </c>
      <c r="D1649" s="7" t="s">
        <v>234</v>
      </c>
      <c r="E1649" s="7" t="s">
        <v>158</v>
      </c>
      <c r="H1649" s="41" t="n">
        <v>89.53</v>
      </c>
      <c r="M1649" s="6" t="n">
        <v>2</v>
      </c>
      <c r="N1649" s="43" t="n">
        <f aca="false">M1649*H1649</f>
        <v>179.06</v>
      </c>
      <c r="O1649" s="42" t="n">
        <f aca="false">N1649</f>
        <v>179.06</v>
      </c>
    </row>
    <row r="1650" customFormat="false" ht="15" hidden="false" customHeight="false" outlineLevel="0" collapsed="false">
      <c r="B1650" s="7" t="s">
        <v>10283</v>
      </c>
      <c r="C1650" s="39" t="n">
        <v>45762</v>
      </c>
      <c r="D1650" s="7" t="s">
        <v>218</v>
      </c>
      <c r="E1650" s="7" t="s">
        <v>180</v>
      </c>
      <c r="F1650" s="6" t="n">
        <v>3.86</v>
      </c>
      <c r="G1650" s="6" t="n">
        <v>0</v>
      </c>
      <c r="H1650" s="41" t="n">
        <v>16.19</v>
      </c>
      <c r="I1650" s="43" t="n">
        <f aca="false">F1650*H1650</f>
        <v>62.4934</v>
      </c>
      <c r="J1650" s="43" t="n">
        <f aca="false">G1650*H1650*1.5</f>
        <v>0</v>
      </c>
      <c r="K1650" s="6" t="n">
        <v>11.73</v>
      </c>
      <c r="L1650" s="43" t="n">
        <f aca="false">K1650*'Chart of Accounts'!$E$68</f>
        <v>7.8591</v>
      </c>
      <c r="O1650" s="42" t="n">
        <f aca="false">I1650+J1650+L1650</f>
        <v>70.3525</v>
      </c>
    </row>
    <row r="1651" customFormat="false" ht="15" hidden="false" customHeight="false" outlineLevel="0" collapsed="false">
      <c r="B1651" s="7" t="s">
        <v>10284</v>
      </c>
      <c r="C1651" s="39" t="n">
        <v>45762</v>
      </c>
      <c r="D1651" s="7" t="s">
        <v>266</v>
      </c>
      <c r="E1651" s="7" t="s">
        <v>158</v>
      </c>
      <c r="H1651" s="41" t="n">
        <v>75.18</v>
      </c>
      <c r="M1651" s="6" t="n">
        <v>1</v>
      </c>
      <c r="N1651" s="43" t="n">
        <f aca="false">M1651*H1651</f>
        <v>75.18</v>
      </c>
      <c r="O1651" s="42" t="n">
        <f aca="false">N1651</f>
        <v>75.18</v>
      </c>
    </row>
    <row r="1652" customFormat="false" ht="15" hidden="false" customHeight="false" outlineLevel="0" collapsed="false">
      <c r="B1652" s="7" t="s">
        <v>10285</v>
      </c>
      <c r="C1652" s="39" t="n">
        <v>45762</v>
      </c>
      <c r="D1652" s="7" t="s">
        <v>228</v>
      </c>
      <c r="E1652" s="7" t="s">
        <v>158</v>
      </c>
      <c r="H1652" s="41" t="n">
        <v>51.07</v>
      </c>
      <c r="M1652" s="6" t="n">
        <v>1</v>
      </c>
      <c r="N1652" s="43" t="n">
        <f aca="false">M1652*H1652</f>
        <v>51.07</v>
      </c>
      <c r="O1652" s="42" t="n">
        <f aca="false">N1652</f>
        <v>51.07</v>
      </c>
    </row>
    <row r="1653" customFormat="false" ht="15" hidden="false" customHeight="false" outlineLevel="0" collapsed="false">
      <c r="B1653" s="7" t="s">
        <v>10286</v>
      </c>
      <c r="C1653" s="39" t="n">
        <v>45762</v>
      </c>
      <c r="D1653" s="7" t="s">
        <v>220</v>
      </c>
      <c r="E1653" s="7" t="s">
        <v>180</v>
      </c>
      <c r="F1653" s="6" t="n">
        <v>3.67</v>
      </c>
      <c r="G1653" s="6" t="n">
        <v>0</v>
      </c>
      <c r="H1653" s="41" t="n">
        <v>16.43</v>
      </c>
      <c r="I1653" s="43" t="n">
        <f aca="false">F1653*H1653</f>
        <v>60.2981</v>
      </c>
      <c r="J1653" s="43" t="n">
        <f aca="false">G1653*H1653*1.5</f>
        <v>0</v>
      </c>
      <c r="K1653" s="6" t="n">
        <v>9.29</v>
      </c>
      <c r="L1653" s="43" t="n">
        <f aca="false">K1653*'Chart of Accounts'!$E$68</f>
        <v>6.2243</v>
      </c>
      <c r="O1653" s="42" t="n">
        <f aca="false">I1653+J1653+L1653</f>
        <v>66.5224</v>
      </c>
    </row>
    <row r="1654" customFormat="false" ht="15" hidden="false" customHeight="false" outlineLevel="0" collapsed="false">
      <c r="B1654" s="7" t="s">
        <v>10287</v>
      </c>
      <c r="C1654" s="39" t="n">
        <v>45762</v>
      </c>
      <c r="D1654" s="7" t="s">
        <v>212</v>
      </c>
      <c r="E1654" s="7" t="s">
        <v>180</v>
      </c>
      <c r="F1654" s="6" t="n">
        <v>4.22</v>
      </c>
      <c r="G1654" s="6" t="n">
        <v>0</v>
      </c>
      <c r="H1654" s="41" t="n">
        <v>16.71</v>
      </c>
      <c r="I1654" s="43" t="n">
        <f aca="false">F1654*H1654</f>
        <v>70.5162</v>
      </c>
      <c r="J1654" s="43" t="n">
        <f aca="false">G1654*H1654*1.5</f>
        <v>0</v>
      </c>
      <c r="K1654" s="6" t="n">
        <v>13.19</v>
      </c>
      <c r="L1654" s="43" t="n">
        <f aca="false">K1654*'Chart of Accounts'!$E$68</f>
        <v>8.8373</v>
      </c>
      <c r="O1654" s="42" t="n">
        <f aca="false">I1654+J1654+L1654</f>
        <v>79.3535</v>
      </c>
    </row>
    <row r="1655" customFormat="false" ht="15" hidden="false" customHeight="false" outlineLevel="0" collapsed="false">
      <c r="B1655" s="7" t="s">
        <v>10288</v>
      </c>
      <c r="C1655" s="39" t="n">
        <v>45762</v>
      </c>
      <c r="D1655" s="7" t="s">
        <v>246</v>
      </c>
      <c r="E1655" s="7" t="s">
        <v>180</v>
      </c>
      <c r="F1655" s="6" t="n">
        <v>4.15</v>
      </c>
      <c r="G1655" s="6" t="n">
        <v>0</v>
      </c>
      <c r="H1655" s="41" t="n">
        <v>16.48</v>
      </c>
      <c r="I1655" s="43" t="n">
        <f aca="false">F1655*H1655</f>
        <v>68.392</v>
      </c>
      <c r="J1655" s="43" t="n">
        <f aca="false">G1655*H1655*1.5</f>
        <v>0</v>
      </c>
      <c r="K1655" s="6" t="n">
        <v>11.89</v>
      </c>
      <c r="L1655" s="43" t="n">
        <f aca="false">K1655*'Chart of Accounts'!$E$68</f>
        <v>7.9663</v>
      </c>
      <c r="O1655" s="42" t="n">
        <f aca="false">I1655+J1655+L1655</f>
        <v>76.3583</v>
      </c>
    </row>
    <row r="1656" customFormat="false" ht="15" hidden="false" customHeight="false" outlineLevel="0" collapsed="false">
      <c r="B1656" s="7" t="s">
        <v>10289</v>
      </c>
      <c r="C1656" s="39" t="n">
        <v>45762</v>
      </c>
      <c r="D1656" s="7" t="s">
        <v>222</v>
      </c>
      <c r="E1656" s="7" t="s">
        <v>180</v>
      </c>
      <c r="F1656" s="6" t="n">
        <v>4.27</v>
      </c>
      <c r="G1656" s="6" t="n">
        <v>0</v>
      </c>
      <c r="H1656" s="41" t="n">
        <v>17.84</v>
      </c>
      <c r="I1656" s="43" t="n">
        <f aca="false">F1656*H1656</f>
        <v>76.1768</v>
      </c>
      <c r="J1656" s="43" t="n">
        <f aca="false">G1656*H1656*1.5</f>
        <v>0</v>
      </c>
      <c r="K1656" s="6" t="n">
        <v>14.42</v>
      </c>
      <c r="L1656" s="43" t="n">
        <f aca="false">K1656*'Chart of Accounts'!$E$68</f>
        <v>9.6614</v>
      </c>
      <c r="O1656" s="42" t="n">
        <f aca="false">I1656+J1656+L1656</f>
        <v>85.8382</v>
      </c>
    </row>
    <row r="1657" customFormat="false" ht="15" hidden="false" customHeight="false" outlineLevel="0" collapsed="false">
      <c r="B1657" s="7" t="s">
        <v>10290</v>
      </c>
      <c r="C1657" s="39" t="n">
        <v>45762</v>
      </c>
      <c r="D1657" s="7" t="s">
        <v>242</v>
      </c>
      <c r="E1657" s="7" t="s">
        <v>180</v>
      </c>
      <c r="F1657" s="6" t="n">
        <v>4.31</v>
      </c>
      <c r="G1657" s="6" t="n">
        <v>0</v>
      </c>
      <c r="H1657" s="41" t="n">
        <v>17.99</v>
      </c>
      <c r="I1657" s="43" t="n">
        <f aca="false">F1657*H1657</f>
        <v>77.5369</v>
      </c>
      <c r="J1657" s="43" t="n">
        <f aca="false">G1657*H1657*1.5</f>
        <v>0</v>
      </c>
      <c r="K1657" s="6" t="n">
        <v>10.08</v>
      </c>
      <c r="L1657" s="43" t="n">
        <f aca="false">K1657*'Chart of Accounts'!$E$68</f>
        <v>6.7536</v>
      </c>
      <c r="O1657" s="42" t="n">
        <f aca="false">I1657+J1657+L1657</f>
        <v>84.2905</v>
      </c>
    </row>
    <row r="1658" customFormat="false" ht="15" hidden="false" customHeight="false" outlineLevel="0" collapsed="false">
      <c r="B1658" s="7" t="s">
        <v>10291</v>
      </c>
      <c r="C1658" s="39" t="n">
        <v>45762</v>
      </c>
      <c r="D1658" s="7" t="s">
        <v>203</v>
      </c>
      <c r="E1658" s="7" t="s">
        <v>158</v>
      </c>
      <c r="H1658" s="41" t="n">
        <v>49.43</v>
      </c>
      <c r="M1658" s="6" t="n">
        <v>1</v>
      </c>
      <c r="N1658" s="43" t="n">
        <f aca="false">M1658*H1658</f>
        <v>49.43</v>
      </c>
      <c r="O1658" s="42" t="n">
        <f aca="false">N1658</f>
        <v>49.43</v>
      </c>
    </row>
    <row r="1659" customFormat="false" ht="15" hidden="false" customHeight="false" outlineLevel="0" collapsed="false">
      <c r="B1659" s="7" t="s">
        <v>10292</v>
      </c>
      <c r="C1659" s="39" t="n">
        <v>45762</v>
      </c>
      <c r="D1659" s="7" t="s">
        <v>254</v>
      </c>
      <c r="E1659" s="7" t="s">
        <v>180</v>
      </c>
      <c r="F1659" s="6" t="n">
        <v>4.09</v>
      </c>
      <c r="G1659" s="6" t="n">
        <v>0</v>
      </c>
      <c r="H1659" s="41" t="n">
        <v>17.1</v>
      </c>
      <c r="I1659" s="43" t="n">
        <f aca="false">F1659*H1659</f>
        <v>69.939</v>
      </c>
      <c r="J1659" s="43" t="n">
        <f aca="false">G1659*H1659*1.5</f>
        <v>0</v>
      </c>
      <c r="K1659" s="6" t="n">
        <v>12.1</v>
      </c>
      <c r="L1659" s="43" t="n">
        <f aca="false">K1659*'Chart of Accounts'!$E$68</f>
        <v>8.107</v>
      </c>
      <c r="O1659" s="42" t="n">
        <f aca="false">I1659+J1659+L1659</f>
        <v>78.046</v>
      </c>
    </row>
    <row r="1660" customFormat="false" ht="15" hidden="false" customHeight="false" outlineLevel="0" collapsed="false">
      <c r="B1660" s="7" t="s">
        <v>10293</v>
      </c>
      <c r="C1660" s="39" t="n">
        <v>45762</v>
      </c>
      <c r="D1660" s="7" t="s">
        <v>260</v>
      </c>
      <c r="E1660" s="7" t="s">
        <v>158</v>
      </c>
      <c r="H1660" s="41" t="n">
        <v>79.8</v>
      </c>
      <c r="M1660" s="6" t="n">
        <v>1</v>
      </c>
      <c r="N1660" s="43" t="n">
        <f aca="false">M1660*H1660</f>
        <v>79.8</v>
      </c>
      <c r="O1660" s="42" t="n">
        <f aca="false">N1660</f>
        <v>79.8</v>
      </c>
    </row>
    <row r="1661" customFormat="false" ht="15" hidden="false" customHeight="false" outlineLevel="0" collapsed="false">
      <c r="B1661" s="7" t="s">
        <v>10294</v>
      </c>
      <c r="C1661" s="39" t="n">
        <v>45763</v>
      </c>
      <c r="D1661" s="7" t="s">
        <v>187</v>
      </c>
      <c r="E1661" s="7" t="s">
        <v>158</v>
      </c>
      <c r="H1661" s="41" t="n">
        <v>66.48</v>
      </c>
      <c r="M1661" s="6" t="n">
        <v>1</v>
      </c>
      <c r="N1661" s="43" t="n">
        <f aca="false">M1661*H1661</f>
        <v>66.48</v>
      </c>
      <c r="O1661" s="42" t="n">
        <f aca="false">N1661</f>
        <v>66.48</v>
      </c>
    </row>
    <row r="1662" customFormat="false" ht="15" hidden="false" customHeight="false" outlineLevel="0" collapsed="false">
      <c r="B1662" s="7" t="s">
        <v>10295</v>
      </c>
      <c r="C1662" s="39" t="n">
        <v>45763</v>
      </c>
      <c r="D1662" s="7" t="s">
        <v>228</v>
      </c>
      <c r="E1662" s="7" t="s">
        <v>158</v>
      </c>
      <c r="H1662" s="41" t="n">
        <v>51.07</v>
      </c>
      <c r="M1662" s="6" t="n">
        <v>1</v>
      </c>
      <c r="N1662" s="43" t="n">
        <f aca="false">M1662*H1662</f>
        <v>51.07</v>
      </c>
      <c r="O1662" s="42" t="n">
        <f aca="false">N1662</f>
        <v>51.07</v>
      </c>
    </row>
    <row r="1663" customFormat="false" ht="15" hidden="false" customHeight="false" outlineLevel="0" collapsed="false">
      <c r="B1663" s="7" t="s">
        <v>10296</v>
      </c>
      <c r="C1663" s="39" t="n">
        <v>45763</v>
      </c>
      <c r="D1663" s="7" t="s">
        <v>191</v>
      </c>
      <c r="E1663" s="7" t="s">
        <v>180</v>
      </c>
      <c r="F1663" s="6" t="n">
        <v>3.83</v>
      </c>
      <c r="G1663" s="6" t="n">
        <v>0</v>
      </c>
      <c r="H1663" s="41" t="n">
        <v>16.05</v>
      </c>
      <c r="I1663" s="43" t="n">
        <f aca="false">F1663*H1663</f>
        <v>61.4715</v>
      </c>
      <c r="J1663" s="43" t="n">
        <f aca="false">G1663*H1663*1.5</f>
        <v>0</v>
      </c>
      <c r="K1663" s="6" t="n">
        <v>10.54</v>
      </c>
      <c r="L1663" s="43" t="n">
        <f aca="false">K1663*'Chart of Accounts'!$E$68</f>
        <v>7.0618</v>
      </c>
      <c r="O1663" s="42" t="n">
        <f aca="false">I1663+J1663+L1663</f>
        <v>68.5333</v>
      </c>
    </row>
    <row r="1664" customFormat="false" ht="15" hidden="false" customHeight="false" outlineLevel="0" collapsed="false">
      <c r="B1664" s="7" t="s">
        <v>10297</v>
      </c>
      <c r="C1664" s="39" t="n">
        <v>45763</v>
      </c>
      <c r="D1664" s="7" t="s">
        <v>194</v>
      </c>
      <c r="E1664" s="7" t="s">
        <v>180</v>
      </c>
      <c r="F1664" s="6" t="n">
        <v>4.65</v>
      </c>
      <c r="G1664" s="6" t="n">
        <v>0</v>
      </c>
      <c r="H1664" s="41" t="n">
        <v>16</v>
      </c>
      <c r="I1664" s="43" t="n">
        <f aca="false">F1664*H1664</f>
        <v>74.4</v>
      </c>
      <c r="J1664" s="43" t="n">
        <f aca="false">G1664*H1664*1.5</f>
        <v>0</v>
      </c>
      <c r="K1664" s="6" t="n">
        <v>16.44</v>
      </c>
      <c r="L1664" s="43" t="n">
        <f aca="false">K1664*'Chart of Accounts'!$E$68</f>
        <v>11.0148</v>
      </c>
      <c r="O1664" s="42" t="n">
        <f aca="false">I1664+J1664+L1664</f>
        <v>85.4148</v>
      </c>
    </row>
    <row r="1665" customFormat="false" ht="15" hidden="false" customHeight="false" outlineLevel="0" collapsed="false">
      <c r="B1665" s="7" t="s">
        <v>10298</v>
      </c>
      <c r="C1665" s="39" t="n">
        <v>45763</v>
      </c>
      <c r="D1665" s="7" t="s">
        <v>205</v>
      </c>
      <c r="E1665" s="7" t="s">
        <v>180</v>
      </c>
      <c r="F1665" s="6" t="n">
        <v>4.32</v>
      </c>
      <c r="G1665" s="6" t="n">
        <v>0</v>
      </c>
      <c r="H1665" s="41" t="n">
        <v>16.36</v>
      </c>
      <c r="I1665" s="43" t="n">
        <f aca="false">F1665*H1665</f>
        <v>70.6752</v>
      </c>
      <c r="J1665" s="43" t="n">
        <f aca="false">G1665*H1665*1.5</f>
        <v>0</v>
      </c>
      <c r="K1665" s="6" t="n">
        <v>13.03</v>
      </c>
      <c r="L1665" s="43" t="n">
        <f aca="false">K1665*'Chart of Accounts'!$E$68</f>
        <v>8.7301</v>
      </c>
      <c r="O1665" s="42" t="n">
        <f aca="false">I1665+J1665+L1665</f>
        <v>79.4053</v>
      </c>
    </row>
    <row r="1666" customFormat="false" ht="15" hidden="false" customHeight="false" outlineLevel="0" collapsed="false">
      <c r="B1666" s="7" t="s">
        <v>10299</v>
      </c>
      <c r="C1666" s="39" t="n">
        <v>45763</v>
      </c>
      <c r="D1666" s="7" t="s">
        <v>264</v>
      </c>
      <c r="E1666" s="7" t="s">
        <v>158</v>
      </c>
      <c r="H1666" s="41" t="n">
        <v>55.55</v>
      </c>
      <c r="M1666" s="6" t="n">
        <v>1</v>
      </c>
      <c r="N1666" s="43" t="n">
        <f aca="false">M1666*H1666</f>
        <v>55.55</v>
      </c>
      <c r="O1666" s="42" t="n">
        <f aca="false">N1666</f>
        <v>55.55</v>
      </c>
    </row>
    <row r="1667" customFormat="false" ht="15" hidden="false" customHeight="false" outlineLevel="0" collapsed="false">
      <c r="B1667" s="7" t="s">
        <v>10300</v>
      </c>
      <c r="C1667" s="39" t="n">
        <v>45763</v>
      </c>
      <c r="D1667" s="7" t="s">
        <v>252</v>
      </c>
      <c r="E1667" s="7" t="s">
        <v>158</v>
      </c>
      <c r="H1667" s="41" t="n">
        <v>57.54</v>
      </c>
      <c r="M1667" s="6" t="n">
        <v>1</v>
      </c>
      <c r="N1667" s="43" t="n">
        <f aca="false">M1667*H1667</f>
        <v>57.54</v>
      </c>
      <c r="O1667" s="42" t="n">
        <f aca="false">N1667</f>
        <v>57.54</v>
      </c>
    </row>
    <row r="1668" customFormat="false" ht="15" hidden="false" customHeight="false" outlineLevel="0" collapsed="false">
      <c r="B1668" s="7" t="s">
        <v>10301</v>
      </c>
      <c r="C1668" s="39" t="n">
        <v>45763</v>
      </c>
      <c r="D1668" s="7" t="s">
        <v>184</v>
      </c>
      <c r="E1668" s="7" t="s">
        <v>180</v>
      </c>
      <c r="F1668" s="6" t="n">
        <v>3.68</v>
      </c>
      <c r="G1668" s="6" t="n">
        <v>0</v>
      </c>
      <c r="H1668" s="41" t="n">
        <v>17.34</v>
      </c>
      <c r="I1668" s="43" t="n">
        <f aca="false">F1668*H1668</f>
        <v>63.8112</v>
      </c>
      <c r="J1668" s="43" t="n">
        <f aca="false">G1668*H1668*1.5</f>
        <v>0</v>
      </c>
      <c r="K1668" s="6" t="n">
        <v>8.87</v>
      </c>
      <c r="L1668" s="43" t="n">
        <f aca="false">K1668*'Chart of Accounts'!$E$68</f>
        <v>5.9429</v>
      </c>
      <c r="O1668" s="42" t="n">
        <f aca="false">I1668+J1668+L1668</f>
        <v>69.7541</v>
      </c>
    </row>
    <row r="1669" customFormat="false" ht="15" hidden="false" customHeight="false" outlineLevel="0" collapsed="false">
      <c r="B1669" s="7" t="s">
        <v>10302</v>
      </c>
      <c r="C1669" s="39" t="n">
        <v>45763</v>
      </c>
      <c r="D1669" s="7" t="s">
        <v>218</v>
      </c>
      <c r="E1669" s="7" t="s">
        <v>180</v>
      </c>
      <c r="F1669" s="6" t="n">
        <v>3.8</v>
      </c>
      <c r="G1669" s="6" t="n">
        <v>0</v>
      </c>
      <c r="H1669" s="41" t="n">
        <v>16.19</v>
      </c>
      <c r="I1669" s="43" t="n">
        <f aca="false">F1669*H1669</f>
        <v>61.522</v>
      </c>
      <c r="J1669" s="43" t="n">
        <f aca="false">G1669*H1669*1.5</f>
        <v>0</v>
      </c>
      <c r="K1669" s="6" t="n">
        <v>10.07</v>
      </c>
      <c r="L1669" s="43" t="n">
        <f aca="false">K1669*'Chart of Accounts'!$E$68</f>
        <v>6.7469</v>
      </c>
      <c r="O1669" s="42" t="n">
        <f aca="false">I1669+J1669+L1669</f>
        <v>68.2689</v>
      </c>
    </row>
    <row r="1670" customFormat="false" ht="15" hidden="false" customHeight="false" outlineLevel="0" collapsed="false">
      <c r="B1670" s="7" t="s">
        <v>10303</v>
      </c>
      <c r="C1670" s="39" t="n">
        <v>45763</v>
      </c>
      <c r="D1670" s="7" t="s">
        <v>220</v>
      </c>
      <c r="E1670" s="7" t="s">
        <v>180</v>
      </c>
      <c r="F1670" s="6" t="n">
        <v>4</v>
      </c>
      <c r="G1670" s="6" t="n">
        <v>0</v>
      </c>
      <c r="H1670" s="41" t="n">
        <v>16.43</v>
      </c>
      <c r="I1670" s="43" t="n">
        <f aca="false">F1670*H1670</f>
        <v>65.72</v>
      </c>
      <c r="J1670" s="43" t="n">
        <f aca="false">G1670*H1670*1.5</f>
        <v>0</v>
      </c>
      <c r="K1670" s="6" t="n">
        <v>12.18</v>
      </c>
      <c r="L1670" s="43" t="n">
        <f aca="false">K1670*'Chart of Accounts'!$E$68</f>
        <v>8.1606</v>
      </c>
      <c r="O1670" s="42" t="n">
        <f aca="false">I1670+J1670+L1670</f>
        <v>73.8806</v>
      </c>
    </row>
    <row r="1671" customFormat="false" ht="15" hidden="false" customHeight="false" outlineLevel="0" collapsed="false">
      <c r="B1671" s="7" t="s">
        <v>10304</v>
      </c>
      <c r="C1671" s="39" t="n">
        <v>45763</v>
      </c>
      <c r="D1671" s="7" t="s">
        <v>177</v>
      </c>
      <c r="E1671" s="7" t="s">
        <v>180</v>
      </c>
      <c r="F1671" s="6" t="n">
        <v>8.44</v>
      </c>
      <c r="G1671" s="6" t="n">
        <v>0</v>
      </c>
      <c r="H1671" s="41" t="n">
        <v>14.56</v>
      </c>
      <c r="I1671" s="43" t="n">
        <f aca="false">F1671*H1671</f>
        <v>122.8864</v>
      </c>
      <c r="J1671" s="43" t="n">
        <f aca="false">G1671*H1671*1.5</f>
        <v>0</v>
      </c>
      <c r="K1671" s="6" t="n">
        <v>28.64</v>
      </c>
      <c r="L1671" s="43" t="n">
        <f aca="false">K1671*'Chart of Accounts'!$E$68</f>
        <v>19.1888</v>
      </c>
      <c r="O1671" s="42" t="n">
        <f aca="false">I1671+J1671+L1671</f>
        <v>142.0752</v>
      </c>
    </row>
    <row r="1672" customFormat="false" ht="15" hidden="false" customHeight="false" outlineLevel="0" collapsed="false">
      <c r="B1672" s="7" t="s">
        <v>10305</v>
      </c>
      <c r="C1672" s="39" t="n">
        <v>45763</v>
      </c>
      <c r="D1672" s="7" t="s">
        <v>242</v>
      </c>
      <c r="E1672" s="7" t="s">
        <v>180</v>
      </c>
      <c r="F1672" s="6" t="n">
        <v>3.06</v>
      </c>
      <c r="G1672" s="6" t="n">
        <v>0</v>
      </c>
      <c r="H1672" s="41" t="n">
        <v>17.99</v>
      </c>
      <c r="I1672" s="43" t="n">
        <f aca="false">F1672*H1672</f>
        <v>55.0494</v>
      </c>
      <c r="J1672" s="43" t="n">
        <f aca="false">G1672*H1672*1.5</f>
        <v>0</v>
      </c>
      <c r="K1672" s="6" t="n">
        <v>6.97</v>
      </c>
      <c r="L1672" s="43" t="n">
        <f aca="false">K1672*'Chart of Accounts'!$E$68</f>
        <v>4.6699</v>
      </c>
      <c r="O1672" s="42" t="n">
        <f aca="false">I1672+J1672+L1672</f>
        <v>59.7193</v>
      </c>
    </row>
    <row r="1673" customFormat="false" ht="15" hidden="false" customHeight="false" outlineLevel="0" collapsed="false">
      <c r="B1673" s="7" t="s">
        <v>10306</v>
      </c>
      <c r="C1673" s="39" t="n">
        <v>45763</v>
      </c>
      <c r="D1673" s="7" t="s">
        <v>254</v>
      </c>
      <c r="E1673" s="7" t="s">
        <v>180</v>
      </c>
      <c r="F1673" s="6" t="n">
        <v>7.01</v>
      </c>
      <c r="G1673" s="6" t="n">
        <v>0</v>
      </c>
      <c r="H1673" s="41" t="n">
        <v>17.1</v>
      </c>
      <c r="I1673" s="43" t="n">
        <f aca="false">F1673*H1673</f>
        <v>119.871</v>
      </c>
      <c r="J1673" s="43" t="n">
        <f aca="false">G1673*H1673*1.5</f>
        <v>0</v>
      </c>
      <c r="K1673" s="6" t="n">
        <v>15.66</v>
      </c>
      <c r="L1673" s="43" t="n">
        <f aca="false">K1673*'Chart of Accounts'!$E$68</f>
        <v>10.4922</v>
      </c>
      <c r="O1673" s="42" t="n">
        <f aca="false">I1673+J1673+L1673</f>
        <v>130.3632</v>
      </c>
    </row>
    <row r="1674" customFormat="false" ht="15" hidden="false" customHeight="false" outlineLevel="0" collapsed="false">
      <c r="B1674" s="7" t="s">
        <v>10307</v>
      </c>
      <c r="C1674" s="39" t="n">
        <v>45763</v>
      </c>
      <c r="D1674" s="7" t="s">
        <v>201</v>
      </c>
      <c r="E1674" s="7" t="s">
        <v>180</v>
      </c>
      <c r="F1674" s="6" t="n">
        <v>3.42</v>
      </c>
      <c r="G1674" s="6" t="n">
        <v>0</v>
      </c>
      <c r="H1674" s="41" t="n">
        <v>15.19</v>
      </c>
      <c r="I1674" s="43" t="n">
        <f aca="false">F1674*H1674</f>
        <v>51.9498</v>
      </c>
      <c r="J1674" s="43" t="n">
        <f aca="false">G1674*H1674*1.5</f>
        <v>0</v>
      </c>
      <c r="K1674" s="6" t="n">
        <v>11.95</v>
      </c>
      <c r="L1674" s="43" t="n">
        <f aca="false">K1674*'Chart of Accounts'!$E$68</f>
        <v>8.0065</v>
      </c>
      <c r="O1674" s="42" t="n">
        <f aca="false">I1674+J1674+L1674</f>
        <v>59.9563</v>
      </c>
    </row>
    <row r="1675" customFormat="false" ht="15" hidden="false" customHeight="false" outlineLevel="0" collapsed="false">
      <c r="B1675" s="7" t="s">
        <v>10308</v>
      </c>
      <c r="C1675" s="39" t="n">
        <v>45763</v>
      </c>
      <c r="D1675" s="7" t="s">
        <v>207</v>
      </c>
      <c r="E1675" s="7" t="s">
        <v>180</v>
      </c>
      <c r="F1675" s="6" t="n">
        <v>3.58</v>
      </c>
      <c r="G1675" s="6" t="n">
        <v>0</v>
      </c>
      <c r="H1675" s="41" t="n">
        <v>16.65</v>
      </c>
      <c r="I1675" s="43" t="n">
        <f aca="false">F1675*H1675</f>
        <v>59.607</v>
      </c>
      <c r="J1675" s="43" t="n">
        <f aca="false">G1675*H1675*1.5</f>
        <v>0</v>
      </c>
      <c r="K1675" s="6" t="n">
        <v>9.83</v>
      </c>
      <c r="L1675" s="43" t="n">
        <f aca="false">K1675*'Chart of Accounts'!$E$68</f>
        <v>6.5861</v>
      </c>
      <c r="O1675" s="42" t="n">
        <f aca="false">I1675+J1675+L1675</f>
        <v>66.1931</v>
      </c>
    </row>
    <row r="1676" customFormat="false" ht="15" hidden="false" customHeight="false" outlineLevel="0" collapsed="false">
      <c r="B1676" s="7" t="s">
        <v>10309</v>
      </c>
      <c r="C1676" s="39" t="n">
        <v>45763</v>
      </c>
      <c r="D1676" s="7" t="s">
        <v>212</v>
      </c>
      <c r="E1676" s="7" t="s">
        <v>180</v>
      </c>
      <c r="F1676" s="6" t="n">
        <v>4.2</v>
      </c>
      <c r="G1676" s="6" t="n">
        <v>0</v>
      </c>
      <c r="H1676" s="41" t="n">
        <v>16.71</v>
      </c>
      <c r="I1676" s="43" t="n">
        <f aca="false">F1676*H1676</f>
        <v>70.182</v>
      </c>
      <c r="J1676" s="43" t="n">
        <f aca="false">G1676*H1676*1.5</f>
        <v>0</v>
      </c>
      <c r="K1676" s="6" t="n">
        <v>9.56</v>
      </c>
      <c r="L1676" s="43" t="n">
        <f aca="false">K1676*'Chart of Accounts'!$E$68</f>
        <v>6.4052</v>
      </c>
      <c r="O1676" s="42" t="n">
        <f aca="false">I1676+J1676+L1676</f>
        <v>76.5872</v>
      </c>
    </row>
    <row r="1677" customFormat="false" ht="15" hidden="false" customHeight="false" outlineLevel="0" collapsed="false">
      <c r="B1677" s="7" t="s">
        <v>10310</v>
      </c>
      <c r="C1677" s="39" t="n">
        <v>45763</v>
      </c>
      <c r="D1677" s="7" t="s">
        <v>232</v>
      </c>
      <c r="E1677" s="7" t="s">
        <v>180</v>
      </c>
      <c r="F1677" s="6" t="n">
        <v>4.3</v>
      </c>
      <c r="G1677" s="6" t="n">
        <v>0</v>
      </c>
      <c r="H1677" s="41" t="n">
        <v>16.17</v>
      </c>
      <c r="I1677" s="43" t="n">
        <f aca="false">F1677*H1677</f>
        <v>69.531</v>
      </c>
      <c r="J1677" s="43" t="n">
        <f aca="false">G1677*H1677*1.5</f>
        <v>0</v>
      </c>
      <c r="K1677" s="6" t="n">
        <v>9.75</v>
      </c>
      <c r="L1677" s="43" t="n">
        <f aca="false">K1677*'Chart of Accounts'!$E$68</f>
        <v>6.5325</v>
      </c>
      <c r="O1677" s="42" t="n">
        <f aca="false">I1677+J1677+L1677</f>
        <v>76.0635</v>
      </c>
    </row>
    <row r="1678" customFormat="false" ht="15" hidden="false" customHeight="false" outlineLevel="0" collapsed="false">
      <c r="B1678" s="7" t="s">
        <v>10311</v>
      </c>
      <c r="C1678" s="39" t="n">
        <v>45763</v>
      </c>
      <c r="D1678" s="7" t="s">
        <v>224</v>
      </c>
      <c r="E1678" s="7" t="s">
        <v>180</v>
      </c>
      <c r="F1678" s="6" t="n">
        <v>4.31</v>
      </c>
      <c r="G1678" s="6" t="n">
        <v>0</v>
      </c>
      <c r="H1678" s="41" t="n">
        <v>14.93</v>
      </c>
      <c r="I1678" s="43" t="n">
        <f aca="false">F1678*H1678</f>
        <v>64.3483</v>
      </c>
      <c r="J1678" s="43" t="n">
        <f aca="false">G1678*H1678*1.5</f>
        <v>0</v>
      </c>
      <c r="K1678" s="6" t="n">
        <v>9.97</v>
      </c>
      <c r="L1678" s="43" t="n">
        <f aca="false">K1678*'Chart of Accounts'!$E$68</f>
        <v>6.6799</v>
      </c>
      <c r="O1678" s="42" t="n">
        <f aca="false">I1678+J1678+L1678</f>
        <v>71.0282</v>
      </c>
    </row>
    <row r="1679" customFormat="false" ht="15" hidden="false" customHeight="false" outlineLevel="0" collapsed="false">
      <c r="B1679" s="7" t="s">
        <v>10312</v>
      </c>
      <c r="C1679" s="39" t="n">
        <v>45763</v>
      </c>
      <c r="D1679" s="7" t="s">
        <v>238</v>
      </c>
      <c r="E1679" s="7" t="s">
        <v>180</v>
      </c>
      <c r="F1679" s="6" t="n">
        <v>4.15</v>
      </c>
      <c r="G1679" s="6" t="n">
        <v>0</v>
      </c>
      <c r="H1679" s="41" t="n">
        <v>15.85</v>
      </c>
      <c r="I1679" s="43" t="n">
        <f aca="false">F1679*H1679</f>
        <v>65.7775</v>
      </c>
      <c r="J1679" s="43" t="n">
        <f aca="false">G1679*H1679*1.5</f>
        <v>0</v>
      </c>
      <c r="K1679" s="6" t="n">
        <v>14.7</v>
      </c>
      <c r="L1679" s="43" t="n">
        <f aca="false">K1679*'Chart of Accounts'!$E$68</f>
        <v>9.849</v>
      </c>
      <c r="O1679" s="42" t="n">
        <f aca="false">I1679+J1679+L1679</f>
        <v>75.6265</v>
      </c>
    </row>
    <row r="1680" customFormat="false" ht="15" hidden="false" customHeight="false" outlineLevel="0" collapsed="false">
      <c r="B1680" s="7" t="s">
        <v>10313</v>
      </c>
      <c r="C1680" s="39" t="n">
        <v>45763</v>
      </c>
      <c r="D1680" s="7" t="s">
        <v>246</v>
      </c>
      <c r="E1680" s="7" t="s">
        <v>180</v>
      </c>
      <c r="F1680" s="6" t="n">
        <v>4.08</v>
      </c>
      <c r="G1680" s="6" t="n">
        <v>0</v>
      </c>
      <c r="H1680" s="41" t="n">
        <v>16.48</v>
      </c>
      <c r="I1680" s="43" t="n">
        <f aca="false">F1680*H1680</f>
        <v>67.2384</v>
      </c>
      <c r="J1680" s="43" t="n">
        <f aca="false">G1680*H1680*1.5</f>
        <v>0</v>
      </c>
      <c r="K1680" s="6" t="n">
        <v>13.65</v>
      </c>
      <c r="L1680" s="43" t="n">
        <f aca="false">K1680*'Chart of Accounts'!$E$68</f>
        <v>9.1455</v>
      </c>
      <c r="O1680" s="42" t="n">
        <f aca="false">I1680+J1680+L1680</f>
        <v>76.3839</v>
      </c>
    </row>
    <row r="1681" customFormat="false" ht="15" hidden="false" customHeight="false" outlineLevel="0" collapsed="false">
      <c r="B1681" s="7" t="s">
        <v>10314</v>
      </c>
      <c r="C1681" s="39" t="n">
        <v>45763</v>
      </c>
      <c r="D1681" s="7" t="s">
        <v>222</v>
      </c>
      <c r="E1681" s="7" t="s">
        <v>180</v>
      </c>
      <c r="F1681" s="6" t="n">
        <v>4.38</v>
      </c>
      <c r="G1681" s="6" t="n">
        <v>0</v>
      </c>
      <c r="H1681" s="41" t="n">
        <v>17.84</v>
      </c>
      <c r="I1681" s="43" t="n">
        <f aca="false">F1681*H1681</f>
        <v>78.1392</v>
      </c>
      <c r="J1681" s="43" t="n">
        <f aca="false">G1681*H1681*1.5</f>
        <v>0</v>
      </c>
      <c r="K1681" s="6" t="n">
        <v>13.73</v>
      </c>
      <c r="L1681" s="43" t="n">
        <f aca="false">K1681*'Chart of Accounts'!$E$68</f>
        <v>9.1991</v>
      </c>
      <c r="O1681" s="42" t="n">
        <f aca="false">I1681+J1681+L1681</f>
        <v>87.3383</v>
      </c>
    </row>
    <row r="1682" customFormat="false" ht="15" hidden="false" customHeight="false" outlineLevel="0" collapsed="false">
      <c r="B1682" s="7" t="s">
        <v>10315</v>
      </c>
      <c r="C1682" s="39" t="n">
        <v>45763</v>
      </c>
      <c r="D1682" s="7" t="s">
        <v>203</v>
      </c>
      <c r="E1682" s="7" t="s">
        <v>158</v>
      </c>
      <c r="H1682" s="41" t="n">
        <v>49.43</v>
      </c>
      <c r="M1682" s="6" t="n">
        <v>1</v>
      </c>
      <c r="N1682" s="43" t="n">
        <f aca="false">M1682*H1682</f>
        <v>49.43</v>
      </c>
      <c r="O1682" s="42" t="n">
        <f aca="false">N1682</f>
        <v>49.43</v>
      </c>
    </row>
    <row r="1683" customFormat="false" ht="15" hidden="false" customHeight="false" outlineLevel="0" collapsed="false">
      <c r="B1683" s="7" t="s">
        <v>10316</v>
      </c>
      <c r="C1683" s="39" t="n">
        <v>45763</v>
      </c>
      <c r="D1683" s="7" t="s">
        <v>262</v>
      </c>
      <c r="E1683" s="7" t="s">
        <v>180</v>
      </c>
      <c r="F1683" s="6" t="n">
        <v>3.54</v>
      </c>
      <c r="G1683" s="6" t="n">
        <v>0</v>
      </c>
      <c r="H1683" s="41" t="n">
        <v>16.02</v>
      </c>
      <c r="I1683" s="43" t="n">
        <f aca="false">F1683*H1683</f>
        <v>56.7108</v>
      </c>
      <c r="J1683" s="43" t="n">
        <f aca="false">G1683*H1683*1.5</f>
        <v>0</v>
      </c>
      <c r="K1683" s="6" t="n">
        <v>11.5</v>
      </c>
      <c r="L1683" s="43" t="n">
        <f aca="false">K1683*'Chart of Accounts'!$E$68</f>
        <v>7.705</v>
      </c>
      <c r="O1683" s="42" t="n">
        <f aca="false">I1683+J1683+L1683</f>
        <v>64.4158</v>
      </c>
    </row>
    <row r="1684" customFormat="false" ht="15" hidden="false" customHeight="false" outlineLevel="0" collapsed="false">
      <c r="B1684" s="7" t="s">
        <v>10317</v>
      </c>
      <c r="C1684" s="39" t="n">
        <v>45763</v>
      </c>
      <c r="D1684" s="7" t="s">
        <v>214</v>
      </c>
      <c r="E1684" s="7" t="s">
        <v>180</v>
      </c>
      <c r="F1684" s="6" t="n">
        <v>3.16</v>
      </c>
      <c r="G1684" s="6" t="n">
        <v>0</v>
      </c>
      <c r="H1684" s="41" t="n">
        <v>15.67</v>
      </c>
      <c r="I1684" s="43" t="n">
        <f aca="false">F1684*H1684</f>
        <v>49.5172</v>
      </c>
      <c r="J1684" s="43" t="n">
        <f aca="false">G1684*H1684*1.5</f>
        <v>0</v>
      </c>
      <c r="K1684" s="6" t="n">
        <v>7.32</v>
      </c>
      <c r="L1684" s="43" t="n">
        <f aca="false">K1684*'Chart of Accounts'!$E$68</f>
        <v>4.9044</v>
      </c>
      <c r="O1684" s="42" t="n">
        <f aca="false">I1684+J1684+L1684</f>
        <v>54.4216</v>
      </c>
    </row>
    <row r="1685" customFormat="false" ht="15" hidden="false" customHeight="false" outlineLevel="0" collapsed="false">
      <c r="B1685" s="7" t="s">
        <v>10318</v>
      </c>
      <c r="C1685" s="39" t="n">
        <v>45764</v>
      </c>
      <c r="D1685" s="7" t="s">
        <v>191</v>
      </c>
      <c r="E1685" s="7" t="s">
        <v>180</v>
      </c>
      <c r="F1685" s="6" t="n">
        <v>3.72</v>
      </c>
      <c r="G1685" s="6" t="n">
        <v>0</v>
      </c>
      <c r="H1685" s="41" t="n">
        <v>16.05</v>
      </c>
      <c r="I1685" s="43" t="n">
        <f aca="false">F1685*H1685</f>
        <v>59.706</v>
      </c>
      <c r="J1685" s="43" t="n">
        <f aca="false">G1685*H1685*1.5</f>
        <v>0</v>
      </c>
      <c r="K1685" s="6" t="n">
        <v>9.89</v>
      </c>
      <c r="L1685" s="43" t="n">
        <f aca="false">K1685*'Chart of Accounts'!$E$68</f>
        <v>6.6263</v>
      </c>
      <c r="O1685" s="42" t="n">
        <f aca="false">I1685+J1685+L1685</f>
        <v>66.3323</v>
      </c>
    </row>
    <row r="1686" customFormat="false" ht="15" hidden="false" customHeight="false" outlineLevel="0" collapsed="false">
      <c r="B1686" s="7" t="s">
        <v>10319</v>
      </c>
      <c r="C1686" s="39" t="n">
        <v>45764</v>
      </c>
      <c r="D1686" s="7" t="s">
        <v>201</v>
      </c>
      <c r="E1686" s="7" t="s">
        <v>180</v>
      </c>
      <c r="F1686" s="6" t="n">
        <v>6.19</v>
      </c>
      <c r="G1686" s="6" t="n">
        <v>0</v>
      </c>
      <c r="H1686" s="41" t="n">
        <v>15.19</v>
      </c>
      <c r="I1686" s="43" t="n">
        <f aca="false">F1686*H1686</f>
        <v>94.0261</v>
      </c>
      <c r="J1686" s="43" t="n">
        <f aca="false">G1686*H1686*1.5</f>
        <v>0</v>
      </c>
      <c r="K1686" s="6" t="n">
        <v>14.26</v>
      </c>
      <c r="L1686" s="43" t="n">
        <f aca="false">K1686*'Chart of Accounts'!$E$68</f>
        <v>9.5542</v>
      </c>
      <c r="O1686" s="42" t="n">
        <f aca="false">I1686+J1686+L1686</f>
        <v>103.5803</v>
      </c>
    </row>
    <row r="1687" customFormat="false" ht="15" hidden="false" customHeight="false" outlineLevel="0" collapsed="false">
      <c r="B1687" s="7" t="s">
        <v>10320</v>
      </c>
      <c r="C1687" s="39" t="n">
        <v>45764</v>
      </c>
      <c r="D1687" s="7" t="s">
        <v>184</v>
      </c>
      <c r="E1687" s="7" t="s">
        <v>180</v>
      </c>
      <c r="F1687" s="6" t="n">
        <v>4.07</v>
      </c>
      <c r="G1687" s="6" t="n">
        <v>0</v>
      </c>
      <c r="H1687" s="41" t="n">
        <v>17.34</v>
      </c>
      <c r="I1687" s="43" t="n">
        <f aca="false">F1687*H1687</f>
        <v>70.5738</v>
      </c>
      <c r="J1687" s="43" t="n">
        <f aca="false">G1687*H1687*1.5</f>
        <v>0</v>
      </c>
      <c r="K1687" s="6" t="n">
        <v>9.36</v>
      </c>
      <c r="L1687" s="43" t="n">
        <f aca="false">K1687*'Chart of Accounts'!$E$68</f>
        <v>6.2712</v>
      </c>
      <c r="O1687" s="42" t="n">
        <f aca="false">I1687+J1687+L1687</f>
        <v>76.845</v>
      </c>
    </row>
    <row r="1688" customFormat="false" ht="15" hidden="false" customHeight="false" outlineLevel="0" collapsed="false">
      <c r="B1688" s="7" t="s">
        <v>10321</v>
      </c>
      <c r="C1688" s="39" t="n">
        <v>45764</v>
      </c>
      <c r="D1688" s="7" t="s">
        <v>207</v>
      </c>
      <c r="E1688" s="7" t="s">
        <v>180</v>
      </c>
      <c r="F1688" s="6" t="n">
        <v>3.2</v>
      </c>
      <c r="G1688" s="6" t="n">
        <v>0</v>
      </c>
      <c r="H1688" s="41" t="n">
        <v>16.65</v>
      </c>
      <c r="I1688" s="43" t="n">
        <f aca="false">F1688*H1688</f>
        <v>53.28</v>
      </c>
      <c r="J1688" s="43" t="n">
        <f aca="false">G1688*H1688*1.5</f>
        <v>0</v>
      </c>
      <c r="K1688" s="6" t="n">
        <v>9.66</v>
      </c>
      <c r="L1688" s="43" t="n">
        <f aca="false">K1688*'Chart of Accounts'!$E$68</f>
        <v>6.4722</v>
      </c>
      <c r="O1688" s="42" t="n">
        <f aca="false">I1688+J1688+L1688</f>
        <v>59.7522</v>
      </c>
    </row>
    <row r="1689" customFormat="false" ht="15" hidden="false" customHeight="false" outlineLevel="0" collapsed="false">
      <c r="B1689" s="7" t="s">
        <v>10322</v>
      </c>
      <c r="C1689" s="39" t="n">
        <v>45764</v>
      </c>
      <c r="D1689" s="7" t="s">
        <v>218</v>
      </c>
      <c r="E1689" s="7" t="s">
        <v>180</v>
      </c>
      <c r="F1689" s="6" t="n">
        <v>4.1</v>
      </c>
      <c r="G1689" s="6" t="n">
        <v>0</v>
      </c>
      <c r="H1689" s="41" t="n">
        <v>16.19</v>
      </c>
      <c r="I1689" s="43" t="n">
        <f aca="false">F1689*H1689</f>
        <v>66.379</v>
      </c>
      <c r="J1689" s="43" t="n">
        <f aca="false">G1689*H1689*1.5</f>
        <v>0</v>
      </c>
      <c r="K1689" s="6" t="n">
        <v>10.13</v>
      </c>
      <c r="L1689" s="43" t="n">
        <f aca="false">K1689*'Chart of Accounts'!$E$68</f>
        <v>6.7871</v>
      </c>
      <c r="O1689" s="42" t="n">
        <f aca="false">I1689+J1689+L1689</f>
        <v>73.1661</v>
      </c>
    </row>
    <row r="1690" customFormat="false" ht="15" hidden="false" customHeight="false" outlineLevel="0" collapsed="false">
      <c r="B1690" s="7" t="s">
        <v>10323</v>
      </c>
      <c r="C1690" s="39" t="n">
        <v>45764</v>
      </c>
      <c r="D1690" s="7" t="s">
        <v>212</v>
      </c>
      <c r="E1690" s="7" t="s">
        <v>180</v>
      </c>
      <c r="F1690" s="6" t="n">
        <v>7.56</v>
      </c>
      <c r="G1690" s="6" t="n">
        <v>0</v>
      </c>
      <c r="H1690" s="41" t="n">
        <v>16.71</v>
      </c>
      <c r="I1690" s="43" t="n">
        <f aca="false">F1690*H1690</f>
        <v>126.3276</v>
      </c>
      <c r="J1690" s="43" t="n">
        <f aca="false">G1690*H1690*1.5</f>
        <v>0</v>
      </c>
      <c r="K1690" s="6" t="n">
        <v>19.36</v>
      </c>
      <c r="L1690" s="43" t="n">
        <f aca="false">K1690*'Chart of Accounts'!$E$68</f>
        <v>12.9712</v>
      </c>
      <c r="O1690" s="42" t="n">
        <f aca="false">I1690+J1690+L1690</f>
        <v>139.2988</v>
      </c>
    </row>
    <row r="1691" customFormat="false" ht="15" hidden="false" customHeight="false" outlineLevel="0" collapsed="false">
      <c r="B1691" s="7" t="s">
        <v>10324</v>
      </c>
      <c r="C1691" s="39" t="n">
        <v>45764</v>
      </c>
      <c r="D1691" s="7" t="s">
        <v>220</v>
      </c>
      <c r="E1691" s="7" t="s">
        <v>180</v>
      </c>
      <c r="F1691" s="6" t="n">
        <v>4.04</v>
      </c>
      <c r="G1691" s="6" t="n">
        <v>0</v>
      </c>
      <c r="H1691" s="41" t="n">
        <v>16.43</v>
      </c>
      <c r="I1691" s="43" t="n">
        <f aca="false">F1691*H1691</f>
        <v>66.3772</v>
      </c>
      <c r="J1691" s="43" t="n">
        <f aca="false">G1691*H1691*1.5</f>
        <v>0</v>
      </c>
      <c r="K1691" s="6" t="n">
        <v>10.32</v>
      </c>
      <c r="L1691" s="43" t="n">
        <f aca="false">K1691*'Chart of Accounts'!$E$68</f>
        <v>6.9144</v>
      </c>
      <c r="O1691" s="42" t="n">
        <f aca="false">I1691+J1691+L1691</f>
        <v>73.2916</v>
      </c>
    </row>
    <row r="1692" customFormat="false" ht="15" hidden="false" customHeight="false" outlineLevel="0" collapsed="false">
      <c r="B1692" s="7" t="s">
        <v>10325</v>
      </c>
      <c r="C1692" s="39" t="n">
        <v>45764</v>
      </c>
      <c r="D1692" s="7" t="s">
        <v>224</v>
      </c>
      <c r="E1692" s="7" t="s">
        <v>180</v>
      </c>
      <c r="F1692" s="6" t="n">
        <v>3.99</v>
      </c>
      <c r="G1692" s="6" t="n">
        <v>0</v>
      </c>
      <c r="H1692" s="41" t="n">
        <v>14.93</v>
      </c>
      <c r="I1692" s="43" t="n">
        <f aca="false">F1692*H1692</f>
        <v>59.5707</v>
      </c>
      <c r="J1692" s="43" t="n">
        <f aca="false">G1692*H1692*1.5</f>
        <v>0</v>
      </c>
      <c r="K1692" s="6" t="n">
        <v>13.09</v>
      </c>
      <c r="L1692" s="43" t="n">
        <f aca="false">K1692*'Chart of Accounts'!$E$68</f>
        <v>8.7703</v>
      </c>
      <c r="O1692" s="42" t="n">
        <f aca="false">I1692+J1692+L1692</f>
        <v>68.341</v>
      </c>
    </row>
    <row r="1693" customFormat="false" ht="15" hidden="false" customHeight="false" outlineLevel="0" collapsed="false">
      <c r="B1693" s="7" t="s">
        <v>10326</v>
      </c>
      <c r="C1693" s="39" t="n">
        <v>45764</v>
      </c>
      <c r="D1693" s="7" t="s">
        <v>232</v>
      </c>
      <c r="E1693" s="7" t="s">
        <v>180</v>
      </c>
      <c r="F1693" s="6" t="n">
        <v>3.11</v>
      </c>
      <c r="G1693" s="6" t="n">
        <v>0</v>
      </c>
      <c r="H1693" s="41" t="n">
        <v>16.17</v>
      </c>
      <c r="I1693" s="43" t="n">
        <f aca="false">F1693*H1693</f>
        <v>50.2887</v>
      </c>
      <c r="J1693" s="43" t="n">
        <f aca="false">G1693*H1693*1.5</f>
        <v>0</v>
      </c>
      <c r="K1693" s="6" t="n">
        <v>9.56</v>
      </c>
      <c r="L1693" s="43" t="n">
        <f aca="false">K1693*'Chart of Accounts'!$E$68</f>
        <v>6.4052</v>
      </c>
      <c r="O1693" s="42" t="n">
        <f aca="false">I1693+J1693+L1693</f>
        <v>56.6939</v>
      </c>
    </row>
    <row r="1694" customFormat="false" ht="15" hidden="false" customHeight="false" outlineLevel="0" collapsed="false">
      <c r="B1694" s="7" t="s">
        <v>10327</v>
      </c>
      <c r="C1694" s="39" t="n">
        <v>45764</v>
      </c>
      <c r="D1694" s="7" t="s">
        <v>222</v>
      </c>
      <c r="E1694" s="7" t="s">
        <v>180</v>
      </c>
      <c r="F1694" s="6" t="n">
        <v>6.96</v>
      </c>
      <c r="G1694" s="6" t="n">
        <v>0</v>
      </c>
      <c r="H1694" s="41" t="n">
        <v>17.84</v>
      </c>
      <c r="I1694" s="43" t="n">
        <f aca="false">F1694*H1694</f>
        <v>124.1664</v>
      </c>
      <c r="J1694" s="43" t="n">
        <f aca="false">G1694*H1694*1.5</f>
        <v>0</v>
      </c>
      <c r="K1694" s="6" t="n">
        <v>20.32</v>
      </c>
      <c r="L1694" s="43" t="n">
        <f aca="false">K1694*'Chart of Accounts'!$E$68</f>
        <v>13.6144</v>
      </c>
      <c r="O1694" s="42" t="n">
        <f aca="false">I1694+J1694+L1694</f>
        <v>137.7808</v>
      </c>
    </row>
    <row r="1695" customFormat="false" ht="15" hidden="false" customHeight="false" outlineLevel="0" collapsed="false">
      <c r="B1695" s="7" t="s">
        <v>10328</v>
      </c>
      <c r="C1695" s="39" t="n">
        <v>45764</v>
      </c>
      <c r="D1695" s="7" t="s">
        <v>262</v>
      </c>
      <c r="E1695" s="7" t="s">
        <v>180</v>
      </c>
      <c r="F1695" s="6" t="n">
        <v>3.85</v>
      </c>
      <c r="G1695" s="6" t="n">
        <v>0</v>
      </c>
      <c r="H1695" s="41" t="n">
        <v>16.02</v>
      </c>
      <c r="I1695" s="43" t="n">
        <f aca="false">F1695*H1695</f>
        <v>61.677</v>
      </c>
      <c r="J1695" s="43" t="n">
        <f aca="false">G1695*H1695*1.5</f>
        <v>0</v>
      </c>
      <c r="K1695" s="6" t="n">
        <v>9.22</v>
      </c>
      <c r="L1695" s="43" t="n">
        <f aca="false">K1695*'Chart of Accounts'!$E$68</f>
        <v>6.1774</v>
      </c>
      <c r="O1695" s="42" t="n">
        <f aca="false">I1695+J1695+L1695</f>
        <v>67.8544</v>
      </c>
    </row>
    <row r="1696" customFormat="false" ht="15" hidden="false" customHeight="false" outlineLevel="0" collapsed="false">
      <c r="B1696" s="7" t="s">
        <v>10329</v>
      </c>
      <c r="C1696" s="39" t="n">
        <v>45764</v>
      </c>
      <c r="D1696" s="7" t="s">
        <v>246</v>
      </c>
      <c r="E1696" s="7" t="s">
        <v>180</v>
      </c>
      <c r="F1696" s="6" t="n">
        <v>7.89</v>
      </c>
      <c r="G1696" s="6" t="n">
        <v>0</v>
      </c>
      <c r="H1696" s="41" t="n">
        <v>16.48</v>
      </c>
      <c r="I1696" s="43" t="n">
        <f aca="false">F1696*H1696</f>
        <v>130.0272</v>
      </c>
      <c r="J1696" s="43" t="n">
        <f aca="false">G1696*H1696*1.5</f>
        <v>0</v>
      </c>
      <c r="K1696" s="6" t="n">
        <v>18.33</v>
      </c>
      <c r="L1696" s="43" t="n">
        <f aca="false">K1696*'Chart of Accounts'!$E$68</f>
        <v>12.2811</v>
      </c>
      <c r="O1696" s="42" t="n">
        <f aca="false">I1696+J1696+L1696</f>
        <v>142.3083</v>
      </c>
    </row>
    <row r="1697" customFormat="false" ht="15" hidden="false" customHeight="false" outlineLevel="0" collapsed="false">
      <c r="B1697" s="7" t="s">
        <v>10330</v>
      </c>
      <c r="C1697" s="39" t="n">
        <v>45764</v>
      </c>
      <c r="D1697" s="7" t="s">
        <v>196</v>
      </c>
      <c r="E1697" s="7" t="s">
        <v>180</v>
      </c>
      <c r="F1697" s="6" t="n">
        <v>2.91</v>
      </c>
      <c r="G1697" s="6" t="n">
        <v>0</v>
      </c>
      <c r="H1697" s="41" t="n">
        <v>15.05</v>
      </c>
      <c r="I1697" s="43" t="n">
        <f aca="false">F1697*H1697</f>
        <v>43.7955</v>
      </c>
      <c r="J1697" s="43" t="n">
        <f aca="false">G1697*H1697*1.5</f>
        <v>0</v>
      </c>
      <c r="K1697" s="6" t="n">
        <v>7.34</v>
      </c>
      <c r="L1697" s="43" t="n">
        <f aca="false">K1697*'Chart of Accounts'!$E$68</f>
        <v>4.9178</v>
      </c>
      <c r="O1697" s="42" t="n">
        <f aca="false">I1697+J1697+L1697</f>
        <v>48.7133</v>
      </c>
    </row>
    <row r="1698" customFormat="false" ht="15" hidden="false" customHeight="false" outlineLevel="0" collapsed="false">
      <c r="B1698" s="7" t="s">
        <v>10331</v>
      </c>
      <c r="C1698" s="39" t="n">
        <v>45764</v>
      </c>
      <c r="D1698" s="7" t="s">
        <v>214</v>
      </c>
      <c r="E1698" s="7" t="s">
        <v>180</v>
      </c>
      <c r="F1698" s="6" t="n">
        <v>4.33</v>
      </c>
      <c r="G1698" s="6" t="n">
        <v>0</v>
      </c>
      <c r="H1698" s="41" t="n">
        <v>15.67</v>
      </c>
      <c r="I1698" s="43" t="n">
        <f aca="false">F1698*H1698</f>
        <v>67.8511</v>
      </c>
      <c r="J1698" s="43" t="n">
        <f aca="false">G1698*H1698*1.5</f>
        <v>0</v>
      </c>
      <c r="K1698" s="6" t="n">
        <v>9.81</v>
      </c>
      <c r="L1698" s="43" t="n">
        <f aca="false">K1698*'Chart of Accounts'!$E$68</f>
        <v>6.5727</v>
      </c>
      <c r="O1698" s="42" t="n">
        <f aca="false">I1698+J1698+L1698</f>
        <v>74.4238</v>
      </c>
    </row>
    <row r="1699" customFormat="false" ht="15" hidden="false" customHeight="false" outlineLevel="0" collapsed="false">
      <c r="B1699" s="7" t="s">
        <v>10332</v>
      </c>
      <c r="C1699" s="39" t="n">
        <v>45764</v>
      </c>
      <c r="D1699" s="7" t="s">
        <v>242</v>
      </c>
      <c r="E1699" s="7" t="s">
        <v>180</v>
      </c>
      <c r="F1699" s="6" t="n">
        <v>4.27</v>
      </c>
      <c r="G1699" s="6" t="n">
        <v>0</v>
      </c>
      <c r="H1699" s="41" t="n">
        <v>17.99</v>
      </c>
      <c r="I1699" s="43" t="n">
        <f aca="false">F1699*H1699</f>
        <v>76.8173</v>
      </c>
      <c r="J1699" s="43" t="n">
        <f aca="false">G1699*H1699*1.5</f>
        <v>0</v>
      </c>
      <c r="K1699" s="6" t="n">
        <v>13.82</v>
      </c>
      <c r="L1699" s="43" t="n">
        <f aca="false">K1699*'Chart of Accounts'!$E$68</f>
        <v>9.2594</v>
      </c>
      <c r="O1699" s="42" t="n">
        <f aca="false">I1699+J1699+L1699</f>
        <v>86.0767</v>
      </c>
    </row>
    <row r="1700" customFormat="false" ht="15" hidden="false" customHeight="false" outlineLevel="0" collapsed="false">
      <c r="B1700" s="7" t="s">
        <v>10333</v>
      </c>
      <c r="C1700" s="39" t="n">
        <v>45764</v>
      </c>
      <c r="D1700" s="7" t="s">
        <v>254</v>
      </c>
      <c r="E1700" s="7" t="s">
        <v>180</v>
      </c>
      <c r="F1700" s="6" t="n">
        <v>4.24</v>
      </c>
      <c r="G1700" s="6" t="n">
        <v>0</v>
      </c>
      <c r="H1700" s="41" t="n">
        <v>17.1</v>
      </c>
      <c r="I1700" s="43" t="n">
        <f aca="false">F1700*H1700</f>
        <v>72.504</v>
      </c>
      <c r="J1700" s="43" t="n">
        <f aca="false">G1700*H1700*1.5</f>
        <v>0</v>
      </c>
      <c r="K1700" s="6" t="n">
        <v>12.37</v>
      </c>
      <c r="L1700" s="43" t="n">
        <f aca="false">K1700*'Chart of Accounts'!$E$68</f>
        <v>8.2879</v>
      </c>
      <c r="O1700" s="42" t="n">
        <f aca="false">I1700+J1700+L1700</f>
        <v>80.7919</v>
      </c>
    </row>
    <row r="1701" customFormat="false" ht="15" hidden="false" customHeight="false" outlineLevel="0" collapsed="false">
      <c r="B1701" s="7" t="s">
        <v>10334</v>
      </c>
      <c r="C1701" s="39" t="n">
        <v>45765</v>
      </c>
      <c r="D1701" s="7" t="s">
        <v>187</v>
      </c>
      <c r="E1701" s="7" t="s">
        <v>158</v>
      </c>
      <c r="H1701" s="41" t="n">
        <v>66.48</v>
      </c>
      <c r="M1701" s="6" t="n">
        <v>1</v>
      </c>
      <c r="N1701" s="43" t="n">
        <f aca="false">M1701*H1701</f>
        <v>66.48</v>
      </c>
      <c r="O1701" s="42" t="n">
        <f aca="false">N1701</f>
        <v>66.48</v>
      </c>
    </row>
    <row r="1702" customFormat="false" ht="15" hidden="false" customHeight="false" outlineLevel="0" collapsed="false">
      <c r="B1702" s="7" t="s">
        <v>10335</v>
      </c>
      <c r="C1702" s="39" t="n">
        <v>45765</v>
      </c>
      <c r="D1702" s="7" t="s">
        <v>191</v>
      </c>
      <c r="E1702" s="7" t="s">
        <v>180</v>
      </c>
      <c r="F1702" s="6" t="n">
        <v>4.13</v>
      </c>
      <c r="G1702" s="6" t="n">
        <v>0</v>
      </c>
      <c r="H1702" s="41" t="n">
        <v>16.05</v>
      </c>
      <c r="I1702" s="43" t="n">
        <f aca="false">F1702*H1702</f>
        <v>66.2865</v>
      </c>
      <c r="J1702" s="43" t="n">
        <f aca="false">G1702*H1702*1.5</f>
        <v>0</v>
      </c>
      <c r="K1702" s="6" t="n">
        <v>12.87</v>
      </c>
      <c r="L1702" s="43" t="n">
        <f aca="false">K1702*'Chart of Accounts'!$E$68</f>
        <v>8.6229</v>
      </c>
      <c r="O1702" s="42" t="n">
        <f aca="false">I1702+J1702+L1702</f>
        <v>74.9094</v>
      </c>
    </row>
    <row r="1703" customFormat="false" ht="15" hidden="false" customHeight="false" outlineLevel="0" collapsed="false">
      <c r="B1703" s="7" t="s">
        <v>10336</v>
      </c>
      <c r="C1703" s="39" t="n">
        <v>45765</v>
      </c>
      <c r="D1703" s="7" t="s">
        <v>194</v>
      </c>
      <c r="E1703" s="7" t="s">
        <v>180</v>
      </c>
      <c r="F1703" s="6" t="n">
        <v>9.05</v>
      </c>
      <c r="G1703" s="6" t="n">
        <v>0</v>
      </c>
      <c r="H1703" s="41" t="n">
        <v>16</v>
      </c>
      <c r="I1703" s="43" t="n">
        <f aca="false">F1703*H1703</f>
        <v>144.8</v>
      </c>
      <c r="J1703" s="43" t="n">
        <f aca="false">G1703*H1703*1.5</f>
        <v>0</v>
      </c>
      <c r="K1703" s="6" t="n">
        <v>22.36</v>
      </c>
      <c r="L1703" s="43" t="n">
        <f aca="false">K1703*'Chart of Accounts'!$E$68</f>
        <v>14.9812</v>
      </c>
      <c r="O1703" s="42" t="n">
        <f aca="false">I1703+J1703+L1703</f>
        <v>159.7812</v>
      </c>
    </row>
    <row r="1704" customFormat="false" ht="15" hidden="false" customHeight="false" outlineLevel="0" collapsed="false">
      <c r="B1704" s="7" t="s">
        <v>10337</v>
      </c>
      <c r="C1704" s="39" t="n">
        <v>45765</v>
      </c>
      <c r="D1704" s="7" t="s">
        <v>209</v>
      </c>
      <c r="E1704" s="7" t="s">
        <v>158</v>
      </c>
      <c r="H1704" s="41" t="n">
        <v>73.58</v>
      </c>
      <c r="M1704" s="6" t="n">
        <v>2</v>
      </c>
      <c r="N1704" s="43" t="n">
        <f aca="false">M1704*H1704</f>
        <v>147.16</v>
      </c>
      <c r="O1704" s="42" t="n">
        <f aca="false">N1704</f>
        <v>147.16</v>
      </c>
    </row>
    <row r="1705" customFormat="false" ht="15" hidden="false" customHeight="false" outlineLevel="0" collapsed="false">
      <c r="B1705" s="7" t="s">
        <v>10338</v>
      </c>
      <c r="C1705" s="39" t="n">
        <v>45765</v>
      </c>
      <c r="D1705" s="7" t="s">
        <v>264</v>
      </c>
      <c r="E1705" s="7" t="s">
        <v>158</v>
      </c>
      <c r="H1705" s="41" t="n">
        <v>55.55</v>
      </c>
      <c r="M1705" s="6" t="n">
        <v>1</v>
      </c>
      <c r="N1705" s="43" t="n">
        <f aca="false">M1705*H1705</f>
        <v>55.55</v>
      </c>
      <c r="O1705" s="42" t="n">
        <f aca="false">N1705</f>
        <v>55.55</v>
      </c>
    </row>
    <row r="1706" customFormat="false" ht="15" hidden="false" customHeight="false" outlineLevel="0" collapsed="false">
      <c r="B1706" s="7" t="s">
        <v>10339</v>
      </c>
      <c r="C1706" s="39" t="n">
        <v>45765</v>
      </c>
      <c r="D1706" s="7" t="s">
        <v>252</v>
      </c>
      <c r="E1706" s="7" t="s">
        <v>158</v>
      </c>
      <c r="H1706" s="41" t="n">
        <v>57.54</v>
      </c>
      <c r="M1706" s="6" t="n">
        <v>1</v>
      </c>
      <c r="N1706" s="43" t="n">
        <f aca="false">M1706*H1706</f>
        <v>57.54</v>
      </c>
      <c r="O1706" s="42" t="n">
        <f aca="false">N1706</f>
        <v>57.54</v>
      </c>
    </row>
    <row r="1707" customFormat="false" ht="15" hidden="false" customHeight="false" outlineLevel="0" collapsed="false">
      <c r="B1707" s="7" t="s">
        <v>10340</v>
      </c>
      <c r="C1707" s="39" t="n">
        <v>45765</v>
      </c>
      <c r="D1707" s="7" t="s">
        <v>184</v>
      </c>
      <c r="E1707" s="7" t="s">
        <v>180</v>
      </c>
      <c r="F1707" s="6" t="n">
        <v>3.94</v>
      </c>
      <c r="G1707" s="6" t="n">
        <v>0</v>
      </c>
      <c r="H1707" s="41" t="n">
        <v>17.34</v>
      </c>
      <c r="I1707" s="43" t="n">
        <f aca="false">F1707*H1707</f>
        <v>68.3196</v>
      </c>
      <c r="J1707" s="43" t="n">
        <f aca="false">G1707*H1707*1.5</f>
        <v>0</v>
      </c>
      <c r="K1707" s="6" t="n">
        <v>13.38</v>
      </c>
      <c r="L1707" s="43" t="n">
        <f aca="false">K1707*'Chart of Accounts'!$E$68</f>
        <v>8.9646</v>
      </c>
      <c r="O1707" s="42" t="n">
        <f aca="false">I1707+J1707+L1707</f>
        <v>77.2842</v>
      </c>
    </row>
    <row r="1708" customFormat="false" ht="15" hidden="false" customHeight="false" outlineLevel="0" collapsed="false">
      <c r="B1708" s="7" t="s">
        <v>10341</v>
      </c>
      <c r="C1708" s="39" t="n">
        <v>45765</v>
      </c>
      <c r="D1708" s="7" t="s">
        <v>234</v>
      </c>
      <c r="E1708" s="7" t="s">
        <v>158</v>
      </c>
      <c r="H1708" s="41" t="n">
        <v>89.53</v>
      </c>
      <c r="M1708" s="6" t="n">
        <v>2</v>
      </c>
      <c r="N1708" s="43" t="n">
        <f aca="false">M1708*H1708</f>
        <v>179.06</v>
      </c>
      <c r="O1708" s="42" t="n">
        <f aca="false">N1708</f>
        <v>179.06</v>
      </c>
    </row>
    <row r="1709" customFormat="false" ht="15" hidden="false" customHeight="false" outlineLevel="0" collapsed="false">
      <c r="B1709" s="7" t="s">
        <v>10342</v>
      </c>
      <c r="C1709" s="39" t="n">
        <v>45765</v>
      </c>
      <c r="D1709" s="7" t="s">
        <v>218</v>
      </c>
      <c r="E1709" s="7" t="s">
        <v>180</v>
      </c>
      <c r="F1709" s="6" t="n">
        <v>3.88</v>
      </c>
      <c r="G1709" s="6" t="n">
        <v>0</v>
      </c>
      <c r="H1709" s="41" t="n">
        <v>16.19</v>
      </c>
      <c r="I1709" s="43" t="n">
        <f aca="false">F1709*H1709</f>
        <v>62.8172</v>
      </c>
      <c r="J1709" s="43" t="n">
        <f aca="false">G1709*H1709*1.5</f>
        <v>0</v>
      </c>
      <c r="K1709" s="6" t="n">
        <v>12.15</v>
      </c>
      <c r="L1709" s="43" t="n">
        <f aca="false">K1709*'Chart of Accounts'!$E$68</f>
        <v>8.1405</v>
      </c>
      <c r="O1709" s="42" t="n">
        <f aca="false">I1709+J1709+L1709</f>
        <v>70.9577</v>
      </c>
    </row>
    <row r="1710" customFormat="false" ht="15" hidden="false" customHeight="false" outlineLevel="0" collapsed="false">
      <c r="B1710" s="7" t="s">
        <v>10343</v>
      </c>
      <c r="C1710" s="39" t="n">
        <v>45765</v>
      </c>
      <c r="D1710" s="7" t="s">
        <v>266</v>
      </c>
      <c r="E1710" s="7" t="s">
        <v>158</v>
      </c>
      <c r="H1710" s="41" t="n">
        <v>75.18</v>
      </c>
      <c r="M1710" s="6" t="n">
        <v>1</v>
      </c>
      <c r="N1710" s="43" t="n">
        <f aca="false">M1710*H1710</f>
        <v>75.18</v>
      </c>
      <c r="O1710" s="42" t="n">
        <f aca="false">N1710</f>
        <v>75.18</v>
      </c>
    </row>
    <row r="1711" customFormat="false" ht="15" hidden="false" customHeight="false" outlineLevel="0" collapsed="false">
      <c r="B1711" s="7" t="s">
        <v>10344</v>
      </c>
      <c r="C1711" s="39" t="n">
        <v>45765</v>
      </c>
      <c r="D1711" s="7" t="s">
        <v>228</v>
      </c>
      <c r="E1711" s="7" t="s">
        <v>158</v>
      </c>
      <c r="H1711" s="41" t="n">
        <v>51.07</v>
      </c>
      <c r="M1711" s="6" t="n">
        <v>1</v>
      </c>
      <c r="N1711" s="43" t="n">
        <f aca="false">M1711*H1711</f>
        <v>51.07</v>
      </c>
      <c r="O1711" s="42" t="n">
        <f aca="false">N1711</f>
        <v>51.07</v>
      </c>
    </row>
    <row r="1712" customFormat="false" ht="15" hidden="false" customHeight="false" outlineLevel="0" collapsed="false">
      <c r="B1712" s="7" t="s">
        <v>10345</v>
      </c>
      <c r="C1712" s="39" t="n">
        <v>45765</v>
      </c>
      <c r="D1712" s="7" t="s">
        <v>220</v>
      </c>
      <c r="E1712" s="7" t="s">
        <v>180</v>
      </c>
      <c r="F1712" s="6" t="n">
        <v>4.34</v>
      </c>
      <c r="G1712" s="6" t="n">
        <v>0</v>
      </c>
      <c r="H1712" s="41" t="n">
        <v>16.43</v>
      </c>
      <c r="I1712" s="43" t="n">
        <f aca="false">F1712*H1712</f>
        <v>71.3062</v>
      </c>
      <c r="J1712" s="43" t="n">
        <f aca="false">G1712*H1712*1.5</f>
        <v>0</v>
      </c>
      <c r="K1712" s="6" t="n">
        <v>11.83</v>
      </c>
      <c r="L1712" s="43" t="n">
        <f aca="false">K1712*'Chart of Accounts'!$E$68</f>
        <v>7.9261</v>
      </c>
      <c r="O1712" s="42" t="n">
        <f aca="false">I1712+J1712+L1712</f>
        <v>79.2323</v>
      </c>
    </row>
    <row r="1713" customFormat="false" ht="15" hidden="false" customHeight="false" outlineLevel="0" collapsed="false">
      <c r="B1713" s="7" t="s">
        <v>10346</v>
      </c>
      <c r="C1713" s="39" t="n">
        <v>45765</v>
      </c>
      <c r="D1713" s="7" t="s">
        <v>177</v>
      </c>
      <c r="E1713" s="7" t="s">
        <v>180</v>
      </c>
      <c r="F1713" s="6" t="n">
        <v>9.06</v>
      </c>
      <c r="G1713" s="6" t="n">
        <v>0</v>
      </c>
      <c r="H1713" s="41" t="n">
        <v>14.56</v>
      </c>
      <c r="I1713" s="43" t="n">
        <f aca="false">F1713*H1713</f>
        <v>131.9136</v>
      </c>
      <c r="J1713" s="43" t="n">
        <f aca="false">G1713*H1713*1.5</f>
        <v>0</v>
      </c>
      <c r="K1713" s="6" t="n">
        <v>27.2</v>
      </c>
      <c r="L1713" s="43" t="n">
        <f aca="false">K1713*'Chart of Accounts'!$E$68</f>
        <v>18.224</v>
      </c>
      <c r="O1713" s="42" t="n">
        <f aca="false">I1713+J1713+L1713</f>
        <v>150.1376</v>
      </c>
    </row>
    <row r="1714" customFormat="false" ht="15" hidden="false" customHeight="false" outlineLevel="0" collapsed="false">
      <c r="B1714" s="7" t="s">
        <v>10347</v>
      </c>
      <c r="C1714" s="39" t="n">
        <v>45765</v>
      </c>
      <c r="D1714" s="7" t="s">
        <v>242</v>
      </c>
      <c r="E1714" s="7" t="s">
        <v>180</v>
      </c>
      <c r="F1714" s="6" t="n">
        <v>7.69</v>
      </c>
      <c r="G1714" s="6" t="n">
        <v>0</v>
      </c>
      <c r="H1714" s="41" t="n">
        <v>17.99</v>
      </c>
      <c r="I1714" s="43" t="n">
        <f aca="false">F1714*H1714</f>
        <v>138.3431</v>
      </c>
      <c r="J1714" s="43" t="n">
        <f aca="false">G1714*H1714*1.5</f>
        <v>0</v>
      </c>
      <c r="K1714" s="6" t="n">
        <v>17.47</v>
      </c>
      <c r="L1714" s="43" t="n">
        <f aca="false">K1714*'Chart of Accounts'!$E$68</f>
        <v>11.7049</v>
      </c>
      <c r="O1714" s="42" t="n">
        <f aca="false">I1714+J1714+L1714</f>
        <v>150.048</v>
      </c>
    </row>
    <row r="1715" customFormat="false" ht="15" hidden="false" customHeight="false" outlineLevel="0" collapsed="false">
      <c r="B1715" s="7" t="s">
        <v>10348</v>
      </c>
      <c r="C1715" s="39" t="n">
        <v>45765</v>
      </c>
      <c r="D1715" s="7" t="s">
        <v>254</v>
      </c>
      <c r="E1715" s="7" t="s">
        <v>180</v>
      </c>
      <c r="F1715" s="6" t="n">
        <v>7.4</v>
      </c>
      <c r="G1715" s="6" t="n">
        <v>0</v>
      </c>
      <c r="H1715" s="41" t="n">
        <v>17.1</v>
      </c>
      <c r="I1715" s="43" t="n">
        <f aca="false">F1715*H1715</f>
        <v>126.54</v>
      </c>
      <c r="J1715" s="43" t="n">
        <f aca="false">G1715*H1715*1.5</f>
        <v>0</v>
      </c>
      <c r="K1715" s="6" t="n">
        <v>23.33</v>
      </c>
      <c r="L1715" s="43" t="n">
        <f aca="false">K1715*'Chart of Accounts'!$E$68</f>
        <v>15.6311</v>
      </c>
      <c r="O1715" s="42" t="n">
        <f aca="false">I1715+J1715+L1715</f>
        <v>142.1711</v>
      </c>
    </row>
    <row r="1716" customFormat="false" ht="15" hidden="false" customHeight="false" outlineLevel="0" collapsed="false">
      <c r="B1716" s="7" t="s">
        <v>10349</v>
      </c>
      <c r="C1716" s="39" t="n">
        <v>45765</v>
      </c>
      <c r="D1716" s="7" t="s">
        <v>201</v>
      </c>
      <c r="E1716" s="7" t="s">
        <v>180</v>
      </c>
      <c r="F1716" s="6" t="n">
        <v>3.42</v>
      </c>
      <c r="G1716" s="6" t="n">
        <v>0</v>
      </c>
      <c r="H1716" s="41" t="n">
        <v>15.19</v>
      </c>
      <c r="I1716" s="43" t="n">
        <f aca="false">F1716*H1716</f>
        <v>51.9498</v>
      </c>
      <c r="J1716" s="43" t="n">
        <f aca="false">G1716*H1716*1.5</f>
        <v>0</v>
      </c>
      <c r="K1716" s="6" t="n">
        <v>12.07</v>
      </c>
      <c r="L1716" s="43" t="n">
        <f aca="false">K1716*'Chart of Accounts'!$E$68</f>
        <v>8.0869</v>
      </c>
      <c r="O1716" s="42" t="n">
        <f aca="false">I1716+J1716+L1716</f>
        <v>60.0367</v>
      </c>
    </row>
    <row r="1717" customFormat="false" ht="15" hidden="false" customHeight="false" outlineLevel="0" collapsed="false">
      <c r="B1717" s="7" t="s">
        <v>10350</v>
      </c>
      <c r="C1717" s="39" t="n">
        <v>45765</v>
      </c>
      <c r="D1717" s="7" t="s">
        <v>207</v>
      </c>
      <c r="E1717" s="7" t="s">
        <v>180</v>
      </c>
      <c r="F1717" s="6" t="n">
        <v>3.1</v>
      </c>
      <c r="G1717" s="6" t="n">
        <v>0</v>
      </c>
      <c r="H1717" s="41" t="n">
        <v>16.65</v>
      </c>
      <c r="I1717" s="43" t="n">
        <f aca="false">F1717*H1717</f>
        <v>51.615</v>
      </c>
      <c r="J1717" s="43" t="n">
        <f aca="false">G1717*H1717*1.5</f>
        <v>0</v>
      </c>
      <c r="K1717" s="6" t="n">
        <v>10.78</v>
      </c>
      <c r="L1717" s="43" t="n">
        <f aca="false">K1717*'Chart of Accounts'!$E$68</f>
        <v>7.2226</v>
      </c>
      <c r="O1717" s="42" t="n">
        <f aca="false">I1717+J1717+L1717</f>
        <v>58.8376</v>
      </c>
    </row>
    <row r="1718" customFormat="false" ht="15" hidden="false" customHeight="false" outlineLevel="0" collapsed="false">
      <c r="B1718" s="7" t="s">
        <v>10351</v>
      </c>
      <c r="C1718" s="39" t="n">
        <v>45765</v>
      </c>
      <c r="D1718" s="7" t="s">
        <v>212</v>
      </c>
      <c r="E1718" s="7" t="s">
        <v>180</v>
      </c>
      <c r="F1718" s="6" t="n">
        <v>4</v>
      </c>
      <c r="G1718" s="6" t="n">
        <v>0</v>
      </c>
      <c r="H1718" s="41" t="n">
        <v>16.71</v>
      </c>
      <c r="I1718" s="43" t="n">
        <f aca="false">F1718*H1718</f>
        <v>66.84</v>
      </c>
      <c r="J1718" s="43" t="n">
        <f aca="false">G1718*H1718*1.5</f>
        <v>0</v>
      </c>
      <c r="K1718" s="6" t="n">
        <v>13.39</v>
      </c>
      <c r="L1718" s="43" t="n">
        <f aca="false">K1718*'Chart of Accounts'!$E$68</f>
        <v>8.9713</v>
      </c>
      <c r="O1718" s="42" t="n">
        <f aca="false">I1718+J1718+L1718</f>
        <v>75.8113</v>
      </c>
    </row>
    <row r="1719" customFormat="false" ht="15" hidden="false" customHeight="false" outlineLevel="0" collapsed="false">
      <c r="B1719" s="7" t="s">
        <v>10352</v>
      </c>
      <c r="C1719" s="39" t="n">
        <v>45765</v>
      </c>
      <c r="D1719" s="7" t="s">
        <v>232</v>
      </c>
      <c r="E1719" s="7" t="s">
        <v>180</v>
      </c>
      <c r="F1719" s="6" t="n">
        <v>4.92</v>
      </c>
      <c r="G1719" s="6" t="n">
        <v>0</v>
      </c>
      <c r="H1719" s="41" t="n">
        <v>16.17</v>
      </c>
      <c r="I1719" s="43" t="n">
        <f aca="false">F1719*H1719</f>
        <v>79.5564</v>
      </c>
      <c r="J1719" s="43" t="n">
        <f aca="false">G1719*H1719*1.5</f>
        <v>0</v>
      </c>
      <c r="K1719" s="6" t="n">
        <v>16.7</v>
      </c>
      <c r="L1719" s="43" t="n">
        <f aca="false">K1719*'Chart of Accounts'!$E$68</f>
        <v>11.189</v>
      </c>
      <c r="O1719" s="42" t="n">
        <f aca="false">I1719+J1719+L1719</f>
        <v>90.7454</v>
      </c>
    </row>
    <row r="1720" customFormat="false" ht="15" hidden="false" customHeight="false" outlineLevel="0" collapsed="false">
      <c r="B1720" s="7" t="s">
        <v>10353</v>
      </c>
      <c r="C1720" s="39" t="n">
        <v>45765</v>
      </c>
      <c r="D1720" s="7" t="s">
        <v>224</v>
      </c>
      <c r="E1720" s="7" t="s">
        <v>180</v>
      </c>
      <c r="F1720" s="6" t="n">
        <v>4.52</v>
      </c>
      <c r="G1720" s="6" t="n">
        <v>0</v>
      </c>
      <c r="H1720" s="41" t="n">
        <v>14.93</v>
      </c>
      <c r="I1720" s="43" t="n">
        <f aca="false">F1720*H1720</f>
        <v>67.4836</v>
      </c>
      <c r="J1720" s="43" t="n">
        <f aca="false">G1720*H1720*1.5</f>
        <v>0</v>
      </c>
      <c r="K1720" s="6" t="n">
        <v>12.97</v>
      </c>
      <c r="L1720" s="43" t="n">
        <f aca="false">K1720*'Chart of Accounts'!$E$68</f>
        <v>8.6899</v>
      </c>
      <c r="O1720" s="42" t="n">
        <f aca="false">I1720+J1720+L1720</f>
        <v>76.1735</v>
      </c>
    </row>
    <row r="1721" customFormat="false" ht="15" hidden="false" customHeight="false" outlineLevel="0" collapsed="false">
      <c r="B1721" s="7" t="s">
        <v>10354</v>
      </c>
      <c r="C1721" s="39" t="n">
        <v>45765</v>
      </c>
      <c r="D1721" s="7" t="s">
        <v>238</v>
      </c>
      <c r="E1721" s="7" t="s">
        <v>180</v>
      </c>
      <c r="F1721" s="6" t="n">
        <v>4.13</v>
      </c>
      <c r="G1721" s="6" t="n">
        <v>0</v>
      </c>
      <c r="H1721" s="41" t="n">
        <v>15.85</v>
      </c>
      <c r="I1721" s="43" t="n">
        <f aca="false">F1721*H1721</f>
        <v>65.4605</v>
      </c>
      <c r="J1721" s="43" t="n">
        <f aca="false">G1721*H1721*1.5</f>
        <v>0</v>
      </c>
      <c r="K1721" s="6" t="n">
        <v>10.22</v>
      </c>
      <c r="L1721" s="43" t="n">
        <f aca="false">K1721*'Chart of Accounts'!$E$68</f>
        <v>6.8474</v>
      </c>
      <c r="O1721" s="42" t="n">
        <f aca="false">I1721+J1721+L1721</f>
        <v>72.3079</v>
      </c>
    </row>
    <row r="1722" customFormat="false" ht="15" hidden="false" customHeight="false" outlineLevel="0" collapsed="false">
      <c r="B1722" s="7" t="s">
        <v>10355</v>
      </c>
      <c r="C1722" s="39" t="n">
        <v>45765</v>
      </c>
      <c r="D1722" s="7" t="s">
        <v>246</v>
      </c>
      <c r="E1722" s="7" t="s">
        <v>180</v>
      </c>
      <c r="F1722" s="6" t="n">
        <v>3.94</v>
      </c>
      <c r="G1722" s="6" t="n">
        <v>0</v>
      </c>
      <c r="H1722" s="41" t="n">
        <v>16.48</v>
      </c>
      <c r="I1722" s="43" t="n">
        <f aca="false">F1722*H1722</f>
        <v>64.9312</v>
      </c>
      <c r="J1722" s="43" t="n">
        <f aca="false">G1722*H1722*1.5</f>
        <v>0</v>
      </c>
      <c r="K1722" s="6" t="n">
        <v>13.81</v>
      </c>
      <c r="L1722" s="43" t="n">
        <f aca="false">K1722*'Chart of Accounts'!$E$68</f>
        <v>9.2527</v>
      </c>
      <c r="O1722" s="42" t="n">
        <f aca="false">I1722+J1722+L1722</f>
        <v>74.1839</v>
      </c>
    </row>
    <row r="1723" customFormat="false" ht="15" hidden="false" customHeight="false" outlineLevel="0" collapsed="false">
      <c r="B1723" s="7" t="s">
        <v>10356</v>
      </c>
      <c r="C1723" s="39" t="n">
        <v>45765</v>
      </c>
      <c r="D1723" s="7" t="s">
        <v>222</v>
      </c>
      <c r="E1723" s="7" t="s">
        <v>180</v>
      </c>
      <c r="F1723" s="6" t="n">
        <v>3.93</v>
      </c>
      <c r="G1723" s="6" t="n">
        <v>0</v>
      </c>
      <c r="H1723" s="41" t="n">
        <v>17.84</v>
      </c>
      <c r="I1723" s="43" t="n">
        <f aca="false">F1723*H1723</f>
        <v>70.1112</v>
      </c>
      <c r="J1723" s="43" t="n">
        <f aca="false">G1723*H1723*1.5</f>
        <v>0</v>
      </c>
      <c r="K1723" s="6" t="n">
        <v>9.05</v>
      </c>
      <c r="L1723" s="43" t="n">
        <f aca="false">K1723*'Chart of Accounts'!$E$68</f>
        <v>6.0635</v>
      </c>
      <c r="O1723" s="42" t="n">
        <f aca="false">I1723+J1723+L1723</f>
        <v>76.1747</v>
      </c>
    </row>
    <row r="1724" customFormat="false" ht="15" hidden="false" customHeight="false" outlineLevel="0" collapsed="false">
      <c r="B1724" s="7" t="s">
        <v>10357</v>
      </c>
      <c r="C1724" s="39" t="n">
        <v>45765</v>
      </c>
      <c r="D1724" s="7" t="s">
        <v>203</v>
      </c>
      <c r="E1724" s="7" t="s">
        <v>158</v>
      </c>
      <c r="H1724" s="41" t="n">
        <v>49.43</v>
      </c>
      <c r="M1724" s="6" t="n">
        <v>1</v>
      </c>
      <c r="N1724" s="43" t="n">
        <f aca="false">M1724*H1724</f>
        <v>49.43</v>
      </c>
      <c r="O1724" s="42" t="n">
        <f aca="false">N1724</f>
        <v>49.43</v>
      </c>
    </row>
    <row r="1725" customFormat="false" ht="15" hidden="false" customHeight="false" outlineLevel="0" collapsed="false">
      <c r="B1725" s="7" t="s">
        <v>10358</v>
      </c>
      <c r="C1725" s="39" t="n">
        <v>45765</v>
      </c>
      <c r="D1725" s="7" t="s">
        <v>262</v>
      </c>
      <c r="E1725" s="7" t="s">
        <v>180</v>
      </c>
      <c r="F1725" s="6" t="n">
        <v>3.54</v>
      </c>
      <c r="G1725" s="6" t="n">
        <v>0</v>
      </c>
      <c r="H1725" s="41" t="n">
        <v>16.02</v>
      </c>
      <c r="I1725" s="43" t="n">
        <f aca="false">F1725*H1725</f>
        <v>56.7108</v>
      </c>
      <c r="J1725" s="43" t="n">
        <f aca="false">G1725*H1725*1.5</f>
        <v>0</v>
      </c>
      <c r="K1725" s="6" t="n">
        <v>9.09</v>
      </c>
      <c r="L1725" s="43" t="n">
        <f aca="false">K1725*'Chart of Accounts'!$E$68</f>
        <v>6.0903</v>
      </c>
      <c r="O1725" s="42" t="n">
        <f aca="false">I1725+J1725+L1725</f>
        <v>62.8011</v>
      </c>
    </row>
    <row r="1726" customFormat="false" ht="15" hidden="false" customHeight="false" outlineLevel="0" collapsed="false">
      <c r="B1726" s="7" t="s">
        <v>10359</v>
      </c>
      <c r="C1726" s="39" t="n">
        <v>45765</v>
      </c>
      <c r="D1726" s="7" t="s">
        <v>260</v>
      </c>
      <c r="E1726" s="7" t="s">
        <v>158</v>
      </c>
      <c r="H1726" s="41" t="n">
        <v>79.8</v>
      </c>
      <c r="M1726" s="6" t="n">
        <v>1</v>
      </c>
      <c r="N1726" s="43" t="n">
        <f aca="false">M1726*H1726</f>
        <v>79.8</v>
      </c>
      <c r="O1726" s="42" t="n">
        <f aca="false">N1726</f>
        <v>79.8</v>
      </c>
    </row>
    <row r="1727" customFormat="false" ht="15" hidden="false" customHeight="false" outlineLevel="0" collapsed="false">
      <c r="B1727" s="7" t="s">
        <v>10360</v>
      </c>
      <c r="C1727" s="39" t="n">
        <v>45765</v>
      </c>
      <c r="D1727" s="7" t="s">
        <v>214</v>
      </c>
      <c r="E1727" s="7" t="s">
        <v>180</v>
      </c>
      <c r="F1727" s="6" t="n">
        <v>3.43</v>
      </c>
      <c r="G1727" s="6" t="n">
        <v>0</v>
      </c>
      <c r="H1727" s="41" t="n">
        <v>15.67</v>
      </c>
      <c r="I1727" s="43" t="n">
        <f aca="false">F1727*H1727</f>
        <v>53.7481</v>
      </c>
      <c r="J1727" s="43" t="n">
        <f aca="false">G1727*H1727*1.5</f>
        <v>0</v>
      </c>
      <c r="K1727" s="6" t="n">
        <v>8.81</v>
      </c>
      <c r="L1727" s="43" t="n">
        <f aca="false">K1727*'Chart of Accounts'!$E$68</f>
        <v>5.9027</v>
      </c>
      <c r="O1727" s="42" t="n">
        <f aca="false">I1727+J1727+L1727</f>
        <v>59.6508</v>
      </c>
    </row>
    <row r="1728" customFormat="false" ht="15" hidden="false" customHeight="false" outlineLevel="0" collapsed="false">
      <c r="B1728" s="7" t="s">
        <v>10361</v>
      </c>
      <c r="C1728" s="39" t="n">
        <v>45766</v>
      </c>
      <c r="D1728" s="7" t="s">
        <v>191</v>
      </c>
      <c r="E1728" s="7" t="s">
        <v>180</v>
      </c>
      <c r="F1728" s="6" t="n">
        <v>4.02</v>
      </c>
      <c r="G1728" s="6" t="n">
        <v>0</v>
      </c>
      <c r="H1728" s="41" t="n">
        <v>16.05</v>
      </c>
      <c r="I1728" s="43" t="n">
        <f aca="false">F1728*H1728</f>
        <v>64.521</v>
      </c>
      <c r="J1728" s="43" t="n">
        <f aca="false">G1728*H1728*1.5</f>
        <v>0</v>
      </c>
      <c r="K1728" s="6" t="n">
        <v>9.55</v>
      </c>
      <c r="L1728" s="43" t="n">
        <f aca="false">K1728*'Chart of Accounts'!$E$68</f>
        <v>6.3985</v>
      </c>
      <c r="O1728" s="42" t="n">
        <f aca="false">I1728+J1728+L1728</f>
        <v>70.9195</v>
      </c>
    </row>
    <row r="1729" customFormat="false" ht="15" hidden="false" customHeight="false" outlineLevel="0" collapsed="false">
      <c r="B1729" s="7" t="s">
        <v>10362</v>
      </c>
      <c r="C1729" s="39" t="n">
        <v>45766</v>
      </c>
      <c r="D1729" s="7" t="s">
        <v>218</v>
      </c>
      <c r="E1729" s="7" t="s">
        <v>180</v>
      </c>
      <c r="F1729" s="6" t="n">
        <v>4.14</v>
      </c>
      <c r="G1729" s="6" t="n">
        <v>0</v>
      </c>
      <c r="H1729" s="41" t="n">
        <v>16.19</v>
      </c>
      <c r="I1729" s="43" t="n">
        <f aca="false">F1729*H1729</f>
        <v>67.0266</v>
      </c>
      <c r="J1729" s="43" t="n">
        <f aca="false">G1729*H1729*1.5</f>
        <v>0</v>
      </c>
      <c r="K1729" s="6" t="n">
        <v>13.03</v>
      </c>
      <c r="L1729" s="43" t="n">
        <f aca="false">K1729*'Chart of Accounts'!$E$68</f>
        <v>8.7301</v>
      </c>
      <c r="O1729" s="42" t="n">
        <f aca="false">I1729+J1729+L1729</f>
        <v>75.7567</v>
      </c>
    </row>
    <row r="1730" customFormat="false" ht="15" hidden="false" customHeight="false" outlineLevel="0" collapsed="false">
      <c r="B1730" s="7" t="s">
        <v>10363</v>
      </c>
      <c r="C1730" s="39" t="n">
        <v>45766</v>
      </c>
      <c r="D1730" s="7" t="s">
        <v>212</v>
      </c>
      <c r="E1730" s="7" t="s">
        <v>180</v>
      </c>
      <c r="F1730" s="6" t="n">
        <v>4.19</v>
      </c>
      <c r="G1730" s="6" t="n">
        <v>0</v>
      </c>
      <c r="H1730" s="41" t="n">
        <v>16.71</v>
      </c>
      <c r="I1730" s="43" t="n">
        <f aca="false">F1730*H1730</f>
        <v>70.0149</v>
      </c>
      <c r="J1730" s="43" t="n">
        <f aca="false">G1730*H1730*1.5</f>
        <v>0</v>
      </c>
      <c r="K1730" s="6" t="n">
        <v>14.76</v>
      </c>
      <c r="L1730" s="43" t="n">
        <f aca="false">K1730*'Chart of Accounts'!$E$68</f>
        <v>9.8892</v>
      </c>
      <c r="O1730" s="42" t="n">
        <f aca="false">I1730+J1730+L1730</f>
        <v>79.9041</v>
      </c>
    </row>
    <row r="1731" customFormat="false" ht="15" hidden="false" customHeight="false" outlineLevel="0" collapsed="false">
      <c r="B1731" s="7" t="s">
        <v>10364</v>
      </c>
      <c r="C1731" s="39" t="n">
        <v>45766</v>
      </c>
      <c r="D1731" s="7" t="s">
        <v>222</v>
      </c>
      <c r="E1731" s="7" t="s">
        <v>180</v>
      </c>
      <c r="F1731" s="6" t="n">
        <v>3.82</v>
      </c>
      <c r="G1731" s="6" t="n">
        <v>0</v>
      </c>
      <c r="H1731" s="41" t="n">
        <v>17.84</v>
      </c>
      <c r="I1731" s="43" t="n">
        <f aca="false">F1731*H1731</f>
        <v>68.1488</v>
      </c>
      <c r="J1731" s="43" t="n">
        <f aca="false">G1731*H1731*1.5</f>
        <v>0</v>
      </c>
      <c r="K1731" s="6" t="n">
        <v>10.9</v>
      </c>
      <c r="L1731" s="43" t="n">
        <f aca="false">K1731*'Chart of Accounts'!$E$68</f>
        <v>7.303</v>
      </c>
      <c r="O1731" s="42" t="n">
        <f aca="false">I1731+J1731+L1731</f>
        <v>75.4518</v>
      </c>
    </row>
    <row r="1732" customFormat="false" ht="15" hidden="false" customHeight="false" outlineLevel="0" collapsed="false">
      <c r="B1732" s="7" t="s">
        <v>10365</v>
      </c>
      <c r="C1732" s="39" t="n">
        <v>45766</v>
      </c>
      <c r="D1732" s="7" t="s">
        <v>242</v>
      </c>
      <c r="E1732" s="7" t="s">
        <v>180</v>
      </c>
      <c r="F1732" s="6" t="n">
        <v>4.16</v>
      </c>
      <c r="G1732" s="6" t="n">
        <v>0</v>
      </c>
      <c r="H1732" s="41" t="n">
        <v>17.99</v>
      </c>
      <c r="I1732" s="43" t="n">
        <f aca="false">F1732*H1732</f>
        <v>74.8384</v>
      </c>
      <c r="J1732" s="43" t="n">
        <f aca="false">G1732*H1732*1.5</f>
        <v>0</v>
      </c>
      <c r="K1732" s="6" t="n">
        <v>12.81</v>
      </c>
      <c r="L1732" s="43" t="n">
        <f aca="false">K1732*'Chart of Accounts'!$E$68</f>
        <v>8.5827</v>
      </c>
      <c r="O1732" s="42" t="n">
        <f aca="false">I1732+J1732+L1732</f>
        <v>83.4211</v>
      </c>
    </row>
    <row r="1733" customFormat="false" ht="15" hidden="false" customHeight="false" outlineLevel="0" collapsed="false">
      <c r="B1733" s="7" t="s">
        <v>10366</v>
      </c>
      <c r="C1733" s="39" t="n">
        <v>45766</v>
      </c>
      <c r="D1733" s="7" t="s">
        <v>254</v>
      </c>
      <c r="E1733" s="7" t="s">
        <v>180</v>
      </c>
      <c r="F1733" s="6" t="n">
        <v>4.04</v>
      </c>
      <c r="G1733" s="6" t="n">
        <v>0</v>
      </c>
      <c r="H1733" s="41" t="n">
        <v>17.1</v>
      </c>
      <c r="I1733" s="43" t="n">
        <f aca="false">F1733*H1733</f>
        <v>69.084</v>
      </c>
      <c r="J1733" s="43" t="n">
        <f aca="false">G1733*H1733*1.5</f>
        <v>0</v>
      </c>
      <c r="K1733" s="6" t="n">
        <v>12.44</v>
      </c>
      <c r="L1733" s="43" t="n">
        <f aca="false">K1733*'Chart of Accounts'!$E$68</f>
        <v>8.3348</v>
      </c>
      <c r="O1733" s="42" t="n">
        <f aca="false">I1733+J1733+L1733</f>
        <v>77.4188</v>
      </c>
    </row>
    <row r="1734" customFormat="false" ht="15" hidden="false" customHeight="false" outlineLevel="0" collapsed="false">
      <c r="B1734" s="7" t="s">
        <v>10367</v>
      </c>
      <c r="C1734" s="39" t="n">
        <v>45767</v>
      </c>
      <c r="D1734" s="7" t="s">
        <v>191</v>
      </c>
      <c r="E1734" s="7" t="s">
        <v>180</v>
      </c>
      <c r="F1734" s="6" t="n">
        <v>4.16</v>
      </c>
      <c r="G1734" s="6" t="n">
        <v>0</v>
      </c>
      <c r="H1734" s="41" t="n">
        <v>16.05</v>
      </c>
      <c r="I1734" s="43" t="n">
        <f aca="false">F1734*H1734</f>
        <v>66.768</v>
      </c>
      <c r="J1734" s="43" t="n">
        <f aca="false">G1734*H1734*1.5</f>
        <v>0</v>
      </c>
      <c r="K1734" s="6" t="n">
        <v>11.56</v>
      </c>
      <c r="L1734" s="43" t="n">
        <f aca="false">K1734*'Chart of Accounts'!$E$68</f>
        <v>7.7452</v>
      </c>
      <c r="O1734" s="42" t="n">
        <f aca="false">I1734+J1734+L1734</f>
        <v>74.5132</v>
      </c>
    </row>
    <row r="1735" customFormat="false" ht="15" hidden="false" customHeight="false" outlineLevel="0" collapsed="false">
      <c r="B1735" s="7" t="s">
        <v>10368</v>
      </c>
      <c r="C1735" s="39" t="n">
        <v>45767</v>
      </c>
      <c r="D1735" s="7" t="s">
        <v>218</v>
      </c>
      <c r="E1735" s="7" t="s">
        <v>180</v>
      </c>
      <c r="F1735" s="6" t="n">
        <v>3.92</v>
      </c>
      <c r="G1735" s="6" t="n">
        <v>0</v>
      </c>
      <c r="H1735" s="41" t="n">
        <v>16.19</v>
      </c>
      <c r="I1735" s="43" t="n">
        <f aca="false">F1735*H1735</f>
        <v>63.4648</v>
      </c>
      <c r="J1735" s="43" t="n">
        <f aca="false">G1735*H1735*1.5</f>
        <v>0</v>
      </c>
      <c r="K1735" s="6" t="n">
        <v>13.57</v>
      </c>
      <c r="L1735" s="43" t="n">
        <f aca="false">K1735*'Chart of Accounts'!$E$68</f>
        <v>9.0919</v>
      </c>
      <c r="O1735" s="42" t="n">
        <f aca="false">I1735+J1735+L1735</f>
        <v>72.5567</v>
      </c>
    </row>
    <row r="1736" customFormat="false" ht="15" hidden="false" customHeight="false" outlineLevel="0" collapsed="false">
      <c r="B1736" s="7" t="s">
        <v>10369</v>
      </c>
      <c r="C1736" s="39" t="n">
        <v>45767</v>
      </c>
      <c r="D1736" s="7" t="s">
        <v>212</v>
      </c>
      <c r="E1736" s="7" t="s">
        <v>180</v>
      </c>
      <c r="F1736" s="6" t="n">
        <v>3.63</v>
      </c>
      <c r="G1736" s="6" t="n">
        <v>0</v>
      </c>
      <c r="H1736" s="41" t="n">
        <v>16.71</v>
      </c>
      <c r="I1736" s="43" t="n">
        <f aca="false">F1736*H1736</f>
        <v>60.6573</v>
      </c>
      <c r="J1736" s="43" t="n">
        <f aca="false">G1736*H1736*1.5</f>
        <v>0</v>
      </c>
      <c r="K1736" s="6" t="n">
        <v>9.83</v>
      </c>
      <c r="L1736" s="43" t="n">
        <f aca="false">K1736*'Chart of Accounts'!$E$68</f>
        <v>6.5861</v>
      </c>
      <c r="O1736" s="42" t="n">
        <f aca="false">I1736+J1736+L1736</f>
        <v>67.2434</v>
      </c>
    </row>
    <row r="1737" customFormat="false" ht="15" hidden="false" customHeight="false" outlineLevel="0" collapsed="false">
      <c r="B1737" s="7" t="s">
        <v>10370</v>
      </c>
      <c r="C1737" s="39" t="n">
        <v>45767</v>
      </c>
      <c r="D1737" s="7" t="s">
        <v>222</v>
      </c>
      <c r="E1737" s="7" t="s">
        <v>180</v>
      </c>
      <c r="F1737" s="6" t="n">
        <v>4.19</v>
      </c>
      <c r="G1737" s="6" t="n">
        <v>0</v>
      </c>
      <c r="H1737" s="41" t="n">
        <v>17.84</v>
      </c>
      <c r="I1737" s="43" t="n">
        <f aca="false">F1737*H1737</f>
        <v>74.7496</v>
      </c>
      <c r="J1737" s="43" t="n">
        <f aca="false">G1737*H1737*1.5</f>
        <v>0</v>
      </c>
      <c r="K1737" s="6" t="n">
        <v>11.08</v>
      </c>
      <c r="L1737" s="43" t="n">
        <f aca="false">K1737*'Chart of Accounts'!$E$68</f>
        <v>7.4236</v>
      </c>
      <c r="O1737" s="42" t="n">
        <f aca="false">I1737+J1737+L1737</f>
        <v>82.1732</v>
      </c>
    </row>
    <row r="1738" customFormat="false" ht="15" hidden="false" customHeight="false" outlineLevel="0" collapsed="false">
      <c r="B1738" s="7" t="s">
        <v>10371</v>
      </c>
      <c r="C1738" s="39" t="n">
        <v>45767</v>
      </c>
      <c r="D1738" s="7" t="s">
        <v>242</v>
      </c>
      <c r="E1738" s="7" t="s">
        <v>180</v>
      </c>
      <c r="F1738" s="6" t="n">
        <v>3.83</v>
      </c>
      <c r="G1738" s="6" t="n">
        <v>0</v>
      </c>
      <c r="H1738" s="41" t="n">
        <v>17.99</v>
      </c>
      <c r="I1738" s="43" t="n">
        <f aca="false">F1738*H1738</f>
        <v>68.9017</v>
      </c>
      <c r="J1738" s="43" t="n">
        <f aca="false">G1738*H1738*1.5</f>
        <v>0</v>
      </c>
      <c r="K1738" s="6" t="n">
        <v>10.67</v>
      </c>
      <c r="L1738" s="43" t="n">
        <f aca="false">K1738*'Chart of Accounts'!$E$68</f>
        <v>7.1489</v>
      </c>
      <c r="O1738" s="42" t="n">
        <f aca="false">I1738+J1738+L1738</f>
        <v>76.0506</v>
      </c>
    </row>
    <row r="1739" customFormat="false" ht="15" hidden="false" customHeight="false" outlineLevel="0" collapsed="false">
      <c r="B1739" s="7" t="s">
        <v>10372</v>
      </c>
      <c r="C1739" s="39" t="n">
        <v>45767</v>
      </c>
      <c r="D1739" s="7" t="s">
        <v>254</v>
      </c>
      <c r="E1739" s="7" t="s">
        <v>180</v>
      </c>
      <c r="F1739" s="6" t="n">
        <v>4.02</v>
      </c>
      <c r="G1739" s="6" t="n">
        <v>0</v>
      </c>
      <c r="H1739" s="41" t="n">
        <v>17.1</v>
      </c>
      <c r="I1739" s="43" t="n">
        <f aca="false">F1739*H1739</f>
        <v>68.742</v>
      </c>
      <c r="J1739" s="43" t="n">
        <f aca="false">G1739*H1739*1.5</f>
        <v>0</v>
      </c>
      <c r="K1739" s="6" t="n">
        <v>12.25</v>
      </c>
      <c r="L1739" s="43" t="n">
        <f aca="false">K1739*'Chart of Accounts'!$E$68</f>
        <v>8.2075</v>
      </c>
      <c r="O1739" s="42" t="n">
        <f aca="false">I1739+J1739+L1739</f>
        <v>76.9495</v>
      </c>
    </row>
    <row r="1740" customFormat="false" ht="15" hidden="false" customHeight="false" outlineLevel="0" collapsed="false">
      <c r="B1740" s="7" t="s">
        <v>10373</v>
      </c>
      <c r="C1740" s="39" t="n">
        <v>45768</v>
      </c>
      <c r="D1740" s="7" t="s">
        <v>187</v>
      </c>
      <c r="E1740" s="7" t="s">
        <v>158</v>
      </c>
      <c r="H1740" s="41" t="n">
        <v>66.48</v>
      </c>
      <c r="M1740" s="6" t="n">
        <v>1</v>
      </c>
      <c r="N1740" s="43" t="n">
        <f aca="false">M1740*H1740</f>
        <v>66.48</v>
      </c>
      <c r="O1740" s="42" t="n">
        <f aca="false">N1740</f>
        <v>66.48</v>
      </c>
    </row>
    <row r="1741" customFormat="false" ht="15" hidden="false" customHeight="false" outlineLevel="0" collapsed="false">
      <c r="B1741" s="7" t="s">
        <v>10374</v>
      </c>
      <c r="C1741" s="39" t="n">
        <v>45768</v>
      </c>
      <c r="D1741" s="7" t="s">
        <v>191</v>
      </c>
      <c r="E1741" s="7" t="s">
        <v>180</v>
      </c>
      <c r="F1741" s="6" t="n">
        <v>3.79</v>
      </c>
      <c r="G1741" s="6" t="n">
        <v>0</v>
      </c>
      <c r="H1741" s="41" t="n">
        <v>16.05</v>
      </c>
      <c r="I1741" s="43" t="n">
        <f aca="false">F1741*H1741</f>
        <v>60.8295</v>
      </c>
      <c r="J1741" s="43" t="n">
        <f aca="false">G1741*H1741*1.5</f>
        <v>0</v>
      </c>
      <c r="K1741" s="6" t="n">
        <v>9.01</v>
      </c>
      <c r="L1741" s="43" t="n">
        <f aca="false">K1741*'Chart of Accounts'!$E$68</f>
        <v>6.0367</v>
      </c>
      <c r="O1741" s="42" t="n">
        <f aca="false">I1741+J1741+L1741</f>
        <v>66.8662</v>
      </c>
    </row>
    <row r="1742" customFormat="false" ht="15" hidden="false" customHeight="false" outlineLevel="0" collapsed="false">
      <c r="B1742" s="7" t="s">
        <v>10375</v>
      </c>
      <c r="C1742" s="39" t="n">
        <v>45768</v>
      </c>
      <c r="D1742" s="7" t="s">
        <v>194</v>
      </c>
      <c r="E1742" s="7" t="s">
        <v>180</v>
      </c>
      <c r="F1742" s="6" t="n">
        <v>9.18</v>
      </c>
      <c r="G1742" s="6" t="n">
        <v>0</v>
      </c>
      <c r="H1742" s="41" t="n">
        <v>16</v>
      </c>
      <c r="I1742" s="43" t="n">
        <f aca="false">F1742*H1742</f>
        <v>146.88</v>
      </c>
      <c r="J1742" s="43" t="n">
        <f aca="false">G1742*H1742*1.5</f>
        <v>0</v>
      </c>
      <c r="K1742" s="6" t="n">
        <v>21.12</v>
      </c>
      <c r="L1742" s="43" t="n">
        <f aca="false">K1742*'Chart of Accounts'!$E$68</f>
        <v>14.1504</v>
      </c>
      <c r="O1742" s="42" t="n">
        <f aca="false">I1742+J1742+L1742</f>
        <v>161.0304</v>
      </c>
    </row>
    <row r="1743" customFormat="false" ht="15" hidden="false" customHeight="false" outlineLevel="0" collapsed="false">
      <c r="B1743" s="7" t="s">
        <v>10376</v>
      </c>
      <c r="C1743" s="39" t="n">
        <v>45768</v>
      </c>
      <c r="D1743" s="7" t="s">
        <v>201</v>
      </c>
      <c r="E1743" s="7" t="s">
        <v>180</v>
      </c>
      <c r="F1743" s="6" t="n">
        <v>9.67</v>
      </c>
      <c r="G1743" s="6" t="n">
        <v>0</v>
      </c>
      <c r="H1743" s="41" t="n">
        <v>15.19</v>
      </c>
      <c r="I1743" s="43" t="n">
        <f aca="false">F1743*H1743</f>
        <v>146.8873</v>
      </c>
      <c r="J1743" s="43" t="n">
        <f aca="false">G1743*H1743*1.5</f>
        <v>0</v>
      </c>
      <c r="K1743" s="6" t="n">
        <v>34.69</v>
      </c>
      <c r="L1743" s="43" t="n">
        <f aca="false">K1743*'Chart of Accounts'!$E$68</f>
        <v>23.2423</v>
      </c>
      <c r="O1743" s="42" t="n">
        <f aca="false">I1743+J1743+L1743</f>
        <v>170.1296</v>
      </c>
    </row>
    <row r="1744" customFormat="false" ht="15" hidden="false" customHeight="false" outlineLevel="0" collapsed="false">
      <c r="B1744" s="7" t="s">
        <v>10377</v>
      </c>
      <c r="C1744" s="39" t="n">
        <v>45768</v>
      </c>
      <c r="D1744" s="7" t="s">
        <v>205</v>
      </c>
      <c r="E1744" s="7" t="s">
        <v>180</v>
      </c>
      <c r="F1744" s="6" t="n">
        <v>3.64</v>
      </c>
      <c r="G1744" s="6" t="n">
        <v>0</v>
      </c>
      <c r="H1744" s="41" t="n">
        <v>16.36</v>
      </c>
      <c r="I1744" s="43" t="n">
        <f aca="false">F1744*H1744</f>
        <v>59.5504</v>
      </c>
      <c r="J1744" s="43" t="n">
        <f aca="false">G1744*H1744*1.5</f>
        <v>0</v>
      </c>
      <c r="K1744" s="6" t="n">
        <v>10.8</v>
      </c>
      <c r="L1744" s="43" t="n">
        <f aca="false">K1744*'Chart of Accounts'!$E$68</f>
        <v>7.236</v>
      </c>
      <c r="O1744" s="42" t="n">
        <f aca="false">I1744+J1744+L1744</f>
        <v>66.7864</v>
      </c>
    </row>
    <row r="1745" customFormat="false" ht="15" hidden="false" customHeight="false" outlineLevel="0" collapsed="false">
      <c r="B1745" s="7" t="s">
        <v>10378</v>
      </c>
      <c r="C1745" s="39" t="n">
        <v>45768</v>
      </c>
      <c r="D1745" s="7" t="s">
        <v>264</v>
      </c>
      <c r="E1745" s="7" t="s">
        <v>158</v>
      </c>
      <c r="H1745" s="41" t="n">
        <v>55.55</v>
      </c>
      <c r="M1745" s="6" t="n">
        <v>1</v>
      </c>
      <c r="N1745" s="43" t="n">
        <f aca="false">M1745*H1745</f>
        <v>55.55</v>
      </c>
      <c r="O1745" s="42" t="n">
        <f aca="false">N1745</f>
        <v>55.55</v>
      </c>
    </row>
    <row r="1746" customFormat="false" ht="15" hidden="false" customHeight="false" outlineLevel="0" collapsed="false">
      <c r="B1746" s="7" t="s">
        <v>10379</v>
      </c>
      <c r="C1746" s="39" t="n">
        <v>45768</v>
      </c>
      <c r="D1746" s="7" t="s">
        <v>252</v>
      </c>
      <c r="E1746" s="7" t="s">
        <v>158</v>
      </c>
      <c r="H1746" s="41" t="n">
        <v>57.54</v>
      </c>
      <c r="M1746" s="6" t="n">
        <v>1</v>
      </c>
      <c r="N1746" s="43" t="n">
        <f aca="false">M1746*H1746</f>
        <v>57.54</v>
      </c>
      <c r="O1746" s="42" t="n">
        <f aca="false">N1746</f>
        <v>57.54</v>
      </c>
    </row>
    <row r="1747" customFormat="false" ht="15" hidden="false" customHeight="false" outlineLevel="0" collapsed="false">
      <c r="B1747" s="7" t="s">
        <v>10380</v>
      </c>
      <c r="C1747" s="39" t="n">
        <v>45768</v>
      </c>
      <c r="D1747" s="7" t="s">
        <v>196</v>
      </c>
      <c r="E1747" s="7" t="s">
        <v>180</v>
      </c>
      <c r="F1747" s="6" t="n">
        <v>6.03</v>
      </c>
      <c r="G1747" s="6" t="n">
        <v>0</v>
      </c>
      <c r="H1747" s="41" t="n">
        <v>15.05</v>
      </c>
      <c r="I1747" s="43" t="n">
        <f aca="false">F1747*H1747</f>
        <v>90.7515</v>
      </c>
      <c r="J1747" s="43" t="n">
        <f aca="false">G1747*H1747*1.5</f>
        <v>0</v>
      </c>
      <c r="K1747" s="6" t="n">
        <v>20.68</v>
      </c>
      <c r="L1747" s="43" t="n">
        <f aca="false">K1747*'Chart of Accounts'!$E$68</f>
        <v>13.8556</v>
      </c>
      <c r="O1747" s="42" t="n">
        <f aca="false">I1747+J1747+L1747</f>
        <v>104.6071</v>
      </c>
    </row>
    <row r="1748" customFormat="false" ht="15" hidden="false" customHeight="false" outlineLevel="0" collapsed="false">
      <c r="B1748" s="7" t="s">
        <v>10381</v>
      </c>
      <c r="C1748" s="39" t="n">
        <v>45768</v>
      </c>
      <c r="D1748" s="7" t="s">
        <v>184</v>
      </c>
      <c r="E1748" s="7" t="s">
        <v>180</v>
      </c>
      <c r="F1748" s="6" t="n">
        <v>4.03</v>
      </c>
      <c r="G1748" s="6" t="n">
        <v>0</v>
      </c>
      <c r="H1748" s="41" t="n">
        <v>17.34</v>
      </c>
      <c r="I1748" s="43" t="n">
        <f aca="false">F1748*H1748</f>
        <v>69.8802</v>
      </c>
      <c r="J1748" s="43" t="n">
        <f aca="false">G1748*H1748*1.5</f>
        <v>0</v>
      </c>
      <c r="K1748" s="6" t="n">
        <v>8.98</v>
      </c>
      <c r="L1748" s="43" t="n">
        <f aca="false">K1748*'Chart of Accounts'!$E$68</f>
        <v>6.0166</v>
      </c>
      <c r="O1748" s="42" t="n">
        <f aca="false">I1748+J1748+L1748</f>
        <v>75.8968</v>
      </c>
    </row>
    <row r="1749" customFormat="false" ht="15" hidden="false" customHeight="false" outlineLevel="0" collapsed="false">
      <c r="B1749" s="7" t="s">
        <v>10382</v>
      </c>
      <c r="C1749" s="39" t="n">
        <v>45768</v>
      </c>
      <c r="D1749" s="7" t="s">
        <v>207</v>
      </c>
      <c r="E1749" s="7" t="s">
        <v>180</v>
      </c>
      <c r="F1749" s="6" t="n">
        <v>6.01</v>
      </c>
      <c r="G1749" s="6" t="n">
        <v>0</v>
      </c>
      <c r="H1749" s="41" t="n">
        <v>16.65</v>
      </c>
      <c r="I1749" s="43" t="n">
        <f aca="false">F1749*H1749</f>
        <v>100.0665</v>
      </c>
      <c r="J1749" s="43" t="n">
        <f aca="false">G1749*H1749*1.5</f>
        <v>0</v>
      </c>
      <c r="K1749" s="6" t="n">
        <v>15.02</v>
      </c>
      <c r="L1749" s="43" t="n">
        <f aca="false">K1749*'Chart of Accounts'!$E$68</f>
        <v>10.0634</v>
      </c>
      <c r="O1749" s="42" t="n">
        <f aca="false">I1749+J1749+L1749</f>
        <v>110.1299</v>
      </c>
    </row>
    <row r="1750" customFormat="false" ht="15" hidden="false" customHeight="false" outlineLevel="0" collapsed="false">
      <c r="B1750" s="7" t="s">
        <v>10383</v>
      </c>
      <c r="C1750" s="39" t="n">
        <v>45768</v>
      </c>
      <c r="D1750" s="7" t="s">
        <v>218</v>
      </c>
      <c r="E1750" s="7" t="s">
        <v>180</v>
      </c>
      <c r="F1750" s="6" t="n">
        <v>4.14</v>
      </c>
      <c r="G1750" s="6" t="n">
        <v>0</v>
      </c>
      <c r="H1750" s="41" t="n">
        <v>16.19</v>
      </c>
      <c r="I1750" s="43" t="n">
        <f aca="false">F1750*H1750</f>
        <v>67.0266</v>
      </c>
      <c r="J1750" s="43" t="n">
        <f aca="false">G1750*H1750*1.5</f>
        <v>0</v>
      </c>
      <c r="K1750" s="6" t="n">
        <v>9.58</v>
      </c>
      <c r="L1750" s="43" t="n">
        <f aca="false">K1750*'Chart of Accounts'!$E$68</f>
        <v>6.4186</v>
      </c>
      <c r="O1750" s="42" t="n">
        <f aca="false">I1750+J1750+L1750</f>
        <v>73.4452</v>
      </c>
    </row>
    <row r="1751" customFormat="false" ht="15" hidden="false" customHeight="false" outlineLevel="0" collapsed="false">
      <c r="B1751" s="7" t="s">
        <v>10384</v>
      </c>
      <c r="C1751" s="39" t="n">
        <v>45768</v>
      </c>
      <c r="D1751" s="7" t="s">
        <v>212</v>
      </c>
      <c r="E1751" s="7" t="s">
        <v>180</v>
      </c>
      <c r="F1751" s="6" t="n">
        <v>7.21</v>
      </c>
      <c r="G1751" s="6" t="n">
        <v>0</v>
      </c>
      <c r="H1751" s="41" t="n">
        <v>16.71</v>
      </c>
      <c r="I1751" s="43" t="n">
        <f aca="false">F1751*H1751</f>
        <v>120.4791</v>
      </c>
      <c r="J1751" s="43" t="n">
        <f aca="false">G1751*H1751*1.5</f>
        <v>0</v>
      </c>
      <c r="K1751" s="6" t="n">
        <v>23.2</v>
      </c>
      <c r="L1751" s="43" t="n">
        <f aca="false">K1751*'Chart of Accounts'!$E$68</f>
        <v>15.544</v>
      </c>
      <c r="O1751" s="42" t="n">
        <f aca="false">I1751+J1751+L1751</f>
        <v>136.0231</v>
      </c>
    </row>
    <row r="1752" customFormat="false" ht="15" hidden="false" customHeight="false" outlineLevel="0" collapsed="false">
      <c r="B1752" s="7" t="s">
        <v>10385</v>
      </c>
      <c r="C1752" s="39" t="n">
        <v>45768</v>
      </c>
      <c r="D1752" s="7" t="s">
        <v>220</v>
      </c>
      <c r="E1752" s="7" t="s">
        <v>180</v>
      </c>
      <c r="F1752" s="6" t="n">
        <v>4.26</v>
      </c>
      <c r="G1752" s="6" t="n">
        <v>0</v>
      </c>
      <c r="H1752" s="41" t="n">
        <v>16.43</v>
      </c>
      <c r="I1752" s="43" t="n">
        <f aca="false">F1752*H1752</f>
        <v>69.9918</v>
      </c>
      <c r="J1752" s="43" t="n">
        <f aca="false">G1752*H1752*1.5</f>
        <v>0</v>
      </c>
      <c r="K1752" s="6" t="n">
        <v>11.74</v>
      </c>
      <c r="L1752" s="43" t="n">
        <f aca="false">K1752*'Chart of Accounts'!$E$68</f>
        <v>7.8658</v>
      </c>
      <c r="O1752" s="42" t="n">
        <f aca="false">I1752+J1752+L1752</f>
        <v>77.8576</v>
      </c>
    </row>
    <row r="1753" customFormat="false" ht="15" hidden="false" customHeight="false" outlineLevel="0" collapsed="false">
      <c r="B1753" s="7" t="s">
        <v>10386</v>
      </c>
      <c r="C1753" s="39" t="n">
        <v>45768</v>
      </c>
      <c r="D1753" s="7" t="s">
        <v>224</v>
      </c>
      <c r="E1753" s="7" t="s">
        <v>180</v>
      </c>
      <c r="F1753" s="6" t="n">
        <v>9.2</v>
      </c>
      <c r="G1753" s="6" t="n">
        <v>0</v>
      </c>
      <c r="H1753" s="41" t="n">
        <v>14.93</v>
      </c>
      <c r="I1753" s="43" t="n">
        <f aca="false">F1753*H1753</f>
        <v>137.356</v>
      </c>
      <c r="J1753" s="43" t="n">
        <f aca="false">G1753*H1753*1.5</f>
        <v>0</v>
      </c>
      <c r="K1753" s="6" t="n">
        <v>23.94</v>
      </c>
      <c r="L1753" s="43" t="n">
        <f aca="false">K1753*'Chart of Accounts'!$E$68</f>
        <v>16.0398</v>
      </c>
      <c r="O1753" s="42" t="n">
        <f aca="false">I1753+J1753+L1753</f>
        <v>153.3958</v>
      </c>
    </row>
    <row r="1754" customFormat="false" ht="15" hidden="false" customHeight="false" outlineLevel="0" collapsed="false">
      <c r="B1754" s="7" t="s">
        <v>10387</v>
      </c>
      <c r="C1754" s="39" t="n">
        <v>45768</v>
      </c>
      <c r="D1754" s="7" t="s">
        <v>177</v>
      </c>
      <c r="E1754" s="7" t="s">
        <v>180</v>
      </c>
      <c r="F1754" s="6" t="n">
        <v>8.23</v>
      </c>
      <c r="G1754" s="6" t="n">
        <v>0</v>
      </c>
      <c r="H1754" s="41" t="n">
        <v>14.56</v>
      </c>
      <c r="I1754" s="43" t="n">
        <f aca="false">F1754*H1754</f>
        <v>119.8288</v>
      </c>
      <c r="J1754" s="43" t="n">
        <f aca="false">G1754*H1754*1.5</f>
        <v>0</v>
      </c>
      <c r="K1754" s="6" t="n">
        <v>23.64</v>
      </c>
      <c r="L1754" s="43" t="n">
        <f aca="false">K1754*'Chart of Accounts'!$E$68</f>
        <v>15.8388</v>
      </c>
      <c r="O1754" s="42" t="n">
        <f aca="false">I1754+J1754+L1754</f>
        <v>135.6676</v>
      </c>
    </row>
    <row r="1755" customFormat="false" ht="15" hidden="false" customHeight="false" outlineLevel="0" collapsed="false">
      <c r="B1755" s="7" t="s">
        <v>10388</v>
      </c>
      <c r="C1755" s="39" t="n">
        <v>45768</v>
      </c>
      <c r="D1755" s="7" t="s">
        <v>232</v>
      </c>
      <c r="E1755" s="7" t="s">
        <v>180</v>
      </c>
      <c r="F1755" s="6" t="n">
        <v>7.52</v>
      </c>
      <c r="G1755" s="6" t="n">
        <v>0</v>
      </c>
      <c r="H1755" s="41" t="n">
        <v>16.17</v>
      </c>
      <c r="I1755" s="43" t="n">
        <f aca="false">F1755*H1755</f>
        <v>121.5984</v>
      </c>
      <c r="J1755" s="43" t="n">
        <f aca="false">G1755*H1755*1.5</f>
        <v>0</v>
      </c>
      <c r="K1755" s="6" t="n">
        <v>17.21</v>
      </c>
      <c r="L1755" s="43" t="n">
        <f aca="false">K1755*'Chart of Accounts'!$E$68</f>
        <v>11.5307</v>
      </c>
      <c r="O1755" s="42" t="n">
        <f aca="false">I1755+J1755+L1755</f>
        <v>133.1291</v>
      </c>
    </row>
    <row r="1756" customFormat="false" ht="15" hidden="false" customHeight="false" outlineLevel="0" collapsed="false">
      <c r="B1756" s="7" t="s">
        <v>10389</v>
      </c>
      <c r="C1756" s="39" t="n">
        <v>45768</v>
      </c>
      <c r="D1756" s="7" t="s">
        <v>242</v>
      </c>
      <c r="E1756" s="7" t="s">
        <v>180</v>
      </c>
      <c r="F1756" s="6" t="n">
        <v>7.37</v>
      </c>
      <c r="G1756" s="6" t="n">
        <v>0</v>
      </c>
      <c r="H1756" s="41" t="n">
        <v>17.99</v>
      </c>
      <c r="I1756" s="43" t="n">
        <f aca="false">F1756*H1756</f>
        <v>132.5863</v>
      </c>
      <c r="J1756" s="43" t="n">
        <f aca="false">G1756*H1756*1.5</f>
        <v>0</v>
      </c>
      <c r="K1756" s="6" t="n">
        <v>22.71</v>
      </c>
      <c r="L1756" s="43" t="n">
        <f aca="false">K1756*'Chart of Accounts'!$E$68</f>
        <v>15.2157</v>
      </c>
      <c r="O1756" s="42" t="n">
        <f aca="false">I1756+J1756+L1756</f>
        <v>147.802</v>
      </c>
    </row>
    <row r="1757" customFormat="false" ht="15" hidden="false" customHeight="false" outlineLevel="0" collapsed="false">
      <c r="B1757" s="7" t="s">
        <v>10390</v>
      </c>
      <c r="C1757" s="39" t="n">
        <v>45768</v>
      </c>
      <c r="D1757" s="7" t="s">
        <v>222</v>
      </c>
      <c r="E1757" s="7" t="s">
        <v>180</v>
      </c>
      <c r="F1757" s="6" t="n">
        <v>6.91</v>
      </c>
      <c r="G1757" s="6" t="n">
        <v>0</v>
      </c>
      <c r="H1757" s="41" t="n">
        <v>17.84</v>
      </c>
      <c r="I1757" s="43" t="n">
        <f aca="false">F1757*H1757</f>
        <v>123.2744</v>
      </c>
      <c r="J1757" s="43" t="n">
        <f aca="false">G1757*H1757*1.5</f>
        <v>0</v>
      </c>
      <c r="K1757" s="6" t="n">
        <v>24.63</v>
      </c>
      <c r="L1757" s="43" t="n">
        <f aca="false">K1757*'Chart of Accounts'!$E$68</f>
        <v>16.5021</v>
      </c>
      <c r="O1757" s="42" t="n">
        <f aca="false">I1757+J1757+L1757</f>
        <v>139.7765</v>
      </c>
    </row>
    <row r="1758" customFormat="false" ht="15" hidden="false" customHeight="false" outlineLevel="0" collapsed="false">
      <c r="B1758" s="7" t="s">
        <v>10391</v>
      </c>
      <c r="C1758" s="39" t="n">
        <v>45768</v>
      </c>
      <c r="D1758" s="7" t="s">
        <v>262</v>
      </c>
      <c r="E1758" s="7" t="s">
        <v>180</v>
      </c>
      <c r="F1758" s="6" t="n">
        <v>7.46</v>
      </c>
      <c r="G1758" s="6" t="n">
        <v>0</v>
      </c>
      <c r="H1758" s="41" t="n">
        <v>16.02</v>
      </c>
      <c r="I1758" s="43" t="n">
        <f aca="false">F1758*H1758</f>
        <v>119.5092</v>
      </c>
      <c r="J1758" s="43" t="n">
        <f aca="false">G1758*H1758*1.5</f>
        <v>0</v>
      </c>
      <c r="K1758" s="6" t="n">
        <v>18.74</v>
      </c>
      <c r="L1758" s="43" t="n">
        <f aca="false">K1758*'Chart of Accounts'!$E$68</f>
        <v>12.5558</v>
      </c>
      <c r="O1758" s="42" t="n">
        <f aca="false">I1758+J1758+L1758</f>
        <v>132.065</v>
      </c>
    </row>
    <row r="1759" customFormat="false" ht="15" hidden="false" customHeight="false" outlineLevel="0" collapsed="false">
      <c r="B1759" s="7" t="s">
        <v>10392</v>
      </c>
      <c r="C1759" s="39" t="n">
        <v>45768</v>
      </c>
      <c r="D1759" s="7" t="s">
        <v>254</v>
      </c>
      <c r="E1759" s="7" t="s">
        <v>180</v>
      </c>
      <c r="F1759" s="6" t="n">
        <v>7.04</v>
      </c>
      <c r="G1759" s="6" t="n">
        <v>0</v>
      </c>
      <c r="H1759" s="41" t="n">
        <v>17.1</v>
      </c>
      <c r="I1759" s="43" t="n">
        <f aca="false">F1759*H1759</f>
        <v>120.384</v>
      </c>
      <c r="J1759" s="43" t="n">
        <f aca="false">G1759*H1759*1.5</f>
        <v>0</v>
      </c>
      <c r="K1759" s="6" t="n">
        <v>15.77</v>
      </c>
      <c r="L1759" s="43" t="n">
        <f aca="false">K1759*'Chart of Accounts'!$E$68</f>
        <v>10.5659</v>
      </c>
      <c r="O1759" s="42" t="n">
        <f aca="false">I1759+J1759+L1759</f>
        <v>130.9499</v>
      </c>
    </row>
    <row r="1760" customFormat="false" ht="15" hidden="false" customHeight="false" outlineLevel="0" collapsed="false">
      <c r="B1760" s="7" t="s">
        <v>10393</v>
      </c>
      <c r="C1760" s="39" t="n">
        <v>45768</v>
      </c>
      <c r="D1760" s="7" t="s">
        <v>246</v>
      </c>
      <c r="E1760" s="7" t="s">
        <v>180</v>
      </c>
      <c r="F1760" s="6" t="n">
        <v>8.38</v>
      </c>
      <c r="G1760" s="6" t="n">
        <v>0</v>
      </c>
      <c r="H1760" s="41" t="n">
        <v>16.48</v>
      </c>
      <c r="I1760" s="43" t="n">
        <f aca="false">F1760*H1760</f>
        <v>138.1024</v>
      </c>
      <c r="J1760" s="43" t="n">
        <f aca="false">G1760*H1760*1.5</f>
        <v>0</v>
      </c>
      <c r="K1760" s="6" t="n">
        <v>20.66</v>
      </c>
      <c r="L1760" s="43" t="n">
        <f aca="false">K1760*'Chart of Accounts'!$E$68</f>
        <v>13.8422</v>
      </c>
      <c r="O1760" s="42" t="n">
        <f aca="false">I1760+J1760+L1760</f>
        <v>151.9446</v>
      </c>
    </row>
    <row r="1761" customFormat="false" ht="15" hidden="false" customHeight="false" outlineLevel="0" collapsed="false">
      <c r="B1761" s="7" t="s">
        <v>10394</v>
      </c>
      <c r="C1761" s="39" t="n">
        <v>45768</v>
      </c>
      <c r="D1761" s="7" t="s">
        <v>214</v>
      </c>
      <c r="E1761" s="7" t="s">
        <v>180</v>
      </c>
      <c r="F1761" s="6" t="n">
        <v>7.29</v>
      </c>
      <c r="G1761" s="6" t="n">
        <v>0</v>
      </c>
      <c r="H1761" s="41" t="n">
        <v>15.67</v>
      </c>
      <c r="I1761" s="43" t="n">
        <f aca="false">F1761*H1761</f>
        <v>114.2343</v>
      </c>
      <c r="J1761" s="43" t="n">
        <f aca="false">G1761*H1761*1.5</f>
        <v>0</v>
      </c>
      <c r="K1761" s="6" t="n">
        <v>18.71</v>
      </c>
      <c r="L1761" s="43" t="n">
        <f aca="false">K1761*'Chart of Accounts'!$E$68</f>
        <v>12.5357</v>
      </c>
      <c r="O1761" s="42" t="n">
        <f aca="false">I1761+J1761+L1761</f>
        <v>126.77</v>
      </c>
    </row>
    <row r="1762" customFormat="false" ht="15" hidden="false" customHeight="false" outlineLevel="0" collapsed="false">
      <c r="B1762" s="7" t="s">
        <v>10395</v>
      </c>
      <c r="C1762" s="39" t="n">
        <v>45768</v>
      </c>
      <c r="D1762" s="7" t="s">
        <v>238</v>
      </c>
      <c r="E1762" s="7" t="s">
        <v>180</v>
      </c>
      <c r="F1762" s="6" t="n">
        <v>3.99</v>
      </c>
      <c r="G1762" s="6" t="n">
        <v>0</v>
      </c>
      <c r="H1762" s="41" t="n">
        <v>15.85</v>
      </c>
      <c r="I1762" s="43" t="n">
        <f aca="false">F1762*H1762</f>
        <v>63.2415</v>
      </c>
      <c r="J1762" s="43" t="n">
        <f aca="false">G1762*H1762*1.5</f>
        <v>0</v>
      </c>
      <c r="K1762" s="6" t="n">
        <v>9.43</v>
      </c>
      <c r="L1762" s="43" t="n">
        <f aca="false">K1762*'Chart of Accounts'!$E$68</f>
        <v>6.3181</v>
      </c>
      <c r="O1762" s="42" t="n">
        <f aca="false">I1762+J1762+L1762</f>
        <v>69.5596</v>
      </c>
    </row>
    <row r="1763" customFormat="false" ht="15" hidden="false" customHeight="false" outlineLevel="0" collapsed="false">
      <c r="B1763" s="7" t="s">
        <v>10396</v>
      </c>
      <c r="C1763" s="39" t="n">
        <v>45769</v>
      </c>
      <c r="D1763" s="7" t="s">
        <v>191</v>
      </c>
      <c r="E1763" s="7" t="s">
        <v>180</v>
      </c>
      <c r="F1763" s="6" t="n">
        <v>4.03</v>
      </c>
      <c r="G1763" s="6" t="n">
        <v>0</v>
      </c>
      <c r="H1763" s="41" t="n">
        <v>16.05</v>
      </c>
      <c r="I1763" s="43" t="n">
        <f aca="false">F1763*H1763</f>
        <v>64.6815</v>
      </c>
      <c r="J1763" s="43" t="n">
        <f aca="false">G1763*H1763*1.5</f>
        <v>0</v>
      </c>
      <c r="K1763" s="6" t="n">
        <v>12.41</v>
      </c>
      <c r="L1763" s="43" t="n">
        <f aca="false">K1763*'Chart of Accounts'!$E$68</f>
        <v>8.3147</v>
      </c>
      <c r="O1763" s="42" t="n">
        <f aca="false">I1763+J1763+L1763</f>
        <v>72.9962</v>
      </c>
    </row>
    <row r="1764" customFormat="false" ht="15" hidden="false" customHeight="false" outlineLevel="0" collapsed="false">
      <c r="B1764" s="7" t="s">
        <v>10397</v>
      </c>
      <c r="C1764" s="39" t="n">
        <v>45769</v>
      </c>
      <c r="D1764" s="7" t="s">
        <v>209</v>
      </c>
      <c r="E1764" s="7" t="s">
        <v>158</v>
      </c>
      <c r="H1764" s="41" t="n">
        <v>73.58</v>
      </c>
      <c r="M1764" s="6" t="n">
        <v>2</v>
      </c>
      <c r="N1764" s="43" t="n">
        <f aca="false">M1764*H1764</f>
        <v>147.16</v>
      </c>
      <c r="O1764" s="42" t="n">
        <f aca="false">N1764</f>
        <v>147.16</v>
      </c>
    </row>
    <row r="1765" customFormat="false" ht="15" hidden="false" customHeight="false" outlineLevel="0" collapsed="false">
      <c r="B1765" s="7" t="s">
        <v>10398</v>
      </c>
      <c r="C1765" s="39" t="n">
        <v>45769</v>
      </c>
      <c r="D1765" s="7" t="s">
        <v>184</v>
      </c>
      <c r="E1765" s="7" t="s">
        <v>180</v>
      </c>
      <c r="F1765" s="6" t="n">
        <v>4.17</v>
      </c>
      <c r="G1765" s="6" t="n">
        <v>0</v>
      </c>
      <c r="H1765" s="41" t="n">
        <v>17.34</v>
      </c>
      <c r="I1765" s="43" t="n">
        <f aca="false">F1765*H1765</f>
        <v>72.3078</v>
      </c>
      <c r="J1765" s="43" t="n">
        <f aca="false">G1765*H1765*1.5</f>
        <v>0</v>
      </c>
      <c r="K1765" s="6" t="n">
        <v>12.72</v>
      </c>
      <c r="L1765" s="43" t="n">
        <f aca="false">K1765*'Chart of Accounts'!$E$68</f>
        <v>8.5224</v>
      </c>
      <c r="O1765" s="42" t="n">
        <f aca="false">I1765+J1765+L1765</f>
        <v>80.8302</v>
      </c>
    </row>
    <row r="1766" customFormat="false" ht="15" hidden="false" customHeight="false" outlineLevel="0" collapsed="false">
      <c r="B1766" s="7" t="s">
        <v>10399</v>
      </c>
      <c r="C1766" s="39" t="n">
        <v>45769</v>
      </c>
      <c r="D1766" s="7" t="s">
        <v>234</v>
      </c>
      <c r="E1766" s="7" t="s">
        <v>158</v>
      </c>
      <c r="H1766" s="41" t="n">
        <v>89.53</v>
      </c>
      <c r="M1766" s="6" t="n">
        <v>2</v>
      </c>
      <c r="N1766" s="43" t="n">
        <f aca="false">M1766*H1766</f>
        <v>179.06</v>
      </c>
      <c r="O1766" s="42" t="n">
        <f aca="false">N1766</f>
        <v>179.06</v>
      </c>
    </row>
    <row r="1767" customFormat="false" ht="15" hidden="false" customHeight="false" outlineLevel="0" collapsed="false">
      <c r="B1767" s="7" t="s">
        <v>10400</v>
      </c>
      <c r="C1767" s="39" t="n">
        <v>45769</v>
      </c>
      <c r="D1767" s="7" t="s">
        <v>218</v>
      </c>
      <c r="E1767" s="7" t="s">
        <v>180</v>
      </c>
      <c r="F1767" s="6" t="n">
        <v>4.05</v>
      </c>
      <c r="G1767" s="6" t="n">
        <v>0</v>
      </c>
      <c r="H1767" s="41" t="n">
        <v>16.19</v>
      </c>
      <c r="I1767" s="43" t="n">
        <f aca="false">F1767*H1767</f>
        <v>65.5695</v>
      </c>
      <c r="J1767" s="43" t="n">
        <f aca="false">G1767*H1767*1.5</f>
        <v>0</v>
      </c>
      <c r="K1767" s="6" t="n">
        <v>11.31</v>
      </c>
      <c r="L1767" s="43" t="n">
        <f aca="false">K1767*'Chart of Accounts'!$E$68</f>
        <v>7.5777</v>
      </c>
      <c r="O1767" s="42" t="n">
        <f aca="false">I1767+J1767+L1767</f>
        <v>73.1472</v>
      </c>
    </row>
    <row r="1768" customFormat="false" ht="15" hidden="false" customHeight="false" outlineLevel="0" collapsed="false">
      <c r="B1768" s="7" t="s">
        <v>10401</v>
      </c>
      <c r="C1768" s="39" t="n">
        <v>45769</v>
      </c>
      <c r="D1768" s="7" t="s">
        <v>266</v>
      </c>
      <c r="E1768" s="7" t="s">
        <v>158</v>
      </c>
      <c r="H1768" s="41" t="n">
        <v>75.18</v>
      </c>
      <c r="M1768" s="6" t="n">
        <v>1</v>
      </c>
      <c r="N1768" s="43" t="n">
        <f aca="false">M1768*H1768</f>
        <v>75.18</v>
      </c>
      <c r="O1768" s="42" t="n">
        <f aca="false">N1768</f>
        <v>75.18</v>
      </c>
    </row>
    <row r="1769" customFormat="false" ht="15" hidden="false" customHeight="false" outlineLevel="0" collapsed="false">
      <c r="B1769" s="7" t="s">
        <v>10402</v>
      </c>
      <c r="C1769" s="39" t="n">
        <v>45769</v>
      </c>
      <c r="D1769" s="7" t="s">
        <v>228</v>
      </c>
      <c r="E1769" s="7" t="s">
        <v>158</v>
      </c>
      <c r="H1769" s="41" t="n">
        <v>51.07</v>
      </c>
      <c r="M1769" s="6" t="n">
        <v>1</v>
      </c>
      <c r="N1769" s="43" t="n">
        <f aca="false">M1769*H1769</f>
        <v>51.07</v>
      </c>
      <c r="O1769" s="42" t="n">
        <f aca="false">N1769</f>
        <v>51.07</v>
      </c>
    </row>
    <row r="1770" customFormat="false" ht="15" hidden="false" customHeight="false" outlineLevel="0" collapsed="false">
      <c r="B1770" s="7" t="s">
        <v>10403</v>
      </c>
      <c r="C1770" s="39" t="n">
        <v>45769</v>
      </c>
      <c r="D1770" s="7" t="s">
        <v>220</v>
      </c>
      <c r="E1770" s="7" t="s">
        <v>180</v>
      </c>
      <c r="F1770" s="6" t="n">
        <v>3.7</v>
      </c>
      <c r="G1770" s="6" t="n">
        <v>0</v>
      </c>
      <c r="H1770" s="41" t="n">
        <v>16.43</v>
      </c>
      <c r="I1770" s="43" t="n">
        <f aca="false">F1770*H1770</f>
        <v>60.791</v>
      </c>
      <c r="J1770" s="43" t="n">
        <f aca="false">G1770*H1770*1.5</f>
        <v>0</v>
      </c>
      <c r="K1770" s="6" t="n">
        <v>9.12</v>
      </c>
      <c r="L1770" s="43" t="n">
        <f aca="false">K1770*'Chart of Accounts'!$E$68</f>
        <v>6.1104</v>
      </c>
      <c r="O1770" s="42" t="n">
        <f aca="false">I1770+J1770+L1770</f>
        <v>66.9014</v>
      </c>
    </row>
    <row r="1771" customFormat="false" ht="15" hidden="false" customHeight="false" outlineLevel="0" collapsed="false">
      <c r="B1771" s="7" t="s">
        <v>10404</v>
      </c>
      <c r="C1771" s="39" t="n">
        <v>45769</v>
      </c>
      <c r="D1771" s="7" t="s">
        <v>212</v>
      </c>
      <c r="E1771" s="7" t="s">
        <v>180</v>
      </c>
      <c r="F1771" s="6" t="n">
        <v>3.62</v>
      </c>
      <c r="G1771" s="6" t="n">
        <v>0</v>
      </c>
      <c r="H1771" s="41" t="n">
        <v>16.71</v>
      </c>
      <c r="I1771" s="43" t="n">
        <f aca="false">F1771*H1771</f>
        <v>60.4902</v>
      </c>
      <c r="J1771" s="43" t="n">
        <f aca="false">G1771*H1771*1.5</f>
        <v>0</v>
      </c>
      <c r="K1771" s="6" t="n">
        <v>12.59</v>
      </c>
      <c r="L1771" s="43" t="n">
        <f aca="false">K1771*'Chart of Accounts'!$E$68</f>
        <v>8.4353</v>
      </c>
      <c r="O1771" s="42" t="n">
        <f aca="false">I1771+J1771+L1771</f>
        <v>68.9255</v>
      </c>
    </row>
    <row r="1772" customFormat="false" ht="15" hidden="false" customHeight="false" outlineLevel="0" collapsed="false">
      <c r="B1772" s="7" t="s">
        <v>10405</v>
      </c>
      <c r="C1772" s="39" t="n">
        <v>45769</v>
      </c>
      <c r="D1772" s="7" t="s">
        <v>194</v>
      </c>
      <c r="E1772" s="7" t="s">
        <v>180</v>
      </c>
      <c r="F1772" s="6" t="n">
        <v>4.25</v>
      </c>
      <c r="G1772" s="6" t="n">
        <v>0</v>
      </c>
      <c r="H1772" s="41" t="n">
        <v>16</v>
      </c>
      <c r="I1772" s="43" t="n">
        <f aca="false">F1772*H1772</f>
        <v>68</v>
      </c>
      <c r="J1772" s="43" t="n">
        <f aca="false">G1772*H1772*1.5</f>
        <v>0</v>
      </c>
      <c r="K1772" s="6" t="n">
        <v>12.98</v>
      </c>
      <c r="L1772" s="43" t="n">
        <f aca="false">K1772*'Chart of Accounts'!$E$68</f>
        <v>8.6966</v>
      </c>
      <c r="O1772" s="42" t="n">
        <f aca="false">I1772+J1772+L1772</f>
        <v>76.6966</v>
      </c>
    </row>
    <row r="1773" customFormat="false" ht="15" hidden="false" customHeight="false" outlineLevel="0" collapsed="false">
      <c r="B1773" s="7" t="s">
        <v>10406</v>
      </c>
      <c r="C1773" s="39" t="n">
        <v>45769</v>
      </c>
      <c r="D1773" s="7" t="s">
        <v>246</v>
      </c>
      <c r="E1773" s="7" t="s">
        <v>180</v>
      </c>
      <c r="F1773" s="6" t="n">
        <v>3.95</v>
      </c>
      <c r="G1773" s="6" t="n">
        <v>0</v>
      </c>
      <c r="H1773" s="41" t="n">
        <v>16.48</v>
      </c>
      <c r="I1773" s="43" t="n">
        <f aca="false">F1773*H1773</f>
        <v>65.096</v>
      </c>
      <c r="J1773" s="43" t="n">
        <f aca="false">G1773*H1773*1.5</f>
        <v>0</v>
      </c>
      <c r="K1773" s="6" t="n">
        <v>9.06</v>
      </c>
      <c r="L1773" s="43" t="n">
        <f aca="false">K1773*'Chart of Accounts'!$E$68</f>
        <v>6.0702</v>
      </c>
      <c r="O1773" s="42" t="n">
        <f aca="false">I1773+J1773+L1773</f>
        <v>71.1662</v>
      </c>
    </row>
    <row r="1774" customFormat="false" ht="15" hidden="false" customHeight="false" outlineLevel="0" collapsed="false">
      <c r="B1774" s="7" t="s">
        <v>10407</v>
      </c>
      <c r="C1774" s="39" t="n">
        <v>45769</v>
      </c>
      <c r="D1774" s="7" t="s">
        <v>222</v>
      </c>
      <c r="E1774" s="7" t="s">
        <v>180</v>
      </c>
      <c r="F1774" s="6" t="n">
        <v>3.85</v>
      </c>
      <c r="G1774" s="6" t="n">
        <v>0</v>
      </c>
      <c r="H1774" s="41" t="n">
        <v>17.84</v>
      </c>
      <c r="I1774" s="43" t="n">
        <f aca="false">F1774*H1774</f>
        <v>68.684</v>
      </c>
      <c r="J1774" s="43" t="n">
        <f aca="false">G1774*H1774*1.5</f>
        <v>0</v>
      </c>
      <c r="K1774" s="6" t="n">
        <v>13.04</v>
      </c>
      <c r="L1774" s="43" t="n">
        <f aca="false">K1774*'Chart of Accounts'!$E$68</f>
        <v>8.7368</v>
      </c>
      <c r="O1774" s="42" t="n">
        <f aca="false">I1774+J1774+L1774</f>
        <v>77.4208</v>
      </c>
    </row>
    <row r="1775" customFormat="false" ht="15" hidden="false" customHeight="false" outlineLevel="0" collapsed="false">
      <c r="B1775" s="7" t="s">
        <v>10408</v>
      </c>
      <c r="C1775" s="39" t="n">
        <v>45769</v>
      </c>
      <c r="D1775" s="7" t="s">
        <v>242</v>
      </c>
      <c r="E1775" s="7" t="s">
        <v>180</v>
      </c>
      <c r="F1775" s="6" t="n">
        <v>3.68</v>
      </c>
      <c r="G1775" s="6" t="n">
        <v>0</v>
      </c>
      <c r="H1775" s="41" t="n">
        <v>17.99</v>
      </c>
      <c r="I1775" s="43" t="n">
        <f aca="false">F1775*H1775</f>
        <v>66.2032</v>
      </c>
      <c r="J1775" s="43" t="n">
        <f aca="false">G1775*H1775*1.5</f>
        <v>0</v>
      </c>
      <c r="K1775" s="6" t="n">
        <v>10.33</v>
      </c>
      <c r="L1775" s="43" t="n">
        <f aca="false">K1775*'Chart of Accounts'!$E$68</f>
        <v>6.9211</v>
      </c>
      <c r="O1775" s="42" t="n">
        <f aca="false">I1775+J1775+L1775</f>
        <v>73.1243</v>
      </c>
    </row>
    <row r="1776" customFormat="false" ht="15" hidden="false" customHeight="false" outlineLevel="0" collapsed="false">
      <c r="B1776" s="7" t="s">
        <v>10409</v>
      </c>
      <c r="C1776" s="39" t="n">
        <v>45769</v>
      </c>
      <c r="D1776" s="7" t="s">
        <v>203</v>
      </c>
      <c r="E1776" s="7" t="s">
        <v>158</v>
      </c>
      <c r="H1776" s="41" t="n">
        <v>49.43</v>
      </c>
      <c r="M1776" s="6" t="n">
        <v>1</v>
      </c>
      <c r="N1776" s="43" t="n">
        <f aca="false">M1776*H1776</f>
        <v>49.43</v>
      </c>
      <c r="O1776" s="42" t="n">
        <f aca="false">N1776</f>
        <v>49.43</v>
      </c>
    </row>
    <row r="1777" customFormat="false" ht="15" hidden="false" customHeight="false" outlineLevel="0" collapsed="false">
      <c r="B1777" s="7" t="s">
        <v>10410</v>
      </c>
      <c r="C1777" s="39" t="n">
        <v>45769</v>
      </c>
      <c r="D1777" s="7" t="s">
        <v>254</v>
      </c>
      <c r="E1777" s="7" t="s">
        <v>180</v>
      </c>
      <c r="F1777" s="6" t="n">
        <v>3.93</v>
      </c>
      <c r="G1777" s="6" t="n">
        <v>0</v>
      </c>
      <c r="H1777" s="41" t="n">
        <v>17.1</v>
      </c>
      <c r="I1777" s="43" t="n">
        <f aca="false">F1777*H1777</f>
        <v>67.203</v>
      </c>
      <c r="J1777" s="43" t="n">
        <f aca="false">G1777*H1777*1.5</f>
        <v>0</v>
      </c>
      <c r="K1777" s="6" t="n">
        <v>8.73</v>
      </c>
      <c r="L1777" s="43" t="n">
        <f aca="false">K1777*'Chart of Accounts'!$E$68</f>
        <v>5.8491</v>
      </c>
      <c r="O1777" s="42" t="n">
        <f aca="false">I1777+J1777+L1777</f>
        <v>73.0521</v>
      </c>
    </row>
    <row r="1778" customFormat="false" ht="15" hidden="false" customHeight="false" outlineLevel="0" collapsed="false">
      <c r="B1778" s="7" t="s">
        <v>10411</v>
      </c>
      <c r="C1778" s="39" t="n">
        <v>45769</v>
      </c>
      <c r="D1778" s="7" t="s">
        <v>260</v>
      </c>
      <c r="E1778" s="7" t="s">
        <v>158</v>
      </c>
      <c r="H1778" s="41" t="n">
        <v>79.8</v>
      </c>
      <c r="M1778" s="6" t="n">
        <v>1</v>
      </c>
      <c r="N1778" s="43" t="n">
        <f aca="false">M1778*H1778</f>
        <v>79.8</v>
      </c>
      <c r="O1778" s="42" t="n">
        <f aca="false">N1778</f>
        <v>79.8</v>
      </c>
    </row>
    <row r="1779" customFormat="false" ht="15" hidden="false" customHeight="false" outlineLevel="0" collapsed="false">
      <c r="B1779" s="7" t="s">
        <v>10412</v>
      </c>
      <c r="C1779" s="39" t="n">
        <v>45770</v>
      </c>
      <c r="D1779" s="7" t="s">
        <v>187</v>
      </c>
      <c r="E1779" s="7" t="s">
        <v>158</v>
      </c>
      <c r="H1779" s="41" t="n">
        <v>66.48</v>
      </c>
      <c r="M1779" s="6" t="n">
        <v>1</v>
      </c>
      <c r="N1779" s="43" t="n">
        <f aca="false">M1779*H1779</f>
        <v>66.48</v>
      </c>
      <c r="O1779" s="42" t="n">
        <f aca="false">N1779</f>
        <v>66.48</v>
      </c>
    </row>
    <row r="1780" customFormat="false" ht="15" hidden="false" customHeight="false" outlineLevel="0" collapsed="false">
      <c r="B1780" s="7" t="s">
        <v>10413</v>
      </c>
      <c r="C1780" s="39" t="n">
        <v>45770</v>
      </c>
      <c r="D1780" s="7" t="s">
        <v>228</v>
      </c>
      <c r="E1780" s="7" t="s">
        <v>158</v>
      </c>
      <c r="H1780" s="41" t="n">
        <v>51.07</v>
      </c>
      <c r="M1780" s="6" t="n">
        <v>1</v>
      </c>
      <c r="N1780" s="43" t="n">
        <f aca="false">M1780*H1780</f>
        <v>51.07</v>
      </c>
      <c r="O1780" s="42" t="n">
        <f aca="false">N1780</f>
        <v>51.07</v>
      </c>
    </row>
    <row r="1781" customFormat="false" ht="15" hidden="false" customHeight="false" outlineLevel="0" collapsed="false">
      <c r="B1781" s="7" t="s">
        <v>10414</v>
      </c>
      <c r="C1781" s="39" t="n">
        <v>45770</v>
      </c>
      <c r="D1781" s="7" t="s">
        <v>191</v>
      </c>
      <c r="E1781" s="7" t="s">
        <v>180</v>
      </c>
      <c r="F1781" s="6" t="n">
        <v>3.7</v>
      </c>
      <c r="G1781" s="6" t="n">
        <v>0</v>
      </c>
      <c r="H1781" s="41" t="n">
        <v>16.05</v>
      </c>
      <c r="I1781" s="43" t="n">
        <f aca="false">F1781*H1781</f>
        <v>59.385</v>
      </c>
      <c r="J1781" s="43" t="n">
        <f aca="false">G1781*H1781*1.5</f>
        <v>0</v>
      </c>
      <c r="K1781" s="6" t="n">
        <v>9.4</v>
      </c>
      <c r="L1781" s="43" t="n">
        <f aca="false">K1781*'Chart of Accounts'!$E$68</f>
        <v>6.298</v>
      </c>
      <c r="O1781" s="42" t="n">
        <f aca="false">I1781+J1781+L1781</f>
        <v>65.683</v>
      </c>
    </row>
    <row r="1782" customFormat="false" ht="15" hidden="false" customHeight="false" outlineLevel="0" collapsed="false">
      <c r="B1782" s="7" t="s">
        <v>10415</v>
      </c>
      <c r="C1782" s="39" t="n">
        <v>45770</v>
      </c>
      <c r="D1782" s="7" t="s">
        <v>194</v>
      </c>
      <c r="E1782" s="7" t="s">
        <v>180</v>
      </c>
      <c r="F1782" s="6" t="n">
        <v>8.57</v>
      </c>
      <c r="G1782" s="6" t="n">
        <v>0</v>
      </c>
      <c r="H1782" s="41" t="n">
        <v>16</v>
      </c>
      <c r="I1782" s="43" t="n">
        <f aca="false">F1782*H1782</f>
        <v>137.12</v>
      </c>
      <c r="J1782" s="43" t="n">
        <f aca="false">G1782*H1782*1.5</f>
        <v>0</v>
      </c>
      <c r="K1782" s="6" t="n">
        <v>21.56</v>
      </c>
      <c r="L1782" s="43" t="n">
        <f aca="false">K1782*'Chart of Accounts'!$E$68</f>
        <v>14.4452</v>
      </c>
      <c r="O1782" s="42" t="n">
        <f aca="false">I1782+J1782+L1782</f>
        <v>151.5652</v>
      </c>
    </row>
    <row r="1783" customFormat="false" ht="15" hidden="false" customHeight="false" outlineLevel="0" collapsed="false">
      <c r="B1783" s="7" t="s">
        <v>10416</v>
      </c>
      <c r="C1783" s="39" t="n">
        <v>45770</v>
      </c>
      <c r="D1783" s="7" t="s">
        <v>205</v>
      </c>
      <c r="E1783" s="7" t="s">
        <v>180</v>
      </c>
      <c r="F1783" s="6" t="n">
        <v>3.91</v>
      </c>
      <c r="G1783" s="6" t="n">
        <v>0</v>
      </c>
      <c r="H1783" s="41" t="n">
        <v>16.36</v>
      </c>
      <c r="I1783" s="43" t="n">
        <f aca="false">F1783*H1783</f>
        <v>63.9676</v>
      </c>
      <c r="J1783" s="43" t="n">
        <f aca="false">G1783*H1783*1.5</f>
        <v>0</v>
      </c>
      <c r="K1783" s="6" t="n">
        <v>11.76</v>
      </c>
      <c r="L1783" s="43" t="n">
        <f aca="false">K1783*'Chart of Accounts'!$E$68</f>
        <v>7.8792</v>
      </c>
      <c r="O1783" s="42" t="n">
        <f aca="false">I1783+J1783+L1783</f>
        <v>71.8468</v>
      </c>
    </row>
    <row r="1784" customFormat="false" ht="15" hidden="false" customHeight="false" outlineLevel="0" collapsed="false">
      <c r="B1784" s="7" t="s">
        <v>10417</v>
      </c>
      <c r="C1784" s="39" t="n">
        <v>45770</v>
      </c>
      <c r="D1784" s="7" t="s">
        <v>264</v>
      </c>
      <c r="E1784" s="7" t="s">
        <v>158</v>
      </c>
      <c r="H1784" s="41" t="n">
        <v>55.55</v>
      </c>
      <c r="M1784" s="6" t="n">
        <v>1</v>
      </c>
      <c r="N1784" s="43" t="n">
        <f aca="false">M1784*H1784</f>
        <v>55.55</v>
      </c>
      <c r="O1784" s="42" t="n">
        <f aca="false">N1784</f>
        <v>55.55</v>
      </c>
    </row>
    <row r="1785" customFormat="false" ht="15" hidden="false" customHeight="false" outlineLevel="0" collapsed="false">
      <c r="B1785" s="7" t="s">
        <v>10418</v>
      </c>
      <c r="C1785" s="39" t="n">
        <v>45770</v>
      </c>
      <c r="D1785" s="7" t="s">
        <v>252</v>
      </c>
      <c r="E1785" s="7" t="s">
        <v>158</v>
      </c>
      <c r="H1785" s="41" t="n">
        <v>57.54</v>
      </c>
      <c r="M1785" s="6" t="n">
        <v>1</v>
      </c>
      <c r="N1785" s="43" t="n">
        <f aca="false">M1785*H1785</f>
        <v>57.54</v>
      </c>
      <c r="O1785" s="42" t="n">
        <f aca="false">N1785</f>
        <v>57.54</v>
      </c>
    </row>
    <row r="1786" customFormat="false" ht="15" hidden="false" customHeight="false" outlineLevel="0" collapsed="false">
      <c r="B1786" s="7" t="s">
        <v>10419</v>
      </c>
      <c r="C1786" s="39" t="n">
        <v>45770</v>
      </c>
      <c r="D1786" s="7" t="s">
        <v>184</v>
      </c>
      <c r="E1786" s="7" t="s">
        <v>180</v>
      </c>
      <c r="F1786" s="6" t="n">
        <v>3.82</v>
      </c>
      <c r="G1786" s="6" t="n">
        <v>0</v>
      </c>
      <c r="H1786" s="41" t="n">
        <v>17.34</v>
      </c>
      <c r="I1786" s="43" t="n">
        <f aca="false">F1786*H1786</f>
        <v>66.2388</v>
      </c>
      <c r="J1786" s="43" t="n">
        <f aca="false">G1786*H1786*1.5</f>
        <v>0</v>
      </c>
      <c r="K1786" s="6" t="n">
        <v>8.77</v>
      </c>
      <c r="L1786" s="43" t="n">
        <f aca="false">K1786*'Chart of Accounts'!$E$68</f>
        <v>5.8759</v>
      </c>
      <c r="O1786" s="42" t="n">
        <f aca="false">I1786+J1786+L1786</f>
        <v>72.1147</v>
      </c>
    </row>
    <row r="1787" customFormat="false" ht="15" hidden="false" customHeight="false" outlineLevel="0" collapsed="false">
      <c r="B1787" s="7" t="s">
        <v>10420</v>
      </c>
      <c r="C1787" s="39" t="n">
        <v>45770</v>
      </c>
      <c r="D1787" s="7" t="s">
        <v>218</v>
      </c>
      <c r="E1787" s="7" t="s">
        <v>180</v>
      </c>
      <c r="F1787" s="6" t="n">
        <v>3.8</v>
      </c>
      <c r="G1787" s="6" t="n">
        <v>0</v>
      </c>
      <c r="H1787" s="41" t="n">
        <v>16.19</v>
      </c>
      <c r="I1787" s="43" t="n">
        <f aca="false">F1787*H1787</f>
        <v>61.522</v>
      </c>
      <c r="J1787" s="43" t="n">
        <f aca="false">G1787*H1787*1.5</f>
        <v>0</v>
      </c>
      <c r="K1787" s="6" t="n">
        <v>11.4</v>
      </c>
      <c r="L1787" s="43" t="n">
        <f aca="false">K1787*'Chart of Accounts'!$E$68</f>
        <v>7.638</v>
      </c>
      <c r="O1787" s="42" t="n">
        <f aca="false">I1787+J1787+L1787</f>
        <v>69.16</v>
      </c>
    </row>
    <row r="1788" customFormat="false" ht="15" hidden="false" customHeight="false" outlineLevel="0" collapsed="false">
      <c r="B1788" s="7" t="s">
        <v>10421</v>
      </c>
      <c r="C1788" s="39" t="n">
        <v>45770</v>
      </c>
      <c r="D1788" s="7" t="s">
        <v>220</v>
      </c>
      <c r="E1788" s="7" t="s">
        <v>180</v>
      </c>
      <c r="F1788" s="6" t="n">
        <v>3.84</v>
      </c>
      <c r="G1788" s="6" t="n">
        <v>0</v>
      </c>
      <c r="H1788" s="41" t="n">
        <v>16.43</v>
      </c>
      <c r="I1788" s="43" t="n">
        <f aca="false">F1788*H1788</f>
        <v>63.0912</v>
      </c>
      <c r="J1788" s="43" t="n">
        <f aca="false">G1788*H1788*1.5</f>
        <v>0</v>
      </c>
      <c r="K1788" s="6" t="n">
        <v>9.67</v>
      </c>
      <c r="L1788" s="43" t="n">
        <f aca="false">K1788*'Chart of Accounts'!$E$68</f>
        <v>6.4789</v>
      </c>
      <c r="O1788" s="42" t="n">
        <f aca="false">I1788+J1788+L1788</f>
        <v>69.5701</v>
      </c>
    </row>
    <row r="1789" customFormat="false" ht="15" hidden="false" customHeight="false" outlineLevel="0" collapsed="false">
      <c r="B1789" s="7" t="s">
        <v>10422</v>
      </c>
      <c r="C1789" s="39" t="n">
        <v>45770</v>
      </c>
      <c r="D1789" s="7" t="s">
        <v>177</v>
      </c>
      <c r="E1789" s="7" t="s">
        <v>180</v>
      </c>
      <c r="F1789" s="6" t="n">
        <v>9.17</v>
      </c>
      <c r="G1789" s="6" t="n">
        <v>0</v>
      </c>
      <c r="H1789" s="41" t="n">
        <v>14.56</v>
      </c>
      <c r="I1789" s="43" t="n">
        <f aca="false">F1789*H1789</f>
        <v>133.5152</v>
      </c>
      <c r="J1789" s="43" t="n">
        <f aca="false">G1789*H1789*1.5</f>
        <v>0</v>
      </c>
      <c r="K1789" s="6" t="n">
        <v>22.48</v>
      </c>
      <c r="L1789" s="43" t="n">
        <f aca="false">K1789*'Chart of Accounts'!$E$68</f>
        <v>15.0616</v>
      </c>
      <c r="O1789" s="42" t="n">
        <f aca="false">I1789+J1789+L1789</f>
        <v>148.5768</v>
      </c>
    </row>
    <row r="1790" customFormat="false" ht="15" hidden="false" customHeight="false" outlineLevel="0" collapsed="false">
      <c r="B1790" s="7" t="s">
        <v>10423</v>
      </c>
      <c r="C1790" s="39" t="n">
        <v>45770</v>
      </c>
      <c r="D1790" s="7" t="s">
        <v>242</v>
      </c>
      <c r="E1790" s="7" t="s">
        <v>180</v>
      </c>
      <c r="F1790" s="6" t="n">
        <v>7.61</v>
      </c>
      <c r="G1790" s="6" t="n">
        <v>0</v>
      </c>
      <c r="H1790" s="41" t="n">
        <v>17.99</v>
      </c>
      <c r="I1790" s="43" t="n">
        <f aca="false">F1790*H1790</f>
        <v>136.9039</v>
      </c>
      <c r="J1790" s="43" t="n">
        <f aca="false">G1790*H1790*1.5</f>
        <v>0</v>
      </c>
      <c r="K1790" s="6" t="n">
        <v>20.4</v>
      </c>
      <c r="L1790" s="43" t="n">
        <f aca="false">K1790*'Chart of Accounts'!$E$68</f>
        <v>13.668</v>
      </c>
      <c r="O1790" s="42" t="n">
        <f aca="false">I1790+J1790+L1790</f>
        <v>150.5719</v>
      </c>
    </row>
    <row r="1791" customFormat="false" ht="15" hidden="false" customHeight="false" outlineLevel="0" collapsed="false">
      <c r="B1791" s="7" t="s">
        <v>10424</v>
      </c>
      <c r="C1791" s="39" t="n">
        <v>45770</v>
      </c>
      <c r="D1791" s="7" t="s">
        <v>254</v>
      </c>
      <c r="E1791" s="7" t="s">
        <v>180</v>
      </c>
      <c r="F1791" s="6" t="n">
        <v>7.22</v>
      </c>
      <c r="G1791" s="6" t="n">
        <v>0</v>
      </c>
      <c r="H1791" s="41" t="n">
        <v>17.1</v>
      </c>
      <c r="I1791" s="43" t="n">
        <f aca="false">F1791*H1791</f>
        <v>123.462</v>
      </c>
      <c r="J1791" s="43" t="n">
        <f aca="false">G1791*H1791*1.5</f>
        <v>0</v>
      </c>
      <c r="K1791" s="6" t="n">
        <v>23.85</v>
      </c>
      <c r="L1791" s="43" t="n">
        <f aca="false">K1791*'Chart of Accounts'!$E$68</f>
        <v>15.9795</v>
      </c>
      <c r="O1791" s="42" t="n">
        <f aca="false">I1791+J1791+L1791</f>
        <v>139.4415</v>
      </c>
    </row>
    <row r="1792" customFormat="false" ht="15" hidden="false" customHeight="false" outlineLevel="0" collapsed="false">
      <c r="B1792" s="7" t="s">
        <v>10425</v>
      </c>
      <c r="C1792" s="39" t="n">
        <v>45770</v>
      </c>
      <c r="D1792" s="7" t="s">
        <v>207</v>
      </c>
      <c r="E1792" s="7" t="s">
        <v>180</v>
      </c>
      <c r="F1792" s="6" t="n">
        <v>3.64</v>
      </c>
      <c r="G1792" s="6" t="n">
        <v>0</v>
      </c>
      <c r="H1792" s="41" t="n">
        <v>16.65</v>
      </c>
      <c r="I1792" s="43" t="n">
        <f aca="false">F1792*H1792</f>
        <v>60.606</v>
      </c>
      <c r="J1792" s="43" t="n">
        <f aca="false">G1792*H1792*1.5</f>
        <v>0</v>
      </c>
      <c r="K1792" s="6" t="n">
        <v>10.73</v>
      </c>
      <c r="L1792" s="43" t="n">
        <f aca="false">K1792*'Chart of Accounts'!$E$68</f>
        <v>7.1891</v>
      </c>
      <c r="O1792" s="42" t="n">
        <f aca="false">I1792+J1792+L1792</f>
        <v>67.7951</v>
      </c>
    </row>
    <row r="1793" customFormat="false" ht="15" hidden="false" customHeight="false" outlineLevel="0" collapsed="false">
      <c r="B1793" s="7" t="s">
        <v>10426</v>
      </c>
      <c r="C1793" s="39" t="n">
        <v>45770</v>
      </c>
      <c r="D1793" s="7" t="s">
        <v>212</v>
      </c>
      <c r="E1793" s="7" t="s">
        <v>180</v>
      </c>
      <c r="F1793" s="6" t="n">
        <v>3.73</v>
      </c>
      <c r="G1793" s="6" t="n">
        <v>0</v>
      </c>
      <c r="H1793" s="41" t="n">
        <v>16.71</v>
      </c>
      <c r="I1793" s="43" t="n">
        <f aca="false">F1793*H1793</f>
        <v>62.3283</v>
      </c>
      <c r="J1793" s="43" t="n">
        <f aca="false">G1793*H1793*1.5</f>
        <v>0</v>
      </c>
      <c r="K1793" s="6" t="n">
        <v>12.83</v>
      </c>
      <c r="L1793" s="43" t="n">
        <f aca="false">K1793*'Chart of Accounts'!$E$68</f>
        <v>8.5961</v>
      </c>
      <c r="O1793" s="42" t="n">
        <f aca="false">I1793+J1793+L1793</f>
        <v>70.9244</v>
      </c>
    </row>
    <row r="1794" customFormat="false" ht="15" hidden="false" customHeight="false" outlineLevel="0" collapsed="false">
      <c r="B1794" s="7" t="s">
        <v>10427</v>
      </c>
      <c r="C1794" s="39" t="n">
        <v>45770</v>
      </c>
      <c r="D1794" s="7" t="s">
        <v>232</v>
      </c>
      <c r="E1794" s="7" t="s">
        <v>180</v>
      </c>
      <c r="F1794" s="6" t="n">
        <v>5.13</v>
      </c>
      <c r="G1794" s="6" t="n">
        <v>0</v>
      </c>
      <c r="H1794" s="41" t="n">
        <v>16.17</v>
      </c>
      <c r="I1794" s="43" t="n">
        <f aca="false">F1794*H1794</f>
        <v>82.9521</v>
      </c>
      <c r="J1794" s="43" t="n">
        <f aca="false">G1794*H1794*1.5</f>
        <v>0</v>
      </c>
      <c r="K1794" s="6" t="n">
        <v>15.85</v>
      </c>
      <c r="L1794" s="43" t="n">
        <f aca="false">K1794*'Chart of Accounts'!$E$68</f>
        <v>10.6195</v>
      </c>
      <c r="O1794" s="42" t="n">
        <f aca="false">I1794+J1794+L1794</f>
        <v>93.5716</v>
      </c>
    </row>
    <row r="1795" customFormat="false" ht="15" hidden="false" customHeight="false" outlineLevel="0" collapsed="false">
      <c r="B1795" s="7" t="s">
        <v>10428</v>
      </c>
      <c r="C1795" s="39" t="n">
        <v>45770</v>
      </c>
      <c r="D1795" s="7" t="s">
        <v>224</v>
      </c>
      <c r="E1795" s="7" t="s">
        <v>180</v>
      </c>
      <c r="F1795" s="6" t="n">
        <v>4.98</v>
      </c>
      <c r="G1795" s="6" t="n">
        <v>0</v>
      </c>
      <c r="H1795" s="41" t="n">
        <v>14.93</v>
      </c>
      <c r="I1795" s="43" t="n">
        <f aca="false">F1795*H1795</f>
        <v>74.3514</v>
      </c>
      <c r="J1795" s="43" t="n">
        <f aca="false">G1795*H1795*1.5</f>
        <v>0</v>
      </c>
      <c r="K1795" s="6" t="n">
        <v>13.76</v>
      </c>
      <c r="L1795" s="43" t="n">
        <f aca="false">K1795*'Chart of Accounts'!$E$68</f>
        <v>9.2192</v>
      </c>
      <c r="O1795" s="42" t="n">
        <f aca="false">I1795+J1795+L1795</f>
        <v>83.5706</v>
      </c>
    </row>
    <row r="1796" customFormat="false" ht="15" hidden="false" customHeight="false" outlineLevel="0" collapsed="false">
      <c r="B1796" s="7" t="s">
        <v>10429</v>
      </c>
      <c r="C1796" s="39" t="n">
        <v>45770</v>
      </c>
      <c r="D1796" s="7" t="s">
        <v>238</v>
      </c>
      <c r="E1796" s="7" t="s">
        <v>180</v>
      </c>
      <c r="F1796" s="6" t="n">
        <v>4.03</v>
      </c>
      <c r="G1796" s="6" t="n">
        <v>0</v>
      </c>
      <c r="H1796" s="41" t="n">
        <v>15.85</v>
      </c>
      <c r="I1796" s="43" t="n">
        <f aca="false">F1796*H1796</f>
        <v>63.8755</v>
      </c>
      <c r="J1796" s="43" t="n">
        <f aca="false">G1796*H1796*1.5</f>
        <v>0</v>
      </c>
      <c r="K1796" s="6" t="n">
        <v>11.43</v>
      </c>
      <c r="L1796" s="43" t="n">
        <f aca="false">K1796*'Chart of Accounts'!$E$68</f>
        <v>7.6581</v>
      </c>
      <c r="O1796" s="42" t="n">
        <f aca="false">I1796+J1796+L1796</f>
        <v>71.5336</v>
      </c>
    </row>
    <row r="1797" customFormat="false" ht="15" hidden="false" customHeight="false" outlineLevel="0" collapsed="false">
      <c r="B1797" s="7" t="s">
        <v>10430</v>
      </c>
      <c r="C1797" s="39" t="n">
        <v>45770</v>
      </c>
      <c r="D1797" s="7" t="s">
        <v>246</v>
      </c>
      <c r="E1797" s="7" t="s">
        <v>180</v>
      </c>
      <c r="F1797" s="6" t="n">
        <v>4.16</v>
      </c>
      <c r="G1797" s="6" t="n">
        <v>0</v>
      </c>
      <c r="H1797" s="41" t="n">
        <v>16.48</v>
      </c>
      <c r="I1797" s="43" t="n">
        <f aca="false">F1797*H1797</f>
        <v>68.5568</v>
      </c>
      <c r="J1797" s="43" t="n">
        <f aca="false">G1797*H1797*1.5</f>
        <v>0</v>
      </c>
      <c r="K1797" s="6" t="n">
        <v>9.74</v>
      </c>
      <c r="L1797" s="43" t="n">
        <f aca="false">K1797*'Chart of Accounts'!$E$68</f>
        <v>6.5258</v>
      </c>
      <c r="O1797" s="42" t="n">
        <f aca="false">I1797+J1797+L1797</f>
        <v>75.0826</v>
      </c>
    </row>
    <row r="1798" customFormat="false" ht="15" hidden="false" customHeight="false" outlineLevel="0" collapsed="false">
      <c r="B1798" s="7" t="s">
        <v>10431</v>
      </c>
      <c r="C1798" s="39" t="n">
        <v>45770</v>
      </c>
      <c r="D1798" s="7" t="s">
        <v>222</v>
      </c>
      <c r="E1798" s="7" t="s">
        <v>180</v>
      </c>
      <c r="F1798" s="6" t="n">
        <v>4.4</v>
      </c>
      <c r="G1798" s="6" t="n">
        <v>0</v>
      </c>
      <c r="H1798" s="41" t="n">
        <v>17.84</v>
      </c>
      <c r="I1798" s="43" t="n">
        <f aca="false">F1798*H1798</f>
        <v>78.496</v>
      </c>
      <c r="J1798" s="43" t="n">
        <f aca="false">G1798*H1798*1.5</f>
        <v>0</v>
      </c>
      <c r="K1798" s="6" t="n">
        <v>12.02</v>
      </c>
      <c r="L1798" s="43" t="n">
        <f aca="false">K1798*'Chart of Accounts'!$E$68</f>
        <v>8.0534</v>
      </c>
      <c r="O1798" s="42" t="n">
        <f aca="false">I1798+J1798+L1798</f>
        <v>86.5494</v>
      </c>
    </row>
    <row r="1799" customFormat="false" ht="15" hidden="false" customHeight="false" outlineLevel="0" collapsed="false">
      <c r="B1799" s="7" t="s">
        <v>10432</v>
      </c>
      <c r="C1799" s="39" t="n">
        <v>45770</v>
      </c>
      <c r="D1799" s="7" t="s">
        <v>203</v>
      </c>
      <c r="E1799" s="7" t="s">
        <v>158</v>
      </c>
      <c r="H1799" s="41" t="n">
        <v>49.43</v>
      </c>
      <c r="M1799" s="6" t="n">
        <v>1</v>
      </c>
      <c r="N1799" s="43" t="n">
        <f aca="false">M1799*H1799</f>
        <v>49.43</v>
      </c>
      <c r="O1799" s="42" t="n">
        <f aca="false">N1799</f>
        <v>49.43</v>
      </c>
    </row>
    <row r="1800" customFormat="false" ht="15" hidden="false" customHeight="false" outlineLevel="0" collapsed="false">
      <c r="B1800" s="7" t="s">
        <v>10433</v>
      </c>
      <c r="C1800" s="39" t="n">
        <v>45770</v>
      </c>
      <c r="D1800" s="7" t="s">
        <v>262</v>
      </c>
      <c r="E1800" s="7" t="s">
        <v>180</v>
      </c>
      <c r="F1800" s="6" t="n">
        <v>3.47</v>
      </c>
      <c r="G1800" s="6" t="n">
        <v>0</v>
      </c>
      <c r="H1800" s="41" t="n">
        <v>16.02</v>
      </c>
      <c r="I1800" s="43" t="n">
        <f aca="false">F1800*H1800</f>
        <v>55.5894</v>
      </c>
      <c r="J1800" s="43" t="n">
        <f aca="false">G1800*H1800*1.5</f>
        <v>0</v>
      </c>
      <c r="K1800" s="6" t="n">
        <v>10.56</v>
      </c>
      <c r="L1800" s="43" t="n">
        <f aca="false">K1800*'Chart of Accounts'!$E$68</f>
        <v>7.0752</v>
      </c>
      <c r="O1800" s="42" t="n">
        <f aca="false">I1800+J1800+L1800</f>
        <v>62.6646</v>
      </c>
    </row>
    <row r="1801" customFormat="false" ht="15" hidden="false" customHeight="false" outlineLevel="0" collapsed="false">
      <c r="B1801" s="7" t="s">
        <v>10434</v>
      </c>
      <c r="C1801" s="39" t="n">
        <v>45770</v>
      </c>
      <c r="D1801" s="7" t="s">
        <v>214</v>
      </c>
      <c r="E1801" s="7" t="s">
        <v>180</v>
      </c>
      <c r="F1801" s="6" t="n">
        <v>3.22</v>
      </c>
      <c r="G1801" s="6" t="n">
        <v>0</v>
      </c>
      <c r="H1801" s="41" t="n">
        <v>15.67</v>
      </c>
      <c r="I1801" s="43" t="n">
        <f aca="false">F1801*H1801</f>
        <v>50.4574</v>
      </c>
      <c r="J1801" s="43" t="n">
        <f aca="false">G1801*H1801*1.5</f>
        <v>0</v>
      </c>
      <c r="K1801" s="6" t="n">
        <v>9.16</v>
      </c>
      <c r="L1801" s="43" t="n">
        <f aca="false">K1801*'Chart of Accounts'!$E$68</f>
        <v>6.1372</v>
      </c>
      <c r="O1801" s="42" t="n">
        <f aca="false">I1801+J1801+L1801</f>
        <v>56.5946</v>
      </c>
    </row>
    <row r="1802" customFormat="false" ht="15" hidden="false" customHeight="false" outlineLevel="0" collapsed="false">
      <c r="B1802" s="7" t="s">
        <v>10435</v>
      </c>
      <c r="C1802" s="39" t="n">
        <v>45771</v>
      </c>
      <c r="D1802" s="7" t="s">
        <v>191</v>
      </c>
      <c r="E1802" s="7" t="s">
        <v>180</v>
      </c>
      <c r="F1802" s="6" t="n">
        <v>3.61</v>
      </c>
      <c r="G1802" s="6" t="n">
        <v>0</v>
      </c>
      <c r="H1802" s="41" t="n">
        <v>16.05</v>
      </c>
      <c r="I1802" s="43" t="n">
        <f aca="false">F1802*H1802</f>
        <v>57.9405</v>
      </c>
      <c r="J1802" s="43" t="n">
        <f aca="false">G1802*H1802*1.5</f>
        <v>0</v>
      </c>
      <c r="K1802" s="6" t="n">
        <v>9.26</v>
      </c>
      <c r="L1802" s="43" t="n">
        <f aca="false">K1802*'Chart of Accounts'!$E$68</f>
        <v>6.2042</v>
      </c>
      <c r="O1802" s="42" t="n">
        <f aca="false">I1802+J1802+L1802</f>
        <v>64.1447</v>
      </c>
    </row>
    <row r="1803" customFormat="false" ht="15" hidden="false" customHeight="false" outlineLevel="0" collapsed="false">
      <c r="B1803" s="7" t="s">
        <v>10436</v>
      </c>
      <c r="C1803" s="39" t="n">
        <v>45771</v>
      </c>
      <c r="D1803" s="7" t="s">
        <v>201</v>
      </c>
      <c r="E1803" s="7" t="s">
        <v>180</v>
      </c>
      <c r="F1803" s="6" t="n">
        <v>5.84</v>
      </c>
      <c r="G1803" s="6" t="n">
        <v>0</v>
      </c>
      <c r="H1803" s="41" t="n">
        <v>15.19</v>
      </c>
      <c r="I1803" s="43" t="n">
        <f aca="false">F1803*H1803</f>
        <v>88.7096</v>
      </c>
      <c r="J1803" s="43" t="n">
        <f aca="false">G1803*H1803*1.5</f>
        <v>0</v>
      </c>
      <c r="K1803" s="6" t="n">
        <v>19.76</v>
      </c>
      <c r="L1803" s="43" t="n">
        <f aca="false">K1803*'Chart of Accounts'!$E$68</f>
        <v>13.2392</v>
      </c>
      <c r="O1803" s="42" t="n">
        <f aca="false">I1803+J1803+L1803</f>
        <v>101.9488</v>
      </c>
    </row>
    <row r="1804" customFormat="false" ht="15" hidden="false" customHeight="false" outlineLevel="0" collapsed="false">
      <c r="B1804" s="7" t="s">
        <v>10437</v>
      </c>
      <c r="C1804" s="39" t="n">
        <v>45771</v>
      </c>
      <c r="D1804" s="7" t="s">
        <v>196</v>
      </c>
      <c r="E1804" s="7" t="s">
        <v>180</v>
      </c>
      <c r="F1804" s="6" t="n">
        <v>5.79</v>
      </c>
      <c r="G1804" s="6" t="n">
        <v>0</v>
      </c>
      <c r="H1804" s="41" t="n">
        <v>15.05</v>
      </c>
      <c r="I1804" s="43" t="n">
        <f aca="false">F1804*H1804</f>
        <v>87.1395</v>
      </c>
      <c r="J1804" s="43" t="n">
        <f aca="false">G1804*H1804*1.5</f>
        <v>0</v>
      </c>
      <c r="K1804" s="6" t="n">
        <v>17.34</v>
      </c>
      <c r="L1804" s="43" t="n">
        <f aca="false">K1804*'Chart of Accounts'!$E$68</f>
        <v>11.6178</v>
      </c>
      <c r="O1804" s="42" t="n">
        <f aca="false">I1804+J1804+L1804</f>
        <v>98.7573</v>
      </c>
    </row>
    <row r="1805" customFormat="false" ht="15" hidden="false" customHeight="false" outlineLevel="0" collapsed="false">
      <c r="B1805" s="7" t="s">
        <v>10438</v>
      </c>
      <c r="C1805" s="39" t="n">
        <v>45771</v>
      </c>
      <c r="D1805" s="7" t="s">
        <v>184</v>
      </c>
      <c r="E1805" s="7" t="s">
        <v>180</v>
      </c>
      <c r="F1805" s="6" t="n">
        <v>4.03</v>
      </c>
      <c r="G1805" s="6" t="n">
        <v>0</v>
      </c>
      <c r="H1805" s="41" t="n">
        <v>17.34</v>
      </c>
      <c r="I1805" s="43" t="n">
        <f aca="false">F1805*H1805</f>
        <v>69.8802</v>
      </c>
      <c r="J1805" s="43" t="n">
        <f aca="false">G1805*H1805*1.5</f>
        <v>0</v>
      </c>
      <c r="K1805" s="6" t="n">
        <v>13.64</v>
      </c>
      <c r="L1805" s="43" t="n">
        <f aca="false">K1805*'Chart of Accounts'!$E$68</f>
        <v>9.1388</v>
      </c>
      <c r="O1805" s="42" t="n">
        <f aca="false">I1805+J1805+L1805</f>
        <v>79.019</v>
      </c>
    </row>
    <row r="1806" customFormat="false" ht="15" hidden="false" customHeight="false" outlineLevel="0" collapsed="false">
      <c r="B1806" s="7" t="s">
        <v>10439</v>
      </c>
      <c r="C1806" s="39" t="n">
        <v>45771</v>
      </c>
      <c r="D1806" s="7" t="s">
        <v>207</v>
      </c>
      <c r="E1806" s="7" t="s">
        <v>180</v>
      </c>
      <c r="F1806" s="6" t="n">
        <v>2.97</v>
      </c>
      <c r="G1806" s="6" t="n">
        <v>0</v>
      </c>
      <c r="H1806" s="41" t="n">
        <v>16.65</v>
      </c>
      <c r="I1806" s="43" t="n">
        <f aca="false">F1806*H1806</f>
        <v>49.4505</v>
      </c>
      <c r="J1806" s="43" t="n">
        <f aca="false">G1806*H1806*1.5</f>
        <v>0</v>
      </c>
      <c r="K1806" s="6" t="n">
        <v>7.22</v>
      </c>
      <c r="L1806" s="43" t="n">
        <f aca="false">K1806*'Chart of Accounts'!$E$68</f>
        <v>4.8374</v>
      </c>
      <c r="O1806" s="42" t="n">
        <f aca="false">I1806+J1806+L1806</f>
        <v>54.2879</v>
      </c>
    </row>
    <row r="1807" customFormat="false" ht="15" hidden="false" customHeight="false" outlineLevel="0" collapsed="false">
      <c r="B1807" s="7" t="s">
        <v>10440</v>
      </c>
      <c r="C1807" s="39" t="n">
        <v>45771</v>
      </c>
      <c r="D1807" s="7" t="s">
        <v>218</v>
      </c>
      <c r="E1807" s="7" t="s">
        <v>180</v>
      </c>
      <c r="F1807" s="6" t="n">
        <v>3.9</v>
      </c>
      <c r="G1807" s="6" t="n">
        <v>0</v>
      </c>
      <c r="H1807" s="41" t="n">
        <v>16.19</v>
      </c>
      <c r="I1807" s="43" t="n">
        <f aca="false">F1807*H1807</f>
        <v>63.141</v>
      </c>
      <c r="J1807" s="43" t="n">
        <f aca="false">G1807*H1807*1.5</f>
        <v>0</v>
      </c>
      <c r="K1807" s="6" t="n">
        <v>9.6</v>
      </c>
      <c r="L1807" s="43" t="n">
        <f aca="false">K1807*'Chart of Accounts'!$E$68</f>
        <v>6.432</v>
      </c>
      <c r="O1807" s="42" t="n">
        <f aca="false">I1807+J1807+L1807</f>
        <v>69.573</v>
      </c>
    </row>
    <row r="1808" customFormat="false" ht="15" hidden="false" customHeight="false" outlineLevel="0" collapsed="false">
      <c r="B1808" s="7" t="s">
        <v>10441</v>
      </c>
      <c r="C1808" s="39" t="n">
        <v>45771</v>
      </c>
      <c r="D1808" s="7" t="s">
        <v>212</v>
      </c>
      <c r="E1808" s="7" t="s">
        <v>180</v>
      </c>
      <c r="F1808" s="6" t="n">
        <v>3.2</v>
      </c>
      <c r="G1808" s="6" t="n">
        <v>0</v>
      </c>
      <c r="H1808" s="41" t="n">
        <v>16.71</v>
      </c>
      <c r="I1808" s="43" t="n">
        <f aca="false">F1808*H1808</f>
        <v>53.472</v>
      </c>
      <c r="J1808" s="43" t="n">
        <f aca="false">G1808*H1808*1.5</f>
        <v>0</v>
      </c>
      <c r="K1808" s="6" t="n">
        <v>7.87</v>
      </c>
      <c r="L1808" s="43" t="n">
        <f aca="false">K1808*'Chart of Accounts'!$E$68</f>
        <v>5.2729</v>
      </c>
      <c r="O1808" s="42" t="n">
        <f aca="false">I1808+J1808+L1808</f>
        <v>58.7449</v>
      </c>
    </row>
    <row r="1809" customFormat="false" ht="15" hidden="false" customHeight="false" outlineLevel="0" collapsed="false">
      <c r="B1809" s="7" t="s">
        <v>10442</v>
      </c>
      <c r="C1809" s="39" t="n">
        <v>45771</v>
      </c>
      <c r="D1809" s="7" t="s">
        <v>220</v>
      </c>
      <c r="E1809" s="7" t="s">
        <v>180</v>
      </c>
      <c r="F1809" s="6" t="n">
        <v>3.7</v>
      </c>
      <c r="G1809" s="6" t="n">
        <v>0</v>
      </c>
      <c r="H1809" s="41" t="n">
        <v>16.43</v>
      </c>
      <c r="I1809" s="43" t="n">
        <f aca="false">F1809*H1809</f>
        <v>60.791</v>
      </c>
      <c r="J1809" s="43" t="n">
        <f aca="false">G1809*H1809*1.5</f>
        <v>0</v>
      </c>
      <c r="K1809" s="6" t="n">
        <v>11.33</v>
      </c>
      <c r="L1809" s="43" t="n">
        <f aca="false">K1809*'Chart of Accounts'!$E$68</f>
        <v>7.5911</v>
      </c>
      <c r="O1809" s="42" t="n">
        <f aca="false">I1809+J1809+L1809</f>
        <v>68.3821</v>
      </c>
    </row>
    <row r="1810" customFormat="false" ht="15" hidden="false" customHeight="false" outlineLevel="0" collapsed="false">
      <c r="B1810" s="7" t="s">
        <v>10443</v>
      </c>
      <c r="C1810" s="39" t="n">
        <v>45771</v>
      </c>
      <c r="D1810" s="7" t="s">
        <v>224</v>
      </c>
      <c r="E1810" s="7" t="s">
        <v>180</v>
      </c>
      <c r="F1810" s="6" t="n">
        <v>3.61</v>
      </c>
      <c r="G1810" s="6" t="n">
        <v>0</v>
      </c>
      <c r="H1810" s="41" t="n">
        <v>14.93</v>
      </c>
      <c r="I1810" s="43" t="n">
        <f aca="false">F1810*H1810</f>
        <v>53.8973</v>
      </c>
      <c r="J1810" s="43" t="n">
        <f aca="false">G1810*H1810*1.5</f>
        <v>0</v>
      </c>
      <c r="K1810" s="6" t="n">
        <v>11.79</v>
      </c>
      <c r="L1810" s="43" t="n">
        <f aca="false">K1810*'Chart of Accounts'!$E$68</f>
        <v>7.8993</v>
      </c>
      <c r="O1810" s="42" t="n">
        <f aca="false">I1810+J1810+L1810</f>
        <v>61.7966</v>
      </c>
    </row>
    <row r="1811" customFormat="false" ht="15" hidden="false" customHeight="false" outlineLevel="0" collapsed="false">
      <c r="B1811" s="7" t="s">
        <v>10444</v>
      </c>
      <c r="C1811" s="39" t="n">
        <v>45771</v>
      </c>
      <c r="D1811" s="7" t="s">
        <v>232</v>
      </c>
      <c r="E1811" s="7" t="s">
        <v>180</v>
      </c>
      <c r="F1811" s="6" t="n">
        <v>3.11</v>
      </c>
      <c r="G1811" s="6" t="n">
        <v>0</v>
      </c>
      <c r="H1811" s="41" t="n">
        <v>16.17</v>
      </c>
      <c r="I1811" s="43" t="n">
        <f aca="false">F1811*H1811</f>
        <v>50.2887</v>
      </c>
      <c r="J1811" s="43" t="n">
        <f aca="false">G1811*H1811*1.5</f>
        <v>0</v>
      </c>
      <c r="K1811" s="6" t="n">
        <v>7.97</v>
      </c>
      <c r="L1811" s="43" t="n">
        <f aca="false">K1811*'Chart of Accounts'!$E$68</f>
        <v>5.3399</v>
      </c>
      <c r="O1811" s="42" t="n">
        <f aca="false">I1811+J1811+L1811</f>
        <v>55.6286</v>
      </c>
    </row>
    <row r="1812" customFormat="false" ht="15" hidden="false" customHeight="false" outlineLevel="0" collapsed="false">
      <c r="B1812" s="7" t="s">
        <v>10445</v>
      </c>
      <c r="C1812" s="39" t="n">
        <v>45771</v>
      </c>
      <c r="D1812" s="7" t="s">
        <v>222</v>
      </c>
      <c r="E1812" s="7" t="s">
        <v>180</v>
      </c>
      <c r="F1812" s="6" t="n">
        <v>7.21</v>
      </c>
      <c r="G1812" s="6" t="n">
        <v>0</v>
      </c>
      <c r="H1812" s="41" t="n">
        <v>17.84</v>
      </c>
      <c r="I1812" s="43" t="n">
        <f aca="false">F1812*H1812</f>
        <v>128.6264</v>
      </c>
      <c r="J1812" s="43" t="n">
        <f aca="false">G1812*H1812*1.5</f>
        <v>0</v>
      </c>
      <c r="K1812" s="6" t="n">
        <v>22.76</v>
      </c>
      <c r="L1812" s="43" t="n">
        <f aca="false">K1812*'Chart of Accounts'!$E$68</f>
        <v>15.2492</v>
      </c>
      <c r="O1812" s="42" t="n">
        <f aca="false">I1812+J1812+L1812</f>
        <v>143.8756</v>
      </c>
    </row>
    <row r="1813" customFormat="false" ht="15" hidden="false" customHeight="false" outlineLevel="0" collapsed="false">
      <c r="B1813" s="7" t="s">
        <v>10446</v>
      </c>
      <c r="C1813" s="39" t="n">
        <v>45771</v>
      </c>
      <c r="D1813" s="7" t="s">
        <v>262</v>
      </c>
      <c r="E1813" s="7" t="s">
        <v>180</v>
      </c>
      <c r="F1813" s="6" t="n">
        <v>3.78</v>
      </c>
      <c r="G1813" s="6" t="n">
        <v>0</v>
      </c>
      <c r="H1813" s="41" t="n">
        <v>16.02</v>
      </c>
      <c r="I1813" s="43" t="n">
        <f aca="false">F1813*H1813</f>
        <v>60.5556</v>
      </c>
      <c r="J1813" s="43" t="n">
        <f aca="false">G1813*H1813*1.5</f>
        <v>0</v>
      </c>
      <c r="K1813" s="6" t="n">
        <v>9.79</v>
      </c>
      <c r="L1813" s="43" t="n">
        <f aca="false">K1813*'Chart of Accounts'!$E$68</f>
        <v>6.5593</v>
      </c>
      <c r="O1813" s="42" t="n">
        <f aca="false">I1813+J1813+L1813</f>
        <v>67.1149</v>
      </c>
    </row>
    <row r="1814" customFormat="false" ht="15" hidden="false" customHeight="false" outlineLevel="0" collapsed="false">
      <c r="B1814" s="7" t="s">
        <v>10447</v>
      </c>
      <c r="C1814" s="39" t="n">
        <v>45771</v>
      </c>
      <c r="D1814" s="7" t="s">
        <v>246</v>
      </c>
      <c r="E1814" s="7" t="s">
        <v>180</v>
      </c>
      <c r="F1814" s="6" t="n">
        <v>7.73</v>
      </c>
      <c r="G1814" s="6" t="n">
        <v>0</v>
      </c>
      <c r="H1814" s="41" t="n">
        <v>16.48</v>
      </c>
      <c r="I1814" s="43" t="n">
        <f aca="false">F1814*H1814</f>
        <v>127.3904</v>
      </c>
      <c r="J1814" s="43" t="n">
        <f aca="false">G1814*H1814*1.5</f>
        <v>0</v>
      </c>
      <c r="K1814" s="6" t="n">
        <v>27.41</v>
      </c>
      <c r="L1814" s="43" t="n">
        <f aca="false">K1814*'Chart of Accounts'!$E$68</f>
        <v>18.3647</v>
      </c>
      <c r="O1814" s="42" t="n">
        <f aca="false">I1814+J1814+L1814</f>
        <v>145.7551</v>
      </c>
    </row>
    <row r="1815" customFormat="false" ht="15" hidden="false" customHeight="false" outlineLevel="0" collapsed="false">
      <c r="B1815" s="7" t="s">
        <v>10448</v>
      </c>
      <c r="C1815" s="39" t="n">
        <v>45771</v>
      </c>
      <c r="D1815" s="7" t="s">
        <v>194</v>
      </c>
      <c r="E1815" s="7" t="s">
        <v>180</v>
      </c>
      <c r="F1815" s="6" t="n">
        <v>4</v>
      </c>
      <c r="G1815" s="6" t="n">
        <v>0</v>
      </c>
      <c r="H1815" s="41" t="n">
        <v>16</v>
      </c>
      <c r="I1815" s="43" t="n">
        <f aca="false">F1815*H1815</f>
        <v>64</v>
      </c>
      <c r="J1815" s="43" t="n">
        <f aca="false">G1815*H1815*1.5</f>
        <v>0</v>
      </c>
      <c r="K1815" s="6" t="n">
        <v>13.29</v>
      </c>
      <c r="L1815" s="43" t="n">
        <f aca="false">K1815*'Chart of Accounts'!$E$68</f>
        <v>8.9043</v>
      </c>
      <c r="O1815" s="42" t="n">
        <f aca="false">I1815+J1815+L1815</f>
        <v>72.9043</v>
      </c>
    </row>
    <row r="1816" customFormat="false" ht="15" hidden="false" customHeight="false" outlineLevel="0" collapsed="false">
      <c r="B1816" s="7" t="s">
        <v>10449</v>
      </c>
      <c r="C1816" s="39" t="n">
        <v>45771</v>
      </c>
      <c r="D1816" s="7" t="s">
        <v>214</v>
      </c>
      <c r="E1816" s="7" t="s">
        <v>180</v>
      </c>
      <c r="F1816" s="6" t="n">
        <v>3.65</v>
      </c>
      <c r="G1816" s="6" t="n">
        <v>0</v>
      </c>
      <c r="H1816" s="41" t="n">
        <v>15.67</v>
      </c>
      <c r="I1816" s="43" t="n">
        <f aca="false">F1816*H1816</f>
        <v>57.1955</v>
      </c>
      <c r="J1816" s="43" t="n">
        <f aca="false">G1816*H1816*1.5</f>
        <v>0</v>
      </c>
      <c r="K1816" s="6" t="n">
        <v>11.85</v>
      </c>
      <c r="L1816" s="43" t="n">
        <f aca="false">K1816*'Chart of Accounts'!$E$68</f>
        <v>7.9395</v>
      </c>
      <c r="O1816" s="42" t="n">
        <f aca="false">I1816+J1816+L1816</f>
        <v>65.135</v>
      </c>
    </row>
    <row r="1817" customFormat="false" ht="15" hidden="false" customHeight="false" outlineLevel="0" collapsed="false">
      <c r="B1817" s="7" t="s">
        <v>10450</v>
      </c>
      <c r="C1817" s="39" t="n">
        <v>45771</v>
      </c>
      <c r="D1817" s="7" t="s">
        <v>242</v>
      </c>
      <c r="E1817" s="7" t="s">
        <v>180</v>
      </c>
      <c r="F1817" s="6" t="n">
        <v>4.14</v>
      </c>
      <c r="G1817" s="6" t="n">
        <v>0</v>
      </c>
      <c r="H1817" s="41" t="n">
        <v>17.99</v>
      </c>
      <c r="I1817" s="43" t="n">
        <f aca="false">F1817*H1817</f>
        <v>74.4786</v>
      </c>
      <c r="J1817" s="43" t="n">
        <f aca="false">G1817*H1817*1.5</f>
        <v>0</v>
      </c>
      <c r="K1817" s="6" t="n">
        <v>11.6</v>
      </c>
      <c r="L1817" s="43" t="n">
        <f aca="false">K1817*'Chart of Accounts'!$E$68</f>
        <v>7.772</v>
      </c>
      <c r="O1817" s="42" t="n">
        <f aca="false">I1817+J1817+L1817</f>
        <v>82.2506</v>
      </c>
    </row>
    <row r="1818" customFormat="false" ht="15" hidden="false" customHeight="false" outlineLevel="0" collapsed="false">
      <c r="B1818" s="7" t="s">
        <v>10451</v>
      </c>
      <c r="C1818" s="39" t="n">
        <v>45771</v>
      </c>
      <c r="D1818" s="7" t="s">
        <v>254</v>
      </c>
      <c r="E1818" s="7" t="s">
        <v>180</v>
      </c>
      <c r="F1818" s="6" t="n">
        <v>4.03</v>
      </c>
      <c r="G1818" s="6" t="n">
        <v>0</v>
      </c>
      <c r="H1818" s="41" t="n">
        <v>17.1</v>
      </c>
      <c r="I1818" s="43" t="n">
        <f aca="false">F1818*H1818</f>
        <v>68.913</v>
      </c>
      <c r="J1818" s="43" t="n">
        <f aca="false">G1818*H1818*1.5</f>
        <v>0</v>
      </c>
      <c r="K1818" s="6" t="n">
        <v>12.84</v>
      </c>
      <c r="L1818" s="43" t="n">
        <f aca="false">K1818*'Chart of Accounts'!$E$68</f>
        <v>8.6028</v>
      </c>
      <c r="O1818" s="42" t="n">
        <f aca="false">I1818+J1818+L1818</f>
        <v>77.5158</v>
      </c>
    </row>
    <row r="1819" customFormat="false" ht="15" hidden="false" customHeight="false" outlineLevel="0" collapsed="false">
      <c r="B1819" s="7" t="s">
        <v>10452</v>
      </c>
      <c r="C1819" s="39" t="n">
        <v>45772</v>
      </c>
      <c r="D1819" s="7" t="s">
        <v>187</v>
      </c>
      <c r="E1819" s="7" t="s">
        <v>158</v>
      </c>
      <c r="H1819" s="41" t="n">
        <v>66.48</v>
      </c>
      <c r="M1819" s="6" t="n">
        <v>1</v>
      </c>
      <c r="N1819" s="43" t="n">
        <f aca="false">M1819*H1819</f>
        <v>66.48</v>
      </c>
      <c r="O1819" s="42" t="n">
        <f aca="false">N1819</f>
        <v>66.48</v>
      </c>
    </row>
    <row r="1820" customFormat="false" ht="15" hidden="false" customHeight="false" outlineLevel="0" collapsed="false">
      <c r="B1820" s="7" t="s">
        <v>10453</v>
      </c>
      <c r="C1820" s="39" t="n">
        <v>45772</v>
      </c>
      <c r="D1820" s="7" t="s">
        <v>191</v>
      </c>
      <c r="E1820" s="7" t="s">
        <v>180</v>
      </c>
      <c r="F1820" s="6" t="n">
        <v>4.35</v>
      </c>
      <c r="G1820" s="6" t="n">
        <v>0</v>
      </c>
      <c r="H1820" s="41" t="n">
        <v>16.05</v>
      </c>
      <c r="I1820" s="43" t="n">
        <f aca="false">F1820*H1820</f>
        <v>69.8175</v>
      </c>
      <c r="J1820" s="43" t="n">
        <f aca="false">G1820*H1820*1.5</f>
        <v>0</v>
      </c>
      <c r="K1820" s="6" t="n">
        <v>12.87</v>
      </c>
      <c r="L1820" s="43" t="n">
        <f aca="false">K1820*'Chart of Accounts'!$E$68</f>
        <v>8.6229</v>
      </c>
      <c r="O1820" s="42" t="n">
        <f aca="false">I1820+J1820+L1820</f>
        <v>78.4404</v>
      </c>
    </row>
    <row r="1821" customFormat="false" ht="15" hidden="false" customHeight="false" outlineLevel="0" collapsed="false">
      <c r="B1821" s="7" t="s">
        <v>10454</v>
      </c>
      <c r="C1821" s="39" t="n">
        <v>45772</v>
      </c>
      <c r="D1821" s="7" t="s">
        <v>194</v>
      </c>
      <c r="E1821" s="7" t="s">
        <v>180</v>
      </c>
      <c r="F1821" s="6" t="n">
        <v>8.7</v>
      </c>
      <c r="G1821" s="6" t="n">
        <v>0</v>
      </c>
      <c r="H1821" s="41" t="n">
        <v>16</v>
      </c>
      <c r="I1821" s="43" t="n">
        <f aca="false">F1821*H1821</f>
        <v>139.2</v>
      </c>
      <c r="J1821" s="43" t="n">
        <f aca="false">G1821*H1821*1.5</f>
        <v>0</v>
      </c>
      <c r="K1821" s="6" t="n">
        <v>25.32</v>
      </c>
      <c r="L1821" s="43" t="n">
        <f aca="false">K1821*'Chart of Accounts'!$E$68</f>
        <v>16.9644</v>
      </c>
      <c r="O1821" s="42" t="n">
        <f aca="false">I1821+J1821+L1821</f>
        <v>156.1644</v>
      </c>
    </row>
    <row r="1822" customFormat="false" ht="15" hidden="false" customHeight="false" outlineLevel="0" collapsed="false">
      <c r="B1822" s="7" t="s">
        <v>10455</v>
      </c>
      <c r="C1822" s="39" t="n">
        <v>45772</v>
      </c>
      <c r="D1822" s="7" t="s">
        <v>209</v>
      </c>
      <c r="E1822" s="7" t="s">
        <v>158</v>
      </c>
      <c r="H1822" s="41" t="n">
        <v>73.58</v>
      </c>
      <c r="M1822" s="6" t="n">
        <v>2</v>
      </c>
      <c r="N1822" s="43" t="n">
        <f aca="false">M1822*H1822</f>
        <v>147.16</v>
      </c>
      <c r="O1822" s="42" t="n">
        <f aca="false">N1822</f>
        <v>147.16</v>
      </c>
    </row>
    <row r="1823" customFormat="false" ht="15" hidden="false" customHeight="false" outlineLevel="0" collapsed="false">
      <c r="B1823" s="7" t="s">
        <v>10456</v>
      </c>
      <c r="C1823" s="39" t="n">
        <v>45772</v>
      </c>
      <c r="D1823" s="7" t="s">
        <v>205</v>
      </c>
      <c r="E1823" s="7" t="s">
        <v>180</v>
      </c>
      <c r="F1823" s="6" t="n">
        <v>4.21</v>
      </c>
      <c r="G1823" s="6" t="n">
        <v>0</v>
      </c>
      <c r="H1823" s="41" t="n">
        <v>16.36</v>
      </c>
      <c r="I1823" s="43" t="n">
        <f aca="false">F1823*H1823</f>
        <v>68.8756</v>
      </c>
      <c r="J1823" s="43" t="n">
        <f aca="false">G1823*H1823*1.5</f>
        <v>0</v>
      </c>
      <c r="K1823" s="6" t="n">
        <v>14.4</v>
      </c>
      <c r="L1823" s="43" t="n">
        <f aca="false">K1823*'Chart of Accounts'!$E$68</f>
        <v>9.648</v>
      </c>
      <c r="O1823" s="42" t="n">
        <f aca="false">I1823+J1823+L1823</f>
        <v>78.5236</v>
      </c>
    </row>
    <row r="1824" customFormat="false" ht="15" hidden="false" customHeight="false" outlineLevel="0" collapsed="false">
      <c r="B1824" s="7" t="s">
        <v>10457</v>
      </c>
      <c r="C1824" s="39" t="n">
        <v>45772</v>
      </c>
      <c r="D1824" s="7" t="s">
        <v>264</v>
      </c>
      <c r="E1824" s="7" t="s">
        <v>158</v>
      </c>
      <c r="H1824" s="41" t="n">
        <v>55.55</v>
      </c>
      <c r="M1824" s="6" t="n">
        <v>1</v>
      </c>
      <c r="N1824" s="43" t="n">
        <f aca="false">M1824*H1824</f>
        <v>55.55</v>
      </c>
      <c r="O1824" s="42" t="n">
        <f aca="false">N1824</f>
        <v>55.55</v>
      </c>
    </row>
    <row r="1825" customFormat="false" ht="15" hidden="false" customHeight="false" outlineLevel="0" collapsed="false">
      <c r="B1825" s="7" t="s">
        <v>10458</v>
      </c>
      <c r="C1825" s="39" t="n">
        <v>45772</v>
      </c>
      <c r="D1825" s="7" t="s">
        <v>252</v>
      </c>
      <c r="E1825" s="7" t="s">
        <v>158</v>
      </c>
      <c r="H1825" s="41" t="n">
        <v>57.54</v>
      </c>
      <c r="M1825" s="6" t="n">
        <v>1</v>
      </c>
      <c r="N1825" s="43" t="n">
        <f aca="false">M1825*H1825</f>
        <v>57.54</v>
      </c>
      <c r="O1825" s="42" t="n">
        <f aca="false">N1825</f>
        <v>57.54</v>
      </c>
    </row>
    <row r="1826" customFormat="false" ht="15" hidden="false" customHeight="false" outlineLevel="0" collapsed="false">
      <c r="B1826" s="7" t="s">
        <v>10459</v>
      </c>
      <c r="C1826" s="39" t="n">
        <v>45772</v>
      </c>
      <c r="D1826" s="7" t="s">
        <v>184</v>
      </c>
      <c r="E1826" s="7" t="s">
        <v>180</v>
      </c>
      <c r="F1826" s="6" t="n">
        <v>4.06</v>
      </c>
      <c r="G1826" s="6" t="n">
        <v>0</v>
      </c>
      <c r="H1826" s="41" t="n">
        <v>17.34</v>
      </c>
      <c r="I1826" s="43" t="n">
        <f aca="false">F1826*H1826</f>
        <v>70.4004</v>
      </c>
      <c r="J1826" s="43" t="n">
        <f aca="false">G1826*H1826*1.5</f>
        <v>0</v>
      </c>
      <c r="K1826" s="6" t="n">
        <v>13.96</v>
      </c>
      <c r="L1826" s="43" t="n">
        <f aca="false">K1826*'Chart of Accounts'!$E$68</f>
        <v>9.3532</v>
      </c>
      <c r="O1826" s="42" t="n">
        <f aca="false">I1826+J1826+L1826</f>
        <v>79.7536</v>
      </c>
    </row>
    <row r="1827" customFormat="false" ht="15" hidden="false" customHeight="false" outlineLevel="0" collapsed="false">
      <c r="B1827" s="7" t="s">
        <v>10460</v>
      </c>
      <c r="C1827" s="39" t="n">
        <v>45772</v>
      </c>
      <c r="D1827" s="7" t="s">
        <v>234</v>
      </c>
      <c r="E1827" s="7" t="s">
        <v>158</v>
      </c>
      <c r="H1827" s="41" t="n">
        <v>89.53</v>
      </c>
      <c r="M1827" s="6" t="n">
        <v>2</v>
      </c>
      <c r="N1827" s="43" t="n">
        <f aca="false">M1827*H1827</f>
        <v>179.06</v>
      </c>
      <c r="O1827" s="42" t="n">
        <f aca="false">N1827</f>
        <v>179.06</v>
      </c>
    </row>
    <row r="1828" customFormat="false" ht="15" hidden="false" customHeight="false" outlineLevel="0" collapsed="false">
      <c r="B1828" s="7" t="s">
        <v>10461</v>
      </c>
      <c r="C1828" s="39" t="n">
        <v>45772</v>
      </c>
      <c r="D1828" s="7" t="s">
        <v>218</v>
      </c>
      <c r="E1828" s="7" t="s">
        <v>180</v>
      </c>
      <c r="F1828" s="6" t="n">
        <v>3.8</v>
      </c>
      <c r="G1828" s="6" t="n">
        <v>0</v>
      </c>
      <c r="H1828" s="41" t="n">
        <v>16.19</v>
      </c>
      <c r="I1828" s="43" t="n">
        <f aca="false">F1828*H1828</f>
        <v>61.522</v>
      </c>
      <c r="J1828" s="43" t="n">
        <f aca="false">G1828*H1828*1.5</f>
        <v>0</v>
      </c>
      <c r="K1828" s="6" t="n">
        <v>8.76</v>
      </c>
      <c r="L1828" s="43" t="n">
        <f aca="false">K1828*'Chart of Accounts'!$E$68</f>
        <v>5.8692</v>
      </c>
      <c r="O1828" s="42" t="n">
        <f aca="false">I1828+J1828+L1828</f>
        <v>67.3912</v>
      </c>
    </row>
    <row r="1829" customFormat="false" ht="15" hidden="false" customHeight="false" outlineLevel="0" collapsed="false">
      <c r="B1829" s="7" t="s">
        <v>10462</v>
      </c>
      <c r="C1829" s="39" t="n">
        <v>45772</v>
      </c>
      <c r="D1829" s="7" t="s">
        <v>266</v>
      </c>
      <c r="E1829" s="7" t="s">
        <v>158</v>
      </c>
      <c r="H1829" s="41" t="n">
        <v>75.18</v>
      </c>
      <c r="M1829" s="6" t="n">
        <v>1</v>
      </c>
      <c r="N1829" s="43" t="n">
        <f aca="false">M1829*H1829</f>
        <v>75.18</v>
      </c>
      <c r="O1829" s="42" t="n">
        <f aca="false">N1829</f>
        <v>75.18</v>
      </c>
    </row>
    <row r="1830" customFormat="false" ht="15" hidden="false" customHeight="false" outlineLevel="0" collapsed="false">
      <c r="B1830" s="7" t="s">
        <v>10463</v>
      </c>
      <c r="C1830" s="39" t="n">
        <v>45772</v>
      </c>
      <c r="D1830" s="7" t="s">
        <v>228</v>
      </c>
      <c r="E1830" s="7" t="s">
        <v>158</v>
      </c>
      <c r="H1830" s="41" t="n">
        <v>51.07</v>
      </c>
      <c r="M1830" s="6" t="n">
        <v>1</v>
      </c>
      <c r="N1830" s="43" t="n">
        <f aca="false">M1830*H1830</f>
        <v>51.07</v>
      </c>
      <c r="O1830" s="42" t="n">
        <f aca="false">N1830</f>
        <v>51.07</v>
      </c>
    </row>
    <row r="1831" customFormat="false" ht="15" hidden="false" customHeight="false" outlineLevel="0" collapsed="false">
      <c r="B1831" s="7" t="s">
        <v>10464</v>
      </c>
      <c r="C1831" s="39" t="n">
        <v>45772</v>
      </c>
      <c r="D1831" s="7" t="s">
        <v>220</v>
      </c>
      <c r="E1831" s="7" t="s">
        <v>180</v>
      </c>
      <c r="F1831" s="6" t="n">
        <v>3.87</v>
      </c>
      <c r="G1831" s="6" t="n">
        <v>0</v>
      </c>
      <c r="H1831" s="41" t="n">
        <v>16.43</v>
      </c>
      <c r="I1831" s="43" t="n">
        <f aca="false">F1831*H1831</f>
        <v>63.5841</v>
      </c>
      <c r="J1831" s="43" t="n">
        <f aca="false">G1831*H1831*1.5</f>
        <v>0</v>
      </c>
      <c r="K1831" s="6" t="n">
        <v>12.76</v>
      </c>
      <c r="L1831" s="43" t="n">
        <f aca="false">K1831*'Chart of Accounts'!$E$68</f>
        <v>8.5492</v>
      </c>
      <c r="O1831" s="42" t="n">
        <f aca="false">I1831+J1831+L1831</f>
        <v>72.1333</v>
      </c>
    </row>
    <row r="1832" customFormat="false" ht="15" hidden="false" customHeight="false" outlineLevel="0" collapsed="false">
      <c r="B1832" s="7" t="s">
        <v>10465</v>
      </c>
      <c r="C1832" s="39" t="n">
        <v>45772</v>
      </c>
      <c r="D1832" s="7" t="s">
        <v>177</v>
      </c>
      <c r="E1832" s="7" t="s">
        <v>180</v>
      </c>
      <c r="F1832" s="6" t="n">
        <v>8.69</v>
      </c>
      <c r="G1832" s="6" t="n">
        <v>0</v>
      </c>
      <c r="H1832" s="41" t="n">
        <v>14.56</v>
      </c>
      <c r="I1832" s="43" t="n">
        <f aca="false">F1832*H1832</f>
        <v>126.5264</v>
      </c>
      <c r="J1832" s="43" t="n">
        <f aca="false">G1832*H1832*1.5</f>
        <v>0</v>
      </c>
      <c r="K1832" s="6" t="n">
        <v>21.83</v>
      </c>
      <c r="L1832" s="43" t="n">
        <f aca="false">K1832*'Chart of Accounts'!$E$68</f>
        <v>14.6261</v>
      </c>
      <c r="O1832" s="42" t="n">
        <f aca="false">I1832+J1832+L1832</f>
        <v>141.1525</v>
      </c>
    </row>
    <row r="1833" customFormat="false" ht="15" hidden="false" customHeight="false" outlineLevel="0" collapsed="false">
      <c r="B1833" s="7" t="s">
        <v>10466</v>
      </c>
      <c r="C1833" s="39" t="n">
        <v>45772</v>
      </c>
      <c r="D1833" s="7" t="s">
        <v>242</v>
      </c>
      <c r="E1833" s="7" t="s">
        <v>180</v>
      </c>
      <c r="F1833" s="6" t="n">
        <v>6.97</v>
      </c>
      <c r="G1833" s="6" t="n">
        <v>0</v>
      </c>
      <c r="H1833" s="41" t="n">
        <v>17.99</v>
      </c>
      <c r="I1833" s="43" t="n">
        <f aca="false">F1833*H1833</f>
        <v>125.3903</v>
      </c>
      <c r="J1833" s="43" t="n">
        <f aca="false">G1833*H1833*1.5</f>
        <v>0</v>
      </c>
      <c r="K1833" s="6" t="n">
        <v>15.79</v>
      </c>
      <c r="L1833" s="43" t="n">
        <f aca="false">K1833*'Chart of Accounts'!$E$68</f>
        <v>10.5793</v>
      </c>
      <c r="O1833" s="42" t="n">
        <f aca="false">I1833+J1833+L1833</f>
        <v>135.9696</v>
      </c>
    </row>
    <row r="1834" customFormat="false" ht="15" hidden="false" customHeight="false" outlineLevel="0" collapsed="false">
      <c r="B1834" s="7" t="s">
        <v>10467</v>
      </c>
      <c r="C1834" s="39" t="n">
        <v>45772</v>
      </c>
      <c r="D1834" s="7" t="s">
        <v>254</v>
      </c>
      <c r="E1834" s="7" t="s">
        <v>180</v>
      </c>
      <c r="F1834" s="6" t="n">
        <v>7.46</v>
      </c>
      <c r="G1834" s="6" t="n">
        <v>0</v>
      </c>
      <c r="H1834" s="41" t="n">
        <v>17.1</v>
      </c>
      <c r="I1834" s="43" t="n">
        <f aca="false">F1834*H1834</f>
        <v>127.566</v>
      </c>
      <c r="J1834" s="43" t="n">
        <f aca="false">G1834*H1834*1.5</f>
        <v>0</v>
      </c>
      <c r="K1834" s="6" t="n">
        <v>19.1</v>
      </c>
      <c r="L1834" s="43" t="n">
        <f aca="false">K1834*'Chart of Accounts'!$E$68</f>
        <v>12.797</v>
      </c>
      <c r="O1834" s="42" t="n">
        <f aca="false">I1834+J1834+L1834</f>
        <v>140.363</v>
      </c>
    </row>
    <row r="1835" customFormat="false" ht="15" hidden="false" customHeight="false" outlineLevel="0" collapsed="false">
      <c r="B1835" s="7" t="s">
        <v>10468</v>
      </c>
      <c r="C1835" s="39" t="n">
        <v>45772</v>
      </c>
      <c r="D1835" s="7" t="s">
        <v>201</v>
      </c>
      <c r="E1835" s="7" t="s">
        <v>180</v>
      </c>
      <c r="F1835" s="6" t="n">
        <v>3.42</v>
      </c>
      <c r="G1835" s="6" t="n">
        <v>0</v>
      </c>
      <c r="H1835" s="41" t="n">
        <v>15.19</v>
      </c>
      <c r="I1835" s="43" t="n">
        <f aca="false">F1835*H1835</f>
        <v>51.9498</v>
      </c>
      <c r="J1835" s="43" t="n">
        <f aca="false">G1835*H1835*1.5</f>
        <v>0</v>
      </c>
      <c r="K1835" s="6" t="n">
        <v>10.42</v>
      </c>
      <c r="L1835" s="43" t="n">
        <f aca="false">K1835*'Chart of Accounts'!$E$68</f>
        <v>6.9814</v>
      </c>
      <c r="O1835" s="42" t="n">
        <f aca="false">I1835+J1835+L1835</f>
        <v>58.9312</v>
      </c>
    </row>
    <row r="1836" customFormat="false" ht="15" hidden="false" customHeight="false" outlineLevel="0" collapsed="false">
      <c r="B1836" s="7" t="s">
        <v>10469</v>
      </c>
      <c r="C1836" s="39" t="n">
        <v>45772</v>
      </c>
      <c r="D1836" s="7" t="s">
        <v>207</v>
      </c>
      <c r="E1836" s="7" t="s">
        <v>180</v>
      </c>
      <c r="F1836" s="6" t="n">
        <v>3.04</v>
      </c>
      <c r="G1836" s="6" t="n">
        <v>0</v>
      </c>
      <c r="H1836" s="41" t="n">
        <v>16.65</v>
      </c>
      <c r="I1836" s="43" t="n">
        <f aca="false">F1836*H1836</f>
        <v>50.616</v>
      </c>
      <c r="J1836" s="43" t="n">
        <f aca="false">G1836*H1836*1.5</f>
        <v>0</v>
      </c>
      <c r="K1836" s="6" t="n">
        <v>8.9</v>
      </c>
      <c r="L1836" s="43" t="n">
        <f aca="false">K1836*'Chart of Accounts'!$E$68</f>
        <v>5.963</v>
      </c>
      <c r="O1836" s="42" t="n">
        <f aca="false">I1836+J1836+L1836</f>
        <v>56.579</v>
      </c>
    </row>
    <row r="1837" customFormat="false" ht="15" hidden="false" customHeight="false" outlineLevel="0" collapsed="false">
      <c r="B1837" s="7" t="s">
        <v>10470</v>
      </c>
      <c r="C1837" s="39" t="n">
        <v>45772</v>
      </c>
      <c r="D1837" s="7" t="s">
        <v>212</v>
      </c>
      <c r="E1837" s="7" t="s">
        <v>180</v>
      </c>
      <c r="F1837" s="6" t="n">
        <v>4.28</v>
      </c>
      <c r="G1837" s="6" t="n">
        <v>0</v>
      </c>
      <c r="H1837" s="41" t="n">
        <v>16.71</v>
      </c>
      <c r="I1837" s="43" t="n">
        <f aca="false">F1837*H1837</f>
        <v>71.5188</v>
      </c>
      <c r="J1837" s="43" t="n">
        <f aca="false">G1837*H1837*1.5</f>
        <v>0</v>
      </c>
      <c r="K1837" s="6" t="n">
        <v>11.34</v>
      </c>
      <c r="L1837" s="43" t="n">
        <f aca="false">K1837*'Chart of Accounts'!$E$68</f>
        <v>7.5978</v>
      </c>
      <c r="O1837" s="42" t="n">
        <f aca="false">I1837+J1837+L1837</f>
        <v>79.1166</v>
      </c>
    </row>
    <row r="1838" customFormat="false" ht="15" hidden="false" customHeight="false" outlineLevel="0" collapsed="false">
      <c r="B1838" s="7" t="s">
        <v>10471</v>
      </c>
      <c r="C1838" s="39" t="n">
        <v>45772</v>
      </c>
      <c r="D1838" s="7" t="s">
        <v>232</v>
      </c>
      <c r="E1838" s="7" t="s">
        <v>180</v>
      </c>
      <c r="F1838" s="6" t="n">
        <v>4.72</v>
      </c>
      <c r="G1838" s="6" t="n">
        <v>0</v>
      </c>
      <c r="H1838" s="41" t="n">
        <v>16.17</v>
      </c>
      <c r="I1838" s="43" t="n">
        <f aca="false">F1838*H1838</f>
        <v>76.3224</v>
      </c>
      <c r="J1838" s="43" t="n">
        <f aca="false">G1838*H1838*1.5</f>
        <v>0</v>
      </c>
      <c r="K1838" s="6" t="n">
        <v>13.69</v>
      </c>
      <c r="L1838" s="43" t="n">
        <f aca="false">K1838*'Chart of Accounts'!$E$68</f>
        <v>9.1723</v>
      </c>
      <c r="O1838" s="42" t="n">
        <f aca="false">I1838+J1838+L1838</f>
        <v>85.4947</v>
      </c>
    </row>
    <row r="1839" customFormat="false" ht="15" hidden="false" customHeight="false" outlineLevel="0" collapsed="false">
      <c r="B1839" s="7" t="s">
        <v>10472</v>
      </c>
      <c r="C1839" s="39" t="n">
        <v>45772</v>
      </c>
      <c r="D1839" s="7" t="s">
        <v>224</v>
      </c>
      <c r="E1839" s="7" t="s">
        <v>180</v>
      </c>
      <c r="F1839" s="6" t="n">
        <v>4.29</v>
      </c>
      <c r="G1839" s="6" t="n">
        <v>0</v>
      </c>
      <c r="H1839" s="41" t="n">
        <v>14.93</v>
      </c>
      <c r="I1839" s="43" t="n">
        <f aca="false">F1839*H1839</f>
        <v>64.0497</v>
      </c>
      <c r="J1839" s="43" t="n">
        <f aca="false">G1839*H1839*1.5</f>
        <v>0</v>
      </c>
      <c r="K1839" s="6" t="n">
        <v>9.95</v>
      </c>
      <c r="L1839" s="43" t="n">
        <f aca="false">K1839*'Chart of Accounts'!$E$68</f>
        <v>6.6665</v>
      </c>
      <c r="O1839" s="42" t="n">
        <f aca="false">I1839+J1839+L1839</f>
        <v>70.7162</v>
      </c>
    </row>
    <row r="1840" customFormat="false" ht="15" hidden="false" customHeight="false" outlineLevel="0" collapsed="false">
      <c r="B1840" s="7" t="s">
        <v>10473</v>
      </c>
      <c r="C1840" s="39" t="n">
        <v>45772</v>
      </c>
      <c r="D1840" s="7" t="s">
        <v>238</v>
      </c>
      <c r="E1840" s="7" t="s">
        <v>180</v>
      </c>
      <c r="F1840" s="6" t="n">
        <v>3.91</v>
      </c>
      <c r="G1840" s="6" t="n">
        <v>0</v>
      </c>
      <c r="H1840" s="41" t="n">
        <v>15.85</v>
      </c>
      <c r="I1840" s="43" t="n">
        <f aca="false">F1840*H1840</f>
        <v>61.9735</v>
      </c>
      <c r="J1840" s="43" t="n">
        <f aca="false">G1840*H1840*1.5</f>
        <v>0</v>
      </c>
      <c r="K1840" s="6" t="n">
        <v>10.43</v>
      </c>
      <c r="L1840" s="43" t="n">
        <f aca="false">K1840*'Chart of Accounts'!$E$68</f>
        <v>6.9881</v>
      </c>
      <c r="O1840" s="42" t="n">
        <f aca="false">I1840+J1840+L1840</f>
        <v>68.9616</v>
      </c>
    </row>
    <row r="1841" customFormat="false" ht="15" hidden="false" customHeight="false" outlineLevel="0" collapsed="false">
      <c r="B1841" s="7" t="s">
        <v>10474</v>
      </c>
      <c r="C1841" s="39" t="n">
        <v>45772</v>
      </c>
      <c r="D1841" s="7" t="s">
        <v>246</v>
      </c>
      <c r="E1841" s="7" t="s">
        <v>180</v>
      </c>
      <c r="F1841" s="6" t="n">
        <v>4.1</v>
      </c>
      <c r="G1841" s="6" t="n">
        <v>0</v>
      </c>
      <c r="H1841" s="41" t="n">
        <v>16.48</v>
      </c>
      <c r="I1841" s="43" t="n">
        <f aca="false">F1841*H1841</f>
        <v>67.568</v>
      </c>
      <c r="J1841" s="43" t="n">
        <f aca="false">G1841*H1841*1.5</f>
        <v>0</v>
      </c>
      <c r="K1841" s="6" t="n">
        <v>13.05</v>
      </c>
      <c r="L1841" s="43" t="n">
        <f aca="false">K1841*'Chart of Accounts'!$E$68</f>
        <v>8.7435</v>
      </c>
      <c r="O1841" s="42" t="n">
        <f aca="false">I1841+J1841+L1841</f>
        <v>76.3115</v>
      </c>
    </row>
    <row r="1842" customFormat="false" ht="15" hidden="false" customHeight="false" outlineLevel="0" collapsed="false">
      <c r="B1842" s="7" t="s">
        <v>10475</v>
      </c>
      <c r="C1842" s="39" t="n">
        <v>45772</v>
      </c>
      <c r="D1842" s="7" t="s">
        <v>222</v>
      </c>
      <c r="E1842" s="7" t="s">
        <v>180</v>
      </c>
      <c r="F1842" s="6" t="n">
        <v>4.23</v>
      </c>
      <c r="G1842" s="6" t="n">
        <v>0</v>
      </c>
      <c r="H1842" s="41" t="n">
        <v>17.84</v>
      </c>
      <c r="I1842" s="43" t="n">
        <f aca="false">F1842*H1842</f>
        <v>75.4632</v>
      </c>
      <c r="J1842" s="43" t="n">
        <f aca="false">G1842*H1842*1.5</f>
        <v>0</v>
      </c>
      <c r="K1842" s="6" t="n">
        <v>12.82</v>
      </c>
      <c r="L1842" s="43" t="n">
        <f aca="false">K1842*'Chart of Accounts'!$E$68</f>
        <v>8.5894</v>
      </c>
      <c r="O1842" s="42" t="n">
        <f aca="false">I1842+J1842+L1842</f>
        <v>84.0526</v>
      </c>
    </row>
    <row r="1843" customFormat="false" ht="15" hidden="false" customHeight="false" outlineLevel="0" collapsed="false">
      <c r="B1843" s="7" t="s">
        <v>10476</v>
      </c>
      <c r="C1843" s="39" t="n">
        <v>45772</v>
      </c>
      <c r="D1843" s="7" t="s">
        <v>203</v>
      </c>
      <c r="E1843" s="7" t="s">
        <v>158</v>
      </c>
      <c r="H1843" s="41" t="n">
        <v>49.43</v>
      </c>
      <c r="M1843" s="6" t="n">
        <v>1</v>
      </c>
      <c r="N1843" s="43" t="n">
        <f aca="false">M1843*H1843</f>
        <v>49.43</v>
      </c>
      <c r="O1843" s="42" t="n">
        <f aca="false">N1843</f>
        <v>49.43</v>
      </c>
    </row>
    <row r="1844" customFormat="false" ht="15" hidden="false" customHeight="false" outlineLevel="0" collapsed="false">
      <c r="B1844" s="7" t="s">
        <v>10477</v>
      </c>
      <c r="C1844" s="39" t="n">
        <v>45772</v>
      </c>
      <c r="D1844" s="7" t="s">
        <v>262</v>
      </c>
      <c r="E1844" s="7" t="s">
        <v>180</v>
      </c>
      <c r="F1844" s="6" t="n">
        <v>3.38</v>
      </c>
      <c r="G1844" s="6" t="n">
        <v>0</v>
      </c>
      <c r="H1844" s="41" t="n">
        <v>16.02</v>
      </c>
      <c r="I1844" s="43" t="n">
        <f aca="false">F1844*H1844</f>
        <v>54.1476</v>
      </c>
      <c r="J1844" s="43" t="n">
        <f aca="false">G1844*H1844*1.5</f>
        <v>0</v>
      </c>
      <c r="K1844" s="6" t="n">
        <v>10.56</v>
      </c>
      <c r="L1844" s="43" t="n">
        <f aca="false">K1844*'Chart of Accounts'!$E$68</f>
        <v>7.0752</v>
      </c>
      <c r="O1844" s="42" t="n">
        <f aca="false">I1844+J1844+L1844</f>
        <v>61.2228</v>
      </c>
    </row>
    <row r="1845" customFormat="false" ht="15" hidden="false" customHeight="false" outlineLevel="0" collapsed="false">
      <c r="B1845" s="7" t="s">
        <v>10478</v>
      </c>
      <c r="C1845" s="39" t="n">
        <v>45772</v>
      </c>
      <c r="D1845" s="7" t="s">
        <v>260</v>
      </c>
      <c r="E1845" s="7" t="s">
        <v>158</v>
      </c>
      <c r="H1845" s="41" t="n">
        <v>79.8</v>
      </c>
      <c r="M1845" s="6" t="n">
        <v>1</v>
      </c>
      <c r="N1845" s="43" t="n">
        <f aca="false">M1845*H1845</f>
        <v>79.8</v>
      </c>
      <c r="O1845" s="42" t="n">
        <f aca="false">N1845</f>
        <v>79.8</v>
      </c>
    </row>
    <row r="1846" customFormat="false" ht="15" hidden="false" customHeight="false" outlineLevel="0" collapsed="false">
      <c r="B1846" s="7" t="s">
        <v>10479</v>
      </c>
      <c r="C1846" s="39" t="n">
        <v>45772</v>
      </c>
      <c r="D1846" s="7" t="s">
        <v>214</v>
      </c>
      <c r="E1846" s="7" t="s">
        <v>180</v>
      </c>
      <c r="F1846" s="6" t="n">
        <v>3.21</v>
      </c>
      <c r="G1846" s="6" t="n">
        <v>0</v>
      </c>
      <c r="H1846" s="41" t="n">
        <v>15.67</v>
      </c>
      <c r="I1846" s="43" t="n">
        <f aca="false">F1846*H1846</f>
        <v>50.3007</v>
      </c>
      <c r="J1846" s="43" t="n">
        <f aca="false">G1846*H1846*1.5</f>
        <v>0</v>
      </c>
      <c r="K1846" s="6" t="n">
        <v>10.18</v>
      </c>
      <c r="L1846" s="43" t="n">
        <f aca="false">K1846*'Chart of Accounts'!$E$68</f>
        <v>6.8206</v>
      </c>
      <c r="O1846" s="42" t="n">
        <f aca="false">I1846+J1846+L1846</f>
        <v>57.1213</v>
      </c>
    </row>
    <row r="1847" customFormat="false" ht="15" hidden="false" customHeight="false" outlineLevel="0" collapsed="false">
      <c r="B1847" s="7" t="s">
        <v>10480</v>
      </c>
      <c r="C1847" s="39" t="n">
        <v>45773</v>
      </c>
      <c r="D1847" s="7" t="s">
        <v>191</v>
      </c>
      <c r="E1847" s="7" t="s">
        <v>180</v>
      </c>
      <c r="F1847" s="6" t="n">
        <v>4.22</v>
      </c>
      <c r="G1847" s="6" t="n">
        <v>0</v>
      </c>
      <c r="H1847" s="41" t="n">
        <v>16.05</v>
      </c>
      <c r="I1847" s="43" t="n">
        <f aca="false">F1847*H1847</f>
        <v>67.731</v>
      </c>
      <c r="J1847" s="43" t="n">
        <f aca="false">G1847*H1847*1.5</f>
        <v>0</v>
      </c>
      <c r="K1847" s="6" t="n">
        <v>13.84</v>
      </c>
      <c r="L1847" s="43" t="n">
        <f aca="false">K1847*'Chart of Accounts'!$E$68</f>
        <v>9.2728</v>
      </c>
      <c r="O1847" s="42" t="n">
        <f aca="false">I1847+J1847+L1847</f>
        <v>77.0038</v>
      </c>
    </row>
    <row r="1848" customFormat="false" ht="15" hidden="false" customHeight="false" outlineLevel="0" collapsed="false">
      <c r="B1848" s="7" t="s">
        <v>10481</v>
      </c>
      <c r="C1848" s="39" t="n">
        <v>45773</v>
      </c>
      <c r="D1848" s="7" t="s">
        <v>218</v>
      </c>
      <c r="E1848" s="7" t="s">
        <v>180</v>
      </c>
      <c r="F1848" s="6" t="n">
        <v>3.87</v>
      </c>
      <c r="G1848" s="6" t="n">
        <v>0</v>
      </c>
      <c r="H1848" s="41" t="n">
        <v>16.19</v>
      </c>
      <c r="I1848" s="43" t="n">
        <f aca="false">F1848*H1848</f>
        <v>62.6553</v>
      </c>
      <c r="J1848" s="43" t="n">
        <f aca="false">G1848*H1848*1.5</f>
        <v>0</v>
      </c>
      <c r="K1848" s="6" t="n">
        <v>13.44</v>
      </c>
      <c r="L1848" s="43" t="n">
        <f aca="false">K1848*'Chart of Accounts'!$E$68</f>
        <v>9.0048</v>
      </c>
      <c r="O1848" s="42" t="n">
        <f aca="false">I1848+J1848+L1848</f>
        <v>71.6601</v>
      </c>
    </row>
    <row r="1849" customFormat="false" ht="15" hidden="false" customHeight="false" outlineLevel="0" collapsed="false">
      <c r="B1849" s="7" t="s">
        <v>10482</v>
      </c>
      <c r="C1849" s="39" t="n">
        <v>45773</v>
      </c>
      <c r="D1849" s="7" t="s">
        <v>212</v>
      </c>
      <c r="E1849" s="7" t="s">
        <v>180</v>
      </c>
      <c r="F1849" s="6" t="n">
        <v>4.07</v>
      </c>
      <c r="G1849" s="6" t="n">
        <v>0</v>
      </c>
      <c r="H1849" s="41" t="n">
        <v>16.71</v>
      </c>
      <c r="I1849" s="43" t="n">
        <f aca="false">F1849*H1849</f>
        <v>68.0097</v>
      </c>
      <c r="J1849" s="43" t="n">
        <f aca="false">G1849*H1849*1.5</f>
        <v>0</v>
      </c>
      <c r="K1849" s="6" t="n">
        <v>12.93</v>
      </c>
      <c r="L1849" s="43" t="n">
        <f aca="false">K1849*'Chart of Accounts'!$E$68</f>
        <v>8.6631</v>
      </c>
      <c r="O1849" s="42" t="n">
        <f aca="false">I1849+J1849+L1849</f>
        <v>76.6728</v>
      </c>
    </row>
    <row r="1850" customFormat="false" ht="15" hidden="false" customHeight="false" outlineLevel="0" collapsed="false">
      <c r="B1850" s="7" t="s">
        <v>10483</v>
      </c>
      <c r="C1850" s="39" t="n">
        <v>45773</v>
      </c>
      <c r="D1850" s="7" t="s">
        <v>222</v>
      </c>
      <c r="E1850" s="7" t="s">
        <v>180</v>
      </c>
      <c r="F1850" s="6" t="n">
        <v>4.01</v>
      </c>
      <c r="G1850" s="6" t="n">
        <v>0</v>
      </c>
      <c r="H1850" s="41" t="n">
        <v>17.84</v>
      </c>
      <c r="I1850" s="43" t="n">
        <f aca="false">F1850*H1850</f>
        <v>71.5384</v>
      </c>
      <c r="J1850" s="43" t="n">
        <f aca="false">G1850*H1850*1.5</f>
        <v>0</v>
      </c>
      <c r="K1850" s="6" t="n">
        <v>9.76</v>
      </c>
      <c r="L1850" s="43" t="n">
        <f aca="false">K1850*'Chart of Accounts'!$E$68</f>
        <v>6.5392</v>
      </c>
      <c r="O1850" s="42" t="n">
        <f aca="false">I1850+J1850+L1850</f>
        <v>78.0776</v>
      </c>
    </row>
    <row r="1851" customFormat="false" ht="15" hidden="false" customHeight="false" outlineLevel="0" collapsed="false">
      <c r="B1851" s="7" t="s">
        <v>10484</v>
      </c>
      <c r="C1851" s="39" t="n">
        <v>45773</v>
      </c>
      <c r="D1851" s="7" t="s">
        <v>242</v>
      </c>
      <c r="E1851" s="7" t="s">
        <v>180</v>
      </c>
      <c r="F1851" s="6" t="n">
        <v>3.94</v>
      </c>
      <c r="G1851" s="6" t="n">
        <v>0</v>
      </c>
      <c r="H1851" s="41" t="n">
        <v>17.99</v>
      </c>
      <c r="I1851" s="43" t="n">
        <f aca="false">F1851*H1851</f>
        <v>70.8806</v>
      </c>
      <c r="J1851" s="43" t="n">
        <f aca="false">G1851*H1851*1.5</f>
        <v>0</v>
      </c>
      <c r="K1851" s="6" t="n">
        <v>11.32</v>
      </c>
      <c r="L1851" s="43" t="n">
        <f aca="false">K1851*'Chart of Accounts'!$E$68</f>
        <v>7.5844</v>
      </c>
      <c r="O1851" s="42" t="n">
        <f aca="false">I1851+J1851+L1851</f>
        <v>78.465</v>
      </c>
    </row>
    <row r="1852" customFormat="false" ht="15" hidden="false" customHeight="false" outlineLevel="0" collapsed="false">
      <c r="B1852" s="7" t="s">
        <v>10485</v>
      </c>
      <c r="C1852" s="39" t="n">
        <v>45773</v>
      </c>
      <c r="D1852" s="7" t="s">
        <v>254</v>
      </c>
      <c r="E1852" s="7" t="s">
        <v>180</v>
      </c>
      <c r="F1852" s="6" t="n">
        <v>4.33</v>
      </c>
      <c r="G1852" s="6" t="n">
        <v>0</v>
      </c>
      <c r="H1852" s="41" t="n">
        <v>17.1</v>
      </c>
      <c r="I1852" s="43" t="n">
        <f aca="false">F1852*H1852</f>
        <v>74.043</v>
      </c>
      <c r="J1852" s="43" t="n">
        <f aca="false">G1852*H1852*1.5</f>
        <v>0</v>
      </c>
      <c r="K1852" s="6" t="n">
        <v>12.43</v>
      </c>
      <c r="L1852" s="43" t="n">
        <f aca="false">K1852*'Chart of Accounts'!$E$68</f>
        <v>8.3281</v>
      </c>
      <c r="O1852" s="42" t="n">
        <f aca="false">I1852+J1852+L1852</f>
        <v>82.3711</v>
      </c>
    </row>
    <row r="1853" customFormat="false" ht="15" hidden="false" customHeight="false" outlineLevel="0" collapsed="false">
      <c r="B1853" s="7" t="s">
        <v>10486</v>
      </c>
      <c r="C1853" s="39" t="n">
        <v>45774</v>
      </c>
      <c r="D1853" s="7" t="s">
        <v>191</v>
      </c>
      <c r="E1853" s="7" t="s">
        <v>180</v>
      </c>
      <c r="F1853" s="6" t="n">
        <v>4.13</v>
      </c>
      <c r="G1853" s="6" t="n">
        <v>0</v>
      </c>
      <c r="H1853" s="41" t="n">
        <v>16.05</v>
      </c>
      <c r="I1853" s="43" t="n">
        <f aca="false">F1853*H1853</f>
        <v>66.2865</v>
      </c>
      <c r="J1853" s="43" t="n">
        <f aca="false">G1853*H1853*1.5</f>
        <v>0</v>
      </c>
      <c r="K1853" s="6" t="n">
        <v>12.61</v>
      </c>
      <c r="L1853" s="43" t="n">
        <f aca="false">K1853*'Chart of Accounts'!$E$68</f>
        <v>8.4487</v>
      </c>
      <c r="O1853" s="42" t="n">
        <f aca="false">I1853+J1853+L1853</f>
        <v>74.7352</v>
      </c>
    </row>
    <row r="1854" customFormat="false" ht="15" hidden="false" customHeight="false" outlineLevel="0" collapsed="false">
      <c r="B1854" s="7" t="s">
        <v>10487</v>
      </c>
      <c r="C1854" s="39" t="n">
        <v>45774</v>
      </c>
      <c r="D1854" s="7" t="s">
        <v>218</v>
      </c>
      <c r="E1854" s="7" t="s">
        <v>180</v>
      </c>
      <c r="F1854" s="6" t="n">
        <v>4.08</v>
      </c>
      <c r="G1854" s="6" t="n">
        <v>0</v>
      </c>
      <c r="H1854" s="41" t="n">
        <v>16.19</v>
      </c>
      <c r="I1854" s="43" t="n">
        <f aca="false">F1854*H1854</f>
        <v>66.0552</v>
      </c>
      <c r="J1854" s="43" t="n">
        <f aca="false">G1854*H1854*1.5</f>
        <v>0</v>
      </c>
      <c r="K1854" s="6" t="n">
        <v>9.96</v>
      </c>
      <c r="L1854" s="43" t="n">
        <f aca="false">K1854*'Chart of Accounts'!$E$68</f>
        <v>6.6732</v>
      </c>
      <c r="O1854" s="42" t="n">
        <f aca="false">I1854+J1854+L1854</f>
        <v>72.7284</v>
      </c>
    </row>
    <row r="1855" customFormat="false" ht="15" hidden="false" customHeight="false" outlineLevel="0" collapsed="false">
      <c r="B1855" s="7" t="s">
        <v>10488</v>
      </c>
      <c r="C1855" s="39" t="n">
        <v>45774</v>
      </c>
      <c r="D1855" s="7" t="s">
        <v>212</v>
      </c>
      <c r="E1855" s="7" t="s">
        <v>180</v>
      </c>
      <c r="F1855" s="6" t="n">
        <v>4.37</v>
      </c>
      <c r="G1855" s="6" t="n">
        <v>0</v>
      </c>
      <c r="H1855" s="41" t="n">
        <v>16.71</v>
      </c>
      <c r="I1855" s="43" t="n">
        <f aca="false">F1855*H1855</f>
        <v>73.0227</v>
      </c>
      <c r="J1855" s="43" t="n">
        <f aca="false">G1855*H1855*1.5</f>
        <v>0</v>
      </c>
      <c r="K1855" s="6" t="n">
        <v>11.79</v>
      </c>
      <c r="L1855" s="43" t="n">
        <f aca="false">K1855*'Chart of Accounts'!$E$68</f>
        <v>7.8993</v>
      </c>
      <c r="O1855" s="42" t="n">
        <f aca="false">I1855+J1855+L1855</f>
        <v>80.922</v>
      </c>
    </row>
    <row r="1856" customFormat="false" ht="15" hidden="false" customHeight="false" outlineLevel="0" collapsed="false">
      <c r="B1856" s="7" t="s">
        <v>10489</v>
      </c>
      <c r="C1856" s="39" t="n">
        <v>45774</v>
      </c>
      <c r="D1856" s="7" t="s">
        <v>222</v>
      </c>
      <c r="E1856" s="7" t="s">
        <v>180</v>
      </c>
      <c r="F1856" s="6" t="n">
        <v>3.73</v>
      </c>
      <c r="G1856" s="6" t="n">
        <v>0</v>
      </c>
      <c r="H1856" s="41" t="n">
        <v>17.84</v>
      </c>
      <c r="I1856" s="43" t="n">
        <f aca="false">F1856*H1856</f>
        <v>66.5432</v>
      </c>
      <c r="J1856" s="43" t="n">
        <f aca="false">G1856*H1856*1.5</f>
        <v>0</v>
      </c>
      <c r="K1856" s="6" t="n">
        <v>8.72</v>
      </c>
      <c r="L1856" s="43" t="n">
        <f aca="false">K1856*'Chart of Accounts'!$E$68</f>
        <v>5.8424</v>
      </c>
      <c r="O1856" s="42" t="n">
        <f aca="false">I1856+J1856+L1856</f>
        <v>72.3856</v>
      </c>
    </row>
    <row r="1857" customFormat="false" ht="15" hidden="false" customHeight="false" outlineLevel="0" collapsed="false">
      <c r="B1857" s="7" t="s">
        <v>10490</v>
      </c>
      <c r="C1857" s="39" t="n">
        <v>45774</v>
      </c>
      <c r="D1857" s="7" t="s">
        <v>242</v>
      </c>
      <c r="E1857" s="7" t="s">
        <v>180</v>
      </c>
      <c r="F1857" s="6" t="n">
        <v>3.63</v>
      </c>
      <c r="G1857" s="6" t="n">
        <v>0</v>
      </c>
      <c r="H1857" s="41" t="n">
        <v>17.99</v>
      </c>
      <c r="I1857" s="43" t="n">
        <f aca="false">F1857*H1857</f>
        <v>65.3037</v>
      </c>
      <c r="J1857" s="43" t="n">
        <f aca="false">G1857*H1857*1.5</f>
        <v>0</v>
      </c>
      <c r="K1857" s="6" t="n">
        <v>8.76</v>
      </c>
      <c r="L1857" s="43" t="n">
        <f aca="false">K1857*'Chart of Accounts'!$E$68</f>
        <v>5.8692</v>
      </c>
      <c r="O1857" s="42" t="n">
        <f aca="false">I1857+J1857+L1857</f>
        <v>71.1729</v>
      </c>
    </row>
    <row r="1858" customFormat="false" ht="15" hidden="false" customHeight="false" outlineLevel="0" collapsed="false">
      <c r="B1858" s="7" t="s">
        <v>10491</v>
      </c>
      <c r="C1858" s="39" t="n">
        <v>45774</v>
      </c>
      <c r="D1858" s="7" t="s">
        <v>254</v>
      </c>
      <c r="E1858" s="7" t="s">
        <v>180</v>
      </c>
      <c r="F1858" s="6" t="n">
        <v>3.78</v>
      </c>
      <c r="G1858" s="6" t="n">
        <v>0</v>
      </c>
      <c r="H1858" s="41" t="n">
        <v>17.1</v>
      </c>
      <c r="I1858" s="43" t="n">
        <f aca="false">F1858*H1858</f>
        <v>64.638</v>
      </c>
      <c r="J1858" s="43" t="n">
        <f aca="false">G1858*H1858*1.5</f>
        <v>0</v>
      </c>
      <c r="K1858" s="6" t="n">
        <v>12.09</v>
      </c>
      <c r="L1858" s="43" t="n">
        <f aca="false">K1858*'Chart of Accounts'!$E$68</f>
        <v>8.1003</v>
      </c>
      <c r="O1858" s="42" t="n">
        <f aca="false">I1858+J1858+L1858</f>
        <v>72.7383</v>
      </c>
    </row>
    <row r="1859" customFormat="false" ht="15" hidden="false" customHeight="false" outlineLevel="0" collapsed="false">
      <c r="B1859" s="7" t="s">
        <v>10492</v>
      </c>
      <c r="C1859" s="39" t="n">
        <v>45775</v>
      </c>
      <c r="D1859" s="7" t="s">
        <v>187</v>
      </c>
      <c r="E1859" s="7" t="s">
        <v>158</v>
      </c>
      <c r="H1859" s="41" t="n">
        <v>66.48</v>
      </c>
      <c r="M1859" s="6" t="n">
        <v>1</v>
      </c>
      <c r="N1859" s="43" t="n">
        <f aca="false">M1859*H1859</f>
        <v>66.48</v>
      </c>
      <c r="O1859" s="42" t="n">
        <f aca="false">N1859</f>
        <v>66.48</v>
      </c>
    </row>
    <row r="1860" customFormat="false" ht="15" hidden="false" customHeight="false" outlineLevel="0" collapsed="false">
      <c r="B1860" s="7" t="s">
        <v>10493</v>
      </c>
      <c r="C1860" s="39" t="n">
        <v>45775</v>
      </c>
      <c r="D1860" s="7" t="s">
        <v>191</v>
      </c>
      <c r="E1860" s="7" t="s">
        <v>180</v>
      </c>
      <c r="F1860" s="6" t="n">
        <v>3.87</v>
      </c>
      <c r="G1860" s="6" t="n">
        <v>0</v>
      </c>
      <c r="H1860" s="41" t="n">
        <v>16.05</v>
      </c>
      <c r="I1860" s="43" t="n">
        <f aca="false">F1860*H1860</f>
        <v>62.1135</v>
      </c>
      <c r="J1860" s="43" t="n">
        <f aca="false">G1860*H1860*1.5</f>
        <v>0</v>
      </c>
      <c r="K1860" s="6" t="n">
        <v>9.96</v>
      </c>
      <c r="L1860" s="43" t="n">
        <f aca="false">K1860*'Chart of Accounts'!$E$68</f>
        <v>6.6732</v>
      </c>
      <c r="O1860" s="42" t="n">
        <f aca="false">I1860+J1860+L1860</f>
        <v>68.7867</v>
      </c>
    </row>
    <row r="1861" customFormat="false" ht="15" hidden="false" customHeight="false" outlineLevel="0" collapsed="false">
      <c r="B1861" s="7" t="s">
        <v>10494</v>
      </c>
      <c r="C1861" s="39" t="n">
        <v>45775</v>
      </c>
      <c r="D1861" s="7" t="s">
        <v>194</v>
      </c>
      <c r="E1861" s="7" t="s">
        <v>180</v>
      </c>
      <c r="F1861" s="6" t="n">
        <v>8.39</v>
      </c>
      <c r="G1861" s="6" t="n">
        <v>0</v>
      </c>
      <c r="H1861" s="41" t="n">
        <v>16</v>
      </c>
      <c r="I1861" s="43" t="n">
        <f aca="false">F1861*H1861</f>
        <v>134.24</v>
      </c>
      <c r="J1861" s="43" t="n">
        <f aca="false">G1861*H1861*1.5</f>
        <v>0</v>
      </c>
      <c r="K1861" s="6" t="n">
        <v>23.04</v>
      </c>
      <c r="L1861" s="43" t="n">
        <f aca="false">K1861*'Chart of Accounts'!$E$68</f>
        <v>15.4368</v>
      </c>
      <c r="O1861" s="42" t="n">
        <f aca="false">I1861+J1861+L1861</f>
        <v>149.6768</v>
      </c>
    </row>
    <row r="1862" customFormat="false" ht="15" hidden="false" customHeight="false" outlineLevel="0" collapsed="false">
      <c r="B1862" s="7" t="s">
        <v>10495</v>
      </c>
      <c r="C1862" s="39" t="n">
        <v>45775</v>
      </c>
      <c r="D1862" s="7" t="s">
        <v>201</v>
      </c>
      <c r="E1862" s="7" t="s">
        <v>180</v>
      </c>
      <c r="F1862" s="6" t="n">
        <v>8.96</v>
      </c>
      <c r="G1862" s="6" t="n">
        <v>0</v>
      </c>
      <c r="H1862" s="41" t="n">
        <v>15.19</v>
      </c>
      <c r="I1862" s="43" t="n">
        <f aca="false">F1862*H1862</f>
        <v>136.1024</v>
      </c>
      <c r="J1862" s="43" t="n">
        <f aca="false">G1862*H1862*1.5</f>
        <v>0</v>
      </c>
      <c r="K1862" s="6" t="n">
        <v>22.66</v>
      </c>
      <c r="L1862" s="43" t="n">
        <f aca="false">K1862*'Chart of Accounts'!$E$68</f>
        <v>15.1822</v>
      </c>
      <c r="O1862" s="42" t="n">
        <f aca="false">I1862+J1862+L1862</f>
        <v>151.2846</v>
      </c>
    </row>
    <row r="1863" customFormat="false" ht="15" hidden="false" customHeight="false" outlineLevel="0" collapsed="false">
      <c r="B1863" s="7" t="s">
        <v>10496</v>
      </c>
      <c r="C1863" s="39" t="n">
        <v>45775</v>
      </c>
      <c r="D1863" s="7" t="s">
        <v>205</v>
      </c>
      <c r="E1863" s="7" t="s">
        <v>180</v>
      </c>
      <c r="F1863" s="6" t="n">
        <v>3.83</v>
      </c>
      <c r="G1863" s="6" t="n">
        <v>0</v>
      </c>
      <c r="H1863" s="41" t="n">
        <v>16.36</v>
      </c>
      <c r="I1863" s="43" t="n">
        <f aca="false">F1863*H1863</f>
        <v>62.6588</v>
      </c>
      <c r="J1863" s="43" t="n">
        <f aca="false">G1863*H1863*1.5</f>
        <v>0</v>
      </c>
      <c r="K1863" s="6" t="n">
        <v>9.33</v>
      </c>
      <c r="L1863" s="43" t="n">
        <f aca="false">K1863*'Chart of Accounts'!$E$68</f>
        <v>6.2511</v>
      </c>
      <c r="O1863" s="42" t="n">
        <f aca="false">I1863+J1863+L1863</f>
        <v>68.9099</v>
      </c>
    </row>
    <row r="1864" customFormat="false" ht="15" hidden="false" customHeight="false" outlineLevel="0" collapsed="false">
      <c r="B1864" s="7" t="s">
        <v>10497</v>
      </c>
      <c r="C1864" s="39" t="n">
        <v>45775</v>
      </c>
      <c r="D1864" s="7" t="s">
        <v>264</v>
      </c>
      <c r="E1864" s="7" t="s">
        <v>158</v>
      </c>
      <c r="H1864" s="41" t="n">
        <v>55.55</v>
      </c>
      <c r="M1864" s="6" t="n">
        <v>1</v>
      </c>
      <c r="N1864" s="43" t="n">
        <f aca="false">M1864*H1864</f>
        <v>55.55</v>
      </c>
      <c r="O1864" s="42" t="n">
        <f aca="false">N1864</f>
        <v>55.55</v>
      </c>
    </row>
    <row r="1865" customFormat="false" ht="15" hidden="false" customHeight="false" outlineLevel="0" collapsed="false">
      <c r="B1865" s="7" t="s">
        <v>10498</v>
      </c>
      <c r="C1865" s="39" t="n">
        <v>45775</v>
      </c>
      <c r="D1865" s="7" t="s">
        <v>252</v>
      </c>
      <c r="E1865" s="7" t="s">
        <v>158</v>
      </c>
      <c r="H1865" s="41" t="n">
        <v>57.54</v>
      </c>
      <c r="M1865" s="6" t="n">
        <v>1</v>
      </c>
      <c r="N1865" s="43" t="n">
        <f aca="false">M1865*H1865</f>
        <v>57.54</v>
      </c>
      <c r="O1865" s="42" t="n">
        <f aca="false">N1865</f>
        <v>57.54</v>
      </c>
    </row>
    <row r="1866" customFormat="false" ht="15" hidden="false" customHeight="false" outlineLevel="0" collapsed="false">
      <c r="B1866" s="7" t="s">
        <v>10499</v>
      </c>
      <c r="C1866" s="39" t="n">
        <v>45775</v>
      </c>
      <c r="D1866" s="7" t="s">
        <v>196</v>
      </c>
      <c r="E1866" s="7" t="s">
        <v>180</v>
      </c>
      <c r="F1866" s="6" t="n">
        <v>6.11</v>
      </c>
      <c r="G1866" s="6" t="n">
        <v>0</v>
      </c>
      <c r="H1866" s="41" t="n">
        <v>15.05</v>
      </c>
      <c r="I1866" s="43" t="n">
        <f aca="false">F1866*H1866</f>
        <v>91.9555</v>
      </c>
      <c r="J1866" s="43" t="n">
        <f aca="false">G1866*H1866*1.5</f>
        <v>0</v>
      </c>
      <c r="K1866" s="6" t="n">
        <v>16.97</v>
      </c>
      <c r="L1866" s="43" t="n">
        <f aca="false">K1866*'Chart of Accounts'!$E$68</f>
        <v>11.3699</v>
      </c>
      <c r="O1866" s="42" t="n">
        <f aca="false">I1866+J1866+L1866</f>
        <v>103.3254</v>
      </c>
    </row>
    <row r="1867" customFormat="false" ht="15" hidden="false" customHeight="false" outlineLevel="0" collapsed="false">
      <c r="B1867" s="7" t="s">
        <v>10500</v>
      </c>
      <c r="C1867" s="39" t="n">
        <v>45775</v>
      </c>
      <c r="D1867" s="7" t="s">
        <v>218</v>
      </c>
      <c r="E1867" s="7" t="s">
        <v>180</v>
      </c>
      <c r="F1867" s="6" t="n">
        <v>3.71</v>
      </c>
      <c r="G1867" s="6" t="n">
        <v>0</v>
      </c>
      <c r="H1867" s="41" t="n">
        <v>16.19</v>
      </c>
      <c r="I1867" s="43" t="n">
        <f aca="false">F1867*H1867</f>
        <v>60.0649</v>
      </c>
      <c r="J1867" s="43" t="n">
        <f aca="false">G1867*H1867*1.5</f>
        <v>0</v>
      </c>
      <c r="K1867" s="6" t="n">
        <v>12.77</v>
      </c>
      <c r="L1867" s="43" t="n">
        <f aca="false">K1867*'Chart of Accounts'!$E$68</f>
        <v>8.5559</v>
      </c>
      <c r="O1867" s="42" t="n">
        <f aca="false">I1867+J1867+L1867</f>
        <v>68.6208</v>
      </c>
    </row>
    <row r="1868" customFormat="false" ht="15" hidden="false" customHeight="false" outlineLevel="0" collapsed="false">
      <c r="B1868" s="7" t="s">
        <v>10501</v>
      </c>
      <c r="C1868" s="39" t="n">
        <v>45775</v>
      </c>
      <c r="D1868" s="7" t="s">
        <v>212</v>
      </c>
      <c r="E1868" s="7" t="s">
        <v>180</v>
      </c>
      <c r="F1868" s="6" t="n">
        <v>6.99</v>
      </c>
      <c r="G1868" s="6" t="n">
        <v>0</v>
      </c>
      <c r="H1868" s="41" t="n">
        <v>16.71</v>
      </c>
      <c r="I1868" s="43" t="n">
        <f aca="false">F1868*H1868</f>
        <v>116.8029</v>
      </c>
      <c r="J1868" s="43" t="n">
        <f aca="false">G1868*H1868*1.5</f>
        <v>0</v>
      </c>
      <c r="K1868" s="6" t="n">
        <v>24.84</v>
      </c>
      <c r="L1868" s="43" t="n">
        <f aca="false">K1868*'Chart of Accounts'!$E$68</f>
        <v>16.6428</v>
      </c>
      <c r="O1868" s="42" t="n">
        <f aca="false">I1868+J1868+L1868</f>
        <v>133.4457</v>
      </c>
    </row>
    <row r="1869" customFormat="false" ht="15" hidden="false" customHeight="false" outlineLevel="0" collapsed="false">
      <c r="B1869" s="7" t="s">
        <v>10502</v>
      </c>
      <c r="C1869" s="39" t="n">
        <v>45775</v>
      </c>
      <c r="D1869" s="7" t="s">
        <v>220</v>
      </c>
      <c r="E1869" s="7" t="s">
        <v>180</v>
      </c>
      <c r="F1869" s="6" t="n">
        <v>3.9</v>
      </c>
      <c r="G1869" s="6" t="n">
        <v>0</v>
      </c>
      <c r="H1869" s="41" t="n">
        <v>16.43</v>
      </c>
      <c r="I1869" s="43" t="n">
        <f aca="false">F1869*H1869</f>
        <v>64.077</v>
      </c>
      <c r="J1869" s="43" t="n">
        <f aca="false">G1869*H1869*1.5</f>
        <v>0</v>
      </c>
      <c r="K1869" s="6" t="n">
        <v>10.74</v>
      </c>
      <c r="L1869" s="43" t="n">
        <f aca="false">K1869*'Chart of Accounts'!$E$68</f>
        <v>7.1958</v>
      </c>
      <c r="O1869" s="42" t="n">
        <f aca="false">I1869+J1869+L1869</f>
        <v>71.2728</v>
      </c>
    </row>
    <row r="1870" customFormat="false" ht="15" hidden="false" customHeight="false" outlineLevel="0" collapsed="false">
      <c r="B1870" s="7" t="s">
        <v>10503</v>
      </c>
      <c r="C1870" s="39" t="n">
        <v>45775</v>
      </c>
      <c r="D1870" s="7" t="s">
        <v>224</v>
      </c>
      <c r="E1870" s="7" t="s">
        <v>180</v>
      </c>
      <c r="F1870" s="6" t="n">
        <v>9.06</v>
      </c>
      <c r="G1870" s="6" t="n">
        <v>0</v>
      </c>
      <c r="H1870" s="41" t="n">
        <v>14.93</v>
      </c>
      <c r="I1870" s="43" t="n">
        <f aca="false">F1870*H1870</f>
        <v>135.2658</v>
      </c>
      <c r="J1870" s="43" t="n">
        <f aca="false">G1870*H1870*1.5</f>
        <v>0</v>
      </c>
      <c r="K1870" s="6" t="n">
        <v>20.22</v>
      </c>
      <c r="L1870" s="43" t="n">
        <f aca="false">K1870*'Chart of Accounts'!$E$68</f>
        <v>13.5474</v>
      </c>
      <c r="O1870" s="42" t="n">
        <f aca="false">I1870+J1870+L1870</f>
        <v>148.8132</v>
      </c>
    </row>
    <row r="1871" customFormat="false" ht="15" hidden="false" customHeight="false" outlineLevel="0" collapsed="false">
      <c r="B1871" s="7" t="s">
        <v>10504</v>
      </c>
      <c r="C1871" s="39" t="n">
        <v>45775</v>
      </c>
      <c r="D1871" s="7" t="s">
        <v>177</v>
      </c>
      <c r="E1871" s="7" t="s">
        <v>180</v>
      </c>
      <c r="F1871" s="6" t="n">
        <v>8.37</v>
      </c>
      <c r="G1871" s="6" t="n">
        <v>0</v>
      </c>
      <c r="H1871" s="41" t="n">
        <v>14.56</v>
      </c>
      <c r="I1871" s="43" t="n">
        <f aca="false">F1871*H1871</f>
        <v>121.8672</v>
      </c>
      <c r="J1871" s="43" t="n">
        <f aca="false">G1871*H1871*1.5</f>
        <v>0</v>
      </c>
      <c r="K1871" s="6" t="n">
        <v>20.12</v>
      </c>
      <c r="L1871" s="43" t="n">
        <f aca="false">K1871*'Chart of Accounts'!$E$68</f>
        <v>13.4804</v>
      </c>
      <c r="O1871" s="42" t="n">
        <f aca="false">I1871+J1871+L1871</f>
        <v>135.3476</v>
      </c>
    </row>
    <row r="1872" customFormat="false" ht="15" hidden="false" customHeight="false" outlineLevel="0" collapsed="false">
      <c r="B1872" s="7" t="s">
        <v>10505</v>
      </c>
      <c r="C1872" s="39" t="n">
        <v>45775</v>
      </c>
      <c r="D1872" s="7" t="s">
        <v>232</v>
      </c>
      <c r="E1872" s="7" t="s">
        <v>180</v>
      </c>
      <c r="F1872" s="6" t="n">
        <v>7.92</v>
      </c>
      <c r="G1872" s="6" t="n">
        <v>0</v>
      </c>
      <c r="H1872" s="41" t="n">
        <v>16.17</v>
      </c>
      <c r="I1872" s="43" t="n">
        <f aca="false">F1872*H1872</f>
        <v>128.0664</v>
      </c>
      <c r="J1872" s="43" t="n">
        <f aca="false">G1872*H1872*1.5</f>
        <v>0</v>
      </c>
      <c r="K1872" s="6" t="n">
        <v>21.02</v>
      </c>
      <c r="L1872" s="43" t="n">
        <f aca="false">K1872*'Chart of Accounts'!$E$68</f>
        <v>14.0834</v>
      </c>
      <c r="O1872" s="42" t="n">
        <f aca="false">I1872+J1872+L1872</f>
        <v>142.1498</v>
      </c>
    </row>
    <row r="1873" customFormat="false" ht="15" hidden="false" customHeight="false" outlineLevel="0" collapsed="false">
      <c r="B1873" s="7" t="s">
        <v>10506</v>
      </c>
      <c r="C1873" s="39" t="n">
        <v>45775</v>
      </c>
      <c r="D1873" s="7" t="s">
        <v>242</v>
      </c>
      <c r="E1873" s="7" t="s">
        <v>180</v>
      </c>
      <c r="F1873" s="6" t="n">
        <v>7.38</v>
      </c>
      <c r="G1873" s="6" t="n">
        <v>0</v>
      </c>
      <c r="H1873" s="41" t="n">
        <v>17.99</v>
      </c>
      <c r="I1873" s="43" t="n">
        <f aca="false">F1873*H1873</f>
        <v>132.7662</v>
      </c>
      <c r="J1873" s="43" t="n">
        <f aca="false">G1873*H1873*1.5</f>
        <v>0</v>
      </c>
      <c r="K1873" s="6" t="n">
        <v>19.3</v>
      </c>
      <c r="L1873" s="43" t="n">
        <f aca="false">K1873*'Chart of Accounts'!$E$68</f>
        <v>12.931</v>
      </c>
      <c r="O1873" s="42" t="n">
        <f aca="false">I1873+J1873+L1873</f>
        <v>145.6972</v>
      </c>
    </row>
    <row r="1874" customFormat="false" ht="15" hidden="false" customHeight="false" outlineLevel="0" collapsed="false">
      <c r="B1874" s="7" t="s">
        <v>10507</v>
      </c>
      <c r="C1874" s="39" t="n">
        <v>45775</v>
      </c>
      <c r="D1874" s="7" t="s">
        <v>222</v>
      </c>
      <c r="E1874" s="7" t="s">
        <v>180</v>
      </c>
      <c r="F1874" s="6" t="n">
        <v>6.63</v>
      </c>
      <c r="G1874" s="6" t="n">
        <v>0</v>
      </c>
      <c r="H1874" s="41" t="n">
        <v>17.84</v>
      </c>
      <c r="I1874" s="43" t="n">
        <f aca="false">F1874*H1874</f>
        <v>118.2792</v>
      </c>
      <c r="J1874" s="43" t="n">
        <f aca="false">G1874*H1874*1.5</f>
        <v>0</v>
      </c>
      <c r="K1874" s="6" t="n">
        <v>19.55</v>
      </c>
      <c r="L1874" s="43" t="n">
        <f aca="false">K1874*'Chart of Accounts'!$E$68</f>
        <v>13.0985</v>
      </c>
      <c r="O1874" s="42" t="n">
        <f aca="false">I1874+J1874+L1874</f>
        <v>131.3777</v>
      </c>
    </row>
    <row r="1875" customFormat="false" ht="15" hidden="false" customHeight="false" outlineLevel="0" collapsed="false">
      <c r="B1875" s="7" t="s">
        <v>10508</v>
      </c>
      <c r="C1875" s="39" t="n">
        <v>45775</v>
      </c>
      <c r="D1875" s="7" t="s">
        <v>262</v>
      </c>
      <c r="E1875" s="7" t="s">
        <v>180</v>
      </c>
      <c r="F1875" s="6" t="n">
        <v>7.55</v>
      </c>
      <c r="G1875" s="6" t="n">
        <v>0</v>
      </c>
      <c r="H1875" s="41" t="n">
        <v>16.02</v>
      </c>
      <c r="I1875" s="43" t="n">
        <f aca="false">F1875*H1875</f>
        <v>120.951</v>
      </c>
      <c r="J1875" s="43" t="n">
        <f aca="false">G1875*H1875*1.5</f>
        <v>0</v>
      </c>
      <c r="K1875" s="6" t="n">
        <v>16.68</v>
      </c>
      <c r="L1875" s="43" t="n">
        <f aca="false">K1875*'Chart of Accounts'!$E$68</f>
        <v>11.1756</v>
      </c>
      <c r="O1875" s="42" t="n">
        <f aca="false">I1875+J1875+L1875</f>
        <v>132.1266</v>
      </c>
    </row>
    <row r="1876" customFormat="false" ht="15" hidden="false" customHeight="false" outlineLevel="0" collapsed="false">
      <c r="B1876" s="7" t="s">
        <v>10509</v>
      </c>
      <c r="C1876" s="39" t="n">
        <v>45775</v>
      </c>
      <c r="D1876" s="7" t="s">
        <v>254</v>
      </c>
      <c r="E1876" s="7" t="s">
        <v>180</v>
      </c>
      <c r="F1876" s="6" t="n">
        <v>7.37</v>
      </c>
      <c r="G1876" s="6" t="n">
        <v>0</v>
      </c>
      <c r="H1876" s="41" t="n">
        <v>17.1</v>
      </c>
      <c r="I1876" s="43" t="n">
        <f aca="false">F1876*H1876</f>
        <v>126.027</v>
      </c>
      <c r="J1876" s="43" t="n">
        <f aca="false">G1876*H1876*1.5</f>
        <v>0</v>
      </c>
      <c r="K1876" s="6" t="n">
        <v>22.64</v>
      </c>
      <c r="L1876" s="43" t="n">
        <f aca="false">K1876*'Chart of Accounts'!$E$68</f>
        <v>15.1688</v>
      </c>
      <c r="O1876" s="42" t="n">
        <f aca="false">I1876+J1876+L1876</f>
        <v>141.1958</v>
      </c>
    </row>
    <row r="1877" customFormat="false" ht="15" hidden="false" customHeight="false" outlineLevel="0" collapsed="false">
      <c r="B1877" s="7" t="s">
        <v>10510</v>
      </c>
      <c r="C1877" s="39" t="n">
        <v>45775</v>
      </c>
      <c r="D1877" s="7" t="s">
        <v>207</v>
      </c>
      <c r="E1877" s="7" t="s">
        <v>180</v>
      </c>
      <c r="F1877" s="6" t="n">
        <v>3.48</v>
      </c>
      <c r="G1877" s="6" t="n">
        <v>0</v>
      </c>
      <c r="H1877" s="41" t="n">
        <v>16.65</v>
      </c>
      <c r="I1877" s="43" t="n">
        <f aca="false">F1877*H1877</f>
        <v>57.942</v>
      </c>
      <c r="J1877" s="43" t="n">
        <f aca="false">G1877*H1877*1.5</f>
        <v>0</v>
      </c>
      <c r="K1877" s="6" t="n">
        <v>9.34</v>
      </c>
      <c r="L1877" s="43" t="n">
        <f aca="false">K1877*'Chart of Accounts'!$E$68</f>
        <v>6.2578</v>
      </c>
      <c r="O1877" s="42" t="n">
        <f aca="false">I1877+J1877+L1877</f>
        <v>64.1998</v>
      </c>
    </row>
    <row r="1878" customFormat="false" ht="15" hidden="false" customHeight="false" outlineLevel="0" collapsed="false">
      <c r="B1878" s="7" t="s">
        <v>10511</v>
      </c>
      <c r="C1878" s="39" t="n">
        <v>45775</v>
      </c>
      <c r="D1878" s="7" t="s">
        <v>246</v>
      </c>
      <c r="E1878" s="7" t="s">
        <v>180</v>
      </c>
      <c r="F1878" s="6" t="n">
        <v>8.04</v>
      </c>
      <c r="G1878" s="6" t="n">
        <v>0</v>
      </c>
      <c r="H1878" s="41" t="n">
        <v>16.48</v>
      </c>
      <c r="I1878" s="43" t="n">
        <f aca="false">F1878*H1878</f>
        <v>132.4992</v>
      </c>
      <c r="J1878" s="43" t="n">
        <f aca="false">G1878*H1878*1.5</f>
        <v>0</v>
      </c>
      <c r="K1878" s="6" t="n">
        <v>24.66</v>
      </c>
      <c r="L1878" s="43" t="n">
        <f aca="false">K1878*'Chart of Accounts'!$E$68</f>
        <v>16.5222</v>
      </c>
      <c r="O1878" s="42" t="n">
        <f aca="false">I1878+J1878+L1878</f>
        <v>149.0214</v>
      </c>
    </row>
    <row r="1879" customFormat="false" ht="15" hidden="false" customHeight="false" outlineLevel="0" collapsed="false">
      <c r="B1879" s="7" t="s">
        <v>10512</v>
      </c>
      <c r="C1879" s="39" t="n">
        <v>45775</v>
      </c>
      <c r="D1879" s="7" t="s">
        <v>214</v>
      </c>
      <c r="E1879" s="7" t="s">
        <v>180</v>
      </c>
      <c r="F1879" s="6" t="n">
        <v>4.23</v>
      </c>
      <c r="G1879" s="6" t="n">
        <v>0</v>
      </c>
      <c r="H1879" s="41" t="n">
        <v>15.67</v>
      </c>
      <c r="I1879" s="43" t="n">
        <f aca="false">F1879*H1879</f>
        <v>66.2841</v>
      </c>
      <c r="J1879" s="43" t="n">
        <f aca="false">G1879*H1879*1.5</f>
        <v>0</v>
      </c>
      <c r="K1879" s="6" t="n">
        <v>12.67</v>
      </c>
      <c r="L1879" s="43" t="n">
        <f aca="false">K1879*'Chart of Accounts'!$E$68</f>
        <v>8.4889</v>
      </c>
      <c r="O1879" s="42" t="n">
        <f aca="false">I1879+J1879+L1879</f>
        <v>74.773</v>
      </c>
    </row>
    <row r="1880" customFormat="false" ht="15" hidden="false" customHeight="false" outlineLevel="0" collapsed="false">
      <c r="B1880" s="7" t="s">
        <v>10513</v>
      </c>
      <c r="C1880" s="39" t="n">
        <v>45775</v>
      </c>
      <c r="D1880" s="7" t="s">
        <v>238</v>
      </c>
      <c r="E1880" s="7" t="s">
        <v>180</v>
      </c>
      <c r="F1880" s="6" t="n">
        <v>3.77</v>
      </c>
      <c r="G1880" s="6" t="n">
        <v>0</v>
      </c>
      <c r="H1880" s="41" t="n">
        <v>15.85</v>
      </c>
      <c r="I1880" s="43" t="n">
        <f aca="false">F1880*H1880</f>
        <v>59.7545</v>
      </c>
      <c r="J1880" s="43" t="n">
        <f aca="false">G1880*H1880*1.5</f>
        <v>0</v>
      </c>
      <c r="K1880" s="6" t="n">
        <v>10.88</v>
      </c>
      <c r="L1880" s="43" t="n">
        <f aca="false">K1880*'Chart of Accounts'!$E$68</f>
        <v>7.2896</v>
      </c>
      <c r="O1880" s="42" t="n">
        <f aca="false">I1880+J1880+L1880</f>
        <v>67.0441</v>
      </c>
    </row>
    <row r="1881" customFormat="false" ht="15" hidden="false" customHeight="false" outlineLevel="0" collapsed="false">
      <c r="B1881" s="7" t="s">
        <v>10514</v>
      </c>
      <c r="C1881" s="39" t="n">
        <v>45776</v>
      </c>
      <c r="D1881" s="7" t="s">
        <v>191</v>
      </c>
      <c r="E1881" s="7" t="s">
        <v>180</v>
      </c>
      <c r="F1881" s="6" t="n">
        <v>3.67</v>
      </c>
      <c r="G1881" s="6" t="n">
        <v>0</v>
      </c>
      <c r="H1881" s="41" t="n">
        <v>16.05</v>
      </c>
      <c r="I1881" s="43" t="n">
        <f aca="false">F1881*H1881</f>
        <v>58.9035</v>
      </c>
      <c r="J1881" s="43" t="n">
        <f aca="false">G1881*H1881*1.5</f>
        <v>0</v>
      </c>
      <c r="K1881" s="6" t="n">
        <v>12.03</v>
      </c>
      <c r="L1881" s="43" t="n">
        <f aca="false">K1881*'Chart of Accounts'!$E$68</f>
        <v>8.0601</v>
      </c>
      <c r="O1881" s="42" t="n">
        <f aca="false">I1881+J1881+L1881</f>
        <v>66.9636</v>
      </c>
    </row>
    <row r="1882" customFormat="false" ht="15" hidden="false" customHeight="false" outlineLevel="0" collapsed="false">
      <c r="B1882" s="7" t="s">
        <v>10515</v>
      </c>
      <c r="C1882" s="39" t="n">
        <v>45776</v>
      </c>
      <c r="D1882" s="7" t="s">
        <v>209</v>
      </c>
      <c r="E1882" s="7" t="s">
        <v>158</v>
      </c>
      <c r="H1882" s="41" t="n">
        <v>73.58</v>
      </c>
      <c r="M1882" s="6" t="n">
        <v>2</v>
      </c>
      <c r="N1882" s="43" t="n">
        <f aca="false">M1882*H1882</f>
        <v>147.16</v>
      </c>
      <c r="O1882" s="42" t="n">
        <f aca="false">N1882</f>
        <v>147.16</v>
      </c>
    </row>
    <row r="1883" customFormat="false" ht="15" hidden="false" customHeight="false" outlineLevel="0" collapsed="false">
      <c r="B1883" s="7" t="s">
        <v>10516</v>
      </c>
      <c r="C1883" s="39" t="n">
        <v>45776</v>
      </c>
      <c r="D1883" s="7" t="s">
        <v>184</v>
      </c>
      <c r="E1883" s="7" t="s">
        <v>180</v>
      </c>
      <c r="F1883" s="6" t="n">
        <v>3.68</v>
      </c>
      <c r="G1883" s="6" t="n">
        <v>0</v>
      </c>
      <c r="H1883" s="41" t="n">
        <v>17.34</v>
      </c>
      <c r="I1883" s="43" t="n">
        <f aca="false">F1883*H1883</f>
        <v>63.8112</v>
      </c>
      <c r="J1883" s="43" t="n">
        <f aca="false">G1883*H1883*1.5</f>
        <v>0</v>
      </c>
      <c r="K1883" s="6" t="n">
        <v>11.81</v>
      </c>
      <c r="L1883" s="43" t="n">
        <f aca="false">K1883*'Chart of Accounts'!$E$68</f>
        <v>7.9127</v>
      </c>
      <c r="O1883" s="42" t="n">
        <f aca="false">I1883+J1883+L1883</f>
        <v>71.7239</v>
      </c>
    </row>
    <row r="1884" customFormat="false" ht="15" hidden="false" customHeight="false" outlineLevel="0" collapsed="false">
      <c r="B1884" s="7" t="s">
        <v>10517</v>
      </c>
      <c r="C1884" s="39" t="n">
        <v>45776</v>
      </c>
      <c r="D1884" s="7" t="s">
        <v>234</v>
      </c>
      <c r="E1884" s="7" t="s">
        <v>158</v>
      </c>
      <c r="H1884" s="41" t="n">
        <v>89.53</v>
      </c>
      <c r="M1884" s="6" t="n">
        <v>2</v>
      </c>
      <c r="N1884" s="43" t="n">
        <f aca="false">M1884*H1884</f>
        <v>179.06</v>
      </c>
      <c r="O1884" s="42" t="n">
        <f aca="false">N1884</f>
        <v>179.06</v>
      </c>
    </row>
    <row r="1885" customFormat="false" ht="15" hidden="false" customHeight="false" outlineLevel="0" collapsed="false">
      <c r="B1885" s="7" t="s">
        <v>10518</v>
      </c>
      <c r="C1885" s="39" t="n">
        <v>45776</v>
      </c>
      <c r="D1885" s="7" t="s">
        <v>218</v>
      </c>
      <c r="E1885" s="7" t="s">
        <v>180</v>
      </c>
      <c r="F1885" s="6" t="n">
        <v>3.84</v>
      </c>
      <c r="G1885" s="6" t="n">
        <v>0</v>
      </c>
      <c r="H1885" s="41" t="n">
        <v>16.19</v>
      </c>
      <c r="I1885" s="43" t="n">
        <f aca="false">F1885*H1885</f>
        <v>62.1696</v>
      </c>
      <c r="J1885" s="43" t="n">
        <f aca="false">G1885*H1885*1.5</f>
        <v>0</v>
      </c>
      <c r="K1885" s="6" t="n">
        <v>13.66</v>
      </c>
      <c r="L1885" s="43" t="n">
        <f aca="false">K1885*'Chart of Accounts'!$E$68</f>
        <v>9.1522</v>
      </c>
      <c r="O1885" s="42" t="n">
        <f aca="false">I1885+J1885+L1885</f>
        <v>71.3218</v>
      </c>
    </row>
    <row r="1886" customFormat="false" ht="15" hidden="false" customHeight="false" outlineLevel="0" collapsed="false">
      <c r="B1886" s="7" t="s">
        <v>10519</v>
      </c>
      <c r="C1886" s="39" t="n">
        <v>45776</v>
      </c>
      <c r="D1886" s="7" t="s">
        <v>266</v>
      </c>
      <c r="E1886" s="7" t="s">
        <v>158</v>
      </c>
      <c r="H1886" s="41" t="n">
        <v>75.18</v>
      </c>
      <c r="M1886" s="6" t="n">
        <v>1</v>
      </c>
      <c r="N1886" s="43" t="n">
        <f aca="false">M1886*H1886</f>
        <v>75.18</v>
      </c>
      <c r="O1886" s="42" t="n">
        <f aca="false">N1886</f>
        <v>75.18</v>
      </c>
    </row>
    <row r="1887" customFormat="false" ht="15" hidden="false" customHeight="false" outlineLevel="0" collapsed="false">
      <c r="B1887" s="7" t="s">
        <v>10520</v>
      </c>
      <c r="C1887" s="39" t="n">
        <v>45776</v>
      </c>
      <c r="D1887" s="7" t="s">
        <v>228</v>
      </c>
      <c r="E1887" s="7" t="s">
        <v>158</v>
      </c>
      <c r="H1887" s="41" t="n">
        <v>51.07</v>
      </c>
      <c r="M1887" s="6" t="n">
        <v>1</v>
      </c>
      <c r="N1887" s="43" t="n">
        <f aca="false">M1887*H1887</f>
        <v>51.07</v>
      </c>
      <c r="O1887" s="42" t="n">
        <f aca="false">N1887</f>
        <v>51.07</v>
      </c>
    </row>
    <row r="1888" customFormat="false" ht="15" hidden="false" customHeight="false" outlineLevel="0" collapsed="false">
      <c r="B1888" s="7" t="s">
        <v>10521</v>
      </c>
      <c r="C1888" s="39" t="n">
        <v>45776</v>
      </c>
      <c r="D1888" s="7" t="s">
        <v>212</v>
      </c>
      <c r="E1888" s="7" t="s">
        <v>180</v>
      </c>
      <c r="F1888" s="6" t="n">
        <v>3.83</v>
      </c>
      <c r="G1888" s="6" t="n">
        <v>0</v>
      </c>
      <c r="H1888" s="41" t="n">
        <v>16.71</v>
      </c>
      <c r="I1888" s="43" t="n">
        <f aca="false">F1888*H1888</f>
        <v>63.9993</v>
      </c>
      <c r="J1888" s="43" t="n">
        <f aca="false">G1888*H1888*1.5</f>
        <v>0</v>
      </c>
      <c r="K1888" s="6" t="n">
        <v>12.7</v>
      </c>
      <c r="L1888" s="43" t="n">
        <f aca="false">K1888*'Chart of Accounts'!$E$68</f>
        <v>8.509</v>
      </c>
      <c r="O1888" s="42" t="n">
        <f aca="false">I1888+J1888+L1888</f>
        <v>72.5083</v>
      </c>
    </row>
    <row r="1889" customFormat="false" ht="15" hidden="false" customHeight="false" outlineLevel="0" collapsed="false">
      <c r="B1889" s="7" t="s">
        <v>10522</v>
      </c>
      <c r="C1889" s="39" t="n">
        <v>45776</v>
      </c>
      <c r="D1889" s="7" t="s">
        <v>194</v>
      </c>
      <c r="E1889" s="7" t="s">
        <v>180</v>
      </c>
      <c r="F1889" s="6" t="n">
        <v>3.61</v>
      </c>
      <c r="G1889" s="6" t="n">
        <v>0</v>
      </c>
      <c r="H1889" s="41" t="n">
        <v>16</v>
      </c>
      <c r="I1889" s="43" t="n">
        <f aca="false">F1889*H1889</f>
        <v>57.76</v>
      </c>
      <c r="J1889" s="43" t="n">
        <f aca="false">G1889*H1889*1.5</f>
        <v>0</v>
      </c>
      <c r="K1889" s="6" t="n">
        <v>8.93</v>
      </c>
      <c r="L1889" s="43" t="n">
        <f aca="false">K1889*'Chart of Accounts'!$E$68</f>
        <v>5.9831</v>
      </c>
      <c r="O1889" s="42" t="n">
        <f aca="false">I1889+J1889+L1889</f>
        <v>63.7431</v>
      </c>
    </row>
    <row r="1890" customFormat="false" ht="15" hidden="false" customHeight="false" outlineLevel="0" collapsed="false">
      <c r="B1890" s="7" t="s">
        <v>10523</v>
      </c>
      <c r="C1890" s="39" t="n">
        <v>45776</v>
      </c>
      <c r="D1890" s="7" t="s">
        <v>246</v>
      </c>
      <c r="E1890" s="7" t="s">
        <v>180</v>
      </c>
      <c r="F1890" s="6" t="n">
        <v>4.18</v>
      </c>
      <c r="G1890" s="6" t="n">
        <v>0</v>
      </c>
      <c r="H1890" s="41" t="n">
        <v>16.48</v>
      </c>
      <c r="I1890" s="43" t="n">
        <f aca="false">F1890*H1890</f>
        <v>68.8864</v>
      </c>
      <c r="J1890" s="43" t="n">
        <f aca="false">G1890*H1890*1.5</f>
        <v>0</v>
      </c>
      <c r="K1890" s="6" t="n">
        <v>14.06</v>
      </c>
      <c r="L1890" s="43" t="n">
        <f aca="false">K1890*'Chart of Accounts'!$E$68</f>
        <v>9.4202</v>
      </c>
      <c r="O1890" s="42" t="n">
        <f aca="false">I1890+J1890+L1890</f>
        <v>78.3066</v>
      </c>
    </row>
    <row r="1891" customFormat="false" ht="15" hidden="false" customHeight="false" outlineLevel="0" collapsed="false">
      <c r="B1891" s="7" t="s">
        <v>10524</v>
      </c>
      <c r="C1891" s="39" t="n">
        <v>45776</v>
      </c>
      <c r="D1891" s="7" t="s">
        <v>222</v>
      </c>
      <c r="E1891" s="7" t="s">
        <v>180</v>
      </c>
      <c r="F1891" s="6" t="n">
        <v>4.07</v>
      </c>
      <c r="G1891" s="6" t="n">
        <v>0</v>
      </c>
      <c r="H1891" s="41" t="n">
        <v>17.84</v>
      </c>
      <c r="I1891" s="43" t="n">
        <f aca="false">F1891*H1891</f>
        <v>72.6088</v>
      </c>
      <c r="J1891" s="43" t="n">
        <f aca="false">G1891*H1891*1.5</f>
        <v>0</v>
      </c>
      <c r="K1891" s="6" t="n">
        <v>14.52</v>
      </c>
      <c r="L1891" s="43" t="n">
        <f aca="false">K1891*'Chart of Accounts'!$E$68</f>
        <v>9.7284</v>
      </c>
      <c r="O1891" s="42" t="n">
        <f aca="false">I1891+J1891+L1891</f>
        <v>82.3372</v>
      </c>
    </row>
    <row r="1892" customFormat="false" ht="15" hidden="false" customHeight="false" outlineLevel="0" collapsed="false">
      <c r="B1892" s="7" t="s">
        <v>10525</v>
      </c>
      <c r="C1892" s="39" t="n">
        <v>45776</v>
      </c>
      <c r="D1892" s="7" t="s">
        <v>242</v>
      </c>
      <c r="E1892" s="7" t="s">
        <v>180</v>
      </c>
      <c r="F1892" s="6" t="n">
        <v>4.25</v>
      </c>
      <c r="G1892" s="6" t="n">
        <v>0</v>
      </c>
      <c r="H1892" s="41" t="n">
        <v>17.99</v>
      </c>
      <c r="I1892" s="43" t="n">
        <f aca="false">F1892*H1892</f>
        <v>76.4575</v>
      </c>
      <c r="J1892" s="43" t="n">
        <f aca="false">G1892*H1892*1.5</f>
        <v>0</v>
      </c>
      <c r="K1892" s="6" t="n">
        <v>14.42</v>
      </c>
      <c r="L1892" s="43" t="n">
        <f aca="false">K1892*'Chart of Accounts'!$E$68</f>
        <v>9.6614</v>
      </c>
      <c r="O1892" s="42" t="n">
        <f aca="false">I1892+J1892+L1892</f>
        <v>86.1189</v>
      </c>
    </row>
    <row r="1893" customFormat="false" ht="15" hidden="false" customHeight="false" outlineLevel="0" collapsed="false">
      <c r="B1893" s="7" t="s">
        <v>10526</v>
      </c>
      <c r="C1893" s="39" t="n">
        <v>45776</v>
      </c>
      <c r="D1893" s="7" t="s">
        <v>203</v>
      </c>
      <c r="E1893" s="7" t="s">
        <v>158</v>
      </c>
      <c r="H1893" s="41" t="n">
        <v>49.43</v>
      </c>
      <c r="M1893" s="6" t="n">
        <v>1</v>
      </c>
      <c r="N1893" s="43" t="n">
        <f aca="false">M1893*H1893</f>
        <v>49.43</v>
      </c>
      <c r="O1893" s="42" t="n">
        <f aca="false">N1893</f>
        <v>49.43</v>
      </c>
    </row>
    <row r="1894" customFormat="false" ht="15" hidden="false" customHeight="false" outlineLevel="0" collapsed="false">
      <c r="B1894" s="7" t="s">
        <v>10527</v>
      </c>
      <c r="C1894" s="39" t="n">
        <v>45776</v>
      </c>
      <c r="D1894" s="7" t="s">
        <v>254</v>
      </c>
      <c r="E1894" s="7" t="s">
        <v>180</v>
      </c>
      <c r="F1894" s="6" t="n">
        <v>3.93</v>
      </c>
      <c r="G1894" s="6" t="n">
        <v>0</v>
      </c>
      <c r="H1894" s="41" t="n">
        <v>17.1</v>
      </c>
      <c r="I1894" s="43" t="n">
        <f aca="false">F1894*H1894</f>
        <v>67.203</v>
      </c>
      <c r="J1894" s="43" t="n">
        <f aca="false">G1894*H1894*1.5</f>
        <v>0</v>
      </c>
      <c r="K1894" s="6" t="n">
        <v>10.38</v>
      </c>
      <c r="L1894" s="43" t="n">
        <f aca="false">K1894*'Chart of Accounts'!$E$68</f>
        <v>6.9546</v>
      </c>
      <c r="O1894" s="42" t="n">
        <f aca="false">I1894+J1894+L1894</f>
        <v>74.1576</v>
      </c>
    </row>
    <row r="1895" customFormat="false" ht="15" hidden="false" customHeight="false" outlineLevel="0" collapsed="false">
      <c r="B1895" s="7" t="s">
        <v>10528</v>
      </c>
      <c r="C1895" s="39" t="n">
        <v>45776</v>
      </c>
      <c r="D1895" s="7" t="s">
        <v>260</v>
      </c>
      <c r="E1895" s="7" t="s">
        <v>158</v>
      </c>
      <c r="H1895" s="41" t="n">
        <v>79.8</v>
      </c>
      <c r="M1895" s="6" t="n">
        <v>1</v>
      </c>
      <c r="N1895" s="43" t="n">
        <f aca="false">M1895*H1895</f>
        <v>79.8</v>
      </c>
      <c r="O1895" s="42" t="n">
        <f aca="false">N1895</f>
        <v>79.8</v>
      </c>
    </row>
    <row r="1896" customFormat="false" ht="15" hidden="false" customHeight="false" outlineLevel="0" collapsed="false">
      <c r="B1896" s="7" t="s">
        <v>10529</v>
      </c>
      <c r="C1896" s="39" t="n">
        <v>45777</v>
      </c>
      <c r="D1896" s="7" t="s">
        <v>187</v>
      </c>
      <c r="E1896" s="7" t="s">
        <v>158</v>
      </c>
      <c r="H1896" s="41" t="n">
        <v>66.48</v>
      </c>
      <c r="M1896" s="6" t="n">
        <v>1</v>
      </c>
      <c r="N1896" s="43" t="n">
        <f aca="false">M1896*H1896</f>
        <v>66.48</v>
      </c>
      <c r="O1896" s="42" t="n">
        <f aca="false">N1896</f>
        <v>66.48</v>
      </c>
    </row>
    <row r="1897" customFormat="false" ht="15" hidden="false" customHeight="false" outlineLevel="0" collapsed="false">
      <c r="B1897" s="7" t="s">
        <v>10530</v>
      </c>
      <c r="C1897" s="39" t="n">
        <v>45777</v>
      </c>
      <c r="D1897" s="7" t="s">
        <v>228</v>
      </c>
      <c r="E1897" s="7" t="s">
        <v>158</v>
      </c>
      <c r="H1897" s="41" t="n">
        <v>51.07</v>
      </c>
      <c r="M1897" s="6" t="n">
        <v>1</v>
      </c>
      <c r="N1897" s="43" t="n">
        <f aca="false">M1897*H1897</f>
        <v>51.07</v>
      </c>
      <c r="O1897" s="42" t="n">
        <f aca="false">N1897</f>
        <v>51.07</v>
      </c>
    </row>
    <row r="1898" customFormat="false" ht="15" hidden="false" customHeight="false" outlineLevel="0" collapsed="false">
      <c r="B1898" s="7" t="s">
        <v>10531</v>
      </c>
      <c r="C1898" s="39" t="n">
        <v>45777</v>
      </c>
      <c r="D1898" s="7" t="s">
        <v>191</v>
      </c>
      <c r="E1898" s="7" t="s">
        <v>180</v>
      </c>
      <c r="F1898" s="6" t="n">
        <v>3.94</v>
      </c>
      <c r="G1898" s="6" t="n">
        <v>0</v>
      </c>
      <c r="H1898" s="41" t="n">
        <v>16.05</v>
      </c>
      <c r="I1898" s="43" t="n">
        <f aca="false">F1898*H1898</f>
        <v>63.237</v>
      </c>
      <c r="J1898" s="43" t="n">
        <f aca="false">G1898*H1898*1.5</f>
        <v>0</v>
      </c>
      <c r="K1898" s="6" t="n">
        <v>10.58</v>
      </c>
      <c r="L1898" s="43" t="n">
        <f aca="false">K1898*'Chart of Accounts'!$E$68</f>
        <v>7.0886</v>
      </c>
      <c r="O1898" s="42" t="n">
        <f aca="false">I1898+J1898+L1898</f>
        <v>70.3256</v>
      </c>
    </row>
    <row r="1899" customFormat="false" ht="15" hidden="false" customHeight="false" outlineLevel="0" collapsed="false">
      <c r="B1899" s="7" t="s">
        <v>10532</v>
      </c>
      <c r="C1899" s="39" t="n">
        <v>45777</v>
      </c>
      <c r="D1899" s="7" t="s">
        <v>194</v>
      </c>
      <c r="E1899" s="7" t="s">
        <v>180</v>
      </c>
      <c r="F1899" s="6" t="n">
        <v>8.75</v>
      </c>
      <c r="G1899" s="6" t="n">
        <v>0</v>
      </c>
      <c r="H1899" s="41" t="n">
        <v>16</v>
      </c>
      <c r="I1899" s="43" t="n">
        <f aca="false">F1899*H1899</f>
        <v>140</v>
      </c>
      <c r="J1899" s="43" t="n">
        <f aca="false">G1899*H1899*1.5</f>
        <v>0</v>
      </c>
      <c r="K1899" s="6" t="n">
        <v>26.16</v>
      </c>
      <c r="L1899" s="43" t="n">
        <f aca="false">K1899*'Chart of Accounts'!$E$68</f>
        <v>17.5272</v>
      </c>
      <c r="O1899" s="42" t="n">
        <f aca="false">I1899+J1899+L1899</f>
        <v>157.5272</v>
      </c>
    </row>
    <row r="1900" customFormat="false" ht="15" hidden="false" customHeight="false" outlineLevel="0" collapsed="false">
      <c r="B1900" s="7" t="s">
        <v>10533</v>
      </c>
      <c r="C1900" s="39" t="n">
        <v>45777</v>
      </c>
      <c r="D1900" s="7" t="s">
        <v>205</v>
      </c>
      <c r="E1900" s="7" t="s">
        <v>180</v>
      </c>
      <c r="F1900" s="6" t="n">
        <v>4.05</v>
      </c>
      <c r="G1900" s="6" t="n">
        <v>0</v>
      </c>
      <c r="H1900" s="41" t="n">
        <v>16.36</v>
      </c>
      <c r="I1900" s="43" t="n">
        <f aca="false">F1900*H1900</f>
        <v>66.258</v>
      </c>
      <c r="J1900" s="43" t="n">
        <f aca="false">G1900*H1900*1.5</f>
        <v>0</v>
      </c>
      <c r="K1900" s="6" t="n">
        <v>12.56</v>
      </c>
      <c r="L1900" s="43" t="n">
        <f aca="false">K1900*'Chart of Accounts'!$E$68</f>
        <v>8.4152</v>
      </c>
      <c r="O1900" s="42" t="n">
        <f aca="false">I1900+J1900+L1900</f>
        <v>74.6732</v>
      </c>
    </row>
    <row r="1901" customFormat="false" ht="15" hidden="false" customHeight="false" outlineLevel="0" collapsed="false">
      <c r="B1901" s="7" t="s">
        <v>10534</v>
      </c>
      <c r="C1901" s="39" t="n">
        <v>45777</v>
      </c>
      <c r="D1901" s="7" t="s">
        <v>264</v>
      </c>
      <c r="E1901" s="7" t="s">
        <v>158</v>
      </c>
      <c r="H1901" s="41" t="n">
        <v>55.55</v>
      </c>
      <c r="M1901" s="6" t="n">
        <v>1</v>
      </c>
      <c r="N1901" s="43" t="n">
        <f aca="false">M1901*H1901</f>
        <v>55.55</v>
      </c>
      <c r="O1901" s="42" t="n">
        <f aca="false">N1901</f>
        <v>55.55</v>
      </c>
    </row>
    <row r="1902" customFormat="false" ht="15" hidden="false" customHeight="false" outlineLevel="0" collapsed="false">
      <c r="B1902" s="7" t="s">
        <v>10535</v>
      </c>
      <c r="C1902" s="39" t="n">
        <v>45777</v>
      </c>
      <c r="D1902" s="7" t="s">
        <v>252</v>
      </c>
      <c r="E1902" s="7" t="s">
        <v>158</v>
      </c>
      <c r="H1902" s="41" t="n">
        <v>57.54</v>
      </c>
      <c r="M1902" s="6" t="n">
        <v>1</v>
      </c>
      <c r="N1902" s="43" t="n">
        <f aca="false">M1902*H1902</f>
        <v>57.54</v>
      </c>
      <c r="O1902" s="42" t="n">
        <f aca="false">N1902</f>
        <v>57.54</v>
      </c>
    </row>
    <row r="1903" customFormat="false" ht="15" hidden="false" customHeight="false" outlineLevel="0" collapsed="false">
      <c r="B1903" s="7" t="s">
        <v>10536</v>
      </c>
      <c r="C1903" s="39" t="n">
        <v>45777</v>
      </c>
      <c r="D1903" s="7" t="s">
        <v>184</v>
      </c>
      <c r="E1903" s="7" t="s">
        <v>180</v>
      </c>
      <c r="F1903" s="6" t="n">
        <v>3.91</v>
      </c>
      <c r="G1903" s="6" t="n">
        <v>0</v>
      </c>
      <c r="H1903" s="41" t="n">
        <v>17.34</v>
      </c>
      <c r="I1903" s="43" t="n">
        <f aca="false">F1903*H1903</f>
        <v>67.7994</v>
      </c>
      <c r="J1903" s="43" t="n">
        <f aca="false">G1903*H1903*1.5</f>
        <v>0</v>
      </c>
      <c r="K1903" s="6" t="n">
        <v>9.4</v>
      </c>
      <c r="L1903" s="43" t="n">
        <f aca="false">K1903*'Chart of Accounts'!$E$68</f>
        <v>6.298</v>
      </c>
      <c r="O1903" s="42" t="n">
        <f aca="false">I1903+J1903+L1903</f>
        <v>74.0974</v>
      </c>
    </row>
    <row r="1904" customFormat="false" ht="15" hidden="false" customHeight="false" outlineLevel="0" collapsed="false">
      <c r="B1904" s="7" t="s">
        <v>10537</v>
      </c>
      <c r="C1904" s="39" t="n">
        <v>45777</v>
      </c>
      <c r="D1904" s="7" t="s">
        <v>218</v>
      </c>
      <c r="E1904" s="7" t="s">
        <v>180</v>
      </c>
      <c r="F1904" s="6" t="n">
        <v>3.65</v>
      </c>
      <c r="G1904" s="6" t="n">
        <v>0</v>
      </c>
      <c r="H1904" s="41" t="n">
        <v>16.19</v>
      </c>
      <c r="I1904" s="43" t="n">
        <f aca="false">F1904*H1904</f>
        <v>59.0935</v>
      </c>
      <c r="J1904" s="43" t="n">
        <f aca="false">G1904*H1904*1.5</f>
        <v>0</v>
      </c>
      <c r="K1904" s="6" t="n">
        <v>11.71</v>
      </c>
      <c r="L1904" s="43" t="n">
        <f aca="false">K1904*'Chart of Accounts'!$E$68</f>
        <v>7.8457</v>
      </c>
      <c r="O1904" s="42" t="n">
        <f aca="false">I1904+J1904+L1904</f>
        <v>66.9392</v>
      </c>
    </row>
    <row r="1905" customFormat="false" ht="15" hidden="false" customHeight="false" outlineLevel="0" collapsed="false">
      <c r="B1905" s="7" t="s">
        <v>10538</v>
      </c>
      <c r="C1905" s="39" t="n">
        <v>45777</v>
      </c>
      <c r="D1905" s="7" t="s">
        <v>220</v>
      </c>
      <c r="E1905" s="7" t="s">
        <v>180</v>
      </c>
      <c r="F1905" s="6" t="n">
        <v>3.86</v>
      </c>
      <c r="G1905" s="6" t="n">
        <v>0</v>
      </c>
      <c r="H1905" s="41" t="n">
        <v>16.43</v>
      </c>
      <c r="I1905" s="43" t="n">
        <f aca="false">F1905*H1905</f>
        <v>63.4198</v>
      </c>
      <c r="J1905" s="43" t="n">
        <f aca="false">G1905*H1905*1.5</f>
        <v>0</v>
      </c>
      <c r="K1905" s="6" t="n">
        <v>9.95</v>
      </c>
      <c r="L1905" s="43" t="n">
        <f aca="false">K1905*'Chart of Accounts'!$E$68</f>
        <v>6.6665</v>
      </c>
      <c r="O1905" s="42" t="n">
        <f aca="false">I1905+J1905+L1905</f>
        <v>70.0863</v>
      </c>
    </row>
    <row r="1906" customFormat="false" ht="15" hidden="false" customHeight="false" outlineLevel="0" collapsed="false">
      <c r="B1906" s="7" t="s">
        <v>10539</v>
      </c>
      <c r="C1906" s="39" t="n">
        <v>45777</v>
      </c>
      <c r="D1906" s="7" t="s">
        <v>177</v>
      </c>
      <c r="E1906" s="7" t="s">
        <v>180</v>
      </c>
      <c r="F1906" s="6" t="n">
        <v>8.83</v>
      </c>
      <c r="G1906" s="6" t="n">
        <v>0</v>
      </c>
      <c r="H1906" s="41" t="n">
        <v>14.56</v>
      </c>
      <c r="I1906" s="43" t="n">
        <f aca="false">F1906*H1906</f>
        <v>128.5648</v>
      </c>
      <c r="J1906" s="43" t="n">
        <f aca="false">G1906*H1906*1.5</f>
        <v>0</v>
      </c>
      <c r="K1906" s="6" t="n">
        <v>20.48</v>
      </c>
      <c r="L1906" s="43" t="n">
        <f aca="false">K1906*'Chart of Accounts'!$E$68</f>
        <v>13.7216</v>
      </c>
      <c r="O1906" s="42" t="n">
        <f aca="false">I1906+J1906+L1906</f>
        <v>142.2864</v>
      </c>
    </row>
    <row r="1907" customFormat="false" ht="15" hidden="false" customHeight="false" outlineLevel="0" collapsed="false">
      <c r="B1907" s="7" t="s">
        <v>10540</v>
      </c>
      <c r="C1907" s="39" t="n">
        <v>45777</v>
      </c>
      <c r="D1907" s="7" t="s">
        <v>242</v>
      </c>
      <c r="E1907" s="7" t="s">
        <v>180</v>
      </c>
      <c r="F1907" s="6" t="n">
        <v>7.38</v>
      </c>
      <c r="G1907" s="6" t="n">
        <v>0</v>
      </c>
      <c r="H1907" s="41" t="n">
        <v>17.99</v>
      </c>
      <c r="I1907" s="43" t="n">
        <f aca="false">F1907*H1907</f>
        <v>132.7662</v>
      </c>
      <c r="J1907" s="43" t="n">
        <f aca="false">G1907*H1907*1.5</f>
        <v>0</v>
      </c>
      <c r="K1907" s="6" t="n">
        <v>16.9</v>
      </c>
      <c r="L1907" s="43" t="n">
        <f aca="false">K1907*'Chart of Accounts'!$E$68</f>
        <v>11.323</v>
      </c>
      <c r="O1907" s="42" t="n">
        <f aca="false">I1907+J1907+L1907</f>
        <v>144.0892</v>
      </c>
    </row>
    <row r="1908" customFormat="false" ht="15" hidden="false" customHeight="false" outlineLevel="0" collapsed="false">
      <c r="B1908" s="7" t="s">
        <v>10541</v>
      </c>
      <c r="C1908" s="39" t="n">
        <v>45777</v>
      </c>
      <c r="D1908" s="7" t="s">
        <v>254</v>
      </c>
      <c r="E1908" s="7" t="s">
        <v>180</v>
      </c>
      <c r="F1908" s="6" t="n">
        <v>6.99</v>
      </c>
      <c r="G1908" s="6" t="n">
        <v>0</v>
      </c>
      <c r="H1908" s="41" t="n">
        <v>17.1</v>
      </c>
      <c r="I1908" s="43" t="n">
        <f aca="false">F1908*H1908</f>
        <v>119.529</v>
      </c>
      <c r="J1908" s="43" t="n">
        <f aca="false">G1908*H1908*1.5</f>
        <v>0</v>
      </c>
      <c r="K1908" s="6" t="n">
        <v>21.99</v>
      </c>
      <c r="L1908" s="43" t="n">
        <f aca="false">K1908*'Chart of Accounts'!$E$68</f>
        <v>14.7333</v>
      </c>
      <c r="O1908" s="42" t="n">
        <f aca="false">I1908+J1908+L1908</f>
        <v>134.2623</v>
      </c>
    </row>
    <row r="1909" customFormat="false" ht="15" hidden="false" customHeight="false" outlineLevel="0" collapsed="false">
      <c r="B1909" s="7" t="s">
        <v>10542</v>
      </c>
      <c r="C1909" s="39" t="n">
        <v>45777</v>
      </c>
      <c r="D1909" s="7" t="s">
        <v>201</v>
      </c>
      <c r="E1909" s="7" t="s">
        <v>180</v>
      </c>
      <c r="F1909" s="6" t="n">
        <v>3.26</v>
      </c>
      <c r="G1909" s="6" t="n">
        <v>0</v>
      </c>
      <c r="H1909" s="41" t="n">
        <v>15.19</v>
      </c>
      <c r="I1909" s="43" t="n">
        <f aca="false">F1909*H1909</f>
        <v>49.5194</v>
      </c>
      <c r="J1909" s="43" t="n">
        <f aca="false">G1909*H1909*1.5</f>
        <v>0</v>
      </c>
      <c r="K1909" s="6" t="n">
        <v>11.68</v>
      </c>
      <c r="L1909" s="43" t="n">
        <f aca="false">K1909*'Chart of Accounts'!$E$68</f>
        <v>7.8256</v>
      </c>
      <c r="O1909" s="42" t="n">
        <f aca="false">I1909+J1909+L1909</f>
        <v>57.345</v>
      </c>
    </row>
    <row r="1910" customFormat="false" ht="15" hidden="false" customHeight="false" outlineLevel="0" collapsed="false">
      <c r="B1910" s="7" t="s">
        <v>10543</v>
      </c>
      <c r="C1910" s="39" t="n">
        <v>45777</v>
      </c>
      <c r="D1910" s="7" t="s">
        <v>207</v>
      </c>
      <c r="E1910" s="7" t="s">
        <v>180</v>
      </c>
      <c r="F1910" s="6" t="n">
        <v>3.35</v>
      </c>
      <c r="G1910" s="6" t="n">
        <v>0</v>
      </c>
      <c r="H1910" s="41" t="n">
        <v>16.65</v>
      </c>
      <c r="I1910" s="43" t="n">
        <f aca="false">F1910*H1910</f>
        <v>55.7775</v>
      </c>
      <c r="J1910" s="43" t="n">
        <f aca="false">G1910*H1910*1.5</f>
        <v>0</v>
      </c>
      <c r="K1910" s="6" t="n">
        <v>11.89</v>
      </c>
      <c r="L1910" s="43" t="n">
        <f aca="false">K1910*'Chart of Accounts'!$E$68</f>
        <v>7.9663</v>
      </c>
      <c r="O1910" s="42" t="n">
        <f aca="false">I1910+J1910+L1910</f>
        <v>63.7438</v>
      </c>
    </row>
    <row r="1911" customFormat="false" ht="15" hidden="false" customHeight="false" outlineLevel="0" collapsed="false">
      <c r="B1911" s="7" t="s">
        <v>10544</v>
      </c>
      <c r="C1911" s="39" t="n">
        <v>45777</v>
      </c>
      <c r="D1911" s="7" t="s">
        <v>212</v>
      </c>
      <c r="E1911" s="7" t="s">
        <v>180</v>
      </c>
      <c r="F1911" s="6" t="n">
        <v>3.61</v>
      </c>
      <c r="G1911" s="6" t="n">
        <v>0</v>
      </c>
      <c r="H1911" s="41" t="n">
        <v>16.71</v>
      </c>
      <c r="I1911" s="43" t="n">
        <f aca="false">F1911*H1911</f>
        <v>60.3231</v>
      </c>
      <c r="J1911" s="43" t="n">
        <f aca="false">G1911*H1911*1.5</f>
        <v>0</v>
      </c>
      <c r="K1911" s="6" t="n">
        <v>10.25</v>
      </c>
      <c r="L1911" s="43" t="n">
        <f aca="false">K1911*'Chart of Accounts'!$E$68</f>
        <v>6.8675</v>
      </c>
      <c r="O1911" s="42" t="n">
        <f aca="false">I1911+J1911+L1911</f>
        <v>67.1906</v>
      </c>
    </row>
    <row r="1912" customFormat="false" ht="15" hidden="false" customHeight="false" outlineLevel="0" collapsed="false">
      <c r="B1912" s="7" t="s">
        <v>10545</v>
      </c>
      <c r="C1912" s="39" t="n">
        <v>45777</v>
      </c>
      <c r="D1912" s="7" t="s">
        <v>232</v>
      </c>
      <c r="E1912" s="7" t="s">
        <v>180</v>
      </c>
      <c r="F1912" s="6" t="n">
        <v>4.59</v>
      </c>
      <c r="G1912" s="6" t="n">
        <v>0</v>
      </c>
      <c r="H1912" s="41" t="n">
        <v>16.17</v>
      </c>
      <c r="I1912" s="43" t="n">
        <f aca="false">F1912*H1912</f>
        <v>74.2203</v>
      </c>
      <c r="J1912" s="43" t="n">
        <f aca="false">G1912*H1912*1.5</f>
        <v>0</v>
      </c>
      <c r="K1912" s="6" t="n">
        <v>11.5</v>
      </c>
      <c r="L1912" s="43" t="n">
        <f aca="false">K1912*'Chart of Accounts'!$E$68</f>
        <v>7.705</v>
      </c>
      <c r="O1912" s="42" t="n">
        <f aca="false">I1912+J1912+L1912</f>
        <v>81.9253</v>
      </c>
    </row>
    <row r="1913" customFormat="false" ht="15" hidden="false" customHeight="false" outlineLevel="0" collapsed="false">
      <c r="B1913" s="7" t="s">
        <v>10546</v>
      </c>
      <c r="C1913" s="39" t="n">
        <v>45777</v>
      </c>
      <c r="D1913" s="7" t="s">
        <v>224</v>
      </c>
      <c r="E1913" s="7" t="s">
        <v>180</v>
      </c>
      <c r="F1913" s="6" t="n">
        <v>5.04</v>
      </c>
      <c r="G1913" s="6" t="n">
        <v>0</v>
      </c>
      <c r="H1913" s="41" t="n">
        <v>14.93</v>
      </c>
      <c r="I1913" s="43" t="n">
        <f aca="false">F1913*H1913</f>
        <v>75.2472</v>
      </c>
      <c r="J1913" s="43" t="n">
        <f aca="false">G1913*H1913*1.5</f>
        <v>0</v>
      </c>
      <c r="K1913" s="6" t="n">
        <v>14.81</v>
      </c>
      <c r="L1913" s="43" t="n">
        <f aca="false">K1913*'Chart of Accounts'!$E$68</f>
        <v>9.9227</v>
      </c>
      <c r="O1913" s="42" t="n">
        <f aca="false">I1913+J1913+L1913</f>
        <v>85.1699</v>
      </c>
    </row>
    <row r="1914" customFormat="false" ht="15" hidden="false" customHeight="false" outlineLevel="0" collapsed="false">
      <c r="B1914" s="7" t="s">
        <v>10547</v>
      </c>
      <c r="C1914" s="39" t="n">
        <v>45777</v>
      </c>
      <c r="D1914" s="7" t="s">
        <v>238</v>
      </c>
      <c r="E1914" s="7" t="s">
        <v>180</v>
      </c>
      <c r="F1914" s="6" t="n">
        <v>3.85</v>
      </c>
      <c r="G1914" s="6" t="n">
        <v>0</v>
      </c>
      <c r="H1914" s="41" t="n">
        <v>15.85</v>
      </c>
      <c r="I1914" s="43" t="n">
        <f aca="false">F1914*H1914</f>
        <v>61.0225</v>
      </c>
      <c r="J1914" s="43" t="n">
        <f aca="false">G1914*H1914*1.5</f>
        <v>0</v>
      </c>
      <c r="K1914" s="6" t="n">
        <v>9.27</v>
      </c>
      <c r="L1914" s="43" t="n">
        <f aca="false">K1914*'Chart of Accounts'!$E$68</f>
        <v>6.2109</v>
      </c>
      <c r="O1914" s="42" t="n">
        <f aca="false">I1914+J1914+L1914</f>
        <v>67.2334</v>
      </c>
    </row>
    <row r="1915" customFormat="false" ht="15" hidden="false" customHeight="false" outlineLevel="0" collapsed="false">
      <c r="B1915" s="7" t="s">
        <v>10548</v>
      </c>
      <c r="C1915" s="39" t="n">
        <v>45777</v>
      </c>
      <c r="D1915" s="7" t="s">
        <v>246</v>
      </c>
      <c r="E1915" s="7" t="s">
        <v>180</v>
      </c>
      <c r="F1915" s="6" t="n">
        <v>3.73</v>
      </c>
      <c r="G1915" s="6" t="n">
        <v>0</v>
      </c>
      <c r="H1915" s="41" t="n">
        <v>16.48</v>
      </c>
      <c r="I1915" s="43" t="n">
        <f aca="false">F1915*H1915</f>
        <v>61.4704</v>
      </c>
      <c r="J1915" s="43" t="n">
        <f aca="false">G1915*H1915*1.5</f>
        <v>0</v>
      </c>
      <c r="K1915" s="6" t="n">
        <v>10.06</v>
      </c>
      <c r="L1915" s="43" t="n">
        <f aca="false">K1915*'Chart of Accounts'!$E$68</f>
        <v>6.7402</v>
      </c>
      <c r="O1915" s="42" t="n">
        <f aca="false">I1915+J1915+L1915</f>
        <v>68.2106</v>
      </c>
    </row>
    <row r="1916" customFormat="false" ht="15" hidden="false" customHeight="false" outlineLevel="0" collapsed="false">
      <c r="B1916" s="7" t="s">
        <v>10549</v>
      </c>
      <c r="C1916" s="39" t="n">
        <v>45777</v>
      </c>
      <c r="D1916" s="7" t="s">
        <v>222</v>
      </c>
      <c r="E1916" s="7" t="s">
        <v>180</v>
      </c>
      <c r="F1916" s="6" t="n">
        <v>3.76</v>
      </c>
      <c r="G1916" s="6" t="n">
        <v>0</v>
      </c>
      <c r="H1916" s="41" t="n">
        <v>17.84</v>
      </c>
      <c r="I1916" s="43" t="n">
        <f aca="false">F1916*H1916</f>
        <v>67.0784</v>
      </c>
      <c r="J1916" s="43" t="n">
        <f aca="false">G1916*H1916*1.5</f>
        <v>0</v>
      </c>
      <c r="K1916" s="6" t="n">
        <v>13.31</v>
      </c>
      <c r="L1916" s="43" t="n">
        <f aca="false">K1916*'Chart of Accounts'!$E$68</f>
        <v>8.9177</v>
      </c>
      <c r="O1916" s="42" t="n">
        <f aca="false">I1916+J1916+L1916</f>
        <v>75.9961</v>
      </c>
    </row>
    <row r="1917" customFormat="false" ht="15" hidden="false" customHeight="false" outlineLevel="0" collapsed="false">
      <c r="B1917" s="7" t="s">
        <v>10550</v>
      </c>
      <c r="C1917" s="39" t="n">
        <v>45777</v>
      </c>
      <c r="D1917" s="7" t="s">
        <v>203</v>
      </c>
      <c r="E1917" s="7" t="s">
        <v>158</v>
      </c>
      <c r="H1917" s="41" t="n">
        <v>49.43</v>
      </c>
      <c r="M1917" s="6" t="n">
        <v>1</v>
      </c>
      <c r="N1917" s="43" t="n">
        <f aca="false">M1917*H1917</f>
        <v>49.43</v>
      </c>
      <c r="O1917" s="42" t="n">
        <f aca="false">N1917</f>
        <v>49.43</v>
      </c>
    </row>
    <row r="1918" customFormat="false" ht="15" hidden="false" customHeight="false" outlineLevel="0" collapsed="false">
      <c r="B1918" s="7" t="s">
        <v>10551</v>
      </c>
      <c r="C1918" s="39" t="n">
        <v>45777</v>
      </c>
      <c r="D1918" s="7" t="s">
        <v>262</v>
      </c>
      <c r="E1918" s="7" t="s">
        <v>180</v>
      </c>
      <c r="F1918" s="6" t="n">
        <v>3.22</v>
      </c>
      <c r="G1918" s="6" t="n">
        <v>0</v>
      </c>
      <c r="H1918" s="41" t="n">
        <v>16.02</v>
      </c>
      <c r="I1918" s="43" t="n">
        <f aca="false">F1918*H1918</f>
        <v>51.5844</v>
      </c>
      <c r="J1918" s="43" t="n">
        <f aca="false">G1918*H1918*1.5</f>
        <v>0</v>
      </c>
      <c r="K1918" s="6" t="n">
        <v>9.17</v>
      </c>
      <c r="L1918" s="43" t="n">
        <f aca="false">K1918*'Chart of Accounts'!$E$68</f>
        <v>6.1439</v>
      </c>
      <c r="O1918" s="42" t="n">
        <f aca="false">I1918+J1918+L1918</f>
        <v>57.7283</v>
      </c>
    </row>
    <row r="1919" customFormat="false" ht="15" hidden="false" customHeight="false" outlineLevel="0" collapsed="false">
      <c r="B1919" s="7" t="s">
        <v>10552</v>
      </c>
      <c r="C1919" s="39" t="n">
        <v>45777</v>
      </c>
      <c r="D1919" s="7" t="s">
        <v>214</v>
      </c>
      <c r="E1919" s="7" t="s">
        <v>180</v>
      </c>
      <c r="F1919" s="6" t="n">
        <v>3.43</v>
      </c>
      <c r="G1919" s="6" t="n">
        <v>0</v>
      </c>
      <c r="H1919" s="41" t="n">
        <v>15.67</v>
      </c>
      <c r="I1919" s="43" t="n">
        <f aca="false">F1919*H1919</f>
        <v>53.7481</v>
      </c>
      <c r="J1919" s="43" t="n">
        <f aca="false">G1919*H1919*1.5</f>
        <v>0</v>
      </c>
      <c r="K1919" s="6" t="n">
        <v>9.62</v>
      </c>
      <c r="L1919" s="43" t="n">
        <f aca="false">K1919*'Chart of Accounts'!$E$68</f>
        <v>6.4454</v>
      </c>
      <c r="O1919" s="42" t="n">
        <f aca="false">I1919+J1919+L1919</f>
        <v>60.1935</v>
      </c>
    </row>
    <row r="1920" customFormat="false" ht="15" hidden="false" customHeight="false" outlineLevel="0" collapsed="false">
      <c r="B1920" s="7" t="s">
        <v>10553</v>
      </c>
      <c r="C1920" s="39" t="n">
        <v>45778</v>
      </c>
      <c r="D1920" s="7" t="s">
        <v>191</v>
      </c>
      <c r="E1920" s="7" t="s">
        <v>180</v>
      </c>
      <c r="F1920" s="6" t="n">
        <v>4.26</v>
      </c>
      <c r="G1920" s="6" t="n">
        <v>0</v>
      </c>
      <c r="H1920" s="41" t="n">
        <v>16.05</v>
      </c>
      <c r="I1920" s="43" t="n">
        <f aca="false">F1920*H1920</f>
        <v>68.373</v>
      </c>
      <c r="J1920" s="43" t="n">
        <f aca="false">G1920*H1920*1.5</f>
        <v>0</v>
      </c>
      <c r="K1920" s="6" t="n">
        <v>9.99</v>
      </c>
      <c r="L1920" s="43" t="n">
        <f aca="false">K1920*'Chart of Accounts'!$E$68</f>
        <v>6.6933</v>
      </c>
      <c r="O1920" s="42" t="n">
        <f aca="false">I1920+J1920+L1920</f>
        <v>75.0663</v>
      </c>
    </row>
    <row r="1921" customFormat="false" ht="15" hidden="false" customHeight="false" outlineLevel="0" collapsed="false">
      <c r="B1921" s="7" t="s">
        <v>10554</v>
      </c>
      <c r="C1921" s="39" t="n">
        <v>45778</v>
      </c>
      <c r="D1921" s="7" t="s">
        <v>201</v>
      </c>
      <c r="E1921" s="7" t="s">
        <v>180</v>
      </c>
      <c r="F1921" s="6" t="n">
        <v>5.72</v>
      </c>
      <c r="G1921" s="6" t="n">
        <v>0</v>
      </c>
      <c r="H1921" s="41" t="n">
        <v>15.19</v>
      </c>
      <c r="I1921" s="43" t="n">
        <f aca="false">F1921*H1921</f>
        <v>86.8868</v>
      </c>
      <c r="J1921" s="43" t="n">
        <f aca="false">G1921*H1921*1.5</f>
        <v>0</v>
      </c>
      <c r="K1921" s="6" t="n">
        <v>15.51</v>
      </c>
      <c r="L1921" s="43" t="n">
        <f aca="false">K1921*'Chart of Accounts'!$E$68</f>
        <v>10.3917</v>
      </c>
      <c r="O1921" s="42" t="n">
        <f aca="false">I1921+J1921+L1921</f>
        <v>97.2785</v>
      </c>
    </row>
    <row r="1922" customFormat="false" ht="15" hidden="false" customHeight="false" outlineLevel="0" collapsed="false">
      <c r="B1922" s="7" t="s">
        <v>10555</v>
      </c>
      <c r="C1922" s="39" t="n">
        <v>45778</v>
      </c>
      <c r="D1922" s="7" t="s">
        <v>196</v>
      </c>
      <c r="E1922" s="7" t="s">
        <v>180</v>
      </c>
      <c r="F1922" s="6" t="n">
        <v>6.06</v>
      </c>
      <c r="G1922" s="6" t="n">
        <v>0</v>
      </c>
      <c r="H1922" s="41" t="n">
        <v>15.05</v>
      </c>
      <c r="I1922" s="43" t="n">
        <f aca="false">F1922*H1922</f>
        <v>91.203</v>
      </c>
      <c r="J1922" s="43" t="n">
        <f aca="false">G1922*H1922*1.5</f>
        <v>0</v>
      </c>
      <c r="K1922" s="6" t="n">
        <v>18.05</v>
      </c>
      <c r="L1922" s="43" t="n">
        <f aca="false">K1922*'Chart of Accounts'!$E$68</f>
        <v>12.0935</v>
      </c>
      <c r="O1922" s="42" t="n">
        <f aca="false">I1922+J1922+L1922</f>
        <v>103.2965</v>
      </c>
    </row>
    <row r="1923" customFormat="false" ht="15" hidden="false" customHeight="false" outlineLevel="0" collapsed="false">
      <c r="B1923" s="7" t="s">
        <v>10556</v>
      </c>
      <c r="C1923" s="39" t="n">
        <v>45778</v>
      </c>
      <c r="D1923" s="7" t="s">
        <v>184</v>
      </c>
      <c r="E1923" s="7" t="s">
        <v>180</v>
      </c>
      <c r="F1923" s="6" t="n">
        <v>3.68</v>
      </c>
      <c r="G1923" s="6" t="n">
        <v>0</v>
      </c>
      <c r="H1923" s="41" t="n">
        <v>17.34</v>
      </c>
      <c r="I1923" s="43" t="n">
        <f aca="false">F1923*H1923</f>
        <v>63.8112</v>
      </c>
      <c r="J1923" s="43" t="n">
        <f aca="false">G1923*H1923*1.5</f>
        <v>0</v>
      </c>
      <c r="K1923" s="6" t="n">
        <v>11.86</v>
      </c>
      <c r="L1923" s="43" t="n">
        <f aca="false">K1923*'Chart of Accounts'!$E$68</f>
        <v>7.9462</v>
      </c>
      <c r="O1923" s="42" t="n">
        <f aca="false">I1923+J1923+L1923</f>
        <v>71.7574</v>
      </c>
    </row>
    <row r="1924" customFormat="false" ht="15" hidden="false" customHeight="false" outlineLevel="0" collapsed="false">
      <c r="B1924" s="7" t="s">
        <v>10557</v>
      </c>
      <c r="C1924" s="39" t="n">
        <v>45778</v>
      </c>
      <c r="D1924" s="7" t="s">
        <v>207</v>
      </c>
      <c r="E1924" s="7" t="s">
        <v>180</v>
      </c>
      <c r="F1924" s="6" t="n">
        <v>3.23</v>
      </c>
      <c r="G1924" s="6" t="n">
        <v>0</v>
      </c>
      <c r="H1924" s="41" t="n">
        <v>16.65</v>
      </c>
      <c r="I1924" s="43" t="n">
        <f aca="false">F1924*H1924</f>
        <v>53.7795</v>
      </c>
      <c r="J1924" s="43" t="n">
        <f aca="false">G1924*H1924*1.5</f>
        <v>0</v>
      </c>
      <c r="K1924" s="6" t="n">
        <v>7.83</v>
      </c>
      <c r="L1924" s="43" t="n">
        <f aca="false">K1924*'Chart of Accounts'!$E$68</f>
        <v>5.2461</v>
      </c>
      <c r="O1924" s="42" t="n">
        <f aca="false">I1924+J1924+L1924</f>
        <v>59.0256</v>
      </c>
    </row>
    <row r="1925" customFormat="false" ht="15" hidden="false" customHeight="false" outlineLevel="0" collapsed="false">
      <c r="B1925" s="7" t="s">
        <v>10558</v>
      </c>
      <c r="C1925" s="39" t="n">
        <v>45778</v>
      </c>
      <c r="D1925" s="7" t="s">
        <v>218</v>
      </c>
      <c r="E1925" s="7" t="s">
        <v>180</v>
      </c>
      <c r="F1925" s="6" t="n">
        <v>4.03</v>
      </c>
      <c r="G1925" s="6" t="n">
        <v>0</v>
      </c>
      <c r="H1925" s="41" t="n">
        <v>16.19</v>
      </c>
      <c r="I1925" s="43" t="n">
        <f aca="false">F1925*H1925</f>
        <v>65.2457</v>
      </c>
      <c r="J1925" s="43" t="n">
        <f aca="false">G1925*H1925*1.5</f>
        <v>0</v>
      </c>
      <c r="K1925" s="6" t="n">
        <v>10.04</v>
      </c>
      <c r="L1925" s="43" t="n">
        <f aca="false">K1925*'Chart of Accounts'!$E$68</f>
        <v>6.7268</v>
      </c>
      <c r="O1925" s="42" t="n">
        <f aca="false">I1925+J1925+L1925</f>
        <v>71.9725</v>
      </c>
    </row>
    <row r="1926" customFormat="false" ht="15" hidden="false" customHeight="false" outlineLevel="0" collapsed="false">
      <c r="B1926" s="7" t="s">
        <v>10559</v>
      </c>
      <c r="C1926" s="39" t="n">
        <v>45778</v>
      </c>
      <c r="D1926" s="7" t="s">
        <v>212</v>
      </c>
      <c r="E1926" s="7" t="s">
        <v>180</v>
      </c>
      <c r="F1926" s="6" t="n">
        <v>6.77</v>
      </c>
      <c r="G1926" s="6" t="n">
        <v>0</v>
      </c>
      <c r="H1926" s="41" t="n">
        <v>16.71</v>
      </c>
      <c r="I1926" s="43" t="n">
        <f aca="false">F1926*H1926</f>
        <v>113.1267</v>
      </c>
      <c r="J1926" s="43" t="n">
        <f aca="false">G1926*H1926*1.5</f>
        <v>0</v>
      </c>
      <c r="K1926" s="6" t="n">
        <v>22.44</v>
      </c>
      <c r="L1926" s="43" t="n">
        <f aca="false">K1926*'Chart of Accounts'!$E$68</f>
        <v>15.0348</v>
      </c>
      <c r="O1926" s="42" t="n">
        <f aca="false">I1926+J1926+L1926</f>
        <v>128.1615</v>
      </c>
    </row>
    <row r="1927" customFormat="false" ht="15" hidden="false" customHeight="false" outlineLevel="0" collapsed="false">
      <c r="B1927" s="7" t="s">
        <v>10560</v>
      </c>
      <c r="C1927" s="39" t="n">
        <v>45778</v>
      </c>
      <c r="D1927" s="7" t="s">
        <v>220</v>
      </c>
      <c r="E1927" s="7" t="s">
        <v>180</v>
      </c>
      <c r="F1927" s="6" t="n">
        <v>3.93</v>
      </c>
      <c r="G1927" s="6" t="n">
        <v>0</v>
      </c>
      <c r="H1927" s="41" t="n">
        <v>16.43</v>
      </c>
      <c r="I1927" s="43" t="n">
        <f aca="false">F1927*H1927</f>
        <v>64.5699</v>
      </c>
      <c r="J1927" s="43" t="n">
        <f aca="false">G1927*H1927*1.5</f>
        <v>0</v>
      </c>
      <c r="K1927" s="6" t="n">
        <v>11.63</v>
      </c>
      <c r="L1927" s="43" t="n">
        <f aca="false">K1927*'Chart of Accounts'!$E$68</f>
        <v>7.7921</v>
      </c>
      <c r="O1927" s="42" t="n">
        <f aca="false">I1927+J1927+L1927</f>
        <v>72.362</v>
      </c>
    </row>
    <row r="1928" customFormat="false" ht="15" hidden="false" customHeight="false" outlineLevel="0" collapsed="false">
      <c r="B1928" s="7" t="s">
        <v>10561</v>
      </c>
      <c r="C1928" s="39" t="n">
        <v>45778</v>
      </c>
      <c r="D1928" s="7" t="s">
        <v>224</v>
      </c>
      <c r="E1928" s="7" t="s">
        <v>180</v>
      </c>
      <c r="F1928" s="6" t="n">
        <v>3.89</v>
      </c>
      <c r="G1928" s="6" t="n">
        <v>0</v>
      </c>
      <c r="H1928" s="41" t="n">
        <v>14.93</v>
      </c>
      <c r="I1928" s="43" t="n">
        <f aca="false">F1928*H1928</f>
        <v>58.0777</v>
      </c>
      <c r="J1928" s="43" t="n">
        <f aca="false">G1928*H1928*1.5</f>
        <v>0</v>
      </c>
      <c r="K1928" s="6" t="n">
        <v>10.53</v>
      </c>
      <c r="L1928" s="43" t="n">
        <f aca="false">K1928*'Chart of Accounts'!$E$68</f>
        <v>7.0551</v>
      </c>
      <c r="O1928" s="42" t="n">
        <f aca="false">I1928+J1928+L1928</f>
        <v>65.1328</v>
      </c>
    </row>
    <row r="1929" customFormat="false" ht="15" hidden="false" customHeight="false" outlineLevel="0" collapsed="false">
      <c r="B1929" s="7" t="s">
        <v>10562</v>
      </c>
      <c r="C1929" s="39" t="n">
        <v>45778</v>
      </c>
      <c r="D1929" s="7" t="s">
        <v>232</v>
      </c>
      <c r="E1929" s="7" t="s">
        <v>180</v>
      </c>
      <c r="F1929" s="6" t="n">
        <v>3.17</v>
      </c>
      <c r="G1929" s="6" t="n">
        <v>0</v>
      </c>
      <c r="H1929" s="41" t="n">
        <v>16.17</v>
      </c>
      <c r="I1929" s="43" t="n">
        <f aca="false">F1929*H1929</f>
        <v>51.2589</v>
      </c>
      <c r="J1929" s="43" t="n">
        <f aca="false">G1929*H1929*1.5</f>
        <v>0</v>
      </c>
      <c r="K1929" s="6" t="n">
        <v>11.22</v>
      </c>
      <c r="L1929" s="43" t="n">
        <f aca="false">K1929*'Chart of Accounts'!$E$68</f>
        <v>7.5174</v>
      </c>
      <c r="O1929" s="42" t="n">
        <f aca="false">I1929+J1929+L1929</f>
        <v>58.7763</v>
      </c>
    </row>
    <row r="1930" customFormat="false" ht="15" hidden="false" customHeight="false" outlineLevel="0" collapsed="false">
      <c r="B1930" s="7" t="s">
        <v>10563</v>
      </c>
      <c r="C1930" s="39" t="n">
        <v>45778</v>
      </c>
      <c r="D1930" s="7" t="s">
        <v>222</v>
      </c>
      <c r="E1930" s="7" t="s">
        <v>180</v>
      </c>
      <c r="F1930" s="6" t="n">
        <v>7.01</v>
      </c>
      <c r="G1930" s="6" t="n">
        <v>0</v>
      </c>
      <c r="H1930" s="41" t="n">
        <v>17.84</v>
      </c>
      <c r="I1930" s="43" t="n">
        <f aca="false">F1930*H1930</f>
        <v>125.0584</v>
      </c>
      <c r="J1930" s="43" t="n">
        <f aca="false">G1930*H1930*1.5</f>
        <v>0</v>
      </c>
      <c r="K1930" s="6" t="n">
        <v>15.74</v>
      </c>
      <c r="L1930" s="43" t="n">
        <f aca="false">K1930*'Chart of Accounts'!$E$68</f>
        <v>10.5458</v>
      </c>
      <c r="O1930" s="42" t="n">
        <f aca="false">I1930+J1930+L1930</f>
        <v>135.6042</v>
      </c>
    </row>
    <row r="1931" customFormat="false" ht="15" hidden="false" customHeight="false" outlineLevel="0" collapsed="false">
      <c r="B1931" s="7" t="s">
        <v>10564</v>
      </c>
      <c r="C1931" s="39" t="n">
        <v>45778</v>
      </c>
      <c r="D1931" s="7" t="s">
        <v>262</v>
      </c>
      <c r="E1931" s="7" t="s">
        <v>180</v>
      </c>
      <c r="F1931" s="6" t="n">
        <v>4.11</v>
      </c>
      <c r="G1931" s="6" t="n">
        <v>0</v>
      </c>
      <c r="H1931" s="41" t="n">
        <v>16.02</v>
      </c>
      <c r="I1931" s="43" t="n">
        <f aca="false">F1931*H1931</f>
        <v>65.8422</v>
      </c>
      <c r="J1931" s="43" t="n">
        <f aca="false">G1931*H1931*1.5</f>
        <v>0</v>
      </c>
      <c r="K1931" s="6" t="n">
        <v>14.5</v>
      </c>
      <c r="L1931" s="43" t="n">
        <f aca="false">K1931*'Chart of Accounts'!$E$68</f>
        <v>9.715</v>
      </c>
      <c r="O1931" s="42" t="n">
        <f aca="false">I1931+J1931+L1931</f>
        <v>75.5572</v>
      </c>
    </row>
    <row r="1932" customFormat="false" ht="15" hidden="false" customHeight="false" outlineLevel="0" collapsed="false">
      <c r="B1932" s="7" t="s">
        <v>10565</v>
      </c>
      <c r="C1932" s="39" t="n">
        <v>45778</v>
      </c>
      <c r="D1932" s="7" t="s">
        <v>246</v>
      </c>
      <c r="E1932" s="7" t="s">
        <v>180</v>
      </c>
      <c r="F1932" s="6" t="n">
        <v>7.8</v>
      </c>
      <c r="G1932" s="6" t="n">
        <v>0</v>
      </c>
      <c r="H1932" s="41" t="n">
        <v>16.48</v>
      </c>
      <c r="I1932" s="43" t="n">
        <f aca="false">F1932*H1932</f>
        <v>128.544</v>
      </c>
      <c r="J1932" s="43" t="n">
        <f aca="false">G1932*H1932*1.5</f>
        <v>0</v>
      </c>
      <c r="K1932" s="6" t="n">
        <v>24.8</v>
      </c>
      <c r="L1932" s="43" t="n">
        <f aca="false">K1932*'Chart of Accounts'!$E$68</f>
        <v>16.616</v>
      </c>
      <c r="O1932" s="42" t="n">
        <f aca="false">I1932+J1932+L1932</f>
        <v>145.16</v>
      </c>
    </row>
    <row r="1933" customFormat="false" ht="15" hidden="false" customHeight="false" outlineLevel="0" collapsed="false">
      <c r="B1933" s="7" t="s">
        <v>10566</v>
      </c>
      <c r="C1933" s="39" t="n">
        <v>45778</v>
      </c>
      <c r="D1933" s="7" t="s">
        <v>194</v>
      </c>
      <c r="E1933" s="7" t="s">
        <v>180</v>
      </c>
      <c r="F1933" s="6" t="n">
        <v>3.97</v>
      </c>
      <c r="G1933" s="6" t="n">
        <v>0</v>
      </c>
      <c r="H1933" s="41" t="n">
        <v>16</v>
      </c>
      <c r="I1933" s="43" t="n">
        <f aca="false">F1933*H1933</f>
        <v>63.52</v>
      </c>
      <c r="J1933" s="43" t="n">
        <f aca="false">G1933*H1933*1.5</f>
        <v>0</v>
      </c>
      <c r="K1933" s="6" t="n">
        <v>11.95</v>
      </c>
      <c r="L1933" s="43" t="n">
        <f aca="false">K1933*'Chart of Accounts'!$E$68</f>
        <v>8.0065</v>
      </c>
      <c r="O1933" s="42" t="n">
        <f aca="false">I1933+J1933+L1933</f>
        <v>71.5265</v>
      </c>
    </row>
    <row r="1934" customFormat="false" ht="15" hidden="false" customHeight="false" outlineLevel="0" collapsed="false">
      <c r="B1934" s="7" t="s">
        <v>10567</v>
      </c>
      <c r="C1934" s="39" t="n">
        <v>45778</v>
      </c>
      <c r="D1934" s="7" t="s">
        <v>214</v>
      </c>
      <c r="E1934" s="7" t="s">
        <v>180</v>
      </c>
      <c r="F1934" s="6" t="n">
        <v>3.82</v>
      </c>
      <c r="G1934" s="6" t="n">
        <v>0</v>
      </c>
      <c r="H1934" s="41" t="n">
        <v>15.67</v>
      </c>
      <c r="I1934" s="43" t="n">
        <f aca="false">F1934*H1934</f>
        <v>59.8594</v>
      </c>
      <c r="J1934" s="43" t="n">
        <f aca="false">G1934*H1934*1.5</f>
        <v>0</v>
      </c>
      <c r="K1934" s="6" t="n">
        <v>9.29</v>
      </c>
      <c r="L1934" s="43" t="n">
        <f aca="false">K1934*'Chart of Accounts'!$E$68</f>
        <v>6.2243</v>
      </c>
      <c r="O1934" s="42" t="n">
        <f aca="false">I1934+J1934+L1934</f>
        <v>66.0837</v>
      </c>
    </row>
    <row r="1935" customFormat="false" ht="15" hidden="false" customHeight="false" outlineLevel="0" collapsed="false">
      <c r="B1935" s="7" t="s">
        <v>10568</v>
      </c>
      <c r="C1935" s="39" t="n">
        <v>45778</v>
      </c>
      <c r="D1935" s="7" t="s">
        <v>242</v>
      </c>
      <c r="E1935" s="7" t="s">
        <v>180</v>
      </c>
      <c r="F1935" s="6" t="n">
        <v>3.61</v>
      </c>
      <c r="G1935" s="6" t="n">
        <v>0</v>
      </c>
      <c r="H1935" s="41" t="n">
        <v>17.99</v>
      </c>
      <c r="I1935" s="43" t="n">
        <f aca="false">F1935*H1935</f>
        <v>64.9439</v>
      </c>
      <c r="J1935" s="43" t="n">
        <f aca="false">G1935*H1935*1.5</f>
        <v>0</v>
      </c>
      <c r="K1935" s="6" t="n">
        <v>9.22</v>
      </c>
      <c r="L1935" s="43" t="n">
        <f aca="false">K1935*'Chart of Accounts'!$E$68</f>
        <v>6.1774</v>
      </c>
      <c r="O1935" s="42" t="n">
        <f aca="false">I1935+J1935+L1935</f>
        <v>71.1213</v>
      </c>
    </row>
    <row r="1936" customFormat="false" ht="15" hidden="false" customHeight="false" outlineLevel="0" collapsed="false">
      <c r="B1936" s="7" t="s">
        <v>10569</v>
      </c>
      <c r="C1936" s="39" t="n">
        <v>45778</v>
      </c>
      <c r="D1936" s="7" t="s">
        <v>254</v>
      </c>
      <c r="E1936" s="7" t="s">
        <v>180</v>
      </c>
      <c r="F1936" s="6" t="n">
        <v>3.74</v>
      </c>
      <c r="G1936" s="6" t="n">
        <v>0</v>
      </c>
      <c r="H1936" s="41" t="n">
        <v>17.1</v>
      </c>
      <c r="I1936" s="43" t="n">
        <f aca="false">F1936*H1936</f>
        <v>63.954</v>
      </c>
      <c r="J1936" s="43" t="n">
        <f aca="false">G1936*H1936*1.5</f>
        <v>0</v>
      </c>
      <c r="K1936" s="6" t="n">
        <v>11.57</v>
      </c>
      <c r="L1936" s="43" t="n">
        <f aca="false">K1936*'Chart of Accounts'!$E$68</f>
        <v>7.7519</v>
      </c>
      <c r="O1936" s="42" t="n">
        <f aca="false">I1936+J1936+L1936</f>
        <v>71.7059</v>
      </c>
    </row>
    <row r="1937" customFormat="false" ht="15" hidden="false" customHeight="false" outlineLevel="0" collapsed="false">
      <c r="B1937" s="7" t="s">
        <v>10570</v>
      </c>
      <c r="C1937" s="39" t="n">
        <v>45779</v>
      </c>
      <c r="D1937" s="7" t="s">
        <v>187</v>
      </c>
      <c r="E1937" s="7" t="s">
        <v>158</v>
      </c>
      <c r="H1937" s="41" t="n">
        <v>66.48</v>
      </c>
      <c r="M1937" s="6" t="n">
        <v>1</v>
      </c>
      <c r="N1937" s="43" t="n">
        <f aca="false">M1937*H1937</f>
        <v>66.48</v>
      </c>
      <c r="O1937" s="42" t="n">
        <f aca="false">N1937</f>
        <v>66.48</v>
      </c>
    </row>
    <row r="1938" customFormat="false" ht="15" hidden="false" customHeight="false" outlineLevel="0" collapsed="false">
      <c r="B1938" s="7" t="s">
        <v>10571</v>
      </c>
      <c r="C1938" s="39" t="n">
        <v>45779</v>
      </c>
      <c r="D1938" s="7" t="s">
        <v>191</v>
      </c>
      <c r="E1938" s="7" t="s">
        <v>180</v>
      </c>
      <c r="F1938" s="6" t="n">
        <v>4.11</v>
      </c>
      <c r="G1938" s="6" t="n">
        <v>0</v>
      </c>
      <c r="H1938" s="41" t="n">
        <v>16.05</v>
      </c>
      <c r="I1938" s="43" t="n">
        <f aca="false">F1938*H1938</f>
        <v>65.9655</v>
      </c>
      <c r="J1938" s="43" t="n">
        <f aca="false">G1938*H1938*1.5</f>
        <v>0</v>
      </c>
      <c r="K1938" s="6" t="n">
        <v>9.84</v>
      </c>
      <c r="L1938" s="43" t="n">
        <f aca="false">K1938*'Chart of Accounts'!$E$68</f>
        <v>6.5928</v>
      </c>
      <c r="O1938" s="42" t="n">
        <f aca="false">I1938+J1938+L1938</f>
        <v>72.5583</v>
      </c>
    </row>
    <row r="1939" customFormat="false" ht="15" hidden="false" customHeight="false" outlineLevel="0" collapsed="false">
      <c r="B1939" s="7" t="s">
        <v>10572</v>
      </c>
      <c r="C1939" s="39" t="n">
        <v>45779</v>
      </c>
      <c r="D1939" s="7" t="s">
        <v>194</v>
      </c>
      <c r="E1939" s="7" t="s">
        <v>180</v>
      </c>
      <c r="F1939" s="6" t="n">
        <v>8.9</v>
      </c>
      <c r="G1939" s="6" t="n">
        <v>0</v>
      </c>
      <c r="H1939" s="41" t="n">
        <v>16</v>
      </c>
      <c r="I1939" s="43" t="n">
        <f aca="false">F1939*H1939</f>
        <v>142.4</v>
      </c>
      <c r="J1939" s="43" t="n">
        <f aca="false">G1939*H1939*1.5</f>
        <v>0</v>
      </c>
      <c r="K1939" s="6" t="n">
        <v>25.39</v>
      </c>
      <c r="L1939" s="43" t="n">
        <f aca="false">K1939*'Chart of Accounts'!$E$68</f>
        <v>17.0113</v>
      </c>
      <c r="O1939" s="42" t="n">
        <f aca="false">I1939+J1939+L1939</f>
        <v>159.4113</v>
      </c>
    </row>
    <row r="1940" customFormat="false" ht="15" hidden="false" customHeight="false" outlineLevel="0" collapsed="false">
      <c r="B1940" s="7" t="s">
        <v>10573</v>
      </c>
      <c r="C1940" s="39" t="n">
        <v>45779</v>
      </c>
      <c r="D1940" s="7" t="s">
        <v>209</v>
      </c>
      <c r="E1940" s="7" t="s">
        <v>158</v>
      </c>
      <c r="H1940" s="41" t="n">
        <v>73.58</v>
      </c>
      <c r="M1940" s="6" t="n">
        <v>2</v>
      </c>
      <c r="N1940" s="43" t="n">
        <f aca="false">M1940*H1940</f>
        <v>147.16</v>
      </c>
      <c r="O1940" s="42" t="n">
        <f aca="false">N1940</f>
        <v>147.16</v>
      </c>
    </row>
    <row r="1941" customFormat="false" ht="15" hidden="false" customHeight="false" outlineLevel="0" collapsed="false">
      <c r="B1941" s="7" t="s">
        <v>10574</v>
      </c>
      <c r="C1941" s="39" t="n">
        <v>45779</v>
      </c>
      <c r="D1941" s="7" t="s">
        <v>205</v>
      </c>
      <c r="E1941" s="7" t="s">
        <v>180</v>
      </c>
      <c r="F1941" s="6" t="n">
        <v>3.9</v>
      </c>
      <c r="G1941" s="6" t="n">
        <v>0</v>
      </c>
      <c r="H1941" s="41" t="n">
        <v>16.36</v>
      </c>
      <c r="I1941" s="43" t="n">
        <f aca="false">F1941*H1941</f>
        <v>63.804</v>
      </c>
      <c r="J1941" s="43" t="n">
        <f aca="false">G1941*H1941*1.5</f>
        <v>0</v>
      </c>
      <c r="K1941" s="6" t="n">
        <v>13.83</v>
      </c>
      <c r="L1941" s="43" t="n">
        <f aca="false">K1941*'Chart of Accounts'!$E$68</f>
        <v>9.2661</v>
      </c>
      <c r="O1941" s="42" t="n">
        <f aca="false">I1941+J1941+L1941</f>
        <v>73.0701</v>
      </c>
    </row>
    <row r="1942" customFormat="false" ht="15" hidden="false" customHeight="false" outlineLevel="0" collapsed="false">
      <c r="B1942" s="7" t="s">
        <v>10575</v>
      </c>
      <c r="C1942" s="39" t="n">
        <v>45779</v>
      </c>
      <c r="D1942" s="7" t="s">
        <v>264</v>
      </c>
      <c r="E1942" s="7" t="s">
        <v>158</v>
      </c>
      <c r="H1942" s="41" t="n">
        <v>55.55</v>
      </c>
      <c r="M1942" s="6" t="n">
        <v>1</v>
      </c>
      <c r="N1942" s="43" t="n">
        <f aca="false">M1942*H1942</f>
        <v>55.55</v>
      </c>
      <c r="O1942" s="42" t="n">
        <f aca="false">N1942</f>
        <v>55.55</v>
      </c>
    </row>
    <row r="1943" customFormat="false" ht="15" hidden="false" customHeight="false" outlineLevel="0" collapsed="false">
      <c r="B1943" s="7" t="s">
        <v>10576</v>
      </c>
      <c r="C1943" s="39" t="n">
        <v>45779</v>
      </c>
      <c r="D1943" s="7" t="s">
        <v>184</v>
      </c>
      <c r="E1943" s="7" t="s">
        <v>180</v>
      </c>
      <c r="F1943" s="6" t="n">
        <v>4.14</v>
      </c>
      <c r="G1943" s="6" t="n">
        <v>0</v>
      </c>
      <c r="H1943" s="41" t="n">
        <v>17.34</v>
      </c>
      <c r="I1943" s="43" t="n">
        <f aca="false">F1943*H1943</f>
        <v>71.7876</v>
      </c>
      <c r="J1943" s="43" t="n">
        <f aca="false">G1943*H1943*1.5</f>
        <v>0</v>
      </c>
      <c r="K1943" s="6" t="n">
        <v>13.97</v>
      </c>
      <c r="L1943" s="43" t="n">
        <f aca="false">K1943*'Chart of Accounts'!$E$68</f>
        <v>9.3599</v>
      </c>
      <c r="O1943" s="42" t="n">
        <f aca="false">I1943+J1943+L1943</f>
        <v>81.1475</v>
      </c>
    </row>
    <row r="1944" customFormat="false" ht="15" hidden="false" customHeight="false" outlineLevel="0" collapsed="false">
      <c r="B1944" s="7" t="s">
        <v>10577</v>
      </c>
      <c r="C1944" s="39" t="n">
        <v>45779</v>
      </c>
      <c r="D1944" s="7" t="s">
        <v>234</v>
      </c>
      <c r="E1944" s="7" t="s">
        <v>158</v>
      </c>
      <c r="H1944" s="41" t="n">
        <v>89.53</v>
      </c>
      <c r="M1944" s="6" t="n">
        <v>2</v>
      </c>
      <c r="N1944" s="43" t="n">
        <f aca="false">M1944*H1944</f>
        <v>179.06</v>
      </c>
      <c r="O1944" s="42" t="n">
        <f aca="false">N1944</f>
        <v>179.06</v>
      </c>
    </row>
    <row r="1945" customFormat="false" ht="15" hidden="false" customHeight="false" outlineLevel="0" collapsed="false">
      <c r="B1945" s="7" t="s">
        <v>10578</v>
      </c>
      <c r="C1945" s="39" t="n">
        <v>45779</v>
      </c>
      <c r="D1945" s="7" t="s">
        <v>218</v>
      </c>
      <c r="E1945" s="7" t="s">
        <v>180</v>
      </c>
      <c r="F1945" s="6" t="n">
        <v>4.18</v>
      </c>
      <c r="G1945" s="6" t="n">
        <v>0</v>
      </c>
      <c r="H1945" s="41" t="n">
        <v>16.19</v>
      </c>
      <c r="I1945" s="43" t="n">
        <f aca="false">F1945*H1945</f>
        <v>67.6742</v>
      </c>
      <c r="J1945" s="43" t="n">
        <f aca="false">G1945*H1945*1.5</f>
        <v>0</v>
      </c>
      <c r="K1945" s="6" t="n">
        <v>10.2</v>
      </c>
      <c r="L1945" s="43" t="n">
        <f aca="false">K1945*'Chart of Accounts'!$E$68</f>
        <v>6.834</v>
      </c>
      <c r="O1945" s="42" t="n">
        <f aca="false">I1945+J1945+L1945</f>
        <v>74.5082</v>
      </c>
    </row>
    <row r="1946" customFormat="false" ht="15" hidden="false" customHeight="false" outlineLevel="0" collapsed="false">
      <c r="B1946" s="7" t="s">
        <v>10579</v>
      </c>
      <c r="C1946" s="39" t="n">
        <v>45779</v>
      </c>
      <c r="D1946" s="7" t="s">
        <v>266</v>
      </c>
      <c r="E1946" s="7" t="s">
        <v>158</v>
      </c>
      <c r="H1946" s="41" t="n">
        <v>75.18</v>
      </c>
      <c r="M1946" s="6" t="n">
        <v>1</v>
      </c>
      <c r="N1946" s="43" t="n">
        <f aca="false">M1946*H1946</f>
        <v>75.18</v>
      </c>
      <c r="O1946" s="42" t="n">
        <f aca="false">N1946</f>
        <v>75.18</v>
      </c>
    </row>
    <row r="1947" customFormat="false" ht="15" hidden="false" customHeight="false" outlineLevel="0" collapsed="false">
      <c r="B1947" s="7" t="s">
        <v>10580</v>
      </c>
      <c r="C1947" s="39" t="n">
        <v>45779</v>
      </c>
      <c r="D1947" s="7" t="s">
        <v>228</v>
      </c>
      <c r="E1947" s="7" t="s">
        <v>158</v>
      </c>
      <c r="H1947" s="41" t="n">
        <v>51.07</v>
      </c>
      <c r="M1947" s="6" t="n">
        <v>1</v>
      </c>
      <c r="N1947" s="43" t="n">
        <f aca="false">M1947*H1947</f>
        <v>51.07</v>
      </c>
      <c r="O1947" s="42" t="n">
        <f aca="false">N1947</f>
        <v>51.07</v>
      </c>
    </row>
    <row r="1948" customFormat="false" ht="15" hidden="false" customHeight="false" outlineLevel="0" collapsed="false">
      <c r="B1948" s="7" t="s">
        <v>10581</v>
      </c>
      <c r="C1948" s="39" t="n">
        <v>45779</v>
      </c>
      <c r="D1948" s="7" t="s">
        <v>220</v>
      </c>
      <c r="E1948" s="7" t="s">
        <v>180</v>
      </c>
      <c r="F1948" s="6" t="n">
        <v>3.94</v>
      </c>
      <c r="G1948" s="6" t="n">
        <v>0</v>
      </c>
      <c r="H1948" s="41" t="n">
        <v>16.43</v>
      </c>
      <c r="I1948" s="43" t="n">
        <f aca="false">F1948*H1948</f>
        <v>64.7342</v>
      </c>
      <c r="J1948" s="43" t="n">
        <f aca="false">G1948*H1948*1.5</f>
        <v>0</v>
      </c>
      <c r="K1948" s="6" t="n">
        <v>9.28</v>
      </c>
      <c r="L1948" s="43" t="n">
        <f aca="false">K1948*'Chart of Accounts'!$E$68</f>
        <v>6.2176</v>
      </c>
      <c r="O1948" s="42" t="n">
        <f aca="false">I1948+J1948+L1948</f>
        <v>70.9518</v>
      </c>
    </row>
    <row r="1949" customFormat="false" ht="15" hidden="false" customHeight="false" outlineLevel="0" collapsed="false">
      <c r="B1949" s="7" t="s">
        <v>10582</v>
      </c>
      <c r="C1949" s="39" t="n">
        <v>45779</v>
      </c>
      <c r="D1949" s="7" t="s">
        <v>242</v>
      </c>
      <c r="E1949" s="7" t="s">
        <v>180</v>
      </c>
      <c r="F1949" s="6" t="n">
        <v>7.3</v>
      </c>
      <c r="G1949" s="6" t="n">
        <v>0</v>
      </c>
      <c r="H1949" s="41" t="n">
        <v>17.99</v>
      </c>
      <c r="I1949" s="43" t="n">
        <f aca="false">F1949*H1949</f>
        <v>131.327</v>
      </c>
      <c r="J1949" s="43" t="n">
        <f aca="false">G1949*H1949*1.5</f>
        <v>0</v>
      </c>
      <c r="K1949" s="6" t="n">
        <v>25.14</v>
      </c>
      <c r="L1949" s="43" t="n">
        <f aca="false">K1949*'Chart of Accounts'!$E$68</f>
        <v>16.8438</v>
      </c>
      <c r="O1949" s="42" t="n">
        <f aca="false">I1949+J1949+L1949</f>
        <v>148.1708</v>
      </c>
    </row>
    <row r="1950" customFormat="false" ht="15" hidden="false" customHeight="false" outlineLevel="0" collapsed="false">
      <c r="B1950" s="7" t="s">
        <v>10583</v>
      </c>
      <c r="C1950" s="39" t="n">
        <v>45779</v>
      </c>
      <c r="D1950" s="7" t="s">
        <v>254</v>
      </c>
      <c r="E1950" s="7" t="s">
        <v>180</v>
      </c>
      <c r="F1950" s="6" t="n">
        <v>6.76</v>
      </c>
      <c r="G1950" s="6" t="n">
        <v>0</v>
      </c>
      <c r="H1950" s="41" t="n">
        <v>17.1</v>
      </c>
      <c r="I1950" s="43" t="n">
        <f aca="false">F1950*H1950</f>
        <v>115.596</v>
      </c>
      <c r="J1950" s="43" t="n">
        <f aca="false">G1950*H1950*1.5</f>
        <v>0</v>
      </c>
      <c r="K1950" s="6" t="n">
        <v>21.34</v>
      </c>
      <c r="L1950" s="43" t="n">
        <f aca="false">K1950*'Chart of Accounts'!$E$68</f>
        <v>14.2978</v>
      </c>
      <c r="O1950" s="42" t="n">
        <f aca="false">I1950+J1950+L1950</f>
        <v>129.8938</v>
      </c>
    </row>
    <row r="1951" customFormat="false" ht="15" hidden="false" customHeight="false" outlineLevel="0" collapsed="false">
      <c r="B1951" s="7" t="s">
        <v>10584</v>
      </c>
      <c r="C1951" s="39" t="n">
        <v>45779</v>
      </c>
      <c r="D1951" s="7" t="s">
        <v>201</v>
      </c>
      <c r="E1951" s="7" t="s">
        <v>180</v>
      </c>
      <c r="F1951" s="6" t="n">
        <v>3.25</v>
      </c>
      <c r="G1951" s="6" t="n">
        <v>0</v>
      </c>
      <c r="H1951" s="41" t="n">
        <v>15.19</v>
      </c>
      <c r="I1951" s="43" t="n">
        <f aca="false">F1951*H1951</f>
        <v>49.3675</v>
      </c>
      <c r="J1951" s="43" t="n">
        <f aca="false">G1951*H1951*1.5</f>
        <v>0</v>
      </c>
      <c r="K1951" s="6" t="n">
        <v>9.52</v>
      </c>
      <c r="L1951" s="43" t="n">
        <f aca="false">K1951*'Chart of Accounts'!$E$68</f>
        <v>6.3784</v>
      </c>
      <c r="O1951" s="42" t="n">
        <f aca="false">I1951+J1951+L1951</f>
        <v>55.7459</v>
      </c>
    </row>
    <row r="1952" customFormat="false" ht="15" hidden="false" customHeight="false" outlineLevel="0" collapsed="false">
      <c r="B1952" s="7" t="s">
        <v>10585</v>
      </c>
      <c r="C1952" s="39" t="n">
        <v>45779</v>
      </c>
      <c r="D1952" s="7" t="s">
        <v>207</v>
      </c>
      <c r="E1952" s="7" t="s">
        <v>180</v>
      </c>
      <c r="F1952" s="6" t="n">
        <v>3.2</v>
      </c>
      <c r="G1952" s="6" t="n">
        <v>0</v>
      </c>
      <c r="H1952" s="41" t="n">
        <v>16.65</v>
      </c>
      <c r="I1952" s="43" t="n">
        <f aca="false">F1952*H1952</f>
        <v>53.28</v>
      </c>
      <c r="J1952" s="43" t="n">
        <f aca="false">G1952*H1952*1.5</f>
        <v>0</v>
      </c>
      <c r="K1952" s="6" t="n">
        <v>7.95</v>
      </c>
      <c r="L1952" s="43" t="n">
        <f aca="false">K1952*'Chart of Accounts'!$E$68</f>
        <v>5.3265</v>
      </c>
      <c r="O1952" s="42" t="n">
        <f aca="false">I1952+J1952+L1952</f>
        <v>58.6065</v>
      </c>
    </row>
    <row r="1953" customFormat="false" ht="15" hidden="false" customHeight="false" outlineLevel="0" collapsed="false">
      <c r="B1953" s="7" t="s">
        <v>10586</v>
      </c>
      <c r="C1953" s="39" t="n">
        <v>45779</v>
      </c>
      <c r="D1953" s="7" t="s">
        <v>212</v>
      </c>
      <c r="E1953" s="7" t="s">
        <v>180</v>
      </c>
      <c r="F1953" s="6" t="n">
        <v>3.68</v>
      </c>
      <c r="G1953" s="6" t="n">
        <v>0</v>
      </c>
      <c r="H1953" s="41" t="n">
        <v>16.71</v>
      </c>
      <c r="I1953" s="43" t="n">
        <f aca="false">F1953*H1953</f>
        <v>61.4928</v>
      </c>
      <c r="J1953" s="43" t="n">
        <f aca="false">G1953*H1953*1.5</f>
        <v>0</v>
      </c>
      <c r="K1953" s="6" t="n">
        <v>8.98</v>
      </c>
      <c r="L1953" s="43" t="n">
        <f aca="false">K1953*'Chart of Accounts'!$E$68</f>
        <v>6.0166</v>
      </c>
      <c r="O1953" s="42" t="n">
        <f aca="false">I1953+J1953+L1953</f>
        <v>67.5094</v>
      </c>
    </row>
    <row r="1954" customFormat="false" ht="15" hidden="false" customHeight="false" outlineLevel="0" collapsed="false">
      <c r="B1954" s="7" t="s">
        <v>10587</v>
      </c>
      <c r="C1954" s="39" t="n">
        <v>45779</v>
      </c>
      <c r="D1954" s="7" t="s">
        <v>232</v>
      </c>
      <c r="E1954" s="7" t="s">
        <v>180</v>
      </c>
      <c r="F1954" s="6" t="n">
        <v>4.83</v>
      </c>
      <c r="G1954" s="6" t="n">
        <v>0</v>
      </c>
      <c r="H1954" s="41" t="n">
        <v>16.17</v>
      </c>
      <c r="I1954" s="43" t="n">
        <f aca="false">F1954*H1954</f>
        <v>78.1011</v>
      </c>
      <c r="J1954" s="43" t="n">
        <f aca="false">G1954*H1954*1.5</f>
        <v>0</v>
      </c>
      <c r="K1954" s="6" t="n">
        <v>13.61</v>
      </c>
      <c r="L1954" s="43" t="n">
        <f aca="false">K1954*'Chart of Accounts'!$E$68</f>
        <v>9.1187</v>
      </c>
      <c r="O1954" s="42" t="n">
        <f aca="false">I1954+J1954+L1954</f>
        <v>87.2198</v>
      </c>
    </row>
    <row r="1955" customFormat="false" ht="15" hidden="false" customHeight="false" outlineLevel="0" collapsed="false">
      <c r="B1955" s="7" t="s">
        <v>10588</v>
      </c>
      <c r="C1955" s="39" t="n">
        <v>45779</v>
      </c>
      <c r="D1955" s="7" t="s">
        <v>224</v>
      </c>
      <c r="E1955" s="7" t="s">
        <v>180</v>
      </c>
      <c r="F1955" s="6" t="n">
        <v>4.51</v>
      </c>
      <c r="G1955" s="6" t="n">
        <v>0</v>
      </c>
      <c r="H1955" s="41" t="n">
        <v>14.93</v>
      </c>
      <c r="I1955" s="43" t="n">
        <f aca="false">F1955*H1955</f>
        <v>67.3343</v>
      </c>
      <c r="J1955" s="43" t="n">
        <f aca="false">G1955*H1955*1.5</f>
        <v>0</v>
      </c>
      <c r="K1955" s="6" t="n">
        <v>14.44</v>
      </c>
      <c r="L1955" s="43" t="n">
        <f aca="false">K1955*'Chart of Accounts'!$E$68</f>
        <v>9.6748</v>
      </c>
      <c r="O1955" s="42" t="n">
        <f aca="false">I1955+J1955+L1955</f>
        <v>77.0091</v>
      </c>
    </row>
    <row r="1956" customFormat="false" ht="15" hidden="false" customHeight="false" outlineLevel="0" collapsed="false">
      <c r="B1956" s="7" t="s">
        <v>10589</v>
      </c>
      <c r="C1956" s="39" t="n">
        <v>45779</v>
      </c>
      <c r="D1956" s="7" t="s">
        <v>238</v>
      </c>
      <c r="E1956" s="7" t="s">
        <v>180</v>
      </c>
      <c r="F1956" s="6" t="n">
        <v>3.87</v>
      </c>
      <c r="G1956" s="6" t="n">
        <v>0</v>
      </c>
      <c r="H1956" s="41" t="n">
        <v>15.85</v>
      </c>
      <c r="I1956" s="43" t="n">
        <f aca="false">F1956*H1956</f>
        <v>61.3395</v>
      </c>
      <c r="J1956" s="43" t="n">
        <f aca="false">G1956*H1956*1.5</f>
        <v>0</v>
      </c>
      <c r="K1956" s="6" t="n">
        <v>13.83</v>
      </c>
      <c r="L1956" s="43" t="n">
        <f aca="false">K1956*'Chart of Accounts'!$E$68</f>
        <v>9.2661</v>
      </c>
      <c r="O1956" s="42" t="n">
        <f aca="false">I1956+J1956+L1956</f>
        <v>70.6056</v>
      </c>
    </row>
    <row r="1957" customFormat="false" ht="15" hidden="false" customHeight="false" outlineLevel="0" collapsed="false">
      <c r="B1957" s="7" t="s">
        <v>10590</v>
      </c>
      <c r="C1957" s="39" t="n">
        <v>45779</v>
      </c>
      <c r="D1957" s="7" t="s">
        <v>246</v>
      </c>
      <c r="E1957" s="7" t="s">
        <v>180</v>
      </c>
      <c r="F1957" s="6" t="n">
        <v>3.91</v>
      </c>
      <c r="G1957" s="6" t="n">
        <v>0</v>
      </c>
      <c r="H1957" s="41" t="n">
        <v>16.48</v>
      </c>
      <c r="I1957" s="43" t="n">
        <f aca="false">F1957*H1957</f>
        <v>64.4368</v>
      </c>
      <c r="J1957" s="43" t="n">
        <f aca="false">G1957*H1957*1.5</f>
        <v>0</v>
      </c>
      <c r="K1957" s="6" t="n">
        <v>12.78</v>
      </c>
      <c r="L1957" s="43" t="n">
        <f aca="false">K1957*'Chart of Accounts'!$E$68</f>
        <v>8.5626</v>
      </c>
      <c r="O1957" s="42" t="n">
        <f aca="false">I1957+J1957+L1957</f>
        <v>72.9994</v>
      </c>
    </row>
    <row r="1958" customFormat="false" ht="15" hidden="false" customHeight="false" outlineLevel="0" collapsed="false">
      <c r="B1958" s="7" t="s">
        <v>10591</v>
      </c>
      <c r="C1958" s="39" t="n">
        <v>45779</v>
      </c>
      <c r="D1958" s="7" t="s">
        <v>222</v>
      </c>
      <c r="E1958" s="7" t="s">
        <v>180</v>
      </c>
      <c r="F1958" s="6" t="n">
        <v>4.07</v>
      </c>
      <c r="G1958" s="6" t="n">
        <v>0</v>
      </c>
      <c r="H1958" s="41" t="n">
        <v>17.84</v>
      </c>
      <c r="I1958" s="43" t="n">
        <f aca="false">F1958*H1958</f>
        <v>72.6088</v>
      </c>
      <c r="J1958" s="43" t="n">
        <f aca="false">G1958*H1958*1.5</f>
        <v>0</v>
      </c>
      <c r="K1958" s="6" t="n">
        <v>10.61</v>
      </c>
      <c r="L1958" s="43" t="n">
        <f aca="false">K1958*'Chart of Accounts'!$E$68</f>
        <v>7.1087</v>
      </c>
      <c r="O1958" s="42" t="n">
        <f aca="false">I1958+J1958+L1958</f>
        <v>79.7175</v>
      </c>
    </row>
    <row r="1959" customFormat="false" ht="15" hidden="false" customHeight="false" outlineLevel="0" collapsed="false">
      <c r="B1959" s="7" t="s">
        <v>10592</v>
      </c>
      <c r="C1959" s="39" t="n">
        <v>45779</v>
      </c>
      <c r="D1959" s="7" t="s">
        <v>203</v>
      </c>
      <c r="E1959" s="7" t="s">
        <v>158</v>
      </c>
      <c r="H1959" s="41" t="n">
        <v>49.43</v>
      </c>
      <c r="M1959" s="6" t="n">
        <v>1</v>
      </c>
      <c r="N1959" s="43" t="n">
        <f aca="false">M1959*H1959</f>
        <v>49.43</v>
      </c>
      <c r="O1959" s="42" t="n">
        <f aca="false">N1959</f>
        <v>49.43</v>
      </c>
    </row>
    <row r="1960" customFormat="false" ht="15" hidden="false" customHeight="false" outlineLevel="0" collapsed="false">
      <c r="B1960" s="7" t="s">
        <v>10593</v>
      </c>
      <c r="C1960" s="39" t="n">
        <v>45779</v>
      </c>
      <c r="D1960" s="7" t="s">
        <v>262</v>
      </c>
      <c r="E1960" s="7" t="s">
        <v>180</v>
      </c>
      <c r="F1960" s="6" t="n">
        <v>3.04</v>
      </c>
      <c r="G1960" s="6" t="n">
        <v>0</v>
      </c>
      <c r="H1960" s="41" t="n">
        <v>16.02</v>
      </c>
      <c r="I1960" s="43" t="n">
        <f aca="false">F1960*H1960</f>
        <v>48.7008</v>
      </c>
      <c r="J1960" s="43" t="n">
        <f aca="false">G1960*H1960*1.5</f>
        <v>0</v>
      </c>
      <c r="K1960" s="6" t="n">
        <v>8.17</v>
      </c>
      <c r="L1960" s="43" t="n">
        <f aca="false">K1960*'Chart of Accounts'!$E$68</f>
        <v>5.4739</v>
      </c>
      <c r="O1960" s="42" t="n">
        <f aca="false">I1960+J1960+L1960</f>
        <v>54.1747</v>
      </c>
    </row>
    <row r="1961" customFormat="false" ht="15" hidden="false" customHeight="false" outlineLevel="0" collapsed="false">
      <c r="B1961" s="7" t="s">
        <v>10594</v>
      </c>
      <c r="C1961" s="39" t="n">
        <v>45779</v>
      </c>
      <c r="D1961" s="7" t="s">
        <v>260</v>
      </c>
      <c r="E1961" s="7" t="s">
        <v>158</v>
      </c>
      <c r="H1961" s="41" t="n">
        <v>79.8</v>
      </c>
      <c r="M1961" s="6" t="n">
        <v>1</v>
      </c>
      <c r="N1961" s="43" t="n">
        <f aca="false">M1961*H1961</f>
        <v>79.8</v>
      </c>
      <c r="O1961" s="42" t="n">
        <f aca="false">N1961</f>
        <v>79.8</v>
      </c>
    </row>
    <row r="1962" customFormat="false" ht="15" hidden="false" customHeight="false" outlineLevel="0" collapsed="false">
      <c r="B1962" s="7" t="s">
        <v>10595</v>
      </c>
      <c r="C1962" s="39" t="n">
        <v>45779</v>
      </c>
      <c r="D1962" s="7" t="s">
        <v>214</v>
      </c>
      <c r="E1962" s="7" t="s">
        <v>180</v>
      </c>
      <c r="F1962" s="6" t="n">
        <v>3.49</v>
      </c>
      <c r="G1962" s="6" t="n">
        <v>0</v>
      </c>
      <c r="H1962" s="41" t="n">
        <v>15.67</v>
      </c>
      <c r="I1962" s="43" t="n">
        <f aca="false">F1962*H1962</f>
        <v>54.6883</v>
      </c>
      <c r="J1962" s="43" t="n">
        <f aca="false">G1962*H1962*1.5</f>
        <v>0</v>
      </c>
      <c r="K1962" s="6" t="n">
        <v>8.58</v>
      </c>
      <c r="L1962" s="43" t="n">
        <f aca="false">K1962*'Chart of Accounts'!$E$68</f>
        <v>5.7486</v>
      </c>
      <c r="O1962" s="42" t="n">
        <f aca="false">I1962+J1962+L1962</f>
        <v>60.4369</v>
      </c>
    </row>
    <row r="1963" customFormat="false" ht="15" hidden="false" customHeight="false" outlineLevel="0" collapsed="false">
      <c r="B1963" s="7" t="s">
        <v>10596</v>
      </c>
      <c r="C1963" s="39" t="n">
        <v>45779</v>
      </c>
      <c r="D1963" s="7" t="s">
        <v>177</v>
      </c>
      <c r="E1963" s="7" t="s">
        <v>180</v>
      </c>
      <c r="F1963" s="6" t="n">
        <v>4.8</v>
      </c>
      <c r="G1963" s="6" t="n">
        <v>0</v>
      </c>
      <c r="H1963" s="41" t="n">
        <v>14.56</v>
      </c>
      <c r="I1963" s="43" t="n">
        <f aca="false">F1963*H1963</f>
        <v>69.888</v>
      </c>
      <c r="J1963" s="43" t="n">
        <f aca="false">G1963*H1963*1.5</f>
        <v>0</v>
      </c>
      <c r="K1963" s="6" t="n">
        <v>13.73</v>
      </c>
      <c r="L1963" s="43" t="n">
        <f aca="false">K1963*'Chart of Accounts'!$E$68</f>
        <v>9.1991</v>
      </c>
      <c r="O1963" s="42" t="n">
        <f aca="false">I1963+J1963+L1963</f>
        <v>79.0871</v>
      </c>
    </row>
    <row r="1964" customFormat="false" ht="15" hidden="false" customHeight="false" outlineLevel="0" collapsed="false">
      <c r="B1964" s="7" t="s">
        <v>10597</v>
      </c>
      <c r="C1964" s="39" t="n">
        <v>45780</v>
      </c>
      <c r="D1964" s="7" t="s">
        <v>191</v>
      </c>
      <c r="E1964" s="7" t="s">
        <v>180</v>
      </c>
      <c r="F1964" s="6" t="n">
        <v>4.38</v>
      </c>
      <c r="G1964" s="6" t="n">
        <v>0</v>
      </c>
      <c r="H1964" s="41" t="n">
        <v>16.05</v>
      </c>
      <c r="I1964" s="43" t="n">
        <f aca="false">F1964*H1964</f>
        <v>70.299</v>
      </c>
      <c r="J1964" s="43" t="n">
        <f aca="false">G1964*H1964*1.5</f>
        <v>0</v>
      </c>
      <c r="K1964" s="6" t="n">
        <v>9.68</v>
      </c>
      <c r="L1964" s="43" t="n">
        <f aca="false">K1964*'Chart of Accounts'!$E$68</f>
        <v>6.4856</v>
      </c>
      <c r="O1964" s="42" t="n">
        <f aca="false">I1964+J1964+L1964</f>
        <v>76.7846</v>
      </c>
    </row>
    <row r="1965" customFormat="false" ht="15" hidden="false" customHeight="false" outlineLevel="0" collapsed="false">
      <c r="B1965" s="7" t="s">
        <v>10598</v>
      </c>
      <c r="C1965" s="39" t="n">
        <v>45780</v>
      </c>
      <c r="D1965" s="7" t="s">
        <v>218</v>
      </c>
      <c r="E1965" s="7" t="s">
        <v>180</v>
      </c>
      <c r="F1965" s="6" t="n">
        <v>3.62</v>
      </c>
      <c r="G1965" s="6" t="n">
        <v>0</v>
      </c>
      <c r="H1965" s="41" t="n">
        <v>16.19</v>
      </c>
      <c r="I1965" s="43" t="n">
        <f aca="false">F1965*H1965</f>
        <v>58.6078</v>
      </c>
      <c r="J1965" s="43" t="n">
        <f aca="false">G1965*H1965*1.5</f>
        <v>0</v>
      </c>
      <c r="K1965" s="6" t="n">
        <v>11.09</v>
      </c>
      <c r="L1965" s="43" t="n">
        <f aca="false">K1965*'Chart of Accounts'!$E$68</f>
        <v>7.4303</v>
      </c>
      <c r="O1965" s="42" t="n">
        <f aca="false">I1965+J1965+L1965</f>
        <v>66.0381</v>
      </c>
    </row>
    <row r="1966" customFormat="false" ht="15" hidden="false" customHeight="false" outlineLevel="0" collapsed="false">
      <c r="B1966" s="7" t="s">
        <v>10599</v>
      </c>
      <c r="C1966" s="39" t="n">
        <v>45780</v>
      </c>
      <c r="D1966" s="7" t="s">
        <v>212</v>
      </c>
      <c r="E1966" s="7" t="s">
        <v>180</v>
      </c>
      <c r="F1966" s="6" t="n">
        <v>3.79</v>
      </c>
      <c r="G1966" s="6" t="n">
        <v>0</v>
      </c>
      <c r="H1966" s="41" t="n">
        <v>16.71</v>
      </c>
      <c r="I1966" s="43" t="n">
        <f aca="false">F1966*H1966</f>
        <v>63.3309</v>
      </c>
      <c r="J1966" s="43" t="n">
        <f aca="false">G1966*H1966*1.5</f>
        <v>0</v>
      </c>
      <c r="K1966" s="6" t="n">
        <v>12.82</v>
      </c>
      <c r="L1966" s="43" t="n">
        <f aca="false">K1966*'Chart of Accounts'!$E$68</f>
        <v>8.5894</v>
      </c>
      <c r="O1966" s="42" t="n">
        <f aca="false">I1966+J1966+L1966</f>
        <v>71.9203</v>
      </c>
    </row>
    <row r="1967" customFormat="false" ht="15" hidden="false" customHeight="false" outlineLevel="0" collapsed="false">
      <c r="B1967" s="7" t="s">
        <v>10600</v>
      </c>
      <c r="C1967" s="39" t="n">
        <v>45780</v>
      </c>
      <c r="D1967" s="7" t="s">
        <v>222</v>
      </c>
      <c r="E1967" s="7" t="s">
        <v>180</v>
      </c>
      <c r="F1967" s="6" t="n">
        <v>4.13</v>
      </c>
      <c r="G1967" s="6" t="n">
        <v>0</v>
      </c>
      <c r="H1967" s="41" t="n">
        <v>17.84</v>
      </c>
      <c r="I1967" s="43" t="n">
        <f aca="false">F1967*H1967</f>
        <v>73.6792</v>
      </c>
      <c r="J1967" s="43" t="n">
        <f aca="false">G1967*H1967*1.5</f>
        <v>0</v>
      </c>
      <c r="K1967" s="6" t="n">
        <v>12.27</v>
      </c>
      <c r="L1967" s="43" t="n">
        <f aca="false">K1967*'Chart of Accounts'!$E$68</f>
        <v>8.2209</v>
      </c>
      <c r="O1967" s="42" t="n">
        <f aca="false">I1967+J1967+L1967</f>
        <v>81.9001</v>
      </c>
    </row>
    <row r="1968" customFormat="false" ht="15" hidden="false" customHeight="false" outlineLevel="0" collapsed="false">
      <c r="B1968" s="7" t="s">
        <v>10601</v>
      </c>
      <c r="C1968" s="39" t="n">
        <v>45780</v>
      </c>
      <c r="D1968" s="7" t="s">
        <v>242</v>
      </c>
      <c r="E1968" s="7" t="s">
        <v>180</v>
      </c>
      <c r="F1968" s="6" t="n">
        <v>4.18</v>
      </c>
      <c r="G1968" s="6" t="n">
        <v>0</v>
      </c>
      <c r="H1968" s="41" t="n">
        <v>17.99</v>
      </c>
      <c r="I1968" s="43" t="n">
        <f aca="false">F1968*H1968</f>
        <v>75.1982</v>
      </c>
      <c r="J1968" s="43" t="n">
        <f aca="false">G1968*H1968*1.5</f>
        <v>0</v>
      </c>
      <c r="K1968" s="6" t="n">
        <v>10</v>
      </c>
      <c r="L1968" s="43" t="n">
        <f aca="false">K1968*'Chart of Accounts'!$E$68</f>
        <v>6.7</v>
      </c>
      <c r="O1968" s="42" t="n">
        <f aca="false">I1968+J1968+L1968</f>
        <v>81.8982</v>
      </c>
    </row>
    <row r="1969" customFormat="false" ht="15" hidden="false" customHeight="false" outlineLevel="0" collapsed="false">
      <c r="B1969" s="7" t="s">
        <v>10602</v>
      </c>
      <c r="C1969" s="39" t="n">
        <v>45780</v>
      </c>
      <c r="D1969" s="7" t="s">
        <v>254</v>
      </c>
      <c r="E1969" s="7" t="s">
        <v>180</v>
      </c>
      <c r="F1969" s="6" t="n">
        <v>3.86</v>
      </c>
      <c r="G1969" s="6" t="n">
        <v>0</v>
      </c>
      <c r="H1969" s="41" t="n">
        <v>17.1</v>
      </c>
      <c r="I1969" s="43" t="n">
        <f aca="false">F1969*H1969</f>
        <v>66.006</v>
      </c>
      <c r="J1969" s="43" t="n">
        <f aca="false">G1969*H1969*1.5</f>
        <v>0</v>
      </c>
      <c r="K1969" s="6" t="n">
        <v>11.03</v>
      </c>
      <c r="L1969" s="43" t="n">
        <f aca="false">K1969*'Chart of Accounts'!$E$68</f>
        <v>7.3901</v>
      </c>
      <c r="O1969" s="42" t="n">
        <f aca="false">I1969+J1969+L1969</f>
        <v>73.3961</v>
      </c>
    </row>
    <row r="1970" customFormat="false" ht="15" hidden="false" customHeight="false" outlineLevel="0" collapsed="false">
      <c r="B1970" s="7" t="s">
        <v>10603</v>
      </c>
      <c r="C1970" s="39" t="n">
        <v>45781</v>
      </c>
      <c r="D1970" s="7" t="s">
        <v>191</v>
      </c>
      <c r="E1970" s="7" t="s">
        <v>180</v>
      </c>
      <c r="F1970" s="6" t="n">
        <v>4.3</v>
      </c>
      <c r="G1970" s="6" t="n">
        <v>0</v>
      </c>
      <c r="H1970" s="41" t="n">
        <v>16.05</v>
      </c>
      <c r="I1970" s="43" t="n">
        <f aca="false">F1970*H1970</f>
        <v>69.015</v>
      </c>
      <c r="J1970" s="43" t="n">
        <f aca="false">G1970*H1970*1.5</f>
        <v>0</v>
      </c>
      <c r="K1970" s="6" t="n">
        <v>14.45</v>
      </c>
      <c r="L1970" s="43" t="n">
        <f aca="false">K1970*'Chart of Accounts'!$E$68</f>
        <v>9.6815</v>
      </c>
      <c r="O1970" s="42" t="n">
        <f aca="false">I1970+J1970+L1970</f>
        <v>78.6965</v>
      </c>
    </row>
    <row r="1971" customFormat="false" ht="15" hidden="false" customHeight="false" outlineLevel="0" collapsed="false">
      <c r="B1971" s="7" t="s">
        <v>10604</v>
      </c>
      <c r="C1971" s="39" t="n">
        <v>45781</v>
      </c>
      <c r="D1971" s="7" t="s">
        <v>218</v>
      </c>
      <c r="E1971" s="7" t="s">
        <v>180</v>
      </c>
      <c r="F1971" s="6" t="n">
        <v>4.11</v>
      </c>
      <c r="G1971" s="6" t="n">
        <v>0</v>
      </c>
      <c r="H1971" s="41" t="n">
        <v>16.19</v>
      </c>
      <c r="I1971" s="43" t="n">
        <f aca="false">F1971*H1971</f>
        <v>66.5409</v>
      </c>
      <c r="J1971" s="43" t="n">
        <f aca="false">G1971*H1971*1.5</f>
        <v>0</v>
      </c>
      <c r="K1971" s="6" t="n">
        <v>9.44</v>
      </c>
      <c r="L1971" s="43" t="n">
        <f aca="false">K1971*'Chart of Accounts'!$E$68</f>
        <v>6.3248</v>
      </c>
      <c r="O1971" s="42" t="n">
        <f aca="false">I1971+J1971+L1971</f>
        <v>72.8657</v>
      </c>
    </row>
    <row r="1972" customFormat="false" ht="15" hidden="false" customHeight="false" outlineLevel="0" collapsed="false">
      <c r="B1972" s="7" t="s">
        <v>10605</v>
      </c>
      <c r="C1972" s="39" t="n">
        <v>45781</v>
      </c>
      <c r="D1972" s="7" t="s">
        <v>212</v>
      </c>
      <c r="E1972" s="7" t="s">
        <v>180</v>
      </c>
      <c r="F1972" s="6" t="n">
        <v>3.67</v>
      </c>
      <c r="G1972" s="6" t="n">
        <v>0</v>
      </c>
      <c r="H1972" s="41" t="n">
        <v>16.71</v>
      </c>
      <c r="I1972" s="43" t="n">
        <f aca="false">F1972*H1972</f>
        <v>61.3257</v>
      </c>
      <c r="J1972" s="43" t="n">
        <f aca="false">G1972*H1972*1.5</f>
        <v>0</v>
      </c>
      <c r="K1972" s="6" t="n">
        <v>11.58</v>
      </c>
      <c r="L1972" s="43" t="n">
        <f aca="false">K1972*'Chart of Accounts'!$E$68</f>
        <v>7.7586</v>
      </c>
      <c r="O1972" s="42" t="n">
        <f aca="false">I1972+J1972+L1972</f>
        <v>69.0843</v>
      </c>
    </row>
    <row r="1973" customFormat="false" ht="15" hidden="false" customHeight="false" outlineLevel="0" collapsed="false">
      <c r="B1973" s="7" t="s">
        <v>10606</v>
      </c>
      <c r="C1973" s="39" t="n">
        <v>45781</v>
      </c>
      <c r="D1973" s="7" t="s">
        <v>222</v>
      </c>
      <c r="E1973" s="7" t="s">
        <v>180</v>
      </c>
      <c r="F1973" s="6" t="n">
        <v>4.35</v>
      </c>
      <c r="G1973" s="6" t="n">
        <v>0</v>
      </c>
      <c r="H1973" s="41" t="n">
        <v>17.84</v>
      </c>
      <c r="I1973" s="43" t="n">
        <f aca="false">F1973*H1973</f>
        <v>77.604</v>
      </c>
      <c r="J1973" s="43" t="n">
        <f aca="false">G1973*H1973*1.5</f>
        <v>0</v>
      </c>
      <c r="K1973" s="6" t="n">
        <v>10.55</v>
      </c>
      <c r="L1973" s="43" t="n">
        <f aca="false">K1973*'Chart of Accounts'!$E$68</f>
        <v>7.0685</v>
      </c>
      <c r="O1973" s="42" t="n">
        <f aca="false">I1973+J1973+L1973</f>
        <v>84.6725</v>
      </c>
    </row>
    <row r="1974" customFormat="false" ht="15" hidden="false" customHeight="false" outlineLevel="0" collapsed="false">
      <c r="B1974" s="7" t="s">
        <v>10607</v>
      </c>
      <c r="C1974" s="39" t="n">
        <v>45781</v>
      </c>
      <c r="D1974" s="7" t="s">
        <v>242</v>
      </c>
      <c r="E1974" s="7" t="s">
        <v>180</v>
      </c>
      <c r="F1974" s="6" t="n">
        <v>4.18</v>
      </c>
      <c r="G1974" s="6" t="n">
        <v>0</v>
      </c>
      <c r="H1974" s="41" t="n">
        <v>17.99</v>
      </c>
      <c r="I1974" s="43" t="n">
        <f aca="false">F1974*H1974</f>
        <v>75.1982</v>
      </c>
      <c r="J1974" s="43" t="n">
        <f aca="false">G1974*H1974*1.5</f>
        <v>0</v>
      </c>
      <c r="K1974" s="6" t="n">
        <v>12.78</v>
      </c>
      <c r="L1974" s="43" t="n">
        <f aca="false">K1974*'Chart of Accounts'!$E$68</f>
        <v>8.5626</v>
      </c>
      <c r="O1974" s="42" t="n">
        <f aca="false">I1974+J1974+L1974</f>
        <v>83.7608</v>
      </c>
    </row>
    <row r="1975" customFormat="false" ht="15" hidden="false" customHeight="false" outlineLevel="0" collapsed="false">
      <c r="B1975" s="7" t="s">
        <v>10608</v>
      </c>
      <c r="C1975" s="39" t="n">
        <v>45781</v>
      </c>
      <c r="D1975" s="7" t="s">
        <v>254</v>
      </c>
      <c r="E1975" s="7" t="s">
        <v>180</v>
      </c>
      <c r="F1975" s="6" t="n">
        <v>3.8</v>
      </c>
      <c r="G1975" s="6" t="n">
        <v>0</v>
      </c>
      <c r="H1975" s="41" t="n">
        <v>17.1</v>
      </c>
      <c r="I1975" s="43" t="n">
        <f aca="false">F1975*H1975</f>
        <v>64.98</v>
      </c>
      <c r="J1975" s="43" t="n">
        <f aca="false">G1975*H1975*1.5</f>
        <v>0</v>
      </c>
      <c r="K1975" s="6" t="n">
        <v>10.65</v>
      </c>
      <c r="L1975" s="43" t="n">
        <f aca="false">K1975*'Chart of Accounts'!$E$68</f>
        <v>7.1355</v>
      </c>
      <c r="O1975" s="42" t="n">
        <f aca="false">I1975+J1975+L1975</f>
        <v>72.1155</v>
      </c>
    </row>
    <row r="1976" customFormat="false" ht="15" hidden="false" customHeight="false" outlineLevel="0" collapsed="false">
      <c r="B1976" s="7" t="s">
        <v>10609</v>
      </c>
      <c r="C1976" s="39" t="n">
        <v>45782</v>
      </c>
      <c r="D1976" s="7" t="s">
        <v>187</v>
      </c>
      <c r="E1976" s="7" t="s">
        <v>158</v>
      </c>
      <c r="H1976" s="41" t="n">
        <v>66.48</v>
      </c>
      <c r="M1976" s="6" t="n">
        <v>1</v>
      </c>
      <c r="N1976" s="43" t="n">
        <f aca="false">M1976*H1976</f>
        <v>66.48</v>
      </c>
      <c r="O1976" s="42" t="n">
        <f aca="false">N1976</f>
        <v>66.48</v>
      </c>
    </row>
    <row r="1977" customFormat="false" ht="15" hidden="false" customHeight="false" outlineLevel="0" collapsed="false">
      <c r="B1977" s="7" t="s">
        <v>10610</v>
      </c>
      <c r="C1977" s="39" t="n">
        <v>45782</v>
      </c>
      <c r="D1977" s="7" t="s">
        <v>191</v>
      </c>
      <c r="E1977" s="7" t="s">
        <v>180</v>
      </c>
      <c r="F1977" s="6" t="n">
        <v>3.82</v>
      </c>
      <c r="G1977" s="6" t="n">
        <v>0</v>
      </c>
      <c r="H1977" s="41" t="n">
        <v>16.05</v>
      </c>
      <c r="I1977" s="43" t="n">
        <f aca="false">F1977*H1977</f>
        <v>61.311</v>
      </c>
      <c r="J1977" s="43" t="n">
        <f aca="false">G1977*H1977*1.5</f>
        <v>0</v>
      </c>
      <c r="K1977" s="6" t="n">
        <v>13.15</v>
      </c>
      <c r="L1977" s="43" t="n">
        <f aca="false">K1977*'Chart of Accounts'!$E$68</f>
        <v>8.8105</v>
      </c>
      <c r="O1977" s="42" t="n">
        <f aca="false">I1977+J1977+L1977</f>
        <v>70.1215</v>
      </c>
    </row>
    <row r="1978" customFormat="false" ht="15" hidden="false" customHeight="false" outlineLevel="0" collapsed="false">
      <c r="B1978" s="7" t="s">
        <v>10611</v>
      </c>
      <c r="C1978" s="39" t="n">
        <v>45782</v>
      </c>
      <c r="D1978" s="7" t="s">
        <v>194</v>
      </c>
      <c r="E1978" s="7" t="s">
        <v>180</v>
      </c>
      <c r="F1978" s="6" t="n">
        <v>8.72</v>
      </c>
      <c r="G1978" s="6" t="n">
        <v>0</v>
      </c>
      <c r="H1978" s="41" t="n">
        <v>16</v>
      </c>
      <c r="I1978" s="43" t="n">
        <f aca="false">F1978*H1978</f>
        <v>139.52</v>
      </c>
      <c r="J1978" s="43" t="n">
        <f aca="false">G1978*H1978*1.5</f>
        <v>0</v>
      </c>
      <c r="K1978" s="6" t="n">
        <v>26.87</v>
      </c>
      <c r="L1978" s="43" t="n">
        <f aca="false">K1978*'Chart of Accounts'!$E$68</f>
        <v>18.0029</v>
      </c>
      <c r="O1978" s="42" t="n">
        <f aca="false">I1978+J1978+L1978</f>
        <v>157.5229</v>
      </c>
    </row>
    <row r="1979" customFormat="false" ht="15" hidden="false" customHeight="false" outlineLevel="0" collapsed="false">
      <c r="B1979" s="7" t="s">
        <v>10612</v>
      </c>
      <c r="C1979" s="39" t="n">
        <v>45782</v>
      </c>
      <c r="D1979" s="7" t="s">
        <v>201</v>
      </c>
      <c r="E1979" s="7" t="s">
        <v>180</v>
      </c>
      <c r="F1979" s="6" t="n">
        <v>9.62</v>
      </c>
      <c r="G1979" s="6" t="n">
        <v>0</v>
      </c>
      <c r="H1979" s="41" t="n">
        <v>15.19</v>
      </c>
      <c r="I1979" s="43" t="n">
        <f aca="false">F1979*H1979</f>
        <v>146.1278</v>
      </c>
      <c r="J1979" s="43" t="n">
        <f aca="false">G1979*H1979*1.5</f>
        <v>0</v>
      </c>
      <c r="K1979" s="6" t="n">
        <v>25.56</v>
      </c>
      <c r="L1979" s="43" t="n">
        <f aca="false">K1979*'Chart of Accounts'!$E$68</f>
        <v>17.1252</v>
      </c>
      <c r="O1979" s="42" t="n">
        <f aca="false">I1979+J1979+L1979</f>
        <v>163.253</v>
      </c>
    </row>
    <row r="1980" customFormat="false" ht="15" hidden="false" customHeight="false" outlineLevel="0" collapsed="false">
      <c r="B1980" s="7" t="s">
        <v>10613</v>
      </c>
      <c r="C1980" s="39" t="n">
        <v>45782</v>
      </c>
      <c r="D1980" s="7" t="s">
        <v>205</v>
      </c>
      <c r="E1980" s="7" t="s">
        <v>180</v>
      </c>
      <c r="F1980" s="6" t="n">
        <v>4.21</v>
      </c>
      <c r="G1980" s="6" t="n">
        <v>0</v>
      </c>
      <c r="H1980" s="41" t="n">
        <v>16.36</v>
      </c>
      <c r="I1980" s="43" t="n">
        <f aca="false">F1980*H1980</f>
        <v>68.8756</v>
      </c>
      <c r="J1980" s="43" t="n">
        <f aca="false">G1980*H1980*1.5</f>
        <v>0</v>
      </c>
      <c r="K1980" s="6" t="n">
        <v>10.19</v>
      </c>
      <c r="L1980" s="43" t="n">
        <f aca="false">K1980*'Chart of Accounts'!$E$68</f>
        <v>6.8273</v>
      </c>
      <c r="O1980" s="42" t="n">
        <f aca="false">I1980+J1980+L1980</f>
        <v>75.7029</v>
      </c>
    </row>
    <row r="1981" customFormat="false" ht="15" hidden="false" customHeight="false" outlineLevel="0" collapsed="false">
      <c r="B1981" s="7" t="s">
        <v>10614</v>
      </c>
      <c r="C1981" s="39" t="n">
        <v>45782</v>
      </c>
      <c r="D1981" s="7" t="s">
        <v>264</v>
      </c>
      <c r="E1981" s="7" t="s">
        <v>158</v>
      </c>
      <c r="H1981" s="41" t="n">
        <v>55.55</v>
      </c>
      <c r="M1981" s="6" t="n">
        <v>1</v>
      </c>
      <c r="N1981" s="43" t="n">
        <f aca="false">M1981*H1981</f>
        <v>55.55</v>
      </c>
      <c r="O1981" s="42" t="n">
        <f aca="false">N1981</f>
        <v>55.55</v>
      </c>
    </row>
    <row r="1982" customFormat="false" ht="15" hidden="false" customHeight="false" outlineLevel="0" collapsed="false">
      <c r="B1982" s="7" t="s">
        <v>10615</v>
      </c>
      <c r="C1982" s="39" t="n">
        <v>45782</v>
      </c>
      <c r="D1982" s="7" t="s">
        <v>252</v>
      </c>
      <c r="E1982" s="7" t="s">
        <v>158</v>
      </c>
      <c r="H1982" s="41" t="n">
        <v>57.54</v>
      </c>
      <c r="M1982" s="6" t="n">
        <v>1</v>
      </c>
      <c r="N1982" s="43" t="n">
        <f aca="false">M1982*H1982</f>
        <v>57.54</v>
      </c>
      <c r="O1982" s="42" t="n">
        <f aca="false">N1982</f>
        <v>57.54</v>
      </c>
    </row>
    <row r="1983" customFormat="false" ht="15" hidden="false" customHeight="false" outlineLevel="0" collapsed="false">
      <c r="B1983" s="7" t="s">
        <v>10616</v>
      </c>
      <c r="C1983" s="39" t="n">
        <v>45782</v>
      </c>
      <c r="D1983" s="7" t="s">
        <v>196</v>
      </c>
      <c r="E1983" s="7" t="s">
        <v>180</v>
      </c>
      <c r="F1983" s="6" t="n">
        <v>6.03</v>
      </c>
      <c r="G1983" s="6" t="n">
        <v>0</v>
      </c>
      <c r="H1983" s="41" t="n">
        <v>15.05</v>
      </c>
      <c r="I1983" s="43" t="n">
        <f aca="false">F1983*H1983</f>
        <v>90.7515</v>
      </c>
      <c r="J1983" s="43" t="n">
        <f aca="false">G1983*H1983*1.5</f>
        <v>0</v>
      </c>
      <c r="K1983" s="6" t="n">
        <v>19.44</v>
      </c>
      <c r="L1983" s="43" t="n">
        <f aca="false">K1983*'Chart of Accounts'!$E$68</f>
        <v>13.0248</v>
      </c>
      <c r="O1983" s="42" t="n">
        <f aca="false">I1983+J1983+L1983</f>
        <v>103.7763</v>
      </c>
    </row>
    <row r="1984" customFormat="false" ht="15" hidden="false" customHeight="false" outlineLevel="0" collapsed="false">
      <c r="B1984" s="7" t="s">
        <v>10617</v>
      </c>
      <c r="C1984" s="39" t="n">
        <v>45782</v>
      </c>
      <c r="D1984" s="7" t="s">
        <v>184</v>
      </c>
      <c r="E1984" s="7" t="s">
        <v>180</v>
      </c>
      <c r="F1984" s="6" t="n">
        <v>3.97</v>
      </c>
      <c r="G1984" s="6" t="n">
        <v>0</v>
      </c>
      <c r="H1984" s="41" t="n">
        <v>17.34</v>
      </c>
      <c r="I1984" s="43" t="n">
        <f aca="false">F1984*H1984</f>
        <v>68.8398</v>
      </c>
      <c r="J1984" s="43" t="n">
        <f aca="false">G1984*H1984*1.5</f>
        <v>0</v>
      </c>
      <c r="K1984" s="6" t="n">
        <v>10.55</v>
      </c>
      <c r="L1984" s="43" t="n">
        <f aca="false">K1984*'Chart of Accounts'!$E$68</f>
        <v>7.0685</v>
      </c>
      <c r="O1984" s="42" t="n">
        <f aca="false">I1984+J1984+L1984</f>
        <v>75.9083</v>
      </c>
    </row>
    <row r="1985" customFormat="false" ht="15" hidden="false" customHeight="false" outlineLevel="0" collapsed="false">
      <c r="B1985" s="7" t="s">
        <v>10618</v>
      </c>
      <c r="C1985" s="39" t="n">
        <v>45782</v>
      </c>
      <c r="D1985" s="7" t="s">
        <v>207</v>
      </c>
      <c r="E1985" s="7" t="s">
        <v>180</v>
      </c>
      <c r="F1985" s="6" t="n">
        <v>6.52</v>
      </c>
      <c r="G1985" s="6" t="n">
        <v>0</v>
      </c>
      <c r="H1985" s="41" t="n">
        <v>16.65</v>
      </c>
      <c r="I1985" s="43" t="n">
        <f aca="false">F1985*H1985</f>
        <v>108.558</v>
      </c>
      <c r="J1985" s="43" t="n">
        <f aca="false">G1985*H1985*1.5</f>
        <v>0</v>
      </c>
      <c r="K1985" s="6" t="n">
        <v>17.37</v>
      </c>
      <c r="L1985" s="43" t="n">
        <f aca="false">K1985*'Chart of Accounts'!$E$68</f>
        <v>11.6379</v>
      </c>
      <c r="O1985" s="42" t="n">
        <f aca="false">I1985+J1985+L1985</f>
        <v>120.1959</v>
      </c>
    </row>
    <row r="1986" customFormat="false" ht="15" hidden="false" customHeight="false" outlineLevel="0" collapsed="false">
      <c r="B1986" s="7" t="s">
        <v>10619</v>
      </c>
      <c r="C1986" s="39" t="n">
        <v>45782</v>
      </c>
      <c r="D1986" s="7" t="s">
        <v>218</v>
      </c>
      <c r="E1986" s="7" t="s">
        <v>180</v>
      </c>
      <c r="F1986" s="6" t="n">
        <v>3.98</v>
      </c>
      <c r="G1986" s="6" t="n">
        <v>0</v>
      </c>
      <c r="H1986" s="41" t="n">
        <v>16.19</v>
      </c>
      <c r="I1986" s="43" t="n">
        <f aca="false">F1986*H1986</f>
        <v>64.4362</v>
      </c>
      <c r="J1986" s="43" t="n">
        <f aca="false">G1986*H1986*1.5</f>
        <v>0</v>
      </c>
      <c r="K1986" s="6" t="n">
        <v>12.57</v>
      </c>
      <c r="L1986" s="43" t="n">
        <f aca="false">K1986*'Chart of Accounts'!$E$68</f>
        <v>8.4219</v>
      </c>
      <c r="O1986" s="42" t="n">
        <f aca="false">I1986+J1986+L1986</f>
        <v>72.8581</v>
      </c>
    </row>
    <row r="1987" customFormat="false" ht="15" hidden="false" customHeight="false" outlineLevel="0" collapsed="false">
      <c r="B1987" s="7" t="s">
        <v>10620</v>
      </c>
      <c r="C1987" s="39" t="n">
        <v>45782</v>
      </c>
      <c r="D1987" s="7" t="s">
        <v>212</v>
      </c>
      <c r="E1987" s="7" t="s">
        <v>180</v>
      </c>
      <c r="F1987" s="6" t="n">
        <v>6.67</v>
      </c>
      <c r="G1987" s="6" t="n">
        <v>0</v>
      </c>
      <c r="H1987" s="41" t="n">
        <v>16.71</v>
      </c>
      <c r="I1987" s="43" t="n">
        <f aca="false">F1987*H1987</f>
        <v>111.4557</v>
      </c>
      <c r="J1987" s="43" t="n">
        <f aca="false">G1987*H1987*1.5</f>
        <v>0</v>
      </c>
      <c r="K1987" s="6" t="n">
        <v>14.86</v>
      </c>
      <c r="L1987" s="43" t="n">
        <f aca="false">K1987*'Chart of Accounts'!$E$68</f>
        <v>9.9562</v>
      </c>
      <c r="O1987" s="42" t="n">
        <f aca="false">I1987+J1987+L1987</f>
        <v>121.4119</v>
      </c>
    </row>
    <row r="1988" customFormat="false" ht="15" hidden="false" customHeight="false" outlineLevel="0" collapsed="false">
      <c r="B1988" s="7" t="s">
        <v>10621</v>
      </c>
      <c r="C1988" s="39" t="n">
        <v>45782</v>
      </c>
      <c r="D1988" s="7" t="s">
        <v>220</v>
      </c>
      <c r="E1988" s="7" t="s">
        <v>180</v>
      </c>
      <c r="F1988" s="6" t="n">
        <v>3.99</v>
      </c>
      <c r="G1988" s="6" t="n">
        <v>0</v>
      </c>
      <c r="H1988" s="41" t="n">
        <v>16.43</v>
      </c>
      <c r="I1988" s="43" t="n">
        <f aca="false">F1988*H1988</f>
        <v>65.5557</v>
      </c>
      <c r="J1988" s="43" t="n">
        <f aca="false">G1988*H1988*1.5</f>
        <v>0</v>
      </c>
      <c r="K1988" s="6" t="n">
        <v>14.12</v>
      </c>
      <c r="L1988" s="43" t="n">
        <f aca="false">K1988*'Chart of Accounts'!$E$68</f>
        <v>9.4604</v>
      </c>
      <c r="O1988" s="42" t="n">
        <f aca="false">I1988+J1988+L1988</f>
        <v>75.0161</v>
      </c>
    </row>
    <row r="1989" customFormat="false" ht="15" hidden="false" customHeight="false" outlineLevel="0" collapsed="false">
      <c r="B1989" s="7" t="s">
        <v>10622</v>
      </c>
      <c r="C1989" s="39" t="n">
        <v>45782</v>
      </c>
      <c r="D1989" s="7" t="s">
        <v>224</v>
      </c>
      <c r="E1989" s="7" t="s">
        <v>180</v>
      </c>
      <c r="F1989" s="6" t="n">
        <v>8.86</v>
      </c>
      <c r="G1989" s="6" t="n">
        <v>0</v>
      </c>
      <c r="H1989" s="41" t="n">
        <v>14.93</v>
      </c>
      <c r="I1989" s="43" t="n">
        <f aca="false">F1989*H1989</f>
        <v>132.2798</v>
      </c>
      <c r="J1989" s="43" t="n">
        <f aca="false">G1989*H1989*1.5</f>
        <v>0</v>
      </c>
      <c r="K1989" s="6" t="n">
        <v>30.47</v>
      </c>
      <c r="L1989" s="43" t="n">
        <f aca="false">K1989*'Chart of Accounts'!$E$68</f>
        <v>20.4149</v>
      </c>
      <c r="O1989" s="42" t="n">
        <f aca="false">I1989+J1989+L1989</f>
        <v>152.6947</v>
      </c>
    </row>
    <row r="1990" customFormat="false" ht="15" hidden="false" customHeight="false" outlineLevel="0" collapsed="false">
      <c r="B1990" s="7" t="s">
        <v>10623</v>
      </c>
      <c r="C1990" s="39" t="n">
        <v>45782</v>
      </c>
      <c r="D1990" s="7" t="s">
        <v>177</v>
      </c>
      <c r="E1990" s="7" t="s">
        <v>180</v>
      </c>
      <c r="F1990" s="6" t="n">
        <v>8.58</v>
      </c>
      <c r="G1990" s="6" t="n">
        <v>0</v>
      </c>
      <c r="H1990" s="41" t="n">
        <v>14.56</v>
      </c>
      <c r="I1990" s="43" t="n">
        <f aca="false">F1990*H1990</f>
        <v>124.9248</v>
      </c>
      <c r="J1990" s="43" t="n">
        <f aca="false">G1990*H1990*1.5</f>
        <v>0</v>
      </c>
      <c r="K1990" s="6" t="n">
        <v>19.26</v>
      </c>
      <c r="L1990" s="43" t="n">
        <f aca="false">K1990*'Chart of Accounts'!$E$68</f>
        <v>12.9042</v>
      </c>
      <c r="O1990" s="42" t="n">
        <f aca="false">I1990+J1990+L1990</f>
        <v>137.829</v>
      </c>
    </row>
    <row r="1991" customFormat="false" ht="15" hidden="false" customHeight="false" outlineLevel="0" collapsed="false">
      <c r="B1991" s="7" t="s">
        <v>10624</v>
      </c>
      <c r="C1991" s="39" t="n">
        <v>45782</v>
      </c>
      <c r="D1991" s="7" t="s">
        <v>232</v>
      </c>
      <c r="E1991" s="7" t="s">
        <v>180</v>
      </c>
      <c r="F1991" s="6" t="n">
        <v>7.78</v>
      </c>
      <c r="G1991" s="6" t="n">
        <v>0</v>
      </c>
      <c r="H1991" s="41" t="n">
        <v>16.17</v>
      </c>
      <c r="I1991" s="43" t="n">
        <f aca="false">F1991*H1991</f>
        <v>125.8026</v>
      </c>
      <c r="J1991" s="43" t="n">
        <f aca="false">G1991*H1991*1.5</f>
        <v>0</v>
      </c>
      <c r="K1991" s="6" t="n">
        <v>18.37</v>
      </c>
      <c r="L1991" s="43" t="n">
        <f aca="false">K1991*'Chart of Accounts'!$E$68</f>
        <v>12.3079</v>
      </c>
      <c r="O1991" s="42" t="n">
        <f aca="false">I1991+J1991+L1991</f>
        <v>138.1105</v>
      </c>
    </row>
    <row r="1992" customFormat="false" ht="15" hidden="false" customHeight="false" outlineLevel="0" collapsed="false">
      <c r="B1992" s="7" t="s">
        <v>10625</v>
      </c>
      <c r="C1992" s="39" t="n">
        <v>45782</v>
      </c>
      <c r="D1992" s="7" t="s">
        <v>242</v>
      </c>
      <c r="E1992" s="7" t="s">
        <v>180</v>
      </c>
      <c r="F1992" s="6" t="n">
        <v>7.09</v>
      </c>
      <c r="G1992" s="6" t="n">
        <v>0</v>
      </c>
      <c r="H1992" s="41" t="n">
        <v>17.99</v>
      </c>
      <c r="I1992" s="43" t="n">
        <f aca="false">F1992*H1992</f>
        <v>127.5491</v>
      </c>
      <c r="J1992" s="43" t="n">
        <f aca="false">G1992*H1992*1.5</f>
        <v>0</v>
      </c>
      <c r="K1992" s="6" t="n">
        <v>18.61</v>
      </c>
      <c r="L1992" s="43" t="n">
        <f aca="false">K1992*'Chart of Accounts'!$E$68</f>
        <v>12.4687</v>
      </c>
      <c r="O1992" s="42" t="n">
        <f aca="false">I1992+J1992+L1992</f>
        <v>140.0178</v>
      </c>
    </row>
    <row r="1993" customFormat="false" ht="15" hidden="false" customHeight="false" outlineLevel="0" collapsed="false">
      <c r="B1993" s="7" t="s">
        <v>10626</v>
      </c>
      <c r="C1993" s="39" t="n">
        <v>45782</v>
      </c>
      <c r="D1993" s="7" t="s">
        <v>222</v>
      </c>
      <c r="E1993" s="7" t="s">
        <v>180</v>
      </c>
      <c r="F1993" s="6" t="n">
        <v>6.96</v>
      </c>
      <c r="G1993" s="6" t="n">
        <v>0</v>
      </c>
      <c r="H1993" s="41" t="n">
        <v>17.84</v>
      </c>
      <c r="I1993" s="43" t="n">
        <f aca="false">F1993*H1993</f>
        <v>124.1664</v>
      </c>
      <c r="J1993" s="43" t="n">
        <f aca="false">G1993*H1993*1.5</f>
        <v>0</v>
      </c>
      <c r="K1993" s="6" t="n">
        <v>20.55</v>
      </c>
      <c r="L1993" s="43" t="n">
        <f aca="false">K1993*'Chart of Accounts'!$E$68</f>
        <v>13.7685</v>
      </c>
      <c r="O1993" s="42" t="n">
        <f aca="false">I1993+J1993+L1993</f>
        <v>137.9349</v>
      </c>
    </row>
    <row r="1994" customFormat="false" ht="15" hidden="false" customHeight="false" outlineLevel="0" collapsed="false">
      <c r="B1994" s="7" t="s">
        <v>10627</v>
      </c>
      <c r="C1994" s="39" t="n">
        <v>45782</v>
      </c>
      <c r="D1994" s="7" t="s">
        <v>262</v>
      </c>
      <c r="E1994" s="7" t="s">
        <v>180</v>
      </c>
      <c r="F1994" s="6" t="n">
        <v>7.28</v>
      </c>
      <c r="G1994" s="6" t="n">
        <v>0</v>
      </c>
      <c r="H1994" s="41" t="n">
        <v>16.02</v>
      </c>
      <c r="I1994" s="43" t="n">
        <f aca="false">F1994*H1994</f>
        <v>116.6256</v>
      </c>
      <c r="J1994" s="43" t="n">
        <f aca="false">G1994*H1994*1.5</f>
        <v>0</v>
      </c>
      <c r="K1994" s="6" t="n">
        <v>18.62</v>
      </c>
      <c r="L1994" s="43" t="n">
        <f aca="false">K1994*'Chart of Accounts'!$E$68</f>
        <v>12.4754</v>
      </c>
      <c r="O1994" s="42" t="n">
        <f aca="false">I1994+J1994+L1994</f>
        <v>129.101</v>
      </c>
    </row>
    <row r="1995" customFormat="false" ht="15" hidden="false" customHeight="false" outlineLevel="0" collapsed="false">
      <c r="B1995" s="7" t="s">
        <v>10628</v>
      </c>
      <c r="C1995" s="39" t="n">
        <v>45782</v>
      </c>
      <c r="D1995" s="7" t="s">
        <v>254</v>
      </c>
      <c r="E1995" s="7" t="s">
        <v>180</v>
      </c>
      <c r="F1995" s="6" t="n">
        <v>3.49</v>
      </c>
      <c r="G1995" s="6" t="n">
        <v>0</v>
      </c>
      <c r="H1995" s="41" t="n">
        <v>17.1</v>
      </c>
      <c r="I1995" s="43" t="n">
        <f aca="false">F1995*H1995</f>
        <v>59.679</v>
      </c>
      <c r="J1995" s="43" t="n">
        <f aca="false">G1995*H1995*1.5</f>
        <v>0</v>
      </c>
      <c r="K1995" s="6" t="n">
        <v>8.31</v>
      </c>
      <c r="L1995" s="43" t="n">
        <f aca="false">K1995*'Chart of Accounts'!$E$68</f>
        <v>5.5677</v>
      </c>
      <c r="O1995" s="42" t="n">
        <f aca="false">I1995+J1995+L1995</f>
        <v>65.2467</v>
      </c>
    </row>
    <row r="1996" customFormat="false" ht="15" hidden="false" customHeight="false" outlineLevel="0" collapsed="false">
      <c r="B1996" s="7" t="s">
        <v>10629</v>
      </c>
      <c r="C1996" s="39" t="n">
        <v>45782</v>
      </c>
      <c r="D1996" s="7" t="s">
        <v>246</v>
      </c>
      <c r="E1996" s="7" t="s">
        <v>180</v>
      </c>
      <c r="F1996" s="6" t="n">
        <v>8.38</v>
      </c>
      <c r="G1996" s="6" t="n">
        <v>0</v>
      </c>
      <c r="H1996" s="41" t="n">
        <v>16.48</v>
      </c>
      <c r="I1996" s="43" t="n">
        <f aca="false">F1996*H1996</f>
        <v>138.1024</v>
      </c>
      <c r="J1996" s="43" t="n">
        <f aca="false">G1996*H1996*1.5</f>
        <v>0</v>
      </c>
      <c r="K1996" s="6" t="n">
        <v>23.47</v>
      </c>
      <c r="L1996" s="43" t="n">
        <f aca="false">K1996*'Chart of Accounts'!$E$68</f>
        <v>15.7249</v>
      </c>
      <c r="O1996" s="42" t="n">
        <f aca="false">I1996+J1996+L1996</f>
        <v>153.8273</v>
      </c>
    </row>
    <row r="1997" customFormat="false" ht="15" hidden="false" customHeight="false" outlineLevel="0" collapsed="false">
      <c r="B1997" s="7" t="s">
        <v>10630</v>
      </c>
      <c r="C1997" s="39" t="n">
        <v>45782</v>
      </c>
      <c r="D1997" s="7" t="s">
        <v>214</v>
      </c>
      <c r="E1997" s="7" t="s">
        <v>180</v>
      </c>
      <c r="F1997" s="6" t="n">
        <v>7.46</v>
      </c>
      <c r="G1997" s="6" t="n">
        <v>0</v>
      </c>
      <c r="H1997" s="41" t="n">
        <v>15.67</v>
      </c>
      <c r="I1997" s="43" t="n">
        <f aca="false">F1997*H1997</f>
        <v>116.8982</v>
      </c>
      <c r="J1997" s="43" t="n">
        <f aca="false">G1997*H1997*1.5</f>
        <v>0</v>
      </c>
      <c r="K1997" s="6" t="n">
        <v>18.22</v>
      </c>
      <c r="L1997" s="43" t="n">
        <f aca="false">K1997*'Chart of Accounts'!$E$68</f>
        <v>12.2074</v>
      </c>
      <c r="O1997" s="42" t="n">
        <f aca="false">I1997+J1997+L1997</f>
        <v>129.1056</v>
      </c>
    </row>
    <row r="1998" customFormat="false" ht="15" hidden="false" customHeight="false" outlineLevel="0" collapsed="false">
      <c r="B1998" s="7" t="s">
        <v>10631</v>
      </c>
      <c r="C1998" s="39" t="n">
        <v>45782</v>
      </c>
      <c r="D1998" s="7" t="s">
        <v>238</v>
      </c>
      <c r="E1998" s="7" t="s">
        <v>180</v>
      </c>
      <c r="F1998" s="6" t="n">
        <v>3.91</v>
      </c>
      <c r="G1998" s="6" t="n">
        <v>0</v>
      </c>
      <c r="H1998" s="41" t="n">
        <v>15.85</v>
      </c>
      <c r="I1998" s="43" t="n">
        <f aca="false">F1998*H1998</f>
        <v>61.9735</v>
      </c>
      <c r="J1998" s="43" t="n">
        <f aca="false">G1998*H1998*1.5</f>
        <v>0</v>
      </c>
      <c r="K1998" s="6" t="n">
        <v>12.38</v>
      </c>
      <c r="L1998" s="43" t="n">
        <f aca="false">K1998*'Chart of Accounts'!$E$68</f>
        <v>8.2946</v>
      </c>
      <c r="O1998" s="42" t="n">
        <f aca="false">I1998+J1998+L1998</f>
        <v>70.2681</v>
      </c>
    </row>
    <row r="1999" customFormat="false" ht="15" hidden="false" customHeight="false" outlineLevel="0" collapsed="false">
      <c r="B1999" s="7" t="s">
        <v>10632</v>
      </c>
      <c r="C1999" s="39" t="n">
        <v>45783</v>
      </c>
      <c r="D1999" s="7" t="s">
        <v>191</v>
      </c>
      <c r="E1999" s="7" t="s">
        <v>180</v>
      </c>
      <c r="F1999" s="6" t="n">
        <v>3.75</v>
      </c>
      <c r="G1999" s="6" t="n">
        <v>0</v>
      </c>
      <c r="H1999" s="41" t="n">
        <v>16.05</v>
      </c>
      <c r="I1999" s="43" t="n">
        <f aca="false">F1999*H1999</f>
        <v>60.1875</v>
      </c>
      <c r="J1999" s="43" t="n">
        <f aca="false">G1999*H1999*1.5</f>
        <v>0</v>
      </c>
      <c r="K1999" s="6" t="n">
        <v>8.32</v>
      </c>
      <c r="L1999" s="43" t="n">
        <f aca="false">K1999*'Chart of Accounts'!$E$68</f>
        <v>5.5744</v>
      </c>
      <c r="O1999" s="42" t="n">
        <f aca="false">I1999+J1999+L1999</f>
        <v>65.7619</v>
      </c>
    </row>
    <row r="2000" customFormat="false" ht="15" hidden="false" customHeight="false" outlineLevel="0" collapsed="false">
      <c r="B2000" s="7" t="s">
        <v>10633</v>
      </c>
      <c r="C2000" s="39" t="n">
        <v>45783</v>
      </c>
      <c r="D2000" s="7" t="s">
        <v>209</v>
      </c>
      <c r="E2000" s="7" t="s">
        <v>158</v>
      </c>
      <c r="H2000" s="41" t="n">
        <v>73.58</v>
      </c>
      <c r="M2000" s="6" t="n">
        <v>1</v>
      </c>
      <c r="N2000" s="43" t="n">
        <f aca="false">M2000*H2000</f>
        <v>73.58</v>
      </c>
      <c r="O2000" s="42" t="n">
        <f aca="false">N2000</f>
        <v>73.58</v>
      </c>
    </row>
    <row r="2001" customFormat="false" ht="15" hidden="false" customHeight="false" outlineLevel="0" collapsed="false">
      <c r="B2001" s="7" t="s">
        <v>10634</v>
      </c>
      <c r="C2001" s="39" t="n">
        <v>45783</v>
      </c>
      <c r="D2001" s="7" t="s">
        <v>184</v>
      </c>
      <c r="E2001" s="7" t="s">
        <v>180</v>
      </c>
      <c r="F2001" s="6" t="n">
        <v>3.77</v>
      </c>
      <c r="G2001" s="6" t="n">
        <v>0</v>
      </c>
      <c r="H2001" s="41" t="n">
        <v>17.34</v>
      </c>
      <c r="I2001" s="43" t="n">
        <f aca="false">F2001*H2001</f>
        <v>65.3718</v>
      </c>
      <c r="J2001" s="43" t="n">
        <f aca="false">G2001*H2001*1.5</f>
        <v>0</v>
      </c>
      <c r="K2001" s="6" t="n">
        <v>10.5</v>
      </c>
      <c r="L2001" s="43" t="n">
        <f aca="false">K2001*'Chart of Accounts'!$E$68</f>
        <v>7.035</v>
      </c>
      <c r="O2001" s="42" t="n">
        <f aca="false">I2001+J2001+L2001</f>
        <v>72.4068</v>
      </c>
    </row>
    <row r="2002" customFormat="false" ht="15" hidden="false" customHeight="false" outlineLevel="0" collapsed="false">
      <c r="B2002" s="7" t="s">
        <v>10635</v>
      </c>
      <c r="C2002" s="39" t="n">
        <v>45783</v>
      </c>
      <c r="D2002" s="7" t="s">
        <v>234</v>
      </c>
      <c r="E2002" s="7" t="s">
        <v>158</v>
      </c>
      <c r="H2002" s="41" t="n">
        <v>89.53</v>
      </c>
      <c r="M2002" s="6" t="n">
        <v>2</v>
      </c>
      <c r="N2002" s="43" t="n">
        <f aca="false">M2002*H2002</f>
        <v>179.06</v>
      </c>
      <c r="O2002" s="42" t="n">
        <f aca="false">N2002</f>
        <v>179.06</v>
      </c>
    </row>
    <row r="2003" customFormat="false" ht="15" hidden="false" customHeight="false" outlineLevel="0" collapsed="false">
      <c r="B2003" s="7" t="s">
        <v>10636</v>
      </c>
      <c r="C2003" s="39" t="n">
        <v>45783</v>
      </c>
      <c r="D2003" s="7" t="s">
        <v>218</v>
      </c>
      <c r="E2003" s="7" t="s">
        <v>180</v>
      </c>
      <c r="F2003" s="6" t="n">
        <v>4.3</v>
      </c>
      <c r="G2003" s="6" t="n">
        <v>0</v>
      </c>
      <c r="H2003" s="41" t="n">
        <v>16.19</v>
      </c>
      <c r="I2003" s="43" t="n">
        <f aca="false">F2003*H2003</f>
        <v>69.617</v>
      </c>
      <c r="J2003" s="43" t="n">
        <f aca="false">G2003*H2003*1.5</f>
        <v>0</v>
      </c>
      <c r="K2003" s="6" t="n">
        <v>15.46</v>
      </c>
      <c r="L2003" s="43" t="n">
        <f aca="false">K2003*'Chart of Accounts'!$E$68</f>
        <v>10.3582</v>
      </c>
      <c r="O2003" s="42" t="n">
        <f aca="false">I2003+J2003+L2003</f>
        <v>79.9752</v>
      </c>
    </row>
    <row r="2004" customFormat="false" ht="15" hidden="false" customHeight="false" outlineLevel="0" collapsed="false">
      <c r="B2004" s="7" t="s">
        <v>10637</v>
      </c>
      <c r="C2004" s="39" t="n">
        <v>45783</v>
      </c>
      <c r="D2004" s="7" t="s">
        <v>266</v>
      </c>
      <c r="E2004" s="7" t="s">
        <v>158</v>
      </c>
      <c r="H2004" s="41" t="n">
        <v>75.18</v>
      </c>
      <c r="M2004" s="6" t="n">
        <v>1</v>
      </c>
      <c r="N2004" s="43" t="n">
        <f aca="false">M2004*H2004</f>
        <v>75.18</v>
      </c>
      <c r="O2004" s="42" t="n">
        <f aca="false">N2004</f>
        <v>75.18</v>
      </c>
    </row>
    <row r="2005" customFormat="false" ht="15" hidden="false" customHeight="false" outlineLevel="0" collapsed="false">
      <c r="B2005" s="7" t="s">
        <v>10638</v>
      </c>
      <c r="C2005" s="39" t="n">
        <v>45783</v>
      </c>
      <c r="D2005" s="7" t="s">
        <v>228</v>
      </c>
      <c r="E2005" s="7" t="s">
        <v>158</v>
      </c>
      <c r="H2005" s="41" t="n">
        <v>51.07</v>
      </c>
      <c r="M2005" s="6" t="n">
        <v>1</v>
      </c>
      <c r="N2005" s="43" t="n">
        <f aca="false">M2005*H2005</f>
        <v>51.07</v>
      </c>
      <c r="O2005" s="42" t="n">
        <f aca="false">N2005</f>
        <v>51.07</v>
      </c>
    </row>
    <row r="2006" customFormat="false" ht="15" hidden="false" customHeight="false" outlineLevel="0" collapsed="false">
      <c r="B2006" s="7" t="s">
        <v>10639</v>
      </c>
      <c r="C2006" s="39" t="n">
        <v>45783</v>
      </c>
      <c r="D2006" s="7" t="s">
        <v>220</v>
      </c>
      <c r="E2006" s="7" t="s">
        <v>180</v>
      </c>
      <c r="F2006" s="6" t="n">
        <v>3.62</v>
      </c>
      <c r="G2006" s="6" t="n">
        <v>0</v>
      </c>
      <c r="H2006" s="41" t="n">
        <v>16.43</v>
      </c>
      <c r="I2006" s="43" t="n">
        <f aca="false">F2006*H2006</f>
        <v>59.4766</v>
      </c>
      <c r="J2006" s="43" t="n">
        <f aca="false">G2006*H2006*1.5</f>
        <v>0</v>
      </c>
      <c r="K2006" s="6" t="n">
        <v>8.65</v>
      </c>
      <c r="L2006" s="43" t="n">
        <f aca="false">K2006*'Chart of Accounts'!$E$68</f>
        <v>5.7955</v>
      </c>
      <c r="O2006" s="42" t="n">
        <f aca="false">I2006+J2006+L2006</f>
        <v>65.2721</v>
      </c>
    </row>
    <row r="2007" customFormat="false" ht="15" hidden="false" customHeight="false" outlineLevel="0" collapsed="false">
      <c r="B2007" s="7" t="s">
        <v>10640</v>
      </c>
      <c r="C2007" s="39" t="n">
        <v>45783</v>
      </c>
      <c r="D2007" s="7" t="s">
        <v>194</v>
      </c>
      <c r="E2007" s="7" t="s">
        <v>180</v>
      </c>
      <c r="F2007" s="6" t="n">
        <v>4.23</v>
      </c>
      <c r="G2007" s="6" t="n">
        <v>0</v>
      </c>
      <c r="H2007" s="41" t="n">
        <v>16</v>
      </c>
      <c r="I2007" s="43" t="n">
        <f aca="false">F2007*H2007</f>
        <v>67.68</v>
      </c>
      <c r="J2007" s="43" t="n">
        <f aca="false">G2007*H2007*1.5</f>
        <v>0</v>
      </c>
      <c r="K2007" s="6" t="n">
        <v>10.73</v>
      </c>
      <c r="L2007" s="43" t="n">
        <f aca="false">K2007*'Chart of Accounts'!$E$68</f>
        <v>7.1891</v>
      </c>
      <c r="O2007" s="42" t="n">
        <f aca="false">I2007+J2007+L2007</f>
        <v>74.8691</v>
      </c>
    </row>
    <row r="2008" customFormat="false" ht="15" hidden="false" customHeight="false" outlineLevel="0" collapsed="false">
      <c r="B2008" s="7" t="s">
        <v>10641</v>
      </c>
      <c r="C2008" s="39" t="n">
        <v>45783</v>
      </c>
      <c r="D2008" s="7" t="s">
        <v>246</v>
      </c>
      <c r="E2008" s="7" t="s">
        <v>180</v>
      </c>
      <c r="F2008" s="6" t="n">
        <v>4.37</v>
      </c>
      <c r="G2008" s="6" t="n">
        <v>0</v>
      </c>
      <c r="H2008" s="41" t="n">
        <v>16.48</v>
      </c>
      <c r="I2008" s="43" t="n">
        <f aca="false">F2008*H2008</f>
        <v>72.0176</v>
      </c>
      <c r="J2008" s="43" t="n">
        <f aca="false">G2008*H2008*1.5</f>
        <v>0</v>
      </c>
      <c r="K2008" s="6" t="n">
        <v>9.85</v>
      </c>
      <c r="L2008" s="43" t="n">
        <f aca="false">K2008*'Chart of Accounts'!$E$68</f>
        <v>6.5995</v>
      </c>
      <c r="O2008" s="42" t="n">
        <f aca="false">I2008+J2008+L2008</f>
        <v>78.6171</v>
      </c>
    </row>
    <row r="2009" customFormat="false" ht="15" hidden="false" customHeight="false" outlineLevel="0" collapsed="false">
      <c r="B2009" s="7" t="s">
        <v>10642</v>
      </c>
      <c r="C2009" s="39" t="n">
        <v>45783</v>
      </c>
      <c r="D2009" s="7" t="s">
        <v>222</v>
      </c>
      <c r="E2009" s="7" t="s">
        <v>180</v>
      </c>
      <c r="F2009" s="6" t="n">
        <v>4.21</v>
      </c>
      <c r="G2009" s="6" t="n">
        <v>0</v>
      </c>
      <c r="H2009" s="41" t="n">
        <v>17.84</v>
      </c>
      <c r="I2009" s="43" t="n">
        <f aca="false">F2009*H2009</f>
        <v>75.1064</v>
      </c>
      <c r="J2009" s="43" t="n">
        <f aca="false">G2009*H2009*1.5</f>
        <v>0</v>
      </c>
      <c r="K2009" s="6" t="n">
        <v>13.66</v>
      </c>
      <c r="L2009" s="43" t="n">
        <f aca="false">K2009*'Chart of Accounts'!$E$68</f>
        <v>9.1522</v>
      </c>
      <c r="O2009" s="42" t="n">
        <f aca="false">I2009+J2009+L2009</f>
        <v>84.2586</v>
      </c>
    </row>
    <row r="2010" customFormat="false" ht="15" hidden="false" customHeight="false" outlineLevel="0" collapsed="false">
      <c r="B2010" s="7" t="s">
        <v>10643</v>
      </c>
      <c r="C2010" s="39" t="n">
        <v>45783</v>
      </c>
      <c r="D2010" s="7" t="s">
        <v>242</v>
      </c>
      <c r="E2010" s="7" t="s">
        <v>180</v>
      </c>
      <c r="F2010" s="6" t="n">
        <v>4.15</v>
      </c>
      <c r="G2010" s="6" t="n">
        <v>0</v>
      </c>
      <c r="H2010" s="41" t="n">
        <v>17.99</v>
      </c>
      <c r="I2010" s="43" t="n">
        <f aca="false">F2010*H2010</f>
        <v>74.6585</v>
      </c>
      <c r="J2010" s="43" t="n">
        <f aca="false">G2010*H2010*1.5</f>
        <v>0</v>
      </c>
      <c r="K2010" s="6" t="n">
        <v>12.2</v>
      </c>
      <c r="L2010" s="43" t="n">
        <f aca="false">K2010*'Chart of Accounts'!$E$68</f>
        <v>8.174</v>
      </c>
      <c r="O2010" s="42" t="n">
        <f aca="false">I2010+J2010+L2010</f>
        <v>82.8325</v>
      </c>
    </row>
    <row r="2011" customFormat="false" ht="15" hidden="false" customHeight="false" outlineLevel="0" collapsed="false">
      <c r="B2011" s="7" t="s">
        <v>10644</v>
      </c>
      <c r="C2011" s="39" t="n">
        <v>45783</v>
      </c>
      <c r="D2011" s="7" t="s">
        <v>203</v>
      </c>
      <c r="E2011" s="7" t="s">
        <v>158</v>
      </c>
      <c r="H2011" s="41" t="n">
        <v>49.43</v>
      </c>
      <c r="M2011" s="6" t="n">
        <v>1</v>
      </c>
      <c r="N2011" s="43" t="n">
        <f aca="false">M2011*H2011</f>
        <v>49.43</v>
      </c>
      <c r="O2011" s="42" t="n">
        <f aca="false">N2011</f>
        <v>49.43</v>
      </c>
    </row>
    <row r="2012" customFormat="false" ht="15" hidden="false" customHeight="false" outlineLevel="0" collapsed="false">
      <c r="B2012" s="7" t="s">
        <v>10645</v>
      </c>
      <c r="C2012" s="39" t="n">
        <v>45783</v>
      </c>
      <c r="D2012" s="7" t="s">
        <v>254</v>
      </c>
      <c r="E2012" s="7" t="s">
        <v>180</v>
      </c>
      <c r="F2012" s="6" t="n">
        <v>4.09</v>
      </c>
      <c r="G2012" s="6" t="n">
        <v>0</v>
      </c>
      <c r="H2012" s="41" t="n">
        <v>17.1</v>
      </c>
      <c r="I2012" s="43" t="n">
        <f aca="false">F2012*H2012</f>
        <v>69.939</v>
      </c>
      <c r="J2012" s="43" t="n">
        <f aca="false">G2012*H2012*1.5</f>
        <v>0</v>
      </c>
      <c r="K2012" s="6" t="n">
        <v>9.01</v>
      </c>
      <c r="L2012" s="43" t="n">
        <f aca="false">K2012*'Chart of Accounts'!$E$68</f>
        <v>6.0367</v>
      </c>
      <c r="O2012" s="42" t="n">
        <f aca="false">I2012+J2012+L2012</f>
        <v>75.9757</v>
      </c>
    </row>
    <row r="2013" customFormat="false" ht="15" hidden="false" customHeight="false" outlineLevel="0" collapsed="false">
      <c r="B2013" s="7" t="s">
        <v>10646</v>
      </c>
      <c r="C2013" s="39" t="n">
        <v>45784</v>
      </c>
      <c r="D2013" s="7" t="s">
        <v>187</v>
      </c>
      <c r="E2013" s="7" t="s">
        <v>158</v>
      </c>
      <c r="H2013" s="41" t="n">
        <v>66.48</v>
      </c>
      <c r="M2013" s="6" t="n">
        <v>1</v>
      </c>
      <c r="N2013" s="43" t="n">
        <f aca="false">M2013*H2013</f>
        <v>66.48</v>
      </c>
      <c r="O2013" s="42" t="n">
        <f aca="false">N2013</f>
        <v>66.48</v>
      </c>
    </row>
    <row r="2014" customFormat="false" ht="15" hidden="false" customHeight="false" outlineLevel="0" collapsed="false">
      <c r="B2014" s="7" t="s">
        <v>10647</v>
      </c>
      <c r="C2014" s="39" t="n">
        <v>45784</v>
      </c>
      <c r="D2014" s="7" t="s">
        <v>228</v>
      </c>
      <c r="E2014" s="7" t="s">
        <v>158</v>
      </c>
      <c r="H2014" s="41" t="n">
        <v>51.07</v>
      </c>
      <c r="M2014" s="6" t="n">
        <v>1</v>
      </c>
      <c r="N2014" s="43" t="n">
        <f aca="false">M2014*H2014</f>
        <v>51.07</v>
      </c>
      <c r="O2014" s="42" t="n">
        <f aca="false">N2014</f>
        <v>51.07</v>
      </c>
    </row>
    <row r="2015" customFormat="false" ht="15" hidden="false" customHeight="false" outlineLevel="0" collapsed="false">
      <c r="B2015" s="7" t="s">
        <v>10648</v>
      </c>
      <c r="C2015" s="39" t="n">
        <v>45784</v>
      </c>
      <c r="D2015" s="7" t="s">
        <v>191</v>
      </c>
      <c r="E2015" s="7" t="s">
        <v>180</v>
      </c>
      <c r="F2015" s="6" t="n">
        <v>4.36</v>
      </c>
      <c r="G2015" s="6" t="n">
        <v>0</v>
      </c>
      <c r="H2015" s="41" t="n">
        <v>16.05</v>
      </c>
      <c r="I2015" s="43" t="n">
        <f aca="false">F2015*H2015</f>
        <v>69.978</v>
      </c>
      <c r="J2015" s="43" t="n">
        <f aca="false">G2015*H2015*1.5</f>
        <v>0</v>
      </c>
      <c r="K2015" s="6" t="n">
        <v>15.11</v>
      </c>
      <c r="L2015" s="43" t="n">
        <f aca="false">K2015*'Chart of Accounts'!$E$68</f>
        <v>10.1237</v>
      </c>
      <c r="O2015" s="42" t="n">
        <f aca="false">I2015+J2015+L2015</f>
        <v>80.1017</v>
      </c>
    </row>
    <row r="2016" customFormat="false" ht="15" hidden="false" customHeight="false" outlineLevel="0" collapsed="false">
      <c r="B2016" s="7" t="s">
        <v>10649</v>
      </c>
      <c r="C2016" s="39" t="n">
        <v>45784</v>
      </c>
      <c r="D2016" s="7" t="s">
        <v>194</v>
      </c>
      <c r="E2016" s="7" t="s">
        <v>180</v>
      </c>
      <c r="F2016" s="6" t="n">
        <v>8.94</v>
      </c>
      <c r="G2016" s="6" t="n">
        <v>0</v>
      </c>
      <c r="H2016" s="41" t="n">
        <v>16</v>
      </c>
      <c r="I2016" s="43" t="n">
        <f aca="false">F2016*H2016</f>
        <v>143.04</v>
      </c>
      <c r="J2016" s="43" t="n">
        <f aca="false">G2016*H2016*1.5</f>
        <v>0</v>
      </c>
      <c r="K2016" s="6" t="n">
        <v>28.05</v>
      </c>
      <c r="L2016" s="43" t="n">
        <f aca="false">K2016*'Chart of Accounts'!$E$68</f>
        <v>18.7935</v>
      </c>
      <c r="O2016" s="42" t="n">
        <f aca="false">I2016+J2016+L2016</f>
        <v>161.8335</v>
      </c>
    </row>
    <row r="2017" customFormat="false" ht="15" hidden="false" customHeight="false" outlineLevel="0" collapsed="false">
      <c r="B2017" s="7" t="s">
        <v>10650</v>
      </c>
      <c r="C2017" s="39" t="n">
        <v>45784</v>
      </c>
      <c r="D2017" s="7" t="s">
        <v>205</v>
      </c>
      <c r="E2017" s="7" t="s">
        <v>180</v>
      </c>
      <c r="F2017" s="6" t="n">
        <v>4.01</v>
      </c>
      <c r="G2017" s="6" t="n">
        <v>0</v>
      </c>
      <c r="H2017" s="41" t="n">
        <v>16.36</v>
      </c>
      <c r="I2017" s="43" t="n">
        <f aca="false">F2017*H2017</f>
        <v>65.6036</v>
      </c>
      <c r="J2017" s="43" t="n">
        <f aca="false">G2017*H2017*1.5</f>
        <v>0</v>
      </c>
      <c r="K2017" s="6" t="n">
        <v>12.66</v>
      </c>
      <c r="L2017" s="43" t="n">
        <f aca="false">K2017*'Chart of Accounts'!$E$68</f>
        <v>8.4822</v>
      </c>
      <c r="O2017" s="42" t="n">
        <f aca="false">I2017+J2017+L2017</f>
        <v>74.0858</v>
      </c>
    </row>
    <row r="2018" customFormat="false" ht="15" hidden="false" customHeight="false" outlineLevel="0" collapsed="false">
      <c r="B2018" s="7" t="s">
        <v>10651</v>
      </c>
      <c r="C2018" s="39" t="n">
        <v>45784</v>
      </c>
      <c r="D2018" s="7" t="s">
        <v>264</v>
      </c>
      <c r="E2018" s="7" t="s">
        <v>158</v>
      </c>
      <c r="H2018" s="41" t="n">
        <v>55.55</v>
      </c>
      <c r="M2018" s="6" t="n">
        <v>1</v>
      </c>
      <c r="N2018" s="43" t="n">
        <f aca="false">M2018*H2018</f>
        <v>55.55</v>
      </c>
      <c r="O2018" s="42" t="n">
        <f aca="false">N2018</f>
        <v>55.55</v>
      </c>
    </row>
    <row r="2019" customFormat="false" ht="15" hidden="false" customHeight="false" outlineLevel="0" collapsed="false">
      <c r="B2019" s="7" t="s">
        <v>10652</v>
      </c>
      <c r="C2019" s="39" t="n">
        <v>45784</v>
      </c>
      <c r="D2019" s="7" t="s">
        <v>252</v>
      </c>
      <c r="E2019" s="7" t="s">
        <v>158</v>
      </c>
      <c r="H2019" s="41" t="n">
        <v>57.54</v>
      </c>
      <c r="M2019" s="6" t="n">
        <v>1</v>
      </c>
      <c r="N2019" s="43" t="n">
        <f aca="false">M2019*H2019</f>
        <v>57.54</v>
      </c>
      <c r="O2019" s="42" t="n">
        <f aca="false">N2019</f>
        <v>57.54</v>
      </c>
    </row>
    <row r="2020" customFormat="false" ht="15" hidden="false" customHeight="false" outlineLevel="0" collapsed="false">
      <c r="B2020" s="7" t="s">
        <v>10653</v>
      </c>
      <c r="C2020" s="39" t="n">
        <v>45784</v>
      </c>
      <c r="D2020" s="7" t="s">
        <v>184</v>
      </c>
      <c r="E2020" s="7" t="s">
        <v>180</v>
      </c>
      <c r="F2020" s="6" t="n">
        <v>4.19</v>
      </c>
      <c r="G2020" s="6" t="n">
        <v>0</v>
      </c>
      <c r="H2020" s="41" t="n">
        <v>17.34</v>
      </c>
      <c r="I2020" s="43" t="n">
        <f aca="false">F2020*H2020</f>
        <v>72.6546</v>
      </c>
      <c r="J2020" s="43" t="n">
        <f aca="false">G2020*H2020*1.5</f>
        <v>0</v>
      </c>
      <c r="K2020" s="6" t="n">
        <v>14.36</v>
      </c>
      <c r="L2020" s="43" t="n">
        <f aca="false">K2020*'Chart of Accounts'!$E$68</f>
        <v>9.6212</v>
      </c>
      <c r="O2020" s="42" t="n">
        <f aca="false">I2020+J2020+L2020</f>
        <v>82.2758</v>
      </c>
    </row>
    <row r="2021" customFormat="false" ht="15" hidden="false" customHeight="false" outlineLevel="0" collapsed="false">
      <c r="B2021" s="7" t="s">
        <v>10654</v>
      </c>
      <c r="C2021" s="39" t="n">
        <v>45784</v>
      </c>
      <c r="D2021" s="7" t="s">
        <v>218</v>
      </c>
      <c r="E2021" s="7" t="s">
        <v>180</v>
      </c>
      <c r="F2021" s="6" t="n">
        <v>3.99</v>
      </c>
      <c r="G2021" s="6" t="n">
        <v>0</v>
      </c>
      <c r="H2021" s="41" t="n">
        <v>16.19</v>
      </c>
      <c r="I2021" s="43" t="n">
        <f aca="false">F2021*H2021</f>
        <v>64.5981</v>
      </c>
      <c r="J2021" s="43" t="n">
        <f aca="false">G2021*H2021*1.5</f>
        <v>0</v>
      </c>
      <c r="K2021" s="6" t="n">
        <v>12.35</v>
      </c>
      <c r="L2021" s="43" t="n">
        <f aca="false">K2021*'Chart of Accounts'!$E$68</f>
        <v>8.2745</v>
      </c>
      <c r="O2021" s="42" t="n">
        <f aca="false">I2021+J2021+L2021</f>
        <v>72.8726</v>
      </c>
    </row>
    <row r="2022" customFormat="false" ht="15" hidden="false" customHeight="false" outlineLevel="0" collapsed="false">
      <c r="B2022" s="7" t="s">
        <v>10655</v>
      </c>
      <c r="C2022" s="39" t="n">
        <v>45784</v>
      </c>
      <c r="D2022" s="7" t="s">
        <v>220</v>
      </c>
      <c r="E2022" s="7" t="s">
        <v>180</v>
      </c>
      <c r="F2022" s="6" t="n">
        <v>3.88</v>
      </c>
      <c r="G2022" s="6" t="n">
        <v>0</v>
      </c>
      <c r="H2022" s="41" t="n">
        <v>16.43</v>
      </c>
      <c r="I2022" s="43" t="n">
        <f aca="false">F2022*H2022</f>
        <v>63.7484</v>
      </c>
      <c r="J2022" s="43" t="n">
        <f aca="false">G2022*H2022*1.5</f>
        <v>0</v>
      </c>
      <c r="K2022" s="6" t="n">
        <v>9.61</v>
      </c>
      <c r="L2022" s="43" t="n">
        <f aca="false">K2022*'Chart of Accounts'!$E$68</f>
        <v>6.4387</v>
      </c>
      <c r="O2022" s="42" t="n">
        <f aca="false">I2022+J2022+L2022</f>
        <v>70.1871</v>
      </c>
    </row>
    <row r="2023" customFormat="false" ht="15" hidden="false" customHeight="false" outlineLevel="0" collapsed="false">
      <c r="B2023" s="7" t="s">
        <v>10656</v>
      </c>
      <c r="C2023" s="39" t="n">
        <v>45784</v>
      </c>
      <c r="D2023" s="7" t="s">
        <v>177</v>
      </c>
      <c r="E2023" s="7" t="s">
        <v>180</v>
      </c>
      <c r="F2023" s="6" t="n">
        <v>8.79</v>
      </c>
      <c r="G2023" s="6" t="n">
        <v>0</v>
      </c>
      <c r="H2023" s="41" t="n">
        <v>14.56</v>
      </c>
      <c r="I2023" s="43" t="n">
        <f aca="false">F2023*H2023</f>
        <v>127.9824</v>
      </c>
      <c r="J2023" s="43" t="n">
        <f aca="false">G2023*H2023*1.5</f>
        <v>0</v>
      </c>
      <c r="K2023" s="6" t="n">
        <v>24.96</v>
      </c>
      <c r="L2023" s="43" t="n">
        <f aca="false">K2023*'Chart of Accounts'!$E$68</f>
        <v>16.7232</v>
      </c>
      <c r="O2023" s="42" t="n">
        <f aca="false">I2023+J2023+L2023</f>
        <v>144.7056</v>
      </c>
    </row>
    <row r="2024" customFormat="false" ht="15" hidden="false" customHeight="false" outlineLevel="0" collapsed="false">
      <c r="B2024" s="7" t="s">
        <v>10657</v>
      </c>
      <c r="C2024" s="39" t="n">
        <v>45784</v>
      </c>
      <c r="D2024" s="7" t="s">
        <v>242</v>
      </c>
      <c r="E2024" s="7" t="s">
        <v>180</v>
      </c>
      <c r="F2024" s="6" t="n">
        <v>7.18</v>
      </c>
      <c r="G2024" s="6" t="n">
        <v>0</v>
      </c>
      <c r="H2024" s="41" t="n">
        <v>17.99</v>
      </c>
      <c r="I2024" s="43" t="n">
        <f aca="false">F2024*H2024</f>
        <v>129.1682</v>
      </c>
      <c r="J2024" s="43" t="n">
        <f aca="false">G2024*H2024*1.5</f>
        <v>0</v>
      </c>
      <c r="K2024" s="6" t="n">
        <v>23.91</v>
      </c>
      <c r="L2024" s="43" t="n">
        <f aca="false">K2024*'Chart of Accounts'!$E$68</f>
        <v>16.0197</v>
      </c>
      <c r="O2024" s="42" t="n">
        <f aca="false">I2024+J2024+L2024</f>
        <v>145.1879</v>
      </c>
    </row>
    <row r="2025" customFormat="false" ht="15" hidden="false" customHeight="false" outlineLevel="0" collapsed="false">
      <c r="B2025" s="7" t="s">
        <v>10658</v>
      </c>
      <c r="C2025" s="39" t="n">
        <v>45784</v>
      </c>
      <c r="D2025" s="7" t="s">
        <v>254</v>
      </c>
      <c r="E2025" s="7" t="s">
        <v>180</v>
      </c>
      <c r="F2025" s="6" t="n">
        <v>7.81</v>
      </c>
      <c r="G2025" s="6" t="n">
        <v>0</v>
      </c>
      <c r="H2025" s="41" t="n">
        <v>17.1</v>
      </c>
      <c r="I2025" s="43" t="n">
        <f aca="false">F2025*H2025</f>
        <v>133.551</v>
      </c>
      <c r="J2025" s="43" t="n">
        <f aca="false">G2025*H2025*1.5</f>
        <v>0</v>
      </c>
      <c r="K2025" s="6" t="n">
        <v>23.46</v>
      </c>
      <c r="L2025" s="43" t="n">
        <f aca="false">K2025*'Chart of Accounts'!$E$68</f>
        <v>15.7182</v>
      </c>
      <c r="O2025" s="42" t="n">
        <f aca="false">I2025+J2025+L2025</f>
        <v>149.2692</v>
      </c>
    </row>
    <row r="2026" customFormat="false" ht="15" hidden="false" customHeight="false" outlineLevel="0" collapsed="false">
      <c r="B2026" s="7" t="s">
        <v>10659</v>
      </c>
      <c r="C2026" s="39" t="n">
        <v>45784</v>
      </c>
      <c r="D2026" s="7" t="s">
        <v>201</v>
      </c>
      <c r="E2026" s="7" t="s">
        <v>180</v>
      </c>
      <c r="F2026" s="6" t="n">
        <v>3.52</v>
      </c>
      <c r="G2026" s="6" t="n">
        <v>0</v>
      </c>
      <c r="H2026" s="41" t="n">
        <v>15.19</v>
      </c>
      <c r="I2026" s="43" t="n">
        <f aca="false">F2026*H2026</f>
        <v>53.4688</v>
      </c>
      <c r="J2026" s="43" t="n">
        <f aca="false">G2026*H2026*1.5</f>
        <v>0</v>
      </c>
      <c r="K2026" s="6" t="n">
        <v>12.58</v>
      </c>
      <c r="L2026" s="43" t="n">
        <f aca="false">K2026*'Chart of Accounts'!$E$68</f>
        <v>8.4286</v>
      </c>
      <c r="O2026" s="42" t="n">
        <f aca="false">I2026+J2026+L2026</f>
        <v>61.8974</v>
      </c>
    </row>
    <row r="2027" customFormat="false" ht="15" hidden="false" customHeight="false" outlineLevel="0" collapsed="false">
      <c r="B2027" s="7" t="s">
        <v>10660</v>
      </c>
      <c r="C2027" s="39" t="n">
        <v>45784</v>
      </c>
      <c r="D2027" s="7" t="s">
        <v>207</v>
      </c>
      <c r="E2027" s="7" t="s">
        <v>180</v>
      </c>
      <c r="F2027" s="6" t="n">
        <v>3.33</v>
      </c>
      <c r="G2027" s="6" t="n">
        <v>0</v>
      </c>
      <c r="H2027" s="41" t="n">
        <v>16.65</v>
      </c>
      <c r="I2027" s="43" t="n">
        <f aca="false">F2027*H2027</f>
        <v>55.4445</v>
      </c>
      <c r="J2027" s="43" t="n">
        <f aca="false">G2027*H2027*1.5</f>
        <v>0</v>
      </c>
      <c r="K2027" s="6" t="n">
        <v>10.9</v>
      </c>
      <c r="L2027" s="43" t="n">
        <f aca="false">K2027*'Chart of Accounts'!$E$68</f>
        <v>7.303</v>
      </c>
      <c r="O2027" s="42" t="n">
        <f aca="false">I2027+J2027+L2027</f>
        <v>62.7475</v>
      </c>
    </row>
    <row r="2028" customFormat="false" ht="15" hidden="false" customHeight="false" outlineLevel="0" collapsed="false">
      <c r="B2028" s="7" t="s">
        <v>10661</v>
      </c>
      <c r="C2028" s="39" t="n">
        <v>45784</v>
      </c>
      <c r="D2028" s="7" t="s">
        <v>212</v>
      </c>
      <c r="E2028" s="7" t="s">
        <v>180</v>
      </c>
      <c r="F2028" s="6" t="n">
        <v>4.4</v>
      </c>
      <c r="G2028" s="6" t="n">
        <v>0</v>
      </c>
      <c r="H2028" s="41" t="n">
        <v>16.71</v>
      </c>
      <c r="I2028" s="43" t="n">
        <f aca="false">F2028*H2028</f>
        <v>73.524</v>
      </c>
      <c r="J2028" s="43" t="n">
        <f aca="false">G2028*H2028*1.5</f>
        <v>0</v>
      </c>
      <c r="K2028" s="6" t="n">
        <v>10.55</v>
      </c>
      <c r="L2028" s="43" t="n">
        <f aca="false">K2028*'Chart of Accounts'!$E$68</f>
        <v>7.0685</v>
      </c>
      <c r="O2028" s="42" t="n">
        <f aca="false">I2028+J2028+L2028</f>
        <v>80.5925</v>
      </c>
    </row>
    <row r="2029" customFormat="false" ht="15" hidden="false" customHeight="false" outlineLevel="0" collapsed="false">
      <c r="B2029" s="7" t="s">
        <v>10662</v>
      </c>
      <c r="C2029" s="39" t="n">
        <v>45784</v>
      </c>
      <c r="D2029" s="7" t="s">
        <v>232</v>
      </c>
      <c r="E2029" s="7" t="s">
        <v>180</v>
      </c>
      <c r="F2029" s="6" t="n">
        <v>4.7</v>
      </c>
      <c r="G2029" s="6" t="n">
        <v>0</v>
      </c>
      <c r="H2029" s="41" t="n">
        <v>16.17</v>
      </c>
      <c r="I2029" s="43" t="n">
        <f aca="false">F2029*H2029</f>
        <v>75.999</v>
      </c>
      <c r="J2029" s="43" t="n">
        <f aca="false">G2029*H2029*1.5</f>
        <v>0</v>
      </c>
      <c r="K2029" s="6" t="n">
        <v>16.64</v>
      </c>
      <c r="L2029" s="43" t="n">
        <f aca="false">K2029*'Chart of Accounts'!$E$68</f>
        <v>11.1488</v>
      </c>
      <c r="O2029" s="42" t="n">
        <f aca="false">I2029+J2029+L2029</f>
        <v>87.1478</v>
      </c>
    </row>
    <row r="2030" customFormat="false" ht="15" hidden="false" customHeight="false" outlineLevel="0" collapsed="false">
      <c r="B2030" s="7" t="s">
        <v>10663</v>
      </c>
      <c r="C2030" s="39" t="n">
        <v>45784</v>
      </c>
      <c r="D2030" s="7" t="s">
        <v>224</v>
      </c>
      <c r="E2030" s="7" t="s">
        <v>180</v>
      </c>
      <c r="F2030" s="6" t="n">
        <v>5.08</v>
      </c>
      <c r="G2030" s="6" t="n">
        <v>0</v>
      </c>
      <c r="H2030" s="41" t="n">
        <v>14.93</v>
      </c>
      <c r="I2030" s="43" t="n">
        <f aca="false">F2030*H2030</f>
        <v>75.8444</v>
      </c>
      <c r="J2030" s="43" t="n">
        <f aca="false">G2030*H2030*1.5</f>
        <v>0</v>
      </c>
      <c r="K2030" s="6" t="n">
        <v>11.39</v>
      </c>
      <c r="L2030" s="43" t="n">
        <f aca="false">K2030*'Chart of Accounts'!$E$68</f>
        <v>7.6313</v>
      </c>
      <c r="O2030" s="42" t="n">
        <f aca="false">I2030+J2030+L2030</f>
        <v>83.4757</v>
      </c>
    </row>
    <row r="2031" customFormat="false" ht="15" hidden="false" customHeight="false" outlineLevel="0" collapsed="false">
      <c r="B2031" s="7" t="s">
        <v>10664</v>
      </c>
      <c r="C2031" s="39" t="n">
        <v>45784</v>
      </c>
      <c r="D2031" s="7" t="s">
        <v>238</v>
      </c>
      <c r="E2031" s="7" t="s">
        <v>180</v>
      </c>
      <c r="F2031" s="6" t="n">
        <v>4.39</v>
      </c>
      <c r="G2031" s="6" t="n">
        <v>0</v>
      </c>
      <c r="H2031" s="41" t="n">
        <v>15.85</v>
      </c>
      <c r="I2031" s="43" t="n">
        <f aca="false">F2031*H2031</f>
        <v>69.5815</v>
      </c>
      <c r="J2031" s="43" t="n">
        <f aca="false">G2031*H2031*1.5</f>
        <v>0</v>
      </c>
      <c r="K2031" s="6" t="n">
        <v>13.38</v>
      </c>
      <c r="L2031" s="43" t="n">
        <f aca="false">K2031*'Chart of Accounts'!$E$68</f>
        <v>8.9646</v>
      </c>
      <c r="O2031" s="42" t="n">
        <f aca="false">I2031+J2031+L2031</f>
        <v>78.5461</v>
      </c>
    </row>
    <row r="2032" customFormat="false" ht="15" hidden="false" customHeight="false" outlineLevel="0" collapsed="false">
      <c r="B2032" s="7" t="s">
        <v>10665</v>
      </c>
      <c r="C2032" s="39" t="n">
        <v>45784</v>
      </c>
      <c r="D2032" s="7" t="s">
        <v>246</v>
      </c>
      <c r="E2032" s="7" t="s">
        <v>180</v>
      </c>
      <c r="F2032" s="6" t="n">
        <v>3.86</v>
      </c>
      <c r="G2032" s="6" t="n">
        <v>0</v>
      </c>
      <c r="H2032" s="41" t="n">
        <v>16.48</v>
      </c>
      <c r="I2032" s="43" t="n">
        <f aca="false">F2032*H2032</f>
        <v>63.6128</v>
      </c>
      <c r="J2032" s="43" t="n">
        <f aca="false">G2032*H2032*1.5</f>
        <v>0</v>
      </c>
      <c r="K2032" s="6" t="n">
        <v>13.2</v>
      </c>
      <c r="L2032" s="43" t="n">
        <f aca="false">K2032*'Chart of Accounts'!$E$68</f>
        <v>8.844</v>
      </c>
      <c r="O2032" s="42" t="n">
        <f aca="false">I2032+J2032+L2032</f>
        <v>72.4568</v>
      </c>
    </row>
    <row r="2033" customFormat="false" ht="15" hidden="false" customHeight="false" outlineLevel="0" collapsed="false">
      <c r="B2033" s="7" t="s">
        <v>10666</v>
      </c>
      <c r="C2033" s="39" t="n">
        <v>45784</v>
      </c>
      <c r="D2033" s="7" t="s">
        <v>222</v>
      </c>
      <c r="E2033" s="7" t="s">
        <v>180</v>
      </c>
      <c r="F2033" s="6" t="n">
        <v>4.18</v>
      </c>
      <c r="G2033" s="6" t="n">
        <v>0</v>
      </c>
      <c r="H2033" s="41" t="n">
        <v>17.84</v>
      </c>
      <c r="I2033" s="43" t="n">
        <f aca="false">F2033*H2033</f>
        <v>74.5712</v>
      </c>
      <c r="J2033" s="43" t="n">
        <f aca="false">G2033*H2033*1.5</f>
        <v>0</v>
      </c>
      <c r="K2033" s="6" t="n">
        <v>13.35</v>
      </c>
      <c r="L2033" s="43" t="n">
        <f aca="false">K2033*'Chart of Accounts'!$E$68</f>
        <v>8.9445</v>
      </c>
      <c r="O2033" s="42" t="n">
        <f aca="false">I2033+J2033+L2033</f>
        <v>83.5157</v>
      </c>
    </row>
    <row r="2034" customFormat="false" ht="15" hidden="false" customHeight="false" outlineLevel="0" collapsed="false">
      <c r="B2034" s="7" t="s">
        <v>10667</v>
      </c>
      <c r="C2034" s="39" t="n">
        <v>45784</v>
      </c>
      <c r="D2034" s="7" t="s">
        <v>203</v>
      </c>
      <c r="E2034" s="7" t="s">
        <v>158</v>
      </c>
      <c r="H2034" s="41" t="n">
        <v>49.43</v>
      </c>
      <c r="M2034" s="6" t="n">
        <v>1</v>
      </c>
      <c r="N2034" s="43" t="n">
        <f aca="false">M2034*H2034</f>
        <v>49.43</v>
      </c>
      <c r="O2034" s="42" t="n">
        <f aca="false">N2034</f>
        <v>49.43</v>
      </c>
    </row>
    <row r="2035" customFormat="false" ht="15" hidden="false" customHeight="false" outlineLevel="0" collapsed="false">
      <c r="B2035" s="7" t="s">
        <v>10668</v>
      </c>
      <c r="C2035" s="39" t="n">
        <v>45784</v>
      </c>
      <c r="D2035" s="7" t="s">
        <v>262</v>
      </c>
      <c r="E2035" s="7" t="s">
        <v>180</v>
      </c>
      <c r="F2035" s="6" t="n">
        <v>3.22</v>
      </c>
      <c r="G2035" s="6" t="n">
        <v>0</v>
      </c>
      <c r="H2035" s="41" t="n">
        <v>16.02</v>
      </c>
      <c r="I2035" s="43" t="n">
        <f aca="false">F2035*H2035</f>
        <v>51.5844</v>
      </c>
      <c r="J2035" s="43" t="n">
        <f aca="false">G2035*H2035*1.5</f>
        <v>0</v>
      </c>
      <c r="K2035" s="6" t="n">
        <v>8.08</v>
      </c>
      <c r="L2035" s="43" t="n">
        <f aca="false">K2035*'Chart of Accounts'!$E$68</f>
        <v>5.4136</v>
      </c>
      <c r="O2035" s="42" t="n">
        <f aca="false">I2035+J2035+L2035</f>
        <v>56.998</v>
      </c>
    </row>
    <row r="2036" customFormat="false" ht="15" hidden="false" customHeight="false" outlineLevel="0" collapsed="false">
      <c r="B2036" s="7" t="s">
        <v>10669</v>
      </c>
      <c r="C2036" s="39" t="n">
        <v>45784</v>
      </c>
      <c r="D2036" s="7" t="s">
        <v>214</v>
      </c>
      <c r="E2036" s="7" t="s">
        <v>180</v>
      </c>
      <c r="F2036" s="6" t="n">
        <v>3.61</v>
      </c>
      <c r="G2036" s="6" t="n">
        <v>0</v>
      </c>
      <c r="H2036" s="41" t="n">
        <v>15.67</v>
      </c>
      <c r="I2036" s="43" t="n">
        <f aca="false">F2036*H2036</f>
        <v>56.5687</v>
      </c>
      <c r="J2036" s="43" t="n">
        <f aca="false">G2036*H2036*1.5</f>
        <v>0</v>
      </c>
      <c r="K2036" s="6" t="n">
        <v>10.07</v>
      </c>
      <c r="L2036" s="43" t="n">
        <f aca="false">K2036*'Chart of Accounts'!$E$68</f>
        <v>6.7469</v>
      </c>
      <c r="O2036" s="42" t="n">
        <f aca="false">I2036+J2036+L2036</f>
        <v>63.3156</v>
      </c>
    </row>
    <row r="2037" customFormat="false" ht="15" hidden="false" customHeight="false" outlineLevel="0" collapsed="false">
      <c r="B2037" s="7" t="s">
        <v>10670</v>
      </c>
      <c r="C2037" s="39" t="n">
        <v>45785</v>
      </c>
      <c r="D2037" s="7" t="s">
        <v>191</v>
      </c>
      <c r="E2037" s="7" t="s">
        <v>180</v>
      </c>
      <c r="F2037" s="6" t="n">
        <v>3.95</v>
      </c>
      <c r="G2037" s="6" t="n">
        <v>0</v>
      </c>
      <c r="H2037" s="41" t="n">
        <v>16.05</v>
      </c>
      <c r="I2037" s="43" t="n">
        <f aca="false">F2037*H2037</f>
        <v>63.3975</v>
      </c>
      <c r="J2037" s="43" t="n">
        <f aca="false">G2037*H2037*1.5</f>
        <v>0</v>
      </c>
      <c r="K2037" s="6" t="n">
        <v>13.67</v>
      </c>
      <c r="L2037" s="43" t="n">
        <f aca="false">K2037*'Chart of Accounts'!$E$68</f>
        <v>9.1589</v>
      </c>
      <c r="O2037" s="42" t="n">
        <f aca="false">I2037+J2037+L2037</f>
        <v>72.5564</v>
      </c>
    </row>
    <row r="2038" customFormat="false" ht="15" hidden="false" customHeight="false" outlineLevel="0" collapsed="false">
      <c r="B2038" s="7" t="s">
        <v>10671</v>
      </c>
      <c r="C2038" s="39" t="n">
        <v>45785</v>
      </c>
      <c r="D2038" s="7" t="s">
        <v>201</v>
      </c>
      <c r="E2038" s="7" t="s">
        <v>180</v>
      </c>
      <c r="F2038" s="6" t="n">
        <v>6.08</v>
      </c>
      <c r="G2038" s="6" t="n">
        <v>0</v>
      </c>
      <c r="H2038" s="41" t="n">
        <v>15.19</v>
      </c>
      <c r="I2038" s="43" t="n">
        <f aca="false">F2038*H2038</f>
        <v>92.3552</v>
      </c>
      <c r="J2038" s="43" t="n">
        <f aca="false">G2038*H2038*1.5</f>
        <v>0</v>
      </c>
      <c r="K2038" s="6" t="n">
        <v>17</v>
      </c>
      <c r="L2038" s="43" t="n">
        <f aca="false">K2038*'Chart of Accounts'!$E$68</f>
        <v>11.39</v>
      </c>
      <c r="O2038" s="42" t="n">
        <f aca="false">I2038+J2038+L2038</f>
        <v>103.7452</v>
      </c>
    </row>
    <row r="2039" customFormat="false" ht="15" hidden="false" customHeight="false" outlineLevel="0" collapsed="false">
      <c r="B2039" s="7" t="s">
        <v>10672</v>
      </c>
      <c r="C2039" s="39" t="n">
        <v>45785</v>
      </c>
      <c r="D2039" s="7" t="s">
        <v>196</v>
      </c>
      <c r="E2039" s="7" t="s">
        <v>180</v>
      </c>
      <c r="F2039" s="6" t="n">
        <v>6.34</v>
      </c>
      <c r="G2039" s="6" t="n">
        <v>0</v>
      </c>
      <c r="H2039" s="41" t="n">
        <v>15.05</v>
      </c>
      <c r="I2039" s="43" t="n">
        <f aca="false">F2039*H2039</f>
        <v>95.417</v>
      </c>
      <c r="J2039" s="43" t="n">
        <f aca="false">G2039*H2039*1.5</f>
        <v>0</v>
      </c>
      <c r="K2039" s="6" t="n">
        <v>17.37</v>
      </c>
      <c r="L2039" s="43" t="n">
        <f aca="false">K2039*'Chart of Accounts'!$E$68</f>
        <v>11.6379</v>
      </c>
      <c r="O2039" s="42" t="n">
        <f aca="false">I2039+J2039+L2039</f>
        <v>107.0549</v>
      </c>
    </row>
    <row r="2040" customFormat="false" ht="15" hidden="false" customHeight="false" outlineLevel="0" collapsed="false">
      <c r="B2040" s="7" t="s">
        <v>10673</v>
      </c>
      <c r="C2040" s="39" t="n">
        <v>45785</v>
      </c>
      <c r="D2040" s="7" t="s">
        <v>184</v>
      </c>
      <c r="E2040" s="7" t="s">
        <v>180</v>
      </c>
      <c r="F2040" s="6" t="n">
        <v>4.06</v>
      </c>
      <c r="G2040" s="6" t="n">
        <v>0</v>
      </c>
      <c r="H2040" s="41" t="n">
        <v>17.34</v>
      </c>
      <c r="I2040" s="43" t="n">
        <f aca="false">F2040*H2040</f>
        <v>70.4004</v>
      </c>
      <c r="J2040" s="43" t="n">
        <f aca="false">G2040*H2040*1.5</f>
        <v>0</v>
      </c>
      <c r="K2040" s="6" t="n">
        <v>12.1</v>
      </c>
      <c r="L2040" s="43" t="n">
        <f aca="false">K2040*'Chart of Accounts'!$E$68</f>
        <v>8.107</v>
      </c>
      <c r="O2040" s="42" t="n">
        <f aca="false">I2040+J2040+L2040</f>
        <v>78.5074</v>
      </c>
    </row>
    <row r="2041" customFormat="false" ht="15" hidden="false" customHeight="false" outlineLevel="0" collapsed="false">
      <c r="B2041" s="7" t="s">
        <v>10674</v>
      </c>
      <c r="C2041" s="39" t="n">
        <v>45785</v>
      </c>
      <c r="D2041" s="7" t="s">
        <v>207</v>
      </c>
      <c r="E2041" s="7" t="s">
        <v>180</v>
      </c>
      <c r="F2041" s="6" t="n">
        <v>2.93</v>
      </c>
      <c r="G2041" s="6" t="n">
        <v>0</v>
      </c>
      <c r="H2041" s="41" t="n">
        <v>16.65</v>
      </c>
      <c r="I2041" s="43" t="n">
        <f aca="false">F2041*H2041</f>
        <v>48.7845</v>
      </c>
      <c r="J2041" s="43" t="n">
        <f aca="false">G2041*H2041*1.5</f>
        <v>0</v>
      </c>
      <c r="K2041" s="6" t="n">
        <v>9.43</v>
      </c>
      <c r="L2041" s="43" t="n">
        <f aca="false">K2041*'Chart of Accounts'!$E$68</f>
        <v>6.3181</v>
      </c>
      <c r="O2041" s="42" t="n">
        <f aca="false">I2041+J2041+L2041</f>
        <v>55.1026</v>
      </c>
    </row>
    <row r="2042" customFormat="false" ht="15" hidden="false" customHeight="false" outlineLevel="0" collapsed="false">
      <c r="B2042" s="7" t="s">
        <v>10675</v>
      </c>
      <c r="C2042" s="39" t="n">
        <v>45785</v>
      </c>
      <c r="D2042" s="7" t="s">
        <v>218</v>
      </c>
      <c r="E2042" s="7" t="s">
        <v>180</v>
      </c>
      <c r="F2042" s="6" t="n">
        <v>4.07</v>
      </c>
      <c r="G2042" s="6" t="n">
        <v>0</v>
      </c>
      <c r="H2042" s="41" t="n">
        <v>16.19</v>
      </c>
      <c r="I2042" s="43" t="n">
        <f aca="false">F2042*H2042</f>
        <v>65.8933</v>
      </c>
      <c r="J2042" s="43" t="n">
        <f aca="false">G2042*H2042*1.5</f>
        <v>0</v>
      </c>
      <c r="K2042" s="6" t="n">
        <v>10.7</v>
      </c>
      <c r="L2042" s="43" t="n">
        <f aca="false">K2042*'Chart of Accounts'!$E$68</f>
        <v>7.169</v>
      </c>
      <c r="O2042" s="42" t="n">
        <f aca="false">I2042+J2042+L2042</f>
        <v>73.0623</v>
      </c>
    </row>
    <row r="2043" customFormat="false" ht="15" hidden="false" customHeight="false" outlineLevel="0" collapsed="false">
      <c r="B2043" s="7" t="s">
        <v>10676</v>
      </c>
      <c r="C2043" s="39" t="n">
        <v>45785</v>
      </c>
      <c r="D2043" s="7" t="s">
        <v>212</v>
      </c>
      <c r="E2043" s="7" t="s">
        <v>180</v>
      </c>
      <c r="F2043" s="6" t="n">
        <v>6.81</v>
      </c>
      <c r="G2043" s="6" t="n">
        <v>0</v>
      </c>
      <c r="H2043" s="41" t="n">
        <v>16.71</v>
      </c>
      <c r="I2043" s="43" t="n">
        <f aca="false">F2043*H2043</f>
        <v>113.7951</v>
      </c>
      <c r="J2043" s="43" t="n">
        <f aca="false">G2043*H2043*1.5</f>
        <v>0</v>
      </c>
      <c r="K2043" s="6" t="n">
        <v>17.35</v>
      </c>
      <c r="L2043" s="43" t="n">
        <f aca="false">K2043*'Chart of Accounts'!$E$68</f>
        <v>11.6245</v>
      </c>
      <c r="O2043" s="42" t="n">
        <f aca="false">I2043+J2043+L2043</f>
        <v>125.4196</v>
      </c>
    </row>
    <row r="2044" customFormat="false" ht="15" hidden="false" customHeight="false" outlineLevel="0" collapsed="false">
      <c r="B2044" s="7" t="s">
        <v>10677</v>
      </c>
      <c r="C2044" s="39" t="n">
        <v>45785</v>
      </c>
      <c r="D2044" s="7" t="s">
        <v>220</v>
      </c>
      <c r="E2044" s="7" t="s">
        <v>180</v>
      </c>
      <c r="F2044" s="6" t="n">
        <v>4.35</v>
      </c>
      <c r="G2044" s="6" t="n">
        <v>0</v>
      </c>
      <c r="H2044" s="41" t="n">
        <v>16.43</v>
      </c>
      <c r="I2044" s="43" t="n">
        <f aca="false">F2044*H2044</f>
        <v>71.4705</v>
      </c>
      <c r="J2044" s="43" t="n">
        <f aca="false">G2044*H2044*1.5</f>
        <v>0</v>
      </c>
      <c r="K2044" s="6" t="n">
        <v>14.8</v>
      </c>
      <c r="L2044" s="43" t="n">
        <f aca="false">K2044*'Chart of Accounts'!$E$68</f>
        <v>9.916</v>
      </c>
      <c r="O2044" s="42" t="n">
        <f aca="false">I2044+J2044+L2044</f>
        <v>81.3865</v>
      </c>
    </row>
    <row r="2045" customFormat="false" ht="15" hidden="false" customHeight="false" outlineLevel="0" collapsed="false">
      <c r="B2045" s="7" t="s">
        <v>10678</v>
      </c>
      <c r="C2045" s="39" t="n">
        <v>45785</v>
      </c>
      <c r="D2045" s="7" t="s">
        <v>224</v>
      </c>
      <c r="E2045" s="7" t="s">
        <v>180</v>
      </c>
      <c r="F2045" s="6" t="n">
        <v>4.07</v>
      </c>
      <c r="G2045" s="6" t="n">
        <v>0</v>
      </c>
      <c r="H2045" s="41" t="n">
        <v>14.93</v>
      </c>
      <c r="I2045" s="43" t="n">
        <f aca="false">F2045*H2045</f>
        <v>60.7651</v>
      </c>
      <c r="J2045" s="43" t="n">
        <f aca="false">G2045*H2045*1.5</f>
        <v>0</v>
      </c>
      <c r="K2045" s="6" t="n">
        <v>10.4</v>
      </c>
      <c r="L2045" s="43" t="n">
        <f aca="false">K2045*'Chart of Accounts'!$E$68</f>
        <v>6.968</v>
      </c>
      <c r="O2045" s="42" t="n">
        <f aca="false">I2045+J2045+L2045</f>
        <v>67.7331</v>
      </c>
    </row>
    <row r="2046" customFormat="false" ht="15" hidden="false" customHeight="false" outlineLevel="0" collapsed="false">
      <c r="B2046" s="7" t="s">
        <v>10679</v>
      </c>
      <c r="C2046" s="39" t="n">
        <v>45785</v>
      </c>
      <c r="D2046" s="7" t="s">
        <v>232</v>
      </c>
      <c r="E2046" s="7" t="s">
        <v>180</v>
      </c>
      <c r="F2046" s="6" t="n">
        <v>3.21</v>
      </c>
      <c r="G2046" s="6" t="n">
        <v>0</v>
      </c>
      <c r="H2046" s="41" t="n">
        <v>16.17</v>
      </c>
      <c r="I2046" s="43" t="n">
        <f aca="false">F2046*H2046</f>
        <v>51.9057</v>
      </c>
      <c r="J2046" s="43" t="n">
        <f aca="false">G2046*H2046*1.5</f>
        <v>0</v>
      </c>
      <c r="K2046" s="6" t="n">
        <v>8.31</v>
      </c>
      <c r="L2046" s="43" t="n">
        <f aca="false">K2046*'Chart of Accounts'!$E$68</f>
        <v>5.5677</v>
      </c>
      <c r="O2046" s="42" t="n">
        <f aca="false">I2046+J2046+L2046</f>
        <v>57.4734</v>
      </c>
    </row>
    <row r="2047" customFormat="false" ht="15" hidden="false" customHeight="false" outlineLevel="0" collapsed="false">
      <c r="B2047" s="7" t="s">
        <v>10680</v>
      </c>
      <c r="C2047" s="39" t="n">
        <v>45785</v>
      </c>
      <c r="D2047" s="7" t="s">
        <v>222</v>
      </c>
      <c r="E2047" s="7" t="s">
        <v>180</v>
      </c>
      <c r="F2047" s="6" t="n">
        <v>7.22</v>
      </c>
      <c r="G2047" s="6" t="n">
        <v>0</v>
      </c>
      <c r="H2047" s="41" t="n">
        <v>17.84</v>
      </c>
      <c r="I2047" s="43" t="n">
        <f aca="false">F2047*H2047</f>
        <v>128.8048</v>
      </c>
      <c r="J2047" s="43" t="n">
        <f aca="false">G2047*H2047*1.5</f>
        <v>0</v>
      </c>
      <c r="K2047" s="6" t="n">
        <v>18.44</v>
      </c>
      <c r="L2047" s="43" t="n">
        <f aca="false">K2047*'Chart of Accounts'!$E$68</f>
        <v>12.3548</v>
      </c>
      <c r="O2047" s="42" t="n">
        <f aca="false">I2047+J2047+L2047</f>
        <v>141.1596</v>
      </c>
    </row>
    <row r="2048" customFormat="false" ht="15" hidden="false" customHeight="false" outlineLevel="0" collapsed="false">
      <c r="B2048" s="7" t="s">
        <v>10681</v>
      </c>
      <c r="C2048" s="39" t="n">
        <v>45785</v>
      </c>
      <c r="D2048" s="7" t="s">
        <v>262</v>
      </c>
      <c r="E2048" s="7" t="s">
        <v>180</v>
      </c>
      <c r="F2048" s="6" t="n">
        <v>3.72</v>
      </c>
      <c r="G2048" s="6" t="n">
        <v>0</v>
      </c>
      <c r="H2048" s="41" t="n">
        <v>16.02</v>
      </c>
      <c r="I2048" s="43" t="n">
        <f aca="false">F2048*H2048</f>
        <v>59.5944</v>
      </c>
      <c r="J2048" s="43" t="n">
        <f aca="false">G2048*H2048*1.5</f>
        <v>0</v>
      </c>
      <c r="K2048" s="6" t="n">
        <v>13.09</v>
      </c>
      <c r="L2048" s="43" t="n">
        <f aca="false">K2048*'Chart of Accounts'!$E$68</f>
        <v>8.7703</v>
      </c>
      <c r="O2048" s="42" t="n">
        <f aca="false">I2048+J2048+L2048</f>
        <v>68.3647</v>
      </c>
    </row>
    <row r="2049" customFormat="false" ht="15" hidden="false" customHeight="false" outlineLevel="0" collapsed="false">
      <c r="B2049" s="7" t="s">
        <v>10682</v>
      </c>
      <c r="C2049" s="39" t="n">
        <v>45785</v>
      </c>
      <c r="D2049" s="7" t="s">
        <v>246</v>
      </c>
      <c r="E2049" s="7" t="s">
        <v>180</v>
      </c>
      <c r="F2049" s="6" t="n">
        <v>8.17</v>
      </c>
      <c r="G2049" s="6" t="n">
        <v>0</v>
      </c>
      <c r="H2049" s="41" t="n">
        <v>16.48</v>
      </c>
      <c r="I2049" s="43" t="n">
        <f aca="false">F2049*H2049</f>
        <v>134.6416</v>
      </c>
      <c r="J2049" s="43" t="n">
        <f aca="false">G2049*H2049*1.5</f>
        <v>0</v>
      </c>
      <c r="K2049" s="6" t="n">
        <v>22.43</v>
      </c>
      <c r="L2049" s="43" t="n">
        <f aca="false">K2049*'Chart of Accounts'!$E$68</f>
        <v>15.0281</v>
      </c>
      <c r="O2049" s="42" t="n">
        <f aca="false">I2049+J2049+L2049</f>
        <v>149.6697</v>
      </c>
    </row>
    <row r="2050" customFormat="false" ht="15" hidden="false" customHeight="false" outlineLevel="0" collapsed="false">
      <c r="B2050" s="7" t="s">
        <v>10683</v>
      </c>
      <c r="C2050" s="39" t="n">
        <v>45785</v>
      </c>
      <c r="D2050" s="7" t="s">
        <v>194</v>
      </c>
      <c r="E2050" s="7" t="s">
        <v>180</v>
      </c>
      <c r="F2050" s="6" t="n">
        <v>4.1</v>
      </c>
      <c r="G2050" s="6" t="n">
        <v>0</v>
      </c>
      <c r="H2050" s="41" t="n">
        <v>16</v>
      </c>
      <c r="I2050" s="43" t="n">
        <f aca="false">F2050*H2050</f>
        <v>65.6</v>
      </c>
      <c r="J2050" s="43" t="n">
        <f aca="false">G2050*H2050*1.5</f>
        <v>0</v>
      </c>
      <c r="K2050" s="6" t="n">
        <v>11.52</v>
      </c>
      <c r="L2050" s="43" t="n">
        <f aca="false">K2050*'Chart of Accounts'!$E$68</f>
        <v>7.7184</v>
      </c>
      <c r="O2050" s="42" t="n">
        <f aca="false">I2050+J2050+L2050</f>
        <v>73.3184</v>
      </c>
    </row>
    <row r="2051" customFormat="false" ht="15" hidden="false" customHeight="false" outlineLevel="0" collapsed="false">
      <c r="B2051" s="7" t="s">
        <v>10684</v>
      </c>
      <c r="C2051" s="39" t="n">
        <v>45785</v>
      </c>
      <c r="D2051" s="7" t="s">
        <v>214</v>
      </c>
      <c r="E2051" s="7" t="s">
        <v>180</v>
      </c>
      <c r="F2051" s="6" t="n">
        <v>3.72</v>
      </c>
      <c r="G2051" s="6" t="n">
        <v>0</v>
      </c>
      <c r="H2051" s="41" t="n">
        <v>15.67</v>
      </c>
      <c r="I2051" s="43" t="n">
        <f aca="false">F2051*H2051</f>
        <v>58.2924</v>
      </c>
      <c r="J2051" s="43" t="n">
        <f aca="false">G2051*H2051*1.5</f>
        <v>0</v>
      </c>
      <c r="K2051" s="6" t="n">
        <v>9.56</v>
      </c>
      <c r="L2051" s="43" t="n">
        <f aca="false">K2051*'Chart of Accounts'!$E$68</f>
        <v>6.4052</v>
      </c>
      <c r="O2051" s="42" t="n">
        <f aca="false">I2051+J2051+L2051</f>
        <v>64.6976</v>
      </c>
    </row>
    <row r="2052" customFormat="false" ht="15" hidden="false" customHeight="false" outlineLevel="0" collapsed="false">
      <c r="B2052" s="7" t="s">
        <v>10685</v>
      </c>
      <c r="C2052" s="39" t="n">
        <v>45785</v>
      </c>
      <c r="D2052" s="7" t="s">
        <v>242</v>
      </c>
      <c r="E2052" s="7" t="s">
        <v>180</v>
      </c>
      <c r="F2052" s="6" t="n">
        <v>4.18</v>
      </c>
      <c r="G2052" s="6" t="n">
        <v>0</v>
      </c>
      <c r="H2052" s="41" t="n">
        <v>17.99</v>
      </c>
      <c r="I2052" s="43" t="n">
        <f aca="false">F2052*H2052</f>
        <v>75.1982</v>
      </c>
      <c r="J2052" s="43" t="n">
        <f aca="false">G2052*H2052*1.5</f>
        <v>0</v>
      </c>
      <c r="K2052" s="6" t="n">
        <v>11.91</v>
      </c>
      <c r="L2052" s="43" t="n">
        <f aca="false">K2052*'Chart of Accounts'!$E$68</f>
        <v>7.9797</v>
      </c>
      <c r="O2052" s="42" t="n">
        <f aca="false">I2052+J2052+L2052</f>
        <v>83.1779</v>
      </c>
    </row>
    <row r="2053" customFormat="false" ht="15" hidden="false" customHeight="false" outlineLevel="0" collapsed="false">
      <c r="B2053" s="7" t="s">
        <v>10686</v>
      </c>
      <c r="C2053" s="39" t="n">
        <v>45785</v>
      </c>
      <c r="D2053" s="7" t="s">
        <v>254</v>
      </c>
      <c r="E2053" s="7" t="s">
        <v>180</v>
      </c>
      <c r="F2053" s="6" t="n">
        <v>4.33</v>
      </c>
      <c r="G2053" s="6" t="n">
        <v>0</v>
      </c>
      <c r="H2053" s="41" t="n">
        <v>17.1</v>
      </c>
      <c r="I2053" s="43" t="n">
        <f aca="false">F2053*H2053</f>
        <v>74.043</v>
      </c>
      <c r="J2053" s="43" t="n">
        <f aca="false">G2053*H2053*1.5</f>
        <v>0</v>
      </c>
      <c r="K2053" s="6" t="n">
        <v>9.71</v>
      </c>
      <c r="L2053" s="43" t="n">
        <f aca="false">K2053*'Chart of Accounts'!$E$68</f>
        <v>6.5057</v>
      </c>
      <c r="O2053" s="42" t="n">
        <f aca="false">I2053+J2053+L2053</f>
        <v>80.5487</v>
      </c>
    </row>
    <row r="2054" customFormat="false" ht="15" hidden="false" customHeight="false" outlineLevel="0" collapsed="false">
      <c r="B2054" s="7" t="s">
        <v>10687</v>
      </c>
      <c r="C2054" s="39" t="n">
        <v>45786</v>
      </c>
      <c r="D2054" s="7" t="s">
        <v>187</v>
      </c>
      <c r="E2054" s="7" t="s">
        <v>158</v>
      </c>
      <c r="H2054" s="41" t="n">
        <v>66.48</v>
      </c>
      <c r="M2054" s="6" t="n">
        <v>1</v>
      </c>
      <c r="N2054" s="43" t="n">
        <f aca="false">M2054*H2054</f>
        <v>66.48</v>
      </c>
      <c r="O2054" s="42" t="n">
        <f aca="false">N2054</f>
        <v>66.48</v>
      </c>
    </row>
    <row r="2055" customFormat="false" ht="15" hidden="false" customHeight="false" outlineLevel="0" collapsed="false">
      <c r="B2055" s="7" t="s">
        <v>10688</v>
      </c>
      <c r="C2055" s="39" t="n">
        <v>45786</v>
      </c>
      <c r="D2055" s="7" t="s">
        <v>191</v>
      </c>
      <c r="E2055" s="7" t="s">
        <v>180</v>
      </c>
      <c r="F2055" s="6" t="n">
        <v>3.88</v>
      </c>
      <c r="G2055" s="6" t="n">
        <v>0</v>
      </c>
      <c r="H2055" s="41" t="n">
        <v>16.05</v>
      </c>
      <c r="I2055" s="43" t="n">
        <f aca="false">F2055*H2055</f>
        <v>62.274</v>
      </c>
      <c r="J2055" s="43" t="n">
        <f aca="false">G2055*H2055*1.5</f>
        <v>0</v>
      </c>
      <c r="K2055" s="6" t="n">
        <v>11.51</v>
      </c>
      <c r="L2055" s="43" t="n">
        <f aca="false">K2055*'Chart of Accounts'!$E$68</f>
        <v>7.7117</v>
      </c>
      <c r="O2055" s="42" t="n">
        <f aca="false">I2055+J2055+L2055</f>
        <v>69.9857</v>
      </c>
    </row>
    <row r="2056" customFormat="false" ht="15" hidden="false" customHeight="false" outlineLevel="0" collapsed="false">
      <c r="B2056" s="7" t="s">
        <v>10689</v>
      </c>
      <c r="C2056" s="39" t="n">
        <v>45786</v>
      </c>
      <c r="D2056" s="7" t="s">
        <v>194</v>
      </c>
      <c r="E2056" s="7" t="s">
        <v>180</v>
      </c>
      <c r="F2056" s="6" t="n">
        <v>8.99</v>
      </c>
      <c r="G2056" s="6" t="n">
        <v>0</v>
      </c>
      <c r="H2056" s="41" t="n">
        <v>16</v>
      </c>
      <c r="I2056" s="43" t="n">
        <f aca="false">F2056*H2056</f>
        <v>143.84</v>
      </c>
      <c r="J2056" s="43" t="n">
        <f aca="false">G2056*H2056*1.5</f>
        <v>0</v>
      </c>
      <c r="K2056" s="6" t="n">
        <v>23.43</v>
      </c>
      <c r="L2056" s="43" t="n">
        <f aca="false">K2056*'Chart of Accounts'!$E$68</f>
        <v>15.6981</v>
      </c>
      <c r="O2056" s="42" t="n">
        <f aca="false">I2056+J2056+L2056</f>
        <v>159.5381</v>
      </c>
    </row>
    <row r="2057" customFormat="false" ht="15" hidden="false" customHeight="false" outlineLevel="0" collapsed="false">
      <c r="B2057" s="7" t="s">
        <v>10690</v>
      </c>
      <c r="C2057" s="39" t="n">
        <v>45786</v>
      </c>
      <c r="D2057" s="7" t="s">
        <v>209</v>
      </c>
      <c r="E2057" s="7" t="s">
        <v>158</v>
      </c>
      <c r="H2057" s="41" t="n">
        <v>73.58</v>
      </c>
      <c r="M2057" s="6" t="n">
        <v>2</v>
      </c>
      <c r="N2057" s="43" t="n">
        <f aca="false">M2057*H2057</f>
        <v>147.16</v>
      </c>
      <c r="O2057" s="42" t="n">
        <f aca="false">N2057</f>
        <v>147.16</v>
      </c>
    </row>
    <row r="2058" customFormat="false" ht="15" hidden="false" customHeight="false" outlineLevel="0" collapsed="false">
      <c r="B2058" s="7" t="s">
        <v>10691</v>
      </c>
      <c r="C2058" s="39" t="n">
        <v>45786</v>
      </c>
      <c r="D2058" s="7" t="s">
        <v>205</v>
      </c>
      <c r="E2058" s="7" t="s">
        <v>180</v>
      </c>
      <c r="F2058" s="6" t="n">
        <v>3.86</v>
      </c>
      <c r="G2058" s="6" t="n">
        <v>0</v>
      </c>
      <c r="H2058" s="41" t="n">
        <v>16.36</v>
      </c>
      <c r="I2058" s="43" t="n">
        <f aca="false">F2058*H2058</f>
        <v>63.1496</v>
      </c>
      <c r="J2058" s="43" t="n">
        <f aca="false">G2058*H2058*1.5</f>
        <v>0</v>
      </c>
      <c r="K2058" s="6" t="n">
        <v>12.46</v>
      </c>
      <c r="L2058" s="43" t="n">
        <f aca="false">K2058*'Chart of Accounts'!$E$68</f>
        <v>8.3482</v>
      </c>
      <c r="O2058" s="42" t="n">
        <f aca="false">I2058+J2058+L2058</f>
        <v>71.4978</v>
      </c>
    </row>
    <row r="2059" customFormat="false" ht="15" hidden="false" customHeight="false" outlineLevel="0" collapsed="false">
      <c r="B2059" s="7" t="s">
        <v>10692</v>
      </c>
      <c r="C2059" s="39" t="n">
        <v>45786</v>
      </c>
      <c r="D2059" s="7" t="s">
        <v>264</v>
      </c>
      <c r="E2059" s="7" t="s">
        <v>158</v>
      </c>
      <c r="H2059" s="41" t="n">
        <v>55.55</v>
      </c>
      <c r="M2059" s="6" t="n">
        <v>1</v>
      </c>
      <c r="N2059" s="43" t="n">
        <f aca="false">M2059*H2059</f>
        <v>55.55</v>
      </c>
      <c r="O2059" s="42" t="n">
        <f aca="false">N2059</f>
        <v>55.55</v>
      </c>
    </row>
    <row r="2060" customFormat="false" ht="15" hidden="false" customHeight="false" outlineLevel="0" collapsed="false">
      <c r="B2060" s="7" t="s">
        <v>10693</v>
      </c>
      <c r="C2060" s="39" t="n">
        <v>45786</v>
      </c>
      <c r="D2060" s="7" t="s">
        <v>252</v>
      </c>
      <c r="E2060" s="7" t="s">
        <v>158</v>
      </c>
      <c r="H2060" s="41" t="n">
        <v>57.54</v>
      </c>
      <c r="M2060" s="6" t="n">
        <v>1</v>
      </c>
      <c r="N2060" s="43" t="n">
        <f aca="false">M2060*H2060</f>
        <v>57.54</v>
      </c>
      <c r="O2060" s="42" t="n">
        <f aca="false">N2060</f>
        <v>57.54</v>
      </c>
    </row>
    <row r="2061" customFormat="false" ht="15" hidden="false" customHeight="false" outlineLevel="0" collapsed="false">
      <c r="B2061" s="7" t="s">
        <v>10694</v>
      </c>
      <c r="C2061" s="39" t="n">
        <v>45786</v>
      </c>
      <c r="D2061" s="7" t="s">
        <v>184</v>
      </c>
      <c r="E2061" s="7" t="s">
        <v>180</v>
      </c>
      <c r="F2061" s="6" t="n">
        <v>3.99</v>
      </c>
      <c r="G2061" s="6" t="n">
        <v>0</v>
      </c>
      <c r="H2061" s="41" t="n">
        <v>17.34</v>
      </c>
      <c r="I2061" s="43" t="n">
        <f aca="false">F2061*H2061</f>
        <v>69.1866</v>
      </c>
      <c r="J2061" s="43" t="n">
        <f aca="false">G2061*H2061*1.5</f>
        <v>0</v>
      </c>
      <c r="K2061" s="6" t="n">
        <v>11.86</v>
      </c>
      <c r="L2061" s="43" t="n">
        <f aca="false">K2061*'Chart of Accounts'!$E$68</f>
        <v>7.9462</v>
      </c>
      <c r="O2061" s="42" t="n">
        <f aca="false">I2061+J2061+L2061</f>
        <v>77.1328</v>
      </c>
    </row>
    <row r="2062" customFormat="false" ht="15" hidden="false" customHeight="false" outlineLevel="0" collapsed="false">
      <c r="B2062" s="7" t="s">
        <v>10695</v>
      </c>
      <c r="C2062" s="39" t="n">
        <v>45786</v>
      </c>
      <c r="D2062" s="7" t="s">
        <v>234</v>
      </c>
      <c r="E2062" s="7" t="s">
        <v>158</v>
      </c>
      <c r="H2062" s="41" t="n">
        <v>89.53</v>
      </c>
      <c r="M2062" s="6" t="n">
        <v>2</v>
      </c>
      <c r="N2062" s="43" t="n">
        <f aca="false">M2062*H2062</f>
        <v>179.06</v>
      </c>
      <c r="O2062" s="42" t="n">
        <f aca="false">N2062</f>
        <v>179.06</v>
      </c>
    </row>
    <row r="2063" customFormat="false" ht="15" hidden="false" customHeight="false" outlineLevel="0" collapsed="false">
      <c r="B2063" s="7" t="s">
        <v>10696</v>
      </c>
      <c r="C2063" s="39" t="n">
        <v>45786</v>
      </c>
      <c r="D2063" s="7" t="s">
        <v>218</v>
      </c>
      <c r="E2063" s="7" t="s">
        <v>180</v>
      </c>
      <c r="F2063" s="6" t="n">
        <v>3.89</v>
      </c>
      <c r="G2063" s="6" t="n">
        <v>0</v>
      </c>
      <c r="H2063" s="41" t="n">
        <v>16.19</v>
      </c>
      <c r="I2063" s="43" t="n">
        <f aca="false">F2063*H2063</f>
        <v>62.9791</v>
      </c>
      <c r="J2063" s="43" t="n">
        <f aca="false">G2063*H2063*1.5</f>
        <v>0</v>
      </c>
      <c r="K2063" s="6" t="n">
        <v>9.1</v>
      </c>
      <c r="L2063" s="43" t="n">
        <f aca="false">K2063*'Chart of Accounts'!$E$68</f>
        <v>6.097</v>
      </c>
      <c r="O2063" s="42" t="n">
        <f aca="false">I2063+J2063+L2063</f>
        <v>69.0761</v>
      </c>
    </row>
    <row r="2064" customFormat="false" ht="15" hidden="false" customHeight="false" outlineLevel="0" collapsed="false">
      <c r="B2064" s="7" t="s">
        <v>10697</v>
      </c>
      <c r="C2064" s="39" t="n">
        <v>45786</v>
      </c>
      <c r="D2064" s="7" t="s">
        <v>266</v>
      </c>
      <c r="E2064" s="7" t="s">
        <v>158</v>
      </c>
      <c r="H2064" s="41" t="n">
        <v>75.18</v>
      </c>
      <c r="M2064" s="6" t="n">
        <v>1</v>
      </c>
      <c r="N2064" s="43" t="n">
        <f aca="false">M2064*H2064</f>
        <v>75.18</v>
      </c>
      <c r="O2064" s="42" t="n">
        <f aca="false">N2064</f>
        <v>75.18</v>
      </c>
    </row>
    <row r="2065" customFormat="false" ht="15" hidden="false" customHeight="false" outlineLevel="0" collapsed="false">
      <c r="B2065" s="7" t="s">
        <v>10698</v>
      </c>
      <c r="C2065" s="39" t="n">
        <v>45786</v>
      </c>
      <c r="D2065" s="7" t="s">
        <v>228</v>
      </c>
      <c r="E2065" s="7" t="s">
        <v>158</v>
      </c>
      <c r="H2065" s="41" t="n">
        <v>51.07</v>
      </c>
      <c r="M2065" s="6" t="n">
        <v>1</v>
      </c>
      <c r="N2065" s="43" t="n">
        <f aca="false">M2065*H2065</f>
        <v>51.07</v>
      </c>
      <c r="O2065" s="42" t="n">
        <f aca="false">N2065</f>
        <v>51.07</v>
      </c>
    </row>
    <row r="2066" customFormat="false" ht="15" hidden="false" customHeight="false" outlineLevel="0" collapsed="false">
      <c r="B2066" s="7" t="s">
        <v>10699</v>
      </c>
      <c r="C2066" s="39" t="n">
        <v>45786</v>
      </c>
      <c r="D2066" s="7" t="s">
        <v>220</v>
      </c>
      <c r="E2066" s="7" t="s">
        <v>180</v>
      </c>
      <c r="F2066" s="6" t="n">
        <v>3.65</v>
      </c>
      <c r="G2066" s="6" t="n">
        <v>0</v>
      </c>
      <c r="H2066" s="41" t="n">
        <v>16.43</v>
      </c>
      <c r="I2066" s="43" t="n">
        <f aca="false">F2066*H2066</f>
        <v>59.9695</v>
      </c>
      <c r="J2066" s="43" t="n">
        <f aca="false">G2066*H2066*1.5</f>
        <v>0</v>
      </c>
      <c r="K2066" s="6" t="n">
        <v>11.75</v>
      </c>
      <c r="L2066" s="43" t="n">
        <f aca="false">K2066*'Chart of Accounts'!$E$68</f>
        <v>7.8725</v>
      </c>
      <c r="O2066" s="42" t="n">
        <f aca="false">I2066+J2066+L2066</f>
        <v>67.842</v>
      </c>
    </row>
    <row r="2067" customFormat="false" ht="15" hidden="false" customHeight="false" outlineLevel="0" collapsed="false">
      <c r="B2067" s="7" t="s">
        <v>10700</v>
      </c>
      <c r="C2067" s="39" t="n">
        <v>45786</v>
      </c>
      <c r="D2067" s="7" t="s">
        <v>177</v>
      </c>
      <c r="E2067" s="7" t="s">
        <v>180</v>
      </c>
      <c r="F2067" s="6" t="n">
        <v>4.36</v>
      </c>
      <c r="G2067" s="6" t="n">
        <v>0</v>
      </c>
      <c r="H2067" s="41" t="n">
        <v>14.56</v>
      </c>
      <c r="I2067" s="43" t="n">
        <f aca="false">F2067*H2067</f>
        <v>63.4816</v>
      </c>
      <c r="J2067" s="43" t="n">
        <f aca="false">G2067*H2067*1.5</f>
        <v>0</v>
      </c>
      <c r="K2067" s="6" t="n">
        <v>10.17</v>
      </c>
      <c r="L2067" s="43" t="n">
        <f aca="false">K2067*'Chart of Accounts'!$E$68</f>
        <v>6.8139</v>
      </c>
      <c r="O2067" s="42" t="n">
        <f aca="false">I2067+J2067+L2067</f>
        <v>70.2955</v>
      </c>
    </row>
    <row r="2068" customFormat="false" ht="15" hidden="false" customHeight="false" outlineLevel="0" collapsed="false">
      <c r="B2068" s="7" t="s">
        <v>10701</v>
      </c>
      <c r="C2068" s="39" t="n">
        <v>45786</v>
      </c>
      <c r="D2068" s="7" t="s">
        <v>242</v>
      </c>
      <c r="E2068" s="7" t="s">
        <v>180</v>
      </c>
      <c r="F2068" s="6" t="n">
        <v>7.52</v>
      </c>
      <c r="G2068" s="6" t="n">
        <v>0</v>
      </c>
      <c r="H2068" s="41" t="n">
        <v>17.99</v>
      </c>
      <c r="I2068" s="43" t="n">
        <f aca="false">F2068*H2068</f>
        <v>135.2848</v>
      </c>
      <c r="J2068" s="43" t="n">
        <f aca="false">G2068*H2068*1.5</f>
        <v>0</v>
      </c>
      <c r="K2068" s="6" t="n">
        <v>20.83</v>
      </c>
      <c r="L2068" s="43" t="n">
        <f aca="false">K2068*'Chart of Accounts'!$E$68</f>
        <v>13.9561</v>
      </c>
      <c r="O2068" s="42" t="n">
        <f aca="false">I2068+J2068+L2068</f>
        <v>149.2409</v>
      </c>
    </row>
    <row r="2069" customFormat="false" ht="15" hidden="false" customHeight="false" outlineLevel="0" collapsed="false">
      <c r="B2069" s="7" t="s">
        <v>10702</v>
      </c>
      <c r="C2069" s="39" t="n">
        <v>45786</v>
      </c>
      <c r="D2069" s="7" t="s">
        <v>254</v>
      </c>
      <c r="E2069" s="7" t="s">
        <v>180</v>
      </c>
      <c r="F2069" s="6" t="n">
        <v>7.75</v>
      </c>
      <c r="G2069" s="6" t="n">
        <v>0</v>
      </c>
      <c r="H2069" s="41" t="n">
        <v>17.1</v>
      </c>
      <c r="I2069" s="43" t="n">
        <f aca="false">F2069*H2069</f>
        <v>132.525</v>
      </c>
      <c r="J2069" s="43" t="n">
        <f aca="false">G2069*H2069*1.5</f>
        <v>0</v>
      </c>
      <c r="K2069" s="6" t="n">
        <v>18.6</v>
      </c>
      <c r="L2069" s="43" t="n">
        <f aca="false">K2069*'Chart of Accounts'!$E$68</f>
        <v>12.462</v>
      </c>
      <c r="O2069" s="42" t="n">
        <f aca="false">I2069+J2069+L2069</f>
        <v>144.987</v>
      </c>
    </row>
    <row r="2070" customFormat="false" ht="15" hidden="false" customHeight="false" outlineLevel="0" collapsed="false">
      <c r="B2070" s="7" t="s">
        <v>10703</v>
      </c>
      <c r="C2070" s="39" t="n">
        <v>45786</v>
      </c>
      <c r="D2070" s="7" t="s">
        <v>201</v>
      </c>
      <c r="E2070" s="7" t="s">
        <v>180</v>
      </c>
      <c r="F2070" s="6" t="n">
        <v>3.26</v>
      </c>
      <c r="G2070" s="6" t="n">
        <v>0</v>
      </c>
      <c r="H2070" s="41" t="n">
        <v>15.19</v>
      </c>
      <c r="I2070" s="43" t="n">
        <f aca="false">F2070*H2070</f>
        <v>49.5194</v>
      </c>
      <c r="J2070" s="43" t="n">
        <f aca="false">G2070*H2070*1.5</f>
        <v>0</v>
      </c>
      <c r="K2070" s="6" t="n">
        <v>11.49</v>
      </c>
      <c r="L2070" s="43" t="n">
        <f aca="false">K2070*'Chart of Accounts'!$E$68</f>
        <v>7.6983</v>
      </c>
      <c r="O2070" s="42" t="n">
        <f aca="false">I2070+J2070+L2070</f>
        <v>57.2177</v>
      </c>
    </row>
    <row r="2071" customFormat="false" ht="15" hidden="false" customHeight="false" outlineLevel="0" collapsed="false">
      <c r="B2071" s="7" t="s">
        <v>10704</v>
      </c>
      <c r="C2071" s="39" t="n">
        <v>45786</v>
      </c>
      <c r="D2071" s="7" t="s">
        <v>207</v>
      </c>
      <c r="E2071" s="7" t="s">
        <v>180</v>
      </c>
      <c r="F2071" s="6" t="n">
        <v>3.11</v>
      </c>
      <c r="G2071" s="6" t="n">
        <v>0</v>
      </c>
      <c r="H2071" s="41" t="n">
        <v>16.65</v>
      </c>
      <c r="I2071" s="43" t="n">
        <f aca="false">F2071*H2071</f>
        <v>51.7815</v>
      </c>
      <c r="J2071" s="43" t="n">
        <f aca="false">G2071*H2071*1.5</f>
        <v>0</v>
      </c>
      <c r="K2071" s="6" t="n">
        <v>10.46</v>
      </c>
      <c r="L2071" s="43" t="n">
        <f aca="false">K2071*'Chart of Accounts'!$E$68</f>
        <v>7.0082</v>
      </c>
      <c r="O2071" s="42" t="n">
        <f aca="false">I2071+J2071+L2071</f>
        <v>58.7897</v>
      </c>
    </row>
    <row r="2072" customFormat="false" ht="15" hidden="false" customHeight="false" outlineLevel="0" collapsed="false">
      <c r="B2072" s="7" t="s">
        <v>10705</v>
      </c>
      <c r="C2072" s="39" t="n">
        <v>45786</v>
      </c>
      <c r="D2072" s="7" t="s">
        <v>212</v>
      </c>
      <c r="E2072" s="7" t="s">
        <v>180</v>
      </c>
      <c r="F2072" s="6" t="n">
        <v>4.39</v>
      </c>
      <c r="G2072" s="6" t="n">
        <v>0</v>
      </c>
      <c r="H2072" s="41" t="n">
        <v>16.71</v>
      </c>
      <c r="I2072" s="43" t="n">
        <f aca="false">F2072*H2072</f>
        <v>73.3569</v>
      </c>
      <c r="J2072" s="43" t="n">
        <f aca="false">G2072*H2072*1.5</f>
        <v>0</v>
      </c>
      <c r="K2072" s="6" t="n">
        <v>10.7</v>
      </c>
      <c r="L2072" s="43" t="n">
        <f aca="false">K2072*'Chart of Accounts'!$E$68</f>
        <v>7.169</v>
      </c>
      <c r="O2072" s="42" t="n">
        <f aca="false">I2072+J2072+L2072</f>
        <v>80.5259</v>
      </c>
    </row>
    <row r="2073" customFormat="false" ht="15" hidden="false" customHeight="false" outlineLevel="0" collapsed="false">
      <c r="B2073" s="7" t="s">
        <v>10706</v>
      </c>
      <c r="C2073" s="39" t="n">
        <v>45786</v>
      </c>
      <c r="D2073" s="7" t="s">
        <v>232</v>
      </c>
      <c r="E2073" s="7" t="s">
        <v>180</v>
      </c>
      <c r="F2073" s="6" t="n">
        <v>4.31</v>
      </c>
      <c r="G2073" s="6" t="n">
        <v>0</v>
      </c>
      <c r="H2073" s="41" t="n">
        <v>16.17</v>
      </c>
      <c r="I2073" s="43" t="n">
        <f aca="false">F2073*H2073</f>
        <v>69.6927</v>
      </c>
      <c r="J2073" s="43" t="n">
        <f aca="false">G2073*H2073*1.5</f>
        <v>0</v>
      </c>
      <c r="K2073" s="6" t="n">
        <v>9.5</v>
      </c>
      <c r="L2073" s="43" t="n">
        <f aca="false">K2073*'Chart of Accounts'!$E$68</f>
        <v>6.365</v>
      </c>
      <c r="O2073" s="42" t="n">
        <f aca="false">I2073+J2073+L2073</f>
        <v>76.0577</v>
      </c>
    </row>
    <row r="2074" customFormat="false" ht="15" hidden="false" customHeight="false" outlineLevel="0" collapsed="false">
      <c r="B2074" s="7" t="s">
        <v>10707</v>
      </c>
      <c r="C2074" s="39" t="n">
        <v>45786</v>
      </c>
      <c r="D2074" s="7" t="s">
        <v>224</v>
      </c>
      <c r="E2074" s="7" t="s">
        <v>180</v>
      </c>
      <c r="F2074" s="6" t="n">
        <v>5.05</v>
      </c>
      <c r="G2074" s="6" t="n">
        <v>0</v>
      </c>
      <c r="H2074" s="41" t="n">
        <v>14.93</v>
      </c>
      <c r="I2074" s="43" t="n">
        <f aca="false">F2074*H2074</f>
        <v>75.3965</v>
      </c>
      <c r="J2074" s="43" t="n">
        <f aca="false">G2074*H2074*1.5</f>
        <v>0</v>
      </c>
      <c r="K2074" s="6" t="n">
        <v>12.03</v>
      </c>
      <c r="L2074" s="43" t="n">
        <f aca="false">K2074*'Chart of Accounts'!$E$68</f>
        <v>8.0601</v>
      </c>
      <c r="O2074" s="42" t="n">
        <f aca="false">I2074+J2074+L2074</f>
        <v>83.4566</v>
      </c>
    </row>
    <row r="2075" customFormat="false" ht="15" hidden="false" customHeight="false" outlineLevel="0" collapsed="false">
      <c r="B2075" s="7" t="s">
        <v>10708</v>
      </c>
      <c r="C2075" s="39" t="n">
        <v>45786</v>
      </c>
      <c r="D2075" s="7" t="s">
        <v>238</v>
      </c>
      <c r="E2075" s="7" t="s">
        <v>180</v>
      </c>
      <c r="F2075" s="6" t="n">
        <v>3.68</v>
      </c>
      <c r="G2075" s="6" t="n">
        <v>0</v>
      </c>
      <c r="H2075" s="41" t="n">
        <v>15.85</v>
      </c>
      <c r="I2075" s="43" t="n">
        <f aca="false">F2075*H2075</f>
        <v>58.328</v>
      </c>
      <c r="J2075" s="43" t="n">
        <f aca="false">G2075*H2075*1.5</f>
        <v>0</v>
      </c>
      <c r="K2075" s="6" t="n">
        <v>8.59</v>
      </c>
      <c r="L2075" s="43" t="n">
        <f aca="false">K2075*'Chart of Accounts'!$E$68</f>
        <v>5.7553</v>
      </c>
      <c r="O2075" s="42" t="n">
        <f aca="false">I2075+J2075+L2075</f>
        <v>64.0833</v>
      </c>
    </row>
    <row r="2076" customFormat="false" ht="15" hidden="false" customHeight="false" outlineLevel="0" collapsed="false">
      <c r="B2076" s="7" t="s">
        <v>10709</v>
      </c>
      <c r="C2076" s="39" t="n">
        <v>45786</v>
      </c>
      <c r="D2076" s="7" t="s">
        <v>246</v>
      </c>
      <c r="E2076" s="7" t="s">
        <v>180</v>
      </c>
      <c r="F2076" s="6" t="n">
        <v>4.4</v>
      </c>
      <c r="G2076" s="6" t="n">
        <v>0</v>
      </c>
      <c r="H2076" s="41" t="n">
        <v>16.48</v>
      </c>
      <c r="I2076" s="43" t="n">
        <f aca="false">F2076*H2076</f>
        <v>72.512</v>
      </c>
      <c r="J2076" s="43" t="n">
        <f aca="false">G2076*H2076*1.5</f>
        <v>0</v>
      </c>
      <c r="K2076" s="6" t="n">
        <v>11.89</v>
      </c>
      <c r="L2076" s="43" t="n">
        <f aca="false">K2076*'Chart of Accounts'!$E$68</f>
        <v>7.9663</v>
      </c>
      <c r="O2076" s="42" t="n">
        <f aca="false">I2076+J2076+L2076</f>
        <v>80.4783</v>
      </c>
    </row>
    <row r="2077" customFormat="false" ht="15" hidden="false" customHeight="false" outlineLevel="0" collapsed="false">
      <c r="B2077" s="7" t="s">
        <v>10710</v>
      </c>
      <c r="C2077" s="39" t="n">
        <v>45786</v>
      </c>
      <c r="D2077" s="7" t="s">
        <v>222</v>
      </c>
      <c r="E2077" s="7" t="s">
        <v>180</v>
      </c>
      <c r="F2077" s="6" t="n">
        <v>3.7</v>
      </c>
      <c r="G2077" s="6" t="n">
        <v>0</v>
      </c>
      <c r="H2077" s="41" t="n">
        <v>17.84</v>
      </c>
      <c r="I2077" s="43" t="n">
        <f aca="false">F2077*H2077</f>
        <v>66.008</v>
      </c>
      <c r="J2077" s="43" t="n">
        <f aca="false">G2077*H2077*1.5</f>
        <v>0</v>
      </c>
      <c r="K2077" s="6" t="n">
        <v>9.79</v>
      </c>
      <c r="L2077" s="43" t="n">
        <f aca="false">K2077*'Chart of Accounts'!$E$68</f>
        <v>6.5593</v>
      </c>
      <c r="O2077" s="42" t="n">
        <f aca="false">I2077+J2077+L2077</f>
        <v>72.5673</v>
      </c>
    </row>
    <row r="2078" customFormat="false" ht="15" hidden="false" customHeight="false" outlineLevel="0" collapsed="false">
      <c r="B2078" s="7" t="s">
        <v>10711</v>
      </c>
      <c r="C2078" s="39" t="n">
        <v>45786</v>
      </c>
      <c r="D2078" s="7" t="s">
        <v>203</v>
      </c>
      <c r="E2078" s="7" t="s">
        <v>158</v>
      </c>
      <c r="H2078" s="41" t="n">
        <v>49.43</v>
      </c>
      <c r="M2078" s="6" t="n">
        <v>1</v>
      </c>
      <c r="N2078" s="43" t="n">
        <f aca="false">M2078*H2078</f>
        <v>49.43</v>
      </c>
      <c r="O2078" s="42" t="n">
        <f aca="false">N2078</f>
        <v>49.43</v>
      </c>
    </row>
    <row r="2079" customFormat="false" ht="15" hidden="false" customHeight="false" outlineLevel="0" collapsed="false">
      <c r="B2079" s="7" t="s">
        <v>10712</v>
      </c>
      <c r="C2079" s="39" t="n">
        <v>45786</v>
      </c>
      <c r="D2079" s="7" t="s">
        <v>262</v>
      </c>
      <c r="E2079" s="7" t="s">
        <v>180</v>
      </c>
      <c r="F2079" s="6" t="n">
        <v>3.52</v>
      </c>
      <c r="G2079" s="6" t="n">
        <v>0</v>
      </c>
      <c r="H2079" s="41" t="n">
        <v>16.02</v>
      </c>
      <c r="I2079" s="43" t="n">
        <f aca="false">F2079*H2079</f>
        <v>56.3904</v>
      </c>
      <c r="J2079" s="43" t="n">
        <f aca="false">G2079*H2079*1.5</f>
        <v>0</v>
      </c>
      <c r="K2079" s="6" t="n">
        <v>7.83</v>
      </c>
      <c r="L2079" s="43" t="n">
        <f aca="false">K2079*'Chart of Accounts'!$E$68</f>
        <v>5.2461</v>
      </c>
      <c r="O2079" s="42" t="n">
        <f aca="false">I2079+J2079+L2079</f>
        <v>61.6365</v>
      </c>
    </row>
    <row r="2080" customFormat="false" ht="15" hidden="false" customHeight="false" outlineLevel="0" collapsed="false">
      <c r="B2080" s="7" t="s">
        <v>10713</v>
      </c>
      <c r="C2080" s="39" t="n">
        <v>45786</v>
      </c>
      <c r="D2080" s="7" t="s">
        <v>260</v>
      </c>
      <c r="E2080" s="7" t="s">
        <v>158</v>
      </c>
      <c r="H2080" s="41" t="n">
        <v>79.8</v>
      </c>
      <c r="M2080" s="6" t="n">
        <v>1</v>
      </c>
      <c r="N2080" s="43" t="n">
        <f aca="false">M2080*H2080</f>
        <v>79.8</v>
      </c>
      <c r="O2080" s="42" t="n">
        <f aca="false">N2080</f>
        <v>79.8</v>
      </c>
    </row>
    <row r="2081" customFormat="false" ht="15" hidden="false" customHeight="false" outlineLevel="0" collapsed="false">
      <c r="B2081" s="7" t="s">
        <v>10714</v>
      </c>
      <c r="C2081" s="39" t="n">
        <v>45786</v>
      </c>
      <c r="D2081" s="7" t="s">
        <v>214</v>
      </c>
      <c r="E2081" s="7" t="s">
        <v>180</v>
      </c>
      <c r="F2081" s="6" t="n">
        <v>3.44</v>
      </c>
      <c r="G2081" s="6" t="n">
        <v>0</v>
      </c>
      <c r="H2081" s="41" t="n">
        <v>15.67</v>
      </c>
      <c r="I2081" s="43" t="n">
        <f aca="false">F2081*H2081</f>
        <v>53.9048</v>
      </c>
      <c r="J2081" s="43" t="n">
        <f aca="false">G2081*H2081*1.5</f>
        <v>0</v>
      </c>
      <c r="K2081" s="6" t="n">
        <v>10.5</v>
      </c>
      <c r="L2081" s="43" t="n">
        <f aca="false">K2081*'Chart of Accounts'!$E$68</f>
        <v>7.035</v>
      </c>
      <c r="O2081" s="42" t="n">
        <f aca="false">I2081+J2081+L2081</f>
        <v>60.9398</v>
      </c>
    </row>
    <row r="2082" customFormat="false" ht="15" hidden="false" customHeight="false" outlineLevel="0" collapsed="false">
      <c r="B2082" s="7" t="s">
        <v>10715</v>
      </c>
      <c r="C2082" s="39" t="n">
        <v>45787</v>
      </c>
      <c r="D2082" s="7" t="s">
        <v>191</v>
      </c>
      <c r="E2082" s="7" t="s">
        <v>180</v>
      </c>
      <c r="F2082" s="6" t="n">
        <v>4.24</v>
      </c>
      <c r="G2082" s="6" t="n">
        <v>0</v>
      </c>
      <c r="H2082" s="41" t="n">
        <v>16.05</v>
      </c>
      <c r="I2082" s="43" t="n">
        <f aca="false">F2082*H2082</f>
        <v>68.052</v>
      </c>
      <c r="J2082" s="43" t="n">
        <f aca="false">G2082*H2082*1.5</f>
        <v>0</v>
      </c>
      <c r="K2082" s="6" t="n">
        <v>14.11</v>
      </c>
      <c r="L2082" s="43" t="n">
        <f aca="false">K2082*'Chart of Accounts'!$E$68</f>
        <v>9.4537</v>
      </c>
      <c r="O2082" s="42" t="n">
        <f aca="false">I2082+J2082+L2082</f>
        <v>77.5057</v>
      </c>
    </row>
    <row r="2083" customFormat="false" ht="15" hidden="false" customHeight="false" outlineLevel="0" collapsed="false">
      <c r="B2083" s="7" t="s">
        <v>10716</v>
      </c>
      <c r="C2083" s="39" t="n">
        <v>45787</v>
      </c>
      <c r="D2083" s="7" t="s">
        <v>218</v>
      </c>
      <c r="E2083" s="7" t="s">
        <v>180</v>
      </c>
      <c r="F2083" s="6" t="n">
        <v>3.76</v>
      </c>
      <c r="G2083" s="6" t="n">
        <v>0</v>
      </c>
      <c r="H2083" s="41" t="n">
        <v>16.19</v>
      </c>
      <c r="I2083" s="43" t="n">
        <f aca="false">F2083*H2083</f>
        <v>60.8744</v>
      </c>
      <c r="J2083" s="43" t="n">
        <f aca="false">G2083*H2083*1.5</f>
        <v>0</v>
      </c>
      <c r="K2083" s="6" t="n">
        <v>11.51</v>
      </c>
      <c r="L2083" s="43" t="n">
        <f aca="false">K2083*'Chart of Accounts'!$E$68</f>
        <v>7.7117</v>
      </c>
      <c r="O2083" s="42" t="n">
        <f aca="false">I2083+J2083+L2083</f>
        <v>68.5861</v>
      </c>
    </row>
    <row r="2084" customFormat="false" ht="15" hidden="false" customHeight="false" outlineLevel="0" collapsed="false">
      <c r="B2084" s="7" t="s">
        <v>10717</v>
      </c>
      <c r="C2084" s="39" t="n">
        <v>45787</v>
      </c>
      <c r="D2084" s="7" t="s">
        <v>212</v>
      </c>
      <c r="E2084" s="7" t="s">
        <v>180</v>
      </c>
      <c r="F2084" s="6" t="n">
        <v>4.28</v>
      </c>
      <c r="G2084" s="6" t="n">
        <v>0</v>
      </c>
      <c r="H2084" s="41" t="n">
        <v>16.71</v>
      </c>
      <c r="I2084" s="43" t="n">
        <f aca="false">F2084*H2084</f>
        <v>71.5188</v>
      </c>
      <c r="J2084" s="43" t="n">
        <f aca="false">G2084*H2084*1.5</f>
        <v>0</v>
      </c>
      <c r="K2084" s="6" t="n">
        <v>15.28</v>
      </c>
      <c r="L2084" s="43" t="n">
        <f aca="false">K2084*'Chart of Accounts'!$E$68</f>
        <v>10.2376</v>
      </c>
      <c r="O2084" s="42" t="n">
        <f aca="false">I2084+J2084+L2084</f>
        <v>81.7564</v>
      </c>
    </row>
    <row r="2085" customFormat="false" ht="15" hidden="false" customHeight="false" outlineLevel="0" collapsed="false">
      <c r="B2085" s="7" t="s">
        <v>10718</v>
      </c>
      <c r="C2085" s="39" t="n">
        <v>45787</v>
      </c>
      <c r="D2085" s="7" t="s">
        <v>222</v>
      </c>
      <c r="E2085" s="7" t="s">
        <v>180</v>
      </c>
      <c r="F2085" s="6" t="n">
        <v>4</v>
      </c>
      <c r="G2085" s="6" t="n">
        <v>0</v>
      </c>
      <c r="H2085" s="41" t="n">
        <v>17.84</v>
      </c>
      <c r="I2085" s="43" t="n">
        <f aca="false">F2085*H2085</f>
        <v>71.36</v>
      </c>
      <c r="J2085" s="43" t="n">
        <f aca="false">G2085*H2085*1.5</f>
        <v>0</v>
      </c>
      <c r="K2085" s="6" t="n">
        <v>11.13</v>
      </c>
      <c r="L2085" s="43" t="n">
        <f aca="false">K2085*'Chart of Accounts'!$E$68</f>
        <v>7.4571</v>
      </c>
      <c r="O2085" s="42" t="n">
        <f aca="false">I2085+J2085+L2085</f>
        <v>78.8171</v>
      </c>
    </row>
    <row r="2086" customFormat="false" ht="15" hidden="false" customHeight="false" outlineLevel="0" collapsed="false">
      <c r="B2086" s="7" t="s">
        <v>10719</v>
      </c>
      <c r="C2086" s="39" t="n">
        <v>45787</v>
      </c>
      <c r="D2086" s="7" t="s">
        <v>242</v>
      </c>
      <c r="E2086" s="7" t="s">
        <v>180</v>
      </c>
      <c r="F2086" s="6" t="n">
        <v>3.94</v>
      </c>
      <c r="G2086" s="6" t="n">
        <v>0</v>
      </c>
      <c r="H2086" s="41" t="n">
        <v>17.99</v>
      </c>
      <c r="I2086" s="43" t="n">
        <f aca="false">F2086*H2086</f>
        <v>70.8806</v>
      </c>
      <c r="J2086" s="43" t="n">
        <f aca="false">G2086*H2086*1.5</f>
        <v>0</v>
      </c>
      <c r="K2086" s="6" t="n">
        <v>12.7</v>
      </c>
      <c r="L2086" s="43" t="n">
        <f aca="false">K2086*'Chart of Accounts'!$E$68</f>
        <v>8.509</v>
      </c>
      <c r="O2086" s="42" t="n">
        <f aca="false">I2086+J2086+L2086</f>
        <v>79.3896</v>
      </c>
    </row>
    <row r="2087" customFormat="false" ht="15" hidden="false" customHeight="false" outlineLevel="0" collapsed="false">
      <c r="B2087" s="7" t="s">
        <v>10720</v>
      </c>
      <c r="C2087" s="39" t="n">
        <v>45787</v>
      </c>
      <c r="D2087" s="7" t="s">
        <v>254</v>
      </c>
      <c r="E2087" s="7" t="s">
        <v>180</v>
      </c>
      <c r="F2087" s="6" t="n">
        <v>3.84</v>
      </c>
      <c r="G2087" s="6" t="n">
        <v>0</v>
      </c>
      <c r="H2087" s="41" t="n">
        <v>17.1</v>
      </c>
      <c r="I2087" s="43" t="n">
        <f aca="false">F2087*H2087</f>
        <v>65.664</v>
      </c>
      <c r="J2087" s="43" t="n">
        <f aca="false">G2087*H2087*1.5</f>
        <v>0</v>
      </c>
      <c r="K2087" s="6" t="n">
        <v>12.6</v>
      </c>
      <c r="L2087" s="43" t="n">
        <f aca="false">K2087*'Chart of Accounts'!$E$68</f>
        <v>8.442</v>
      </c>
      <c r="O2087" s="42" t="n">
        <f aca="false">I2087+J2087+L2087</f>
        <v>74.106</v>
      </c>
    </row>
    <row r="2088" customFormat="false" ht="15" hidden="false" customHeight="false" outlineLevel="0" collapsed="false">
      <c r="B2088" s="7" t="s">
        <v>10721</v>
      </c>
      <c r="C2088" s="39" t="n">
        <v>45788</v>
      </c>
      <c r="D2088" s="7" t="s">
        <v>191</v>
      </c>
      <c r="E2088" s="7" t="s">
        <v>180</v>
      </c>
      <c r="F2088" s="6" t="n">
        <v>4.23</v>
      </c>
      <c r="G2088" s="6" t="n">
        <v>0</v>
      </c>
      <c r="H2088" s="41" t="n">
        <v>16.05</v>
      </c>
      <c r="I2088" s="43" t="n">
        <f aca="false">F2088*H2088</f>
        <v>67.8915</v>
      </c>
      <c r="J2088" s="43" t="n">
        <f aca="false">G2088*H2088*1.5</f>
        <v>0</v>
      </c>
      <c r="K2088" s="6" t="n">
        <v>10.03</v>
      </c>
      <c r="L2088" s="43" t="n">
        <f aca="false">K2088*'Chart of Accounts'!$E$68</f>
        <v>6.7201</v>
      </c>
      <c r="O2088" s="42" t="n">
        <f aca="false">I2088+J2088+L2088</f>
        <v>74.6116</v>
      </c>
    </row>
    <row r="2089" customFormat="false" ht="15" hidden="false" customHeight="false" outlineLevel="0" collapsed="false">
      <c r="B2089" s="7" t="s">
        <v>10722</v>
      </c>
      <c r="C2089" s="39" t="n">
        <v>45788</v>
      </c>
      <c r="D2089" s="7" t="s">
        <v>218</v>
      </c>
      <c r="E2089" s="7" t="s">
        <v>180</v>
      </c>
      <c r="F2089" s="6" t="n">
        <v>4.06</v>
      </c>
      <c r="G2089" s="6" t="n">
        <v>0</v>
      </c>
      <c r="H2089" s="41" t="n">
        <v>16.19</v>
      </c>
      <c r="I2089" s="43" t="n">
        <f aca="false">F2089*H2089</f>
        <v>65.7314</v>
      </c>
      <c r="J2089" s="43" t="n">
        <f aca="false">G2089*H2089*1.5</f>
        <v>0</v>
      </c>
      <c r="K2089" s="6" t="n">
        <v>13.69</v>
      </c>
      <c r="L2089" s="43" t="n">
        <f aca="false">K2089*'Chart of Accounts'!$E$68</f>
        <v>9.1723</v>
      </c>
      <c r="O2089" s="42" t="n">
        <f aca="false">I2089+J2089+L2089</f>
        <v>74.9037</v>
      </c>
    </row>
    <row r="2090" customFormat="false" ht="15" hidden="false" customHeight="false" outlineLevel="0" collapsed="false">
      <c r="B2090" s="7" t="s">
        <v>10723</v>
      </c>
      <c r="C2090" s="39" t="n">
        <v>45788</v>
      </c>
      <c r="D2090" s="7" t="s">
        <v>212</v>
      </c>
      <c r="E2090" s="7" t="s">
        <v>180</v>
      </c>
      <c r="F2090" s="6" t="n">
        <v>4.39</v>
      </c>
      <c r="G2090" s="6" t="n">
        <v>0</v>
      </c>
      <c r="H2090" s="41" t="n">
        <v>16.71</v>
      </c>
      <c r="I2090" s="43" t="n">
        <f aca="false">F2090*H2090</f>
        <v>73.3569</v>
      </c>
      <c r="J2090" s="43" t="n">
        <f aca="false">G2090*H2090*1.5</f>
        <v>0</v>
      </c>
      <c r="K2090" s="6" t="n">
        <v>14.01</v>
      </c>
      <c r="L2090" s="43" t="n">
        <f aca="false">K2090*'Chart of Accounts'!$E$68</f>
        <v>9.3867</v>
      </c>
      <c r="O2090" s="42" t="n">
        <f aca="false">I2090+J2090+L2090</f>
        <v>82.7436</v>
      </c>
    </row>
    <row r="2091" customFormat="false" ht="15" hidden="false" customHeight="false" outlineLevel="0" collapsed="false">
      <c r="B2091" s="7" t="s">
        <v>10724</v>
      </c>
      <c r="C2091" s="39" t="n">
        <v>45788</v>
      </c>
      <c r="D2091" s="7" t="s">
        <v>222</v>
      </c>
      <c r="E2091" s="7" t="s">
        <v>180</v>
      </c>
      <c r="F2091" s="6" t="n">
        <v>3.77</v>
      </c>
      <c r="G2091" s="6" t="n">
        <v>0</v>
      </c>
      <c r="H2091" s="41" t="n">
        <v>17.84</v>
      </c>
      <c r="I2091" s="43" t="n">
        <f aca="false">F2091*H2091</f>
        <v>67.2568</v>
      </c>
      <c r="J2091" s="43" t="n">
        <f aca="false">G2091*H2091*1.5</f>
        <v>0</v>
      </c>
      <c r="K2091" s="6" t="n">
        <v>10.26</v>
      </c>
      <c r="L2091" s="43" t="n">
        <f aca="false">K2091*'Chart of Accounts'!$E$68</f>
        <v>6.8742</v>
      </c>
      <c r="O2091" s="42" t="n">
        <f aca="false">I2091+J2091+L2091</f>
        <v>74.131</v>
      </c>
    </row>
    <row r="2092" customFormat="false" ht="15" hidden="false" customHeight="false" outlineLevel="0" collapsed="false">
      <c r="B2092" s="7" t="s">
        <v>10725</v>
      </c>
      <c r="C2092" s="39" t="n">
        <v>45788</v>
      </c>
      <c r="D2092" s="7" t="s">
        <v>242</v>
      </c>
      <c r="E2092" s="7" t="s">
        <v>180</v>
      </c>
      <c r="F2092" s="6" t="n">
        <v>3.79</v>
      </c>
      <c r="G2092" s="6" t="n">
        <v>0</v>
      </c>
      <c r="H2092" s="41" t="n">
        <v>17.99</v>
      </c>
      <c r="I2092" s="43" t="n">
        <f aca="false">F2092*H2092</f>
        <v>68.1821</v>
      </c>
      <c r="J2092" s="43" t="n">
        <f aca="false">G2092*H2092*1.5</f>
        <v>0</v>
      </c>
      <c r="K2092" s="6" t="n">
        <v>12.04</v>
      </c>
      <c r="L2092" s="43" t="n">
        <f aca="false">K2092*'Chart of Accounts'!$E$68</f>
        <v>8.0668</v>
      </c>
      <c r="O2092" s="42" t="n">
        <f aca="false">I2092+J2092+L2092</f>
        <v>76.2489</v>
      </c>
    </row>
    <row r="2093" customFormat="false" ht="15" hidden="false" customHeight="false" outlineLevel="0" collapsed="false">
      <c r="B2093" s="7" t="s">
        <v>10726</v>
      </c>
      <c r="C2093" s="39" t="n">
        <v>45788</v>
      </c>
      <c r="D2093" s="7" t="s">
        <v>254</v>
      </c>
      <c r="E2093" s="7" t="s">
        <v>180</v>
      </c>
      <c r="F2093" s="6" t="n">
        <v>4.27</v>
      </c>
      <c r="G2093" s="6" t="n">
        <v>0</v>
      </c>
      <c r="H2093" s="41" t="n">
        <v>17.1</v>
      </c>
      <c r="I2093" s="43" t="n">
        <f aca="false">F2093*H2093</f>
        <v>73.017</v>
      </c>
      <c r="J2093" s="43" t="n">
        <f aca="false">G2093*H2093*1.5</f>
        <v>0</v>
      </c>
      <c r="K2093" s="6" t="n">
        <v>13.56</v>
      </c>
      <c r="L2093" s="43" t="n">
        <f aca="false">K2093*'Chart of Accounts'!$E$68</f>
        <v>9.0852</v>
      </c>
      <c r="O2093" s="42" t="n">
        <f aca="false">I2093+J2093+L2093</f>
        <v>82.1022</v>
      </c>
    </row>
    <row r="2094" customFormat="false" ht="15" hidden="false" customHeight="false" outlineLevel="0" collapsed="false">
      <c r="B2094" s="7" t="s">
        <v>10727</v>
      </c>
      <c r="C2094" s="39" t="n">
        <v>45789</v>
      </c>
      <c r="D2094" s="7" t="s">
        <v>187</v>
      </c>
      <c r="E2094" s="7" t="s">
        <v>158</v>
      </c>
      <c r="H2094" s="41" t="n">
        <v>66.48</v>
      </c>
      <c r="M2094" s="6" t="n">
        <v>1</v>
      </c>
      <c r="N2094" s="43" t="n">
        <f aca="false">M2094*H2094</f>
        <v>66.48</v>
      </c>
      <c r="O2094" s="42" t="n">
        <f aca="false">N2094</f>
        <v>66.48</v>
      </c>
    </row>
    <row r="2095" customFormat="false" ht="15" hidden="false" customHeight="false" outlineLevel="0" collapsed="false">
      <c r="B2095" s="7" t="s">
        <v>10728</v>
      </c>
      <c r="C2095" s="39" t="n">
        <v>45789</v>
      </c>
      <c r="D2095" s="7" t="s">
        <v>191</v>
      </c>
      <c r="E2095" s="7" t="s">
        <v>180</v>
      </c>
      <c r="F2095" s="6" t="n">
        <v>4.1</v>
      </c>
      <c r="G2095" s="6" t="n">
        <v>0</v>
      </c>
      <c r="H2095" s="41" t="n">
        <v>16.05</v>
      </c>
      <c r="I2095" s="43" t="n">
        <f aca="false">F2095*H2095</f>
        <v>65.805</v>
      </c>
      <c r="J2095" s="43" t="n">
        <f aca="false">G2095*H2095*1.5</f>
        <v>0</v>
      </c>
      <c r="K2095" s="6" t="n">
        <v>9.78</v>
      </c>
      <c r="L2095" s="43" t="n">
        <f aca="false">K2095*'Chart of Accounts'!$E$68</f>
        <v>6.5526</v>
      </c>
      <c r="O2095" s="42" t="n">
        <f aca="false">I2095+J2095+L2095</f>
        <v>72.3576</v>
      </c>
    </row>
    <row r="2096" customFormat="false" ht="15" hidden="false" customHeight="false" outlineLevel="0" collapsed="false">
      <c r="B2096" s="7" t="s">
        <v>10729</v>
      </c>
      <c r="C2096" s="39" t="n">
        <v>45789</v>
      </c>
      <c r="D2096" s="7" t="s">
        <v>194</v>
      </c>
      <c r="E2096" s="7" t="s">
        <v>180</v>
      </c>
      <c r="F2096" s="6" t="n">
        <v>8.89</v>
      </c>
      <c r="G2096" s="6" t="n">
        <v>0</v>
      </c>
      <c r="H2096" s="41" t="n">
        <v>16</v>
      </c>
      <c r="I2096" s="43" t="n">
        <f aca="false">F2096*H2096</f>
        <v>142.24</v>
      </c>
      <c r="J2096" s="43" t="n">
        <f aca="false">G2096*H2096*1.5</f>
        <v>0</v>
      </c>
      <c r="K2096" s="6" t="n">
        <v>29.43</v>
      </c>
      <c r="L2096" s="43" t="n">
        <f aca="false">K2096*'Chart of Accounts'!$E$68</f>
        <v>19.7181</v>
      </c>
      <c r="O2096" s="42" t="n">
        <f aca="false">I2096+J2096+L2096</f>
        <v>161.9581</v>
      </c>
    </row>
    <row r="2097" customFormat="false" ht="15" hidden="false" customHeight="false" outlineLevel="0" collapsed="false">
      <c r="B2097" s="7" t="s">
        <v>10730</v>
      </c>
      <c r="C2097" s="39" t="n">
        <v>45789</v>
      </c>
      <c r="D2097" s="7" t="s">
        <v>201</v>
      </c>
      <c r="E2097" s="7" t="s">
        <v>180</v>
      </c>
      <c r="F2097" s="6" t="n">
        <v>9.01</v>
      </c>
      <c r="G2097" s="6" t="n">
        <v>0</v>
      </c>
      <c r="H2097" s="41" t="n">
        <v>15.19</v>
      </c>
      <c r="I2097" s="43" t="n">
        <f aca="false">F2097*H2097</f>
        <v>136.8619</v>
      </c>
      <c r="J2097" s="43" t="n">
        <f aca="false">G2097*H2097*1.5</f>
        <v>0</v>
      </c>
      <c r="K2097" s="6" t="n">
        <v>26.79</v>
      </c>
      <c r="L2097" s="43" t="n">
        <f aca="false">K2097*'Chart of Accounts'!$E$68</f>
        <v>17.9493</v>
      </c>
      <c r="O2097" s="42" t="n">
        <f aca="false">I2097+J2097+L2097</f>
        <v>154.8112</v>
      </c>
    </row>
    <row r="2098" customFormat="false" ht="15" hidden="false" customHeight="false" outlineLevel="0" collapsed="false">
      <c r="B2098" s="7" t="s">
        <v>10731</v>
      </c>
      <c r="C2098" s="39" t="n">
        <v>45789</v>
      </c>
      <c r="D2098" s="7" t="s">
        <v>205</v>
      </c>
      <c r="E2098" s="7" t="s">
        <v>180</v>
      </c>
      <c r="F2098" s="6" t="n">
        <v>4.16</v>
      </c>
      <c r="G2098" s="6" t="n">
        <v>0</v>
      </c>
      <c r="H2098" s="41" t="n">
        <v>16.36</v>
      </c>
      <c r="I2098" s="43" t="n">
        <f aca="false">F2098*H2098</f>
        <v>68.0576</v>
      </c>
      <c r="J2098" s="43" t="n">
        <f aca="false">G2098*H2098*1.5</f>
        <v>0</v>
      </c>
      <c r="K2098" s="6" t="n">
        <v>9.43</v>
      </c>
      <c r="L2098" s="43" t="n">
        <f aca="false">K2098*'Chart of Accounts'!$E$68</f>
        <v>6.3181</v>
      </c>
      <c r="O2098" s="42" t="n">
        <f aca="false">I2098+J2098+L2098</f>
        <v>74.3757</v>
      </c>
    </row>
    <row r="2099" customFormat="false" ht="15" hidden="false" customHeight="false" outlineLevel="0" collapsed="false">
      <c r="B2099" s="7" t="s">
        <v>10732</v>
      </c>
      <c r="C2099" s="39" t="n">
        <v>45789</v>
      </c>
      <c r="D2099" s="7" t="s">
        <v>264</v>
      </c>
      <c r="E2099" s="7" t="s">
        <v>158</v>
      </c>
      <c r="H2099" s="41" t="n">
        <v>55.55</v>
      </c>
      <c r="M2099" s="6" t="n">
        <v>1</v>
      </c>
      <c r="N2099" s="43" t="n">
        <f aca="false">M2099*H2099</f>
        <v>55.55</v>
      </c>
      <c r="O2099" s="42" t="n">
        <f aca="false">N2099</f>
        <v>55.55</v>
      </c>
    </row>
    <row r="2100" customFormat="false" ht="15" hidden="false" customHeight="false" outlineLevel="0" collapsed="false">
      <c r="B2100" s="7" t="s">
        <v>10733</v>
      </c>
      <c r="C2100" s="39" t="n">
        <v>45789</v>
      </c>
      <c r="D2100" s="7" t="s">
        <v>252</v>
      </c>
      <c r="E2100" s="7" t="s">
        <v>158</v>
      </c>
      <c r="H2100" s="41" t="n">
        <v>57.54</v>
      </c>
      <c r="M2100" s="6" t="n">
        <v>1</v>
      </c>
      <c r="N2100" s="43" t="n">
        <f aca="false">M2100*H2100</f>
        <v>57.54</v>
      </c>
      <c r="O2100" s="42" t="n">
        <f aca="false">N2100</f>
        <v>57.54</v>
      </c>
    </row>
    <row r="2101" customFormat="false" ht="15" hidden="false" customHeight="false" outlineLevel="0" collapsed="false">
      <c r="B2101" s="7" t="s">
        <v>10734</v>
      </c>
      <c r="C2101" s="39" t="n">
        <v>45789</v>
      </c>
      <c r="D2101" s="7" t="s">
        <v>196</v>
      </c>
      <c r="E2101" s="7" t="s">
        <v>180</v>
      </c>
      <c r="F2101" s="6" t="n">
        <v>6.16</v>
      </c>
      <c r="G2101" s="6" t="n">
        <v>0</v>
      </c>
      <c r="H2101" s="41" t="n">
        <v>15.05</v>
      </c>
      <c r="I2101" s="43" t="n">
        <f aca="false">F2101*H2101</f>
        <v>92.708</v>
      </c>
      <c r="J2101" s="43" t="n">
        <f aca="false">G2101*H2101*1.5</f>
        <v>0</v>
      </c>
      <c r="K2101" s="6" t="n">
        <v>17.89</v>
      </c>
      <c r="L2101" s="43" t="n">
        <f aca="false">K2101*'Chart of Accounts'!$E$68</f>
        <v>11.9863</v>
      </c>
      <c r="O2101" s="42" t="n">
        <f aca="false">I2101+J2101+L2101</f>
        <v>104.6943</v>
      </c>
    </row>
    <row r="2102" customFormat="false" ht="15" hidden="false" customHeight="false" outlineLevel="0" collapsed="false">
      <c r="B2102" s="7" t="s">
        <v>10735</v>
      </c>
      <c r="C2102" s="39" t="n">
        <v>45789</v>
      </c>
      <c r="D2102" s="7" t="s">
        <v>184</v>
      </c>
      <c r="E2102" s="7" t="s">
        <v>180</v>
      </c>
      <c r="F2102" s="6" t="n">
        <v>3.72</v>
      </c>
      <c r="G2102" s="6" t="n">
        <v>0</v>
      </c>
      <c r="H2102" s="41" t="n">
        <v>17.34</v>
      </c>
      <c r="I2102" s="43" t="n">
        <f aca="false">F2102*H2102</f>
        <v>64.5048</v>
      </c>
      <c r="J2102" s="43" t="n">
        <f aca="false">G2102*H2102*1.5</f>
        <v>0</v>
      </c>
      <c r="K2102" s="6" t="n">
        <v>11.04</v>
      </c>
      <c r="L2102" s="43" t="n">
        <f aca="false">K2102*'Chart of Accounts'!$E$68</f>
        <v>7.3968</v>
      </c>
      <c r="O2102" s="42" t="n">
        <f aca="false">I2102+J2102+L2102</f>
        <v>71.9016</v>
      </c>
    </row>
    <row r="2103" customFormat="false" ht="15" hidden="false" customHeight="false" outlineLevel="0" collapsed="false">
      <c r="B2103" s="7" t="s">
        <v>10736</v>
      </c>
      <c r="C2103" s="39" t="n">
        <v>45789</v>
      </c>
      <c r="D2103" s="7" t="s">
        <v>207</v>
      </c>
      <c r="E2103" s="7" t="s">
        <v>180</v>
      </c>
      <c r="F2103" s="6" t="n">
        <v>5.99</v>
      </c>
      <c r="G2103" s="6" t="n">
        <v>0</v>
      </c>
      <c r="H2103" s="41" t="n">
        <v>16.65</v>
      </c>
      <c r="I2103" s="43" t="n">
        <f aca="false">F2103*H2103</f>
        <v>99.7335</v>
      </c>
      <c r="J2103" s="43" t="n">
        <f aca="false">G2103*H2103*1.5</f>
        <v>0</v>
      </c>
      <c r="K2103" s="6" t="n">
        <v>21.43</v>
      </c>
      <c r="L2103" s="43" t="n">
        <f aca="false">K2103*'Chart of Accounts'!$E$68</f>
        <v>14.3581</v>
      </c>
      <c r="O2103" s="42" t="n">
        <f aca="false">I2103+J2103+L2103</f>
        <v>114.0916</v>
      </c>
    </row>
    <row r="2104" customFormat="false" ht="15" hidden="false" customHeight="false" outlineLevel="0" collapsed="false">
      <c r="B2104" s="7" t="s">
        <v>10737</v>
      </c>
      <c r="C2104" s="39" t="n">
        <v>45789</v>
      </c>
      <c r="D2104" s="7" t="s">
        <v>218</v>
      </c>
      <c r="E2104" s="7" t="s">
        <v>180</v>
      </c>
      <c r="F2104" s="6" t="n">
        <v>3.7</v>
      </c>
      <c r="G2104" s="6" t="n">
        <v>0</v>
      </c>
      <c r="H2104" s="41" t="n">
        <v>16.19</v>
      </c>
      <c r="I2104" s="43" t="n">
        <f aca="false">F2104*H2104</f>
        <v>59.903</v>
      </c>
      <c r="J2104" s="43" t="n">
        <f aca="false">G2104*H2104*1.5</f>
        <v>0</v>
      </c>
      <c r="K2104" s="6" t="n">
        <v>11.5</v>
      </c>
      <c r="L2104" s="43" t="n">
        <f aca="false">K2104*'Chart of Accounts'!$E$68</f>
        <v>7.705</v>
      </c>
      <c r="O2104" s="42" t="n">
        <f aca="false">I2104+J2104+L2104</f>
        <v>67.608</v>
      </c>
    </row>
    <row r="2105" customFormat="false" ht="15" hidden="false" customHeight="false" outlineLevel="0" collapsed="false">
      <c r="B2105" s="7" t="s">
        <v>10738</v>
      </c>
      <c r="C2105" s="39" t="n">
        <v>45789</v>
      </c>
      <c r="D2105" s="7" t="s">
        <v>212</v>
      </c>
      <c r="E2105" s="7" t="s">
        <v>180</v>
      </c>
      <c r="F2105" s="6" t="n">
        <v>6.89</v>
      </c>
      <c r="G2105" s="6" t="n">
        <v>0</v>
      </c>
      <c r="H2105" s="41" t="n">
        <v>16.71</v>
      </c>
      <c r="I2105" s="43" t="n">
        <f aca="false">F2105*H2105</f>
        <v>115.1319</v>
      </c>
      <c r="J2105" s="43" t="n">
        <f aca="false">G2105*H2105*1.5</f>
        <v>0</v>
      </c>
      <c r="K2105" s="6" t="n">
        <v>21.29</v>
      </c>
      <c r="L2105" s="43" t="n">
        <f aca="false">K2105*'Chart of Accounts'!$E$68</f>
        <v>14.2643</v>
      </c>
      <c r="O2105" s="42" t="n">
        <f aca="false">I2105+J2105+L2105</f>
        <v>129.3962</v>
      </c>
    </row>
    <row r="2106" customFormat="false" ht="15" hidden="false" customHeight="false" outlineLevel="0" collapsed="false">
      <c r="B2106" s="7" t="s">
        <v>10739</v>
      </c>
      <c r="C2106" s="39" t="n">
        <v>45789</v>
      </c>
      <c r="D2106" s="7" t="s">
        <v>220</v>
      </c>
      <c r="E2106" s="7" t="s">
        <v>180</v>
      </c>
      <c r="F2106" s="6" t="n">
        <v>3.87</v>
      </c>
      <c r="G2106" s="6" t="n">
        <v>0</v>
      </c>
      <c r="H2106" s="41" t="n">
        <v>16.43</v>
      </c>
      <c r="I2106" s="43" t="n">
        <f aca="false">F2106*H2106</f>
        <v>63.5841</v>
      </c>
      <c r="J2106" s="43" t="n">
        <f aca="false">G2106*H2106*1.5</f>
        <v>0</v>
      </c>
      <c r="K2106" s="6" t="n">
        <v>9.79</v>
      </c>
      <c r="L2106" s="43" t="n">
        <f aca="false">K2106*'Chart of Accounts'!$E$68</f>
        <v>6.5593</v>
      </c>
      <c r="O2106" s="42" t="n">
        <f aca="false">I2106+J2106+L2106</f>
        <v>70.1434</v>
      </c>
    </row>
    <row r="2107" customFormat="false" ht="15" hidden="false" customHeight="false" outlineLevel="0" collapsed="false">
      <c r="B2107" s="7" t="s">
        <v>10740</v>
      </c>
      <c r="C2107" s="39" t="n">
        <v>45789</v>
      </c>
      <c r="D2107" s="7" t="s">
        <v>177</v>
      </c>
      <c r="E2107" s="7" t="s">
        <v>180</v>
      </c>
      <c r="F2107" s="6" t="n">
        <v>9.22</v>
      </c>
      <c r="G2107" s="6" t="n">
        <v>0</v>
      </c>
      <c r="H2107" s="41" t="n">
        <v>14.56</v>
      </c>
      <c r="I2107" s="43" t="n">
        <f aca="false">F2107*H2107</f>
        <v>134.2432</v>
      </c>
      <c r="J2107" s="43" t="n">
        <f aca="false">G2107*H2107*1.5</f>
        <v>0</v>
      </c>
      <c r="K2107" s="6" t="n">
        <v>32.18</v>
      </c>
      <c r="L2107" s="43" t="n">
        <f aca="false">K2107*'Chart of Accounts'!$E$68</f>
        <v>21.5606</v>
      </c>
      <c r="O2107" s="42" t="n">
        <f aca="false">I2107+J2107+L2107</f>
        <v>155.8038</v>
      </c>
    </row>
    <row r="2108" customFormat="false" ht="15" hidden="false" customHeight="false" outlineLevel="0" collapsed="false">
      <c r="B2108" s="7" t="s">
        <v>10741</v>
      </c>
      <c r="C2108" s="39" t="n">
        <v>45789</v>
      </c>
      <c r="D2108" s="7" t="s">
        <v>232</v>
      </c>
      <c r="E2108" s="7" t="s">
        <v>180</v>
      </c>
      <c r="F2108" s="6" t="n">
        <v>8.1</v>
      </c>
      <c r="G2108" s="6" t="n">
        <v>0</v>
      </c>
      <c r="H2108" s="41" t="n">
        <v>16.17</v>
      </c>
      <c r="I2108" s="43" t="n">
        <f aca="false">F2108*H2108</f>
        <v>130.977</v>
      </c>
      <c r="J2108" s="43" t="n">
        <f aca="false">G2108*H2108*1.5</f>
        <v>0</v>
      </c>
      <c r="K2108" s="6" t="n">
        <v>26.21</v>
      </c>
      <c r="L2108" s="43" t="n">
        <f aca="false">K2108*'Chart of Accounts'!$E$68</f>
        <v>17.5607</v>
      </c>
      <c r="O2108" s="42" t="n">
        <f aca="false">I2108+J2108+L2108</f>
        <v>148.5377</v>
      </c>
    </row>
    <row r="2109" customFormat="false" ht="15" hidden="false" customHeight="false" outlineLevel="0" collapsed="false">
      <c r="B2109" s="7" t="s">
        <v>10742</v>
      </c>
      <c r="C2109" s="39" t="n">
        <v>45789</v>
      </c>
      <c r="D2109" s="7" t="s">
        <v>242</v>
      </c>
      <c r="E2109" s="7" t="s">
        <v>180</v>
      </c>
      <c r="F2109" s="6" t="n">
        <v>7.25</v>
      </c>
      <c r="G2109" s="6" t="n">
        <v>0</v>
      </c>
      <c r="H2109" s="41" t="n">
        <v>17.99</v>
      </c>
      <c r="I2109" s="43" t="n">
        <f aca="false">F2109*H2109</f>
        <v>130.4275</v>
      </c>
      <c r="J2109" s="43" t="n">
        <f aca="false">G2109*H2109*1.5</f>
        <v>0</v>
      </c>
      <c r="K2109" s="6" t="n">
        <v>25.64</v>
      </c>
      <c r="L2109" s="43" t="n">
        <f aca="false">K2109*'Chart of Accounts'!$E$68</f>
        <v>17.1788</v>
      </c>
      <c r="O2109" s="42" t="n">
        <f aca="false">I2109+J2109+L2109</f>
        <v>147.6063</v>
      </c>
    </row>
    <row r="2110" customFormat="false" ht="15" hidden="false" customHeight="false" outlineLevel="0" collapsed="false">
      <c r="B2110" s="7" t="s">
        <v>10743</v>
      </c>
      <c r="C2110" s="39" t="n">
        <v>45789</v>
      </c>
      <c r="D2110" s="7" t="s">
        <v>222</v>
      </c>
      <c r="E2110" s="7" t="s">
        <v>180</v>
      </c>
      <c r="F2110" s="6" t="n">
        <v>6.87</v>
      </c>
      <c r="G2110" s="6" t="n">
        <v>0</v>
      </c>
      <c r="H2110" s="41" t="n">
        <v>17.84</v>
      </c>
      <c r="I2110" s="43" t="n">
        <f aca="false">F2110*H2110</f>
        <v>122.5608</v>
      </c>
      <c r="J2110" s="43" t="n">
        <f aca="false">G2110*H2110*1.5</f>
        <v>0</v>
      </c>
      <c r="K2110" s="6" t="n">
        <v>23.3</v>
      </c>
      <c r="L2110" s="43" t="n">
        <f aca="false">K2110*'Chart of Accounts'!$E$68</f>
        <v>15.611</v>
      </c>
      <c r="O2110" s="42" t="n">
        <f aca="false">I2110+J2110+L2110</f>
        <v>138.1718</v>
      </c>
    </row>
    <row r="2111" customFormat="false" ht="15" hidden="false" customHeight="false" outlineLevel="0" collapsed="false">
      <c r="B2111" s="7" t="s">
        <v>10744</v>
      </c>
      <c r="C2111" s="39" t="n">
        <v>45789</v>
      </c>
      <c r="D2111" s="7" t="s">
        <v>262</v>
      </c>
      <c r="E2111" s="7" t="s">
        <v>180</v>
      </c>
      <c r="F2111" s="6" t="n">
        <v>7.02</v>
      </c>
      <c r="G2111" s="6" t="n">
        <v>0</v>
      </c>
      <c r="H2111" s="41" t="n">
        <v>16.02</v>
      </c>
      <c r="I2111" s="43" t="n">
        <f aca="false">F2111*H2111</f>
        <v>112.4604</v>
      </c>
      <c r="J2111" s="43" t="n">
        <f aca="false">G2111*H2111*1.5</f>
        <v>0</v>
      </c>
      <c r="K2111" s="6" t="n">
        <v>18.45</v>
      </c>
      <c r="L2111" s="43" t="n">
        <f aca="false">K2111*'Chart of Accounts'!$E$68</f>
        <v>12.3615</v>
      </c>
      <c r="O2111" s="42" t="n">
        <f aca="false">I2111+J2111+L2111</f>
        <v>124.8219</v>
      </c>
    </row>
    <row r="2112" customFormat="false" ht="15" hidden="false" customHeight="false" outlineLevel="0" collapsed="false">
      <c r="B2112" s="7" t="s">
        <v>10745</v>
      </c>
      <c r="C2112" s="39" t="n">
        <v>45789</v>
      </c>
      <c r="D2112" s="7" t="s">
        <v>254</v>
      </c>
      <c r="E2112" s="7" t="s">
        <v>180</v>
      </c>
      <c r="F2112" s="6" t="n">
        <v>6.73</v>
      </c>
      <c r="G2112" s="6" t="n">
        <v>0</v>
      </c>
      <c r="H2112" s="41" t="n">
        <v>17.1</v>
      </c>
      <c r="I2112" s="43" t="n">
        <f aca="false">F2112*H2112</f>
        <v>115.083</v>
      </c>
      <c r="J2112" s="43" t="n">
        <f aca="false">G2112*H2112*1.5</f>
        <v>0</v>
      </c>
      <c r="K2112" s="6" t="n">
        <v>24.18</v>
      </c>
      <c r="L2112" s="43" t="n">
        <f aca="false">K2112*'Chart of Accounts'!$E$68</f>
        <v>16.2006</v>
      </c>
      <c r="O2112" s="42" t="n">
        <f aca="false">I2112+J2112+L2112</f>
        <v>131.2836</v>
      </c>
    </row>
    <row r="2113" customFormat="false" ht="15" hidden="false" customHeight="false" outlineLevel="0" collapsed="false">
      <c r="B2113" s="7" t="s">
        <v>10746</v>
      </c>
      <c r="C2113" s="39" t="n">
        <v>45789</v>
      </c>
      <c r="D2113" s="7" t="s">
        <v>246</v>
      </c>
      <c r="E2113" s="7" t="s">
        <v>180</v>
      </c>
      <c r="F2113" s="6" t="n">
        <v>7.55</v>
      </c>
      <c r="G2113" s="6" t="n">
        <v>0</v>
      </c>
      <c r="H2113" s="41" t="n">
        <v>16.48</v>
      </c>
      <c r="I2113" s="43" t="n">
        <f aca="false">F2113*H2113</f>
        <v>124.424</v>
      </c>
      <c r="J2113" s="43" t="n">
        <f aca="false">G2113*H2113*1.5</f>
        <v>0</v>
      </c>
      <c r="K2113" s="6" t="n">
        <v>18.45</v>
      </c>
      <c r="L2113" s="43" t="n">
        <f aca="false">K2113*'Chart of Accounts'!$E$68</f>
        <v>12.3615</v>
      </c>
      <c r="O2113" s="42" t="n">
        <f aca="false">I2113+J2113+L2113</f>
        <v>136.7855</v>
      </c>
    </row>
    <row r="2114" customFormat="false" ht="15" hidden="false" customHeight="false" outlineLevel="0" collapsed="false">
      <c r="B2114" s="7" t="s">
        <v>10747</v>
      </c>
      <c r="C2114" s="39" t="n">
        <v>45789</v>
      </c>
      <c r="D2114" s="7" t="s">
        <v>214</v>
      </c>
      <c r="E2114" s="7" t="s">
        <v>180</v>
      </c>
      <c r="F2114" s="6" t="n">
        <v>7.59</v>
      </c>
      <c r="G2114" s="6" t="n">
        <v>0</v>
      </c>
      <c r="H2114" s="41" t="n">
        <v>15.67</v>
      </c>
      <c r="I2114" s="43" t="n">
        <f aca="false">F2114*H2114</f>
        <v>118.9353</v>
      </c>
      <c r="J2114" s="43" t="n">
        <f aca="false">G2114*H2114*1.5</f>
        <v>0</v>
      </c>
      <c r="K2114" s="6" t="n">
        <v>20.31</v>
      </c>
      <c r="L2114" s="43" t="n">
        <f aca="false">K2114*'Chart of Accounts'!$E$68</f>
        <v>13.6077</v>
      </c>
      <c r="O2114" s="42" t="n">
        <f aca="false">I2114+J2114+L2114</f>
        <v>132.543</v>
      </c>
    </row>
    <row r="2115" customFormat="false" ht="15" hidden="false" customHeight="false" outlineLevel="0" collapsed="false">
      <c r="B2115" s="7" t="s">
        <v>10748</v>
      </c>
      <c r="C2115" s="39" t="n">
        <v>45789</v>
      </c>
      <c r="D2115" s="7" t="s">
        <v>224</v>
      </c>
      <c r="E2115" s="7" t="s">
        <v>180</v>
      </c>
      <c r="F2115" s="6" t="n">
        <v>4.69</v>
      </c>
      <c r="G2115" s="6" t="n">
        <v>0</v>
      </c>
      <c r="H2115" s="41" t="n">
        <v>14.93</v>
      </c>
      <c r="I2115" s="43" t="n">
        <f aca="false">F2115*H2115</f>
        <v>70.0217</v>
      </c>
      <c r="J2115" s="43" t="n">
        <f aca="false">G2115*H2115*1.5</f>
        <v>0</v>
      </c>
      <c r="K2115" s="6" t="n">
        <v>16.03</v>
      </c>
      <c r="L2115" s="43" t="n">
        <f aca="false">K2115*'Chart of Accounts'!$E$68</f>
        <v>10.7401</v>
      </c>
      <c r="O2115" s="42" t="n">
        <f aca="false">I2115+J2115+L2115</f>
        <v>80.7618</v>
      </c>
    </row>
    <row r="2116" customFormat="false" ht="15" hidden="false" customHeight="false" outlineLevel="0" collapsed="false">
      <c r="B2116" s="7" t="s">
        <v>10749</v>
      </c>
      <c r="C2116" s="39" t="n">
        <v>45789</v>
      </c>
      <c r="D2116" s="7" t="s">
        <v>238</v>
      </c>
      <c r="E2116" s="7" t="s">
        <v>180</v>
      </c>
      <c r="F2116" s="6" t="n">
        <v>3.78</v>
      </c>
      <c r="G2116" s="6" t="n">
        <v>0</v>
      </c>
      <c r="H2116" s="41" t="n">
        <v>15.85</v>
      </c>
      <c r="I2116" s="43" t="n">
        <f aca="false">F2116*H2116</f>
        <v>59.913</v>
      </c>
      <c r="J2116" s="43" t="n">
        <f aca="false">G2116*H2116*1.5</f>
        <v>0</v>
      </c>
      <c r="K2116" s="6" t="n">
        <v>9.37</v>
      </c>
      <c r="L2116" s="43" t="n">
        <f aca="false">K2116*'Chart of Accounts'!$E$68</f>
        <v>6.2779</v>
      </c>
      <c r="O2116" s="42" t="n">
        <f aca="false">I2116+J2116+L2116</f>
        <v>66.1909</v>
      </c>
    </row>
    <row r="2117" customFormat="false" ht="15" hidden="false" customHeight="false" outlineLevel="0" collapsed="false">
      <c r="B2117" s="7" t="s">
        <v>10750</v>
      </c>
      <c r="C2117" s="39" t="n">
        <v>45790</v>
      </c>
      <c r="D2117" s="7" t="s">
        <v>209</v>
      </c>
      <c r="E2117" s="7" t="s">
        <v>158</v>
      </c>
      <c r="H2117" s="41" t="n">
        <v>73.58</v>
      </c>
      <c r="M2117" s="6" t="n">
        <v>2</v>
      </c>
      <c r="N2117" s="43" t="n">
        <f aca="false">M2117*H2117</f>
        <v>147.16</v>
      </c>
      <c r="O2117" s="42" t="n">
        <f aca="false">N2117</f>
        <v>147.16</v>
      </c>
    </row>
    <row r="2118" customFormat="false" ht="15" hidden="false" customHeight="false" outlineLevel="0" collapsed="false">
      <c r="B2118" s="7" t="s">
        <v>10751</v>
      </c>
      <c r="C2118" s="39" t="n">
        <v>45790</v>
      </c>
      <c r="D2118" s="7" t="s">
        <v>184</v>
      </c>
      <c r="E2118" s="7" t="s">
        <v>180</v>
      </c>
      <c r="F2118" s="6" t="n">
        <v>4.16</v>
      </c>
      <c r="G2118" s="6" t="n">
        <v>0</v>
      </c>
      <c r="H2118" s="41" t="n">
        <v>17.34</v>
      </c>
      <c r="I2118" s="43" t="n">
        <f aca="false">F2118*H2118</f>
        <v>72.1344</v>
      </c>
      <c r="J2118" s="43" t="n">
        <f aca="false">G2118*H2118*1.5</f>
        <v>0</v>
      </c>
      <c r="K2118" s="6" t="n">
        <v>11.27</v>
      </c>
      <c r="L2118" s="43" t="n">
        <f aca="false">K2118*'Chart of Accounts'!$E$68</f>
        <v>7.5509</v>
      </c>
      <c r="O2118" s="42" t="n">
        <f aca="false">I2118+J2118+L2118</f>
        <v>79.6853</v>
      </c>
    </row>
    <row r="2119" customFormat="false" ht="15" hidden="false" customHeight="false" outlineLevel="0" collapsed="false">
      <c r="B2119" s="7" t="s">
        <v>10752</v>
      </c>
      <c r="C2119" s="39" t="n">
        <v>45790</v>
      </c>
      <c r="D2119" s="7" t="s">
        <v>234</v>
      </c>
      <c r="E2119" s="7" t="s">
        <v>158</v>
      </c>
      <c r="H2119" s="41" t="n">
        <v>89.53</v>
      </c>
      <c r="M2119" s="6" t="n">
        <v>2</v>
      </c>
      <c r="N2119" s="43" t="n">
        <f aca="false">M2119*H2119</f>
        <v>179.06</v>
      </c>
      <c r="O2119" s="42" t="n">
        <f aca="false">N2119</f>
        <v>179.06</v>
      </c>
    </row>
    <row r="2120" customFormat="false" ht="15" hidden="false" customHeight="false" outlineLevel="0" collapsed="false">
      <c r="B2120" s="7" t="s">
        <v>10753</v>
      </c>
      <c r="C2120" s="39" t="n">
        <v>45790</v>
      </c>
      <c r="D2120" s="7" t="s">
        <v>218</v>
      </c>
      <c r="E2120" s="7" t="s">
        <v>180</v>
      </c>
      <c r="F2120" s="6" t="n">
        <v>4.3</v>
      </c>
      <c r="G2120" s="6" t="n">
        <v>0</v>
      </c>
      <c r="H2120" s="41" t="n">
        <v>16.19</v>
      </c>
      <c r="I2120" s="43" t="n">
        <f aca="false">F2120*H2120</f>
        <v>69.617</v>
      </c>
      <c r="J2120" s="43" t="n">
        <f aca="false">G2120*H2120*1.5</f>
        <v>0</v>
      </c>
      <c r="K2120" s="6" t="n">
        <v>14.1</v>
      </c>
      <c r="L2120" s="43" t="n">
        <f aca="false">K2120*'Chart of Accounts'!$E$68</f>
        <v>9.447</v>
      </c>
      <c r="O2120" s="42" t="n">
        <f aca="false">I2120+J2120+L2120</f>
        <v>79.064</v>
      </c>
    </row>
    <row r="2121" customFormat="false" ht="15" hidden="false" customHeight="false" outlineLevel="0" collapsed="false">
      <c r="B2121" s="7" t="s">
        <v>10754</v>
      </c>
      <c r="C2121" s="39" t="n">
        <v>45790</v>
      </c>
      <c r="D2121" s="7" t="s">
        <v>266</v>
      </c>
      <c r="E2121" s="7" t="s">
        <v>158</v>
      </c>
      <c r="H2121" s="41" t="n">
        <v>75.18</v>
      </c>
      <c r="M2121" s="6" t="n">
        <v>1</v>
      </c>
      <c r="N2121" s="43" t="n">
        <f aca="false">M2121*H2121</f>
        <v>75.18</v>
      </c>
      <c r="O2121" s="42" t="n">
        <f aca="false">N2121</f>
        <v>75.18</v>
      </c>
    </row>
    <row r="2122" customFormat="false" ht="15" hidden="false" customHeight="false" outlineLevel="0" collapsed="false">
      <c r="B2122" s="7" t="s">
        <v>10755</v>
      </c>
      <c r="C2122" s="39" t="n">
        <v>45790</v>
      </c>
      <c r="D2122" s="7" t="s">
        <v>228</v>
      </c>
      <c r="E2122" s="7" t="s">
        <v>158</v>
      </c>
      <c r="H2122" s="41" t="n">
        <v>51.07</v>
      </c>
      <c r="M2122" s="6" t="n">
        <v>1</v>
      </c>
      <c r="N2122" s="43" t="n">
        <f aca="false">M2122*H2122</f>
        <v>51.07</v>
      </c>
      <c r="O2122" s="42" t="n">
        <f aca="false">N2122</f>
        <v>51.07</v>
      </c>
    </row>
    <row r="2123" customFormat="false" ht="15" hidden="false" customHeight="false" outlineLevel="0" collapsed="false">
      <c r="B2123" s="7" t="s">
        <v>10756</v>
      </c>
      <c r="C2123" s="39" t="n">
        <v>45790</v>
      </c>
      <c r="D2123" s="7" t="s">
        <v>220</v>
      </c>
      <c r="E2123" s="7" t="s">
        <v>180</v>
      </c>
      <c r="F2123" s="6" t="n">
        <v>3.66</v>
      </c>
      <c r="G2123" s="6" t="n">
        <v>0</v>
      </c>
      <c r="H2123" s="41" t="n">
        <v>16.43</v>
      </c>
      <c r="I2123" s="43" t="n">
        <f aca="false">F2123*H2123</f>
        <v>60.1338</v>
      </c>
      <c r="J2123" s="43" t="n">
        <f aca="false">G2123*H2123*1.5</f>
        <v>0</v>
      </c>
      <c r="K2123" s="6" t="n">
        <v>8.5</v>
      </c>
      <c r="L2123" s="43" t="n">
        <f aca="false">K2123*'Chart of Accounts'!$E$68</f>
        <v>5.695</v>
      </c>
      <c r="O2123" s="42" t="n">
        <f aca="false">I2123+J2123+L2123</f>
        <v>65.8288</v>
      </c>
    </row>
    <row r="2124" customFormat="false" ht="15" hidden="false" customHeight="false" outlineLevel="0" collapsed="false">
      <c r="B2124" s="7" t="s">
        <v>10757</v>
      </c>
      <c r="C2124" s="39" t="n">
        <v>45790</v>
      </c>
      <c r="D2124" s="7" t="s">
        <v>212</v>
      </c>
      <c r="E2124" s="7" t="s">
        <v>180</v>
      </c>
      <c r="F2124" s="6" t="n">
        <v>4.36</v>
      </c>
      <c r="G2124" s="6" t="n">
        <v>0</v>
      </c>
      <c r="H2124" s="41" t="n">
        <v>16.71</v>
      </c>
      <c r="I2124" s="43" t="n">
        <f aca="false">F2124*H2124</f>
        <v>72.8556</v>
      </c>
      <c r="J2124" s="43" t="n">
        <f aca="false">G2124*H2124*1.5</f>
        <v>0</v>
      </c>
      <c r="K2124" s="6" t="n">
        <v>15.17</v>
      </c>
      <c r="L2124" s="43" t="n">
        <f aca="false">K2124*'Chart of Accounts'!$E$68</f>
        <v>10.1639</v>
      </c>
      <c r="O2124" s="42" t="n">
        <f aca="false">I2124+J2124+L2124</f>
        <v>83.0195</v>
      </c>
    </row>
    <row r="2125" customFormat="false" ht="15" hidden="false" customHeight="false" outlineLevel="0" collapsed="false">
      <c r="B2125" s="7" t="s">
        <v>10758</v>
      </c>
      <c r="C2125" s="39" t="n">
        <v>45790</v>
      </c>
      <c r="D2125" s="7" t="s">
        <v>194</v>
      </c>
      <c r="E2125" s="7" t="s">
        <v>180</v>
      </c>
      <c r="F2125" s="6" t="n">
        <v>3.8</v>
      </c>
      <c r="G2125" s="6" t="n">
        <v>0</v>
      </c>
      <c r="H2125" s="41" t="n">
        <v>16</v>
      </c>
      <c r="I2125" s="43" t="n">
        <f aca="false">F2125*H2125</f>
        <v>60.8</v>
      </c>
      <c r="J2125" s="43" t="n">
        <f aca="false">G2125*H2125*1.5</f>
        <v>0</v>
      </c>
      <c r="K2125" s="6" t="n">
        <v>12.49</v>
      </c>
      <c r="L2125" s="43" t="n">
        <f aca="false">K2125*'Chart of Accounts'!$E$68</f>
        <v>8.3683</v>
      </c>
      <c r="O2125" s="42" t="n">
        <f aca="false">I2125+J2125+L2125</f>
        <v>69.1683</v>
      </c>
    </row>
    <row r="2126" customFormat="false" ht="15" hidden="false" customHeight="false" outlineLevel="0" collapsed="false">
      <c r="B2126" s="7" t="s">
        <v>10759</v>
      </c>
      <c r="C2126" s="39" t="n">
        <v>45790</v>
      </c>
      <c r="D2126" s="7" t="s">
        <v>246</v>
      </c>
      <c r="E2126" s="7" t="s">
        <v>180</v>
      </c>
      <c r="F2126" s="6" t="n">
        <v>3.77</v>
      </c>
      <c r="G2126" s="6" t="n">
        <v>0</v>
      </c>
      <c r="H2126" s="41" t="n">
        <v>16.48</v>
      </c>
      <c r="I2126" s="43" t="n">
        <f aca="false">F2126*H2126</f>
        <v>62.1296</v>
      </c>
      <c r="J2126" s="43" t="n">
        <f aca="false">G2126*H2126*1.5</f>
        <v>0</v>
      </c>
      <c r="K2126" s="6" t="n">
        <v>12.61</v>
      </c>
      <c r="L2126" s="43" t="n">
        <f aca="false">K2126*'Chart of Accounts'!$E$68</f>
        <v>8.4487</v>
      </c>
      <c r="O2126" s="42" t="n">
        <f aca="false">I2126+J2126+L2126</f>
        <v>70.5783</v>
      </c>
    </row>
    <row r="2127" customFormat="false" ht="15" hidden="false" customHeight="false" outlineLevel="0" collapsed="false">
      <c r="B2127" s="7" t="s">
        <v>10760</v>
      </c>
      <c r="C2127" s="39" t="n">
        <v>45790</v>
      </c>
      <c r="D2127" s="7" t="s">
        <v>222</v>
      </c>
      <c r="E2127" s="7" t="s">
        <v>180</v>
      </c>
      <c r="F2127" s="6" t="n">
        <v>3.77</v>
      </c>
      <c r="G2127" s="6" t="n">
        <v>0</v>
      </c>
      <c r="H2127" s="41" t="n">
        <v>17.84</v>
      </c>
      <c r="I2127" s="43" t="n">
        <f aca="false">F2127*H2127</f>
        <v>67.2568</v>
      </c>
      <c r="J2127" s="43" t="n">
        <f aca="false">G2127*H2127*1.5</f>
        <v>0</v>
      </c>
      <c r="K2127" s="6" t="n">
        <v>9.98</v>
      </c>
      <c r="L2127" s="43" t="n">
        <f aca="false">K2127*'Chart of Accounts'!$E$68</f>
        <v>6.6866</v>
      </c>
      <c r="O2127" s="42" t="n">
        <f aca="false">I2127+J2127+L2127</f>
        <v>73.9434</v>
      </c>
    </row>
    <row r="2128" customFormat="false" ht="15" hidden="false" customHeight="false" outlineLevel="0" collapsed="false">
      <c r="B2128" s="7" t="s">
        <v>10761</v>
      </c>
      <c r="C2128" s="39" t="n">
        <v>45790</v>
      </c>
      <c r="D2128" s="7" t="s">
        <v>242</v>
      </c>
      <c r="E2128" s="7" t="s">
        <v>180</v>
      </c>
      <c r="F2128" s="6" t="n">
        <v>4.11</v>
      </c>
      <c r="G2128" s="6" t="n">
        <v>0</v>
      </c>
      <c r="H2128" s="41" t="n">
        <v>17.99</v>
      </c>
      <c r="I2128" s="43" t="n">
        <f aca="false">F2128*H2128</f>
        <v>73.9389</v>
      </c>
      <c r="J2128" s="43" t="n">
        <f aca="false">G2128*H2128*1.5</f>
        <v>0</v>
      </c>
      <c r="K2128" s="6" t="n">
        <v>12.99</v>
      </c>
      <c r="L2128" s="43" t="n">
        <f aca="false">K2128*'Chart of Accounts'!$E$68</f>
        <v>8.7033</v>
      </c>
      <c r="O2128" s="42" t="n">
        <f aca="false">I2128+J2128+L2128</f>
        <v>82.6422</v>
      </c>
    </row>
    <row r="2129" customFormat="false" ht="15" hidden="false" customHeight="false" outlineLevel="0" collapsed="false">
      <c r="B2129" s="7" t="s">
        <v>10762</v>
      </c>
      <c r="C2129" s="39" t="n">
        <v>45790</v>
      </c>
      <c r="D2129" s="7" t="s">
        <v>203</v>
      </c>
      <c r="E2129" s="7" t="s">
        <v>158</v>
      </c>
      <c r="H2129" s="41" t="n">
        <v>49.43</v>
      </c>
      <c r="M2129" s="6" t="n">
        <v>1</v>
      </c>
      <c r="N2129" s="43" t="n">
        <f aca="false">M2129*H2129</f>
        <v>49.43</v>
      </c>
      <c r="O2129" s="42" t="n">
        <f aca="false">N2129</f>
        <v>49.43</v>
      </c>
    </row>
    <row r="2130" customFormat="false" ht="15" hidden="false" customHeight="false" outlineLevel="0" collapsed="false">
      <c r="B2130" s="7" t="s">
        <v>10763</v>
      </c>
      <c r="C2130" s="39" t="n">
        <v>45790</v>
      </c>
      <c r="D2130" s="7" t="s">
        <v>254</v>
      </c>
      <c r="E2130" s="7" t="s">
        <v>180</v>
      </c>
      <c r="F2130" s="6" t="n">
        <v>3.88</v>
      </c>
      <c r="G2130" s="6" t="n">
        <v>0</v>
      </c>
      <c r="H2130" s="41" t="n">
        <v>17.1</v>
      </c>
      <c r="I2130" s="43" t="n">
        <f aca="false">F2130*H2130</f>
        <v>66.348</v>
      </c>
      <c r="J2130" s="43" t="n">
        <f aca="false">G2130*H2130*1.5</f>
        <v>0</v>
      </c>
      <c r="K2130" s="6" t="n">
        <v>13.07</v>
      </c>
      <c r="L2130" s="43" t="n">
        <f aca="false">K2130*'Chart of Accounts'!$E$68</f>
        <v>8.7569</v>
      </c>
      <c r="O2130" s="42" t="n">
        <f aca="false">I2130+J2130+L2130</f>
        <v>75.1049</v>
      </c>
    </row>
    <row r="2131" customFormat="false" ht="15" hidden="false" customHeight="false" outlineLevel="0" collapsed="false">
      <c r="B2131" s="7" t="s">
        <v>10764</v>
      </c>
      <c r="C2131" s="39" t="n">
        <v>45791</v>
      </c>
      <c r="D2131" s="7" t="s">
        <v>187</v>
      </c>
      <c r="E2131" s="7" t="s">
        <v>158</v>
      </c>
      <c r="H2131" s="41" t="n">
        <v>66.48</v>
      </c>
      <c r="M2131" s="6" t="n">
        <v>1</v>
      </c>
      <c r="N2131" s="43" t="n">
        <f aca="false">M2131*H2131</f>
        <v>66.48</v>
      </c>
      <c r="O2131" s="42" t="n">
        <f aca="false">N2131</f>
        <v>66.48</v>
      </c>
    </row>
    <row r="2132" customFormat="false" ht="15" hidden="false" customHeight="false" outlineLevel="0" collapsed="false">
      <c r="B2132" s="7" t="s">
        <v>10765</v>
      </c>
      <c r="C2132" s="39" t="n">
        <v>45791</v>
      </c>
      <c r="D2132" s="7" t="s">
        <v>228</v>
      </c>
      <c r="E2132" s="7" t="s">
        <v>158</v>
      </c>
      <c r="H2132" s="41" t="n">
        <v>51.07</v>
      </c>
      <c r="M2132" s="6" t="n">
        <v>1</v>
      </c>
      <c r="N2132" s="43" t="n">
        <f aca="false">M2132*H2132</f>
        <v>51.07</v>
      </c>
      <c r="O2132" s="42" t="n">
        <f aca="false">N2132</f>
        <v>51.07</v>
      </c>
    </row>
    <row r="2133" customFormat="false" ht="15" hidden="false" customHeight="false" outlineLevel="0" collapsed="false">
      <c r="B2133" s="7" t="s">
        <v>10766</v>
      </c>
      <c r="C2133" s="39" t="n">
        <v>45791</v>
      </c>
      <c r="D2133" s="7" t="s">
        <v>191</v>
      </c>
      <c r="E2133" s="7" t="s">
        <v>180</v>
      </c>
      <c r="F2133" s="6" t="n">
        <v>3.72</v>
      </c>
      <c r="G2133" s="6" t="n">
        <v>0</v>
      </c>
      <c r="H2133" s="41" t="n">
        <v>16.05</v>
      </c>
      <c r="I2133" s="43" t="n">
        <f aca="false">F2133*H2133</f>
        <v>59.706</v>
      </c>
      <c r="J2133" s="43" t="n">
        <f aca="false">G2133*H2133*1.5</f>
        <v>0</v>
      </c>
      <c r="K2133" s="6" t="n">
        <v>10.6</v>
      </c>
      <c r="L2133" s="43" t="n">
        <f aca="false">K2133*'Chart of Accounts'!$E$68</f>
        <v>7.102</v>
      </c>
      <c r="O2133" s="42" t="n">
        <f aca="false">I2133+J2133+L2133</f>
        <v>66.808</v>
      </c>
    </row>
    <row r="2134" customFormat="false" ht="15" hidden="false" customHeight="false" outlineLevel="0" collapsed="false">
      <c r="B2134" s="7" t="s">
        <v>10767</v>
      </c>
      <c r="C2134" s="39" t="n">
        <v>45791</v>
      </c>
      <c r="D2134" s="7" t="s">
        <v>194</v>
      </c>
      <c r="E2134" s="7" t="s">
        <v>180</v>
      </c>
      <c r="F2134" s="6" t="n">
        <v>4.35</v>
      </c>
      <c r="G2134" s="6" t="n">
        <v>0</v>
      </c>
      <c r="H2134" s="41" t="n">
        <v>16</v>
      </c>
      <c r="I2134" s="43" t="n">
        <f aca="false">F2134*H2134</f>
        <v>69.6</v>
      </c>
      <c r="J2134" s="43" t="n">
        <f aca="false">G2134*H2134*1.5</f>
        <v>0</v>
      </c>
      <c r="K2134" s="6" t="n">
        <v>13.86</v>
      </c>
      <c r="L2134" s="43" t="n">
        <f aca="false">K2134*'Chart of Accounts'!$E$68</f>
        <v>9.2862</v>
      </c>
      <c r="O2134" s="42" t="n">
        <f aca="false">I2134+J2134+L2134</f>
        <v>78.8862</v>
      </c>
    </row>
    <row r="2135" customFormat="false" ht="15" hidden="false" customHeight="false" outlineLevel="0" collapsed="false">
      <c r="B2135" s="7" t="s">
        <v>10768</v>
      </c>
      <c r="C2135" s="39" t="n">
        <v>45791</v>
      </c>
      <c r="D2135" s="7" t="s">
        <v>205</v>
      </c>
      <c r="E2135" s="7" t="s">
        <v>180</v>
      </c>
      <c r="F2135" s="6" t="n">
        <v>3.92</v>
      </c>
      <c r="G2135" s="6" t="n">
        <v>0</v>
      </c>
      <c r="H2135" s="41" t="n">
        <v>16.36</v>
      </c>
      <c r="I2135" s="43" t="n">
        <f aca="false">F2135*H2135</f>
        <v>64.1312</v>
      </c>
      <c r="J2135" s="43" t="n">
        <f aca="false">G2135*H2135*1.5</f>
        <v>0</v>
      </c>
      <c r="K2135" s="6" t="n">
        <v>11.65</v>
      </c>
      <c r="L2135" s="43" t="n">
        <f aca="false">K2135*'Chart of Accounts'!$E$68</f>
        <v>7.8055</v>
      </c>
      <c r="O2135" s="42" t="n">
        <f aca="false">I2135+J2135+L2135</f>
        <v>71.9367</v>
      </c>
    </row>
    <row r="2136" customFormat="false" ht="15" hidden="false" customHeight="false" outlineLevel="0" collapsed="false">
      <c r="B2136" s="7" t="s">
        <v>10769</v>
      </c>
      <c r="C2136" s="39" t="n">
        <v>45791</v>
      </c>
      <c r="D2136" s="7" t="s">
        <v>264</v>
      </c>
      <c r="E2136" s="7" t="s">
        <v>158</v>
      </c>
      <c r="H2136" s="41" t="n">
        <v>55.55</v>
      </c>
      <c r="M2136" s="6" t="n">
        <v>1</v>
      </c>
      <c r="N2136" s="43" t="n">
        <f aca="false">M2136*H2136</f>
        <v>55.55</v>
      </c>
      <c r="O2136" s="42" t="n">
        <f aca="false">N2136</f>
        <v>55.55</v>
      </c>
    </row>
    <row r="2137" customFormat="false" ht="15" hidden="false" customHeight="false" outlineLevel="0" collapsed="false">
      <c r="B2137" s="7" t="s">
        <v>10770</v>
      </c>
      <c r="C2137" s="39" t="n">
        <v>45791</v>
      </c>
      <c r="D2137" s="7" t="s">
        <v>252</v>
      </c>
      <c r="E2137" s="7" t="s">
        <v>158</v>
      </c>
      <c r="H2137" s="41" t="n">
        <v>57.54</v>
      </c>
      <c r="M2137" s="6" t="n">
        <v>1</v>
      </c>
      <c r="N2137" s="43" t="n">
        <f aca="false">M2137*H2137</f>
        <v>57.54</v>
      </c>
      <c r="O2137" s="42" t="n">
        <f aca="false">N2137</f>
        <v>57.54</v>
      </c>
    </row>
    <row r="2138" customFormat="false" ht="15" hidden="false" customHeight="false" outlineLevel="0" collapsed="false">
      <c r="B2138" s="7" t="s">
        <v>10771</v>
      </c>
      <c r="C2138" s="39" t="n">
        <v>45791</v>
      </c>
      <c r="D2138" s="7" t="s">
        <v>184</v>
      </c>
      <c r="E2138" s="7" t="s">
        <v>180</v>
      </c>
      <c r="F2138" s="6" t="n">
        <v>3.88</v>
      </c>
      <c r="G2138" s="6" t="n">
        <v>0</v>
      </c>
      <c r="H2138" s="41" t="n">
        <v>17.34</v>
      </c>
      <c r="I2138" s="43" t="n">
        <f aca="false">F2138*H2138</f>
        <v>67.2792</v>
      </c>
      <c r="J2138" s="43" t="n">
        <f aca="false">G2138*H2138*1.5</f>
        <v>0</v>
      </c>
      <c r="K2138" s="6" t="n">
        <v>9.5</v>
      </c>
      <c r="L2138" s="43" t="n">
        <f aca="false">K2138*'Chart of Accounts'!$E$68</f>
        <v>6.365</v>
      </c>
      <c r="O2138" s="42" t="n">
        <f aca="false">I2138+J2138+L2138</f>
        <v>73.6442</v>
      </c>
    </row>
    <row r="2139" customFormat="false" ht="15" hidden="false" customHeight="false" outlineLevel="0" collapsed="false">
      <c r="B2139" s="7" t="s">
        <v>10772</v>
      </c>
      <c r="C2139" s="39" t="n">
        <v>45791</v>
      </c>
      <c r="D2139" s="7" t="s">
        <v>218</v>
      </c>
      <c r="E2139" s="7" t="s">
        <v>180</v>
      </c>
      <c r="F2139" s="6" t="n">
        <v>4.3</v>
      </c>
      <c r="G2139" s="6" t="n">
        <v>0</v>
      </c>
      <c r="H2139" s="41" t="n">
        <v>16.19</v>
      </c>
      <c r="I2139" s="43" t="n">
        <f aca="false">F2139*H2139</f>
        <v>69.617</v>
      </c>
      <c r="J2139" s="43" t="n">
        <f aca="false">G2139*H2139*1.5</f>
        <v>0</v>
      </c>
      <c r="K2139" s="6" t="n">
        <v>9.7</v>
      </c>
      <c r="L2139" s="43" t="n">
        <f aca="false">K2139*'Chart of Accounts'!$E$68</f>
        <v>6.499</v>
      </c>
      <c r="O2139" s="42" t="n">
        <f aca="false">I2139+J2139+L2139</f>
        <v>76.116</v>
      </c>
    </row>
    <row r="2140" customFormat="false" ht="15" hidden="false" customHeight="false" outlineLevel="0" collapsed="false">
      <c r="B2140" s="7" t="s">
        <v>10773</v>
      </c>
      <c r="C2140" s="39" t="n">
        <v>45791</v>
      </c>
      <c r="D2140" s="7" t="s">
        <v>220</v>
      </c>
      <c r="E2140" s="7" t="s">
        <v>180</v>
      </c>
      <c r="F2140" s="6" t="n">
        <v>3.63</v>
      </c>
      <c r="G2140" s="6" t="n">
        <v>0</v>
      </c>
      <c r="H2140" s="41" t="n">
        <v>16.43</v>
      </c>
      <c r="I2140" s="43" t="n">
        <f aca="false">F2140*H2140</f>
        <v>59.6409</v>
      </c>
      <c r="J2140" s="43" t="n">
        <f aca="false">G2140*H2140*1.5</f>
        <v>0</v>
      </c>
      <c r="K2140" s="6" t="n">
        <v>8.41</v>
      </c>
      <c r="L2140" s="43" t="n">
        <f aca="false">K2140*'Chart of Accounts'!$E$68</f>
        <v>5.6347</v>
      </c>
      <c r="O2140" s="42" t="n">
        <f aca="false">I2140+J2140+L2140</f>
        <v>65.2756</v>
      </c>
    </row>
    <row r="2141" customFormat="false" ht="15" hidden="false" customHeight="false" outlineLevel="0" collapsed="false">
      <c r="B2141" s="7" t="s">
        <v>10774</v>
      </c>
      <c r="C2141" s="39" t="n">
        <v>45791</v>
      </c>
      <c r="D2141" s="7" t="s">
        <v>177</v>
      </c>
      <c r="E2141" s="7" t="s">
        <v>180</v>
      </c>
      <c r="F2141" s="6" t="n">
        <v>8.73</v>
      </c>
      <c r="G2141" s="6" t="n">
        <v>0</v>
      </c>
      <c r="H2141" s="41" t="n">
        <v>14.56</v>
      </c>
      <c r="I2141" s="43" t="n">
        <f aca="false">F2141*H2141</f>
        <v>127.1088</v>
      </c>
      <c r="J2141" s="43" t="n">
        <f aca="false">G2141*H2141*1.5</f>
        <v>0</v>
      </c>
      <c r="K2141" s="6" t="n">
        <v>24.65</v>
      </c>
      <c r="L2141" s="43" t="n">
        <f aca="false">K2141*'Chart of Accounts'!$E$68</f>
        <v>16.5155</v>
      </c>
      <c r="O2141" s="42" t="n">
        <f aca="false">I2141+J2141+L2141</f>
        <v>143.6243</v>
      </c>
    </row>
    <row r="2142" customFormat="false" ht="15" hidden="false" customHeight="false" outlineLevel="0" collapsed="false">
      <c r="B2142" s="7" t="s">
        <v>10775</v>
      </c>
      <c r="C2142" s="39" t="n">
        <v>45791</v>
      </c>
      <c r="D2142" s="7" t="s">
        <v>242</v>
      </c>
      <c r="E2142" s="7" t="s">
        <v>180</v>
      </c>
      <c r="F2142" s="6" t="n">
        <v>7.72</v>
      </c>
      <c r="G2142" s="6" t="n">
        <v>0</v>
      </c>
      <c r="H2142" s="41" t="n">
        <v>17.99</v>
      </c>
      <c r="I2142" s="43" t="n">
        <f aca="false">F2142*H2142</f>
        <v>138.8828</v>
      </c>
      <c r="J2142" s="43" t="n">
        <f aca="false">G2142*H2142*1.5</f>
        <v>0</v>
      </c>
      <c r="K2142" s="6" t="n">
        <v>22.73</v>
      </c>
      <c r="L2142" s="43" t="n">
        <f aca="false">K2142*'Chart of Accounts'!$E$68</f>
        <v>15.2291</v>
      </c>
      <c r="O2142" s="42" t="n">
        <f aca="false">I2142+J2142+L2142</f>
        <v>154.1119</v>
      </c>
    </row>
    <row r="2143" customFormat="false" ht="15" hidden="false" customHeight="false" outlineLevel="0" collapsed="false">
      <c r="B2143" s="7" t="s">
        <v>10776</v>
      </c>
      <c r="C2143" s="39" t="n">
        <v>45791</v>
      </c>
      <c r="D2143" s="7" t="s">
        <v>254</v>
      </c>
      <c r="E2143" s="7" t="s">
        <v>180</v>
      </c>
      <c r="F2143" s="6" t="n">
        <v>7.44</v>
      </c>
      <c r="G2143" s="6" t="n">
        <v>0</v>
      </c>
      <c r="H2143" s="41" t="n">
        <v>17.1</v>
      </c>
      <c r="I2143" s="43" t="n">
        <f aca="false">F2143*H2143</f>
        <v>127.224</v>
      </c>
      <c r="J2143" s="43" t="n">
        <f aca="false">G2143*H2143*1.5</f>
        <v>0</v>
      </c>
      <c r="K2143" s="6" t="n">
        <v>16.56</v>
      </c>
      <c r="L2143" s="43" t="n">
        <f aca="false">K2143*'Chart of Accounts'!$E$68</f>
        <v>11.0952</v>
      </c>
      <c r="O2143" s="42" t="n">
        <f aca="false">I2143+J2143+L2143</f>
        <v>138.3192</v>
      </c>
    </row>
    <row r="2144" customFormat="false" ht="15" hidden="false" customHeight="false" outlineLevel="0" collapsed="false">
      <c r="B2144" s="7" t="s">
        <v>10777</v>
      </c>
      <c r="C2144" s="39" t="n">
        <v>45791</v>
      </c>
      <c r="D2144" s="7" t="s">
        <v>201</v>
      </c>
      <c r="E2144" s="7" t="s">
        <v>180</v>
      </c>
      <c r="F2144" s="6" t="n">
        <v>3.48</v>
      </c>
      <c r="G2144" s="6" t="n">
        <v>0</v>
      </c>
      <c r="H2144" s="41" t="n">
        <v>15.19</v>
      </c>
      <c r="I2144" s="43" t="n">
        <f aca="false">F2144*H2144</f>
        <v>52.8612</v>
      </c>
      <c r="J2144" s="43" t="n">
        <f aca="false">G2144*H2144*1.5</f>
        <v>0</v>
      </c>
      <c r="K2144" s="6" t="n">
        <v>8.82</v>
      </c>
      <c r="L2144" s="43" t="n">
        <f aca="false">K2144*'Chart of Accounts'!$E$68</f>
        <v>5.9094</v>
      </c>
      <c r="O2144" s="42" t="n">
        <f aca="false">I2144+J2144+L2144</f>
        <v>58.7706</v>
      </c>
    </row>
    <row r="2145" customFormat="false" ht="15" hidden="false" customHeight="false" outlineLevel="0" collapsed="false">
      <c r="B2145" s="7" t="s">
        <v>10778</v>
      </c>
      <c r="C2145" s="39" t="n">
        <v>45791</v>
      </c>
      <c r="D2145" s="7" t="s">
        <v>207</v>
      </c>
      <c r="E2145" s="7" t="s">
        <v>180</v>
      </c>
      <c r="F2145" s="6" t="n">
        <v>3.59</v>
      </c>
      <c r="G2145" s="6" t="n">
        <v>0</v>
      </c>
      <c r="H2145" s="41" t="n">
        <v>16.65</v>
      </c>
      <c r="I2145" s="43" t="n">
        <f aca="false">F2145*H2145</f>
        <v>59.7735</v>
      </c>
      <c r="J2145" s="43" t="n">
        <f aca="false">G2145*H2145*1.5</f>
        <v>0</v>
      </c>
      <c r="K2145" s="6" t="n">
        <v>9.18</v>
      </c>
      <c r="L2145" s="43" t="n">
        <f aca="false">K2145*'Chart of Accounts'!$E$68</f>
        <v>6.1506</v>
      </c>
      <c r="O2145" s="42" t="n">
        <f aca="false">I2145+J2145+L2145</f>
        <v>65.9241</v>
      </c>
    </row>
    <row r="2146" customFormat="false" ht="15" hidden="false" customHeight="false" outlineLevel="0" collapsed="false">
      <c r="B2146" s="7" t="s">
        <v>10779</v>
      </c>
      <c r="C2146" s="39" t="n">
        <v>45791</v>
      </c>
      <c r="D2146" s="7" t="s">
        <v>212</v>
      </c>
      <c r="E2146" s="7" t="s">
        <v>180</v>
      </c>
      <c r="F2146" s="6" t="n">
        <v>4.27</v>
      </c>
      <c r="G2146" s="6" t="n">
        <v>0</v>
      </c>
      <c r="H2146" s="41" t="n">
        <v>16.71</v>
      </c>
      <c r="I2146" s="43" t="n">
        <f aca="false">F2146*H2146</f>
        <v>71.3517</v>
      </c>
      <c r="J2146" s="43" t="n">
        <f aca="false">G2146*H2146*1.5</f>
        <v>0</v>
      </c>
      <c r="K2146" s="6" t="n">
        <v>15.16</v>
      </c>
      <c r="L2146" s="43" t="n">
        <f aca="false">K2146*'Chart of Accounts'!$E$68</f>
        <v>10.1572</v>
      </c>
      <c r="O2146" s="42" t="n">
        <f aca="false">I2146+J2146+L2146</f>
        <v>81.5089</v>
      </c>
    </row>
    <row r="2147" customFormat="false" ht="15" hidden="false" customHeight="false" outlineLevel="0" collapsed="false">
      <c r="B2147" s="7" t="s">
        <v>10780</v>
      </c>
      <c r="C2147" s="39" t="n">
        <v>45791</v>
      </c>
      <c r="D2147" s="7" t="s">
        <v>224</v>
      </c>
      <c r="E2147" s="7" t="s">
        <v>180</v>
      </c>
      <c r="F2147" s="6" t="n">
        <v>4.42</v>
      </c>
      <c r="G2147" s="6" t="n">
        <v>0</v>
      </c>
      <c r="H2147" s="41" t="n">
        <v>14.93</v>
      </c>
      <c r="I2147" s="43" t="n">
        <f aca="false">F2147*H2147</f>
        <v>65.9906</v>
      </c>
      <c r="J2147" s="43" t="n">
        <f aca="false">G2147*H2147*1.5</f>
        <v>0</v>
      </c>
      <c r="K2147" s="6" t="n">
        <v>14.69</v>
      </c>
      <c r="L2147" s="43" t="n">
        <f aca="false">K2147*'Chart of Accounts'!$E$68</f>
        <v>9.8423</v>
      </c>
      <c r="O2147" s="42" t="n">
        <f aca="false">I2147+J2147+L2147</f>
        <v>75.8329</v>
      </c>
    </row>
    <row r="2148" customFormat="false" ht="15" hidden="false" customHeight="false" outlineLevel="0" collapsed="false">
      <c r="B2148" s="7" t="s">
        <v>10781</v>
      </c>
      <c r="C2148" s="39" t="n">
        <v>45791</v>
      </c>
      <c r="D2148" s="7" t="s">
        <v>238</v>
      </c>
      <c r="E2148" s="7" t="s">
        <v>180</v>
      </c>
      <c r="F2148" s="6" t="n">
        <v>4.38</v>
      </c>
      <c r="G2148" s="6" t="n">
        <v>0</v>
      </c>
      <c r="H2148" s="41" t="n">
        <v>15.85</v>
      </c>
      <c r="I2148" s="43" t="n">
        <f aca="false">F2148*H2148</f>
        <v>69.423</v>
      </c>
      <c r="J2148" s="43" t="n">
        <f aca="false">G2148*H2148*1.5</f>
        <v>0</v>
      </c>
      <c r="K2148" s="6" t="n">
        <v>12.91</v>
      </c>
      <c r="L2148" s="43" t="n">
        <f aca="false">K2148*'Chart of Accounts'!$E$68</f>
        <v>8.6497</v>
      </c>
      <c r="O2148" s="42" t="n">
        <f aca="false">I2148+J2148+L2148</f>
        <v>78.0727</v>
      </c>
    </row>
    <row r="2149" customFormat="false" ht="15" hidden="false" customHeight="false" outlineLevel="0" collapsed="false">
      <c r="B2149" s="7" t="s">
        <v>10782</v>
      </c>
      <c r="C2149" s="39" t="n">
        <v>45791</v>
      </c>
      <c r="D2149" s="7" t="s">
        <v>246</v>
      </c>
      <c r="E2149" s="7" t="s">
        <v>180</v>
      </c>
      <c r="F2149" s="6" t="n">
        <v>3.83</v>
      </c>
      <c r="G2149" s="6" t="n">
        <v>0</v>
      </c>
      <c r="H2149" s="41" t="n">
        <v>16.48</v>
      </c>
      <c r="I2149" s="43" t="n">
        <f aca="false">F2149*H2149</f>
        <v>63.1184</v>
      </c>
      <c r="J2149" s="43" t="n">
        <f aca="false">G2149*H2149*1.5</f>
        <v>0</v>
      </c>
      <c r="K2149" s="6" t="n">
        <v>12.7</v>
      </c>
      <c r="L2149" s="43" t="n">
        <f aca="false">K2149*'Chart of Accounts'!$E$68</f>
        <v>8.509</v>
      </c>
      <c r="O2149" s="42" t="n">
        <f aca="false">I2149+J2149+L2149</f>
        <v>71.6274</v>
      </c>
    </row>
    <row r="2150" customFormat="false" ht="15" hidden="false" customHeight="false" outlineLevel="0" collapsed="false">
      <c r="B2150" s="7" t="s">
        <v>10783</v>
      </c>
      <c r="C2150" s="39" t="n">
        <v>45791</v>
      </c>
      <c r="D2150" s="7" t="s">
        <v>222</v>
      </c>
      <c r="E2150" s="7" t="s">
        <v>180</v>
      </c>
      <c r="F2150" s="6" t="n">
        <v>3.8</v>
      </c>
      <c r="G2150" s="6" t="n">
        <v>0</v>
      </c>
      <c r="H2150" s="41" t="n">
        <v>17.84</v>
      </c>
      <c r="I2150" s="43" t="n">
        <f aca="false">F2150*H2150</f>
        <v>67.792</v>
      </c>
      <c r="J2150" s="43" t="n">
        <f aca="false">G2150*H2150*1.5</f>
        <v>0</v>
      </c>
      <c r="K2150" s="6" t="n">
        <v>8.4</v>
      </c>
      <c r="L2150" s="43" t="n">
        <f aca="false">K2150*'Chart of Accounts'!$E$68</f>
        <v>5.628</v>
      </c>
      <c r="O2150" s="42" t="n">
        <f aca="false">I2150+J2150+L2150</f>
        <v>73.42</v>
      </c>
    </row>
    <row r="2151" customFormat="false" ht="15" hidden="false" customHeight="false" outlineLevel="0" collapsed="false">
      <c r="B2151" s="7" t="s">
        <v>10784</v>
      </c>
      <c r="C2151" s="39" t="n">
        <v>45791</v>
      </c>
      <c r="D2151" s="7" t="s">
        <v>203</v>
      </c>
      <c r="E2151" s="7" t="s">
        <v>158</v>
      </c>
      <c r="H2151" s="41" t="n">
        <v>49.43</v>
      </c>
      <c r="M2151" s="6" t="n">
        <v>1</v>
      </c>
      <c r="N2151" s="43" t="n">
        <f aca="false">M2151*H2151</f>
        <v>49.43</v>
      </c>
      <c r="O2151" s="42" t="n">
        <f aca="false">N2151</f>
        <v>49.43</v>
      </c>
    </row>
    <row r="2152" customFormat="false" ht="15" hidden="false" customHeight="false" outlineLevel="0" collapsed="false">
      <c r="B2152" s="7" t="s">
        <v>10785</v>
      </c>
      <c r="C2152" s="39" t="n">
        <v>45791</v>
      </c>
      <c r="D2152" s="7" t="s">
        <v>262</v>
      </c>
      <c r="E2152" s="7" t="s">
        <v>180</v>
      </c>
      <c r="F2152" s="6" t="n">
        <v>3.13</v>
      </c>
      <c r="G2152" s="6" t="n">
        <v>0</v>
      </c>
      <c r="H2152" s="41" t="n">
        <v>16.02</v>
      </c>
      <c r="I2152" s="43" t="n">
        <f aca="false">F2152*H2152</f>
        <v>50.1426</v>
      </c>
      <c r="J2152" s="43" t="n">
        <f aca="false">G2152*H2152*1.5</f>
        <v>0</v>
      </c>
      <c r="K2152" s="6" t="n">
        <v>10.21</v>
      </c>
      <c r="L2152" s="43" t="n">
        <f aca="false">K2152*'Chart of Accounts'!$E$68</f>
        <v>6.8407</v>
      </c>
      <c r="O2152" s="42" t="n">
        <f aca="false">I2152+J2152+L2152</f>
        <v>56.9833</v>
      </c>
    </row>
    <row r="2153" customFormat="false" ht="15" hidden="false" customHeight="false" outlineLevel="0" collapsed="false">
      <c r="B2153" s="7" t="s">
        <v>10786</v>
      </c>
      <c r="C2153" s="39" t="n">
        <v>45791</v>
      </c>
      <c r="D2153" s="7" t="s">
        <v>214</v>
      </c>
      <c r="E2153" s="7" t="s">
        <v>180</v>
      </c>
      <c r="F2153" s="6" t="n">
        <v>3.66</v>
      </c>
      <c r="G2153" s="6" t="n">
        <v>0</v>
      </c>
      <c r="H2153" s="41" t="n">
        <v>15.67</v>
      </c>
      <c r="I2153" s="43" t="n">
        <f aca="false">F2153*H2153</f>
        <v>57.3522</v>
      </c>
      <c r="J2153" s="43" t="n">
        <f aca="false">G2153*H2153*1.5</f>
        <v>0</v>
      </c>
      <c r="K2153" s="6" t="n">
        <v>10.46</v>
      </c>
      <c r="L2153" s="43" t="n">
        <f aca="false">K2153*'Chart of Accounts'!$E$68</f>
        <v>7.0082</v>
      </c>
      <c r="O2153" s="42" t="n">
        <f aca="false">I2153+J2153+L2153</f>
        <v>64.3604</v>
      </c>
    </row>
    <row r="2154" customFormat="false" ht="15" hidden="false" customHeight="false" outlineLevel="0" collapsed="false">
      <c r="B2154" s="7" t="s">
        <v>10787</v>
      </c>
      <c r="C2154" s="39" t="n">
        <v>45792</v>
      </c>
      <c r="D2154" s="7" t="s">
        <v>191</v>
      </c>
      <c r="E2154" s="7" t="s">
        <v>180</v>
      </c>
      <c r="F2154" s="6" t="n">
        <v>4.39</v>
      </c>
      <c r="G2154" s="6" t="n">
        <v>0</v>
      </c>
      <c r="H2154" s="41" t="n">
        <v>16.05</v>
      </c>
      <c r="I2154" s="43" t="n">
        <f aca="false">F2154*H2154</f>
        <v>70.4595</v>
      </c>
      <c r="J2154" s="43" t="n">
        <f aca="false">G2154*H2154*1.5</f>
        <v>0</v>
      </c>
      <c r="K2154" s="6" t="n">
        <v>14.8</v>
      </c>
      <c r="L2154" s="43" t="n">
        <f aca="false">K2154*'Chart of Accounts'!$E$68</f>
        <v>9.916</v>
      </c>
      <c r="O2154" s="42" t="n">
        <f aca="false">I2154+J2154+L2154</f>
        <v>80.3755</v>
      </c>
    </row>
    <row r="2155" customFormat="false" ht="15" hidden="false" customHeight="false" outlineLevel="0" collapsed="false">
      <c r="B2155" s="7" t="s">
        <v>10788</v>
      </c>
      <c r="C2155" s="39" t="n">
        <v>45792</v>
      </c>
      <c r="D2155" s="7" t="s">
        <v>201</v>
      </c>
      <c r="E2155" s="7" t="s">
        <v>180</v>
      </c>
      <c r="F2155" s="6" t="n">
        <v>5.97</v>
      </c>
      <c r="G2155" s="6" t="n">
        <v>0</v>
      </c>
      <c r="H2155" s="41" t="n">
        <v>15.19</v>
      </c>
      <c r="I2155" s="43" t="n">
        <f aca="false">F2155*H2155</f>
        <v>90.6843</v>
      </c>
      <c r="J2155" s="43" t="n">
        <f aca="false">G2155*H2155*1.5</f>
        <v>0</v>
      </c>
      <c r="K2155" s="6" t="n">
        <v>16.74</v>
      </c>
      <c r="L2155" s="43" t="n">
        <f aca="false">K2155*'Chart of Accounts'!$E$68</f>
        <v>11.2158</v>
      </c>
      <c r="O2155" s="42" t="n">
        <f aca="false">I2155+J2155+L2155</f>
        <v>101.9001</v>
      </c>
    </row>
    <row r="2156" customFormat="false" ht="15" hidden="false" customHeight="false" outlineLevel="0" collapsed="false">
      <c r="B2156" s="7" t="s">
        <v>10789</v>
      </c>
      <c r="C2156" s="39" t="n">
        <v>45792</v>
      </c>
      <c r="D2156" s="7" t="s">
        <v>196</v>
      </c>
      <c r="E2156" s="7" t="s">
        <v>180</v>
      </c>
      <c r="F2156" s="6" t="n">
        <v>5.71</v>
      </c>
      <c r="G2156" s="6" t="n">
        <v>0</v>
      </c>
      <c r="H2156" s="41" t="n">
        <v>15.05</v>
      </c>
      <c r="I2156" s="43" t="n">
        <f aca="false">F2156*H2156</f>
        <v>85.9355</v>
      </c>
      <c r="J2156" s="43" t="n">
        <f aca="false">G2156*H2156*1.5</f>
        <v>0</v>
      </c>
      <c r="K2156" s="6" t="n">
        <v>18.95</v>
      </c>
      <c r="L2156" s="43" t="n">
        <f aca="false">K2156*'Chart of Accounts'!$E$68</f>
        <v>12.6965</v>
      </c>
      <c r="O2156" s="42" t="n">
        <f aca="false">I2156+J2156+L2156</f>
        <v>98.632</v>
      </c>
    </row>
    <row r="2157" customFormat="false" ht="15" hidden="false" customHeight="false" outlineLevel="0" collapsed="false">
      <c r="B2157" s="7" t="s">
        <v>10790</v>
      </c>
      <c r="C2157" s="39" t="n">
        <v>45792</v>
      </c>
      <c r="D2157" s="7" t="s">
        <v>184</v>
      </c>
      <c r="E2157" s="7" t="s">
        <v>180</v>
      </c>
      <c r="F2157" s="6" t="n">
        <v>3.79</v>
      </c>
      <c r="G2157" s="6" t="n">
        <v>0</v>
      </c>
      <c r="H2157" s="41" t="n">
        <v>17.34</v>
      </c>
      <c r="I2157" s="43" t="n">
        <f aca="false">F2157*H2157</f>
        <v>65.7186</v>
      </c>
      <c r="J2157" s="43" t="n">
        <f aca="false">G2157*H2157*1.5</f>
        <v>0</v>
      </c>
      <c r="K2157" s="6" t="n">
        <v>12.85</v>
      </c>
      <c r="L2157" s="43" t="n">
        <f aca="false">K2157*'Chart of Accounts'!$E$68</f>
        <v>8.6095</v>
      </c>
      <c r="O2157" s="42" t="n">
        <f aca="false">I2157+J2157+L2157</f>
        <v>74.3281</v>
      </c>
    </row>
    <row r="2158" customFormat="false" ht="15" hidden="false" customHeight="false" outlineLevel="0" collapsed="false">
      <c r="B2158" s="7" t="s">
        <v>10791</v>
      </c>
      <c r="C2158" s="39" t="n">
        <v>45792</v>
      </c>
      <c r="D2158" s="7" t="s">
        <v>207</v>
      </c>
      <c r="E2158" s="7" t="s">
        <v>180</v>
      </c>
      <c r="F2158" s="6" t="n">
        <v>3.01</v>
      </c>
      <c r="G2158" s="6" t="n">
        <v>0</v>
      </c>
      <c r="H2158" s="41" t="n">
        <v>16.65</v>
      </c>
      <c r="I2158" s="43" t="n">
        <f aca="false">F2158*H2158</f>
        <v>50.1165</v>
      </c>
      <c r="J2158" s="43" t="n">
        <f aca="false">G2158*H2158*1.5</f>
        <v>0</v>
      </c>
      <c r="K2158" s="6" t="n">
        <v>7.93</v>
      </c>
      <c r="L2158" s="43" t="n">
        <f aca="false">K2158*'Chart of Accounts'!$E$68</f>
        <v>5.3131</v>
      </c>
      <c r="O2158" s="42" t="n">
        <f aca="false">I2158+J2158+L2158</f>
        <v>55.4296</v>
      </c>
    </row>
    <row r="2159" customFormat="false" ht="15" hidden="false" customHeight="false" outlineLevel="0" collapsed="false">
      <c r="B2159" s="7" t="s">
        <v>10792</v>
      </c>
      <c r="C2159" s="39" t="n">
        <v>45792</v>
      </c>
      <c r="D2159" s="7" t="s">
        <v>218</v>
      </c>
      <c r="E2159" s="7" t="s">
        <v>180</v>
      </c>
      <c r="F2159" s="6" t="n">
        <v>3.82</v>
      </c>
      <c r="G2159" s="6" t="n">
        <v>0</v>
      </c>
      <c r="H2159" s="41" t="n">
        <v>16.19</v>
      </c>
      <c r="I2159" s="43" t="n">
        <f aca="false">F2159*H2159</f>
        <v>61.8458</v>
      </c>
      <c r="J2159" s="43" t="n">
        <f aca="false">G2159*H2159*1.5</f>
        <v>0</v>
      </c>
      <c r="K2159" s="6" t="n">
        <v>13.22</v>
      </c>
      <c r="L2159" s="43" t="n">
        <f aca="false">K2159*'Chart of Accounts'!$E$68</f>
        <v>8.8574</v>
      </c>
      <c r="O2159" s="42" t="n">
        <f aca="false">I2159+J2159+L2159</f>
        <v>70.7032</v>
      </c>
    </row>
    <row r="2160" customFormat="false" ht="15" hidden="false" customHeight="false" outlineLevel="0" collapsed="false">
      <c r="B2160" s="7" t="s">
        <v>10793</v>
      </c>
      <c r="C2160" s="39" t="n">
        <v>45792</v>
      </c>
      <c r="D2160" s="7" t="s">
        <v>212</v>
      </c>
      <c r="E2160" s="7" t="s">
        <v>180</v>
      </c>
      <c r="F2160" s="6" t="n">
        <v>7.17</v>
      </c>
      <c r="G2160" s="6" t="n">
        <v>0</v>
      </c>
      <c r="H2160" s="41" t="n">
        <v>16.71</v>
      </c>
      <c r="I2160" s="43" t="n">
        <f aca="false">F2160*H2160</f>
        <v>119.8107</v>
      </c>
      <c r="J2160" s="43" t="n">
        <f aca="false">G2160*H2160*1.5</f>
        <v>0</v>
      </c>
      <c r="K2160" s="6" t="n">
        <v>17.56</v>
      </c>
      <c r="L2160" s="43" t="n">
        <f aca="false">K2160*'Chart of Accounts'!$E$68</f>
        <v>11.7652</v>
      </c>
      <c r="O2160" s="42" t="n">
        <f aca="false">I2160+J2160+L2160</f>
        <v>131.5759</v>
      </c>
    </row>
    <row r="2161" customFormat="false" ht="15" hidden="false" customHeight="false" outlineLevel="0" collapsed="false">
      <c r="B2161" s="7" t="s">
        <v>10794</v>
      </c>
      <c r="C2161" s="39" t="n">
        <v>45792</v>
      </c>
      <c r="D2161" s="7" t="s">
        <v>220</v>
      </c>
      <c r="E2161" s="7" t="s">
        <v>180</v>
      </c>
      <c r="F2161" s="6" t="n">
        <v>3.63</v>
      </c>
      <c r="G2161" s="6" t="n">
        <v>0</v>
      </c>
      <c r="H2161" s="41" t="n">
        <v>16.43</v>
      </c>
      <c r="I2161" s="43" t="n">
        <f aca="false">F2161*H2161</f>
        <v>59.6409</v>
      </c>
      <c r="J2161" s="43" t="n">
        <f aca="false">G2161*H2161*1.5</f>
        <v>0</v>
      </c>
      <c r="K2161" s="6" t="n">
        <v>13.03</v>
      </c>
      <c r="L2161" s="43" t="n">
        <f aca="false">K2161*'Chart of Accounts'!$E$68</f>
        <v>8.7301</v>
      </c>
      <c r="O2161" s="42" t="n">
        <f aca="false">I2161+J2161+L2161</f>
        <v>68.371</v>
      </c>
    </row>
    <row r="2162" customFormat="false" ht="15" hidden="false" customHeight="false" outlineLevel="0" collapsed="false">
      <c r="B2162" s="7" t="s">
        <v>10795</v>
      </c>
      <c r="C2162" s="39" t="n">
        <v>45792</v>
      </c>
      <c r="D2162" s="7" t="s">
        <v>224</v>
      </c>
      <c r="E2162" s="7" t="s">
        <v>180</v>
      </c>
      <c r="F2162" s="6" t="n">
        <v>3.77</v>
      </c>
      <c r="G2162" s="6" t="n">
        <v>0</v>
      </c>
      <c r="H2162" s="41" t="n">
        <v>14.93</v>
      </c>
      <c r="I2162" s="43" t="n">
        <f aca="false">F2162*H2162</f>
        <v>56.2861</v>
      </c>
      <c r="J2162" s="43" t="n">
        <f aca="false">G2162*H2162*1.5</f>
        <v>0</v>
      </c>
      <c r="K2162" s="6" t="n">
        <v>9.46</v>
      </c>
      <c r="L2162" s="43" t="n">
        <f aca="false">K2162*'Chart of Accounts'!$E$68</f>
        <v>6.3382</v>
      </c>
      <c r="O2162" s="42" t="n">
        <f aca="false">I2162+J2162+L2162</f>
        <v>62.6243</v>
      </c>
    </row>
    <row r="2163" customFormat="false" ht="15" hidden="false" customHeight="false" outlineLevel="0" collapsed="false">
      <c r="B2163" s="7" t="s">
        <v>10796</v>
      </c>
      <c r="C2163" s="39" t="n">
        <v>45792</v>
      </c>
      <c r="D2163" s="7" t="s">
        <v>232</v>
      </c>
      <c r="E2163" s="7" t="s">
        <v>180</v>
      </c>
      <c r="F2163" s="6" t="n">
        <v>2.76</v>
      </c>
      <c r="G2163" s="6" t="n">
        <v>0</v>
      </c>
      <c r="H2163" s="41" t="n">
        <v>16.17</v>
      </c>
      <c r="I2163" s="43" t="n">
        <f aca="false">F2163*H2163</f>
        <v>44.6292</v>
      </c>
      <c r="J2163" s="43" t="n">
        <f aca="false">G2163*H2163*1.5</f>
        <v>0</v>
      </c>
      <c r="K2163" s="6" t="n">
        <v>9.77</v>
      </c>
      <c r="L2163" s="43" t="n">
        <f aca="false">K2163*'Chart of Accounts'!$E$68</f>
        <v>6.5459</v>
      </c>
      <c r="O2163" s="42" t="n">
        <f aca="false">I2163+J2163+L2163</f>
        <v>51.1751</v>
      </c>
    </row>
    <row r="2164" customFormat="false" ht="15" hidden="false" customHeight="false" outlineLevel="0" collapsed="false">
      <c r="B2164" s="7" t="s">
        <v>10797</v>
      </c>
      <c r="C2164" s="39" t="n">
        <v>45792</v>
      </c>
      <c r="D2164" s="7" t="s">
        <v>222</v>
      </c>
      <c r="E2164" s="7" t="s">
        <v>180</v>
      </c>
      <c r="F2164" s="6" t="n">
        <v>6.79</v>
      </c>
      <c r="G2164" s="6" t="n">
        <v>0</v>
      </c>
      <c r="H2164" s="41" t="n">
        <v>17.84</v>
      </c>
      <c r="I2164" s="43" t="n">
        <f aca="false">F2164*H2164</f>
        <v>121.1336</v>
      </c>
      <c r="J2164" s="43" t="n">
        <f aca="false">G2164*H2164*1.5</f>
        <v>0</v>
      </c>
      <c r="K2164" s="6" t="n">
        <v>18.06</v>
      </c>
      <c r="L2164" s="43" t="n">
        <f aca="false">K2164*'Chart of Accounts'!$E$68</f>
        <v>12.1002</v>
      </c>
      <c r="O2164" s="42" t="n">
        <f aca="false">I2164+J2164+L2164</f>
        <v>133.2338</v>
      </c>
    </row>
    <row r="2165" customFormat="false" ht="15" hidden="false" customHeight="false" outlineLevel="0" collapsed="false">
      <c r="B2165" s="7" t="s">
        <v>10798</v>
      </c>
      <c r="C2165" s="39" t="n">
        <v>45792</v>
      </c>
      <c r="D2165" s="7" t="s">
        <v>262</v>
      </c>
      <c r="E2165" s="7" t="s">
        <v>180</v>
      </c>
      <c r="F2165" s="6" t="n">
        <v>3.61</v>
      </c>
      <c r="G2165" s="6" t="n">
        <v>0</v>
      </c>
      <c r="H2165" s="41" t="n">
        <v>16.02</v>
      </c>
      <c r="I2165" s="43" t="n">
        <f aca="false">F2165*H2165</f>
        <v>57.8322</v>
      </c>
      <c r="J2165" s="43" t="n">
        <f aca="false">G2165*H2165*1.5</f>
        <v>0</v>
      </c>
      <c r="K2165" s="6" t="n">
        <v>11.44</v>
      </c>
      <c r="L2165" s="43" t="n">
        <f aca="false">K2165*'Chart of Accounts'!$E$68</f>
        <v>7.6648</v>
      </c>
      <c r="O2165" s="42" t="n">
        <f aca="false">I2165+J2165+L2165</f>
        <v>65.497</v>
      </c>
    </row>
    <row r="2166" customFormat="false" ht="15" hidden="false" customHeight="false" outlineLevel="0" collapsed="false">
      <c r="B2166" s="7" t="s">
        <v>10799</v>
      </c>
      <c r="C2166" s="39" t="n">
        <v>45792</v>
      </c>
      <c r="D2166" s="7" t="s">
        <v>246</v>
      </c>
      <c r="E2166" s="7" t="s">
        <v>180</v>
      </c>
      <c r="F2166" s="6" t="n">
        <v>8.46</v>
      </c>
      <c r="G2166" s="6" t="n">
        <v>0</v>
      </c>
      <c r="H2166" s="41" t="n">
        <v>16.48</v>
      </c>
      <c r="I2166" s="43" t="n">
        <f aca="false">F2166*H2166</f>
        <v>139.4208</v>
      </c>
      <c r="J2166" s="43" t="n">
        <f aca="false">G2166*H2166*1.5</f>
        <v>0</v>
      </c>
      <c r="K2166" s="6" t="n">
        <v>22.11</v>
      </c>
      <c r="L2166" s="43" t="n">
        <f aca="false">K2166*'Chart of Accounts'!$E$68</f>
        <v>14.8137</v>
      </c>
      <c r="O2166" s="42" t="n">
        <f aca="false">I2166+J2166+L2166</f>
        <v>154.2345</v>
      </c>
    </row>
    <row r="2167" customFormat="false" ht="15" hidden="false" customHeight="false" outlineLevel="0" collapsed="false">
      <c r="B2167" s="7" t="s">
        <v>10800</v>
      </c>
      <c r="C2167" s="39" t="n">
        <v>45792</v>
      </c>
      <c r="D2167" s="7" t="s">
        <v>194</v>
      </c>
      <c r="E2167" s="7" t="s">
        <v>180</v>
      </c>
      <c r="F2167" s="6" t="n">
        <v>4.31</v>
      </c>
      <c r="G2167" s="6" t="n">
        <v>0</v>
      </c>
      <c r="H2167" s="41" t="n">
        <v>16</v>
      </c>
      <c r="I2167" s="43" t="n">
        <f aca="false">F2167*H2167</f>
        <v>68.96</v>
      </c>
      <c r="J2167" s="43" t="n">
        <f aca="false">G2167*H2167*1.5</f>
        <v>0</v>
      </c>
      <c r="K2167" s="6" t="n">
        <v>13.89</v>
      </c>
      <c r="L2167" s="43" t="n">
        <f aca="false">K2167*'Chart of Accounts'!$E$68</f>
        <v>9.3063</v>
      </c>
      <c r="O2167" s="42" t="n">
        <f aca="false">I2167+J2167+L2167</f>
        <v>78.2663</v>
      </c>
    </row>
    <row r="2168" customFormat="false" ht="15" hidden="false" customHeight="false" outlineLevel="0" collapsed="false">
      <c r="B2168" s="7" t="s">
        <v>10801</v>
      </c>
      <c r="C2168" s="39" t="n">
        <v>45792</v>
      </c>
      <c r="D2168" s="7" t="s">
        <v>214</v>
      </c>
      <c r="E2168" s="7" t="s">
        <v>180</v>
      </c>
      <c r="F2168" s="6" t="n">
        <v>4.12</v>
      </c>
      <c r="G2168" s="6" t="n">
        <v>0</v>
      </c>
      <c r="H2168" s="41" t="n">
        <v>15.67</v>
      </c>
      <c r="I2168" s="43" t="n">
        <f aca="false">F2168*H2168</f>
        <v>64.5604</v>
      </c>
      <c r="J2168" s="43" t="n">
        <f aca="false">G2168*H2168*1.5</f>
        <v>0</v>
      </c>
      <c r="K2168" s="6" t="n">
        <v>12.5</v>
      </c>
      <c r="L2168" s="43" t="n">
        <f aca="false">K2168*'Chart of Accounts'!$E$68</f>
        <v>8.375</v>
      </c>
      <c r="O2168" s="42" t="n">
        <f aca="false">I2168+J2168+L2168</f>
        <v>72.9354</v>
      </c>
    </row>
    <row r="2169" customFormat="false" ht="15" hidden="false" customHeight="false" outlineLevel="0" collapsed="false">
      <c r="B2169" s="7" t="s">
        <v>10802</v>
      </c>
      <c r="C2169" s="39" t="n">
        <v>45792</v>
      </c>
      <c r="D2169" s="7" t="s">
        <v>242</v>
      </c>
      <c r="E2169" s="7" t="s">
        <v>180</v>
      </c>
      <c r="F2169" s="6" t="n">
        <v>3.76</v>
      </c>
      <c r="G2169" s="6" t="n">
        <v>0</v>
      </c>
      <c r="H2169" s="41" t="n">
        <v>17.99</v>
      </c>
      <c r="I2169" s="43" t="n">
        <f aca="false">F2169*H2169</f>
        <v>67.6424</v>
      </c>
      <c r="J2169" s="43" t="n">
        <f aca="false">G2169*H2169*1.5</f>
        <v>0</v>
      </c>
      <c r="K2169" s="6" t="n">
        <v>9.23</v>
      </c>
      <c r="L2169" s="43" t="n">
        <f aca="false">K2169*'Chart of Accounts'!$E$68</f>
        <v>6.1841</v>
      </c>
      <c r="O2169" s="42" t="n">
        <f aca="false">I2169+J2169+L2169</f>
        <v>73.8265</v>
      </c>
    </row>
    <row r="2170" customFormat="false" ht="15" hidden="false" customHeight="false" outlineLevel="0" collapsed="false">
      <c r="B2170" s="7" t="s">
        <v>10803</v>
      </c>
      <c r="C2170" s="39" t="n">
        <v>45792</v>
      </c>
      <c r="D2170" s="7" t="s">
        <v>254</v>
      </c>
      <c r="E2170" s="7" t="s">
        <v>180</v>
      </c>
      <c r="F2170" s="6" t="n">
        <v>3.75</v>
      </c>
      <c r="G2170" s="6" t="n">
        <v>0</v>
      </c>
      <c r="H2170" s="41" t="n">
        <v>17.1</v>
      </c>
      <c r="I2170" s="43" t="n">
        <f aca="false">F2170*H2170</f>
        <v>64.125</v>
      </c>
      <c r="J2170" s="43" t="n">
        <f aca="false">G2170*H2170*1.5</f>
        <v>0</v>
      </c>
      <c r="K2170" s="6" t="n">
        <v>9.96</v>
      </c>
      <c r="L2170" s="43" t="n">
        <f aca="false">K2170*'Chart of Accounts'!$E$68</f>
        <v>6.6732</v>
      </c>
      <c r="O2170" s="42" t="n">
        <f aca="false">I2170+J2170+L2170</f>
        <v>70.7982</v>
      </c>
    </row>
    <row r="2171" customFormat="false" ht="15" hidden="false" customHeight="false" outlineLevel="0" collapsed="false">
      <c r="B2171" s="7" t="s">
        <v>10804</v>
      </c>
      <c r="C2171" s="39" t="n">
        <v>45793</v>
      </c>
      <c r="D2171" s="7" t="s">
        <v>187</v>
      </c>
      <c r="E2171" s="7" t="s">
        <v>158</v>
      </c>
      <c r="H2171" s="41" t="n">
        <v>66.48</v>
      </c>
      <c r="M2171" s="6" t="n">
        <v>1</v>
      </c>
      <c r="N2171" s="43" t="n">
        <f aca="false">M2171*H2171</f>
        <v>66.48</v>
      </c>
      <c r="O2171" s="42" t="n">
        <f aca="false">N2171</f>
        <v>66.48</v>
      </c>
    </row>
    <row r="2172" customFormat="false" ht="15" hidden="false" customHeight="false" outlineLevel="0" collapsed="false">
      <c r="B2172" s="7" t="s">
        <v>10805</v>
      </c>
      <c r="C2172" s="39" t="n">
        <v>45793</v>
      </c>
      <c r="D2172" s="7" t="s">
        <v>191</v>
      </c>
      <c r="E2172" s="7" t="s">
        <v>180</v>
      </c>
      <c r="F2172" s="6" t="n">
        <v>4.38</v>
      </c>
      <c r="G2172" s="6" t="n">
        <v>0</v>
      </c>
      <c r="H2172" s="41" t="n">
        <v>16.05</v>
      </c>
      <c r="I2172" s="43" t="n">
        <f aca="false">F2172*H2172</f>
        <v>70.299</v>
      </c>
      <c r="J2172" s="43" t="n">
        <f aca="false">G2172*H2172*1.5</f>
        <v>0</v>
      </c>
      <c r="K2172" s="6" t="n">
        <v>14.5</v>
      </c>
      <c r="L2172" s="43" t="n">
        <f aca="false">K2172*'Chart of Accounts'!$E$68</f>
        <v>9.715</v>
      </c>
      <c r="O2172" s="42" t="n">
        <f aca="false">I2172+J2172+L2172</f>
        <v>80.014</v>
      </c>
    </row>
    <row r="2173" customFormat="false" ht="15" hidden="false" customHeight="false" outlineLevel="0" collapsed="false">
      <c r="B2173" s="7" t="s">
        <v>10806</v>
      </c>
      <c r="C2173" s="39" t="n">
        <v>45793</v>
      </c>
      <c r="D2173" s="7" t="s">
        <v>194</v>
      </c>
      <c r="E2173" s="7" t="s">
        <v>180</v>
      </c>
      <c r="F2173" s="6" t="n">
        <v>8.77</v>
      </c>
      <c r="G2173" s="6" t="n">
        <v>0</v>
      </c>
      <c r="H2173" s="41" t="n">
        <v>16</v>
      </c>
      <c r="I2173" s="43" t="n">
        <f aca="false">F2173*H2173</f>
        <v>140.32</v>
      </c>
      <c r="J2173" s="43" t="n">
        <f aca="false">G2173*H2173*1.5</f>
        <v>0</v>
      </c>
      <c r="K2173" s="6" t="n">
        <v>26.21</v>
      </c>
      <c r="L2173" s="43" t="n">
        <f aca="false">K2173*'Chart of Accounts'!$E$68</f>
        <v>17.5607</v>
      </c>
      <c r="O2173" s="42" t="n">
        <f aca="false">I2173+J2173+L2173</f>
        <v>157.8807</v>
      </c>
    </row>
    <row r="2174" customFormat="false" ht="15" hidden="false" customHeight="false" outlineLevel="0" collapsed="false">
      <c r="B2174" s="7" t="s">
        <v>10807</v>
      </c>
      <c r="C2174" s="39" t="n">
        <v>45793</v>
      </c>
      <c r="D2174" s="7" t="s">
        <v>209</v>
      </c>
      <c r="E2174" s="7" t="s">
        <v>158</v>
      </c>
      <c r="H2174" s="41" t="n">
        <v>73.58</v>
      </c>
      <c r="M2174" s="6" t="n">
        <v>2</v>
      </c>
      <c r="N2174" s="43" t="n">
        <f aca="false">M2174*H2174</f>
        <v>147.16</v>
      </c>
      <c r="O2174" s="42" t="n">
        <f aca="false">N2174</f>
        <v>147.16</v>
      </c>
    </row>
    <row r="2175" customFormat="false" ht="15" hidden="false" customHeight="false" outlineLevel="0" collapsed="false">
      <c r="B2175" s="7" t="s">
        <v>10808</v>
      </c>
      <c r="C2175" s="39" t="n">
        <v>45793</v>
      </c>
      <c r="D2175" s="7" t="s">
        <v>205</v>
      </c>
      <c r="E2175" s="7" t="s">
        <v>180</v>
      </c>
      <c r="F2175" s="6" t="n">
        <v>3.62</v>
      </c>
      <c r="G2175" s="6" t="n">
        <v>0</v>
      </c>
      <c r="H2175" s="41" t="n">
        <v>16.36</v>
      </c>
      <c r="I2175" s="43" t="n">
        <f aca="false">F2175*H2175</f>
        <v>59.2232</v>
      </c>
      <c r="J2175" s="43" t="n">
        <f aca="false">G2175*H2175*1.5</f>
        <v>0</v>
      </c>
      <c r="K2175" s="6" t="n">
        <v>10.21</v>
      </c>
      <c r="L2175" s="43" t="n">
        <f aca="false">K2175*'Chart of Accounts'!$E$68</f>
        <v>6.8407</v>
      </c>
      <c r="O2175" s="42" t="n">
        <f aca="false">I2175+J2175+L2175</f>
        <v>66.0639</v>
      </c>
    </row>
    <row r="2176" customFormat="false" ht="15" hidden="false" customHeight="false" outlineLevel="0" collapsed="false">
      <c r="B2176" s="7" t="s">
        <v>10809</v>
      </c>
      <c r="C2176" s="39" t="n">
        <v>45793</v>
      </c>
      <c r="D2176" s="7" t="s">
        <v>264</v>
      </c>
      <c r="E2176" s="7" t="s">
        <v>158</v>
      </c>
      <c r="H2176" s="41" t="n">
        <v>55.55</v>
      </c>
      <c r="M2176" s="6" t="n">
        <v>1</v>
      </c>
      <c r="N2176" s="43" t="n">
        <f aca="false">M2176*H2176</f>
        <v>55.55</v>
      </c>
      <c r="O2176" s="42" t="n">
        <f aca="false">N2176</f>
        <v>55.55</v>
      </c>
    </row>
    <row r="2177" customFormat="false" ht="15" hidden="false" customHeight="false" outlineLevel="0" collapsed="false">
      <c r="B2177" s="7" t="s">
        <v>10810</v>
      </c>
      <c r="C2177" s="39" t="n">
        <v>45793</v>
      </c>
      <c r="D2177" s="7" t="s">
        <v>252</v>
      </c>
      <c r="E2177" s="7" t="s">
        <v>158</v>
      </c>
      <c r="H2177" s="41" t="n">
        <v>57.54</v>
      </c>
      <c r="M2177" s="6" t="n">
        <v>1</v>
      </c>
      <c r="N2177" s="43" t="n">
        <f aca="false">M2177*H2177</f>
        <v>57.54</v>
      </c>
      <c r="O2177" s="42" t="n">
        <f aca="false">N2177</f>
        <v>57.54</v>
      </c>
    </row>
    <row r="2178" customFormat="false" ht="15" hidden="false" customHeight="false" outlineLevel="0" collapsed="false">
      <c r="B2178" s="7" t="s">
        <v>10811</v>
      </c>
      <c r="C2178" s="39" t="n">
        <v>45793</v>
      </c>
      <c r="D2178" s="7" t="s">
        <v>184</v>
      </c>
      <c r="E2178" s="7" t="s">
        <v>180</v>
      </c>
      <c r="F2178" s="6" t="n">
        <v>3.92</v>
      </c>
      <c r="G2178" s="6" t="n">
        <v>0</v>
      </c>
      <c r="H2178" s="41" t="n">
        <v>17.34</v>
      </c>
      <c r="I2178" s="43" t="n">
        <f aca="false">F2178*H2178</f>
        <v>67.9728</v>
      </c>
      <c r="J2178" s="43" t="n">
        <f aca="false">G2178*H2178*1.5</f>
        <v>0</v>
      </c>
      <c r="K2178" s="6" t="n">
        <v>11.07</v>
      </c>
      <c r="L2178" s="43" t="n">
        <f aca="false">K2178*'Chart of Accounts'!$E$68</f>
        <v>7.4169</v>
      </c>
      <c r="O2178" s="42" t="n">
        <f aca="false">I2178+J2178+L2178</f>
        <v>75.3897</v>
      </c>
    </row>
    <row r="2179" customFormat="false" ht="15" hidden="false" customHeight="false" outlineLevel="0" collapsed="false">
      <c r="B2179" s="7" t="s">
        <v>10812</v>
      </c>
      <c r="C2179" s="39" t="n">
        <v>45793</v>
      </c>
      <c r="D2179" s="7" t="s">
        <v>234</v>
      </c>
      <c r="E2179" s="7" t="s">
        <v>158</v>
      </c>
      <c r="H2179" s="41" t="n">
        <v>89.53</v>
      </c>
      <c r="M2179" s="6" t="n">
        <v>2</v>
      </c>
      <c r="N2179" s="43" t="n">
        <f aca="false">M2179*H2179</f>
        <v>179.06</v>
      </c>
      <c r="O2179" s="42" t="n">
        <f aca="false">N2179</f>
        <v>179.06</v>
      </c>
    </row>
    <row r="2180" customFormat="false" ht="15" hidden="false" customHeight="false" outlineLevel="0" collapsed="false">
      <c r="B2180" s="7" t="s">
        <v>10813</v>
      </c>
      <c r="C2180" s="39" t="n">
        <v>45793</v>
      </c>
      <c r="D2180" s="7" t="s">
        <v>218</v>
      </c>
      <c r="E2180" s="7" t="s">
        <v>180</v>
      </c>
      <c r="F2180" s="6" t="n">
        <v>3.91</v>
      </c>
      <c r="G2180" s="6" t="n">
        <v>0</v>
      </c>
      <c r="H2180" s="41" t="n">
        <v>16.19</v>
      </c>
      <c r="I2180" s="43" t="n">
        <f aca="false">F2180*H2180</f>
        <v>63.3029</v>
      </c>
      <c r="J2180" s="43" t="n">
        <f aca="false">G2180*H2180*1.5</f>
        <v>0</v>
      </c>
      <c r="K2180" s="6" t="n">
        <v>11.88</v>
      </c>
      <c r="L2180" s="43" t="n">
        <f aca="false">K2180*'Chart of Accounts'!$E$68</f>
        <v>7.9596</v>
      </c>
      <c r="O2180" s="42" t="n">
        <f aca="false">I2180+J2180+L2180</f>
        <v>71.2625</v>
      </c>
    </row>
    <row r="2181" customFormat="false" ht="15" hidden="false" customHeight="false" outlineLevel="0" collapsed="false">
      <c r="B2181" s="7" t="s">
        <v>10814</v>
      </c>
      <c r="C2181" s="39" t="n">
        <v>45793</v>
      </c>
      <c r="D2181" s="7" t="s">
        <v>266</v>
      </c>
      <c r="E2181" s="7" t="s">
        <v>158</v>
      </c>
      <c r="H2181" s="41" t="n">
        <v>75.18</v>
      </c>
      <c r="M2181" s="6" t="n">
        <v>1</v>
      </c>
      <c r="N2181" s="43" t="n">
        <f aca="false">M2181*H2181</f>
        <v>75.18</v>
      </c>
      <c r="O2181" s="42" t="n">
        <f aca="false">N2181</f>
        <v>75.18</v>
      </c>
    </row>
    <row r="2182" customFormat="false" ht="15" hidden="false" customHeight="false" outlineLevel="0" collapsed="false">
      <c r="B2182" s="7" t="s">
        <v>10815</v>
      </c>
      <c r="C2182" s="39" t="n">
        <v>45793</v>
      </c>
      <c r="D2182" s="7" t="s">
        <v>228</v>
      </c>
      <c r="E2182" s="7" t="s">
        <v>158</v>
      </c>
      <c r="H2182" s="41" t="n">
        <v>51.07</v>
      </c>
      <c r="M2182" s="6" t="n">
        <v>1</v>
      </c>
      <c r="N2182" s="43" t="n">
        <f aca="false">M2182*H2182</f>
        <v>51.07</v>
      </c>
      <c r="O2182" s="42" t="n">
        <f aca="false">N2182</f>
        <v>51.07</v>
      </c>
    </row>
    <row r="2183" customFormat="false" ht="15" hidden="false" customHeight="false" outlineLevel="0" collapsed="false">
      <c r="B2183" s="7" t="s">
        <v>10816</v>
      </c>
      <c r="C2183" s="39" t="n">
        <v>45793</v>
      </c>
      <c r="D2183" s="7" t="s">
        <v>220</v>
      </c>
      <c r="E2183" s="7" t="s">
        <v>180</v>
      </c>
      <c r="F2183" s="6" t="n">
        <v>4.23</v>
      </c>
      <c r="G2183" s="6" t="n">
        <v>0</v>
      </c>
      <c r="H2183" s="41" t="n">
        <v>16.43</v>
      </c>
      <c r="I2183" s="43" t="n">
        <f aca="false">F2183*H2183</f>
        <v>69.4989</v>
      </c>
      <c r="J2183" s="43" t="n">
        <f aca="false">G2183*H2183*1.5</f>
        <v>0</v>
      </c>
      <c r="K2183" s="6" t="n">
        <v>15.12</v>
      </c>
      <c r="L2183" s="43" t="n">
        <f aca="false">K2183*'Chart of Accounts'!$E$68</f>
        <v>10.1304</v>
      </c>
      <c r="O2183" s="42" t="n">
        <f aca="false">I2183+J2183+L2183</f>
        <v>79.6293</v>
      </c>
    </row>
    <row r="2184" customFormat="false" ht="15" hidden="false" customHeight="false" outlineLevel="0" collapsed="false">
      <c r="B2184" s="7" t="s">
        <v>10817</v>
      </c>
      <c r="C2184" s="39" t="n">
        <v>45793</v>
      </c>
      <c r="D2184" s="7" t="s">
        <v>177</v>
      </c>
      <c r="E2184" s="7" t="s">
        <v>180</v>
      </c>
      <c r="F2184" s="6" t="n">
        <v>8.39</v>
      </c>
      <c r="G2184" s="6" t="n">
        <v>0</v>
      </c>
      <c r="H2184" s="41" t="n">
        <v>14.56</v>
      </c>
      <c r="I2184" s="43" t="n">
        <f aca="false">F2184*H2184</f>
        <v>122.1584</v>
      </c>
      <c r="J2184" s="43" t="n">
        <f aca="false">G2184*H2184*1.5</f>
        <v>0</v>
      </c>
      <c r="K2184" s="6" t="n">
        <v>19.49</v>
      </c>
      <c r="L2184" s="43" t="n">
        <f aca="false">K2184*'Chart of Accounts'!$E$68</f>
        <v>13.0583</v>
      </c>
      <c r="O2184" s="42" t="n">
        <f aca="false">I2184+J2184+L2184</f>
        <v>135.2167</v>
      </c>
    </row>
    <row r="2185" customFormat="false" ht="15" hidden="false" customHeight="false" outlineLevel="0" collapsed="false">
      <c r="B2185" s="7" t="s">
        <v>10818</v>
      </c>
      <c r="C2185" s="39" t="n">
        <v>45793</v>
      </c>
      <c r="D2185" s="7" t="s">
        <v>242</v>
      </c>
      <c r="E2185" s="7" t="s">
        <v>180</v>
      </c>
      <c r="F2185" s="6" t="n">
        <v>7.38</v>
      </c>
      <c r="G2185" s="6" t="n">
        <v>0</v>
      </c>
      <c r="H2185" s="41" t="n">
        <v>17.99</v>
      </c>
      <c r="I2185" s="43" t="n">
        <f aca="false">F2185*H2185</f>
        <v>132.7662</v>
      </c>
      <c r="J2185" s="43" t="n">
        <f aca="false">G2185*H2185*1.5</f>
        <v>0</v>
      </c>
      <c r="K2185" s="6" t="n">
        <v>23.27</v>
      </c>
      <c r="L2185" s="43" t="n">
        <f aca="false">K2185*'Chart of Accounts'!$E$68</f>
        <v>15.5909</v>
      </c>
      <c r="O2185" s="42" t="n">
        <f aca="false">I2185+J2185+L2185</f>
        <v>148.3571</v>
      </c>
    </row>
    <row r="2186" customFormat="false" ht="15" hidden="false" customHeight="false" outlineLevel="0" collapsed="false">
      <c r="B2186" s="7" t="s">
        <v>10819</v>
      </c>
      <c r="C2186" s="39" t="n">
        <v>45793</v>
      </c>
      <c r="D2186" s="7" t="s">
        <v>254</v>
      </c>
      <c r="E2186" s="7" t="s">
        <v>180</v>
      </c>
      <c r="F2186" s="6" t="n">
        <v>7.28</v>
      </c>
      <c r="G2186" s="6" t="n">
        <v>0</v>
      </c>
      <c r="H2186" s="41" t="n">
        <v>17.1</v>
      </c>
      <c r="I2186" s="43" t="n">
        <f aca="false">F2186*H2186</f>
        <v>124.488</v>
      </c>
      <c r="J2186" s="43" t="n">
        <f aca="false">G2186*H2186*1.5</f>
        <v>0</v>
      </c>
      <c r="K2186" s="6" t="n">
        <v>24.02</v>
      </c>
      <c r="L2186" s="43" t="n">
        <f aca="false">K2186*'Chart of Accounts'!$E$68</f>
        <v>16.0934</v>
      </c>
      <c r="O2186" s="42" t="n">
        <f aca="false">I2186+J2186+L2186</f>
        <v>140.5814</v>
      </c>
    </row>
    <row r="2187" customFormat="false" ht="15" hidden="false" customHeight="false" outlineLevel="0" collapsed="false">
      <c r="B2187" s="7" t="s">
        <v>10820</v>
      </c>
      <c r="C2187" s="39" t="n">
        <v>45793</v>
      </c>
      <c r="D2187" s="7" t="s">
        <v>201</v>
      </c>
      <c r="E2187" s="7" t="s">
        <v>180</v>
      </c>
      <c r="F2187" s="6" t="n">
        <v>3.1</v>
      </c>
      <c r="G2187" s="6" t="n">
        <v>0</v>
      </c>
      <c r="H2187" s="41" t="n">
        <v>15.19</v>
      </c>
      <c r="I2187" s="43" t="n">
        <f aca="false">F2187*H2187</f>
        <v>47.089</v>
      </c>
      <c r="J2187" s="43" t="n">
        <f aca="false">G2187*H2187*1.5</f>
        <v>0</v>
      </c>
      <c r="K2187" s="6" t="n">
        <v>11.11</v>
      </c>
      <c r="L2187" s="43" t="n">
        <f aca="false">K2187*'Chart of Accounts'!$E$68</f>
        <v>7.4437</v>
      </c>
      <c r="O2187" s="42" t="n">
        <f aca="false">I2187+J2187+L2187</f>
        <v>54.5327</v>
      </c>
    </row>
    <row r="2188" customFormat="false" ht="15" hidden="false" customHeight="false" outlineLevel="0" collapsed="false">
      <c r="B2188" s="7" t="s">
        <v>10821</v>
      </c>
      <c r="C2188" s="39" t="n">
        <v>45793</v>
      </c>
      <c r="D2188" s="7" t="s">
        <v>207</v>
      </c>
      <c r="E2188" s="7" t="s">
        <v>180</v>
      </c>
      <c r="F2188" s="6" t="n">
        <v>3.18</v>
      </c>
      <c r="G2188" s="6" t="n">
        <v>0</v>
      </c>
      <c r="H2188" s="41" t="n">
        <v>16.65</v>
      </c>
      <c r="I2188" s="43" t="n">
        <f aca="false">F2188*H2188</f>
        <v>52.947</v>
      </c>
      <c r="J2188" s="43" t="n">
        <f aca="false">G2188*H2188*1.5</f>
        <v>0</v>
      </c>
      <c r="K2188" s="6" t="n">
        <v>10.55</v>
      </c>
      <c r="L2188" s="43" t="n">
        <f aca="false">K2188*'Chart of Accounts'!$E$68</f>
        <v>7.0685</v>
      </c>
      <c r="O2188" s="42" t="n">
        <f aca="false">I2188+J2188+L2188</f>
        <v>60.0155</v>
      </c>
    </row>
    <row r="2189" customFormat="false" ht="15" hidden="false" customHeight="false" outlineLevel="0" collapsed="false">
      <c r="B2189" s="7" t="s">
        <v>10822</v>
      </c>
      <c r="C2189" s="39" t="n">
        <v>45793</v>
      </c>
      <c r="D2189" s="7" t="s">
        <v>212</v>
      </c>
      <c r="E2189" s="7" t="s">
        <v>180</v>
      </c>
      <c r="F2189" s="6" t="n">
        <v>3.8</v>
      </c>
      <c r="G2189" s="6" t="n">
        <v>0</v>
      </c>
      <c r="H2189" s="41" t="n">
        <v>16.71</v>
      </c>
      <c r="I2189" s="43" t="n">
        <f aca="false">F2189*H2189</f>
        <v>63.498</v>
      </c>
      <c r="J2189" s="43" t="n">
        <f aca="false">G2189*H2189*1.5</f>
        <v>0</v>
      </c>
      <c r="K2189" s="6" t="n">
        <v>9.55</v>
      </c>
      <c r="L2189" s="43" t="n">
        <f aca="false">K2189*'Chart of Accounts'!$E$68</f>
        <v>6.3985</v>
      </c>
      <c r="O2189" s="42" t="n">
        <f aca="false">I2189+J2189+L2189</f>
        <v>69.8965</v>
      </c>
    </row>
    <row r="2190" customFormat="false" ht="15" hidden="false" customHeight="false" outlineLevel="0" collapsed="false">
      <c r="B2190" s="7" t="s">
        <v>10823</v>
      </c>
      <c r="C2190" s="39" t="n">
        <v>45793</v>
      </c>
      <c r="D2190" s="7" t="s">
        <v>232</v>
      </c>
      <c r="E2190" s="7" t="s">
        <v>180</v>
      </c>
      <c r="F2190" s="6" t="n">
        <v>4.71</v>
      </c>
      <c r="G2190" s="6" t="n">
        <v>0</v>
      </c>
      <c r="H2190" s="41" t="n">
        <v>16.17</v>
      </c>
      <c r="I2190" s="43" t="n">
        <f aca="false">F2190*H2190</f>
        <v>76.1607</v>
      </c>
      <c r="J2190" s="43" t="n">
        <f aca="false">G2190*H2190*1.5</f>
        <v>0</v>
      </c>
      <c r="K2190" s="6" t="n">
        <v>15.03</v>
      </c>
      <c r="L2190" s="43" t="n">
        <f aca="false">K2190*'Chart of Accounts'!$E$68</f>
        <v>10.0701</v>
      </c>
      <c r="O2190" s="42" t="n">
        <f aca="false">I2190+J2190+L2190</f>
        <v>86.2308</v>
      </c>
    </row>
    <row r="2191" customFormat="false" ht="15" hidden="false" customHeight="false" outlineLevel="0" collapsed="false">
      <c r="B2191" s="7" t="s">
        <v>10824</v>
      </c>
      <c r="C2191" s="39" t="n">
        <v>45793</v>
      </c>
      <c r="D2191" s="7" t="s">
        <v>224</v>
      </c>
      <c r="E2191" s="7" t="s">
        <v>180</v>
      </c>
      <c r="F2191" s="6" t="n">
        <v>4.77</v>
      </c>
      <c r="G2191" s="6" t="n">
        <v>0</v>
      </c>
      <c r="H2191" s="41" t="n">
        <v>14.93</v>
      </c>
      <c r="I2191" s="43" t="n">
        <f aca="false">F2191*H2191</f>
        <v>71.2161</v>
      </c>
      <c r="J2191" s="43" t="n">
        <f aca="false">G2191*H2191*1.5</f>
        <v>0</v>
      </c>
      <c r="K2191" s="6" t="n">
        <v>15.56</v>
      </c>
      <c r="L2191" s="43" t="n">
        <f aca="false">K2191*'Chart of Accounts'!$E$68</f>
        <v>10.4252</v>
      </c>
      <c r="O2191" s="42" t="n">
        <f aca="false">I2191+J2191+L2191</f>
        <v>81.6413</v>
      </c>
    </row>
    <row r="2192" customFormat="false" ht="15" hidden="false" customHeight="false" outlineLevel="0" collapsed="false">
      <c r="B2192" s="7" t="s">
        <v>10825</v>
      </c>
      <c r="C2192" s="39" t="n">
        <v>45793</v>
      </c>
      <c r="D2192" s="7" t="s">
        <v>238</v>
      </c>
      <c r="E2192" s="7" t="s">
        <v>180</v>
      </c>
      <c r="F2192" s="6" t="n">
        <v>4.37</v>
      </c>
      <c r="G2192" s="6" t="n">
        <v>0</v>
      </c>
      <c r="H2192" s="41" t="n">
        <v>15.85</v>
      </c>
      <c r="I2192" s="43" t="n">
        <f aca="false">F2192*H2192</f>
        <v>69.2645</v>
      </c>
      <c r="J2192" s="43" t="n">
        <f aca="false">G2192*H2192*1.5</f>
        <v>0</v>
      </c>
      <c r="K2192" s="6" t="n">
        <v>12.48</v>
      </c>
      <c r="L2192" s="43" t="n">
        <f aca="false">K2192*'Chart of Accounts'!$E$68</f>
        <v>8.3616</v>
      </c>
      <c r="O2192" s="42" t="n">
        <f aca="false">I2192+J2192+L2192</f>
        <v>77.6261</v>
      </c>
    </row>
    <row r="2193" customFormat="false" ht="15" hidden="false" customHeight="false" outlineLevel="0" collapsed="false">
      <c r="B2193" s="7" t="s">
        <v>10826</v>
      </c>
      <c r="C2193" s="39" t="n">
        <v>45793</v>
      </c>
      <c r="D2193" s="7" t="s">
        <v>246</v>
      </c>
      <c r="E2193" s="7" t="s">
        <v>180</v>
      </c>
      <c r="F2193" s="6" t="n">
        <v>4.03</v>
      </c>
      <c r="G2193" s="6" t="n">
        <v>0</v>
      </c>
      <c r="H2193" s="41" t="n">
        <v>16.48</v>
      </c>
      <c r="I2193" s="43" t="n">
        <f aca="false">F2193*H2193</f>
        <v>66.4144</v>
      </c>
      <c r="J2193" s="43" t="n">
        <f aca="false">G2193*H2193*1.5</f>
        <v>0</v>
      </c>
      <c r="K2193" s="6" t="n">
        <v>14.35</v>
      </c>
      <c r="L2193" s="43" t="n">
        <f aca="false">K2193*'Chart of Accounts'!$E$68</f>
        <v>9.6145</v>
      </c>
      <c r="O2193" s="42" t="n">
        <f aca="false">I2193+J2193+L2193</f>
        <v>76.0289</v>
      </c>
    </row>
    <row r="2194" customFormat="false" ht="15" hidden="false" customHeight="false" outlineLevel="0" collapsed="false">
      <c r="B2194" s="7" t="s">
        <v>10827</v>
      </c>
      <c r="C2194" s="39" t="n">
        <v>45793</v>
      </c>
      <c r="D2194" s="7" t="s">
        <v>222</v>
      </c>
      <c r="E2194" s="7" t="s">
        <v>180</v>
      </c>
      <c r="F2194" s="6" t="n">
        <v>4.22</v>
      </c>
      <c r="G2194" s="6" t="n">
        <v>0</v>
      </c>
      <c r="H2194" s="41" t="n">
        <v>17.84</v>
      </c>
      <c r="I2194" s="43" t="n">
        <f aca="false">F2194*H2194</f>
        <v>75.2848</v>
      </c>
      <c r="J2194" s="43" t="n">
        <f aca="false">G2194*H2194*1.5</f>
        <v>0</v>
      </c>
      <c r="K2194" s="6" t="n">
        <v>11.9</v>
      </c>
      <c r="L2194" s="43" t="n">
        <f aca="false">K2194*'Chart of Accounts'!$E$68</f>
        <v>7.973</v>
      </c>
      <c r="O2194" s="42" t="n">
        <f aca="false">I2194+J2194+L2194</f>
        <v>83.2578</v>
      </c>
    </row>
    <row r="2195" customFormat="false" ht="15" hidden="false" customHeight="false" outlineLevel="0" collapsed="false">
      <c r="B2195" s="7" t="s">
        <v>10828</v>
      </c>
      <c r="C2195" s="39" t="n">
        <v>45793</v>
      </c>
      <c r="D2195" s="7" t="s">
        <v>203</v>
      </c>
      <c r="E2195" s="7" t="s">
        <v>158</v>
      </c>
      <c r="H2195" s="41" t="n">
        <v>49.43</v>
      </c>
      <c r="M2195" s="6" t="n">
        <v>1</v>
      </c>
      <c r="N2195" s="43" t="n">
        <f aca="false">M2195*H2195</f>
        <v>49.43</v>
      </c>
      <c r="O2195" s="42" t="n">
        <f aca="false">N2195</f>
        <v>49.43</v>
      </c>
    </row>
    <row r="2196" customFormat="false" ht="15" hidden="false" customHeight="false" outlineLevel="0" collapsed="false">
      <c r="B2196" s="7" t="s">
        <v>10829</v>
      </c>
      <c r="C2196" s="39" t="n">
        <v>45793</v>
      </c>
      <c r="D2196" s="7" t="s">
        <v>262</v>
      </c>
      <c r="E2196" s="7" t="s">
        <v>180</v>
      </c>
      <c r="F2196" s="6" t="n">
        <v>3.15</v>
      </c>
      <c r="G2196" s="6" t="n">
        <v>0</v>
      </c>
      <c r="H2196" s="41" t="n">
        <v>16.02</v>
      </c>
      <c r="I2196" s="43" t="n">
        <f aca="false">F2196*H2196</f>
        <v>50.463</v>
      </c>
      <c r="J2196" s="43" t="n">
        <f aca="false">G2196*H2196*1.5</f>
        <v>0</v>
      </c>
      <c r="K2196" s="6" t="n">
        <v>8.03</v>
      </c>
      <c r="L2196" s="43" t="n">
        <f aca="false">K2196*'Chart of Accounts'!$E$68</f>
        <v>5.3801</v>
      </c>
      <c r="O2196" s="42" t="n">
        <f aca="false">I2196+J2196+L2196</f>
        <v>55.8431</v>
      </c>
    </row>
    <row r="2197" customFormat="false" ht="15" hidden="false" customHeight="false" outlineLevel="0" collapsed="false">
      <c r="B2197" s="7" t="s">
        <v>10830</v>
      </c>
      <c r="C2197" s="39" t="n">
        <v>45793</v>
      </c>
      <c r="D2197" s="7" t="s">
        <v>260</v>
      </c>
      <c r="E2197" s="7" t="s">
        <v>158</v>
      </c>
      <c r="H2197" s="41" t="n">
        <v>79.8</v>
      </c>
      <c r="M2197" s="6" t="n">
        <v>1</v>
      </c>
      <c r="N2197" s="43" t="n">
        <f aca="false">M2197*H2197</f>
        <v>79.8</v>
      </c>
      <c r="O2197" s="42" t="n">
        <f aca="false">N2197</f>
        <v>79.8</v>
      </c>
    </row>
    <row r="2198" customFormat="false" ht="15" hidden="false" customHeight="false" outlineLevel="0" collapsed="false">
      <c r="B2198" s="7" t="s">
        <v>10831</v>
      </c>
      <c r="C2198" s="39" t="n">
        <v>45793</v>
      </c>
      <c r="D2198" s="7" t="s">
        <v>214</v>
      </c>
      <c r="E2198" s="7" t="s">
        <v>180</v>
      </c>
      <c r="F2198" s="6" t="n">
        <v>3.6</v>
      </c>
      <c r="G2198" s="6" t="n">
        <v>0</v>
      </c>
      <c r="H2198" s="41" t="n">
        <v>15.67</v>
      </c>
      <c r="I2198" s="43" t="n">
        <f aca="false">F2198*H2198</f>
        <v>56.412</v>
      </c>
      <c r="J2198" s="43" t="n">
        <f aca="false">G2198*H2198*1.5</f>
        <v>0</v>
      </c>
      <c r="K2198" s="6" t="n">
        <v>11.79</v>
      </c>
      <c r="L2198" s="43" t="n">
        <f aca="false">K2198*'Chart of Accounts'!$E$68</f>
        <v>7.8993</v>
      </c>
      <c r="O2198" s="42" t="n">
        <f aca="false">I2198+J2198+L2198</f>
        <v>64.3113</v>
      </c>
    </row>
    <row r="2199" customFormat="false" ht="15" hidden="false" customHeight="false" outlineLevel="0" collapsed="false">
      <c r="B2199" s="7" t="s">
        <v>10832</v>
      </c>
      <c r="C2199" s="39" t="n">
        <v>45794</v>
      </c>
      <c r="D2199" s="7" t="s">
        <v>191</v>
      </c>
      <c r="E2199" s="7" t="s">
        <v>180</v>
      </c>
      <c r="F2199" s="6" t="n">
        <v>3.99</v>
      </c>
      <c r="G2199" s="6" t="n">
        <v>0</v>
      </c>
      <c r="H2199" s="41" t="n">
        <v>16.05</v>
      </c>
      <c r="I2199" s="43" t="n">
        <f aca="false">F2199*H2199</f>
        <v>64.0395</v>
      </c>
      <c r="J2199" s="43" t="n">
        <f aca="false">G2199*H2199*1.5</f>
        <v>0</v>
      </c>
      <c r="K2199" s="6" t="n">
        <v>12.59</v>
      </c>
      <c r="L2199" s="43" t="n">
        <f aca="false">K2199*'Chart of Accounts'!$E$68</f>
        <v>8.4353</v>
      </c>
      <c r="O2199" s="42" t="n">
        <f aca="false">I2199+J2199+L2199</f>
        <v>72.4748</v>
      </c>
    </row>
    <row r="2200" customFormat="false" ht="15" hidden="false" customHeight="false" outlineLevel="0" collapsed="false">
      <c r="B2200" s="7" t="s">
        <v>10833</v>
      </c>
      <c r="C2200" s="39" t="n">
        <v>45794</v>
      </c>
      <c r="D2200" s="7" t="s">
        <v>218</v>
      </c>
      <c r="E2200" s="7" t="s">
        <v>180</v>
      </c>
      <c r="F2200" s="6" t="n">
        <v>3.62</v>
      </c>
      <c r="G2200" s="6" t="n">
        <v>0</v>
      </c>
      <c r="H2200" s="41" t="n">
        <v>16.19</v>
      </c>
      <c r="I2200" s="43" t="n">
        <f aca="false">F2200*H2200</f>
        <v>58.6078</v>
      </c>
      <c r="J2200" s="43" t="n">
        <f aca="false">G2200*H2200*1.5</f>
        <v>0</v>
      </c>
      <c r="K2200" s="6" t="n">
        <v>8.41</v>
      </c>
      <c r="L2200" s="43" t="n">
        <f aca="false">K2200*'Chart of Accounts'!$E$68</f>
        <v>5.6347</v>
      </c>
      <c r="O2200" s="42" t="n">
        <f aca="false">I2200+J2200+L2200</f>
        <v>64.2425</v>
      </c>
    </row>
    <row r="2201" customFormat="false" ht="15" hidden="false" customHeight="false" outlineLevel="0" collapsed="false">
      <c r="B2201" s="7" t="s">
        <v>10834</v>
      </c>
      <c r="C2201" s="39" t="n">
        <v>45794</v>
      </c>
      <c r="D2201" s="7" t="s">
        <v>212</v>
      </c>
      <c r="E2201" s="7" t="s">
        <v>180</v>
      </c>
      <c r="F2201" s="6" t="n">
        <v>3.92</v>
      </c>
      <c r="G2201" s="6" t="n">
        <v>0</v>
      </c>
      <c r="H2201" s="41" t="n">
        <v>16.71</v>
      </c>
      <c r="I2201" s="43" t="n">
        <f aca="false">F2201*H2201</f>
        <v>65.5032</v>
      </c>
      <c r="J2201" s="43" t="n">
        <f aca="false">G2201*H2201*1.5</f>
        <v>0</v>
      </c>
      <c r="K2201" s="6" t="n">
        <v>10.76</v>
      </c>
      <c r="L2201" s="43" t="n">
        <f aca="false">K2201*'Chart of Accounts'!$E$68</f>
        <v>7.2092</v>
      </c>
      <c r="O2201" s="42" t="n">
        <f aca="false">I2201+J2201+L2201</f>
        <v>72.7124</v>
      </c>
    </row>
    <row r="2202" customFormat="false" ht="15" hidden="false" customHeight="false" outlineLevel="0" collapsed="false">
      <c r="B2202" s="7" t="s">
        <v>10835</v>
      </c>
      <c r="C2202" s="39" t="n">
        <v>45794</v>
      </c>
      <c r="D2202" s="7" t="s">
        <v>222</v>
      </c>
      <c r="E2202" s="7" t="s">
        <v>180</v>
      </c>
      <c r="F2202" s="6" t="n">
        <v>3.66</v>
      </c>
      <c r="G2202" s="6" t="n">
        <v>0</v>
      </c>
      <c r="H2202" s="41" t="n">
        <v>17.84</v>
      </c>
      <c r="I2202" s="43" t="n">
        <f aca="false">F2202*H2202</f>
        <v>65.2944</v>
      </c>
      <c r="J2202" s="43" t="n">
        <f aca="false">G2202*H2202*1.5</f>
        <v>0</v>
      </c>
      <c r="K2202" s="6" t="n">
        <v>10.87</v>
      </c>
      <c r="L2202" s="43" t="n">
        <f aca="false">K2202*'Chart of Accounts'!$E$68</f>
        <v>7.2829</v>
      </c>
      <c r="O2202" s="42" t="n">
        <f aca="false">I2202+J2202+L2202</f>
        <v>72.5773</v>
      </c>
    </row>
    <row r="2203" customFormat="false" ht="15" hidden="false" customHeight="false" outlineLevel="0" collapsed="false">
      <c r="B2203" s="7" t="s">
        <v>10836</v>
      </c>
      <c r="C2203" s="39" t="n">
        <v>45794</v>
      </c>
      <c r="D2203" s="7" t="s">
        <v>242</v>
      </c>
      <c r="E2203" s="7" t="s">
        <v>180</v>
      </c>
      <c r="F2203" s="6" t="n">
        <v>4.38</v>
      </c>
      <c r="G2203" s="6" t="n">
        <v>0</v>
      </c>
      <c r="H2203" s="41" t="n">
        <v>17.99</v>
      </c>
      <c r="I2203" s="43" t="n">
        <f aca="false">F2203*H2203</f>
        <v>78.7962</v>
      </c>
      <c r="J2203" s="43" t="n">
        <f aca="false">G2203*H2203*1.5</f>
        <v>0</v>
      </c>
      <c r="K2203" s="6" t="n">
        <v>15.64</v>
      </c>
      <c r="L2203" s="43" t="n">
        <f aca="false">K2203*'Chart of Accounts'!$E$68</f>
        <v>10.4788</v>
      </c>
      <c r="O2203" s="42" t="n">
        <f aca="false">I2203+J2203+L2203</f>
        <v>89.275</v>
      </c>
    </row>
    <row r="2204" customFormat="false" ht="15" hidden="false" customHeight="false" outlineLevel="0" collapsed="false">
      <c r="B2204" s="7" t="s">
        <v>10837</v>
      </c>
      <c r="C2204" s="39" t="n">
        <v>45794</v>
      </c>
      <c r="D2204" s="7" t="s">
        <v>254</v>
      </c>
      <c r="E2204" s="7" t="s">
        <v>180</v>
      </c>
      <c r="F2204" s="6" t="n">
        <v>4.18</v>
      </c>
      <c r="G2204" s="6" t="n">
        <v>0</v>
      </c>
      <c r="H2204" s="41" t="n">
        <v>17.1</v>
      </c>
      <c r="I2204" s="43" t="n">
        <f aca="false">F2204*H2204</f>
        <v>71.478</v>
      </c>
      <c r="J2204" s="43" t="n">
        <f aca="false">G2204*H2204*1.5</f>
        <v>0</v>
      </c>
      <c r="K2204" s="6" t="n">
        <v>14.16</v>
      </c>
      <c r="L2204" s="43" t="n">
        <f aca="false">K2204*'Chart of Accounts'!$E$68</f>
        <v>9.4872</v>
      </c>
      <c r="O2204" s="42" t="n">
        <f aca="false">I2204+J2204+L2204</f>
        <v>80.9652</v>
      </c>
    </row>
    <row r="2205" customFormat="false" ht="15" hidden="false" customHeight="false" outlineLevel="0" collapsed="false">
      <c r="B2205" s="7" t="s">
        <v>10838</v>
      </c>
      <c r="C2205" s="39" t="n">
        <v>45795</v>
      </c>
      <c r="D2205" s="7" t="s">
        <v>218</v>
      </c>
      <c r="E2205" s="7" t="s">
        <v>180</v>
      </c>
      <c r="F2205" s="6" t="n">
        <v>4.21</v>
      </c>
      <c r="G2205" s="6" t="n">
        <v>0</v>
      </c>
      <c r="H2205" s="41" t="n">
        <v>16.19</v>
      </c>
      <c r="I2205" s="43" t="n">
        <f aca="false">F2205*H2205</f>
        <v>68.1599</v>
      </c>
      <c r="J2205" s="43" t="n">
        <f aca="false">G2205*H2205*1.5</f>
        <v>0</v>
      </c>
      <c r="K2205" s="6" t="n">
        <v>14.97</v>
      </c>
      <c r="L2205" s="43" t="n">
        <f aca="false">K2205*'Chart of Accounts'!$E$68</f>
        <v>10.0299</v>
      </c>
      <c r="O2205" s="42" t="n">
        <f aca="false">I2205+J2205+L2205</f>
        <v>78.1898</v>
      </c>
    </row>
    <row r="2206" customFormat="false" ht="15" hidden="false" customHeight="false" outlineLevel="0" collapsed="false">
      <c r="B2206" s="7" t="s">
        <v>10839</v>
      </c>
      <c r="C2206" s="39" t="n">
        <v>45795</v>
      </c>
      <c r="D2206" s="7" t="s">
        <v>212</v>
      </c>
      <c r="E2206" s="7" t="s">
        <v>180</v>
      </c>
      <c r="F2206" s="6" t="n">
        <v>3.8</v>
      </c>
      <c r="G2206" s="6" t="n">
        <v>0</v>
      </c>
      <c r="H2206" s="41" t="n">
        <v>16.71</v>
      </c>
      <c r="I2206" s="43" t="n">
        <f aca="false">F2206*H2206</f>
        <v>63.498</v>
      </c>
      <c r="J2206" s="43" t="n">
        <f aca="false">G2206*H2206*1.5</f>
        <v>0</v>
      </c>
      <c r="K2206" s="6" t="n">
        <v>11.39</v>
      </c>
      <c r="L2206" s="43" t="n">
        <f aca="false">K2206*'Chart of Accounts'!$E$68</f>
        <v>7.6313</v>
      </c>
      <c r="O2206" s="42" t="n">
        <f aca="false">I2206+J2206+L2206</f>
        <v>71.1293</v>
      </c>
    </row>
    <row r="2207" customFormat="false" ht="15" hidden="false" customHeight="false" outlineLevel="0" collapsed="false">
      <c r="B2207" s="7" t="s">
        <v>10840</v>
      </c>
      <c r="C2207" s="39" t="n">
        <v>45795</v>
      </c>
      <c r="D2207" s="7" t="s">
        <v>242</v>
      </c>
      <c r="E2207" s="7" t="s">
        <v>180</v>
      </c>
      <c r="F2207" s="6" t="n">
        <v>4.37</v>
      </c>
      <c r="G2207" s="6" t="n">
        <v>0</v>
      </c>
      <c r="H2207" s="41" t="n">
        <v>17.99</v>
      </c>
      <c r="I2207" s="43" t="n">
        <f aca="false">F2207*H2207</f>
        <v>78.6163</v>
      </c>
      <c r="J2207" s="43" t="n">
        <f aca="false">G2207*H2207*1.5</f>
        <v>0</v>
      </c>
      <c r="K2207" s="6" t="n">
        <v>15.19</v>
      </c>
      <c r="L2207" s="43" t="n">
        <f aca="false">K2207*'Chart of Accounts'!$E$68</f>
        <v>10.1773</v>
      </c>
      <c r="O2207" s="42" t="n">
        <f aca="false">I2207+J2207+L2207</f>
        <v>88.7936</v>
      </c>
    </row>
    <row r="2208" customFormat="false" ht="15" hidden="false" customHeight="false" outlineLevel="0" collapsed="false">
      <c r="B2208" s="7" t="s">
        <v>10841</v>
      </c>
      <c r="C2208" s="39" t="n">
        <v>45795</v>
      </c>
      <c r="D2208" s="7" t="s">
        <v>254</v>
      </c>
      <c r="E2208" s="7" t="s">
        <v>180</v>
      </c>
      <c r="F2208" s="6" t="n">
        <v>3.87</v>
      </c>
      <c r="G2208" s="6" t="n">
        <v>0</v>
      </c>
      <c r="H2208" s="41" t="n">
        <v>17.1</v>
      </c>
      <c r="I2208" s="43" t="n">
        <f aca="false">F2208*H2208</f>
        <v>66.177</v>
      </c>
      <c r="J2208" s="43" t="n">
        <f aca="false">G2208*H2208*1.5</f>
        <v>0</v>
      </c>
      <c r="K2208" s="6" t="n">
        <v>8.73</v>
      </c>
      <c r="L2208" s="43" t="n">
        <f aca="false">K2208*'Chart of Accounts'!$E$68</f>
        <v>5.8491</v>
      </c>
      <c r="O2208" s="42" t="n">
        <f aca="false">I2208+J2208+L2208</f>
        <v>72.0261</v>
      </c>
    </row>
    <row r="2209" customFormat="false" ht="15" hidden="false" customHeight="false" outlineLevel="0" collapsed="false">
      <c r="B2209" s="7" t="s">
        <v>10842</v>
      </c>
      <c r="C2209" s="39" t="n">
        <v>45796</v>
      </c>
      <c r="D2209" s="7" t="s">
        <v>187</v>
      </c>
      <c r="E2209" s="7" t="s">
        <v>158</v>
      </c>
      <c r="H2209" s="41" t="n">
        <v>66.48</v>
      </c>
      <c r="M2209" s="6" t="n">
        <v>1</v>
      </c>
      <c r="N2209" s="43" t="n">
        <f aca="false">M2209*H2209</f>
        <v>66.48</v>
      </c>
      <c r="O2209" s="42" t="n">
        <f aca="false">N2209</f>
        <v>66.48</v>
      </c>
    </row>
    <row r="2210" customFormat="false" ht="15" hidden="false" customHeight="false" outlineLevel="0" collapsed="false">
      <c r="B2210" s="7" t="s">
        <v>10843</v>
      </c>
      <c r="C2210" s="39" t="n">
        <v>45796</v>
      </c>
      <c r="D2210" s="7" t="s">
        <v>191</v>
      </c>
      <c r="E2210" s="7" t="s">
        <v>180</v>
      </c>
      <c r="F2210" s="6" t="n">
        <v>3.73</v>
      </c>
      <c r="G2210" s="6" t="n">
        <v>0</v>
      </c>
      <c r="H2210" s="41" t="n">
        <v>16.05</v>
      </c>
      <c r="I2210" s="43" t="n">
        <f aca="false">F2210*H2210</f>
        <v>59.8665</v>
      </c>
      <c r="J2210" s="43" t="n">
        <f aca="false">G2210*H2210*1.5</f>
        <v>0</v>
      </c>
      <c r="K2210" s="6" t="n">
        <v>12.16</v>
      </c>
      <c r="L2210" s="43" t="n">
        <f aca="false">K2210*'Chart of Accounts'!$E$68</f>
        <v>8.1472</v>
      </c>
      <c r="O2210" s="42" t="n">
        <f aca="false">I2210+J2210+L2210</f>
        <v>68.0137</v>
      </c>
    </row>
    <row r="2211" customFormat="false" ht="15" hidden="false" customHeight="false" outlineLevel="0" collapsed="false">
      <c r="B2211" s="7" t="s">
        <v>10844</v>
      </c>
      <c r="C2211" s="39" t="n">
        <v>45796</v>
      </c>
      <c r="D2211" s="7" t="s">
        <v>194</v>
      </c>
      <c r="E2211" s="7" t="s">
        <v>180</v>
      </c>
      <c r="F2211" s="6" t="n">
        <v>8.48</v>
      </c>
      <c r="G2211" s="6" t="n">
        <v>0</v>
      </c>
      <c r="H2211" s="41" t="n">
        <v>16</v>
      </c>
      <c r="I2211" s="43" t="n">
        <f aca="false">F2211*H2211</f>
        <v>135.68</v>
      </c>
      <c r="J2211" s="43" t="n">
        <f aca="false">G2211*H2211*1.5</f>
        <v>0</v>
      </c>
      <c r="K2211" s="6" t="n">
        <v>29.08</v>
      </c>
      <c r="L2211" s="43" t="n">
        <f aca="false">K2211*'Chart of Accounts'!$E$68</f>
        <v>19.4836</v>
      </c>
      <c r="O2211" s="42" t="n">
        <f aca="false">I2211+J2211+L2211</f>
        <v>155.1636</v>
      </c>
    </row>
    <row r="2212" customFormat="false" ht="15" hidden="false" customHeight="false" outlineLevel="0" collapsed="false">
      <c r="B2212" s="7" t="s">
        <v>10845</v>
      </c>
      <c r="C2212" s="39" t="n">
        <v>45796</v>
      </c>
      <c r="D2212" s="7" t="s">
        <v>201</v>
      </c>
      <c r="E2212" s="7" t="s">
        <v>180</v>
      </c>
      <c r="F2212" s="6" t="n">
        <v>8.9</v>
      </c>
      <c r="G2212" s="6" t="n">
        <v>0</v>
      </c>
      <c r="H2212" s="41" t="n">
        <v>15.19</v>
      </c>
      <c r="I2212" s="43" t="n">
        <f aca="false">F2212*H2212</f>
        <v>135.191</v>
      </c>
      <c r="J2212" s="43" t="n">
        <f aca="false">G2212*H2212*1.5</f>
        <v>0</v>
      </c>
      <c r="K2212" s="6" t="n">
        <v>27.79</v>
      </c>
      <c r="L2212" s="43" t="n">
        <f aca="false">K2212*'Chart of Accounts'!$E$68</f>
        <v>18.6193</v>
      </c>
      <c r="O2212" s="42" t="n">
        <f aca="false">I2212+J2212+L2212</f>
        <v>153.8103</v>
      </c>
    </row>
    <row r="2213" customFormat="false" ht="15" hidden="false" customHeight="false" outlineLevel="0" collapsed="false">
      <c r="B2213" s="7" t="s">
        <v>10846</v>
      </c>
      <c r="C2213" s="39" t="n">
        <v>45796</v>
      </c>
      <c r="D2213" s="7" t="s">
        <v>205</v>
      </c>
      <c r="E2213" s="7" t="s">
        <v>180</v>
      </c>
      <c r="F2213" s="6" t="n">
        <v>3.84</v>
      </c>
      <c r="G2213" s="6" t="n">
        <v>0</v>
      </c>
      <c r="H2213" s="41" t="n">
        <v>16.36</v>
      </c>
      <c r="I2213" s="43" t="n">
        <f aca="false">F2213*H2213</f>
        <v>62.8224</v>
      </c>
      <c r="J2213" s="43" t="n">
        <f aca="false">G2213*H2213*1.5</f>
        <v>0</v>
      </c>
      <c r="K2213" s="6" t="n">
        <v>13.63</v>
      </c>
      <c r="L2213" s="43" t="n">
        <f aca="false">K2213*'Chart of Accounts'!$E$68</f>
        <v>9.1321</v>
      </c>
      <c r="O2213" s="42" t="n">
        <f aca="false">I2213+J2213+L2213</f>
        <v>71.9545</v>
      </c>
    </row>
    <row r="2214" customFormat="false" ht="15" hidden="false" customHeight="false" outlineLevel="0" collapsed="false">
      <c r="B2214" s="7" t="s">
        <v>10847</v>
      </c>
      <c r="C2214" s="39" t="n">
        <v>45796</v>
      </c>
      <c r="D2214" s="7" t="s">
        <v>264</v>
      </c>
      <c r="E2214" s="7" t="s">
        <v>158</v>
      </c>
      <c r="H2214" s="41" t="n">
        <v>55.55</v>
      </c>
      <c r="M2214" s="6" t="n">
        <v>1</v>
      </c>
      <c r="N2214" s="43" t="n">
        <f aca="false">M2214*H2214</f>
        <v>55.55</v>
      </c>
      <c r="O2214" s="42" t="n">
        <f aca="false">N2214</f>
        <v>55.55</v>
      </c>
    </row>
    <row r="2215" customFormat="false" ht="15" hidden="false" customHeight="false" outlineLevel="0" collapsed="false">
      <c r="B2215" s="7" t="s">
        <v>10848</v>
      </c>
      <c r="C2215" s="39" t="n">
        <v>45796</v>
      </c>
      <c r="D2215" s="7" t="s">
        <v>252</v>
      </c>
      <c r="E2215" s="7" t="s">
        <v>158</v>
      </c>
      <c r="H2215" s="41" t="n">
        <v>57.54</v>
      </c>
      <c r="M2215" s="6" t="n">
        <v>1</v>
      </c>
      <c r="N2215" s="43" t="n">
        <f aca="false">M2215*H2215</f>
        <v>57.54</v>
      </c>
      <c r="O2215" s="42" t="n">
        <f aca="false">N2215</f>
        <v>57.54</v>
      </c>
    </row>
    <row r="2216" customFormat="false" ht="15" hidden="false" customHeight="false" outlineLevel="0" collapsed="false">
      <c r="B2216" s="7" t="s">
        <v>10849</v>
      </c>
      <c r="C2216" s="39" t="n">
        <v>45796</v>
      </c>
      <c r="D2216" s="7" t="s">
        <v>196</v>
      </c>
      <c r="E2216" s="7" t="s">
        <v>180</v>
      </c>
      <c r="F2216" s="6" t="n">
        <v>5.84</v>
      </c>
      <c r="G2216" s="6" t="n">
        <v>0</v>
      </c>
      <c r="H2216" s="41" t="n">
        <v>15.05</v>
      </c>
      <c r="I2216" s="43" t="n">
        <f aca="false">F2216*H2216</f>
        <v>87.892</v>
      </c>
      <c r="J2216" s="43" t="n">
        <f aca="false">G2216*H2216*1.5</f>
        <v>0</v>
      </c>
      <c r="K2216" s="6" t="n">
        <v>14.33</v>
      </c>
      <c r="L2216" s="43" t="n">
        <f aca="false">K2216*'Chart of Accounts'!$E$68</f>
        <v>9.6011</v>
      </c>
      <c r="O2216" s="42" t="n">
        <f aca="false">I2216+J2216+L2216</f>
        <v>97.4931</v>
      </c>
    </row>
    <row r="2217" customFormat="false" ht="15" hidden="false" customHeight="false" outlineLevel="0" collapsed="false">
      <c r="B2217" s="7" t="s">
        <v>10850</v>
      </c>
      <c r="C2217" s="39" t="n">
        <v>45796</v>
      </c>
      <c r="D2217" s="7" t="s">
        <v>184</v>
      </c>
      <c r="E2217" s="7" t="s">
        <v>180</v>
      </c>
      <c r="F2217" s="6" t="n">
        <v>4.31</v>
      </c>
      <c r="G2217" s="6" t="n">
        <v>0</v>
      </c>
      <c r="H2217" s="41" t="n">
        <v>17.34</v>
      </c>
      <c r="I2217" s="43" t="n">
        <f aca="false">F2217*H2217</f>
        <v>74.7354</v>
      </c>
      <c r="J2217" s="43" t="n">
        <f aca="false">G2217*H2217*1.5</f>
        <v>0</v>
      </c>
      <c r="K2217" s="6" t="n">
        <v>14.17</v>
      </c>
      <c r="L2217" s="43" t="n">
        <f aca="false">K2217*'Chart of Accounts'!$E$68</f>
        <v>9.4939</v>
      </c>
      <c r="O2217" s="42" t="n">
        <f aca="false">I2217+J2217+L2217</f>
        <v>84.2293</v>
      </c>
    </row>
    <row r="2218" customFormat="false" ht="15" hidden="false" customHeight="false" outlineLevel="0" collapsed="false">
      <c r="B2218" s="7" t="s">
        <v>10851</v>
      </c>
      <c r="C2218" s="39" t="n">
        <v>45796</v>
      </c>
      <c r="D2218" s="7" t="s">
        <v>207</v>
      </c>
      <c r="E2218" s="7" t="s">
        <v>180</v>
      </c>
      <c r="F2218" s="6" t="n">
        <v>5.99</v>
      </c>
      <c r="G2218" s="6" t="n">
        <v>0</v>
      </c>
      <c r="H2218" s="41" t="n">
        <v>16.65</v>
      </c>
      <c r="I2218" s="43" t="n">
        <f aca="false">F2218*H2218</f>
        <v>99.7335</v>
      </c>
      <c r="J2218" s="43" t="n">
        <f aca="false">G2218*H2218*1.5</f>
        <v>0</v>
      </c>
      <c r="K2218" s="6" t="n">
        <v>14.87</v>
      </c>
      <c r="L2218" s="43" t="n">
        <f aca="false">K2218*'Chart of Accounts'!$E$68</f>
        <v>9.9629</v>
      </c>
      <c r="O2218" s="42" t="n">
        <f aca="false">I2218+J2218+L2218</f>
        <v>109.6964</v>
      </c>
    </row>
    <row r="2219" customFormat="false" ht="15" hidden="false" customHeight="false" outlineLevel="0" collapsed="false">
      <c r="B2219" s="7" t="s">
        <v>10852</v>
      </c>
      <c r="C2219" s="39" t="n">
        <v>45796</v>
      </c>
      <c r="D2219" s="7" t="s">
        <v>218</v>
      </c>
      <c r="E2219" s="7" t="s">
        <v>180</v>
      </c>
      <c r="F2219" s="6" t="n">
        <v>4.36</v>
      </c>
      <c r="G2219" s="6" t="n">
        <v>0</v>
      </c>
      <c r="H2219" s="41" t="n">
        <v>16.19</v>
      </c>
      <c r="I2219" s="43" t="n">
        <f aca="false">F2219*H2219</f>
        <v>70.5884</v>
      </c>
      <c r="J2219" s="43" t="n">
        <f aca="false">G2219*H2219*1.5</f>
        <v>0</v>
      </c>
      <c r="K2219" s="6" t="n">
        <v>13.92</v>
      </c>
      <c r="L2219" s="43" t="n">
        <f aca="false">K2219*'Chart of Accounts'!$E$68</f>
        <v>9.3264</v>
      </c>
      <c r="O2219" s="42" t="n">
        <f aca="false">I2219+J2219+L2219</f>
        <v>79.9148</v>
      </c>
    </row>
    <row r="2220" customFormat="false" ht="15" hidden="false" customHeight="false" outlineLevel="0" collapsed="false">
      <c r="B2220" s="7" t="s">
        <v>10853</v>
      </c>
      <c r="C2220" s="39" t="n">
        <v>45796</v>
      </c>
      <c r="D2220" s="7" t="s">
        <v>212</v>
      </c>
      <c r="E2220" s="7" t="s">
        <v>180</v>
      </c>
      <c r="F2220" s="6" t="n">
        <v>6.52</v>
      </c>
      <c r="G2220" s="6" t="n">
        <v>0</v>
      </c>
      <c r="H2220" s="41" t="n">
        <v>16.71</v>
      </c>
      <c r="I2220" s="43" t="n">
        <f aca="false">F2220*H2220</f>
        <v>108.9492</v>
      </c>
      <c r="J2220" s="43" t="n">
        <f aca="false">G2220*H2220*1.5</f>
        <v>0</v>
      </c>
      <c r="K2220" s="6" t="n">
        <v>19.78</v>
      </c>
      <c r="L2220" s="43" t="n">
        <f aca="false">K2220*'Chart of Accounts'!$E$68</f>
        <v>13.2526</v>
      </c>
      <c r="O2220" s="42" t="n">
        <f aca="false">I2220+J2220+L2220</f>
        <v>122.2018</v>
      </c>
    </row>
    <row r="2221" customFormat="false" ht="15" hidden="false" customHeight="false" outlineLevel="0" collapsed="false">
      <c r="B2221" s="7" t="s">
        <v>10854</v>
      </c>
      <c r="C2221" s="39" t="n">
        <v>45796</v>
      </c>
      <c r="D2221" s="7" t="s">
        <v>220</v>
      </c>
      <c r="E2221" s="7" t="s">
        <v>180</v>
      </c>
      <c r="F2221" s="6" t="n">
        <v>4.32</v>
      </c>
      <c r="G2221" s="6" t="n">
        <v>0</v>
      </c>
      <c r="H2221" s="41" t="n">
        <v>16.43</v>
      </c>
      <c r="I2221" s="43" t="n">
        <f aca="false">F2221*H2221</f>
        <v>70.9776</v>
      </c>
      <c r="J2221" s="43" t="n">
        <f aca="false">G2221*H2221*1.5</f>
        <v>0</v>
      </c>
      <c r="K2221" s="6" t="n">
        <v>11.78</v>
      </c>
      <c r="L2221" s="43" t="n">
        <f aca="false">K2221*'Chart of Accounts'!$E$68</f>
        <v>7.8926</v>
      </c>
      <c r="O2221" s="42" t="n">
        <f aca="false">I2221+J2221+L2221</f>
        <v>78.8702</v>
      </c>
    </row>
    <row r="2222" customFormat="false" ht="15" hidden="false" customHeight="false" outlineLevel="0" collapsed="false">
      <c r="B2222" s="7" t="s">
        <v>10855</v>
      </c>
      <c r="C2222" s="39" t="n">
        <v>45796</v>
      </c>
      <c r="D2222" s="7" t="s">
        <v>224</v>
      </c>
      <c r="E2222" s="7" t="s">
        <v>180</v>
      </c>
      <c r="F2222" s="6" t="n">
        <v>8.61</v>
      </c>
      <c r="G2222" s="6" t="n">
        <v>0</v>
      </c>
      <c r="H2222" s="41" t="n">
        <v>14.93</v>
      </c>
      <c r="I2222" s="43" t="n">
        <f aca="false">F2222*H2222</f>
        <v>128.5473</v>
      </c>
      <c r="J2222" s="43" t="n">
        <f aca="false">G2222*H2222*1.5</f>
        <v>0</v>
      </c>
      <c r="K2222" s="6" t="n">
        <v>19.04</v>
      </c>
      <c r="L2222" s="43" t="n">
        <f aca="false">K2222*'Chart of Accounts'!$E$68</f>
        <v>12.7568</v>
      </c>
      <c r="O2222" s="42" t="n">
        <f aca="false">I2222+J2222+L2222</f>
        <v>141.3041</v>
      </c>
    </row>
    <row r="2223" customFormat="false" ht="15" hidden="false" customHeight="false" outlineLevel="0" collapsed="false">
      <c r="B2223" s="7" t="s">
        <v>10856</v>
      </c>
      <c r="C2223" s="39" t="n">
        <v>45796</v>
      </c>
      <c r="D2223" s="7" t="s">
        <v>177</v>
      </c>
      <c r="E2223" s="7" t="s">
        <v>180</v>
      </c>
      <c r="F2223" s="6" t="n">
        <v>7.97</v>
      </c>
      <c r="G2223" s="6" t="n">
        <v>0</v>
      </c>
      <c r="H2223" s="41" t="n">
        <v>14.56</v>
      </c>
      <c r="I2223" s="43" t="n">
        <f aca="false">F2223*H2223</f>
        <v>116.0432</v>
      </c>
      <c r="J2223" s="43" t="n">
        <f aca="false">G2223*H2223*1.5</f>
        <v>0</v>
      </c>
      <c r="K2223" s="6" t="n">
        <v>23.27</v>
      </c>
      <c r="L2223" s="43" t="n">
        <f aca="false">K2223*'Chart of Accounts'!$E$68</f>
        <v>15.5909</v>
      </c>
      <c r="O2223" s="42" t="n">
        <f aca="false">I2223+J2223+L2223</f>
        <v>131.6341</v>
      </c>
    </row>
    <row r="2224" customFormat="false" ht="15" hidden="false" customHeight="false" outlineLevel="0" collapsed="false">
      <c r="B2224" s="7" t="s">
        <v>10857</v>
      </c>
      <c r="C2224" s="39" t="n">
        <v>45796</v>
      </c>
      <c r="D2224" s="7" t="s">
        <v>232</v>
      </c>
      <c r="E2224" s="7" t="s">
        <v>180</v>
      </c>
      <c r="F2224" s="6" t="n">
        <v>8</v>
      </c>
      <c r="G2224" s="6" t="n">
        <v>0</v>
      </c>
      <c r="H2224" s="41" t="n">
        <v>16.17</v>
      </c>
      <c r="I2224" s="43" t="n">
        <f aca="false">F2224*H2224</f>
        <v>129.36</v>
      </c>
      <c r="J2224" s="43" t="n">
        <f aca="false">G2224*H2224*1.5</f>
        <v>0</v>
      </c>
      <c r="K2224" s="6" t="n">
        <v>20.65</v>
      </c>
      <c r="L2224" s="43" t="n">
        <f aca="false">K2224*'Chart of Accounts'!$E$68</f>
        <v>13.8355</v>
      </c>
      <c r="O2224" s="42" t="n">
        <f aca="false">I2224+J2224+L2224</f>
        <v>143.1955</v>
      </c>
    </row>
    <row r="2225" customFormat="false" ht="15" hidden="false" customHeight="false" outlineLevel="0" collapsed="false">
      <c r="B2225" s="7" t="s">
        <v>10858</v>
      </c>
      <c r="C2225" s="39" t="n">
        <v>45796</v>
      </c>
      <c r="D2225" s="7" t="s">
        <v>242</v>
      </c>
      <c r="E2225" s="7" t="s">
        <v>180</v>
      </c>
      <c r="F2225" s="6" t="n">
        <v>7.26</v>
      </c>
      <c r="G2225" s="6" t="n">
        <v>0</v>
      </c>
      <c r="H2225" s="41" t="n">
        <v>17.99</v>
      </c>
      <c r="I2225" s="43" t="n">
        <f aca="false">F2225*H2225</f>
        <v>130.6074</v>
      </c>
      <c r="J2225" s="43" t="n">
        <f aca="false">G2225*H2225*1.5</f>
        <v>0</v>
      </c>
      <c r="K2225" s="6" t="n">
        <v>20.37</v>
      </c>
      <c r="L2225" s="43" t="n">
        <f aca="false">K2225*'Chart of Accounts'!$E$68</f>
        <v>13.6479</v>
      </c>
      <c r="O2225" s="42" t="n">
        <f aca="false">I2225+J2225+L2225</f>
        <v>144.2553</v>
      </c>
    </row>
    <row r="2226" customFormat="false" ht="15" hidden="false" customHeight="false" outlineLevel="0" collapsed="false">
      <c r="B2226" s="7" t="s">
        <v>10859</v>
      </c>
      <c r="C2226" s="39" t="n">
        <v>45796</v>
      </c>
      <c r="D2226" s="7" t="s">
        <v>222</v>
      </c>
      <c r="E2226" s="7" t="s">
        <v>180</v>
      </c>
      <c r="F2226" s="6" t="n">
        <v>7.24</v>
      </c>
      <c r="G2226" s="6" t="n">
        <v>0</v>
      </c>
      <c r="H2226" s="41" t="n">
        <v>17.84</v>
      </c>
      <c r="I2226" s="43" t="n">
        <f aca="false">F2226*H2226</f>
        <v>129.1616</v>
      </c>
      <c r="J2226" s="43" t="n">
        <f aca="false">G2226*H2226*1.5</f>
        <v>0</v>
      </c>
      <c r="K2226" s="6" t="n">
        <v>23.51</v>
      </c>
      <c r="L2226" s="43" t="n">
        <f aca="false">K2226*'Chart of Accounts'!$E$68</f>
        <v>15.7517</v>
      </c>
      <c r="O2226" s="42" t="n">
        <f aca="false">I2226+J2226+L2226</f>
        <v>144.9133</v>
      </c>
    </row>
    <row r="2227" customFormat="false" ht="15" hidden="false" customHeight="false" outlineLevel="0" collapsed="false">
      <c r="B2227" s="7" t="s">
        <v>10860</v>
      </c>
      <c r="C2227" s="39" t="n">
        <v>45796</v>
      </c>
      <c r="D2227" s="7" t="s">
        <v>262</v>
      </c>
      <c r="E2227" s="7" t="s">
        <v>180</v>
      </c>
      <c r="F2227" s="6" t="n">
        <v>7.18</v>
      </c>
      <c r="G2227" s="6" t="n">
        <v>0</v>
      </c>
      <c r="H2227" s="41" t="n">
        <v>16.02</v>
      </c>
      <c r="I2227" s="43" t="n">
        <f aca="false">F2227*H2227</f>
        <v>115.0236</v>
      </c>
      <c r="J2227" s="43" t="n">
        <f aca="false">G2227*H2227*1.5</f>
        <v>0</v>
      </c>
      <c r="K2227" s="6" t="n">
        <v>17.1</v>
      </c>
      <c r="L2227" s="43" t="n">
        <f aca="false">K2227*'Chart of Accounts'!$E$68</f>
        <v>11.457</v>
      </c>
      <c r="O2227" s="42" t="n">
        <f aca="false">I2227+J2227+L2227</f>
        <v>126.4806</v>
      </c>
    </row>
    <row r="2228" customFormat="false" ht="15" hidden="false" customHeight="false" outlineLevel="0" collapsed="false">
      <c r="B2228" s="7" t="s">
        <v>10861</v>
      </c>
      <c r="C2228" s="39" t="n">
        <v>45796</v>
      </c>
      <c r="D2228" s="7" t="s">
        <v>254</v>
      </c>
      <c r="E2228" s="7" t="s">
        <v>180</v>
      </c>
      <c r="F2228" s="6" t="n">
        <v>7.2</v>
      </c>
      <c r="G2228" s="6" t="n">
        <v>0</v>
      </c>
      <c r="H2228" s="41" t="n">
        <v>17.1</v>
      </c>
      <c r="I2228" s="43" t="n">
        <f aca="false">F2228*H2228</f>
        <v>123.12</v>
      </c>
      <c r="J2228" s="43" t="n">
        <f aca="false">G2228*H2228*1.5</f>
        <v>0</v>
      </c>
      <c r="K2228" s="6" t="n">
        <v>20.96</v>
      </c>
      <c r="L2228" s="43" t="n">
        <f aca="false">K2228*'Chart of Accounts'!$E$68</f>
        <v>14.0432</v>
      </c>
      <c r="O2228" s="42" t="n">
        <f aca="false">I2228+J2228+L2228</f>
        <v>137.1632</v>
      </c>
    </row>
    <row r="2229" customFormat="false" ht="15" hidden="false" customHeight="false" outlineLevel="0" collapsed="false">
      <c r="B2229" s="7" t="s">
        <v>10862</v>
      </c>
      <c r="C2229" s="39" t="n">
        <v>45796</v>
      </c>
      <c r="D2229" s="7" t="s">
        <v>246</v>
      </c>
      <c r="E2229" s="7" t="s">
        <v>180</v>
      </c>
      <c r="F2229" s="6" t="n">
        <v>7.54</v>
      </c>
      <c r="G2229" s="6" t="n">
        <v>0</v>
      </c>
      <c r="H2229" s="41" t="n">
        <v>16.48</v>
      </c>
      <c r="I2229" s="43" t="n">
        <f aca="false">F2229*H2229</f>
        <v>124.2592</v>
      </c>
      <c r="J2229" s="43" t="n">
        <f aca="false">G2229*H2229*1.5</f>
        <v>0</v>
      </c>
      <c r="K2229" s="6" t="n">
        <v>22.69</v>
      </c>
      <c r="L2229" s="43" t="n">
        <f aca="false">K2229*'Chart of Accounts'!$E$68</f>
        <v>15.2023</v>
      </c>
      <c r="O2229" s="42" t="n">
        <f aca="false">I2229+J2229+L2229</f>
        <v>139.4615</v>
      </c>
    </row>
    <row r="2230" customFormat="false" ht="15" hidden="false" customHeight="false" outlineLevel="0" collapsed="false">
      <c r="B2230" s="7" t="s">
        <v>10863</v>
      </c>
      <c r="C2230" s="39" t="n">
        <v>45796</v>
      </c>
      <c r="D2230" s="7" t="s">
        <v>214</v>
      </c>
      <c r="E2230" s="7" t="s">
        <v>180</v>
      </c>
      <c r="F2230" s="6" t="n">
        <v>7.87</v>
      </c>
      <c r="G2230" s="6" t="n">
        <v>0</v>
      </c>
      <c r="H2230" s="41" t="n">
        <v>15.67</v>
      </c>
      <c r="I2230" s="43" t="n">
        <f aca="false">F2230*H2230</f>
        <v>123.3229</v>
      </c>
      <c r="J2230" s="43" t="n">
        <f aca="false">G2230*H2230*1.5</f>
        <v>0</v>
      </c>
      <c r="K2230" s="6" t="n">
        <v>23</v>
      </c>
      <c r="L2230" s="43" t="n">
        <f aca="false">K2230*'Chart of Accounts'!$E$68</f>
        <v>15.41</v>
      </c>
      <c r="O2230" s="42" t="n">
        <f aca="false">I2230+J2230+L2230</f>
        <v>138.7329</v>
      </c>
    </row>
    <row r="2231" customFormat="false" ht="15" hidden="false" customHeight="false" outlineLevel="0" collapsed="false">
      <c r="B2231" s="7" t="s">
        <v>10864</v>
      </c>
      <c r="C2231" s="39" t="n">
        <v>45796</v>
      </c>
      <c r="D2231" s="7" t="s">
        <v>238</v>
      </c>
      <c r="E2231" s="7" t="s">
        <v>180</v>
      </c>
      <c r="F2231" s="6" t="n">
        <v>4.2</v>
      </c>
      <c r="G2231" s="6" t="n">
        <v>0</v>
      </c>
      <c r="H2231" s="41" t="n">
        <v>15.85</v>
      </c>
      <c r="I2231" s="43" t="n">
        <f aca="false">F2231*H2231</f>
        <v>66.57</v>
      </c>
      <c r="J2231" s="43" t="n">
        <f aca="false">G2231*H2231*1.5</f>
        <v>0</v>
      </c>
      <c r="K2231" s="6" t="n">
        <v>12.87</v>
      </c>
      <c r="L2231" s="43" t="n">
        <f aca="false">K2231*'Chart of Accounts'!$E$68</f>
        <v>8.6229</v>
      </c>
      <c r="O2231" s="42" t="n">
        <f aca="false">I2231+J2231+L2231</f>
        <v>75.1929</v>
      </c>
    </row>
    <row r="2232" customFormat="false" ht="15" hidden="false" customHeight="false" outlineLevel="0" collapsed="false">
      <c r="B2232" s="7" t="s">
        <v>10865</v>
      </c>
      <c r="C2232" s="39" t="n">
        <v>45797</v>
      </c>
      <c r="D2232" s="7" t="s">
        <v>191</v>
      </c>
      <c r="E2232" s="7" t="s">
        <v>180</v>
      </c>
      <c r="F2232" s="6" t="n">
        <v>4.16</v>
      </c>
      <c r="G2232" s="6" t="n">
        <v>0</v>
      </c>
      <c r="H2232" s="41" t="n">
        <v>16.05</v>
      </c>
      <c r="I2232" s="43" t="n">
        <f aca="false">F2232*H2232</f>
        <v>66.768</v>
      </c>
      <c r="J2232" s="43" t="n">
        <f aca="false">G2232*H2232*1.5</f>
        <v>0</v>
      </c>
      <c r="K2232" s="6" t="n">
        <v>10.48</v>
      </c>
      <c r="L2232" s="43" t="n">
        <f aca="false">K2232*'Chart of Accounts'!$E$68</f>
        <v>7.0216</v>
      </c>
      <c r="O2232" s="42" t="n">
        <f aca="false">I2232+J2232+L2232</f>
        <v>73.7896</v>
      </c>
    </row>
    <row r="2233" customFormat="false" ht="15" hidden="false" customHeight="false" outlineLevel="0" collapsed="false">
      <c r="B2233" s="7" t="s">
        <v>10866</v>
      </c>
      <c r="C2233" s="39" t="n">
        <v>45797</v>
      </c>
      <c r="D2233" s="7" t="s">
        <v>209</v>
      </c>
      <c r="E2233" s="7" t="s">
        <v>158</v>
      </c>
      <c r="H2233" s="41" t="n">
        <v>73.58</v>
      </c>
      <c r="M2233" s="6" t="n">
        <v>2</v>
      </c>
      <c r="N2233" s="43" t="n">
        <f aca="false">M2233*H2233</f>
        <v>147.16</v>
      </c>
      <c r="O2233" s="42" t="n">
        <f aca="false">N2233</f>
        <v>147.16</v>
      </c>
    </row>
    <row r="2234" customFormat="false" ht="15" hidden="false" customHeight="false" outlineLevel="0" collapsed="false">
      <c r="B2234" s="7" t="s">
        <v>10867</v>
      </c>
      <c r="C2234" s="39" t="n">
        <v>45797</v>
      </c>
      <c r="D2234" s="7" t="s">
        <v>184</v>
      </c>
      <c r="E2234" s="7" t="s">
        <v>180</v>
      </c>
      <c r="F2234" s="6" t="n">
        <v>4.13</v>
      </c>
      <c r="G2234" s="6" t="n">
        <v>0</v>
      </c>
      <c r="H2234" s="41" t="n">
        <v>17.34</v>
      </c>
      <c r="I2234" s="43" t="n">
        <f aca="false">F2234*H2234</f>
        <v>71.6142</v>
      </c>
      <c r="J2234" s="43" t="n">
        <f aca="false">G2234*H2234*1.5</f>
        <v>0</v>
      </c>
      <c r="K2234" s="6" t="n">
        <v>13.06</v>
      </c>
      <c r="L2234" s="43" t="n">
        <f aca="false">K2234*'Chart of Accounts'!$E$68</f>
        <v>8.7502</v>
      </c>
      <c r="O2234" s="42" t="n">
        <f aca="false">I2234+J2234+L2234</f>
        <v>80.3644</v>
      </c>
    </row>
    <row r="2235" customFormat="false" ht="15" hidden="false" customHeight="false" outlineLevel="0" collapsed="false">
      <c r="B2235" s="7" t="s">
        <v>10868</v>
      </c>
      <c r="C2235" s="39" t="n">
        <v>45797</v>
      </c>
      <c r="D2235" s="7" t="s">
        <v>234</v>
      </c>
      <c r="E2235" s="7" t="s">
        <v>158</v>
      </c>
      <c r="H2235" s="41" t="n">
        <v>89.53</v>
      </c>
      <c r="M2235" s="6" t="n">
        <v>2</v>
      </c>
      <c r="N2235" s="43" t="n">
        <f aca="false">M2235*H2235</f>
        <v>179.06</v>
      </c>
      <c r="O2235" s="42" t="n">
        <f aca="false">N2235</f>
        <v>179.06</v>
      </c>
    </row>
    <row r="2236" customFormat="false" ht="15" hidden="false" customHeight="false" outlineLevel="0" collapsed="false">
      <c r="B2236" s="7" t="s">
        <v>10869</v>
      </c>
      <c r="C2236" s="39" t="n">
        <v>45797</v>
      </c>
      <c r="D2236" s="7" t="s">
        <v>218</v>
      </c>
      <c r="E2236" s="7" t="s">
        <v>180</v>
      </c>
      <c r="F2236" s="6" t="n">
        <v>3.66</v>
      </c>
      <c r="G2236" s="6" t="n">
        <v>0</v>
      </c>
      <c r="H2236" s="41" t="n">
        <v>16.19</v>
      </c>
      <c r="I2236" s="43" t="n">
        <f aca="false">F2236*H2236</f>
        <v>59.2554</v>
      </c>
      <c r="J2236" s="43" t="n">
        <f aca="false">G2236*H2236*1.5</f>
        <v>0</v>
      </c>
      <c r="K2236" s="6" t="n">
        <v>12.77</v>
      </c>
      <c r="L2236" s="43" t="n">
        <f aca="false">K2236*'Chart of Accounts'!$E$68</f>
        <v>8.5559</v>
      </c>
      <c r="O2236" s="42" t="n">
        <f aca="false">I2236+J2236+L2236</f>
        <v>67.8113</v>
      </c>
    </row>
    <row r="2237" customFormat="false" ht="15" hidden="false" customHeight="false" outlineLevel="0" collapsed="false">
      <c r="B2237" s="7" t="s">
        <v>10870</v>
      </c>
      <c r="C2237" s="39" t="n">
        <v>45797</v>
      </c>
      <c r="D2237" s="7" t="s">
        <v>266</v>
      </c>
      <c r="E2237" s="7" t="s">
        <v>158</v>
      </c>
      <c r="H2237" s="41" t="n">
        <v>75.18</v>
      </c>
      <c r="M2237" s="6" t="n">
        <v>1</v>
      </c>
      <c r="N2237" s="43" t="n">
        <f aca="false">M2237*H2237</f>
        <v>75.18</v>
      </c>
      <c r="O2237" s="42" t="n">
        <f aca="false">N2237</f>
        <v>75.18</v>
      </c>
    </row>
    <row r="2238" customFormat="false" ht="15" hidden="false" customHeight="false" outlineLevel="0" collapsed="false">
      <c r="B2238" s="7" t="s">
        <v>10871</v>
      </c>
      <c r="C2238" s="39" t="n">
        <v>45797</v>
      </c>
      <c r="D2238" s="7" t="s">
        <v>228</v>
      </c>
      <c r="E2238" s="7" t="s">
        <v>158</v>
      </c>
      <c r="H2238" s="41" t="n">
        <v>51.07</v>
      </c>
      <c r="M2238" s="6" t="n">
        <v>1</v>
      </c>
      <c r="N2238" s="43" t="n">
        <f aca="false">M2238*H2238</f>
        <v>51.07</v>
      </c>
      <c r="O2238" s="42" t="n">
        <f aca="false">N2238</f>
        <v>51.07</v>
      </c>
    </row>
    <row r="2239" customFormat="false" ht="15" hidden="false" customHeight="false" outlineLevel="0" collapsed="false">
      <c r="B2239" s="7" t="s">
        <v>10872</v>
      </c>
      <c r="C2239" s="39" t="n">
        <v>45797</v>
      </c>
      <c r="D2239" s="7" t="s">
        <v>220</v>
      </c>
      <c r="E2239" s="7" t="s">
        <v>180</v>
      </c>
      <c r="F2239" s="6" t="n">
        <v>3.84</v>
      </c>
      <c r="G2239" s="6" t="n">
        <v>0</v>
      </c>
      <c r="H2239" s="41" t="n">
        <v>16.43</v>
      </c>
      <c r="I2239" s="43" t="n">
        <f aca="false">F2239*H2239</f>
        <v>63.0912</v>
      </c>
      <c r="J2239" s="43" t="n">
        <f aca="false">G2239*H2239*1.5</f>
        <v>0</v>
      </c>
      <c r="K2239" s="6" t="n">
        <v>9.96</v>
      </c>
      <c r="L2239" s="43" t="n">
        <f aca="false">K2239*'Chart of Accounts'!$E$68</f>
        <v>6.6732</v>
      </c>
      <c r="O2239" s="42" t="n">
        <f aca="false">I2239+J2239+L2239</f>
        <v>69.7644</v>
      </c>
    </row>
    <row r="2240" customFormat="false" ht="15" hidden="false" customHeight="false" outlineLevel="0" collapsed="false">
      <c r="B2240" s="7" t="s">
        <v>10873</v>
      </c>
      <c r="C2240" s="39" t="n">
        <v>45797</v>
      </c>
      <c r="D2240" s="7" t="s">
        <v>212</v>
      </c>
      <c r="E2240" s="7" t="s">
        <v>180</v>
      </c>
      <c r="F2240" s="6" t="n">
        <v>4.23</v>
      </c>
      <c r="G2240" s="6" t="n">
        <v>0</v>
      </c>
      <c r="H2240" s="41" t="n">
        <v>16.71</v>
      </c>
      <c r="I2240" s="43" t="n">
        <f aca="false">F2240*H2240</f>
        <v>70.6833</v>
      </c>
      <c r="J2240" s="43" t="n">
        <f aca="false">G2240*H2240*1.5</f>
        <v>0</v>
      </c>
      <c r="K2240" s="6" t="n">
        <v>14.65</v>
      </c>
      <c r="L2240" s="43" t="n">
        <f aca="false">K2240*'Chart of Accounts'!$E$68</f>
        <v>9.8155</v>
      </c>
      <c r="O2240" s="42" t="n">
        <f aca="false">I2240+J2240+L2240</f>
        <v>80.4988</v>
      </c>
    </row>
    <row r="2241" customFormat="false" ht="15" hidden="false" customHeight="false" outlineLevel="0" collapsed="false">
      <c r="B2241" s="7" t="s">
        <v>10874</v>
      </c>
      <c r="C2241" s="39" t="n">
        <v>45797</v>
      </c>
      <c r="D2241" s="7" t="s">
        <v>194</v>
      </c>
      <c r="E2241" s="7" t="s">
        <v>180</v>
      </c>
      <c r="F2241" s="6" t="n">
        <v>4.2</v>
      </c>
      <c r="G2241" s="6" t="n">
        <v>0</v>
      </c>
      <c r="H2241" s="41" t="n">
        <v>16</v>
      </c>
      <c r="I2241" s="43" t="n">
        <f aca="false">F2241*H2241</f>
        <v>67.2</v>
      </c>
      <c r="J2241" s="43" t="n">
        <f aca="false">G2241*H2241*1.5</f>
        <v>0</v>
      </c>
      <c r="K2241" s="6" t="n">
        <v>13.59</v>
      </c>
      <c r="L2241" s="43" t="n">
        <f aca="false">K2241*'Chart of Accounts'!$E$68</f>
        <v>9.1053</v>
      </c>
      <c r="O2241" s="42" t="n">
        <f aca="false">I2241+J2241+L2241</f>
        <v>76.3053</v>
      </c>
    </row>
    <row r="2242" customFormat="false" ht="15" hidden="false" customHeight="false" outlineLevel="0" collapsed="false">
      <c r="B2242" s="7" t="s">
        <v>10875</v>
      </c>
      <c r="C2242" s="39" t="n">
        <v>45797</v>
      </c>
      <c r="D2242" s="7" t="s">
        <v>246</v>
      </c>
      <c r="E2242" s="7" t="s">
        <v>180</v>
      </c>
      <c r="F2242" s="6" t="n">
        <v>4.04</v>
      </c>
      <c r="G2242" s="6" t="n">
        <v>0</v>
      </c>
      <c r="H2242" s="41" t="n">
        <v>16.48</v>
      </c>
      <c r="I2242" s="43" t="n">
        <f aca="false">F2242*H2242</f>
        <v>66.5792</v>
      </c>
      <c r="J2242" s="43" t="n">
        <f aca="false">G2242*H2242*1.5</f>
        <v>0</v>
      </c>
      <c r="K2242" s="6" t="n">
        <v>13.12</v>
      </c>
      <c r="L2242" s="43" t="n">
        <f aca="false">K2242*'Chart of Accounts'!$E$68</f>
        <v>8.7904</v>
      </c>
      <c r="O2242" s="42" t="n">
        <f aca="false">I2242+J2242+L2242</f>
        <v>75.3696</v>
      </c>
    </row>
    <row r="2243" customFormat="false" ht="15" hidden="false" customHeight="false" outlineLevel="0" collapsed="false">
      <c r="B2243" s="7" t="s">
        <v>10876</v>
      </c>
      <c r="C2243" s="39" t="n">
        <v>45797</v>
      </c>
      <c r="D2243" s="7" t="s">
        <v>222</v>
      </c>
      <c r="E2243" s="7" t="s">
        <v>180</v>
      </c>
      <c r="F2243" s="6" t="n">
        <v>4</v>
      </c>
      <c r="G2243" s="6" t="n">
        <v>0</v>
      </c>
      <c r="H2243" s="41" t="n">
        <v>17.84</v>
      </c>
      <c r="I2243" s="43" t="n">
        <f aca="false">F2243*H2243</f>
        <v>71.36</v>
      </c>
      <c r="J2243" s="43" t="n">
        <f aca="false">G2243*H2243*1.5</f>
        <v>0</v>
      </c>
      <c r="K2243" s="6" t="n">
        <v>12.89</v>
      </c>
      <c r="L2243" s="43" t="n">
        <f aca="false">K2243*'Chart of Accounts'!$E$68</f>
        <v>8.6363</v>
      </c>
      <c r="O2243" s="42" t="n">
        <f aca="false">I2243+J2243+L2243</f>
        <v>79.9963</v>
      </c>
    </row>
    <row r="2244" customFormat="false" ht="15" hidden="false" customHeight="false" outlineLevel="0" collapsed="false">
      <c r="B2244" s="7" t="s">
        <v>10877</v>
      </c>
      <c r="C2244" s="39" t="n">
        <v>45797</v>
      </c>
      <c r="D2244" s="7" t="s">
        <v>242</v>
      </c>
      <c r="E2244" s="7" t="s">
        <v>180</v>
      </c>
      <c r="F2244" s="6" t="n">
        <v>3.73</v>
      </c>
      <c r="G2244" s="6" t="n">
        <v>0</v>
      </c>
      <c r="H2244" s="41" t="n">
        <v>17.99</v>
      </c>
      <c r="I2244" s="43" t="n">
        <f aca="false">F2244*H2244</f>
        <v>67.1027</v>
      </c>
      <c r="J2244" s="43" t="n">
        <f aca="false">G2244*H2244*1.5</f>
        <v>0</v>
      </c>
      <c r="K2244" s="6" t="n">
        <v>11.19</v>
      </c>
      <c r="L2244" s="43" t="n">
        <f aca="false">K2244*'Chart of Accounts'!$E$68</f>
        <v>7.4973</v>
      </c>
      <c r="O2244" s="42" t="n">
        <f aca="false">I2244+J2244+L2244</f>
        <v>74.6</v>
      </c>
    </row>
    <row r="2245" customFormat="false" ht="15" hidden="false" customHeight="false" outlineLevel="0" collapsed="false">
      <c r="B2245" s="7" t="s">
        <v>10878</v>
      </c>
      <c r="C2245" s="39" t="n">
        <v>45797</v>
      </c>
      <c r="D2245" s="7" t="s">
        <v>203</v>
      </c>
      <c r="E2245" s="7" t="s">
        <v>158</v>
      </c>
      <c r="H2245" s="41" t="n">
        <v>49.43</v>
      </c>
      <c r="M2245" s="6" t="n">
        <v>1</v>
      </c>
      <c r="N2245" s="43" t="n">
        <f aca="false">M2245*H2245</f>
        <v>49.43</v>
      </c>
      <c r="O2245" s="42" t="n">
        <f aca="false">N2245</f>
        <v>49.43</v>
      </c>
    </row>
    <row r="2246" customFormat="false" ht="15" hidden="false" customHeight="false" outlineLevel="0" collapsed="false">
      <c r="B2246" s="7" t="s">
        <v>10879</v>
      </c>
      <c r="C2246" s="39" t="n">
        <v>45797</v>
      </c>
      <c r="D2246" s="7" t="s">
        <v>254</v>
      </c>
      <c r="E2246" s="7" t="s">
        <v>180</v>
      </c>
      <c r="F2246" s="6" t="n">
        <v>4.1</v>
      </c>
      <c r="G2246" s="6" t="n">
        <v>0</v>
      </c>
      <c r="H2246" s="41" t="n">
        <v>17.1</v>
      </c>
      <c r="I2246" s="43" t="n">
        <f aca="false">F2246*H2246</f>
        <v>70.11</v>
      </c>
      <c r="J2246" s="43" t="n">
        <f aca="false">G2246*H2246*1.5</f>
        <v>0</v>
      </c>
      <c r="K2246" s="6" t="n">
        <v>13.35</v>
      </c>
      <c r="L2246" s="43" t="n">
        <f aca="false">K2246*'Chart of Accounts'!$E$68</f>
        <v>8.9445</v>
      </c>
      <c r="O2246" s="42" t="n">
        <f aca="false">I2246+J2246+L2246</f>
        <v>79.0545</v>
      </c>
    </row>
    <row r="2247" customFormat="false" ht="15" hidden="false" customHeight="false" outlineLevel="0" collapsed="false">
      <c r="B2247" s="7" t="s">
        <v>10880</v>
      </c>
      <c r="C2247" s="39" t="n">
        <v>45797</v>
      </c>
      <c r="D2247" s="7" t="s">
        <v>260</v>
      </c>
      <c r="E2247" s="7" t="s">
        <v>158</v>
      </c>
      <c r="H2247" s="41" t="n">
        <v>79.8</v>
      </c>
      <c r="M2247" s="6" t="n">
        <v>1</v>
      </c>
      <c r="N2247" s="43" t="n">
        <f aca="false">M2247*H2247</f>
        <v>79.8</v>
      </c>
      <c r="O2247" s="42" t="n">
        <f aca="false">N2247</f>
        <v>79.8</v>
      </c>
    </row>
    <row r="2248" customFormat="false" ht="15" hidden="false" customHeight="false" outlineLevel="0" collapsed="false">
      <c r="B2248" s="7" t="s">
        <v>10881</v>
      </c>
      <c r="C2248" s="39" t="n">
        <v>45798</v>
      </c>
      <c r="D2248" s="7" t="s">
        <v>187</v>
      </c>
      <c r="E2248" s="7" t="s">
        <v>158</v>
      </c>
      <c r="H2248" s="41" t="n">
        <v>66.48</v>
      </c>
      <c r="M2248" s="6" t="n">
        <v>1</v>
      </c>
      <c r="N2248" s="43" t="n">
        <f aca="false">M2248*H2248</f>
        <v>66.48</v>
      </c>
      <c r="O2248" s="42" t="n">
        <f aca="false">N2248</f>
        <v>66.48</v>
      </c>
    </row>
    <row r="2249" customFormat="false" ht="15" hidden="false" customHeight="false" outlineLevel="0" collapsed="false">
      <c r="B2249" s="7" t="s">
        <v>10882</v>
      </c>
      <c r="C2249" s="39" t="n">
        <v>45798</v>
      </c>
      <c r="D2249" s="7" t="s">
        <v>228</v>
      </c>
      <c r="E2249" s="7" t="s">
        <v>158</v>
      </c>
      <c r="H2249" s="41" t="n">
        <v>51.07</v>
      </c>
      <c r="M2249" s="6" t="n">
        <v>1</v>
      </c>
      <c r="N2249" s="43" t="n">
        <f aca="false">M2249*H2249</f>
        <v>51.07</v>
      </c>
      <c r="O2249" s="42" t="n">
        <f aca="false">N2249</f>
        <v>51.07</v>
      </c>
    </row>
    <row r="2250" customFormat="false" ht="15" hidden="false" customHeight="false" outlineLevel="0" collapsed="false">
      <c r="B2250" s="7" t="s">
        <v>10883</v>
      </c>
      <c r="C2250" s="39" t="n">
        <v>45798</v>
      </c>
      <c r="D2250" s="7" t="s">
        <v>191</v>
      </c>
      <c r="E2250" s="7" t="s">
        <v>180</v>
      </c>
      <c r="F2250" s="6" t="n">
        <v>4.24</v>
      </c>
      <c r="G2250" s="6" t="n">
        <v>0</v>
      </c>
      <c r="H2250" s="41" t="n">
        <v>16.05</v>
      </c>
      <c r="I2250" s="43" t="n">
        <f aca="false">F2250*H2250</f>
        <v>68.052</v>
      </c>
      <c r="J2250" s="43" t="n">
        <f aca="false">G2250*H2250*1.5</f>
        <v>0</v>
      </c>
      <c r="K2250" s="6" t="n">
        <v>12.17</v>
      </c>
      <c r="L2250" s="43" t="n">
        <f aca="false">K2250*'Chart of Accounts'!$E$68</f>
        <v>8.1539</v>
      </c>
      <c r="O2250" s="42" t="n">
        <f aca="false">I2250+J2250+L2250</f>
        <v>76.2059</v>
      </c>
    </row>
    <row r="2251" customFormat="false" ht="15" hidden="false" customHeight="false" outlineLevel="0" collapsed="false">
      <c r="B2251" s="7" t="s">
        <v>10884</v>
      </c>
      <c r="C2251" s="39" t="n">
        <v>45798</v>
      </c>
      <c r="D2251" s="7" t="s">
        <v>194</v>
      </c>
      <c r="E2251" s="7" t="s">
        <v>180</v>
      </c>
      <c r="F2251" s="6" t="n">
        <v>8.28</v>
      </c>
      <c r="G2251" s="6" t="n">
        <v>0</v>
      </c>
      <c r="H2251" s="41" t="n">
        <v>16</v>
      </c>
      <c r="I2251" s="43" t="n">
        <f aca="false">F2251*H2251</f>
        <v>132.48</v>
      </c>
      <c r="J2251" s="43" t="n">
        <f aca="false">G2251*H2251*1.5</f>
        <v>0</v>
      </c>
      <c r="K2251" s="6" t="n">
        <v>28.46</v>
      </c>
      <c r="L2251" s="43" t="n">
        <f aca="false">K2251*'Chart of Accounts'!$E$68</f>
        <v>19.0682</v>
      </c>
      <c r="O2251" s="42" t="n">
        <f aca="false">I2251+J2251+L2251</f>
        <v>151.5482</v>
      </c>
    </row>
    <row r="2252" customFormat="false" ht="15" hidden="false" customHeight="false" outlineLevel="0" collapsed="false">
      <c r="B2252" s="7" t="s">
        <v>10885</v>
      </c>
      <c r="C2252" s="39" t="n">
        <v>45798</v>
      </c>
      <c r="D2252" s="7" t="s">
        <v>205</v>
      </c>
      <c r="E2252" s="7" t="s">
        <v>180</v>
      </c>
      <c r="F2252" s="6" t="n">
        <v>4.28</v>
      </c>
      <c r="G2252" s="6" t="n">
        <v>0</v>
      </c>
      <c r="H2252" s="41" t="n">
        <v>16.36</v>
      </c>
      <c r="I2252" s="43" t="n">
        <f aca="false">F2252*H2252</f>
        <v>70.0208</v>
      </c>
      <c r="J2252" s="43" t="n">
        <f aca="false">G2252*H2252*1.5</f>
        <v>0</v>
      </c>
      <c r="K2252" s="6" t="n">
        <v>14.48</v>
      </c>
      <c r="L2252" s="43" t="n">
        <f aca="false">K2252*'Chart of Accounts'!$E$68</f>
        <v>9.7016</v>
      </c>
      <c r="O2252" s="42" t="n">
        <f aca="false">I2252+J2252+L2252</f>
        <v>79.7224</v>
      </c>
    </row>
    <row r="2253" customFormat="false" ht="15" hidden="false" customHeight="false" outlineLevel="0" collapsed="false">
      <c r="B2253" s="7" t="s">
        <v>10886</v>
      </c>
      <c r="C2253" s="39" t="n">
        <v>45798</v>
      </c>
      <c r="D2253" s="7" t="s">
        <v>264</v>
      </c>
      <c r="E2253" s="7" t="s">
        <v>158</v>
      </c>
      <c r="H2253" s="41" t="n">
        <v>55.55</v>
      </c>
      <c r="M2253" s="6" t="n">
        <v>1</v>
      </c>
      <c r="N2253" s="43" t="n">
        <f aca="false">M2253*H2253</f>
        <v>55.55</v>
      </c>
      <c r="O2253" s="42" t="n">
        <f aca="false">N2253</f>
        <v>55.55</v>
      </c>
    </row>
    <row r="2254" customFormat="false" ht="15" hidden="false" customHeight="false" outlineLevel="0" collapsed="false">
      <c r="B2254" s="7" t="s">
        <v>10887</v>
      </c>
      <c r="C2254" s="39" t="n">
        <v>45798</v>
      </c>
      <c r="D2254" s="7" t="s">
        <v>252</v>
      </c>
      <c r="E2254" s="7" t="s">
        <v>158</v>
      </c>
      <c r="H2254" s="41" t="n">
        <v>57.54</v>
      </c>
      <c r="M2254" s="6" t="n">
        <v>1</v>
      </c>
      <c r="N2254" s="43" t="n">
        <f aca="false">M2254*H2254</f>
        <v>57.54</v>
      </c>
      <c r="O2254" s="42" t="n">
        <f aca="false">N2254</f>
        <v>57.54</v>
      </c>
    </row>
    <row r="2255" customFormat="false" ht="15" hidden="false" customHeight="false" outlineLevel="0" collapsed="false">
      <c r="B2255" s="7" t="s">
        <v>10888</v>
      </c>
      <c r="C2255" s="39" t="n">
        <v>45798</v>
      </c>
      <c r="D2255" s="7" t="s">
        <v>184</v>
      </c>
      <c r="E2255" s="7" t="s">
        <v>180</v>
      </c>
      <c r="F2255" s="6" t="n">
        <v>4.11</v>
      </c>
      <c r="G2255" s="6" t="n">
        <v>0</v>
      </c>
      <c r="H2255" s="41" t="n">
        <v>17.34</v>
      </c>
      <c r="I2255" s="43" t="n">
        <f aca="false">F2255*H2255</f>
        <v>71.2674</v>
      </c>
      <c r="J2255" s="43" t="n">
        <f aca="false">G2255*H2255*1.5</f>
        <v>0</v>
      </c>
      <c r="K2255" s="6" t="n">
        <v>9.77</v>
      </c>
      <c r="L2255" s="43" t="n">
        <f aca="false">K2255*'Chart of Accounts'!$E$68</f>
        <v>6.5459</v>
      </c>
      <c r="O2255" s="42" t="n">
        <f aca="false">I2255+J2255+L2255</f>
        <v>77.8133</v>
      </c>
    </row>
    <row r="2256" customFormat="false" ht="15" hidden="false" customHeight="false" outlineLevel="0" collapsed="false">
      <c r="B2256" s="7" t="s">
        <v>10889</v>
      </c>
      <c r="C2256" s="39" t="n">
        <v>45798</v>
      </c>
      <c r="D2256" s="7" t="s">
        <v>218</v>
      </c>
      <c r="E2256" s="7" t="s">
        <v>180</v>
      </c>
      <c r="F2256" s="6" t="n">
        <v>4.38</v>
      </c>
      <c r="G2256" s="6" t="n">
        <v>0</v>
      </c>
      <c r="H2256" s="41" t="n">
        <v>16.19</v>
      </c>
      <c r="I2256" s="43" t="n">
        <f aca="false">F2256*H2256</f>
        <v>70.9122</v>
      </c>
      <c r="J2256" s="43" t="n">
        <f aca="false">G2256*H2256*1.5</f>
        <v>0</v>
      </c>
      <c r="K2256" s="6" t="n">
        <v>10.28</v>
      </c>
      <c r="L2256" s="43" t="n">
        <f aca="false">K2256*'Chart of Accounts'!$E$68</f>
        <v>6.8876</v>
      </c>
      <c r="O2256" s="42" t="n">
        <f aca="false">I2256+J2256+L2256</f>
        <v>77.7998</v>
      </c>
    </row>
    <row r="2257" customFormat="false" ht="15" hidden="false" customHeight="false" outlineLevel="0" collapsed="false">
      <c r="B2257" s="7" t="s">
        <v>10890</v>
      </c>
      <c r="C2257" s="39" t="n">
        <v>45798</v>
      </c>
      <c r="D2257" s="7" t="s">
        <v>220</v>
      </c>
      <c r="E2257" s="7" t="s">
        <v>180</v>
      </c>
      <c r="F2257" s="6" t="n">
        <v>4.23</v>
      </c>
      <c r="G2257" s="6" t="n">
        <v>0</v>
      </c>
      <c r="H2257" s="41" t="n">
        <v>16.43</v>
      </c>
      <c r="I2257" s="43" t="n">
        <f aca="false">F2257*H2257</f>
        <v>69.4989</v>
      </c>
      <c r="J2257" s="43" t="n">
        <f aca="false">G2257*H2257*1.5</f>
        <v>0</v>
      </c>
      <c r="K2257" s="6" t="n">
        <v>14.67</v>
      </c>
      <c r="L2257" s="43" t="n">
        <f aca="false">K2257*'Chart of Accounts'!$E$68</f>
        <v>9.8289</v>
      </c>
      <c r="O2257" s="42" t="n">
        <f aca="false">I2257+J2257+L2257</f>
        <v>79.3278</v>
      </c>
    </row>
    <row r="2258" customFormat="false" ht="15" hidden="false" customHeight="false" outlineLevel="0" collapsed="false">
      <c r="B2258" s="7" t="s">
        <v>10891</v>
      </c>
      <c r="C2258" s="39" t="n">
        <v>45798</v>
      </c>
      <c r="D2258" s="7" t="s">
        <v>242</v>
      </c>
      <c r="E2258" s="7" t="s">
        <v>180</v>
      </c>
      <c r="F2258" s="6" t="n">
        <v>7.33</v>
      </c>
      <c r="G2258" s="6" t="n">
        <v>0</v>
      </c>
      <c r="H2258" s="41" t="n">
        <v>17.99</v>
      </c>
      <c r="I2258" s="43" t="n">
        <f aca="false">F2258*H2258</f>
        <v>131.8667</v>
      </c>
      <c r="J2258" s="43" t="n">
        <f aca="false">G2258*H2258*1.5</f>
        <v>0</v>
      </c>
      <c r="K2258" s="6" t="n">
        <v>19.5</v>
      </c>
      <c r="L2258" s="43" t="n">
        <f aca="false">K2258*'Chart of Accounts'!$E$68</f>
        <v>13.065</v>
      </c>
      <c r="O2258" s="42" t="n">
        <f aca="false">I2258+J2258+L2258</f>
        <v>144.9317</v>
      </c>
    </row>
    <row r="2259" customFormat="false" ht="15" hidden="false" customHeight="false" outlineLevel="0" collapsed="false">
      <c r="B2259" s="7" t="s">
        <v>10892</v>
      </c>
      <c r="C2259" s="39" t="n">
        <v>45798</v>
      </c>
      <c r="D2259" s="7" t="s">
        <v>254</v>
      </c>
      <c r="E2259" s="7" t="s">
        <v>180</v>
      </c>
      <c r="F2259" s="6" t="n">
        <v>7</v>
      </c>
      <c r="G2259" s="6" t="n">
        <v>0</v>
      </c>
      <c r="H2259" s="41" t="n">
        <v>17.1</v>
      </c>
      <c r="I2259" s="43" t="n">
        <f aca="false">F2259*H2259</f>
        <v>119.7</v>
      </c>
      <c r="J2259" s="43" t="n">
        <f aca="false">G2259*H2259*1.5</f>
        <v>0</v>
      </c>
      <c r="K2259" s="6" t="n">
        <v>19.26</v>
      </c>
      <c r="L2259" s="43" t="n">
        <f aca="false">K2259*'Chart of Accounts'!$E$68</f>
        <v>12.9042</v>
      </c>
      <c r="O2259" s="42" t="n">
        <f aca="false">I2259+J2259+L2259</f>
        <v>132.6042</v>
      </c>
    </row>
    <row r="2260" customFormat="false" ht="15" hidden="false" customHeight="false" outlineLevel="0" collapsed="false">
      <c r="B2260" s="7" t="s">
        <v>10893</v>
      </c>
      <c r="C2260" s="39" t="n">
        <v>45798</v>
      </c>
      <c r="D2260" s="7" t="s">
        <v>201</v>
      </c>
      <c r="E2260" s="7" t="s">
        <v>180</v>
      </c>
      <c r="F2260" s="6" t="n">
        <v>3.09</v>
      </c>
      <c r="G2260" s="6" t="n">
        <v>0</v>
      </c>
      <c r="H2260" s="41" t="n">
        <v>15.19</v>
      </c>
      <c r="I2260" s="43" t="n">
        <f aca="false">F2260*H2260</f>
        <v>46.9371</v>
      </c>
      <c r="J2260" s="43" t="n">
        <f aca="false">G2260*H2260*1.5</f>
        <v>0</v>
      </c>
      <c r="K2260" s="6" t="n">
        <v>7.01</v>
      </c>
      <c r="L2260" s="43" t="n">
        <f aca="false">K2260*'Chart of Accounts'!$E$68</f>
        <v>4.6967</v>
      </c>
      <c r="O2260" s="42" t="n">
        <f aca="false">I2260+J2260+L2260</f>
        <v>51.6338</v>
      </c>
    </row>
    <row r="2261" customFormat="false" ht="15" hidden="false" customHeight="false" outlineLevel="0" collapsed="false">
      <c r="B2261" s="7" t="s">
        <v>10894</v>
      </c>
      <c r="C2261" s="39" t="n">
        <v>45798</v>
      </c>
      <c r="D2261" s="7" t="s">
        <v>207</v>
      </c>
      <c r="E2261" s="7" t="s">
        <v>180</v>
      </c>
      <c r="F2261" s="6" t="n">
        <v>3.6</v>
      </c>
      <c r="G2261" s="6" t="n">
        <v>0</v>
      </c>
      <c r="H2261" s="41" t="n">
        <v>16.65</v>
      </c>
      <c r="I2261" s="43" t="n">
        <f aca="false">F2261*H2261</f>
        <v>59.94</v>
      </c>
      <c r="J2261" s="43" t="n">
        <f aca="false">G2261*H2261*1.5</f>
        <v>0</v>
      </c>
      <c r="K2261" s="6" t="n">
        <v>11.87</v>
      </c>
      <c r="L2261" s="43" t="n">
        <f aca="false">K2261*'Chart of Accounts'!$E$68</f>
        <v>7.9529</v>
      </c>
      <c r="O2261" s="42" t="n">
        <f aca="false">I2261+J2261+L2261</f>
        <v>67.8929</v>
      </c>
    </row>
    <row r="2262" customFormat="false" ht="15" hidden="false" customHeight="false" outlineLevel="0" collapsed="false">
      <c r="B2262" s="7" t="s">
        <v>10895</v>
      </c>
      <c r="C2262" s="39" t="n">
        <v>45798</v>
      </c>
      <c r="D2262" s="7" t="s">
        <v>232</v>
      </c>
      <c r="E2262" s="7" t="s">
        <v>180</v>
      </c>
      <c r="F2262" s="6" t="n">
        <v>4.35</v>
      </c>
      <c r="G2262" s="6" t="n">
        <v>0</v>
      </c>
      <c r="H2262" s="41" t="n">
        <v>16.17</v>
      </c>
      <c r="I2262" s="43" t="n">
        <f aca="false">F2262*H2262</f>
        <v>70.3395</v>
      </c>
      <c r="J2262" s="43" t="n">
        <f aca="false">G2262*H2262*1.5</f>
        <v>0</v>
      </c>
      <c r="K2262" s="6" t="n">
        <v>14.74</v>
      </c>
      <c r="L2262" s="43" t="n">
        <f aca="false">K2262*'Chart of Accounts'!$E$68</f>
        <v>9.8758</v>
      </c>
      <c r="O2262" s="42" t="n">
        <f aca="false">I2262+J2262+L2262</f>
        <v>80.2153</v>
      </c>
    </row>
    <row r="2263" customFormat="false" ht="15" hidden="false" customHeight="false" outlineLevel="0" collapsed="false">
      <c r="B2263" s="7" t="s">
        <v>10896</v>
      </c>
      <c r="C2263" s="39" t="n">
        <v>45798</v>
      </c>
      <c r="D2263" s="7" t="s">
        <v>224</v>
      </c>
      <c r="E2263" s="7" t="s">
        <v>180</v>
      </c>
      <c r="F2263" s="6" t="n">
        <v>4.78</v>
      </c>
      <c r="G2263" s="6" t="n">
        <v>0</v>
      </c>
      <c r="H2263" s="41" t="n">
        <v>14.93</v>
      </c>
      <c r="I2263" s="43" t="n">
        <f aca="false">F2263*H2263</f>
        <v>71.3654</v>
      </c>
      <c r="J2263" s="43" t="n">
        <f aca="false">G2263*H2263*1.5</f>
        <v>0</v>
      </c>
      <c r="K2263" s="6" t="n">
        <v>11.93</v>
      </c>
      <c r="L2263" s="43" t="n">
        <f aca="false">K2263*'Chart of Accounts'!$E$68</f>
        <v>7.9931</v>
      </c>
      <c r="O2263" s="42" t="n">
        <f aca="false">I2263+J2263+L2263</f>
        <v>79.3585</v>
      </c>
    </row>
    <row r="2264" customFormat="false" ht="15" hidden="false" customHeight="false" outlineLevel="0" collapsed="false">
      <c r="B2264" s="7" t="s">
        <v>10897</v>
      </c>
      <c r="C2264" s="39" t="n">
        <v>45798</v>
      </c>
      <c r="D2264" s="7" t="s">
        <v>238</v>
      </c>
      <c r="E2264" s="7" t="s">
        <v>180</v>
      </c>
      <c r="F2264" s="6" t="n">
        <v>3.77</v>
      </c>
      <c r="G2264" s="6" t="n">
        <v>0</v>
      </c>
      <c r="H2264" s="41" t="n">
        <v>15.85</v>
      </c>
      <c r="I2264" s="43" t="n">
        <f aca="false">F2264*H2264</f>
        <v>59.7545</v>
      </c>
      <c r="J2264" s="43" t="n">
        <f aca="false">G2264*H2264*1.5</f>
        <v>0</v>
      </c>
      <c r="K2264" s="6" t="n">
        <v>11.87</v>
      </c>
      <c r="L2264" s="43" t="n">
        <f aca="false">K2264*'Chart of Accounts'!$E$68</f>
        <v>7.9529</v>
      </c>
      <c r="O2264" s="42" t="n">
        <f aca="false">I2264+J2264+L2264</f>
        <v>67.7074</v>
      </c>
    </row>
    <row r="2265" customFormat="false" ht="15" hidden="false" customHeight="false" outlineLevel="0" collapsed="false">
      <c r="B2265" s="7" t="s">
        <v>10898</v>
      </c>
      <c r="C2265" s="39" t="n">
        <v>45798</v>
      </c>
      <c r="D2265" s="7" t="s">
        <v>246</v>
      </c>
      <c r="E2265" s="7" t="s">
        <v>180</v>
      </c>
      <c r="F2265" s="6" t="n">
        <v>4.17</v>
      </c>
      <c r="G2265" s="6" t="n">
        <v>0</v>
      </c>
      <c r="H2265" s="41" t="n">
        <v>16.48</v>
      </c>
      <c r="I2265" s="43" t="n">
        <f aca="false">F2265*H2265</f>
        <v>68.7216</v>
      </c>
      <c r="J2265" s="43" t="n">
        <f aca="false">G2265*H2265*1.5</f>
        <v>0</v>
      </c>
      <c r="K2265" s="6" t="n">
        <v>13.54</v>
      </c>
      <c r="L2265" s="43" t="n">
        <f aca="false">K2265*'Chart of Accounts'!$E$68</f>
        <v>9.0718</v>
      </c>
      <c r="O2265" s="42" t="n">
        <f aca="false">I2265+J2265+L2265</f>
        <v>77.7934</v>
      </c>
    </row>
    <row r="2266" customFormat="false" ht="15" hidden="false" customHeight="false" outlineLevel="0" collapsed="false">
      <c r="B2266" s="7" t="s">
        <v>10899</v>
      </c>
      <c r="C2266" s="39" t="n">
        <v>45798</v>
      </c>
      <c r="D2266" s="7" t="s">
        <v>222</v>
      </c>
      <c r="E2266" s="7" t="s">
        <v>180</v>
      </c>
      <c r="F2266" s="6" t="n">
        <v>4.39</v>
      </c>
      <c r="G2266" s="6" t="n">
        <v>0</v>
      </c>
      <c r="H2266" s="41" t="n">
        <v>17.84</v>
      </c>
      <c r="I2266" s="43" t="n">
        <f aca="false">F2266*H2266</f>
        <v>78.3176</v>
      </c>
      <c r="J2266" s="43" t="n">
        <f aca="false">G2266*H2266*1.5</f>
        <v>0</v>
      </c>
      <c r="K2266" s="6" t="n">
        <v>15.08</v>
      </c>
      <c r="L2266" s="43" t="n">
        <f aca="false">K2266*'Chart of Accounts'!$E$68</f>
        <v>10.1036</v>
      </c>
      <c r="O2266" s="42" t="n">
        <f aca="false">I2266+J2266+L2266</f>
        <v>88.4212</v>
      </c>
    </row>
    <row r="2267" customFormat="false" ht="15" hidden="false" customHeight="false" outlineLevel="0" collapsed="false">
      <c r="B2267" s="7" t="s">
        <v>10900</v>
      </c>
      <c r="C2267" s="39" t="n">
        <v>45798</v>
      </c>
      <c r="D2267" s="7" t="s">
        <v>203</v>
      </c>
      <c r="E2267" s="7" t="s">
        <v>158</v>
      </c>
      <c r="H2267" s="41" t="n">
        <v>49.43</v>
      </c>
      <c r="M2267" s="6" t="n">
        <v>1</v>
      </c>
      <c r="N2267" s="43" t="n">
        <f aca="false">M2267*H2267</f>
        <v>49.43</v>
      </c>
      <c r="O2267" s="42" t="n">
        <f aca="false">N2267</f>
        <v>49.43</v>
      </c>
    </row>
    <row r="2268" customFormat="false" ht="15" hidden="false" customHeight="false" outlineLevel="0" collapsed="false">
      <c r="B2268" s="7" t="s">
        <v>10901</v>
      </c>
      <c r="C2268" s="39" t="n">
        <v>45798</v>
      </c>
      <c r="D2268" s="7" t="s">
        <v>262</v>
      </c>
      <c r="E2268" s="7" t="s">
        <v>180</v>
      </c>
      <c r="F2268" s="6" t="n">
        <v>3.03</v>
      </c>
      <c r="G2268" s="6" t="n">
        <v>0</v>
      </c>
      <c r="H2268" s="41" t="n">
        <v>16.02</v>
      </c>
      <c r="I2268" s="43" t="n">
        <f aca="false">F2268*H2268</f>
        <v>48.5406</v>
      </c>
      <c r="J2268" s="43" t="n">
        <f aca="false">G2268*H2268*1.5</f>
        <v>0</v>
      </c>
      <c r="K2268" s="6" t="n">
        <v>9.54</v>
      </c>
      <c r="L2268" s="43" t="n">
        <f aca="false">K2268*'Chart of Accounts'!$E$68</f>
        <v>6.3918</v>
      </c>
      <c r="O2268" s="42" t="n">
        <f aca="false">I2268+J2268+L2268</f>
        <v>54.9324</v>
      </c>
    </row>
    <row r="2269" customFormat="false" ht="15" hidden="false" customHeight="false" outlineLevel="0" collapsed="false">
      <c r="B2269" s="7" t="s">
        <v>10902</v>
      </c>
      <c r="C2269" s="39" t="n">
        <v>45798</v>
      </c>
      <c r="D2269" s="7" t="s">
        <v>214</v>
      </c>
      <c r="E2269" s="7" t="s">
        <v>180</v>
      </c>
      <c r="F2269" s="6" t="n">
        <v>3.64</v>
      </c>
      <c r="G2269" s="6" t="n">
        <v>0</v>
      </c>
      <c r="H2269" s="41" t="n">
        <v>15.67</v>
      </c>
      <c r="I2269" s="43" t="n">
        <f aca="false">F2269*H2269</f>
        <v>57.0388</v>
      </c>
      <c r="J2269" s="43" t="n">
        <f aca="false">G2269*H2269*1.5</f>
        <v>0</v>
      </c>
      <c r="K2269" s="6" t="n">
        <v>12.51</v>
      </c>
      <c r="L2269" s="43" t="n">
        <f aca="false">K2269*'Chart of Accounts'!$E$68</f>
        <v>8.3817</v>
      </c>
      <c r="O2269" s="42" t="n">
        <f aca="false">I2269+J2269+L2269</f>
        <v>65.4205</v>
      </c>
    </row>
    <row r="2270" customFormat="false" ht="15" hidden="false" customHeight="false" outlineLevel="0" collapsed="false">
      <c r="B2270" s="7" t="s">
        <v>10903</v>
      </c>
      <c r="C2270" s="39" t="n">
        <v>45799</v>
      </c>
      <c r="D2270" s="7" t="s">
        <v>191</v>
      </c>
      <c r="E2270" s="7" t="s">
        <v>180</v>
      </c>
      <c r="F2270" s="6" t="n">
        <v>4.04</v>
      </c>
      <c r="G2270" s="6" t="n">
        <v>0</v>
      </c>
      <c r="H2270" s="41" t="n">
        <v>16.05</v>
      </c>
      <c r="I2270" s="43" t="n">
        <f aca="false">F2270*H2270</f>
        <v>64.842</v>
      </c>
      <c r="J2270" s="43" t="n">
        <f aca="false">G2270*H2270*1.5</f>
        <v>0</v>
      </c>
      <c r="K2270" s="6" t="n">
        <v>9.71</v>
      </c>
      <c r="L2270" s="43" t="n">
        <f aca="false">K2270*'Chart of Accounts'!$E$68</f>
        <v>6.5057</v>
      </c>
      <c r="O2270" s="42" t="n">
        <f aca="false">I2270+J2270+L2270</f>
        <v>71.3477</v>
      </c>
    </row>
    <row r="2271" customFormat="false" ht="15" hidden="false" customHeight="false" outlineLevel="0" collapsed="false">
      <c r="B2271" s="7" t="s">
        <v>10904</v>
      </c>
      <c r="C2271" s="39" t="n">
        <v>45799</v>
      </c>
      <c r="D2271" s="7" t="s">
        <v>201</v>
      </c>
      <c r="E2271" s="7" t="s">
        <v>180</v>
      </c>
      <c r="F2271" s="6" t="n">
        <v>5.82</v>
      </c>
      <c r="G2271" s="6" t="n">
        <v>0</v>
      </c>
      <c r="H2271" s="41" t="n">
        <v>15.19</v>
      </c>
      <c r="I2271" s="43" t="n">
        <f aca="false">F2271*H2271</f>
        <v>88.4058</v>
      </c>
      <c r="J2271" s="43" t="n">
        <f aca="false">G2271*H2271*1.5</f>
        <v>0</v>
      </c>
      <c r="K2271" s="6" t="n">
        <v>15.78</v>
      </c>
      <c r="L2271" s="43" t="n">
        <f aca="false">K2271*'Chart of Accounts'!$E$68</f>
        <v>10.5726</v>
      </c>
      <c r="O2271" s="42" t="n">
        <f aca="false">I2271+J2271+L2271</f>
        <v>98.9784</v>
      </c>
    </row>
    <row r="2272" customFormat="false" ht="15" hidden="false" customHeight="false" outlineLevel="0" collapsed="false">
      <c r="B2272" s="7" t="s">
        <v>10905</v>
      </c>
      <c r="C2272" s="39" t="n">
        <v>45799</v>
      </c>
      <c r="D2272" s="7" t="s">
        <v>196</v>
      </c>
      <c r="E2272" s="7" t="s">
        <v>180</v>
      </c>
      <c r="F2272" s="6" t="n">
        <v>6.24</v>
      </c>
      <c r="G2272" s="6" t="n">
        <v>0</v>
      </c>
      <c r="H2272" s="41" t="n">
        <v>15.05</v>
      </c>
      <c r="I2272" s="43" t="n">
        <f aca="false">F2272*H2272</f>
        <v>93.912</v>
      </c>
      <c r="J2272" s="43" t="n">
        <f aca="false">G2272*H2272*1.5</f>
        <v>0</v>
      </c>
      <c r="K2272" s="6" t="n">
        <v>19.34</v>
      </c>
      <c r="L2272" s="43" t="n">
        <f aca="false">K2272*'Chart of Accounts'!$E$68</f>
        <v>12.9578</v>
      </c>
      <c r="O2272" s="42" t="n">
        <f aca="false">I2272+J2272+L2272</f>
        <v>106.8698</v>
      </c>
    </row>
    <row r="2273" customFormat="false" ht="15" hidden="false" customHeight="false" outlineLevel="0" collapsed="false">
      <c r="B2273" s="7" t="s">
        <v>10906</v>
      </c>
      <c r="C2273" s="39" t="n">
        <v>45799</v>
      </c>
      <c r="D2273" s="7" t="s">
        <v>184</v>
      </c>
      <c r="E2273" s="7" t="s">
        <v>180</v>
      </c>
      <c r="F2273" s="6" t="n">
        <v>3.89</v>
      </c>
      <c r="G2273" s="6" t="n">
        <v>0</v>
      </c>
      <c r="H2273" s="41" t="n">
        <v>17.34</v>
      </c>
      <c r="I2273" s="43" t="n">
        <f aca="false">F2273*H2273</f>
        <v>67.4526</v>
      </c>
      <c r="J2273" s="43" t="n">
        <f aca="false">G2273*H2273*1.5</f>
        <v>0</v>
      </c>
      <c r="K2273" s="6" t="n">
        <v>13.7</v>
      </c>
      <c r="L2273" s="43" t="n">
        <f aca="false">K2273*'Chart of Accounts'!$E$68</f>
        <v>9.179</v>
      </c>
      <c r="O2273" s="42" t="n">
        <f aca="false">I2273+J2273+L2273</f>
        <v>76.6316</v>
      </c>
    </row>
    <row r="2274" customFormat="false" ht="15" hidden="false" customHeight="false" outlineLevel="0" collapsed="false">
      <c r="B2274" s="7" t="s">
        <v>10907</v>
      </c>
      <c r="C2274" s="39" t="n">
        <v>45799</v>
      </c>
      <c r="D2274" s="7" t="s">
        <v>207</v>
      </c>
      <c r="E2274" s="7" t="s">
        <v>180</v>
      </c>
      <c r="F2274" s="6" t="n">
        <v>3.16</v>
      </c>
      <c r="G2274" s="6" t="n">
        <v>0</v>
      </c>
      <c r="H2274" s="41" t="n">
        <v>16.65</v>
      </c>
      <c r="I2274" s="43" t="n">
        <f aca="false">F2274*H2274</f>
        <v>52.614</v>
      </c>
      <c r="J2274" s="43" t="n">
        <f aca="false">G2274*H2274*1.5</f>
        <v>0</v>
      </c>
      <c r="K2274" s="6" t="n">
        <v>10.76</v>
      </c>
      <c r="L2274" s="43" t="n">
        <f aca="false">K2274*'Chart of Accounts'!$E$68</f>
        <v>7.2092</v>
      </c>
      <c r="O2274" s="42" t="n">
        <f aca="false">I2274+J2274+L2274</f>
        <v>59.8232</v>
      </c>
    </row>
    <row r="2275" customFormat="false" ht="15" hidden="false" customHeight="false" outlineLevel="0" collapsed="false">
      <c r="B2275" s="7" t="s">
        <v>10908</v>
      </c>
      <c r="C2275" s="39" t="n">
        <v>45799</v>
      </c>
      <c r="D2275" s="7" t="s">
        <v>218</v>
      </c>
      <c r="E2275" s="7" t="s">
        <v>180</v>
      </c>
      <c r="F2275" s="6" t="n">
        <v>3.8</v>
      </c>
      <c r="G2275" s="6" t="n">
        <v>0</v>
      </c>
      <c r="H2275" s="41" t="n">
        <v>16.19</v>
      </c>
      <c r="I2275" s="43" t="n">
        <f aca="false">F2275*H2275</f>
        <v>61.522</v>
      </c>
      <c r="J2275" s="43" t="n">
        <f aca="false">G2275*H2275*1.5</f>
        <v>0</v>
      </c>
      <c r="K2275" s="6" t="n">
        <v>11.08</v>
      </c>
      <c r="L2275" s="43" t="n">
        <f aca="false">K2275*'Chart of Accounts'!$E$68</f>
        <v>7.4236</v>
      </c>
      <c r="O2275" s="42" t="n">
        <f aca="false">I2275+J2275+L2275</f>
        <v>68.9456</v>
      </c>
    </row>
    <row r="2276" customFormat="false" ht="15" hidden="false" customHeight="false" outlineLevel="0" collapsed="false">
      <c r="B2276" s="7" t="s">
        <v>10909</v>
      </c>
      <c r="C2276" s="39" t="n">
        <v>45799</v>
      </c>
      <c r="D2276" s="7" t="s">
        <v>212</v>
      </c>
      <c r="E2276" s="7" t="s">
        <v>180</v>
      </c>
      <c r="F2276" s="6" t="n">
        <v>6.58</v>
      </c>
      <c r="G2276" s="6" t="n">
        <v>0</v>
      </c>
      <c r="H2276" s="41" t="n">
        <v>16.71</v>
      </c>
      <c r="I2276" s="43" t="n">
        <f aca="false">F2276*H2276</f>
        <v>109.9518</v>
      </c>
      <c r="J2276" s="43" t="n">
        <f aca="false">G2276*H2276*1.5</f>
        <v>0</v>
      </c>
      <c r="K2276" s="6" t="n">
        <v>19.2</v>
      </c>
      <c r="L2276" s="43" t="n">
        <f aca="false">K2276*'Chart of Accounts'!$E$68</f>
        <v>12.864</v>
      </c>
      <c r="O2276" s="42" t="n">
        <f aca="false">I2276+J2276+L2276</f>
        <v>122.8158</v>
      </c>
    </row>
    <row r="2277" customFormat="false" ht="15" hidden="false" customHeight="false" outlineLevel="0" collapsed="false">
      <c r="B2277" s="7" t="s">
        <v>10910</v>
      </c>
      <c r="C2277" s="39" t="n">
        <v>45799</v>
      </c>
      <c r="D2277" s="7" t="s">
        <v>220</v>
      </c>
      <c r="E2277" s="7" t="s">
        <v>180</v>
      </c>
      <c r="F2277" s="6" t="n">
        <v>3.63</v>
      </c>
      <c r="G2277" s="6" t="n">
        <v>0</v>
      </c>
      <c r="H2277" s="41" t="n">
        <v>16.43</v>
      </c>
      <c r="I2277" s="43" t="n">
        <f aca="false">F2277*H2277</f>
        <v>59.6409</v>
      </c>
      <c r="J2277" s="43" t="n">
        <f aca="false">G2277*H2277*1.5</f>
        <v>0</v>
      </c>
      <c r="K2277" s="6" t="n">
        <v>8.52</v>
      </c>
      <c r="L2277" s="43" t="n">
        <f aca="false">K2277*'Chart of Accounts'!$E$68</f>
        <v>5.7084</v>
      </c>
      <c r="O2277" s="42" t="n">
        <f aca="false">I2277+J2277+L2277</f>
        <v>65.3493</v>
      </c>
    </row>
    <row r="2278" customFormat="false" ht="15" hidden="false" customHeight="false" outlineLevel="0" collapsed="false">
      <c r="B2278" s="7" t="s">
        <v>10911</v>
      </c>
      <c r="C2278" s="39" t="n">
        <v>45799</v>
      </c>
      <c r="D2278" s="7" t="s">
        <v>224</v>
      </c>
      <c r="E2278" s="7" t="s">
        <v>180</v>
      </c>
      <c r="F2278" s="6" t="n">
        <v>4.29</v>
      </c>
      <c r="G2278" s="6" t="n">
        <v>0</v>
      </c>
      <c r="H2278" s="41" t="n">
        <v>14.93</v>
      </c>
      <c r="I2278" s="43" t="n">
        <f aca="false">F2278*H2278</f>
        <v>64.0497</v>
      </c>
      <c r="J2278" s="43" t="n">
        <f aca="false">G2278*H2278*1.5</f>
        <v>0</v>
      </c>
      <c r="K2278" s="6" t="n">
        <v>14.08</v>
      </c>
      <c r="L2278" s="43" t="n">
        <f aca="false">K2278*'Chart of Accounts'!$E$68</f>
        <v>9.4336</v>
      </c>
      <c r="O2278" s="42" t="n">
        <f aca="false">I2278+J2278+L2278</f>
        <v>73.4833</v>
      </c>
    </row>
    <row r="2279" customFormat="false" ht="15" hidden="false" customHeight="false" outlineLevel="0" collapsed="false">
      <c r="B2279" s="7" t="s">
        <v>10912</v>
      </c>
      <c r="C2279" s="39" t="n">
        <v>45799</v>
      </c>
      <c r="D2279" s="7" t="s">
        <v>232</v>
      </c>
      <c r="E2279" s="7" t="s">
        <v>180</v>
      </c>
      <c r="F2279" s="6" t="n">
        <v>2.92</v>
      </c>
      <c r="G2279" s="6" t="n">
        <v>0</v>
      </c>
      <c r="H2279" s="41" t="n">
        <v>16.17</v>
      </c>
      <c r="I2279" s="43" t="n">
        <f aca="false">F2279*H2279</f>
        <v>47.2164</v>
      </c>
      <c r="J2279" s="43" t="n">
        <f aca="false">G2279*H2279*1.5</f>
        <v>0</v>
      </c>
      <c r="K2279" s="6" t="n">
        <v>7.48</v>
      </c>
      <c r="L2279" s="43" t="n">
        <f aca="false">K2279*'Chart of Accounts'!$E$68</f>
        <v>5.0116</v>
      </c>
      <c r="O2279" s="42" t="n">
        <f aca="false">I2279+J2279+L2279</f>
        <v>52.228</v>
      </c>
    </row>
    <row r="2280" customFormat="false" ht="15" hidden="false" customHeight="false" outlineLevel="0" collapsed="false">
      <c r="B2280" s="7" t="s">
        <v>10913</v>
      </c>
      <c r="C2280" s="39" t="n">
        <v>45799</v>
      </c>
      <c r="D2280" s="7" t="s">
        <v>222</v>
      </c>
      <c r="E2280" s="7" t="s">
        <v>180</v>
      </c>
      <c r="F2280" s="6" t="n">
        <v>7.26</v>
      </c>
      <c r="G2280" s="6" t="n">
        <v>0</v>
      </c>
      <c r="H2280" s="41" t="n">
        <v>17.84</v>
      </c>
      <c r="I2280" s="43" t="n">
        <f aca="false">F2280*H2280</f>
        <v>129.5184</v>
      </c>
      <c r="J2280" s="43" t="n">
        <f aca="false">G2280*H2280*1.5</f>
        <v>0</v>
      </c>
      <c r="K2280" s="6" t="n">
        <v>18.36</v>
      </c>
      <c r="L2280" s="43" t="n">
        <f aca="false">K2280*'Chart of Accounts'!$E$68</f>
        <v>12.3012</v>
      </c>
      <c r="O2280" s="42" t="n">
        <f aca="false">I2280+J2280+L2280</f>
        <v>141.8196</v>
      </c>
    </row>
    <row r="2281" customFormat="false" ht="15" hidden="false" customHeight="false" outlineLevel="0" collapsed="false">
      <c r="B2281" s="7" t="s">
        <v>10914</v>
      </c>
      <c r="C2281" s="39" t="n">
        <v>45799</v>
      </c>
      <c r="D2281" s="7" t="s">
        <v>262</v>
      </c>
      <c r="E2281" s="7" t="s">
        <v>180</v>
      </c>
      <c r="F2281" s="6" t="n">
        <v>3.81</v>
      </c>
      <c r="G2281" s="6" t="n">
        <v>0</v>
      </c>
      <c r="H2281" s="41" t="n">
        <v>16.02</v>
      </c>
      <c r="I2281" s="43" t="n">
        <f aca="false">F2281*H2281</f>
        <v>61.0362</v>
      </c>
      <c r="J2281" s="43" t="n">
        <f aca="false">G2281*H2281*1.5</f>
        <v>0</v>
      </c>
      <c r="K2281" s="6" t="n">
        <v>11.45</v>
      </c>
      <c r="L2281" s="43" t="n">
        <f aca="false">K2281*'Chart of Accounts'!$E$68</f>
        <v>7.6715</v>
      </c>
      <c r="O2281" s="42" t="n">
        <f aca="false">I2281+J2281+L2281</f>
        <v>68.7077</v>
      </c>
    </row>
    <row r="2282" customFormat="false" ht="15" hidden="false" customHeight="false" outlineLevel="0" collapsed="false">
      <c r="B2282" s="7" t="s">
        <v>10915</v>
      </c>
      <c r="C2282" s="39" t="n">
        <v>45799</v>
      </c>
      <c r="D2282" s="7" t="s">
        <v>246</v>
      </c>
      <c r="E2282" s="7" t="s">
        <v>180</v>
      </c>
      <c r="F2282" s="6" t="n">
        <v>7.95</v>
      </c>
      <c r="G2282" s="6" t="n">
        <v>0</v>
      </c>
      <c r="H2282" s="41" t="n">
        <v>16.48</v>
      </c>
      <c r="I2282" s="43" t="n">
        <f aca="false">F2282*H2282</f>
        <v>131.016</v>
      </c>
      <c r="J2282" s="43" t="n">
        <f aca="false">G2282*H2282*1.5</f>
        <v>0</v>
      </c>
      <c r="K2282" s="6" t="n">
        <v>21.9</v>
      </c>
      <c r="L2282" s="43" t="n">
        <f aca="false">K2282*'Chart of Accounts'!$E$68</f>
        <v>14.673</v>
      </c>
      <c r="O2282" s="42" t="n">
        <f aca="false">I2282+J2282+L2282</f>
        <v>145.689</v>
      </c>
    </row>
    <row r="2283" customFormat="false" ht="15" hidden="false" customHeight="false" outlineLevel="0" collapsed="false">
      <c r="B2283" s="7" t="s">
        <v>10916</v>
      </c>
      <c r="C2283" s="39" t="n">
        <v>45799</v>
      </c>
      <c r="D2283" s="7" t="s">
        <v>194</v>
      </c>
      <c r="E2283" s="7" t="s">
        <v>180</v>
      </c>
      <c r="F2283" s="6" t="n">
        <v>3.92</v>
      </c>
      <c r="G2283" s="6" t="n">
        <v>0</v>
      </c>
      <c r="H2283" s="41" t="n">
        <v>16</v>
      </c>
      <c r="I2283" s="43" t="n">
        <f aca="false">F2283*H2283</f>
        <v>62.72</v>
      </c>
      <c r="J2283" s="43" t="n">
        <f aca="false">G2283*H2283*1.5</f>
        <v>0</v>
      </c>
      <c r="K2283" s="6" t="n">
        <v>9.96</v>
      </c>
      <c r="L2283" s="43" t="n">
        <f aca="false">K2283*'Chart of Accounts'!$E$68</f>
        <v>6.6732</v>
      </c>
      <c r="O2283" s="42" t="n">
        <f aca="false">I2283+J2283+L2283</f>
        <v>69.3932</v>
      </c>
    </row>
    <row r="2284" customFormat="false" ht="15" hidden="false" customHeight="false" outlineLevel="0" collapsed="false">
      <c r="B2284" s="7" t="s">
        <v>10917</v>
      </c>
      <c r="C2284" s="39" t="n">
        <v>45799</v>
      </c>
      <c r="D2284" s="7" t="s">
        <v>214</v>
      </c>
      <c r="E2284" s="7" t="s">
        <v>180</v>
      </c>
      <c r="F2284" s="6" t="n">
        <v>4.11</v>
      </c>
      <c r="G2284" s="6" t="n">
        <v>0</v>
      </c>
      <c r="H2284" s="41" t="n">
        <v>15.67</v>
      </c>
      <c r="I2284" s="43" t="n">
        <f aca="false">F2284*H2284</f>
        <v>64.4037</v>
      </c>
      <c r="J2284" s="43" t="n">
        <f aca="false">G2284*H2284*1.5</f>
        <v>0</v>
      </c>
      <c r="K2284" s="6" t="n">
        <v>13.14</v>
      </c>
      <c r="L2284" s="43" t="n">
        <f aca="false">K2284*'Chart of Accounts'!$E$68</f>
        <v>8.8038</v>
      </c>
      <c r="O2284" s="42" t="n">
        <f aca="false">I2284+J2284+L2284</f>
        <v>73.2075</v>
      </c>
    </row>
    <row r="2285" customFormat="false" ht="15" hidden="false" customHeight="false" outlineLevel="0" collapsed="false">
      <c r="B2285" s="7" t="s">
        <v>10918</v>
      </c>
      <c r="C2285" s="39" t="n">
        <v>45799</v>
      </c>
      <c r="D2285" s="7" t="s">
        <v>242</v>
      </c>
      <c r="E2285" s="7" t="s">
        <v>180</v>
      </c>
      <c r="F2285" s="6" t="n">
        <v>3.86</v>
      </c>
      <c r="G2285" s="6" t="n">
        <v>0</v>
      </c>
      <c r="H2285" s="41" t="n">
        <v>17.99</v>
      </c>
      <c r="I2285" s="43" t="n">
        <f aca="false">F2285*H2285</f>
        <v>69.4414</v>
      </c>
      <c r="J2285" s="43" t="n">
        <f aca="false">G2285*H2285*1.5</f>
        <v>0</v>
      </c>
      <c r="K2285" s="6" t="n">
        <v>13.34</v>
      </c>
      <c r="L2285" s="43" t="n">
        <f aca="false">K2285*'Chart of Accounts'!$E$68</f>
        <v>8.9378</v>
      </c>
      <c r="O2285" s="42" t="n">
        <f aca="false">I2285+J2285+L2285</f>
        <v>78.3792</v>
      </c>
    </row>
    <row r="2286" customFormat="false" ht="15" hidden="false" customHeight="false" outlineLevel="0" collapsed="false">
      <c r="B2286" s="7" t="s">
        <v>10919</v>
      </c>
      <c r="C2286" s="39" t="n">
        <v>45799</v>
      </c>
      <c r="D2286" s="7" t="s">
        <v>254</v>
      </c>
      <c r="E2286" s="7" t="s">
        <v>180</v>
      </c>
      <c r="F2286" s="6" t="n">
        <v>3.99</v>
      </c>
      <c r="G2286" s="6" t="n">
        <v>0</v>
      </c>
      <c r="H2286" s="41" t="n">
        <v>17.1</v>
      </c>
      <c r="I2286" s="43" t="n">
        <f aca="false">F2286*H2286</f>
        <v>68.229</v>
      </c>
      <c r="J2286" s="43" t="n">
        <f aca="false">G2286*H2286*1.5</f>
        <v>0</v>
      </c>
      <c r="K2286" s="6" t="n">
        <v>8.83</v>
      </c>
      <c r="L2286" s="43" t="n">
        <f aca="false">K2286*'Chart of Accounts'!$E$68</f>
        <v>5.9161</v>
      </c>
      <c r="O2286" s="42" t="n">
        <f aca="false">I2286+J2286+L2286</f>
        <v>74.1451</v>
      </c>
    </row>
    <row r="2287" customFormat="false" ht="15" hidden="false" customHeight="false" outlineLevel="0" collapsed="false">
      <c r="B2287" s="7" t="s">
        <v>10920</v>
      </c>
      <c r="C2287" s="39" t="n">
        <v>45800</v>
      </c>
      <c r="D2287" s="7" t="s">
        <v>187</v>
      </c>
      <c r="E2287" s="7" t="s">
        <v>158</v>
      </c>
      <c r="H2287" s="41" t="n">
        <v>66.48</v>
      </c>
      <c r="M2287" s="6" t="n">
        <v>1</v>
      </c>
      <c r="N2287" s="43" t="n">
        <f aca="false">M2287*H2287</f>
        <v>66.48</v>
      </c>
      <c r="O2287" s="42" t="n">
        <f aca="false">N2287</f>
        <v>66.48</v>
      </c>
    </row>
    <row r="2288" customFormat="false" ht="15" hidden="false" customHeight="false" outlineLevel="0" collapsed="false">
      <c r="B2288" s="7" t="s">
        <v>10921</v>
      </c>
      <c r="C2288" s="39" t="n">
        <v>45800</v>
      </c>
      <c r="D2288" s="7" t="s">
        <v>191</v>
      </c>
      <c r="E2288" s="7" t="s">
        <v>180</v>
      </c>
      <c r="F2288" s="6" t="n">
        <v>3.98</v>
      </c>
      <c r="G2288" s="6" t="n">
        <v>0</v>
      </c>
      <c r="H2288" s="41" t="n">
        <v>16.05</v>
      </c>
      <c r="I2288" s="43" t="n">
        <f aca="false">F2288*H2288</f>
        <v>63.879</v>
      </c>
      <c r="J2288" s="43" t="n">
        <f aca="false">G2288*H2288*1.5</f>
        <v>0</v>
      </c>
      <c r="K2288" s="6" t="n">
        <v>8.78</v>
      </c>
      <c r="L2288" s="43" t="n">
        <f aca="false">K2288*'Chart of Accounts'!$E$68</f>
        <v>5.8826</v>
      </c>
      <c r="O2288" s="42" t="n">
        <f aca="false">I2288+J2288+L2288</f>
        <v>69.7616</v>
      </c>
    </row>
    <row r="2289" customFormat="false" ht="15" hidden="false" customHeight="false" outlineLevel="0" collapsed="false">
      <c r="B2289" s="7" t="s">
        <v>10922</v>
      </c>
      <c r="C2289" s="39" t="n">
        <v>45800</v>
      </c>
      <c r="D2289" s="7" t="s">
        <v>194</v>
      </c>
      <c r="E2289" s="7" t="s">
        <v>180</v>
      </c>
      <c r="F2289" s="6" t="n">
        <v>8.37</v>
      </c>
      <c r="G2289" s="6" t="n">
        <v>0</v>
      </c>
      <c r="H2289" s="41" t="n">
        <v>16</v>
      </c>
      <c r="I2289" s="43" t="n">
        <f aca="false">F2289*H2289</f>
        <v>133.92</v>
      </c>
      <c r="J2289" s="43" t="n">
        <f aca="false">G2289*H2289*1.5</f>
        <v>0</v>
      </c>
      <c r="K2289" s="6" t="n">
        <v>21.19</v>
      </c>
      <c r="L2289" s="43" t="n">
        <f aca="false">K2289*'Chart of Accounts'!$E$68</f>
        <v>14.1973</v>
      </c>
      <c r="O2289" s="42" t="n">
        <f aca="false">I2289+J2289+L2289</f>
        <v>148.1173</v>
      </c>
    </row>
    <row r="2290" customFormat="false" ht="15" hidden="false" customHeight="false" outlineLevel="0" collapsed="false">
      <c r="B2290" s="7" t="s">
        <v>10923</v>
      </c>
      <c r="C2290" s="39" t="n">
        <v>45800</v>
      </c>
      <c r="D2290" s="7" t="s">
        <v>209</v>
      </c>
      <c r="E2290" s="7" t="s">
        <v>158</v>
      </c>
      <c r="H2290" s="41" t="n">
        <v>73.58</v>
      </c>
      <c r="M2290" s="6" t="n">
        <v>2</v>
      </c>
      <c r="N2290" s="43" t="n">
        <f aca="false">M2290*H2290</f>
        <v>147.16</v>
      </c>
      <c r="O2290" s="42" t="n">
        <f aca="false">N2290</f>
        <v>147.16</v>
      </c>
    </row>
    <row r="2291" customFormat="false" ht="15" hidden="false" customHeight="false" outlineLevel="0" collapsed="false">
      <c r="B2291" s="7" t="s">
        <v>10924</v>
      </c>
      <c r="C2291" s="39" t="n">
        <v>45800</v>
      </c>
      <c r="D2291" s="7" t="s">
        <v>205</v>
      </c>
      <c r="E2291" s="7" t="s">
        <v>180</v>
      </c>
      <c r="F2291" s="6" t="n">
        <v>3.98</v>
      </c>
      <c r="G2291" s="6" t="n">
        <v>0</v>
      </c>
      <c r="H2291" s="41" t="n">
        <v>16.36</v>
      </c>
      <c r="I2291" s="43" t="n">
        <f aca="false">F2291*H2291</f>
        <v>65.1128</v>
      </c>
      <c r="J2291" s="43" t="n">
        <f aca="false">G2291*H2291*1.5</f>
        <v>0</v>
      </c>
      <c r="K2291" s="6" t="n">
        <v>12.03</v>
      </c>
      <c r="L2291" s="43" t="n">
        <f aca="false">K2291*'Chart of Accounts'!$E$68</f>
        <v>8.0601</v>
      </c>
      <c r="O2291" s="42" t="n">
        <f aca="false">I2291+J2291+L2291</f>
        <v>73.1729</v>
      </c>
    </row>
    <row r="2292" customFormat="false" ht="15" hidden="false" customHeight="false" outlineLevel="0" collapsed="false">
      <c r="B2292" s="7" t="s">
        <v>10925</v>
      </c>
      <c r="C2292" s="39" t="n">
        <v>45800</v>
      </c>
      <c r="D2292" s="7" t="s">
        <v>264</v>
      </c>
      <c r="E2292" s="7" t="s">
        <v>158</v>
      </c>
      <c r="H2292" s="41" t="n">
        <v>55.55</v>
      </c>
      <c r="M2292" s="6" t="n">
        <v>1</v>
      </c>
      <c r="N2292" s="43" t="n">
        <f aca="false">M2292*H2292</f>
        <v>55.55</v>
      </c>
      <c r="O2292" s="42" t="n">
        <f aca="false">N2292</f>
        <v>55.55</v>
      </c>
    </row>
    <row r="2293" customFormat="false" ht="15" hidden="false" customHeight="false" outlineLevel="0" collapsed="false">
      <c r="B2293" s="7" t="s">
        <v>10926</v>
      </c>
      <c r="C2293" s="39" t="n">
        <v>45800</v>
      </c>
      <c r="D2293" s="7" t="s">
        <v>252</v>
      </c>
      <c r="E2293" s="7" t="s">
        <v>158</v>
      </c>
      <c r="H2293" s="41" t="n">
        <v>57.54</v>
      </c>
      <c r="M2293" s="6" t="n">
        <v>1</v>
      </c>
      <c r="N2293" s="43" t="n">
        <f aca="false">M2293*H2293</f>
        <v>57.54</v>
      </c>
      <c r="O2293" s="42" t="n">
        <f aca="false">N2293</f>
        <v>57.54</v>
      </c>
    </row>
    <row r="2294" customFormat="false" ht="15" hidden="false" customHeight="false" outlineLevel="0" collapsed="false">
      <c r="B2294" s="7" t="s">
        <v>10927</v>
      </c>
      <c r="C2294" s="39" t="n">
        <v>45800</v>
      </c>
      <c r="D2294" s="7" t="s">
        <v>184</v>
      </c>
      <c r="E2294" s="7" t="s">
        <v>180</v>
      </c>
      <c r="F2294" s="6" t="n">
        <v>3.92</v>
      </c>
      <c r="G2294" s="6" t="n">
        <v>0</v>
      </c>
      <c r="H2294" s="41" t="n">
        <v>17.34</v>
      </c>
      <c r="I2294" s="43" t="n">
        <f aca="false">F2294*H2294</f>
        <v>67.9728</v>
      </c>
      <c r="J2294" s="43" t="n">
        <f aca="false">G2294*H2294*1.5</f>
        <v>0</v>
      </c>
      <c r="K2294" s="6" t="n">
        <v>12</v>
      </c>
      <c r="L2294" s="43" t="n">
        <f aca="false">K2294*'Chart of Accounts'!$E$68</f>
        <v>8.04</v>
      </c>
      <c r="O2294" s="42" t="n">
        <f aca="false">I2294+J2294+L2294</f>
        <v>76.0128</v>
      </c>
    </row>
    <row r="2295" customFormat="false" ht="15" hidden="false" customHeight="false" outlineLevel="0" collapsed="false">
      <c r="B2295" s="7" t="s">
        <v>10928</v>
      </c>
      <c r="C2295" s="39" t="n">
        <v>45800</v>
      </c>
      <c r="D2295" s="7" t="s">
        <v>234</v>
      </c>
      <c r="E2295" s="7" t="s">
        <v>158</v>
      </c>
      <c r="H2295" s="41" t="n">
        <v>89.53</v>
      </c>
      <c r="M2295" s="6" t="n">
        <v>2</v>
      </c>
      <c r="N2295" s="43" t="n">
        <f aca="false">M2295*H2295</f>
        <v>179.06</v>
      </c>
      <c r="O2295" s="42" t="n">
        <f aca="false">N2295</f>
        <v>179.06</v>
      </c>
    </row>
    <row r="2296" customFormat="false" ht="15" hidden="false" customHeight="false" outlineLevel="0" collapsed="false">
      <c r="B2296" s="7" t="s">
        <v>10929</v>
      </c>
      <c r="C2296" s="39" t="n">
        <v>45800</v>
      </c>
      <c r="D2296" s="7" t="s">
        <v>218</v>
      </c>
      <c r="E2296" s="7" t="s">
        <v>180</v>
      </c>
      <c r="F2296" s="6" t="n">
        <v>3.81</v>
      </c>
      <c r="G2296" s="6" t="n">
        <v>0</v>
      </c>
      <c r="H2296" s="41" t="n">
        <v>16.19</v>
      </c>
      <c r="I2296" s="43" t="n">
        <f aca="false">F2296*H2296</f>
        <v>61.6839</v>
      </c>
      <c r="J2296" s="43" t="n">
        <f aca="false">G2296*H2296*1.5</f>
        <v>0</v>
      </c>
      <c r="K2296" s="6" t="n">
        <v>13.61</v>
      </c>
      <c r="L2296" s="43" t="n">
        <f aca="false">K2296*'Chart of Accounts'!$E$68</f>
        <v>9.1187</v>
      </c>
      <c r="O2296" s="42" t="n">
        <f aca="false">I2296+J2296+L2296</f>
        <v>70.8026</v>
      </c>
    </row>
    <row r="2297" customFormat="false" ht="15" hidden="false" customHeight="false" outlineLevel="0" collapsed="false">
      <c r="B2297" s="7" t="s">
        <v>10930</v>
      </c>
      <c r="C2297" s="39" t="n">
        <v>45800</v>
      </c>
      <c r="D2297" s="7" t="s">
        <v>266</v>
      </c>
      <c r="E2297" s="7" t="s">
        <v>158</v>
      </c>
      <c r="H2297" s="41" t="n">
        <v>75.18</v>
      </c>
      <c r="M2297" s="6" t="n">
        <v>1</v>
      </c>
      <c r="N2297" s="43" t="n">
        <f aca="false">M2297*H2297</f>
        <v>75.18</v>
      </c>
      <c r="O2297" s="42" t="n">
        <f aca="false">N2297</f>
        <v>75.18</v>
      </c>
    </row>
    <row r="2298" customFormat="false" ht="15" hidden="false" customHeight="false" outlineLevel="0" collapsed="false">
      <c r="B2298" s="7" t="s">
        <v>10931</v>
      </c>
      <c r="C2298" s="39" t="n">
        <v>45800</v>
      </c>
      <c r="D2298" s="7" t="s">
        <v>228</v>
      </c>
      <c r="E2298" s="7" t="s">
        <v>158</v>
      </c>
      <c r="H2298" s="41" t="n">
        <v>51.07</v>
      </c>
      <c r="M2298" s="6" t="n">
        <v>1</v>
      </c>
      <c r="N2298" s="43" t="n">
        <f aca="false">M2298*H2298</f>
        <v>51.07</v>
      </c>
      <c r="O2298" s="42" t="n">
        <f aca="false">N2298</f>
        <v>51.07</v>
      </c>
    </row>
    <row r="2299" customFormat="false" ht="15" hidden="false" customHeight="false" outlineLevel="0" collapsed="false">
      <c r="B2299" s="7" t="s">
        <v>10932</v>
      </c>
      <c r="C2299" s="39" t="n">
        <v>45800</v>
      </c>
      <c r="D2299" s="7" t="s">
        <v>220</v>
      </c>
      <c r="E2299" s="7" t="s">
        <v>180</v>
      </c>
      <c r="F2299" s="6" t="n">
        <v>3.98</v>
      </c>
      <c r="G2299" s="6" t="n">
        <v>0</v>
      </c>
      <c r="H2299" s="41" t="n">
        <v>16.43</v>
      </c>
      <c r="I2299" s="43" t="n">
        <f aca="false">F2299*H2299</f>
        <v>65.3914</v>
      </c>
      <c r="J2299" s="43" t="n">
        <f aca="false">G2299*H2299*1.5</f>
        <v>0</v>
      </c>
      <c r="K2299" s="6" t="n">
        <v>13.49</v>
      </c>
      <c r="L2299" s="43" t="n">
        <f aca="false">K2299*'Chart of Accounts'!$E$68</f>
        <v>9.0383</v>
      </c>
      <c r="O2299" s="42" t="n">
        <f aca="false">I2299+J2299+L2299</f>
        <v>74.4297</v>
      </c>
    </row>
    <row r="2300" customFormat="false" ht="15" hidden="false" customHeight="false" outlineLevel="0" collapsed="false">
      <c r="B2300" s="7" t="s">
        <v>10933</v>
      </c>
      <c r="C2300" s="39" t="n">
        <v>45800</v>
      </c>
      <c r="D2300" s="7" t="s">
        <v>177</v>
      </c>
      <c r="E2300" s="7" t="s">
        <v>180</v>
      </c>
      <c r="F2300" s="6" t="n">
        <v>8.77</v>
      </c>
      <c r="G2300" s="6" t="n">
        <v>0</v>
      </c>
      <c r="H2300" s="41" t="n">
        <v>14.56</v>
      </c>
      <c r="I2300" s="43" t="n">
        <f aca="false">F2300*H2300</f>
        <v>127.6912</v>
      </c>
      <c r="J2300" s="43" t="n">
        <f aca="false">G2300*H2300*1.5</f>
        <v>0</v>
      </c>
      <c r="K2300" s="6" t="n">
        <v>30.87</v>
      </c>
      <c r="L2300" s="43" t="n">
        <f aca="false">K2300*'Chart of Accounts'!$E$68</f>
        <v>20.6829</v>
      </c>
      <c r="O2300" s="42" t="n">
        <f aca="false">I2300+J2300+L2300</f>
        <v>148.3741</v>
      </c>
    </row>
    <row r="2301" customFormat="false" ht="15" hidden="false" customHeight="false" outlineLevel="0" collapsed="false">
      <c r="B2301" s="7" t="s">
        <v>10934</v>
      </c>
      <c r="C2301" s="39" t="n">
        <v>45800</v>
      </c>
      <c r="D2301" s="7" t="s">
        <v>254</v>
      </c>
      <c r="E2301" s="7" t="s">
        <v>180</v>
      </c>
      <c r="F2301" s="6" t="n">
        <v>7.39</v>
      </c>
      <c r="G2301" s="6" t="n">
        <v>0</v>
      </c>
      <c r="H2301" s="41" t="n">
        <v>17.1</v>
      </c>
      <c r="I2301" s="43" t="n">
        <f aca="false">F2301*H2301</f>
        <v>126.369</v>
      </c>
      <c r="J2301" s="43" t="n">
        <f aca="false">G2301*H2301*1.5</f>
        <v>0</v>
      </c>
      <c r="K2301" s="6" t="n">
        <v>23.02</v>
      </c>
      <c r="L2301" s="43" t="n">
        <f aca="false">K2301*'Chart of Accounts'!$E$68</f>
        <v>15.4234</v>
      </c>
      <c r="O2301" s="42" t="n">
        <f aca="false">I2301+J2301+L2301</f>
        <v>141.7924</v>
      </c>
    </row>
    <row r="2302" customFormat="false" ht="15" hidden="false" customHeight="false" outlineLevel="0" collapsed="false">
      <c r="B2302" s="7" t="s">
        <v>10935</v>
      </c>
      <c r="C2302" s="39" t="n">
        <v>45800</v>
      </c>
      <c r="D2302" s="7" t="s">
        <v>201</v>
      </c>
      <c r="E2302" s="7" t="s">
        <v>180</v>
      </c>
      <c r="F2302" s="6" t="n">
        <v>3.1</v>
      </c>
      <c r="G2302" s="6" t="n">
        <v>0</v>
      </c>
      <c r="H2302" s="41" t="n">
        <v>15.19</v>
      </c>
      <c r="I2302" s="43" t="n">
        <f aca="false">F2302*H2302</f>
        <v>47.089</v>
      </c>
      <c r="J2302" s="43" t="n">
        <f aca="false">G2302*H2302*1.5</f>
        <v>0</v>
      </c>
      <c r="K2302" s="6" t="n">
        <v>8.11</v>
      </c>
      <c r="L2302" s="43" t="n">
        <f aca="false">K2302*'Chart of Accounts'!$E$68</f>
        <v>5.4337</v>
      </c>
      <c r="O2302" s="42" t="n">
        <f aca="false">I2302+J2302+L2302</f>
        <v>52.5227</v>
      </c>
    </row>
    <row r="2303" customFormat="false" ht="15" hidden="false" customHeight="false" outlineLevel="0" collapsed="false">
      <c r="B2303" s="7" t="s">
        <v>10936</v>
      </c>
      <c r="C2303" s="39" t="n">
        <v>45800</v>
      </c>
      <c r="D2303" s="7" t="s">
        <v>207</v>
      </c>
      <c r="E2303" s="7" t="s">
        <v>180</v>
      </c>
      <c r="F2303" s="6" t="n">
        <v>3.49</v>
      </c>
      <c r="G2303" s="6" t="n">
        <v>0</v>
      </c>
      <c r="H2303" s="41" t="n">
        <v>16.65</v>
      </c>
      <c r="I2303" s="43" t="n">
        <f aca="false">F2303*H2303</f>
        <v>58.1085</v>
      </c>
      <c r="J2303" s="43" t="n">
        <f aca="false">G2303*H2303*1.5</f>
        <v>0</v>
      </c>
      <c r="K2303" s="6" t="n">
        <v>9.03</v>
      </c>
      <c r="L2303" s="43" t="n">
        <f aca="false">K2303*'Chart of Accounts'!$E$68</f>
        <v>6.0501</v>
      </c>
      <c r="O2303" s="42" t="n">
        <f aca="false">I2303+J2303+L2303</f>
        <v>64.1586</v>
      </c>
    </row>
    <row r="2304" customFormat="false" ht="15" hidden="false" customHeight="false" outlineLevel="0" collapsed="false">
      <c r="B2304" s="7" t="s">
        <v>10937</v>
      </c>
      <c r="C2304" s="39" t="n">
        <v>45800</v>
      </c>
      <c r="D2304" s="7" t="s">
        <v>212</v>
      </c>
      <c r="E2304" s="7" t="s">
        <v>180</v>
      </c>
      <c r="F2304" s="6" t="n">
        <v>3.61</v>
      </c>
      <c r="G2304" s="6" t="n">
        <v>0</v>
      </c>
      <c r="H2304" s="41" t="n">
        <v>16.71</v>
      </c>
      <c r="I2304" s="43" t="n">
        <f aca="false">F2304*H2304</f>
        <v>60.3231</v>
      </c>
      <c r="J2304" s="43" t="n">
        <f aca="false">G2304*H2304*1.5</f>
        <v>0</v>
      </c>
      <c r="K2304" s="6" t="n">
        <v>10.28</v>
      </c>
      <c r="L2304" s="43" t="n">
        <f aca="false">K2304*'Chart of Accounts'!$E$68</f>
        <v>6.8876</v>
      </c>
      <c r="O2304" s="42" t="n">
        <f aca="false">I2304+J2304+L2304</f>
        <v>67.2107</v>
      </c>
    </row>
    <row r="2305" customFormat="false" ht="15" hidden="false" customHeight="false" outlineLevel="0" collapsed="false">
      <c r="B2305" s="7" t="s">
        <v>10938</v>
      </c>
      <c r="C2305" s="39" t="n">
        <v>45800</v>
      </c>
      <c r="D2305" s="7" t="s">
        <v>232</v>
      </c>
      <c r="E2305" s="7" t="s">
        <v>180</v>
      </c>
      <c r="F2305" s="6" t="n">
        <v>5.12</v>
      </c>
      <c r="G2305" s="6" t="n">
        <v>0</v>
      </c>
      <c r="H2305" s="41" t="n">
        <v>16.17</v>
      </c>
      <c r="I2305" s="43" t="n">
        <f aca="false">F2305*H2305</f>
        <v>82.7904</v>
      </c>
      <c r="J2305" s="43" t="n">
        <f aca="false">G2305*H2305*1.5</f>
        <v>0</v>
      </c>
      <c r="K2305" s="6" t="n">
        <v>17.72</v>
      </c>
      <c r="L2305" s="43" t="n">
        <f aca="false">K2305*'Chart of Accounts'!$E$68</f>
        <v>11.8724</v>
      </c>
      <c r="O2305" s="42" t="n">
        <f aca="false">I2305+J2305+L2305</f>
        <v>94.6628</v>
      </c>
    </row>
    <row r="2306" customFormat="false" ht="15" hidden="false" customHeight="false" outlineLevel="0" collapsed="false">
      <c r="B2306" s="7" t="s">
        <v>10939</v>
      </c>
      <c r="C2306" s="39" t="n">
        <v>45800</v>
      </c>
      <c r="D2306" s="7" t="s">
        <v>224</v>
      </c>
      <c r="E2306" s="7" t="s">
        <v>180</v>
      </c>
      <c r="F2306" s="6" t="n">
        <v>4.79</v>
      </c>
      <c r="G2306" s="6" t="n">
        <v>0</v>
      </c>
      <c r="H2306" s="41" t="n">
        <v>14.93</v>
      </c>
      <c r="I2306" s="43" t="n">
        <f aca="false">F2306*H2306</f>
        <v>71.5147</v>
      </c>
      <c r="J2306" s="43" t="n">
        <f aca="false">G2306*H2306*1.5</f>
        <v>0</v>
      </c>
      <c r="K2306" s="6" t="n">
        <v>14.96</v>
      </c>
      <c r="L2306" s="43" t="n">
        <f aca="false">K2306*'Chart of Accounts'!$E$68</f>
        <v>10.0232</v>
      </c>
      <c r="O2306" s="42" t="n">
        <f aca="false">I2306+J2306+L2306</f>
        <v>81.5379</v>
      </c>
    </row>
    <row r="2307" customFormat="false" ht="15" hidden="false" customHeight="false" outlineLevel="0" collapsed="false">
      <c r="B2307" s="7" t="s">
        <v>10940</v>
      </c>
      <c r="C2307" s="39" t="n">
        <v>45800</v>
      </c>
      <c r="D2307" s="7" t="s">
        <v>238</v>
      </c>
      <c r="E2307" s="7" t="s">
        <v>180</v>
      </c>
      <c r="F2307" s="6" t="n">
        <v>4.16</v>
      </c>
      <c r="G2307" s="6" t="n">
        <v>0</v>
      </c>
      <c r="H2307" s="41" t="n">
        <v>15.85</v>
      </c>
      <c r="I2307" s="43" t="n">
        <f aca="false">F2307*H2307</f>
        <v>65.936</v>
      </c>
      <c r="J2307" s="43" t="n">
        <f aca="false">G2307*H2307*1.5</f>
        <v>0</v>
      </c>
      <c r="K2307" s="6" t="n">
        <v>14.22</v>
      </c>
      <c r="L2307" s="43" t="n">
        <f aca="false">K2307*'Chart of Accounts'!$E$68</f>
        <v>9.5274</v>
      </c>
      <c r="O2307" s="42" t="n">
        <f aca="false">I2307+J2307+L2307</f>
        <v>75.4634</v>
      </c>
    </row>
    <row r="2308" customFormat="false" ht="15" hidden="false" customHeight="false" outlineLevel="0" collapsed="false">
      <c r="B2308" s="7" t="s">
        <v>10941</v>
      </c>
      <c r="C2308" s="39" t="n">
        <v>45800</v>
      </c>
      <c r="D2308" s="7" t="s">
        <v>246</v>
      </c>
      <c r="E2308" s="7" t="s">
        <v>180</v>
      </c>
      <c r="F2308" s="6" t="n">
        <v>3.77</v>
      </c>
      <c r="G2308" s="6" t="n">
        <v>0</v>
      </c>
      <c r="H2308" s="41" t="n">
        <v>16.48</v>
      </c>
      <c r="I2308" s="43" t="n">
        <f aca="false">F2308*H2308</f>
        <v>62.1296</v>
      </c>
      <c r="J2308" s="43" t="n">
        <f aca="false">G2308*H2308*1.5</f>
        <v>0</v>
      </c>
      <c r="K2308" s="6" t="n">
        <v>9.93</v>
      </c>
      <c r="L2308" s="43" t="n">
        <f aca="false">K2308*'Chart of Accounts'!$E$68</f>
        <v>6.6531</v>
      </c>
      <c r="O2308" s="42" t="n">
        <f aca="false">I2308+J2308+L2308</f>
        <v>68.7827</v>
      </c>
    </row>
    <row r="2309" customFormat="false" ht="15" hidden="false" customHeight="false" outlineLevel="0" collapsed="false">
      <c r="B2309" s="7" t="s">
        <v>10942</v>
      </c>
      <c r="C2309" s="39" t="n">
        <v>45800</v>
      </c>
      <c r="D2309" s="7" t="s">
        <v>222</v>
      </c>
      <c r="E2309" s="7" t="s">
        <v>180</v>
      </c>
      <c r="F2309" s="6" t="n">
        <v>4.14</v>
      </c>
      <c r="G2309" s="6" t="n">
        <v>0</v>
      </c>
      <c r="H2309" s="41" t="n">
        <v>17.84</v>
      </c>
      <c r="I2309" s="43" t="n">
        <f aca="false">F2309*H2309</f>
        <v>73.8576</v>
      </c>
      <c r="J2309" s="43" t="n">
        <f aca="false">G2309*H2309*1.5</f>
        <v>0</v>
      </c>
      <c r="K2309" s="6" t="n">
        <v>9.75</v>
      </c>
      <c r="L2309" s="43" t="n">
        <f aca="false">K2309*'Chart of Accounts'!$E$68</f>
        <v>6.5325</v>
      </c>
      <c r="O2309" s="42" t="n">
        <f aca="false">I2309+J2309+L2309</f>
        <v>80.3901</v>
      </c>
    </row>
    <row r="2310" customFormat="false" ht="15" hidden="false" customHeight="false" outlineLevel="0" collapsed="false">
      <c r="B2310" s="7" t="s">
        <v>10943</v>
      </c>
      <c r="C2310" s="39" t="n">
        <v>45800</v>
      </c>
      <c r="D2310" s="7" t="s">
        <v>242</v>
      </c>
      <c r="E2310" s="7" t="s">
        <v>180</v>
      </c>
      <c r="F2310" s="6" t="n">
        <v>3.89</v>
      </c>
      <c r="G2310" s="6" t="n">
        <v>0</v>
      </c>
      <c r="H2310" s="41" t="n">
        <v>17.99</v>
      </c>
      <c r="I2310" s="43" t="n">
        <f aca="false">F2310*H2310</f>
        <v>69.9811</v>
      </c>
      <c r="J2310" s="43" t="n">
        <f aca="false">G2310*H2310*1.5</f>
        <v>0</v>
      </c>
      <c r="K2310" s="6" t="n">
        <v>13.8</v>
      </c>
      <c r="L2310" s="43" t="n">
        <f aca="false">K2310*'Chart of Accounts'!$E$68</f>
        <v>9.246</v>
      </c>
      <c r="O2310" s="42" t="n">
        <f aca="false">I2310+J2310+L2310</f>
        <v>79.2271</v>
      </c>
    </row>
    <row r="2311" customFormat="false" ht="15" hidden="false" customHeight="false" outlineLevel="0" collapsed="false">
      <c r="B2311" s="7" t="s">
        <v>10944</v>
      </c>
      <c r="C2311" s="39" t="n">
        <v>45800</v>
      </c>
      <c r="D2311" s="7" t="s">
        <v>203</v>
      </c>
      <c r="E2311" s="7" t="s">
        <v>158</v>
      </c>
      <c r="H2311" s="41" t="n">
        <v>49.43</v>
      </c>
      <c r="M2311" s="6" t="n">
        <v>1</v>
      </c>
      <c r="N2311" s="43" t="n">
        <f aca="false">M2311*H2311</f>
        <v>49.43</v>
      </c>
      <c r="O2311" s="42" t="n">
        <f aca="false">N2311</f>
        <v>49.43</v>
      </c>
    </row>
    <row r="2312" customFormat="false" ht="15" hidden="false" customHeight="false" outlineLevel="0" collapsed="false">
      <c r="B2312" s="7" t="s">
        <v>10945</v>
      </c>
      <c r="C2312" s="39" t="n">
        <v>45800</v>
      </c>
      <c r="D2312" s="7" t="s">
        <v>262</v>
      </c>
      <c r="E2312" s="7" t="s">
        <v>180</v>
      </c>
      <c r="F2312" s="6" t="n">
        <v>3.67</v>
      </c>
      <c r="G2312" s="6" t="n">
        <v>0</v>
      </c>
      <c r="H2312" s="41" t="n">
        <v>16.02</v>
      </c>
      <c r="I2312" s="43" t="n">
        <f aca="false">F2312*H2312</f>
        <v>58.7934</v>
      </c>
      <c r="J2312" s="43" t="n">
        <f aca="false">G2312*H2312*1.5</f>
        <v>0</v>
      </c>
      <c r="K2312" s="6" t="n">
        <v>10.4</v>
      </c>
      <c r="L2312" s="43" t="n">
        <f aca="false">K2312*'Chart of Accounts'!$E$68</f>
        <v>6.968</v>
      </c>
      <c r="O2312" s="42" t="n">
        <f aca="false">I2312+J2312+L2312</f>
        <v>65.7614</v>
      </c>
    </row>
    <row r="2313" customFormat="false" ht="15" hidden="false" customHeight="false" outlineLevel="0" collapsed="false">
      <c r="B2313" s="7" t="s">
        <v>10946</v>
      </c>
      <c r="C2313" s="39" t="n">
        <v>45800</v>
      </c>
      <c r="D2313" s="7" t="s">
        <v>260</v>
      </c>
      <c r="E2313" s="7" t="s">
        <v>158</v>
      </c>
      <c r="H2313" s="41" t="n">
        <v>79.8</v>
      </c>
      <c r="M2313" s="6" t="n">
        <v>1</v>
      </c>
      <c r="N2313" s="43" t="n">
        <f aca="false">M2313*H2313</f>
        <v>79.8</v>
      </c>
      <c r="O2313" s="42" t="n">
        <f aca="false">N2313</f>
        <v>79.8</v>
      </c>
    </row>
    <row r="2314" customFormat="false" ht="15" hidden="false" customHeight="false" outlineLevel="0" collapsed="false">
      <c r="B2314" s="7" t="s">
        <v>10947</v>
      </c>
      <c r="C2314" s="39" t="n">
        <v>45800</v>
      </c>
      <c r="D2314" s="7" t="s">
        <v>214</v>
      </c>
      <c r="E2314" s="7" t="s">
        <v>180</v>
      </c>
      <c r="F2314" s="6" t="n">
        <v>3.25</v>
      </c>
      <c r="G2314" s="6" t="n">
        <v>0</v>
      </c>
      <c r="H2314" s="41" t="n">
        <v>15.67</v>
      </c>
      <c r="I2314" s="43" t="n">
        <f aca="false">F2314*H2314</f>
        <v>50.9275</v>
      </c>
      <c r="J2314" s="43" t="n">
        <f aca="false">G2314*H2314*1.5</f>
        <v>0</v>
      </c>
      <c r="K2314" s="6" t="n">
        <v>9.8</v>
      </c>
      <c r="L2314" s="43" t="n">
        <f aca="false">K2314*'Chart of Accounts'!$E$68</f>
        <v>6.566</v>
      </c>
      <c r="O2314" s="42" t="n">
        <f aca="false">I2314+J2314+L2314</f>
        <v>57.4935</v>
      </c>
    </row>
    <row r="2315" customFormat="false" ht="15" hidden="false" customHeight="false" outlineLevel="0" collapsed="false">
      <c r="B2315" s="7" t="s">
        <v>10948</v>
      </c>
      <c r="C2315" s="39" t="n">
        <v>45801</v>
      </c>
      <c r="D2315" s="7" t="s">
        <v>191</v>
      </c>
      <c r="E2315" s="7" t="s">
        <v>180</v>
      </c>
      <c r="F2315" s="6" t="n">
        <v>4.14</v>
      </c>
      <c r="G2315" s="6" t="n">
        <v>0</v>
      </c>
      <c r="H2315" s="41" t="n">
        <v>16.05</v>
      </c>
      <c r="I2315" s="43" t="n">
        <f aca="false">F2315*H2315</f>
        <v>66.447</v>
      </c>
      <c r="J2315" s="43" t="n">
        <f aca="false">G2315*H2315*1.5</f>
        <v>0</v>
      </c>
      <c r="K2315" s="6" t="n">
        <v>13.91</v>
      </c>
      <c r="L2315" s="43" t="n">
        <f aca="false">K2315*'Chart of Accounts'!$E$68</f>
        <v>9.3197</v>
      </c>
      <c r="O2315" s="42" t="n">
        <f aca="false">I2315+J2315+L2315</f>
        <v>75.7667</v>
      </c>
    </row>
    <row r="2316" customFormat="false" ht="15" hidden="false" customHeight="false" outlineLevel="0" collapsed="false">
      <c r="B2316" s="7" t="s">
        <v>10949</v>
      </c>
      <c r="C2316" s="39" t="n">
        <v>45801</v>
      </c>
      <c r="D2316" s="7" t="s">
        <v>218</v>
      </c>
      <c r="E2316" s="7" t="s">
        <v>180</v>
      </c>
      <c r="F2316" s="6" t="n">
        <v>4.35</v>
      </c>
      <c r="G2316" s="6" t="n">
        <v>0</v>
      </c>
      <c r="H2316" s="41" t="n">
        <v>16.19</v>
      </c>
      <c r="I2316" s="43" t="n">
        <f aca="false">F2316*H2316</f>
        <v>70.4265</v>
      </c>
      <c r="J2316" s="43" t="n">
        <f aca="false">G2316*H2316*1.5</f>
        <v>0</v>
      </c>
      <c r="K2316" s="6" t="n">
        <v>14.1</v>
      </c>
      <c r="L2316" s="43" t="n">
        <f aca="false">K2316*'Chart of Accounts'!$E$68</f>
        <v>9.447</v>
      </c>
      <c r="O2316" s="42" t="n">
        <f aca="false">I2316+J2316+L2316</f>
        <v>79.8735</v>
      </c>
    </row>
    <row r="2317" customFormat="false" ht="15" hidden="false" customHeight="false" outlineLevel="0" collapsed="false">
      <c r="B2317" s="7" t="s">
        <v>10950</v>
      </c>
      <c r="C2317" s="39" t="n">
        <v>45801</v>
      </c>
      <c r="D2317" s="7" t="s">
        <v>212</v>
      </c>
      <c r="E2317" s="7" t="s">
        <v>180</v>
      </c>
      <c r="F2317" s="6" t="n">
        <v>3.67</v>
      </c>
      <c r="G2317" s="6" t="n">
        <v>0</v>
      </c>
      <c r="H2317" s="41" t="n">
        <v>16.71</v>
      </c>
      <c r="I2317" s="43" t="n">
        <f aca="false">F2317*H2317</f>
        <v>61.3257</v>
      </c>
      <c r="J2317" s="43" t="n">
        <f aca="false">G2317*H2317*1.5</f>
        <v>0</v>
      </c>
      <c r="K2317" s="6" t="n">
        <v>8.77</v>
      </c>
      <c r="L2317" s="43" t="n">
        <f aca="false">K2317*'Chart of Accounts'!$E$68</f>
        <v>5.8759</v>
      </c>
      <c r="O2317" s="42" t="n">
        <f aca="false">I2317+J2317+L2317</f>
        <v>67.2016</v>
      </c>
    </row>
    <row r="2318" customFormat="false" ht="15" hidden="false" customHeight="false" outlineLevel="0" collapsed="false">
      <c r="B2318" s="7" t="s">
        <v>10951</v>
      </c>
      <c r="C2318" s="39" t="n">
        <v>45801</v>
      </c>
      <c r="D2318" s="7" t="s">
        <v>222</v>
      </c>
      <c r="E2318" s="7" t="s">
        <v>180</v>
      </c>
      <c r="F2318" s="6" t="n">
        <v>3.61</v>
      </c>
      <c r="G2318" s="6" t="n">
        <v>0</v>
      </c>
      <c r="H2318" s="41" t="n">
        <v>17.84</v>
      </c>
      <c r="I2318" s="43" t="n">
        <f aca="false">F2318*H2318</f>
        <v>64.4024</v>
      </c>
      <c r="J2318" s="43" t="n">
        <f aca="false">G2318*H2318*1.5</f>
        <v>0</v>
      </c>
      <c r="K2318" s="6" t="n">
        <v>11.18</v>
      </c>
      <c r="L2318" s="43" t="n">
        <f aca="false">K2318*'Chart of Accounts'!$E$68</f>
        <v>7.4906</v>
      </c>
      <c r="O2318" s="42" t="n">
        <f aca="false">I2318+J2318+L2318</f>
        <v>71.893</v>
      </c>
    </row>
    <row r="2319" customFormat="false" ht="15" hidden="false" customHeight="false" outlineLevel="0" collapsed="false">
      <c r="B2319" s="7" t="s">
        <v>10952</v>
      </c>
      <c r="C2319" s="39" t="n">
        <v>45801</v>
      </c>
      <c r="D2319" s="7" t="s">
        <v>242</v>
      </c>
      <c r="E2319" s="7" t="s">
        <v>180</v>
      </c>
      <c r="F2319" s="6" t="n">
        <v>4.2</v>
      </c>
      <c r="G2319" s="6" t="n">
        <v>0</v>
      </c>
      <c r="H2319" s="41" t="n">
        <v>17.99</v>
      </c>
      <c r="I2319" s="43" t="n">
        <f aca="false">F2319*H2319</f>
        <v>75.558</v>
      </c>
      <c r="J2319" s="43" t="n">
        <f aca="false">G2319*H2319*1.5</f>
        <v>0</v>
      </c>
      <c r="K2319" s="6" t="n">
        <v>14.69</v>
      </c>
      <c r="L2319" s="43" t="n">
        <f aca="false">K2319*'Chart of Accounts'!$E$68</f>
        <v>9.8423</v>
      </c>
      <c r="O2319" s="42" t="n">
        <f aca="false">I2319+J2319+L2319</f>
        <v>85.4003</v>
      </c>
    </row>
    <row r="2320" customFormat="false" ht="15" hidden="false" customHeight="false" outlineLevel="0" collapsed="false">
      <c r="B2320" s="7" t="s">
        <v>10953</v>
      </c>
      <c r="C2320" s="39" t="n">
        <v>45801</v>
      </c>
      <c r="D2320" s="7" t="s">
        <v>254</v>
      </c>
      <c r="E2320" s="7" t="s">
        <v>180</v>
      </c>
      <c r="F2320" s="6" t="n">
        <v>4.11</v>
      </c>
      <c r="G2320" s="6" t="n">
        <v>0</v>
      </c>
      <c r="H2320" s="41" t="n">
        <v>17.1</v>
      </c>
      <c r="I2320" s="43" t="n">
        <f aca="false">F2320*H2320</f>
        <v>70.281</v>
      </c>
      <c r="J2320" s="43" t="n">
        <f aca="false">G2320*H2320*1.5</f>
        <v>0</v>
      </c>
      <c r="K2320" s="6" t="n">
        <v>10.68</v>
      </c>
      <c r="L2320" s="43" t="n">
        <f aca="false">K2320*'Chart of Accounts'!$E$68</f>
        <v>7.1556</v>
      </c>
      <c r="O2320" s="42" t="n">
        <f aca="false">I2320+J2320+L2320</f>
        <v>77.4366</v>
      </c>
    </row>
    <row r="2321" customFormat="false" ht="15" hidden="false" customHeight="false" outlineLevel="0" collapsed="false">
      <c r="B2321" s="7" t="s">
        <v>10954</v>
      </c>
      <c r="C2321" s="39" t="n">
        <v>45802</v>
      </c>
      <c r="D2321" s="7" t="s">
        <v>191</v>
      </c>
      <c r="E2321" s="7" t="s">
        <v>180</v>
      </c>
      <c r="F2321" s="6" t="n">
        <v>4.13</v>
      </c>
      <c r="G2321" s="6" t="n">
        <v>0</v>
      </c>
      <c r="H2321" s="41" t="n">
        <v>16.05</v>
      </c>
      <c r="I2321" s="43" t="n">
        <f aca="false">F2321*H2321</f>
        <v>66.2865</v>
      </c>
      <c r="J2321" s="43" t="n">
        <f aca="false">G2321*H2321*1.5</f>
        <v>0</v>
      </c>
      <c r="K2321" s="6" t="n">
        <v>10.43</v>
      </c>
      <c r="L2321" s="43" t="n">
        <f aca="false">K2321*'Chart of Accounts'!$E$68</f>
        <v>6.9881</v>
      </c>
      <c r="O2321" s="42" t="n">
        <f aca="false">I2321+J2321+L2321</f>
        <v>73.2746</v>
      </c>
    </row>
    <row r="2322" customFormat="false" ht="15" hidden="false" customHeight="false" outlineLevel="0" collapsed="false">
      <c r="B2322" s="7" t="s">
        <v>10955</v>
      </c>
      <c r="C2322" s="39" t="n">
        <v>45802</v>
      </c>
      <c r="D2322" s="7" t="s">
        <v>218</v>
      </c>
      <c r="E2322" s="7" t="s">
        <v>180</v>
      </c>
      <c r="F2322" s="6" t="n">
        <v>4.22</v>
      </c>
      <c r="G2322" s="6" t="n">
        <v>0</v>
      </c>
      <c r="H2322" s="41" t="n">
        <v>16.19</v>
      </c>
      <c r="I2322" s="43" t="n">
        <f aca="false">F2322*H2322</f>
        <v>68.3218</v>
      </c>
      <c r="J2322" s="43" t="n">
        <f aca="false">G2322*H2322*1.5</f>
        <v>0</v>
      </c>
      <c r="K2322" s="6" t="n">
        <v>13.82</v>
      </c>
      <c r="L2322" s="43" t="n">
        <f aca="false">K2322*'Chart of Accounts'!$E$68</f>
        <v>9.2594</v>
      </c>
      <c r="O2322" s="42" t="n">
        <f aca="false">I2322+J2322+L2322</f>
        <v>77.5812</v>
      </c>
    </row>
    <row r="2323" customFormat="false" ht="15" hidden="false" customHeight="false" outlineLevel="0" collapsed="false">
      <c r="B2323" s="7" t="s">
        <v>10956</v>
      </c>
      <c r="C2323" s="39" t="n">
        <v>45802</v>
      </c>
      <c r="D2323" s="7" t="s">
        <v>212</v>
      </c>
      <c r="E2323" s="7" t="s">
        <v>180</v>
      </c>
      <c r="F2323" s="6" t="n">
        <v>4.29</v>
      </c>
      <c r="G2323" s="6" t="n">
        <v>0</v>
      </c>
      <c r="H2323" s="41" t="n">
        <v>16.71</v>
      </c>
      <c r="I2323" s="43" t="n">
        <f aca="false">F2323*H2323</f>
        <v>71.6859</v>
      </c>
      <c r="J2323" s="43" t="n">
        <f aca="false">G2323*H2323*1.5</f>
        <v>0</v>
      </c>
      <c r="K2323" s="6" t="n">
        <v>14.43</v>
      </c>
      <c r="L2323" s="43" t="n">
        <f aca="false">K2323*'Chart of Accounts'!$E$68</f>
        <v>9.6681</v>
      </c>
      <c r="O2323" s="42" t="n">
        <f aca="false">I2323+J2323+L2323</f>
        <v>81.354</v>
      </c>
    </row>
    <row r="2324" customFormat="false" ht="15" hidden="false" customHeight="false" outlineLevel="0" collapsed="false">
      <c r="B2324" s="7" t="s">
        <v>10957</v>
      </c>
      <c r="C2324" s="39" t="n">
        <v>45802</v>
      </c>
      <c r="D2324" s="7" t="s">
        <v>222</v>
      </c>
      <c r="E2324" s="7" t="s">
        <v>180</v>
      </c>
      <c r="F2324" s="6" t="n">
        <v>4.24</v>
      </c>
      <c r="G2324" s="6" t="n">
        <v>0</v>
      </c>
      <c r="H2324" s="41" t="n">
        <v>17.84</v>
      </c>
      <c r="I2324" s="43" t="n">
        <f aca="false">F2324*H2324</f>
        <v>75.6416</v>
      </c>
      <c r="J2324" s="43" t="n">
        <f aca="false">G2324*H2324*1.5</f>
        <v>0</v>
      </c>
      <c r="K2324" s="6" t="n">
        <v>15.23</v>
      </c>
      <c r="L2324" s="43" t="n">
        <f aca="false">K2324*'Chart of Accounts'!$E$68</f>
        <v>10.2041</v>
      </c>
      <c r="O2324" s="42" t="n">
        <f aca="false">I2324+J2324+L2324</f>
        <v>85.8457</v>
      </c>
    </row>
    <row r="2325" customFormat="false" ht="15" hidden="false" customHeight="false" outlineLevel="0" collapsed="false">
      <c r="B2325" s="7" t="s">
        <v>10958</v>
      </c>
      <c r="C2325" s="39" t="n">
        <v>45802</v>
      </c>
      <c r="D2325" s="7" t="s">
        <v>242</v>
      </c>
      <c r="E2325" s="7" t="s">
        <v>180</v>
      </c>
      <c r="F2325" s="6" t="n">
        <v>4.12</v>
      </c>
      <c r="G2325" s="6" t="n">
        <v>0</v>
      </c>
      <c r="H2325" s="41" t="n">
        <v>17.99</v>
      </c>
      <c r="I2325" s="43" t="n">
        <f aca="false">F2325*H2325</f>
        <v>74.1188</v>
      </c>
      <c r="J2325" s="43" t="n">
        <f aca="false">G2325*H2325*1.5</f>
        <v>0</v>
      </c>
      <c r="K2325" s="6" t="n">
        <v>9.69</v>
      </c>
      <c r="L2325" s="43" t="n">
        <f aca="false">K2325*'Chart of Accounts'!$E$68</f>
        <v>6.4923</v>
      </c>
      <c r="O2325" s="42" t="n">
        <f aca="false">I2325+J2325+L2325</f>
        <v>80.6111</v>
      </c>
    </row>
    <row r="2326" customFormat="false" ht="15" hidden="false" customHeight="false" outlineLevel="0" collapsed="false">
      <c r="B2326" s="7" t="s">
        <v>10959</v>
      </c>
      <c r="C2326" s="39" t="n">
        <v>45802</v>
      </c>
      <c r="D2326" s="7" t="s">
        <v>254</v>
      </c>
      <c r="E2326" s="7" t="s">
        <v>180</v>
      </c>
      <c r="F2326" s="6" t="n">
        <v>4.35</v>
      </c>
      <c r="G2326" s="6" t="n">
        <v>0</v>
      </c>
      <c r="H2326" s="41" t="n">
        <v>17.1</v>
      </c>
      <c r="I2326" s="43" t="n">
        <f aca="false">F2326*H2326</f>
        <v>74.385</v>
      </c>
      <c r="J2326" s="43" t="n">
        <f aca="false">G2326*H2326*1.5</f>
        <v>0</v>
      </c>
      <c r="K2326" s="6" t="n">
        <v>11.95</v>
      </c>
      <c r="L2326" s="43" t="n">
        <f aca="false">K2326*'Chart of Accounts'!$E$68</f>
        <v>8.0065</v>
      </c>
      <c r="O2326" s="42" t="n">
        <f aca="false">I2326+J2326+L2326</f>
        <v>82.3915</v>
      </c>
    </row>
    <row r="2327" customFormat="false" ht="15" hidden="false" customHeight="false" outlineLevel="0" collapsed="false">
      <c r="B2327" s="7" t="s">
        <v>10960</v>
      </c>
      <c r="C2327" s="39" t="n">
        <v>45803</v>
      </c>
      <c r="D2327" s="7" t="s">
        <v>187</v>
      </c>
      <c r="E2327" s="7" t="s">
        <v>158</v>
      </c>
      <c r="H2327" s="41" t="n">
        <v>66.48</v>
      </c>
      <c r="M2327" s="6" t="n">
        <v>1</v>
      </c>
      <c r="N2327" s="43" t="n">
        <f aca="false">M2327*H2327</f>
        <v>66.48</v>
      </c>
      <c r="O2327" s="42" t="n">
        <f aca="false">N2327</f>
        <v>66.48</v>
      </c>
    </row>
    <row r="2328" customFormat="false" ht="15" hidden="false" customHeight="false" outlineLevel="0" collapsed="false">
      <c r="B2328" s="7" t="s">
        <v>10961</v>
      </c>
      <c r="C2328" s="39" t="n">
        <v>45803</v>
      </c>
      <c r="D2328" s="7" t="s">
        <v>191</v>
      </c>
      <c r="E2328" s="7" t="s">
        <v>180</v>
      </c>
      <c r="F2328" s="6" t="n">
        <v>4.32</v>
      </c>
      <c r="G2328" s="6" t="n">
        <v>0</v>
      </c>
      <c r="H2328" s="41" t="n">
        <v>16.05</v>
      </c>
      <c r="I2328" s="43" t="n">
        <f aca="false">F2328*H2328</f>
        <v>69.336</v>
      </c>
      <c r="J2328" s="43" t="n">
        <f aca="false">G2328*H2328*1.5</f>
        <v>0</v>
      </c>
      <c r="K2328" s="6" t="n">
        <v>15.17</v>
      </c>
      <c r="L2328" s="43" t="n">
        <f aca="false">K2328*'Chart of Accounts'!$E$68</f>
        <v>10.1639</v>
      </c>
      <c r="O2328" s="42" t="n">
        <f aca="false">I2328+J2328+L2328</f>
        <v>79.4999</v>
      </c>
    </row>
    <row r="2329" customFormat="false" ht="15" hidden="false" customHeight="false" outlineLevel="0" collapsed="false">
      <c r="B2329" s="7" t="s">
        <v>10962</v>
      </c>
      <c r="C2329" s="39" t="n">
        <v>45803</v>
      </c>
      <c r="D2329" s="7" t="s">
        <v>194</v>
      </c>
      <c r="E2329" s="7" t="s">
        <v>180</v>
      </c>
      <c r="F2329" s="6" t="n">
        <v>8.52</v>
      </c>
      <c r="G2329" s="6" t="n">
        <v>0</v>
      </c>
      <c r="H2329" s="41" t="n">
        <v>16</v>
      </c>
      <c r="I2329" s="43" t="n">
        <f aca="false">F2329*H2329</f>
        <v>136.32</v>
      </c>
      <c r="J2329" s="43" t="n">
        <f aca="false">G2329*H2329*1.5</f>
        <v>0</v>
      </c>
      <c r="K2329" s="6" t="n">
        <v>27.49</v>
      </c>
      <c r="L2329" s="43" t="n">
        <f aca="false">K2329*'Chart of Accounts'!$E$68</f>
        <v>18.4183</v>
      </c>
      <c r="O2329" s="42" t="n">
        <f aca="false">I2329+J2329+L2329</f>
        <v>154.7383</v>
      </c>
    </row>
    <row r="2330" customFormat="false" ht="15" hidden="false" customHeight="false" outlineLevel="0" collapsed="false">
      <c r="B2330" s="7" t="s">
        <v>10963</v>
      </c>
      <c r="C2330" s="39" t="n">
        <v>45803</v>
      </c>
      <c r="D2330" s="7" t="s">
        <v>201</v>
      </c>
      <c r="E2330" s="7" t="s">
        <v>180</v>
      </c>
      <c r="F2330" s="6" t="n">
        <v>13.58</v>
      </c>
      <c r="G2330" s="6" t="n">
        <v>0</v>
      </c>
      <c r="H2330" s="41" t="n">
        <v>15.19</v>
      </c>
      <c r="I2330" s="43" t="n">
        <f aca="false">F2330*H2330</f>
        <v>206.2802</v>
      </c>
      <c r="J2330" s="43" t="n">
        <f aca="false">G2330*H2330*1.5</f>
        <v>0</v>
      </c>
      <c r="K2330" s="6" t="n">
        <v>34.62</v>
      </c>
      <c r="L2330" s="43" t="n">
        <f aca="false">K2330*'Chart of Accounts'!$E$68</f>
        <v>23.1954</v>
      </c>
      <c r="O2330" s="42" t="n">
        <f aca="false">I2330+J2330+L2330</f>
        <v>229.4756</v>
      </c>
    </row>
    <row r="2331" customFormat="false" ht="15" hidden="false" customHeight="false" outlineLevel="0" collapsed="false">
      <c r="B2331" s="7" t="s">
        <v>10964</v>
      </c>
      <c r="C2331" s="39" t="n">
        <v>45803</v>
      </c>
      <c r="D2331" s="7" t="s">
        <v>205</v>
      </c>
      <c r="E2331" s="7" t="s">
        <v>180</v>
      </c>
      <c r="F2331" s="6" t="n">
        <v>4.02</v>
      </c>
      <c r="G2331" s="6" t="n">
        <v>0</v>
      </c>
      <c r="H2331" s="41" t="n">
        <v>16.36</v>
      </c>
      <c r="I2331" s="43" t="n">
        <f aca="false">F2331*H2331</f>
        <v>65.7672</v>
      </c>
      <c r="J2331" s="43" t="n">
        <f aca="false">G2331*H2331*1.5</f>
        <v>0</v>
      </c>
      <c r="K2331" s="6" t="n">
        <v>12.11</v>
      </c>
      <c r="L2331" s="43" t="n">
        <f aca="false">K2331*'Chart of Accounts'!$E$68</f>
        <v>8.1137</v>
      </c>
      <c r="O2331" s="42" t="n">
        <f aca="false">I2331+J2331+L2331</f>
        <v>73.8809</v>
      </c>
    </row>
    <row r="2332" customFormat="false" ht="15" hidden="false" customHeight="false" outlineLevel="0" collapsed="false">
      <c r="B2332" s="7" t="s">
        <v>10965</v>
      </c>
      <c r="C2332" s="39" t="n">
        <v>45803</v>
      </c>
      <c r="D2332" s="7" t="s">
        <v>264</v>
      </c>
      <c r="E2332" s="7" t="s">
        <v>158</v>
      </c>
      <c r="H2332" s="41" t="n">
        <v>55.55</v>
      </c>
      <c r="M2332" s="6" t="n">
        <v>1</v>
      </c>
      <c r="N2332" s="43" t="n">
        <f aca="false">M2332*H2332</f>
        <v>55.55</v>
      </c>
      <c r="O2332" s="42" t="n">
        <f aca="false">N2332</f>
        <v>55.55</v>
      </c>
    </row>
    <row r="2333" customFormat="false" ht="15" hidden="false" customHeight="false" outlineLevel="0" collapsed="false">
      <c r="B2333" s="7" t="s">
        <v>10966</v>
      </c>
      <c r="C2333" s="39" t="n">
        <v>45803</v>
      </c>
      <c r="D2333" s="7" t="s">
        <v>252</v>
      </c>
      <c r="E2333" s="7" t="s">
        <v>158</v>
      </c>
      <c r="H2333" s="41" t="n">
        <v>57.54</v>
      </c>
      <c r="M2333" s="6" t="n">
        <v>1</v>
      </c>
      <c r="N2333" s="43" t="n">
        <f aca="false">M2333*H2333</f>
        <v>57.54</v>
      </c>
      <c r="O2333" s="42" t="n">
        <f aca="false">N2333</f>
        <v>57.54</v>
      </c>
    </row>
    <row r="2334" customFormat="false" ht="15" hidden="false" customHeight="false" outlineLevel="0" collapsed="false">
      <c r="B2334" s="7" t="s">
        <v>10967</v>
      </c>
      <c r="C2334" s="39" t="n">
        <v>45803</v>
      </c>
      <c r="D2334" s="7" t="s">
        <v>196</v>
      </c>
      <c r="E2334" s="7" t="s">
        <v>180</v>
      </c>
      <c r="F2334" s="6" t="n">
        <v>2.94</v>
      </c>
      <c r="G2334" s="6" t="n">
        <v>0</v>
      </c>
      <c r="H2334" s="41" t="n">
        <v>15.05</v>
      </c>
      <c r="I2334" s="43" t="n">
        <f aca="false">F2334*H2334</f>
        <v>44.247</v>
      </c>
      <c r="J2334" s="43" t="n">
        <f aca="false">G2334*H2334*1.5</f>
        <v>0</v>
      </c>
      <c r="K2334" s="6" t="n">
        <v>10.25</v>
      </c>
      <c r="L2334" s="43" t="n">
        <f aca="false">K2334*'Chart of Accounts'!$E$68</f>
        <v>6.8675</v>
      </c>
      <c r="O2334" s="42" t="n">
        <f aca="false">I2334+J2334+L2334</f>
        <v>51.1145</v>
      </c>
    </row>
    <row r="2335" customFormat="false" ht="15" hidden="false" customHeight="false" outlineLevel="0" collapsed="false">
      <c r="B2335" s="7" t="s">
        <v>10968</v>
      </c>
      <c r="C2335" s="39" t="n">
        <v>45803</v>
      </c>
      <c r="D2335" s="7" t="s">
        <v>184</v>
      </c>
      <c r="E2335" s="7" t="s">
        <v>180</v>
      </c>
      <c r="F2335" s="6" t="n">
        <v>3.94</v>
      </c>
      <c r="G2335" s="6" t="n">
        <v>0</v>
      </c>
      <c r="H2335" s="41" t="n">
        <v>17.34</v>
      </c>
      <c r="I2335" s="43" t="n">
        <f aca="false">F2335*H2335</f>
        <v>68.3196</v>
      </c>
      <c r="J2335" s="43" t="n">
        <f aca="false">G2335*H2335*1.5</f>
        <v>0</v>
      </c>
      <c r="K2335" s="6" t="n">
        <v>9.82</v>
      </c>
      <c r="L2335" s="43" t="n">
        <f aca="false">K2335*'Chart of Accounts'!$E$68</f>
        <v>6.5794</v>
      </c>
      <c r="O2335" s="42" t="n">
        <f aca="false">I2335+J2335+L2335</f>
        <v>74.899</v>
      </c>
    </row>
    <row r="2336" customFormat="false" ht="15" hidden="false" customHeight="false" outlineLevel="0" collapsed="false">
      <c r="B2336" s="7" t="s">
        <v>10969</v>
      </c>
      <c r="C2336" s="39" t="n">
        <v>45803</v>
      </c>
      <c r="D2336" s="7" t="s">
        <v>207</v>
      </c>
      <c r="E2336" s="7" t="s">
        <v>180</v>
      </c>
      <c r="F2336" s="6" t="n">
        <v>6.76</v>
      </c>
      <c r="G2336" s="6" t="n">
        <v>0</v>
      </c>
      <c r="H2336" s="41" t="n">
        <v>16.65</v>
      </c>
      <c r="I2336" s="43" t="n">
        <f aca="false">F2336*H2336</f>
        <v>112.554</v>
      </c>
      <c r="J2336" s="43" t="n">
        <f aca="false">G2336*H2336*1.5</f>
        <v>0</v>
      </c>
      <c r="K2336" s="6" t="n">
        <v>20.66</v>
      </c>
      <c r="L2336" s="43" t="n">
        <f aca="false">K2336*'Chart of Accounts'!$E$68</f>
        <v>13.8422</v>
      </c>
      <c r="O2336" s="42" t="n">
        <f aca="false">I2336+J2336+L2336</f>
        <v>126.3962</v>
      </c>
    </row>
    <row r="2337" customFormat="false" ht="15" hidden="false" customHeight="false" outlineLevel="0" collapsed="false">
      <c r="B2337" s="7" t="s">
        <v>10970</v>
      </c>
      <c r="C2337" s="39" t="n">
        <v>45803</v>
      </c>
      <c r="D2337" s="7" t="s">
        <v>218</v>
      </c>
      <c r="E2337" s="7" t="s">
        <v>180</v>
      </c>
      <c r="F2337" s="6" t="n">
        <v>3.73</v>
      </c>
      <c r="G2337" s="6" t="n">
        <v>0</v>
      </c>
      <c r="H2337" s="41" t="n">
        <v>16.19</v>
      </c>
      <c r="I2337" s="43" t="n">
        <f aca="false">F2337*H2337</f>
        <v>60.3887</v>
      </c>
      <c r="J2337" s="43" t="n">
        <f aca="false">G2337*H2337*1.5</f>
        <v>0</v>
      </c>
      <c r="K2337" s="6" t="n">
        <v>9.93</v>
      </c>
      <c r="L2337" s="43" t="n">
        <f aca="false">K2337*'Chart of Accounts'!$E$68</f>
        <v>6.6531</v>
      </c>
      <c r="O2337" s="42" t="n">
        <f aca="false">I2337+J2337+L2337</f>
        <v>67.0418</v>
      </c>
    </row>
    <row r="2338" customFormat="false" ht="15" hidden="false" customHeight="false" outlineLevel="0" collapsed="false">
      <c r="B2338" s="7" t="s">
        <v>10971</v>
      </c>
      <c r="C2338" s="39" t="n">
        <v>45803</v>
      </c>
      <c r="D2338" s="7" t="s">
        <v>212</v>
      </c>
      <c r="E2338" s="7" t="s">
        <v>180</v>
      </c>
      <c r="F2338" s="6" t="n">
        <v>9.84</v>
      </c>
      <c r="G2338" s="6" t="n">
        <v>0</v>
      </c>
      <c r="H2338" s="41" t="n">
        <v>16.71</v>
      </c>
      <c r="I2338" s="43" t="n">
        <f aca="false">F2338*H2338</f>
        <v>164.4264</v>
      </c>
      <c r="J2338" s="43" t="n">
        <f aca="false">G2338*H2338*1.5</f>
        <v>0</v>
      </c>
      <c r="K2338" s="6" t="n">
        <v>30.28</v>
      </c>
      <c r="L2338" s="43" t="n">
        <f aca="false">K2338*'Chart of Accounts'!$E$68</f>
        <v>20.2876</v>
      </c>
      <c r="O2338" s="42" t="n">
        <f aca="false">I2338+J2338+L2338</f>
        <v>184.714</v>
      </c>
    </row>
    <row r="2339" customFormat="false" ht="15" hidden="false" customHeight="false" outlineLevel="0" collapsed="false">
      <c r="B2339" s="7" t="s">
        <v>10972</v>
      </c>
      <c r="C2339" s="39" t="n">
        <v>45803</v>
      </c>
      <c r="D2339" s="7" t="s">
        <v>220</v>
      </c>
      <c r="E2339" s="7" t="s">
        <v>180</v>
      </c>
      <c r="F2339" s="6" t="n">
        <v>3.91</v>
      </c>
      <c r="G2339" s="6" t="n">
        <v>0</v>
      </c>
      <c r="H2339" s="41" t="n">
        <v>16.43</v>
      </c>
      <c r="I2339" s="43" t="n">
        <f aca="false">F2339*H2339</f>
        <v>64.2413</v>
      </c>
      <c r="J2339" s="43" t="n">
        <f aca="false">G2339*H2339*1.5</f>
        <v>0</v>
      </c>
      <c r="K2339" s="6" t="n">
        <v>12.49</v>
      </c>
      <c r="L2339" s="43" t="n">
        <f aca="false">K2339*'Chart of Accounts'!$E$68</f>
        <v>8.3683</v>
      </c>
      <c r="O2339" s="42" t="n">
        <f aca="false">I2339+J2339+L2339</f>
        <v>72.6096</v>
      </c>
    </row>
    <row r="2340" customFormat="false" ht="15" hidden="false" customHeight="false" outlineLevel="0" collapsed="false">
      <c r="B2340" s="7" t="s">
        <v>10973</v>
      </c>
      <c r="C2340" s="39" t="n">
        <v>45803</v>
      </c>
      <c r="D2340" s="7" t="s">
        <v>224</v>
      </c>
      <c r="E2340" s="7" t="s">
        <v>180</v>
      </c>
      <c r="F2340" s="6" t="n">
        <v>8.86</v>
      </c>
      <c r="G2340" s="6" t="n">
        <v>0</v>
      </c>
      <c r="H2340" s="41" t="n">
        <v>14.93</v>
      </c>
      <c r="I2340" s="43" t="n">
        <f aca="false">F2340*H2340</f>
        <v>132.2798</v>
      </c>
      <c r="J2340" s="43" t="n">
        <f aca="false">G2340*H2340*1.5</f>
        <v>0</v>
      </c>
      <c r="K2340" s="6" t="n">
        <v>26.53</v>
      </c>
      <c r="L2340" s="43" t="n">
        <f aca="false">K2340*'Chart of Accounts'!$E$68</f>
        <v>17.7751</v>
      </c>
      <c r="O2340" s="42" t="n">
        <f aca="false">I2340+J2340+L2340</f>
        <v>150.0549</v>
      </c>
    </row>
    <row r="2341" customFormat="false" ht="15" hidden="false" customHeight="false" outlineLevel="0" collapsed="false">
      <c r="B2341" s="7" t="s">
        <v>10974</v>
      </c>
      <c r="C2341" s="39" t="n">
        <v>45803</v>
      </c>
      <c r="D2341" s="7" t="s">
        <v>177</v>
      </c>
      <c r="E2341" s="7" t="s">
        <v>180</v>
      </c>
      <c r="F2341" s="6" t="n">
        <v>7.98</v>
      </c>
      <c r="G2341" s="6" t="n">
        <v>0</v>
      </c>
      <c r="H2341" s="41" t="n">
        <v>14.56</v>
      </c>
      <c r="I2341" s="43" t="n">
        <f aca="false">F2341*H2341</f>
        <v>116.1888</v>
      </c>
      <c r="J2341" s="43" t="n">
        <f aca="false">G2341*H2341*1.5</f>
        <v>0</v>
      </c>
      <c r="K2341" s="6" t="n">
        <v>18.16</v>
      </c>
      <c r="L2341" s="43" t="n">
        <f aca="false">K2341*'Chart of Accounts'!$E$68</f>
        <v>12.1672</v>
      </c>
      <c r="O2341" s="42" t="n">
        <f aca="false">I2341+J2341+L2341</f>
        <v>128.356</v>
      </c>
    </row>
    <row r="2342" customFormat="false" ht="15" hidden="false" customHeight="false" outlineLevel="0" collapsed="false">
      <c r="B2342" s="7" t="s">
        <v>10975</v>
      </c>
      <c r="C2342" s="39" t="n">
        <v>45803</v>
      </c>
      <c r="D2342" s="7" t="s">
        <v>232</v>
      </c>
      <c r="E2342" s="7" t="s">
        <v>180</v>
      </c>
      <c r="F2342" s="6" t="n">
        <v>7.7</v>
      </c>
      <c r="G2342" s="6" t="n">
        <v>0</v>
      </c>
      <c r="H2342" s="41" t="n">
        <v>16.17</v>
      </c>
      <c r="I2342" s="43" t="n">
        <f aca="false">F2342*H2342</f>
        <v>124.509</v>
      </c>
      <c r="J2342" s="43" t="n">
        <f aca="false">G2342*H2342*1.5</f>
        <v>0</v>
      </c>
      <c r="K2342" s="6" t="n">
        <v>25.7</v>
      </c>
      <c r="L2342" s="43" t="n">
        <f aca="false">K2342*'Chart of Accounts'!$E$68</f>
        <v>17.219</v>
      </c>
      <c r="O2342" s="42" t="n">
        <f aca="false">I2342+J2342+L2342</f>
        <v>141.728</v>
      </c>
    </row>
    <row r="2343" customFormat="false" ht="15" hidden="false" customHeight="false" outlineLevel="0" collapsed="false">
      <c r="B2343" s="7" t="s">
        <v>10976</v>
      </c>
      <c r="C2343" s="39" t="n">
        <v>45803</v>
      </c>
      <c r="D2343" s="7" t="s">
        <v>242</v>
      </c>
      <c r="E2343" s="7" t="s">
        <v>180</v>
      </c>
      <c r="F2343" s="6" t="n">
        <v>6.982</v>
      </c>
      <c r="G2343" s="6" t="n">
        <v>0.258</v>
      </c>
      <c r="H2343" s="41" t="n">
        <v>17.99</v>
      </c>
      <c r="I2343" s="43" t="n">
        <f aca="false">F2343*H2343</f>
        <v>125.60618</v>
      </c>
      <c r="J2343" s="43" t="n">
        <f aca="false">G2343*H2343*1.5</f>
        <v>6.96213</v>
      </c>
      <c r="K2343" s="6" t="n">
        <v>23.06</v>
      </c>
      <c r="L2343" s="43" t="n">
        <f aca="false">K2343*'Chart of Accounts'!$E$68</f>
        <v>15.4502</v>
      </c>
      <c r="O2343" s="42" t="n">
        <f aca="false">I2343+J2343+L2343</f>
        <v>148.01851</v>
      </c>
    </row>
    <row r="2344" customFormat="false" ht="15" hidden="false" customHeight="false" outlineLevel="0" collapsed="false">
      <c r="B2344" s="7" t="s">
        <v>10977</v>
      </c>
      <c r="C2344" s="39" t="n">
        <v>45803</v>
      </c>
      <c r="D2344" s="7" t="s">
        <v>222</v>
      </c>
      <c r="E2344" s="7" t="s">
        <v>180</v>
      </c>
      <c r="F2344" s="6" t="n">
        <v>7</v>
      </c>
      <c r="G2344" s="6" t="n">
        <v>0</v>
      </c>
      <c r="H2344" s="41" t="n">
        <v>17.84</v>
      </c>
      <c r="I2344" s="43" t="n">
        <f aca="false">F2344*H2344</f>
        <v>124.88</v>
      </c>
      <c r="J2344" s="43" t="n">
        <f aca="false">G2344*H2344*1.5</f>
        <v>0</v>
      </c>
      <c r="K2344" s="6" t="n">
        <v>21.01</v>
      </c>
      <c r="L2344" s="43" t="n">
        <f aca="false">K2344*'Chart of Accounts'!$E$68</f>
        <v>14.0767</v>
      </c>
      <c r="O2344" s="42" t="n">
        <f aca="false">I2344+J2344+L2344</f>
        <v>138.9567</v>
      </c>
    </row>
    <row r="2345" customFormat="false" ht="15" hidden="false" customHeight="false" outlineLevel="0" collapsed="false">
      <c r="B2345" s="7" t="s">
        <v>10978</v>
      </c>
      <c r="C2345" s="39" t="n">
        <v>45803</v>
      </c>
      <c r="D2345" s="7" t="s">
        <v>254</v>
      </c>
      <c r="E2345" s="7" t="s">
        <v>180</v>
      </c>
      <c r="F2345" s="6" t="n">
        <v>6.91</v>
      </c>
      <c r="G2345" s="6" t="n">
        <v>0</v>
      </c>
      <c r="H2345" s="41" t="n">
        <v>17.1</v>
      </c>
      <c r="I2345" s="43" t="n">
        <f aca="false">F2345*H2345</f>
        <v>118.161</v>
      </c>
      <c r="J2345" s="43" t="n">
        <f aca="false">G2345*H2345*1.5</f>
        <v>0</v>
      </c>
      <c r="K2345" s="6" t="n">
        <v>19.35</v>
      </c>
      <c r="L2345" s="43" t="n">
        <f aca="false">K2345*'Chart of Accounts'!$E$68</f>
        <v>12.9645</v>
      </c>
      <c r="O2345" s="42" t="n">
        <f aca="false">I2345+J2345+L2345</f>
        <v>131.1255</v>
      </c>
    </row>
    <row r="2346" customFormat="false" ht="15" hidden="false" customHeight="false" outlineLevel="0" collapsed="false">
      <c r="B2346" s="7" t="s">
        <v>10979</v>
      </c>
      <c r="C2346" s="39" t="n">
        <v>45803</v>
      </c>
      <c r="D2346" s="7" t="s">
        <v>246</v>
      </c>
      <c r="E2346" s="7" t="s">
        <v>180</v>
      </c>
      <c r="F2346" s="6" t="n">
        <v>8.4</v>
      </c>
      <c r="G2346" s="6" t="n">
        <v>0</v>
      </c>
      <c r="H2346" s="41" t="n">
        <v>16.48</v>
      </c>
      <c r="I2346" s="43" t="n">
        <f aca="false">F2346*H2346</f>
        <v>138.432</v>
      </c>
      <c r="J2346" s="43" t="n">
        <f aca="false">G2346*H2346*1.5</f>
        <v>0</v>
      </c>
      <c r="K2346" s="6" t="n">
        <v>24.43</v>
      </c>
      <c r="L2346" s="43" t="n">
        <f aca="false">K2346*'Chart of Accounts'!$E$68</f>
        <v>16.3681</v>
      </c>
      <c r="O2346" s="42" t="n">
        <f aca="false">I2346+J2346+L2346</f>
        <v>154.8001</v>
      </c>
    </row>
    <row r="2347" customFormat="false" ht="15" hidden="false" customHeight="false" outlineLevel="0" collapsed="false">
      <c r="B2347" s="7" t="s">
        <v>10980</v>
      </c>
      <c r="C2347" s="39" t="n">
        <v>45803</v>
      </c>
      <c r="D2347" s="7" t="s">
        <v>214</v>
      </c>
      <c r="E2347" s="7" t="s">
        <v>180</v>
      </c>
      <c r="F2347" s="6" t="n">
        <v>7.33</v>
      </c>
      <c r="G2347" s="6" t="n">
        <v>0</v>
      </c>
      <c r="H2347" s="41" t="n">
        <v>15.67</v>
      </c>
      <c r="I2347" s="43" t="n">
        <f aca="false">F2347*H2347</f>
        <v>114.8611</v>
      </c>
      <c r="J2347" s="43" t="n">
        <f aca="false">G2347*H2347*1.5</f>
        <v>0</v>
      </c>
      <c r="K2347" s="6" t="n">
        <v>19.35</v>
      </c>
      <c r="L2347" s="43" t="n">
        <f aca="false">K2347*'Chart of Accounts'!$E$68</f>
        <v>12.9645</v>
      </c>
      <c r="O2347" s="42" t="n">
        <f aca="false">I2347+J2347+L2347</f>
        <v>127.8256</v>
      </c>
    </row>
    <row r="2348" customFormat="false" ht="15" hidden="false" customHeight="false" outlineLevel="0" collapsed="false">
      <c r="B2348" s="7" t="s">
        <v>10981</v>
      </c>
      <c r="C2348" s="39" t="n">
        <v>45803</v>
      </c>
      <c r="D2348" s="7" t="s">
        <v>238</v>
      </c>
      <c r="E2348" s="7" t="s">
        <v>180</v>
      </c>
      <c r="F2348" s="6" t="n">
        <v>3.96</v>
      </c>
      <c r="G2348" s="6" t="n">
        <v>0</v>
      </c>
      <c r="H2348" s="41" t="n">
        <v>15.85</v>
      </c>
      <c r="I2348" s="43" t="n">
        <f aca="false">F2348*H2348</f>
        <v>62.766</v>
      </c>
      <c r="J2348" s="43" t="n">
        <f aca="false">G2348*H2348*1.5</f>
        <v>0</v>
      </c>
      <c r="K2348" s="6" t="n">
        <v>11.52</v>
      </c>
      <c r="L2348" s="43" t="n">
        <f aca="false">K2348*'Chart of Accounts'!$E$68</f>
        <v>7.7184</v>
      </c>
      <c r="O2348" s="42" t="n">
        <f aca="false">I2348+J2348+L2348</f>
        <v>70.4844</v>
      </c>
    </row>
    <row r="2349" customFormat="false" ht="15" hidden="false" customHeight="false" outlineLevel="0" collapsed="false">
      <c r="B2349" s="7" t="s">
        <v>10982</v>
      </c>
      <c r="C2349" s="39" t="n">
        <v>45804</v>
      </c>
      <c r="D2349" s="7" t="s">
        <v>191</v>
      </c>
      <c r="E2349" s="7" t="s">
        <v>180</v>
      </c>
      <c r="F2349" s="6" t="n">
        <v>3.78</v>
      </c>
      <c r="G2349" s="6" t="n">
        <v>0</v>
      </c>
      <c r="H2349" s="41" t="n">
        <v>16.05</v>
      </c>
      <c r="I2349" s="43" t="n">
        <f aca="false">F2349*H2349</f>
        <v>60.669</v>
      </c>
      <c r="J2349" s="43" t="n">
        <f aca="false">G2349*H2349*1.5</f>
        <v>0</v>
      </c>
      <c r="K2349" s="6" t="n">
        <v>9.5</v>
      </c>
      <c r="L2349" s="43" t="n">
        <f aca="false">K2349*'Chart of Accounts'!$E$68</f>
        <v>6.365</v>
      </c>
      <c r="O2349" s="42" t="n">
        <f aca="false">I2349+J2349+L2349</f>
        <v>67.034</v>
      </c>
    </row>
    <row r="2350" customFormat="false" ht="15" hidden="false" customHeight="false" outlineLevel="0" collapsed="false">
      <c r="B2350" s="7" t="s">
        <v>10983</v>
      </c>
      <c r="C2350" s="39" t="n">
        <v>45804</v>
      </c>
      <c r="D2350" s="7" t="s">
        <v>209</v>
      </c>
      <c r="E2350" s="7" t="s">
        <v>158</v>
      </c>
      <c r="H2350" s="41" t="n">
        <v>73.58</v>
      </c>
      <c r="M2350" s="6" t="n">
        <v>2</v>
      </c>
      <c r="N2350" s="43" t="n">
        <f aca="false">M2350*H2350</f>
        <v>147.16</v>
      </c>
      <c r="O2350" s="42" t="n">
        <f aca="false">N2350</f>
        <v>147.16</v>
      </c>
    </row>
    <row r="2351" customFormat="false" ht="15" hidden="false" customHeight="false" outlineLevel="0" collapsed="false">
      <c r="B2351" s="7" t="s">
        <v>10984</v>
      </c>
      <c r="C2351" s="39" t="n">
        <v>45804</v>
      </c>
      <c r="D2351" s="7" t="s">
        <v>184</v>
      </c>
      <c r="E2351" s="7" t="s">
        <v>180</v>
      </c>
      <c r="F2351" s="6" t="n">
        <v>3.88</v>
      </c>
      <c r="G2351" s="6" t="n">
        <v>0</v>
      </c>
      <c r="H2351" s="41" t="n">
        <v>17.34</v>
      </c>
      <c r="I2351" s="43" t="n">
        <f aca="false">F2351*H2351</f>
        <v>67.2792</v>
      </c>
      <c r="J2351" s="43" t="n">
        <f aca="false">G2351*H2351*1.5</f>
        <v>0</v>
      </c>
      <c r="K2351" s="6" t="n">
        <v>12.19</v>
      </c>
      <c r="L2351" s="43" t="n">
        <f aca="false">K2351*'Chart of Accounts'!$E$68</f>
        <v>8.1673</v>
      </c>
      <c r="O2351" s="42" t="n">
        <f aca="false">I2351+J2351+L2351</f>
        <v>75.4465</v>
      </c>
    </row>
    <row r="2352" customFormat="false" ht="15" hidden="false" customHeight="false" outlineLevel="0" collapsed="false">
      <c r="B2352" s="7" t="s">
        <v>10985</v>
      </c>
      <c r="C2352" s="39" t="n">
        <v>45804</v>
      </c>
      <c r="D2352" s="7" t="s">
        <v>234</v>
      </c>
      <c r="E2352" s="7" t="s">
        <v>158</v>
      </c>
      <c r="H2352" s="41" t="n">
        <v>89.53</v>
      </c>
      <c r="M2352" s="6" t="n">
        <v>2</v>
      </c>
      <c r="N2352" s="43" t="n">
        <f aca="false">M2352*H2352</f>
        <v>179.06</v>
      </c>
      <c r="O2352" s="42" t="n">
        <f aca="false">N2352</f>
        <v>179.06</v>
      </c>
    </row>
    <row r="2353" customFormat="false" ht="15" hidden="false" customHeight="false" outlineLevel="0" collapsed="false">
      <c r="B2353" s="7" t="s">
        <v>10986</v>
      </c>
      <c r="C2353" s="39" t="n">
        <v>45804</v>
      </c>
      <c r="D2353" s="7" t="s">
        <v>218</v>
      </c>
      <c r="E2353" s="7" t="s">
        <v>180</v>
      </c>
      <c r="F2353" s="6" t="n">
        <v>3.92</v>
      </c>
      <c r="G2353" s="6" t="n">
        <v>0</v>
      </c>
      <c r="H2353" s="41" t="n">
        <v>16.19</v>
      </c>
      <c r="I2353" s="43" t="n">
        <f aca="false">F2353*H2353</f>
        <v>63.4648</v>
      </c>
      <c r="J2353" s="43" t="n">
        <f aca="false">G2353*H2353*1.5</f>
        <v>0</v>
      </c>
      <c r="K2353" s="6" t="n">
        <v>10.43</v>
      </c>
      <c r="L2353" s="43" t="n">
        <f aca="false">K2353*'Chart of Accounts'!$E$68</f>
        <v>6.9881</v>
      </c>
      <c r="O2353" s="42" t="n">
        <f aca="false">I2353+J2353+L2353</f>
        <v>70.4529</v>
      </c>
    </row>
    <row r="2354" customFormat="false" ht="15" hidden="false" customHeight="false" outlineLevel="0" collapsed="false">
      <c r="B2354" s="7" t="s">
        <v>10987</v>
      </c>
      <c r="C2354" s="39" t="n">
        <v>45804</v>
      </c>
      <c r="D2354" s="7" t="s">
        <v>266</v>
      </c>
      <c r="E2354" s="7" t="s">
        <v>158</v>
      </c>
      <c r="H2354" s="41" t="n">
        <v>75.18</v>
      </c>
      <c r="M2354" s="6" t="n">
        <v>1</v>
      </c>
      <c r="N2354" s="43" t="n">
        <f aca="false">M2354*H2354</f>
        <v>75.18</v>
      </c>
      <c r="O2354" s="42" t="n">
        <f aca="false">N2354</f>
        <v>75.18</v>
      </c>
    </row>
    <row r="2355" customFormat="false" ht="15" hidden="false" customHeight="false" outlineLevel="0" collapsed="false">
      <c r="B2355" s="7" t="s">
        <v>10988</v>
      </c>
      <c r="C2355" s="39" t="n">
        <v>45804</v>
      </c>
      <c r="D2355" s="7" t="s">
        <v>228</v>
      </c>
      <c r="E2355" s="7" t="s">
        <v>158</v>
      </c>
      <c r="H2355" s="41" t="n">
        <v>51.07</v>
      </c>
      <c r="M2355" s="6" t="n">
        <v>1</v>
      </c>
      <c r="N2355" s="43" t="n">
        <f aca="false">M2355*H2355</f>
        <v>51.07</v>
      </c>
      <c r="O2355" s="42" t="n">
        <f aca="false">N2355</f>
        <v>51.07</v>
      </c>
    </row>
    <row r="2356" customFormat="false" ht="15" hidden="false" customHeight="false" outlineLevel="0" collapsed="false">
      <c r="B2356" s="7" t="s">
        <v>10989</v>
      </c>
      <c r="C2356" s="39" t="n">
        <v>45804</v>
      </c>
      <c r="D2356" s="7" t="s">
        <v>220</v>
      </c>
      <c r="E2356" s="7" t="s">
        <v>180</v>
      </c>
      <c r="F2356" s="6" t="n">
        <v>3.85</v>
      </c>
      <c r="G2356" s="6" t="n">
        <v>0</v>
      </c>
      <c r="H2356" s="41" t="n">
        <v>16.43</v>
      </c>
      <c r="I2356" s="43" t="n">
        <f aca="false">F2356*H2356</f>
        <v>63.2555</v>
      </c>
      <c r="J2356" s="43" t="n">
        <f aca="false">G2356*H2356*1.5</f>
        <v>0</v>
      </c>
      <c r="K2356" s="6" t="n">
        <v>12.06</v>
      </c>
      <c r="L2356" s="43" t="n">
        <f aca="false">K2356*'Chart of Accounts'!$E$68</f>
        <v>8.0802</v>
      </c>
      <c r="O2356" s="42" t="n">
        <f aca="false">I2356+J2356+L2356</f>
        <v>71.3357</v>
      </c>
    </row>
    <row r="2357" customFormat="false" ht="15" hidden="false" customHeight="false" outlineLevel="0" collapsed="false">
      <c r="B2357" s="7" t="s">
        <v>10990</v>
      </c>
      <c r="C2357" s="39" t="n">
        <v>45804</v>
      </c>
      <c r="D2357" s="7" t="s">
        <v>212</v>
      </c>
      <c r="E2357" s="7" t="s">
        <v>180</v>
      </c>
      <c r="F2357" s="6" t="n">
        <v>3.99</v>
      </c>
      <c r="G2357" s="6" t="n">
        <v>0</v>
      </c>
      <c r="H2357" s="41" t="n">
        <v>16.71</v>
      </c>
      <c r="I2357" s="43" t="n">
        <f aca="false">F2357*H2357</f>
        <v>66.6729</v>
      </c>
      <c r="J2357" s="43" t="n">
        <f aca="false">G2357*H2357*1.5</f>
        <v>0</v>
      </c>
      <c r="K2357" s="6" t="n">
        <v>13.23</v>
      </c>
      <c r="L2357" s="43" t="n">
        <f aca="false">K2357*'Chart of Accounts'!$E$68</f>
        <v>8.8641</v>
      </c>
      <c r="O2357" s="42" t="n">
        <f aca="false">I2357+J2357+L2357</f>
        <v>75.537</v>
      </c>
    </row>
    <row r="2358" customFormat="false" ht="15" hidden="false" customHeight="false" outlineLevel="0" collapsed="false">
      <c r="B2358" s="7" t="s">
        <v>10991</v>
      </c>
      <c r="C2358" s="39" t="n">
        <v>45804</v>
      </c>
      <c r="D2358" s="7" t="s">
        <v>194</v>
      </c>
      <c r="E2358" s="7" t="s">
        <v>180</v>
      </c>
      <c r="F2358" s="6" t="n">
        <v>4.09</v>
      </c>
      <c r="G2358" s="6" t="n">
        <v>0</v>
      </c>
      <c r="H2358" s="41" t="n">
        <v>16</v>
      </c>
      <c r="I2358" s="43" t="n">
        <f aca="false">F2358*H2358</f>
        <v>65.44</v>
      </c>
      <c r="J2358" s="43" t="n">
        <f aca="false">G2358*H2358*1.5</f>
        <v>0</v>
      </c>
      <c r="K2358" s="6" t="n">
        <v>9.41</v>
      </c>
      <c r="L2358" s="43" t="n">
        <f aca="false">K2358*'Chart of Accounts'!$E$68</f>
        <v>6.3047</v>
      </c>
      <c r="O2358" s="42" t="n">
        <f aca="false">I2358+J2358+L2358</f>
        <v>71.7447</v>
      </c>
    </row>
    <row r="2359" customFormat="false" ht="15" hidden="false" customHeight="false" outlineLevel="0" collapsed="false">
      <c r="B2359" s="7" t="s">
        <v>10992</v>
      </c>
      <c r="C2359" s="39" t="n">
        <v>45804</v>
      </c>
      <c r="D2359" s="7" t="s">
        <v>246</v>
      </c>
      <c r="E2359" s="7" t="s">
        <v>180</v>
      </c>
      <c r="F2359" s="6" t="n">
        <v>3.73</v>
      </c>
      <c r="G2359" s="6" t="n">
        <v>0</v>
      </c>
      <c r="H2359" s="41" t="n">
        <v>16.48</v>
      </c>
      <c r="I2359" s="43" t="n">
        <f aca="false">F2359*H2359</f>
        <v>61.4704</v>
      </c>
      <c r="J2359" s="43" t="n">
        <f aca="false">G2359*H2359*1.5</f>
        <v>0</v>
      </c>
      <c r="K2359" s="6" t="n">
        <v>10.7</v>
      </c>
      <c r="L2359" s="43" t="n">
        <f aca="false">K2359*'Chart of Accounts'!$E$68</f>
        <v>7.169</v>
      </c>
      <c r="O2359" s="42" t="n">
        <f aca="false">I2359+J2359+L2359</f>
        <v>68.6394</v>
      </c>
    </row>
    <row r="2360" customFormat="false" ht="15" hidden="false" customHeight="false" outlineLevel="0" collapsed="false">
      <c r="B2360" s="7" t="s">
        <v>10993</v>
      </c>
      <c r="C2360" s="39" t="n">
        <v>45804</v>
      </c>
      <c r="D2360" s="7" t="s">
        <v>222</v>
      </c>
      <c r="E2360" s="7" t="s">
        <v>180</v>
      </c>
      <c r="F2360" s="6" t="n">
        <v>4.07</v>
      </c>
      <c r="G2360" s="6" t="n">
        <v>0</v>
      </c>
      <c r="H2360" s="41" t="n">
        <v>17.84</v>
      </c>
      <c r="I2360" s="43" t="n">
        <f aca="false">F2360*H2360</f>
        <v>72.6088</v>
      </c>
      <c r="J2360" s="43" t="n">
        <f aca="false">G2360*H2360*1.5</f>
        <v>0</v>
      </c>
      <c r="K2360" s="6" t="n">
        <v>10.72</v>
      </c>
      <c r="L2360" s="43" t="n">
        <f aca="false">K2360*'Chart of Accounts'!$E$68</f>
        <v>7.1824</v>
      </c>
      <c r="O2360" s="42" t="n">
        <f aca="false">I2360+J2360+L2360</f>
        <v>79.7912</v>
      </c>
    </row>
    <row r="2361" customFormat="false" ht="15" hidden="false" customHeight="false" outlineLevel="0" collapsed="false">
      <c r="B2361" s="7" t="s">
        <v>10994</v>
      </c>
      <c r="C2361" s="39" t="n">
        <v>45804</v>
      </c>
      <c r="D2361" s="7" t="s">
        <v>242</v>
      </c>
      <c r="E2361" s="7" t="s">
        <v>180</v>
      </c>
      <c r="F2361" s="6" t="n">
        <v>3.973</v>
      </c>
      <c r="G2361" s="6" t="n">
        <v>0.147</v>
      </c>
      <c r="H2361" s="41" t="n">
        <v>17.99</v>
      </c>
      <c r="I2361" s="43" t="n">
        <f aca="false">F2361*H2361</f>
        <v>71.47427</v>
      </c>
      <c r="J2361" s="43" t="n">
        <f aca="false">G2361*H2361*1.5</f>
        <v>3.966795</v>
      </c>
      <c r="K2361" s="6" t="n">
        <v>13.82</v>
      </c>
      <c r="L2361" s="43" t="n">
        <f aca="false">K2361*'Chart of Accounts'!$E$68</f>
        <v>9.2594</v>
      </c>
      <c r="O2361" s="42" t="n">
        <f aca="false">I2361+J2361+L2361</f>
        <v>84.700465</v>
      </c>
    </row>
    <row r="2362" customFormat="false" ht="15" hidden="false" customHeight="false" outlineLevel="0" collapsed="false">
      <c r="B2362" s="7" t="s">
        <v>10995</v>
      </c>
      <c r="C2362" s="39" t="n">
        <v>45804</v>
      </c>
      <c r="D2362" s="7" t="s">
        <v>203</v>
      </c>
      <c r="E2362" s="7" t="s">
        <v>158</v>
      </c>
      <c r="H2362" s="41" t="n">
        <v>49.43</v>
      </c>
      <c r="M2362" s="6" t="n">
        <v>1</v>
      </c>
      <c r="N2362" s="43" t="n">
        <f aca="false">M2362*H2362</f>
        <v>49.43</v>
      </c>
      <c r="O2362" s="42" t="n">
        <f aca="false">N2362</f>
        <v>49.43</v>
      </c>
    </row>
    <row r="2363" customFormat="false" ht="15" hidden="false" customHeight="false" outlineLevel="0" collapsed="false">
      <c r="B2363" s="7" t="s">
        <v>10996</v>
      </c>
      <c r="C2363" s="39" t="n">
        <v>45804</v>
      </c>
      <c r="D2363" s="7" t="s">
        <v>254</v>
      </c>
      <c r="E2363" s="7" t="s">
        <v>180</v>
      </c>
      <c r="F2363" s="6" t="n">
        <v>4.23</v>
      </c>
      <c r="G2363" s="6" t="n">
        <v>0</v>
      </c>
      <c r="H2363" s="41" t="n">
        <v>17.1</v>
      </c>
      <c r="I2363" s="43" t="n">
        <f aca="false">F2363*H2363</f>
        <v>72.333</v>
      </c>
      <c r="J2363" s="43" t="n">
        <f aca="false">G2363*H2363*1.5</f>
        <v>0</v>
      </c>
      <c r="K2363" s="6" t="n">
        <v>15.17</v>
      </c>
      <c r="L2363" s="43" t="n">
        <f aca="false">K2363*'Chart of Accounts'!$E$68</f>
        <v>10.1639</v>
      </c>
      <c r="O2363" s="42" t="n">
        <f aca="false">I2363+J2363+L2363</f>
        <v>82.4969</v>
      </c>
    </row>
    <row r="2364" customFormat="false" ht="15" hidden="false" customHeight="false" outlineLevel="0" collapsed="false">
      <c r="B2364" s="7" t="s">
        <v>10997</v>
      </c>
      <c r="C2364" s="39" t="n">
        <v>45804</v>
      </c>
      <c r="D2364" s="7" t="s">
        <v>260</v>
      </c>
      <c r="E2364" s="7" t="s">
        <v>158</v>
      </c>
      <c r="H2364" s="41" t="n">
        <v>79.8</v>
      </c>
      <c r="M2364" s="6" t="n">
        <v>1</v>
      </c>
      <c r="N2364" s="43" t="n">
        <f aca="false">M2364*H2364</f>
        <v>79.8</v>
      </c>
      <c r="O2364" s="42" t="n">
        <f aca="false">N2364</f>
        <v>79.8</v>
      </c>
    </row>
    <row r="2365" customFormat="false" ht="15" hidden="false" customHeight="false" outlineLevel="0" collapsed="false">
      <c r="B2365" s="7" t="s">
        <v>10998</v>
      </c>
      <c r="C2365" s="39" t="n">
        <v>45805</v>
      </c>
      <c r="D2365" s="7" t="s">
        <v>187</v>
      </c>
      <c r="E2365" s="7" t="s">
        <v>158</v>
      </c>
      <c r="H2365" s="41" t="n">
        <v>66.48</v>
      </c>
      <c r="M2365" s="6" t="n">
        <v>1</v>
      </c>
      <c r="N2365" s="43" t="n">
        <f aca="false">M2365*H2365</f>
        <v>66.48</v>
      </c>
      <c r="O2365" s="42" t="n">
        <f aca="false">N2365</f>
        <v>66.48</v>
      </c>
    </row>
    <row r="2366" customFormat="false" ht="15" hidden="false" customHeight="false" outlineLevel="0" collapsed="false">
      <c r="B2366" s="7" t="s">
        <v>10999</v>
      </c>
      <c r="C2366" s="39" t="n">
        <v>45805</v>
      </c>
      <c r="D2366" s="7" t="s">
        <v>228</v>
      </c>
      <c r="E2366" s="7" t="s">
        <v>158</v>
      </c>
      <c r="H2366" s="41" t="n">
        <v>51.07</v>
      </c>
      <c r="M2366" s="6" t="n">
        <v>1</v>
      </c>
      <c r="N2366" s="43" t="n">
        <f aca="false">M2366*H2366</f>
        <v>51.07</v>
      </c>
      <c r="O2366" s="42" t="n">
        <f aca="false">N2366</f>
        <v>51.07</v>
      </c>
    </row>
    <row r="2367" customFormat="false" ht="15" hidden="false" customHeight="false" outlineLevel="0" collapsed="false">
      <c r="B2367" s="7" t="s">
        <v>11000</v>
      </c>
      <c r="C2367" s="39" t="n">
        <v>45805</v>
      </c>
      <c r="D2367" s="7" t="s">
        <v>191</v>
      </c>
      <c r="E2367" s="7" t="s">
        <v>180</v>
      </c>
      <c r="F2367" s="6" t="n">
        <v>4.32</v>
      </c>
      <c r="G2367" s="6" t="n">
        <v>0</v>
      </c>
      <c r="H2367" s="41" t="n">
        <v>16.05</v>
      </c>
      <c r="I2367" s="43" t="n">
        <f aca="false">F2367*H2367</f>
        <v>69.336</v>
      </c>
      <c r="J2367" s="43" t="n">
        <f aca="false">G2367*H2367*1.5</f>
        <v>0</v>
      </c>
      <c r="K2367" s="6" t="n">
        <v>13.6</v>
      </c>
      <c r="L2367" s="43" t="n">
        <f aca="false">K2367*'Chart of Accounts'!$E$68</f>
        <v>9.112</v>
      </c>
      <c r="O2367" s="42" t="n">
        <f aca="false">I2367+J2367+L2367</f>
        <v>78.448</v>
      </c>
    </row>
    <row r="2368" customFormat="false" ht="15" hidden="false" customHeight="false" outlineLevel="0" collapsed="false">
      <c r="B2368" s="7" t="s">
        <v>11001</v>
      </c>
      <c r="C2368" s="39" t="n">
        <v>45805</v>
      </c>
      <c r="D2368" s="7" t="s">
        <v>194</v>
      </c>
      <c r="E2368" s="7" t="s">
        <v>180</v>
      </c>
      <c r="F2368" s="6" t="n">
        <v>8.58</v>
      </c>
      <c r="G2368" s="6" t="n">
        <v>0</v>
      </c>
      <c r="H2368" s="41" t="n">
        <v>16</v>
      </c>
      <c r="I2368" s="43" t="n">
        <f aca="false">F2368*H2368</f>
        <v>137.28</v>
      </c>
      <c r="J2368" s="43" t="n">
        <f aca="false">G2368*H2368*1.5</f>
        <v>0</v>
      </c>
      <c r="K2368" s="6" t="n">
        <v>24.75</v>
      </c>
      <c r="L2368" s="43" t="n">
        <f aca="false">K2368*'Chart of Accounts'!$E$68</f>
        <v>16.5825</v>
      </c>
      <c r="O2368" s="42" t="n">
        <f aca="false">I2368+J2368+L2368</f>
        <v>153.8625</v>
      </c>
    </row>
    <row r="2369" customFormat="false" ht="15" hidden="false" customHeight="false" outlineLevel="0" collapsed="false">
      <c r="B2369" s="7" t="s">
        <v>11002</v>
      </c>
      <c r="C2369" s="39" t="n">
        <v>45805</v>
      </c>
      <c r="D2369" s="7" t="s">
        <v>205</v>
      </c>
      <c r="E2369" s="7" t="s">
        <v>180</v>
      </c>
      <c r="F2369" s="6" t="n">
        <v>3.82</v>
      </c>
      <c r="G2369" s="6" t="n">
        <v>0</v>
      </c>
      <c r="H2369" s="41" t="n">
        <v>16.36</v>
      </c>
      <c r="I2369" s="43" t="n">
        <f aca="false">F2369*H2369</f>
        <v>62.4952</v>
      </c>
      <c r="J2369" s="43" t="n">
        <f aca="false">G2369*H2369*1.5</f>
        <v>0</v>
      </c>
      <c r="K2369" s="6" t="n">
        <v>13.51</v>
      </c>
      <c r="L2369" s="43" t="n">
        <f aca="false">K2369*'Chart of Accounts'!$E$68</f>
        <v>9.0517</v>
      </c>
      <c r="O2369" s="42" t="n">
        <f aca="false">I2369+J2369+L2369</f>
        <v>71.5469</v>
      </c>
    </row>
    <row r="2370" customFormat="false" ht="15" hidden="false" customHeight="false" outlineLevel="0" collapsed="false">
      <c r="B2370" s="7" t="s">
        <v>11003</v>
      </c>
      <c r="C2370" s="39" t="n">
        <v>45805</v>
      </c>
      <c r="D2370" s="7" t="s">
        <v>264</v>
      </c>
      <c r="E2370" s="7" t="s">
        <v>158</v>
      </c>
      <c r="H2370" s="41" t="n">
        <v>55.55</v>
      </c>
      <c r="M2370" s="6" t="n">
        <v>1</v>
      </c>
      <c r="N2370" s="43" t="n">
        <f aca="false">M2370*H2370</f>
        <v>55.55</v>
      </c>
      <c r="O2370" s="42" t="n">
        <f aca="false">N2370</f>
        <v>55.55</v>
      </c>
    </row>
    <row r="2371" customFormat="false" ht="15" hidden="false" customHeight="false" outlineLevel="0" collapsed="false">
      <c r="B2371" s="7" t="s">
        <v>11004</v>
      </c>
      <c r="C2371" s="39" t="n">
        <v>45805</v>
      </c>
      <c r="D2371" s="7" t="s">
        <v>252</v>
      </c>
      <c r="E2371" s="7" t="s">
        <v>158</v>
      </c>
      <c r="H2371" s="41" t="n">
        <v>57.54</v>
      </c>
      <c r="M2371" s="6" t="n">
        <v>1</v>
      </c>
      <c r="N2371" s="43" t="n">
        <f aca="false">M2371*H2371</f>
        <v>57.54</v>
      </c>
      <c r="O2371" s="42" t="n">
        <f aca="false">N2371</f>
        <v>57.54</v>
      </c>
    </row>
    <row r="2372" customFormat="false" ht="15" hidden="false" customHeight="false" outlineLevel="0" collapsed="false">
      <c r="B2372" s="7" t="s">
        <v>11005</v>
      </c>
      <c r="C2372" s="39" t="n">
        <v>45805</v>
      </c>
      <c r="D2372" s="7" t="s">
        <v>184</v>
      </c>
      <c r="E2372" s="7" t="s">
        <v>180</v>
      </c>
      <c r="F2372" s="6" t="n">
        <v>3.86</v>
      </c>
      <c r="G2372" s="6" t="n">
        <v>0</v>
      </c>
      <c r="H2372" s="41" t="n">
        <v>17.34</v>
      </c>
      <c r="I2372" s="43" t="n">
        <f aca="false">F2372*H2372</f>
        <v>66.9324</v>
      </c>
      <c r="J2372" s="43" t="n">
        <f aca="false">G2372*H2372*1.5</f>
        <v>0</v>
      </c>
      <c r="K2372" s="6" t="n">
        <v>9.63</v>
      </c>
      <c r="L2372" s="43" t="n">
        <f aca="false">K2372*'Chart of Accounts'!$E$68</f>
        <v>6.4521</v>
      </c>
      <c r="O2372" s="42" t="n">
        <f aca="false">I2372+J2372+L2372</f>
        <v>73.3845</v>
      </c>
    </row>
    <row r="2373" customFormat="false" ht="15" hidden="false" customHeight="false" outlineLevel="0" collapsed="false">
      <c r="B2373" s="7" t="s">
        <v>11006</v>
      </c>
      <c r="C2373" s="39" t="n">
        <v>45805</v>
      </c>
      <c r="D2373" s="7" t="s">
        <v>218</v>
      </c>
      <c r="E2373" s="7" t="s">
        <v>180</v>
      </c>
      <c r="F2373" s="6" t="n">
        <v>4</v>
      </c>
      <c r="G2373" s="6" t="n">
        <v>0</v>
      </c>
      <c r="H2373" s="41" t="n">
        <v>16.19</v>
      </c>
      <c r="I2373" s="43" t="n">
        <f aca="false">F2373*H2373</f>
        <v>64.76</v>
      </c>
      <c r="J2373" s="43" t="n">
        <f aca="false">G2373*H2373*1.5</f>
        <v>0</v>
      </c>
      <c r="K2373" s="6" t="n">
        <v>14.38</v>
      </c>
      <c r="L2373" s="43" t="n">
        <f aca="false">K2373*'Chart of Accounts'!$E$68</f>
        <v>9.6346</v>
      </c>
      <c r="O2373" s="42" t="n">
        <f aca="false">I2373+J2373+L2373</f>
        <v>74.3946</v>
      </c>
    </row>
    <row r="2374" customFormat="false" ht="15" hidden="false" customHeight="false" outlineLevel="0" collapsed="false">
      <c r="B2374" s="7" t="s">
        <v>11007</v>
      </c>
      <c r="C2374" s="39" t="n">
        <v>45805</v>
      </c>
      <c r="D2374" s="7" t="s">
        <v>220</v>
      </c>
      <c r="E2374" s="7" t="s">
        <v>180</v>
      </c>
      <c r="F2374" s="6" t="n">
        <v>3.7</v>
      </c>
      <c r="G2374" s="6" t="n">
        <v>0</v>
      </c>
      <c r="H2374" s="41" t="n">
        <v>16.43</v>
      </c>
      <c r="I2374" s="43" t="n">
        <f aca="false">F2374*H2374</f>
        <v>60.791</v>
      </c>
      <c r="J2374" s="43" t="n">
        <f aca="false">G2374*H2374*1.5</f>
        <v>0</v>
      </c>
      <c r="K2374" s="6" t="n">
        <v>11.52</v>
      </c>
      <c r="L2374" s="43" t="n">
        <f aca="false">K2374*'Chart of Accounts'!$E$68</f>
        <v>7.7184</v>
      </c>
      <c r="O2374" s="42" t="n">
        <f aca="false">I2374+J2374+L2374</f>
        <v>68.5094</v>
      </c>
    </row>
    <row r="2375" customFormat="false" ht="15" hidden="false" customHeight="false" outlineLevel="0" collapsed="false">
      <c r="B2375" s="7" t="s">
        <v>11008</v>
      </c>
      <c r="C2375" s="39" t="n">
        <v>45805</v>
      </c>
      <c r="D2375" s="7" t="s">
        <v>177</v>
      </c>
      <c r="E2375" s="7" t="s">
        <v>180</v>
      </c>
      <c r="F2375" s="6" t="n">
        <v>8.18</v>
      </c>
      <c r="G2375" s="6" t="n">
        <v>0</v>
      </c>
      <c r="H2375" s="41" t="n">
        <v>14.56</v>
      </c>
      <c r="I2375" s="43" t="n">
        <f aca="false">F2375*H2375</f>
        <v>119.1008</v>
      </c>
      <c r="J2375" s="43" t="n">
        <f aca="false">G2375*H2375*1.5</f>
        <v>0</v>
      </c>
      <c r="K2375" s="6" t="n">
        <v>19.12</v>
      </c>
      <c r="L2375" s="43" t="n">
        <f aca="false">K2375*'Chart of Accounts'!$E$68</f>
        <v>12.8104</v>
      </c>
      <c r="O2375" s="42" t="n">
        <f aca="false">I2375+J2375+L2375</f>
        <v>131.9112</v>
      </c>
    </row>
    <row r="2376" customFormat="false" ht="15" hidden="false" customHeight="false" outlineLevel="0" collapsed="false">
      <c r="B2376" s="7" t="s">
        <v>11009</v>
      </c>
      <c r="C2376" s="39" t="n">
        <v>45805</v>
      </c>
      <c r="D2376" s="7" t="s">
        <v>242</v>
      </c>
      <c r="E2376" s="7" t="s">
        <v>180</v>
      </c>
      <c r="F2376" s="6" t="n">
        <v>6.953</v>
      </c>
      <c r="G2376" s="6" t="n">
        <v>0.257</v>
      </c>
      <c r="H2376" s="41" t="n">
        <v>17.99</v>
      </c>
      <c r="I2376" s="43" t="n">
        <f aca="false">F2376*H2376</f>
        <v>125.08447</v>
      </c>
      <c r="J2376" s="43" t="n">
        <f aca="false">G2376*H2376*1.5</f>
        <v>6.935145</v>
      </c>
      <c r="K2376" s="6" t="n">
        <v>22.79</v>
      </c>
      <c r="L2376" s="43" t="n">
        <f aca="false">K2376*'Chart of Accounts'!$E$68</f>
        <v>15.2693</v>
      </c>
      <c r="O2376" s="42" t="n">
        <f aca="false">I2376+J2376+L2376</f>
        <v>147.288915</v>
      </c>
    </row>
    <row r="2377" customFormat="false" ht="15" hidden="false" customHeight="false" outlineLevel="0" collapsed="false">
      <c r="B2377" s="7" t="s">
        <v>11010</v>
      </c>
      <c r="C2377" s="39" t="n">
        <v>45805</v>
      </c>
      <c r="D2377" s="7" t="s">
        <v>254</v>
      </c>
      <c r="E2377" s="7" t="s">
        <v>180</v>
      </c>
      <c r="F2377" s="6" t="n">
        <v>7.96</v>
      </c>
      <c r="G2377" s="6" t="n">
        <v>0</v>
      </c>
      <c r="H2377" s="41" t="n">
        <v>17.1</v>
      </c>
      <c r="I2377" s="43" t="n">
        <f aca="false">F2377*H2377</f>
        <v>136.116</v>
      </c>
      <c r="J2377" s="43" t="n">
        <f aca="false">G2377*H2377*1.5</f>
        <v>0</v>
      </c>
      <c r="K2377" s="6" t="n">
        <v>22.7</v>
      </c>
      <c r="L2377" s="43" t="n">
        <f aca="false">K2377*'Chart of Accounts'!$E$68</f>
        <v>15.209</v>
      </c>
      <c r="O2377" s="42" t="n">
        <f aca="false">I2377+J2377+L2377</f>
        <v>151.325</v>
      </c>
    </row>
    <row r="2378" customFormat="false" ht="15" hidden="false" customHeight="false" outlineLevel="0" collapsed="false">
      <c r="B2378" s="7" t="s">
        <v>11011</v>
      </c>
      <c r="C2378" s="39" t="n">
        <v>45805</v>
      </c>
      <c r="D2378" s="7" t="s">
        <v>201</v>
      </c>
      <c r="E2378" s="7" t="s">
        <v>180</v>
      </c>
      <c r="F2378" s="6" t="n">
        <v>3.27</v>
      </c>
      <c r="G2378" s="6" t="n">
        <v>0</v>
      </c>
      <c r="H2378" s="41" t="n">
        <v>15.19</v>
      </c>
      <c r="I2378" s="43" t="n">
        <f aca="false">F2378*H2378</f>
        <v>49.6713</v>
      </c>
      <c r="J2378" s="43" t="n">
        <f aca="false">G2378*H2378*1.5</f>
        <v>0</v>
      </c>
      <c r="K2378" s="6" t="n">
        <v>11.58</v>
      </c>
      <c r="L2378" s="43" t="n">
        <f aca="false">K2378*'Chart of Accounts'!$E$68</f>
        <v>7.7586</v>
      </c>
      <c r="O2378" s="42" t="n">
        <f aca="false">I2378+J2378+L2378</f>
        <v>57.4299</v>
      </c>
    </row>
    <row r="2379" customFormat="false" ht="15" hidden="false" customHeight="false" outlineLevel="0" collapsed="false">
      <c r="B2379" s="7" t="s">
        <v>11012</v>
      </c>
      <c r="C2379" s="39" t="n">
        <v>45805</v>
      </c>
      <c r="D2379" s="7" t="s">
        <v>207</v>
      </c>
      <c r="E2379" s="7" t="s">
        <v>180</v>
      </c>
      <c r="F2379" s="6" t="n">
        <v>3.03</v>
      </c>
      <c r="G2379" s="6" t="n">
        <v>0</v>
      </c>
      <c r="H2379" s="41" t="n">
        <v>16.65</v>
      </c>
      <c r="I2379" s="43" t="n">
        <f aca="false">F2379*H2379</f>
        <v>50.4495</v>
      </c>
      <c r="J2379" s="43" t="n">
        <f aca="false">G2379*H2379*1.5</f>
        <v>0</v>
      </c>
      <c r="K2379" s="6" t="n">
        <v>7.06</v>
      </c>
      <c r="L2379" s="43" t="n">
        <f aca="false">K2379*'Chart of Accounts'!$E$68</f>
        <v>4.7302</v>
      </c>
      <c r="O2379" s="42" t="n">
        <f aca="false">I2379+J2379+L2379</f>
        <v>55.1797</v>
      </c>
    </row>
    <row r="2380" customFormat="false" ht="15" hidden="false" customHeight="false" outlineLevel="0" collapsed="false">
      <c r="B2380" s="7" t="s">
        <v>11013</v>
      </c>
      <c r="C2380" s="39" t="n">
        <v>45805</v>
      </c>
      <c r="D2380" s="7" t="s">
        <v>212</v>
      </c>
      <c r="E2380" s="7" t="s">
        <v>180</v>
      </c>
      <c r="F2380" s="6" t="n">
        <v>3.68</v>
      </c>
      <c r="G2380" s="6" t="n">
        <v>0</v>
      </c>
      <c r="H2380" s="41" t="n">
        <v>16.71</v>
      </c>
      <c r="I2380" s="43" t="n">
        <f aca="false">F2380*H2380</f>
        <v>61.4928</v>
      </c>
      <c r="J2380" s="43" t="n">
        <f aca="false">G2380*H2380*1.5</f>
        <v>0</v>
      </c>
      <c r="K2380" s="6" t="n">
        <v>12.84</v>
      </c>
      <c r="L2380" s="43" t="n">
        <f aca="false">K2380*'Chart of Accounts'!$E$68</f>
        <v>8.6028</v>
      </c>
      <c r="O2380" s="42" t="n">
        <f aca="false">I2380+J2380+L2380</f>
        <v>70.0956</v>
      </c>
    </row>
    <row r="2381" customFormat="false" ht="15" hidden="false" customHeight="false" outlineLevel="0" collapsed="false">
      <c r="B2381" s="7" t="s">
        <v>11014</v>
      </c>
      <c r="C2381" s="39" t="n">
        <v>45805</v>
      </c>
      <c r="D2381" s="7" t="s">
        <v>232</v>
      </c>
      <c r="E2381" s="7" t="s">
        <v>180</v>
      </c>
      <c r="F2381" s="6" t="n">
        <v>4.72</v>
      </c>
      <c r="G2381" s="6" t="n">
        <v>0</v>
      </c>
      <c r="H2381" s="41" t="n">
        <v>16.17</v>
      </c>
      <c r="I2381" s="43" t="n">
        <f aca="false">F2381*H2381</f>
        <v>76.3224</v>
      </c>
      <c r="J2381" s="43" t="n">
        <f aca="false">G2381*H2381*1.5</f>
        <v>0</v>
      </c>
      <c r="K2381" s="6" t="n">
        <v>14.59</v>
      </c>
      <c r="L2381" s="43" t="n">
        <f aca="false">K2381*'Chart of Accounts'!$E$68</f>
        <v>9.7753</v>
      </c>
      <c r="O2381" s="42" t="n">
        <f aca="false">I2381+J2381+L2381</f>
        <v>86.0977</v>
      </c>
    </row>
    <row r="2382" customFormat="false" ht="15" hidden="false" customHeight="false" outlineLevel="0" collapsed="false">
      <c r="B2382" s="7" t="s">
        <v>11015</v>
      </c>
      <c r="C2382" s="39" t="n">
        <v>45805</v>
      </c>
      <c r="D2382" s="7" t="s">
        <v>224</v>
      </c>
      <c r="E2382" s="7" t="s">
        <v>180</v>
      </c>
      <c r="F2382" s="6" t="n">
        <v>4.57</v>
      </c>
      <c r="G2382" s="6" t="n">
        <v>0</v>
      </c>
      <c r="H2382" s="41" t="n">
        <v>14.93</v>
      </c>
      <c r="I2382" s="43" t="n">
        <f aca="false">F2382*H2382</f>
        <v>68.2301</v>
      </c>
      <c r="J2382" s="43" t="n">
        <f aca="false">G2382*H2382*1.5</f>
        <v>0</v>
      </c>
      <c r="K2382" s="6" t="n">
        <v>11.29</v>
      </c>
      <c r="L2382" s="43" t="n">
        <f aca="false">K2382*'Chart of Accounts'!$E$68</f>
        <v>7.5643</v>
      </c>
      <c r="O2382" s="42" t="n">
        <f aca="false">I2382+J2382+L2382</f>
        <v>75.7944</v>
      </c>
    </row>
    <row r="2383" customFormat="false" ht="15" hidden="false" customHeight="false" outlineLevel="0" collapsed="false">
      <c r="B2383" s="7" t="s">
        <v>11016</v>
      </c>
      <c r="C2383" s="39" t="n">
        <v>45805</v>
      </c>
      <c r="D2383" s="7" t="s">
        <v>238</v>
      </c>
      <c r="E2383" s="7" t="s">
        <v>180</v>
      </c>
      <c r="F2383" s="6" t="n">
        <v>4.28</v>
      </c>
      <c r="G2383" s="6" t="n">
        <v>0</v>
      </c>
      <c r="H2383" s="41" t="n">
        <v>15.85</v>
      </c>
      <c r="I2383" s="43" t="n">
        <f aca="false">F2383*H2383</f>
        <v>67.838</v>
      </c>
      <c r="J2383" s="43" t="n">
        <f aca="false">G2383*H2383*1.5</f>
        <v>0</v>
      </c>
      <c r="K2383" s="6" t="n">
        <v>13.36</v>
      </c>
      <c r="L2383" s="43" t="n">
        <f aca="false">K2383*'Chart of Accounts'!$E$68</f>
        <v>8.9512</v>
      </c>
      <c r="O2383" s="42" t="n">
        <f aca="false">I2383+J2383+L2383</f>
        <v>76.7892</v>
      </c>
    </row>
    <row r="2384" customFormat="false" ht="15" hidden="false" customHeight="false" outlineLevel="0" collapsed="false">
      <c r="B2384" s="7" t="s">
        <v>11017</v>
      </c>
      <c r="C2384" s="39" t="n">
        <v>45805</v>
      </c>
      <c r="D2384" s="7" t="s">
        <v>246</v>
      </c>
      <c r="E2384" s="7" t="s">
        <v>180</v>
      </c>
      <c r="F2384" s="6" t="n">
        <v>7.44</v>
      </c>
      <c r="G2384" s="6" t="n">
        <v>0</v>
      </c>
      <c r="H2384" s="41" t="n">
        <v>16.48</v>
      </c>
      <c r="I2384" s="43" t="n">
        <f aca="false">F2384*H2384</f>
        <v>122.6112</v>
      </c>
      <c r="J2384" s="43" t="n">
        <f aca="false">G2384*H2384*1.5</f>
        <v>0</v>
      </c>
      <c r="K2384" s="6" t="n">
        <v>23.05</v>
      </c>
      <c r="L2384" s="43" t="n">
        <f aca="false">K2384*'Chart of Accounts'!$E$68</f>
        <v>15.4435</v>
      </c>
      <c r="O2384" s="42" t="n">
        <f aca="false">I2384+J2384+L2384</f>
        <v>138.0547</v>
      </c>
    </row>
    <row r="2385" customFormat="false" ht="15" hidden="false" customHeight="false" outlineLevel="0" collapsed="false">
      <c r="B2385" s="7" t="s">
        <v>11018</v>
      </c>
      <c r="C2385" s="39" t="n">
        <v>45805</v>
      </c>
      <c r="D2385" s="7" t="s">
        <v>203</v>
      </c>
      <c r="E2385" s="7" t="s">
        <v>158</v>
      </c>
      <c r="H2385" s="41" t="n">
        <v>49.43</v>
      </c>
      <c r="M2385" s="6" t="n">
        <v>1</v>
      </c>
      <c r="N2385" s="43" t="n">
        <f aca="false">M2385*H2385</f>
        <v>49.43</v>
      </c>
      <c r="O2385" s="42" t="n">
        <f aca="false">N2385</f>
        <v>49.43</v>
      </c>
    </row>
    <row r="2386" customFormat="false" ht="15" hidden="false" customHeight="false" outlineLevel="0" collapsed="false">
      <c r="B2386" s="7" t="s">
        <v>11019</v>
      </c>
      <c r="C2386" s="39" t="n">
        <v>45805</v>
      </c>
      <c r="D2386" s="7" t="s">
        <v>214</v>
      </c>
      <c r="E2386" s="7" t="s">
        <v>180</v>
      </c>
      <c r="F2386" s="6" t="n">
        <v>3.52</v>
      </c>
      <c r="G2386" s="6" t="n">
        <v>0</v>
      </c>
      <c r="H2386" s="41" t="n">
        <v>15.67</v>
      </c>
      <c r="I2386" s="43" t="n">
        <f aca="false">F2386*H2386</f>
        <v>55.1584</v>
      </c>
      <c r="J2386" s="43" t="n">
        <f aca="false">G2386*H2386*1.5</f>
        <v>0</v>
      </c>
      <c r="K2386" s="6" t="n">
        <v>7.76</v>
      </c>
      <c r="L2386" s="43" t="n">
        <f aca="false">K2386*'Chart of Accounts'!$E$68</f>
        <v>5.1992</v>
      </c>
      <c r="O2386" s="42" t="n">
        <f aca="false">I2386+J2386+L2386</f>
        <v>60.3576</v>
      </c>
    </row>
    <row r="2387" customFormat="false" ht="15" hidden="false" customHeight="false" outlineLevel="0" collapsed="false">
      <c r="B2387" s="7" t="s">
        <v>11020</v>
      </c>
      <c r="C2387" s="39" t="n">
        <v>45806</v>
      </c>
      <c r="D2387" s="7" t="s">
        <v>191</v>
      </c>
      <c r="E2387" s="7" t="s">
        <v>180</v>
      </c>
      <c r="F2387" s="6" t="n">
        <v>4.25</v>
      </c>
      <c r="G2387" s="6" t="n">
        <v>0</v>
      </c>
      <c r="H2387" s="41" t="n">
        <v>16.05</v>
      </c>
      <c r="I2387" s="43" t="n">
        <f aca="false">F2387*H2387</f>
        <v>68.2125</v>
      </c>
      <c r="J2387" s="43" t="n">
        <f aca="false">G2387*H2387*1.5</f>
        <v>0</v>
      </c>
      <c r="K2387" s="6" t="n">
        <v>12.37</v>
      </c>
      <c r="L2387" s="43" t="n">
        <f aca="false">K2387*'Chart of Accounts'!$E$68</f>
        <v>8.2879</v>
      </c>
      <c r="O2387" s="42" t="n">
        <f aca="false">I2387+J2387+L2387</f>
        <v>76.5004</v>
      </c>
    </row>
    <row r="2388" customFormat="false" ht="15" hidden="false" customHeight="false" outlineLevel="0" collapsed="false">
      <c r="B2388" s="7" t="s">
        <v>11021</v>
      </c>
      <c r="C2388" s="39" t="n">
        <v>45806</v>
      </c>
      <c r="D2388" s="7" t="s">
        <v>201</v>
      </c>
      <c r="E2388" s="7" t="s">
        <v>180</v>
      </c>
      <c r="F2388" s="6" t="n">
        <v>5.61</v>
      </c>
      <c r="G2388" s="6" t="n">
        <v>0</v>
      </c>
      <c r="H2388" s="41" t="n">
        <v>15.19</v>
      </c>
      <c r="I2388" s="43" t="n">
        <f aca="false">F2388*H2388</f>
        <v>85.2159</v>
      </c>
      <c r="J2388" s="43" t="n">
        <f aca="false">G2388*H2388*1.5</f>
        <v>0</v>
      </c>
      <c r="K2388" s="6" t="n">
        <v>14.05</v>
      </c>
      <c r="L2388" s="43" t="n">
        <f aca="false">K2388*'Chart of Accounts'!$E$68</f>
        <v>9.4135</v>
      </c>
      <c r="O2388" s="42" t="n">
        <f aca="false">I2388+J2388+L2388</f>
        <v>94.6294</v>
      </c>
    </row>
    <row r="2389" customFormat="false" ht="15" hidden="false" customHeight="false" outlineLevel="0" collapsed="false">
      <c r="B2389" s="7" t="s">
        <v>11022</v>
      </c>
      <c r="C2389" s="39" t="n">
        <v>45806</v>
      </c>
      <c r="D2389" s="7" t="s">
        <v>196</v>
      </c>
      <c r="E2389" s="7" t="s">
        <v>180</v>
      </c>
      <c r="F2389" s="6" t="n">
        <v>6.51</v>
      </c>
      <c r="G2389" s="6" t="n">
        <v>0</v>
      </c>
      <c r="H2389" s="41" t="n">
        <v>15.05</v>
      </c>
      <c r="I2389" s="43" t="n">
        <f aca="false">F2389*H2389</f>
        <v>97.9755</v>
      </c>
      <c r="J2389" s="43" t="n">
        <f aca="false">G2389*H2389*1.5</f>
        <v>0</v>
      </c>
      <c r="K2389" s="6" t="n">
        <v>19.64</v>
      </c>
      <c r="L2389" s="43" t="n">
        <f aca="false">K2389*'Chart of Accounts'!$E$68</f>
        <v>13.1588</v>
      </c>
      <c r="O2389" s="42" t="n">
        <f aca="false">I2389+J2389+L2389</f>
        <v>111.1343</v>
      </c>
    </row>
    <row r="2390" customFormat="false" ht="15" hidden="false" customHeight="false" outlineLevel="0" collapsed="false">
      <c r="B2390" s="7" t="s">
        <v>11023</v>
      </c>
      <c r="C2390" s="39" t="n">
        <v>45806</v>
      </c>
      <c r="D2390" s="7" t="s">
        <v>184</v>
      </c>
      <c r="E2390" s="7" t="s">
        <v>180</v>
      </c>
      <c r="F2390" s="6" t="n">
        <v>4.37</v>
      </c>
      <c r="G2390" s="6" t="n">
        <v>0</v>
      </c>
      <c r="H2390" s="41" t="n">
        <v>17.34</v>
      </c>
      <c r="I2390" s="43" t="n">
        <f aca="false">F2390*H2390</f>
        <v>75.7758</v>
      </c>
      <c r="J2390" s="43" t="n">
        <f aca="false">G2390*H2390*1.5</f>
        <v>0</v>
      </c>
      <c r="K2390" s="6" t="n">
        <v>10.52</v>
      </c>
      <c r="L2390" s="43" t="n">
        <f aca="false">K2390*'Chart of Accounts'!$E$68</f>
        <v>7.0484</v>
      </c>
      <c r="O2390" s="42" t="n">
        <f aca="false">I2390+J2390+L2390</f>
        <v>82.8242</v>
      </c>
    </row>
    <row r="2391" customFormat="false" ht="15" hidden="false" customHeight="false" outlineLevel="0" collapsed="false">
      <c r="B2391" s="7" t="s">
        <v>11024</v>
      </c>
      <c r="C2391" s="39" t="n">
        <v>45806</v>
      </c>
      <c r="D2391" s="7" t="s">
        <v>207</v>
      </c>
      <c r="E2391" s="7" t="s">
        <v>180</v>
      </c>
      <c r="F2391" s="6" t="n">
        <v>2.77</v>
      </c>
      <c r="G2391" s="6" t="n">
        <v>0</v>
      </c>
      <c r="H2391" s="41" t="n">
        <v>16.65</v>
      </c>
      <c r="I2391" s="43" t="n">
        <f aca="false">F2391*H2391</f>
        <v>46.1205</v>
      </c>
      <c r="J2391" s="43" t="n">
        <f aca="false">G2391*H2391*1.5</f>
        <v>0</v>
      </c>
      <c r="K2391" s="6" t="n">
        <v>6.86</v>
      </c>
      <c r="L2391" s="43" t="n">
        <f aca="false">K2391*'Chart of Accounts'!$E$68</f>
        <v>4.5962</v>
      </c>
      <c r="O2391" s="42" t="n">
        <f aca="false">I2391+J2391+L2391</f>
        <v>50.7167</v>
      </c>
    </row>
    <row r="2392" customFormat="false" ht="15" hidden="false" customHeight="false" outlineLevel="0" collapsed="false">
      <c r="B2392" s="7" t="s">
        <v>11025</v>
      </c>
      <c r="C2392" s="39" t="n">
        <v>45806</v>
      </c>
      <c r="D2392" s="7" t="s">
        <v>218</v>
      </c>
      <c r="E2392" s="7" t="s">
        <v>180</v>
      </c>
      <c r="F2392" s="6" t="n">
        <v>4.13</v>
      </c>
      <c r="G2392" s="6" t="n">
        <v>0</v>
      </c>
      <c r="H2392" s="41" t="n">
        <v>16.19</v>
      </c>
      <c r="I2392" s="43" t="n">
        <f aca="false">F2392*H2392</f>
        <v>66.8647</v>
      </c>
      <c r="J2392" s="43" t="n">
        <f aca="false">G2392*H2392*1.5</f>
        <v>0</v>
      </c>
      <c r="K2392" s="6" t="n">
        <v>13.2</v>
      </c>
      <c r="L2392" s="43" t="n">
        <f aca="false">K2392*'Chart of Accounts'!$E$68</f>
        <v>8.844</v>
      </c>
      <c r="O2392" s="42" t="n">
        <f aca="false">I2392+J2392+L2392</f>
        <v>75.7087</v>
      </c>
    </row>
    <row r="2393" customFormat="false" ht="15" hidden="false" customHeight="false" outlineLevel="0" collapsed="false">
      <c r="B2393" s="7" t="s">
        <v>11026</v>
      </c>
      <c r="C2393" s="39" t="n">
        <v>45806</v>
      </c>
      <c r="D2393" s="7" t="s">
        <v>212</v>
      </c>
      <c r="E2393" s="7" t="s">
        <v>180</v>
      </c>
      <c r="F2393" s="6" t="n">
        <v>7.43</v>
      </c>
      <c r="G2393" s="6" t="n">
        <v>0</v>
      </c>
      <c r="H2393" s="41" t="n">
        <v>16.71</v>
      </c>
      <c r="I2393" s="43" t="n">
        <f aca="false">F2393*H2393</f>
        <v>124.1553</v>
      </c>
      <c r="J2393" s="43" t="n">
        <f aca="false">G2393*H2393*1.5</f>
        <v>0</v>
      </c>
      <c r="K2393" s="6" t="n">
        <v>19.69</v>
      </c>
      <c r="L2393" s="43" t="n">
        <f aca="false">K2393*'Chart of Accounts'!$E$68</f>
        <v>13.1923</v>
      </c>
      <c r="O2393" s="42" t="n">
        <f aca="false">I2393+J2393+L2393</f>
        <v>137.3476</v>
      </c>
    </row>
    <row r="2394" customFormat="false" ht="15" hidden="false" customHeight="false" outlineLevel="0" collapsed="false">
      <c r="B2394" s="7" t="s">
        <v>11027</v>
      </c>
      <c r="C2394" s="39" t="n">
        <v>45806</v>
      </c>
      <c r="D2394" s="7" t="s">
        <v>220</v>
      </c>
      <c r="E2394" s="7" t="s">
        <v>180</v>
      </c>
      <c r="F2394" s="6" t="n">
        <v>3.84</v>
      </c>
      <c r="G2394" s="6" t="n">
        <v>0</v>
      </c>
      <c r="H2394" s="41" t="n">
        <v>16.43</v>
      </c>
      <c r="I2394" s="43" t="n">
        <f aca="false">F2394*H2394</f>
        <v>63.0912</v>
      </c>
      <c r="J2394" s="43" t="n">
        <f aca="false">G2394*H2394*1.5</f>
        <v>0</v>
      </c>
      <c r="K2394" s="6" t="n">
        <v>8.52</v>
      </c>
      <c r="L2394" s="43" t="n">
        <f aca="false">K2394*'Chart of Accounts'!$E$68</f>
        <v>5.7084</v>
      </c>
      <c r="O2394" s="42" t="n">
        <f aca="false">I2394+J2394+L2394</f>
        <v>68.7996</v>
      </c>
    </row>
    <row r="2395" customFormat="false" ht="15" hidden="false" customHeight="false" outlineLevel="0" collapsed="false">
      <c r="B2395" s="7" t="s">
        <v>11028</v>
      </c>
      <c r="C2395" s="39" t="n">
        <v>45806</v>
      </c>
      <c r="D2395" s="7" t="s">
        <v>224</v>
      </c>
      <c r="E2395" s="7" t="s">
        <v>180</v>
      </c>
      <c r="F2395" s="6" t="n">
        <v>4.3</v>
      </c>
      <c r="G2395" s="6" t="n">
        <v>0</v>
      </c>
      <c r="H2395" s="41" t="n">
        <v>14.93</v>
      </c>
      <c r="I2395" s="43" t="n">
        <f aca="false">F2395*H2395</f>
        <v>64.199</v>
      </c>
      <c r="J2395" s="43" t="n">
        <f aca="false">G2395*H2395*1.5</f>
        <v>0</v>
      </c>
      <c r="K2395" s="6" t="n">
        <v>14.9</v>
      </c>
      <c r="L2395" s="43" t="n">
        <f aca="false">K2395*'Chart of Accounts'!$E$68</f>
        <v>9.983</v>
      </c>
      <c r="O2395" s="42" t="n">
        <f aca="false">I2395+J2395+L2395</f>
        <v>74.182</v>
      </c>
    </row>
    <row r="2396" customFormat="false" ht="15" hidden="false" customHeight="false" outlineLevel="0" collapsed="false">
      <c r="B2396" s="7" t="s">
        <v>11029</v>
      </c>
      <c r="C2396" s="39" t="n">
        <v>45806</v>
      </c>
      <c r="D2396" s="7" t="s">
        <v>232</v>
      </c>
      <c r="E2396" s="7" t="s">
        <v>180</v>
      </c>
      <c r="F2396" s="6" t="n">
        <v>2.82</v>
      </c>
      <c r="G2396" s="6" t="n">
        <v>0</v>
      </c>
      <c r="H2396" s="41" t="n">
        <v>16.17</v>
      </c>
      <c r="I2396" s="43" t="n">
        <f aca="false">F2396*H2396</f>
        <v>45.5994</v>
      </c>
      <c r="J2396" s="43" t="n">
        <f aca="false">G2396*H2396*1.5</f>
        <v>0</v>
      </c>
      <c r="K2396" s="6" t="n">
        <v>7.82</v>
      </c>
      <c r="L2396" s="43" t="n">
        <f aca="false">K2396*'Chart of Accounts'!$E$68</f>
        <v>5.2394</v>
      </c>
      <c r="O2396" s="42" t="n">
        <f aca="false">I2396+J2396+L2396</f>
        <v>50.8388</v>
      </c>
    </row>
    <row r="2397" customFormat="false" ht="15" hidden="false" customHeight="false" outlineLevel="0" collapsed="false">
      <c r="B2397" s="7" t="s">
        <v>11030</v>
      </c>
      <c r="C2397" s="39" t="n">
        <v>45806</v>
      </c>
      <c r="D2397" s="7" t="s">
        <v>238</v>
      </c>
      <c r="E2397" s="7" t="s">
        <v>180</v>
      </c>
      <c r="F2397" s="6" t="n">
        <v>3.97</v>
      </c>
      <c r="G2397" s="6" t="n">
        <v>0</v>
      </c>
      <c r="H2397" s="41" t="n">
        <v>15.85</v>
      </c>
      <c r="I2397" s="43" t="n">
        <f aca="false">F2397*H2397</f>
        <v>62.9245</v>
      </c>
      <c r="J2397" s="43" t="n">
        <f aca="false">G2397*H2397*1.5</f>
        <v>0</v>
      </c>
      <c r="K2397" s="6" t="n">
        <v>12</v>
      </c>
      <c r="L2397" s="43" t="n">
        <f aca="false">K2397*'Chart of Accounts'!$E$68</f>
        <v>8.04</v>
      </c>
      <c r="O2397" s="42" t="n">
        <f aca="false">I2397+J2397+L2397</f>
        <v>70.9645</v>
      </c>
    </row>
    <row r="2398" customFormat="false" ht="15" hidden="false" customHeight="false" outlineLevel="0" collapsed="false">
      <c r="B2398" s="7" t="s">
        <v>11031</v>
      </c>
      <c r="C2398" s="39" t="n">
        <v>45806</v>
      </c>
      <c r="D2398" s="7" t="s">
        <v>246</v>
      </c>
      <c r="E2398" s="7" t="s">
        <v>180</v>
      </c>
      <c r="F2398" s="6" t="n">
        <v>7.69</v>
      </c>
      <c r="G2398" s="6" t="n">
        <v>0</v>
      </c>
      <c r="H2398" s="41" t="n">
        <v>16.48</v>
      </c>
      <c r="I2398" s="43" t="n">
        <f aca="false">F2398*H2398</f>
        <v>126.7312</v>
      </c>
      <c r="J2398" s="43" t="n">
        <f aca="false">G2398*H2398*1.5</f>
        <v>0</v>
      </c>
      <c r="K2398" s="6" t="n">
        <v>20.58</v>
      </c>
      <c r="L2398" s="43" t="n">
        <f aca="false">K2398*'Chart of Accounts'!$E$68</f>
        <v>13.7886</v>
      </c>
      <c r="O2398" s="42" t="n">
        <f aca="false">I2398+J2398+L2398</f>
        <v>140.5198</v>
      </c>
    </row>
    <row r="2399" customFormat="false" ht="15" hidden="false" customHeight="false" outlineLevel="0" collapsed="false">
      <c r="B2399" s="7" t="s">
        <v>11032</v>
      </c>
      <c r="C2399" s="39" t="n">
        <v>45806</v>
      </c>
      <c r="D2399" s="7" t="s">
        <v>194</v>
      </c>
      <c r="E2399" s="7" t="s">
        <v>180</v>
      </c>
      <c r="F2399" s="6" t="n">
        <v>4.33</v>
      </c>
      <c r="G2399" s="6" t="n">
        <v>0</v>
      </c>
      <c r="H2399" s="41" t="n">
        <v>16</v>
      </c>
      <c r="I2399" s="43" t="n">
        <f aca="false">F2399*H2399</f>
        <v>69.28</v>
      </c>
      <c r="J2399" s="43" t="n">
        <f aca="false">G2399*H2399*1.5</f>
        <v>0</v>
      </c>
      <c r="K2399" s="6" t="n">
        <v>15.31</v>
      </c>
      <c r="L2399" s="43" t="n">
        <f aca="false">K2399*'Chart of Accounts'!$E$68</f>
        <v>10.2577</v>
      </c>
      <c r="O2399" s="42" t="n">
        <f aca="false">I2399+J2399+L2399</f>
        <v>79.5377</v>
      </c>
    </row>
    <row r="2400" customFormat="false" ht="15" hidden="false" customHeight="false" outlineLevel="0" collapsed="false">
      <c r="B2400" s="7" t="s">
        <v>11033</v>
      </c>
      <c r="C2400" s="39" t="n">
        <v>45806</v>
      </c>
      <c r="D2400" s="7" t="s">
        <v>214</v>
      </c>
      <c r="E2400" s="7" t="s">
        <v>180</v>
      </c>
      <c r="F2400" s="6" t="n">
        <v>4.22</v>
      </c>
      <c r="G2400" s="6" t="n">
        <v>0</v>
      </c>
      <c r="H2400" s="41" t="n">
        <v>15.67</v>
      </c>
      <c r="I2400" s="43" t="n">
        <f aca="false">F2400*H2400</f>
        <v>66.1274</v>
      </c>
      <c r="J2400" s="43" t="n">
        <f aca="false">G2400*H2400*1.5</f>
        <v>0</v>
      </c>
      <c r="K2400" s="6" t="n">
        <v>11.25</v>
      </c>
      <c r="L2400" s="43" t="n">
        <f aca="false">K2400*'Chart of Accounts'!$E$68</f>
        <v>7.5375</v>
      </c>
      <c r="O2400" s="42" t="n">
        <f aca="false">I2400+J2400+L2400</f>
        <v>73.6649</v>
      </c>
    </row>
    <row r="2401" customFormat="false" ht="15" hidden="false" customHeight="false" outlineLevel="0" collapsed="false">
      <c r="B2401" s="7" t="s">
        <v>11034</v>
      </c>
      <c r="C2401" s="39" t="n">
        <v>45806</v>
      </c>
      <c r="D2401" s="7" t="s">
        <v>222</v>
      </c>
      <c r="E2401" s="7" t="s">
        <v>180</v>
      </c>
      <c r="F2401" s="6" t="n">
        <v>4.12</v>
      </c>
      <c r="G2401" s="6" t="n">
        <v>0</v>
      </c>
      <c r="H2401" s="41" t="n">
        <v>17.84</v>
      </c>
      <c r="I2401" s="43" t="n">
        <f aca="false">F2401*H2401</f>
        <v>73.5008</v>
      </c>
      <c r="J2401" s="43" t="n">
        <f aca="false">G2401*H2401*1.5</f>
        <v>0</v>
      </c>
      <c r="K2401" s="6" t="n">
        <v>13.48</v>
      </c>
      <c r="L2401" s="43" t="n">
        <f aca="false">K2401*'Chart of Accounts'!$E$68</f>
        <v>9.0316</v>
      </c>
      <c r="O2401" s="42" t="n">
        <f aca="false">I2401+J2401+L2401</f>
        <v>82.5324</v>
      </c>
    </row>
    <row r="2402" customFormat="false" ht="15" hidden="false" customHeight="false" outlineLevel="0" collapsed="false">
      <c r="B2402" s="7" t="s">
        <v>11035</v>
      </c>
      <c r="C2402" s="39" t="n">
        <v>45806</v>
      </c>
      <c r="D2402" s="7" t="s">
        <v>242</v>
      </c>
      <c r="E2402" s="7" t="s">
        <v>180</v>
      </c>
      <c r="F2402" s="6" t="n">
        <v>4.05</v>
      </c>
      <c r="G2402" s="6" t="n">
        <v>0.15</v>
      </c>
      <c r="H2402" s="41" t="n">
        <v>17.99</v>
      </c>
      <c r="I2402" s="43" t="n">
        <f aca="false">F2402*H2402</f>
        <v>72.8595</v>
      </c>
      <c r="J2402" s="43" t="n">
        <f aca="false">G2402*H2402*1.5</f>
        <v>4.04775</v>
      </c>
      <c r="K2402" s="6" t="n">
        <v>13.52</v>
      </c>
      <c r="L2402" s="43" t="n">
        <f aca="false">K2402*'Chart of Accounts'!$E$68</f>
        <v>9.0584</v>
      </c>
      <c r="O2402" s="42" t="n">
        <f aca="false">I2402+J2402+L2402</f>
        <v>85.96565</v>
      </c>
    </row>
    <row r="2403" customFormat="false" ht="15" hidden="false" customHeight="false" outlineLevel="0" collapsed="false">
      <c r="B2403" s="7" t="s">
        <v>11036</v>
      </c>
      <c r="C2403" s="39" t="n">
        <v>45806</v>
      </c>
      <c r="D2403" s="7" t="s">
        <v>254</v>
      </c>
      <c r="E2403" s="7" t="s">
        <v>180</v>
      </c>
      <c r="F2403" s="6" t="n">
        <v>3.75</v>
      </c>
      <c r="G2403" s="6" t="n">
        <v>0</v>
      </c>
      <c r="H2403" s="41" t="n">
        <v>17.1</v>
      </c>
      <c r="I2403" s="43" t="n">
        <f aca="false">F2403*H2403</f>
        <v>64.125</v>
      </c>
      <c r="J2403" s="43" t="n">
        <f aca="false">G2403*H2403*1.5</f>
        <v>0</v>
      </c>
      <c r="K2403" s="6" t="n">
        <v>9.43</v>
      </c>
      <c r="L2403" s="43" t="n">
        <f aca="false">K2403*'Chart of Accounts'!$E$68</f>
        <v>6.3181</v>
      </c>
      <c r="O2403" s="42" t="n">
        <f aca="false">I2403+J2403+L2403</f>
        <v>70.4431</v>
      </c>
    </row>
    <row r="2404" customFormat="false" ht="15" hidden="false" customHeight="false" outlineLevel="0" collapsed="false">
      <c r="B2404" s="7" t="s">
        <v>11037</v>
      </c>
      <c r="C2404" s="39" t="n">
        <v>45807</v>
      </c>
      <c r="D2404" s="7" t="s">
        <v>187</v>
      </c>
      <c r="E2404" s="7" t="s">
        <v>158</v>
      </c>
      <c r="H2404" s="41" t="n">
        <v>66.48</v>
      </c>
      <c r="M2404" s="6" t="n">
        <v>1</v>
      </c>
      <c r="N2404" s="43" t="n">
        <f aca="false">M2404*H2404</f>
        <v>66.48</v>
      </c>
      <c r="O2404" s="42" t="n">
        <f aca="false">N2404</f>
        <v>66.48</v>
      </c>
    </row>
    <row r="2405" customFormat="false" ht="15" hidden="false" customHeight="false" outlineLevel="0" collapsed="false">
      <c r="B2405" s="7" t="s">
        <v>11038</v>
      </c>
      <c r="C2405" s="39" t="n">
        <v>45807</v>
      </c>
      <c r="D2405" s="7" t="s">
        <v>191</v>
      </c>
      <c r="E2405" s="7" t="s">
        <v>180</v>
      </c>
      <c r="F2405" s="6" t="n">
        <v>3.67</v>
      </c>
      <c r="G2405" s="6" t="n">
        <v>0</v>
      </c>
      <c r="H2405" s="41" t="n">
        <v>16.05</v>
      </c>
      <c r="I2405" s="43" t="n">
        <f aca="false">F2405*H2405</f>
        <v>58.9035</v>
      </c>
      <c r="J2405" s="43" t="n">
        <f aca="false">G2405*H2405*1.5</f>
        <v>0</v>
      </c>
      <c r="K2405" s="6" t="n">
        <v>12</v>
      </c>
      <c r="L2405" s="43" t="n">
        <f aca="false">K2405*'Chart of Accounts'!$E$68</f>
        <v>8.04</v>
      </c>
      <c r="O2405" s="42" t="n">
        <f aca="false">I2405+J2405+L2405</f>
        <v>66.9435</v>
      </c>
    </row>
    <row r="2406" customFormat="false" ht="15" hidden="false" customHeight="false" outlineLevel="0" collapsed="false">
      <c r="B2406" s="7" t="s">
        <v>11039</v>
      </c>
      <c r="C2406" s="39" t="n">
        <v>45807</v>
      </c>
      <c r="D2406" s="7" t="s">
        <v>194</v>
      </c>
      <c r="E2406" s="7" t="s">
        <v>180</v>
      </c>
      <c r="F2406" s="6" t="n">
        <v>8.98</v>
      </c>
      <c r="G2406" s="6" t="n">
        <v>0</v>
      </c>
      <c r="H2406" s="41" t="n">
        <v>16</v>
      </c>
      <c r="I2406" s="43" t="n">
        <f aca="false">F2406*H2406</f>
        <v>143.68</v>
      </c>
      <c r="J2406" s="43" t="n">
        <f aca="false">G2406*H2406*1.5</f>
        <v>0</v>
      </c>
      <c r="K2406" s="6" t="n">
        <v>31.85</v>
      </c>
      <c r="L2406" s="43" t="n">
        <f aca="false">K2406*'Chart of Accounts'!$E$68</f>
        <v>21.3395</v>
      </c>
      <c r="O2406" s="42" t="n">
        <f aca="false">I2406+J2406+L2406</f>
        <v>165.0195</v>
      </c>
    </row>
    <row r="2407" customFormat="false" ht="15" hidden="false" customHeight="false" outlineLevel="0" collapsed="false">
      <c r="B2407" s="7" t="s">
        <v>11040</v>
      </c>
      <c r="C2407" s="39" t="n">
        <v>45807</v>
      </c>
      <c r="D2407" s="7" t="s">
        <v>209</v>
      </c>
      <c r="E2407" s="7" t="s">
        <v>158</v>
      </c>
      <c r="H2407" s="41" t="n">
        <v>73.58</v>
      </c>
      <c r="M2407" s="6" t="n">
        <v>1</v>
      </c>
      <c r="N2407" s="43" t="n">
        <f aca="false">M2407*H2407</f>
        <v>73.58</v>
      </c>
      <c r="O2407" s="42" t="n">
        <f aca="false">N2407</f>
        <v>73.58</v>
      </c>
    </row>
    <row r="2408" customFormat="false" ht="15" hidden="false" customHeight="false" outlineLevel="0" collapsed="false">
      <c r="B2408" s="7" t="s">
        <v>11041</v>
      </c>
      <c r="C2408" s="39" t="n">
        <v>45807</v>
      </c>
      <c r="D2408" s="7" t="s">
        <v>205</v>
      </c>
      <c r="E2408" s="7" t="s">
        <v>180</v>
      </c>
      <c r="F2408" s="6" t="n">
        <v>4.19</v>
      </c>
      <c r="G2408" s="6" t="n">
        <v>0</v>
      </c>
      <c r="H2408" s="41" t="n">
        <v>16.36</v>
      </c>
      <c r="I2408" s="43" t="n">
        <f aca="false">F2408*H2408</f>
        <v>68.5484</v>
      </c>
      <c r="J2408" s="43" t="n">
        <f aca="false">G2408*H2408*1.5</f>
        <v>0</v>
      </c>
      <c r="K2408" s="6" t="n">
        <v>14.67</v>
      </c>
      <c r="L2408" s="43" t="n">
        <f aca="false">K2408*'Chart of Accounts'!$E$68</f>
        <v>9.8289</v>
      </c>
      <c r="O2408" s="42" t="n">
        <f aca="false">I2408+J2408+L2408</f>
        <v>78.3773</v>
      </c>
    </row>
    <row r="2409" customFormat="false" ht="15" hidden="false" customHeight="false" outlineLevel="0" collapsed="false">
      <c r="B2409" s="7" t="s">
        <v>11042</v>
      </c>
      <c r="C2409" s="39" t="n">
        <v>45807</v>
      </c>
      <c r="D2409" s="7" t="s">
        <v>264</v>
      </c>
      <c r="E2409" s="7" t="s">
        <v>158</v>
      </c>
      <c r="H2409" s="41" t="n">
        <v>55.55</v>
      </c>
      <c r="M2409" s="6" t="n">
        <v>1</v>
      </c>
      <c r="N2409" s="43" t="n">
        <f aca="false">M2409*H2409</f>
        <v>55.55</v>
      </c>
      <c r="O2409" s="42" t="n">
        <f aca="false">N2409</f>
        <v>55.55</v>
      </c>
    </row>
    <row r="2410" customFormat="false" ht="15" hidden="false" customHeight="false" outlineLevel="0" collapsed="false">
      <c r="B2410" s="7" t="s">
        <v>11043</v>
      </c>
      <c r="C2410" s="39" t="n">
        <v>45807</v>
      </c>
      <c r="D2410" s="7" t="s">
        <v>252</v>
      </c>
      <c r="E2410" s="7" t="s">
        <v>158</v>
      </c>
      <c r="H2410" s="41" t="n">
        <v>57.54</v>
      </c>
      <c r="M2410" s="6" t="n">
        <v>1</v>
      </c>
      <c r="N2410" s="43" t="n">
        <f aca="false">M2410*H2410</f>
        <v>57.54</v>
      </c>
      <c r="O2410" s="42" t="n">
        <f aca="false">N2410</f>
        <v>57.54</v>
      </c>
    </row>
    <row r="2411" customFormat="false" ht="15" hidden="false" customHeight="false" outlineLevel="0" collapsed="false">
      <c r="B2411" s="7" t="s">
        <v>11044</v>
      </c>
      <c r="C2411" s="39" t="n">
        <v>45807</v>
      </c>
      <c r="D2411" s="7" t="s">
        <v>184</v>
      </c>
      <c r="E2411" s="7" t="s">
        <v>180</v>
      </c>
      <c r="F2411" s="6" t="n">
        <v>4.12</v>
      </c>
      <c r="G2411" s="6" t="n">
        <v>0</v>
      </c>
      <c r="H2411" s="41" t="n">
        <v>17.34</v>
      </c>
      <c r="I2411" s="43" t="n">
        <f aca="false">F2411*H2411</f>
        <v>71.4408</v>
      </c>
      <c r="J2411" s="43" t="n">
        <f aca="false">G2411*H2411*1.5</f>
        <v>0</v>
      </c>
      <c r="K2411" s="6" t="n">
        <v>13.01</v>
      </c>
      <c r="L2411" s="43" t="n">
        <f aca="false">K2411*'Chart of Accounts'!$E$68</f>
        <v>8.7167</v>
      </c>
      <c r="O2411" s="42" t="n">
        <f aca="false">I2411+J2411+L2411</f>
        <v>80.1575</v>
      </c>
    </row>
    <row r="2412" customFormat="false" ht="15" hidden="false" customHeight="false" outlineLevel="0" collapsed="false">
      <c r="B2412" s="7" t="s">
        <v>11045</v>
      </c>
      <c r="C2412" s="39" t="n">
        <v>45807</v>
      </c>
      <c r="D2412" s="7" t="s">
        <v>234</v>
      </c>
      <c r="E2412" s="7" t="s">
        <v>158</v>
      </c>
      <c r="H2412" s="41" t="n">
        <v>89.53</v>
      </c>
      <c r="M2412" s="6" t="n">
        <v>1</v>
      </c>
      <c r="N2412" s="43" t="n">
        <f aca="false">M2412*H2412</f>
        <v>89.53</v>
      </c>
      <c r="O2412" s="42" t="n">
        <f aca="false">N2412</f>
        <v>89.53</v>
      </c>
    </row>
    <row r="2413" customFormat="false" ht="15" hidden="false" customHeight="false" outlineLevel="0" collapsed="false">
      <c r="B2413" s="7" t="s">
        <v>11046</v>
      </c>
      <c r="C2413" s="39" t="n">
        <v>45807</v>
      </c>
      <c r="D2413" s="7" t="s">
        <v>218</v>
      </c>
      <c r="E2413" s="7" t="s">
        <v>180</v>
      </c>
      <c r="F2413" s="6" t="n">
        <v>3.65</v>
      </c>
      <c r="G2413" s="6" t="n">
        <v>0</v>
      </c>
      <c r="H2413" s="41" t="n">
        <v>16.19</v>
      </c>
      <c r="I2413" s="43" t="n">
        <f aca="false">F2413*H2413</f>
        <v>59.0935</v>
      </c>
      <c r="J2413" s="43" t="n">
        <f aca="false">G2413*H2413*1.5</f>
        <v>0</v>
      </c>
      <c r="K2413" s="6" t="n">
        <v>10.04</v>
      </c>
      <c r="L2413" s="43" t="n">
        <f aca="false">K2413*'Chart of Accounts'!$E$68</f>
        <v>6.7268</v>
      </c>
      <c r="O2413" s="42" t="n">
        <f aca="false">I2413+J2413+L2413</f>
        <v>65.8203</v>
      </c>
    </row>
    <row r="2414" customFormat="false" ht="15" hidden="false" customHeight="false" outlineLevel="0" collapsed="false">
      <c r="B2414" s="7" t="s">
        <v>11047</v>
      </c>
      <c r="C2414" s="39" t="n">
        <v>45807</v>
      </c>
      <c r="D2414" s="7" t="s">
        <v>266</v>
      </c>
      <c r="E2414" s="7" t="s">
        <v>158</v>
      </c>
      <c r="H2414" s="41" t="n">
        <v>75.18</v>
      </c>
      <c r="M2414" s="6" t="n">
        <v>1</v>
      </c>
      <c r="N2414" s="43" t="n">
        <f aca="false">M2414*H2414</f>
        <v>75.18</v>
      </c>
      <c r="O2414" s="42" t="n">
        <f aca="false">N2414</f>
        <v>75.18</v>
      </c>
    </row>
    <row r="2415" customFormat="false" ht="15" hidden="false" customHeight="false" outlineLevel="0" collapsed="false">
      <c r="B2415" s="7" t="s">
        <v>11048</v>
      </c>
      <c r="C2415" s="39" t="n">
        <v>45807</v>
      </c>
      <c r="D2415" s="7" t="s">
        <v>228</v>
      </c>
      <c r="E2415" s="7" t="s">
        <v>158</v>
      </c>
      <c r="H2415" s="41" t="n">
        <v>51.07</v>
      </c>
      <c r="M2415" s="6" t="n">
        <v>1</v>
      </c>
      <c r="N2415" s="43" t="n">
        <f aca="false">M2415*H2415</f>
        <v>51.07</v>
      </c>
      <c r="O2415" s="42" t="n">
        <f aca="false">N2415</f>
        <v>51.07</v>
      </c>
    </row>
    <row r="2416" customFormat="false" ht="15" hidden="false" customHeight="false" outlineLevel="0" collapsed="false">
      <c r="B2416" s="7" t="s">
        <v>11049</v>
      </c>
      <c r="C2416" s="39" t="n">
        <v>45807</v>
      </c>
      <c r="D2416" s="7" t="s">
        <v>220</v>
      </c>
      <c r="E2416" s="7" t="s">
        <v>180</v>
      </c>
      <c r="F2416" s="6" t="n">
        <v>3.81</v>
      </c>
      <c r="G2416" s="6" t="n">
        <v>0</v>
      </c>
      <c r="H2416" s="41" t="n">
        <v>16.43</v>
      </c>
      <c r="I2416" s="43" t="n">
        <f aca="false">F2416*H2416</f>
        <v>62.5983</v>
      </c>
      <c r="J2416" s="43" t="n">
        <f aca="false">G2416*H2416*1.5</f>
        <v>0</v>
      </c>
      <c r="K2416" s="6" t="n">
        <v>9.43</v>
      </c>
      <c r="L2416" s="43" t="n">
        <f aca="false">K2416*'Chart of Accounts'!$E$68</f>
        <v>6.3181</v>
      </c>
      <c r="O2416" s="42" t="n">
        <f aca="false">I2416+J2416+L2416</f>
        <v>68.9164</v>
      </c>
    </row>
    <row r="2417" customFormat="false" ht="15" hidden="false" customHeight="false" outlineLevel="0" collapsed="false">
      <c r="B2417" s="7" t="s">
        <v>11050</v>
      </c>
      <c r="C2417" s="39" t="n">
        <v>45807</v>
      </c>
      <c r="D2417" s="7" t="s">
        <v>177</v>
      </c>
      <c r="E2417" s="7" t="s">
        <v>180</v>
      </c>
      <c r="F2417" s="6" t="n">
        <v>8.7</v>
      </c>
      <c r="G2417" s="6" t="n">
        <v>0</v>
      </c>
      <c r="H2417" s="41" t="n">
        <v>14.56</v>
      </c>
      <c r="I2417" s="43" t="n">
        <f aca="false">F2417*H2417</f>
        <v>126.672</v>
      </c>
      <c r="J2417" s="43" t="n">
        <f aca="false">G2417*H2417*1.5</f>
        <v>0</v>
      </c>
      <c r="K2417" s="6" t="n">
        <v>24.73</v>
      </c>
      <c r="L2417" s="43" t="n">
        <f aca="false">K2417*'Chart of Accounts'!$E$68</f>
        <v>16.5691</v>
      </c>
      <c r="O2417" s="42" t="n">
        <f aca="false">I2417+J2417+L2417</f>
        <v>143.2411</v>
      </c>
    </row>
    <row r="2418" customFormat="false" ht="15" hidden="false" customHeight="false" outlineLevel="0" collapsed="false">
      <c r="B2418" s="7" t="s">
        <v>11051</v>
      </c>
      <c r="C2418" s="39" t="n">
        <v>45807</v>
      </c>
      <c r="D2418" s="7" t="s">
        <v>242</v>
      </c>
      <c r="E2418" s="7" t="s">
        <v>180</v>
      </c>
      <c r="F2418" s="6" t="n">
        <v>10.53</v>
      </c>
      <c r="G2418" s="6" t="n">
        <v>0.39</v>
      </c>
      <c r="H2418" s="41" t="n">
        <v>17.99</v>
      </c>
      <c r="I2418" s="43" t="n">
        <f aca="false">F2418*H2418</f>
        <v>189.4347</v>
      </c>
      <c r="J2418" s="43" t="n">
        <f aca="false">G2418*H2418*1.5</f>
        <v>10.52415</v>
      </c>
      <c r="K2418" s="6" t="n">
        <v>28.82</v>
      </c>
      <c r="L2418" s="43" t="n">
        <f aca="false">K2418*'Chart of Accounts'!$E$68</f>
        <v>19.3094</v>
      </c>
      <c r="O2418" s="42" t="n">
        <f aca="false">I2418+J2418+L2418</f>
        <v>219.26825</v>
      </c>
    </row>
    <row r="2419" customFormat="false" ht="15" hidden="false" customHeight="false" outlineLevel="0" collapsed="false">
      <c r="B2419" s="7" t="s">
        <v>11052</v>
      </c>
      <c r="C2419" s="39" t="n">
        <v>45807</v>
      </c>
      <c r="D2419" s="7" t="s">
        <v>254</v>
      </c>
      <c r="E2419" s="7" t="s">
        <v>180</v>
      </c>
      <c r="F2419" s="6" t="n">
        <v>7.76</v>
      </c>
      <c r="G2419" s="6" t="n">
        <v>0</v>
      </c>
      <c r="H2419" s="41" t="n">
        <v>17.1</v>
      </c>
      <c r="I2419" s="43" t="n">
        <f aca="false">F2419*H2419</f>
        <v>132.696</v>
      </c>
      <c r="J2419" s="43" t="n">
        <f aca="false">G2419*H2419*1.5</f>
        <v>0</v>
      </c>
      <c r="K2419" s="6" t="n">
        <v>24.36</v>
      </c>
      <c r="L2419" s="43" t="n">
        <f aca="false">K2419*'Chart of Accounts'!$E$68</f>
        <v>16.3212</v>
      </c>
      <c r="O2419" s="42" t="n">
        <f aca="false">I2419+J2419+L2419</f>
        <v>149.0172</v>
      </c>
    </row>
    <row r="2420" customFormat="false" ht="15" hidden="false" customHeight="false" outlineLevel="0" collapsed="false">
      <c r="B2420" s="7" t="s">
        <v>11053</v>
      </c>
      <c r="C2420" s="39" t="n">
        <v>45807</v>
      </c>
      <c r="D2420" s="7" t="s">
        <v>201</v>
      </c>
      <c r="E2420" s="7" t="s">
        <v>180</v>
      </c>
      <c r="F2420" s="6" t="n">
        <v>3.6</v>
      </c>
      <c r="G2420" s="6" t="n">
        <v>0</v>
      </c>
      <c r="H2420" s="41" t="n">
        <v>15.19</v>
      </c>
      <c r="I2420" s="43" t="n">
        <f aca="false">F2420*H2420</f>
        <v>54.684</v>
      </c>
      <c r="J2420" s="43" t="n">
        <f aca="false">G2420*H2420*1.5</f>
        <v>0</v>
      </c>
      <c r="K2420" s="6" t="n">
        <v>9.59</v>
      </c>
      <c r="L2420" s="43" t="n">
        <f aca="false">K2420*'Chart of Accounts'!$E$68</f>
        <v>6.4253</v>
      </c>
      <c r="O2420" s="42" t="n">
        <f aca="false">I2420+J2420+L2420</f>
        <v>61.1093</v>
      </c>
    </row>
    <row r="2421" customFormat="false" ht="15" hidden="false" customHeight="false" outlineLevel="0" collapsed="false">
      <c r="B2421" s="7" t="s">
        <v>11054</v>
      </c>
      <c r="C2421" s="39" t="n">
        <v>45807</v>
      </c>
      <c r="D2421" s="7" t="s">
        <v>207</v>
      </c>
      <c r="E2421" s="7" t="s">
        <v>180</v>
      </c>
      <c r="F2421" s="6" t="n">
        <v>3.05</v>
      </c>
      <c r="G2421" s="6" t="n">
        <v>0</v>
      </c>
      <c r="H2421" s="41" t="n">
        <v>16.65</v>
      </c>
      <c r="I2421" s="43" t="n">
        <f aca="false">F2421*H2421</f>
        <v>50.7825</v>
      </c>
      <c r="J2421" s="43" t="n">
        <f aca="false">G2421*H2421*1.5</f>
        <v>0</v>
      </c>
      <c r="K2421" s="6" t="n">
        <v>7.22</v>
      </c>
      <c r="L2421" s="43" t="n">
        <f aca="false">K2421*'Chart of Accounts'!$E$68</f>
        <v>4.8374</v>
      </c>
      <c r="O2421" s="42" t="n">
        <f aca="false">I2421+J2421+L2421</f>
        <v>55.6199</v>
      </c>
    </row>
    <row r="2422" customFormat="false" ht="15" hidden="false" customHeight="false" outlineLevel="0" collapsed="false">
      <c r="B2422" s="7" t="s">
        <v>11055</v>
      </c>
      <c r="C2422" s="39" t="n">
        <v>45807</v>
      </c>
      <c r="D2422" s="7" t="s">
        <v>232</v>
      </c>
      <c r="E2422" s="7" t="s">
        <v>180</v>
      </c>
      <c r="F2422" s="6" t="n">
        <v>4.21</v>
      </c>
      <c r="G2422" s="6" t="n">
        <v>0</v>
      </c>
      <c r="H2422" s="41" t="n">
        <v>16.17</v>
      </c>
      <c r="I2422" s="43" t="n">
        <f aca="false">F2422*H2422</f>
        <v>68.0757</v>
      </c>
      <c r="J2422" s="43" t="n">
        <f aca="false">G2422*H2422*1.5</f>
        <v>0</v>
      </c>
      <c r="K2422" s="6" t="n">
        <v>12.93</v>
      </c>
      <c r="L2422" s="43" t="n">
        <f aca="false">K2422*'Chart of Accounts'!$E$68</f>
        <v>8.6631</v>
      </c>
      <c r="O2422" s="42" t="n">
        <f aca="false">I2422+J2422+L2422</f>
        <v>76.7388</v>
      </c>
    </row>
    <row r="2423" customFormat="false" ht="15" hidden="false" customHeight="false" outlineLevel="0" collapsed="false">
      <c r="B2423" s="7" t="s">
        <v>11056</v>
      </c>
      <c r="C2423" s="39" t="n">
        <v>45807</v>
      </c>
      <c r="D2423" s="7" t="s">
        <v>224</v>
      </c>
      <c r="E2423" s="7" t="s">
        <v>180</v>
      </c>
      <c r="F2423" s="6" t="n">
        <v>4.2</v>
      </c>
      <c r="G2423" s="6" t="n">
        <v>0</v>
      </c>
      <c r="H2423" s="41" t="n">
        <v>14.93</v>
      </c>
      <c r="I2423" s="43" t="n">
        <f aca="false">F2423*H2423</f>
        <v>62.706</v>
      </c>
      <c r="J2423" s="43" t="n">
        <f aca="false">G2423*H2423*1.5</f>
        <v>0</v>
      </c>
      <c r="K2423" s="6" t="n">
        <v>10.16</v>
      </c>
      <c r="L2423" s="43" t="n">
        <f aca="false">K2423*'Chart of Accounts'!$E$68</f>
        <v>6.8072</v>
      </c>
      <c r="O2423" s="42" t="n">
        <f aca="false">I2423+J2423+L2423</f>
        <v>69.5132</v>
      </c>
    </row>
    <row r="2424" customFormat="false" ht="15" hidden="false" customHeight="false" outlineLevel="0" collapsed="false">
      <c r="B2424" s="7" t="s">
        <v>11057</v>
      </c>
      <c r="C2424" s="39" t="n">
        <v>45807</v>
      </c>
      <c r="D2424" s="7" t="s">
        <v>238</v>
      </c>
      <c r="E2424" s="7" t="s">
        <v>180</v>
      </c>
      <c r="F2424" s="6" t="n">
        <v>4.39</v>
      </c>
      <c r="G2424" s="6" t="n">
        <v>0</v>
      </c>
      <c r="H2424" s="41" t="n">
        <v>15.85</v>
      </c>
      <c r="I2424" s="43" t="n">
        <f aca="false">F2424*H2424</f>
        <v>69.5815</v>
      </c>
      <c r="J2424" s="43" t="n">
        <f aca="false">G2424*H2424*1.5</f>
        <v>0</v>
      </c>
      <c r="K2424" s="6" t="n">
        <v>13.31</v>
      </c>
      <c r="L2424" s="43" t="n">
        <f aca="false">K2424*'Chart of Accounts'!$E$68</f>
        <v>8.9177</v>
      </c>
      <c r="O2424" s="42" t="n">
        <f aca="false">I2424+J2424+L2424</f>
        <v>78.4992</v>
      </c>
    </row>
    <row r="2425" customFormat="false" ht="15" hidden="false" customHeight="false" outlineLevel="0" collapsed="false">
      <c r="B2425" s="7" t="s">
        <v>11058</v>
      </c>
      <c r="C2425" s="39" t="n">
        <v>45807</v>
      </c>
      <c r="D2425" s="7" t="s">
        <v>246</v>
      </c>
      <c r="E2425" s="7" t="s">
        <v>180</v>
      </c>
      <c r="F2425" s="6" t="n">
        <v>3.73</v>
      </c>
      <c r="G2425" s="6" t="n">
        <v>0</v>
      </c>
      <c r="H2425" s="41" t="n">
        <v>16.48</v>
      </c>
      <c r="I2425" s="43" t="n">
        <f aca="false">F2425*H2425</f>
        <v>61.4704</v>
      </c>
      <c r="J2425" s="43" t="n">
        <f aca="false">G2425*H2425*1.5</f>
        <v>0</v>
      </c>
      <c r="K2425" s="6" t="n">
        <v>8.49</v>
      </c>
      <c r="L2425" s="43" t="n">
        <f aca="false">K2425*'Chart of Accounts'!$E$68</f>
        <v>5.6883</v>
      </c>
      <c r="O2425" s="42" t="n">
        <f aca="false">I2425+J2425+L2425</f>
        <v>67.1587</v>
      </c>
    </row>
    <row r="2426" customFormat="false" ht="15" hidden="false" customHeight="false" outlineLevel="0" collapsed="false">
      <c r="B2426" s="7" t="s">
        <v>11059</v>
      </c>
      <c r="C2426" s="39" t="n">
        <v>45807</v>
      </c>
      <c r="D2426" s="7" t="s">
        <v>222</v>
      </c>
      <c r="E2426" s="7" t="s">
        <v>180</v>
      </c>
      <c r="F2426" s="6" t="n">
        <v>3.84</v>
      </c>
      <c r="G2426" s="6" t="n">
        <v>0</v>
      </c>
      <c r="H2426" s="41" t="n">
        <v>17.84</v>
      </c>
      <c r="I2426" s="43" t="n">
        <f aca="false">F2426*H2426</f>
        <v>68.5056</v>
      </c>
      <c r="J2426" s="43" t="n">
        <f aca="false">G2426*H2426*1.5</f>
        <v>0</v>
      </c>
      <c r="K2426" s="6" t="n">
        <v>9.2</v>
      </c>
      <c r="L2426" s="43" t="n">
        <f aca="false">K2426*'Chart of Accounts'!$E$68</f>
        <v>6.164</v>
      </c>
      <c r="O2426" s="42" t="n">
        <f aca="false">I2426+J2426+L2426</f>
        <v>74.6696</v>
      </c>
    </row>
    <row r="2427" customFormat="false" ht="15" hidden="false" customHeight="false" outlineLevel="0" collapsed="false">
      <c r="B2427" s="7" t="s">
        <v>11060</v>
      </c>
      <c r="C2427" s="39" t="n">
        <v>45807</v>
      </c>
      <c r="D2427" s="7" t="s">
        <v>203</v>
      </c>
      <c r="E2427" s="7" t="s">
        <v>158</v>
      </c>
      <c r="H2427" s="41" t="n">
        <v>49.43</v>
      </c>
      <c r="M2427" s="6" t="n">
        <v>1</v>
      </c>
      <c r="N2427" s="43" t="n">
        <f aca="false">M2427*H2427</f>
        <v>49.43</v>
      </c>
      <c r="O2427" s="42" t="n">
        <f aca="false">N2427</f>
        <v>49.43</v>
      </c>
    </row>
    <row r="2428" customFormat="false" ht="15" hidden="false" customHeight="false" outlineLevel="0" collapsed="false">
      <c r="B2428" s="7" t="s">
        <v>11061</v>
      </c>
      <c r="C2428" s="39" t="n">
        <v>45807</v>
      </c>
      <c r="D2428" s="7" t="s">
        <v>260</v>
      </c>
      <c r="E2428" s="7" t="s">
        <v>158</v>
      </c>
      <c r="H2428" s="41" t="n">
        <v>79.8</v>
      </c>
      <c r="M2428" s="6" t="n">
        <v>1</v>
      </c>
      <c r="N2428" s="43" t="n">
        <f aca="false">M2428*H2428</f>
        <v>79.8</v>
      </c>
      <c r="O2428" s="42" t="n">
        <f aca="false">N2428</f>
        <v>79.8</v>
      </c>
    </row>
    <row r="2429" customFormat="false" ht="15" hidden="false" customHeight="false" outlineLevel="0" collapsed="false">
      <c r="B2429" s="7" t="s">
        <v>11062</v>
      </c>
      <c r="C2429" s="39" t="n">
        <v>45807</v>
      </c>
      <c r="D2429" s="7" t="s">
        <v>214</v>
      </c>
      <c r="E2429" s="7" t="s">
        <v>180</v>
      </c>
      <c r="F2429" s="6" t="n">
        <v>3.01</v>
      </c>
      <c r="G2429" s="6" t="n">
        <v>0</v>
      </c>
      <c r="H2429" s="41" t="n">
        <v>15.67</v>
      </c>
      <c r="I2429" s="43" t="n">
        <f aca="false">F2429*H2429</f>
        <v>47.1667</v>
      </c>
      <c r="J2429" s="43" t="n">
        <f aca="false">G2429*H2429*1.5</f>
        <v>0</v>
      </c>
      <c r="K2429" s="6" t="n">
        <v>7.16</v>
      </c>
      <c r="L2429" s="43" t="n">
        <f aca="false">K2429*'Chart of Accounts'!$E$68</f>
        <v>4.7972</v>
      </c>
      <c r="O2429" s="42" t="n">
        <f aca="false">I2429+J2429+L2429</f>
        <v>51.9639</v>
      </c>
    </row>
    <row r="2430" customFormat="false" ht="15" hidden="false" customHeight="false" outlineLevel="0" collapsed="false">
      <c r="B2430" s="7" t="s">
        <v>11063</v>
      </c>
      <c r="C2430" s="39" t="n">
        <v>45808</v>
      </c>
      <c r="D2430" s="7" t="s">
        <v>191</v>
      </c>
      <c r="E2430" s="7" t="s">
        <v>180</v>
      </c>
      <c r="F2430" s="6" t="n">
        <v>3.8</v>
      </c>
      <c r="G2430" s="6" t="n">
        <v>0</v>
      </c>
      <c r="H2430" s="41" t="n">
        <v>16.05</v>
      </c>
      <c r="I2430" s="43" t="n">
        <f aca="false">F2430*H2430</f>
        <v>60.99</v>
      </c>
      <c r="J2430" s="43" t="n">
        <f aca="false">G2430*H2430*1.5</f>
        <v>0</v>
      </c>
      <c r="K2430" s="6" t="n">
        <v>9.78</v>
      </c>
      <c r="L2430" s="43" t="n">
        <f aca="false">K2430*'Chart of Accounts'!$E$68</f>
        <v>6.5526</v>
      </c>
      <c r="O2430" s="42" t="n">
        <f aca="false">I2430+J2430+L2430</f>
        <v>67.5426</v>
      </c>
    </row>
    <row r="2431" customFormat="false" ht="15" hidden="false" customHeight="false" outlineLevel="0" collapsed="false">
      <c r="B2431" s="7" t="s">
        <v>11064</v>
      </c>
      <c r="C2431" s="39" t="n">
        <v>45808</v>
      </c>
      <c r="D2431" s="7" t="s">
        <v>218</v>
      </c>
      <c r="E2431" s="7" t="s">
        <v>180</v>
      </c>
      <c r="F2431" s="6" t="n">
        <v>3.89</v>
      </c>
      <c r="G2431" s="6" t="n">
        <v>0</v>
      </c>
      <c r="H2431" s="41" t="n">
        <v>16.19</v>
      </c>
      <c r="I2431" s="43" t="n">
        <f aca="false">F2431*H2431</f>
        <v>62.9791</v>
      </c>
      <c r="J2431" s="43" t="n">
        <f aca="false">G2431*H2431*1.5</f>
        <v>0</v>
      </c>
      <c r="K2431" s="6" t="n">
        <v>11.21</v>
      </c>
      <c r="L2431" s="43" t="n">
        <f aca="false">K2431*'Chart of Accounts'!$E$68</f>
        <v>7.5107</v>
      </c>
      <c r="O2431" s="42" t="n">
        <f aca="false">I2431+J2431+L2431</f>
        <v>70.4898</v>
      </c>
    </row>
    <row r="2432" customFormat="false" ht="15" hidden="false" customHeight="false" outlineLevel="0" collapsed="false">
      <c r="B2432" s="7" t="s">
        <v>11065</v>
      </c>
      <c r="C2432" s="39" t="n">
        <v>45808</v>
      </c>
      <c r="D2432" s="7" t="s">
        <v>212</v>
      </c>
      <c r="E2432" s="7" t="s">
        <v>180</v>
      </c>
      <c r="F2432" s="6" t="n">
        <v>4.36</v>
      </c>
      <c r="G2432" s="6" t="n">
        <v>0</v>
      </c>
      <c r="H2432" s="41" t="n">
        <v>16.71</v>
      </c>
      <c r="I2432" s="43" t="n">
        <f aca="false">F2432*H2432</f>
        <v>72.8556</v>
      </c>
      <c r="J2432" s="43" t="n">
        <f aca="false">G2432*H2432*1.5</f>
        <v>0</v>
      </c>
      <c r="K2432" s="6" t="n">
        <v>11.37</v>
      </c>
      <c r="L2432" s="43" t="n">
        <f aca="false">K2432*'Chart of Accounts'!$E$68</f>
        <v>7.6179</v>
      </c>
      <c r="O2432" s="42" t="n">
        <f aca="false">I2432+J2432+L2432</f>
        <v>80.4735</v>
      </c>
    </row>
    <row r="2433" customFormat="false" ht="15" hidden="false" customHeight="false" outlineLevel="0" collapsed="false">
      <c r="B2433" s="7" t="s">
        <v>11066</v>
      </c>
      <c r="C2433" s="39" t="n">
        <v>45808</v>
      </c>
      <c r="D2433" s="7" t="s">
        <v>222</v>
      </c>
      <c r="E2433" s="7" t="s">
        <v>180</v>
      </c>
      <c r="F2433" s="6" t="n">
        <v>4.3</v>
      </c>
      <c r="G2433" s="6" t="n">
        <v>0</v>
      </c>
      <c r="H2433" s="41" t="n">
        <v>17.84</v>
      </c>
      <c r="I2433" s="43" t="n">
        <f aca="false">F2433*H2433</f>
        <v>76.712</v>
      </c>
      <c r="J2433" s="43" t="n">
        <f aca="false">G2433*H2433*1.5</f>
        <v>0</v>
      </c>
      <c r="K2433" s="6" t="n">
        <v>14.23</v>
      </c>
      <c r="L2433" s="43" t="n">
        <f aca="false">K2433*'Chart of Accounts'!$E$68</f>
        <v>9.5341</v>
      </c>
      <c r="O2433" s="42" t="n">
        <f aca="false">I2433+J2433+L2433</f>
        <v>86.2461</v>
      </c>
    </row>
    <row r="2434" customFormat="false" ht="15" hidden="false" customHeight="false" outlineLevel="0" collapsed="false">
      <c r="B2434" s="7" t="s">
        <v>11067</v>
      </c>
      <c r="C2434" s="39" t="n">
        <v>45808</v>
      </c>
      <c r="D2434" s="7" t="s">
        <v>242</v>
      </c>
      <c r="E2434" s="7" t="s">
        <v>180</v>
      </c>
      <c r="F2434" s="6" t="n">
        <v>3.819</v>
      </c>
      <c r="G2434" s="6" t="n">
        <v>0.141</v>
      </c>
      <c r="H2434" s="41" t="n">
        <v>17.99</v>
      </c>
      <c r="I2434" s="43" t="n">
        <f aca="false">F2434*H2434</f>
        <v>68.70381</v>
      </c>
      <c r="J2434" s="43" t="n">
        <f aca="false">G2434*H2434*1.5</f>
        <v>3.804885</v>
      </c>
      <c r="K2434" s="6" t="n">
        <v>10.54</v>
      </c>
      <c r="L2434" s="43" t="n">
        <f aca="false">K2434*'Chart of Accounts'!$E$68</f>
        <v>7.0618</v>
      </c>
      <c r="O2434" s="42" t="n">
        <f aca="false">I2434+J2434+L2434</f>
        <v>79.570495</v>
      </c>
    </row>
    <row r="2435" customFormat="false" ht="15" hidden="false" customHeight="false" outlineLevel="0" collapsed="false">
      <c r="B2435" s="7" t="s">
        <v>11068</v>
      </c>
      <c r="C2435" s="39" t="n">
        <v>45808</v>
      </c>
      <c r="D2435" s="7" t="s">
        <v>254</v>
      </c>
      <c r="E2435" s="7" t="s">
        <v>180</v>
      </c>
      <c r="F2435" s="6" t="n">
        <v>3.81</v>
      </c>
      <c r="G2435" s="6" t="n">
        <v>0</v>
      </c>
      <c r="H2435" s="41" t="n">
        <v>17.1</v>
      </c>
      <c r="I2435" s="43" t="n">
        <f aca="false">F2435*H2435</f>
        <v>65.151</v>
      </c>
      <c r="J2435" s="43" t="n">
        <f aca="false">G2435*H2435*1.5</f>
        <v>0</v>
      </c>
      <c r="K2435" s="6" t="n">
        <v>8.56</v>
      </c>
      <c r="L2435" s="43" t="n">
        <f aca="false">K2435*'Chart of Accounts'!$E$68</f>
        <v>5.7352</v>
      </c>
      <c r="O2435" s="42" t="n">
        <f aca="false">I2435+J2435+L2435</f>
        <v>70.8862</v>
      </c>
    </row>
    <row r="2436" customFormat="false" ht="15" hidden="false" customHeight="false" outlineLevel="0" collapsed="false">
      <c r="B2436" s="7" t="s">
        <v>11069</v>
      </c>
      <c r="C2436" s="39" t="n">
        <v>45809</v>
      </c>
      <c r="D2436" s="7" t="s">
        <v>191</v>
      </c>
      <c r="E2436" s="7" t="s">
        <v>180</v>
      </c>
      <c r="F2436" s="6" t="n">
        <v>3.91</v>
      </c>
      <c r="G2436" s="6" t="n">
        <v>0</v>
      </c>
      <c r="H2436" s="41" t="n">
        <v>16.05</v>
      </c>
      <c r="I2436" s="43" t="n">
        <f aca="false">F2436*H2436</f>
        <v>62.7555</v>
      </c>
      <c r="J2436" s="43" t="n">
        <f aca="false">G2436*H2436*1.5</f>
        <v>0</v>
      </c>
      <c r="K2436" s="6" t="n">
        <v>9.93</v>
      </c>
      <c r="L2436" s="43" t="n">
        <f aca="false">K2436*'Chart of Accounts'!$E$68</f>
        <v>6.6531</v>
      </c>
      <c r="O2436" s="42" t="n">
        <f aca="false">I2436+J2436+L2436</f>
        <v>69.4086</v>
      </c>
    </row>
    <row r="2437" customFormat="false" ht="15" hidden="false" customHeight="false" outlineLevel="0" collapsed="false">
      <c r="B2437" s="7" t="s">
        <v>11070</v>
      </c>
      <c r="C2437" s="39" t="n">
        <v>45809</v>
      </c>
      <c r="D2437" s="7" t="s">
        <v>218</v>
      </c>
      <c r="E2437" s="7" t="s">
        <v>180</v>
      </c>
      <c r="F2437" s="6" t="n">
        <v>3.85</v>
      </c>
      <c r="G2437" s="6" t="n">
        <v>0</v>
      </c>
      <c r="H2437" s="41" t="n">
        <v>16.19</v>
      </c>
      <c r="I2437" s="43" t="n">
        <f aca="false">F2437*H2437</f>
        <v>62.3315</v>
      </c>
      <c r="J2437" s="43" t="n">
        <f aca="false">G2437*H2437*1.5</f>
        <v>0</v>
      </c>
      <c r="K2437" s="6" t="n">
        <v>10.39</v>
      </c>
      <c r="L2437" s="43" t="n">
        <f aca="false">K2437*'Chart of Accounts'!$E$68</f>
        <v>6.9613</v>
      </c>
      <c r="O2437" s="42" t="n">
        <f aca="false">I2437+J2437+L2437</f>
        <v>69.2928</v>
      </c>
    </row>
    <row r="2438" customFormat="false" ht="15" hidden="false" customHeight="false" outlineLevel="0" collapsed="false">
      <c r="B2438" s="7" t="s">
        <v>11071</v>
      </c>
      <c r="C2438" s="39" t="n">
        <v>45809</v>
      </c>
      <c r="D2438" s="7" t="s">
        <v>212</v>
      </c>
      <c r="E2438" s="7" t="s">
        <v>180</v>
      </c>
      <c r="F2438" s="6" t="n">
        <v>3.87</v>
      </c>
      <c r="G2438" s="6" t="n">
        <v>0</v>
      </c>
      <c r="H2438" s="41" t="n">
        <v>16.71</v>
      </c>
      <c r="I2438" s="43" t="n">
        <f aca="false">F2438*H2438</f>
        <v>64.6677</v>
      </c>
      <c r="J2438" s="43" t="n">
        <f aca="false">G2438*H2438*1.5</f>
        <v>0</v>
      </c>
      <c r="K2438" s="6" t="n">
        <v>10.51</v>
      </c>
      <c r="L2438" s="43" t="n">
        <f aca="false">K2438*'Chart of Accounts'!$E$68</f>
        <v>7.0417</v>
      </c>
      <c r="O2438" s="42" t="n">
        <f aca="false">I2438+J2438+L2438</f>
        <v>71.7094</v>
      </c>
    </row>
    <row r="2439" customFormat="false" ht="15" hidden="false" customHeight="false" outlineLevel="0" collapsed="false">
      <c r="B2439" s="7" t="s">
        <v>11072</v>
      </c>
      <c r="C2439" s="39" t="n">
        <v>45809</v>
      </c>
      <c r="D2439" s="7" t="s">
        <v>222</v>
      </c>
      <c r="E2439" s="7" t="s">
        <v>180</v>
      </c>
      <c r="F2439" s="6" t="n">
        <v>3.96</v>
      </c>
      <c r="G2439" s="6" t="n">
        <v>0</v>
      </c>
      <c r="H2439" s="41" t="n">
        <v>17.84</v>
      </c>
      <c r="I2439" s="43" t="n">
        <f aca="false">F2439*H2439</f>
        <v>70.6464</v>
      </c>
      <c r="J2439" s="43" t="n">
        <f aca="false">G2439*H2439*1.5</f>
        <v>0</v>
      </c>
      <c r="K2439" s="6" t="n">
        <v>12.56</v>
      </c>
      <c r="L2439" s="43" t="n">
        <f aca="false">K2439*'Chart of Accounts'!$E$68</f>
        <v>8.4152</v>
      </c>
      <c r="O2439" s="42" t="n">
        <f aca="false">I2439+J2439+L2439</f>
        <v>79.0616</v>
      </c>
    </row>
    <row r="2440" customFormat="false" ht="15" hidden="false" customHeight="false" outlineLevel="0" collapsed="false">
      <c r="B2440" s="7" t="s">
        <v>11073</v>
      </c>
      <c r="C2440" s="39" t="n">
        <v>45809</v>
      </c>
      <c r="D2440" s="7" t="s">
        <v>242</v>
      </c>
      <c r="E2440" s="7" t="s">
        <v>180</v>
      </c>
      <c r="F2440" s="6" t="n">
        <v>3.693</v>
      </c>
      <c r="G2440" s="6" t="n">
        <v>0.137</v>
      </c>
      <c r="H2440" s="41" t="n">
        <v>17.99</v>
      </c>
      <c r="I2440" s="43" t="n">
        <f aca="false">F2440*H2440</f>
        <v>66.43707</v>
      </c>
      <c r="J2440" s="43" t="n">
        <f aca="false">G2440*H2440*1.5</f>
        <v>3.696945</v>
      </c>
      <c r="K2440" s="6" t="n">
        <v>13.72</v>
      </c>
      <c r="L2440" s="43" t="n">
        <f aca="false">K2440*'Chart of Accounts'!$E$68</f>
        <v>9.1924</v>
      </c>
      <c r="O2440" s="42" t="n">
        <f aca="false">I2440+J2440+L2440</f>
        <v>79.326415</v>
      </c>
    </row>
    <row r="2441" customFormat="false" ht="15" hidden="false" customHeight="false" outlineLevel="0" collapsed="false">
      <c r="B2441" s="7" t="s">
        <v>11074</v>
      </c>
      <c r="C2441" s="39" t="n">
        <v>45809</v>
      </c>
      <c r="D2441" s="7" t="s">
        <v>254</v>
      </c>
      <c r="E2441" s="7" t="s">
        <v>180</v>
      </c>
      <c r="F2441" s="6" t="n">
        <v>4.15</v>
      </c>
      <c r="G2441" s="6" t="n">
        <v>0</v>
      </c>
      <c r="H2441" s="41" t="n">
        <v>17.1</v>
      </c>
      <c r="I2441" s="43" t="n">
        <f aca="false">F2441*H2441</f>
        <v>70.965</v>
      </c>
      <c r="J2441" s="43" t="n">
        <f aca="false">G2441*H2441*1.5</f>
        <v>0</v>
      </c>
      <c r="K2441" s="6" t="n">
        <v>9.37</v>
      </c>
      <c r="L2441" s="43" t="n">
        <f aca="false">K2441*'Chart of Accounts'!$E$68</f>
        <v>6.2779</v>
      </c>
      <c r="O2441" s="42" t="n">
        <f aca="false">I2441+J2441+L2441</f>
        <v>77.2429</v>
      </c>
    </row>
    <row r="2442" customFormat="false" ht="15" hidden="false" customHeight="false" outlineLevel="0" collapsed="false">
      <c r="B2442" s="7" t="s">
        <v>11075</v>
      </c>
      <c r="C2442" s="39" t="n">
        <v>45810</v>
      </c>
      <c r="D2442" s="7" t="s">
        <v>187</v>
      </c>
      <c r="E2442" s="7" t="s">
        <v>158</v>
      </c>
      <c r="H2442" s="41" t="n">
        <v>66.48</v>
      </c>
      <c r="M2442" s="6" t="n">
        <v>1</v>
      </c>
      <c r="N2442" s="43" t="n">
        <f aca="false">M2442*H2442</f>
        <v>66.48</v>
      </c>
      <c r="O2442" s="42" t="n">
        <f aca="false">N2442</f>
        <v>66.48</v>
      </c>
    </row>
    <row r="2443" customFormat="false" ht="15" hidden="false" customHeight="false" outlineLevel="0" collapsed="false">
      <c r="B2443" s="7" t="s">
        <v>11076</v>
      </c>
      <c r="C2443" s="39" t="n">
        <v>45810</v>
      </c>
      <c r="D2443" s="7" t="s">
        <v>191</v>
      </c>
      <c r="E2443" s="7" t="s">
        <v>180</v>
      </c>
      <c r="F2443" s="6" t="n">
        <v>3.84</v>
      </c>
      <c r="G2443" s="6" t="n">
        <v>0</v>
      </c>
      <c r="H2443" s="41" t="n">
        <v>16.05</v>
      </c>
      <c r="I2443" s="43" t="n">
        <f aca="false">F2443*H2443</f>
        <v>61.632</v>
      </c>
      <c r="J2443" s="43" t="n">
        <f aca="false">G2443*H2443*1.5</f>
        <v>0</v>
      </c>
      <c r="K2443" s="6" t="n">
        <v>13.73</v>
      </c>
      <c r="L2443" s="43" t="n">
        <f aca="false">K2443*'Chart of Accounts'!$E$68</f>
        <v>9.1991</v>
      </c>
      <c r="O2443" s="42" t="n">
        <f aca="false">I2443+J2443+L2443</f>
        <v>70.8311</v>
      </c>
    </row>
    <row r="2444" customFormat="false" ht="15" hidden="false" customHeight="false" outlineLevel="0" collapsed="false">
      <c r="B2444" s="7" t="s">
        <v>11077</v>
      </c>
      <c r="C2444" s="39" t="n">
        <v>45810</v>
      </c>
      <c r="D2444" s="7" t="s">
        <v>194</v>
      </c>
      <c r="E2444" s="7" t="s">
        <v>180</v>
      </c>
      <c r="F2444" s="6" t="n">
        <v>8.51</v>
      </c>
      <c r="G2444" s="6" t="n">
        <v>0</v>
      </c>
      <c r="H2444" s="41" t="n">
        <v>16</v>
      </c>
      <c r="I2444" s="43" t="n">
        <f aca="false">F2444*H2444</f>
        <v>136.16</v>
      </c>
      <c r="J2444" s="43" t="n">
        <f aca="false">G2444*H2444*1.5</f>
        <v>0</v>
      </c>
      <c r="K2444" s="6" t="n">
        <v>19.16</v>
      </c>
      <c r="L2444" s="43" t="n">
        <f aca="false">K2444*'Chart of Accounts'!$E$68</f>
        <v>12.8372</v>
      </c>
      <c r="O2444" s="42" t="n">
        <f aca="false">I2444+J2444+L2444</f>
        <v>148.9972</v>
      </c>
    </row>
    <row r="2445" customFormat="false" ht="15" hidden="false" customHeight="false" outlineLevel="0" collapsed="false">
      <c r="B2445" s="7" t="s">
        <v>11078</v>
      </c>
      <c r="C2445" s="39" t="n">
        <v>45810</v>
      </c>
      <c r="D2445" s="7" t="s">
        <v>201</v>
      </c>
      <c r="E2445" s="7" t="s">
        <v>180</v>
      </c>
      <c r="F2445" s="6" t="n">
        <v>9.37</v>
      </c>
      <c r="G2445" s="6" t="n">
        <v>0</v>
      </c>
      <c r="H2445" s="41" t="n">
        <v>15.19</v>
      </c>
      <c r="I2445" s="43" t="n">
        <f aca="false">F2445*H2445</f>
        <v>142.3303</v>
      </c>
      <c r="J2445" s="43" t="n">
        <f aca="false">G2445*H2445*1.5</f>
        <v>0</v>
      </c>
      <c r="K2445" s="6" t="n">
        <v>26.01</v>
      </c>
      <c r="L2445" s="43" t="n">
        <f aca="false">K2445*'Chart of Accounts'!$E$68</f>
        <v>17.4267</v>
      </c>
      <c r="O2445" s="42" t="n">
        <f aca="false">I2445+J2445+L2445</f>
        <v>159.757</v>
      </c>
    </row>
    <row r="2446" customFormat="false" ht="15" hidden="false" customHeight="false" outlineLevel="0" collapsed="false">
      <c r="B2446" s="7" t="s">
        <v>11079</v>
      </c>
      <c r="C2446" s="39" t="n">
        <v>45810</v>
      </c>
      <c r="D2446" s="7" t="s">
        <v>205</v>
      </c>
      <c r="E2446" s="7" t="s">
        <v>180</v>
      </c>
      <c r="F2446" s="6" t="n">
        <v>3.94</v>
      </c>
      <c r="G2446" s="6" t="n">
        <v>0</v>
      </c>
      <c r="H2446" s="41" t="n">
        <v>16.36</v>
      </c>
      <c r="I2446" s="43" t="n">
        <f aca="false">F2446*H2446</f>
        <v>64.4584</v>
      </c>
      <c r="J2446" s="43" t="n">
        <f aca="false">G2446*H2446*1.5</f>
        <v>0</v>
      </c>
      <c r="K2446" s="6" t="n">
        <v>11.26</v>
      </c>
      <c r="L2446" s="43" t="n">
        <f aca="false">K2446*'Chart of Accounts'!$E$68</f>
        <v>7.5442</v>
      </c>
      <c r="O2446" s="42" t="n">
        <f aca="false">I2446+J2446+L2446</f>
        <v>72.0026</v>
      </c>
    </row>
    <row r="2447" customFormat="false" ht="15" hidden="false" customHeight="false" outlineLevel="0" collapsed="false">
      <c r="B2447" s="7" t="s">
        <v>11080</v>
      </c>
      <c r="C2447" s="39" t="n">
        <v>45810</v>
      </c>
      <c r="D2447" s="7" t="s">
        <v>264</v>
      </c>
      <c r="E2447" s="7" t="s">
        <v>158</v>
      </c>
      <c r="H2447" s="41" t="n">
        <v>55.55</v>
      </c>
      <c r="M2447" s="6" t="n">
        <v>1</v>
      </c>
      <c r="N2447" s="43" t="n">
        <f aca="false">M2447*H2447</f>
        <v>55.55</v>
      </c>
      <c r="O2447" s="42" t="n">
        <f aca="false">N2447</f>
        <v>55.55</v>
      </c>
    </row>
    <row r="2448" customFormat="false" ht="15" hidden="false" customHeight="false" outlineLevel="0" collapsed="false">
      <c r="B2448" s="7" t="s">
        <v>11081</v>
      </c>
      <c r="C2448" s="39" t="n">
        <v>45810</v>
      </c>
      <c r="D2448" s="7" t="s">
        <v>252</v>
      </c>
      <c r="E2448" s="7" t="s">
        <v>158</v>
      </c>
      <c r="H2448" s="41" t="n">
        <v>57.54</v>
      </c>
      <c r="M2448" s="6" t="n">
        <v>1</v>
      </c>
      <c r="N2448" s="43" t="n">
        <f aca="false">M2448*H2448</f>
        <v>57.54</v>
      </c>
      <c r="O2448" s="42" t="n">
        <f aca="false">N2448</f>
        <v>57.54</v>
      </c>
    </row>
    <row r="2449" customFormat="false" ht="15" hidden="false" customHeight="false" outlineLevel="0" collapsed="false">
      <c r="B2449" s="7" t="s">
        <v>11082</v>
      </c>
      <c r="C2449" s="39" t="n">
        <v>45810</v>
      </c>
      <c r="D2449" s="7" t="s">
        <v>196</v>
      </c>
      <c r="E2449" s="7" t="s">
        <v>180</v>
      </c>
      <c r="F2449" s="6" t="n">
        <v>9.55</v>
      </c>
      <c r="G2449" s="6" t="n">
        <v>0</v>
      </c>
      <c r="H2449" s="41" t="n">
        <v>15.05</v>
      </c>
      <c r="I2449" s="43" t="n">
        <f aca="false">F2449*H2449</f>
        <v>143.7275</v>
      </c>
      <c r="J2449" s="43" t="n">
        <f aca="false">G2449*H2449*1.5</f>
        <v>0</v>
      </c>
      <c r="K2449" s="6" t="n">
        <v>21.99</v>
      </c>
      <c r="L2449" s="43" t="n">
        <f aca="false">K2449*'Chart of Accounts'!$E$68</f>
        <v>14.7333</v>
      </c>
      <c r="O2449" s="42" t="n">
        <f aca="false">I2449+J2449+L2449</f>
        <v>158.4608</v>
      </c>
    </row>
    <row r="2450" customFormat="false" ht="15" hidden="false" customHeight="false" outlineLevel="0" collapsed="false">
      <c r="B2450" s="7" t="s">
        <v>11083</v>
      </c>
      <c r="C2450" s="39" t="n">
        <v>45810</v>
      </c>
      <c r="D2450" s="7" t="s">
        <v>184</v>
      </c>
      <c r="E2450" s="7" t="s">
        <v>180</v>
      </c>
      <c r="F2450" s="6" t="n">
        <v>4.4</v>
      </c>
      <c r="G2450" s="6" t="n">
        <v>0</v>
      </c>
      <c r="H2450" s="41" t="n">
        <v>17.34</v>
      </c>
      <c r="I2450" s="43" t="n">
        <f aca="false">F2450*H2450</f>
        <v>76.296</v>
      </c>
      <c r="J2450" s="43" t="n">
        <f aca="false">G2450*H2450*1.5</f>
        <v>0</v>
      </c>
      <c r="K2450" s="6" t="n">
        <v>12.26</v>
      </c>
      <c r="L2450" s="43" t="n">
        <f aca="false">K2450*'Chart of Accounts'!$E$68</f>
        <v>8.2142</v>
      </c>
      <c r="O2450" s="42" t="n">
        <f aca="false">I2450+J2450+L2450</f>
        <v>84.5102</v>
      </c>
    </row>
    <row r="2451" customFormat="false" ht="15" hidden="false" customHeight="false" outlineLevel="0" collapsed="false">
      <c r="B2451" s="7" t="s">
        <v>11084</v>
      </c>
      <c r="C2451" s="39" t="n">
        <v>45810</v>
      </c>
      <c r="D2451" s="7" t="s">
        <v>207</v>
      </c>
      <c r="E2451" s="7" t="s">
        <v>180</v>
      </c>
      <c r="F2451" s="6" t="n">
        <v>6.26</v>
      </c>
      <c r="G2451" s="6" t="n">
        <v>0</v>
      </c>
      <c r="H2451" s="41" t="n">
        <v>16.65</v>
      </c>
      <c r="I2451" s="43" t="n">
        <f aca="false">F2451*H2451</f>
        <v>104.229</v>
      </c>
      <c r="J2451" s="43" t="n">
        <f aca="false">G2451*H2451*1.5</f>
        <v>0</v>
      </c>
      <c r="K2451" s="6" t="n">
        <v>16.48</v>
      </c>
      <c r="L2451" s="43" t="n">
        <f aca="false">K2451*'Chart of Accounts'!$E$68</f>
        <v>11.0416</v>
      </c>
      <c r="O2451" s="42" t="n">
        <f aca="false">I2451+J2451+L2451</f>
        <v>115.2706</v>
      </c>
    </row>
    <row r="2452" customFormat="false" ht="15" hidden="false" customHeight="false" outlineLevel="0" collapsed="false">
      <c r="B2452" s="7" t="s">
        <v>11085</v>
      </c>
      <c r="C2452" s="39" t="n">
        <v>45810</v>
      </c>
      <c r="D2452" s="7" t="s">
        <v>218</v>
      </c>
      <c r="E2452" s="7" t="s">
        <v>180</v>
      </c>
      <c r="F2452" s="6" t="n">
        <v>3.88</v>
      </c>
      <c r="G2452" s="6" t="n">
        <v>0</v>
      </c>
      <c r="H2452" s="41" t="n">
        <v>16.19</v>
      </c>
      <c r="I2452" s="43" t="n">
        <f aca="false">F2452*H2452</f>
        <v>62.8172</v>
      </c>
      <c r="J2452" s="43" t="n">
        <f aca="false">G2452*H2452*1.5</f>
        <v>0</v>
      </c>
      <c r="K2452" s="6" t="n">
        <v>13.63</v>
      </c>
      <c r="L2452" s="43" t="n">
        <f aca="false">K2452*'Chart of Accounts'!$E$68</f>
        <v>9.1321</v>
      </c>
      <c r="O2452" s="42" t="n">
        <f aca="false">I2452+J2452+L2452</f>
        <v>71.9493</v>
      </c>
    </row>
    <row r="2453" customFormat="false" ht="15" hidden="false" customHeight="false" outlineLevel="0" collapsed="false">
      <c r="B2453" s="7" t="s">
        <v>11086</v>
      </c>
      <c r="C2453" s="39" t="n">
        <v>45810</v>
      </c>
      <c r="D2453" s="7" t="s">
        <v>212</v>
      </c>
      <c r="E2453" s="7" t="s">
        <v>180</v>
      </c>
      <c r="F2453" s="6" t="n">
        <v>7.28</v>
      </c>
      <c r="G2453" s="6" t="n">
        <v>0</v>
      </c>
      <c r="H2453" s="41" t="n">
        <v>16.71</v>
      </c>
      <c r="I2453" s="43" t="n">
        <f aca="false">F2453*H2453</f>
        <v>121.6488</v>
      </c>
      <c r="J2453" s="43" t="n">
        <f aca="false">G2453*H2453*1.5</f>
        <v>0</v>
      </c>
      <c r="K2453" s="6" t="n">
        <v>24.1</v>
      </c>
      <c r="L2453" s="43" t="n">
        <f aca="false">K2453*'Chart of Accounts'!$E$68</f>
        <v>16.147</v>
      </c>
      <c r="O2453" s="42" t="n">
        <f aca="false">I2453+J2453+L2453</f>
        <v>137.7958</v>
      </c>
    </row>
    <row r="2454" customFormat="false" ht="15" hidden="false" customHeight="false" outlineLevel="0" collapsed="false">
      <c r="B2454" s="7" t="s">
        <v>11087</v>
      </c>
      <c r="C2454" s="39" t="n">
        <v>45810</v>
      </c>
      <c r="D2454" s="7" t="s">
        <v>220</v>
      </c>
      <c r="E2454" s="7" t="s">
        <v>180</v>
      </c>
      <c r="F2454" s="6" t="n">
        <v>3.81</v>
      </c>
      <c r="G2454" s="6" t="n">
        <v>0</v>
      </c>
      <c r="H2454" s="41" t="n">
        <v>16.43</v>
      </c>
      <c r="I2454" s="43" t="n">
        <f aca="false">F2454*H2454</f>
        <v>62.5983</v>
      </c>
      <c r="J2454" s="43" t="n">
        <f aca="false">G2454*H2454*1.5</f>
        <v>0</v>
      </c>
      <c r="K2454" s="6" t="n">
        <v>11.39</v>
      </c>
      <c r="L2454" s="43" t="n">
        <f aca="false">K2454*'Chart of Accounts'!$E$68</f>
        <v>7.6313</v>
      </c>
      <c r="O2454" s="42" t="n">
        <f aca="false">I2454+J2454+L2454</f>
        <v>70.2296</v>
      </c>
    </row>
    <row r="2455" customFormat="false" ht="15" hidden="false" customHeight="false" outlineLevel="0" collapsed="false">
      <c r="B2455" s="7" t="s">
        <v>11088</v>
      </c>
      <c r="C2455" s="39" t="n">
        <v>45810</v>
      </c>
      <c r="D2455" s="7" t="s">
        <v>224</v>
      </c>
      <c r="E2455" s="7" t="s">
        <v>180</v>
      </c>
      <c r="F2455" s="6" t="n">
        <v>8.35</v>
      </c>
      <c r="G2455" s="6" t="n">
        <v>0</v>
      </c>
      <c r="H2455" s="41" t="n">
        <v>14.93</v>
      </c>
      <c r="I2455" s="43" t="n">
        <f aca="false">F2455*H2455</f>
        <v>124.6655</v>
      </c>
      <c r="J2455" s="43" t="n">
        <f aca="false">G2455*H2455*1.5</f>
        <v>0</v>
      </c>
      <c r="K2455" s="6" t="n">
        <v>27.71</v>
      </c>
      <c r="L2455" s="43" t="n">
        <f aca="false">K2455*'Chart of Accounts'!$E$68</f>
        <v>18.5657</v>
      </c>
      <c r="O2455" s="42" t="n">
        <f aca="false">I2455+J2455+L2455</f>
        <v>143.2312</v>
      </c>
    </row>
    <row r="2456" customFormat="false" ht="15" hidden="false" customHeight="false" outlineLevel="0" collapsed="false">
      <c r="B2456" s="7" t="s">
        <v>11089</v>
      </c>
      <c r="C2456" s="39" t="n">
        <v>45810</v>
      </c>
      <c r="D2456" s="7" t="s">
        <v>177</v>
      </c>
      <c r="E2456" s="7" t="s">
        <v>180</v>
      </c>
      <c r="F2456" s="6" t="n">
        <v>8.26</v>
      </c>
      <c r="G2456" s="6" t="n">
        <v>0</v>
      </c>
      <c r="H2456" s="41" t="n">
        <v>14.56</v>
      </c>
      <c r="I2456" s="43" t="n">
        <f aca="false">F2456*H2456</f>
        <v>120.2656</v>
      </c>
      <c r="J2456" s="43" t="n">
        <f aca="false">G2456*H2456*1.5</f>
        <v>0</v>
      </c>
      <c r="K2456" s="6" t="n">
        <v>27.41</v>
      </c>
      <c r="L2456" s="43" t="n">
        <f aca="false">K2456*'Chart of Accounts'!$E$68</f>
        <v>18.3647</v>
      </c>
      <c r="O2456" s="42" t="n">
        <f aca="false">I2456+J2456+L2456</f>
        <v>138.6303</v>
      </c>
    </row>
    <row r="2457" customFormat="false" ht="15" hidden="false" customHeight="false" outlineLevel="0" collapsed="false">
      <c r="B2457" s="7" t="s">
        <v>11090</v>
      </c>
      <c r="C2457" s="39" t="n">
        <v>45810</v>
      </c>
      <c r="D2457" s="7" t="s">
        <v>232</v>
      </c>
      <c r="E2457" s="7" t="s">
        <v>180</v>
      </c>
      <c r="F2457" s="6" t="n">
        <v>11.05</v>
      </c>
      <c r="G2457" s="6" t="n">
        <v>0</v>
      </c>
      <c r="H2457" s="41" t="n">
        <v>16.17</v>
      </c>
      <c r="I2457" s="43" t="n">
        <f aca="false">F2457*H2457</f>
        <v>178.6785</v>
      </c>
      <c r="J2457" s="43" t="n">
        <f aca="false">G2457*H2457*1.5</f>
        <v>0</v>
      </c>
      <c r="K2457" s="6" t="n">
        <v>26.03</v>
      </c>
      <c r="L2457" s="43" t="n">
        <f aca="false">K2457*'Chart of Accounts'!$E$68</f>
        <v>17.4401</v>
      </c>
      <c r="O2457" s="42" t="n">
        <f aca="false">I2457+J2457+L2457</f>
        <v>196.1186</v>
      </c>
    </row>
    <row r="2458" customFormat="false" ht="15" hidden="false" customHeight="false" outlineLevel="0" collapsed="false">
      <c r="B2458" s="7" t="s">
        <v>11091</v>
      </c>
      <c r="C2458" s="39" t="n">
        <v>45810</v>
      </c>
      <c r="D2458" s="7" t="s">
        <v>242</v>
      </c>
      <c r="E2458" s="7" t="s">
        <v>180</v>
      </c>
      <c r="F2458" s="6" t="n">
        <v>7.031</v>
      </c>
      <c r="G2458" s="6" t="n">
        <v>0.079</v>
      </c>
      <c r="H2458" s="41" t="n">
        <v>17.99</v>
      </c>
      <c r="I2458" s="43" t="n">
        <f aca="false">F2458*H2458</f>
        <v>126.48769</v>
      </c>
      <c r="J2458" s="43" t="n">
        <f aca="false">G2458*H2458*1.5</f>
        <v>2.131815</v>
      </c>
      <c r="K2458" s="6" t="n">
        <v>17.24</v>
      </c>
      <c r="L2458" s="43" t="n">
        <f aca="false">K2458*'Chart of Accounts'!$E$68</f>
        <v>11.5508</v>
      </c>
      <c r="O2458" s="42" t="n">
        <f aca="false">I2458+J2458+L2458</f>
        <v>140.170305</v>
      </c>
    </row>
    <row r="2459" customFormat="false" ht="15" hidden="false" customHeight="false" outlineLevel="0" collapsed="false">
      <c r="B2459" s="7" t="s">
        <v>11092</v>
      </c>
      <c r="C2459" s="39" t="n">
        <v>45810</v>
      </c>
      <c r="D2459" s="7" t="s">
        <v>222</v>
      </c>
      <c r="E2459" s="7" t="s">
        <v>180</v>
      </c>
      <c r="F2459" s="6" t="n">
        <v>7.2</v>
      </c>
      <c r="G2459" s="6" t="n">
        <v>0</v>
      </c>
      <c r="H2459" s="41" t="n">
        <v>17.84</v>
      </c>
      <c r="I2459" s="43" t="n">
        <f aca="false">F2459*H2459</f>
        <v>128.448</v>
      </c>
      <c r="J2459" s="43" t="n">
        <f aca="false">G2459*H2459*1.5</f>
        <v>0</v>
      </c>
      <c r="K2459" s="6" t="n">
        <v>21.39</v>
      </c>
      <c r="L2459" s="43" t="n">
        <f aca="false">K2459*'Chart of Accounts'!$E$68</f>
        <v>14.3313</v>
      </c>
      <c r="O2459" s="42" t="n">
        <f aca="false">I2459+J2459+L2459</f>
        <v>142.7793</v>
      </c>
    </row>
    <row r="2460" customFormat="false" ht="15" hidden="false" customHeight="false" outlineLevel="0" collapsed="false">
      <c r="B2460" s="7" t="s">
        <v>11093</v>
      </c>
      <c r="C2460" s="39" t="n">
        <v>45810</v>
      </c>
      <c r="D2460" s="7" t="s">
        <v>254</v>
      </c>
      <c r="E2460" s="7" t="s">
        <v>180</v>
      </c>
      <c r="F2460" s="6" t="n">
        <v>6.728</v>
      </c>
      <c r="G2460" s="6" t="n">
        <v>0.362</v>
      </c>
      <c r="H2460" s="41" t="n">
        <v>17.1</v>
      </c>
      <c r="I2460" s="43" t="n">
        <f aca="false">F2460*H2460</f>
        <v>115.0488</v>
      </c>
      <c r="J2460" s="43" t="n">
        <f aca="false">G2460*H2460*1.5</f>
        <v>9.2853</v>
      </c>
      <c r="K2460" s="6" t="n">
        <v>18.07</v>
      </c>
      <c r="L2460" s="43" t="n">
        <f aca="false">K2460*'Chart of Accounts'!$E$68</f>
        <v>12.1069</v>
      </c>
      <c r="O2460" s="42" t="n">
        <f aca="false">I2460+J2460+L2460</f>
        <v>136.441</v>
      </c>
    </row>
    <row r="2461" customFormat="false" ht="15" hidden="false" customHeight="false" outlineLevel="0" collapsed="false">
      <c r="B2461" s="7" t="s">
        <v>11094</v>
      </c>
      <c r="C2461" s="39" t="n">
        <v>45810</v>
      </c>
      <c r="D2461" s="7" t="s">
        <v>246</v>
      </c>
      <c r="E2461" s="7" t="s">
        <v>180</v>
      </c>
      <c r="F2461" s="6" t="n">
        <v>7.6</v>
      </c>
      <c r="G2461" s="6" t="n">
        <v>0</v>
      </c>
      <c r="H2461" s="41" t="n">
        <v>16.48</v>
      </c>
      <c r="I2461" s="43" t="n">
        <f aca="false">F2461*H2461</f>
        <v>125.248</v>
      </c>
      <c r="J2461" s="43" t="n">
        <f aca="false">G2461*H2461*1.5</f>
        <v>0</v>
      </c>
      <c r="K2461" s="6" t="n">
        <v>23.77</v>
      </c>
      <c r="L2461" s="43" t="n">
        <f aca="false">K2461*'Chart of Accounts'!$E$68</f>
        <v>15.9259</v>
      </c>
      <c r="O2461" s="42" t="n">
        <f aca="false">I2461+J2461+L2461</f>
        <v>141.1739</v>
      </c>
    </row>
    <row r="2462" customFormat="false" ht="15" hidden="false" customHeight="false" outlineLevel="0" collapsed="false">
      <c r="B2462" s="7" t="s">
        <v>11095</v>
      </c>
      <c r="C2462" s="39" t="n">
        <v>45810</v>
      </c>
      <c r="D2462" s="7" t="s">
        <v>214</v>
      </c>
      <c r="E2462" s="7" t="s">
        <v>180</v>
      </c>
      <c r="F2462" s="6" t="n">
        <v>6.99</v>
      </c>
      <c r="G2462" s="6" t="n">
        <v>0</v>
      </c>
      <c r="H2462" s="41" t="n">
        <v>15.67</v>
      </c>
      <c r="I2462" s="43" t="n">
        <f aca="false">F2462*H2462</f>
        <v>109.5333</v>
      </c>
      <c r="J2462" s="43" t="n">
        <f aca="false">G2462*H2462*1.5</f>
        <v>0</v>
      </c>
      <c r="K2462" s="6" t="n">
        <v>16.29</v>
      </c>
      <c r="L2462" s="43" t="n">
        <f aca="false">K2462*'Chart of Accounts'!$E$68</f>
        <v>10.9143</v>
      </c>
      <c r="O2462" s="42" t="n">
        <f aca="false">I2462+J2462+L2462</f>
        <v>120.4476</v>
      </c>
    </row>
    <row r="2463" customFormat="false" ht="15" hidden="false" customHeight="false" outlineLevel="0" collapsed="false">
      <c r="B2463" s="7" t="s">
        <v>11096</v>
      </c>
      <c r="C2463" s="39" t="n">
        <v>45810</v>
      </c>
      <c r="D2463" s="7" t="s">
        <v>238</v>
      </c>
      <c r="E2463" s="7" t="s">
        <v>180</v>
      </c>
      <c r="F2463" s="6" t="n">
        <v>4.05</v>
      </c>
      <c r="G2463" s="6" t="n">
        <v>0</v>
      </c>
      <c r="H2463" s="41" t="n">
        <v>15.85</v>
      </c>
      <c r="I2463" s="43" t="n">
        <f aca="false">F2463*H2463</f>
        <v>64.1925</v>
      </c>
      <c r="J2463" s="43" t="n">
        <f aca="false">G2463*H2463*1.5</f>
        <v>0</v>
      </c>
      <c r="K2463" s="6" t="n">
        <v>12.51</v>
      </c>
      <c r="L2463" s="43" t="n">
        <f aca="false">K2463*'Chart of Accounts'!$E$68</f>
        <v>8.3817</v>
      </c>
      <c r="O2463" s="42" t="n">
        <f aca="false">I2463+J2463+L2463</f>
        <v>72.5742</v>
      </c>
    </row>
    <row r="2464" customFormat="false" ht="15" hidden="false" customHeight="false" outlineLevel="0" collapsed="false">
      <c r="B2464" s="7" t="s">
        <v>11097</v>
      </c>
      <c r="C2464" s="39" t="n">
        <v>45811</v>
      </c>
      <c r="D2464" s="7" t="s">
        <v>242</v>
      </c>
      <c r="E2464" s="7" t="s">
        <v>180</v>
      </c>
      <c r="F2464" s="6" t="n">
        <v>7.555</v>
      </c>
      <c r="G2464" s="6" t="n">
        <v>0.085</v>
      </c>
      <c r="H2464" s="41" t="n">
        <v>17.99</v>
      </c>
      <c r="I2464" s="43" t="n">
        <f aca="false">F2464*H2464</f>
        <v>135.91445</v>
      </c>
      <c r="J2464" s="43" t="n">
        <f aca="false">G2464*H2464*1.5</f>
        <v>2.293725</v>
      </c>
      <c r="K2464" s="6" t="n">
        <v>21.92</v>
      </c>
      <c r="L2464" s="43" t="n">
        <f aca="false">K2464*'Chart of Accounts'!$E$68</f>
        <v>14.6864</v>
      </c>
      <c r="O2464" s="42" t="n">
        <f aca="false">I2464+J2464+L2464</f>
        <v>152.894575</v>
      </c>
    </row>
    <row r="2465" customFormat="false" ht="15" hidden="false" customHeight="false" outlineLevel="0" collapsed="false">
      <c r="B2465" s="7" t="s">
        <v>11098</v>
      </c>
      <c r="C2465" s="39" t="n">
        <v>45811</v>
      </c>
      <c r="D2465" s="7" t="s">
        <v>209</v>
      </c>
      <c r="E2465" s="7" t="s">
        <v>158</v>
      </c>
      <c r="H2465" s="41" t="n">
        <v>73.58</v>
      </c>
      <c r="M2465" s="6" t="n">
        <v>2</v>
      </c>
      <c r="N2465" s="43" t="n">
        <f aca="false">M2465*H2465</f>
        <v>147.16</v>
      </c>
      <c r="O2465" s="42" t="n">
        <f aca="false">N2465</f>
        <v>147.16</v>
      </c>
    </row>
    <row r="2466" customFormat="false" ht="15" hidden="false" customHeight="false" outlineLevel="0" collapsed="false">
      <c r="B2466" s="7" t="s">
        <v>11099</v>
      </c>
      <c r="C2466" s="39" t="n">
        <v>45811</v>
      </c>
      <c r="D2466" s="7" t="s">
        <v>184</v>
      </c>
      <c r="E2466" s="7" t="s">
        <v>180</v>
      </c>
      <c r="F2466" s="6" t="n">
        <v>3.84</v>
      </c>
      <c r="G2466" s="6" t="n">
        <v>0</v>
      </c>
      <c r="H2466" s="41" t="n">
        <v>17.34</v>
      </c>
      <c r="I2466" s="43" t="n">
        <f aca="false">F2466*H2466</f>
        <v>66.5856</v>
      </c>
      <c r="J2466" s="43" t="n">
        <f aca="false">G2466*H2466*1.5</f>
        <v>0</v>
      </c>
      <c r="K2466" s="6" t="n">
        <v>12.39</v>
      </c>
      <c r="L2466" s="43" t="n">
        <f aca="false">K2466*'Chart of Accounts'!$E$68</f>
        <v>8.3013</v>
      </c>
      <c r="O2466" s="42" t="n">
        <f aca="false">I2466+J2466+L2466</f>
        <v>74.8869</v>
      </c>
    </row>
    <row r="2467" customFormat="false" ht="15" hidden="false" customHeight="false" outlineLevel="0" collapsed="false">
      <c r="B2467" s="7" t="s">
        <v>11100</v>
      </c>
      <c r="C2467" s="39" t="n">
        <v>45811</v>
      </c>
      <c r="D2467" s="7" t="s">
        <v>234</v>
      </c>
      <c r="E2467" s="7" t="s">
        <v>158</v>
      </c>
      <c r="H2467" s="41" t="n">
        <v>89.53</v>
      </c>
      <c r="M2467" s="6" t="n">
        <v>2</v>
      </c>
      <c r="N2467" s="43" t="n">
        <f aca="false">M2467*H2467</f>
        <v>179.06</v>
      </c>
      <c r="O2467" s="42" t="n">
        <f aca="false">N2467</f>
        <v>179.06</v>
      </c>
    </row>
    <row r="2468" customFormat="false" ht="15" hidden="false" customHeight="false" outlineLevel="0" collapsed="false">
      <c r="B2468" s="7" t="s">
        <v>11101</v>
      </c>
      <c r="C2468" s="39" t="n">
        <v>45811</v>
      </c>
      <c r="D2468" s="7" t="s">
        <v>218</v>
      </c>
      <c r="E2468" s="7" t="s">
        <v>180</v>
      </c>
      <c r="F2468" s="6" t="n">
        <v>4.09</v>
      </c>
      <c r="G2468" s="6" t="n">
        <v>0</v>
      </c>
      <c r="H2468" s="41" t="n">
        <v>16.19</v>
      </c>
      <c r="I2468" s="43" t="n">
        <f aca="false">F2468*H2468</f>
        <v>66.2171</v>
      </c>
      <c r="J2468" s="43" t="n">
        <f aca="false">G2468*H2468*1.5</f>
        <v>0</v>
      </c>
      <c r="K2468" s="6" t="n">
        <v>13.5</v>
      </c>
      <c r="L2468" s="43" t="n">
        <f aca="false">K2468*'Chart of Accounts'!$E$68</f>
        <v>9.045</v>
      </c>
      <c r="O2468" s="42" t="n">
        <f aca="false">I2468+J2468+L2468</f>
        <v>75.2621</v>
      </c>
    </row>
    <row r="2469" customFormat="false" ht="15" hidden="false" customHeight="false" outlineLevel="0" collapsed="false">
      <c r="B2469" s="7" t="s">
        <v>11102</v>
      </c>
      <c r="C2469" s="39" t="n">
        <v>45811</v>
      </c>
      <c r="D2469" s="7" t="s">
        <v>266</v>
      </c>
      <c r="E2469" s="7" t="s">
        <v>158</v>
      </c>
      <c r="H2469" s="41" t="n">
        <v>75.18</v>
      </c>
      <c r="M2469" s="6" t="n">
        <v>1</v>
      </c>
      <c r="N2469" s="43" t="n">
        <f aca="false">M2469*H2469</f>
        <v>75.18</v>
      </c>
      <c r="O2469" s="42" t="n">
        <f aca="false">N2469</f>
        <v>75.18</v>
      </c>
    </row>
    <row r="2470" customFormat="false" ht="15" hidden="false" customHeight="false" outlineLevel="0" collapsed="false">
      <c r="B2470" s="7" t="s">
        <v>11103</v>
      </c>
      <c r="C2470" s="39" t="n">
        <v>45811</v>
      </c>
      <c r="D2470" s="7" t="s">
        <v>228</v>
      </c>
      <c r="E2470" s="7" t="s">
        <v>158</v>
      </c>
      <c r="H2470" s="41" t="n">
        <v>51.07</v>
      </c>
      <c r="M2470" s="6" t="n">
        <v>1</v>
      </c>
      <c r="N2470" s="43" t="n">
        <f aca="false">M2470*H2470</f>
        <v>51.07</v>
      </c>
      <c r="O2470" s="42" t="n">
        <f aca="false">N2470</f>
        <v>51.07</v>
      </c>
    </row>
    <row r="2471" customFormat="false" ht="15" hidden="false" customHeight="false" outlineLevel="0" collapsed="false">
      <c r="B2471" s="7" t="s">
        <v>11104</v>
      </c>
      <c r="C2471" s="39" t="n">
        <v>45811</v>
      </c>
      <c r="D2471" s="7" t="s">
        <v>220</v>
      </c>
      <c r="E2471" s="7" t="s">
        <v>180</v>
      </c>
      <c r="F2471" s="6" t="n">
        <v>4.01</v>
      </c>
      <c r="G2471" s="6" t="n">
        <v>0</v>
      </c>
      <c r="H2471" s="41" t="n">
        <v>16.43</v>
      </c>
      <c r="I2471" s="43" t="n">
        <f aca="false">F2471*H2471</f>
        <v>65.8843</v>
      </c>
      <c r="J2471" s="43" t="n">
        <f aca="false">G2471*H2471*1.5</f>
        <v>0</v>
      </c>
      <c r="K2471" s="6" t="n">
        <v>13.55</v>
      </c>
      <c r="L2471" s="43" t="n">
        <f aca="false">K2471*'Chart of Accounts'!$E$68</f>
        <v>9.0785</v>
      </c>
      <c r="O2471" s="42" t="n">
        <f aca="false">I2471+J2471+L2471</f>
        <v>74.9628</v>
      </c>
    </row>
    <row r="2472" customFormat="false" ht="15" hidden="false" customHeight="false" outlineLevel="0" collapsed="false">
      <c r="B2472" s="7" t="s">
        <v>11105</v>
      </c>
      <c r="C2472" s="39" t="n">
        <v>45811</v>
      </c>
      <c r="D2472" s="7" t="s">
        <v>212</v>
      </c>
      <c r="E2472" s="7" t="s">
        <v>180</v>
      </c>
      <c r="F2472" s="6" t="n">
        <v>3.98</v>
      </c>
      <c r="G2472" s="6" t="n">
        <v>0</v>
      </c>
      <c r="H2472" s="41" t="n">
        <v>16.71</v>
      </c>
      <c r="I2472" s="43" t="n">
        <f aca="false">F2472*H2472</f>
        <v>66.5058</v>
      </c>
      <c r="J2472" s="43" t="n">
        <f aca="false">G2472*H2472*1.5</f>
        <v>0</v>
      </c>
      <c r="K2472" s="6" t="n">
        <v>10.57</v>
      </c>
      <c r="L2472" s="43" t="n">
        <f aca="false">K2472*'Chart of Accounts'!$E$68</f>
        <v>7.0819</v>
      </c>
      <c r="O2472" s="42" t="n">
        <f aca="false">I2472+J2472+L2472</f>
        <v>73.5877</v>
      </c>
    </row>
    <row r="2473" customFormat="false" ht="15" hidden="false" customHeight="false" outlineLevel="0" collapsed="false">
      <c r="B2473" s="7" t="s">
        <v>11106</v>
      </c>
      <c r="C2473" s="39" t="n">
        <v>45811</v>
      </c>
      <c r="D2473" s="7" t="s">
        <v>194</v>
      </c>
      <c r="E2473" s="7" t="s">
        <v>180</v>
      </c>
      <c r="F2473" s="6" t="n">
        <v>3.91</v>
      </c>
      <c r="G2473" s="6" t="n">
        <v>0</v>
      </c>
      <c r="H2473" s="41" t="n">
        <v>16</v>
      </c>
      <c r="I2473" s="43" t="n">
        <f aca="false">F2473*H2473</f>
        <v>62.56</v>
      </c>
      <c r="J2473" s="43" t="n">
        <f aca="false">G2473*H2473*1.5</f>
        <v>0</v>
      </c>
      <c r="K2473" s="6" t="n">
        <v>11</v>
      </c>
      <c r="L2473" s="43" t="n">
        <f aca="false">K2473*'Chart of Accounts'!$E$68</f>
        <v>7.37</v>
      </c>
      <c r="O2473" s="42" t="n">
        <f aca="false">I2473+J2473+L2473</f>
        <v>69.93</v>
      </c>
    </row>
    <row r="2474" customFormat="false" ht="15" hidden="false" customHeight="false" outlineLevel="0" collapsed="false">
      <c r="B2474" s="7" t="s">
        <v>11107</v>
      </c>
      <c r="C2474" s="39" t="n">
        <v>45811</v>
      </c>
      <c r="D2474" s="7" t="s">
        <v>246</v>
      </c>
      <c r="E2474" s="7" t="s">
        <v>180</v>
      </c>
      <c r="F2474" s="6" t="n">
        <v>3.7</v>
      </c>
      <c r="G2474" s="6" t="n">
        <v>0</v>
      </c>
      <c r="H2474" s="41" t="n">
        <v>16.48</v>
      </c>
      <c r="I2474" s="43" t="n">
        <f aca="false">F2474*H2474</f>
        <v>60.976</v>
      </c>
      <c r="J2474" s="43" t="n">
        <f aca="false">G2474*H2474*1.5</f>
        <v>0</v>
      </c>
      <c r="K2474" s="6" t="n">
        <v>10.24</v>
      </c>
      <c r="L2474" s="43" t="n">
        <f aca="false">K2474*'Chart of Accounts'!$E$68</f>
        <v>6.8608</v>
      </c>
      <c r="O2474" s="42" t="n">
        <f aca="false">I2474+J2474+L2474</f>
        <v>67.8368</v>
      </c>
    </row>
    <row r="2475" customFormat="false" ht="15" hidden="false" customHeight="false" outlineLevel="0" collapsed="false">
      <c r="B2475" s="7" t="s">
        <v>11108</v>
      </c>
      <c r="C2475" s="39" t="n">
        <v>45811</v>
      </c>
      <c r="D2475" s="7" t="s">
        <v>222</v>
      </c>
      <c r="E2475" s="7" t="s">
        <v>180</v>
      </c>
      <c r="F2475" s="6" t="n">
        <v>3.63</v>
      </c>
      <c r="G2475" s="6" t="n">
        <v>0</v>
      </c>
      <c r="H2475" s="41" t="n">
        <v>17.84</v>
      </c>
      <c r="I2475" s="43" t="n">
        <f aca="false">F2475*H2475</f>
        <v>64.7592</v>
      </c>
      <c r="J2475" s="43" t="n">
        <f aca="false">G2475*H2475*1.5</f>
        <v>0</v>
      </c>
      <c r="K2475" s="6" t="n">
        <v>12.59</v>
      </c>
      <c r="L2475" s="43" t="n">
        <f aca="false">K2475*'Chart of Accounts'!$E$68</f>
        <v>8.4353</v>
      </c>
      <c r="O2475" s="42" t="n">
        <f aca="false">I2475+J2475+L2475</f>
        <v>73.1945</v>
      </c>
    </row>
    <row r="2476" customFormat="false" ht="15" hidden="false" customHeight="false" outlineLevel="0" collapsed="false">
      <c r="B2476" s="7" t="s">
        <v>11109</v>
      </c>
      <c r="C2476" s="39" t="n">
        <v>45811</v>
      </c>
      <c r="D2476" s="7" t="s">
        <v>203</v>
      </c>
      <c r="E2476" s="7" t="s">
        <v>158</v>
      </c>
      <c r="H2476" s="41" t="n">
        <v>49.43</v>
      </c>
      <c r="M2476" s="6" t="n">
        <v>1</v>
      </c>
      <c r="N2476" s="43" t="n">
        <f aca="false">M2476*H2476</f>
        <v>49.43</v>
      </c>
      <c r="O2476" s="42" t="n">
        <f aca="false">N2476</f>
        <v>49.43</v>
      </c>
    </row>
    <row r="2477" customFormat="false" ht="15" hidden="false" customHeight="false" outlineLevel="0" collapsed="false">
      <c r="B2477" s="7" t="s">
        <v>11110</v>
      </c>
      <c r="C2477" s="39" t="n">
        <v>45811</v>
      </c>
      <c r="D2477" s="7" t="s">
        <v>254</v>
      </c>
      <c r="E2477" s="7" t="s">
        <v>180</v>
      </c>
      <c r="F2477" s="6" t="n">
        <v>3.426</v>
      </c>
      <c r="G2477" s="6" t="n">
        <v>0.184</v>
      </c>
      <c r="H2477" s="41" t="n">
        <v>17.1</v>
      </c>
      <c r="I2477" s="43" t="n">
        <f aca="false">F2477*H2477</f>
        <v>58.5846</v>
      </c>
      <c r="J2477" s="43" t="n">
        <f aca="false">G2477*H2477*1.5</f>
        <v>4.7196</v>
      </c>
      <c r="K2477" s="6" t="n">
        <v>8.8</v>
      </c>
      <c r="L2477" s="43" t="n">
        <f aca="false">K2477*'Chart of Accounts'!$E$68</f>
        <v>5.896</v>
      </c>
      <c r="O2477" s="42" t="n">
        <f aca="false">I2477+J2477+L2477</f>
        <v>69.2002</v>
      </c>
    </row>
    <row r="2478" customFormat="false" ht="15" hidden="false" customHeight="false" outlineLevel="0" collapsed="false">
      <c r="B2478" s="7" t="s">
        <v>11111</v>
      </c>
      <c r="C2478" s="39" t="n">
        <v>45811</v>
      </c>
      <c r="D2478" s="7" t="s">
        <v>260</v>
      </c>
      <c r="E2478" s="7" t="s">
        <v>158</v>
      </c>
      <c r="H2478" s="41" t="n">
        <v>79.8</v>
      </c>
      <c r="M2478" s="6" t="n">
        <v>1</v>
      </c>
      <c r="N2478" s="43" t="n">
        <f aca="false">M2478*H2478</f>
        <v>79.8</v>
      </c>
      <c r="O2478" s="42" t="n">
        <f aca="false">N2478</f>
        <v>79.8</v>
      </c>
    </row>
    <row r="2479" customFormat="false" ht="15" hidden="false" customHeight="false" outlineLevel="0" collapsed="false">
      <c r="B2479" s="7" t="s">
        <v>11112</v>
      </c>
      <c r="C2479" s="39" t="n">
        <v>45812</v>
      </c>
      <c r="D2479" s="7" t="s">
        <v>187</v>
      </c>
      <c r="E2479" s="7" t="s">
        <v>158</v>
      </c>
      <c r="H2479" s="41" t="n">
        <v>66.48</v>
      </c>
      <c r="M2479" s="6" t="n">
        <v>1</v>
      </c>
      <c r="N2479" s="43" t="n">
        <f aca="false">M2479*H2479</f>
        <v>66.48</v>
      </c>
      <c r="O2479" s="42" t="n">
        <f aca="false">N2479</f>
        <v>66.48</v>
      </c>
    </row>
    <row r="2480" customFormat="false" ht="15" hidden="false" customHeight="false" outlineLevel="0" collapsed="false">
      <c r="B2480" s="7" t="s">
        <v>11113</v>
      </c>
      <c r="C2480" s="39" t="n">
        <v>45812</v>
      </c>
      <c r="D2480" s="7" t="s">
        <v>228</v>
      </c>
      <c r="E2480" s="7" t="s">
        <v>158</v>
      </c>
      <c r="H2480" s="41" t="n">
        <v>51.07</v>
      </c>
      <c r="M2480" s="6" t="n">
        <v>1</v>
      </c>
      <c r="N2480" s="43" t="n">
        <f aca="false">M2480*H2480</f>
        <v>51.07</v>
      </c>
      <c r="O2480" s="42" t="n">
        <f aca="false">N2480</f>
        <v>51.07</v>
      </c>
    </row>
    <row r="2481" customFormat="false" ht="15" hidden="false" customHeight="false" outlineLevel="0" collapsed="false">
      <c r="B2481" s="7" t="s">
        <v>11114</v>
      </c>
      <c r="C2481" s="39" t="n">
        <v>45812</v>
      </c>
      <c r="D2481" s="7" t="s">
        <v>201</v>
      </c>
      <c r="E2481" s="7" t="s">
        <v>180</v>
      </c>
      <c r="F2481" s="6" t="n">
        <v>7.57</v>
      </c>
      <c r="G2481" s="6" t="n">
        <v>0</v>
      </c>
      <c r="H2481" s="41" t="n">
        <v>15.19</v>
      </c>
      <c r="I2481" s="43" t="n">
        <f aca="false">F2481*H2481</f>
        <v>114.9883</v>
      </c>
      <c r="J2481" s="43" t="n">
        <f aca="false">G2481*H2481*1.5</f>
        <v>0</v>
      </c>
      <c r="K2481" s="6" t="n">
        <v>18.24</v>
      </c>
      <c r="L2481" s="43" t="n">
        <f aca="false">K2481*'Chart of Accounts'!$E$68</f>
        <v>12.2208</v>
      </c>
      <c r="O2481" s="42" t="n">
        <f aca="false">I2481+J2481+L2481</f>
        <v>127.2091</v>
      </c>
    </row>
    <row r="2482" customFormat="false" ht="15" hidden="false" customHeight="false" outlineLevel="0" collapsed="false">
      <c r="B2482" s="7" t="s">
        <v>11115</v>
      </c>
      <c r="C2482" s="39" t="n">
        <v>45812</v>
      </c>
      <c r="D2482" s="7" t="s">
        <v>194</v>
      </c>
      <c r="E2482" s="7" t="s">
        <v>180</v>
      </c>
      <c r="F2482" s="6" t="n">
        <v>8.57</v>
      </c>
      <c r="G2482" s="6" t="n">
        <v>0</v>
      </c>
      <c r="H2482" s="41" t="n">
        <v>16</v>
      </c>
      <c r="I2482" s="43" t="n">
        <f aca="false">F2482*H2482</f>
        <v>137.12</v>
      </c>
      <c r="J2482" s="43" t="n">
        <f aca="false">G2482*H2482*1.5</f>
        <v>0</v>
      </c>
      <c r="K2482" s="6" t="n">
        <v>30.59</v>
      </c>
      <c r="L2482" s="43" t="n">
        <f aca="false">K2482*'Chart of Accounts'!$E$68</f>
        <v>20.4953</v>
      </c>
      <c r="O2482" s="42" t="n">
        <f aca="false">I2482+J2482+L2482</f>
        <v>157.6153</v>
      </c>
    </row>
    <row r="2483" customFormat="false" ht="15" hidden="false" customHeight="false" outlineLevel="0" collapsed="false">
      <c r="B2483" s="7" t="s">
        <v>11116</v>
      </c>
      <c r="C2483" s="39" t="n">
        <v>45812</v>
      </c>
      <c r="D2483" s="7" t="s">
        <v>205</v>
      </c>
      <c r="E2483" s="7" t="s">
        <v>180</v>
      </c>
      <c r="F2483" s="6" t="n">
        <v>4.33</v>
      </c>
      <c r="G2483" s="6" t="n">
        <v>0</v>
      </c>
      <c r="H2483" s="41" t="n">
        <v>16.36</v>
      </c>
      <c r="I2483" s="43" t="n">
        <f aca="false">F2483*H2483</f>
        <v>70.8388</v>
      </c>
      <c r="J2483" s="43" t="n">
        <f aca="false">G2483*H2483*1.5</f>
        <v>0</v>
      </c>
      <c r="K2483" s="6" t="n">
        <v>13.46</v>
      </c>
      <c r="L2483" s="43" t="n">
        <f aca="false">K2483*'Chart of Accounts'!$E$68</f>
        <v>9.0182</v>
      </c>
      <c r="O2483" s="42" t="n">
        <f aca="false">I2483+J2483+L2483</f>
        <v>79.857</v>
      </c>
    </row>
    <row r="2484" customFormat="false" ht="15" hidden="false" customHeight="false" outlineLevel="0" collapsed="false">
      <c r="B2484" s="7" t="s">
        <v>11117</v>
      </c>
      <c r="C2484" s="39" t="n">
        <v>45812</v>
      </c>
      <c r="D2484" s="7" t="s">
        <v>264</v>
      </c>
      <c r="E2484" s="7" t="s">
        <v>158</v>
      </c>
      <c r="H2484" s="41" t="n">
        <v>55.55</v>
      </c>
      <c r="M2484" s="6" t="n">
        <v>1</v>
      </c>
      <c r="N2484" s="43" t="n">
        <f aca="false">M2484*H2484</f>
        <v>55.55</v>
      </c>
      <c r="O2484" s="42" t="n">
        <f aca="false">N2484</f>
        <v>55.55</v>
      </c>
    </row>
    <row r="2485" customFormat="false" ht="15" hidden="false" customHeight="false" outlineLevel="0" collapsed="false">
      <c r="B2485" s="7" t="s">
        <v>11118</v>
      </c>
      <c r="C2485" s="39" t="n">
        <v>45812</v>
      </c>
      <c r="D2485" s="7" t="s">
        <v>252</v>
      </c>
      <c r="E2485" s="7" t="s">
        <v>158</v>
      </c>
      <c r="H2485" s="41" t="n">
        <v>57.54</v>
      </c>
      <c r="M2485" s="6" t="n">
        <v>1</v>
      </c>
      <c r="N2485" s="43" t="n">
        <f aca="false">M2485*H2485</f>
        <v>57.54</v>
      </c>
      <c r="O2485" s="42" t="n">
        <f aca="false">N2485</f>
        <v>57.54</v>
      </c>
    </row>
    <row r="2486" customFormat="false" ht="15" hidden="false" customHeight="false" outlineLevel="0" collapsed="false">
      <c r="B2486" s="7" t="s">
        <v>11119</v>
      </c>
      <c r="C2486" s="39" t="n">
        <v>45812</v>
      </c>
      <c r="D2486" s="7" t="s">
        <v>184</v>
      </c>
      <c r="E2486" s="7" t="s">
        <v>180</v>
      </c>
      <c r="F2486" s="6" t="n">
        <v>3.7</v>
      </c>
      <c r="G2486" s="6" t="n">
        <v>0</v>
      </c>
      <c r="H2486" s="41" t="n">
        <v>17.34</v>
      </c>
      <c r="I2486" s="43" t="n">
        <f aca="false">F2486*H2486</f>
        <v>64.158</v>
      </c>
      <c r="J2486" s="43" t="n">
        <f aca="false">G2486*H2486*1.5</f>
        <v>0</v>
      </c>
      <c r="K2486" s="6" t="n">
        <v>11.54</v>
      </c>
      <c r="L2486" s="43" t="n">
        <f aca="false">K2486*'Chart of Accounts'!$E$68</f>
        <v>7.7318</v>
      </c>
      <c r="O2486" s="42" t="n">
        <f aca="false">I2486+J2486+L2486</f>
        <v>71.8898</v>
      </c>
    </row>
    <row r="2487" customFormat="false" ht="15" hidden="false" customHeight="false" outlineLevel="0" collapsed="false">
      <c r="B2487" s="7" t="s">
        <v>11120</v>
      </c>
      <c r="C2487" s="39" t="n">
        <v>45812</v>
      </c>
      <c r="D2487" s="7" t="s">
        <v>218</v>
      </c>
      <c r="E2487" s="7" t="s">
        <v>180</v>
      </c>
      <c r="F2487" s="6" t="n">
        <v>3.88</v>
      </c>
      <c r="G2487" s="6" t="n">
        <v>0</v>
      </c>
      <c r="H2487" s="41" t="n">
        <v>16.19</v>
      </c>
      <c r="I2487" s="43" t="n">
        <f aca="false">F2487*H2487</f>
        <v>62.8172</v>
      </c>
      <c r="J2487" s="43" t="n">
        <f aca="false">G2487*H2487*1.5</f>
        <v>0</v>
      </c>
      <c r="K2487" s="6" t="n">
        <v>11.97</v>
      </c>
      <c r="L2487" s="43" t="n">
        <f aca="false">K2487*'Chart of Accounts'!$E$68</f>
        <v>8.0199</v>
      </c>
      <c r="O2487" s="42" t="n">
        <f aca="false">I2487+J2487+L2487</f>
        <v>70.8371</v>
      </c>
    </row>
    <row r="2488" customFormat="false" ht="15" hidden="false" customHeight="false" outlineLevel="0" collapsed="false">
      <c r="B2488" s="7" t="s">
        <v>11121</v>
      </c>
      <c r="C2488" s="39" t="n">
        <v>45812</v>
      </c>
      <c r="D2488" s="7" t="s">
        <v>220</v>
      </c>
      <c r="E2488" s="7" t="s">
        <v>180</v>
      </c>
      <c r="F2488" s="6" t="n">
        <v>3.64</v>
      </c>
      <c r="G2488" s="6" t="n">
        <v>0</v>
      </c>
      <c r="H2488" s="41" t="n">
        <v>16.43</v>
      </c>
      <c r="I2488" s="43" t="n">
        <f aca="false">F2488*H2488</f>
        <v>59.8052</v>
      </c>
      <c r="J2488" s="43" t="n">
        <f aca="false">G2488*H2488*1.5</f>
        <v>0</v>
      </c>
      <c r="K2488" s="6" t="n">
        <v>9.87</v>
      </c>
      <c r="L2488" s="43" t="n">
        <f aca="false">K2488*'Chart of Accounts'!$E$68</f>
        <v>6.6129</v>
      </c>
      <c r="O2488" s="42" t="n">
        <f aca="false">I2488+J2488+L2488</f>
        <v>66.4181</v>
      </c>
    </row>
    <row r="2489" customFormat="false" ht="15" hidden="false" customHeight="false" outlineLevel="0" collapsed="false">
      <c r="B2489" s="7" t="s">
        <v>11122</v>
      </c>
      <c r="C2489" s="39" t="n">
        <v>45812</v>
      </c>
      <c r="D2489" s="7" t="s">
        <v>177</v>
      </c>
      <c r="E2489" s="7" t="s">
        <v>180</v>
      </c>
      <c r="F2489" s="6" t="n">
        <v>8.06</v>
      </c>
      <c r="G2489" s="6" t="n">
        <v>0</v>
      </c>
      <c r="H2489" s="41" t="n">
        <v>14.56</v>
      </c>
      <c r="I2489" s="43" t="n">
        <f aca="false">F2489*H2489</f>
        <v>117.3536</v>
      </c>
      <c r="J2489" s="43" t="n">
        <f aca="false">G2489*H2489*1.5</f>
        <v>0</v>
      </c>
      <c r="K2489" s="6" t="n">
        <v>21.07</v>
      </c>
      <c r="L2489" s="43" t="n">
        <f aca="false">K2489*'Chart of Accounts'!$E$68</f>
        <v>14.1169</v>
      </c>
      <c r="O2489" s="42" t="n">
        <f aca="false">I2489+J2489+L2489</f>
        <v>131.4705</v>
      </c>
    </row>
    <row r="2490" customFormat="false" ht="15" hidden="false" customHeight="false" outlineLevel="0" collapsed="false">
      <c r="B2490" s="7" t="s">
        <v>11123</v>
      </c>
      <c r="C2490" s="39" t="n">
        <v>45812</v>
      </c>
      <c r="D2490" s="7" t="s">
        <v>242</v>
      </c>
      <c r="E2490" s="7" t="s">
        <v>180</v>
      </c>
      <c r="F2490" s="6" t="n">
        <v>7.367</v>
      </c>
      <c r="G2490" s="6" t="n">
        <v>0.083</v>
      </c>
      <c r="H2490" s="41" t="n">
        <v>17.99</v>
      </c>
      <c r="I2490" s="43" t="n">
        <f aca="false">F2490*H2490</f>
        <v>132.53233</v>
      </c>
      <c r="J2490" s="43" t="n">
        <f aca="false">G2490*H2490*1.5</f>
        <v>2.239755</v>
      </c>
      <c r="K2490" s="6" t="n">
        <v>20.76</v>
      </c>
      <c r="L2490" s="43" t="n">
        <f aca="false">K2490*'Chart of Accounts'!$E$68</f>
        <v>13.9092</v>
      </c>
      <c r="O2490" s="42" t="n">
        <f aca="false">I2490+J2490+L2490</f>
        <v>148.681285</v>
      </c>
    </row>
    <row r="2491" customFormat="false" ht="15" hidden="false" customHeight="false" outlineLevel="0" collapsed="false">
      <c r="B2491" s="7" t="s">
        <v>11124</v>
      </c>
      <c r="C2491" s="39" t="n">
        <v>45812</v>
      </c>
      <c r="D2491" s="7" t="s">
        <v>254</v>
      </c>
      <c r="E2491" s="7" t="s">
        <v>180</v>
      </c>
      <c r="F2491" s="6" t="n">
        <v>7.431</v>
      </c>
      <c r="G2491" s="6" t="n">
        <v>0.399</v>
      </c>
      <c r="H2491" s="41" t="n">
        <v>17.1</v>
      </c>
      <c r="I2491" s="43" t="n">
        <f aca="false">F2491*H2491</f>
        <v>127.0701</v>
      </c>
      <c r="J2491" s="43" t="n">
        <f aca="false">G2491*H2491*1.5</f>
        <v>10.23435</v>
      </c>
      <c r="K2491" s="6" t="n">
        <v>24.84</v>
      </c>
      <c r="L2491" s="43" t="n">
        <f aca="false">K2491*'Chart of Accounts'!$E$68</f>
        <v>16.6428</v>
      </c>
      <c r="O2491" s="42" t="n">
        <f aca="false">I2491+J2491+L2491</f>
        <v>153.94725</v>
      </c>
    </row>
    <row r="2492" customFormat="false" ht="15" hidden="false" customHeight="false" outlineLevel="0" collapsed="false">
      <c r="B2492" s="7" t="s">
        <v>11125</v>
      </c>
      <c r="C2492" s="39" t="n">
        <v>45812</v>
      </c>
      <c r="D2492" s="7" t="s">
        <v>207</v>
      </c>
      <c r="E2492" s="7" t="s">
        <v>180</v>
      </c>
      <c r="F2492" s="6" t="n">
        <v>3.5</v>
      </c>
      <c r="G2492" s="6" t="n">
        <v>0</v>
      </c>
      <c r="H2492" s="41" t="n">
        <v>16.65</v>
      </c>
      <c r="I2492" s="43" t="n">
        <f aca="false">F2492*H2492</f>
        <v>58.275</v>
      </c>
      <c r="J2492" s="43" t="n">
        <f aca="false">G2492*H2492*1.5</f>
        <v>0</v>
      </c>
      <c r="K2492" s="6" t="n">
        <v>8.92</v>
      </c>
      <c r="L2492" s="43" t="n">
        <f aca="false">K2492*'Chart of Accounts'!$E$68</f>
        <v>5.9764</v>
      </c>
      <c r="O2492" s="42" t="n">
        <f aca="false">I2492+J2492+L2492</f>
        <v>64.2514</v>
      </c>
    </row>
    <row r="2493" customFormat="false" ht="15" hidden="false" customHeight="false" outlineLevel="0" collapsed="false">
      <c r="B2493" s="7" t="s">
        <v>11126</v>
      </c>
      <c r="C2493" s="39" t="n">
        <v>45812</v>
      </c>
      <c r="D2493" s="7" t="s">
        <v>212</v>
      </c>
      <c r="E2493" s="7" t="s">
        <v>180</v>
      </c>
      <c r="F2493" s="6" t="n">
        <v>4.09</v>
      </c>
      <c r="G2493" s="6" t="n">
        <v>0</v>
      </c>
      <c r="H2493" s="41" t="n">
        <v>16.71</v>
      </c>
      <c r="I2493" s="43" t="n">
        <f aca="false">F2493*H2493</f>
        <v>68.3439</v>
      </c>
      <c r="J2493" s="43" t="n">
        <f aca="false">G2493*H2493*1.5</f>
        <v>0</v>
      </c>
      <c r="K2493" s="6" t="n">
        <v>9.02</v>
      </c>
      <c r="L2493" s="43" t="n">
        <f aca="false">K2493*'Chart of Accounts'!$E$68</f>
        <v>6.0434</v>
      </c>
      <c r="O2493" s="42" t="n">
        <f aca="false">I2493+J2493+L2493</f>
        <v>74.3873</v>
      </c>
    </row>
    <row r="2494" customFormat="false" ht="15" hidden="false" customHeight="false" outlineLevel="0" collapsed="false">
      <c r="B2494" s="7" t="s">
        <v>11127</v>
      </c>
      <c r="C2494" s="39" t="n">
        <v>45812</v>
      </c>
      <c r="D2494" s="7" t="s">
        <v>232</v>
      </c>
      <c r="E2494" s="7" t="s">
        <v>180</v>
      </c>
      <c r="F2494" s="6" t="n">
        <v>8.58</v>
      </c>
      <c r="G2494" s="6" t="n">
        <v>0</v>
      </c>
      <c r="H2494" s="41" t="n">
        <v>16.17</v>
      </c>
      <c r="I2494" s="43" t="n">
        <f aca="false">F2494*H2494</f>
        <v>138.7386</v>
      </c>
      <c r="J2494" s="43" t="n">
        <f aca="false">G2494*H2494*1.5</f>
        <v>0</v>
      </c>
      <c r="K2494" s="6" t="n">
        <v>21.96</v>
      </c>
      <c r="L2494" s="43" t="n">
        <f aca="false">K2494*'Chart of Accounts'!$E$68</f>
        <v>14.7132</v>
      </c>
      <c r="O2494" s="42" t="n">
        <f aca="false">I2494+J2494+L2494</f>
        <v>153.4518</v>
      </c>
    </row>
    <row r="2495" customFormat="false" ht="15" hidden="false" customHeight="false" outlineLevel="0" collapsed="false">
      <c r="B2495" s="7" t="s">
        <v>11128</v>
      </c>
      <c r="C2495" s="39" t="n">
        <v>45812</v>
      </c>
      <c r="D2495" s="7" t="s">
        <v>224</v>
      </c>
      <c r="E2495" s="7" t="s">
        <v>180</v>
      </c>
      <c r="F2495" s="6" t="n">
        <v>4.85</v>
      </c>
      <c r="G2495" s="6" t="n">
        <v>0</v>
      </c>
      <c r="H2495" s="41" t="n">
        <v>14.93</v>
      </c>
      <c r="I2495" s="43" t="n">
        <f aca="false">F2495*H2495</f>
        <v>72.4105</v>
      </c>
      <c r="J2495" s="43" t="n">
        <f aca="false">G2495*H2495*1.5</f>
        <v>0</v>
      </c>
      <c r="K2495" s="6" t="n">
        <v>13.18</v>
      </c>
      <c r="L2495" s="43" t="n">
        <f aca="false">K2495*'Chart of Accounts'!$E$68</f>
        <v>8.8306</v>
      </c>
      <c r="O2495" s="42" t="n">
        <f aca="false">I2495+J2495+L2495</f>
        <v>81.2411</v>
      </c>
    </row>
    <row r="2496" customFormat="false" ht="15" hidden="false" customHeight="false" outlineLevel="0" collapsed="false">
      <c r="B2496" s="7" t="s">
        <v>11129</v>
      </c>
      <c r="C2496" s="39" t="n">
        <v>45812</v>
      </c>
      <c r="D2496" s="7" t="s">
        <v>238</v>
      </c>
      <c r="E2496" s="7" t="s">
        <v>180</v>
      </c>
      <c r="F2496" s="6" t="n">
        <v>4.06</v>
      </c>
      <c r="G2496" s="6" t="n">
        <v>0</v>
      </c>
      <c r="H2496" s="41" t="n">
        <v>15.85</v>
      </c>
      <c r="I2496" s="43" t="n">
        <f aca="false">F2496*H2496</f>
        <v>64.351</v>
      </c>
      <c r="J2496" s="43" t="n">
        <f aca="false">G2496*H2496*1.5</f>
        <v>0</v>
      </c>
      <c r="K2496" s="6" t="n">
        <v>13.54</v>
      </c>
      <c r="L2496" s="43" t="n">
        <f aca="false">K2496*'Chart of Accounts'!$E$68</f>
        <v>9.0718</v>
      </c>
      <c r="O2496" s="42" t="n">
        <f aca="false">I2496+J2496+L2496</f>
        <v>73.4228</v>
      </c>
    </row>
    <row r="2497" customFormat="false" ht="15" hidden="false" customHeight="false" outlineLevel="0" collapsed="false">
      <c r="B2497" s="7" t="s">
        <v>11130</v>
      </c>
      <c r="C2497" s="39" t="n">
        <v>45812</v>
      </c>
      <c r="D2497" s="7" t="s">
        <v>246</v>
      </c>
      <c r="E2497" s="7" t="s">
        <v>180</v>
      </c>
      <c r="F2497" s="6" t="n">
        <v>3.95</v>
      </c>
      <c r="G2497" s="6" t="n">
        <v>0</v>
      </c>
      <c r="H2497" s="41" t="n">
        <v>16.48</v>
      </c>
      <c r="I2497" s="43" t="n">
        <f aca="false">F2497*H2497</f>
        <v>65.096</v>
      </c>
      <c r="J2497" s="43" t="n">
        <f aca="false">G2497*H2497*1.5</f>
        <v>0</v>
      </c>
      <c r="K2497" s="6" t="n">
        <v>10.57</v>
      </c>
      <c r="L2497" s="43" t="n">
        <f aca="false">K2497*'Chart of Accounts'!$E$68</f>
        <v>7.0819</v>
      </c>
      <c r="O2497" s="42" t="n">
        <f aca="false">I2497+J2497+L2497</f>
        <v>72.1779</v>
      </c>
    </row>
    <row r="2498" customFormat="false" ht="15" hidden="false" customHeight="false" outlineLevel="0" collapsed="false">
      <c r="B2498" s="7" t="s">
        <v>11131</v>
      </c>
      <c r="C2498" s="39" t="n">
        <v>45812</v>
      </c>
      <c r="D2498" s="7" t="s">
        <v>222</v>
      </c>
      <c r="E2498" s="7" t="s">
        <v>180</v>
      </c>
      <c r="F2498" s="6" t="n">
        <v>3.73</v>
      </c>
      <c r="G2498" s="6" t="n">
        <v>0</v>
      </c>
      <c r="H2498" s="41" t="n">
        <v>17.84</v>
      </c>
      <c r="I2498" s="43" t="n">
        <f aca="false">F2498*H2498</f>
        <v>66.5432</v>
      </c>
      <c r="J2498" s="43" t="n">
        <f aca="false">G2498*H2498*1.5</f>
        <v>0</v>
      </c>
      <c r="K2498" s="6" t="n">
        <v>9.94</v>
      </c>
      <c r="L2498" s="43" t="n">
        <f aca="false">K2498*'Chart of Accounts'!$E$68</f>
        <v>6.6598</v>
      </c>
      <c r="O2498" s="42" t="n">
        <f aca="false">I2498+J2498+L2498</f>
        <v>73.203</v>
      </c>
    </row>
    <row r="2499" customFormat="false" ht="15" hidden="false" customHeight="false" outlineLevel="0" collapsed="false">
      <c r="B2499" s="7" t="s">
        <v>11132</v>
      </c>
      <c r="C2499" s="39" t="n">
        <v>45812</v>
      </c>
      <c r="D2499" s="7" t="s">
        <v>203</v>
      </c>
      <c r="E2499" s="7" t="s">
        <v>158</v>
      </c>
      <c r="H2499" s="41" t="n">
        <v>49.43</v>
      </c>
      <c r="M2499" s="6" t="n">
        <v>1</v>
      </c>
      <c r="N2499" s="43" t="n">
        <f aca="false">M2499*H2499</f>
        <v>49.43</v>
      </c>
      <c r="O2499" s="42" t="n">
        <f aca="false">N2499</f>
        <v>49.43</v>
      </c>
    </row>
    <row r="2500" customFormat="false" ht="15" hidden="false" customHeight="false" outlineLevel="0" collapsed="false">
      <c r="B2500" s="7" t="s">
        <v>11133</v>
      </c>
      <c r="C2500" s="39" t="n">
        <v>45812</v>
      </c>
      <c r="D2500" s="7" t="s">
        <v>214</v>
      </c>
      <c r="E2500" s="7" t="s">
        <v>180</v>
      </c>
      <c r="F2500" s="6" t="n">
        <v>3.64</v>
      </c>
      <c r="G2500" s="6" t="n">
        <v>0</v>
      </c>
      <c r="H2500" s="41" t="n">
        <v>15.67</v>
      </c>
      <c r="I2500" s="43" t="n">
        <f aca="false">F2500*H2500</f>
        <v>57.0388</v>
      </c>
      <c r="J2500" s="43" t="n">
        <f aca="false">G2500*H2500*1.5</f>
        <v>0</v>
      </c>
      <c r="K2500" s="6" t="n">
        <v>8.65</v>
      </c>
      <c r="L2500" s="43" t="n">
        <f aca="false">K2500*'Chart of Accounts'!$E$68</f>
        <v>5.7955</v>
      </c>
      <c r="O2500" s="42" t="n">
        <f aca="false">I2500+J2500+L2500</f>
        <v>62.8343</v>
      </c>
    </row>
    <row r="2501" customFormat="false" ht="15" hidden="false" customHeight="false" outlineLevel="0" collapsed="false">
      <c r="B2501" s="7" t="s">
        <v>11134</v>
      </c>
      <c r="C2501" s="39" t="n">
        <v>45813</v>
      </c>
      <c r="D2501" s="7" t="s">
        <v>254</v>
      </c>
      <c r="E2501" s="7" t="s">
        <v>180</v>
      </c>
      <c r="F2501" s="6" t="n">
        <v>7.706</v>
      </c>
      <c r="G2501" s="6" t="n">
        <v>0.414</v>
      </c>
      <c r="H2501" s="41" t="n">
        <v>17.1</v>
      </c>
      <c r="I2501" s="43" t="n">
        <f aca="false">F2501*H2501</f>
        <v>131.7726</v>
      </c>
      <c r="J2501" s="43" t="n">
        <f aca="false">G2501*H2501*1.5</f>
        <v>10.6191</v>
      </c>
      <c r="K2501" s="6" t="n">
        <v>22.5</v>
      </c>
      <c r="L2501" s="43" t="n">
        <f aca="false">K2501*'Chart of Accounts'!$E$68</f>
        <v>15.075</v>
      </c>
      <c r="O2501" s="42" t="n">
        <f aca="false">I2501+J2501+L2501</f>
        <v>157.4667</v>
      </c>
    </row>
    <row r="2502" customFormat="false" ht="15" hidden="false" customHeight="false" outlineLevel="0" collapsed="false">
      <c r="B2502" s="7" t="s">
        <v>11135</v>
      </c>
      <c r="C2502" s="39" t="n">
        <v>45813</v>
      </c>
      <c r="D2502" s="7" t="s">
        <v>201</v>
      </c>
      <c r="E2502" s="7" t="s">
        <v>180</v>
      </c>
      <c r="F2502" s="6" t="n">
        <v>6.04</v>
      </c>
      <c r="G2502" s="6" t="n">
        <v>0</v>
      </c>
      <c r="H2502" s="41" t="n">
        <v>15.19</v>
      </c>
      <c r="I2502" s="43" t="n">
        <f aca="false">F2502*H2502</f>
        <v>91.7476</v>
      </c>
      <c r="J2502" s="43" t="n">
        <f aca="false">G2502*H2502*1.5</f>
        <v>0</v>
      </c>
      <c r="K2502" s="6" t="n">
        <v>19.26</v>
      </c>
      <c r="L2502" s="43" t="n">
        <f aca="false">K2502*'Chart of Accounts'!$E$68</f>
        <v>12.9042</v>
      </c>
      <c r="O2502" s="42" t="n">
        <f aca="false">I2502+J2502+L2502</f>
        <v>104.6518</v>
      </c>
    </row>
    <row r="2503" customFormat="false" ht="15" hidden="false" customHeight="false" outlineLevel="0" collapsed="false">
      <c r="B2503" s="7" t="s">
        <v>11136</v>
      </c>
      <c r="C2503" s="39" t="n">
        <v>45813</v>
      </c>
      <c r="D2503" s="7" t="s">
        <v>196</v>
      </c>
      <c r="E2503" s="7" t="s">
        <v>180</v>
      </c>
      <c r="F2503" s="6" t="n">
        <v>6.46</v>
      </c>
      <c r="G2503" s="6" t="n">
        <v>0</v>
      </c>
      <c r="H2503" s="41" t="n">
        <v>15.05</v>
      </c>
      <c r="I2503" s="43" t="n">
        <f aca="false">F2503*H2503</f>
        <v>97.223</v>
      </c>
      <c r="J2503" s="43" t="n">
        <f aca="false">G2503*H2503*1.5</f>
        <v>0</v>
      </c>
      <c r="K2503" s="6" t="n">
        <v>18.09</v>
      </c>
      <c r="L2503" s="43" t="n">
        <f aca="false">K2503*'Chart of Accounts'!$E$68</f>
        <v>12.1203</v>
      </c>
      <c r="O2503" s="42" t="n">
        <f aca="false">I2503+J2503+L2503</f>
        <v>109.3433</v>
      </c>
    </row>
    <row r="2504" customFormat="false" ht="15" hidden="false" customHeight="false" outlineLevel="0" collapsed="false">
      <c r="B2504" s="7" t="s">
        <v>11137</v>
      </c>
      <c r="C2504" s="39" t="n">
        <v>45813</v>
      </c>
      <c r="D2504" s="7" t="s">
        <v>184</v>
      </c>
      <c r="E2504" s="7" t="s">
        <v>180</v>
      </c>
      <c r="F2504" s="6" t="n">
        <v>8.4</v>
      </c>
      <c r="G2504" s="6" t="n">
        <v>0</v>
      </c>
      <c r="H2504" s="41" t="n">
        <v>17.34</v>
      </c>
      <c r="I2504" s="43" t="n">
        <f aca="false">F2504*H2504</f>
        <v>145.656</v>
      </c>
      <c r="J2504" s="43" t="n">
        <f aca="false">G2504*H2504*1.5</f>
        <v>0</v>
      </c>
      <c r="K2504" s="6" t="n">
        <v>24.36</v>
      </c>
      <c r="L2504" s="43" t="n">
        <f aca="false">K2504*'Chart of Accounts'!$E$68</f>
        <v>16.3212</v>
      </c>
      <c r="O2504" s="42" t="n">
        <f aca="false">I2504+J2504+L2504</f>
        <v>161.9772</v>
      </c>
    </row>
    <row r="2505" customFormat="false" ht="15" hidden="false" customHeight="false" outlineLevel="0" collapsed="false">
      <c r="B2505" s="7" t="s">
        <v>11138</v>
      </c>
      <c r="C2505" s="39" t="n">
        <v>45813</v>
      </c>
      <c r="D2505" s="7" t="s">
        <v>207</v>
      </c>
      <c r="E2505" s="7" t="s">
        <v>180</v>
      </c>
      <c r="F2505" s="6" t="n">
        <v>2.73</v>
      </c>
      <c r="G2505" s="6" t="n">
        <v>0</v>
      </c>
      <c r="H2505" s="41" t="n">
        <v>16.65</v>
      </c>
      <c r="I2505" s="43" t="n">
        <f aca="false">F2505*H2505</f>
        <v>45.4545</v>
      </c>
      <c r="J2505" s="43" t="n">
        <f aca="false">G2505*H2505*1.5</f>
        <v>0</v>
      </c>
      <c r="K2505" s="6" t="n">
        <v>7.87</v>
      </c>
      <c r="L2505" s="43" t="n">
        <f aca="false">K2505*'Chart of Accounts'!$E$68</f>
        <v>5.2729</v>
      </c>
      <c r="O2505" s="42" t="n">
        <f aca="false">I2505+J2505+L2505</f>
        <v>50.7274</v>
      </c>
    </row>
    <row r="2506" customFormat="false" ht="15" hidden="false" customHeight="false" outlineLevel="0" collapsed="false">
      <c r="B2506" s="7" t="s">
        <v>11139</v>
      </c>
      <c r="C2506" s="39" t="n">
        <v>45813</v>
      </c>
      <c r="D2506" s="7" t="s">
        <v>218</v>
      </c>
      <c r="E2506" s="7" t="s">
        <v>180</v>
      </c>
      <c r="F2506" s="6" t="n">
        <v>4.26</v>
      </c>
      <c r="G2506" s="6" t="n">
        <v>0</v>
      </c>
      <c r="H2506" s="41" t="n">
        <v>16.19</v>
      </c>
      <c r="I2506" s="43" t="n">
        <f aca="false">F2506*H2506</f>
        <v>68.9694</v>
      </c>
      <c r="J2506" s="43" t="n">
        <f aca="false">G2506*H2506*1.5</f>
        <v>0</v>
      </c>
      <c r="K2506" s="6" t="n">
        <v>12.59</v>
      </c>
      <c r="L2506" s="43" t="n">
        <f aca="false">K2506*'Chart of Accounts'!$E$68</f>
        <v>8.4353</v>
      </c>
      <c r="O2506" s="42" t="n">
        <f aca="false">I2506+J2506+L2506</f>
        <v>77.4047</v>
      </c>
    </row>
    <row r="2507" customFormat="false" ht="15" hidden="false" customHeight="false" outlineLevel="0" collapsed="false">
      <c r="B2507" s="7" t="s">
        <v>11140</v>
      </c>
      <c r="C2507" s="39" t="n">
        <v>45813</v>
      </c>
      <c r="D2507" s="7" t="s">
        <v>212</v>
      </c>
      <c r="E2507" s="7" t="s">
        <v>180</v>
      </c>
      <c r="F2507" s="6" t="n">
        <v>6.64</v>
      </c>
      <c r="G2507" s="6" t="n">
        <v>0</v>
      </c>
      <c r="H2507" s="41" t="n">
        <v>16.71</v>
      </c>
      <c r="I2507" s="43" t="n">
        <f aca="false">F2507*H2507</f>
        <v>110.9544</v>
      </c>
      <c r="J2507" s="43" t="n">
        <f aca="false">G2507*H2507*1.5</f>
        <v>0</v>
      </c>
      <c r="K2507" s="6" t="n">
        <v>22.06</v>
      </c>
      <c r="L2507" s="43" t="n">
        <f aca="false">K2507*'Chart of Accounts'!$E$68</f>
        <v>14.7802</v>
      </c>
      <c r="O2507" s="42" t="n">
        <f aca="false">I2507+J2507+L2507</f>
        <v>125.7346</v>
      </c>
    </row>
    <row r="2508" customFormat="false" ht="15" hidden="false" customHeight="false" outlineLevel="0" collapsed="false">
      <c r="B2508" s="7" t="s">
        <v>11141</v>
      </c>
      <c r="C2508" s="39" t="n">
        <v>45813</v>
      </c>
      <c r="D2508" s="7" t="s">
        <v>220</v>
      </c>
      <c r="E2508" s="7" t="s">
        <v>180</v>
      </c>
      <c r="F2508" s="6" t="n">
        <v>3.73</v>
      </c>
      <c r="G2508" s="6" t="n">
        <v>0</v>
      </c>
      <c r="H2508" s="41" t="n">
        <v>16.43</v>
      </c>
      <c r="I2508" s="43" t="n">
        <f aca="false">F2508*H2508</f>
        <v>61.2839</v>
      </c>
      <c r="J2508" s="43" t="n">
        <f aca="false">G2508*H2508*1.5</f>
        <v>0</v>
      </c>
      <c r="K2508" s="6" t="n">
        <v>9.83</v>
      </c>
      <c r="L2508" s="43" t="n">
        <f aca="false">K2508*'Chart of Accounts'!$E$68</f>
        <v>6.5861</v>
      </c>
      <c r="O2508" s="42" t="n">
        <f aca="false">I2508+J2508+L2508</f>
        <v>67.87</v>
      </c>
    </row>
    <row r="2509" customFormat="false" ht="15" hidden="false" customHeight="false" outlineLevel="0" collapsed="false">
      <c r="B2509" s="7" t="s">
        <v>11142</v>
      </c>
      <c r="C2509" s="39" t="n">
        <v>45813</v>
      </c>
      <c r="D2509" s="7" t="s">
        <v>224</v>
      </c>
      <c r="E2509" s="7" t="s">
        <v>180</v>
      </c>
      <c r="F2509" s="6" t="n">
        <v>3.79</v>
      </c>
      <c r="G2509" s="6" t="n">
        <v>0</v>
      </c>
      <c r="H2509" s="41" t="n">
        <v>14.93</v>
      </c>
      <c r="I2509" s="43" t="n">
        <f aca="false">F2509*H2509</f>
        <v>56.5847</v>
      </c>
      <c r="J2509" s="43" t="n">
        <f aca="false">G2509*H2509*1.5</f>
        <v>0</v>
      </c>
      <c r="K2509" s="6" t="n">
        <v>12.55</v>
      </c>
      <c r="L2509" s="43" t="n">
        <f aca="false">K2509*'Chart of Accounts'!$E$68</f>
        <v>8.4085</v>
      </c>
      <c r="O2509" s="42" t="n">
        <f aca="false">I2509+J2509+L2509</f>
        <v>64.9932</v>
      </c>
    </row>
    <row r="2510" customFormat="false" ht="15" hidden="false" customHeight="false" outlineLevel="0" collapsed="false">
      <c r="B2510" s="7" t="s">
        <v>11143</v>
      </c>
      <c r="C2510" s="39" t="n">
        <v>45813</v>
      </c>
      <c r="D2510" s="7" t="s">
        <v>232</v>
      </c>
      <c r="E2510" s="7" t="s">
        <v>180</v>
      </c>
      <c r="F2510" s="6" t="n">
        <v>2.89</v>
      </c>
      <c r="G2510" s="6" t="n">
        <v>0</v>
      </c>
      <c r="H2510" s="41" t="n">
        <v>16.17</v>
      </c>
      <c r="I2510" s="43" t="n">
        <f aca="false">F2510*H2510</f>
        <v>46.7313</v>
      </c>
      <c r="J2510" s="43" t="n">
        <f aca="false">G2510*H2510*1.5</f>
        <v>0</v>
      </c>
      <c r="K2510" s="6" t="n">
        <v>7.3</v>
      </c>
      <c r="L2510" s="43" t="n">
        <f aca="false">K2510*'Chart of Accounts'!$E$68</f>
        <v>4.891</v>
      </c>
      <c r="O2510" s="42" t="n">
        <f aca="false">I2510+J2510+L2510</f>
        <v>51.6223</v>
      </c>
    </row>
    <row r="2511" customFormat="false" ht="15" hidden="false" customHeight="false" outlineLevel="0" collapsed="false">
      <c r="B2511" s="7" t="s">
        <v>11144</v>
      </c>
      <c r="C2511" s="39" t="n">
        <v>45813</v>
      </c>
      <c r="D2511" s="7" t="s">
        <v>222</v>
      </c>
      <c r="E2511" s="7" t="s">
        <v>180</v>
      </c>
      <c r="F2511" s="6" t="n">
        <v>7.28</v>
      </c>
      <c r="G2511" s="6" t="n">
        <v>0</v>
      </c>
      <c r="H2511" s="41" t="n">
        <v>17.84</v>
      </c>
      <c r="I2511" s="43" t="n">
        <f aca="false">F2511*H2511</f>
        <v>129.8752</v>
      </c>
      <c r="J2511" s="43" t="n">
        <f aca="false">G2511*H2511*1.5</f>
        <v>0</v>
      </c>
      <c r="K2511" s="6" t="n">
        <v>17.41</v>
      </c>
      <c r="L2511" s="43" t="n">
        <f aca="false">K2511*'Chart of Accounts'!$E$68</f>
        <v>11.6647</v>
      </c>
      <c r="O2511" s="42" t="n">
        <f aca="false">I2511+J2511+L2511</f>
        <v>141.5399</v>
      </c>
    </row>
    <row r="2512" customFormat="false" ht="15" hidden="false" customHeight="false" outlineLevel="0" collapsed="false">
      <c r="B2512" s="7" t="s">
        <v>11145</v>
      </c>
      <c r="C2512" s="39" t="n">
        <v>45813</v>
      </c>
      <c r="D2512" s="7" t="s">
        <v>246</v>
      </c>
      <c r="E2512" s="7" t="s">
        <v>180</v>
      </c>
      <c r="F2512" s="6" t="n">
        <v>8.42</v>
      </c>
      <c r="G2512" s="6" t="n">
        <v>0</v>
      </c>
      <c r="H2512" s="41" t="n">
        <v>16.48</v>
      </c>
      <c r="I2512" s="43" t="n">
        <f aca="false">F2512*H2512</f>
        <v>138.7616</v>
      </c>
      <c r="J2512" s="43" t="n">
        <f aca="false">G2512*H2512*1.5</f>
        <v>0</v>
      </c>
      <c r="K2512" s="6" t="n">
        <v>23.36</v>
      </c>
      <c r="L2512" s="43" t="n">
        <f aca="false">K2512*'Chart of Accounts'!$E$68</f>
        <v>15.6512</v>
      </c>
      <c r="O2512" s="42" t="n">
        <f aca="false">I2512+J2512+L2512</f>
        <v>154.4128</v>
      </c>
    </row>
    <row r="2513" customFormat="false" ht="15" hidden="false" customHeight="false" outlineLevel="0" collapsed="false">
      <c r="B2513" s="7" t="s">
        <v>11146</v>
      </c>
      <c r="C2513" s="39" t="n">
        <v>45813</v>
      </c>
      <c r="D2513" s="7" t="s">
        <v>194</v>
      </c>
      <c r="E2513" s="7" t="s">
        <v>180</v>
      </c>
      <c r="F2513" s="6" t="n">
        <v>3.79</v>
      </c>
      <c r="G2513" s="6" t="n">
        <v>0</v>
      </c>
      <c r="H2513" s="41" t="n">
        <v>16</v>
      </c>
      <c r="I2513" s="43" t="n">
        <f aca="false">F2513*H2513</f>
        <v>60.64</v>
      </c>
      <c r="J2513" s="43" t="n">
        <f aca="false">G2513*H2513*1.5</f>
        <v>0</v>
      </c>
      <c r="K2513" s="6" t="n">
        <v>13.57</v>
      </c>
      <c r="L2513" s="43" t="n">
        <f aca="false">K2513*'Chart of Accounts'!$E$68</f>
        <v>9.0919</v>
      </c>
      <c r="O2513" s="42" t="n">
        <f aca="false">I2513+J2513+L2513</f>
        <v>69.7319</v>
      </c>
    </row>
    <row r="2514" customFormat="false" ht="15" hidden="false" customHeight="false" outlineLevel="0" collapsed="false">
      <c r="B2514" s="7" t="s">
        <v>11147</v>
      </c>
      <c r="C2514" s="39" t="n">
        <v>45813</v>
      </c>
      <c r="D2514" s="7" t="s">
        <v>214</v>
      </c>
      <c r="E2514" s="7" t="s">
        <v>180</v>
      </c>
      <c r="F2514" s="6" t="n">
        <v>3.63</v>
      </c>
      <c r="G2514" s="6" t="n">
        <v>0</v>
      </c>
      <c r="H2514" s="41" t="n">
        <v>15.67</v>
      </c>
      <c r="I2514" s="43" t="n">
        <f aca="false">F2514*H2514</f>
        <v>56.8821</v>
      </c>
      <c r="J2514" s="43" t="n">
        <f aca="false">G2514*H2514*1.5</f>
        <v>0</v>
      </c>
      <c r="K2514" s="6" t="n">
        <v>10.92</v>
      </c>
      <c r="L2514" s="43" t="n">
        <f aca="false">K2514*'Chart of Accounts'!$E$68</f>
        <v>7.3164</v>
      </c>
      <c r="O2514" s="42" t="n">
        <f aca="false">I2514+J2514+L2514</f>
        <v>64.1985</v>
      </c>
    </row>
    <row r="2515" customFormat="false" ht="15" hidden="false" customHeight="false" outlineLevel="0" collapsed="false">
      <c r="B2515" s="7" t="s">
        <v>11148</v>
      </c>
      <c r="C2515" s="39" t="n">
        <v>45813</v>
      </c>
      <c r="D2515" s="7" t="s">
        <v>242</v>
      </c>
      <c r="E2515" s="7" t="s">
        <v>180</v>
      </c>
      <c r="F2515" s="6" t="n">
        <v>3.59</v>
      </c>
      <c r="G2515" s="6" t="n">
        <v>0.04</v>
      </c>
      <c r="H2515" s="41" t="n">
        <v>17.99</v>
      </c>
      <c r="I2515" s="43" t="n">
        <f aca="false">F2515*H2515</f>
        <v>64.5841</v>
      </c>
      <c r="J2515" s="43" t="n">
        <f aca="false">G2515*H2515*1.5</f>
        <v>1.0794</v>
      </c>
      <c r="K2515" s="6" t="n">
        <v>11.04</v>
      </c>
      <c r="L2515" s="43" t="n">
        <f aca="false">K2515*'Chart of Accounts'!$E$68</f>
        <v>7.3968</v>
      </c>
      <c r="O2515" s="42" t="n">
        <f aca="false">I2515+J2515+L2515</f>
        <v>73.0603</v>
      </c>
    </row>
    <row r="2516" customFormat="false" ht="15" hidden="false" customHeight="false" outlineLevel="0" collapsed="false">
      <c r="B2516" s="7" t="s">
        <v>11149</v>
      </c>
      <c r="C2516" s="39" t="n">
        <v>45814</v>
      </c>
      <c r="D2516" s="7" t="s">
        <v>187</v>
      </c>
      <c r="E2516" s="7" t="s">
        <v>158</v>
      </c>
      <c r="H2516" s="41" t="n">
        <v>66.48</v>
      </c>
      <c r="M2516" s="6" t="n">
        <v>1</v>
      </c>
      <c r="N2516" s="43" t="n">
        <f aca="false">M2516*H2516</f>
        <v>66.48</v>
      </c>
      <c r="O2516" s="42" t="n">
        <f aca="false">N2516</f>
        <v>66.48</v>
      </c>
    </row>
    <row r="2517" customFormat="false" ht="15" hidden="false" customHeight="false" outlineLevel="0" collapsed="false">
      <c r="B2517" s="7" t="s">
        <v>11150</v>
      </c>
      <c r="C2517" s="39" t="n">
        <v>45814</v>
      </c>
      <c r="D2517" s="7" t="s">
        <v>207</v>
      </c>
      <c r="E2517" s="7" t="s">
        <v>180</v>
      </c>
      <c r="F2517" s="6" t="n">
        <v>7.24</v>
      </c>
      <c r="G2517" s="6" t="n">
        <v>0</v>
      </c>
      <c r="H2517" s="41" t="n">
        <v>16.65</v>
      </c>
      <c r="I2517" s="43" t="n">
        <f aca="false">F2517*H2517</f>
        <v>120.546</v>
      </c>
      <c r="J2517" s="43" t="n">
        <f aca="false">G2517*H2517*1.5</f>
        <v>0</v>
      </c>
      <c r="K2517" s="6" t="n">
        <v>18.59</v>
      </c>
      <c r="L2517" s="43" t="n">
        <f aca="false">K2517*'Chart of Accounts'!$E$68</f>
        <v>12.4553</v>
      </c>
      <c r="O2517" s="42" t="n">
        <f aca="false">I2517+J2517+L2517</f>
        <v>133.0013</v>
      </c>
    </row>
    <row r="2518" customFormat="false" ht="15" hidden="false" customHeight="false" outlineLevel="0" collapsed="false">
      <c r="B2518" s="7" t="s">
        <v>11151</v>
      </c>
      <c r="C2518" s="39" t="n">
        <v>45814</v>
      </c>
      <c r="D2518" s="7" t="s">
        <v>194</v>
      </c>
      <c r="E2518" s="7" t="s">
        <v>180</v>
      </c>
      <c r="F2518" s="6" t="n">
        <v>8.86</v>
      </c>
      <c r="G2518" s="6" t="n">
        <v>0</v>
      </c>
      <c r="H2518" s="41" t="n">
        <v>16</v>
      </c>
      <c r="I2518" s="43" t="n">
        <f aca="false">F2518*H2518</f>
        <v>141.76</v>
      </c>
      <c r="J2518" s="43" t="n">
        <f aca="false">G2518*H2518*1.5</f>
        <v>0</v>
      </c>
      <c r="K2518" s="6" t="n">
        <v>29.71</v>
      </c>
      <c r="L2518" s="43" t="n">
        <f aca="false">K2518*'Chart of Accounts'!$E$68</f>
        <v>19.9057</v>
      </c>
      <c r="O2518" s="42" t="n">
        <f aca="false">I2518+J2518+L2518</f>
        <v>161.6657</v>
      </c>
    </row>
    <row r="2519" customFormat="false" ht="15" hidden="false" customHeight="false" outlineLevel="0" collapsed="false">
      <c r="B2519" s="7" t="s">
        <v>11152</v>
      </c>
      <c r="C2519" s="39" t="n">
        <v>45814</v>
      </c>
      <c r="D2519" s="7" t="s">
        <v>209</v>
      </c>
      <c r="E2519" s="7" t="s">
        <v>158</v>
      </c>
      <c r="H2519" s="41" t="n">
        <v>73.58</v>
      </c>
      <c r="M2519" s="6" t="n">
        <v>2</v>
      </c>
      <c r="N2519" s="43" t="n">
        <f aca="false">M2519*H2519</f>
        <v>147.16</v>
      </c>
      <c r="O2519" s="42" t="n">
        <f aca="false">N2519</f>
        <v>147.16</v>
      </c>
    </row>
    <row r="2520" customFormat="false" ht="15" hidden="false" customHeight="false" outlineLevel="0" collapsed="false">
      <c r="B2520" s="7" t="s">
        <v>11153</v>
      </c>
      <c r="C2520" s="39" t="n">
        <v>45814</v>
      </c>
      <c r="D2520" s="7" t="s">
        <v>205</v>
      </c>
      <c r="E2520" s="7" t="s">
        <v>180</v>
      </c>
      <c r="F2520" s="6" t="n">
        <v>4.16</v>
      </c>
      <c r="G2520" s="6" t="n">
        <v>0</v>
      </c>
      <c r="H2520" s="41" t="n">
        <v>16.36</v>
      </c>
      <c r="I2520" s="43" t="n">
        <f aca="false">F2520*H2520</f>
        <v>68.0576</v>
      </c>
      <c r="J2520" s="43" t="n">
        <f aca="false">G2520*H2520*1.5</f>
        <v>0</v>
      </c>
      <c r="K2520" s="6" t="n">
        <v>9.36</v>
      </c>
      <c r="L2520" s="43" t="n">
        <f aca="false">K2520*'Chart of Accounts'!$E$68</f>
        <v>6.2712</v>
      </c>
      <c r="O2520" s="42" t="n">
        <f aca="false">I2520+J2520+L2520</f>
        <v>74.3288</v>
      </c>
    </row>
    <row r="2521" customFormat="false" ht="15" hidden="false" customHeight="false" outlineLevel="0" collapsed="false">
      <c r="B2521" s="7" t="s">
        <v>11154</v>
      </c>
      <c r="C2521" s="39" t="n">
        <v>45814</v>
      </c>
      <c r="D2521" s="7" t="s">
        <v>264</v>
      </c>
      <c r="E2521" s="7" t="s">
        <v>158</v>
      </c>
      <c r="H2521" s="41" t="n">
        <v>55.55</v>
      </c>
      <c r="M2521" s="6" t="n">
        <v>1</v>
      </c>
      <c r="N2521" s="43" t="n">
        <f aca="false">M2521*H2521</f>
        <v>55.55</v>
      </c>
      <c r="O2521" s="42" t="n">
        <f aca="false">N2521</f>
        <v>55.55</v>
      </c>
    </row>
    <row r="2522" customFormat="false" ht="15" hidden="false" customHeight="false" outlineLevel="0" collapsed="false">
      <c r="B2522" s="7" t="s">
        <v>11155</v>
      </c>
      <c r="C2522" s="39" t="n">
        <v>45814</v>
      </c>
      <c r="D2522" s="7" t="s">
        <v>252</v>
      </c>
      <c r="E2522" s="7" t="s">
        <v>158</v>
      </c>
      <c r="H2522" s="41" t="n">
        <v>57.54</v>
      </c>
      <c r="M2522" s="6" t="n">
        <v>1</v>
      </c>
      <c r="N2522" s="43" t="n">
        <f aca="false">M2522*H2522</f>
        <v>57.54</v>
      </c>
      <c r="O2522" s="42" t="n">
        <f aca="false">N2522</f>
        <v>57.54</v>
      </c>
    </row>
    <row r="2523" customFormat="false" ht="15" hidden="false" customHeight="false" outlineLevel="0" collapsed="false">
      <c r="B2523" s="7" t="s">
        <v>11156</v>
      </c>
      <c r="C2523" s="39" t="n">
        <v>45814</v>
      </c>
      <c r="D2523" s="7" t="s">
        <v>184</v>
      </c>
      <c r="E2523" s="7" t="s">
        <v>180</v>
      </c>
      <c r="F2523" s="6" t="n">
        <v>3.95</v>
      </c>
      <c r="G2523" s="6" t="n">
        <v>0</v>
      </c>
      <c r="H2523" s="41" t="n">
        <v>17.34</v>
      </c>
      <c r="I2523" s="43" t="n">
        <f aca="false">F2523*H2523</f>
        <v>68.493</v>
      </c>
      <c r="J2523" s="43" t="n">
        <f aca="false">G2523*H2523*1.5</f>
        <v>0</v>
      </c>
      <c r="K2523" s="6" t="n">
        <v>11.56</v>
      </c>
      <c r="L2523" s="43" t="n">
        <f aca="false">K2523*'Chart of Accounts'!$E$68</f>
        <v>7.7452</v>
      </c>
      <c r="O2523" s="42" t="n">
        <f aca="false">I2523+J2523+L2523</f>
        <v>76.2382</v>
      </c>
    </row>
    <row r="2524" customFormat="false" ht="15" hidden="false" customHeight="false" outlineLevel="0" collapsed="false">
      <c r="B2524" s="7" t="s">
        <v>11157</v>
      </c>
      <c r="C2524" s="39" t="n">
        <v>45814</v>
      </c>
      <c r="D2524" s="7" t="s">
        <v>234</v>
      </c>
      <c r="E2524" s="7" t="s">
        <v>158</v>
      </c>
      <c r="H2524" s="41" t="n">
        <v>89.53</v>
      </c>
      <c r="M2524" s="6" t="n">
        <v>2</v>
      </c>
      <c r="N2524" s="43" t="n">
        <f aca="false">M2524*H2524</f>
        <v>179.06</v>
      </c>
      <c r="O2524" s="42" t="n">
        <f aca="false">N2524</f>
        <v>179.06</v>
      </c>
    </row>
    <row r="2525" customFormat="false" ht="15" hidden="false" customHeight="false" outlineLevel="0" collapsed="false">
      <c r="B2525" s="7" t="s">
        <v>11158</v>
      </c>
      <c r="C2525" s="39" t="n">
        <v>45814</v>
      </c>
      <c r="D2525" s="7" t="s">
        <v>218</v>
      </c>
      <c r="E2525" s="7" t="s">
        <v>180</v>
      </c>
      <c r="F2525" s="6" t="n">
        <v>4.31</v>
      </c>
      <c r="G2525" s="6" t="n">
        <v>0</v>
      </c>
      <c r="H2525" s="41" t="n">
        <v>16.19</v>
      </c>
      <c r="I2525" s="43" t="n">
        <f aca="false">F2525*H2525</f>
        <v>69.7789</v>
      </c>
      <c r="J2525" s="43" t="n">
        <f aca="false">G2525*H2525*1.5</f>
        <v>0</v>
      </c>
      <c r="K2525" s="6" t="n">
        <v>13.67</v>
      </c>
      <c r="L2525" s="43" t="n">
        <f aca="false">K2525*'Chart of Accounts'!$E$68</f>
        <v>9.1589</v>
      </c>
      <c r="O2525" s="42" t="n">
        <f aca="false">I2525+J2525+L2525</f>
        <v>78.9378</v>
      </c>
    </row>
    <row r="2526" customFormat="false" ht="15" hidden="false" customHeight="false" outlineLevel="0" collapsed="false">
      <c r="B2526" s="7" t="s">
        <v>11159</v>
      </c>
      <c r="C2526" s="39" t="n">
        <v>45814</v>
      </c>
      <c r="D2526" s="7" t="s">
        <v>228</v>
      </c>
      <c r="E2526" s="7" t="s">
        <v>158</v>
      </c>
      <c r="H2526" s="41" t="n">
        <v>51.07</v>
      </c>
      <c r="M2526" s="6" t="n">
        <v>1</v>
      </c>
      <c r="N2526" s="43" t="n">
        <f aca="false">M2526*H2526</f>
        <v>51.07</v>
      </c>
      <c r="O2526" s="42" t="n">
        <f aca="false">N2526</f>
        <v>51.07</v>
      </c>
    </row>
    <row r="2527" customFormat="false" ht="15" hidden="false" customHeight="false" outlineLevel="0" collapsed="false">
      <c r="B2527" s="7" t="s">
        <v>11160</v>
      </c>
      <c r="C2527" s="39" t="n">
        <v>45814</v>
      </c>
      <c r="D2527" s="7" t="s">
        <v>220</v>
      </c>
      <c r="E2527" s="7" t="s">
        <v>180</v>
      </c>
      <c r="F2527" s="6" t="n">
        <v>3.95</v>
      </c>
      <c r="G2527" s="6" t="n">
        <v>0</v>
      </c>
      <c r="H2527" s="41" t="n">
        <v>16.43</v>
      </c>
      <c r="I2527" s="43" t="n">
        <f aca="false">F2527*H2527</f>
        <v>64.8985</v>
      </c>
      <c r="J2527" s="43" t="n">
        <f aca="false">G2527*H2527*1.5</f>
        <v>0</v>
      </c>
      <c r="K2527" s="6" t="n">
        <v>13.25</v>
      </c>
      <c r="L2527" s="43" t="n">
        <f aca="false">K2527*'Chart of Accounts'!$E$68</f>
        <v>8.8775</v>
      </c>
      <c r="O2527" s="42" t="n">
        <f aca="false">I2527+J2527+L2527</f>
        <v>73.776</v>
      </c>
    </row>
    <row r="2528" customFormat="false" ht="15" hidden="false" customHeight="false" outlineLevel="0" collapsed="false">
      <c r="B2528" s="7" t="s">
        <v>11161</v>
      </c>
      <c r="C2528" s="39" t="n">
        <v>45814</v>
      </c>
      <c r="D2528" s="7" t="s">
        <v>177</v>
      </c>
      <c r="E2528" s="7" t="s">
        <v>180</v>
      </c>
      <c r="F2528" s="6" t="n">
        <v>8.6</v>
      </c>
      <c r="G2528" s="6" t="n">
        <v>0</v>
      </c>
      <c r="H2528" s="41" t="n">
        <v>14.56</v>
      </c>
      <c r="I2528" s="43" t="n">
        <f aca="false">F2528*H2528</f>
        <v>125.216</v>
      </c>
      <c r="J2528" s="43" t="n">
        <f aca="false">G2528*H2528*1.5</f>
        <v>0</v>
      </c>
      <c r="K2528" s="6" t="n">
        <v>23.74</v>
      </c>
      <c r="L2528" s="43" t="n">
        <f aca="false">K2528*'Chart of Accounts'!$E$68</f>
        <v>15.9058</v>
      </c>
      <c r="O2528" s="42" t="n">
        <f aca="false">I2528+J2528+L2528</f>
        <v>141.1218</v>
      </c>
    </row>
    <row r="2529" customFormat="false" ht="15" hidden="false" customHeight="false" outlineLevel="0" collapsed="false">
      <c r="B2529" s="7" t="s">
        <v>11162</v>
      </c>
      <c r="C2529" s="39" t="n">
        <v>45814</v>
      </c>
      <c r="D2529" s="7" t="s">
        <v>242</v>
      </c>
      <c r="E2529" s="7" t="s">
        <v>180</v>
      </c>
      <c r="F2529" s="6" t="n">
        <v>6.635</v>
      </c>
      <c r="G2529" s="6" t="n">
        <v>0.075</v>
      </c>
      <c r="H2529" s="41" t="n">
        <v>17.99</v>
      </c>
      <c r="I2529" s="43" t="n">
        <f aca="false">F2529*H2529</f>
        <v>119.36365</v>
      </c>
      <c r="J2529" s="43" t="n">
        <f aca="false">G2529*H2529*1.5</f>
        <v>2.023875</v>
      </c>
      <c r="K2529" s="6" t="n">
        <v>18.3</v>
      </c>
      <c r="L2529" s="43" t="n">
        <f aca="false">K2529*'Chart of Accounts'!$E$68</f>
        <v>12.261</v>
      </c>
      <c r="O2529" s="42" t="n">
        <f aca="false">I2529+J2529+L2529</f>
        <v>133.648525</v>
      </c>
    </row>
    <row r="2530" customFormat="false" ht="15" hidden="false" customHeight="false" outlineLevel="0" collapsed="false">
      <c r="B2530" s="7" t="s">
        <v>11163</v>
      </c>
      <c r="C2530" s="39" t="n">
        <v>45814</v>
      </c>
      <c r="D2530" s="7" t="s">
        <v>254</v>
      </c>
      <c r="E2530" s="7" t="s">
        <v>180</v>
      </c>
      <c r="F2530" s="6" t="n">
        <v>7.336</v>
      </c>
      <c r="G2530" s="6" t="n">
        <v>0.394</v>
      </c>
      <c r="H2530" s="41" t="n">
        <v>17.1</v>
      </c>
      <c r="I2530" s="43" t="n">
        <f aca="false">F2530*H2530</f>
        <v>125.4456</v>
      </c>
      <c r="J2530" s="43" t="n">
        <f aca="false">G2530*H2530*1.5</f>
        <v>10.1061</v>
      </c>
      <c r="K2530" s="6" t="n">
        <v>24.16</v>
      </c>
      <c r="L2530" s="43" t="n">
        <f aca="false">K2530*'Chart of Accounts'!$E$68</f>
        <v>16.1872</v>
      </c>
      <c r="O2530" s="42" t="n">
        <f aca="false">I2530+J2530+L2530</f>
        <v>151.7389</v>
      </c>
    </row>
    <row r="2531" customFormat="false" ht="15" hidden="false" customHeight="false" outlineLevel="0" collapsed="false">
      <c r="B2531" s="7" t="s">
        <v>11164</v>
      </c>
      <c r="C2531" s="39" t="n">
        <v>45814</v>
      </c>
      <c r="D2531" s="7" t="s">
        <v>201</v>
      </c>
      <c r="E2531" s="7" t="s">
        <v>180</v>
      </c>
      <c r="F2531" s="6" t="n">
        <v>3.14</v>
      </c>
      <c r="G2531" s="6" t="n">
        <v>0</v>
      </c>
      <c r="H2531" s="41" t="n">
        <v>15.19</v>
      </c>
      <c r="I2531" s="43" t="n">
        <f aca="false">F2531*H2531</f>
        <v>47.6966</v>
      </c>
      <c r="J2531" s="43" t="n">
        <f aca="false">G2531*H2531*1.5</f>
        <v>0</v>
      </c>
      <c r="K2531" s="6" t="n">
        <v>10.51</v>
      </c>
      <c r="L2531" s="43" t="n">
        <f aca="false">K2531*'Chart of Accounts'!$E$68</f>
        <v>7.0417</v>
      </c>
      <c r="O2531" s="42" t="n">
        <f aca="false">I2531+J2531+L2531</f>
        <v>54.7383</v>
      </c>
    </row>
    <row r="2532" customFormat="false" ht="15" hidden="false" customHeight="false" outlineLevel="0" collapsed="false">
      <c r="B2532" s="7" t="s">
        <v>11165</v>
      </c>
      <c r="C2532" s="39" t="n">
        <v>45814</v>
      </c>
      <c r="D2532" s="7" t="s">
        <v>212</v>
      </c>
      <c r="E2532" s="7" t="s">
        <v>180</v>
      </c>
      <c r="F2532" s="6" t="n">
        <v>3.84</v>
      </c>
      <c r="G2532" s="6" t="n">
        <v>0</v>
      </c>
      <c r="H2532" s="41" t="n">
        <v>16.71</v>
      </c>
      <c r="I2532" s="43" t="n">
        <f aca="false">F2532*H2532</f>
        <v>64.1664</v>
      </c>
      <c r="J2532" s="43" t="n">
        <f aca="false">G2532*H2532*1.5</f>
        <v>0</v>
      </c>
      <c r="K2532" s="6" t="n">
        <v>9.21</v>
      </c>
      <c r="L2532" s="43" t="n">
        <f aca="false">K2532*'Chart of Accounts'!$E$68</f>
        <v>6.1707</v>
      </c>
      <c r="O2532" s="42" t="n">
        <f aca="false">I2532+J2532+L2532</f>
        <v>70.3371</v>
      </c>
    </row>
    <row r="2533" customFormat="false" ht="15" hidden="false" customHeight="false" outlineLevel="0" collapsed="false">
      <c r="B2533" s="7" t="s">
        <v>11166</v>
      </c>
      <c r="C2533" s="39" t="n">
        <v>45814</v>
      </c>
      <c r="D2533" s="7" t="s">
        <v>232</v>
      </c>
      <c r="E2533" s="7" t="s">
        <v>180</v>
      </c>
      <c r="F2533" s="6" t="n">
        <v>4.52</v>
      </c>
      <c r="G2533" s="6" t="n">
        <v>0</v>
      </c>
      <c r="H2533" s="41" t="n">
        <v>16.17</v>
      </c>
      <c r="I2533" s="43" t="n">
        <f aca="false">F2533*H2533</f>
        <v>73.0884</v>
      </c>
      <c r="J2533" s="43" t="n">
        <f aca="false">G2533*H2533*1.5</f>
        <v>0</v>
      </c>
      <c r="K2533" s="6" t="n">
        <v>16.02</v>
      </c>
      <c r="L2533" s="43" t="n">
        <f aca="false">K2533*'Chart of Accounts'!$E$68</f>
        <v>10.7334</v>
      </c>
      <c r="O2533" s="42" t="n">
        <f aca="false">I2533+J2533+L2533</f>
        <v>83.8218</v>
      </c>
    </row>
    <row r="2534" customFormat="false" ht="15" hidden="false" customHeight="false" outlineLevel="0" collapsed="false">
      <c r="B2534" s="7" t="s">
        <v>11167</v>
      </c>
      <c r="C2534" s="39" t="n">
        <v>45814</v>
      </c>
      <c r="D2534" s="7" t="s">
        <v>224</v>
      </c>
      <c r="E2534" s="7" t="s">
        <v>180</v>
      </c>
      <c r="F2534" s="6" t="n">
        <v>7.69</v>
      </c>
      <c r="G2534" s="6" t="n">
        <v>0</v>
      </c>
      <c r="H2534" s="41" t="n">
        <v>14.93</v>
      </c>
      <c r="I2534" s="43" t="n">
        <f aca="false">F2534*H2534</f>
        <v>114.8117</v>
      </c>
      <c r="J2534" s="43" t="n">
        <f aca="false">G2534*H2534*1.5</f>
        <v>0</v>
      </c>
      <c r="K2534" s="6" t="n">
        <v>26.5</v>
      </c>
      <c r="L2534" s="43" t="n">
        <f aca="false">K2534*'Chart of Accounts'!$E$68</f>
        <v>17.755</v>
      </c>
      <c r="O2534" s="42" t="n">
        <f aca="false">I2534+J2534+L2534</f>
        <v>132.5667</v>
      </c>
    </row>
    <row r="2535" customFormat="false" ht="15" hidden="false" customHeight="false" outlineLevel="0" collapsed="false">
      <c r="B2535" s="7" t="s">
        <v>11168</v>
      </c>
      <c r="C2535" s="39" t="n">
        <v>45814</v>
      </c>
      <c r="D2535" s="7" t="s">
        <v>238</v>
      </c>
      <c r="E2535" s="7" t="s">
        <v>180</v>
      </c>
      <c r="F2535" s="6" t="n">
        <v>4.04</v>
      </c>
      <c r="G2535" s="6" t="n">
        <v>0</v>
      </c>
      <c r="H2535" s="41" t="n">
        <v>15.85</v>
      </c>
      <c r="I2535" s="43" t="n">
        <f aca="false">F2535*H2535</f>
        <v>64.034</v>
      </c>
      <c r="J2535" s="43" t="n">
        <f aca="false">G2535*H2535*1.5</f>
        <v>0</v>
      </c>
      <c r="K2535" s="6" t="n">
        <v>12.07</v>
      </c>
      <c r="L2535" s="43" t="n">
        <f aca="false">K2535*'Chart of Accounts'!$E$68</f>
        <v>8.0869</v>
      </c>
      <c r="O2535" s="42" t="n">
        <f aca="false">I2535+J2535+L2535</f>
        <v>72.1209</v>
      </c>
    </row>
    <row r="2536" customFormat="false" ht="15" hidden="false" customHeight="false" outlineLevel="0" collapsed="false">
      <c r="B2536" s="7" t="s">
        <v>11169</v>
      </c>
      <c r="C2536" s="39" t="n">
        <v>45814</v>
      </c>
      <c r="D2536" s="7" t="s">
        <v>246</v>
      </c>
      <c r="E2536" s="7" t="s">
        <v>180</v>
      </c>
      <c r="F2536" s="6" t="n">
        <v>4.23</v>
      </c>
      <c r="G2536" s="6" t="n">
        <v>0</v>
      </c>
      <c r="H2536" s="41" t="n">
        <v>16.48</v>
      </c>
      <c r="I2536" s="43" t="n">
        <f aca="false">F2536*H2536</f>
        <v>69.7104</v>
      </c>
      <c r="J2536" s="43" t="n">
        <f aca="false">G2536*H2536*1.5</f>
        <v>0</v>
      </c>
      <c r="K2536" s="6" t="n">
        <v>10.39</v>
      </c>
      <c r="L2536" s="43" t="n">
        <f aca="false">K2536*'Chart of Accounts'!$E$68</f>
        <v>6.9613</v>
      </c>
      <c r="O2536" s="42" t="n">
        <f aca="false">I2536+J2536+L2536</f>
        <v>76.6717</v>
      </c>
    </row>
    <row r="2537" customFormat="false" ht="15" hidden="false" customHeight="false" outlineLevel="0" collapsed="false">
      <c r="B2537" s="7" t="s">
        <v>11170</v>
      </c>
      <c r="C2537" s="39" t="n">
        <v>45814</v>
      </c>
      <c r="D2537" s="7" t="s">
        <v>222</v>
      </c>
      <c r="E2537" s="7" t="s">
        <v>180</v>
      </c>
      <c r="F2537" s="6" t="n">
        <v>3.95</v>
      </c>
      <c r="G2537" s="6" t="n">
        <v>0</v>
      </c>
      <c r="H2537" s="41" t="n">
        <v>17.84</v>
      </c>
      <c r="I2537" s="43" t="n">
        <f aca="false">F2537*H2537</f>
        <v>70.468</v>
      </c>
      <c r="J2537" s="43" t="n">
        <f aca="false">G2537*H2537*1.5</f>
        <v>0</v>
      </c>
      <c r="K2537" s="6" t="n">
        <v>12.48</v>
      </c>
      <c r="L2537" s="43" t="n">
        <f aca="false">K2537*'Chart of Accounts'!$E$68</f>
        <v>8.3616</v>
      </c>
      <c r="O2537" s="42" t="n">
        <f aca="false">I2537+J2537+L2537</f>
        <v>78.8296</v>
      </c>
    </row>
    <row r="2538" customFormat="false" ht="15" hidden="false" customHeight="false" outlineLevel="0" collapsed="false">
      <c r="B2538" s="7" t="s">
        <v>11171</v>
      </c>
      <c r="C2538" s="39" t="n">
        <v>45814</v>
      </c>
      <c r="D2538" s="7" t="s">
        <v>203</v>
      </c>
      <c r="E2538" s="7" t="s">
        <v>158</v>
      </c>
      <c r="H2538" s="41" t="n">
        <v>49.43</v>
      </c>
      <c r="M2538" s="6" t="n">
        <v>1</v>
      </c>
      <c r="N2538" s="43" t="n">
        <f aca="false">M2538*H2538</f>
        <v>49.43</v>
      </c>
      <c r="O2538" s="42" t="n">
        <f aca="false">N2538</f>
        <v>49.43</v>
      </c>
    </row>
    <row r="2539" customFormat="false" ht="15" hidden="false" customHeight="false" outlineLevel="0" collapsed="false">
      <c r="B2539" s="7" t="s">
        <v>11172</v>
      </c>
      <c r="C2539" s="39" t="n">
        <v>45814</v>
      </c>
      <c r="D2539" s="7" t="s">
        <v>260</v>
      </c>
      <c r="E2539" s="7" t="s">
        <v>158</v>
      </c>
      <c r="H2539" s="41" t="n">
        <v>79.8</v>
      </c>
      <c r="M2539" s="6" t="n">
        <v>1</v>
      </c>
      <c r="N2539" s="43" t="n">
        <f aca="false">M2539*H2539</f>
        <v>79.8</v>
      </c>
      <c r="O2539" s="42" t="n">
        <f aca="false">N2539</f>
        <v>79.8</v>
      </c>
    </row>
    <row r="2540" customFormat="false" ht="15" hidden="false" customHeight="false" outlineLevel="0" collapsed="false">
      <c r="B2540" s="7" t="s">
        <v>11173</v>
      </c>
      <c r="C2540" s="39" t="n">
        <v>45814</v>
      </c>
      <c r="D2540" s="7" t="s">
        <v>214</v>
      </c>
      <c r="E2540" s="7" t="s">
        <v>180</v>
      </c>
      <c r="F2540" s="6" t="n">
        <v>3.03</v>
      </c>
      <c r="G2540" s="6" t="n">
        <v>0</v>
      </c>
      <c r="H2540" s="41" t="n">
        <v>15.67</v>
      </c>
      <c r="I2540" s="43" t="n">
        <f aca="false">F2540*H2540</f>
        <v>47.4801</v>
      </c>
      <c r="J2540" s="43" t="n">
        <f aca="false">G2540*H2540*1.5</f>
        <v>0</v>
      </c>
      <c r="K2540" s="6" t="n">
        <v>7.3</v>
      </c>
      <c r="L2540" s="43" t="n">
        <f aca="false">K2540*'Chart of Accounts'!$E$68</f>
        <v>4.891</v>
      </c>
      <c r="O2540" s="42" t="n">
        <f aca="false">I2540+J2540+L2540</f>
        <v>52.3711</v>
      </c>
    </row>
    <row r="2541" customFormat="false" ht="15" hidden="false" customHeight="false" outlineLevel="0" collapsed="false">
      <c r="B2541" s="7" t="s">
        <v>11174</v>
      </c>
      <c r="C2541" s="39" t="n">
        <v>45815</v>
      </c>
      <c r="D2541" s="7" t="s">
        <v>214</v>
      </c>
      <c r="E2541" s="7" t="s">
        <v>180</v>
      </c>
      <c r="F2541" s="6" t="n">
        <v>4.31</v>
      </c>
      <c r="G2541" s="6" t="n">
        <v>0</v>
      </c>
      <c r="H2541" s="41" t="n">
        <v>15.67</v>
      </c>
      <c r="I2541" s="43" t="n">
        <f aca="false">F2541*H2541</f>
        <v>67.5377</v>
      </c>
      <c r="J2541" s="43" t="n">
        <f aca="false">G2541*H2541*1.5</f>
        <v>0</v>
      </c>
      <c r="K2541" s="6" t="n">
        <v>12.89</v>
      </c>
      <c r="L2541" s="43" t="n">
        <f aca="false">K2541*'Chart of Accounts'!$E$68</f>
        <v>8.6363</v>
      </c>
      <c r="O2541" s="42" t="n">
        <f aca="false">I2541+J2541+L2541</f>
        <v>76.174</v>
      </c>
    </row>
    <row r="2542" customFormat="false" ht="15" hidden="false" customHeight="false" outlineLevel="0" collapsed="false">
      <c r="B2542" s="7" t="s">
        <v>11175</v>
      </c>
      <c r="C2542" s="39" t="n">
        <v>45815</v>
      </c>
      <c r="D2542" s="7" t="s">
        <v>218</v>
      </c>
      <c r="E2542" s="7" t="s">
        <v>180</v>
      </c>
      <c r="F2542" s="6" t="n">
        <v>4.07</v>
      </c>
      <c r="G2542" s="6" t="n">
        <v>0</v>
      </c>
      <c r="H2542" s="41" t="n">
        <v>16.19</v>
      </c>
      <c r="I2542" s="43" t="n">
        <f aca="false">F2542*H2542</f>
        <v>65.8933</v>
      </c>
      <c r="J2542" s="43" t="n">
        <f aca="false">G2542*H2542*1.5</f>
        <v>0</v>
      </c>
      <c r="K2542" s="6" t="n">
        <v>11.09</v>
      </c>
      <c r="L2542" s="43" t="n">
        <f aca="false">K2542*'Chart of Accounts'!$E$68</f>
        <v>7.4303</v>
      </c>
      <c r="O2542" s="42" t="n">
        <f aca="false">I2542+J2542+L2542</f>
        <v>73.3236</v>
      </c>
    </row>
    <row r="2543" customFormat="false" ht="15" hidden="false" customHeight="false" outlineLevel="0" collapsed="false">
      <c r="B2543" s="7" t="s">
        <v>11176</v>
      </c>
      <c r="C2543" s="39" t="n">
        <v>45815</v>
      </c>
      <c r="D2543" s="7" t="s">
        <v>212</v>
      </c>
      <c r="E2543" s="7" t="s">
        <v>180</v>
      </c>
      <c r="F2543" s="6" t="n">
        <v>4.26</v>
      </c>
      <c r="G2543" s="6" t="n">
        <v>0</v>
      </c>
      <c r="H2543" s="41" t="n">
        <v>16.71</v>
      </c>
      <c r="I2543" s="43" t="n">
        <f aca="false">F2543*H2543</f>
        <v>71.1846</v>
      </c>
      <c r="J2543" s="43" t="n">
        <f aca="false">G2543*H2543*1.5</f>
        <v>0</v>
      </c>
      <c r="K2543" s="6" t="n">
        <v>11.38</v>
      </c>
      <c r="L2543" s="43" t="n">
        <f aca="false">K2543*'Chart of Accounts'!$E$68</f>
        <v>7.6246</v>
      </c>
      <c r="O2543" s="42" t="n">
        <f aca="false">I2543+J2543+L2543</f>
        <v>78.8092</v>
      </c>
    </row>
    <row r="2544" customFormat="false" ht="15" hidden="false" customHeight="false" outlineLevel="0" collapsed="false">
      <c r="B2544" s="7" t="s">
        <v>11177</v>
      </c>
      <c r="C2544" s="39" t="n">
        <v>45815</v>
      </c>
      <c r="D2544" s="7" t="s">
        <v>222</v>
      </c>
      <c r="E2544" s="7" t="s">
        <v>180</v>
      </c>
      <c r="F2544" s="6" t="n">
        <v>4.18</v>
      </c>
      <c r="G2544" s="6" t="n">
        <v>0</v>
      </c>
      <c r="H2544" s="41" t="n">
        <v>17.84</v>
      </c>
      <c r="I2544" s="43" t="n">
        <f aca="false">F2544*H2544</f>
        <v>74.5712</v>
      </c>
      <c r="J2544" s="43" t="n">
        <f aca="false">G2544*H2544*1.5</f>
        <v>0</v>
      </c>
      <c r="K2544" s="6" t="n">
        <v>9.33</v>
      </c>
      <c r="L2544" s="43" t="n">
        <f aca="false">K2544*'Chart of Accounts'!$E$68</f>
        <v>6.2511</v>
      </c>
      <c r="O2544" s="42" t="n">
        <f aca="false">I2544+J2544+L2544</f>
        <v>80.8223</v>
      </c>
    </row>
    <row r="2545" customFormat="false" ht="15" hidden="false" customHeight="false" outlineLevel="0" collapsed="false">
      <c r="B2545" s="7" t="s">
        <v>11178</v>
      </c>
      <c r="C2545" s="39" t="n">
        <v>45815</v>
      </c>
      <c r="D2545" s="7" t="s">
        <v>242</v>
      </c>
      <c r="E2545" s="7" t="s">
        <v>180</v>
      </c>
      <c r="F2545" s="6" t="n">
        <v>3.649</v>
      </c>
      <c r="G2545" s="6" t="n">
        <v>0.041</v>
      </c>
      <c r="H2545" s="41" t="n">
        <v>17.99</v>
      </c>
      <c r="I2545" s="43" t="n">
        <f aca="false">F2545*H2545</f>
        <v>65.64551</v>
      </c>
      <c r="J2545" s="43" t="n">
        <f aca="false">G2545*H2545*1.5</f>
        <v>1.106385</v>
      </c>
      <c r="K2545" s="6" t="n">
        <v>8.66</v>
      </c>
      <c r="L2545" s="43" t="n">
        <f aca="false">K2545*'Chart of Accounts'!$E$68</f>
        <v>5.8022</v>
      </c>
      <c r="O2545" s="42" t="n">
        <f aca="false">I2545+J2545+L2545</f>
        <v>72.554095</v>
      </c>
    </row>
    <row r="2546" customFormat="false" ht="15" hidden="false" customHeight="false" outlineLevel="0" collapsed="false">
      <c r="B2546" s="7" t="s">
        <v>11179</v>
      </c>
      <c r="C2546" s="39" t="n">
        <v>45815</v>
      </c>
      <c r="D2546" s="7" t="s">
        <v>254</v>
      </c>
      <c r="E2546" s="7" t="s">
        <v>180</v>
      </c>
      <c r="F2546" s="6" t="n">
        <v>3.929</v>
      </c>
      <c r="G2546" s="6" t="n">
        <v>0.211</v>
      </c>
      <c r="H2546" s="41" t="n">
        <v>17.1</v>
      </c>
      <c r="I2546" s="43" t="n">
        <f aca="false">F2546*H2546</f>
        <v>67.1859</v>
      </c>
      <c r="J2546" s="43" t="n">
        <f aca="false">G2546*H2546*1.5</f>
        <v>5.41215</v>
      </c>
      <c r="K2546" s="6" t="n">
        <v>13.59</v>
      </c>
      <c r="L2546" s="43" t="n">
        <f aca="false">K2546*'Chart of Accounts'!$E$68</f>
        <v>9.1053</v>
      </c>
      <c r="O2546" s="42" t="n">
        <f aca="false">I2546+J2546+L2546</f>
        <v>81.70335</v>
      </c>
    </row>
    <row r="2547" customFormat="false" ht="15" hidden="false" customHeight="false" outlineLevel="0" collapsed="false">
      <c r="B2547" s="7" t="s">
        <v>11180</v>
      </c>
      <c r="C2547" s="39" t="n">
        <v>45816</v>
      </c>
      <c r="D2547" s="7" t="s">
        <v>246</v>
      </c>
      <c r="E2547" s="7" t="s">
        <v>180</v>
      </c>
      <c r="F2547" s="6" t="n">
        <v>3.97</v>
      </c>
      <c r="G2547" s="6" t="n">
        <v>0</v>
      </c>
      <c r="H2547" s="41" t="n">
        <v>16.48</v>
      </c>
      <c r="I2547" s="43" t="n">
        <f aca="false">F2547*H2547</f>
        <v>65.4256</v>
      </c>
      <c r="J2547" s="43" t="n">
        <f aca="false">G2547*H2547*1.5</f>
        <v>0</v>
      </c>
      <c r="K2547" s="6" t="n">
        <v>8.94</v>
      </c>
      <c r="L2547" s="43" t="n">
        <f aca="false">K2547*'Chart of Accounts'!$E$68</f>
        <v>5.9898</v>
      </c>
      <c r="O2547" s="42" t="n">
        <f aca="false">I2547+J2547+L2547</f>
        <v>71.4154</v>
      </c>
    </row>
    <row r="2548" customFormat="false" ht="15" hidden="false" customHeight="false" outlineLevel="0" collapsed="false">
      <c r="B2548" s="7" t="s">
        <v>11181</v>
      </c>
      <c r="C2548" s="39" t="n">
        <v>45816</v>
      </c>
      <c r="D2548" s="7" t="s">
        <v>218</v>
      </c>
      <c r="E2548" s="7" t="s">
        <v>180</v>
      </c>
      <c r="F2548" s="6" t="n">
        <v>4.37</v>
      </c>
      <c r="G2548" s="6" t="n">
        <v>0</v>
      </c>
      <c r="H2548" s="41" t="n">
        <v>16.19</v>
      </c>
      <c r="I2548" s="43" t="n">
        <f aca="false">F2548*H2548</f>
        <v>70.7503</v>
      </c>
      <c r="J2548" s="43" t="n">
        <f aca="false">G2548*H2548*1.5</f>
        <v>0</v>
      </c>
      <c r="K2548" s="6" t="n">
        <v>13.55</v>
      </c>
      <c r="L2548" s="43" t="n">
        <f aca="false">K2548*'Chart of Accounts'!$E$68</f>
        <v>9.0785</v>
      </c>
      <c r="O2548" s="42" t="n">
        <f aca="false">I2548+J2548+L2548</f>
        <v>79.8288</v>
      </c>
    </row>
    <row r="2549" customFormat="false" ht="15" hidden="false" customHeight="false" outlineLevel="0" collapsed="false">
      <c r="B2549" s="7" t="s">
        <v>11182</v>
      </c>
      <c r="C2549" s="39" t="n">
        <v>45816</v>
      </c>
      <c r="D2549" s="7" t="s">
        <v>212</v>
      </c>
      <c r="E2549" s="7" t="s">
        <v>180</v>
      </c>
      <c r="F2549" s="6" t="n">
        <v>3.79</v>
      </c>
      <c r="G2549" s="6" t="n">
        <v>0</v>
      </c>
      <c r="H2549" s="41" t="n">
        <v>16.71</v>
      </c>
      <c r="I2549" s="43" t="n">
        <f aca="false">F2549*H2549</f>
        <v>63.3309</v>
      </c>
      <c r="J2549" s="43" t="n">
        <f aca="false">G2549*H2549*1.5</f>
        <v>0</v>
      </c>
      <c r="K2549" s="6" t="n">
        <v>13.2</v>
      </c>
      <c r="L2549" s="43" t="n">
        <f aca="false">K2549*'Chart of Accounts'!$E$68</f>
        <v>8.844</v>
      </c>
      <c r="O2549" s="42" t="n">
        <f aca="false">I2549+J2549+L2549</f>
        <v>72.1749</v>
      </c>
    </row>
    <row r="2550" customFormat="false" ht="15" hidden="false" customHeight="false" outlineLevel="0" collapsed="false">
      <c r="B2550" s="7" t="s">
        <v>11183</v>
      </c>
      <c r="C2550" s="39" t="n">
        <v>45816</v>
      </c>
      <c r="D2550" s="7" t="s">
        <v>222</v>
      </c>
      <c r="E2550" s="7" t="s">
        <v>180</v>
      </c>
      <c r="F2550" s="6" t="n">
        <v>4.15</v>
      </c>
      <c r="G2550" s="6" t="n">
        <v>0</v>
      </c>
      <c r="H2550" s="41" t="n">
        <v>17.84</v>
      </c>
      <c r="I2550" s="43" t="n">
        <f aca="false">F2550*H2550</f>
        <v>74.036</v>
      </c>
      <c r="J2550" s="43" t="n">
        <f aca="false">G2550*H2550*1.5</f>
        <v>0</v>
      </c>
      <c r="K2550" s="6" t="n">
        <v>9.27</v>
      </c>
      <c r="L2550" s="43" t="n">
        <f aca="false">K2550*'Chart of Accounts'!$E$68</f>
        <v>6.2109</v>
      </c>
      <c r="O2550" s="42" t="n">
        <f aca="false">I2550+J2550+L2550</f>
        <v>80.2469</v>
      </c>
    </row>
    <row r="2551" customFormat="false" ht="15" hidden="false" customHeight="false" outlineLevel="0" collapsed="false">
      <c r="B2551" s="7" t="s">
        <v>11184</v>
      </c>
      <c r="C2551" s="39" t="n">
        <v>45816</v>
      </c>
      <c r="D2551" s="7" t="s">
        <v>242</v>
      </c>
      <c r="E2551" s="7" t="s">
        <v>180</v>
      </c>
      <c r="F2551" s="6" t="n">
        <v>4.173</v>
      </c>
      <c r="G2551" s="6" t="n">
        <v>0.047</v>
      </c>
      <c r="H2551" s="41" t="n">
        <v>17.99</v>
      </c>
      <c r="I2551" s="43" t="n">
        <f aca="false">F2551*H2551</f>
        <v>75.07227</v>
      </c>
      <c r="J2551" s="43" t="n">
        <f aca="false">G2551*H2551*1.5</f>
        <v>1.268295</v>
      </c>
      <c r="K2551" s="6" t="n">
        <v>13.55</v>
      </c>
      <c r="L2551" s="43" t="n">
        <f aca="false">K2551*'Chart of Accounts'!$E$68</f>
        <v>9.0785</v>
      </c>
      <c r="O2551" s="42" t="n">
        <f aca="false">I2551+J2551+L2551</f>
        <v>85.419065</v>
      </c>
    </row>
    <row r="2552" customFormat="false" ht="15" hidden="false" customHeight="false" outlineLevel="0" collapsed="false">
      <c r="B2552" s="7" t="s">
        <v>11185</v>
      </c>
      <c r="C2552" s="39" t="n">
        <v>45816</v>
      </c>
      <c r="D2552" s="7" t="s">
        <v>254</v>
      </c>
      <c r="E2552" s="7" t="s">
        <v>180</v>
      </c>
      <c r="F2552" s="6" t="n">
        <v>3.445</v>
      </c>
      <c r="G2552" s="6" t="n">
        <v>0.185</v>
      </c>
      <c r="H2552" s="41" t="n">
        <v>17.1</v>
      </c>
      <c r="I2552" s="43" t="n">
        <f aca="false">F2552*H2552</f>
        <v>58.9095</v>
      </c>
      <c r="J2552" s="43" t="n">
        <f aca="false">G2552*H2552*1.5</f>
        <v>4.74525</v>
      </c>
      <c r="K2552" s="6" t="n">
        <v>12.85</v>
      </c>
      <c r="L2552" s="43" t="n">
        <f aca="false">K2552*'Chart of Accounts'!$E$68</f>
        <v>8.6095</v>
      </c>
      <c r="O2552" s="42" t="n">
        <f aca="false">I2552+J2552+L2552</f>
        <v>72.26425</v>
      </c>
    </row>
    <row r="2553" customFormat="false" ht="15" hidden="false" customHeight="false" outlineLevel="0" collapsed="false">
      <c r="B2553" s="7" t="s">
        <v>11186</v>
      </c>
      <c r="C2553" s="39" t="n">
        <v>45817</v>
      </c>
      <c r="D2553" s="7" t="s">
        <v>187</v>
      </c>
      <c r="E2553" s="7" t="s">
        <v>158</v>
      </c>
      <c r="H2553" s="41" t="n">
        <v>66.48</v>
      </c>
      <c r="M2553" s="6" t="n">
        <v>1</v>
      </c>
      <c r="N2553" s="43" t="n">
        <f aca="false">M2553*H2553</f>
        <v>66.48</v>
      </c>
      <c r="O2553" s="42" t="n">
        <f aca="false">N2553</f>
        <v>66.48</v>
      </c>
    </row>
    <row r="2554" customFormat="false" ht="15" hidden="false" customHeight="false" outlineLevel="0" collapsed="false">
      <c r="B2554" s="7" t="s">
        <v>11187</v>
      </c>
      <c r="C2554" s="39" t="n">
        <v>45817</v>
      </c>
      <c r="D2554" s="7" t="s">
        <v>220</v>
      </c>
      <c r="E2554" s="7" t="s">
        <v>180</v>
      </c>
      <c r="F2554" s="6" t="n">
        <v>7.39</v>
      </c>
      <c r="G2554" s="6" t="n">
        <v>0</v>
      </c>
      <c r="H2554" s="41" t="n">
        <v>16.43</v>
      </c>
      <c r="I2554" s="43" t="n">
        <f aca="false">F2554*H2554</f>
        <v>121.4177</v>
      </c>
      <c r="J2554" s="43" t="n">
        <f aca="false">G2554*H2554*1.5</f>
        <v>0</v>
      </c>
      <c r="K2554" s="6" t="n">
        <v>23.27</v>
      </c>
      <c r="L2554" s="43" t="n">
        <f aca="false">K2554*'Chart of Accounts'!$E$68</f>
        <v>15.5909</v>
      </c>
      <c r="O2554" s="42" t="n">
        <f aca="false">I2554+J2554+L2554</f>
        <v>137.0086</v>
      </c>
    </row>
    <row r="2555" customFormat="false" ht="15" hidden="false" customHeight="false" outlineLevel="0" collapsed="false">
      <c r="B2555" s="7" t="s">
        <v>11188</v>
      </c>
      <c r="C2555" s="39" t="n">
        <v>45817</v>
      </c>
      <c r="D2555" s="7" t="s">
        <v>194</v>
      </c>
      <c r="E2555" s="7" t="s">
        <v>180</v>
      </c>
      <c r="F2555" s="6" t="n">
        <v>8.87</v>
      </c>
      <c r="G2555" s="6" t="n">
        <v>0</v>
      </c>
      <c r="H2555" s="41" t="n">
        <v>16</v>
      </c>
      <c r="I2555" s="43" t="n">
        <f aca="false">F2555*H2555</f>
        <v>141.92</v>
      </c>
      <c r="J2555" s="43" t="n">
        <f aca="false">G2555*H2555*1.5</f>
        <v>0</v>
      </c>
      <c r="K2555" s="6" t="n">
        <v>21.66</v>
      </c>
      <c r="L2555" s="43" t="n">
        <f aca="false">K2555*'Chart of Accounts'!$E$68</f>
        <v>14.5122</v>
      </c>
      <c r="O2555" s="42" t="n">
        <f aca="false">I2555+J2555+L2555</f>
        <v>156.4322</v>
      </c>
    </row>
    <row r="2556" customFormat="false" ht="15" hidden="false" customHeight="false" outlineLevel="0" collapsed="false">
      <c r="B2556" s="7" t="s">
        <v>11189</v>
      </c>
      <c r="C2556" s="39" t="n">
        <v>45817</v>
      </c>
      <c r="D2556" s="7" t="s">
        <v>201</v>
      </c>
      <c r="E2556" s="7" t="s">
        <v>180</v>
      </c>
      <c r="F2556" s="6" t="n">
        <v>9.29</v>
      </c>
      <c r="G2556" s="6" t="n">
        <v>0</v>
      </c>
      <c r="H2556" s="41" t="n">
        <v>15.19</v>
      </c>
      <c r="I2556" s="43" t="n">
        <f aca="false">F2556*H2556</f>
        <v>141.1151</v>
      </c>
      <c r="J2556" s="43" t="n">
        <f aca="false">G2556*H2556*1.5</f>
        <v>0</v>
      </c>
      <c r="K2556" s="6" t="n">
        <v>21.16</v>
      </c>
      <c r="L2556" s="43" t="n">
        <f aca="false">K2556*'Chart of Accounts'!$E$68</f>
        <v>14.1772</v>
      </c>
      <c r="O2556" s="42" t="n">
        <f aca="false">I2556+J2556+L2556</f>
        <v>155.2923</v>
      </c>
    </row>
    <row r="2557" customFormat="false" ht="15" hidden="false" customHeight="false" outlineLevel="0" collapsed="false">
      <c r="B2557" s="7" t="s">
        <v>11190</v>
      </c>
      <c r="C2557" s="39" t="n">
        <v>45817</v>
      </c>
      <c r="D2557" s="7" t="s">
        <v>205</v>
      </c>
      <c r="E2557" s="7" t="s">
        <v>180</v>
      </c>
      <c r="F2557" s="6" t="n">
        <v>4.11</v>
      </c>
      <c r="G2557" s="6" t="n">
        <v>0</v>
      </c>
      <c r="H2557" s="41" t="n">
        <v>16.36</v>
      </c>
      <c r="I2557" s="43" t="n">
        <f aca="false">F2557*H2557</f>
        <v>67.2396</v>
      </c>
      <c r="J2557" s="43" t="n">
        <f aca="false">G2557*H2557*1.5</f>
        <v>0</v>
      </c>
      <c r="K2557" s="6" t="n">
        <v>12.4</v>
      </c>
      <c r="L2557" s="43" t="n">
        <f aca="false">K2557*'Chart of Accounts'!$E$68</f>
        <v>8.308</v>
      </c>
      <c r="O2557" s="42" t="n">
        <f aca="false">I2557+J2557+L2557</f>
        <v>75.5476</v>
      </c>
    </row>
    <row r="2558" customFormat="false" ht="15" hidden="false" customHeight="false" outlineLevel="0" collapsed="false">
      <c r="B2558" s="7" t="s">
        <v>11191</v>
      </c>
      <c r="C2558" s="39" t="n">
        <v>45817</v>
      </c>
      <c r="D2558" s="7" t="s">
        <v>264</v>
      </c>
      <c r="E2558" s="7" t="s">
        <v>158</v>
      </c>
      <c r="H2558" s="41" t="n">
        <v>55.55</v>
      </c>
      <c r="M2558" s="6" t="n">
        <v>1</v>
      </c>
      <c r="N2558" s="43" t="n">
        <f aca="false">M2558*H2558</f>
        <v>55.55</v>
      </c>
      <c r="O2558" s="42" t="n">
        <f aca="false">N2558</f>
        <v>55.55</v>
      </c>
    </row>
    <row r="2559" customFormat="false" ht="15" hidden="false" customHeight="false" outlineLevel="0" collapsed="false">
      <c r="B2559" s="7" t="s">
        <v>11192</v>
      </c>
      <c r="C2559" s="39" t="n">
        <v>45817</v>
      </c>
      <c r="D2559" s="7" t="s">
        <v>252</v>
      </c>
      <c r="E2559" s="7" t="s">
        <v>158</v>
      </c>
      <c r="H2559" s="41" t="n">
        <v>57.54</v>
      </c>
      <c r="M2559" s="6" t="n">
        <v>1</v>
      </c>
      <c r="N2559" s="43" t="n">
        <f aca="false">M2559*H2559</f>
        <v>57.54</v>
      </c>
      <c r="O2559" s="42" t="n">
        <f aca="false">N2559</f>
        <v>57.54</v>
      </c>
    </row>
    <row r="2560" customFormat="false" ht="15" hidden="false" customHeight="false" outlineLevel="0" collapsed="false">
      <c r="B2560" s="7" t="s">
        <v>11193</v>
      </c>
      <c r="C2560" s="39" t="n">
        <v>45817</v>
      </c>
      <c r="D2560" s="7" t="s">
        <v>196</v>
      </c>
      <c r="E2560" s="7" t="s">
        <v>180</v>
      </c>
      <c r="F2560" s="6" t="n">
        <v>6.15</v>
      </c>
      <c r="G2560" s="6" t="n">
        <v>0</v>
      </c>
      <c r="H2560" s="41" t="n">
        <v>15.05</v>
      </c>
      <c r="I2560" s="43" t="n">
        <f aca="false">F2560*H2560</f>
        <v>92.5575</v>
      </c>
      <c r="J2560" s="43" t="n">
        <f aca="false">G2560*H2560*1.5</f>
        <v>0</v>
      </c>
      <c r="K2560" s="6" t="n">
        <v>15.33</v>
      </c>
      <c r="L2560" s="43" t="n">
        <f aca="false">K2560*'Chart of Accounts'!$E$68</f>
        <v>10.2711</v>
      </c>
      <c r="O2560" s="42" t="n">
        <f aca="false">I2560+J2560+L2560</f>
        <v>102.8286</v>
      </c>
    </row>
    <row r="2561" customFormat="false" ht="15" hidden="false" customHeight="false" outlineLevel="0" collapsed="false">
      <c r="B2561" s="7" t="s">
        <v>11194</v>
      </c>
      <c r="C2561" s="39" t="n">
        <v>45817</v>
      </c>
      <c r="D2561" s="7" t="s">
        <v>184</v>
      </c>
      <c r="E2561" s="7" t="s">
        <v>180</v>
      </c>
      <c r="F2561" s="6" t="n">
        <v>4</v>
      </c>
      <c r="G2561" s="6" t="n">
        <v>0</v>
      </c>
      <c r="H2561" s="41" t="n">
        <v>17.34</v>
      </c>
      <c r="I2561" s="43" t="n">
        <f aca="false">F2561*H2561</f>
        <v>69.36</v>
      </c>
      <c r="J2561" s="43" t="n">
        <f aca="false">G2561*H2561*1.5</f>
        <v>0</v>
      </c>
      <c r="K2561" s="6" t="n">
        <v>10.53</v>
      </c>
      <c r="L2561" s="43" t="n">
        <f aca="false">K2561*'Chart of Accounts'!$E$68</f>
        <v>7.0551</v>
      </c>
      <c r="O2561" s="42" t="n">
        <f aca="false">I2561+J2561+L2561</f>
        <v>76.4151</v>
      </c>
    </row>
    <row r="2562" customFormat="false" ht="15" hidden="false" customHeight="false" outlineLevel="0" collapsed="false">
      <c r="B2562" s="7" t="s">
        <v>11195</v>
      </c>
      <c r="C2562" s="39" t="n">
        <v>45817</v>
      </c>
      <c r="D2562" s="7" t="s">
        <v>207</v>
      </c>
      <c r="E2562" s="7" t="s">
        <v>180</v>
      </c>
      <c r="F2562" s="6" t="n">
        <v>6.84</v>
      </c>
      <c r="G2562" s="6" t="n">
        <v>0</v>
      </c>
      <c r="H2562" s="41" t="n">
        <v>16.65</v>
      </c>
      <c r="I2562" s="43" t="n">
        <f aca="false">F2562*H2562</f>
        <v>113.886</v>
      </c>
      <c r="J2562" s="43" t="n">
        <f aca="false">G2562*H2562*1.5</f>
        <v>0</v>
      </c>
      <c r="K2562" s="6" t="n">
        <v>15.37</v>
      </c>
      <c r="L2562" s="43" t="n">
        <f aca="false">K2562*'Chart of Accounts'!$E$68</f>
        <v>10.2979</v>
      </c>
      <c r="O2562" s="42" t="n">
        <f aca="false">I2562+J2562+L2562</f>
        <v>124.1839</v>
      </c>
    </row>
    <row r="2563" customFormat="false" ht="15" hidden="false" customHeight="false" outlineLevel="0" collapsed="false">
      <c r="B2563" s="7" t="s">
        <v>11196</v>
      </c>
      <c r="C2563" s="39" t="n">
        <v>45817</v>
      </c>
      <c r="D2563" s="7" t="s">
        <v>218</v>
      </c>
      <c r="E2563" s="7" t="s">
        <v>180</v>
      </c>
      <c r="F2563" s="6" t="n">
        <v>4.12</v>
      </c>
      <c r="G2563" s="6" t="n">
        <v>0</v>
      </c>
      <c r="H2563" s="41" t="n">
        <v>16.19</v>
      </c>
      <c r="I2563" s="43" t="n">
        <f aca="false">F2563*H2563</f>
        <v>66.7028</v>
      </c>
      <c r="J2563" s="43" t="n">
        <f aca="false">G2563*H2563*1.5</f>
        <v>0</v>
      </c>
      <c r="K2563" s="6" t="n">
        <v>11.58</v>
      </c>
      <c r="L2563" s="43" t="n">
        <f aca="false">K2563*'Chart of Accounts'!$E$68</f>
        <v>7.7586</v>
      </c>
      <c r="O2563" s="42" t="n">
        <f aca="false">I2563+J2563+L2563</f>
        <v>74.4614</v>
      </c>
    </row>
    <row r="2564" customFormat="false" ht="15" hidden="false" customHeight="false" outlineLevel="0" collapsed="false">
      <c r="B2564" s="7" t="s">
        <v>11197</v>
      </c>
      <c r="C2564" s="39" t="n">
        <v>45817</v>
      </c>
      <c r="D2564" s="7" t="s">
        <v>212</v>
      </c>
      <c r="E2564" s="7" t="s">
        <v>180</v>
      </c>
      <c r="F2564" s="6" t="n">
        <v>7.05</v>
      </c>
      <c r="G2564" s="6" t="n">
        <v>0</v>
      </c>
      <c r="H2564" s="41" t="n">
        <v>16.71</v>
      </c>
      <c r="I2564" s="43" t="n">
        <f aca="false">F2564*H2564</f>
        <v>117.8055</v>
      </c>
      <c r="J2564" s="43" t="n">
        <f aca="false">G2564*H2564*1.5</f>
        <v>0</v>
      </c>
      <c r="K2564" s="6" t="n">
        <v>20.2</v>
      </c>
      <c r="L2564" s="43" t="n">
        <f aca="false">K2564*'Chart of Accounts'!$E$68</f>
        <v>13.534</v>
      </c>
      <c r="O2564" s="42" t="n">
        <f aca="false">I2564+J2564+L2564</f>
        <v>131.3395</v>
      </c>
    </row>
    <row r="2565" customFormat="false" ht="15" hidden="false" customHeight="false" outlineLevel="0" collapsed="false">
      <c r="B2565" s="7" t="s">
        <v>11198</v>
      </c>
      <c r="C2565" s="39" t="n">
        <v>45817</v>
      </c>
      <c r="D2565" s="7" t="s">
        <v>177</v>
      </c>
      <c r="E2565" s="7" t="s">
        <v>180</v>
      </c>
      <c r="F2565" s="6" t="n">
        <v>12.69</v>
      </c>
      <c r="G2565" s="6" t="n">
        <v>0</v>
      </c>
      <c r="H2565" s="41" t="n">
        <v>14.56</v>
      </c>
      <c r="I2565" s="43" t="n">
        <f aca="false">F2565*H2565</f>
        <v>184.7664</v>
      </c>
      <c r="J2565" s="43" t="n">
        <f aca="false">G2565*H2565*1.5</f>
        <v>0</v>
      </c>
      <c r="K2565" s="6" t="n">
        <v>30.82</v>
      </c>
      <c r="L2565" s="43" t="n">
        <f aca="false">K2565*'Chart of Accounts'!$E$68</f>
        <v>20.6494</v>
      </c>
      <c r="O2565" s="42" t="n">
        <f aca="false">I2565+J2565+L2565</f>
        <v>205.4158</v>
      </c>
    </row>
    <row r="2566" customFormat="false" ht="15" hidden="false" customHeight="false" outlineLevel="0" collapsed="false">
      <c r="B2566" s="7" t="s">
        <v>11199</v>
      </c>
      <c r="C2566" s="39" t="n">
        <v>45817</v>
      </c>
      <c r="D2566" s="7" t="s">
        <v>232</v>
      </c>
      <c r="E2566" s="7" t="s">
        <v>180</v>
      </c>
      <c r="F2566" s="6" t="n">
        <v>7</v>
      </c>
      <c r="G2566" s="6" t="n">
        <v>0</v>
      </c>
      <c r="H2566" s="41" t="n">
        <v>16.17</v>
      </c>
      <c r="I2566" s="43" t="n">
        <f aca="false">F2566*H2566</f>
        <v>113.19</v>
      </c>
      <c r="J2566" s="43" t="n">
        <f aca="false">G2566*H2566*1.5</f>
        <v>0</v>
      </c>
      <c r="K2566" s="6" t="n">
        <v>16.52</v>
      </c>
      <c r="L2566" s="43" t="n">
        <f aca="false">K2566*'Chart of Accounts'!$E$68</f>
        <v>11.0684</v>
      </c>
      <c r="O2566" s="42" t="n">
        <f aca="false">I2566+J2566+L2566</f>
        <v>124.2584</v>
      </c>
    </row>
    <row r="2567" customFormat="false" ht="15" hidden="false" customHeight="false" outlineLevel="0" collapsed="false">
      <c r="B2567" s="7" t="s">
        <v>11200</v>
      </c>
      <c r="C2567" s="39" t="n">
        <v>45817</v>
      </c>
      <c r="D2567" s="7" t="s">
        <v>242</v>
      </c>
      <c r="E2567" s="7" t="s">
        <v>180</v>
      </c>
      <c r="F2567" s="6" t="n">
        <v>6.88</v>
      </c>
      <c r="G2567" s="6" t="n">
        <v>0</v>
      </c>
      <c r="H2567" s="41" t="n">
        <v>17.99</v>
      </c>
      <c r="I2567" s="43" t="n">
        <f aca="false">F2567*H2567</f>
        <v>123.7712</v>
      </c>
      <c r="J2567" s="43" t="n">
        <f aca="false">G2567*H2567*1.5</f>
        <v>0</v>
      </c>
      <c r="K2567" s="6" t="n">
        <v>16.89</v>
      </c>
      <c r="L2567" s="43" t="n">
        <f aca="false">K2567*'Chart of Accounts'!$E$68</f>
        <v>11.3163</v>
      </c>
      <c r="O2567" s="42" t="n">
        <f aca="false">I2567+J2567+L2567</f>
        <v>135.0875</v>
      </c>
    </row>
    <row r="2568" customFormat="false" ht="15" hidden="false" customHeight="false" outlineLevel="0" collapsed="false">
      <c r="B2568" s="7" t="s">
        <v>11201</v>
      </c>
      <c r="C2568" s="39" t="n">
        <v>45817</v>
      </c>
      <c r="D2568" s="7" t="s">
        <v>222</v>
      </c>
      <c r="E2568" s="7" t="s">
        <v>180</v>
      </c>
      <c r="F2568" s="6" t="n">
        <v>7.15</v>
      </c>
      <c r="G2568" s="6" t="n">
        <v>0</v>
      </c>
      <c r="H2568" s="41" t="n">
        <v>17.84</v>
      </c>
      <c r="I2568" s="43" t="n">
        <f aca="false">F2568*H2568</f>
        <v>127.556</v>
      </c>
      <c r="J2568" s="43" t="n">
        <f aca="false">G2568*H2568*1.5</f>
        <v>0</v>
      </c>
      <c r="K2568" s="6" t="n">
        <v>16.47</v>
      </c>
      <c r="L2568" s="43" t="n">
        <f aca="false">K2568*'Chart of Accounts'!$E$68</f>
        <v>11.0349</v>
      </c>
      <c r="O2568" s="42" t="n">
        <f aca="false">I2568+J2568+L2568</f>
        <v>138.5909</v>
      </c>
    </row>
    <row r="2569" customFormat="false" ht="15" hidden="false" customHeight="false" outlineLevel="0" collapsed="false">
      <c r="B2569" s="7" t="s">
        <v>11202</v>
      </c>
      <c r="C2569" s="39" t="n">
        <v>45817</v>
      </c>
      <c r="D2569" s="7" t="s">
        <v>254</v>
      </c>
      <c r="E2569" s="7" t="s">
        <v>180</v>
      </c>
      <c r="F2569" s="6" t="n">
        <v>7.81</v>
      </c>
      <c r="G2569" s="6" t="n">
        <v>0</v>
      </c>
      <c r="H2569" s="41" t="n">
        <v>17.1</v>
      </c>
      <c r="I2569" s="43" t="n">
        <f aca="false">F2569*H2569</f>
        <v>133.551</v>
      </c>
      <c r="J2569" s="43" t="n">
        <f aca="false">G2569*H2569*1.5</f>
        <v>0</v>
      </c>
      <c r="K2569" s="6" t="n">
        <v>24.28</v>
      </c>
      <c r="L2569" s="43" t="n">
        <f aca="false">K2569*'Chart of Accounts'!$E$68</f>
        <v>16.2676</v>
      </c>
      <c r="O2569" s="42" t="n">
        <f aca="false">I2569+J2569+L2569</f>
        <v>149.8186</v>
      </c>
    </row>
    <row r="2570" customFormat="false" ht="15" hidden="false" customHeight="false" outlineLevel="0" collapsed="false">
      <c r="B2570" s="7" t="s">
        <v>11203</v>
      </c>
      <c r="C2570" s="39" t="n">
        <v>45817</v>
      </c>
      <c r="D2570" s="7" t="s">
        <v>246</v>
      </c>
      <c r="E2570" s="7" t="s">
        <v>180</v>
      </c>
      <c r="F2570" s="6" t="n">
        <v>7.86</v>
      </c>
      <c r="G2570" s="6" t="n">
        <v>0</v>
      </c>
      <c r="H2570" s="41" t="n">
        <v>16.48</v>
      </c>
      <c r="I2570" s="43" t="n">
        <f aca="false">F2570*H2570</f>
        <v>129.5328</v>
      </c>
      <c r="J2570" s="43" t="n">
        <f aca="false">G2570*H2570*1.5</f>
        <v>0</v>
      </c>
      <c r="K2570" s="6" t="n">
        <v>24.84</v>
      </c>
      <c r="L2570" s="43" t="n">
        <f aca="false">K2570*'Chart of Accounts'!$E$68</f>
        <v>16.6428</v>
      </c>
      <c r="O2570" s="42" t="n">
        <f aca="false">I2570+J2570+L2570</f>
        <v>146.1756</v>
      </c>
    </row>
    <row r="2571" customFormat="false" ht="15" hidden="false" customHeight="false" outlineLevel="0" collapsed="false">
      <c r="B2571" s="7" t="s">
        <v>11204</v>
      </c>
      <c r="C2571" s="39" t="n">
        <v>45817</v>
      </c>
      <c r="D2571" s="7" t="s">
        <v>214</v>
      </c>
      <c r="E2571" s="7" t="s">
        <v>180</v>
      </c>
      <c r="F2571" s="6" t="n">
        <v>7.99</v>
      </c>
      <c r="G2571" s="6" t="n">
        <v>0</v>
      </c>
      <c r="H2571" s="41" t="n">
        <v>15.67</v>
      </c>
      <c r="I2571" s="43" t="n">
        <f aca="false">F2571*H2571</f>
        <v>125.2033</v>
      </c>
      <c r="J2571" s="43" t="n">
        <f aca="false">G2571*H2571*1.5</f>
        <v>0</v>
      </c>
      <c r="K2571" s="6" t="n">
        <v>26.02</v>
      </c>
      <c r="L2571" s="43" t="n">
        <f aca="false">K2571*'Chart of Accounts'!$E$68</f>
        <v>17.4334</v>
      </c>
      <c r="O2571" s="42" t="n">
        <f aca="false">I2571+J2571+L2571</f>
        <v>142.6367</v>
      </c>
    </row>
    <row r="2572" customFormat="false" ht="15" hidden="false" customHeight="false" outlineLevel="0" collapsed="false">
      <c r="B2572" s="7" t="s">
        <v>11205</v>
      </c>
      <c r="C2572" s="39" t="n">
        <v>45817</v>
      </c>
      <c r="D2572" s="7" t="s">
        <v>224</v>
      </c>
      <c r="E2572" s="7" t="s">
        <v>180</v>
      </c>
      <c r="F2572" s="6" t="n">
        <v>4.74</v>
      </c>
      <c r="G2572" s="6" t="n">
        <v>0</v>
      </c>
      <c r="H2572" s="41" t="n">
        <v>14.93</v>
      </c>
      <c r="I2572" s="43" t="n">
        <f aca="false">F2572*H2572</f>
        <v>70.7682</v>
      </c>
      <c r="J2572" s="43" t="n">
        <f aca="false">G2572*H2572*1.5</f>
        <v>0</v>
      </c>
      <c r="K2572" s="6" t="n">
        <v>15.86</v>
      </c>
      <c r="L2572" s="43" t="n">
        <f aca="false">K2572*'Chart of Accounts'!$E$68</f>
        <v>10.6262</v>
      </c>
      <c r="O2572" s="42" t="n">
        <f aca="false">I2572+J2572+L2572</f>
        <v>81.3944</v>
      </c>
    </row>
    <row r="2573" customFormat="false" ht="15" hidden="false" customHeight="false" outlineLevel="0" collapsed="false">
      <c r="B2573" s="7" t="s">
        <v>11206</v>
      </c>
      <c r="C2573" s="39" t="n">
        <v>45817</v>
      </c>
      <c r="D2573" s="7" t="s">
        <v>238</v>
      </c>
      <c r="E2573" s="7" t="s">
        <v>180</v>
      </c>
      <c r="F2573" s="6" t="n">
        <v>7.7</v>
      </c>
      <c r="G2573" s="6" t="n">
        <v>0</v>
      </c>
      <c r="H2573" s="41" t="n">
        <v>15.85</v>
      </c>
      <c r="I2573" s="43" t="n">
        <f aca="false">F2573*H2573</f>
        <v>122.045</v>
      </c>
      <c r="J2573" s="43" t="n">
        <f aca="false">G2573*H2573*1.5</f>
        <v>0</v>
      </c>
      <c r="K2573" s="6" t="n">
        <v>23.28</v>
      </c>
      <c r="L2573" s="43" t="n">
        <f aca="false">K2573*'Chart of Accounts'!$E$68</f>
        <v>15.5976</v>
      </c>
      <c r="O2573" s="42" t="n">
        <f aca="false">I2573+J2573+L2573</f>
        <v>137.6426</v>
      </c>
    </row>
    <row r="2574" customFormat="false" ht="15" hidden="false" customHeight="false" outlineLevel="0" collapsed="false">
      <c r="B2574" s="7" t="s">
        <v>11207</v>
      </c>
      <c r="C2574" s="39" t="n">
        <v>45818</v>
      </c>
      <c r="D2574" s="7" t="s">
        <v>232</v>
      </c>
      <c r="E2574" s="7" t="s">
        <v>180</v>
      </c>
      <c r="F2574" s="6" t="n">
        <v>3.99</v>
      </c>
      <c r="G2574" s="6" t="n">
        <v>0</v>
      </c>
      <c r="H2574" s="41" t="n">
        <v>16.17</v>
      </c>
      <c r="I2574" s="43" t="n">
        <f aca="false">F2574*H2574</f>
        <v>64.5183</v>
      </c>
      <c r="J2574" s="43" t="n">
        <f aca="false">G2574*H2574*1.5</f>
        <v>0</v>
      </c>
      <c r="K2574" s="6" t="n">
        <v>12.33</v>
      </c>
      <c r="L2574" s="43" t="n">
        <f aca="false">K2574*'Chart of Accounts'!$E$68</f>
        <v>8.2611</v>
      </c>
      <c r="O2574" s="42" t="n">
        <f aca="false">I2574+J2574+L2574</f>
        <v>72.7794</v>
      </c>
    </row>
    <row r="2575" customFormat="false" ht="15" hidden="false" customHeight="false" outlineLevel="0" collapsed="false">
      <c r="B2575" s="7" t="s">
        <v>11208</v>
      </c>
      <c r="C2575" s="39" t="n">
        <v>45818</v>
      </c>
      <c r="D2575" s="7" t="s">
        <v>209</v>
      </c>
      <c r="E2575" s="7" t="s">
        <v>158</v>
      </c>
      <c r="H2575" s="41" t="n">
        <v>73.58</v>
      </c>
      <c r="M2575" s="6" t="n">
        <v>2</v>
      </c>
      <c r="N2575" s="43" t="n">
        <f aca="false">M2575*H2575</f>
        <v>147.16</v>
      </c>
      <c r="O2575" s="42" t="n">
        <f aca="false">N2575</f>
        <v>147.16</v>
      </c>
    </row>
    <row r="2576" customFormat="false" ht="15" hidden="false" customHeight="false" outlineLevel="0" collapsed="false">
      <c r="B2576" s="7" t="s">
        <v>11209</v>
      </c>
      <c r="C2576" s="39" t="n">
        <v>45818</v>
      </c>
      <c r="D2576" s="7" t="s">
        <v>184</v>
      </c>
      <c r="E2576" s="7" t="s">
        <v>180</v>
      </c>
      <c r="F2576" s="6" t="n">
        <v>3.8</v>
      </c>
      <c r="G2576" s="6" t="n">
        <v>0</v>
      </c>
      <c r="H2576" s="41" t="n">
        <v>17.34</v>
      </c>
      <c r="I2576" s="43" t="n">
        <f aca="false">F2576*H2576</f>
        <v>65.892</v>
      </c>
      <c r="J2576" s="43" t="n">
        <f aca="false">G2576*H2576*1.5</f>
        <v>0</v>
      </c>
      <c r="K2576" s="6" t="n">
        <v>12.82</v>
      </c>
      <c r="L2576" s="43" t="n">
        <f aca="false">K2576*'Chart of Accounts'!$E$68</f>
        <v>8.5894</v>
      </c>
      <c r="O2576" s="42" t="n">
        <f aca="false">I2576+J2576+L2576</f>
        <v>74.4814</v>
      </c>
    </row>
    <row r="2577" customFormat="false" ht="15" hidden="false" customHeight="false" outlineLevel="0" collapsed="false">
      <c r="B2577" s="7" t="s">
        <v>11210</v>
      </c>
      <c r="C2577" s="39" t="n">
        <v>45818</v>
      </c>
      <c r="D2577" s="7" t="s">
        <v>234</v>
      </c>
      <c r="E2577" s="7" t="s">
        <v>158</v>
      </c>
      <c r="H2577" s="41" t="n">
        <v>89.53</v>
      </c>
      <c r="M2577" s="6" t="n">
        <v>2</v>
      </c>
      <c r="N2577" s="43" t="n">
        <f aca="false">M2577*H2577</f>
        <v>179.06</v>
      </c>
      <c r="O2577" s="42" t="n">
        <f aca="false">N2577</f>
        <v>179.06</v>
      </c>
    </row>
    <row r="2578" customFormat="false" ht="15" hidden="false" customHeight="false" outlineLevel="0" collapsed="false">
      <c r="B2578" s="7" t="s">
        <v>11211</v>
      </c>
      <c r="C2578" s="39" t="n">
        <v>45818</v>
      </c>
      <c r="D2578" s="7" t="s">
        <v>218</v>
      </c>
      <c r="E2578" s="7" t="s">
        <v>180</v>
      </c>
      <c r="F2578" s="6" t="n">
        <v>3.87</v>
      </c>
      <c r="G2578" s="6" t="n">
        <v>0</v>
      </c>
      <c r="H2578" s="41" t="n">
        <v>16.19</v>
      </c>
      <c r="I2578" s="43" t="n">
        <f aca="false">F2578*H2578</f>
        <v>62.6553</v>
      </c>
      <c r="J2578" s="43" t="n">
        <f aca="false">G2578*H2578*1.5</f>
        <v>0</v>
      </c>
      <c r="K2578" s="6" t="n">
        <v>12.53</v>
      </c>
      <c r="L2578" s="43" t="n">
        <f aca="false">K2578*'Chart of Accounts'!$E$68</f>
        <v>8.3951</v>
      </c>
      <c r="O2578" s="42" t="n">
        <f aca="false">I2578+J2578+L2578</f>
        <v>71.0504</v>
      </c>
    </row>
    <row r="2579" customFormat="false" ht="15" hidden="false" customHeight="false" outlineLevel="0" collapsed="false">
      <c r="B2579" s="7" t="s">
        <v>11212</v>
      </c>
      <c r="C2579" s="39" t="n">
        <v>45818</v>
      </c>
      <c r="D2579" s="7" t="s">
        <v>266</v>
      </c>
      <c r="E2579" s="7" t="s">
        <v>158</v>
      </c>
      <c r="H2579" s="41" t="n">
        <v>75.18</v>
      </c>
      <c r="M2579" s="6" t="n">
        <v>1</v>
      </c>
      <c r="N2579" s="43" t="n">
        <f aca="false">M2579*H2579</f>
        <v>75.18</v>
      </c>
      <c r="O2579" s="42" t="n">
        <f aca="false">N2579</f>
        <v>75.18</v>
      </c>
    </row>
    <row r="2580" customFormat="false" ht="15" hidden="false" customHeight="false" outlineLevel="0" collapsed="false">
      <c r="B2580" s="7" t="s">
        <v>11213</v>
      </c>
      <c r="C2580" s="39" t="n">
        <v>45818</v>
      </c>
      <c r="D2580" s="7" t="s">
        <v>228</v>
      </c>
      <c r="E2580" s="7" t="s">
        <v>158</v>
      </c>
      <c r="H2580" s="41" t="n">
        <v>51.07</v>
      </c>
      <c r="M2580" s="6" t="n">
        <v>1</v>
      </c>
      <c r="N2580" s="43" t="n">
        <f aca="false">M2580*H2580</f>
        <v>51.07</v>
      </c>
      <c r="O2580" s="42" t="n">
        <f aca="false">N2580</f>
        <v>51.07</v>
      </c>
    </row>
    <row r="2581" customFormat="false" ht="15" hidden="false" customHeight="false" outlineLevel="0" collapsed="false">
      <c r="B2581" s="7" t="s">
        <v>11214</v>
      </c>
      <c r="C2581" s="39" t="n">
        <v>45818</v>
      </c>
      <c r="D2581" s="7" t="s">
        <v>220</v>
      </c>
      <c r="E2581" s="7" t="s">
        <v>180</v>
      </c>
      <c r="F2581" s="6" t="n">
        <v>3.96</v>
      </c>
      <c r="G2581" s="6" t="n">
        <v>0</v>
      </c>
      <c r="H2581" s="41" t="n">
        <v>16.43</v>
      </c>
      <c r="I2581" s="43" t="n">
        <f aca="false">F2581*H2581</f>
        <v>65.0628</v>
      </c>
      <c r="J2581" s="43" t="n">
        <f aca="false">G2581*H2581*1.5</f>
        <v>0</v>
      </c>
      <c r="K2581" s="6" t="n">
        <v>9.59</v>
      </c>
      <c r="L2581" s="43" t="n">
        <f aca="false">K2581*'Chart of Accounts'!$E$68</f>
        <v>6.4253</v>
      </c>
      <c r="O2581" s="42" t="n">
        <f aca="false">I2581+J2581+L2581</f>
        <v>71.4881</v>
      </c>
    </row>
    <row r="2582" customFormat="false" ht="15" hidden="false" customHeight="false" outlineLevel="0" collapsed="false">
      <c r="B2582" s="7" t="s">
        <v>11215</v>
      </c>
      <c r="C2582" s="39" t="n">
        <v>45818</v>
      </c>
      <c r="D2582" s="7" t="s">
        <v>212</v>
      </c>
      <c r="E2582" s="7" t="s">
        <v>180</v>
      </c>
      <c r="F2582" s="6" t="n">
        <v>4.21</v>
      </c>
      <c r="G2582" s="6" t="n">
        <v>0</v>
      </c>
      <c r="H2582" s="41" t="n">
        <v>16.71</v>
      </c>
      <c r="I2582" s="43" t="n">
        <f aca="false">F2582*H2582</f>
        <v>70.3491</v>
      </c>
      <c r="J2582" s="43" t="n">
        <f aca="false">G2582*H2582*1.5</f>
        <v>0</v>
      </c>
      <c r="K2582" s="6" t="n">
        <v>14.68</v>
      </c>
      <c r="L2582" s="43" t="n">
        <f aca="false">K2582*'Chart of Accounts'!$E$68</f>
        <v>9.8356</v>
      </c>
      <c r="O2582" s="42" t="n">
        <f aca="false">I2582+J2582+L2582</f>
        <v>80.1847</v>
      </c>
    </row>
    <row r="2583" customFormat="false" ht="15" hidden="false" customHeight="false" outlineLevel="0" collapsed="false">
      <c r="B2583" s="7" t="s">
        <v>11216</v>
      </c>
      <c r="C2583" s="39" t="n">
        <v>45818</v>
      </c>
      <c r="D2583" s="7" t="s">
        <v>194</v>
      </c>
      <c r="E2583" s="7" t="s">
        <v>180</v>
      </c>
      <c r="F2583" s="6" t="n">
        <v>3.62</v>
      </c>
      <c r="G2583" s="6" t="n">
        <v>0</v>
      </c>
      <c r="H2583" s="41" t="n">
        <v>16</v>
      </c>
      <c r="I2583" s="43" t="n">
        <f aca="false">F2583*H2583</f>
        <v>57.92</v>
      </c>
      <c r="J2583" s="43" t="n">
        <f aca="false">G2583*H2583*1.5</f>
        <v>0</v>
      </c>
      <c r="K2583" s="6" t="n">
        <v>11.93</v>
      </c>
      <c r="L2583" s="43" t="n">
        <f aca="false">K2583*'Chart of Accounts'!$E$68</f>
        <v>7.9931</v>
      </c>
      <c r="O2583" s="42" t="n">
        <f aca="false">I2583+J2583+L2583</f>
        <v>65.9131</v>
      </c>
    </row>
    <row r="2584" customFormat="false" ht="15" hidden="false" customHeight="false" outlineLevel="0" collapsed="false">
      <c r="B2584" s="7" t="s">
        <v>11217</v>
      </c>
      <c r="C2584" s="39" t="n">
        <v>45818</v>
      </c>
      <c r="D2584" s="7" t="s">
        <v>246</v>
      </c>
      <c r="E2584" s="7" t="s">
        <v>180</v>
      </c>
      <c r="F2584" s="6" t="n">
        <v>3.94</v>
      </c>
      <c r="G2584" s="6" t="n">
        <v>0</v>
      </c>
      <c r="H2584" s="41" t="n">
        <v>16.48</v>
      </c>
      <c r="I2584" s="43" t="n">
        <f aca="false">F2584*H2584</f>
        <v>64.9312</v>
      </c>
      <c r="J2584" s="43" t="n">
        <f aca="false">G2584*H2584*1.5</f>
        <v>0</v>
      </c>
      <c r="K2584" s="6" t="n">
        <v>12.03</v>
      </c>
      <c r="L2584" s="43" t="n">
        <f aca="false">K2584*'Chart of Accounts'!$E$68</f>
        <v>8.0601</v>
      </c>
      <c r="O2584" s="42" t="n">
        <f aca="false">I2584+J2584+L2584</f>
        <v>72.9913</v>
      </c>
    </row>
    <row r="2585" customFormat="false" ht="15" hidden="false" customHeight="false" outlineLevel="0" collapsed="false">
      <c r="B2585" s="7" t="s">
        <v>11218</v>
      </c>
      <c r="C2585" s="39" t="n">
        <v>45818</v>
      </c>
      <c r="D2585" s="7" t="s">
        <v>222</v>
      </c>
      <c r="E2585" s="7" t="s">
        <v>180</v>
      </c>
      <c r="F2585" s="6" t="n">
        <v>3.79</v>
      </c>
      <c r="G2585" s="6" t="n">
        <v>0</v>
      </c>
      <c r="H2585" s="41" t="n">
        <v>17.84</v>
      </c>
      <c r="I2585" s="43" t="n">
        <f aca="false">F2585*H2585</f>
        <v>67.6136</v>
      </c>
      <c r="J2585" s="43" t="n">
        <f aca="false">G2585*H2585*1.5</f>
        <v>0</v>
      </c>
      <c r="K2585" s="6" t="n">
        <v>8.93</v>
      </c>
      <c r="L2585" s="43" t="n">
        <f aca="false">K2585*'Chart of Accounts'!$E$68</f>
        <v>5.9831</v>
      </c>
      <c r="O2585" s="42" t="n">
        <f aca="false">I2585+J2585+L2585</f>
        <v>73.5967</v>
      </c>
    </row>
    <row r="2586" customFormat="false" ht="15" hidden="false" customHeight="false" outlineLevel="0" collapsed="false">
      <c r="B2586" s="7" t="s">
        <v>11219</v>
      </c>
      <c r="C2586" s="39" t="n">
        <v>45818</v>
      </c>
      <c r="D2586" s="7" t="s">
        <v>242</v>
      </c>
      <c r="E2586" s="7" t="s">
        <v>180</v>
      </c>
      <c r="F2586" s="6" t="n">
        <v>4.26</v>
      </c>
      <c r="G2586" s="6" t="n">
        <v>0</v>
      </c>
      <c r="H2586" s="41" t="n">
        <v>17.99</v>
      </c>
      <c r="I2586" s="43" t="n">
        <f aca="false">F2586*H2586</f>
        <v>76.6374</v>
      </c>
      <c r="J2586" s="43" t="n">
        <f aca="false">G2586*H2586*1.5</f>
        <v>0</v>
      </c>
      <c r="K2586" s="6" t="n">
        <v>14.44</v>
      </c>
      <c r="L2586" s="43" t="n">
        <f aca="false">K2586*'Chart of Accounts'!$E$68</f>
        <v>9.6748</v>
      </c>
      <c r="O2586" s="42" t="n">
        <f aca="false">I2586+J2586+L2586</f>
        <v>86.3122</v>
      </c>
    </row>
    <row r="2587" customFormat="false" ht="15" hidden="false" customHeight="false" outlineLevel="0" collapsed="false">
      <c r="B2587" s="7" t="s">
        <v>11220</v>
      </c>
      <c r="C2587" s="39" t="n">
        <v>45818</v>
      </c>
      <c r="D2587" s="7" t="s">
        <v>203</v>
      </c>
      <c r="E2587" s="7" t="s">
        <v>158</v>
      </c>
      <c r="H2587" s="41" t="n">
        <v>49.43</v>
      </c>
      <c r="M2587" s="6" t="n">
        <v>1</v>
      </c>
      <c r="N2587" s="43" t="n">
        <f aca="false">M2587*H2587</f>
        <v>49.43</v>
      </c>
      <c r="O2587" s="42" t="n">
        <f aca="false">N2587</f>
        <v>49.43</v>
      </c>
    </row>
    <row r="2588" customFormat="false" ht="15" hidden="false" customHeight="false" outlineLevel="0" collapsed="false">
      <c r="B2588" s="7" t="s">
        <v>11221</v>
      </c>
      <c r="C2588" s="39" t="n">
        <v>45818</v>
      </c>
      <c r="D2588" s="7" t="s">
        <v>254</v>
      </c>
      <c r="E2588" s="7" t="s">
        <v>180</v>
      </c>
      <c r="F2588" s="6" t="n">
        <v>4.34</v>
      </c>
      <c r="G2588" s="6" t="n">
        <v>0</v>
      </c>
      <c r="H2588" s="41" t="n">
        <v>17.1</v>
      </c>
      <c r="I2588" s="43" t="n">
        <f aca="false">F2588*H2588</f>
        <v>74.214</v>
      </c>
      <c r="J2588" s="43" t="n">
        <f aca="false">G2588*H2588*1.5</f>
        <v>0</v>
      </c>
      <c r="K2588" s="6" t="n">
        <v>10.91</v>
      </c>
      <c r="L2588" s="43" t="n">
        <f aca="false">K2588*'Chart of Accounts'!$E$68</f>
        <v>7.3097</v>
      </c>
      <c r="O2588" s="42" t="n">
        <f aca="false">I2588+J2588+L2588</f>
        <v>81.5237</v>
      </c>
    </row>
    <row r="2589" customFormat="false" ht="15" hidden="false" customHeight="false" outlineLevel="0" collapsed="false">
      <c r="B2589" s="7" t="s">
        <v>11222</v>
      </c>
      <c r="C2589" s="39" t="n">
        <v>45818</v>
      </c>
      <c r="D2589" s="7" t="s">
        <v>260</v>
      </c>
      <c r="E2589" s="7" t="s">
        <v>158</v>
      </c>
      <c r="H2589" s="41" t="n">
        <v>79.8</v>
      </c>
      <c r="M2589" s="6" t="n">
        <v>1</v>
      </c>
      <c r="N2589" s="43" t="n">
        <f aca="false">M2589*H2589</f>
        <v>79.8</v>
      </c>
      <c r="O2589" s="42" t="n">
        <f aca="false">N2589</f>
        <v>79.8</v>
      </c>
    </row>
    <row r="2590" customFormat="false" ht="15" hidden="false" customHeight="false" outlineLevel="0" collapsed="false">
      <c r="B2590" s="7" t="s">
        <v>11223</v>
      </c>
      <c r="C2590" s="39" t="n">
        <v>45819</v>
      </c>
      <c r="D2590" s="7" t="s">
        <v>187</v>
      </c>
      <c r="E2590" s="7" t="s">
        <v>158</v>
      </c>
      <c r="H2590" s="41" t="n">
        <v>66.48</v>
      </c>
      <c r="M2590" s="6" t="n">
        <v>1</v>
      </c>
      <c r="N2590" s="43" t="n">
        <f aca="false">M2590*H2590</f>
        <v>66.48</v>
      </c>
      <c r="O2590" s="42" t="n">
        <f aca="false">N2590</f>
        <v>66.48</v>
      </c>
    </row>
    <row r="2591" customFormat="false" ht="15" hidden="false" customHeight="false" outlineLevel="0" collapsed="false">
      <c r="B2591" s="7" t="s">
        <v>11224</v>
      </c>
      <c r="C2591" s="39" t="n">
        <v>45819</v>
      </c>
      <c r="D2591" s="7" t="s">
        <v>228</v>
      </c>
      <c r="E2591" s="7" t="s">
        <v>158</v>
      </c>
      <c r="H2591" s="41" t="n">
        <v>51.07</v>
      </c>
      <c r="M2591" s="6" t="n">
        <v>1</v>
      </c>
      <c r="N2591" s="43" t="n">
        <f aca="false">M2591*H2591</f>
        <v>51.07</v>
      </c>
      <c r="O2591" s="42" t="n">
        <f aca="false">N2591</f>
        <v>51.07</v>
      </c>
    </row>
    <row r="2592" customFormat="false" ht="15" hidden="false" customHeight="false" outlineLevel="0" collapsed="false">
      <c r="B2592" s="7" t="s">
        <v>11225</v>
      </c>
      <c r="C2592" s="39" t="n">
        <v>45819</v>
      </c>
      <c r="D2592" s="7" t="s">
        <v>177</v>
      </c>
      <c r="E2592" s="7" t="s">
        <v>180</v>
      </c>
      <c r="F2592" s="6" t="n">
        <v>13.02</v>
      </c>
      <c r="G2592" s="6" t="n">
        <v>0</v>
      </c>
      <c r="H2592" s="41" t="n">
        <v>14.56</v>
      </c>
      <c r="I2592" s="43" t="n">
        <f aca="false">F2592*H2592</f>
        <v>189.5712</v>
      </c>
      <c r="J2592" s="43" t="n">
        <f aca="false">G2592*H2592*1.5</f>
        <v>0</v>
      </c>
      <c r="K2592" s="6" t="n">
        <v>37.4</v>
      </c>
      <c r="L2592" s="43" t="n">
        <f aca="false">K2592*'Chart of Accounts'!$E$68</f>
        <v>25.058</v>
      </c>
      <c r="O2592" s="42" t="n">
        <f aca="false">I2592+J2592+L2592</f>
        <v>214.6292</v>
      </c>
    </row>
    <row r="2593" customFormat="false" ht="15" hidden="false" customHeight="false" outlineLevel="0" collapsed="false">
      <c r="B2593" s="7" t="s">
        <v>11226</v>
      </c>
      <c r="C2593" s="39" t="n">
        <v>45819</v>
      </c>
      <c r="D2593" s="7" t="s">
        <v>194</v>
      </c>
      <c r="E2593" s="7" t="s">
        <v>180</v>
      </c>
      <c r="F2593" s="6" t="n">
        <v>8.32</v>
      </c>
      <c r="G2593" s="6" t="n">
        <v>0</v>
      </c>
      <c r="H2593" s="41" t="n">
        <v>16</v>
      </c>
      <c r="I2593" s="43" t="n">
        <f aca="false">F2593*H2593</f>
        <v>133.12</v>
      </c>
      <c r="J2593" s="43" t="n">
        <f aca="false">G2593*H2593*1.5</f>
        <v>0</v>
      </c>
      <c r="K2593" s="6" t="n">
        <v>20.16</v>
      </c>
      <c r="L2593" s="43" t="n">
        <f aca="false">K2593*'Chart of Accounts'!$E$68</f>
        <v>13.5072</v>
      </c>
      <c r="O2593" s="42" t="n">
        <f aca="false">I2593+J2593+L2593</f>
        <v>146.6272</v>
      </c>
    </row>
    <row r="2594" customFormat="false" ht="15" hidden="false" customHeight="false" outlineLevel="0" collapsed="false">
      <c r="B2594" s="7" t="s">
        <v>11227</v>
      </c>
      <c r="C2594" s="39" t="n">
        <v>45819</v>
      </c>
      <c r="D2594" s="7" t="s">
        <v>205</v>
      </c>
      <c r="E2594" s="7" t="s">
        <v>180</v>
      </c>
      <c r="F2594" s="6" t="n">
        <v>3.95</v>
      </c>
      <c r="G2594" s="6" t="n">
        <v>0</v>
      </c>
      <c r="H2594" s="41" t="n">
        <v>16.36</v>
      </c>
      <c r="I2594" s="43" t="n">
        <f aca="false">F2594*H2594</f>
        <v>64.622</v>
      </c>
      <c r="J2594" s="43" t="n">
        <f aca="false">G2594*H2594*1.5</f>
        <v>0</v>
      </c>
      <c r="K2594" s="6" t="n">
        <v>13.78</v>
      </c>
      <c r="L2594" s="43" t="n">
        <f aca="false">K2594*'Chart of Accounts'!$E$68</f>
        <v>9.2326</v>
      </c>
      <c r="O2594" s="42" t="n">
        <f aca="false">I2594+J2594+L2594</f>
        <v>73.8546</v>
      </c>
    </row>
    <row r="2595" customFormat="false" ht="15" hidden="false" customHeight="false" outlineLevel="0" collapsed="false">
      <c r="B2595" s="7" t="s">
        <v>11228</v>
      </c>
      <c r="C2595" s="39" t="n">
        <v>45819</v>
      </c>
      <c r="D2595" s="7" t="s">
        <v>264</v>
      </c>
      <c r="E2595" s="7" t="s">
        <v>158</v>
      </c>
      <c r="H2595" s="41" t="n">
        <v>55.55</v>
      </c>
      <c r="M2595" s="6" t="n">
        <v>1</v>
      </c>
      <c r="N2595" s="43" t="n">
        <f aca="false">M2595*H2595</f>
        <v>55.55</v>
      </c>
      <c r="O2595" s="42" t="n">
        <f aca="false">N2595</f>
        <v>55.55</v>
      </c>
    </row>
    <row r="2596" customFormat="false" ht="15" hidden="false" customHeight="false" outlineLevel="0" collapsed="false">
      <c r="B2596" s="7" t="s">
        <v>11229</v>
      </c>
      <c r="C2596" s="39" t="n">
        <v>45819</v>
      </c>
      <c r="D2596" s="7" t="s">
        <v>252</v>
      </c>
      <c r="E2596" s="7" t="s">
        <v>158</v>
      </c>
      <c r="H2596" s="41" t="n">
        <v>57.54</v>
      </c>
      <c r="M2596" s="6" t="n">
        <v>1</v>
      </c>
      <c r="N2596" s="43" t="n">
        <f aca="false">M2596*H2596</f>
        <v>57.54</v>
      </c>
      <c r="O2596" s="42" t="n">
        <f aca="false">N2596</f>
        <v>57.54</v>
      </c>
    </row>
    <row r="2597" customFormat="false" ht="15" hidden="false" customHeight="false" outlineLevel="0" collapsed="false">
      <c r="B2597" s="7" t="s">
        <v>11230</v>
      </c>
      <c r="C2597" s="39" t="n">
        <v>45819</v>
      </c>
      <c r="D2597" s="7" t="s">
        <v>184</v>
      </c>
      <c r="E2597" s="7" t="s">
        <v>180</v>
      </c>
      <c r="F2597" s="6" t="n">
        <v>4.06</v>
      </c>
      <c r="G2597" s="6" t="n">
        <v>0</v>
      </c>
      <c r="H2597" s="41" t="n">
        <v>17.34</v>
      </c>
      <c r="I2597" s="43" t="n">
        <f aca="false">F2597*H2597</f>
        <v>70.4004</v>
      </c>
      <c r="J2597" s="43" t="n">
        <f aca="false">G2597*H2597*1.5</f>
        <v>0</v>
      </c>
      <c r="K2597" s="6" t="n">
        <v>9.17</v>
      </c>
      <c r="L2597" s="43" t="n">
        <f aca="false">K2597*'Chart of Accounts'!$E$68</f>
        <v>6.1439</v>
      </c>
      <c r="O2597" s="42" t="n">
        <f aca="false">I2597+J2597+L2597</f>
        <v>76.5443</v>
      </c>
    </row>
    <row r="2598" customFormat="false" ht="15" hidden="false" customHeight="false" outlineLevel="0" collapsed="false">
      <c r="B2598" s="7" t="s">
        <v>11231</v>
      </c>
      <c r="C2598" s="39" t="n">
        <v>45819</v>
      </c>
      <c r="D2598" s="7" t="s">
        <v>218</v>
      </c>
      <c r="E2598" s="7" t="s">
        <v>180</v>
      </c>
      <c r="F2598" s="6" t="n">
        <v>3.86</v>
      </c>
      <c r="G2598" s="6" t="n">
        <v>0</v>
      </c>
      <c r="H2598" s="41" t="n">
        <v>16.19</v>
      </c>
      <c r="I2598" s="43" t="n">
        <f aca="false">F2598*H2598</f>
        <v>62.4934</v>
      </c>
      <c r="J2598" s="43" t="n">
        <f aca="false">G2598*H2598*1.5</f>
        <v>0</v>
      </c>
      <c r="K2598" s="6" t="n">
        <v>8.79</v>
      </c>
      <c r="L2598" s="43" t="n">
        <f aca="false">K2598*'Chart of Accounts'!$E$68</f>
        <v>5.8893</v>
      </c>
      <c r="O2598" s="42" t="n">
        <f aca="false">I2598+J2598+L2598</f>
        <v>68.3827</v>
      </c>
    </row>
    <row r="2599" customFormat="false" ht="15" hidden="false" customHeight="false" outlineLevel="0" collapsed="false">
      <c r="B2599" s="7" t="s">
        <v>11232</v>
      </c>
      <c r="C2599" s="39" t="n">
        <v>45819</v>
      </c>
      <c r="D2599" s="7" t="s">
        <v>220</v>
      </c>
      <c r="E2599" s="7" t="s">
        <v>180</v>
      </c>
      <c r="F2599" s="6" t="n">
        <v>3.71</v>
      </c>
      <c r="G2599" s="6" t="n">
        <v>0</v>
      </c>
      <c r="H2599" s="41" t="n">
        <v>16.43</v>
      </c>
      <c r="I2599" s="43" t="n">
        <f aca="false">F2599*H2599</f>
        <v>60.9553</v>
      </c>
      <c r="J2599" s="43" t="n">
        <f aca="false">G2599*H2599*1.5</f>
        <v>0</v>
      </c>
      <c r="K2599" s="6" t="n">
        <v>11.07</v>
      </c>
      <c r="L2599" s="43" t="n">
        <f aca="false">K2599*'Chart of Accounts'!$E$68</f>
        <v>7.4169</v>
      </c>
      <c r="O2599" s="42" t="n">
        <f aca="false">I2599+J2599+L2599</f>
        <v>68.3722</v>
      </c>
    </row>
    <row r="2600" customFormat="false" ht="15" hidden="false" customHeight="false" outlineLevel="0" collapsed="false">
      <c r="B2600" s="7" t="s">
        <v>11233</v>
      </c>
      <c r="C2600" s="39" t="n">
        <v>45819</v>
      </c>
      <c r="D2600" s="7" t="s">
        <v>242</v>
      </c>
      <c r="E2600" s="7" t="s">
        <v>180</v>
      </c>
      <c r="F2600" s="6" t="n">
        <v>7.34</v>
      </c>
      <c r="G2600" s="6" t="n">
        <v>0</v>
      </c>
      <c r="H2600" s="41" t="n">
        <v>17.99</v>
      </c>
      <c r="I2600" s="43" t="n">
        <f aca="false">F2600*H2600</f>
        <v>132.0466</v>
      </c>
      <c r="J2600" s="43" t="n">
        <f aca="false">G2600*H2600*1.5</f>
        <v>0</v>
      </c>
      <c r="K2600" s="6" t="n">
        <v>25.24</v>
      </c>
      <c r="L2600" s="43" t="n">
        <f aca="false">K2600*'Chart of Accounts'!$E$68</f>
        <v>16.9108</v>
      </c>
      <c r="O2600" s="42" t="n">
        <f aca="false">I2600+J2600+L2600</f>
        <v>148.9574</v>
      </c>
    </row>
    <row r="2601" customFormat="false" ht="15" hidden="false" customHeight="false" outlineLevel="0" collapsed="false">
      <c r="B2601" s="7" t="s">
        <v>11234</v>
      </c>
      <c r="C2601" s="39" t="n">
        <v>45819</v>
      </c>
      <c r="D2601" s="7" t="s">
        <v>254</v>
      </c>
      <c r="E2601" s="7" t="s">
        <v>180</v>
      </c>
      <c r="F2601" s="6" t="n">
        <v>7.43</v>
      </c>
      <c r="G2601" s="6" t="n">
        <v>0</v>
      </c>
      <c r="H2601" s="41" t="n">
        <v>17.1</v>
      </c>
      <c r="I2601" s="43" t="n">
        <f aca="false">F2601*H2601</f>
        <v>127.053</v>
      </c>
      <c r="J2601" s="43" t="n">
        <f aca="false">G2601*H2601*1.5</f>
        <v>0</v>
      </c>
      <c r="K2601" s="6" t="n">
        <v>21.66</v>
      </c>
      <c r="L2601" s="43" t="n">
        <f aca="false">K2601*'Chart of Accounts'!$E$68</f>
        <v>14.5122</v>
      </c>
      <c r="O2601" s="42" t="n">
        <f aca="false">I2601+J2601+L2601</f>
        <v>141.5652</v>
      </c>
    </row>
    <row r="2602" customFormat="false" ht="15" hidden="false" customHeight="false" outlineLevel="0" collapsed="false">
      <c r="B2602" s="7" t="s">
        <v>11235</v>
      </c>
      <c r="C2602" s="39" t="n">
        <v>45819</v>
      </c>
      <c r="D2602" s="7" t="s">
        <v>201</v>
      </c>
      <c r="E2602" s="7" t="s">
        <v>180</v>
      </c>
      <c r="F2602" s="6" t="n">
        <v>3.29</v>
      </c>
      <c r="G2602" s="6" t="n">
        <v>0</v>
      </c>
      <c r="H2602" s="41" t="n">
        <v>15.19</v>
      </c>
      <c r="I2602" s="43" t="n">
        <f aca="false">F2602*H2602</f>
        <v>49.9751</v>
      </c>
      <c r="J2602" s="43" t="n">
        <f aca="false">G2602*H2602*1.5</f>
        <v>0</v>
      </c>
      <c r="K2602" s="6" t="n">
        <v>10.24</v>
      </c>
      <c r="L2602" s="43" t="n">
        <f aca="false">K2602*'Chart of Accounts'!$E$68</f>
        <v>6.8608</v>
      </c>
      <c r="O2602" s="42" t="n">
        <f aca="false">I2602+J2602+L2602</f>
        <v>56.8359</v>
      </c>
    </row>
    <row r="2603" customFormat="false" ht="15" hidden="false" customHeight="false" outlineLevel="0" collapsed="false">
      <c r="B2603" s="7" t="s">
        <v>11236</v>
      </c>
      <c r="C2603" s="39" t="n">
        <v>45819</v>
      </c>
      <c r="D2603" s="7" t="s">
        <v>207</v>
      </c>
      <c r="E2603" s="7" t="s">
        <v>180</v>
      </c>
      <c r="F2603" s="6" t="n">
        <v>3.61</v>
      </c>
      <c r="G2603" s="6" t="n">
        <v>0</v>
      </c>
      <c r="H2603" s="41" t="n">
        <v>16.65</v>
      </c>
      <c r="I2603" s="43" t="n">
        <f aca="false">F2603*H2603</f>
        <v>60.1065</v>
      </c>
      <c r="J2603" s="43" t="n">
        <f aca="false">G2603*H2603*1.5</f>
        <v>0</v>
      </c>
      <c r="K2603" s="6" t="n">
        <v>10.19</v>
      </c>
      <c r="L2603" s="43" t="n">
        <f aca="false">K2603*'Chart of Accounts'!$E$68</f>
        <v>6.8273</v>
      </c>
      <c r="O2603" s="42" t="n">
        <f aca="false">I2603+J2603+L2603</f>
        <v>66.9338</v>
      </c>
    </row>
    <row r="2604" customFormat="false" ht="15" hidden="false" customHeight="false" outlineLevel="0" collapsed="false">
      <c r="B2604" s="7" t="s">
        <v>11237</v>
      </c>
      <c r="C2604" s="39" t="n">
        <v>45819</v>
      </c>
      <c r="D2604" s="7" t="s">
        <v>212</v>
      </c>
      <c r="E2604" s="7" t="s">
        <v>180</v>
      </c>
      <c r="F2604" s="6" t="n">
        <v>4.34</v>
      </c>
      <c r="G2604" s="6" t="n">
        <v>0</v>
      </c>
      <c r="H2604" s="41" t="n">
        <v>16.71</v>
      </c>
      <c r="I2604" s="43" t="n">
        <f aca="false">F2604*H2604</f>
        <v>72.5214</v>
      </c>
      <c r="J2604" s="43" t="n">
        <f aca="false">G2604*H2604*1.5</f>
        <v>0</v>
      </c>
      <c r="K2604" s="6" t="n">
        <v>11.25</v>
      </c>
      <c r="L2604" s="43" t="n">
        <f aca="false">K2604*'Chart of Accounts'!$E$68</f>
        <v>7.5375</v>
      </c>
      <c r="O2604" s="42" t="n">
        <f aca="false">I2604+J2604+L2604</f>
        <v>80.0589</v>
      </c>
    </row>
    <row r="2605" customFormat="false" ht="15" hidden="false" customHeight="false" outlineLevel="0" collapsed="false">
      <c r="B2605" s="7" t="s">
        <v>11238</v>
      </c>
      <c r="C2605" s="39" t="n">
        <v>45819</v>
      </c>
      <c r="D2605" s="7" t="s">
        <v>232</v>
      </c>
      <c r="E2605" s="7" t="s">
        <v>180</v>
      </c>
      <c r="F2605" s="6" t="n">
        <v>4.23</v>
      </c>
      <c r="G2605" s="6" t="n">
        <v>0</v>
      </c>
      <c r="H2605" s="41" t="n">
        <v>16.17</v>
      </c>
      <c r="I2605" s="43" t="n">
        <f aca="false">F2605*H2605</f>
        <v>68.3991</v>
      </c>
      <c r="J2605" s="43" t="n">
        <f aca="false">G2605*H2605*1.5</f>
        <v>0</v>
      </c>
      <c r="K2605" s="6" t="n">
        <v>11.99</v>
      </c>
      <c r="L2605" s="43" t="n">
        <f aca="false">K2605*'Chart of Accounts'!$E$68</f>
        <v>8.0333</v>
      </c>
      <c r="O2605" s="42" t="n">
        <f aca="false">I2605+J2605+L2605</f>
        <v>76.4324</v>
      </c>
    </row>
    <row r="2606" customFormat="false" ht="15" hidden="false" customHeight="false" outlineLevel="0" collapsed="false">
      <c r="B2606" s="7" t="s">
        <v>11239</v>
      </c>
      <c r="C2606" s="39" t="n">
        <v>45819</v>
      </c>
      <c r="D2606" s="7" t="s">
        <v>224</v>
      </c>
      <c r="E2606" s="7" t="s">
        <v>180</v>
      </c>
      <c r="F2606" s="6" t="n">
        <v>4.7</v>
      </c>
      <c r="G2606" s="6" t="n">
        <v>0</v>
      </c>
      <c r="H2606" s="41" t="n">
        <v>14.93</v>
      </c>
      <c r="I2606" s="43" t="n">
        <f aca="false">F2606*H2606</f>
        <v>70.171</v>
      </c>
      <c r="J2606" s="43" t="n">
        <f aca="false">G2606*H2606*1.5</f>
        <v>0</v>
      </c>
      <c r="K2606" s="6" t="n">
        <v>10.7</v>
      </c>
      <c r="L2606" s="43" t="n">
        <f aca="false">K2606*'Chart of Accounts'!$E$68</f>
        <v>7.169</v>
      </c>
      <c r="O2606" s="42" t="n">
        <f aca="false">I2606+J2606+L2606</f>
        <v>77.34</v>
      </c>
    </row>
    <row r="2607" customFormat="false" ht="15" hidden="false" customHeight="false" outlineLevel="0" collapsed="false">
      <c r="B2607" s="7" t="s">
        <v>11240</v>
      </c>
      <c r="C2607" s="39" t="n">
        <v>45819</v>
      </c>
      <c r="D2607" s="7" t="s">
        <v>238</v>
      </c>
      <c r="E2607" s="7" t="s">
        <v>180</v>
      </c>
      <c r="F2607" s="6" t="n">
        <v>4.27</v>
      </c>
      <c r="G2607" s="6" t="n">
        <v>0</v>
      </c>
      <c r="H2607" s="41" t="n">
        <v>15.85</v>
      </c>
      <c r="I2607" s="43" t="n">
        <f aca="false">F2607*H2607</f>
        <v>67.6795</v>
      </c>
      <c r="J2607" s="43" t="n">
        <f aca="false">G2607*H2607*1.5</f>
        <v>0</v>
      </c>
      <c r="K2607" s="6" t="n">
        <v>11.1</v>
      </c>
      <c r="L2607" s="43" t="n">
        <f aca="false">K2607*'Chart of Accounts'!$E$68</f>
        <v>7.437</v>
      </c>
      <c r="O2607" s="42" t="n">
        <f aca="false">I2607+J2607+L2607</f>
        <v>75.1165</v>
      </c>
    </row>
    <row r="2608" customFormat="false" ht="15" hidden="false" customHeight="false" outlineLevel="0" collapsed="false">
      <c r="B2608" s="7" t="s">
        <v>11241</v>
      </c>
      <c r="C2608" s="39" t="n">
        <v>45819</v>
      </c>
      <c r="D2608" s="7" t="s">
        <v>246</v>
      </c>
      <c r="E2608" s="7" t="s">
        <v>180</v>
      </c>
      <c r="F2608" s="6" t="n">
        <v>4.35</v>
      </c>
      <c r="G2608" s="6" t="n">
        <v>0</v>
      </c>
      <c r="H2608" s="41" t="n">
        <v>16.48</v>
      </c>
      <c r="I2608" s="43" t="n">
        <f aca="false">F2608*H2608</f>
        <v>71.688</v>
      </c>
      <c r="J2608" s="43" t="n">
        <f aca="false">G2608*H2608*1.5</f>
        <v>0</v>
      </c>
      <c r="K2608" s="6" t="n">
        <v>12.98</v>
      </c>
      <c r="L2608" s="43" t="n">
        <f aca="false">K2608*'Chart of Accounts'!$E$68</f>
        <v>8.6966</v>
      </c>
      <c r="O2608" s="42" t="n">
        <f aca="false">I2608+J2608+L2608</f>
        <v>80.3846</v>
      </c>
    </row>
    <row r="2609" customFormat="false" ht="15" hidden="false" customHeight="false" outlineLevel="0" collapsed="false">
      <c r="B2609" s="7" t="s">
        <v>11242</v>
      </c>
      <c r="C2609" s="39" t="n">
        <v>45819</v>
      </c>
      <c r="D2609" s="7" t="s">
        <v>222</v>
      </c>
      <c r="E2609" s="7" t="s">
        <v>180</v>
      </c>
      <c r="F2609" s="6" t="n">
        <v>4.02</v>
      </c>
      <c r="G2609" s="6" t="n">
        <v>0</v>
      </c>
      <c r="H2609" s="41" t="n">
        <v>17.84</v>
      </c>
      <c r="I2609" s="43" t="n">
        <f aca="false">F2609*H2609</f>
        <v>71.7168</v>
      </c>
      <c r="J2609" s="43" t="n">
        <f aca="false">G2609*H2609*1.5</f>
        <v>0</v>
      </c>
      <c r="K2609" s="6" t="n">
        <v>11.61</v>
      </c>
      <c r="L2609" s="43" t="n">
        <f aca="false">K2609*'Chart of Accounts'!$E$68</f>
        <v>7.7787</v>
      </c>
      <c r="O2609" s="42" t="n">
        <f aca="false">I2609+J2609+L2609</f>
        <v>79.4955</v>
      </c>
    </row>
    <row r="2610" customFormat="false" ht="15" hidden="false" customHeight="false" outlineLevel="0" collapsed="false">
      <c r="B2610" s="7" t="s">
        <v>11243</v>
      </c>
      <c r="C2610" s="39" t="n">
        <v>45819</v>
      </c>
      <c r="D2610" s="7" t="s">
        <v>203</v>
      </c>
      <c r="E2610" s="7" t="s">
        <v>158</v>
      </c>
      <c r="H2610" s="41" t="n">
        <v>49.43</v>
      </c>
      <c r="M2610" s="6" t="n">
        <v>1</v>
      </c>
      <c r="N2610" s="43" t="n">
        <f aca="false">M2610*H2610</f>
        <v>49.43</v>
      </c>
      <c r="O2610" s="42" t="n">
        <f aca="false">N2610</f>
        <v>49.43</v>
      </c>
    </row>
    <row r="2611" customFormat="false" ht="15" hidden="false" customHeight="false" outlineLevel="0" collapsed="false">
      <c r="B2611" s="7" t="s">
        <v>11244</v>
      </c>
      <c r="C2611" s="39" t="n">
        <v>45819</v>
      </c>
      <c r="D2611" s="7" t="s">
        <v>196</v>
      </c>
      <c r="E2611" s="7" t="s">
        <v>180</v>
      </c>
      <c r="F2611" s="6" t="n">
        <v>3.58</v>
      </c>
      <c r="G2611" s="6" t="n">
        <v>0</v>
      </c>
      <c r="H2611" s="41" t="n">
        <v>15.05</v>
      </c>
      <c r="I2611" s="43" t="n">
        <f aca="false">F2611*H2611</f>
        <v>53.879</v>
      </c>
      <c r="J2611" s="43" t="n">
        <f aca="false">G2611*H2611*1.5</f>
        <v>0</v>
      </c>
      <c r="K2611" s="6" t="n">
        <v>10.59</v>
      </c>
      <c r="L2611" s="43" t="n">
        <f aca="false">K2611*'Chart of Accounts'!$E$68</f>
        <v>7.0953</v>
      </c>
      <c r="O2611" s="42" t="n">
        <f aca="false">I2611+J2611+L2611</f>
        <v>60.9743</v>
      </c>
    </row>
    <row r="2612" customFormat="false" ht="15" hidden="false" customHeight="false" outlineLevel="0" collapsed="false">
      <c r="B2612" s="7" t="s">
        <v>11245</v>
      </c>
      <c r="C2612" s="39" t="n">
        <v>45819</v>
      </c>
      <c r="D2612" s="7" t="s">
        <v>214</v>
      </c>
      <c r="E2612" s="7" t="s">
        <v>180</v>
      </c>
      <c r="F2612" s="6" t="n">
        <v>3.05</v>
      </c>
      <c r="G2612" s="6" t="n">
        <v>0</v>
      </c>
      <c r="H2612" s="41" t="n">
        <v>15.67</v>
      </c>
      <c r="I2612" s="43" t="n">
        <f aca="false">F2612*H2612</f>
        <v>47.7935</v>
      </c>
      <c r="J2612" s="43" t="n">
        <f aca="false">G2612*H2612*1.5</f>
        <v>0</v>
      </c>
      <c r="K2612" s="6" t="n">
        <v>10.51</v>
      </c>
      <c r="L2612" s="43" t="n">
        <f aca="false">K2612*'Chart of Accounts'!$E$68</f>
        <v>7.0417</v>
      </c>
      <c r="O2612" s="42" t="n">
        <f aca="false">I2612+J2612+L2612</f>
        <v>54.8352</v>
      </c>
    </row>
    <row r="2613" customFormat="false" ht="15" hidden="false" customHeight="false" outlineLevel="0" collapsed="false">
      <c r="B2613" s="7" t="s">
        <v>11246</v>
      </c>
      <c r="C2613" s="39" t="n">
        <v>45820</v>
      </c>
      <c r="D2613" s="7" t="s">
        <v>184</v>
      </c>
      <c r="E2613" s="7" t="s">
        <v>180</v>
      </c>
      <c r="F2613" s="6" t="n">
        <v>7.29</v>
      </c>
      <c r="G2613" s="6" t="n">
        <v>0</v>
      </c>
      <c r="H2613" s="41" t="n">
        <v>17.34</v>
      </c>
      <c r="I2613" s="43" t="n">
        <f aca="false">F2613*H2613</f>
        <v>126.4086</v>
      </c>
      <c r="J2613" s="43" t="n">
        <f aca="false">G2613*H2613*1.5</f>
        <v>0</v>
      </c>
      <c r="K2613" s="6" t="n">
        <v>24.09</v>
      </c>
      <c r="L2613" s="43" t="n">
        <f aca="false">K2613*'Chart of Accounts'!$E$68</f>
        <v>16.1403</v>
      </c>
      <c r="O2613" s="42" t="n">
        <f aca="false">I2613+J2613+L2613</f>
        <v>142.5489</v>
      </c>
    </row>
    <row r="2614" customFormat="false" ht="15" hidden="false" customHeight="false" outlineLevel="0" collapsed="false">
      <c r="B2614" s="7" t="s">
        <v>11247</v>
      </c>
      <c r="C2614" s="39" t="n">
        <v>45820</v>
      </c>
      <c r="D2614" s="7" t="s">
        <v>201</v>
      </c>
      <c r="E2614" s="7" t="s">
        <v>180</v>
      </c>
      <c r="F2614" s="6" t="n">
        <v>6.35</v>
      </c>
      <c r="G2614" s="6" t="n">
        <v>0</v>
      </c>
      <c r="H2614" s="41" t="n">
        <v>15.19</v>
      </c>
      <c r="I2614" s="43" t="n">
        <f aca="false">F2614*H2614</f>
        <v>96.4565</v>
      </c>
      <c r="J2614" s="43" t="n">
        <f aca="false">G2614*H2614*1.5</f>
        <v>0</v>
      </c>
      <c r="K2614" s="6" t="n">
        <v>21.89</v>
      </c>
      <c r="L2614" s="43" t="n">
        <f aca="false">K2614*'Chart of Accounts'!$E$68</f>
        <v>14.6663</v>
      </c>
      <c r="O2614" s="42" t="n">
        <f aca="false">I2614+J2614+L2614</f>
        <v>111.1228</v>
      </c>
    </row>
    <row r="2615" customFormat="false" ht="15" hidden="false" customHeight="false" outlineLevel="0" collapsed="false">
      <c r="B2615" s="7" t="s">
        <v>11248</v>
      </c>
      <c r="C2615" s="39" t="n">
        <v>45820</v>
      </c>
      <c r="D2615" s="7" t="s">
        <v>196</v>
      </c>
      <c r="E2615" s="7" t="s">
        <v>180</v>
      </c>
      <c r="F2615" s="6" t="n">
        <v>6.43</v>
      </c>
      <c r="G2615" s="6" t="n">
        <v>0</v>
      </c>
      <c r="H2615" s="41" t="n">
        <v>15.05</v>
      </c>
      <c r="I2615" s="43" t="n">
        <f aca="false">F2615*H2615</f>
        <v>96.7715</v>
      </c>
      <c r="J2615" s="43" t="n">
        <f aca="false">G2615*H2615*1.5</f>
        <v>0</v>
      </c>
      <c r="K2615" s="6" t="n">
        <v>22.55</v>
      </c>
      <c r="L2615" s="43" t="n">
        <f aca="false">K2615*'Chart of Accounts'!$E$68</f>
        <v>15.1085</v>
      </c>
      <c r="O2615" s="42" t="n">
        <f aca="false">I2615+J2615+L2615</f>
        <v>111.88</v>
      </c>
    </row>
    <row r="2616" customFormat="false" ht="15" hidden="false" customHeight="false" outlineLevel="0" collapsed="false">
      <c r="B2616" s="7" t="s">
        <v>11249</v>
      </c>
      <c r="C2616" s="39" t="n">
        <v>45820</v>
      </c>
      <c r="D2616" s="7" t="s">
        <v>207</v>
      </c>
      <c r="E2616" s="7" t="s">
        <v>180</v>
      </c>
      <c r="F2616" s="6" t="n">
        <v>2.78</v>
      </c>
      <c r="G2616" s="6" t="n">
        <v>0</v>
      </c>
      <c r="H2616" s="41" t="n">
        <v>16.65</v>
      </c>
      <c r="I2616" s="43" t="n">
        <f aca="false">F2616*H2616</f>
        <v>46.287</v>
      </c>
      <c r="J2616" s="43" t="n">
        <f aca="false">G2616*H2616*1.5</f>
        <v>0</v>
      </c>
      <c r="K2616" s="6" t="n">
        <v>6.36</v>
      </c>
      <c r="L2616" s="43" t="n">
        <f aca="false">K2616*'Chart of Accounts'!$E$68</f>
        <v>4.2612</v>
      </c>
      <c r="O2616" s="42" t="n">
        <f aca="false">I2616+J2616+L2616</f>
        <v>50.5482</v>
      </c>
    </row>
    <row r="2617" customFormat="false" ht="15" hidden="false" customHeight="false" outlineLevel="0" collapsed="false">
      <c r="B2617" s="7" t="s">
        <v>11250</v>
      </c>
      <c r="C2617" s="39" t="n">
        <v>45820</v>
      </c>
      <c r="D2617" s="7" t="s">
        <v>218</v>
      </c>
      <c r="E2617" s="7" t="s">
        <v>180</v>
      </c>
      <c r="F2617" s="6" t="n">
        <v>4.14</v>
      </c>
      <c r="G2617" s="6" t="n">
        <v>0</v>
      </c>
      <c r="H2617" s="41" t="n">
        <v>16.19</v>
      </c>
      <c r="I2617" s="43" t="n">
        <f aca="false">F2617*H2617</f>
        <v>67.0266</v>
      </c>
      <c r="J2617" s="43" t="n">
        <f aca="false">G2617*H2617*1.5</f>
        <v>0</v>
      </c>
      <c r="K2617" s="6" t="n">
        <v>10.23</v>
      </c>
      <c r="L2617" s="43" t="n">
        <f aca="false">K2617*'Chart of Accounts'!$E$68</f>
        <v>6.8541</v>
      </c>
      <c r="O2617" s="42" t="n">
        <f aca="false">I2617+J2617+L2617</f>
        <v>73.8807</v>
      </c>
    </row>
    <row r="2618" customFormat="false" ht="15" hidden="false" customHeight="false" outlineLevel="0" collapsed="false">
      <c r="B2618" s="7" t="s">
        <v>11251</v>
      </c>
      <c r="C2618" s="39" t="n">
        <v>45820</v>
      </c>
      <c r="D2618" s="7" t="s">
        <v>212</v>
      </c>
      <c r="E2618" s="7" t="s">
        <v>180</v>
      </c>
      <c r="F2618" s="6" t="n">
        <v>6.98</v>
      </c>
      <c r="G2618" s="6" t="n">
        <v>0</v>
      </c>
      <c r="H2618" s="41" t="n">
        <v>16.71</v>
      </c>
      <c r="I2618" s="43" t="n">
        <f aca="false">F2618*H2618</f>
        <v>116.6358</v>
      </c>
      <c r="J2618" s="43" t="n">
        <f aca="false">G2618*H2618*1.5</f>
        <v>0</v>
      </c>
      <c r="K2618" s="6" t="n">
        <v>16.91</v>
      </c>
      <c r="L2618" s="43" t="n">
        <f aca="false">K2618*'Chart of Accounts'!$E$68</f>
        <v>11.3297</v>
      </c>
      <c r="O2618" s="42" t="n">
        <f aca="false">I2618+J2618+L2618</f>
        <v>127.9655</v>
      </c>
    </row>
    <row r="2619" customFormat="false" ht="15" hidden="false" customHeight="false" outlineLevel="0" collapsed="false">
      <c r="B2619" s="7" t="s">
        <v>11252</v>
      </c>
      <c r="C2619" s="39" t="n">
        <v>45820</v>
      </c>
      <c r="D2619" s="7" t="s">
        <v>220</v>
      </c>
      <c r="E2619" s="7" t="s">
        <v>180</v>
      </c>
      <c r="F2619" s="6" t="n">
        <v>3.76</v>
      </c>
      <c r="G2619" s="6" t="n">
        <v>0</v>
      </c>
      <c r="H2619" s="41" t="n">
        <v>16.43</v>
      </c>
      <c r="I2619" s="43" t="n">
        <f aca="false">F2619*H2619</f>
        <v>61.7768</v>
      </c>
      <c r="J2619" s="43" t="n">
        <f aca="false">G2619*H2619*1.5</f>
        <v>0</v>
      </c>
      <c r="K2619" s="6" t="n">
        <v>11.75</v>
      </c>
      <c r="L2619" s="43" t="n">
        <f aca="false">K2619*'Chart of Accounts'!$E$68</f>
        <v>7.8725</v>
      </c>
      <c r="O2619" s="42" t="n">
        <f aca="false">I2619+J2619+L2619</f>
        <v>69.6493</v>
      </c>
    </row>
    <row r="2620" customFormat="false" ht="15" hidden="false" customHeight="false" outlineLevel="0" collapsed="false">
      <c r="B2620" s="7" t="s">
        <v>11253</v>
      </c>
      <c r="C2620" s="39" t="n">
        <v>45820</v>
      </c>
      <c r="D2620" s="7" t="s">
        <v>224</v>
      </c>
      <c r="E2620" s="7" t="s">
        <v>180</v>
      </c>
      <c r="F2620" s="6" t="n">
        <v>4.29</v>
      </c>
      <c r="G2620" s="6" t="n">
        <v>0</v>
      </c>
      <c r="H2620" s="41" t="n">
        <v>14.93</v>
      </c>
      <c r="I2620" s="43" t="n">
        <f aca="false">F2620*H2620</f>
        <v>64.0497</v>
      </c>
      <c r="J2620" s="43" t="n">
        <f aca="false">G2620*H2620*1.5</f>
        <v>0</v>
      </c>
      <c r="K2620" s="6" t="n">
        <v>14.43</v>
      </c>
      <c r="L2620" s="43" t="n">
        <f aca="false">K2620*'Chart of Accounts'!$E$68</f>
        <v>9.6681</v>
      </c>
      <c r="O2620" s="42" t="n">
        <f aca="false">I2620+J2620+L2620</f>
        <v>73.7178</v>
      </c>
    </row>
    <row r="2621" customFormat="false" ht="15" hidden="false" customHeight="false" outlineLevel="0" collapsed="false">
      <c r="B2621" s="7" t="s">
        <v>11254</v>
      </c>
      <c r="C2621" s="39" t="n">
        <v>45820</v>
      </c>
      <c r="D2621" s="7" t="s">
        <v>232</v>
      </c>
      <c r="E2621" s="7" t="s">
        <v>180</v>
      </c>
      <c r="F2621" s="6" t="n">
        <v>2.74</v>
      </c>
      <c r="G2621" s="6" t="n">
        <v>0</v>
      </c>
      <c r="H2621" s="41" t="n">
        <v>16.17</v>
      </c>
      <c r="I2621" s="43" t="n">
        <f aca="false">F2621*H2621</f>
        <v>44.3058</v>
      </c>
      <c r="J2621" s="43" t="n">
        <f aca="false">G2621*H2621*1.5</f>
        <v>0</v>
      </c>
      <c r="K2621" s="6" t="n">
        <v>8.89</v>
      </c>
      <c r="L2621" s="43" t="n">
        <f aca="false">K2621*'Chart of Accounts'!$E$68</f>
        <v>5.9563</v>
      </c>
      <c r="O2621" s="42" t="n">
        <f aca="false">I2621+J2621+L2621</f>
        <v>50.2621</v>
      </c>
    </row>
    <row r="2622" customFormat="false" ht="15" hidden="false" customHeight="false" outlineLevel="0" collapsed="false">
      <c r="B2622" s="7" t="s">
        <v>11255</v>
      </c>
      <c r="C2622" s="39" t="n">
        <v>45820</v>
      </c>
      <c r="D2622" s="7" t="s">
        <v>222</v>
      </c>
      <c r="E2622" s="7" t="s">
        <v>180</v>
      </c>
      <c r="F2622" s="6" t="n">
        <v>10.4</v>
      </c>
      <c r="G2622" s="6" t="n">
        <v>0</v>
      </c>
      <c r="H2622" s="41" t="n">
        <v>17.84</v>
      </c>
      <c r="I2622" s="43" t="n">
        <f aca="false">F2622*H2622</f>
        <v>185.536</v>
      </c>
      <c r="J2622" s="43" t="n">
        <f aca="false">G2622*H2622*1.5</f>
        <v>0</v>
      </c>
      <c r="K2622" s="6" t="n">
        <v>23.26</v>
      </c>
      <c r="L2622" s="43" t="n">
        <f aca="false">K2622*'Chart of Accounts'!$E$68</f>
        <v>15.5842</v>
      </c>
      <c r="O2622" s="42" t="n">
        <f aca="false">I2622+J2622+L2622</f>
        <v>201.1202</v>
      </c>
    </row>
    <row r="2623" customFormat="false" ht="15" hidden="false" customHeight="false" outlineLevel="0" collapsed="false">
      <c r="B2623" s="7" t="s">
        <v>11256</v>
      </c>
      <c r="C2623" s="39" t="n">
        <v>45820</v>
      </c>
      <c r="D2623" s="7" t="s">
        <v>246</v>
      </c>
      <c r="E2623" s="7" t="s">
        <v>180</v>
      </c>
      <c r="F2623" s="6" t="n">
        <v>7.93</v>
      </c>
      <c r="G2623" s="6" t="n">
        <v>0</v>
      </c>
      <c r="H2623" s="41" t="n">
        <v>16.48</v>
      </c>
      <c r="I2623" s="43" t="n">
        <f aca="false">F2623*H2623</f>
        <v>130.6864</v>
      </c>
      <c r="J2623" s="43" t="n">
        <f aca="false">G2623*H2623*1.5</f>
        <v>0</v>
      </c>
      <c r="K2623" s="6" t="n">
        <v>18.32</v>
      </c>
      <c r="L2623" s="43" t="n">
        <f aca="false">K2623*'Chart of Accounts'!$E$68</f>
        <v>12.2744</v>
      </c>
      <c r="O2623" s="42" t="n">
        <f aca="false">I2623+J2623+L2623</f>
        <v>142.9608</v>
      </c>
    </row>
    <row r="2624" customFormat="false" ht="15" hidden="false" customHeight="false" outlineLevel="0" collapsed="false">
      <c r="B2624" s="7" t="s">
        <v>11257</v>
      </c>
      <c r="C2624" s="39" t="n">
        <v>45820</v>
      </c>
      <c r="D2624" s="7" t="s">
        <v>194</v>
      </c>
      <c r="E2624" s="7" t="s">
        <v>180</v>
      </c>
      <c r="F2624" s="6" t="n">
        <v>3.98</v>
      </c>
      <c r="G2624" s="6" t="n">
        <v>0</v>
      </c>
      <c r="H2624" s="41" t="n">
        <v>16</v>
      </c>
      <c r="I2624" s="43" t="n">
        <f aca="false">F2624*H2624</f>
        <v>63.68</v>
      </c>
      <c r="J2624" s="43" t="n">
        <f aca="false">G2624*H2624*1.5</f>
        <v>0</v>
      </c>
      <c r="K2624" s="6" t="n">
        <v>14.31</v>
      </c>
      <c r="L2624" s="43" t="n">
        <f aca="false">K2624*'Chart of Accounts'!$E$68</f>
        <v>9.5877</v>
      </c>
      <c r="O2624" s="42" t="n">
        <f aca="false">I2624+J2624+L2624</f>
        <v>73.2677</v>
      </c>
    </row>
    <row r="2625" customFormat="false" ht="15" hidden="false" customHeight="false" outlineLevel="0" collapsed="false">
      <c r="B2625" s="7" t="s">
        <v>11258</v>
      </c>
      <c r="C2625" s="39" t="n">
        <v>45820</v>
      </c>
      <c r="D2625" s="7" t="s">
        <v>214</v>
      </c>
      <c r="E2625" s="7" t="s">
        <v>180</v>
      </c>
      <c r="F2625" s="6" t="n">
        <v>4.38</v>
      </c>
      <c r="G2625" s="6" t="n">
        <v>0</v>
      </c>
      <c r="H2625" s="41" t="n">
        <v>15.67</v>
      </c>
      <c r="I2625" s="43" t="n">
        <f aca="false">F2625*H2625</f>
        <v>68.6346</v>
      </c>
      <c r="J2625" s="43" t="n">
        <f aca="false">G2625*H2625*1.5</f>
        <v>0</v>
      </c>
      <c r="K2625" s="6" t="n">
        <v>12.22</v>
      </c>
      <c r="L2625" s="43" t="n">
        <f aca="false">K2625*'Chart of Accounts'!$E$68</f>
        <v>8.1874</v>
      </c>
      <c r="O2625" s="42" t="n">
        <f aca="false">I2625+J2625+L2625</f>
        <v>76.822</v>
      </c>
    </row>
    <row r="2626" customFormat="false" ht="15" hidden="false" customHeight="false" outlineLevel="0" collapsed="false">
      <c r="B2626" s="7" t="s">
        <v>11259</v>
      </c>
      <c r="C2626" s="39" t="n">
        <v>45820</v>
      </c>
      <c r="D2626" s="7" t="s">
        <v>242</v>
      </c>
      <c r="E2626" s="7" t="s">
        <v>180</v>
      </c>
      <c r="F2626" s="6" t="n">
        <v>4.22</v>
      </c>
      <c r="G2626" s="6" t="n">
        <v>0</v>
      </c>
      <c r="H2626" s="41" t="n">
        <v>17.99</v>
      </c>
      <c r="I2626" s="43" t="n">
        <f aca="false">F2626*H2626</f>
        <v>75.9178</v>
      </c>
      <c r="J2626" s="43" t="n">
        <f aca="false">G2626*H2626*1.5</f>
        <v>0</v>
      </c>
      <c r="K2626" s="6" t="n">
        <v>12.69</v>
      </c>
      <c r="L2626" s="43" t="n">
        <f aca="false">K2626*'Chart of Accounts'!$E$68</f>
        <v>8.5023</v>
      </c>
      <c r="O2626" s="42" t="n">
        <f aca="false">I2626+J2626+L2626</f>
        <v>84.4201</v>
      </c>
    </row>
    <row r="2627" customFormat="false" ht="15" hidden="false" customHeight="false" outlineLevel="0" collapsed="false">
      <c r="B2627" s="7" t="s">
        <v>11260</v>
      </c>
      <c r="C2627" s="39" t="n">
        <v>45820</v>
      </c>
      <c r="D2627" s="7" t="s">
        <v>254</v>
      </c>
      <c r="E2627" s="7" t="s">
        <v>180</v>
      </c>
      <c r="F2627" s="6" t="n">
        <v>3.99</v>
      </c>
      <c r="G2627" s="6" t="n">
        <v>0</v>
      </c>
      <c r="H2627" s="41" t="n">
        <v>17.1</v>
      </c>
      <c r="I2627" s="43" t="n">
        <f aca="false">F2627*H2627</f>
        <v>68.229</v>
      </c>
      <c r="J2627" s="43" t="n">
        <f aca="false">G2627*H2627*1.5</f>
        <v>0</v>
      </c>
      <c r="K2627" s="6" t="n">
        <v>9.07</v>
      </c>
      <c r="L2627" s="43" t="n">
        <f aca="false">K2627*'Chart of Accounts'!$E$68</f>
        <v>6.0769</v>
      </c>
      <c r="O2627" s="42" t="n">
        <f aca="false">I2627+J2627+L2627</f>
        <v>74.3059</v>
      </c>
    </row>
    <row r="2628" customFormat="false" ht="15" hidden="false" customHeight="false" outlineLevel="0" collapsed="false">
      <c r="B2628" s="7" t="s">
        <v>11261</v>
      </c>
      <c r="C2628" s="39" t="n">
        <v>45821</v>
      </c>
      <c r="D2628" s="7" t="s">
        <v>187</v>
      </c>
      <c r="E2628" s="7" t="s">
        <v>158</v>
      </c>
      <c r="H2628" s="41" t="n">
        <v>66.48</v>
      </c>
      <c r="M2628" s="6" t="n">
        <v>1</v>
      </c>
      <c r="N2628" s="43" t="n">
        <f aca="false">M2628*H2628</f>
        <v>66.48</v>
      </c>
      <c r="O2628" s="42" t="n">
        <f aca="false">N2628</f>
        <v>66.48</v>
      </c>
    </row>
    <row r="2629" customFormat="false" ht="15" hidden="false" customHeight="false" outlineLevel="0" collapsed="false">
      <c r="B2629" s="7" t="s">
        <v>11262</v>
      </c>
      <c r="C2629" s="39" t="n">
        <v>45821</v>
      </c>
      <c r="D2629" s="7" t="s">
        <v>220</v>
      </c>
      <c r="E2629" s="7" t="s">
        <v>180</v>
      </c>
      <c r="F2629" s="6" t="n">
        <v>8.26</v>
      </c>
      <c r="G2629" s="6" t="n">
        <v>0</v>
      </c>
      <c r="H2629" s="41" t="n">
        <v>16.43</v>
      </c>
      <c r="I2629" s="43" t="n">
        <f aca="false">F2629*H2629</f>
        <v>135.7118</v>
      </c>
      <c r="J2629" s="43" t="n">
        <f aca="false">G2629*H2629*1.5</f>
        <v>0</v>
      </c>
      <c r="K2629" s="6" t="n">
        <v>21.54</v>
      </c>
      <c r="L2629" s="43" t="n">
        <f aca="false">K2629*'Chart of Accounts'!$E$68</f>
        <v>14.4318</v>
      </c>
      <c r="O2629" s="42" t="n">
        <f aca="false">I2629+J2629+L2629</f>
        <v>150.1436</v>
      </c>
    </row>
    <row r="2630" customFormat="false" ht="15" hidden="false" customHeight="false" outlineLevel="0" collapsed="false">
      <c r="B2630" s="7" t="s">
        <v>11263</v>
      </c>
      <c r="C2630" s="39" t="n">
        <v>45821</v>
      </c>
      <c r="D2630" s="7" t="s">
        <v>194</v>
      </c>
      <c r="E2630" s="7" t="s">
        <v>180</v>
      </c>
      <c r="F2630" s="6" t="n">
        <v>8.2</v>
      </c>
      <c r="G2630" s="6" t="n">
        <v>0</v>
      </c>
      <c r="H2630" s="41" t="n">
        <v>16</v>
      </c>
      <c r="I2630" s="43" t="n">
        <f aca="false">F2630*H2630</f>
        <v>131.2</v>
      </c>
      <c r="J2630" s="43" t="n">
        <f aca="false">G2630*H2630*1.5</f>
        <v>0</v>
      </c>
      <c r="K2630" s="6" t="n">
        <v>22.82</v>
      </c>
      <c r="L2630" s="43" t="n">
        <f aca="false">K2630*'Chart of Accounts'!$E$68</f>
        <v>15.2894</v>
      </c>
      <c r="O2630" s="42" t="n">
        <f aca="false">I2630+J2630+L2630</f>
        <v>146.4894</v>
      </c>
    </row>
    <row r="2631" customFormat="false" ht="15" hidden="false" customHeight="false" outlineLevel="0" collapsed="false">
      <c r="B2631" s="7" t="s">
        <v>11264</v>
      </c>
      <c r="C2631" s="39" t="n">
        <v>45821</v>
      </c>
      <c r="D2631" s="7" t="s">
        <v>209</v>
      </c>
      <c r="E2631" s="7" t="s">
        <v>158</v>
      </c>
      <c r="H2631" s="41" t="n">
        <v>73.58</v>
      </c>
      <c r="M2631" s="6" t="n">
        <v>2</v>
      </c>
      <c r="N2631" s="43" t="n">
        <f aca="false">M2631*H2631</f>
        <v>147.16</v>
      </c>
      <c r="O2631" s="42" t="n">
        <f aca="false">N2631</f>
        <v>147.16</v>
      </c>
    </row>
    <row r="2632" customFormat="false" ht="15" hidden="false" customHeight="false" outlineLevel="0" collapsed="false">
      <c r="B2632" s="7" t="s">
        <v>11265</v>
      </c>
      <c r="C2632" s="39" t="n">
        <v>45821</v>
      </c>
      <c r="D2632" s="7" t="s">
        <v>205</v>
      </c>
      <c r="E2632" s="7" t="s">
        <v>180</v>
      </c>
      <c r="F2632" s="6" t="n">
        <v>4.18</v>
      </c>
      <c r="G2632" s="6" t="n">
        <v>0</v>
      </c>
      <c r="H2632" s="41" t="n">
        <v>16.36</v>
      </c>
      <c r="I2632" s="43" t="n">
        <f aca="false">F2632*H2632</f>
        <v>68.3848</v>
      </c>
      <c r="J2632" s="43" t="n">
        <f aca="false">G2632*H2632*1.5</f>
        <v>0</v>
      </c>
      <c r="K2632" s="6" t="n">
        <v>11.65</v>
      </c>
      <c r="L2632" s="43" t="n">
        <f aca="false">K2632*'Chart of Accounts'!$E$68</f>
        <v>7.8055</v>
      </c>
      <c r="O2632" s="42" t="n">
        <f aca="false">I2632+J2632+L2632</f>
        <v>76.1903</v>
      </c>
    </row>
    <row r="2633" customFormat="false" ht="15" hidden="false" customHeight="false" outlineLevel="0" collapsed="false">
      <c r="B2633" s="7" t="s">
        <v>11266</v>
      </c>
      <c r="C2633" s="39" t="n">
        <v>45821</v>
      </c>
      <c r="D2633" s="7" t="s">
        <v>264</v>
      </c>
      <c r="E2633" s="7" t="s">
        <v>158</v>
      </c>
      <c r="H2633" s="41" t="n">
        <v>55.55</v>
      </c>
      <c r="M2633" s="6" t="n">
        <v>1</v>
      </c>
      <c r="N2633" s="43" t="n">
        <f aca="false">M2633*H2633</f>
        <v>55.55</v>
      </c>
      <c r="O2633" s="42" t="n">
        <f aca="false">N2633</f>
        <v>55.55</v>
      </c>
    </row>
    <row r="2634" customFormat="false" ht="15" hidden="false" customHeight="false" outlineLevel="0" collapsed="false">
      <c r="B2634" s="7" t="s">
        <v>11267</v>
      </c>
      <c r="C2634" s="39" t="n">
        <v>45821</v>
      </c>
      <c r="D2634" s="7" t="s">
        <v>252</v>
      </c>
      <c r="E2634" s="7" t="s">
        <v>158</v>
      </c>
      <c r="H2634" s="41" t="n">
        <v>57.54</v>
      </c>
      <c r="M2634" s="6" t="n">
        <v>1</v>
      </c>
      <c r="N2634" s="43" t="n">
        <f aca="false">M2634*H2634</f>
        <v>57.54</v>
      </c>
      <c r="O2634" s="42" t="n">
        <f aca="false">N2634</f>
        <v>57.54</v>
      </c>
    </row>
    <row r="2635" customFormat="false" ht="15" hidden="false" customHeight="false" outlineLevel="0" collapsed="false">
      <c r="B2635" s="7" t="s">
        <v>11268</v>
      </c>
      <c r="C2635" s="39" t="n">
        <v>45821</v>
      </c>
      <c r="D2635" s="7" t="s">
        <v>184</v>
      </c>
      <c r="E2635" s="7" t="s">
        <v>180</v>
      </c>
      <c r="F2635" s="6" t="n">
        <v>4.36</v>
      </c>
      <c r="G2635" s="6" t="n">
        <v>0</v>
      </c>
      <c r="H2635" s="41" t="n">
        <v>17.34</v>
      </c>
      <c r="I2635" s="43" t="n">
        <f aca="false">F2635*H2635</f>
        <v>75.6024</v>
      </c>
      <c r="J2635" s="43" t="n">
        <f aca="false">G2635*H2635*1.5</f>
        <v>0</v>
      </c>
      <c r="K2635" s="6" t="n">
        <v>12.66</v>
      </c>
      <c r="L2635" s="43" t="n">
        <f aca="false">K2635*'Chart of Accounts'!$E$68</f>
        <v>8.4822</v>
      </c>
      <c r="O2635" s="42" t="n">
        <f aca="false">I2635+J2635+L2635</f>
        <v>84.0846</v>
      </c>
    </row>
    <row r="2636" customFormat="false" ht="15" hidden="false" customHeight="false" outlineLevel="0" collapsed="false">
      <c r="B2636" s="7" t="s">
        <v>11269</v>
      </c>
      <c r="C2636" s="39" t="n">
        <v>45821</v>
      </c>
      <c r="D2636" s="7" t="s">
        <v>218</v>
      </c>
      <c r="E2636" s="7" t="s">
        <v>180</v>
      </c>
      <c r="F2636" s="6" t="n">
        <v>3.62</v>
      </c>
      <c r="G2636" s="6" t="n">
        <v>0</v>
      </c>
      <c r="H2636" s="41" t="n">
        <v>16.19</v>
      </c>
      <c r="I2636" s="43" t="n">
        <f aca="false">F2636*H2636</f>
        <v>58.6078</v>
      </c>
      <c r="J2636" s="43" t="n">
        <f aca="false">G2636*H2636*1.5</f>
        <v>0</v>
      </c>
      <c r="K2636" s="6" t="n">
        <v>9.61</v>
      </c>
      <c r="L2636" s="43" t="n">
        <f aca="false">K2636*'Chart of Accounts'!$E$68</f>
        <v>6.4387</v>
      </c>
      <c r="O2636" s="42" t="n">
        <f aca="false">I2636+J2636+L2636</f>
        <v>65.0465</v>
      </c>
    </row>
    <row r="2637" customFormat="false" ht="15" hidden="false" customHeight="false" outlineLevel="0" collapsed="false">
      <c r="B2637" s="7" t="s">
        <v>11270</v>
      </c>
      <c r="C2637" s="39" t="n">
        <v>45821</v>
      </c>
      <c r="D2637" s="7" t="s">
        <v>266</v>
      </c>
      <c r="E2637" s="7" t="s">
        <v>158</v>
      </c>
      <c r="H2637" s="41" t="n">
        <v>75.18</v>
      </c>
      <c r="M2637" s="6" t="n">
        <v>1</v>
      </c>
      <c r="N2637" s="43" t="n">
        <f aca="false">M2637*H2637</f>
        <v>75.18</v>
      </c>
      <c r="O2637" s="42" t="n">
        <f aca="false">N2637</f>
        <v>75.18</v>
      </c>
    </row>
    <row r="2638" customFormat="false" ht="15" hidden="false" customHeight="false" outlineLevel="0" collapsed="false">
      <c r="B2638" s="7" t="s">
        <v>11271</v>
      </c>
      <c r="C2638" s="39" t="n">
        <v>45821</v>
      </c>
      <c r="D2638" s="7" t="s">
        <v>228</v>
      </c>
      <c r="E2638" s="7" t="s">
        <v>158</v>
      </c>
      <c r="H2638" s="41" t="n">
        <v>51.07</v>
      </c>
      <c r="M2638" s="6" t="n">
        <v>1</v>
      </c>
      <c r="N2638" s="43" t="n">
        <f aca="false">M2638*H2638</f>
        <v>51.07</v>
      </c>
      <c r="O2638" s="42" t="n">
        <f aca="false">N2638</f>
        <v>51.07</v>
      </c>
    </row>
    <row r="2639" customFormat="false" ht="15" hidden="false" customHeight="false" outlineLevel="0" collapsed="false">
      <c r="B2639" s="7" t="s">
        <v>11272</v>
      </c>
      <c r="C2639" s="39" t="n">
        <v>45821</v>
      </c>
      <c r="D2639" s="7" t="s">
        <v>177</v>
      </c>
      <c r="E2639" s="7" t="s">
        <v>180</v>
      </c>
      <c r="F2639" s="6" t="n">
        <v>8.47</v>
      </c>
      <c r="G2639" s="6" t="n">
        <v>0</v>
      </c>
      <c r="H2639" s="41" t="n">
        <v>14.56</v>
      </c>
      <c r="I2639" s="43" t="n">
        <f aca="false">F2639*H2639</f>
        <v>123.3232</v>
      </c>
      <c r="J2639" s="43" t="n">
        <f aca="false">G2639*H2639*1.5</f>
        <v>0</v>
      </c>
      <c r="K2639" s="6" t="n">
        <v>27.42</v>
      </c>
      <c r="L2639" s="43" t="n">
        <f aca="false">K2639*'Chart of Accounts'!$E$68</f>
        <v>18.3714</v>
      </c>
      <c r="O2639" s="42" t="n">
        <f aca="false">I2639+J2639+L2639</f>
        <v>141.6946</v>
      </c>
    </row>
    <row r="2640" customFormat="false" ht="15" hidden="false" customHeight="false" outlineLevel="0" collapsed="false">
      <c r="B2640" s="7" t="s">
        <v>11273</v>
      </c>
      <c r="C2640" s="39" t="n">
        <v>45821</v>
      </c>
      <c r="D2640" s="7" t="s">
        <v>242</v>
      </c>
      <c r="E2640" s="7" t="s">
        <v>180</v>
      </c>
      <c r="F2640" s="6" t="n">
        <v>3.11</v>
      </c>
      <c r="G2640" s="6" t="n">
        <v>0</v>
      </c>
      <c r="H2640" s="41" t="n">
        <v>17.99</v>
      </c>
      <c r="I2640" s="43" t="n">
        <f aca="false">F2640*H2640</f>
        <v>55.9489</v>
      </c>
      <c r="J2640" s="43" t="n">
        <f aca="false">G2640*H2640*1.5</f>
        <v>0</v>
      </c>
      <c r="K2640" s="6" t="n">
        <v>8.02</v>
      </c>
      <c r="L2640" s="43" t="n">
        <f aca="false">K2640*'Chart of Accounts'!$E$68</f>
        <v>5.3734</v>
      </c>
      <c r="O2640" s="42" t="n">
        <f aca="false">I2640+J2640+L2640</f>
        <v>61.3223</v>
      </c>
    </row>
    <row r="2641" customFormat="false" ht="15" hidden="false" customHeight="false" outlineLevel="0" collapsed="false">
      <c r="B2641" s="7" t="s">
        <v>11274</v>
      </c>
      <c r="C2641" s="39" t="n">
        <v>45821</v>
      </c>
      <c r="D2641" s="7" t="s">
        <v>254</v>
      </c>
      <c r="E2641" s="7" t="s">
        <v>180</v>
      </c>
      <c r="F2641" s="6" t="n">
        <v>7.74</v>
      </c>
      <c r="G2641" s="6" t="n">
        <v>0</v>
      </c>
      <c r="H2641" s="41" t="n">
        <v>17.1</v>
      </c>
      <c r="I2641" s="43" t="n">
        <f aca="false">F2641*H2641</f>
        <v>132.354</v>
      </c>
      <c r="J2641" s="43" t="n">
        <f aca="false">G2641*H2641*1.5</f>
        <v>0</v>
      </c>
      <c r="K2641" s="6" t="n">
        <v>21.45</v>
      </c>
      <c r="L2641" s="43" t="n">
        <f aca="false">K2641*'Chart of Accounts'!$E$68</f>
        <v>14.3715</v>
      </c>
      <c r="O2641" s="42" t="n">
        <f aca="false">I2641+J2641+L2641</f>
        <v>146.7255</v>
      </c>
    </row>
    <row r="2642" customFormat="false" ht="15" hidden="false" customHeight="false" outlineLevel="0" collapsed="false">
      <c r="B2642" s="7" t="s">
        <v>11275</v>
      </c>
      <c r="C2642" s="39" t="n">
        <v>45821</v>
      </c>
      <c r="D2642" s="7" t="s">
        <v>201</v>
      </c>
      <c r="E2642" s="7" t="s">
        <v>180</v>
      </c>
      <c r="F2642" s="6" t="n">
        <v>3.56</v>
      </c>
      <c r="G2642" s="6" t="n">
        <v>0</v>
      </c>
      <c r="H2642" s="41" t="n">
        <v>15.19</v>
      </c>
      <c r="I2642" s="43" t="n">
        <f aca="false">F2642*H2642</f>
        <v>54.0764</v>
      </c>
      <c r="J2642" s="43" t="n">
        <f aca="false">G2642*H2642*1.5</f>
        <v>0</v>
      </c>
      <c r="K2642" s="6" t="n">
        <v>12.04</v>
      </c>
      <c r="L2642" s="43" t="n">
        <f aca="false">K2642*'Chart of Accounts'!$E$68</f>
        <v>8.0668</v>
      </c>
      <c r="O2642" s="42" t="n">
        <f aca="false">I2642+J2642+L2642</f>
        <v>62.1432</v>
      </c>
    </row>
    <row r="2643" customFormat="false" ht="15" hidden="false" customHeight="false" outlineLevel="0" collapsed="false">
      <c r="B2643" s="7" t="s">
        <v>11276</v>
      </c>
      <c r="C2643" s="39" t="n">
        <v>45821</v>
      </c>
      <c r="D2643" s="7" t="s">
        <v>207</v>
      </c>
      <c r="E2643" s="7" t="s">
        <v>180</v>
      </c>
      <c r="F2643" s="6" t="n">
        <v>3.33</v>
      </c>
      <c r="G2643" s="6" t="n">
        <v>0</v>
      </c>
      <c r="H2643" s="41" t="n">
        <v>16.65</v>
      </c>
      <c r="I2643" s="43" t="n">
        <f aca="false">F2643*H2643</f>
        <v>55.4445</v>
      </c>
      <c r="J2643" s="43" t="n">
        <f aca="false">G2643*H2643*1.5</f>
        <v>0</v>
      </c>
      <c r="K2643" s="6" t="n">
        <v>9.27</v>
      </c>
      <c r="L2643" s="43" t="n">
        <f aca="false">K2643*'Chart of Accounts'!$E$68</f>
        <v>6.2109</v>
      </c>
      <c r="O2643" s="42" t="n">
        <f aca="false">I2643+J2643+L2643</f>
        <v>61.6554</v>
      </c>
    </row>
    <row r="2644" customFormat="false" ht="15" hidden="false" customHeight="false" outlineLevel="0" collapsed="false">
      <c r="B2644" s="7" t="s">
        <v>11277</v>
      </c>
      <c r="C2644" s="39" t="n">
        <v>45821</v>
      </c>
      <c r="D2644" s="7" t="s">
        <v>232</v>
      </c>
      <c r="E2644" s="7" t="s">
        <v>180</v>
      </c>
      <c r="F2644" s="6" t="n">
        <v>7.7</v>
      </c>
      <c r="G2644" s="6" t="n">
        <v>0</v>
      </c>
      <c r="H2644" s="41" t="n">
        <v>16.17</v>
      </c>
      <c r="I2644" s="43" t="n">
        <f aca="false">F2644*H2644</f>
        <v>124.509</v>
      </c>
      <c r="J2644" s="43" t="n">
        <f aca="false">G2644*H2644*1.5</f>
        <v>0</v>
      </c>
      <c r="K2644" s="6" t="n">
        <v>24.41</v>
      </c>
      <c r="L2644" s="43" t="n">
        <f aca="false">K2644*'Chart of Accounts'!$E$68</f>
        <v>16.3547</v>
      </c>
      <c r="O2644" s="42" t="n">
        <f aca="false">I2644+J2644+L2644</f>
        <v>140.8637</v>
      </c>
    </row>
    <row r="2645" customFormat="false" ht="15" hidden="false" customHeight="false" outlineLevel="0" collapsed="false">
      <c r="B2645" s="7" t="s">
        <v>11278</v>
      </c>
      <c r="C2645" s="39" t="n">
        <v>45821</v>
      </c>
      <c r="D2645" s="7" t="s">
        <v>224</v>
      </c>
      <c r="E2645" s="7" t="s">
        <v>180</v>
      </c>
      <c r="F2645" s="6" t="n">
        <v>4.28</v>
      </c>
      <c r="G2645" s="6" t="n">
        <v>0</v>
      </c>
      <c r="H2645" s="41" t="n">
        <v>14.93</v>
      </c>
      <c r="I2645" s="43" t="n">
        <f aca="false">F2645*H2645</f>
        <v>63.9004</v>
      </c>
      <c r="J2645" s="43" t="n">
        <f aca="false">G2645*H2645*1.5</f>
        <v>0</v>
      </c>
      <c r="K2645" s="6" t="n">
        <v>9.53</v>
      </c>
      <c r="L2645" s="43" t="n">
        <f aca="false">K2645*'Chart of Accounts'!$E$68</f>
        <v>6.3851</v>
      </c>
      <c r="O2645" s="42" t="n">
        <f aca="false">I2645+J2645+L2645</f>
        <v>70.2855</v>
      </c>
    </row>
    <row r="2646" customFormat="false" ht="15" hidden="false" customHeight="false" outlineLevel="0" collapsed="false">
      <c r="B2646" s="7" t="s">
        <v>11279</v>
      </c>
      <c r="C2646" s="39" t="n">
        <v>45821</v>
      </c>
      <c r="D2646" s="7" t="s">
        <v>234</v>
      </c>
      <c r="E2646" s="7" t="s">
        <v>158</v>
      </c>
      <c r="H2646" s="41" t="n">
        <v>89.53</v>
      </c>
      <c r="M2646" s="6" t="n">
        <v>1</v>
      </c>
      <c r="N2646" s="43" t="n">
        <f aca="false">M2646*H2646</f>
        <v>89.53</v>
      </c>
      <c r="O2646" s="42" t="n">
        <f aca="false">N2646</f>
        <v>89.53</v>
      </c>
    </row>
    <row r="2647" customFormat="false" ht="15" hidden="false" customHeight="false" outlineLevel="0" collapsed="false">
      <c r="B2647" s="7" t="s">
        <v>11280</v>
      </c>
      <c r="C2647" s="39" t="n">
        <v>45821</v>
      </c>
      <c r="D2647" s="7" t="s">
        <v>238</v>
      </c>
      <c r="E2647" s="7" t="s">
        <v>180</v>
      </c>
      <c r="F2647" s="6" t="n">
        <v>4.26</v>
      </c>
      <c r="G2647" s="6" t="n">
        <v>0</v>
      </c>
      <c r="H2647" s="41" t="n">
        <v>15.85</v>
      </c>
      <c r="I2647" s="43" t="n">
        <f aca="false">F2647*H2647</f>
        <v>67.521</v>
      </c>
      <c r="J2647" s="43" t="n">
        <f aca="false">G2647*H2647*1.5</f>
        <v>0</v>
      </c>
      <c r="K2647" s="6" t="n">
        <v>11.92</v>
      </c>
      <c r="L2647" s="43" t="n">
        <f aca="false">K2647*'Chart of Accounts'!$E$68</f>
        <v>7.9864</v>
      </c>
      <c r="O2647" s="42" t="n">
        <f aca="false">I2647+J2647+L2647</f>
        <v>75.5074</v>
      </c>
    </row>
    <row r="2648" customFormat="false" ht="15" hidden="false" customHeight="false" outlineLevel="0" collapsed="false">
      <c r="B2648" s="7" t="s">
        <v>11281</v>
      </c>
      <c r="C2648" s="39" t="n">
        <v>45821</v>
      </c>
      <c r="D2648" s="7" t="s">
        <v>246</v>
      </c>
      <c r="E2648" s="7" t="s">
        <v>180</v>
      </c>
      <c r="F2648" s="6" t="n">
        <v>4.19</v>
      </c>
      <c r="G2648" s="6" t="n">
        <v>0</v>
      </c>
      <c r="H2648" s="41" t="n">
        <v>16.48</v>
      </c>
      <c r="I2648" s="43" t="n">
        <f aca="false">F2648*H2648</f>
        <v>69.0512</v>
      </c>
      <c r="J2648" s="43" t="n">
        <f aca="false">G2648*H2648*1.5</f>
        <v>0</v>
      </c>
      <c r="K2648" s="6" t="n">
        <v>14.09</v>
      </c>
      <c r="L2648" s="43" t="n">
        <f aca="false">K2648*'Chart of Accounts'!$E$68</f>
        <v>9.4403</v>
      </c>
      <c r="O2648" s="42" t="n">
        <f aca="false">I2648+J2648+L2648</f>
        <v>78.4915</v>
      </c>
    </row>
    <row r="2649" customFormat="false" ht="15" hidden="false" customHeight="false" outlineLevel="0" collapsed="false">
      <c r="B2649" s="7" t="s">
        <v>11282</v>
      </c>
      <c r="C2649" s="39" t="n">
        <v>45821</v>
      </c>
      <c r="D2649" s="7" t="s">
        <v>222</v>
      </c>
      <c r="E2649" s="7" t="s">
        <v>180</v>
      </c>
      <c r="F2649" s="6" t="n">
        <v>4.08</v>
      </c>
      <c r="G2649" s="6" t="n">
        <v>0</v>
      </c>
      <c r="H2649" s="41" t="n">
        <v>17.84</v>
      </c>
      <c r="I2649" s="43" t="n">
        <f aca="false">F2649*H2649</f>
        <v>72.7872</v>
      </c>
      <c r="J2649" s="43" t="n">
        <f aca="false">G2649*H2649*1.5</f>
        <v>0</v>
      </c>
      <c r="K2649" s="6" t="n">
        <v>10.49</v>
      </c>
      <c r="L2649" s="43" t="n">
        <f aca="false">K2649*'Chart of Accounts'!$E$68</f>
        <v>7.0283</v>
      </c>
      <c r="O2649" s="42" t="n">
        <f aca="false">I2649+J2649+L2649</f>
        <v>79.8155</v>
      </c>
    </row>
    <row r="2650" customFormat="false" ht="15" hidden="false" customHeight="false" outlineLevel="0" collapsed="false">
      <c r="B2650" s="7" t="s">
        <v>11283</v>
      </c>
      <c r="C2650" s="39" t="n">
        <v>45821</v>
      </c>
      <c r="D2650" s="7" t="s">
        <v>203</v>
      </c>
      <c r="E2650" s="7" t="s">
        <v>158</v>
      </c>
      <c r="H2650" s="41" t="n">
        <v>49.43</v>
      </c>
      <c r="M2650" s="6" t="n">
        <v>1</v>
      </c>
      <c r="N2650" s="43" t="n">
        <f aca="false">M2650*H2650</f>
        <v>49.43</v>
      </c>
      <c r="O2650" s="42" t="n">
        <f aca="false">N2650</f>
        <v>49.43</v>
      </c>
    </row>
    <row r="2651" customFormat="false" ht="15" hidden="false" customHeight="false" outlineLevel="0" collapsed="false">
      <c r="B2651" s="7" t="s">
        <v>11284</v>
      </c>
      <c r="C2651" s="39" t="n">
        <v>45821</v>
      </c>
      <c r="D2651" s="7" t="s">
        <v>260</v>
      </c>
      <c r="E2651" s="7" t="s">
        <v>158</v>
      </c>
      <c r="H2651" s="41" t="n">
        <v>79.8</v>
      </c>
      <c r="M2651" s="6" t="n">
        <v>1</v>
      </c>
      <c r="N2651" s="43" t="n">
        <f aca="false">M2651*H2651</f>
        <v>79.8</v>
      </c>
      <c r="O2651" s="42" t="n">
        <f aca="false">N2651</f>
        <v>79.8</v>
      </c>
    </row>
    <row r="2652" customFormat="false" ht="15" hidden="false" customHeight="false" outlineLevel="0" collapsed="false">
      <c r="B2652" s="7" t="s">
        <v>11285</v>
      </c>
      <c r="C2652" s="39" t="n">
        <v>45821</v>
      </c>
      <c r="D2652" s="7" t="s">
        <v>214</v>
      </c>
      <c r="E2652" s="7" t="s">
        <v>180</v>
      </c>
      <c r="F2652" s="6" t="n">
        <v>3.01</v>
      </c>
      <c r="G2652" s="6" t="n">
        <v>0</v>
      </c>
      <c r="H2652" s="41" t="n">
        <v>15.67</v>
      </c>
      <c r="I2652" s="43" t="n">
        <f aca="false">F2652*H2652</f>
        <v>47.1667</v>
      </c>
      <c r="J2652" s="43" t="n">
        <f aca="false">G2652*H2652*1.5</f>
        <v>0</v>
      </c>
      <c r="K2652" s="6" t="n">
        <v>7.28</v>
      </c>
      <c r="L2652" s="43" t="n">
        <f aca="false">K2652*'Chart of Accounts'!$E$68</f>
        <v>4.8776</v>
      </c>
      <c r="O2652" s="42" t="n">
        <f aca="false">I2652+J2652+L2652</f>
        <v>52.0443</v>
      </c>
    </row>
    <row r="2653" customFormat="false" ht="15" hidden="false" customHeight="false" outlineLevel="0" collapsed="false">
      <c r="B2653" s="7" t="s">
        <v>11286</v>
      </c>
      <c r="C2653" s="39" t="n">
        <v>45822</v>
      </c>
      <c r="D2653" s="7" t="s">
        <v>224</v>
      </c>
      <c r="E2653" s="7" t="s">
        <v>180</v>
      </c>
      <c r="F2653" s="6" t="n">
        <v>3.78</v>
      </c>
      <c r="G2653" s="6" t="n">
        <v>0</v>
      </c>
      <c r="H2653" s="41" t="n">
        <v>14.93</v>
      </c>
      <c r="I2653" s="43" t="n">
        <f aca="false">F2653*H2653</f>
        <v>56.4354</v>
      </c>
      <c r="J2653" s="43" t="n">
        <f aca="false">G2653*H2653*1.5</f>
        <v>0</v>
      </c>
      <c r="K2653" s="6" t="n">
        <v>11.64</v>
      </c>
      <c r="L2653" s="43" t="n">
        <f aca="false">K2653*'Chart of Accounts'!$E$68</f>
        <v>7.7988</v>
      </c>
      <c r="O2653" s="42" t="n">
        <f aca="false">I2653+J2653+L2653</f>
        <v>64.2342</v>
      </c>
    </row>
    <row r="2654" customFormat="false" ht="15" hidden="false" customHeight="false" outlineLevel="0" collapsed="false">
      <c r="B2654" s="7" t="s">
        <v>11287</v>
      </c>
      <c r="C2654" s="39" t="n">
        <v>45822</v>
      </c>
      <c r="D2654" s="7" t="s">
        <v>218</v>
      </c>
      <c r="E2654" s="7" t="s">
        <v>180</v>
      </c>
      <c r="F2654" s="6" t="n">
        <v>3.96</v>
      </c>
      <c r="G2654" s="6" t="n">
        <v>0</v>
      </c>
      <c r="H2654" s="41" t="n">
        <v>16.19</v>
      </c>
      <c r="I2654" s="43" t="n">
        <f aca="false">F2654*H2654</f>
        <v>64.1124</v>
      </c>
      <c r="J2654" s="43" t="n">
        <f aca="false">G2654*H2654*1.5</f>
        <v>0</v>
      </c>
      <c r="K2654" s="6" t="n">
        <v>13.79</v>
      </c>
      <c r="L2654" s="43" t="n">
        <f aca="false">K2654*'Chart of Accounts'!$E$68</f>
        <v>9.2393</v>
      </c>
      <c r="O2654" s="42" t="n">
        <f aca="false">I2654+J2654+L2654</f>
        <v>73.3517</v>
      </c>
    </row>
    <row r="2655" customFormat="false" ht="15" hidden="false" customHeight="false" outlineLevel="0" collapsed="false">
      <c r="B2655" s="7" t="s">
        <v>11288</v>
      </c>
      <c r="C2655" s="39" t="n">
        <v>45822</v>
      </c>
      <c r="D2655" s="7" t="s">
        <v>212</v>
      </c>
      <c r="E2655" s="7" t="s">
        <v>180</v>
      </c>
      <c r="F2655" s="6" t="n">
        <v>3.85</v>
      </c>
      <c r="G2655" s="6" t="n">
        <v>0</v>
      </c>
      <c r="H2655" s="41" t="n">
        <v>16.71</v>
      </c>
      <c r="I2655" s="43" t="n">
        <f aca="false">F2655*H2655</f>
        <v>64.3335</v>
      </c>
      <c r="J2655" s="43" t="n">
        <f aca="false">G2655*H2655*1.5</f>
        <v>0</v>
      </c>
      <c r="K2655" s="6" t="n">
        <v>13.86</v>
      </c>
      <c r="L2655" s="43" t="n">
        <f aca="false">K2655*'Chart of Accounts'!$E$68</f>
        <v>9.2862</v>
      </c>
      <c r="O2655" s="42" t="n">
        <f aca="false">I2655+J2655+L2655</f>
        <v>73.6197</v>
      </c>
    </row>
    <row r="2656" customFormat="false" ht="15" hidden="false" customHeight="false" outlineLevel="0" collapsed="false">
      <c r="B2656" s="7" t="s">
        <v>11289</v>
      </c>
      <c r="C2656" s="39" t="n">
        <v>45822</v>
      </c>
      <c r="D2656" s="7" t="s">
        <v>222</v>
      </c>
      <c r="E2656" s="7" t="s">
        <v>180</v>
      </c>
      <c r="F2656" s="6" t="n">
        <v>3.67</v>
      </c>
      <c r="G2656" s="6" t="n">
        <v>0</v>
      </c>
      <c r="H2656" s="41" t="n">
        <v>17.84</v>
      </c>
      <c r="I2656" s="43" t="n">
        <f aca="false">F2656*H2656</f>
        <v>65.4728</v>
      </c>
      <c r="J2656" s="43" t="n">
        <f aca="false">G2656*H2656*1.5</f>
        <v>0</v>
      </c>
      <c r="K2656" s="6" t="n">
        <v>8.98</v>
      </c>
      <c r="L2656" s="43" t="n">
        <f aca="false">K2656*'Chart of Accounts'!$E$68</f>
        <v>6.0166</v>
      </c>
      <c r="O2656" s="42" t="n">
        <f aca="false">I2656+J2656+L2656</f>
        <v>71.4894</v>
      </c>
    </row>
    <row r="2657" customFormat="false" ht="15" hidden="false" customHeight="false" outlineLevel="0" collapsed="false">
      <c r="B2657" s="7" t="s">
        <v>11290</v>
      </c>
      <c r="C2657" s="39" t="n">
        <v>45822</v>
      </c>
      <c r="D2657" s="7" t="s">
        <v>242</v>
      </c>
      <c r="E2657" s="7" t="s">
        <v>180</v>
      </c>
      <c r="F2657" s="6" t="n">
        <v>4.35</v>
      </c>
      <c r="G2657" s="6" t="n">
        <v>0</v>
      </c>
      <c r="H2657" s="41" t="n">
        <v>17.99</v>
      </c>
      <c r="I2657" s="43" t="n">
        <f aca="false">F2657*H2657</f>
        <v>78.2565</v>
      </c>
      <c r="J2657" s="43" t="n">
        <f aca="false">G2657*H2657*1.5</f>
        <v>0</v>
      </c>
      <c r="K2657" s="6" t="n">
        <v>12.38</v>
      </c>
      <c r="L2657" s="43" t="n">
        <f aca="false">K2657*'Chart of Accounts'!$E$68</f>
        <v>8.2946</v>
      </c>
      <c r="O2657" s="42" t="n">
        <f aca="false">I2657+J2657+L2657</f>
        <v>86.5511</v>
      </c>
    </row>
    <row r="2658" customFormat="false" ht="15" hidden="false" customHeight="false" outlineLevel="0" collapsed="false">
      <c r="B2658" s="7" t="s">
        <v>11291</v>
      </c>
      <c r="C2658" s="39" t="n">
        <v>45822</v>
      </c>
      <c r="D2658" s="7" t="s">
        <v>254</v>
      </c>
      <c r="E2658" s="7" t="s">
        <v>180</v>
      </c>
      <c r="F2658" s="6" t="n">
        <v>3.92</v>
      </c>
      <c r="G2658" s="6" t="n">
        <v>0</v>
      </c>
      <c r="H2658" s="41" t="n">
        <v>17.1</v>
      </c>
      <c r="I2658" s="43" t="n">
        <f aca="false">F2658*H2658</f>
        <v>67.032</v>
      </c>
      <c r="J2658" s="43" t="n">
        <f aca="false">G2658*H2658*1.5</f>
        <v>0</v>
      </c>
      <c r="K2658" s="6" t="n">
        <v>11.11</v>
      </c>
      <c r="L2658" s="43" t="n">
        <f aca="false">K2658*'Chart of Accounts'!$E$68</f>
        <v>7.4437</v>
      </c>
      <c r="O2658" s="42" t="n">
        <f aca="false">I2658+J2658+L2658</f>
        <v>74.4757</v>
      </c>
    </row>
    <row r="2659" customFormat="false" ht="15" hidden="false" customHeight="false" outlineLevel="0" collapsed="false">
      <c r="B2659" s="7" t="s">
        <v>11292</v>
      </c>
      <c r="C2659" s="39" t="n">
        <v>45823</v>
      </c>
      <c r="D2659" s="7" t="s">
        <v>184</v>
      </c>
      <c r="E2659" s="7" t="s">
        <v>180</v>
      </c>
      <c r="F2659" s="6" t="n">
        <v>4.27</v>
      </c>
      <c r="G2659" s="6" t="n">
        <v>0</v>
      </c>
      <c r="H2659" s="41" t="n">
        <v>17.34</v>
      </c>
      <c r="I2659" s="43" t="n">
        <f aca="false">F2659*H2659</f>
        <v>74.0418</v>
      </c>
      <c r="J2659" s="43" t="n">
        <f aca="false">G2659*H2659*1.5</f>
        <v>0</v>
      </c>
      <c r="K2659" s="6" t="n">
        <v>12.18</v>
      </c>
      <c r="L2659" s="43" t="n">
        <f aca="false">K2659*'Chart of Accounts'!$E$68</f>
        <v>8.1606</v>
      </c>
      <c r="O2659" s="42" t="n">
        <f aca="false">I2659+J2659+L2659</f>
        <v>82.2024</v>
      </c>
    </row>
    <row r="2660" customFormat="false" ht="15" hidden="false" customHeight="false" outlineLevel="0" collapsed="false">
      <c r="B2660" s="7" t="s">
        <v>11293</v>
      </c>
      <c r="C2660" s="39" t="n">
        <v>45823</v>
      </c>
      <c r="D2660" s="7" t="s">
        <v>218</v>
      </c>
      <c r="E2660" s="7" t="s">
        <v>180</v>
      </c>
      <c r="F2660" s="6" t="n">
        <v>3.8</v>
      </c>
      <c r="G2660" s="6" t="n">
        <v>0</v>
      </c>
      <c r="H2660" s="41" t="n">
        <v>16.19</v>
      </c>
      <c r="I2660" s="43" t="n">
        <f aca="false">F2660*H2660</f>
        <v>61.522</v>
      </c>
      <c r="J2660" s="43" t="n">
        <f aca="false">G2660*H2660*1.5</f>
        <v>0</v>
      </c>
      <c r="K2660" s="6" t="n">
        <v>9.69</v>
      </c>
      <c r="L2660" s="43" t="n">
        <f aca="false">K2660*'Chart of Accounts'!$E$68</f>
        <v>6.4923</v>
      </c>
      <c r="O2660" s="42" t="n">
        <f aca="false">I2660+J2660+L2660</f>
        <v>68.0143</v>
      </c>
    </row>
    <row r="2661" customFormat="false" ht="15" hidden="false" customHeight="false" outlineLevel="0" collapsed="false">
      <c r="B2661" s="7" t="s">
        <v>11294</v>
      </c>
      <c r="C2661" s="39" t="n">
        <v>45823</v>
      </c>
      <c r="D2661" s="7" t="s">
        <v>212</v>
      </c>
      <c r="E2661" s="7" t="s">
        <v>180</v>
      </c>
      <c r="F2661" s="6" t="n">
        <v>3.72</v>
      </c>
      <c r="G2661" s="6" t="n">
        <v>0</v>
      </c>
      <c r="H2661" s="41" t="n">
        <v>16.71</v>
      </c>
      <c r="I2661" s="43" t="n">
        <f aca="false">F2661*H2661</f>
        <v>62.1612</v>
      </c>
      <c r="J2661" s="43" t="n">
        <f aca="false">G2661*H2661*1.5</f>
        <v>0</v>
      </c>
      <c r="K2661" s="6" t="n">
        <v>10.76</v>
      </c>
      <c r="L2661" s="43" t="n">
        <f aca="false">K2661*'Chart of Accounts'!$E$68</f>
        <v>7.2092</v>
      </c>
      <c r="O2661" s="42" t="n">
        <f aca="false">I2661+J2661+L2661</f>
        <v>69.3704</v>
      </c>
    </row>
    <row r="2662" customFormat="false" ht="15" hidden="false" customHeight="false" outlineLevel="0" collapsed="false">
      <c r="B2662" s="7" t="s">
        <v>11295</v>
      </c>
      <c r="C2662" s="39" t="n">
        <v>45823</v>
      </c>
      <c r="D2662" s="7" t="s">
        <v>242</v>
      </c>
      <c r="E2662" s="7" t="s">
        <v>180</v>
      </c>
      <c r="F2662" s="6" t="n">
        <v>3.77</v>
      </c>
      <c r="G2662" s="6" t="n">
        <v>0</v>
      </c>
      <c r="H2662" s="41" t="n">
        <v>17.99</v>
      </c>
      <c r="I2662" s="43" t="n">
        <f aca="false">F2662*H2662</f>
        <v>67.8223</v>
      </c>
      <c r="J2662" s="43" t="n">
        <f aca="false">G2662*H2662*1.5</f>
        <v>0</v>
      </c>
      <c r="K2662" s="6" t="n">
        <v>13.08</v>
      </c>
      <c r="L2662" s="43" t="n">
        <f aca="false">K2662*'Chart of Accounts'!$E$68</f>
        <v>8.7636</v>
      </c>
      <c r="O2662" s="42" t="n">
        <f aca="false">I2662+J2662+L2662</f>
        <v>76.5859</v>
      </c>
    </row>
    <row r="2663" customFormat="false" ht="15" hidden="false" customHeight="false" outlineLevel="0" collapsed="false">
      <c r="B2663" s="7" t="s">
        <v>11296</v>
      </c>
      <c r="C2663" s="39" t="n">
        <v>45823</v>
      </c>
      <c r="D2663" s="7" t="s">
        <v>254</v>
      </c>
      <c r="E2663" s="7" t="s">
        <v>180</v>
      </c>
      <c r="F2663" s="6" t="n">
        <v>4</v>
      </c>
      <c r="G2663" s="6" t="n">
        <v>0</v>
      </c>
      <c r="H2663" s="41" t="n">
        <v>17.1</v>
      </c>
      <c r="I2663" s="43" t="n">
        <f aca="false">F2663*H2663</f>
        <v>68.4</v>
      </c>
      <c r="J2663" s="43" t="n">
        <f aca="false">G2663*H2663*1.5</f>
        <v>0</v>
      </c>
      <c r="K2663" s="6" t="n">
        <v>10.26</v>
      </c>
      <c r="L2663" s="43" t="n">
        <f aca="false">K2663*'Chart of Accounts'!$E$68</f>
        <v>6.8742</v>
      </c>
      <c r="O2663" s="42" t="n">
        <f aca="false">I2663+J2663+L2663</f>
        <v>75.2742</v>
      </c>
    </row>
    <row r="2664" customFormat="false" ht="15" hidden="false" customHeight="false" outlineLevel="0" collapsed="false">
      <c r="B2664" s="7" t="s">
        <v>11297</v>
      </c>
      <c r="C2664" s="39" t="n">
        <v>45824</v>
      </c>
      <c r="D2664" s="7" t="s">
        <v>187</v>
      </c>
      <c r="E2664" s="7" t="s">
        <v>158</v>
      </c>
      <c r="H2664" s="41" t="n">
        <v>66.48</v>
      </c>
      <c r="M2664" s="6" t="n">
        <v>1</v>
      </c>
      <c r="N2664" s="43" t="n">
        <f aca="false">M2664*H2664</f>
        <v>66.48</v>
      </c>
      <c r="O2664" s="42" t="n">
        <f aca="false">N2664</f>
        <v>66.48</v>
      </c>
    </row>
    <row r="2665" customFormat="false" ht="15" hidden="false" customHeight="false" outlineLevel="0" collapsed="false">
      <c r="B2665" s="7" t="s">
        <v>11298</v>
      </c>
      <c r="C2665" s="39" t="n">
        <v>45824</v>
      </c>
      <c r="D2665" s="7" t="s">
        <v>196</v>
      </c>
      <c r="E2665" s="7" t="s">
        <v>180</v>
      </c>
      <c r="F2665" s="6" t="n">
        <v>10.06</v>
      </c>
      <c r="G2665" s="6" t="n">
        <v>0</v>
      </c>
      <c r="H2665" s="41" t="n">
        <v>15.05</v>
      </c>
      <c r="I2665" s="43" t="n">
        <f aca="false">F2665*H2665</f>
        <v>151.403</v>
      </c>
      <c r="J2665" s="43" t="n">
        <f aca="false">G2665*H2665*1.5</f>
        <v>0</v>
      </c>
      <c r="K2665" s="6" t="n">
        <v>28.35</v>
      </c>
      <c r="L2665" s="43" t="n">
        <f aca="false">K2665*'Chart of Accounts'!$E$68</f>
        <v>18.9945</v>
      </c>
      <c r="O2665" s="42" t="n">
        <f aca="false">I2665+J2665+L2665</f>
        <v>170.3975</v>
      </c>
    </row>
    <row r="2666" customFormat="false" ht="15" hidden="false" customHeight="false" outlineLevel="0" collapsed="false">
      <c r="B2666" s="7" t="s">
        <v>11299</v>
      </c>
      <c r="C2666" s="39" t="n">
        <v>45824</v>
      </c>
      <c r="D2666" s="7" t="s">
        <v>194</v>
      </c>
      <c r="E2666" s="7" t="s">
        <v>180</v>
      </c>
      <c r="F2666" s="6" t="n">
        <v>8.45</v>
      </c>
      <c r="G2666" s="6" t="n">
        <v>0</v>
      </c>
      <c r="H2666" s="41" t="n">
        <v>16</v>
      </c>
      <c r="I2666" s="43" t="n">
        <f aca="false">F2666*H2666</f>
        <v>135.2</v>
      </c>
      <c r="J2666" s="43" t="n">
        <f aca="false">G2666*H2666*1.5</f>
        <v>0</v>
      </c>
      <c r="K2666" s="6" t="n">
        <v>28.18</v>
      </c>
      <c r="L2666" s="43" t="n">
        <f aca="false">K2666*'Chart of Accounts'!$E$68</f>
        <v>18.8806</v>
      </c>
      <c r="O2666" s="42" t="n">
        <f aca="false">I2666+J2666+L2666</f>
        <v>154.0806</v>
      </c>
    </row>
    <row r="2667" customFormat="false" ht="15" hidden="false" customHeight="false" outlineLevel="0" collapsed="false">
      <c r="B2667" s="7" t="s">
        <v>11300</v>
      </c>
      <c r="C2667" s="39" t="n">
        <v>45824</v>
      </c>
      <c r="D2667" s="7" t="s">
        <v>201</v>
      </c>
      <c r="E2667" s="7" t="s">
        <v>180</v>
      </c>
      <c r="F2667" s="6" t="n">
        <v>8.93</v>
      </c>
      <c r="G2667" s="6" t="n">
        <v>0</v>
      </c>
      <c r="H2667" s="41" t="n">
        <v>15.19</v>
      </c>
      <c r="I2667" s="43" t="n">
        <f aca="false">F2667*H2667</f>
        <v>135.6467</v>
      </c>
      <c r="J2667" s="43" t="n">
        <f aca="false">G2667*H2667*1.5</f>
        <v>0</v>
      </c>
      <c r="K2667" s="6" t="n">
        <v>28.39</v>
      </c>
      <c r="L2667" s="43" t="n">
        <f aca="false">K2667*'Chart of Accounts'!$E$68</f>
        <v>19.0213</v>
      </c>
      <c r="O2667" s="42" t="n">
        <f aca="false">I2667+J2667+L2667</f>
        <v>154.668</v>
      </c>
    </row>
    <row r="2668" customFormat="false" ht="15" hidden="false" customHeight="false" outlineLevel="0" collapsed="false">
      <c r="B2668" s="7" t="s">
        <v>11301</v>
      </c>
      <c r="C2668" s="39" t="n">
        <v>45824</v>
      </c>
      <c r="D2668" s="7" t="s">
        <v>205</v>
      </c>
      <c r="E2668" s="7" t="s">
        <v>180</v>
      </c>
      <c r="F2668" s="6" t="n">
        <v>4.3</v>
      </c>
      <c r="G2668" s="6" t="n">
        <v>0</v>
      </c>
      <c r="H2668" s="41" t="n">
        <v>16.36</v>
      </c>
      <c r="I2668" s="43" t="n">
        <f aca="false">F2668*H2668</f>
        <v>70.348</v>
      </c>
      <c r="J2668" s="43" t="n">
        <f aca="false">G2668*H2668*1.5</f>
        <v>0</v>
      </c>
      <c r="K2668" s="6" t="n">
        <v>11.1</v>
      </c>
      <c r="L2668" s="43" t="n">
        <f aca="false">K2668*'Chart of Accounts'!$E$68</f>
        <v>7.437</v>
      </c>
      <c r="O2668" s="42" t="n">
        <f aca="false">I2668+J2668+L2668</f>
        <v>77.785</v>
      </c>
    </row>
    <row r="2669" customFormat="false" ht="15" hidden="false" customHeight="false" outlineLevel="0" collapsed="false">
      <c r="B2669" s="7" t="s">
        <v>11302</v>
      </c>
      <c r="C2669" s="39" t="n">
        <v>45824</v>
      </c>
      <c r="D2669" s="7" t="s">
        <v>264</v>
      </c>
      <c r="E2669" s="7" t="s">
        <v>158</v>
      </c>
      <c r="H2669" s="41" t="n">
        <v>55.55</v>
      </c>
      <c r="M2669" s="6" t="n">
        <v>1</v>
      </c>
      <c r="N2669" s="43" t="n">
        <f aca="false">M2669*H2669</f>
        <v>55.55</v>
      </c>
      <c r="O2669" s="42" t="n">
        <f aca="false">N2669</f>
        <v>55.55</v>
      </c>
    </row>
    <row r="2670" customFormat="false" ht="15" hidden="false" customHeight="false" outlineLevel="0" collapsed="false">
      <c r="B2670" s="7" t="s">
        <v>11303</v>
      </c>
      <c r="C2670" s="39" t="n">
        <v>45824</v>
      </c>
      <c r="D2670" s="7" t="s">
        <v>252</v>
      </c>
      <c r="E2670" s="7" t="s">
        <v>158</v>
      </c>
      <c r="H2670" s="41" t="n">
        <v>57.54</v>
      </c>
      <c r="M2670" s="6" t="n">
        <v>1</v>
      </c>
      <c r="N2670" s="43" t="n">
        <f aca="false">M2670*H2670</f>
        <v>57.54</v>
      </c>
      <c r="O2670" s="42" t="n">
        <f aca="false">N2670</f>
        <v>57.54</v>
      </c>
    </row>
    <row r="2671" customFormat="false" ht="15" hidden="false" customHeight="false" outlineLevel="0" collapsed="false">
      <c r="B2671" s="7" t="s">
        <v>11304</v>
      </c>
      <c r="C2671" s="39" t="n">
        <v>45824</v>
      </c>
      <c r="D2671" s="7" t="s">
        <v>184</v>
      </c>
      <c r="E2671" s="7" t="s">
        <v>180</v>
      </c>
      <c r="F2671" s="6" t="n">
        <v>4.18</v>
      </c>
      <c r="G2671" s="6" t="n">
        <v>0</v>
      </c>
      <c r="H2671" s="41" t="n">
        <v>17.34</v>
      </c>
      <c r="I2671" s="43" t="n">
        <f aca="false">F2671*H2671</f>
        <v>72.4812</v>
      </c>
      <c r="J2671" s="43" t="n">
        <f aca="false">G2671*H2671*1.5</f>
        <v>0</v>
      </c>
      <c r="K2671" s="6" t="n">
        <v>11.06</v>
      </c>
      <c r="L2671" s="43" t="n">
        <f aca="false">K2671*'Chart of Accounts'!$E$68</f>
        <v>7.4102</v>
      </c>
      <c r="O2671" s="42" t="n">
        <f aca="false">I2671+J2671+L2671</f>
        <v>79.8914</v>
      </c>
    </row>
    <row r="2672" customFormat="false" ht="15" hidden="false" customHeight="false" outlineLevel="0" collapsed="false">
      <c r="B2672" s="7" t="s">
        <v>11305</v>
      </c>
      <c r="C2672" s="39" t="n">
        <v>45824</v>
      </c>
      <c r="D2672" s="7" t="s">
        <v>207</v>
      </c>
      <c r="E2672" s="7" t="s">
        <v>180</v>
      </c>
      <c r="F2672" s="6" t="n">
        <v>6.28</v>
      </c>
      <c r="G2672" s="6" t="n">
        <v>0</v>
      </c>
      <c r="H2672" s="41" t="n">
        <v>16.65</v>
      </c>
      <c r="I2672" s="43" t="n">
        <f aca="false">F2672*H2672</f>
        <v>104.562</v>
      </c>
      <c r="J2672" s="43" t="n">
        <f aca="false">G2672*H2672*1.5</f>
        <v>0</v>
      </c>
      <c r="K2672" s="6" t="n">
        <v>17.93</v>
      </c>
      <c r="L2672" s="43" t="n">
        <f aca="false">K2672*'Chart of Accounts'!$E$68</f>
        <v>12.0131</v>
      </c>
      <c r="O2672" s="42" t="n">
        <f aca="false">I2672+J2672+L2672</f>
        <v>116.5751</v>
      </c>
    </row>
    <row r="2673" customFormat="false" ht="15" hidden="false" customHeight="false" outlineLevel="0" collapsed="false">
      <c r="B2673" s="7" t="s">
        <v>11306</v>
      </c>
      <c r="C2673" s="39" t="n">
        <v>45824</v>
      </c>
      <c r="D2673" s="7" t="s">
        <v>218</v>
      </c>
      <c r="E2673" s="7" t="s">
        <v>180</v>
      </c>
      <c r="F2673" s="6" t="n">
        <v>3.73</v>
      </c>
      <c r="G2673" s="6" t="n">
        <v>0</v>
      </c>
      <c r="H2673" s="41" t="n">
        <v>16.19</v>
      </c>
      <c r="I2673" s="43" t="n">
        <f aca="false">F2673*H2673</f>
        <v>60.3887</v>
      </c>
      <c r="J2673" s="43" t="n">
        <f aca="false">G2673*H2673*1.5</f>
        <v>0</v>
      </c>
      <c r="K2673" s="6" t="n">
        <v>12.26</v>
      </c>
      <c r="L2673" s="43" t="n">
        <f aca="false">K2673*'Chart of Accounts'!$E$68</f>
        <v>8.2142</v>
      </c>
      <c r="O2673" s="42" t="n">
        <f aca="false">I2673+J2673+L2673</f>
        <v>68.6029</v>
      </c>
    </row>
    <row r="2674" customFormat="false" ht="15" hidden="false" customHeight="false" outlineLevel="0" collapsed="false">
      <c r="B2674" s="7" t="s">
        <v>11307</v>
      </c>
      <c r="C2674" s="39" t="n">
        <v>45824</v>
      </c>
      <c r="D2674" s="7" t="s">
        <v>212</v>
      </c>
      <c r="E2674" s="7" t="s">
        <v>180</v>
      </c>
      <c r="F2674" s="6" t="n">
        <v>7.1</v>
      </c>
      <c r="G2674" s="6" t="n">
        <v>0</v>
      </c>
      <c r="H2674" s="41" t="n">
        <v>16.71</v>
      </c>
      <c r="I2674" s="43" t="n">
        <f aca="false">F2674*H2674</f>
        <v>118.641</v>
      </c>
      <c r="J2674" s="43" t="n">
        <f aca="false">G2674*H2674*1.5</f>
        <v>0</v>
      </c>
      <c r="K2674" s="6" t="n">
        <v>16.15</v>
      </c>
      <c r="L2674" s="43" t="n">
        <f aca="false">K2674*'Chart of Accounts'!$E$68</f>
        <v>10.8205</v>
      </c>
      <c r="O2674" s="42" t="n">
        <f aca="false">I2674+J2674+L2674</f>
        <v>129.4615</v>
      </c>
    </row>
    <row r="2675" customFormat="false" ht="15" hidden="false" customHeight="false" outlineLevel="0" collapsed="false">
      <c r="B2675" s="7" t="s">
        <v>11308</v>
      </c>
      <c r="C2675" s="39" t="n">
        <v>45824</v>
      </c>
      <c r="D2675" s="7" t="s">
        <v>220</v>
      </c>
      <c r="E2675" s="7" t="s">
        <v>180</v>
      </c>
      <c r="F2675" s="6" t="n">
        <v>7.37</v>
      </c>
      <c r="G2675" s="6" t="n">
        <v>0</v>
      </c>
      <c r="H2675" s="41" t="n">
        <v>16.43</v>
      </c>
      <c r="I2675" s="43" t="n">
        <f aca="false">F2675*H2675</f>
        <v>121.0891</v>
      </c>
      <c r="J2675" s="43" t="n">
        <f aca="false">G2675*H2675*1.5</f>
        <v>0</v>
      </c>
      <c r="K2675" s="6" t="n">
        <v>20.69</v>
      </c>
      <c r="L2675" s="43" t="n">
        <f aca="false">K2675*'Chart of Accounts'!$E$68</f>
        <v>13.8623</v>
      </c>
      <c r="O2675" s="42" t="n">
        <f aca="false">I2675+J2675+L2675</f>
        <v>134.9514</v>
      </c>
    </row>
    <row r="2676" customFormat="false" ht="15" hidden="false" customHeight="false" outlineLevel="0" collapsed="false">
      <c r="B2676" s="7" t="s">
        <v>11309</v>
      </c>
      <c r="C2676" s="39" t="n">
        <v>45824</v>
      </c>
      <c r="D2676" s="7" t="s">
        <v>224</v>
      </c>
      <c r="E2676" s="7" t="s">
        <v>180</v>
      </c>
      <c r="F2676" s="6" t="n">
        <v>8.87</v>
      </c>
      <c r="G2676" s="6" t="n">
        <v>0</v>
      </c>
      <c r="H2676" s="41" t="n">
        <v>14.93</v>
      </c>
      <c r="I2676" s="43" t="n">
        <f aca="false">F2676*H2676</f>
        <v>132.4291</v>
      </c>
      <c r="J2676" s="43" t="n">
        <f aca="false">G2676*H2676*1.5</f>
        <v>0</v>
      </c>
      <c r="K2676" s="6" t="n">
        <v>21.28</v>
      </c>
      <c r="L2676" s="43" t="n">
        <f aca="false">K2676*'Chart of Accounts'!$E$68</f>
        <v>14.2576</v>
      </c>
      <c r="O2676" s="42" t="n">
        <f aca="false">I2676+J2676+L2676</f>
        <v>146.6867</v>
      </c>
    </row>
    <row r="2677" customFormat="false" ht="15" hidden="false" customHeight="false" outlineLevel="0" collapsed="false">
      <c r="B2677" s="7" t="s">
        <v>11310</v>
      </c>
      <c r="C2677" s="39" t="n">
        <v>45824</v>
      </c>
      <c r="D2677" s="7" t="s">
        <v>177</v>
      </c>
      <c r="E2677" s="7" t="s">
        <v>180</v>
      </c>
      <c r="F2677" s="6" t="n">
        <v>9.32</v>
      </c>
      <c r="G2677" s="6" t="n">
        <v>0</v>
      </c>
      <c r="H2677" s="41" t="n">
        <v>14.56</v>
      </c>
      <c r="I2677" s="43" t="n">
        <f aca="false">F2677*H2677</f>
        <v>135.6992</v>
      </c>
      <c r="J2677" s="43" t="n">
        <f aca="false">G2677*H2677*1.5</f>
        <v>0</v>
      </c>
      <c r="K2677" s="6" t="n">
        <v>28.53</v>
      </c>
      <c r="L2677" s="43" t="n">
        <f aca="false">K2677*'Chart of Accounts'!$E$68</f>
        <v>19.1151</v>
      </c>
      <c r="O2677" s="42" t="n">
        <f aca="false">I2677+J2677+L2677</f>
        <v>154.8143</v>
      </c>
    </row>
    <row r="2678" customFormat="false" ht="15" hidden="false" customHeight="false" outlineLevel="0" collapsed="false">
      <c r="B2678" s="7" t="s">
        <v>11311</v>
      </c>
      <c r="C2678" s="39" t="n">
        <v>45824</v>
      </c>
      <c r="D2678" s="7" t="s">
        <v>232</v>
      </c>
      <c r="E2678" s="7" t="s">
        <v>180</v>
      </c>
      <c r="F2678" s="6" t="n">
        <v>7.28</v>
      </c>
      <c r="G2678" s="6" t="n">
        <v>0</v>
      </c>
      <c r="H2678" s="41" t="n">
        <v>16.17</v>
      </c>
      <c r="I2678" s="43" t="n">
        <f aca="false">F2678*H2678</f>
        <v>117.7176</v>
      </c>
      <c r="J2678" s="43" t="n">
        <f aca="false">G2678*H2678*1.5</f>
        <v>0</v>
      </c>
      <c r="K2678" s="6" t="n">
        <v>21.11</v>
      </c>
      <c r="L2678" s="43" t="n">
        <f aca="false">K2678*'Chart of Accounts'!$E$68</f>
        <v>14.1437</v>
      </c>
      <c r="O2678" s="42" t="n">
        <f aca="false">I2678+J2678+L2678</f>
        <v>131.8613</v>
      </c>
    </row>
    <row r="2679" customFormat="false" ht="15" hidden="false" customHeight="false" outlineLevel="0" collapsed="false">
      <c r="B2679" s="7" t="s">
        <v>11312</v>
      </c>
      <c r="C2679" s="39" t="n">
        <v>45824</v>
      </c>
      <c r="D2679" s="7" t="s">
        <v>242</v>
      </c>
      <c r="E2679" s="7" t="s">
        <v>180</v>
      </c>
      <c r="F2679" s="6" t="n">
        <v>7.63</v>
      </c>
      <c r="G2679" s="6" t="n">
        <v>0</v>
      </c>
      <c r="H2679" s="41" t="n">
        <v>17.99</v>
      </c>
      <c r="I2679" s="43" t="n">
        <f aca="false">F2679*H2679</f>
        <v>137.2637</v>
      </c>
      <c r="J2679" s="43" t="n">
        <f aca="false">G2679*H2679*1.5</f>
        <v>0</v>
      </c>
      <c r="K2679" s="6" t="n">
        <v>21.63</v>
      </c>
      <c r="L2679" s="43" t="n">
        <f aca="false">K2679*'Chart of Accounts'!$E$68</f>
        <v>14.4921</v>
      </c>
      <c r="O2679" s="42" t="n">
        <f aca="false">I2679+J2679+L2679</f>
        <v>151.7558</v>
      </c>
    </row>
    <row r="2680" customFormat="false" ht="15" hidden="false" customHeight="false" outlineLevel="0" collapsed="false">
      <c r="B2680" s="7" t="s">
        <v>11313</v>
      </c>
      <c r="C2680" s="39" t="n">
        <v>45824</v>
      </c>
      <c r="D2680" s="7" t="s">
        <v>222</v>
      </c>
      <c r="E2680" s="7" t="s">
        <v>180</v>
      </c>
      <c r="F2680" s="6" t="n">
        <v>6.85</v>
      </c>
      <c r="G2680" s="6" t="n">
        <v>0</v>
      </c>
      <c r="H2680" s="41" t="n">
        <v>17.84</v>
      </c>
      <c r="I2680" s="43" t="n">
        <f aca="false">F2680*H2680</f>
        <v>122.204</v>
      </c>
      <c r="J2680" s="43" t="n">
        <f aca="false">G2680*H2680*1.5</f>
        <v>0</v>
      </c>
      <c r="K2680" s="6" t="n">
        <v>23.91</v>
      </c>
      <c r="L2680" s="43" t="n">
        <f aca="false">K2680*'Chart of Accounts'!$E$68</f>
        <v>16.0197</v>
      </c>
      <c r="O2680" s="42" t="n">
        <f aca="false">I2680+J2680+L2680</f>
        <v>138.2237</v>
      </c>
    </row>
    <row r="2681" customFormat="false" ht="15" hidden="false" customHeight="false" outlineLevel="0" collapsed="false">
      <c r="B2681" s="7" t="s">
        <v>11314</v>
      </c>
      <c r="C2681" s="39" t="n">
        <v>45824</v>
      </c>
      <c r="D2681" s="7" t="s">
        <v>238</v>
      </c>
      <c r="E2681" s="7" t="s">
        <v>180</v>
      </c>
      <c r="F2681" s="6" t="n">
        <v>7.7</v>
      </c>
      <c r="G2681" s="6" t="n">
        <v>0</v>
      </c>
      <c r="H2681" s="41" t="n">
        <v>15.85</v>
      </c>
      <c r="I2681" s="43" t="n">
        <f aca="false">F2681*H2681</f>
        <v>122.045</v>
      </c>
      <c r="J2681" s="43" t="n">
        <f aca="false">G2681*H2681*1.5</f>
        <v>0</v>
      </c>
      <c r="K2681" s="6" t="n">
        <v>22.82</v>
      </c>
      <c r="L2681" s="43" t="n">
        <f aca="false">K2681*'Chart of Accounts'!$E$68</f>
        <v>15.2894</v>
      </c>
      <c r="O2681" s="42" t="n">
        <f aca="false">I2681+J2681+L2681</f>
        <v>137.3344</v>
      </c>
    </row>
    <row r="2682" customFormat="false" ht="15" hidden="false" customHeight="false" outlineLevel="0" collapsed="false">
      <c r="B2682" s="7" t="s">
        <v>11315</v>
      </c>
      <c r="C2682" s="39" t="n">
        <v>45824</v>
      </c>
      <c r="D2682" s="7" t="s">
        <v>246</v>
      </c>
      <c r="E2682" s="7" t="s">
        <v>180</v>
      </c>
      <c r="F2682" s="6" t="n">
        <v>7.8</v>
      </c>
      <c r="G2682" s="6" t="n">
        <v>0</v>
      </c>
      <c r="H2682" s="41" t="n">
        <v>16.48</v>
      </c>
      <c r="I2682" s="43" t="n">
        <f aca="false">F2682*H2682</f>
        <v>128.544</v>
      </c>
      <c r="J2682" s="43" t="n">
        <f aca="false">G2682*H2682*1.5</f>
        <v>0</v>
      </c>
      <c r="K2682" s="6" t="n">
        <v>18.85</v>
      </c>
      <c r="L2682" s="43" t="n">
        <f aca="false">K2682*'Chart of Accounts'!$E$68</f>
        <v>12.6295</v>
      </c>
      <c r="O2682" s="42" t="n">
        <f aca="false">I2682+J2682+L2682</f>
        <v>141.1735</v>
      </c>
    </row>
    <row r="2683" customFormat="false" ht="15" hidden="false" customHeight="false" outlineLevel="0" collapsed="false">
      <c r="B2683" s="7" t="s">
        <v>11316</v>
      </c>
      <c r="C2683" s="39" t="n">
        <v>45824</v>
      </c>
      <c r="D2683" s="7" t="s">
        <v>214</v>
      </c>
      <c r="E2683" s="7" t="s">
        <v>180</v>
      </c>
      <c r="F2683" s="6" t="n">
        <v>7.59</v>
      </c>
      <c r="G2683" s="6" t="n">
        <v>0</v>
      </c>
      <c r="H2683" s="41" t="n">
        <v>15.67</v>
      </c>
      <c r="I2683" s="43" t="n">
        <f aca="false">F2683*H2683</f>
        <v>118.9353</v>
      </c>
      <c r="J2683" s="43" t="n">
        <f aca="false">G2683*H2683*1.5</f>
        <v>0</v>
      </c>
      <c r="K2683" s="6" t="n">
        <v>22.25</v>
      </c>
      <c r="L2683" s="43" t="n">
        <f aca="false">K2683*'Chart of Accounts'!$E$68</f>
        <v>14.9075</v>
      </c>
      <c r="O2683" s="42" t="n">
        <f aca="false">I2683+J2683+L2683</f>
        <v>133.8428</v>
      </c>
    </row>
    <row r="2684" customFormat="false" ht="15" hidden="false" customHeight="false" outlineLevel="0" collapsed="false">
      <c r="B2684" s="7" t="s">
        <v>11317</v>
      </c>
      <c r="C2684" s="39" t="n">
        <v>45824</v>
      </c>
      <c r="D2684" s="7" t="s">
        <v>254</v>
      </c>
      <c r="E2684" s="7" t="s">
        <v>180</v>
      </c>
      <c r="F2684" s="6" t="n">
        <v>4.21</v>
      </c>
      <c r="G2684" s="6" t="n">
        <v>0</v>
      </c>
      <c r="H2684" s="41" t="n">
        <v>17.1</v>
      </c>
      <c r="I2684" s="43" t="n">
        <f aca="false">F2684*H2684</f>
        <v>71.991</v>
      </c>
      <c r="J2684" s="43" t="n">
        <f aca="false">G2684*H2684*1.5</f>
        <v>0</v>
      </c>
      <c r="K2684" s="6" t="n">
        <v>13.95</v>
      </c>
      <c r="L2684" s="43" t="n">
        <f aca="false">K2684*'Chart of Accounts'!$E$68</f>
        <v>9.3465</v>
      </c>
      <c r="O2684" s="42" t="n">
        <f aca="false">I2684+J2684+L2684</f>
        <v>81.3375</v>
      </c>
    </row>
    <row r="2685" customFormat="false" ht="15" hidden="false" customHeight="false" outlineLevel="0" collapsed="false">
      <c r="B2685" s="7" t="s">
        <v>11318</v>
      </c>
      <c r="C2685" s="39" t="n">
        <v>45825</v>
      </c>
      <c r="D2685" s="7" t="s">
        <v>205</v>
      </c>
      <c r="E2685" s="7" t="s">
        <v>180</v>
      </c>
      <c r="F2685" s="6" t="n">
        <v>4.08</v>
      </c>
      <c r="G2685" s="6" t="n">
        <v>0</v>
      </c>
      <c r="H2685" s="41" t="n">
        <v>16.36</v>
      </c>
      <c r="I2685" s="43" t="n">
        <f aca="false">F2685*H2685</f>
        <v>66.7488</v>
      </c>
      <c r="J2685" s="43" t="n">
        <f aca="false">G2685*H2685*1.5</f>
        <v>0</v>
      </c>
      <c r="K2685" s="6" t="n">
        <v>9.75</v>
      </c>
      <c r="L2685" s="43" t="n">
        <f aca="false">K2685*'Chart of Accounts'!$E$68</f>
        <v>6.5325</v>
      </c>
      <c r="O2685" s="42" t="n">
        <f aca="false">I2685+J2685+L2685</f>
        <v>73.2813</v>
      </c>
    </row>
    <row r="2686" customFormat="false" ht="15" hidden="false" customHeight="false" outlineLevel="0" collapsed="false">
      <c r="B2686" s="7" t="s">
        <v>11319</v>
      </c>
      <c r="C2686" s="39" t="n">
        <v>45825</v>
      </c>
      <c r="D2686" s="7" t="s">
        <v>209</v>
      </c>
      <c r="E2686" s="7" t="s">
        <v>158</v>
      </c>
      <c r="H2686" s="41" t="n">
        <v>73.58</v>
      </c>
      <c r="M2686" s="6" t="n">
        <v>2</v>
      </c>
      <c r="N2686" s="43" t="n">
        <f aca="false">M2686*H2686</f>
        <v>147.16</v>
      </c>
      <c r="O2686" s="42" t="n">
        <f aca="false">N2686</f>
        <v>147.16</v>
      </c>
    </row>
    <row r="2687" customFormat="false" ht="15" hidden="false" customHeight="false" outlineLevel="0" collapsed="false">
      <c r="B2687" s="7" t="s">
        <v>11320</v>
      </c>
      <c r="C2687" s="39" t="n">
        <v>45825</v>
      </c>
      <c r="D2687" s="7" t="s">
        <v>184</v>
      </c>
      <c r="E2687" s="7" t="s">
        <v>180</v>
      </c>
      <c r="F2687" s="6" t="n">
        <v>4.05</v>
      </c>
      <c r="G2687" s="6" t="n">
        <v>0</v>
      </c>
      <c r="H2687" s="41" t="n">
        <v>17.34</v>
      </c>
      <c r="I2687" s="43" t="n">
        <f aca="false">F2687*H2687</f>
        <v>70.227</v>
      </c>
      <c r="J2687" s="43" t="n">
        <f aca="false">G2687*H2687*1.5</f>
        <v>0</v>
      </c>
      <c r="K2687" s="6" t="n">
        <v>13.43</v>
      </c>
      <c r="L2687" s="43" t="n">
        <f aca="false">K2687*'Chart of Accounts'!$E$68</f>
        <v>8.9981</v>
      </c>
      <c r="O2687" s="42" t="n">
        <f aca="false">I2687+J2687+L2687</f>
        <v>79.2251</v>
      </c>
    </row>
    <row r="2688" customFormat="false" ht="15" hidden="false" customHeight="false" outlineLevel="0" collapsed="false">
      <c r="B2688" s="7" t="s">
        <v>11321</v>
      </c>
      <c r="C2688" s="39" t="n">
        <v>45825</v>
      </c>
      <c r="D2688" s="7" t="s">
        <v>234</v>
      </c>
      <c r="E2688" s="7" t="s">
        <v>158</v>
      </c>
      <c r="H2688" s="41" t="n">
        <v>89.53</v>
      </c>
      <c r="M2688" s="6" t="n">
        <v>1</v>
      </c>
      <c r="N2688" s="43" t="n">
        <f aca="false">M2688*H2688</f>
        <v>89.53</v>
      </c>
      <c r="O2688" s="42" t="n">
        <f aca="false">N2688</f>
        <v>89.53</v>
      </c>
    </row>
    <row r="2689" customFormat="false" ht="15" hidden="false" customHeight="false" outlineLevel="0" collapsed="false">
      <c r="B2689" s="7" t="s">
        <v>11322</v>
      </c>
      <c r="C2689" s="39" t="n">
        <v>45825</v>
      </c>
      <c r="D2689" s="7" t="s">
        <v>218</v>
      </c>
      <c r="E2689" s="7" t="s">
        <v>180</v>
      </c>
      <c r="F2689" s="6" t="n">
        <v>3.88</v>
      </c>
      <c r="G2689" s="6" t="n">
        <v>0</v>
      </c>
      <c r="H2689" s="41" t="n">
        <v>16.19</v>
      </c>
      <c r="I2689" s="43" t="n">
        <f aca="false">F2689*H2689</f>
        <v>62.8172</v>
      </c>
      <c r="J2689" s="43" t="n">
        <f aca="false">G2689*H2689*1.5</f>
        <v>0</v>
      </c>
      <c r="K2689" s="6" t="n">
        <v>9.33</v>
      </c>
      <c r="L2689" s="43" t="n">
        <f aca="false">K2689*'Chart of Accounts'!$E$68</f>
        <v>6.2511</v>
      </c>
      <c r="O2689" s="42" t="n">
        <f aca="false">I2689+J2689+L2689</f>
        <v>69.0683</v>
      </c>
    </row>
    <row r="2690" customFormat="false" ht="15" hidden="false" customHeight="false" outlineLevel="0" collapsed="false">
      <c r="B2690" s="7" t="s">
        <v>11323</v>
      </c>
      <c r="C2690" s="39" t="n">
        <v>45825</v>
      </c>
      <c r="D2690" s="7" t="s">
        <v>266</v>
      </c>
      <c r="E2690" s="7" t="s">
        <v>158</v>
      </c>
      <c r="H2690" s="41" t="n">
        <v>75.18</v>
      </c>
      <c r="M2690" s="6" t="n">
        <v>1</v>
      </c>
      <c r="N2690" s="43" t="n">
        <f aca="false">M2690*H2690</f>
        <v>75.18</v>
      </c>
      <c r="O2690" s="42" t="n">
        <f aca="false">N2690</f>
        <v>75.18</v>
      </c>
    </row>
    <row r="2691" customFormat="false" ht="15" hidden="false" customHeight="false" outlineLevel="0" collapsed="false">
      <c r="B2691" s="7" t="s">
        <v>11324</v>
      </c>
      <c r="C2691" s="39" t="n">
        <v>45825</v>
      </c>
      <c r="D2691" s="7" t="s">
        <v>228</v>
      </c>
      <c r="E2691" s="7" t="s">
        <v>158</v>
      </c>
      <c r="H2691" s="41" t="n">
        <v>51.07</v>
      </c>
      <c r="M2691" s="6" t="n">
        <v>1</v>
      </c>
      <c r="N2691" s="43" t="n">
        <f aca="false">M2691*H2691</f>
        <v>51.07</v>
      </c>
      <c r="O2691" s="42" t="n">
        <f aca="false">N2691</f>
        <v>51.07</v>
      </c>
    </row>
    <row r="2692" customFormat="false" ht="15" hidden="false" customHeight="false" outlineLevel="0" collapsed="false">
      <c r="B2692" s="7" t="s">
        <v>11325</v>
      </c>
      <c r="C2692" s="39" t="n">
        <v>45825</v>
      </c>
      <c r="D2692" s="7" t="s">
        <v>220</v>
      </c>
      <c r="E2692" s="7" t="s">
        <v>180</v>
      </c>
      <c r="F2692" s="6" t="n">
        <v>4.35</v>
      </c>
      <c r="G2692" s="6" t="n">
        <v>0</v>
      </c>
      <c r="H2692" s="41" t="n">
        <v>16.43</v>
      </c>
      <c r="I2692" s="43" t="n">
        <f aca="false">F2692*H2692</f>
        <v>71.4705</v>
      </c>
      <c r="J2692" s="43" t="n">
        <f aca="false">G2692*H2692*1.5</f>
        <v>0</v>
      </c>
      <c r="K2692" s="6" t="n">
        <v>12.01</v>
      </c>
      <c r="L2692" s="43" t="n">
        <f aca="false">K2692*'Chart of Accounts'!$E$68</f>
        <v>8.0467</v>
      </c>
      <c r="O2692" s="42" t="n">
        <f aca="false">I2692+J2692+L2692</f>
        <v>79.5172</v>
      </c>
    </row>
    <row r="2693" customFormat="false" ht="15" hidden="false" customHeight="false" outlineLevel="0" collapsed="false">
      <c r="B2693" s="7" t="s">
        <v>11326</v>
      </c>
      <c r="C2693" s="39" t="n">
        <v>45825</v>
      </c>
      <c r="D2693" s="7" t="s">
        <v>194</v>
      </c>
      <c r="E2693" s="7" t="s">
        <v>180</v>
      </c>
      <c r="F2693" s="6" t="n">
        <v>3.86</v>
      </c>
      <c r="G2693" s="6" t="n">
        <v>0</v>
      </c>
      <c r="H2693" s="41" t="n">
        <v>16</v>
      </c>
      <c r="I2693" s="43" t="n">
        <f aca="false">F2693*H2693</f>
        <v>61.76</v>
      </c>
      <c r="J2693" s="43" t="n">
        <f aca="false">G2693*H2693*1.5</f>
        <v>0</v>
      </c>
      <c r="K2693" s="6" t="n">
        <v>12.38</v>
      </c>
      <c r="L2693" s="43" t="n">
        <f aca="false">K2693*'Chart of Accounts'!$E$68</f>
        <v>8.2946</v>
      </c>
      <c r="O2693" s="42" t="n">
        <f aca="false">I2693+J2693+L2693</f>
        <v>70.0546</v>
      </c>
    </row>
    <row r="2694" customFormat="false" ht="15" hidden="false" customHeight="false" outlineLevel="0" collapsed="false">
      <c r="B2694" s="7" t="s">
        <v>11327</v>
      </c>
      <c r="C2694" s="39" t="n">
        <v>45825</v>
      </c>
      <c r="D2694" s="7" t="s">
        <v>246</v>
      </c>
      <c r="E2694" s="7" t="s">
        <v>180</v>
      </c>
      <c r="F2694" s="6" t="n">
        <v>3.63</v>
      </c>
      <c r="G2694" s="6" t="n">
        <v>0</v>
      </c>
      <c r="H2694" s="41" t="n">
        <v>16.48</v>
      </c>
      <c r="I2694" s="43" t="n">
        <f aca="false">F2694*H2694</f>
        <v>59.8224</v>
      </c>
      <c r="J2694" s="43" t="n">
        <f aca="false">G2694*H2694*1.5</f>
        <v>0</v>
      </c>
      <c r="K2694" s="6" t="n">
        <v>11.58</v>
      </c>
      <c r="L2694" s="43" t="n">
        <f aca="false">K2694*'Chart of Accounts'!$E$68</f>
        <v>7.7586</v>
      </c>
      <c r="O2694" s="42" t="n">
        <f aca="false">I2694+J2694+L2694</f>
        <v>67.581</v>
      </c>
    </row>
    <row r="2695" customFormat="false" ht="15" hidden="false" customHeight="false" outlineLevel="0" collapsed="false">
      <c r="B2695" s="7" t="s">
        <v>11328</v>
      </c>
      <c r="C2695" s="39" t="n">
        <v>45825</v>
      </c>
      <c r="D2695" s="7" t="s">
        <v>222</v>
      </c>
      <c r="E2695" s="7" t="s">
        <v>180</v>
      </c>
      <c r="F2695" s="6" t="n">
        <v>3.64</v>
      </c>
      <c r="G2695" s="6" t="n">
        <v>0</v>
      </c>
      <c r="H2695" s="41" t="n">
        <v>17.84</v>
      </c>
      <c r="I2695" s="43" t="n">
        <f aca="false">F2695*H2695</f>
        <v>64.9376</v>
      </c>
      <c r="J2695" s="43" t="n">
        <f aca="false">G2695*H2695*1.5</f>
        <v>0</v>
      </c>
      <c r="K2695" s="6" t="n">
        <v>11.86</v>
      </c>
      <c r="L2695" s="43" t="n">
        <f aca="false">K2695*'Chart of Accounts'!$E$68</f>
        <v>7.9462</v>
      </c>
      <c r="O2695" s="42" t="n">
        <f aca="false">I2695+J2695+L2695</f>
        <v>72.8838</v>
      </c>
    </row>
    <row r="2696" customFormat="false" ht="15" hidden="false" customHeight="false" outlineLevel="0" collapsed="false">
      <c r="B2696" s="7" t="s">
        <v>11329</v>
      </c>
      <c r="C2696" s="39" t="n">
        <v>45825</v>
      </c>
      <c r="D2696" s="7" t="s">
        <v>242</v>
      </c>
      <c r="E2696" s="7" t="s">
        <v>180</v>
      </c>
      <c r="F2696" s="6" t="n">
        <v>4.1</v>
      </c>
      <c r="G2696" s="6" t="n">
        <v>0</v>
      </c>
      <c r="H2696" s="41" t="n">
        <v>17.99</v>
      </c>
      <c r="I2696" s="43" t="n">
        <f aca="false">F2696*H2696</f>
        <v>73.759</v>
      </c>
      <c r="J2696" s="43" t="n">
        <f aca="false">G2696*H2696*1.5</f>
        <v>0</v>
      </c>
      <c r="K2696" s="6" t="n">
        <v>10.5</v>
      </c>
      <c r="L2696" s="43" t="n">
        <f aca="false">K2696*'Chart of Accounts'!$E$68</f>
        <v>7.035</v>
      </c>
      <c r="O2696" s="42" t="n">
        <f aca="false">I2696+J2696+L2696</f>
        <v>80.794</v>
      </c>
    </row>
    <row r="2697" customFormat="false" ht="15" hidden="false" customHeight="false" outlineLevel="0" collapsed="false">
      <c r="B2697" s="7" t="s">
        <v>11330</v>
      </c>
      <c r="C2697" s="39" t="n">
        <v>45825</v>
      </c>
      <c r="D2697" s="7" t="s">
        <v>203</v>
      </c>
      <c r="E2697" s="7" t="s">
        <v>158</v>
      </c>
      <c r="H2697" s="41" t="n">
        <v>49.43</v>
      </c>
      <c r="M2697" s="6" t="n">
        <v>1</v>
      </c>
      <c r="N2697" s="43" t="n">
        <f aca="false">M2697*H2697</f>
        <v>49.43</v>
      </c>
      <c r="O2697" s="42" t="n">
        <f aca="false">N2697</f>
        <v>49.43</v>
      </c>
    </row>
    <row r="2698" customFormat="false" ht="15" hidden="false" customHeight="false" outlineLevel="0" collapsed="false">
      <c r="B2698" s="7" t="s">
        <v>11331</v>
      </c>
      <c r="C2698" s="39" t="n">
        <v>45825</v>
      </c>
      <c r="D2698" s="7" t="s">
        <v>254</v>
      </c>
      <c r="E2698" s="7" t="s">
        <v>180</v>
      </c>
      <c r="F2698" s="6" t="n">
        <v>4.11</v>
      </c>
      <c r="G2698" s="6" t="n">
        <v>0</v>
      </c>
      <c r="H2698" s="41" t="n">
        <v>17.1</v>
      </c>
      <c r="I2698" s="43" t="n">
        <f aca="false">F2698*H2698</f>
        <v>70.281</v>
      </c>
      <c r="J2698" s="43" t="n">
        <f aca="false">G2698*H2698*1.5</f>
        <v>0</v>
      </c>
      <c r="K2698" s="6" t="n">
        <v>11.56</v>
      </c>
      <c r="L2698" s="43" t="n">
        <f aca="false">K2698*'Chart of Accounts'!$E$68</f>
        <v>7.7452</v>
      </c>
      <c r="O2698" s="42" t="n">
        <f aca="false">I2698+J2698+L2698</f>
        <v>78.0262</v>
      </c>
    </row>
    <row r="2699" customFormat="false" ht="15" hidden="false" customHeight="false" outlineLevel="0" collapsed="false">
      <c r="B2699" s="7" t="s">
        <v>11332</v>
      </c>
      <c r="C2699" s="39" t="n">
        <v>45825</v>
      </c>
      <c r="D2699" s="7" t="s">
        <v>260</v>
      </c>
      <c r="E2699" s="7" t="s">
        <v>158</v>
      </c>
      <c r="H2699" s="41" t="n">
        <v>79.8</v>
      </c>
      <c r="M2699" s="6" t="n">
        <v>1</v>
      </c>
      <c r="N2699" s="43" t="n">
        <f aca="false">M2699*H2699</f>
        <v>79.8</v>
      </c>
      <c r="O2699" s="42" t="n">
        <f aca="false">N2699</f>
        <v>79.8</v>
      </c>
    </row>
    <row r="2700" customFormat="false" ht="15" hidden="false" customHeight="false" outlineLevel="0" collapsed="false">
      <c r="B2700" s="7" t="s">
        <v>11333</v>
      </c>
      <c r="C2700" s="39" t="n">
        <v>45826</v>
      </c>
      <c r="D2700" s="7" t="s">
        <v>187</v>
      </c>
      <c r="E2700" s="7" t="s">
        <v>158</v>
      </c>
      <c r="H2700" s="41" t="n">
        <v>66.48</v>
      </c>
      <c r="M2700" s="6" t="n">
        <v>1</v>
      </c>
      <c r="N2700" s="43" t="n">
        <f aca="false">M2700*H2700</f>
        <v>66.48</v>
      </c>
      <c r="O2700" s="42" t="n">
        <f aca="false">N2700</f>
        <v>66.48</v>
      </c>
    </row>
    <row r="2701" customFormat="false" ht="15" hidden="false" customHeight="false" outlineLevel="0" collapsed="false">
      <c r="B2701" s="7" t="s">
        <v>11334</v>
      </c>
      <c r="C2701" s="39" t="n">
        <v>45826</v>
      </c>
      <c r="D2701" s="7" t="s">
        <v>201</v>
      </c>
      <c r="E2701" s="7" t="s">
        <v>180</v>
      </c>
      <c r="F2701" s="6" t="n">
        <v>7.18</v>
      </c>
      <c r="G2701" s="6" t="n">
        <v>0</v>
      </c>
      <c r="H2701" s="41" t="n">
        <v>15.19</v>
      </c>
      <c r="I2701" s="43" t="n">
        <f aca="false">F2701*H2701</f>
        <v>109.0642</v>
      </c>
      <c r="J2701" s="43" t="n">
        <f aca="false">G2701*H2701*1.5</f>
        <v>0</v>
      </c>
      <c r="K2701" s="6" t="n">
        <v>15.81</v>
      </c>
      <c r="L2701" s="43" t="n">
        <f aca="false">K2701*'Chart of Accounts'!$E$68</f>
        <v>10.5927</v>
      </c>
      <c r="O2701" s="42" t="n">
        <f aca="false">I2701+J2701+L2701</f>
        <v>119.6569</v>
      </c>
    </row>
    <row r="2702" customFormat="false" ht="15" hidden="false" customHeight="false" outlineLevel="0" collapsed="false">
      <c r="B2702" s="7" t="s">
        <v>11335</v>
      </c>
      <c r="C2702" s="39" t="n">
        <v>45826</v>
      </c>
      <c r="D2702" s="7" t="s">
        <v>194</v>
      </c>
      <c r="E2702" s="7" t="s">
        <v>180</v>
      </c>
      <c r="F2702" s="6" t="n">
        <v>9.25</v>
      </c>
      <c r="G2702" s="6" t="n">
        <v>0</v>
      </c>
      <c r="H2702" s="41" t="n">
        <v>16</v>
      </c>
      <c r="I2702" s="43" t="n">
        <f aca="false">F2702*H2702</f>
        <v>148</v>
      </c>
      <c r="J2702" s="43" t="n">
        <f aca="false">G2702*H2702*1.5</f>
        <v>0</v>
      </c>
      <c r="K2702" s="6" t="n">
        <v>22.89</v>
      </c>
      <c r="L2702" s="43" t="n">
        <f aca="false">K2702*'Chart of Accounts'!$E$68</f>
        <v>15.3363</v>
      </c>
      <c r="O2702" s="42" t="n">
        <f aca="false">I2702+J2702+L2702</f>
        <v>163.3363</v>
      </c>
    </row>
    <row r="2703" customFormat="false" ht="15" hidden="false" customHeight="false" outlineLevel="0" collapsed="false">
      <c r="B2703" s="7" t="s">
        <v>11336</v>
      </c>
      <c r="C2703" s="39" t="n">
        <v>45826</v>
      </c>
      <c r="D2703" s="7" t="s">
        <v>205</v>
      </c>
      <c r="E2703" s="7" t="s">
        <v>180</v>
      </c>
      <c r="F2703" s="6" t="n">
        <v>4.17</v>
      </c>
      <c r="G2703" s="6" t="n">
        <v>0</v>
      </c>
      <c r="H2703" s="41" t="n">
        <v>16.36</v>
      </c>
      <c r="I2703" s="43" t="n">
        <f aca="false">F2703*H2703</f>
        <v>68.2212</v>
      </c>
      <c r="J2703" s="43" t="n">
        <f aca="false">G2703*H2703*1.5</f>
        <v>0</v>
      </c>
      <c r="K2703" s="6" t="n">
        <v>12.05</v>
      </c>
      <c r="L2703" s="43" t="n">
        <f aca="false">K2703*'Chart of Accounts'!$E$68</f>
        <v>8.0735</v>
      </c>
      <c r="O2703" s="42" t="n">
        <f aca="false">I2703+J2703+L2703</f>
        <v>76.2947</v>
      </c>
    </row>
    <row r="2704" customFormat="false" ht="15" hidden="false" customHeight="false" outlineLevel="0" collapsed="false">
      <c r="B2704" s="7" t="s">
        <v>11337</v>
      </c>
      <c r="C2704" s="39" t="n">
        <v>45826</v>
      </c>
      <c r="D2704" s="7" t="s">
        <v>264</v>
      </c>
      <c r="E2704" s="7" t="s">
        <v>158</v>
      </c>
      <c r="H2704" s="41" t="n">
        <v>55.55</v>
      </c>
      <c r="M2704" s="6" t="n">
        <v>1</v>
      </c>
      <c r="N2704" s="43" t="n">
        <f aca="false">M2704*H2704</f>
        <v>55.55</v>
      </c>
      <c r="O2704" s="42" t="n">
        <f aca="false">N2704</f>
        <v>55.55</v>
      </c>
    </row>
    <row r="2705" customFormat="false" ht="15" hidden="false" customHeight="false" outlineLevel="0" collapsed="false">
      <c r="B2705" s="7" t="s">
        <v>11338</v>
      </c>
      <c r="C2705" s="39" t="n">
        <v>45826</v>
      </c>
      <c r="D2705" s="7" t="s">
        <v>252</v>
      </c>
      <c r="E2705" s="7" t="s">
        <v>158</v>
      </c>
      <c r="H2705" s="41" t="n">
        <v>57.54</v>
      </c>
      <c r="M2705" s="6" t="n">
        <v>1</v>
      </c>
      <c r="N2705" s="43" t="n">
        <f aca="false">M2705*H2705</f>
        <v>57.54</v>
      </c>
      <c r="O2705" s="42" t="n">
        <f aca="false">N2705</f>
        <v>57.54</v>
      </c>
    </row>
    <row r="2706" customFormat="false" ht="15" hidden="false" customHeight="false" outlineLevel="0" collapsed="false">
      <c r="B2706" s="7" t="s">
        <v>11339</v>
      </c>
      <c r="C2706" s="39" t="n">
        <v>45826</v>
      </c>
      <c r="D2706" s="7" t="s">
        <v>184</v>
      </c>
      <c r="E2706" s="7" t="s">
        <v>180</v>
      </c>
      <c r="F2706" s="6" t="n">
        <v>4.32</v>
      </c>
      <c r="G2706" s="6" t="n">
        <v>0</v>
      </c>
      <c r="H2706" s="41" t="n">
        <v>17.34</v>
      </c>
      <c r="I2706" s="43" t="n">
        <f aca="false">F2706*H2706</f>
        <v>74.9088</v>
      </c>
      <c r="J2706" s="43" t="n">
        <f aca="false">G2706*H2706*1.5</f>
        <v>0</v>
      </c>
      <c r="K2706" s="6" t="n">
        <v>13.41</v>
      </c>
      <c r="L2706" s="43" t="n">
        <f aca="false">K2706*'Chart of Accounts'!$E$68</f>
        <v>8.9847</v>
      </c>
      <c r="O2706" s="42" t="n">
        <f aca="false">I2706+J2706+L2706</f>
        <v>83.8935</v>
      </c>
    </row>
    <row r="2707" customFormat="false" ht="15" hidden="false" customHeight="false" outlineLevel="0" collapsed="false">
      <c r="B2707" s="7" t="s">
        <v>11340</v>
      </c>
      <c r="C2707" s="39" t="n">
        <v>45826</v>
      </c>
      <c r="D2707" s="7" t="s">
        <v>218</v>
      </c>
      <c r="E2707" s="7" t="s">
        <v>180</v>
      </c>
      <c r="F2707" s="6" t="n">
        <v>4.39</v>
      </c>
      <c r="G2707" s="6" t="n">
        <v>0</v>
      </c>
      <c r="H2707" s="41" t="n">
        <v>16.19</v>
      </c>
      <c r="I2707" s="43" t="n">
        <f aca="false">F2707*H2707</f>
        <v>71.0741</v>
      </c>
      <c r="J2707" s="43" t="n">
        <f aca="false">G2707*H2707*1.5</f>
        <v>0</v>
      </c>
      <c r="K2707" s="6" t="n">
        <v>15.44</v>
      </c>
      <c r="L2707" s="43" t="n">
        <f aca="false">K2707*'Chart of Accounts'!$E$68</f>
        <v>10.3448</v>
      </c>
      <c r="O2707" s="42" t="n">
        <f aca="false">I2707+J2707+L2707</f>
        <v>81.4189</v>
      </c>
    </row>
    <row r="2708" customFormat="false" ht="15" hidden="false" customHeight="false" outlineLevel="0" collapsed="false">
      <c r="B2708" s="7" t="s">
        <v>11341</v>
      </c>
      <c r="C2708" s="39" t="n">
        <v>45826</v>
      </c>
      <c r="D2708" s="7" t="s">
        <v>220</v>
      </c>
      <c r="E2708" s="7" t="s">
        <v>180</v>
      </c>
      <c r="F2708" s="6" t="n">
        <v>6.8</v>
      </c>
      <c r="G2708" s="6" t="n">
        <v>0</v>
      </c>
      <c r="H2708" s="41" t="n">
        <v>16.43</v>
      </c>
      <c r="I2708" s="43" t="n">
        <f aca="false">F2708*H2708</f>
        <v>111.724</v>
      </c>
      <c r="J2708" s="43" t="n">
        <f aca="false">G2708*H2708*1.5</f>
        <v>0</v>
      </c>
      <c r="K2708" s="6" t="n">
        <v>15.28</v>
      </c>
      <c r="L2708" s="43" t="n">
        <f aca="false">K2708*'Chart of Accounts'!$E$68</f>
        <v>10.2376</v>
      </c>
      <c r="O2708" s="42" t="n">
        <f aca="false">I2708+J2708+L2708</f>
        <v>121.9616</v>
      </c>
    </row>
    <row r="2709" customFormat="false" ht="15" hidden="false" customHeight="false" outlineLevel="0" collapsed="false">
      <c r="B2709" s="7" t="s">
        <v>11342</v>
      </c>
      <c r="C2709" s="39" t="n">
        <v>45826</v>
      </c>
      <c r="D2709" s="7" t="s">
        <v>177</v>
      </c>
      <c r="E2709" s="7" t="s">
        <v>180</v>
      </c>
      <c r="F2709" s="6" t="n">
        <v>8.42</v>
      </c>
      <c r="G2709" s="6" t="n">
        <v>0</v>
      </c>
      <c r="H2709" s="41" t="n">
        <v>14.56</v>
      </c>
      <c r="I2709" s="43" t="n">
        <f aca="false">F2709*H2709</f>
        <v>122.5952</v>
      </c>
      <c r="J2709" s="43" t="n">
        <f aca="false">G2709*H2709*1.5</f>
        <v>0</v>
      </c>
      <c r="K2709" s="6" t="n">
        <v>23.09</v>
      </c>
      <c r="L2709" s="43" t="n">
        <f aca="false">K2709*'Chart of Accounts'!$E$68</f>
        <v>15.4703</v>
      </c>
      <c r="O2709" s="42" t="n">
        <f aca="false">I2709+J2709+L2709</f>
        <v>138.0655</v>
      </c>
    </row>
    <row r="2710" customFormat="false" ht="15" hidden="false" customHeight="false" outlineLevel="0" collapsed="false">
      <c r="B2710" s="7" t="s">
        <v>11343</v>
      </c>
      <c r="C2710" s="39" t="n">
        <v>45826</v>
      </c>
      <c r="D2710" s="7" t="s">
        <v>242</v>
      </c>
      <c r="E2710" s="7" t="s">
        <v>180</v>
      </c>
      <c r="F2710" s="6" t="n">
        <v>7.7</v>
      </c>
      <c r="G2710" s="6" t="n">
        <v>0</v>
      </c>
      <c r="H2710" s="41" t="n">
        <v>17.99</v>
      </c>
      <c r="I2710" s="43" t="n">
        <f aca="false">F2710*H2710</f>
        <v>138.523</v>
      </c>
      <c r="J2710" s="43" t="n">
        <f aca="false">G2710*H2710*1.5</f>
        <v>0</v>
      </c>
      <c r="K2710" s="6" t="n">
        <v>24.67</v>
      </c>
      <c r="L2710" s="43" t="n">
        <f aca="false">K2710*'Chart of Accounts'!$E$68</f>
        <v>16.5289</v>
      </c>
      <c r="O2710" s="42" t="n">
        <f aca="false">I2710+J2710+L2710</f>
        <v>155.0519</v>
      </c>
    </row>
    <row r="2711" customFormat="false" ht="15" hidden="false" customHeight="false" outlineLevel="0" collapsed="false">
      <c r="B2711" s="7" t="s">
        <v>11344</v>
      </c>
      <c r="C2711" s="39" t="n">
        <v>45826</v>
      </c>
      <c r="D2711" s="7" t="s">
        <v>254</v>
      </c>
      <c r="E2711" s="7" t="s">
        <v>180</v>
      </c>
      <c r="F2711" s="6" t="n">
        <v>7.39</v>
      </c>
      <c r="G2711" s="6" t="n">
        <v>0</v>
      </c>
      <c r="H2711" s="41" t="n">
        <v>17.1</v>
      </c>
      <c r="I2711" s="43" t="n">
        <f aca="false">F2711*H2711</f>
        <v>126.369</v>
      </c>
      <c r="J2711" s="43" t="n">
        <f aca="false">G2711*H2711*1.5</f>
        <v>0</v>
      </c>
      <c r="K2711" s="6" t="n">
        <v>21.87</v>
      </c>
      <c r="L2711" s="43" t="n">
        <f aca="false">K2711*'Chart of Accounts'!$E$68</f>
        <v>14.6529</v>
      </c>
      <c r="O2711" s="42" t="n">
        <f aca="false">I2711+J2711+L2711</f>
        <v>141.0219</v>
      </c>
    </row>
    <row r="2712" customFormat="false" ht="15" hidden="false" customHeight="false" outlineLevel="0" collapsed="false">
      <c r="B2712" s="7" t="s">
        <v>11345</v>
      </c>
      <c r="C2712" s="39" t="n">
        <v>45826</v>
      </c>
      <c r="D2712" s="7" t="s">
        <v>207</v>
      </c>
      <c r="E2712" s="7" t="s">
        <v>180</v>
      </c>
      <c r="F2712" s="6" t="n">
        <v>3.56</v>
      </c>
      <c r="G2712" s="6" t="n">
        <v>0</v>
      </c>
      <c r="H2712" s="41" t="n">
        <v>16.65</v>
      </c>
      <c r="I2712" s="43" t="n">
        <f aca="false">F2712*H2712</f>
        <v>59.274</v>
      </c>
      <c r="J2712" s="43" t="n">
        <f aca="false">G2712*H2712*1.5</f>
        <v>0</v>
      </c>
      <c r="K2712" s="6" t="n">
        <v>7.88</v>
      </c>
      <c r="L2712" s="43" t="n">
        <f aca="false">K2712*'Chart of Accounts'!$E$68</f>
        <v>5.2796</v>
      </c>
      <c r="O2712" s="42" t="n">
        <f aca="false">I2712+J2712+L2712</f>
        <v>64.5536</v>
      </c>
    </row>
    <row r="2713" customFormat="false" ht="15" hidden="false" customHeight="false" outlineLevel="0" collapsed="false">
      <c r="B2713" s="7" t="s">
        <v>11346</v>
      </c>
      <c r="C2713" s="39" t="n">
        <v>45826</v>
      </c>
      <c r="D2713" s="7" t="s">
        <v>212</v>
      </c>
      <c r="E2713" s="7" t="s">
        <v>180</v>
      </c>
      <c r="F2713" s="6" t="n">
        <v>4.05</v>
      </c>
      <c r="G2713" s="6" t="n">
        <v>0</v>
      </c>
      <c r="H2713" s="41" t="n">
        <v>16.71</v>
      </c>
      <c r="I2713" s="43" t="n">
        <f aca="false">F2713*H2713</f>
        <v>67.6755</v>
      </c>
      <c r="J2713" s="43" t="n">
        <f aca="false">G2713*H2713*1.5</f>
        <v>0</v>
      </c>
      <c r="K2713" s="6" t="n">
        <v>10.05</v>
      </c>
      <c r="L2713" s="43" t="n">
        <f aca="false">K2713*'Chart of Accounts'!$E$68</f>
        <v>6.7335</v>
      </c>
      <c r="O2713" s="42" t="n">
        <f aca="false">I2713+J2713+L2713</f>
        <v>74.409</v>
      </c>
    </row>
    <row r="2714" customFormat="false" ht="15" hidden="false" customHeight="false" outlineLevel="0" collapsed="false">
      <c r="B2714" s="7" t="s">
        <v>11347</v>
      </c>
      <c r="C2714" s="39" t="n">
        <v>45826</v>
      </c>
      <c r="D2714" s="7" t="s">
        <v>232</v>
      </c>
      <c r="E2714" s="7" t="s">
        <v>180</v>
      </c>
      <c r="F2714" s="6" t="n">
        <v>4.28</v>
      </c>
      <c r="G2714" s="6" t="n">
        <v>0</v>
      </c>
      <c r="H2714" s="41" t="n">
        <v>16.17</v>
      </c>
      <c r="I2714" s="43" t="n">
        <f aca="false">F2714*H2714</f>
        <v>69.2076</v>
      </c>
      <c r="J2714" s="43" t="n">
        <f aca="false">G2714*H2714*1.5</f>
        <v>0</v>
      </c>
      <c r="K2714" s="6" t="n">
        <v>13.55</v>
      </c>
      <c r="L2714" s="43" t="n">
        <f aca="false">K2714*'Chart of Accounts'!$E$68</f>
        <v>9.0785</v>
      </c>
      <c r="O2714" s="42" t="n">
        <f aca="false">I2714+J2714+L2714</f>
        <v>78.2861</v>
      </c>
    </row>
    <row r="2715" customFormat="false" ht="15" hidden="false" customHeight="false" outlineLevel="0" collapsed="false">
      <c r="B2715" s="7" t="s">
        <v>11348</v>
      </c>
      <c r="C2715" s="39" t="n">
        <v>45826</v>
      </c>
      <c r="D2715" s="7" t="s">
        <v>224</v>
      </c>
      <c r="E2715" s="7" t="s">
        <v>180</v>
      </c>
      <c r="F2715" s="6" t="n">
        <v>4.28</v>
      </c>
      <c r="G2715" s="6" t="n">
        <v>0</v>
      </c>
      <c r="H2715" s="41" t="n">
        <v>14.93</v>
      </c>
      <c r="I2715" s="43" t="n">
        <f aca="false">F2715*H2715</f>
        <v>63.9004</v>
      </c>
      <c r="J2715" s="43" t="n">
        <f aca="false">G2715*H2715*1.5</f>
        <v>0</v>
      </c>
      <c r="K2715" s="6" t="n">
        <v>15.19</v>
      </c>
      <c r="L2715" s="43" t="n">
        <f aca="false">K2715*'Chart of Accounts'!$E$68</f>
        <v>10.1773</v>
      </c>
      <c r="O2715" s="42" t="n">
        <f aca="false">I2715+J2715+L2715</f>
        <v>74.0777</v>
      </c>
    </row>
    <row r="2716" customFormat="false" ht="15" hidden="false" customHeight="false" outlineLevel="0" collapsed="false">
      <c r="B2716" s="7" t="s">
        <v>11349</v>
      </c>
      <c r="C2716" s="39" t="n">
        <v>45826</v>
      </c>
      <c r="D2716" s="7" t="s">
        <v>238</v>
      </c>
      <c r="E2716" s="7" t="s">
        <v>180</v>
      </c>
      <c r="F2716" s="6" t="n">
        <v>3.62</v>
      </c>
      <c r="G2716" s="6" t="n">
        <v>0</v>
      </c>
      <c r="H2716" s="41" t="n">
        <v>15.85</v>
      </c>
      <c r="I2716" s="43" t="n">
        <f aca="false">F2716*H2716</f>
        <v>57.377</v>
      </c>
      <c r="J2716" s="43" t="n">
        <f aca="false">G2716*H2716*1.5</f>
        <v>0</v>
      </c>
      <c r="K2716" s="6" t="n">
        <v>10</v>
      </c>
      <c r="L2716" s="43" t="n">
        <f aca="false">K2716*'Chart of Accounts'!$E$68</f>
        <v>6.7</v>
      </c>
      <c r="O2716" s="42" t="n">
        <f aca="false">I2716+J2716+L2716</f>
        <v>64.077</v>
      </c>
    </row>
    <row r="2717" customFormat="false" ht="15" hidden="false" customHeight="false" outlineLevel="0" collapsed="false">
      <c r="B2717" s="7" t="s">
        <v>11350</v>
      </c>
      <c r="C2717" s="39" t="n">
        <v>45826</v>
      </c>
      <c r="D2717" s="7" t="s">
        <v>246</v>
      </c>
      <c r="E2717" s="7" t="s">
        <v>180</v>
      </c>
      <c r="F2717" s="6" t="n">
        <v>4.11</v>
      </c>
      <c r="G2717" s="6" t="n">
        <v>0</v>
      </c>
      <c r="H2717" s="41" t="n">
        <v>16.48</v>
      </c>
      <c r="I2717" s="43" t="n">
        <f aca="false">F2717*H2717</f>
        <v>67.7328</v>
      </c>
      <c r="J2717" s="43" t="n">
        <f aca="false">G2717*H2717*1.5</f>
        <v>0</v>
      </c>
      <c r="K2717" s="6" t="n">
        <v>10.8</v>
      </c>
      <c r="L2717" s="43" t="n">
        <f aca="false">K2717*'Chart of Accounts'!$E$68</f>
        <v>7.236</v>
      </c>
      <c r="O2717" s="42" t="n">
        <f aca="false">I2717+J2717+L2717</f>
        <v>74.9688</v>
      </c>
    </row>
    <row r="2718" customFormat="false" ht="15" hidden="false" customHeight="false" outlineLevel="0" collapsed="false">
      <c r="B2718" s="7" t="s">
        <v>11351</v>
      </c>
      <c r="C2718" s="39" t="n">
        <v>45826</v>
      </c>
      <c r="D2718" s="7" t="s">
        <v>222</v>
      </c>
      <c r="E2718" s="7" t="s">
        <v>180</v>
      </c>
      <c r="F2718" s="6" t="n">
        <v>4.35</v>
      </c>
      <c r="G2718" s="6" t="n">
        <v>0</v>
      </c>
      <c r="H2718" s="41" t="n">
        <v>17.84</v>
      </c>
      <c r="I2718" s="43" t="n">
        <f aca="false">F2718*H2718</f>
        <v>77.604</v>
      </c>
      <c r="J2718" s="43" t="n">
        <f aca="false">G2718*H2718*1.5</f>
        <v>0</v>
      </c>
      <c r="K2718" s="6" t="n">
        <v>12.44</v>
      </c>
      <c r="L2718" s="43" t="n">
        <f aca="false">K2718*'Chart of Accounts'!$E$68</f>
        <v>8.3348</v>
      </c>
      <c r="O2718" s="42" t="n">
        <f aca="false">I2718+J2718+L2718</f>
        <v>85.9388</v>
      </c>
    </row>
    <row r="2719" customFormat="false" ht="15" hidden="false" customHeight="false" outlineLevel="0" collapsed="false">
      <c r="B2719" s="7" t="s">
        <v>11352</v>
      </c>
      <c r="C2719" s="39" t="n">
        <v>45826</v>
      </c>
      <c r="D2719" s="7" t="s">
        <v>203</v>
      </c>
      <c r="E2719" s="7" t="s">
        <v>158</v>
      </c>
      <c r="H2719" s="41" t="n">
        <v>49.43</v>
      </c>
      <c r="M2719" s="6" t="n">
        <v>1</v>
      </c>
      <c r="N2719" s="43" t="n">
        <f aca="false">M2719*H2719</f>
        <v>49.43</v>
      </c>
      <c r="O2719" s="42" t="n">
        <f aca="false">N2719</f>
        <v>49.43</v>
      </c>
    </row>
    <row r="2720" customFormat="false" ht="15" hidden="false" customHeight="false" outlineLevel="0" collapsed="false">
      <c r="B2720" s="7" t="s">
        <v>11353</v>
      </c>
      <c r="C2720" s="39" t="n">
        <v>45826</v>
      </c>
      <c r="D2720" s="7" t="s">
        <v>214</v>
      </c>
      <c r="E2720" s="7" t="s">
        <v>180</v>
      </c>
      <c r="F2720" s="6" t="n">
        <v>3.65</v>
      </c>
      <c r="G2720" s="6" t="n">
        <v>0</v>
      </c>
      <c r="H2720" s="41" t="n">
        <v>15.67</v>
      </c>
      <c r="I2720" s="43" t="n">
        <f aca="false">F2720*H2720</f>
        <v>57.1955</v>
      </c>
      <c r="J2720" s="43" t="n">
        <f aca="false">G2720*H2720*1.5</f>
        <v>0</v>
      </c>
      <c r="K2720" s="6" t="n">
        <v>12.48</v>
      </c>
      <c r="L2720" s="43" t="n">
        <f aca="false">K2720*'Chart of Accounts'!$E$68</f>
        <v>8.3616</v>
      </c>
      <c r="O2720" s="42" t="n">
        <f aca="false">I2720+J2720+L2720</f>
        <v>65.5571</v>
      </c>
    </row>
    <row r="2721" customFormat="false" ht="15" hidden="false" customHeight="false" outlineLevel="0" collapsed="false">
      <c r="B2721" s="7" t="s">
        <v>11354</v>
      </c>
      <c r="C2721" s="39" t="n">
        <v>45827</v>
      </c>
      <c r="D2721" s="7" t="s">
        <v>205</v>
      </c>
      <c r="E2721" s="7" t="s">
        <v>180</v>
      </c>
      <c r="F2721" s="6" t="n">
        <v>4.22</v>
      </c>
      <c r="G2721" s="6" t="n">
        <v>0</v>
      </c>
      <c r="H2721" s="41" t="n">
        <v>16.36</v>
      </c>
      <c r="I2721" s="43" t="n">
        <f aca="false">F2721*H2721</f>
        <v>69.0392</v>
      </c>
      <c r="J2721" s="43" t="n">
        <f aca="false">G2721*H2721*1.5</f>
        <v>0</v>
      </c>
      <c r="K2721" s="6" t="n">
        <v>14.24</v>
      </c>
      <c r="L2721" s="43" t="n">
        <f aca="false">K2721*'Chart of Accounts'!$E$68</f>
        <v>9.5408</v>
      </c>
      <c r="O2721" s="42" t="n">
        <f aca="false">I2721+J2721+L2721</f>
        <v>78.58</v>
      </c>
    </row>
    <row r="2722" customFormat="false" ht="15" hidden="false" customHeight="false" outlineLevel="0" collapsed="false">
      <c r="B2722" s="7" t="s">
        <v>11355</v>
      </c>
      <c r="C2722" s="39" t="n">
        <v>45827</v>
      </c>
      <c r="D2722" s="7" t="s">
        <v>201</v>
      </c>
      <c r="E2722" s="7" t="s">
        <v>180</v>
      </c>
      <c r="F2722" s="6" t="n">
        <v>6.44</v>
      </c>
      <c r="G2722" s="6" t="n">
        <v>0</v>
      </c>
      <c r="H2722" s="41" t="n">
        <v>15.19</v>
      </c>
      <c r="I2722" s="43" t="n">
        <f aca="false">F2722*H2722</f>
        <v>97.8236</v>
      </c>
      <c r="J2722" s="43" t="n">
        <f aca="false">G2722*H2722*1.5</f>
        <v>0</v>
      </c>
      <c r="K2722" s="6" t="n">
        <v>19.9</v>
      </c>
      <c r="L2722" s="43" t="n">
        <f aca="false">K2722*'Chart of Accounts'!$E$68</f>
        <v>13.333</v>
      </c>
      <c r="O2722" s="42" t="n">
        <f aca="false">I2722+J2722+L2722</f>
        <v>111.1566</v>
      </c>
    </row>
    <row r="2723" customFormat="false" ht="15" hidden="false" customHeight="false" outlineLevel="0" collapsed="false">
      <c r="B2723" s="7" t="s">
        <v>11356</v>
      </c>
      <c r="C2723" s="39" t="n">
        <v>45827</v>
      </c>
      <c r="D2723" s="7" t="s">
        <v>196</v>
      </c>
      <c r="E2723" s="7" t="s">
        <v>180</v>
      </c>
      <c r="F2723" s="6" t="n">
        <v>5.68</v>
      </c>
      <c r="G2723" s="6" t="n">
        <v>0</v>
      </c>
      <c r="H2723" s="41" t="n">
        <v>15.05</v>
      </c>
      <c r="I2723" s="43" t="n">
        <f aca="false">F2723*H2723</f>
        <v>85.484</v>
      </c>
      <c r="J2723" s="43" t="n">
        <f aca="false">G2723*H2723*1.5</f>
        <v>0</v>
      </c>
      <c r="K2723" s="6" t="n">
        <v>13.64</v>
      </c>
      <c r="L2723" s="43" t="n">
        <f aca="false">K2723*'Chart of Accounts'!$E$68</f>
        <v>9.1388</v>
      </c>
      <c r="O2723" s="42" t="n">
        <f aca="false">I2723+J2723+L2723</f>
        <v>94.6228</v>
      </c>
    </row>
    <row r="2724" customFormat="false" ht="15" hidden="false" customHeight="false" outlineLevel="0" collapsed="false">
      <c r="B2724" s="7" t="s">
        <v>11357</v>
      </c>
      <c r="C2724" s="39" t="n">
        <v>45827</v>
      </c>
      <c r="D2724" s="7" t="s">
        <v>184</v>
      </c>
      <c r="E2724" s="7" t="s">
        <v>180</v>
      </c>
      <c r="F2724" s="6" t="n">
        <v>4.25</v>
      </c>
      <c r="G2724" s="6" t="n">
        <v>0</v>
      </c>
      <c r="H2724" s="41" t="n">
        <v>17.34</v>
      </c>
      <c r="I2724" s="43" t="n">
        <f aca="false">F2724*H2724</f>
        <v>73.695</v>
      </c>
      <c r="J2724" s="43" t="n">
        <f aca="false">G2724*H2724*1.5</f>
        <v>0</v>
      </c>
      <c r="K2724" s="6" t="n">
        <v>12.82</v>
      </c>
      <c r="L2724" s="43" t="n">
        <f aca="false">K2724*'Chart of Accounts'!$E$68</f>
        <v>8.5894</v>
      </c>
      <c r="O2724" s="42" t="n">
        <f aca="false">I2724+J2724+L2724</f>
        <v>82.2844</v>
      </c>
    </row>
    <row r="2725" customFormat="false" ht="15" hidden="false" customHeight="false" outlineLevel="0" collapsed="false">
      <c r="B2725" s="7" t="s">
        <v>11358</v>
      </c>
      <c r="C2725" s="39" t="n">
        <v>45827</v>
      </c>
      <c r="D2725" s="7" t="s">
        <v>207</v>
      </c>
      <c r="E2725" s="7" t="s">
        <v>180</v>
      </c>
      <c r="F2725" s="6" t="n">
        <v>3.12</v>
      </c>
      <c r="G2725" s="6" t="n">
        <v>0</v>
      </c>
      <c r="H2725" s="41" t="n">
        <v>16.65</v>
      </c>
      <c r="I2725" s="43" t="n">
        <f aca="false">F2725*H2725</f>
        <v>51.948</v>
      </c>
      <c r="J2725" s="43" t="n">
        <f aca="false">G2725*H2725*1.5</f>
        <v>0</v>
      </c>
      <c r="K2725" s="6" t="n">
        <v>7.7</v>
      </c>
      <c r="L2725" s="43" t="n">
        <f aca="false">K2725*'Chart of Accounts'!$E$68</f>
        <v>5.159</v>
      </c>
      <c r="O2725" s="42" t="n">
        <f aca="false">I2725+J2725+L2725</f>
        <v>57.107</v>
      </c>
    </row>
    <row r="2726" customFormat="false" ht="15" hidden="false" customHeight="false" outlineLevel="0" collapsed="false">
      <c r="B2726" s="7" t="s">
        <v>11359</v>
      </c>
      <c r="C2726" s="39" t="n">
        <v>45827</v>
      </c>
      <c r="D2726" s="7" t="s">
        <v>218</v>
      </c>
      <c r="E2726" s="7" t="s">
        <v>180</v>
      </c>
      <c r="F2726" s="6" t="n">
        <v>4.24</v>
      </c>
      <c r="G2726" s="6" t="n">
        <v>0</v>
      </c>
      <c r="H2726" s="41" t="n">
        <v>16.19</v>
      </c>
      <c r="I2726" s="43" t="n">
        <f aca="false">F2726*H2726</f>
        <v>68.6456</v>
      </c>
      <c r="J2726" s="43" t="n">
        <f aca="false">G2726*H2726*1.5</f>
        <v>0</v>
      </c>
      <c r="K2726" s="6" t="n">
        <v>10.06</v>
      </c>
      <c r="L2726" s="43" t="n">
        <f aca="false">K2726*'Chart of Accounts'!$E$68</f>
        <v>6.7402</v>
      </c>
      <c r="O2726" s="42" t="n">
        <f aca="false">I2726+J2726+L2726</f>
        <v>75.3858</v>
      </c>
    </row>
    <row r="2727" customFormat="false" ht="15" hidden="false" customHeight="false" outlineLevel="0" collapsed="false">
      <c r="B2727" s="7" t="s">
        <v>11360</v>
      </c>
      <c r="C2727" s="39" t="n">
        <v>45827</v>
      </c>
      <c r="D2727" s="7" t="s">
        <v>212</v>
      </c>
      <c r="E2727" s="7" t="s">
        <v>180</v>
      </c>
      <c r="F2727" s="6" t="n">
        <v>6.58</v>
      </c>
      <c r="G2727" s="6" t="n">
        <v>0</v>
      </c>
      <c r="H2727" s="41" t="n">
        <v>16.71</v>
      </c>
      <c r="I2727" s="43" t="n">
        <f aca="false">F2727*H2727</f>
        <v>109.9518</v>
      </c>
      <c r="J2727" s="43" t="n">
        <f aca="false">G2727*H2727*1.5</f>
        <v>0</v>
      </c>
      <c r="K2727" s="6" t="n">
        <v>16.08</v>
      </c>
      <c r="L2727" s="43" t="n">
        <f aca="false">K2727*'Chart of Accounts'!$E$68</f>
        <v>10.7736</v>
      </c>
      <c r="O2727" s="42" t="n">
        <f aca="false">I2727+J2727+L2727</f>
        <v>120.7254</v>
      </c>
    </row>
    <row r="2728" customFormat="false" ht="15" hidden="false" customHeight="false" outlineLevel="0" collapsed="false">
      <c r="B2728" s="7" t="s">
        <v>11361</v>
      </c>
      <c r="C2728" s="39" t="n">
        <v>45827</v>
      </c>
      <c r="D2728" s="7" t="s">
        <v>220</v>
      </c>
      <c r="E2728" s="7" t="s">
        <v>180</v>
      </c>
      <c r="F2728" s="6" t="n">
        <v>7.3</v>
      </c>
      <c r="G2728" s="6" t="n">
        <v>0</v>
      </c>
      <c r="H2728" s="41" t="n">
        <v>16.43</v>
      </c>
      <c r="I2728" s="43" t="n">
        <f aca="false">F2728*H2728</f>
        <v>119.939</v>
      </c>
      <c r="J2728" s="43" t="n">
        <f aca="false">G2728*H2728*1.5</f>
        <v>0</v>
      </c>
      <c r="K2728" s="6" t="n">
        <v>23.85</v>
      </c>
      <c r="L2728" s="43" t="n">
        <f aca="false">K2728*'Chart of Accounts'!$E$68</f>
        <v>15.9795</v>
      </c>
      <c r="O2728" s="42" t="n">
        <f aca="false">I2728+J2728+L2728</f>
        <v>135.9185</v>
      </c>
    </row>
    <row r="2729" customFormat="false" ht="15" hidden="false" customHeight="false" outlineLevel="0" collapsed="false">
      <c r="B2729" s="7" t="s">
        <v>11362</v>
      </c>
      <c r="C2729" s="39" t="n">
        <v>45827</v>
      </c>
      <c r="D2729" s="7" t="s">
        <v>224</v>
      </c>
      <c r="E2729" s="7" t="s">
        <v>180</v>
      </c>
      <c r="F2729" s="6" t="n">
        <v>3.71</v>
      </c>
      <c r="G2729" s="6" t="n">
        <v>0</v>
      </c>
      <c r="H2729" s="41" t="n">
        <v>14.93</v>
      </c>
      <c r="I2729" s="43" t="n">
        <f aca="false">F2729*H2729</f>
        <v>55.3903</v>
      </c>
      <c r="J2729" s="43" t="n">
        <f aca="false">G2729*H2729*1.5</f>
        <v>0</v>
      </c>
      <c r="K2729" s="6" t="n">
        <v>9.53</v>
      </c>
      <c r="L2729" s="43" t="n">
        <f aca="false">K2729*'Chart of Accounts'!$E$68</f>
        <v>6.3851</v>
      </c>
      <c r="O2729" s="42" t="n">
        <f aca="false">I2729+J2729+L2729</f>
        <v>61.7754</v>
      </c>
    </row>
    <row r="2730" customFormat="false" ht="15" hidden="false" customHeight="false" outlineLevel="0" collapsed="false">
      <c r="B2730" s="7" t="s">
        <v>11363</v>
      </c>
      <c r="C2730" s="39" t="n">
        <v>45827</v>
      </c>
      <c r="D2730" s="7" t="s">
        <v>232</v>
      </c>
      <c r="E2730" s="7" t="s">
        <v>180</v>
      </c>
      <c r="F2730" s="6" t="n">
        <v>2.93</v>
      </c>
      <c r="G2730" s="6" t="n">
        <v>0</v>
      </c>
      <c r="H2730" s="41" t="n">
        <v>16.17</v>
      </c>
      <c r="I2730" s="43" t="n">
        <f aca="false">F2730*H2730</f>
        <v>47.3781</v>
      </c>
      <c r="J2730" s="43" t="n">
        <f aca="false">G2730*H2730*1.5</f>
        <v>0</v>
      </c>
      <c r="K2730" s="6" t="n">
        <v>8.73</v>
      </c>
      <c r="L2730" s="43" t="n">
        <f aca="false">K2730*'Chart of Accounts'!$E$68</f>
        <v>5.8491</v>
      </c>
      <c r="O2730" s="42" t="n">
        <f aca="false">I2730+J2730+L2730</f>
        <v>53.2272</v>
      </c>
    </row>
    <row r="2731" customFormat="false" ht="15" hidden="false" customHeight="false" outlineLevel="0" collapsed="false">
      <c r="B2731" s="7" t="s">
        <v>11364</v>
      </c>
      <c r="C2731" s="39" t="n">
        <v>45827</v>
      </c>
      <c r="D2731" s="7" t="s">
        <v>222</v>
      </c>
      <c r="E2731" s="7" t="s">
        <v>180</v>
      </c>
      <c r="F2731" s="6" t="n">
        <v>7.46</v>
      </c>
      <c r="G2731" s="6" t="n">
        <v>0</v>
      </c>
      <c r="H2731" s="41" t="n">
        <v>17.84</v>
      </c>
      <c r="I2731" s="43" t="n">
        <f aca="false">F2731*H2731</f>
        <v>133.0864</v>
      </c>
      <c r="J2731" s="43" t="n">
        <f aca="false">G2731*H2731*1.5</f>
        <v>0</v>
      </c>
      <c r="K2731" s="6" t="n">
        <v>20.18</v>
      </c>
      <c r="L2731" s="43" t="n">
        <f aca="false">K2731*'Chart of Accounts'!$E$68</f>
        <v>13.5206</v>
      </c>
      <c r="O2731" s="42" t="n">
        <f aca="false">I2731+J2731+L2731</f>
        <v>146.607</v>
      </c>
    </row>
    <row r="2732" customFormat="false" ht="15" hidden="false" customHeight="false" outlineLevel="0" collapsed="false">
      <c r="B2732" s="7" t="s">
        <v>11365</v>
      </c>
      <c r="C2732" s="39" t="n">
        <v>45827</v>
      </c>
      <c r="D2732" s="7" t="s">
        <v>246</v>
      </c>
      <c r="E2732" s="7" t="s">
        <v>180</v>
      </c>
      <c r="F2732" s="6" t="n">
        <v>8.29</v>
      </c>
      <c r="G2732" s="6" t="n">
        <v>0</v>
      </c>
      <c r="H2732" s="41" t="n">
        <v>16.48</v>
      </c>
      <c r="I2732" s="43" t="n">
        <f aca="false">F2732*H2732</f>
        <v>136.6192</v>
      </c>
      <c r="J2732" s="43" t="n">
        <f aca="false">G2732*H2732*1.5</f>
        <v>0</v>
      </c>
      <c r="K2732" s="6" t="n">
        <v>29.65</v>
      </c>
      <c r="L2732" s="43" t="n">
        <f aca="false">K2732*'Chart of Accounts'!$E$68</f>
        <v>19.8655</v>
      </c>
      <c r="O2732" s="42" t="n">
        <f aca="false">I2732+J2732+L2732</f>
        <v>156.4847</v>
      </c>
    </row>
    <row r="2733" customFormat="false" ht="15" hidden="false" customHeight="false" outlineLevel="0" collapsed="false">
      <c r="B2733" s="7" t="s">
        <v>11366</v>
      </c>
      <c r="C2733" s="39" t="n">
        <v>45827</v>
      </c>
      <c r="D2733" s="7" t="s">
        <v>194</v>
      </c>
      <c r="E2733" s="7" t="s">
        <v>180</v>
      </c>
      <c r="F2733" s="6" t="n">
        <v>4.16</v>
      </c>
      <c r="G2733" s="6" t="n">
        <v>0</v>
      </c>
      <c r="H2733" s="41" t="n">
        <v>16</v>
      </c>
      <c r="I2733" s="43" t="n">
        <f aca="false">F2733*H2733</f>
        <v>66.56</v>
      </c>
      <c r="J2733" s="43" t="n">
        <f aca="false">G2733*H2733*1.5</f>
        <v>0</v>
      </c>
      <c r="K2733" s="6" t="n">
        <v>13.07</v>
      </c>
      <c r="L2733" s="43" t="n">
        <f aca="false">K2733*'Chart of Accounts'!$E$68</f>
        <v>8.7569</v>
      </c>
      <c r="O2733" s="42" t="n">
        <f aca="false">I2733+J2733+L2733</f>
        <v>75.3169</v>
      </c>
    </row>
    <row r="2734" customFormat="false" ht="15" hidden="false" customHeight="false" outlineLevel="0" collapsed="false">
      <c r="B2734" s="7" t="s">
        <v>11367</v>
      </c>
      <c r="C2734" s="39" t="n">
        <v>45827</v>
      </c>
      <c r="D2734" s="7" t="s">
        <v>214</v>
      </c>
      <c r="E2734" s="7" t="s">
        <v>180</v>
      </c>
      <c r="F2734" s="6" t="n">
        <v>3.99</v>
      </c>
      <c r="G2734" s="6" t="n">
        <v>0</v>
      </c>
      <c r="H2734" s="41" t="n">
        <v>15.67</v>
      </c>
      <c r="I2734" s="43" t="n">
        <f aca="false">F2734*H2734</f>
        <v>62.5233</v>
      </c>
      <c r="J2734" s="43" t="n">
        <f aca="false">G2734*H2734*1.5</f>
        <v>0</v>
      </c>
      <c r="K2734" s="6" t="n">
        <v>10.29</v>
      </c>
      <c r="L2734" s="43" t="n">
        <f aca="false">K2734*'Chart of Accounts'!$E$68</f>
        <v>6.8943</v>
      </c>
      <c r="O2734" s="42" t="n">
        <f aca="false">I2734+J2734+L2734</f>
        <v>69.4176</v>
      </c>
    </row>
    <row r="2735" customFormat="false" ht="15" hidden="false" customHeight="false" outlineLevel="0" collapsed="false">
      <c r="B2735" s="7" t="s">
        <v>11368</v>
      </c>
      <c r="C2735" s="39" t="n">
        <v>45827</v>
      </c>
      <c r="D2735" s="7" t="s">
        <v>242</v>
      </c>
      <c r="E2735" s="7" t="s">
        <v>180</v>
      </c>
      <c r="F2735" s="6" t="n">
        <v>3.82</v>
      </c>
      <c r="G2735" s="6" t="n">
        <v>0</v>
      </c>
      <c r="H2735" s="41" t="n">
        <v>17.99</v>
      </c>
      <c r="I2735" s="43" t="n">
        <f aca="false">F2735*H2735</f>
        <v>68.7218</v>
      </c>
      <c r="J2735" s="43" t="n">
        <f aca="false">G2735*H2735*1.5</f>
        <v>0</v>
      </c>
      <c r="K2735" s="6" t="n">
        <v>12.89</v>
      </c>
      <c r="L2735" s="43" t="n">
        <f aca="false">K2735*'Chart of Accounts'!$E$68</f>
        <v>8.6363</v>
      </c>
      <c r="O2735" s="42" t="n">
        <f aca="false">I2735+J2735+L2735</f>
        <v>77.3581</v>
      </c>
    </row>
    <row r="2736" customFormat="false" ht="15" hidden="false" customHeight="false" outlineLevel="0" collapsed="false">
      <c r="B2736" s="7" t="s">
        <v>11369</v>
      </c>
      <c r="C2736" s="39" t="n">
        <v>45827</v>
      </c>
      <c r="D2736" s="7" t="s">
        <v>254</v>
      </c>
      <c r="E2736" s="7" t="s">
        <v>180</v>
      </c>
      <c r="F2736" s="6" t="n">
        <v>3.73</v>
      </c>
      <c r="G2736" s="6" t="n">
        <v>0</v>
      </c>
      <c r="H2736" s="41" t="n">
        <v>17.1</v>
      </c>
      <c r="I2736" s="43" t="n">
        <f aca="false">F2736*H2736</f>
        <v>63.783</v>
      </c>
      <c r="J2736" s="43" t="n">
        <f aca="false">G2736*H2736*1.5</f>
        <v>0</v>
      </c>
      <c r="K2736" s="6" t="n">
        <v>12.34</v>
      </c>
      <c r="L2736" s="43" t="n">
        <f aca="false">K2736*'Chart of Accounts'!$E$68</f>
        <v>8.2678</v>
      </c>
      <c r="O2736" s="42" t="n">
        <f aca="false">I2736+J2736+L2736</f>
        <v>72.0508</v>
      </c>
    </row>
    <row r="2737" customFormat="false" ht="15" hidden="false" customHeight="false" outlineLevel="0" collapsed="false">
      <c r="B2737" s="7" t="s">
        <v>11370</v>
      </c>
      <c r="C2737" s="39" t="n">
        <v>45828</v>
      </c>
      <c r="D2737" s="7" t="s">
        <v>187</v>
      </c>
      <c r="E2737" s="7" t="s">
        <v>158</v>
      </c>
      <c r="H2737" s="41" t="n">
        <v>66.48</v>
      </c>
      <c r="M2737" s="6" t="n">
        <v>1</v>
      </c>
      <c r="N2737" s="43" t="n">
        <f aca="false">M2737*H2737</f>
        <v>66.48</v>
      </c>
      <c r="O2737" s="42" t="n">
        <f aca="false">N2737</f>
        <v>66.48</v>
      </c>
    </row>
    <row r="2738" customFormat="false" ht="15" hidden="false" customHeight="false" outlineLevel="0" collapsed="false">
      <c r="B2738" s="7" t="s">
        <v>11371</v>
      </c>
      <c r="C2738" s="39" t="n">
        <v>45828</v>
      </c>
      <c r="D2738" s="7" t="s">
        <v>201</v>
      </c>
      <c r="E2738" s="7" t="s">
        <v>180</v>
      </c>
      <c r="F2738" s="6" t="n">
        <v>7.85</v>
      </c>
      <c r="G2738" s="6" t="n">
        <v>0</v>
      </c>
      <c r="H2738" s="41" t="n">
        <v>15.19</v>
      </c>
      <c r="I2738" s="43" t="n">
        <f aca="false">F2738*H2738</f>
        <v>119.2415</v>
      </c>
      <c r="J2738" s="43" t="n">
        <f aca="false">G2738*H2738*1.5</f>
        <v>0</v>
      </c>
      <c r="K2738" s="6" t="n">
        <v>18.2</v>
      </c>
      <c r="L2738" s="43" t="n">
        <f aca="false">K2738*'Chart of Accounts'!$E$68</f>
        <v>12.194</v>
      </c>
      <c r="O2738" s="42" t="n">
        <f aca="false">I2738+J2738+L2738</f>
        <v>131.4355</v>
      </c>
    </row>
    <row r="2739" customFormat="false" ht="15" hidden="false" customHeight="false" outlineLevel="0" collapsed="false">
      <c r="B2739" s="7" t="s">
        <v>11372</v>
      </c>
      <c r="C2739" s="39" t="n">
        <v>45828</v>
      </c>
      <c r="D2739" s="7" t="s">
        <v>194</v>
      </c>
      <c r="E2739" s="7" t="s">
        <v>180</v>
      </c>
      <c r="F2739" s="6" t="n">
        <v>8.22</v>
      </c>
      <c r="G2739" s="6" t="n">
        <v>0</v>
      </c>
      <c r="H2739" s="41" t="n">
        <v>16</v>
      </c>
      <c r="I2739" s="43" t="n">
        <f aca="false">F2739*H2739</f>
        <v>131.52</v>
      </c>
      <c r="J2739" s="43" t="n">
        <f aca="false">G2739*H2739*1.5</f>
        <v>0</v>
      </c>
      <c r="K2739" s="6" t="n">
        <v>25.03</v>
      </c>
      <c r="L2739" s="43" t="n">
        <f aca="false">K2739*'Chart of Accounts'!$E$68</f>
        <v>16.7701</v>
      </c>
      <c r="O2739" s="42" t="n">
        <f aca="false">I2739+J2739+L2739</f>
        <v>148.2901</v>
      </c>
    </row>
    <row r="2740" customFormat="false" ht="15" hidden="false" customHeight="false" outlineLevel="0" collapsed="false">
      <c r="B2740" s="7" t="s">
        <v>11373</v>
      </c>
      <c r="C2740" s="39" t="n">
        <v>45828</v>
      </c>
      <c r="D2740" s="7" t="s">
        <v>209</v>
      </c>
      <c r="E2740" s="7" t="s">
        <v>158</v>
      </c>
      <c r="H2740" s="41" t="n">
        <v>73.58</v>
      </c>
      <c r="M2740" s="6" t="n">
        <v>2</v>
      </c>
      <c r="N2740" s="43" t="n">
        <f aca="false">M2740*H2740</f>
        <v>147.16</v>
      </c>
      <c r="O2740" s="42" t="n">
        <f aca="false">N2740</f>
        <v>147.16</v>
      </c>
    </row>
    <row r="2741" customFormat="false" ht="15" hidden="false" customHeight="false" outlineLevel="0" collapsed="false">
      <c r="B2741" s="7" t="s">
        <v>11374</v>
      </c>
      <c r="C2741" s="39" t="n">
        <v>45828</v>
      </c>
      <c r="D2741" s="7" t="s">
        <v>205</v>
      </c>
      <c r="E2741" s="7" t="s">
        <v>180</v>
      </c>
      <c r="F2741" s="6" t="n">
        <v>3.97</v>
      </c>
      <c r="G2741" s="6" t="n">
        <v>0</v>
      </c>
      <c r="H2741" s="41" t="n">
        <v>16.36</v>
      </c>
      <c r="I2741" s="43" t="n">
        <f aca="false">F2741*H2741</f>
        <v>64.9492</v>
      </c>
      <c r="J2741" s="43" t="n">
        <f aca="false">G2741*H2741*1.5</f>
        <v>0</v>
      </c>
      <c r="K2741" s="6" t="n">
        <v>14.16</v>
      </c>
      <c r="L2741" s="43" t="n">
        <f aca="false">K2741*'Chart of Accounts'!$E$68</f>
        <v>9.4872</v>
      </c>
      <c r="O2741" s="42" t="n">
        <f aca="false">I2741+J2741+L2741</f>
        <v>74.4364</v>
      </c>
    </row>
    <row r="2742" customFormat="false" ht="15" hidden="false" customHeight="false" outlineLevel="0" collapsed="false">
      <c r="B2742" s="7" t="s">
        <v>11375</v>
      </c>
      <c r="C2742" s="39" t="n">
        <v>45828</v>
      </c>
      <c r="D2742" s="7" t="s">
        <v>264</v>
      </c>
      <c r="E2742" s="7" t="s">
        <v>158</v>
      </c>
      <c r="H2742" s="41" t="n">
        <v>55.55</v>
      </c>
      <c r="M2742" s="6" t="n">
        <v>1</v>
      </c>
      <c r="N2742" s="43" t="n">
        <f aca="false">M2742*H2742</f>
        <v>55.55</v>
      </c>
      <c r="O2742" s="42" t="n">
        <f aca="false">N2742</f>
        <v>55.55</v>
      </c>
    </row>
    <row r="2743" customFormat="false" ht="15" hidden="false" customHeight="false" outlineLevel="0" collapsed="false">
      <c r="B2743" s="7" t="s">
        <v>11376</v>
      </c>
      <c r="C2743" s="39" t="n">
        <v>45828</v>
      </c>
      <c r="D2743" s="7" t="s">
        <v>252</v>
      </c>
      <c r="E2743" s="7" t="s">
        <v>158</v>
      </c>
      <c r="H2743" s="41" t="n">
        <v>57.54</v>
      </c>
      <c r="M2743" s="6" t="n">
        <v>1</v>
      </c>
      <c r="N2743" s="43" t="n">
        <f aca="false">M2743*H2743</f>
        <v>57.54</v>
      </c>
      <c r="O2743" s="42" t="n">
        <f aca="false">N2743</f>
        <v>57.54</v>
      </c>
    </row>
    <row r="2744" customFormat="false" ht="15" hidden="false" customHeight="false" outlineLevel="0" collapsed="false">
      <c r="B2744" s="7" t="s">
        <v>11377</v>
      </c>
      <c r="C2744" s="39" t="n">
        <v>45828</v>
      </c>
      <c r="D2744" s="7" t="s">
        <v>184</v>
      </c>
      <c r="E2744" s="7" t="s">
        <v>180</v>
      </c>
      <c r="F2744" s="6" t="n">
        <v>3.67</v>
      </c>
      <c r="G2744" s="6" t="n">
        <v>0</v>
      </c>
      <c r="H2744" s="41" t="n">
        <v>17.34</v>
      </c>
      <c r="I2744" s="43" t="n">
        <f aca="false">F2744*H2744</f>
        <v>63.6378</v>
      </c>
      <c r="J2744" s="43" t="n">
        <f aca="false">G2744*H2744*1.5</f>
        <v>0</v>
      </c>
      <c r="K2744" s="6" t="n">
        <v>10.93</v>
      </c>
      <c r="L2744" s="43" t="n">
        <f aca="false">K2744*'Chart of Accounts'!$E$68</f>
        <v>7.3231</v>
      </c>
      <c r="O2744" s="42" t="n">
        <f aca="false">I2744+J2744+L2744</f>
        <v>70.9609</v>
      </c>
    </row>
    <row r="2745" customFormat="false" ht="15" hidden="false" customHeight="false" outlineLevel="0" collapsed="false">
      <c r="B2745" s="7" t="s">
        <v>11378</v>
      </c>
      <c r="C2745" s="39" t="n">
        <v>45828</v>
      </c>
      <c r="D2745" s="7" t="s">
        <v>234</v>
      </c>
      <c r="E2745" s="7" t="s">
        <v>158</v>
      </c>
      <c r="H2745" s="41" t="n">
        <v>89.53</v>
      </c>
      <c r="M2745" s="6" t="n">
        <v>2</v>
      </c>
      <c r="N2745" s="43" t="n">
        <f aca="false">M2745*H2745</f>
        <v>179.06</v>
      </c>
      <c r="O2745" s="42" t="n">
        <f aca="false">N2745</f>
        <v>179.06</v>
      </c>
    </row>
    <row r="2746" customFormat="false" ht="15" hidden="false" customHeight="false" outlineLevel="0" collapsed="false">
      <c r="B2746" s="7" t="s">
        <v>11379</v>
      </c>
      <c r="C2746" s="39" t="n">
        <v>45828</v>
      </c>
      <c r="D2746" s="7" t="s">
        <v>218</v>
      </c>
      <c r="E2746" s="7" t="s">
        <v>180</v>
      </c>
      <c r="F2746" s="6" t="n">
        <v>3.88</v>
      </c>
      <c r="G2746" s="6" t="n">
        <v>0</v>
      </c>
      <c r="H2746" s="41" t="n">
        <v>16.19</v>
      </c>
      <c r="I2746" s="43" t="n">
        <f aca="false">F2746*H2746</f>
        <v>62.8172</v>
      </c>
      <c r="J2746" s="43" t="n">
        <f aca="false">G2746*H2746*1.5</f>
        <v>0</v>
      </c>
      <c r="K2746" s="6" t="n">
        <v>9.96</v>
      </c>
      <c r="L2746" s="43" t="n">
        <f aca="false">K2746*'Chart of Accounts'!$E$68</f>
        <v>6.6732</v>
      </c>
      <c r="O2746" s="42" t="n">
        <f aca="false">I2746+J2746+L2746</f>
        <v>69.4904</v>
      </c>
    </row>
    <row r="2747" customFormat="false" ht="15" hidden="false" customHeight="false" outlineLevel="0" collapsed="false">
      <c r="B2747" s="7" t="s">
        <v>11380</v>
      </c>
      <c r="C2747" s="39" t="n">
        <v>45828</v>
      </c>
      <c r="D2747" s="7" t="s">
        <v>266</v>
      </c>
      <c r="E2747" s="7" t="s">
        <v>158</v>
      </c>
      <c r="H2747" s="41" t="n">
        <v>75.18</v>
      </c>
      <c r="M2747" s="6" t="n">
        <v>1</v>
      </c>
      <c r="N2747" s="43" t="n">
        <f aca="false">M2747*H2747</f>
        <v>75.18</v>
      </c>
      <c r="O2747" s="42" t="n">
        <f aca="false">N2747</f>
        <v>75.18</v>
      </c>
    </row>
    <row r="2748" customFormat="false" ht="15" hidden="false" customHeight="false" outlineLevel="0" collapsed="false">
      <c r="B2748" s="7" t="s">
        <v>11381</v>
      </c>
      <c r="C2748" s="39" t="n">
        <v>45828</v>
      </c>
      <c r="D2748" s="7" t="s">
        <v>228</v>
      </c>
      <c r="E2748" s="7" t="s">
        <v>158</v>
      </c>
      <c r="H2748" s="41" t="n">
        <v>51.07</v>
      </c>
      <c r="M2748" s="6" t="n">
        <v>1</v>
      </c>
      <c r="N2748" s="43" t="n">
        <f aca="false">M2748*H2748</f>
        <v>51.07</v>
      </c>
      <c r="O2748" s="42" t="n">
        <f aca="false">N2748</f>
        <v>51.07</v>
      </c>
    </row>
    <row r="2749" customFormat="false" ht="15" hidden="false" customHeight="false" outlineLevel="0" collapsed="false">
      <c r="B2749" s="7" t="s">
        <v>11382</v>
      </c>
      <c r="C2749" s="39" t="n">
        <v>45828</v>
      </c>
      <c r="D2749" s="7" t="s">
        <v>220</v>
      </c>
      <c r="E2749" s="7" t="s">
        <v>180</v>
      </c>
      <c r="F2749" s="6" t="n">
        <v>3.68</v>
      </c>
      <c r="G2749" s="6" t="n">
        <v>0</v>
      </c>
      <c r="H2749" s="41" t="n">
        <v>16.43</v>
      </c>
      <c r="I2749" s="43" t="n">
        <f aca="false">F2749*H2749</f>
        <v>60.4624</v>
      </c>
      <c r="J2749" s="43" t="n">
        <f aca="false">G2749*H2749*1.5</f>
        <v>0</v>
      </c>
      <c r="K2749" s="6" t="n">
        <v>8.2</v>
      </c>
      <c r="L2749" s="43" t="n">
        <f aca="false">K2749*'Chart of Accounts'!$E$68</f>
        <v>5.494</v>
      </c>
      <c r="O2749" s="42" t="n">
        <f aca="false">I2749+J2749+L2749</f>
        <v>65.9564</v>
      </c>
    </row>
    <row r="2750" customFormat="false" ht="15" hidden="false" customHeight="false" outlineLevel="0" collapsed="false">
      <c r="B2750" s="7" t="s">
        <v>11383</v>
      </c>
      <c r="C2750" s="39" t="n">
        <v>45828</v>
      </c>
      <c r="D2750" s="7" t="s">
        <v>177</v>
      </c>
      <c r="E2750" s="7" t="s">
        <v>180</v>
      </c>
      <c r="F2750" s="6" t="n">
        <v>8.7</v>
      </c>
      <c r="G2750" s="6" t="n">
        <v>0</v>
      </c>
      <c r="H2750" s="41" t="n">
        <v>14.56</v>
      </c>
      <c r="I2750" s="43" t="n">
        <f aca="false">F2750*H2750</f>
        <v>126.672</v>
      </c>
      <c r="J2750" s="43" t="n">
        <f aca="false">G2750*H2750*1.5</f>
        <v>0</v>
      </c>
      <c r="K2750" s="6" t="n">
        <v>24.5</v>
      </c>
      <c r="L2750" s="43" t="n">
        <f aca="false">K2750*'Chart of Accounts'!$E$68</f>
        <v>16.415</v>
      </c>
      <c r="O2750" s="42" t="n">
        <f aca="false">I2750+J2750+L2750</f>
        <v>143.087</v>
      </c>
    </row>
    <row r="2751" customFormat="false" ht="15" hidden="false" customHeight="false" outlineLevel="0" collapsed="false">
      <c r="B2751" s="7" t="s">
        <v>11384</v>
      </c>
      <c r="C2751" s="39" t="n">
        <v>45828</v>
      </c>
      <c r="D2751" s="7" t="s">
        <v>242</v>
      </c>
      <c r="E2751" s="7" t="s">
        <v>180</v>
      </c>
      <c r="F2751" s="6" t="n">
        <v>3.55</v>
      </c>
      <c r="G2751" s="6" t="n">
        <v>0</v>
      </c>
      <c r="H2751" s="41" t="n">
        <v>17.99</v>
      </c>
      <c r="I2751" s="43" t="n">
        <f aca="false">F2751*H2751</f>
        <v>63.8645</v>
      </c>
      <c r="J2751" s="43" t="n">
        <f aca="false">G2751*H2751*1.5</f>
        <v>0</v>
      </c>
      <c r="K2751" s="6" t="n">
        <v>12.44</v>
      </c>
      <c r="L2751" s="43" t="n">
        <f aca="false">K2751*'Chart of Accounts'!$E$68</f>
        <v>8.3348</v>
      </c>
      <c r="O2751" s="42" t="n">
        <f aca="false">I2751+J2751+L2751</f>
        <v>72.1993</v>
      </c>
    </row>
    <row r="2752" customFormat="false" ht="15" hidden="false" customHeight="false" outlineLevel="0" collapsed="false">
      <c r="B2752" s="7" t="s">
        <v>11385</v>
      </c>
      <c r="C2752" s="39" t="n">
        <v>45828</v>
      </c>
      <c r="D2752" s="7" t="s">
        <v>254</v>
      </c>
      <c r="E2752" s="7" t="s">
        <v>180</v>
      </c>
      <c r="F2752" s="6" t="n">
        <v>6.9</v>
      </c>
      <c r="G2752" s="6" t="n">
        <v>0</v>
      </c>
      <c r="H2752" s="41" t="n">
        <v>17.1</v>
      </c>
      <c r="I2752" s="43" t="n">
        <f aca="false">F2752*H2752</f>
        <v>117.99</v>
      </c>
      <c r="J2752" s="43" t="n">
        <f aca="false">G2752*H2752*1.5</f>
        <v>0</v>
      </c>
      <c r="K2752" s="6" t="n">
        <v>16.32</v>
      </c>
      <c r="L2752" s="43" t="n">
        <f aca="false">K2752*'Chart of Accounts'!$E$68</f>
        <v>10.9344</v>
      </c>
      <c r="O2752" s="42" t="n">
        <f aca="false">I2752+J2752+L2752</f>
        <v>128.9244</v>
      </c>
    </row>
    <row r="2753" customFormat="false" ht="15" hidden="false" customHeight="false" outlineLevel="0" collapsed="false">
      <c r="B2753" s="7" t="s">
        <v>11386</v>
      </c>
      <c r="C2753" s="39" t="n">
        <v>45828</v>
      </c>
      <c r="D2753" s="7" t="s">
        <v>207</v>
      </c>
      <c r="E2753" s="7" t="s">
        <v>180</v>
      </c>
      <c r="F2753" s="6" t="n">
        <v>3.41</v>
      </c>
      <c r="G2753" s="6" t="n">
        <v>0</v>
      </c>
      <c r="H2753" s="41" t="n">
        <v>16.65</v>
      </c>
      <c r="I2753" s="43" t="n">
        <f aca="false">F2753*H2753</f>
        <v>56.7765</v>
      </c>
      <c r="J2753" s="43" t="n">
        <f aca="false">G2753*H2753*1.5</f>
        <v>0</v>
      </c>
      <c r="K2753" s="6" t="n">
        <v>7.51</v>
      </c>
      <c r="L2753" s="43" t="n">
        <f aca="false">K2753*'Chart of Accounts'!$E$68</f>
        <v>5.0317</v>
      </c>
      <c r="O2753" s="42" t="n">
        <f aca="false">I2753+J2753+L2753</f>
        <v>61.8082</v>
      </c>
    </row>
    <row r="2754" customFormat="false" ht="15" hidden="false" customHeight="false" outlineLevel="0" collapsed="false">
      <c r="B2754" s="7" t="s">
        <v>11387</v>
      </c>
      <c r="C2754" s="39" t="n">
        <v>45828</v>
      </c>
      <c r="D2754" s="7" t="s">
        <v>212</v>
      </c>
      <c r="E2754" s="7" t="s">
        <v>180</v>
      </c>
      <c r="F2754" s="6" t="n">
        <v>3.87</v>
      </c>
      <c r="G2754" s="6" t="n">
        <v>0</v>
      </c>
      <c r="H2754" s="41" t="n">
        <v>16.71</v>
      </c>
      <c r="I2754" s="43" t="n">
        <f aca="false">F2754*H2754</f>
        <v>64.6677</v>
      </c>
      <c r="J2754" s="43" t="n">
        <f aca="false">G2754*H2754*1.5</f>
        <v>0</v>
      </c>
      <c r="K2754" s="6" t="n">
        <v>11.3</v>
      </c>
      <c r="L2754" s="43" t="n">
        <f aca="false">K2754*'Chart of Accounts'!$E$68</f>
        <v>7.571</v>
      </c>
      <c r="O2754" s="42" t="n">
        <f aca="false">I2754+J2754+L2754</f>
        <v>72.2387</v>
      </c>
    </row>
    <row r="2755" customFormat="false" ht="15" hidden="false" customHeight="false" outlineLevel="0" collapsed="false">
      <c r="B2755" s="7" t="s">
        <v>11388</v>
      </c>
      <c r="C2755" s="39" t="n">
        <v>45828</v>
      </c>
      <c r="D2755" s="7" t="s">
        <v>232</v>
      </c>
      <c r="E2755" s="7" t="s">
        <v>180</v>
      </c>
      <c r="F2755" s="6" t="n">
        <v>4.61</v>
      </c>
      <c r="G2755" s="6" t="n">
        <v>0</v>
      </c>
      <c r="H2755" s="41" t="n">
        <v>16.17</v>
      </c>
      <c r="I2755" s="43" t="n">
        <f aca="false">F2755*H2755</f>
        <v>74.5437</v>
      </c>
      <c r="J2755" s="43" t="n">
        <f aca="false">G2755*H2755*1.5</f>
        <v>0</v>
      </c>
      <c r="K2755" s="6" t="n">
        <v>14.81</v>
      </c>
      <c r="L2755" s="43" t="n">
        <f aca="false">K2755*'Chart of Accounts'!$E$68</f>
        <v>9.9227</v>
      </c>
      <c r="O2755" s="42" t="n">
        <f aca="false">I2755+J2755+L2755</f>
        <v>84.4664</v>
      </c>
    </row>
    <row r="2756" customFormat="false" ht="15" hidden="false" customHeight="false" outlineLevel="0" collapsed="false">
      <c r="B2756" s="7" t="s">
        <v>11389</v>
      </c>
      <c r="C2756" s="39" t="n">
        <v>45828</v>
      </c>
      <c r="D2756" s="7" t="s">
        <v>224</v>
      </c>
      <c r="E2756" s="7" t="s">
        <v>180</v>
      </c>
      <c r="F2756" s="6" t="n">
        <v>7.61</v>
      </c>
      <c r="G2756" s="6" t="n">
        <v>0</v>
      </c>
      <c r="H2756" s="41" t="n">
        <v>14.93</v>
      </c>
      <c r="I2756" s="43" t="n">
        <f aca="false">F2756*H2756</f>
        <v>113.6173</v>
      </c>
      <c r="J2756" s="43" t="n">
        <f aca="false">G2756*H2756*1.5</f>
        <v>0</v>
      </c>
      <c r="K2756" s="6" t="n">
        <v>21.01</v>
      </c>
      <c r="L2756" s="43" t="n">
        <f aca="false">K2756*'Chart of Accounts'!$E$68</f>
        <v>14.0767</v>
      </c>
      <c r="O2756" s="42" t="n">
        <f aca="false">I2756+J2756+L2756</f>
        <v>127.694</v>
      </c>
    </row>
    <row r="2757" customFormat="false" ht="15" hidden="false" customHeight="false" outlineLevel="0" collapsed="false">
      <c r="B2757" s="7" t="s">
        <v>11390</v>
      </c>
      <c r="C2757" s="39" t="n">
        <v>45828</v>
      </c>
      <c r="D2757" s="7" t="s">
        <v>238</v>
      </c>
      <c r="E2757" s="7" t="s">
        <v>180</v>
      </c>
      <c r="F2757" s="6" t="n">
        <v>3.94</v>
      </c>
      <c r="G2757" s="6" t="n">
        <v>0</v>
      </c>
      <c r="H2757" s="41" t="n">
        <v>15.85</v>
      </c>
      <c r="I2757" s="43" t="n">
        <f aca="false">F2757*H2757</f>
        <v>62.449</v>
      </c>
      <c r="J2757" s="43" t="n">
        <f aca="false">G2757*H2757*1.5</f>
        <v>0</v>
      </c>
      <c r="K2757" s="6" t="n">
        <v>13.48</v>
      </c>
      <c r="L2757" s="43" t="n">
        <f aca="false">K2757*'Chart of Accounts'!$E$68</f>
        <v>9.0316</v>
      </c>
      <c r="O2757" s="42" t="n">
        <f aca="false">I2757+J2757+L2757</f>
        <v>71.4806</v>
      </c>
    </row>
    <row r="2758" customFormat="false" ht="15" hidden="false" customHeight="false" outlineLevel="0" collapsed="false">
      <c r="B2758" s="7" t="s">
        <v>11391</v>
      </c>
      <c r="C2758" s="39" t="n">
        <v>45828</v>
      </c>
      <c r="D2758" s="7" t="s">
        <v>246</v>
      </c>
      <c r="E2758" s="7" t="s">
        <v>180</v>
      </c>
      <c r="F2758" s="6" t="n">
        <v>4.27</v>
      </c>
      <c r="G2758" s="6" t="n">
        <v>0</v>
      </c>
      <c r="H2758" s="41" t="n">
        <v>16.48</v>
      </c>
      <c r="I2758" s="43" t="n">
        <f aca="false">F2758*H2758</f>
        <v>70.3696</v>
      </c>
      <c r="J2758" s="43" t="n">
        <f aca="false">G2758*H2758*1.5</f>
        <v>0</v>
      </c>
      <c r="K2758" s="6" t="n">
        <v>10.01</v>
      </c>
      <c r="L2758" s="43" t="n">
        <f aca="false">K2758*'Chart of Accounts'!$E$68</f>
        <v>6.7067</v>
      </c>
      <c r="O2758" s="42" t="n">
        <f aca="false">I2758+J2758+L2758</f>
        <v>77.0763</v>
      </c>
    </row>
    <row r="2759" customFormat="false" ht="15" hidden="false" customHeight="false" outlineLevel="0" collapsed="false">
      <c r="B2759" s="7" t="s">
        <v>11392</v>
      </c>
      <c r="C2759" s="39" t="n">
        <v>45828</v>
      </c>
      <c r="D2759" s="7" t="s">
        <v>222</v>
      </c>
      <c r="E2759" s="7" t="s">
        <v>180</v>
      </c>
      <c r="F2759" s="6" t="n">
        <v>4.15</v>
      </c>
      <c r="G2759" s="6" t="n">
        <v>0</v>
      </c>
      <c r="H2759" s="41" t="n">
        <v>17.84</v>
      </c>
      <c r="I2759" s="43" t="n">
        <f aca="false">F2759*H2759</f>
        <v>74.036</v>
      </c>
      <c r="J2759" s="43" t="n">
        <f aca="false">G2759*H2759*1.5</f>
        <v>0</v>
      </c>
      <c r="K2759" s="6" t="n">
        <v>10.12</v>
      </c>
      <c r="L2759" s="43" t="n">
        <f aca="false">K2759*'Chart of Accounts'!$E$68</f>
        <v>6.7804</v>
      </c>
      <c r="O2759" s="42" t="n">
        <f aca="false">I2759+J2759+L2759</f>
        <v>80.8164</v>
      </c>
    </row>
    <row r="2760" customFormat="false" ht="15" hidden="false" customHeight="false" outlineLevel="0" collapsed="false">
      <c r="B2760" s="7" t="s">
        <v>11393</v>
      </c>
      <c r="C2760" s="39" t="n">
        <v>45828</v>
      </c>
      <c r="D2760" s="7" t="s">
        <v>203</v>
      </c>
      <c r="E2760" s="7" t="s">
        <v>158</v>
      </c>
      <c r="H2760" s="41" t="n">
        <v>49.43</v>
      </c>
      <c r="M2760" s="6" t="n">
        <v>1</v>
      </c>
      <c r="N2760" s="43" t="n">
        <f aca="false">M2760*H2760</f>
        <v>49.43</v>
      </c>
      <c r="O2760" s="42" t="n">
        <f aca="false">N2760</f>
        <v>49.43</v>
      </c>
    </row>
    <row r="2761" customFormat="false" ht="15" hidden="false" customHeight="false" outlineLevel="0" collapsed="false">
      <c r="B2761" s="7" t="s">
        <v>11394</v>
      </c>
      <c r="C2761" s="39" t="n">
        <v>45828</v>
      </c>
      <c r="D2761" s="7" t="s">
        <v>260</v>
      </c>
      <c r="E2761" s="7" t="s">
        <v>158</v>
      </c>
      <c r="H2761" s="41" t="n">
        <v>79.8</v>
      </c>
      <c r="M2761" s="6" t="n">
        <v>1</v>
      </c>
      <c r="N2761" s="43" t="n">
        <f aca="false">M2761*H2761</f>
        <v>79.8</v>
      </c>
      <c r="O2761" s="42" t="n">
        <f aca="false">N2761</f>
        <v>79.8</v>
      </c>
    </row>
    <row r="2762" customFormat="false" ht="15" hidden="false" customHeight="false" outlineLevel="0" collapsed="false">
      <c r="B2762" s="7" t="s">
        <v>11395</v>
      </c>
      <c r="C2762" s="39" t="n">
        <v>45828</v>
      </c>
      <c r="D2762" s="7" t="s">
        <v>214</v>
      </c>
      <c r="E2762" s="7" t="s">
        <v>180</v>
      </c>
      <c r="F2762" s="6" t="n">
        <v>3.33</v>
      </c>
      <c r="G2762" s="6" t="n">
        <v>0</v>
      </c>
      <c r="H2762" s="41" t="n">
        <v>15.67</v>
      </c>
      <c r="I2762" s="43" t="n">
        <f aca="false">F2762*H2762</f>
        <v>52.1811</v>
      </c>
      <c r="J2762" s="43" t="n">
        <f aca="false">G2762*H2762*1.5</f>
        <v>0</v>
      </c>
      <c r="K2762" s="6" t="n">
        <v>9.56</v>
      </c>
      <c r="L2762" s="43" t="n">
        <f aca="false">K2762*'Chart of Accounts'!$E$68</f>
        <v>6.4052</v>
      </c>
      <c r="O2762" s="42" t="n">
        <f aca="false">I2762+J2762+L2762</f>
        <v>58.5863</v>
      </c>
    </row>
    <row r="2763" customFormat="false" ht="15" hidden="false" customHeight="false" outlineLevel="0" collapsed="false">
      <c r="B2763" s="7" t="s">
        <v>11396</v>
      </c>
      <c r="C2763" s="39" t="n">
        <v>45829</v>
      </c>
      <c r="D2763" s="7" t="s">
        <v>224</v>
      </c>
      <c r="E2763" s="7" t="s">
        <v>180</v>
      </c>
      <c r="F2763" s="6" t="n">
        <v>3.74</v>
      </c>
      <c r="G2763" s="6" t="n">
        <v>0</v>
      </c>
      <c r="H2763" s="41" t="n">
        <v>14.93</v>
      </c>
      <c r="I2763" s="43" t="n">
        <f aca="false">F2763*H2763</f>
        <v>55.8382</v>
      </c>
      <c r="J2763" s="43" t="n">
        <f aca="false">G2763*H2763*1.5</f>
        <v>0</v>
      </c>
      <c r="K2763" s="6" t="n">
        <v>11.63</v>
      </c>
      <c r="L2763" s="43" t="n">
        <f aca="false">K2763*'Chart of Accounts'!$E$68</f>
        <v>7.7921</v>
      </c>
      <c r="O2763" s="42" t="n">
        <f aca="false">I2763+J2763+L2763</f>
        <v>63.6303</v>
      </c>
    </row>
    <row r="2764" customFormat="false" ht="15" hidden="false" customHeight="false" outlineLevel="0" collapsed="false">
      <c r="B2764" s="7" t="s">
        <v>11397</v>
      </c>
      <c r="C2764" s="39" t="n">
        <v>45829</v>
      </c>
      <c r="D2764" s="7" t="s">
        <v>212</v>
      </c>
      <c r="E2764" s="7" t="s">
        <v>180</v>
      </c>
      <c r="F2764" s="6" t="n">
        <v>4.07</v>
      </c>
      <c r="G2764" s="6" t="n">
        <v>0</v>
      </c>
      <c r="H2764" s="41" t="n">
        <v>16.71</v>
      </c>
      <c r="I2764" s="43" t="n">
        <f aca="false">F2764*H2764</f>
        <v>68.0097</v>
      </c>
      <c r="J2764" s="43" t="n">
        <f aca="false">G2764*H2764*1.5</f>
        <v>0</v>
      </c>
      <c r="K2764" s="6" t="n">
        <v>13.08</v>
      </c>
      <c r="L2764" s="43" t="n">
        <f aca="false">K2764*'Chart of Accounts'!$E$68</f>
        <v>8.7636</v>
      </c>
      <c r="O2764" s="42" t="n">
        <f aca="false">I2764+J2764+L2764</f>
        <v>76.7733</v>
      </c>
    </row>
    <row r="2765" customFormat="false" ht="15" hidden="false" customHeight="false" outlineLevel="0" collapsed="false">
      <c r="B2765" s="7" t="s">
        <v>11398</v>
      </c>
      <c r="C2765" s="39" t="n">
        <v>45829</v>
      </c>
      <c r="D2765" s="7" t="s">
        <v>222</v>
      </c>
      <c r="E2765" s="7" t="s">
        <v>180</v>
      </c>
      <c r="F2765" s="6" t="n">
        <v>4.18</v>
      </c>
      <c r="G2765" s="6" t="n">
        <v>0</v>
      </c>
      <c r="H2765" s="41" t="n">
        <v>17.84</v>
      </c>
      <c r="I2765" s="43" t="n">
        <f aca="false">F2765*H2765</f>
        <v>74.5712</v>
      </c>
      <c r="J2765" s="43" t="n">
        <f aca="false">G2765*H2765*1.5</f>
        <v>0</v>
      </c>
      <c r="K2765" s="6" t="n">
        <v>9.52</v>
      </c>
      <c r="L2765" s="43" t="n">
        <f aca="false">K2765*'Chart of Accounts'!$E$68</f>
        <v>6.3784</v>
      </c>
      <c r="O2765" s="42" t="n">
        <f aca="false">I2765+J2765+L2765</f>
        <v>80.9496</v>
      </c>
    </row>
    <row r="2766" customFormat="false" ht="15" hidden="false" customHeight="false" outlineLevel="0" collapsed="false">
      <c r="B2766" s="7" t="s">
        <v>11399</v>
      </c>
      <c r="C2766" s="39" t="n">
        <v>45829</v>
      </c>
      <c r="D2766" s="7" t="s">
        <v>242</v>
      </c>
      <c r="E2766" s="7" t="s">
        <v>180</v>
      </c>
      <c r="F2766" s="6" t="n">
        <v>3.83</v>
      </c>
      <c r="G2766" s="6" t="n">
        <v>0</v>
      </c>
      <c r="H2766" s="41" t="n">
        <v>17.99</v>
      </c>
      <c r="I2766" s="43" t="n">
        <f aca="false">F2766*H2766</f>
        <v>68.9017</v>
      </c>
      <c r="J2766" s="43" t="n">
        <f aca="false">G2766*H2766*1.5</f>
        <v>0</v>
      </c>
      <c r="K2766" s="6" t="n">
        <v>12.86</v>
      </c>
      <c r="L2766" s="43" t="n">
        <f aca="false">K2766*'Chart of Accounts'!$E$68</f>
        <v>8.6162</v>
      </c>
      <c r="O2766" s="42" t="n">
        <f aca="false">I2766+J2766+L2766</f>
        <v>77.5179</v>
      </c>
    </row>
    <row r="2767" customFormat="false" ht="15" hidden="false" customHeight="false" outlineLevel="0" collapsed="false">
      <c r="B2767" s="7" t="s">
        <v>11400</v>
      </c>
      <c r="C2767" s="39" t="n">
        <v>45829</v>
      </c>
      <c r="D2767" s="7" t="s">
        <v>254</v>
      </c>
      <c r="E2767" s="7" t="s">
        <v>180</v>
      </c>
      <c r="F2767" s="6" t="n">
        <v>3.89</v>
      </c>
      <c r="G2767" s="6" t="n">
        <v>0</v>
      </c>
      <c r="H2767" s="41" t="n">
        <v>17.1</v>
      </c>
      <c r="I2767" s="43" t="n">
        <f aca="false">F2767*H2767</f>
        <v>66.519</v>
      </c>
      <c r="J2767" s="43" t="n">
        <f aca="false">G2767*H2767*1.5</f>
        <v>0</v>
      </c>
      <c r="K2767" s="6" t="n">
        <v>8.88</v>
      </c>
      <c r="L2767" s="43" t="n">
        <f aca="false">K2767*'Chart of Accounts'!$E$68</f>
        <v>5.9496</v>
      </c>
      <c r="O2767" s="42" t="n">
        <f aca="false">I2767+J2767+L2767</f>
        <v>72.4686</v>
      </c>
    </row>
    <row r="2768" customFormat="false" ht="15" hidden="false" customHeight="false" outlineLevel="0" collapsed="false">
      <c r="B2768" s="7" t="s">
        <v>11401</v>
      </c>
      <c r="C2768" s="39" t="n">
        <v>45830</v>
      </c>
      <c r="D2768" s="7" t="s">
        <v>218</v>
      </c>
      <c r="E2768" s="7" t="s">
        <v>180</v>
      </c>
      <c r="F2768" s="6" t="n">
        <v>7.42</v>
      </c>
      <c r="G2768" s="6" t="n">
        <v>0</v>
      </c>
      <c r="H2768" s="41" t="n">
        <v>16.19</v>
      </c>
      <c r="I2768" s="43" t="n">
        <f aca="false">F2768*H2768</f>
        <v>120.1298</v>
      </c>
      <c r="J2768" s="43" t="n">
        <f aca="false">G2768*H2768*1.5</f>
        <v>0</v>
      </c>
      <c r="K2768" s="6" t="n">
        <v>18.67</v>
      </c>
      <c r="L2768" s="43" t="n">
        <f aca="false">K2768*'Chart of Accounts'!$E$68</f>
        <v>12.5089</v>
      </c>
      <c r="O2768" s="42" t="n">
        <f aca="false">I2768+J2768+L2768</f>
        <v>132.6387</v>
      </c>
    </row>
    <row r="2769" customFormat="false" ht="15" hidden="false" customHeight="false" outlineLevel="0" collapsed="false">
      <c r="B2769" s="7" t="s">
        <v>11402</v>
      </c>
      <c r="C2769" s="39" t="n">
        <v>45830</v>
      </c>
      <c r="D2769" s="7" t="s">
        <v>212</v>
      </c>
      <c r="E2769" s="7" t="s">
        <v>180</v>
      </c>
      <c r="F2769" s="6" t="n">
        <v>3.93</v>
      </c>
      <c r="G2769" s="6" t="n">
        <v>0</v>
      </c>
      <c r="H2769" s="41" t="n">
        <v>16.71</v>
      </c>
      <c r="I2769" s="43" t="n">
        <f aca="false">F2769*H2769</f>
        <v>65.6703</v>
      </c>
      <c r="J2769" s="43" t="n">
        <f aca="false">G2769*H2769*1.5</f>
        <v>0</v>
      </c>
      <c r="K2769" s="6" t="n">
        <v>10.98</v>
      </c>
      <c r="L2769" s="43" t="n">
        <f aca="false">K2769*'Chart of Accounts'!$E$68</f>
        <v>7.3566</v>
      </c>
      <c r="O2769" s="42" t="n">
        <f aca="false">I2769+J2769+L2769</f>
        <v>73.0269</v>
      </c>
    </row>
    <row r="2770" customFormat="false" ht="15" hidden="false" customHeight="false" outlineLevel="0" collapsed="false">
      <c r="B2770" s="7" t="s">
        <v>11403</v>
      </c>
      <c r="C2770" s="39" t="n">
        <v>45830</v>
      </c>
      <c r="D2770" s="7" t="s">
        <v>222</v>
      </c>
      <c r="E2770" s="7" t="s">
        <v>180</v>
      </c>
      <c r="F2770" s="6" t="n">
        <v>3.63</v>
      </c>
      <c r="G2770" s="6" t="n">
        <v>0</v>
      </c>
      <c r="H2770" s="41" t="n">
        <v>17.84</v>
      </c>
      <c r="I2770" s="43" t="n">
        <f aca="false">F2770*H2770</f>
        <v>64.7592</v>
      </c>
      <c r="J2770" s="43" t="n">
        <f aca="false">G2770*H2770*1.5</f>
        <v>0</v>
      </c>
      <c r="K2770" s="6" t="n">
        <v>10.77</v>
      </c>
      <c r="L2770" s="43" t="n">
        <f aca="false">K2770*'Chart of Accounts'!$E$68</f>
        <v>7.2159</v>
      </c>
      <c r="O2770" s="42" t="n">
        <f aca="false">I2770+J2770+L2770</f>
        <v>71.9751</v>
      </c>
    </row>
    <row r="2771" customFormat="false" ht="15" hidden="false" customHeight="false" outlineLevel="0" collapsed="false">
      <c r="B2771" s="7" t="s">
        <v>11404</v>
      </c>
      <c r="C2771" s="39" t="n">
        <v>45830</v>
      </c>
      <c r="D2771" s="7" t="s">
        <v>242</v>
      </c>
      <c r="E2771" s="7" t="s">
        <v>180</v>
      </c>
      <c r="F2771" s="6" t="n">
        <v>4.03</v>
      </c>
      <c r="G2771" s="6" t="n">
        <v>0</v>
      </c>
      <c r="H2771" s="41" t="n">
        <v>17.99</v>
      </c>
      <c r="I2771" s="43" t="n">
        <f aca="false">F2771*H2771</f>
        <v>72.4997</v>
      </c>
      <c r="J2771" s="43" t="n">
        <f aca="false">G2771*H2771*1.5</f>
        <v>0</v>
      </c>
      <c r="K2771" s="6" t="n">
        <v>10.97</v>
      </c>
      <c r="L2771" s="43" t="n">
        <f aca="false">K2771*'Chart of Accounts'!$E$68</f>
        <v>7.3499</v>
      </c>
      <c r="O2771" s="42" t="n">
        <f aca="false">I2771+J2771+L2771</f>
        <v>79.8496</v>
      </c>
    </row>
    <row r="2772" customFormat="false" ht="15" hidden="false" customHeight="false" outlineLevel="0" collapsed="false">
      <c r="B2772" s="7" t="s">
        <v>11405</v>
      </c>
      <c r="C2772" s="39" t="n">
        <v>45830</v>
      </c>
      <c r="D2772" s="7" t="s">
        <v>254</v>
      </c>
      <c r="E2772" s="7" t="s">
        <v>180</v>
      </c>
      <c r="F2772" s="6" t="n">
        <v>4.03</v>
      </c>
      <c r="G2772" s="6" t="n">
        <v>0</v>
      </c>
      <c r="H2772" s="41" t="n">
        <v>17.1</v>
      </c>
      <c r="I2772" s="43" t="n">
        <f aca="false">F2772*H2772</f>
        <v>68.913</v>
      </c>
      <c r="J2772" s="43" t="n">
        <f aca="false">G2772*H2772*1.5</f>
        <v>0</v>
      </c>
      <c r="K2772" s="6" t="n">
        <v>11.36</v>
      </c>
      <c r="L2772" s="43" t="n">
        <f aca="false">K2772*'Chart of Accounts'!$E$68</f>
        <v>7.6112</v>
      </c>
      <c r="O2772" s="42" t="n">
        <f aca="false">I2772+J2772+L2772</f>
        <v>76.5242</v>
      </c>
    </row>
    <row r="2773" customFormat="false" ht="15" hidden="false" customHeight="false" outlineLevel="0" collapsed="false">
      <c r="B2773" s="7" t="s">
        <v>11406</v>
      </c>
      <c r="C2773" s="39" t="n">
        <v>45831</v>
      </c>
      <c r="D2773" s="7" t="s">
        <v>187</v>
      </c>
      <c r="E2773" s="7" t="s">
        <v>158</v>
      </c>
      <c r="H2773" s="41" t="n">
        <v>66.48</v>
      </c>
      <c r="M2773" s="6" t="n">
        <v>1</v>
      </c>
      <c r="N2773" s="43" t="n">
        <f aca="false">M2773*H2773</f>
        <v>66.48</v>
      </c>
      <c r="O2773" s="42" t="n">
        <f aca="false">N2773</f>
        <v>66.48</v>
      </c>
    </row>
    <row r="2774" customFormat="false" ht="15" hidden="false" customHeight="false" outlineLevel="0" collapsed="false">
      <c r="B2774" s="7" t="s">
        <v>11407</v>
      </c>
      <c r="C2774" s="39" t="n">
        <v>45831</v>
      </c>
      <c r="D2774" s="7" t="s">
        <v>246</v>
      </c>
      <c r="E2774" s="7" t="s">
        <v>180</v>
      </c>
      <c r="F2774" s="6" t="n">
        <v>11.75</v>
      </c>
      <c r="G2774" s="6" t="n">
        <v>0</v>
      </c>
      <c r="H2774" s="41" t="n">
        <v>16.48</v>
      </c>
      <c r="I2774" s="43" t="n">
        <f aca="false">F2774*H2774</f>
        <v>193.64</v>
      </c>
      <c r="J2774" s="43" t="n">
        <f aca="false">G2774*H2774*1.5</f>
        <v>0</v>
      </c>
      <c r="K2774" s="6" t="n">
        <v>32.09</v>
      </c>
      <c r="L2774" s="43" t="n">
        <f aca="false">K2774*'Chart of Accounts'!$E$68</f>
        <v>21.5003</v>
      </c>
      <c r="O2774" s="42" t="n">
        <f aca="false">I2774+J2774+L2774</f>
        <v>215.1403</v>
      </c>
    </row>
    <row r="2775" customFormat="false" ht="15" hidden="false" customHeight="false" outlineLevel="0" collapsed="false">
      <c r="B2775" s="7" t="s">
        <v>11408</v>
      </c>
      <c r="C2775" s="39" t="n">
        <v>45831</v>
      </c>
      <c r="D2775" s="7" t="s">
        <v>194</v>
      </c>
      <c r="E2775" s="7" t="s">
        <v>180</v>
      </c>
      <c r="F2775" s="6" t="n">
        <v>7.87</v>
      </c>
      <c r="G2775" s="6" t="n">
        <v>0</v>
      </c>
      <c r="H2775" s="41" t="n">
        <v>16</v>
      </c>
      <c r="I2775" s="43" t="n">
        <f aca="false">F2775*H2775</f>
        <v>125.92</v>
      </c>
      <c r="J2775" s="43" t="n">
        <f aca="false">G2775*H2775*1.5</f>
        <v>0</v>
      </c>
      <c r="K2775" s="6" t="n">
        <v>25.02</v>
      </c>
      <c r="L2775" s="43" t="n">
        <f aca="false">K2775*'Chart of Accounts'!$E$68</f>
        <v>16.7634</v>
      </c>
      <c r="O2775" s="42" t="n">
        <f aca="false">I2775+J2775+L2775</f>
        <v>142.6834</v>
      </c>
    </row>
    <row r="2776" customFormat="false" ht="15" hidden="false" customHeight="false" outlineLevel="0" collapsed="false">
      <c r="B2776" s="7" t="s">
        <v>11409</v>
      </c>
      <c r="C2776" s="39" t="n">
        <v>45831</v>
      </c>
      <c r="D2776" s="7" t="s">
        <v>201</v>
      </c>
      <c r="E2776" s="7" t="s">
        <v>180</v>
      </c>
      <c r="F2776" s="6" t="n">
        <v>9.2</v>
      </c>
      <c r="G2776" s="6" t="n">
        <v>0</v>
      </c>
      <c r="H2776" s="41" t="n">
        <v>15.19</v>
      </c>
      <c r="I2776" s="43" t="n">
        <f aca="false">F2776*H2776</f>
        <v>139.748</v>
      </c>
      <c r="J2776" s="43" t="n">
        <f aca="false">G2776*H2776*1.5</f>
        <v>0</v>
      </c>
      <c r="K2776" s="6" t="n">
        <v>28.59</v>
      </c>
      <c r="L2776" s="43" t="n">
        <f aca="false">K2776*'Chart of Accounts'!$E$68</f>
        <v>19.1553</v>
      </c>
      <c r="O2776" s="42" t="n">
        <f aca="false">I2776+J2776+L2776</f>
        <v>158.9033</v>
      </c>
    </row>
    <row r="2777" customFormat="false" ht="15" hidden="false" customHeight="false" outlineLevel="0" collapsed="false">
      <c r="B2777" s="7" t="s">
        <v>11410</v>
      </c>
      <c r="C2777" s="39" t="n">
        <v>45831</v>
      </c>
      <c r="D2777" s="7" t="s">
        <v>205</v>
      </c>
      <c r="E2777" s="7" t="s">
        <v>180</v>
      </c>
      <c r="F2777" s="6" t="n">
        <v>3.68</v>
      </c>
      <c r="G2777" s="6" t="n">
        <v>0</v>
      </c>
      <c r="H2777" s="41" t="n">
        <v>16.36</v>
      </c>
      <c r="I2777" s="43" t="n">
        <f aca="false">F2777*H2777</f>
        <v>60.2048</v>
      </c>
      <c r="J2777" s="43" t="n">
        <f aca="false">G2777*H2777*1.5</f>
        <v>0</v>
      </c>
      <c r="K2777" s="6" t="n">
        <v>9.61</v>
      </c>
      <c r="L2777" s="43" t="n">
        <f aca="false">K2777*'Chart of Accounts'!$E$68</f>
        <v>6.4387</v>
      </c>
      <c r="O2777" s="42" t="n">
        <f aca="false">I2777+J2777+L2777</f>
        <v>66.6435</v>
      </c>
    </row>
    <row r="2778" customFormat="false" ht="15" hidden="false" customHeight="false" outlineLevel="0" collapsed="false">
      <c r="B2778" s="7" t="s">
        <v>11411</v>
      </c>
      <c r="C2778" s="39" t="n">
        <v>45831</v>
      </c>
      <c r="D2778" s="7" t="s">
        <v>264</v>
      </c>
      <c r="E2778" s="7" t="s">
        <v>158</v>
      </c>
      <c r="H2778" s="41" t="n">
        <v>55.55</v>
      </c>
      <c r="M2778" s="6" t="n">
        <v>1</v>
      </c>
      <c r="N2778" s="43" t="n">
        <f aca="false">M2778*H2778</f>
        <v>55.55</v>
      </c>
      <c r="O2778" s="42" t="n">
        <f aca="false">N2778</f>
        <v>55.55</v>
      </c>
    </row>
    <row r="2779" customFormat="false" ht="15" hidden="false" customHeight="false" outlineLevel="0" collapsed="false">
      <c r="B2779" s="7" t="s">
        <v>11412</v>
      </c>
      <c r="C2779" s="39" t="n">
        <v>45831</v>
      </c>
      <c r="D2779" s="7" t="s">
        <v>252</v>
      </c>
      <c r="E2779" s="7" t="s">
        <v>158</v>
      </c>
      <c r="H2779" s="41" t="n">
        <v>57.54</v>
      </c>
      <c r="M2779" s="6" t="n">
        <v>1</v>
      </c>
      <c r="N2779" s="43" t="n">
        <f aca="false">M2779*H2779</f>
        <v>57.54</v>
      </c>
      <c r="O2779" s="42" t="n">
        <f aca="false">N2779</f>
        <v>57.54</v>
      </c>
    </row>
    <row r="2780" customFormat="false" ht="15" hidden="false" customHeight="false" outlineLevel="0" collapsed="false">
      <c r="B2780" s="7" t="s">
        <v>11413</v>
      </c>
      <c r="C2780" s="39" t="n">
        <v>45831</v>
      </c>
      <c r="D2780" s="7" t="s">
        <v>196</v>
      </c>
      <c r="E2780" s="7" t="s">
        <v>180</v>
      </c>
      <c r="F2780" s="6" t="n">
        <v>9.01</v>
      </c>
      <c r="G2780" s="6" t="n">
        <v>0</v>
      </c>
      <c r="H2780" s="41" t="n">
        <v>15.05</v>
      </c>
      <c r="I2780" s="43" t="n">
        <f aca="false">F2780*H2780</f>
        <v>135.6005</v>
      </c>
      <c r="J2780" s="43" t="n">
        <f aca="false">G2780*H2780*1.5</f>
        <v>0</v>
      </c>
      <c r="K2780" s="6" t="n">
        <v>20.87</v>
      </c>
      <c r="L2780" s="43" t="n">
        <f aca="false">K2780*'Chart of Accounts'!$E$68</f>
        <v>13.9829</v>
      </c>
      <c r="O2780" s="42" t="n">
        <f aca="false">I2780+J2780+L2780</f>
        <v>149.5834</v>
      </c>
    </row>
    <row r="2781" customFormat="false" ht="15" hidden="false" customHeight="false" outlineLevel="0" collapsed="false">
      <c r="B2781" s="7" t="s">
        <v>11414</v>
      </c>
      <c r="C2781" s="39" t="n">
        <v>45831</v>
      </c>
      <c r="D2781" s="7" t="s">
        <v>184</v>
      </c>
      <c r="E2781" s="7" t="s">
        <v>180</v>
      </c>
      <c r="F2781" s="6" t="n">
        <v>4.33</v>
      </c>
      <c r="G2781" s="6" t="n">
        <v>0</v>
      </c>
      <c r="H2781" s="41" t="n">
        <v>17.34</v>
      </c>
      <c r="I2781" s="43" t="n">
        <f aca="false">F2781*H2781</f>
        <v>75.0822</v>
      </c>
      <c r="J2781" s="43" t="n">
        <f aca="false">G2781*H2781*1.5</f>
        <v>0</v>
      </c>
      <c r="K2781" s="6" t="n">
        <v>9.85</v>
      </c>
      <c r="L2781" s="43" t="n">
        <f aca="false">K2781*'Chart of Accounts'!$E$68</f>
        <v>6.5995</v>
      </c>
      <c r="O2781" s="42" t="n">
        <f aca="false">I2781+J2781+L2781</f>
        <v>81.6817</v>
      </c>
    </row>
    <row r="2782" customFormat="false" ht="15" hidden="false" customHeight="false" outlineLevel="0" collapsed="false">
      <c r="B2782" s="7" t="s">
        <v>11415</v>
      </c>
      <c r="C2782" s="39" t="n">
        <v>45831</v>
      </c>
      <c r="D2782" s="7" t="s">
        <v>207</v>
      </c>
      <c r="E2782" s="7" t="s">
        <v>180</v>
      </c>
      <c r="F2782" s="6" t="n">
        <v>6.27</v>
      </c>
      <c r="G2782" s="6" t="n">
        <v>0</v>
      </c>
      <c r="H2782" s="41" t="n">
        <v>16.65</v>
      </c>
      <c r="I2782" s="43" t="n">
        <f aca="false">F2782*H2782</f>
        <v>104.3955</v>
      </c>
      <c r="J2782" s="43" t="n">
        <f aca="false">G2782*H2782*1.5</f>
        <v>0</v>
      </c>
      <c r="K2782" s="6" t="n">
        <v>22.35</v>
      </c>
      <c r="L2782" s="43" t="n">
        <f aca="false">K2782*'Chart of Accounts'!$E$68</f>
        <v>14.9745</v>
      </c>
      <c r="O2782" s="42" t="n">
        <f aca="false">I2782+J2782+L2782</f>
        <v>119.37</v>
      </c>
    </row>
    <row r="2783" customFormat="false" ht="15" hidden="false" customHeight="false" outlineLevel="0" collapsed="false">
      <c r="B2783" s="7" t="s">
        <v>11416</v>
      </c>
      <c r="C2783" s="39" t="n">
        <v>45831</v>
      </c>
      <c r="D2783" s="7" t="s">
        <v>218</v>
      </c>
      <c r="E2783" s="7" t="s">
        <v>180</v>
      </c>
      <c r="F2783" s="6" t="n">
        <v>4.03</v>
      </c>
      <c r="G2783" s="6" t="n">
        <v>0</v>
      </c>
      <c r="H2783" s="41" t="n">
        <v>16.19</v>
      </c>
      <c r="I2783" s="43" t="n">
        <f aca="false">F2783*H2783</f>
        <v>65.2457</v>
      </c>
      <c r="J2783" s="43" t="n">
        <f aca="false">G2783*H2783*1.5</f>
        <v>0</v>
      </c>
      <c r="K2783" s="6" t="n">
        <v>9.38</v>
      </c>
      <c r="L2783" s="43" t="n">
        <f aca="false">K2783*'Chart of Accounts'!$E$68</f>
        <v>6.2846</v>
      </c>
      <c r="O2783" s="42" t="n">
        <f aca="false">I2783+J2783+L2783</f>
        <v>71.5303</v>
      </c>
    </row>
    <row r="2784" customFormat="false" ht="15" hidden="false" customHeight="false" outlineLevel="0" collapsed="false">
      <c r="B2784" s="7" t="s">
        <v>11417</v>
      </c>
      <c r="C2784" s="39" t="n">
        <v>45831</v>
      </c>
      <c r="D2784" s="7" t="s">
        <v>212</v>
      </c>
      <c r="E2784" s="7" t="s">
        <v>180</v>
      </c>
      <c r="F2784" s="6" t="n">
        <v>10.277</v>
      </c>
      <c r="G2784" s="6" t="n">
        <v>0.203</v>
      </c>
      <c r="H2784" s="41" t="n">
        <v>16.71</v>
      </c>
      <c r="I2784" s="43" t="n">
        <f aca="false">F2784*H2784</f>
        <v>171.72867</v>
      </c>
      <c r="J2784" s="43" t="n">
        <f aca="false">G2784*H2784*1.5</f>
        <v>5.088195</v>
      </c>
      <c r="K2784" s="6" t="n">
        <v>36.65</v>
      </c>
      <c r="L2784" s="43" t="n">
        <f aca="false">K2784*'Chart of Accounts'!$E$68</f>
        <v>24.5555</v>
      </c>
      <c r="O2784" s="42" t="n">
        <f aca="false">I2784+J2784+L2784</f>
        <v>201.372365</v>
      </c>
    </row>
    <row r="2785" customFormat="false" ht="15" hidden="false" customHeight="false" outlineLevel="0" collapsed="false">
      <c r="B2785" s="7" t="s">
        <v>11418</v>
      </c>
      <c r="C2785" s="39" t="n">
        <v>45831</v>
      </c>
      <c r="D2785" s="7" t="s">
        <v>220</v>
      </c>
      <c r="E2785" s="7" t="s">
        <v>180</v>
      </c>
      <c r="F2785" s="6" t="n">
        <v>4.35</v>
      </c>
      <c r="G2785" s="6" t="n">
        <v>0</v>
      </c>
      <c r="H2785" s="41" t="n">
        <v>16.43</v>
      </c>
      <c r="I2785" s="43" t="n">
        <f aca="false">F2785*H2785</f>
        <v>71.4705</v>
      </c>
      <c r="J2785" s="43" t="n">
        <f aca="false">G2785*H2785*1.5</f>
        <v>0</v>
      </c>
      <c r="K2785" s="6" t="n">
        <v>13.05</v>
      </c>
      <c r="L2785" s="43" t="n">
        <f aca="false">K2785*'Chart of Accounts'!$E$68</f>
        <v>8.7435</v>
      </c>
      <c r="O2785" s="42" t="n">
        <f aca="false">I2785+J2785+L2785</f>
        <v>80.214</v>
      </c>
    </row>
    <row r="2786" customFormat="false" ht="15" hidden="false" customHeight="false" outlineLevel="0" collapsed="false">
      <c r="B2786" s="7" t="s">
        <v>11419</v>
      </c>
      <c r="C2786" s="39" t="n">
        <v>45831</v>
      </c>
      <c r="D2786" s="7" t="s">
        <v>224</v>
      </c>
      <c r="E2786" s="7" t="s">
        <v>180</v>
      </c>
      <c r="F2786" s="6" t="n">
        <v>7.98</v>
      </c>
      <c r="G2786" s="6" t="n">
        <v>0</v>
      </c>
      <c r="H2786" s="41" t="n">
        <v>14.93</v>
      </c>
      <c r="I2786" s="43" t="n">
        <f aca="false">F2786*H2786</f>
        <v>119.1414</v>
      </c>
      <c r="J2786" s="43" t="n">
        <f aca="false">G2786*H2786*1.5</f>
        <v>0</v>
      </c>
      <c r="K2786" s="6" t="n">
        <v>17.56</v>
      </c>
      <c r="L2786" s="43" t="n">
        <f aca="false">K2786*'Chart of Accounts'!$E$68</f>
        <v>11.7652</v>
      </c>
      <c r="O2786" s="42" t="n">
        <f aca="false">I2786+J2786+L2786</f>
        <v>130.9066</v>
      </c>
    </row>
    <row r="2787" customFormat="false" ht="15" hidden="false" customHeight="false" outlineLevel="0" collapsed="false">
      <c r="B2787" s="7" t="s">
        <v>11420</v>
      </c>
      <c r="C2787" s="39" t="n">
        <v>45831</v>
      </c>
      <c r="D2787" s="7" t="s">
        <v>177</v>
      </c>
      <c r="E2787" s="7" t="s">
        <v>180</v>
      </c>
      <c r="F2787" s="6" t="n">
        <v>8.82</v>
      </c>
      <c r="G2787" s="6" t="n">
        <v>0</v>
      </c>
      <c r="H2787" s="41" t="n">
        <v>14.56</v>
      </c>
      <c r="I2787" s="43" t="n">
        <f aca="false">F2787*H2787</f>
        <v>128.4192</v>
      </c>
      <c r="J2787" s="43" t="n">
        <f aca="false">G2787*H2787*1.5</f>
        <v>0</v>
      </c>
      <c r="K2787" s="6" t="n">
        <v>27.75</v>
      </c>
      <c r="L2787" s="43" t="n">
        <f aca="false">K2787*'Chart of Accounts'!$E$68</f>
        <v>18.5925</v>
      </c>
      <c r="O2787" s="42" t="n">
        <f aca="false">I2787+J2787+L2787</f>
        <v>147.0117</v>
      </c>
    </row>
    <row r="2788" customFormat="false" ht="15" hidden="false" customHeight="false" outlineLevel="0" collapsed="false">
      <c r="B2788" s="7" t="s">
        <v>11421</v>
      </c>
      <c r="C2788" s="39" t="n">
        <v>45831</v>
      </c>
      <c r="D2788" s="7" t="s">
        <v>232</v>
      </c>
      <c r="E2788" s="7" t="s">
        <v>180</v>
      </c>
      <c r="F2788" s="6" t="n">
        <v>7.49</v>
      </c>
      <c r="G2788" s="6" t="n">
        <v>0</v>
      </c>
      <c r="H2788" s="41" t="n">
        <v>16.17</v>
      </c>
      <c r="I2788" s="43" t="n">
        <f aca="false">F2788*H2788</f>
        <v>121.1133</v>
      </c>
      <c r="J2788" s="43" t="n">
        <f aca="false">G2788*H2788*1.5</f>
        <v>0</v>
      </c>
      <c r="K2788" s="6" t="n">
        <v>17.01</v>
      </c>
      <c r="L2788" s="43" t="n">
        <f aca="false">K2788*'Chart of Accounts'!$E$68</f>
        <v>11.3967</v>
      </c>
      <c r="O2788" s="42" t="n">
        <f aca="false">I2788+J2788+L2788</f>
        <v>132.51</v>
      </c>
    </row>
    <row r="2789" customFormat="false" ht="15" hidden="false" customHeight="false" outlineLevel="0" collapsed="false">
      <c r="B2789" s="7" t="s">
        <v>11422</v>
      </c>
      <c r="C2789" s="39" t="n">
        <v>45831</v>
      </c>
      <c r="D2789" s="7" t="s">
        <v>242</v>
      </c>
      <c r="E2789" s="7" t="s">
        <v>180</v>
      </c>
      <c r="F2789" s="6" t="n">
        <v>7.15</v>
      </c>
      <c r="G2789" s="6" t="n">
        <v>0</v>
      </c>
      <c r="H2789" s="41" t="n">
        <v>17.99</v>
      </c>
      <c r="I2789" s="43" t="n">
        <f aca="false">F2789*H2789</f>
        <v>128.6285</v>
      </c>
      <c r="J2789" s="43" t="n">
        <f aca="false">G2789*H2789*1.5</f>
        <v>0</v>
      </c>
      <c r="K2789" s="6" t="n">
        <v>16.79</v>
      </c>
      <c r="L2789" s="43" t="n">
        <f aca="false">K2789*'Chart of Accounts'!$E$68</f>
        <v>11.2493</v>
      </c>
      <c r="O2789" s="42" t="n">
        <f aca="false">I2789+J2789+L2789</f>
        <v>139.8778</v>
      </c>
    </row>
    <row r="2790" customFormat="false" ht="15" hidden="false" customHeight="false" outlineLevel="0" collapsed="false">
      <c r="B2790" s="7" t="s">
        <v>11423</v>
      </c>
      <c r="C2790" s="39" t="n">
        <v>45831</v>
      </c>
      <c r="D2790" s="7" t="s">
        <v>222</v>
      </c>
      <c r="E2790" s="7" t="s">
        <v>180</v>
      </c>
      <c r="F2790" s="6" t="n">
        <v>7.16</v>
      </c>
      <c r="G2790" s="6" t="n">
        <v>0</v>
      </c>
      <c r="H2790" s="41" t="n">
        <v>17.84</v>
      </c>
      <c r="I2790" s="43" t="n">
        <f aca="false">F2790*H2790</f>
        <v>127.7344</v>
      </c>
      <c r="J2790" s="43" t="n">
        <f aca="false">G2790*H2790*1.5</f>
        <v>0</v>
      </c>
      <c r="K2790" s="6" t="n">
        <v>21.32</v>
      </c>
      <c r="L2790" s="43" t="n">
        <f aca="false">K2790*'Chart of Accounts'!$E$68</f>
        <v>14.2844</v>
      </c>
      <c r="O2790" s="42" t="n">
        <f aca="false">I2790+J2790+L2790</f>
        <v>142.0188</v>
      </c>
    </row>
    <row r="2791" customFormat="false" ht="15" hidden="false" customHeight="false" outlineLevel="0" collapsed="false">
      <c r="B2791" s="7" t="s">
        <v>11424</v>
      </c>
      <c r="C2791" s="39" t="n">
        <v>45831</v>
      </c>
      <c r="D2791" s="7" t="s">
        <v>254</v>
      </c>
      <c r="E2791" s="7" t="s">
        <v>180</v>
      </c>
      <c r="F2791" s="6" t="n">
        <v>7.13</v>
      </c>
      <c r="G2791" s="6" t="n">
        <v>0</v>
      </c>
      <c r="H2791" s="41" t="n">
        <v>17.1</v>
      </c>
      <c r="I2791" s="43" t="n">
        <f aca="false">F2791*H2791</f>
        <v>121.923</v>
      </c>
      <c r="J2791" s="43" t="n">
        <f aca="false">G2791*H2791*1.5</f>
        <v>0</v>
      </c>
      <c r="K2791" s="6" t="n">
        <v>19.3</v>
      </c>
      <c r="L2791" s="43" t="n">
        <f aca="false">K2791*'Chart of Accounts'!$E$68</f>
        <v>12.931</v>
      </c>
      <c r="O2791" s="42" t="n">
        <f aca="false">I2791+J2791+L2791</f>
        <v>134.854</v>
      </c>
    </row>
    <row r="2792" customFormat="false" ht="15" hidden="false" customHeight="false" outlineLevel="0" collapsed="false">
      <c r="B2792" s="7" t="s">
        <v>11425</v>
      </c>
      <c r="C2792" s="39" t="n">
        <v>45831</v>
      </c>
      <c r="D2792" s="7" t="s">
        <v>214</v>
      </c>
      <c r="E2792" s="7" t="s">
        <v>180</v>
      </c>
      <c r="F2792" s="6" t="n">
        <v>7.32</v>
      </c>
      <c r="G2792" s="6" t="n">
        <v>0</v>
      </c>
      <c r="H2792" s="41" t="n">
        <v>15.67</v>
      </c>
      <c r="I2792" s="43" t="n">
        <f aca="false">F2792*H2792</f>
        <v>114.7044</v>
      </c>
      <c r="J2792" s="43" t="n">
        <f aca="false">G2792*H2792*1.5</f>
        <v>0</v>
      </c>
      <c r="K2792" s="6" t="n">
        <v>23.55</v>
      </c>
      <c r="L2792" s="43" t="n">
        <f aca="false">K2792*'Chart of Accounts'!$E$68</f>
        <v>15.7785</v>
      </c>
      <c r="O2792" s="42" t="n">
        <f aca="false">I2792+J2792+L2792</f>
        <v>130.4829</v>
      </c>
    </row>
    <row r="2793" customFormat="false" ht="15" hidden="false" customHeight="false" outlineLevel="0" collapsed="false">
      <c r="B2793" s="7" t="s">
        <v>11426</v>
      </c>
      <c r="C2793" s="39" t="n">
        <v>45831</v>
      </c>
      <c r="D2793" s="7" t="s">
        <v>238</v>
      </c>
      <c r="E2793" s="7" t="s">
        <v>180</v>
      </c>
      <c r="F2793" s="6" t="n">
        <v>3.88</v>
      </c>
      <c r="G2793" s="6" t="n">
        <v>0</v>
      </c>
      <c r="H2793" s="41" t="n">
        <v>15.85</v>
      </c>
      <c r="I2793" s="43" t="n">
        <f aca="false">F2793*H2793</f>
        <v>61.498</v>
      </c>
      <c r="J2793" s="43" t="n">
        <f aca="false">G2793*H2793*1.5</f>
        <v>0</v>
      </c>
      <c r="K2793" s="6" t="n">
        <v>8.6</v>
      </c>
      <c r="L2793" s="43" t="n">
        <f aca="false">K2793*'Chart of Accounts'!$E$68</f>
        <v>5.762</v>
      </c>
      <c r="O2793" s="42" t="n">
        <f aca="false">I2793+J2793+L2793</f>
        <v>67.26</v>
      </c>
    </row>
    <row r="2794" customFormat="false" ht="15" hidden="false" customHeight="false" outlineLevel="0" collapsed="false">
      <c r="B2794" s="7" t="s">
        <v>11427</v>
      </c>
      <c r="C2794" s="39" t="n">
        <v>45832</v>
      </c>
      <c r="D2794" s="7" t="s">
        <v>196</v>
      </c>
      <c r="E2794" s="7" t="s">
        <v>180</v>
      </c>
      <c r="F2794" s="6" t="n">
        <v>3.86</v>
      </c>
      <c r="G2794" s="6" t="n">
        <v>0</v>
      </c>
      <c r="H2794" s="41" t="n">
        <v>15.05</v>
      </c>
      <c r="I2794" s="43" t="n">
        <f aca="false">F2794*H2794</f>
        <v>58.093</v>
      </c>
      <c r="J2794" s="43" t="n">
        <f aca="false">G2794*H2794*1.5</f>
        <v>0</v>
      </c>
      <c r="K2794" s="6" t="n">
        <v>8.75</v>
      </c>
      <c r="L2794" s="43" t="n">
        <f aca="false">K2794*'Chart of Accounts'!$E$68</f>
        <v>5.8625</v>
      </c>
      <c r="O2794" s="42" t="n">
        <f aca="false">I2794+J2794+L2794</f>
        <v>63.9555</v>
      </c>
    </row>
    <row r="2795" customFormat="false" ht="15" hidden="false" customHeight="false" outlineLevel="0" collapsed="false">
      <c r="B2795" s="7" t="s">
        <v>11428</v>
      </c>
      <c r="C2795" s="39" t="n">
        <v>45832</v>
      </c>
      <c r="D2795" s="7" t="s">
        <v>209</v>
      </c>
      <c r="E2795" s="7" t="s">
        <v>158</v>
      </c>
      <c r="H2795" s="41" t="n">
        <v>73.58</v>
      </c>
      <c r="M2795" s="6" t="n">
        <v>2</v>
      </c>
      <c r="N2795" s="43" t="n">
        <f aca="false">M2795*H2795</f>
        <v>147.16</v>
      </c>
      <c r="O2795" s="42" t="n">
        <f aca="false">N2795</f>
        <v>147.16</v>
      </c>
    </row>
    <row r="2796" customFormat="false" ht="15" hidden="false" customHeight="false" outlineLevel="0" collapsed="false">
      <c r="B2796" s="7" t="s">
        <v>11429</v>
      </c>
      <c r="C2796" s="39" t="n">
        <v>45832</v>
      </c>
      <c r="D2796" s="7" t="s">
        <v>184</v>
      </c>
      <c r="E2796" s="7" t="s">
        <v>180</v>
      </c>
      <c r="F2796" s="6" t="n">
        <v>4</v>
      </c>
      <c r="G2796" s="6" t="n">
        <v>0</v>
      </c>
      <c r="H2796" s="41" t="n">
        <v>17.34</v>
      </c>
      <c r="I2796" s="43" t="n">
        <f aca="false">F2796*H2796</f>
        <v>69.36</v>
      </c>
      <c r="J2796" s="43" t="n">
        <f aca="false">G2796*H2796*1.5</f>
        <v>0</v>
      </c>
      <c r="K2796" s="6" t="n">
        <v>10.75</v>
      </c>
      <c r="L2796" s="43" t="n">
        <f aca="false">K2796*'Chart of Accounts'!$E$68</f>
        <v>7.2025</v>
      </c>
      <c r="O2796" s="42" t="n">
        <f aca="false">I2796+J2796+L2796</f>
        <v>76.5625</v>
      </c>
    </row>
    <row r="2797" customFormat="false" ht="15" hidden="false" customHeight="false" outlineLevel="0" collapsed="false">
      <c r="B2797" s="7" t="s">
        <v>11430</v>
      </c>
      <c r="C2797" s="39" t="n">
        <v>45832</v>
      </c>
      <c r="D2797" s="7" t="s">
        <v>234</v>
      </c>
      <c r="E2797" s="7" t="s">
        <v>158</v>
      </c>
      <c r="H2797" s="41" t="n">
        <v>89.53</v>
      </c>
      <c r="M2797" s="6" t="n">
        <v>2</v>
      </c>
      <c r="N2797" s="43" t="n">
        <f aca="false">M2797*H2797</f>
        <v>179.06</v>
      </c>
      <c r="O2797" s="42" t="n">
        <f aca="false">N2797</f>
        <v>179.06</v>
      </c>
    </row>
    <row r="2798" customFormat="false" ht="15" hidden="false" customHeight="false" outlineLevel="0" collapsed="false">
      <c r="B2798" s="7" t="s">
        <v>11431</v>
      </c>
      <c r="C2798" s="39" t="n">
        <v>45832</v>
      </c>
      <c r="D2798" s="7" t="s">
        <v>218</v>
      </c>
      <c r="E2798" s="7" t="s">
        <v>180</v>
      </c>
      <c r="F2798" s="6" t="n">
        <v>4.34</v>
      </c>
      <c r="G2798" s="6" t="n">
        <v>0</v>
      </c>
      <c r="H2798" s="41" t="n">
        <v>16.19</v>
      </c>
      <c r="I2798" s="43" t="n">
        <f aca="false">F2798*H2798</f>
        <v>70.2646</v>
      </c>
      <c r="J2798" s="43" t="n">
        <f aca="false">G2798*H2798*1.5</f>
        <v>0</v>
      </c>
      <c r="K2798" s="6" t="n">
        <v>11.3</v>
      </c>
      <c r="L2798" s="43" t="n">
        <f aca="false">K2798*'Chart of Accounts'!$E$68</f>
        <v>7.571</v>
      </c>
      <c r="O2798" s="42" t="n">
        <f aca="false">I2798+J2798+L2798</f>
        <v>77.8356</v>
      </c>
    </row>
    <row r="2799" customFormat="false" ht="15" hidden="false" customHeight="false" outlineLevel="0" collapsed="false">
      <c r="B2799" s="7" t="s">
        <v>11432</v>
      </c>
      <c r="C2799" s="39" t="n">
        <v>45832</v>
      </c>
      <c r="D2799" s="7" t="s">
        <v>228</v>
      </c>
      <c r="E2799" s="7" t="s">
        <v>158</v>
      </c>
      <c r="H2799" s="41" t="n">
        <v>51.07</v>
      </c>
      <c r="M2799" s="6" t="n">
        <v>1</v>
      </c>
      <c r="N2799" s="43" t="n">
        <f aca="false">M2799*H2799</f>
        <v>51.07</v>
      </c>
      <c r="O2799" s="42" t="n">
        <f aca="false">N2799</f>
        <v>51.07</v>
      </c>
    </row>
    <row r="2800" customFormat="false" ht="15" hidden="false" customHeight="false" outlineLevel="0" collapsed="false">
      <c r="B2800" s="7" t="s">
        <v>11433</v>
      </c>
      <c r="C2800" s="39" t="n">
        <v>45832</v>
      </c>
      <c r="D2800" s="7" t="s">
        <v>220</v>
      </c>
      <c r="E2800" s="7" t="s">
        <v>180</v>
      </c>
      <c r="F2800" s="6" t="n">
        <v>3.68</v>
      </c>
      <c r="G2800" s="6" t="n">
        <v>0</v>
      </c>
      <c r="H2800" s="41" t="n">
        <v>16.43</v>
      </c>
      <c r="I2800" s="43" t="n">
        <f aca="false">F2800*H2800</f>
        <v>60.4624</v>
      </c>
      <c r="J2800" s="43" t="n">
        <f aca="false">G2800*H2800*1.5</f>
        <v>0</v>
      </c>
      <c r="K2800" s="6" t="n">
        <v>10.54</v>
      </c>
      <c r="L2800" s="43" t="n">
        <f aca="false">K2800*'Chart of Accounts'!$E$68</f>
        <v>7.0618</v>
      </c>
      <c r="O2800" s="42" t="n">
        <f aca="false">I2800+J2800+L2800</f>
        <v>67.5242</v>
      </c>
    </row>
    <row r="2801" customFormat="false" ht="15" hidden="false" customHeight="false" outlineLevel="0" collapsed="false">
      <c r="B2801" s="7" t="s">
        <v>11434</v>
      </c>
      <c r="C2801" s="39" t="n">
        <v>45832</v>
      </c>
      <c r="D2801" s="7" t="s">
        <v>212</v>
      </c>
      <c r="E2801" s="7" t="s">
        <v>180</v>
      </c>
      <c r="F2801" s="6" t="n">
        <v>3.854</v>
      </c>
      <c r="G2801" s="6" t="n">
        <v>0.076</v>
      </c>
      <c r="H2801" s="41" t="n">
        <v>16.71</v>
      </c>
      <c r="I2801" s="43" t="n">
        <f aca="false">F2801*H2801</f>
        <v>64.40034</v>
      </c>
      <c r="J2801" s="43" t="n">
        <f aca="false">G2801*H2801*1.5</f>
        <v>1.90494</v>
      </c>
      <c r="K2801" s="6" t="n">
        <v>12.42</v>
      </c>
      <c r="L2801" s="43" t="n">
        <f aca="false">K2801*'Chart of Accounts'!$E$68</f>
        <v>8.3214</v>
      </c>
      <c r="O2801" s="42" t="n">
        <f aca="false">I2801+J2801+L2801</f>
        <v>74.62668</v>
      </c>
    </row>
    <row r="2802" customFormat="false" ht="15" hidden="false" customHeight="false" outlineLevel="0" collapsed="false">
      <c r="B2802" s="7" t="s">
        <v>11435</v>
      </c>
      <c r="C2802" s="39" t="n">
        <v>45832</v>
      </c>
      <c r="D2802" s="7" t="s">
        <v>194</v>
      </c>
      <c r="E2802" s="7" t="s">
        <v>180</v>
      </c>
      <c r="F2802" s="6" t="n">
        <v>3.66</v>
      </c>
      <c r="G2802" s="6" t="n">
        <v>0</v>
      </c>
      <c r="H2802" s="41" t="n">
        <v>16</v>
      </c>
      <c r="I2802" s="43" t="n">
        <f aca="false">F2802*H2802</f>
        <v>58.56</v>
      </c>
      <c r="J2802" s="43" t="n">
        <f aca="false">G2802*H2802*1.5</f>
        <v>0</v>
      </c>
      <c r="K2802" s="6" t="n">
        <v>12.82</v>
      </c>
      <c r="L2802" s="43" t="n">
        <f aca="false">K2802*'Chart of Accounts'!$E$68</f>
        <v>8.5894</v>
      </c>
      <c r="O2802" s="42" t="n">
        <f aca="false">I2802+J2802+L2802</f>
        <v>67.1494</v>
      </c>
    </row>
    <row r="2803" customFormat="false" ht="15" hidden="false" customHeight="false" outlineLevel="0" collapsed="false">
      <c r="B2803" s="7" t="s">
        <v>11436</v>
      </c>
      <c r="C2803" s="39" t="n">
        <v>45832</v>
      </c>
      <c r="D2803" s="7" t="s">
        <v>246</v>
      </c>
      <c r="E2803" s="7" t="s">
        <v>180</v>
      </c>
      <c r="F2803" s="6" t="n">
        <v>4.1</v>
      </c>
      <c r="G2803" s="6" t="n">
        <v>0</v>
      </c>
      <c r="H2803" s="41" t="n">
        <v>16.48</v>
      </c>
      <c r="I2803" s="43" t="n">
        <f aca="false">F2803*H2803</f>
        <v>67.568</v>
      </c>
      <c r="J2803" s="43" t="n">
        <f aca="false">G2803*H2803*1.5</f>
        <v>0</v>
      </c>
      <c r="K2803" s="6" t="n">
        <v>10.34</v>
      </c>
      <c r="L2803" s="43" t="n">
        <f aca="false">K2803*'Chart of Accounts'!$E$68</f>
        <v>6.9278</v>
      </c>
      <c r="O2803" s="42" t="n">
        <f aca="false">I2803+J2803+L2803</f>
        <v>74.4958</v>
      </c>
    </row>
    <row r="2804" customFormat="false" ht="15" hidden="false" customHeight="false" outlineLevel="0" collapsed="false">
      <c r="B2804" s="7" t="s">
        <v>11437</v>
      </c>
      <c r="C2804" s="39" t="n">
        <v>45832</v>
      </c>
      <c r="D2804" s="7" t="s">
        <v>222</v>
      </c>
      <c r="E2804" s="7" t="s">
        <v>180</v>
      </c>
      <c r="F2804" s="6" t="n">
        <v>3.62</v>
      </c>
      <c r="G2804" s="6" t="n">
        <v>0</v>
      </c>
      <c r="H2804" s="41" t="n">
        <v>17.84</v>
      </c>
      <c r="I2804" s="43" t="n">
        <f aca="false">F2804*H2804</f>
        <v>64.5808</v>
      </c>
      <c r="J2804" s="43" t="n">
        <f aca="false">G2804*H2804*1.5</f>
        <v>0</v>
      </c>
      <c r="K2804" s="6" t="n">
        <v>11.42</v>
      </c>
      <c r="L2804" s="43" t="n">
        <f aca="false">K2804*'Chart of Accounts'!$E$68</f>
        <v>7.6514</v>
      </c>
      <c r="O2804" s="42" t="n">
        <f aca="false">I2804+J2804+L2804</f>
        <v>72.2322</v>
      </c>
    </row>
    <row r="2805" customFormat="false" ht="15" hidden="false" customHeight="false" outlineLevel="0" collapsed="false">
      <c r="B2805" s="7" t="s">
        <v>11438</v>
      </c>
      <c r="C2805" s="39" t="n">
        <v>45832</v>
      </c>
      <c r="D2805" s="7" t="s">
        <v>242</v>
      </c>
      <c r="E2805" s="7" t="s">
        <v>180</v>
      </c>
      <c r="F2805" s="6" t="n">
        <v>3.91</v>
      </c>
      <c r="G2805" s="6" t="n">
        <v>0</v>
      </c>
      <c r="H2805" s="41" t="n">
        <v>17.99</v>
      </c>
      <c r="I2805" s="43" t="n">
        <f aca="false">F2805*H2805</f>
        <v>70.3409</v>
      </c>
      <c r="J2805" s="43" t="n">
        <f aca="false">G2805*H2805*1.5</f>
        <v>0</v>
      </c>
      <c r="K2805" s="6" t="n">
        <v>9.56</v>
      </c>
      <c r="L2805" s="43" t="n">
        <f aca="false">K2805*'Chart of Accounts'!$E$68</f>
        <v>6.4052</v>
      </c>
      <c r="O2805" s="42" t="n">
        <f aca="false">I2805+J2805+L2805</f>
        <v>76.7461</v>
      </c>
    </row>
    <row r="2806" customFormat="false" ht="15" hidden="false" customHeight="false" outlineLevel="0" collapsed="false">
      <c r="B2806" s="7" t="s">
        <v>11439</v>
      </c>
      <c r="C2806" s="39" t="n">
        <v>45832</v>
      </c>
      <c r="D2806" s="7" t="s">
        <v>203</v>
      </c>
      <c r="E2806" s="7" t="s">
        <v>158</v>
      </c>
      <c r="H2806" s="41" t="n">
        <v>49.43</v>
      </c>
      <c r="M2806" s="6" t="n">
        <v>1</v>
      </c>
      <c r="N2806" s="43" t="n">
        <f aca="false">M2806*H2806</f>
        <v>49.43</v>
      </c>
      <c r="O2806" s="42" t="n">
        <f aca="false">N2806</f>
        <v>49.43</v>
      </c>
    </row>
    <row r="2807" customFormat="false" ht="15" hidden="false" customHeight="false" outlineLevel="0" collapsed="false">
      <c r="B2807" s="7" t="s">
        <v>11440</v>
      </c>
      <c r="C2807" s="39" t="n">
        <v>45832</v>
      </c>
      <c r="D2807" s="7" t="s">
        <v>254</v>
      </c>
      <c r="E2807" s="7" t="s">
        <v>180</v>
      </c>
      <c r="F2807" s="6" t="n">
        <v>3.79</v>
      </c>
      <c r="G2807" s="6" t="n">
        <v>0</v>
      </c>
      <c r="H2807" s="41" t="n">
        <v>17.1</v>
      </c>
      <c r="I2807" s="43" t="n">
        <f aca="false">F2807*H2807</f>
        <v>64.809</v>
      </c>
      <c r="J2807" s="43" t="n">
        <f aca="false">G2807*H2807*1.5</f>
        <v>0</v>
      </c>
      <c r="K2807" s="6" t="n">
        <v>8.77</v>
      </c>
      <c r="L2807" s="43" t="n">
        <f aca="false">K2807*'Chart of Accounts'!$E$68</f>
        <v>5.8759</v>
      </c>
      <c r="O2807" s="42" t="n">
        <f aca="false">I2807+J2807+L2807</f>
        <v>70.6849</v>
      </c>
    </row>
    <row r="2808" customFormat="false" ht="15" hidden="false" customHeight="false" outlineLevel="0" collapsed="false">
      <c r="B2808" s="7" t="s">
        <v>11441</v>
      </c>
      <c r="C2808" s="39" t="n">
        <v>45832</v>
      </c>
      <c r="D2808" s="7" t="s">
        <v>260</v>
      </c>
      <c r="E2808" s="7" t="s">
        <v>158</v>
      </c>
      <c r="H2808" s="41" t="n">
        <v>79.8</v>
      </c>
      <c r="M2808" s="6" t="n">
        <v>1</v>
      </c>
      <c r="N2808" s="43" t="n">
        <f aca="false">M2808*H2808</f>
        <v>79.8</v>
      </c>
      <c r="O2808" s="42" t="n">
        <f aca="false">N2808</f>
        <v>79.8</v>
      </c>
    </row>
    <row r="2809" customFormat="false" ht="15" hidden="false" customHeight="false" outlineLevel="0" collapsed="false">
      <c r="B2809" s="7" t="s">
        <v>11442</v>
      </c>
      <c r="C2809" s="39" t="n">
        <v>45833</v>
      </c>
      <c r="D2809" s="7" t="s">
        <v>187</v>
      </c>
      <c r="E2809" s="7" t="s">
        <v>158</v>
      </c>
      <c r="H2809" s="41" t="n">
        <v>66.48</v>
      </c>
      <c r="M2809" s="6" t="n">
        <v>1</v>
      </c>
      <c r="N2809" s="43" t="n">
        <f aca="false">M2809*H2809</f>
        <v>66.48</v>
      </c>
      <c r="O2809" s="42" t="n">
        <f aca="false">N2809</f>
        <v>66.48</v>
      </c>
    </row>
    <row r="2810" customFormat="false" ht="15" hidden="false" customHeight="false" outlineLevel="0" collapsed="false">
      <c r="B2810" s="7" t="s">
        <v>11443</v>
      </c>
      <c r="C2810" s="39" t="n">
        <v>45833</v>
      </c>
      <c r="D2810" s="7" t="s">
        <v>212</v>
      </c>
      <c r="E2810" s="7" t="s">
        <v>180</v>
      </c>
      <c r="F2810" s="6" t="n">
        <v>7.718</v>
      </c>
      <c r="G2810" s="6" t="n">
        <v>0.152</v>
      </c>
      <c r="H2810" s="41" t="n">
        <v>16.71</v>
      </c>
      <c r="I2810" s="43" t="n">
        <f aca="false">F2810*H2810</f>
        <v>128.96778</v>
      </c>
      <c r="J2810" s="43" t="n">
        <f aca="false">G2810*H2810*1.5</f>
        <v>3.80988</v>
      </c>
      <c r="K2810" s="6" t="n">
        <v>28.22</v>
      </c>
      <c r="L2810" s="43" t="n">
        <f aca="false">K2810*'Chart of Accounts'!$E$68</f>
        <v>18.9074</v>
      </c>
      <c r="O2810" s="42" t="n">
        <f aca="false">I2810+J2810+L2810</f>
        <v>151.68506</v>
      </c>
    </row>
    <row r="2811" customFormat="false" ht="15" hidden="false" customHeight="false" outlineLevel="0" collapsed="false">
      <c r="B2811" s="7" t="s">
        <v>11444</v>
      </c>
      <c r="C2811" s="39" t="n">
        <v>45833</v>
      </c>
      <c r="D2811" s="7" t="s">
        <v>194</v>
      </c>
      <c r="E2811" s="7" t="s">
        <v>180</v>
      </c>
      <c r="F2811" s="6" t="n">
        <v>9.31</v>
      </c>
      <c r="G2811" s="6" t="n">
        <v>0</v>
      </c>
      <c r="H2811" s="41" t="n">
        <v>16</v>
      </c>
      <c r="I2811" s="43" t="n">
        <f aca="false">F2811*H2811</f>
        <v>148.96</v>
      </c>
      <c r="J2811" s="43" t="n">
        <f aca="false">G2811*H2811*1.5</f>
        <v>0</v>
      </c>
      <c r="K2811" s="6" t="n">
        <v>22.73</v>
      </c>
      <c r="L2811" s="43" t="n">
        <f aca="false">K2811*'Chart of Accounts'!$E$68</f>
        <v>15.2291</v>
      </c>
      <c r="O2811" s="42" t="n">
        <f aca="false">I2811+J2811+L2811</f>
        <v>164.1891</v>
      </c>
    </row>
    <row r="2812" customFormat="false" ht="15" hidden="false" customHeight="false" outlineLevel="0" collapsed="false">
      <c r="B2812" s="7" t="s">
        <v>11445</v>
      </c>
      <c r="C2812" s="39" t="n">
        <v>45833</v>
      </c>
      <c r="D2812" s="7" t="s">
        <v>205</v>
      </c>
      <c r="E2812" s="7" t="s">
        <v>180</v>
      </c>
      <c r="F2812" s="6" t="n">
        <v>4.08</v>
      </c>
      <c r="G2812" s="6" t="n">
        <v>0</v>
      </c>
      <c r="H2812" s="41" t="n">
        <v>16.36</v>
      </c>
      <c r="I2812" s="43" t="n">
        <f aca="false">F2812*H2812</f>
        <v>66.7488</v>
      </c>
      <c r="J2812" s="43" t="n">
        <f aca="false">G2812*H2812*1.5</f>
        <v>0</v>
      </c>
      <c r="K2812" s="6" t="n">
        <v>14.12</v>
      </c>
      <c r="L2812" s="43" t="n">
        <f aca="false">K2812*'Chart of Accounts'!$E$68</f>
        <v>9.4604</v>
      </c>
      <c r="O2812" s="42" t="n">
        <f aca="false">I2812+J2812+L2812</f>
        <v>76.2092</v>
      </c>
    </row>
    <row r="2813" customFormat="false" ht="15" hidden="false" customHeight="false" outlineLevel="0" collapsed="false">
      <c r="B2813" s="7" t="s">
        <v>11446</v>
      </c>
      <c r="C2813" s="39" t="n">
        <v>45833</v>
      </c>
      <c r="D2813" s="7" t="s">
        <v>264</v>
      </c>
      <c r="E2813" s="7" t="s">
        <v>158</v>
      </c>
      <c r="H2813" s="41" t="n">
        <v>55.55</v>
      </c>
      <c r="M2813" s="6" t="n">
        <v>1</v>
      </c>
      <c r="N2813" s="43" t="n">
        <f aca="false">M2813*H2813</f>
        <v>55.55</v>
      </c>
      <c r="O2813" s="42" t="n">
        <f aca="false">N2813</f>
        <v>55.55</v>
      </c>
    </row>
    <row r="2814" customFormat="false" ht="15" hidden="false" customHeight="false" outlineLevel="0" collapsed="false">
      <c r="B2814" s="7" t="s">
        <v>11447</v>
      </c>
      <c r="C2814" s="39" t="n">
        <v>45833</v>
      </c>
      <c r="D2814" s="7" t="s">
        <v>252</v>
      </c>
      <c r="E2814" s="7" t="s">
        <v>158</v>
      </c>
      <c r="H2814" s="41" t="n">
        <v>57.54</v>
      </c>
      <c r="M2814" s="6" t="n">
        <v>1</v>
      </c>
      <c r="N2814" s="43" t="n">
        <f aca="false">M2814*H2814</f>
        <v>57.54</v>
      </c>
      <c r="O2814" s="42" t="n">
        <f aca="false">N2814</f>
        <v>57.54</v>
      </c>
    </row>
    <row r="2815" customFormat="false" ht="15" hidden="false" customHeight="false" outlineLevel="0" collapsed="false">
      <c r="B2815" s="7" t="s">
        <v>11448</v>
      </c>
      <c r="C2815" s="39" t="n">
        <v>45833</v>
      </c>
      <c r="D2815" s="7" t="s">
        <v>184</v>
      </c>
      <c r="E2815" s="7" t="s">
        <v>180</v>
      </c>
      <c r="F2815" s="6" t="n">
        <v>4.29</v>
      </c>
      <c r="G2815" s="6" t="n">
        <v>0</v>
      </c>
      <c r="H2815" s="41" t="n">
        <v>17.34</v>
      </c>
      <c r="I2815" s="43" t="n">
        <f aca="false">F2815*H2815</f>
        <v>74.3886</v>
      </c>
      <c r="J2815" s="43" t="n">
        <f aca="false">G2815*H2815*1.5</f>
        <v>0</v>
      </c>
      <c r="K2815" s="6" t="n">
        <v>12.26</v>
      </c>
      <c r="L2815" s="43" t="n">
        <f aca="false">K2815*'Chart of Accounts'!$E$68</f>
        <v>8.2142</v>
      </c>
      <c r="O2815" s="42" t="n">
        <f aca="false">I2815+J2815+L2815</f>
        <v>82.6028</v>
      </c>
    </row>
    <row r="2816" customFormat="false" ht="15" hidden="false" customHeight="false" outlineLevel="0" collapsed="false">
      <c r="B2816" s="7" t="s">
        <v>11449</v>
      </c>
      <c r="C2816" s="39" t="n">
        <v>45833</v>
      </c>
      <c r="D2816" s="7" t="s">
        <v>218</v>
      </c>
      <c r="E2816" s="7" t="s">
        <v>180</v>
      </c>
      <c r="F2816" s="6" t="n">
        <v>3.66</v>
      </c>
      <c r="G2816" s="6" t="n">
        <v>0</v>
      </c>
      <c r="H2816" s="41" t="n">
        <v>16.19</v>
      </c>
      <c r="I2816" s="43" t="n">
        <f aca="false">F2816*H2816</f>
        <v>59.2554</v>
      </c>
      <c r="J2816" s="43" t="n">
        <f aca="false">G2816*H2816*1.5</f>
        <v>0</v>
      </c>
      <c r="K2816" s="6" t="n">
        <v>12.69</v>
      </c>
      <c r="L2816" s="43" t="n">
        <f aca="false">K2816*'Chart of Accounts'!$E$68</f>
        <v>8.5023</v>
      </c>
      <c r="O2816" s="42" t="n">
        <f aca="false">I2816+J2816+L2816</f>
        <v>67.7577</v>
      </c>
    </row>
    <row r="2817" customFormat="false" ht="15" hidden="false" customHeight="false" outlineLevel="0" collapsed="false">
      <c r="B2817" s="7" t="s">
        <v>11450</v>
      </c>
      <c r="C2817" s="39" t="n">
        <v>45833</v>
      </c>
      <c r="D2817" s="7" t="s">
        <v>220</v>
      </c>
      <c r="E2817" s="7" t="s">
        <v>180</v>
      </c>
      <c r="F2817" s="6" t="n">
        <v>4.17</v>
      </c>
      <c r="G2817" s="6" t="n">
        <v>0</v>
      </c>
      <c r="H2817" s="41" t="n">
        <v>16.43</v>
      </c>
      <c r="I2817" s="43" t="n">
        <f aca="false">F2817*H2817</f>
        <v>68.5131</v>
      </c>
      <c r="J2817" s="43" t="n">
        <f aca="false">G2817*H2817*1.5</f>
        <v>0</v>
      </c>
      <c r="K2817" s="6" t="n">
        <v>13.79</v>
      </c>
      <c r="L2817" s="43" t="n">
        <f aca="false">K2817*'Chart of Accounts'!$E$68</f>
        <v>9.2393</v>
      </c>
      <c r="O2817" s="42" t="n">
        <f aca="false">I2817+J2817+L2817</f>
        <v>77.7524</v>
      </c>
    </row>
    <row r="2818" customFormat="false" ht="15" hidden="false" customHeight="false" outlineLevel="0" collapsed="false">
      <c r="B2818" s="7" t="s">
        <v>11451</v>
      </c>
      <c r="C2818" s="39" t="n">
        <v>45833</v>
      </c>
      <c r="D2818" s="7" t="s">
        <v>177</v>
      </c>
      <c r="E2818" s="7" t="s">
        <v>180</v>
      </c>
      <c r="F2818" s="6" t="n">
        <v>8.46</v>
      </c>
      <c r="G2818" s="6" t="n">
        <v>0</v>
      </c>
      <c r="H2818" s="41" t="n">
        <v>14.56</v>
      </c>
      <c r="I2818" s="43" t="n">
        <f aca="false">F2818*H2818</f>
        <v>123.1776</v>
      </c>
      <c r="J2818" s="43" t="n">
        <f aca="false">G2818*H2818*1.5</f>
        <v>0</v>
      </c>
      <c r="K2818" s="6" t="n">
        <v>24.22</v>
      </c>
      <c r="L2818" s="43" t="n">
        <f aca="false">K2818*'Chart of Accounts'!$E$68</f>
        <v>16.2274</v>
      </c>
      <c r="O2818" s="42" t="n">
        <f aca="false">I2818+J2818+L2818</f>
        <v>139.405</v>
      </c>
    </row>
    <row r="2819" customFormat="false" ht="15" hidden="false" customHeight="false" outlineLevel="0" collapsed="false">
      <c r="B2819" s="7" t="s">
        <v>11452</v>
      </c>
      <c r="C2819" s="39" t="n">
        <v>45833</v>
      </c>
      <c r="D2819" s="7" t="s">
        <v>242</v>
      </c>
      <c r="E2819" s="7" t="s">
        <v>180</v>
      </c>
      <c r="F2819" s="6" t="n">
        <v>7.53</v>
      </c>
      <c r="G2819" s="6" t="n">
        <v>0</v>
      </c>
      <c r="H2819" s="41" t="n">
        <v>17.99</v>
      </c>
      <c r="I2819" s="43" t="n">
        <f aca="false">F2819*H2819</f>
        <v>135.4647</v>
      </c>
      <c r="J2819" s="43" t="n">
        <f aca="false">G2819*H2819*1.5</f>
        <v>0</v>
      </c>
      <c r="K2819" s="6" t="n">
        <v>23.4</v>
      </c>
      <c r="L2819" s="43" t="n">
        <f aca="false">K2819*'Chart of Accounts'!$E$68</f>
        <v>15.678</v>
      </c>
      <c r="O2819" s="42" t="n">
        <f aca="false">I2819+J2819+L2819</f>
        <v>151.1427</v>
      </c>
    </row>
    <row r="2820" customFormat="false" ht="15" hidden="false" customHeight="false" outlineLevel="0" collapsed="false">
      <c r="B2820" s="7" t="s">
        <v>11453</v>
      </c>
      <c r="C2820" s="39" t="n">
        <v>45833</v>
      </c>
      <c r="D2820" s="7" t="s">
        <v>254</v>
      </c>
      <c r="E2820" s="7" t="s">
        <v>180</v>
      </c>
      <c r="F2820" s="6" t="n">
        <v>7.12</v>
      </c>
      <c r="G2820" s="6" t="n">
        <v>0</v>
      </c>
      <c r="H2820" s="41" t="n">
        <v>17.1</v>
      </c>
      <c r="I2820" s="43" t="n">
        <f aca="false">F2820*H2820</f>
        <v>121.752</v>
      </c>
      <c r="J2820" s="43" t="n">
        <f aca="false">G2820*H2820*1.5</f>
        <v>0</v>
      </c>
      <c r="K2820" s="6" t="n">
        <v>22.39</v>
      </c>
      <c r="L2820" s="43" t="n">
        <f aca="false">K2820*'Chart of Accounts'!$E$68</f>
        <v>15.0013</v>
      </c>
      <c r="O2820" s="42" t="n">
        <f aca="false">I2820+J2820+L2820</f>
        <v>136.7533</v>
      </c>
    </row>
    <row r="2821" customFormat="false" ht="15" hidden="false" customHeight="false" outlineLevel="0" collapsed="false">
      <c r="B2821" s="7" t="s">
        <v>11454</v>
      </c>
      <c r="C2821" s="39" t="n">
        <v>45833</v>
      </c>
      <c r="D2821" s="7" t="s">
        <v>201</v>
      </c>
      <c r="E2821" s="7" t="s">
        <v>180</v>
      </c>
      <c r="F2821" s="6" t="n">
        <v>3.24</v>
      </c>
      <c r="G2821" s="6" t="n">
        <v>0</v>
      </c>
      <c r="H2821" s="41" t="n">
        <v>15.19</v>
      </c>
      <c r="I2821" s="43" t="n">
        <f aca="false">F2821*H2821</f>
        <v>49.2156</v>
      </c>
      <c r="J2821" s="43" t="n">
        <f aca="false">G2821*H2821*1.5</f>
        <v>0</v>
      </c>
      <c r="K2821" s="6" t="n">
        <v>10.09</v>
      </c>
      <c r="L2821" s="43" t="n">
        <f aca="false">K2821*'Chart of Accounts'!$E$68</f>
        <v>6.7603</v>
      </c>
      <c r="O2821" s="42" t="n">
        <f aca="false">I2821+J2821+L2821</f>
        <v>55.9759</v>
      </c>
    </row>
    <row r="2822" customFormat="false" ht="15" hidden="false" customHeight="false" outlineLevel="0" collapsed="false">
      <c r="B2822" s="7" t="s">
        <v>11455</v>
      </c>
      <c r="C2822" s="39" t="n">
        <v>45833</v>
      </c>
      <c r="D2822" s="7" t="s">
        <v>207</v>
      </c>
      <c r="E2822" s="7" t="s">
        <v>180</v>
      </c>
      <c r="F2822" s="6" t="n">
        <v>3.43</v>
      </c>
      <c r="G2822" s="6" t="n">
        <v>0</v>
      </c>
      <c r="H2822" s="41" t="n">
        <v>16.65</v>
      </c>
      <c r="I2822" s="43" t="n">
        <f aca="false">F2822*H2822</f>
        <v>57.1095</v>
      </c>
      <c r="J2822" s="43" t="n">
        <f aca="false">G2822*H2822*1.5</f>
        <v>0</v>
      </c>
      <c r="K2822" s="6" t="n">
        <v>11.68</v>
      </c>
      <c r="L2822" s="43" t="n">
        <f aca="false">K2822*'Chart of Accounts'!$E$68</f>
        <v>7.8256</v>
      </c>
      <c r="O2822" s="42" t="n">
        <f aca="false">I2822+J2822+L2822</f>
        <v>64.9351</v>
      </c>
    </row>
    <row r="2823" customFormat="false" ht="15" hidden="false" customHeight="false" outlineLevel="0" collapsed="false">
      <c r="B2823" s="7" t="s">
        <v>11456</v>
      </c>
      <c r="C2823" s="39" t="n">
        <v>45833</v>
      </c>
      <c r="D2823" s="7" t="s">
        <v>232</v>
      </c>
      <c r="E2823" s="7" t="s">
        <v>180</v>
      </c>
      <c r="F2823" s="6" t="n">
        <v>4.59</v>
      </c>
      <c r="G2823" s="6" t="n">
        <v>0</v>
      </c>
      <c r="H2823" s="41" t="n">
        <v>16.17</v>
      </c>
      <c r="I2823" s="43" t="n">
        <f aca="false">F2823*H2823</f>
        <v>74.2203</v>
      </c>
      <c r="J2823" s="43" t="n">
        <f aca="false">G2823*H2823*1.5</f>
        <v>0</v>
      </c>
      <c r="K2823" s="6" t="n">
        <v>12.24</v>
      </c>
      <c r="L2823" s="43" t="n">
        <f aca="false">K2823*'Chart of Accounts'!$E$68</f>
        <v>8.2008</v>
      </c>
      <c r="O2823" s="42" t="n">
        <f aca="false">I2823+J2823+L2823</f>
        <v>82.4211</v>
      </c>
    </row>
    <row r="2824" customFormat="false" ht="15" hidden="false" customHeight="false" outlineLevel="0" collapsed="false">
      <c r="B2824" s="7" t="s">
        <v>11457</v>
      </c>
      <c r="C2824" s="39" t="n">
        <v>45833</v>
      </c>
      <c r="D2824" s="7" t="s">
        <v>224</v>
      </c>
      <c r="E2824" s="7" t="s">
        <v>180</v>
      </c>
      <c r="F2824" s="6" t="n">
        <v>4.94</v>
      </c>
      <c r="G2824" s="6" t="n">
        <v>0</v>
      </c>
      <c r="H2824" s="41" t="n">
        <v>14.93</v>
      </c>
      <c r="I2824" s="43" t="n">
        <f aca="false">F2824*H2824</f>
        <v>73.7542</v>
      </c>
      <c r="J2824" s="43" t="n">
        <f aca="false">G2824*H2824*1.5</f>
        <v>0</v>
      </c>
      <c r="K2824" s="6" t="n">
        <v>12.46</v>
      </c>
      <c r="L2824" s="43" t="n">
        <f aca="false">K2824*'Chart of Accounts'!$E$68</f>
        <v>8.3482</v>
      </c>
      <c r="O2824" s="42" t="n">
        <f aca="false">I2824+J2824+L2824</f>
        <v>82.1024</v>
      </c>
    </row>
    <row r="2825" customFormat="false" ht="15" hidden="false" customHeight="false" outlineLevel="0" collapsed="false">
      <c r="B2825" s="7" t="s">
        <v>11458</v>
      </c>
      <c r="C2825" s="39" t="n">
        <v>45833</v>
      </c>
      <c r="D2825" s="7" t="s">
        <v>238</v>
      </c>
      <c r="E2825" s="7" t="s">
        <v>180</v>
      </c>
      <c r="F2825" s="6" t="n">
        <v>4.11</v>
      </c>
      <c r="G2825" s="6" t="n">
        <v>0</v>
      </c>
      <c r="H2825" s="41" t="n">
        <v>15.85</v>
      </c>
      <c r="I2825" s="43" t="n">
        <f aca="false">F2825*H2825</f>
        <v>65.1435</v>
      </c>
      <c r="J2825" s="43" t="n">
        <f aca="false">G2825*H2825*1.5</f>
        <v>0</v>
      </c>
      <c r="K2825" s="6" t="n">
        <v>12.49</v>
      </c>
      <c r="L2825" s="43" t="n">
        <f aca="false">K2825*'Chart of Accounts'!$E$68</f>
        <v>8.3683</v>
      </c>
      <c r="O2825" s="42" t="n">
        <f aca="false">I2825+J2825+L2825</f>
        <v>73.5118</v>
      </c>
    </row>
    <row r="2826" customFormat="false" ht="15" hidden="false" customHeight="false" outlineLevel="0" collapsed="false">
      <c r="B2826" s="7" t="s">
        <v>11459</v>
      </c>
      <c r="C2826" s="39" t="n">
        <v>45833</v>
      </c>
      <c r="D2826" s="7" t="s">
        <v>246</v>
      </c>
      <c r="E2826" s="7" t="s">
        <v>180</v>
      </c>
      <c r="F2826" s="6" t="n">
        <v>3.99</v>
      </c>
      <c r="G2826" s="6" t="n">
        <v>0</v>
      </c>
      <c r="H2826" s="41" t="n">
        <v>16.48</v>
      </c>
      <c r="I2826" s="43" t="n">
        <f aca="false">F2826*H2826</f>
        <v>65.7552</v>
      </c>
      <c r="J2826" s="43" t="n">
        <f aca="false">G2826*H2826*1.5</f>
        <v>0</v>
      </c>
      <c r="K2826" s="6" t="n">
        <v>10.57</v>
      </c>
      <c r="L2826" s="43" t="n">
        <f aca="false">K2826*'Chart of Accounts'!$E$68</f>
        <v>7.0819</v>
      </c>
      <c r="O2826" s="42" t="n">
        <f aca="false">I2826+J2826+L2826</f>
        <v>72.8371</v>
      </c>
    </row>
    <row r="2827" customFormat="false" ht="15" hidden="false" customHeight="false" outlineLevel="0" collapsed="false">
      <c r="B2827" s="7" t="s">
        <v>11460</v>
      </c>
      <c r="C2827" s="39" t="n">
        <v>45833</v>
      </c>
      <c r="D2827" s="7" t="s">
        <v>222</v>
      </c>
      <c r="E2827" s="7" t="s">
        <v>180</v>
      </c>
      <c r="F2827" s="6" t="n">
        <v>6.99</v>
      </c>
      <c r="G2827" s="6" t="n">
        <v>0</v>
      </c>
      <c r="H2827" s="41" t="n">
        <v>17.84</v>
      </c>
      <c r="I2827" s="43" t="n">
        <f aca="false">F2827*H2827</f>
        <v>124.7016</v>
      </c>
      <c r="J2827" s="43" t="n">
        <f aca="false">G2827*H2827*1.5</f>
        <v>0</v>
      </c>
      <c r="K2827" s="6" t="n">
        <v>23.86</v>
      </c>
      <c r="L2827" s="43" t="n">
        <f aca="false">K2827*'Chart of Accounts'!$E$68</f>
        <v>15.9862</v>
      </c>
      <c r="O2827" s="42" t="n">
        <f aca="false">I2827+J2827+L2827</f>
        <v>140.6878</v>
      </c>
    </row>
    <row r="2828" customFormat="false" ht="15" hidden="false" customHeight="false" outlineLevel="0" collapsed="false">
      <c r="B2828" s="7" t="s">
        <v>11461</v>
      </c>
      <c r="C2828" s="39" t="n">
        <v>45833</v>
      </c>
      <c r="D2828" s="7" t="s">
        <v>203</v>
      </c>
      <c r="E2828" s="7" t="s">
        <v>158</v>
      </c>
      <c r="H2828" s="41" t="n">
        <v>49.43</v>
      </c>
      <c r="M2828" s="6" t="n">
        <v>1</v>
      </c>
      <c r="N2828" s="43" t="n">
        <f aca="false">M2828*H2828</f>
        <v>49.43</v>
      </c>
      <c r="O2828" s="42" t="n">
        <f aca="false">N2828</f>
        <v>49.43</v>
      </c>
    </row>
    <row r="2829" customFormat="false" ht="15" hidden="false" customHeight="false" outlineLevel="0" collapsed="false">
      <c r="B2829" s="7" t="s">
        <v>11462</v>
      </c>
      <c r="C2829" s="39" t="n">
        <v>45833</v>
      </c>
      <c r="D2829" s="7" t="s">
        <v>214</v>
      </c>
      <c r="E2829" s="7" t="s">
        <v>180</v>
      </c>
      <c r="F2829" s="6" t="n">
        <v>3.2</v>
      </c>
      <c r="G2829" s="6" t="n">
        <v>0</v>
      </c>
      <c r="H2829" s="41" t="n">
        <v>15.67</v>
      </c>
      <c r="I2829" s="43" t="n">
        <f aca="false">F2829*H2829</f>
        <v>50.144</v>
      </c>
      <c r="J2829" s="43" t="n">
        <f aca="false">G2829*H2829*1.5</f>
        <v>0</v>
      </c>
      <c r="K2829" s="6" t="n">
        <v>11.47</v>
      </c>
      <c r="L2829" s="43" t="n">
        <f aca="false">K2829*'Chart of Accounts'!$E$68</f>
        <v>7.6849</v>
      </c>
      <c r="O2829" s="42" t="n">
        <f aca="false">I2829+J2829+L2829</f>
        <v>57.8289</v>
      </c>
    </row>
    <row r="2830" customFormat="false" ht="15" hidden="false" customHeight="false" outlineLevel="0" collapsed="false">
      <c r="B2830" s="7" t="s">
        <v>11463</v>
      </c>
      <c r="C2830" s="39" t="n">
        <v>45834</v>
      </c>
      <c r="D2830" s="7" t="s">
        <v>214</v>
      </c>
      <c r="E2830" s="7" t="s">
        <v>180</v>
      </c>
      <c r="F2830" s="6" t="n">
        <v>8.28</v>
      </c>
      <c r="G2830" s="6" t="n">
        <v>0</v>
      </c>
      <c r="H2830" s="41" t="n">
        <v>15.67</v>
      </c>
      <c r="I2830" s="43" t="n">
        <f aca="false">F2830*H2830</f>
        <v>129.7476</v>
      </c>
      <c r="J2830" s="43" t="n">
        <f aca="false">G2830*H2830*1.5</f>
        <v>0</v>
      </c>
      <c r="K2830" s="6" t="n">
        <v>26.89</v>
      </c>
      <c r="L2830" s="43" t="n">
        <f aca="false">K2830*'Chart of Accounts'!$E$68</f>
        <v>18.0163</v>
      </c>
      <c r="O2830" s="42" t="n">
        <f aca="false">I2830+J2830+L2830</f>
        <v>147.7639</v>
      </c>
    </row>
    <row r="2831" customFormat="false" ht="15" hidden="false" customHeight="false" outlineLevel="0" collapsed="false">
      <c r="B2831" s="7" t="s">
        <v>11464</v>
      </c>
      <c r="C2831" s="39" t="n">
        <v>45834</v>
      </c>
      <c r="D2831" s="7" t="s">
        <v>201</v>
      </c>
      <c r="E2831" s="7" t="s">
        <v>180</v>
      </c>
      <c r="F2831" s="6" t="n">
        <v>2.72</v>
      </c>
      <c r="G2831" s="6" t="n">
        <v>0</v>
      </c>
      <c r="H2831" s="41" t="n">
        <v>15.19</v>
      </c>
      <c r="I2831" s="43" t="n">
        <f aca="false">F2831*H2831</f>
        <v>41.3168</v>
      </c>
      <c r="J2831" s="43" t="n">
        <f aca="false">G2831*H2831*1.5</f>
        <v>0</v>
      </c>
      <c r="K2831" s="6" t="n">
        <v>6.95</v>
      </c>
      <c r="L2831" s="43" t="n">
        <f aca="false">K2831*'Chart of Accounts'!$E$68</f>
        <v>4.6565</v>
      </c>
      <c r="O2831" s="42" t="n">
        <f aca="false">I2831+J2831+L2831</f>
        <v>45.9733</v>
      </c>
    </row>
    <row r="2832" customFormat="false" ht="15" hidden="false" customHeight="false" outlineLevel="0" collapsed="false">
      <c r="B2832" s="7" t="s">
        <v>11465</v>
      </c>
      <c r="C2832" s="39" t="n">
        <v>45834</v>
      </c>
      <c r="D2832" s="7" t="s">
        <v>196</v>
      </c>
      <c r="E2832" s="7" t="s">
        <v>180</v>
      </c>
      <c r="F2832" s="6" t="n">
        <v>5.79</v>
      </c>
      <c r="G2832" s="6" t="n">
        <v>0</v>
      </c>
      <c r="H2832" s="41" t="n">
        <v>15.05</v>
      </c>
      <c r="I2832" s="43" t="n">
        <f aca="false">F2832*H2832</f>
        <v>87.1395</v>
      </c>
      <c r="J2832" s="43" t="n">
        <f aca="false">G2832*H2832*1.5</f>
        <v>0</v>
      </c>
      <c r="K2832" s="6" t="n">
        <v>18.9</v>
      </c>
      <c r="L2832" s="43" t="n">
        <f aca="false">K2832*'Chart of Accounts'!$E$68</f>
        <v>12.663</v>
      </c>
      <c r="O2832" s="42" t="n">
        <f aca="false">I2832+J2832+L2832</f>
        <v>99.8025</v>
      </c>
    </row>
    <row r="2833" customFormat="false" ht="15" hidden="false" customHeight="false" outlineLevel="0" collapsed="false">
      <c r="B2833" s="7" t="s">
        <v>11466</v>
      </c>
      <c r="C2833" s="39" t="n">
        <v>45834</v>
      </c>
      <c r="D2833" s="7" t="s">
        <v>184</v>
      </c>
      <c r="E2833" s="7" t="s">
        <v>180</v>
      </c>
      <c r="F2833" s="6" t="n">
        <v>4.2</v>
      </c>
      <c r="G2833" s="6" t="n">
        <v>0</v>
      </c>
      <c r="H2833" s="41" t="n">
        <v>17.34</v>
      </c>
      <c r="I2833" s="43" t="n">
        <f aca="false">F2833*H2833</f>
        <v>72.828</v>
      </c>
      <c r="J2833" s="43" t="n">
        <f aca="false">G2833*H2833*1.5</f>
        <v>0</v>
      </c>
      <c r="K2833" s="6" t="n">
        <v>11.28</v>
      </c>
      <c r="L2833" s="43" t="n">
        <f aca="false">K2833*'Chart of Accounts'!$E$68</f>
        <v>7.5576</v>
      </c>
      <c r="O2833" s="42" t="n">
        <f aca="false">I2833+J2833+L2833</f>
        <v>80.3856</v>
      </c>
    </row>
    <row r="2834" customFormat="false" ht="15" hidden="false" customHeight="false" outlineLevel="0" collapsed="false">
      <c r="B2834" s="7" t="s">
        <v>11467</v>
      </c>
      <c r="C2834" s="39" t="n">
        <v>45834</v>
      </c>
      <c r="D2834" s="7" t="s">
        <v>207</v>
      </c>
      <c r="E2834" s="7" t="s">
        <v>180</v>
      </c>
      <c r="F2834" s="6" t="n">
        <v>3.07</v>
      </c>
      <c r="G2834" s="6" t="n">
        <v>0</v>
      </c>
      <c r="H2834" s="41" t="n">
        <v>16.65</v>
      </c>
      <c r="I2834" s="43" t="n">
        <f aca="false">F2834*H2834</f>
        <v>51.1155</v>
      </c>
      <c r="J2834" s="43" t="n">
        <f aca="false">G2834*H2834*1.5</f>
        <v>0</v>
      </c>
      <c r="K2834" s="6" t="n">
        <v>8.4</v>
      </c>
      <c r="L2834" s="43" t="n">
        <f aca="false">K2834*'Chart of Accounts'!$E$68</f>
        <v>5.628</v>
      </c>
      <c r="O2834" s="42" t="n">
        <f aca="false">I2834+J2834+L2834</f>
        <v>56.7435</v>
      </c>
    </row>
    <row r="2835" customFormat="false" ht="15" hidden="false" customHeight="false" outlineLevel="0" collapsed="false">
      <c r="B2835" s="7" t="s">
        <v>11468</v>
      </c>
      <c r="C2835" s="39" t="n">
        <v>45834</v>
      </c>
      <c r="D2835" s="7" t="s">
        <v>218</v>
      </c>
      <c r="E2835" s="7" t="s">
        <v>180</v>
      </c>
      <c r="F2835" s="6" t="n">
        <v>3.72</v>
      </c>
      <c r="G2835" s="6" t="n">
        <v>0</v>
      </c>
      <c r="H2835" s="41" t="n">
        <v>16.19</v>
      </c>
      <c r="I2835" s="43" t="n">
        <f aca="false">F2835*H2835</f>
        <v>60.2268</v>
      </c>
      <c r="J2835" s="43" t="n">
        <f aca="false">G2835*H2835*1.5</f>
        <v>0</v>
      </c>
      <c r="K2835" s="6" t="n">
        <v>11.72</v>
      </c>
      <c r="L2835" s="43" t="n">
        <f aca="false">K2835*'Chart of Accounts'!$E$68</f>
        <v>7.8524</v>
      </c>
      <c r="O2835" s="42" t="n">
        <f aca="false">I2835+J2835+L2835</f>
        <v>68.0792</v>
      </c>
    </row>
    <row r="2836" customFormat="false" ht="15" hidden="false" customHeight="false" outlineLevel="0" collapsed="false">
      <c r="B2836" s="7" t="s">
        <v>11469</v>
      </c>
      <c r="C2836" s="39" t="n">
        <v>45834</v>
      </c>
      <c r="D2836" s="7" t="s">
        <v>212</v>
      </c>
      <c r="E2836" s="7" t="s">
        <v>180</v>
      </c>
      <c r="F2836" s="6" t="n">
        <v>7.061</v>
      </c>
      <c r="G2836" s="6" t="n">
        <v>0.139</v>
      </c>
      <c r="H2836" s="41" t="n">
        <v>16.71</v>
      </c>
      <c r="I2836" s="43" t="n">
        <f aca="false">F2836*H2836</f>
        <v>117.98931</v>
      </c>
      <c r="J2836" s="43" t="n">
        <f aca="false">G2836*H2836*1.5</f>
        <v>3.484035</v>
      </c>
      <c r="K2836" s="6" t="n">
        <v>22.04</v>
      </c>
      <c r="L2836" s="43" t="n">
        <f aca="false">K2836*'Chart of Accounts'!$E$68</f>
        <v>14.7668</v>
      </c>
      <c r="O2836" s="42" t="n">
        <f aca="false">I2836+J2836+L2836</f>
        <v>136.240145</v>
      </c>
    </row>
    <row r="2837" customFormat="false" ht="15" hidden="false" customHeight="false" outlineLevel="0" collapsed="false">
      <c r="B2837" s="7" t="s">
        <v>11470</v>
      </c>
      <c r="C2837" s="39" t="n">
        <v>45834</v>
      </c>
      <c r="D2837" s="7" t="s">
        <v>220</v>
      </c>
      <c r="E2837" s="7" t="s">
        <v>180</v>
      </c>
      <c r="F2837" s="6" t="n">
        <v>3.74</v>
      </c>
      <c r="G2837" s="6" t="n">
        <v>0</v>
      </c>
      <c r="H2837" s="41" t="n">
        <v>16.43</v>
      </c>
      <c r="I2837" s="43" t="n">
        <f aca="false">F2837*H2837</f>
        <v>61.4482</v>
      </c>
      <c r="J2837" s="43" t="n">
        <f aca="false">G2837*H2837*1.5</f>
        <v>0</v>
      </c>
      <c r="K2837" s="6" t="n">
        <v>12.11</v>
      </c>
      <c r="L2837" s="43" t="n">
        <f aca="false">K2837*'Chart of Accounts'!$E$68</f>
        <v>8.1137</v>
      </c>
      <c r="O2837" s="42" t="n">
        <f aca="false">I2837+J2837+L2837</f>
        <v>69.5619</v>
      </c>
    </row>
    <row r="2838" customFormat="false" ht="15" hidden="false" customHeight="false" outlineLevel="0" collapsed="false">
      <c r="B2838" s="7" t="s">
        <v>11471</v>
      </c>
      <c r="C2838" s="39" t="n">
        <v>45834</v>
      </c>
      <c r="D2838" s="7" t="s">
        <v>232</v>
      </c>
      <c r="E2838" s="7" t="s">
        <v>180</v>
      </c>
      <c r="F2838" s="6" t="n">
        <v>2.91</v>
      </c>
      <c r="G2838" s="6" t="n">
        <v>0</v>
      </c>
      <c r="H2838" s="41" t="n">
        <v>16.17</v>
      </c>
      <c r="I2838" s="43" t="n">
        <f aca="false">F2838*H2838</f>
        <v>47.0547</v>
      </c>
      <c r="J2838" s="43" t="n">
        <f aca="false">G2838*H2838*1.5</f>
        <v>0</v>
      </c>
      <c r="K2838" s="6" t="n">
        <v>9.13</v>
      </c>
      <c r="L2838" s="43" t="n">
        <f aca="false">K2838*'Chart of Accounts'!$E$68</f>
        <v>6.1171</v>
      </c>
      <c r="O2838" s="42" t="n">
        <f aca="false">I2838+J2838+L2838</f>
        <v>53.1718</v>
      </c>
    </row>
    <row r="2839" customFormat="false" ht="15" hidden="false" customHeight="false" outlineLevel="0" collapsed="false">
      <c r="B2839" s="7" t="s">
        <v>11472</v>
      </c>
      <c r="C2839" s="39" t="n">
        <v>45834</v>
      </c>
      <c r="D2839" s="7" t="s">
        <v>222</v>
      </c>
      <c r="E2839" s="7" t="s">
        <v>180</v>
      </c>
      <c r="F2839" s="6" t="n">
        <v>6.67</v>
      </c>
      <c r="G2839" s="6" t="n">
        <v>0</v>
      </c>
      <c r="H2839" s="41" t="n">
        <v>17.84</v>
      </c>
      <c r="I2839" s="43" t="n">
        <f aca="false">F2839*H2839</f>
        <v>118.9928</v>
      </c>
      <c r="J2839" s="43" t="n">
        <f aca="false">G2839*H2839*1.5</f>
        <v>0</v>
      </c>
      <c r="K2839" s="6" t="n">
        <v>16.22</v>
      </c>
      <c r="L2839" s="43" t="n">
        <f aca="false">K2839*'Chart of Accounts'!$E$68</f>
        <v>10.8674</v>
      </c>
      <c r="O2839" s="42" t="n">
        <f aca="false">I2839+J2839+L2839</f>
        <v>129.8602</v>
      </c>
    </row>
    <row r="2840" customFormat="false" ht="15" hidden="false" customHeight="false" outlineLevel="0" collapsed="false">
      <c r="B2840" s="7" t="s">
        <v>11473</v>
      </c>
      <c r="C2840" s="39" t="n">
        <v>45834</v>
      </c>
      <c r="D2840" s="7" t="s">
        <v>238</v>
      </c>
      <c r="E2840" s="7" t="s">
        <v>180</v>
      </c>
      <c r="F2840" s="6" t="n">
        <v>4.12</v>
      </c>
      <c r="G2840" s="6" t="n">
        <v>0</v>
      </c>
      <c r="H2840" s="41" t="n">
        <v>15.85</v>
      </c>
      <c r="I2840" s="43" t="n">
        <f aca="false">F2840*H2840</f>
        <v>65.302</v>
      </c>
      <c r="J2840" s="43" t="n">
        <f aca="false">G2840*H2840*1.5</f>
        <v>0</v>
      </c>
      <c r="K2840" s="6" t="n">
        <v>10.69</v>
      </c>
      <c r="L2840" s="43" t="n">
        <f aca="false">K2840*'Chart of Accounts'!$E$68</f>
        <v>7.1623</v>
      </c>
      <c r="O2840" s="42" t="n">
        <f aca="false">I2840+J2840+L2840</f>
        <v>72.4643</v>
      </c>
    </row>
    <row r="2841" customFormat="false" ht="15" hidden="false" customHeight="false" outlineLevel="0" collapsed="false">
      <c r="B2841" s="7" t="s">
        <v>11474</v>
      </c>
      <c r="C2841" s="39" t="n">
        <v>45834</v>
      </c>
      <c r="D2841" s="7" t="s">
        <v>246</v>
      </c>
      <c r="E2841" s="7" t="s">
        <v>180</v>
      </c>
      <c r="F2841" s="6" t="n">
        <v>7.42</v>
      </c>
      <c r="G2841" s="6" t="n">
        <v>0</v>
      </c>
      <c r="H2841" s="41" t="n">
        <v>16.48</v>
      </c>
      <c r="I2841" s="43" t="n">
        <f aca="false">F2841*H2841</f>
        <v>122.2816</v>
      </c>
      <c r="J2841" s="43" t="n">
        <f aca="false">G2841*H2841*1.5</f>
        <v>0</v>
      </c>
      <c r="K2841" s="6" t="n">
        <v>20.53</v>
      </c>
      <c r="L2841" s="43" t="n">
        <f aca="false">K2841*'Chart of Accounts'!$E$68</f>
        <v>13.7551</v>
      </c>
      <c r="O2841" s="42" t="n">
        <f aca="false">I2841+J2841+L2841</f>
        <v>136.0367</v>
      </c>
    </row>
    <row r="2842" customFormat="false" ht="15" hidden="false" customHeight="false" outlineLevel="0" collapsed="false">
      <c r="B2842" s="7" t="s">
        <v>11475</v>
      </c>
      <c r="C2842" s="39" t="n">
        <v>45834</v>
      </c>
      <c r="D2842" s="7" t="s">
        <v>194</v>
      </c>
      <c r="E2842" s="7" t="s">
        <v>180</v>
      </c>
      <c r="F2842" s="6" t="n">
        <v>3.92</v>
      </c>
      <c r="G2842" s="6" t="n">
        <v>0</v>
      </c>
      <c r="H2842" s="41" t="n">
        <v>16</v>
      </c>
      <c r="I2842" s="43" t="n">
        <f aca="false">F2842*H2842</f>
        <v>62.72</v>
      </c>
      <c r="J2842" s="43" t="n">
        <f aca="false">G2842*H2842*1.5</f>
        <v>0</v>
      </c>
      <c r="K2842" s="6" t="n">
        <v>9.24</v>
      </c>
      <c r="L2842" s="43" t="n">
        <f aca="false">K2842*'Chart of Accounts'!$E$68</f>
        <v>6.1908</v>
      </c>
      <c r="O2842" s="42" t="n">
        <f aca="false">I2842+J2842+L2842</f>
        <v>68.9108</v>
      </c>
    </row>
    <row r="2843" customFormat="false" ht="15" hidden="false" customHeight="false" outlineLevel="0" collapsed="false">
      <c r="B2843" s="7" t="s">
        <v>11476</v>
      </c>
      <c r="C2843" s="39" t="n">
        <v>45834</v>
      </c>
      <c r="D2843" s="7" t="s">
        <v>242</v>
      </c>
      <c r="E2843" s="7" t="s">
        <v>180</v>
      </c>
      <c r="F2843" s="6" t="n">
        <v>4.12</v>
      </c>
      <c r="G2843" s="6" t="n">
        <v>0</v>
      </c>
      <c r="H2843" s="41" t="n">
        <v>17.99</v>
      </c>
      <c r="I2843" s="43" t="n">
        <f aca="false">F2843*H2843</f>
        <v>74.1188</v>
      </c>
      <c r="J2843" s="43" t="n">
        <f aca="false">G2843*H2843*1.5</f>
        <v>0</v>
      </c>
      <c r="K2843" s="6" t="n">
        <v>13.55</v>
      </c>
      <c r="L2843" s="43" t="n">
        <f aca="false">K2843*'Chart of Accounts'!$E$68</f>
        <v>9.0785</v>
      </c>
      <c r="O2843" s="42" t="n">
        <f aca="false">I2843+J2843+L2843</f>
        <v>83.1973</v>
      </c>
    </row>
    <row r="2844" customFormat="false" ht="15" hidden="false" customHeight="false" outlineLevel="0" collapsed="false">
      <c r="B2844" s="7" t="s">
        <v>11477</v>
      </c>
      <c r="C2844" s="39" t="n">
        <v>45834</v>
      </c>
      <c r="D2844" s="7" t="s">
        <v>254</v>
      </c>
      <c r="E2844" s="7" t="s">
        <v>180</v>
      </c>
      <c r="F2844" s="6" t="n">
        <v>3.96</v>
      </c>
      <c r="G2844" s="6" t="n">
        <v>0</v>
      </c>
      <c r="H2844" s="41" t="n">
        <v>17.1</v>
      </c>
      <c r="I2844" s="43" t="n">
        <f aca="false">F2844*H2844</f>
        <v>67.716</v>
      </c>
      <c r="J2844" s="43" t="n">
        <f aca="false">G2844*H2844*1.5</f>
        <v>0</v>
      </c>
      <c r="K2844" s="6" t="n">
        <v>9.88</v>
      </c>
      <c r="L2844" s="43" t="n">
        <f aca="false">K2844*'Chart of Accounts'!$E$68</f>
        <v>6.6196</v>
      </c>
      <c r="O2844" s="42" t="n">
        <f aca="false">I2844+J2844+L2844</f>
        <v>74.3356</v>
      </c>
    </row>
    <row r="2845" customFormat="false" ht="15" hidden="false" customHeight="false" outlineLevel="0" collapsed="false">
      <c r="B2845" s="7" t="s">
        <v>11478</v>
      </c>
      <c r="C2845" s="39" t="n">
        <v>45835</v>
      </c>
      <c r="D2845" s="7" t="s">
        <v>187</v>
      </c>
      <c r="E2845" s="7" t="s">
        <v>158</v>
      </c>
      <c r="H2845" s="41" t="n">
        <v>66.48</v>
      </c>
      <c r="M2845" s="6" t="n">
        <v>1</v>
      </c>
      <c r="N2845" s="43" t="n">
        <f aca="false">M2845*H2845</f>
        <v>66.48</v>
      </c>
      <c r="O2845" s="42" t="n">
        <f aca="false">N2845</f>
        <v>66.48</v>
      </c>
    </row>
    <row r="2846" customFormat="false" ht="15" hidden="false" customHeight="false" outlineLevel="0" collapsed="false">
      <c r="B2846" s="7" t="s">
        <v>11479</v>
      </c>
      <c r="C2846" s="39" t="n">
        <v>45835</v>
      </c>
      <c r="D2846" s="7" t="s">
        <v>201</v>
      </c>
      <c r="E2846" s="7" t="s">
        <v>180</v>
      </c>
      <c r="F2846" s="6" t="n">
        <v>11.46</v>
      </c>
      <c r="G2846" s="6" t="n">
        <v>0</v>
      </c>
      <c r="H2846" s="41" t="n">
        <v>15.19</v>
      </c>
      <c r="I2846" s="43" t="n">
        <f aca="false">F2846*H2846</f>
        <v>174.0774</v>
      </c>
      <c r="J2846" s="43" t="n">
        <f aca="false">G2846*H2846*1.5</f>
        <v>0</v>
      </c>
      <c r="K2846" s="6" t="n">
        <v>29.89</v>
      </c>
      <c r="L2846" s="43" t="n">
        <f aca="false">K2846*'Chart of Accounts'!$E$68</f>
        <v>20.0263</v>
      </c>
      <c r="O2846" s="42" t="n">
        <f aca="false">I2846+J2846+L2846</f>
        <v>194.1037</v>
      </c>
    </row>
    <row r="2847" customFormat="false" ht="15" hidden="false" customHeight="false" outlineLevel="0" collapsed="false">
      <c r="B2847" s="7" t="s">
        <v>11480</v>
      </c>
      <c r="C2847" s="39" t="n">
        <v>45835</v>
      </c>
      <c r="D2847" s="7" t="s">
        <v>194</v>
      </c>
      <c r="E2847" s="7" t="s">
        <v>180</v>
      </c>
      <c r="F2847" s="6" t="n">
        <v>8.29</v>
      </c>
      <c r="G2847" s="6" t="n">
        <v>0</v>
      </c>
      <c r="H2847" s="41" t="n">
        <v>16</v>
      </c>
      <c r="I2847" s="43" t="n">
        <f aca="false">F2847*H2847</f>
        <v>132.64</v>
      </c>
      <c r="J2847" s="43" t="n">
        <f aca="false">G2847*H2847*1.5</f>
        <v>0</v>
      </c>
      <c r="K2847" s="6" t="n">
        <v>29.16</v>
      </c>
      <c r="L2847" s="43" t="n">
        <f aca="false">K2847*'Chart of Accounts'!$E$68</f>
        <v>19.5372</v>
      </c>
      <c r="O2847" s="42" t="n">
        <f aca="false">I2847+J2847+L2847</f>
        <v>152.1772</v>
      </c>
    </row>
    <row r="2848" customFormat="false" ht="15" hidden="false" customHeight="false" outlineLevel="0" collapsed="false">
      <c r="B2848" s="7" t="s">
        <v>11481</v>
      </c>
      <c r="C2848" s="39" t="n">
        <v>45835</v>
      </c>
      <c r="D2848" s="7" t="s">
        <v>209</v>
      </c>
      <c r="E2848" s="7" t="s">
        <v>158</v>
      </c>
      <c r="H2848" s="41" t="n">
        <v>73.58</v>
      </c>
      <c r="M2848" s="6" t="n">
        <v>2</v>
      </c>
      <c r="N2848" s="43" t="n">
        <f aca="false">M2848*H2848</f>
        <v>147.16</v>
      </c>
      <c r="O2848" s="42" t="n">
        <f aca="false">N2848</f>
        <v>147.16</v>
      </c>
    </row>
    <row r="2849" customFormat="false" ht="15" hidden="false" customHeight="false" outlineLevel="0" collapsed="false">
      <c r="B2849" s="7" t="s">
        <v>11482</v>
      </c>
      <c r="C2849" s="39" t="n">
        <v>45835</v>
      </c>
      <c r="D2849" s="7" t="s">
        <v>205</v>
      </c>
      <c r="E2849" s="7" t="s">
        <v>180</v>
      </c>
      <c r="F2849" s="6" t="n">
        <v>4.23</v>
      </c>
      <c r="G2849" s="6" t="n">
        <v>0</v>
      </c>
      <c r="H2849" s="41" t="n">
        <v>16.36</v>
      </c>
      <c r="I2849" s="43" t="n">
        <f aca="false">F2849*H2849</f>
        <v>69.2028</v>
      </c>
      <c r="J2849" s="43" t="n">
        <f aca="false">G2849*H2849*1.5</f>
        <v>0</v>
      </c>
      <c r="K2849" s="6" t="n">
        <v>13.97</v>
      </c>
      <c r="L2849" s="43" t="n">
        <f aca="false">K2849*'Chart of Accounts'!$E$68</f>
        <v>9.3599</v>
      </c>
      <c r="O2849" s="42" t="n">
        <f aca="false">I2849+J2849+L2849</f>
        <v>78.5627</v>
      </c>
    </row>
    <row r="2850" customFormat="false" ht="15" hidden="false" customHeight="false" outlineLevel="0" collapsed="false">
      <c r="B2850" s="7" t="s">
        <v>11483</v>
      </c>
      <c r="C2850" s="39" t="n">
        <v>45835</v>
      </c>
      <c r="D2850" s="7" t="s">
        <v>264</v>
      </c>
      <c r="E2850" s="7" t="s">
        <v>158</v>
      </c>
      <c r="H2850" s="41" t="n">
        <v>55.55</v>
      </c>
      <c r="M2850" s="6" t="n">
        <v>1</v>
      </c>
      <c r="N2850" s="43" t="n">
        <f aca="false">M2850*H2850</f>
        <v>55.55</v>
      </c>
      <c r="O2850" s="42" t="n">
        <f aca="false">N2850</f>
        <v>55.55</v>
      </c>
    </row>
    <row r="2851" customFormat="false" ht="15" hidden="false" customHeight="false" outlineLevel="0" collapsed="false">
      <c r="B2851" s="7" t="s">
        <v>11484</v>
      </c>
      <c r="C2851" s="39" t="n">
        <v>45835</v>
      </c>
      <c r="D2851" s="7" t="s">
        <v>252</v>
      </c>
      <c r="E2851" s="7" t="s">
        <v>158</v>
      </c>
      <c r="H2851" s="41" t="n">
        <v>57.54</v>
      </c>
      <c r="M2851" s="6" t="n">
        <v>1</v>
      </c>
      <c r="N2851" s="43" t="n">
        <f aca="false">M2851*H2851</f>
        <v>57.54</v>
      </c>
      <c r="O2851" s="42" t="n">
        <f aca="false">N2851</f>
        <v>57.54</v>
      </c>
    </row>
    <row r="2852" customFormat="false" ht="15" hidden="false" customHeight="false" outlineLevel="0" collapsed="false">
      <c r="B2852" s="7" t="s">
        <v>11485</v>
      </c>
      <c r="C2852" s="39" t="n">
        <v>45835</v>
      </c>
      <c r="D2852" s="7" t="s">
        <v>184</v>
      </c>
      <c r="E2852" s="7" t="s">
        <v>180</v>
      </c>
      <c r="F2852" s="6" t="n">
        <v>3.99</v>
      </c>
      <c r="G2852" s="6" t="n">
        <v>0</v>
      </c>
      <c r="H2852" s="41" t="n">
        <v>17.34</v>
      </c>
      <c r="I2852" s="43" t="n">
        <f aca="false">F2852*H2852</f>
        <v>69.1866</v>
      </c>
      <c r="J2852" s="43" t="n">
        <f aca="false">G2852*H2852*1.5</f>
        <v>0</v>
      </c>
      <c r="K2852" s="6" t="n">
        <v>13.53</v>
      </c>
      <c r="L2852" s="43" t="n">
        <f aca="false">K2852*'Chart of Accounts'!$E$68</f>
        <v>9.0651</v>
      </c>
      <c r="O2852" s="42" t="n">
        <f aca="false">I2852+J2852+L2852</f>
        <v>78.2517</v>
      </c>
    </row>
    <row r="2853" customFormat="false" ht="15" hidden="false" customHeight="false" outlineLevel="0" collapsed="false">
      <c r="B2853" s="7" t="s">
        <v>11486</v>
      </c>
      <c r="C2853" s="39" t="n">
        <v>45835</v>
      </c>
      <c r="D2853" s="7" t="s">
        <v>234</v>
      </c>
      <c r="E2853" s="7" t="s">
        <v>158</v>
      </c>
      <c r="H2853" s="41" t="n">
        <v>89.53</v>
      </c>
      <c r="M2853" s="6" t="n">
        <v>2</v>
      </c>
      <c r="N2853" s="43" t="n">
        <f aca="false">M2853*H2853</f>
        <v>179.06</v>
      </c>
      <c r="O2853" s="42" t="n">
        <f aca="false">N2853</f>
        <v>179.06</v>
      </c>
    </row>
    <row r="2854" customFormat="false" ht="15" hidden="false" customHeight="false" outlineLevel="0" collapsed="false">
      <c r="B2854" s="7" t="s">
        <v>11487</v>
      </c>
      <c r="C2854" s="39" t="n">
        <v>45835</v>
      </c>
      <c r="D2854" s="7" t="s">
        <v>218</v>
      </c>
      <c r="E2854" s="7" t="s">
        <v>180</v>
      </c>
      <c r="F2854" s="6" t="n">
        <v>4.22</v>
      </c>
      <c r="G2854" s="6" t="n">
        <v>0</v>
      </c>
      <c r="H2854" s="41" t="n">
        <v>16.19</v>
      </c>
      <c r="I2854" s="43" t="n">
        <f aca="false">F2854*H2854</f>
        <v>68.3218</v>
      </c>
      <c r="J2854" s="43" t="n">
        <f aca="false">G2854*H2854*1.5</f>
        <v>0</v>
      </c>
      <c r="K2854" s="6" t="n">
        <v>9.83</v>
      </c>
      <c r="L2854" s="43" t="n">
        <f aca="false">K2854*'Chart of Accounts'!$E$68</f>
        <v>6.5861</v>
      </c>
      <c r="O2854" s="42" t="n">
        <f aca="false">I2854+J2854+L2854</f>
        <v>74.9079</v>
      </c>
    </row>
    <row r="2855" customFormat="false" ht="15" hidden="false" customHeight="false" outlineLevel="0" collapsed="false">
      <c r="B2855" s="7" t="s">
        <v>11488</v>
      </c>
      <c r="C2855" s="39" t="n">
        <v>45835</v>
      </c>
      <c r="D2855" s="7" t="s">
        <v>266</v>
      </c>
      <c r="E2855" s="7" t="s">
        <v>158</v>
      </c>
      <c r="H2855" s="41" t="n">
        <v>75.18</v>
      </c>
      <c r="M2855" s="6" t="n">
        <v>1</v>
      </c>
      <c r="N2855" s="43" t="n">
        <f aca="false">M2855*H2855</f>
        <v>75.18</v>
      </c>
      <c r="O2855" s="42" t="n">
        <f aca="false">N2855</f>
        <v>75.18</v>
      </c>
    </row>
    <row r="2856" customFormat="false" ht="15" hidden="false" customHeight="false" outlineLevel="0" collapsed="false">
      <c r="B2856" s="7" t="s">
        <v>11489</v>
      </c>
      <c r="C2856" s="39" t="n">
        <v>45835</v>
      </c>
      <c r="D2856" s="7" t="s">
        <v>228</v>
      </c>
      <c r="E2856" s="7" t="s">
        <v>158</v>
      </c>
      <c r="H2856" s="41" t="n">
        <v>51.07</v>
      </c>
      <c r="M2856" s="6" t="n">
        <v>1</v>
      </c>
      <c r="N2856" s="43" t="n">
        <f aca="false">M2856*H2856</f>
        <v>51.07</v>
      </c>
      <c r="O2856" s="42" t="n">
        <f aca="false">N2856</f>
        <v>51.07</v>
      </c>
    </row>
    <row r="2857" customFormat="false" ht="15" hidden="false" customHeight="false" outlineLevel="0" collapsed="false">
      <c r="B2857" s="7" t="s">
        <v>11490</v>
      </c>
      <c r="C2857" s="39" t="n">
        <v>45835</v>
      </c>
      <c r="D2857" s="7" t="s">
        <v>220</v>
      </c>
      <c r="E2857" s="7" t="s">
        <v>180</v>
      </c>
      <c r="F2857" s="6" t="n">
        <v>3.74</v>
      </c>
      <c r="G2857" s="6" t="n">
        <v>0</v>
      </c>
      <c r="H2857" s="41" t="n">
        <v>16.43</v>
      </c>
      <c r="I2857" s="43" t="n">
        <f aca="false">F2857*H2857</f>
        <v>61.4482</v>
      </c>
      <c r="J2857" s="43" t="n">
        <f aca="false">G2857*H2857*1.5</f>
        <v>0</v>
      </c>
      <c r="K2857" s="6" t="n">
        <v>12.93</v>
      </c>
      <c r="L2857" s="43" t="n">
        <f aca="false">K2857*'Chart of Accounts'!$E$68</f>
        <v>8.6631</v>
      </c>
      <c r="O2857" s="42" t="n">
        <f aca="false">I2857+J2857+L2857</f>
        <v>70.1113</v>
      </c>
    </row>
    <row r="2858" customFormat="false" ht="15" hidden="false" customHeight="false" outlineLevel="0" collapsed="false">
      <c r="B2858" s="7" t="s">
        <v>11491</v>
      </c>
      <c r="C2858" s="39" t="n">
        <v>45835</v>
      </c>
      <c r="D2858" s="7" t="s">
        <v>177</v>
      </c>
      <c r="E2858" s="7" t="s">
        <v>180</v>
      </c>
      <c r="F2858" s="6" t="n">
        <v>8.94</v>
      </c>
      <c r="G2858" s="6" t="n">
        <v>0</v>
      </c>
      <c r="H2858" s="41" t="n">
        <v>14.56</v>
      </c>
      <c r="I2858" s="43" t="n">
        <f aca="false">F2858*H2858</f>
        <v>130.1664</v>
      </c>
      <c r="J2858" s="43" t="n">
        <f aca="false">G2858*H2858*1.5</f>
        <v>0</v>
      </c>
      <c r="K2858" s="6" t="n">
        <v>22.02</v>
      </c>
      <c r="L2858" s="43" t="n">
        <f aca="false">K2858*'Chart of Accounts'!$E$68</f>
        <v>14.7534</v>
      </c>
      <c r="O2858" s="42" t="n">
        <f aca="false">I2858+J2858+L2858</f>
        <v>144.9198</v>
      </c>
    </row>
    <row r="2859" customFormat="false" ht="15" hidden="false" customHeight="false" outlineLevel="0" collapsed="false">
      <c r="B2859" s="7" t="s">
        <v>11492</v>
      </c>
      <c r="C2859" s="39" t="n">
        <v>45835</v>
      </c>
      <c r="D2859" s="7" t="s">
        <v>242</v>
      </c>
      <c r="E2859" s="7" t="s">
        <v>180</v>
      </c>
      <c r="F2859" s="6" t="n">
        <v>7.29</v>
      </c>
      <c r="G2859" s="6" t="n">
        <v>0</v>
      </c>
      <c r="H2859" s="41" t="n">
        <v>17.99</v>
      </c>
      <c r="I2859" s="43" t="n">
        <f aca="false">F2859*H2859</f>
        <v>131.1471</v>
      </c>
      <c r="J2859" s="43" t="n">
        <f aca="false">G2859*H2859*1.5</f>
        <v>0</v>
      </c>
      <c r="K2859" s="6" t="n">
        <v>20.72</v>
      </c>
      <c r="L2859" s="43" t="n">
        <f aca="false">K2859*'Chart of Accounts'!$E$68</f>
        <v>13.8824</v>
      </c>
      <c r="O2859" s="42" t="n">
        <f aca="false">I2859+J2859+L2859</f>
        <v>145.0295</v>
      </c>
    </row>
    <row r="2860" customFormat="false" ht="15" hidden="false" customHeight="false" outlineLevel="0" collapsed="false">
      <c r="B2860" s="7" t="s">
        <v>11493</v>
      </c>
      <c r="C2860" s="39" t="n">
        <v>45835</v>
      </c>
      <c r="D2860" s="7" t="s">
        <v>254</v>
      </c>
      <c r="E2860" s="7" t="s">
        <v>180</v>
      </c>
      <c r="F2860" s="6" t="n">
        <v>7.39</v>
      </c>
      <c r="G2860" s="6" t="n">
        <v>0</v>
      </c>
      <c r="H2860" s="41" t="n">
        <v>17.1</v>
      </c>
      <c r="I2860" s="43" t="n">
        <f aca="false">F2860*H2860</f>
        <v>126.369</v>
      </c>
      <c r="J2860" s="43" t="n">
        <f aca="false">G2860*H2860*1.5</f>
        <v>0</v>
      </c>
      <c r="K2860" s="6" t="n">
        <v>24.34</v>
      </c>
      <c r="L2860" s="43" t="n">
        <f aca="false">K2860*'Chart of Accounts'!$E$68</f>
        <v>16.3078</v>
      </c>
      <c r="O2860" s="42" t="n">
        <f aca="false">I2860+J2860+L2860</f>
        <v>142.6768</v>
      </c>
    </row>
    <row r="2861" customFormat="false" ht="15" hidden="false" customHeight="false" outlineLevel="0" collapsed="false">
      <c r="B2861" s="7" t="s">
        <v>11494</v>
      </c>
      <c r="C2861" s="39" t="n">
        <v>45835</v>
      </c>
      <c r="D2861" s="7" t="s">
        <v>207</v>
      </c>
      <c r="E2861" s="7" t="s">
        <v>180</v>
      </c>
      <c r="F2861" s="6" t="n">
        <v>3.65</v>
      </c>
      <c r="G2861" s="6" t="n">
        <v>0</v>
      </c>
      <c r="H2861" s="41" t="n">
        <v>16.65</v>
      </c>
      <c r="I2861" s="43" t="n">
        <f aca="false">F2861*H2861</f>
        <v>60.7725</v>
      </c>
      <c r="J2861" s="43" t="n">
        <f aca="false">G2861*H2861*1.5</f>
        <v>0</v>
      </c>
      <c r="K2861" s="6" t="n">
        <v>11.16</v>
      </c>
      <c r="L2861" s="43" t="n">
        <f aca="false">K2861*'Chart of Accounts'!$E$68</f>
        <v>7.4772</v>
      </c>
      <c r="O2861" s="42" t="n">
        <f aca="false">I2861+J2861+L2861</f>
        <v>68.2497</v>
      </c>
    </row>
    <row r="2862" customFormat="false" ht="15" hidden="false" customHeight="false" outlineLevel="0" collapsed="false">
      <c r="B2862" s="7" t="s">
        <v>11495</v>
      </c>
      <c r="C2862" s="39" t="n">
        <v>45835</v>
      </c>
      <c r="D2862" s="7" t="s">
        <v>212</v>
      </c>
      <c r="E2862" s="7" t="s">
        <v>180</v>
      </c>
      <c r="F2862" s="6" t="n">
        <v>3.579</v>
      </c>
      <c r="G2862" s="6" t="n">
        <v>0.071</v>
      </c>
      <c r="H2862" s="41" t="n">
        <v>16.71</v>
      </c>
      <c r="I2862" s="43" t="n">
        <f aca="false">F2862*H2862</f>
        <v>59.80509</v>
      </c>
      <c r="J2862" s="43" t="n">
        <f aca="false">G2862*H2862*1.5</f>
        <v>1.779615</v>
      </c>
      <c r="K2862" s="6" t="n">
        <v>9.2</v>
      </c>
      <c r="L2862" s="43" t="n">
        <f aca="false">K2862*'Chart of Accounts'!$E$68</f>
        <v>6.164</v>
      </c>
      <c r="O2862" s="42" t="n">
        <f aca="false">I2862+J2862+L2862</f>
        <v>67.748705</v>
      </c>
    </row>
    <row r="2863" customFormat="false" ht="15" hidden="false" customHeight="false" outlineLevel="0" collapsed="false">
      <c r="B2863" s="7" t="s">
        <v>11496</v>
      </c>
      <c r="C2863" s="39" t="n">
        <v>45835</v>
      </c>
      <c r="D2863" s="7" t="s">
        <v>232</v>
      </c>
      <c r="E2863" s="7" t="s">
        <v>180</v>
      </c>
      <c r="F2863" s="6" t="n">
        <v>4.91</v>
      </c>
      <c r="G2863" s="6" t="n">
        <v>0</v>
      </c>
      <c r="H2863" s="41" t="n">
        <v>16.17</v>
      </c>
      <c r="I2863" s="43" t="n">
        <f aca="false">F2863*H2863</f>
        <v>79.3947</v>
      </c>
      <c r="J2863" s="43" t="n">
        <f aca="false">G2863*H2863*1.5</f>
        <v>0</v>
      </c>
      <c r="K2863" s="6" t="n">
        <v>13.86</v>
      </c>
      <c r="L2863" s="43" t="n">
        <f aca="false">K2863*'Chart of Accounts'!$E$68</f>
        <v>9.2862</v>
      </c>
      <c r="O2863" s="42" t="n">
        <f aca="false">I2863+J2863+L2863</f>
        <v>88.6809</v>
      </c>
    </row>
    <row r="2864" customFormat="false" ht="15" hidden="false" customHeight="false" outlineLevel="0" collapsed="false">
      <c r="B2864" s="7" t="s">
        <v>11497</v>
      </c>
      <c r="C2864" s="39" t="n">
        <v>45835</v>
      </c>
      <c r="D2864" s="7" t="s">
        <v>224</v>
      </c>
      <c r="E2864" s="7" t="s">
        <v>180</v>
      </c>
      <c r="F2864" s="6" t="n">
        <v>4.5</v>
      </c>
      <c r="G2864" s="6" t="n">
        <v>0</v>
      </c>
      <c r="H2864" s="41" t="n">
        <v>14.93</v>
      </c>
      <c r="I2864" s="43" t="n">
        <f aca="false">F2864*H2864</f>
        <v>67.185</v>
      </c>
      <c r="J2864" s="43" t="n">
        <f aca="false">G2864*H2864*1.5</f>
        <v>0</v>
      </c>
      <c r="K2864" s="6" t="n">
        <v>12.57</v>
      </c>
      <c r="L2864" s="43" t="n">
        <f aca="false">K2864*'Chart of Accounts'!$E$68</f>
        <v>8.4219</v>
      </c>
      <c r="O2864" s="42" t="n">
        <f aca="false">I2864+J2864+L2864</f>
        <v>75.6069</v>
      </c>
    </row>
    <row r="2865" customFormat="false" ht="15" hidden="false" customHeight="false" outlineLevel="0" collapsed="false">
      <c r="B2865" s="7" t="s">
        <v>11498</v>
      </c>
      <c r="C2865" s="39" t="n">
        <v>45835</v>
      </c>
      <c r="D2865" s="7" t="s">
        <v>238</v>
      </c>
      <c r="E2865" s="7" t="s">
        <v>180</v>
      </c>
      <c r="F2865" s="6" t="n">
        <v>3.72</v>
      </c>
      <c r="G2865" s="6" t="n">
        <v>0</v>
      </c>
      <c r="H2865" s="41" t="n">
        <v>15.85</v>
      </c>
      <c r="I2865" s="43" t="n">
        <f aca="false">F2865*H2865</f>
        <v>58.962</v>
      </c>
      <c r="J2865" s="43" t="n">
        <f aca="false">G2865*H2865*1.5</f>
        <v>0</v>
      </c>
      <c r="K2865" s="6" t="n">
        <v>12.1</v>
      </c>
      <c r="L2865" s="43" t="n">
        <f aca="false">K2865*'Chart of Accounts'!$E$68</f>
        <v>8.107</v>
      </c>
      <c r="O2865" s="42" t="n">
        <f aca="false">I2865+J2865+L2865</f>
        <v>67.069</v>
      </c>
    </row>
    <row r="2866" customFormat="false" ht="15" hidden="false" customHeight="false" outlineLevel="0" collapsed="false">
      <c r="B2866" s="7" t="s">
        <v>11499</v>
      </c>
      <c r="C2866" s="39" t="n">
        <v>45835</v>
      </c>
      <c r="D2866" s="7" t="s">
        <v>246</v>
      </c>
      <c r="E2866" s="7" t="s">
        <v>180</v>
      </c>
      <c r="F2866" s="6" t="n">
        <v>4.23</v>
      </c>
      <c r="G2866" s="6" t="n">
        <v>0</v>
      </c>
      <c r="H2866" s="41" t="n">
        <v>16.48</v>
      </c>
      <c r="I2866" s="43" t="n">
        <f aca="false">F2866*H2866</f>
        <v>69.7104</v>
      </c>
      <c r="J2866" s="43" t="n">
        <f aca="false">G2866*H2866*1.5</f>
        <v>0</v>
      </c>
      <c r="K2866" s="6" t="n">
        <v>13.7</v>
      </c>
      <c r="L2866" s="43" t="n">
        <f aca="false">K2866*'Chart of Accounts'!$E$68</f>
        <v>9.179</v>
      </c>
      <c r="O2866" s="42" t="n">
        <f aca="false">I2866+J2866+L2866</f>
        <v>78.8894</v>
      </c>
    </row>
    <row r="2867" customFormat="false" ht="15" hidden="false" customHeight="false" outlineLevel="0" collapsed="false">
      <c r="B2867" s="7" t="s">
        <v>11500</v>
      </c>
      <c r="C2867" s="39" t="n">
        <v>45835</v>
      </c>
      <c r="D2867" s="7" t="s">
        <v>222</v>
      </c>
      <c r="E2867" s="7" t="s">
        <v>180</v>
      </c>
      <c r="F2867" s="6" t="n">
        <v>3.73</v>
      </c>
      <c r="G2867" s="6" t="n">
        <v>0</v>
      </c>
      <c r="H2867" s="41" t="n">
        <v>17.84</v>
      </c>
      <c r="I2867" s="43" t="n">
        <f aca="false">F2867*H2867</f>
        <v>66.5432</v>
      </c>
      <c r="J2867" s="43" t="n">
        <f aca="false">G2867*H2867*1.5</f>
        <v>0</v>
      </c>
      <c r="K2867" s="6" t="n">
        <v>12.23</v>
      </c>
      <c r="L2867" s="43" t="n">
        <f aca="false">K2867*'Chart of Accounts'!$E$68</f>
        <v>8.1941</v>
      </c>
      <c r="O2867" s="42" t="n">
        <f aca="false">I2867+J2867+L2867</f>
        <v>74.7373</v>
      </c>
    </row>
    <row r="2868" customFormat="false" ht="15" hidden="false" customHeight="false" outlineLevel="0" collapsed="false">
      <c r="B2868" s="7" t="s">
        <v>11501</v>
      </c>
      <c r="C2868" s="39" t="n">
        <v>45835</v>
      </c>
      <c r="D2868" s="7" t="s">
        <v>203</v>
      </c>
      <c r="E2868" s="7" t="s">
        <v>158</v>
      </c>
      <c r="H2868" s="41" t="n">
        <v>49.43</v>
      </c>
      <c r="M2868" s="6" t="n">
        <v>1</v>
      </c>
      <c r="N2868" s="43" t="n">
        <f aca="false">M2868*H2868</f>
        <v>49.43</v>
      </c>
      <c r="O2868" s="42" t="n">
        <f aca="false">N2868</f>
        <v>49.43</v>
      </c>
    </row>
    <row r="2869" customFormat="false" ht="15" hidden="false" customHeight="false" outlineLevel="0" collapsed="false">
      <c r="B2869" s="7" t="s">
        <v>11502</v>
      </c>
      <c r="C2869" s="39" t="n">
        <v>45835</v>
      </c>
      <c r="D2869" s="7" t="s">
        <v>260</v>
      </c>
      <c r="E2869" s="7" t="s">
        <v>158</v>
      </c>
      <c r="H2869" s="41" t="n">
        <v>79.8</v>
      </c>
      <c r="M2869" s="6" t="n">
        <v>1</v>
      </c>
      <c r="N2869" s="43" t="n">
        <f aca="false">M2869*H2869</f>
        <v>79.8</v>
      </c>
      <c r="O2869" s="42" t="n">
        <f aca="false">N2869</f>
        <v>79.8</v>
      </c>
    </row>
    <row r="2870" customFormat="false" ht="15" hidden="false" customHeight="false" outlineLevel="0" collapsed="false">
      <c r="B2870" s="7" t="s">
        <v>11503</v>
      </c>
      <c r="C2870" s="39" t="n">
        <v>45835</v>
      </c>
      <c r="D2870" s="7" t="s">
        <v>214</v>
      </c>
      <c r="E2870" s="7" t="s">
        <v>180</v>
      </c>
      <c r="F2870" s="6" t="n">
        <v>3</v>
      </c>
      <c r="G2870" s="6" t="n">
        <v>0</v>
      </c>
      <c r="H2870" s="41" t="n">
        <v>15.67</v>
      </c>
      <c r="I2870" s="43" t="n">
        <f aca="false">F2870*H2870</f>
        <v>47.01</v>
      </c>
      <c r="J2870" s="43" t="n">
        <f aca="false">G2870*H2870*1.5</f>
        <v>0</v>
      </c>
      <c r="K2870" s="6" t="n">
        <v>9.48</v>
      </c>
      <c r="L2870" s="43" t="n">
        <f aca="false">K2870*'Chart of Accounts'!$E$68</f>
        <v>6.3516</v>
      </c>
      <c r="O2870" s="42" t="n">
        <f aca="false">I2870+J2870+L2870</f>
        <v>53.3616</v>
      </c>
    </row>
    <row r="2871" customFormat="false" ht="15" hidden="false" customHeight="false" outlineLevel="0" collapsed="false">
      <c r="B2871" s="7" t="s">
        <v>11504</v>
      </c>
      <c r="C2871" s="39" t="n">
        <v>45836</v>
      </c>
      <c r="D2871" s="7" t="s">
        <v>207</v>
      </c>
      <c r="E2871" s="7" t="s">
        <v>180</v>
      </c>
      <c r="F2871" s="6" t="n">
        <v>3.97</v>
      </c>
      <c r="G2871" s="6" t="n">
        <v>0</v>
      </c>
      <c r="H2871" s="41" t="n">
        <v>16.65</v>
      </c>
      <c r="I2871" s="43" t="n">
        <f aca="false">F2871*H2871</f>
        <v>66.1005</v>
      </c>
      <c r="J2871" s="43" t="n">
        <f aca="false">G2871*H2871*1.5</f>
        <v>0</v>
      </c>
      <c r="K2871" s="6" t="n">
        <v>11.22</v>
      </c>
      <c r="L2871" s="43" t="n">
        <f aca="false">K2871*'Chart of Accounts'!$E$68</f>
        <v>7.5174</v>
      </c>
      <c r="O2871" s="42" t="n">
        <f aca="false">I2871+J2871+L2871</f>
        <v>73.6179</v>
      </c>
    </row>
    <row r="2872" customFormat="false" ht="15" hidden="false" customHeight="false" outlineLevel="0" collapsed="false">
      <c r="B2872" s="7" t="s">
        <v>11505</v>
      </c>
      <c r="C2872" s="39" t="n">
        <v>45836</v>
      </c>
      <c r="D2872" s="7" t="s">
        <v>218</v>
      </c>
      <c r="E2872" s="7" t="s">
        <v>180</v>
      </c>
      <c r="F2872" s="6" t="n">
        <v>4.17</v>
      </c>
      <c r="G2872" s="6" t="n">
        <v>0</v>
      </c>
      <c r="H2872" s="41" t="n">
        <v>16.19</v>
      </c>
      <c r="I2872" s="43" t="n">
        <f aca="false">F2872*H2872</f>
        <v>67.5123</v>
      </c>
      <c r="J2872" s="43" t="n">
        <f aca="false">G2872*H2872*1.5</f>
        <v>0</v>
      </c>
      <c r="K2872" s="6" t="n">
        <v>12.29</v>
      </c>
      <c r="L2872" s="43" t="n">
        <f aca="false">K2872*'Chart of Accounts'!$E$68</f>
        <v>8.2343</v>
      </c>
      <c r="O2872" s="42" t="n">
        <f aca="false">I2872+J2872+L2872</f>
        <v>75.7466</v>
      </c>
    </row>
    <row r="2873" customFormat="false" ht="15" hidden="false" customHeight="false" outlineLevel="0" collapsed="false">
      <c r="B2873" s="7" t="s">
        <v>11506</v>
      </c>
      <c r="C2873" s="39" t="n">
        <v>45836</v>
      </c>
      <c r="D2873" s="7" t="s">
        <v>212</v>
      </c>
      <c r="E2873" s="7" t="s">
        <v>180</v>
      </c>
      <c r="F2873" s="6" t="n">
        <v>3.785</v>
      </c>
      <c r="G2873" s="6" t="n">
        <v>0.075</v>
      </c>
      <c r="H2873" s="41" t="n">
        <v>16.71</v>
      </c>
      <c r="I2873" s="43" t="n">
        <f aca="false">F2873*H2873</f>
        <v>63.24735</v>
      </c>
      <c r="J2873" s="43" t="n">
        <f aca="false">G2873*H2873*1.5</f>
        <v>1.879875</v>
      </c>
      <c r="K2873" s="6" t="n">
        <v>12.51</v>
      </c>
      <c r="L2873" s="43" t="n">
        <f aca="false">K2873*'Chart of Accounts'!$E$68</f>
        <v>8.3817</v>
      </c>
      <c r="O2873" s="42" t="n">
        <f aca="false">I2873+J2873+L2873</f>
        <v>73.508925</v>
      </c>
    </row>
    <row r="2874" customFormat="false" ht="15" hidden="false" customHeight="false" outlineLevel="0" collapsed="false">
      <c r="B2874" s="7" t="s">
        <v>11507</v>
      </c>
      <c r="C2874" s="39" t="n">
        <v>45836</v>
      </c>
      <c r="D2874" s="7" t="s">
        <v>222</v>
      </c>
      <c r="E2874" s="7" t="s">
        <v>180</v>
      </c>
      <c r="F2874" s="6" t="n">
        <v>4.05</v>
      </c>
      <c r="G2874" s="6" t="n">
        <v>0</v>
      </c>
      <c r="H2874" s="41" t="n">
        <v>17.84</v>
      </c>
      <c r="I2874" s="43" t="n">
        <f aca="false">F2874*H2874</f>
        <v>72.252</v>
      </c>
      <c r="J2874" s="43" t="n">
        <f aca="false">G2874*H2874*1.5</f>
        <v>0</v>
      </c>
      <c r="K2874" s="6" t="n">
        <v>14.02</v>
      </c>
      <c r="L2874" s="43" t="n">
        <f aca="false">K2874*'Chart of Accounts'!$E$68</f>
        <v>9.3934</v>
      </c>
      <c r="O2874" s="42" t="n">
        <f aca="false">I2874+J2874+L2874</f>
        <v>81.6454</v>
      </c>
    </row>
    <row r="2875" customFormat="false" ht="15" hidden="false" customHeight="false" outlineLevel="0" collapsed="false">
      <c r="B2875" s="7" t="s">
        <v>11508</v>
      </c>
      <c r="C2875" s="39" t="n">
        <v>45836</v>
      </c>
      <c r="D2875" s="7" t="s">
        <v>242</v>
      </c>
      <c r="E2875" s="7" t="s">
        <v>180</v>
      </c>
      <c r="F2875" s="6" t="n">
        <v>4</v>
      </c>
      <c r="G2875" s="6" t="n">
        <v>0</v>
      </c>
      <c r="H2875" s="41" t="n">
        <v>17.99</v>
      </c>
      <c r="I2875" s="43" t="n">
        <f aca="false">F2875*H2875</f>
        <v>71.96</v>
      </c>
      <c r="J2875" s="43" t="n">
        <f aca="false">G2875*H2875*1.5</f>
        <v>0</v>
      </c>
      <c r="K2875" s="6" t="n">
        <v>13.1</v>
      </c>
      <c r="L2875" s="43" t="n">
        <f aca="false">K2875*'Chart of Accounts'!$E$68</f>
        <v>8.777</v>
      </c>
      <c r="O2875" s="42" t="n">
        <f aca="false">I2875+J2875+L2875</f>
        <v>80.737</v>
      </c>
    </row>
    <row r="2876" customFormat="false" ht="15" hidden="false" customHeight="false" outlineLevel="0" collapsed="false">
      <c r="B2876" s="7" t="s">
        <v>11509</v>
      </c>
      <c r="C2876" s="39" t="n">
        <v>45836</v>
      </c>
      <c r="D2876" s="7" t="s">
        <v>254</v>
      </c>
      <c r="E2876" s="7" t="s">
        <v>180</v>
      </c>
      <c r="F2876" s="6" t="n">
        <v>3.79</v>
      </c>
      <c r="G2876" s="6" t="n">
        <v>0</v>
      </c>
      <c r="H2876" s="41" t="n">
        <v>17.1</v>
      </c>
      <c r="I2876" s="43" t="n">
        <f aca="false">F2876*H2876</f>
        <v>64.809</v>
      </c>
      <c r="J2876" s="43" t="n">
        <f aca="false">G2876*H2876*1.5</f>
        <v>0</v>
      </c>
      <c r="K2876" s="6" t="n">
        <v>8.36</v>
      </c>
      <c r="L2876" s="43" t="n">
        <f aca="false">K2876*'Chart of Accounts'!$E$68</f>
        <v>5.6012</v>
      </c>
      <c r="O2876" s="42" t="n">
        <f aca="false">I2876+J2876+L2876</f>
        <v>70.4102</v>
      </c>
    </row>
    <row r="2877" customFormat="false" ht="15" hidden="false" customHeight="false" outlineLevel="0" collapsed="false">
      <c r="B2877" s="7" t="s">
        <v>11510</v>
      </c>
      <c r="C2877" s="39" t="n">
        <v>45837</v>
      </c>
      <c r="D2877" s="7" t="s">
        <v>184</v>
      </c>
      <c r="E2877" s="7" t="s">
        <v>180</v>
      </c>
      <c r="F2877" s="6" t="n">
        <v>4.18</v>
      </c>
      <c r="G2877" s="6" t="n">
        <v>0</v>
      </c>
      <c r="H2877" s="41" t="n">
        <v>17.34</v>
      </c>
      <c r="I2877" s="43" t="n">
        <f aca="false">F2877*H2877</f>
        <v>72.4812</v>
      </c>
      <c r="J2877" s="43" t="n">
        <f aca="false">G2877*H2877*1.5</f>
        <v>0</v>
      </c>
      <c r="K2877" s="6" t="n">
        <v>12.3</v>
      </c>
      <c r="L2877" s="43" t="n">
        <f aca="false">K2877*'Chart of Accounts'!$E$68</f>
        <v>8.241</v>
      </c>
      <c r="O2877" s="42" t="n">
        <f aca="false">I2877+J2877+L2877</f>
        <v>80.7222</v>
      </c>
    </row>
    <row r="2878" customFormat="false" ht="15" hidden="false" customHeight="false" outlineLevel="0" collapsed="false">
      <c r="B2878" s="7" t="s">
        <v>11511</v>
      </c>
      <c r="C2878" s="39" t="n">
        <v>45837</v>
      </c>
      <c r="D2878" s="7" t="s">
        <v>218</v>
      </c>
      <c r="E2878" s="7" t="s">
        <v>180</v>
      </c>
      <c r="F2878" s="6" t="n">
        <v>3.91</v>
      </c>
      <c r="G2878" s="6" t="n">
        <v>0</v>
      </c>
      <c r="H2878" s="41" t="n">
        <v>16.19</v>
      </c>
      <c r="I2878" s="43" t="n">
        <f aca="false">F2878*H2878</f>
        <v>63.3029</v>
      </c>
      <c r="J2878" s="43" t="n">
        <f aca="false">G2878*H2878*1.5</f>
        <v>0</v>
      </c>
      <c r="K2878" s="6" t="n">
        <v>10.48</v>
      </c>
      <c r="L2878" s="43" t="n">
        <f aca="false">K2878*'Chart of Accounts'!$E$68</f>
        <v>7.0216</v>
      </c>
      <c r="O2878" s="42" t="n">
        <f aca="false">I2878+J2878+L2878</f>
        <v>70.3245</v>
      </c>
    </row>
    <row r="2879" customFormat="false" ht="15" hidden="false" customHeight="false" outlineLevel="0" collapsed="false">
      <c r="B2879" s="7" t="s">
        <v>11512</v>
      </c>
      <c r="C2879" s="39" t="n">
        <v>45837</v>
      </c>
      <c r="D2879" s="7" t="s">
        <v>212</v>
      </c>
      <c r="E2879" s="7" t="s">
        <v>180</v>
      </c>
      <c r="F2879" s="6" t="n">
        <v>3.726</v>
      </c>
      <c r="G2879" s="6" t="n">
        <v>0.074</v>
      </c>
      <c r="H2879" s="41" t="n">
        <v>16.71</v>
      </c>
      <c r="I2879" s="43" t="n">
        <f aca="false">F2879*H2879</f>
        <v>62.26146</v>
      </c>
      <c r="J2879" s="43" t="n">
        <f aca="false">G2879*H2879*1.5</f>
        <v>1.85481</v>
      </c>
      <c r="K2879" s="6" t="n">
        <v>12.44</v>
      </c>
      <c r="L2879" s="43" t="n">
        <f aca="false">K2879*'Chart of Accounts'!$E$68</f>
        <v>8.3348</v>
      </c>
      <c r="O2879" s="42" t="n">
        <f aca="false">I2879+J2879+L2879</f>
        <v>72.45107</v>
      </c>
    </row>
    <row r="2880" customFormat="false" ht="15" hidden="false" customHeight="false" outlineLevel="0" collapsed="false">
      <c r="B2880" s="7" t="s">
        <v>11513</v>
      </c>
      <c r="C2880" s="39" t="n">
        <v>45837</v>
      </c>
      <c r="D2880" s="7" t="s">
        <v>222</v>
      </c>
      <c r="E2880" s="7" t="s">
        <v>180</v>
      </c>
      <c r="F2880" s="6" t="n">
        <v>3.65</v>
      </c>
      <c r="G2880" s="6" t="n">
        <v>0</v>
      </c>
      <c r="H2880" s="41" t="n">
        <v>17.84</v>
      </c>
      <c r="I2880" s="43" t="n">
        <f aca="false">F2880*H2880</f>
        <v>65.116</v>
      </c>
      <c r="J2880" s="43" t="n">
        <f aca="false">G2880*H2880*1.5</f>
        <v>0</v>
      </c>
      <c r="K2880" s="6" t="n">
        <v>12.16</v>
      </c>
      <c r="L2880" s="43" t="n">
        <f aca="false">K2880*'Chart of Accounts'!$E$68</f>
        <v>8.1472</v>
      </c>
      <c r="O2880" s="42" t="n">
        <f aca="false">I2880+J2880+L2880</f>
        <v>73.2632</v>
      </c>
    </row>
    <row r="2881" customFormat="false" ht="15" hidden="false" customHeight="false" outlineLevel="0" collapsed="false">
      <c r="B2881" s="7" t="s">
        <v>11514</v>
      </c>
      <c r="C2881" s="39" t="n">
        <v>45837</v>
      </c>
      <c r="D2881" s="7" t="s">
        <v>242</v>
      </c>
      <c r="E2881" s="7" t="s">
        <v>180</v>
      </c>
      <c r="F2881" s="6" t="n">
        <v>4.03</v>
      </c>
      <c r="G2881" s="6" t="n">
        <v>0</v>
      </c>
      <c r="H2881" s="41" t="n">
        <v>17.99</v>
      </c>
      <c r="I2881" s="43" t="n">
        <f aca="false">F2881*H2881</f>
        <v>72.4997</v>
      </c>
      <c r="J2881" s="43" t="n">
        <f aca="false">G2881*H2881*1.5</f>
        <v>0</v>
      </c>
      <c r="K2881" s="6" t="n">
        <v>11.45</v>
      </c>
      <c r="L2881" s="43" t="n">
        <f aca="false">K2881*'Chart of Accounts'!$E$68</f>
        <v>7.6715</v>
      </c>
      <c r="O2881" s="42" t="n">
        <f aca="false">I2881+J2881+L2881</f>
        <v>80.1712</v>
      </c>
    </row>
    <row r="2882" customFormat="false" ht="15" hidden="false" customHeight="false" outlineLevel="0" collapsed="false">
      <c r="B2882" s="7" t="s">
        <v>11515</v>
      </c>
      <c r="C2882" s="39" t="n">
        <v>45837</v>
      </c>
      <c r="D2882" s="7" t="s">
        <v>254</v>
      </c>
      <c r="E2882" s="7" t="s">
        <v>180</v>
      </c>
      <c r="F2882" s="6" t="n">
        <v>3.98</v>
      </c>
      <c r="G2882" s="6" t="n">
        <v>0</v>
      </c>
      <c r="H2882" s="41" t="n">
        <v>17.1</v>
      </c>
      <c r="I2882" s="43" t="n">
        <f aca="false">F2882*H2882</f>
        <v>68.058</v>
      </c>
      <c r="J2882" s="43" t="n">
        <f aca="false">G2882*H2882*1.5</f>
        <v>0</v>
      </c>
      <c r="K2882" s="6" t="n">
        <v>12.09</v>
      </c>
      <c r="L2882" s="43" t="n">
        <f aca="false">K2882*'Chart of Accounts'!$E$68</f>
        <v>8.1003</v>
      </c>
      <c r="O2882" s="42" t="n">
        <f aca="false">I2882+J2882+L2882</f>
        <v>76.1583</v>
      </c>
    </row>
    <row r="2883" customFormat="false" ht="15" hidden="false" customHeight="false" outlineLevel="0" collapsed="false">
      <c r="B2883" s="7" t="s">
        <v>11516</v>
      </c>
      <c r="C2883" s="39" t="n">
        <v>45838</v>
      </c>
      <c r="D2883" s="7" t="s">
        <v>187</v>
      </c>
      <c r="E2883" s="7" t="s">
        <v>158</v>
      </c>
      <c r="H2883" s="41" t="n">
        <v>66.48</v>
      </c>
      <c r="M2883" s="6" t="n">
        <v>1</v>
      </c>
      <c r="N2883" s="43" t="n">
        <f aca="false">M2883*H2883</f>
        <v>66.48</v>
      </c>
      <c r="O2883" s="42" t="n">
        <f aca="false">N2883</f>
        <v>66.48</v>
      </c>
    </row>
    <row r="2884" customFormat="false" ht="15" hidden="false" customHeight="false" outlineLevel="0" collapsed="false">
      <c r="B2884" s="7" t="s">
        <v>11517</v>
      </c>
      <c r="C2884" s="39" t="n">
        <v>45838</v>
      </c>
      <c r="D2884" s="7" t="s">
        <v>207</v>
      </c>
      <c r="E2884" s="7" t="s">
        <v>180</v>
      </c>
      <c r="F2884" s="6" t="n">
        <v>10.63</v>
      </c>
      <c r="G2884" s="6" t="n">
        <v>0</v>
      </c>
      <c r="H2884" s="41" t="n">
        <v>16.65</v>
      </c>
      <c r="I2884" s="43" t="n">
        <f aca="false">F2884*H2884</f>
        <v>176.9895</v>
      </c>
      <c r="J2884" s="43" t="n">
        <f aca="false">G2884*H2884*1.5</f>
        <v>0</v>
      </c>
      <c r="K2884" s="6" t="n">
        <v>24.08</v>
      </c>
      <c r="L2884" s="43" t="n">
        <f aca="false">K2884*'Chart of Accounts'!$E$68</f>
        <v>16.1336</v>
      </c>
      <c r="O2884" s="42" t="n">
        <f aca="false">I2884+J2884+L2884</f>
        <v>193.1231</v>
      </c>
    </row>
    <row r="2885" customFormat="false" ht="15" hidden="false" customHeight="false" outlineLevel="0" collapsed="false">
      <c r="B2885" s="7" t="s">
        <v>11518</v>
      </c>
      <c r="C2885" s="39" t="n">
        <v>45838</v>
      </c>
      <c r="D2885" s="7" t="s">
        <v>194</v>
      </c>
      <c r="E2885" s="7" t="s">
        <v>180</v>
      </c>
      <c r="F2885" s="6" t="n">
        <v>4.61</v>
      </c>
      <c r="G2885" s="6" t="n">
        <v>0</v>
      </c>
      <c r="H2885" s="41" t="n">
        <v>16</v>
      </c>
      <c r="I2885" s="43" t="n">
        <f aca="false">F2885*H2885</f>
        <v>73.76</v>
      </c>
      <c r="J2885" s="43" t="n">
        <f aca="false">G2885*H2885*1.5</f>
        <v>0</v>
      </c>
      <c r="K2885" s="6" t="n">
        <v>12.49</v>
      </c>
      <c r="L2885" s="43" t="n">
        <f aca="false">K2885*'Chart of Accounts'!$E$68</f>
        <v>8.3683</v>
      </c>
      <c r="O2885" s="42" t="n">
        <f aca="false">I2885+J2885+L2885</f>
        <v>82.1283</v>
      </c>
    </row>
    <row r="2886" customFormat="false" ht="15" hidden="false" customHeight="false" outlineLevel="0" collapsed="false">
      <c r="B2886" s="7" t="s">
        <v>11519</v>
      </c>
      <c r="C2886" s="39" t="n">
        <v>45838</v>
      </c>
      <c r="D2886" s="7" t="s">
        <v>201</v>
      </c>
      <c r="E2886" s="7" t="s">
        <v>180</v>
      </c>
      <c r="F2886" s="6" t="n">
        <v>9.99</v>
      </c>
      <c r="G2886" s="6" t="n">
        <v>0</v>
      </c>
      <c r="H2886" s="41" t="n">
        <v>15.19</v>
      </c>
      <c r="I2886" s="43" t="n">
        <f aca="false">F2886*H2886</f>
        <v>151.7481</v>
      </c>
      <c r="J2886" s="43" t="n">
        <f aca="false">G2886*H2886*1.5</f>
        <v>0</v>
      </c>
      <c r="K2886" s="6" t="n">
        <v>26.15</v>
      </c>
      <c r="L2886" s="43" t="n">
        <f aca="false">K2886*'Chart of Accounts'!$E$68</f>
        <v>17.5205</v>
      </c>
      <c r="O2886" s="42" t="n">
        <f aca="false">I2886+J2886+L2886</f>
        <v>169.2686</v>
      </c>
    </row>
    <row r="2887" customFormat="false" ht="15" hidden="false" customHeight="false" outlineLevel="0" collapsed="false">
      <c r="B2887" s="7" t="s">
        <v>11520</v>
      </c>
      <c r="C2887" s="39" t="n">
        <v>45838</v>
      </c>
      <c r="D2887" s="7" t="s">
        <v>205</v>
      </c>
      <c r="E2887" s="7" t="s">
        <v>180</v>
      </c>
      <c r="F2887" s="6" t="n">
        <v>4.15</v>
      </c>
      <c r="G2887" s="6" t="n">
        <v>0</v>
      </c>
      <c r="H2887" s="41" t="n">
        <v>16.36</v>
      </c>
      <c r="I2887" s="43" t="n">
        <f aca="false">F2887*H2887</f>
        <v>67.894</v>
      </c>
      <c r="J2887" s="43" t="n">
        <f aca="false">G2887*H2887*1.5</f>
        <v>0</v>
      </c>
      <c r="K2887" s="6" t="n">
        <v>13.33</v>
      </c>
      <c r="L2887" s="43" t="n">
        <f aca="false">K2887*'Chart of Accounts'!$E$68</f>
        <v>8.9311</v>
      </c>
      <c r="O2887" s="42" t="n">
        <f aca="false">I2887+J2887+L2887</f>
        <v>76.8251</v>
      </c>
    </row>
    <row r="2888" customFormat="false" ht="15" hidden="false" customHeight="false" outlineLevel="0" collapsed="false">
      <c r="B2888" s="7" t="s">
        <v>11521</v>
      </c>
      <c r="C2888" s="39" t="n">
        <v>45838</v>
      </c>
      <c r="D2888" s="7" t="s">
        <v>264</v>
      </c>
      <c r="E2888" s="7" t="s">
        <v>158</v>
      </c>
      <c r="H2888" s="41" t="n">
        <v>55.55</v>
      </c>
      <c r="M2888" s="6" t="n">
        <v>1</v>
      </c>
      <c r="N2888" s="43" t="n">
        <f aca="false">M2888*H2888</f>
        <v>55.55</v>
      </c>
      <c r="O2888" s="42" t="n">
        <f aca="false">N2888</f>
        <v>55.55</v>
      </c>
    </row>
    <row r="2889" customFormat="false" ht="15" hidden="false" customHeight="false" outlineLevel="0" collapsed="false">
      <c r="B2889" s="7" t="s">
        <v>11522</v>
      </c>
      <c r="C2889" s="39" t="n">
        <v>45838</v>
      </c>
      <c r="D2889" s="7" t="s">
        <v>252</v>
      </c>
      <c r="E2889" s="7" t="s">
        <v>158</v>
      </c>
      <c r="H2889" s="41" t="n">
        <v>57.54</v>
      </c>
      <c r="M2889" s="6" t="n">
        <v>1</v>
      </c>
      <c r="N2889" s="43" t="n">
        <f aca="false">M2889*H2889</f>
        <v>57.54</v>
      </c>
      <c r="O2889" s="42" t="n">
        <f aca="false">N2889</f>
        <v>57.54</v>
      </c>
    </row>
    <row r="2890" customFormat="false" ht="15" hidden="false" customHeight="false" outlineLevel="0" collapsed="false">
      <c r="B2890" s="7" t="s">
        <v>11523</v>
      </c>
      <c r="C2890" s="39" t="n">
        <v>45838</v>
      </c>
      <c r="D2890" s="7" t="s">
        <v>196</v>
      </c>
      <c r="E2890" s="7" t="s">
        <v>180</v>
      </c>
      <c r="F2890" s="6" t="n">
        <v>6.25</v>
      </c>
      <c r="G2890" s="6" t="n">
        <v>0</v>
      </c>
      <c r="H2890" s="41" t="n">
        <v>15.05</v>
      </c>
      <c r="I2890" s="43" t="n">
        <f aca="false">F2890*H2890</f>
        <v>94.0625</v>
      </c>
      <c r="J2890" s="43" t="n">
        <f aca="false">G2890*H2890*1.5</f>
        <v>0</v>
      </c>
      <c r="K2890" s="6" t="n">
        <v>18.27</v>
      </c>
      <c r="L2890" s="43" t="n">
        <f aca="false">K2890*'Chart of Accounts'!$E$68</f>
        <v>12.2409</v>
      </c>
      <c r="O2890" s="42" t="n">
        <f aca="false">I2890+J2890+L2890</f>
        <v>106.3034</v>
      </c>
    </row>
    <row r="2891" customFormat="false" ht="15" hidden="false" customHeight="false" outlineLevel="0" collapsed="false">
      <c r="B2891" s="7" t="s">
        <v>11524</v>
      </c>
      <c r="C2891" s="39" t="n">
        <v>45838</v>
      </c>
      <c r="D2891" s="7" t="s">
        <v>184</v>
      </c>
      <c r="E2891" s="7" t="s">
        <v>180</v>
      </c>
      <c r="F2891" s="6" t="n">
        <v>6.74</v>
      </c>
      <c r="G2891" s="6" t="n">
        <v>0</v>
      </c>
      <c r="H2891" s="41" t="n">
        <v>17.34</v>
      </c>
      <c r="I2891" s="43" t="n">
        <f aca="false">F2891*H2891</f>
        <v>116.8716</v>
      </c>
      <c r="J2891" s="43" t="n">
        <f aca="false">G2891*H2891*1.5</f>
        <v>0</v>
      </c>
      <c r="K2891" s="6" t="n">
        <v>15.57</v>
      </c>
      <c r="L2891" s="43" t="n">
        <f aca="false">K2891*'Chart of Accounts'!$E$68</f>
        <v>10.4319</v>
      </c>
      <c r="O2891" s="42" t="n">
        <f aca="false">I2891+J2891+L2891</f>
        <v>127.3035</v>
      </c>
    </row>
    <row r="2892" customFormat="false" ht="15" hidden="false" customHeight="false" outlineLevel="0" collapsed="false">
      <c r="B2892" s="7" t="s">
        <v>11525</v>
      </c>
      <c r="C2892" s="39" t="n">
        <v>45838</v>
      </c>
      <c r="D2892" s="7" t="s">
        <v>218</v>
      </c>
      <c r="E2892" s="7" t="s">
        <v>180</v>
      </c>
      <c r="F2892" s="6" t="n">
        <v>4.35</v>
      </c>
      <c r="G2892" s="6" t="n">
        <v>0</v>
      </c>
      <c r="H2892" s="41" t="n">
        <v>16.19</v>
      </c>
      <c r="I2892" s="43" t="n">
        <f aca="false">F2892*H2892</f>
        <v>70.4265</v>
      </c>
      <c r="J2892" s="43" t="n">
        <f aca="false">G2892*H2892*1.5</f>
        <v>0</v>
      </c>
      <c r="K2892" s="6" t="n">
        <v>11.23</v>
      </c>
      <c r="L2892" s="43" t="n">
        <f aca="false">K2892*'Chart of Accounts'!$E$68</f>
        <v>7.5241</v>
      </c>
      <c r="O2892" s="42" t="n">
        <f aca="false">I2892+J2892+L2892</f>
        <v>77.9506</v>
      </c>
    </row>
    <row r="2893" customFormat="false" ht="15" hidden="false" customHeight="false" outlineLevel="0" collapsed="false">
      <c r="B2893" s="7" t="s">
        <v>11526</v>
      </c>
      <c r="C2893" s="39" t="n">
        <v>45838</v>
      </c>
      <c r="D2893" s="7" t="s">
        <v>220</v>
      </c>
      <c r="E2893" s="7" t="s">
        <v>180</v>
      </c>
      <c r="F2893" s="6" t="n">
        <v>6.8</v>
      </c>
      <c r="G2893" s="6" t="n">
        <v>0</v>
      </c>
      <c r="H2893" s="41" t="n">
        <v>16.43</v>
      </c>
      <c r="I2893" s="43" t="n">
        <f aca="false">F2893*H2893</f>
        <v>111.724</v>
      </c>
      <c r="J2893" s="43" t="n">
        <f aca="false">G2893*H2893*1.5</f>
        <v>0</v>
      </c>
      <c r="K2893" s="6" t="n">
        <v>20.79</v>
      </c>
      <c r="L2893" s="43" t="n">
        <f aca="false">K2893*'Chart of Accounts'!$E$68</f>
        <v>13.9293</v>
      </c>
      <c r="O2893" s="42" t="n">
        <f aca="false">I2893+J2893+L2893</f>
        <v>125.6533</v>
      </c>
    </row>
    <row r="2894" customFormat="false" ht="15" hidden="false" customHeight="false" outlineLevel="0" collapsed="false">
      <c r="B2894" s="7" t="s">
        <v>11527</v>
      </c>
      <c r="C2894" s="39" t="n">
        <v>45838</v>
      </c>
      <c r="D2894" s="7" t="s">
        <v>224</v>
      </c>
      <c r="E2894" s="7" t="s">
        <v>180</v>
      </c>
      <c r="F2894" s="6" t="n">
        <v>8.58</v>
      </c>
      <c r="G2894" s="6" t="n">
        <v>0</v>
      </c>
      <c r="H2894" s="41" t="n">
        <v>14.93</v>
      </c>
      <c r="I2894" s="43" t="n">
        <f aca="false">F2894*H2894</f>
        <v>128.0994</v>
      </c>
      <c r="J2894" s="43" t="n">
        <f aca="false">G2894*H2894*1.5</f>
        <v>0</v>
      </c>
      <c r="K2894" s="6" t="n">
        <v>25.07</v>
      </c>
      <c r="L2894" s="43" t="n">
        <f aca="false">K2894*'Chart of Accounts'!$E$68</f>
        <v>16.7969</v>
      </c>
      <c r="O2894" s="42" t="n">
        <f aca="false">I2894+J2894+L2894</f>
        <v>144.8963</v>
      </c>
    </row>
    <row r="2895" customFormat="false" ht="15" hidden="false" customHeight="false" outlineLevel="0" collapsed="false">
      <c r="B2895" s="7" t="s">
        <v>11528</v>
      </c>
      <c r="C2895" s="39" t="n">
        <v>45838</v>
      </c>
      <c r="D2895" s="7" t="s">
        <v>177</v>
      </c>
      <c r="E2895" s="7" t="s">
        <v>180</v>
      </c>
      <c r="F2895" s="6" t="n">
        <v>9.38</v>
      </c>
      <c r="G2895" s="6" t="n">
        <v>0</v>
      </c>
      <c r="H2895" s="41" t="n">
        <v>14.56</v>
      </c>
      <c r="I2895" s="43" t="n">
        <f aca="false">F2895*H2895</f>
        <v>136.5728</v>
      </c>
      <c r="J2895" s="43" t="n">
        <f aca="false">G2895*H2895*1.5</f>
        <v>0</v>
      </c>
      <c r="K2895" s="6" t="n">
        <v>23.41</v>
      </c>
      <c r="L2895" s="43" t="n">
        <f aca="false">K2895*'Chart of Accounts'!$E$68</f>
        <v>15.6847</v>
      </c>
      <c r="O2895" s="42" t="n">
        <f aca="false">I2895+J2895+L2895</f>
        <v>152.2575</v>
      </c>
    </row>
    <row r="2896" customFormat="false" ht="15" hidden="false" customHeight="false" outlineLevel="0" collapsed="false">
      <c r="B2896" s="7" t="s">
        <v>11529</v>
      </c>
      <c r="C2896" s="39" t="n">
        <v>45838</v>
      </c>
      <c r="D2896" s="7" t="s">
        <v>232</v>
      </c>
      <c r="E2896" s="7" t="s">
        <v>180</v>
      </c>
      <c r="F2896" s="6" t="n">
        <v>7.47</v>
      </c>
      <c r="G2896" s="6" t="n">
        <v>0</v>
      </c>
      <c r="H2896" s="41" t="n">
        <v>16.17</v>
      </c>
      <c r="I2896" s="43" t="n">
        <f aca="false">F2896*H2896</f>
        <v>120.7899</v>
      </c>
      <c r="J2896" s="43" t="n">
        <f aca="false">G2896*H2896*1.5</f>
        <v>0</v>
      </c>
      <c r="K2896" s="6" t="n">
        <v>25</v>
      </c>
      <c r="L2896" s="43" t="n">
        <f aca="false">K2896*'Chart of Accounts'!$E$68</f>
        <v>16.75</v>
      </c>
      <c r="O2896" s="42" t="n">
        <f aca="false">I2896+J2896+L2896</f>
        <v>137.5399</v>
      </c>
    </row>
    <row r="2897" customFormat="false" ht="15" hidden="false" customHeight="false" outlineLevel="0" collapsed="false">
      <c r="B2897" s="7" t="s">
        <v>11530</v>
      </c>
      <c r="C2897" s="39" t="n">
        <v>45838</v>
      </c>
      <c r="D2897" s="7" t="s">
        <v>242</v>
      </c>
      <c r="E2897" s="7" t="s">
        <v>180</v>
      </c>
      <c r="F2897" s="6" t="n">
        <v>9.859</v>
      </c>
      <c r="G2897" s="6" t="n">
        <v>1.831</v>
      </c>
      <c r="H2897" s="41" t="n">
        <v>17.99</v>
      </c>
      <c r="I2897" s="43" t="n">
        <f aca="false">F2897*H2897</f>
        <v>177.36341</v>
      </c>
      <c r="J2897" s="43" t="n">
        <f aca="false">G2897*H2897*1.5</f>
        <v>49.409535</v>
      </c>
      <c r="K2897" s="6" t="n">
        <v>31.24</v>
      </c>
      <c r="L2897" s="43" t="n">
        <f aca="false">K2897*'Chart of Accounts'!$E$68</f>
        <v>20.9308</v>
      </c>
      <c r="O2897" s="42" t="n">
        <f aca="false">I2897+J2897+L2897</f>
        <v>247.703745</v>
      </c>
    </row>
    <row r="2898" customFormat="false" ht="15" hidden="false" customHeight="false" outlineLevel="0" collapsed="false">
      <c r="B2898" s="7" t="s">
        <v>11531</v>
      </c>
      <c r="C2898" s="39" t="n">
        <v>45838</v>
      </c>
      <c r="D2898" s="7" t="s">
        <v>222</v>
      </c>
      <c r="E2898" s="7" t="s">
        <v>180</v>
      </c>
      <c r="F2898" s="6" t="n">
        <v>7.05</v>
      </c>
      <c r="G2898" s="6" t="n">
        <v>0</v>
      </c>
      <c r="H2898" s="41" t="n">
        <v>17.84</v>
      </c>
      <c r="I2898" s="43" t="n">
        <f aca="false">F2898*H2898</f>
        <v>125.772</v>
      </c>
      <c r="J2898" s="43" t="n">
        <f aca="false">G2898*H2898*1.5</f>
        <v>0</v>
      </c>
      <c r="K2898" s="6" t="n">
        <v>19.47</v>
      </c>
      <c r="L2898" s="43" t="n">
        <f aca="false">K2898*'Chart of Accounts'!$E$68</f>
        <v>13.0449</v>
      </c>
      <c r="O2898" s="42" t="n">
        <f aca="false">I2898+J2898+L2898</f>
        <v>138.8169</v>
      </c>
    </row>
    <row r="2899" customFormat="false" ht="15" hidden="false" customHeight="false" outlineLevel="0" collapsed="false">
      <c r="B2899" s="7" t="s">
        <v>11532</v>
      </c>
      <c r="C2899" s="39" t="n">
        <v>45838</v>
      </c>
      <c r="D2899" s="7" t="s">
        <v>254</v>
      </c>
      <c r="E2899" s="7" t="s">
        <v>180</v>
      </c>
      <c r="F2899" s="6" t="n">
        <v>7.68</v>
      </c>
      <c r="G2899" s="6" t="n">
        <v>0</v>
      </c>
      <c r="H2899" s="41" t="n">
        <v>17.1</v>
      </c>
      <c r="I2899" s="43" t="n">
        <f aca="false">F2899*H2899</f>
        <v>131.328</v>
      </c>
      <c r="J2899" s="43" t="n">
        <f aca="false">G2899*H2899*1.5</f>
        <v>0</v>
      </c>
      <c r="K2899" s="6" t="n">
        <v>19.94</v>
      </c>
      <c r="L2899" s="43" t="n">
        <f aca="false">K2899*'Chart of Accounts'!$E$68</f>
        <v>13.3598</v>
      </c>
      <c r="O2899" s="42" t="n">
        <f aca="false">I2899+J2899+L2899</f>
        <v>144.6878</v>
      </c>
    </row>
    <row r="2900" customFormat="false" ht="15" hidden="false" customHeight="false" outlineLevel="0" collapsed="false">
      <c r="B2900" s="7" t="s">
        <v>11533</v>
      </c>
      <c r="C2900" s="39" t="n">
        <v>45838</v>
      </c>
      <c r="D2900" s="7" t="s">
        <v>238</v>
      </c>
      <c r="E2900" s="7" t="s">
        <v>180</v>
      </c>
      <c r="F2900" s="6" t="n">
        <v>7.74</v>
      </c>
      <c r="G2900" s="6" t="n">
        <v>0</v>
      </c>
      <c r="H2900" s="41" t="n">
        <v>15.85</v>
      </c>
      <c r="I2900" s="43" t="n">
        <f aca="false">F2900*H2900</f>
        <v>122.679</v>
      </c>
      <c r="J2900" s="43" t="n">
        <f aca="false">G2900*H2900*1.5</f>
        <v>0</v>
      </c>
      <c r="K2900" s="6" t="n">
        <v>17.52</v>
      </c>
      <c r="L2900" s="43" t="n">
        <f aca="false">K2900*'Chart of Accounts'!$E$68</f>
        <v>11.7384</v>
      </c>
      <c r="O2900" s="42" t="n">
        <f aca="false">I2900+J2900+L2900</f>
        <v>134.4174</v>
      </c>
    </row>
    <row r="2901" customFormat="false" ht="15" hidden="false" customHeight="false" outlineLevel="0" collapsed="false">
      <c r="B2901" s="7" t="s">
        <v>11534</v>
      </c>
      <c r="C2901" s="39" t="n">
        <v>45838</v>
      </c>
      <c r="D2901" s="7" t="s">
        <v>246</v>
      </c>
      <c r="E2901" s="7" t="s">
        <v>180</v>
      </c>
      <c r="F2901" s="6" t="n">
        <v>7.67</v>
      </c>
      <c r="G2901" s="6" t="n">
        <v>0</v>
      </c>
      <c r="H2901" s="41" t="n">
        <v>16.48</v>
      </c>
      <c r="I2901" s="43" t="n">
        <f aca="false">F2901*H2901</f>
        <v>126.4016</v>
      </c>
      <c r="J2901" s="43" t="n">
        <f aca="false">G2901*H2901*1.5</f>
        <v>0</v>
      </c>
      <c r="K2901" s="6" t="n">
        <v>20.69</v>
      </c>
      <c r="L2901" s="43" t="n">
        <f aca="false">K2901*'Chart of Accounts'!$E$68</f>
        <v>13.8623</v>
      </c>
      <c r="O2901" s="42" t="n">
        <f aca="false">I2901+J2901+L2901</f>
        <v>140.2639</v>
      </c>
    </row>
    <row r="2902" customFormat="false" ht="15" hidden="false" customHeight="false" outlineLevel="0" collapsed="false">
      <c r="B2902" s="7" t="s">
        <v>11535</v>
      </c>
      <c r="C2902" s="39" t="n">
        <v>45838</v>
      </c>
      <c r="D2902" s="7" t="s">
        <v>214</v>
      </c>
      <c r="E2902" s="7" t="s">
        <v>180</v>
      </c>
      <c r="F2902" s="6" t="n">
        <v>7.64</v>
      </c>
      <c r="G2902" s="6" t="n">
        <v>0</v>
      </c>
      <c r="H2902" s="41" t="n">
        <v>15.67</v>
      </c>
      <c r="I2902" s="43" t="n">
        <f aca="false">F2902*H2902</f>
        <v>119.7188</v>
      </c>
      <c r="J2902" s="43" t="n">
        <f aca="false">G2902*H2902*1.5</f>
        <v>0</v>
      </c>
      <c r="K2902" s="6" t="n">
        <v>19.54</v>
      </c>
      <c r="L2902" s="43" t="n">
        <f aca="false">K2902*'Chart of Accounts'!$E$68</f>
        <v>13.0918</v>
      </c>
      <c r="O2902" s="42" t="n">
        <f aca="false">I2902+J2902+L2902</f>
        <v>132.8106</v>
      </c>
    </row>
    <row r="2903" customFormat="false" ht="15" hidden="false" customHeight="false" outlineLevel="0" collapsed="false">
      <c r="B2903" s="7" t="s">
        <v>11536</v>
      </c>
      <c r="C2903" s="39" t="n">
        <v>45839</v>
      </c>
      <c r="D2903" s="7" t="s">
        <v>207</v>
      </c>
      <c r="E2903" s="7" t="s">
        <v>180</v>
      </c>
      <c r="F2903" s="6" t="n">
        <v>3.62</v>
      </c>
      <c r="G2903" s="6" t="n">
        <v>0</v>
      </c>
      <c r="H2903" s="41" t="n">
        <v>16.65</v>
      </c>
      <c r="I2903" s="43" t="n">
        <f aca="false">F2903*H2903</f>
        <v>60.273</v>
      </c>
      <c r="J2903" s="43" t="n">
        <f aca="false">G2903*H2903*1.5</f>
        <v>0</v>
      </c>
      <c r="K2903" s="6" t="n">
        <v>9.64</v>
      </c>
      <c r="L2903" s="43" t="n">
        <f aca="false">K2903*'Chart of Accounts'!$E$68</f>
        <v>6.4588</v>
      </c>
      <c r="O2903" s="42" t="n">
        <f aca="false">I2903+J2903+L2903</f>
        <v>66.7318</v>
      </c>
    </row>
    <row r="2904" customFormat="false" ht="15" hidden="false" customHeight="false" outlineLevel="0" collapsed="false">
      <c r="B2904" s="7" t="s">
        <v>11537</v>
      </c>
      <c r="C2904" s="39" t="n">
        <v>45839</v>
      </c>
      <c r="D2904" s="7" t="s">
        <v>209</v>
      </c>
      <c r="E2904" s="7" t="s">
        <v>158</v>
      </c>
      <c r="H2904" s="41" t="n">
        <v>73.58</v>
      </c>
      <c r="M2904" s="6" t="n">
        <v>2</v>
      </c>
      <c r="N2904" s="43" t="n">
        <f aca="false">M2904*H2904</f>
        <v>147.16</v>
      </c>
      <c r="O2904" s="42" t="n">
        <f aca="false">N2904</f>
        <v>147.16</v>
      </c>
    </row>
    <row r="2905" customFormat="false" ht="15" hidden="false" customHeight="false" outlineLevel="0" collapsed="false">
      <c r="B2905" s="7" t="s">
        <v>11538</v>
      </c>
      <c r="C2905" s="39" t="n">
        <v>45839</v>
      </c>
      <c r="D2905" s="7" t="s">
        <v>184</v>
      </c>
      <c r="E2905" s="7" t="s">
        <v>180</v>
      </c>
      <c r="F2905" s="6" t="n">
        <v>3.9</v>
      </c>
      <c r="G2905" s="6" t="n">
        <v>0</v>
      </c>
      <c r="H2905" s="41" t="n">
        <v>17.34</v>
      </c>
      <c r="I2905" s="43" t="n">
        <f aca="false">F2905*H2905</f>
        <v>67.626</v>
      </c>
      <c r="J2905" s="43" t="n">
        <f aca="false">G2905*H2905*1.5</f>
        <v>0</v>
      </c>
      <c r="K2905" s="6" t="n">
        <v>11.66</v>
      </c>
      <c r="L2905" s="43" t="n">
        <f aca="false">K2905*'Chart of Accounts'!$E$68</f>
        <v>7.8122</v>
      </c>
      <c r="O2905" s="42" t="n">
        <f aca="false">I2905+J2905+L2905</f>
        <v>75.4382</v>
      </c>
    </row>
    <row r="2906" customFormat="false" ht="15" hidden="false" customHeight="false" outlineLevel="0" collapsed="false">
      <c r="B2906" s="7" t="s">
        <v>11539</v>
      </c>
      <c r="C2906" s="39" t="n">
        <v>45839</v>
      </c>
      <c r="D2906" s="7" t="s">
        <v>234</v>
      </c>
      <c r="E2906" s="7" t="s">
        <v>158</v>
      </c>
      <c r="H2906" s="41" t="n">
        <v>89.53</v>
      </c>
      <c r="M2906" s="6" t="n">
        <v>2</v>
      </c>
      <c r="N2906" s="43" t="n">
        <f aca="false">M2906*H2906</f>
        <v>179.06</v>
      </c>
      <c r="O2906" s="42" t="n">
        <f aca="false">N2906</f>
        <v>179.06</v>
      </c>
    </row>
    <row r="2907" customFormat="false" ht="15" hidden="false" customHeight="false" outlineLevel="0" collapsed="false">
      <c r="B2907" s="7" t="s">
        <v>11540</v>
      </c>
      <c r="C2907" s="39" t="n">
        <v>45839</v>
      </c>
      <c r="D2907" s="7" t="s">
        <v>218</v>
      </c>
      <c r="E2907" s="7" t="s">
        <v>180</v>
      </c>
      <c r="F2907" s="6" t="n">
        <v>3.7</v>
      </c>
      <c r="G2907" s="6" t="n">
        <v>0</v>
      </c>
      <c r="H2907" s="41" t="n">
        <v>16.19</v>
      </c>
      <c r="I2907" s="43" t="n">
        <f aca="false">F2907*H2907</f>
        <v>59.903</v>
      </c>
      <c r="J2907" s="43" t="n">
        <f aca="false">G2907*H2907*1.5</f>
        <v>0</v>
      </c>
      <c r="K2907" s="6" t="n">
        <v>11.13</v>
      </c>
      <c r="L2907" s="43" t="n">
        <f aca="false">K2907*'Chart of Accounts'!$E$68</f>
        <v>7.4571</v>
      </c>
      <c r="O2907" s="42" t="n">
        <f aca="false">I2907+J2907+L2907</f>
        <v>67.3601</v>
      </c>
    </row>
    <row r="2908" customFormat="false" ht="15" hidden="false" customHeight="false" outlineLevel="0" collapsed="false">
      <c r="B2908" s="7" t="s">
        <v>11541</v>
      </c>
      <c r="C2908" s="39" t="n">
        <v>45839</v>
      </c>
      <c r="D2908" s="7" t="s">
        <v>266</v>
      </c>
      <c r="E2908" s="7" t="s">
        <v>158</v>
      </c>
      <c r="H2908" s="41" t="n">
        <v>75.18</v>
      </c>
      <c r="M2908" s="6" t="n">
        <v>1</v>
      </c>
      <c r="N2908" s="43" t="n">
        <f aca="false">M2908*H2908</f>
        <v>75.18</v>
      </c>
      <c r="O2908" s="42" t="n">
        <f aca="false">N2908</f>
        <v>75.18</v>
      </c>
    </row>
    <row r="2909" customFormat="false" ht="15" hidden="false" customHeight="false" outlineLevel="0" collapsed="false">
      <c r="B2909" s="7" t="s">
        <v>11542</v>
      </c>
      <c r="C2909" s="39" t="n">
        <v>45839</v>
      </c>
      <c r="D2909" s="7" t="s">
        <v>228</v>
      </c>
      <c r="E2909" s="7" t="s">
        <v>158</v>
      </c>
      <c r="H2909" s="41" t="n">
        <v>51.07</v>
      </c>
      <c r="M2909" s="6" t="n">
        <v>1</v>
      </c>
      <c r="N2909" s="43" t="n">
        <f aca="false">M2909*H2909</f>
        <v>51.07</v>
      </c>
      <c r="O2909" s="42" t="n">
        <f aca="false">N2909</f>
        <v>51.07</v>
      </c>
    </row>
    <row r="2910" customFormat="false" ht="15" hidden="false" customHeight="false" outlineLevel="0" collapsed="false">
      <c r="B2910" s="7" t="s">
        <v>11543</v>
      </c>
      <c r="C2910" s="39" t="n">
        <v>45839</v>
      </c>
      <c r="D2910" s="7" t="s">
        <v>220</v>
      </c>
      <c r="E2910" s="7" t="s">
        <v>180</v>
      </c>
      <c r="F2910" s="6" t="n">
        <v>4.24</v>
      </c>
      <c r="G2910" s="6" t="n">
        <v>0</v>
      </c>
      <c r="H2910" s="41" t="n">
        <v>16.43</v>
      </c>
      <c r="I2910" s="43" t="n">
        <f aca="false">F2910*H2910</f>
        <v>69.6632</v>
      </c>
      <c r="J2910" s="43" t="n">
        <f aca="false">G2910*H2910*1.5</f>
        <v>0</v>
      </c>
      <c r="K2910" s="6" t="n">
        <v>11.92</v>
      </c>
      <c r="L2910" s="43" t="n">
        <f aca="false">K2910*'Chart of Accounts'!$E$68</f>
        <v>7.9864</v>
      </c>
      <c r="O2910" s="42" t="n">
        <f aca="false">I2910+J2910+L2910</f>
        <v>77.6496</v>
      </c>
    </row>
    <row r="2911" customFormat="false" ht="15" hidden="false" customHeight="false" outlineLevel="0" collapsed="false">
      <c r="B2911" s="7" t="s">
        <v>11544</v>
      </c>
      <c r="C2911" s="39" t="n">
        <v>45839</v>
      </c>
      <c r="D2911" s="7" t="s">
        <v>177</v>
      </c>
      <c r="E2911" s="7" t="s">
        <v>180</v>
      </c>
      <c r="F2911" s="6" t="n">
        <v>3.69</v>
      </c>
      <c r="G2911" s="6" t="n">
        <v>0</v>
      </c>
      <c r="H2911" s="41" t="n">
        <v>14.56</v>
      </c>
      <c r="I2911" s="43" t="n">
        <f aca="false">F2911*H2911</f>
        <v>53.7264</v>
      </c>
      <c r="J2911" s="43" t="n">
        <f aca="false">G2911*H2911*1.5</f>
        <v>0</v>
      </c>
      <c r="K2911" s="6" t="n">
        <v>9.06</v>
      </c>
      <c r="L2911" s="43" t="n">
        <f aca="false">K2911*'Chart of Accounts'!$E$68</f>
        <v>6.0702</v>
      </c>
      <c r="O2911" s="42" t="n">
        <f aca="false">I2911+J2911+L2911</f>
        <v>59.7966</v>
      </c>
    </row>
    <row r="2912" customFormat="false" ht="15" hidden="false" customHeight="false" outlineLevel="0" collapsed="false">
      <c r="B2912" s="7" t="s">
        <v>11545</v>
      </c>
      <c r="C2912" s="39" t="n">
        <v>45839</v>
      </c>
      <c r="D2912" s="7" t="s">
        <v>194</v>
      </c>
      <c r="E2912" s="7" t="s">
        <v>180</v>
      </c>
      <c r="F2912" s="6" t="n">
        <v>3.89</v>
      </c>
      <c r="G2912" s="6" t="n">
        <v>0</v>
      </c>
      <c r="H2912" s="41" t="n">
        <v>16</v>
      </c>
      <c r="I2912" s="43" t="n">
        <f aca="false">F2912*H2912</f>
        <v>62.24</v>
      </c>
      <c r="J2912" s="43" t="n">
        <f aca="false">G2912*H2912*1.5</f>
        <v>0</v>
      </c>
      <c r="K2912" s="6" t="n">
        <v>10.59</v>
      </c>
      <c r="L2912" s="43" t="n">
        <f aca="false">K2912*'Chart of Accounts'!$E$68</f>
        <v>7.0953</v>
      </c>
      <c r="O2912" s="42" t="n">
        <f aca="false">I2912+J2912+L2912</f>
        <v>69.3353</v>
      </c>
    </row>
    <row r="2913" customFormat="false" ht="15" hidden="false" customHeight="false" outlineLevel="0" collapsed="false">
      <c r="B2913" s="7" t="s">
        <v>11546</v>
      </c>
      <c r="C2913" s="39" t="n">
        <v>45839</v>
      </c>
      <c r="D2913" s="7" t="s">
        <v>246</v>
      </c>
      <c r="E2913" s="7" t="s">
        <v>180</v>
      </c>
      <c r="F2913" s="6" t="n">
        <v>4.16</v>
      </c>
      <c r="G2913" s="6" t="n">
        <v>0</v>
      </c>
      <c r="H2913" s="41" t="n">
        <v>16.48</v>
      </c>
      <c r="I2913" s="43" t="n">
        <f aca="false">F2913*H2913</f>
        <v>68.5568</v>
      </c>
      <c r="J2913" s="43" t="n">
        <f aca="false">G2913*H2913*1.5</f>
        <v>0</v>
      </c>
      <c r="K2913" s="6" t="n">
        <v>10.57</v>
      </c>
      <c r="L2913" s="43" t="n">
        <f aca="false">K2913*'Chart of Accounts'!$E$68</f>
        <v>7.0819</v>
      </c>
      <c r="O2913" s="42" t="n">
        <f aca="false">I2913+J2913+L2913</f>
        <v>75.6387</v>
      </c>
    </row>
    <row r="2914" customFormat="false" ht="15" hidden="false" customHeight="false" outlineLevel="0" collapsed="false">
      <c r="B2914" s="7" t="s">
        <v>11547</v>
      </c>
      <c r="C2914" s="39" t="n">
        <v>45839</v>
      </c>
      <c r="D2914" s="7" t="s">
        <v>242</v>
      </c>
      <c r="E2914" s="7" t="s">
        <v>180</v>
      </c>
      <c r="F2914" s="6" t="n">
        <v>3.525</v>
      </c>
      <c r="G2914" s="6" t="n">
        <v>0.655</v>
      </c>
      <c r="H2914" s="41" t="n">
        <v>17.99</v>
      </c>
      <c r="I2914" s="43" t="n">
        <f aca="false">F2914*H2914</f>
        <v>63.41475</v>
      </c>
      <c r="J2914" s="43" t="n">
        <f aca="false">G2914*H2914*1.5</f>
        <v>17.675175</v>
      </c>
      <c r="K2914" s="6" t="n">
        <v>10.05</v>
      </c>
      <c r="L2914" s="43" t="n">
        <f aca="false">K2914*'Chart of Accounts'!$E$68</f>
        <v>6.7335</v>
      </c>
      <c r="O2914" s="42" t="n">
        <f aca="false">I2914+J2914+L2914</f>
        <v>87.823425</v>
      </c>
    </row>
    <row r="2915" customFormat="false" ht="15" hidden="false" customHeight="false" outlineLevel="0" collapsed="false">
      <c r="B2915" s="7" t="s">
        <v>11548</v>
      </c>
      <c r="C2915" s="39" t="n">
        <v>45839</v>
      </c>
      <c r="D2915" s="7" t="s">
        <v>203</v>
      </c>
      <c r="E2915" s="7" t="s">
        <v>158</v>
      </c>
      <c r="H2915" s="41" t="n">
        <v>49.43</v>
      </c>
      <c r="M2915" s="6" t="n">
        <v>1</v>
      </c>
      <c r="N2915" s="43" t="n">
        <f aca="false">M2915*H2915</f>
        <v>49.43</v>
      </c>
      <c r="O2915" s="42" t="n">
        <f aca="false">N2915</f>
        <v>49.43</v>
      </c>
    </row>
    <row r="2916" customFormat="false" ht="15" hidden="false" customHeight="false" outlineLevel="0" collapsed="false">
      <c r="B2916" s="7" t="s">
        <v>11549</v>
      </c>
      <c r="C2916" s="39" t="n">
        <v>45839</v>
      </c>
      <c r="D2916" s="7" t="s">
        <v>254</v>
      </c>
      <c r="E2916" s="7" t="s">
        <v>180</v>
      </c>
      <c r="F2916" s="6" t="n">
        <v>4.01</v>
      </c>
      <c r="G2916" s="6" t="n">
        <v>0</v>
      </c>
      <c r="H2916" s="41" t="n">
        <v>17.1</v>
      </c>
      <c r="I2916" s="43" t="n">
        <f aca="false">F2916*H2916</f>
        <v>68.571</v>
      </c>
      <c r="J2916" s="43" t="n">
        <f aca="false">G2916*H2916*1.5</f>
        <v>0</v>
      </c>
      <c r="K2916" s="6" t="n">
        <v>11.3</v>
      </c>
      <c r="L2916" s="43" t="n">
        <f aca="false">K2916*'Chart of Accounts'!$E$68</f>
        <v>7.571</v>
      </c>
      <c r="O2916" s="42" t="n">
        <f aca="false">I2916+J2916+L2916</f>
        <v>76.142</v>
      </c>
    </row>
    <row r="2917" customFormat="false" ht="15" hidden="false" customHeight="false" outlineLevel="0" collapsed="false">
      <c r="B2917" s="7" t="s">
        <v>11550</v>
      </c>
      <c r="C2917" s="39" t="n">
        <v>45839</v>
      </c>
      <c r="D2917" s="7" t="s">
        <v>260</v>
      </c>
      <c r="E2917" s="7" t="s">
        <v>158</v>
      </c>
      <c r="H2917" s="41" t="n">
        <v>79.8</v>
      </c>
      <c r="M2917" s="6" t="n">
        <v>1</v>
      </c>
      <c r="N2917" s="43" t="n">
        <f aca="false">M2917*H2917</f>
        <v>79.8</v>
      </c>
      <c r="O2917" s="42" t="n">
        <f aca="false">N2917</f>
        <v>79.8</v>
      </c>
    </row>
    <row r="2918" customFormat="false" ht="15" hidden="false" customHeight="false" outlineLevel="0" collapsed="false">
      <c r="B2918" s="7" t="s">
        <v>11551</v>
      </c>
      <c r="C2918" s="39" t="n">
        <v>45840</v>
      </c>
      <c r="D2918" s="7" t="s">
        <v>187</v>
      </c>
      <c r="E2918" s="7" t="s">
        <v>158</v>
      </c>
      <c r="H2918" s="41" t="n">
        <v>66.48</v>
      </c>
      <c r="M2918" s="6" t="n">
        <v>1</v>
      </c>
      <c r="N2918" s="43" t="n">
        <f aca="false">M2918*H2918</f>
        <v>66.48</v>
      </c>
      <c r="O2918" s="42" t="n">
        <f aca="false">N2918</f>
        <v>66.48</v>
      </c>
    </row>
    <row r="2919" customFormat="false" ht="15" hidden="false" customHeight="false" outlineLevel="0" collapsed="false">
      <c r="B2919" s="7" t="s">
        <v>11552</v>
      </c>
      <c r="C2919" s="39" t="n">
        <v>45840</v>
      </c>
      <c r="D2919" s="7" t="s">
        <v>205</v>
      </c>
      <c r="E2919" s="7" t="s">
        <v>180</v>
      </c>
      <c r="F2919" s="6" t="n">
        <v>8.01</v>
      </c>
      <c r="G2919" s="6" t="n">
        <v>0</v>
      </c>
      <c r="H2919" s="41" t="n">
        <v>16.36</v>
      </c>
      <c r="I2919" s="43" t="n">
        <f aca="false">F2919*H2919</f>
        <v>131.0436</v>
      </c>
      <c r="J2919" s="43" t="n">
        <f aca="false">G2919*H2919*1.5</f>
        <v>0</v>
      </c>
      <c r="K2919" s="6" t="n">
        <v>24.25</v>
      </c>
      <c r="L2919" s="43" t="n">
        <f aca="false">K2919*'Chart of Accounts'!$E$68</f>
        <v>16.2475</v>
      </c>
      <c r="O2919" s="42" t="n">
        <f aca="false">I2919+J2919+L2919</f>
        <v>147.2911</v>
      </c>
    </row>
    <row r="2920" customFormat="false" ht="15" hidden="false" customHeight="false" outlineLevel="0" collapsed="false">
      <c r="B2920" s="7" t="s">
        <v>11553</v>
      </c>
      <c r="C2920" s="39" t="n">
        <v>45840</v>
      </c>
      <c r="D2920" s="7" t="s">
        <v>194</v>
      </c>
      <c r="E2920" s="7" t="s">
        <v>180</v>
      </c>
      <c r="F2920" s="6" t="n">
        <v>9.23</v>
      </c>
      <c r="G2920" s="6" t="n">
        <v>0</v>
      </c>
      <c r="H2920" s="41" t="n">
        <v>16</v>
      </c>
      <c r="I2920" s="43" t="n">
        <f aca="false">F2920*H2920</f>
        <v>147.68</v>
      </c>
      <c r="J2920" s="43" t="n">
        <f aca="false">G2920*H2920*1.5</f>
        <v>0</v>
      </c>
      <c r="K2920" s="6" t="n">
        <v>21.56</v>
      </c>
      <c r="L2920" s="43" t="n">
        <f aca="false">K2920*'Chart of Accounts'!$E$68</f>
        <v>14.4452</v>
      </c>
      <c r="O2920" s="42" t="n">
        <f aca="false">I2920+J2920+L2920</f>
        <v>162.1252</v>
      </c>
    </row>
    <row r="2921" customFormat="false" ht="15" hidden="false" customHeight="false" outlineLevel="0" collapsed="false">
      <c r="B2921" s="7" t="s">
        <v>11554</v>
      </c>
      <c r="C2921" s="39" t="n">
        <v>45840</v>
      </c>
      <c r="D2921" s="7" t="s">
        <v>264</v>
      </c>
      <c r="E2921" s="7" t="s">
        <v>158</v>
      </c>
      <c r="H2921" s="41" t="n">
        <v>55.55</v>
      </c>
      <c r="M2921" s="6" t="n">
        <v>1</v>
      </c>
      <c r="N2921" s="43" t="n">
        <f aca="false">M2921*H2921</f>
        <v>55.55</v>
      </c>
      <c r="O2921" s="42" t="n">
        <f aca="false">N2921</f>
        <v>55.55</v>
      </c>
    </row>
    <row r="2922" customFormat="false" ht="15" hidden="false" customHeight="false" outlineLevel="0" collapsed="false">
      <c r="B2922" s="7" t="s">
        <v>11555</v>
      </c>
      <c r="C2922" s="39" t="n">
        <v>45840</v>
      </c>
      <c r="D2922" s="7" t="s">
        <v>252</v>
      </c>
      <c r="E2922" s="7" t="s">
        <v>158</v>
      </c>
      <c r="H2922" s="41" t="n">
        <v>57.54</v>
      </c>
      <c r="M2922" s="6" t="n">
        <v>1</v>
      </c>
      <c r="N2922" s="43" t="n">
        <f aca="false">M2922*H2922</f>
        <v>57.54</v>
      </c>
      <c r="O2922" s="42" t="n">
        <f aca="false">N2922</f>
        <v>57.54</v>
      </c>
    </row>
    <row r="2923" customFormat="false" ht="15" hidden="false" customHeight="false" outlineLevel="0" collapsed="false">
      <c r="B2923" s="7" t="s">
        <v>11556</v>
      </c>
      <c r="C2923" s="39" t="n">
        <v>45840</v>
      </c>
      <c r="D2923" s="7" t="s">
        <v>184</v>
      </c>
      <c r="E2923" s="7" t="s">
        <v>180</v>
      </c>
      <c r="F2923" s="6" t="n">
        <v>3.86</v>
      </c>
      <c r="G2923" s="6" t="n">
        <v>0</v>
      </c>
      <c r="H2923" s="41" t="n">
        <v>17.34</v>
      </c>
      <c r="I2923" s="43" t="n">
        <f aca="false">F2923*H2923</f>
        <v>66.9324</v>
      </c>
      <c r="J2923" s="43" t="n">
        <f aca="false">G2923*H2923*1.5</f>
        <v>0</v>
      </c>
      <c r="K2923" s="6" t="n">
        <v>9.12</v>
      </c>
      <c r="L2923" s="43" t="n">
        <f aca="false">K2923*'Chart of Accounts'!$E$68</f>
        <v>6.1104</v>
      </c>
      <c r="O2923" s="42" t="n">
        <f aca="false">I2923+J2923+L2923</f>
        <v>73.0428</v>
      </c>
    </row>
    <row r="2924" customFormat="false" ht="15" hidden="false" customHeight="false" outlineLevel="0" collapsed="false">
      <c r="B2924" s="7" t="s">
        <v>11557</v>
      </c>
      <c r="C2924" s="39" t="n">
        <v>45840</v>
      </c>
      <c r="D2924" s="7" t="s">
        <v>218</v>
      </c>
      <c r="E2924" s="7" t="s">
        <v>180</v>
      </c>
      <c r="F2924" s="6" t="n">
        <v>8.16</v>
      </c>
      <c r="G2924" s="6" t="n">
        <v>0</v>
      </c>
      <c r="H2924" s="41" t="n">
        <v>16.19</v>
      </c>
      <c r="I2924" s="43" t="n">
        <f aca="false">F2924*H2924</f>
        <v>132.1104</v>
      </c>
      <c r="J2924" s="43" t="n">
        <f aca="false">G2924*H2924*1.5</f>
        <v>0</v>
      </c>
      <c r="K2924" s="6" t="n">
        <v>25.85</v>
      </c>
      <c r="L2924" s="43" t="n">
        <f aca="false">K2924*'Chart of Accounts'!$E$68</f>
        <v>17.3195</v>
      </c>
      <c r="O2924" s="42" t="n">
        <f aca="false">I2924+J2924+L2924</f>
        <v>149.4299</v>
      </c>
    </row>
    <row r="2925" customFormat="false" ht="15" hidden="false" customHeight="false" outlineLevel="0" collapsed="false">
      <c r="B2925" s="7" t="s">
        <v>11558</v>
      </c>
      <c r="C2925" s="39" t="n">
        <v>45840</v>
      </c>
      <c r="D2925" s="7" t="s">
        <v>220</v>
      </c>
      <c r="E2925" s="7" t="s">
        <v>180</v>
      </c>
      <c r="F2925" s="6" t="n">
        <v>4.33</v>
      </c>
      <c r="G2925" s="6" t="n">
        <v>0</v>
      </c>
      <c r="H2925" s="41" t="n">
        <v>16.43</v>
      </c>
      <c r="I2925" s="43" t="n">
        <f aca="false">F2925*H2925</f>
        <v>71.1419</v>
      </c>
      <c r="J2925" s="43" t="n">
        <f aca="false">G2925*H2925*1.5</f>
        <v>0</v>
      </c>
      <c r="K2925" s="6" t="n">
        <v>9.87</v>
      </c>
      <c r="L2925" s="43" t="n">
        <f aca="false">K2925*'Chart of Accounts'!$E$68</f>
        <v>6.6129</v>
      </c>
      <c r="O2925" s="42" t="n">
        <f aca="false">I2925+J2925+L2925</f>
        <v>77.7548</v>
      </c>
    </row>
    <row r="2926" customFormat="false" ht="15" hidden="false" customHeight="false" outlineLevel="0" collapsed="false">
      <c r="B2926" s="7" t="s">
        <v>11559</v>
      </c>
      <c r="C2926" s="39" t="n">
        <v>45840</v>
      </c>
      <c r="D2926" s="7" t="s">
        <v>177</v>
      </c>
      <c r="E2926" s="7" t="s">
        <v>180</v>
      </c>
      <c r="F2926" s="6" t="n">
        <v>8.87</v>
      </c>
      <c r="G2926" s="6" t="n">
        <v>0</v>
      </c>
      <c r="H2926" s="41" t="n">
        <v>14.56</v>
      </c>
      <c r="I2926" s="43" t="n">
        <f aca="false">F2926*H2926</f>
        <v>129.1472</v>
      </c>
      <c r="J2926" s="43" t="n">
        <f aca="false">G2926*H2926*1.5</f>
        <v>0</v>
      </c>
      <c r="K2926" s="6" t="n">
        <v>28.22</v>
      </c>
      <c r="L2926" s="43" t="n">
        <f aca="false">K2926*'Chart of Accounts'!$E$68</f>
        <v>18.9074</v>
      </c>
      <c r="O2926" s="42" t="n">
        <f aca="false">I2926+J2926+L2926</f>
        <v>148.0546</v>
      </c>
    </row>
    <row r="2927" customFormat="false" ht="15" hidden="false" customHeight="false" outlineLevel="0" collapsed="false">
      <c r="B2927" s="7" t="s">
        <v>11560</v>
      </c>
      <c r="C2927" s="39" t="n">
        <v>45840</v>
      </c>
      <c r="D2927" s="7" t="s">
        <v>242</v>
      </c>
      <c r="E2927" s="7" t="s">
        <v>180</v>
      </c>
      <c r="F2927" s="6" t="n">
        <v>6.232</v>
      </c>
      <c r="G2927" s="6" t="n">
        <v>1.158</v>
      </c>
      <c r="H2927" s="41" t="n">
        <v>17.99</v>
      </c>
      <c r="I2927" s="43" t="n">
        <f aca="false">F2927*H2927</f>
        <v>112.11368</v>
      </c>
      <c r="J2927" s="43" t="n">
        <f aca="false">G2927*H2927*1.5</f>
        <v>31.24863</v>
      </c>
      <c r="K2927" s="6" t="n">
        <v>20.11</v>
      </c>
      <c r="L2927" s="43" t="n">
        <f aca="false">K2927*'Chart of Accounts'!$E$68</f>
        <v>13.4737</v>
      </c>
      <c r="O2927" s="42" t="n">
        <f aca="false">I2927+J2927+L2927</f>
        <v>156.83601</v>
      </c>
    </row>
    <row r="2928" customFormat="false" ht="15" hidden="false" customHeight="false" outlineLevel="0" collapsed="false">
      <c r="B2928" s="7" t="s">
        <v>11561</v>
      </c>
      <c r="C2928" s="39" t="n">
        <v>45840</v>
      </c>
      <c r="D2928" s="7" t="s">
        <v>254</v>
      </c>
      <c r="E2928" s="7" t="s">
        <v>180</v>
      </c>
      <c r="F2928" s="6" t="n">
        <v>7.56</v>
      </c>
      <c r="G2928" s="6" t="n">
        <v>0</v>
      </c>
      <c r="H2928" s="41" t="n">
        <v>17.1</v>
      </c>
      <c r="I2928" s="43" t="n">
        <f aca="false">F2928*H2928</f>
        <v>129.276</v>
      </c>
      <c r="J2928" s="43" t="n">
        <f aca="false">G2928*H2928*1.5</f>
        <v>0</v>
      </c>
      <c r="K2928" s="6" t="n">
        <v>23.97</v>
      </c>
      <c r="L2928" s="43" t="n">
        <f aca="false">K2928*'Chart of Accounts'!$E$68</f>
        <v>16.0599</v>
      </c>
      <c r="O2928" s="42" t="n">
        <f aca="false">I2928+J2928+L2928</f>
        <v>145.3359</v>
      </c>
    </row>
    <row r="2929" customFormat="false" ht="15" hidden="false" customHeight="false" outlineLevel="0" collapsed="false">
      <c r="B2929" s="7" t="s">
        <v>11562</v>
      </c>
      <c r="C2929" s="39" t="n">
        <v>45840</v>
      </c>
      <c r="D2929" s="7" t="s">
        <v>201</v>
      </c>
      <c r="E2929" s="7" t="s">
        <v>180</v>
      </c>
      <c r="F2929" s="6" t="n">
        <v>7.04</v>
      </c>
      <c r="G2929" s="6" t="n">
        <v>0</v>
      </c>
      <c r="H2929" s="41" t="n">
        <v>15.19</v>
      </c>
      <c r="I2929" s="43" t="n">
        <f aca="false">F2929*H2929</f>
        <v>106.9376</v>
      </c>
      <c r="J2929" s="43" t="n">
        <f aca="false">G2929*H2929*1.5</f>
        <v>0</v>
      </c>
      <c r="K2929" s="6" t="n">
        <v>16.19</v>
      </c>
      <c r="L2929" s="43" t="n">
        <f aca="false">K2929*'Chart of Accounts'!$E$68</f>
        <v>10.8473</v>
      </c>
      <c r="O2929" s="42" t="n">
        <f aca="false">I2929+J2929+L2929</f>
        <v>117.7849</v>
      </c>
    </row>
    <row r="2930" customFormat="false" ht="15" hidden="false" customHeight="false" outlineLevel="0" collapsed="false">
      <c r="B2930" s="7" t="s">
        <v>11563</v>
      </c>
      <c r="C2930" s="39" t="n">
        <v>45840</v>
      </c>
      <c r="D2930" s="7" t="s">
        <v>207</v>
      </c>
      <c r="E2930" s="7" t="s">
        <v>180</v>
      </c>
      <c r="F2930" s="6" t="n">
        <v>3.09</v>
      </c>
      <c r="G2930" s="6" t="n">
        <v>0</v>
      </c>
      <c r="H2930" s="41" t="n">
        <v>16.65</v>
      </c>
      <c r="I2930" s="43" t="n">
        <f aca="false">F2930*H2930</f>
        <v>51.4485</v>
      </c>
      <c r="J2930" s="43" t="n">
        <f aca="false">G2930*H2930*1.5</f>
        <v>0</v>
      </c>
      <c r="K2930" s="6" t="n">
        <v>9.11</v>
      </c>
      <c r="L2930" s="43" t="n">
        <f aca="false">K2930*'Chart of Accounts'!$E$68</f>
        <v>6.1037</v>
      </c>
      <c r="O2930" s="42" t="n">
        <f aca="false">I2930+J2930+L2930</f>
        <v>57.5522</v>
      </c>
    </row>
    <row r="2931" customFormat="false" ht="15" hidden="false" customHeight="false" outlineLevel="0" collapsed="false">
      <c r="B2931" s="7" t="s">
        <v>11564</v>
      </c>
      <c r="C2931" s="39" t="n">
        <v>45840</v>
      </c>
      <c r="D2931" s="7" t="s">
        <v>232</v>
      </c>
      <c r="E2931" s="7" t="s">
        <v>180</v>
      </c>
      <c r="F2931" s="6" t="n">
        <v>4.87</v>
      </c>
      <c r="G2931" s="6" t="n">
        <v>0</v>
      </c>
      <c r="H2931" s="41" t="n">
        <v>16.17</v>
      </c>
      <c r="I2931" s="43" t="n">
        <f aca="false">F2931*H2931</f>
        <v>78.7479</v>
      </c>
      <c r="J2931" s="43" t="n">
        <f aca="false">G2931*H2931*1.5</f>
        <v>0</v>
      </c>
      <c r="K2931" s="6" t="n">
        <v>13.51</v>
      </c>
      <c r="L2931" s="43" t="n">
        <f aca="false">K2931*'Chart of Accounts'!$E$68</f>
        <v>9.0517</v>
      </c>
      <c r="O2931" s="42" t="n">
        <f aca="false">I2931+J2931+L2931</f>
        <v>87.7996</v>
      </c>
    </row>
    <row r="2932" customFormat="false" ht="15" hidden="false" customHeight="false" outlineLevel="0" collapsed="false">
      <c r="B2932" s="7" t="s">
        <v>11565</v>
      </c>
      <c r="C2932" s="39" t="n">
        <v>45840</v>
      </c>
      <c r="D2932" s="7" t="s">
        <v>224</v>
      </c>
      <c r="E2932" s="7" t="s">
        <v>180</v>
      </c>
      <c r="F2932" s="6" t="n">
        <v>5</v>
      </c>
      <c r="G2932" s="6" t="n">
        <v>0</v>
      </c>
      <c r="H2932" s="41" t="n">
        <v>14.93</v>
      </c>
      <c r="I2932" s="43" t="n">
        <f aca="false">F2932*H2932</f>
        <v>74.65</v>
      </c>
      <c r="J2932" s="43" t="n">
        <f aca="false">G2932*H2932*1.5</f>
        <v>0</v>
      </c>
      <c r="K2932" s="6" t="n">
        <v>13.97</v>
      </c>
      <c r="L2932" s="43" t="n">
        <f aca="false">K2932*'Chart of Accounts'!$E$68</f>
        <v>9.3599</v>
      </c>
      <c r="O2932" s="42" t="n">
        <f aca="false">I2932+J2932+L2932</f>
        <v>84.0099</v>
      </c>
    </row>
    <row r="2933" customFormat="false" ht="15" hidden="false" customHeight="false" outlineLevel="0" collapsed="false">
      <c r="B2933" s="7" t="s">
        <v>11566</v>
      </c>
      <c r="C2933" s="39" t="n">
        <v>45840</v>
      </c>
      <c r="D2933" s="7" t="s">
        <v>238</v>
      </c>
      <c r="E2933" s="7" t="s">
        <v>180</v>
      </c>
      <c r="F2933" s="6" t="n">
        <v>3.7</v>
      </c>
      <c r="G2933" s="6" t="n">
        <v>0</v>
      </c>
      <c r="H2933" s="41" t="n">
        <v>15.85</v>
      </c>
      <c r="I2933" s="43" t="n">
        <f aca="false">F2933*H2933</f>
        <v>58.645</v>
      </c>
      <c r="J2933" s="43" t="n">
        <f aca="false">G2933*H2933*1.5</f>
        <v>0</v>
      </c>
      <c r="K2933" s="6" t="n">
        <v>10.79</v>
      </c>
      <c r="L2933" s="43" t="n">
        <f aca="false">K2933*'Chart of Accounts'!$E$68</f>
        <v>7.2293</v>
      </c>
      <c r="O2933" s="42" t="n">
        <f aca="false">I2933+J2933+L2933</f>
        <v>65.8743</v>
      </c>
    </row>
    <row r="2934" customFormat="false" ht="15" hidden="false" customHeight="false" outlineLevel="0" collapsed="false">
      <c r="B2934" s="7" t="s">
        <v>11567</v>
      </c>
      <c r="C2934" s="39" t="n">
        <v>45840</v>
      </c>
      <c r="D2934" s="7" t="s">
        <v>246</v>
      </c>
      <c r="E2934" s="7" t="s">
        <v>180</v>
      </c>
      <c r="F2934" s="6" t="n">
        <v>3.67</v>
      </c>
      <c r="G2934" s="6" t="n">
        <v>0</v>
      </c>
      <c r="H2934" s="41" t="n">
        <v>16.48</v>
      </c>
      <c r="I2934" s="43" t="n">
        <f aca="false">F2934*H2934</f>
        <v>60.4816</v>
      </c>
      <c r="J2934" s="43" t="n">
        <f aca="false">G2934*H2934*1.5</f>
        <v>0</v>
      </c>
      <c r="K2934" s="6" t="n">
        <v>10.92</v>
      </c>
      <c r="L2934" s="43" t="n">
        <f aca="false">K2934*'Chart of Accounts'!$E$68</f>
        <v>7.3164</v>
      </c>
      <c r="O2934" s="42" t="n">
        <f aca="false">I2934+J2934+L2934</f>
        <v>67.798</v>
      </c>
    </row>
    <row r="2935" customFormat="false" ht="15" hidden="false" customHeight="false" outlineLevel="0" collapsed="false">
      <c r="B2935" s="7" t="s">
        <v>11568</v>
      </c>
      <c r="C2935" s="39" t="n">
        <v>45840</v>
      </c>
      <c r="D2935" s="7" t="s">
        <v>222</v>
      </c>
      <c r="E2935" s="7" t="s">
        <v>180</v>
      </c>
      <c r="F2935" s="6" t="n">
        <v>4.31</v>
      </c>
      <c r="G2935" s="6" t="n">
        <v>0</v>
      </c>
      <c r="H2935" s="41" t="n">
        <v>17.84</v>
      </c>
      <c r="I2935" s="43" t="n">
        <f aca="false">F2935*H2935</f>
        <v>76.8904</v>
      </c>
      <c r="J2935" s="43" t="n">
        <f aca="false">G2935*H2935*1.5</f>
        <v>0</v>
      </c>
      <c r="K2935" s="6" t="n">
        <v>15.49</v>
      </c>
      <c r="L2935" s="43" t="n">
        <f aca="false">K2935*'Chart of Accounts'!$E$68</f>
        <v>10.3783</v>
      </c>
      <c r="O2935" s="42" t="n">
        <f aca="false">I2935+J2935+L2935</f>
        <v>87.2687</v>
      </c>
    </row>
    <row r="2936" customFormat="false" ht="15" hidden="false" customHeight="false" outlineLevel="0" collapsed="false">
      <c r="B2936" s="7" t="s">
        <v>11569</v>
      </c>
      <c r="C2936" s="39" t="n">
        <v>45840</v>
      </c>
      <c r="D2936" s="7" t="s">
        <v>203</v>
      </c>
      <c r="E2936" s="7" t="s">
        <v>158</v>
      </c>
      <c r="H2936" s="41" t="n">
        <v>49.43</v>
      </c>
      <c r="M2936" s="6" t="n">
        <v>1</v>
      </c>
      <c r="N2936" s="43" t="n">
        <f aca="false">M2936*H2936</f>
        <v>49.43</v>
      </c>
      <c r="O2936" s="42" t="n">
        <f aca="false">N2936</f>
        <v>49.43</v>
      </c>
    </row>
    <row r="2937" customFormat="false" ht="15" hidden="false" customHeight="false" outlineLevel="0" collapsed="false">
      <c r="B2937" s="7" t="s">
        <v>11570</v>
      </c>
      <c r="C2937" s="39" t="n">
        <v>45840</v>
      </c>
      <c r="D2937" s="7" t="s">
        <v>214</v>
      </c>
      <c r="E2937" s="7" t="s">
        <v>180</v>
      </c>
      <c r="F2937" s="6" t="n">
        <v>3.57</v>
      </c>
      <c r="G2937" s="6" t="n">
        <v>0</v>
      </c>
      <c r="H2937" s="41" t="n">
        <v>15.67</v>
      </c>
      <c r="I2937" s="43" t="n">
        <f aca="false">F2937*H2937</f>
        <v>55.9419</v>
      </c>
      <c r="J2937" s="43" t="n">
        <f aca="false">G2937*H2937*1.5</f>
        <v>0</v>
      </c>
      <c r="K2937" s="6" t="n">
        <v>9.46</v>
      </c>
      <c r="L2937" s="43" t="n">
        <f aca="false">K2937*'Chart of Accounts'!$E$68</f>
        <v>6.3382</v>
      </c>
      <c r="O2937" s="42" t="n">
        <f aca="false">I2937+J2937+L2937</f>
        <v>62.2801</v>
      </c>
    </row>
    <row r="2938" customFormat="false" ht="15" hidden="false" customHeight="false" outlineLevel="0" collapsed="false">
      <c r="B2938" s="7" t="s">
        <v>11571</v>
      </c>
      <c r="C2938" s="39" t="n">
        <v>45841</v>
      </c>
      <c r="D2938" s="7" t="s">
        <v>214</v>
      </c>
      <c r="E2938" s="7" t="s">
        <v>180</v>
      </c>
      <c r="F2938" s="6" t="n">
        <v>7.81</v>
      </c>
      <c r="G2938" s="6" t="n">
        <v>0</v>
      </c>
      <c r="H2938" s="41" t="n">
        <v>15.67</v>
      </c>
      <c r="I2938" s="43" t="n">
        <f aca="false">F2938*H2938</f>
        <v>122.3827</v>
      </c>
      <c r="J2938" s="43" t="n">
        <f aca="false">G2938*H2938*1.5</f>
        <v>0</v>
      </c>
      <c r="K2938" s="6" t="n">
        <v>19.61</v>
      </c>
      <c r="L2938" s="43" t="n">
        <f aca="false">K2938*'Chart of Accounts'!$E$68</f>
        <v>13.1387</v>
      </c>
      <c r="O2938" s="42" t="n">
        <f aca="false">I2938+J2938+L2938</f>
        <v>135.5214</v>
      </c>
    </row>
    <row r="2939" customFormat="false" ht="15" hidden="false" customHeight="false" outlineLevel="0" collapsed="false">
      <c r="B2939" s="7" t="s">
        <v>11572</v>
      </c>
      <c r="C2939" s="39" t="n">
        <v>45841</v>
      </c>
      <c r="D2939" s="7" t="s">
        <v>201</v>
      </c>
      <c r="E2939" s="7" t="s">
        <v>180</v>
      </c>
      <c r="F2939" s="6" t="n">
        <v>5.77</v>
      </c>
      <c r="G2939" s="6" t="n">
        <v>0</v>
      </c>
      <c r="H2939" s="41" t="n">
        <v>15.19</v>
      </c>
      <c r="I2939" s="43" t="n">
        <f aca="false">F2939*H2939</f>
        <v>87.6463</v>
      </c>
      <c r="J2939" s="43" t="n">
        <f aca="false">G2939*H2939*1.5</f>
        <v>0</v>
      </c>
      <c r="K2939" s="6" t="n">
        <v>14.03</v>
      </c>
      <c r="L2939" s="43" t="n">
        <f aca="false">K2939*'Chart of Accounts'!$E$68</f>
        <v>9.4001</v>
      </c>
      <c r="O2939" s="42" t="n">
        <f aca="false">I2939+J2939+L2939</f>
        <v>97.0464</v>
      </c>
    </row>
    <row r="2940" customFormat="false" ht="15" hidden="false" customHeight="false" outlineLevel="0" collapsed="false">
      <c r="B2940" s="7" t="s">
        <v>11573</v>
      </c>
      <c r="C2940" s="39" t="n">
        <v>45841</v>
      </c>
      <c r="D2940" s="7" t="s">
        <v>196</v>
      </c>
      <c r="E2940" s="7" t="s">
        <v>180</v>
      </c>
      <c r="F2940" s="6" t="n">
        <v>10.4</v>
      </c>
      <c r="G2940" s="6" t="n">
        <v>0</v>
      </c>
      <c r="H2940" s="41" t="n">
        <v>15.05</v>
      </c>
      <c r="I2940" s="43" t="n">
        <f aca="false">F2940*H2940</f>
        <v>156.52</v>
      </c>
      <c r="J2940" s="43" t="n">
        <f aca="false">G2940*H2940*1.5</f>
        <v>0</v>
      </c>
      <c r="K2940" s="6" t="n">
        <v>26.41</v>
      </c>
      <c r="L2940" s="43" t="n">
        <f aca="false">K2940*'Chart of Accounts'!$E$68</f>
        <v>17.6947</v>
      </c>
      <c r="O2940" s="42" t="n">
        <f aca="false">I2940+J2940+L2940</f>
        <v>174.2147</v>
      </c>
    </row>
    <row r="2941" customFormat="false" ht="15" hidden="false" customHeight="false" outlineLevel="0" collapsed="false">
      <c r="B2941" s="7" t="s">
        <v>11574</v>
      </c>
      <c r="C2941" s="39" t="n">
        <v>45841</v>
      </c>
      <c r="D2941" s="7" t="s">
        <v>184</v>
      </c>
      <c r="E2941" s="7" t="s">
        <v>180</v>
      </c>
      <c r="F2941" s="6" t="n">
        <v>4.06</v>
      </c>
      <c r="G2941" s="6" t="n">
        <v>0</v>
      </c>
      <c r="H2941" s="41" t="n">
        <v>17.34</v>
      </c>
      <c r="I2941" s="43" t="n">
        <f aca="false">F2941*H2941</f>
        <v>70.4004</v>
      </c>
      <c r="J2941" s="43" t="n">
        <f aca="false">G2941*H2941*1.5</f>
        <v>0</v>
      </c>
      <c r="K2941" s="6" t="n">
        <v>13.63</v>
      </c>
      <c r="L2941" s="43" t="n">
        <f aca="false">K2941*'Chart of Accounts'!$E$68</f>
        <v>9.1321</v>
      </c>
      <c r="O2941" s="42" t="n">
        <f aca="false">I2941+J2941+L2941</f>
        <v>79.5325</v>
      </c>
    </row>
    <row r="2942" customFormat="false" ht="15" hidden="false" customHeight="false" outlineLevel="0" collapsed="false">
      <c r="B2942" s="7" t="s">
        <v>11575</v>
      </c>
      <c r="C2942" s="39" t="n">
        <v>45841</v>
      </c>
      <c r="D2942" s="7" t="s">
        <v>207</v>
      </c>
      <c r="E2942" s="7" t="s">
        <v>180</v>
      </c>
      <c r="F2942" s="6" t="n">
        <v>3.07</v>
      </c>
      <c r="G2942" s="6" t="n">
        <v>0</v>
      </c>
      <c r="H2942" s="41" t="n">
        <v>16.65</v>
      </c>
      <c r="I2942" s="43" t="n">
        <f aca="false">F2942*H2942</f>
        <v>51.1155</v>
      </c>
      <c r="J2942" s="43" t="n">
        <f aca="false">G2942*H2942*1.5</f>
        <v>0</v>
      </c>
      <c r="K2942" s="6" t="n">
        <v>8.52</v>
      </c>
      <c r="L2942" s="43" t="n">
        <f aca="false">K2942*'Chart of Accounts'!$E$68</f>
        <v>5.7084</v>
      </c>
      <c r="O2942" s="42" t="n">
        <f aca="false">I2942+J2942+L2942</f>
        <v>56.8239</v>
      </c>
    </row>
    <row r="2943" customFormat="false" ht="15" hidden="false" customHeight="false" outlineLevel="0" collapsed="false">
      <c r="B2943" s="7" t="s">
        <v>11576</v>
      </c>
      <c r="C2943" s="39" t="n">
        <v>45841</v>
      </c>
      <c r="D2943" s="7" t="s">
        <v>218</v>
      </c>
      <c r="E2943" s="7" t="s">
        <v>180</v>
      </c>
      <c r="F2943" s="6" t="n">
        <v>6.72</v>
      </c>
      <c r="G2943" s="6" t="n">
        <v>0</v>
      </c>
      <c r="H2943" s="41" t="n">
        <v>16.19</v>
      </c>
      <c r="I2943" s="43" t="n">
        <f aca="false">F2943*H2943</f>
        <v>108.7968</v>
      </c>
      <c r="J2943" s="43" t="n">
        <f aca="false">G2943*H2943*1.5</f>
        <v>0</v>
      </c>
      <c r="K2943" s="6" t="n">
        <v>19.49</v>
      </c>
      <c r="L2943" s="43" t="n">
        <f aca="false">K2943*'Chart of Accounts'!$E$68</f>
        <v>13.0583</v>
      </c>
      <c r="O2943" s="42" t="n">
        <f aca="false">I2943+J2943+L2943</f>
        <v>121.8551</v>
      </c>
    </row>
    <row r="2944" customFormat="false" ht="15" hidden="false" customHeight="false" outlineLevel="0" collapsed="false">
      <c r="B2944" s="7" t="s">
        <v>11577</v>
      </c>
      <c r="C2944" s="39" t="n">
        <v>45841</v>
      </c>
      <c r="D2944" s="7" t="s">
        <v>220</v>
      </c>
      <c r="E2944" s="7" t="s">
        <v>180</v>
      </c>
      <c r="F2944" s="6" t="n">
        <v>4.3</v>
      </c>
      <c r="G2944" s="6" t="n">
        <v>0</v>
      </c>
      <c r="H2944" s="41" t="n">
        <v>16.43</v>
      </c>
      <c r="I2944" s="43" t="n">
        <f aca="false">F2944*H2944</f>
        <v>70.649</v>
      </c>
      <c r="J2944" s="43" t="n">
        <f aca="false">G2944*H2944*1.5</f>
        <v>0</v>
      </c>
      <c r="K2944" s="6" t="n">
        <v>10.72</v>
      </c>
      <c r="L2944" s="43" t="n">
        <f aca="false">K2944*'Chart of Accounts'!$E$68</f>
        <v>7.1824</v>
      </c>
      <c r="O2944" s="42" t="n">
        <f aca="false">I2944+J2944+L2944</f>
        <v>77.8314</v>
      </c>
    </row>
    <row r="2945" customFormat="false" ht="15" hidden="false" customHeight="false" outlineLevel="0" collapsed="false">
      <c r="B2945" s="7" t="s">
        <v>11578</v>
      </c>
      <c r="C2945" s="39" t="n">
        <v>45841</v>
      </c>
      <c r="D2945" s="7" t="s">
        <v>224</v>
      </c>
      <c r="E2945" s="7" t="s">
        <v>180</v>
      </c>
      <c r="F2945" s="6" t="n">
        <v>3.68</v>
      </c>
      <c r="G2945" s="6" t="n">
        <v>0</v>
      </c>
      <c r="H2945" s="41" t="n">
        <v>14.93</v>
      </c>
      <c r="I2945" s="43" t="n">
        <f aca="false">F2945*H2945</f>
        <v>54.9424</v>
      </c>
      <c r="J2945" s="43" t="n">
        <f aca="false">G2945*H2945*1.5</f>
        <v>0</v>
      </c>
      <c r="K2945" s="6" t="n">
        <v>12.31</v>
      </c>
      <c r="L2945" s="43" t="n">
        <f aca="false">K2945*'Chart of Accounts'!$E$68</f>
        <v>8.2477</v>
      </c>
      <c r="O2945" s="42" t="n">
        <f aca="false">I2945+J2945+L2945</f>
        <v>63.1901</v>
      </c>
    </row>
    <row r="2946" customFormat="false" ht="15" hidden="false" customHeight="false" outlineLevel="0" collapsed="false">
      <c r="B2946" s="7" t="s">
        <v>11579</v>
      </c>
      <c r="C2946" s="39" t="n">
        <v>45841</v>
      </c>
      <c r="D2946" s="7" t="s">
        <v>232</v>
      </c>
      <c r="E2946" s="7" t="s">
        <v>180</v>
      </c>
      <c r="F2946" s="6" t="n">
        <v>2.86</v>
      </c>
      <c r="G2946" s="6" t="n">
        <v>0</v>
      </c>
      <c r="H2946" s="41" t="n">
        <v>16.17</v>
      </c>
      <c r="I2946" s="43" t="n">
        <f aca="false">F2946*H2946</f>
        <v>46.2462</v>
      </c>
      <c r="J2946" s="43" t="n">
        <f aca="false">G2946*H2946*1.5</f>
        <v>0</v>
      </c>
      <c r="K2946" s="6" t="n">
        <v>8.11</v>
      </c>
      <c r="L2946" s="43" t="n">
        <f aca="false">K2946*'Chart of Accounts'!$E$68</f>
        <v>5.4337</v>
      </c>
      <c r="O2946" s="42" t="n">
        <f aca="false">I2946+J2946+L2946</f>
        <v>51.6799</v>
      </c>
    </row>
    <row r="2947" customFormat="false" ht="15" hidden="false" customHeight="false" outlineLevel="0" collapsed="false">
      <c r="B2947" s="7" t="s">
        <v>11580</v>
      </c>
      <c r="C2947" s="39" t="n">
        <v>45841</v>
      </c>
      <c r="D2947" s="7" t="s">
        <v>222</v>
      </c>
      <c r="E2947" s="7" t="s">
        <v>180</v>
      </c>
      <c r="F2947" s="6" t="n">
        <v>6.75</v>
      </c>
      <c r="G2947" s="6" t="n">
        <v>0</v>
      </c>
      <c r="H2947" s="41" t="n">
        <v>17.84</v>
      </c>
      <c r="I2947" s="43" t="n">
        <f aca="false">F2947*H2947</f>
        <v>120.42</v>
      </c>
      <c r="J2947" s="43" t="n">
        <f aca="false">G2947*H2947*1.5</f>
        <v>0</v>
      </c>
      <c r="K2947" s="6" t="n">
        <v>21.41</v>
      </c>
      <c r="L2947" s="43" t="n">
        <f aca="false">K2947*'Chart of Accounts'!$E$68</f>
        <v>14.3447</v>
      </c>
      <c r="O2947" s="42" t="n">
        <f aca="false">I2947+J2947+L2947</f>
        <v>134.7647</v>
      </c>
    </row>
    <row r="2948" customFormat="false" ht="15" hidden="false" customHeight="false" outlineLevel="0" collapsed="false">
      <c r="B2948" s="7" t="s">
        <v>11581</v>
      </c>
      <c r="C2948" s="39" t="n">
        <v>45841</v>
      </c>
      <c r="D2948" s="7" t="s">
        <v>194</v>
      </c>
      <c r="E2948" s="7" t="s">
        <v>180</v>
      </c>
      <c r="F2948" s="6" t="n">
        <v>8.26</v>
      </c>
      <c r="G2948" s="6" t="n">
        <v>0</v>
      </c>
      <c r="H2948" s="41" t="n">
        <v>16</v>
      </c>
      <c r="I2948" s="43" t="n">
        <f aca="false">F2948*H2948</f>
        <v>132.16</v>
      </c>
      <c r="J2948" s="43" t="n">
        <f aca="false">G2948*H2948*1.5</f>
        <v>0</v>
      </c>
      <c r="K2948" s="6" t="n">
        <v>25.7</v>
      </c>
      <c r="L2948" s="43" t="n">
        <f aca="false">K2948*'Chart of Accounts'!$E$68</f>
        <v>17.219</v>
      </c>
      <c r="O2948" s="42" t="n">
        <f aca="false">I2948+J2948+L2948</f>
        <v>149.379</v>
      </c>
    </row>
    <row r="2949" customFormat="false" ht="15" hidden="false" customHeight="false" outlineLevel="0" collapsed="false">
      <c r="B2949" s="7" t="s">
        <v>11582</v>
      </c>
      <c r="C2949" s="39" t="n">
        <v>45841</v>
      </c>
      <c r="D2949" s="7" t="s">
        <v>246</v>
      </c>
      <c r="E2949" s="7" t="s">
        <v>180</v>
      </c>
      <c r="F2949" s="6" t="n">
        <v>8.43</v>
      </c>
      <c r="G2949" s="6" t="n">
        <v>0</v>
      </c>
      <c r="H2949" s="41" t="n">
        <v>16.48</v>
      </c>
      <c r="I2949" s="43" t="n">
        <f aca="false">F2949*H2949</f>
        <v>138.9264</v>
      </c>
      <c r="J2949" s="43" t="n">
        <f aca="false">G2949*H2949*1.5</f>
        <v>0</v>
      </c>
      <c r="K2949" s="6" t="n">
        <v>26.73</v>
      </c>
      <c r="L2949" s="43" t="n">
        <f aca="false">K2949*'Chart of Accounts'!$E$68</f>
        <v>17.9091</v>
      </c>
      <c r="O2949" s="42" t="n">
        <f aca="false">I2949+J2949+L2949</f>
        <v>156.8355</v>
      </c>
    </row>
    <row r="2950" customFormat="false" ht="15" hidden="false" customHeight="false" outlineLevel="0" collapsed="false">
      <c r="B2950" s="7" t="s">
        <v>11583</v>
      </c>
      <c r="C2950" s="39" t="n">
        <v>45841</v>
      </c>
      <c r="D2950" s="7" t="s">
        <v>242</v>
      </c>
      <c r="E2950" s="7" t="s">
        <v>180</v>
      </c>
      <c r="F2950" s="6" t="n">
        <v>3.711</v>
      </c>
      <c r="G2950" s="6" t="n">
        <v>0.689</v>
      </c>
      <c r="H2950" s="41" t="n">
        <v>17.99</v>
      </c>
      <c r="I2950" s="43" t="n">
        <f aca="false">F2950*H2950</f>
        <v>66.76089</v>
      </c>
      <c r="J2950" s="43" t="n">
        <f aca="false">G2950*H2950*1.5</f>
        <v>18.592665</v>
      </c>
      <c r="K2950" s="6" t="n">
        <v>14.92</v>
      </c>
      <c r="L2950" s="43" t="n">
        <f aca="false">K2950*'Chart of Accounts'!$E$68</f>
        <v>9.9964</v>
      </c>
      <c r="O2950" s="42" t="n">
        <f aca="false">I2950+J2950+L2950</f>
        <v>95.349955</v>
      </c>
    </row>
    <row r="2951" customFormat="false" ht="15" hidden="false" customHeight="false" outlineLevel="0" collapsed="false">
      <c r="B2951" s="7" t="s">
        <v>11584</v>
      </c>
      <c r="C2951" s="39" t="n">
        <v>45841</v>
      </c>
      <c r="D2951" s="7" t="s">
        <v>254</v>
      </c>
      <c r="E2951" s="7" t="s">
        <v>180</v>
      </c>
      <c r="F2951" s="6" t="n">
        <v>4.14</v>
      </c>
      <c r="G2951" s="6" t="n">
        <v>0</v>
      </c>
      <c r="H2951" s="41" t="n">
        <v>17.1</v>
      </c>
      <c r="I2951" s="43" t="n">
        <f aca="false">F2951*H2951</f>
        <v>70.794</v>
      </c>
      <c r="J2951" s="43" t="n">
        <f aca="false">G2951*H2951*1.5</f>
        <v>0</v>
      </c>
      <c r="K2951" s="6" t="n">
        <v>9.16</v>
      </c>
      <c r="L2951" s="43" t="n">
        <f aca="false">K2951*'Chart of Accounts'!$E$68</f>
        <v>6.1372</v>
      </c>
      <c r="O2951" s="42" t="n">
        <f aca="false">I2951+J2951+L2951</f>
        <v>76.9312</v>
      </c>
    </row>
    <row r="2952" customFormat="false" ht="15" hidden="false" customHeight="false" outlineLevel="0" collapsed="false">
      <c r="B2952" s="7" t="s">
        <v>11585</v>
      </c>
      <c r="C2952" s="39" t="n">
        <v>45842</v>
      </c>
      <c r="D2952" s="7" t="s">
        <v>187</v>
      </c>
      <c r="E2952" s="7" t="s">
        <v>158</v>
      </c>
      <c r="H2952" s="41" t="n">
        <v>66.48</v>
      </c>
      <c r="M2952" s="6" t="n">
        <v>1</v>
      </c>
      <c r="N2952" s="43" t="n">
        <f aca="false">M2952*H2952</f>
        <v>66.48</v>
      </c>
      <c r="O2952" s="42" t="n">
        <f aca="false">N2952</f>
        <v>66.48</v>
      </c>
    </row>
    <row r="2953" customFormat="false" ht="15" hidden="false" customHeight="false" outlineLevel="0" collapsed="false">
      <c r="B2953" s="7" t="s">
        <v>11586</v>
      </c>
      <c r="C2953" s="39" t="n">
        <v>45842</v>
      </c>
      <c r="D2953" s="7" t="s">
        <v>238</v>
      </c>
      <c r="E2953" s="7" t="s">
        <v>180</v>
      </c>
      <c r="F2953" s="6" t="n">
        <v>8.05</v>
      </c>
      <c r="G2953" s="6" t="n">
        <v>0</v>
      </c>
      <c r="H2953" s="41" t="n">
        <v>15.85</v>
      </c>
      <c r="I2953" s="43" t="n">
        <f aca="false">F2953*H2953</f>
        <v>127.5925</v>
      </c>
      <c r="J2953" s="43" t="n">
        <f aca="false">G2953*H2953*1.5</f>
        <v>0</v>
      </c>
      <c r="K2953" s="6" t="n">
        <v>26.27</v>
      </c>
      <c r="L2953" s="43" t="n">
        <f aca="false">K2953*'Chart of Accounts'!$E$68</f>
        <v>17.6009</v>
      </c>
      <c r="O2953" s="42" t="n">
        <f aca="false">I2953+J2953+L2953</f>
        <v>145.1934</v>
      </c>
    </row>
    <row r="2954" customFormat="false" ht="15" hidden="false" customHeight="false" outlineLevel="0" collapsed="false">
      <c r="B2954" s="7" t="s">
        <v>11587</v>
      </c>
      <c r="C2954" s="39" t="n">
        <v>45842</v>
      </c>
      <c r="D2954" s="7" t="s">
        <v>194</v>
      </c>
      <c r="E2954" s="7" t="s">
        <v>180</v>
      </c>
      <c r="F2954" s="6" t="n">
        <v>8.76</v>
      </c>
      <c r="G2954" s="6" t="n">
        <v>0</v>
      </c>
      <c r="H2954" s="41" t="n">
        <v>16</v>
      </c>
      <c r="I2954" s="43" t="n">
        <f aca="false">F2954*H2954</f>
        <v>140.16</v>
      </c>
      <c r="J2954" s="43" t="n">
        <f aca="false">G2954*H2954*1.5</f>
        <v>0</v>
      </c>
      <c r="K2954" s="6" t="n">
        <v>30.12</v>
      </c>
      <c r="L2954" s="43" t="n">
        <f aca="false">K2954*'Chart of Accounts'!$E$68</f>
        <v>20.1804</v>
      </c>
      <c r="O2954" s="42" t="n">
        <f aca="false">I2954+J2954+L2954</f>
        <v>160.3404</v>
      </c>
    </row>
    <row r="2955" customFormat="false" ht="15" hidden="false" customHeight="false" outlineLevel="0" collapsed="false">
      <c r="B2955" s="7" t="s">
        <v>11588</v>
      </c>
      <c r="C2955" s="39" t="n">
        <v>45842</v>
      </c>
      <c r="D2955" s="7" t="s">
        <v>209</v>
      </c>
      <c r="E2955" s="7" t="s">
        <v>158</v>
      </c>
      <c r="H2955" s="41" t="n">
        <v>73.58</v>
      </c>
      <c r="M2955" s="6" t="n">
        <v>2</v>
      </c>
      <c r="N2955" s="43" t="n">
        <f aca="false">M2955*H2955</f>
        <v>147.16</v>
      </c>
      <c r="O2955" s="42" t="n">
        <f aca="false">N2955</f>
        <v>147.16</v>
      </c>
    </row>
    <row r="2956" customFormat="false" ht="15" hidden="false" customHeight="false" outlineLevel="0" collapsed="false">
      <c r="B2956" s="7" t="s">
        <v>11589</v>
      </c>
      <c r="C2956" s="39" t="n">
        <v>45842</v>
      </c>
      <c r="D2956" s="7" t="s">
        <v>205</v>
      </c>
      <c r="E2956" s="7" t="s">
        <v>180</v>
      </c>
      <c r="F2956" s="6" t="n">
        <v>4.31</v>
      </c>
      <c r="G2956" s="6" t="n">
        <v>0</v>
      </c>
      <c r="H2956" s="41" t="n">
        <v>16.36</v>
      </c>
      <c r="I2956" s="43" t="n">
        <f aca="false">F2956*H2956</f>
        <v>70.5116</v>
      </c>
      <c r="J2956" s="43" t="n">
        <f aca="false">G2956*H2956*1.5</f>
        <v>0</v>
      </c>
      <c r="K2956" s="6" t="n">
        <v>10.37</v>
      </c>
      <c r="L2956" s="43" t="n">
        <f aca="false">K2956*'Chart of Accounts'!$E$68</f>
        <v>6.9479</v>
      </c>
      <c r="O2956" s="42" t="n">
        <f aca="false">I2956+J2956+L2956</f>
        <v>77.4595</v>
      </c>
    </row>
    <row r="2957" customFormat="false" ht="15" hidden="false" customHeight="false" outlineLevel="0" collapsed="false">
      <c r="B2957" s="7" t="s">
        <v>11590</v>
      </c>
      <c r="C2957" s="39" t="n">
        <v>45842</v>
      </c>
      <c r="D2957" s="7" t="s">
        <v>252</v>
      </c>
      <c r="E2957" s="7" t="s">
        <v>158</v>
      </c>
      <c r="H2957" s="41" t="n">
        <v>57.54</v>
      </c>
      <c r="M2957" s="6" t="n">
        <v>1</v>
      </c>
      <c r="N2957" s="43" t="n">
        <f aca="false">M2957*H2957</f>
        <v>57.54</v>
      </c>
      <c r="O2957" s="42" t="n">
        <f aca="false">N2957</f>
        <v>57.54</v>
      </c>
    </row>
    <row r="2958" customFormat="false" ht="15" hidden="false" customHeight="false" outlineLevel="0" collapsed="false">
      <c r="B2958" s="7" t="s">
        <v>11591</v>
      </c>
      <c r="C2958" s="39" t="n">
        <v>45842</v>
      </c>
      <c r="D2958" s="7" t="s">
        <v>184</v>
      </c>
      <c r="E2958" s="7" t="s">
        <v>180</v>
      </c>
      <c r="F2958" s="6" t="n">
        <v>4.19</v>
      </c>
      <c r="G2958" s="6" t="n">
        <v>0</v>
      </c>
      <c r="H2958" s="41" t="n">
        <v>17.34</v>
      </c>
      <c r="I2958" s="43" t="n">
        <f aca="false">F2958*H2958</f>
        <v>72.6546</v>
      </c>
      <c r="J2958" s="43" t="n">
        <f aca="false">G2958*H2958*1.5</f>
        <v>0</v>
      </c>
      <c r="K2958" s="6" t="n">
        <v>14.25</v>
      </c>
      <c r="L2958" s="43" t="n">
        <f aca="false">K2958*'Chart of Accounts'!$E$68</f>
        <v>9.5475</v>
      </c>
      <c r="O2958" s="42" t="n">
        <f aca="false">I2958+J2958+L2958</f>
        <v>82.2021</v>
      </c>
    </row>
    <row r="2959" customFormat="false" ht="15" hidden="false" customHeight="false" outlineLevel="0" collapsed="false">
      <c r="B2959" s="7" t="s">
        <v>11592</v>
      </c>
      <c r="C2959" s="39" t="n">
        <v>45842</v>
      </c>
      <c r="D2959" s="7" t="s">
        <v>234</v>
      </c>
      <c r="E2959" s="7" t="s">
        <v>158</v>
      </c>
      <c r="H2959" s="41" t="n">
        <v>89.53</v>
      </c>
      <c r="M2959" s="6" t="n">
        <v>2</v>
      </c>
      <c r="N2959" s="43" t="n">
        <f aca="false">M2959*H2959</f>
        <v>179.06</v>
      </c>
      <c r="O2959" s="42" t="n">
        <f aca="false">N2959</f>
        <v>179.06</v>
      </c>
    </row>
    <row r="2960" customFormat="false" ht="15" hidden="false" customHeight="false" outlineLevel="0" collapsed="false">
      <c r="B2960" s="7" t="s">
        <v>11593</v>
      </c>
      <c r="C2960" s="39" t="n">
        <v>45842</v>
      </c>
      <c r="D2960" s="7" t="s">
        <v>218</v>
      </c>
      <c r="E2960" s="7" t="s">
        <v>180</v>
      </c>
      <c r="F2960" s="6" t="n">
        <v>3.73</v>
      </c>
      <c r="G2960" s="6" t="n">
        <v>0</v>
      </c>
      <c r="H2960" s="41" t="n">
        <v>16.19</v>
      </c>
      <c r="I2960" s="43" t="n">
        <f aca="false">F2960*H2960</f>
        <v>60.3887</v>
      </c>
      <c r="J2960" s="43" t="n">
        <f aca="false">G2960*H2960*1.5</f>
        <v>0</v>
      </c>
      <c r="K2960" s="6" t="n">
        <v>9.59</v>
      </c>
      <c r="L2960" s="43" t="n">
        <f aca="false">K2960*'Chart of Accounts'!$E$68</f>
        <v>6.4253</v>
      </c>
      <c r="O2960" s="42" t="n">
        <f aca="false">I2960+J2960+L2960</f>
        <v>66.814</v>
      </c>
    </row>
    <row r="2961" customFormat="false" ht="15" hidden="false" customHeight="false" outlineLevel="0" collapsed="false">
      <c r="B2961" s="7" t="s">
        <v>11594</v>
      </c>
      <c r="C2961" s="39" t="n">
        <v>45842</v>
      </c>
      <c r="D2961" s="7" t="s">
        <v>266</v>
      </c>
      <c r="E2961" s="7" t="s">
        <v>158</v>
      </c>
      <c r="H2961" s="41" t="n">
        <v>75.18</v>
      </c>
      <c r="M2961" s="6" t="n">
        <v>1</v>
      </c>
      <c r="N2961" s="43" t="n">
        <f aca="false">M2961*H2961</f>
        <v>75.18</v>
      </c>
      <c r="O2961" s="42" t="n">
        <f aca="false">N2961</f>
        <v>75.18</v>
      </c>
    </row>
    <row r="2962" customFormat="false" ht="15" hidden="false" customHeight="false" outlineLevel="0" collapsed="false">
      <c r="B2962" s="7" t="s">
        <v>11595</v>
      </c>
      <c r="C2962" s="39" t="n">
        <v>45842</v>
      </c>
      <c r="D2962" s="7" t="s">
        <v>228</v>
      </c>
      <c r="E2962" s="7" t="s">
        <v>158</v>
      </c>
      <c r="H2962" s="41" t="n">
        <v>51.07</v>
      </c>
      <c r="M2962" s="6" t="n">
        <v>1</v>
      </c>
      <c r="N2962" s="43" t="n">
        <f aca="false">M2962*H2962</f>
        <v>51.07</v>
      </c>
      <c r="O2962" s="42" t="n">
        <f aca="false">N2962</f>
        <v>51.07</v>
      </c>
    </row>
    <row r="2963" customFormat="false" ht="15" hidden="false" customHeight="false" outlineLevel="0" collapsed="false">
      <c r="B2963" s="7" t="s">
        <v>11596</v>
      </c>
      <c r="C2963" s="39" t="n">
        <v>45842</v>
      </c>
      <c r="D2963" s="7" t="s">
        <v>220</v>
      </c>
      <c r="E2963" s="7" t="s">
        <v>180</v>
      </c>
      <c r="F2963" s="6" t="n">
        <v>3.88</v>
      </c>
      <c r="G2963" s="6" t="n">
        <v>0</v>
      </c>
      <c r="H2963" s="41" t="n">
        <v>16.43</v>
      </c>
      <c r="I2963" s="43" t="n">
        <f aca="false">F2963*H2963</f>
        <v>63.7484</v>
      </c>
      <c r="J2963" s="43" t="n">
        <f aca="false">G2963*H2963*1.5</f>
        <v>0</v>
      </c>
      <c r="K2963" s="6" t="n">
        <v>10.42</v>
      </c>
      <c r="L2963" s="43" t="n">
        <f aca="false">K2963*'Chart of Accounts'!$E$68</f>
        <v>6.9814</v>
      </c>
      <c r="O2963" s="42" t="n">
        <f aca="false">I2963+J2963+L2963</f>
        <v>70.7298</v>
      </c>
    </row>
    <row r="2964" customFormat="false" ht="15" hidden="false" customHeight="false" outlineLevel="0" collapsed="false">
      <c r="B2964" s="7" t="s">
        <v>11597</v>
      </c>
      <c r="C2964" s="39" t="n">
        <v>45842</v>
      </c>
      <c r="D2964" s="7" t="s">
        <v>177</v>
      </c>
      <c r="E2964" s="7" t="s">
        <v>180</v>
      </c>
      <c r="F2964" s="6" t="n">
        <v>8.01</v>
      </c>
      <c r="G2964" s="6" t="n">
        <v>0</v>
      </c>
      <c r="H2964" s="41" t="n">
        <v>14.56</v>
      </c>
      <c r="I2964" s="43" t="n">
        <f aca="false">F2964*H2964</f>
        <v>116.6256</v>
      </c>
      <c r="J2964" s="43" t="n">
        <f aca="false">G2964*H2964*1.5</f>
        <v>0</v>
      </c>
      <c r="K2964" s="6" t="n">
        <v>28.47</v>
      </c>
      <c r="L2964" s="43" t="n">
        <f aca="false">K2964*'Chart of Accounts'!$E$68</f>
        <v>19.0749</v>
      </c>
      <c r="O2964" s="42" t="n">
        <f aca="false">I2964+J2964+L2964</f>
        <v>135.7005</v>
      </c>
    </row>
    <row r="2965" customFormat="false" ht="15" hidden="false" customHeight="false" outlineLevel="0" collapsed="false">
      <c r="B2965" s="7" t="s">
        <v>11598</v>
      </c>
      <c r="C2965" s="39" t="n">
        <v>45842</v>
      </c>
      <c r="D2965" s="7" t="s">
        <v>242</v>
      </c>
      <c r="E2965" s="7" t="s">
        <v>180</v>
      </c>
      <c r="F2965" s="6" t="n">
        <v>9.521</v>
      </c>
      <c r="G2965" s="6" t="n">
        <v>1.769</v>
      </c>
      <c r="H2965" s="41" t="n">
        <v>17.99</v>
      </c>
      <c r="I2965" s="43" t="n">
        <f aca="false">F2965*H2965</f>
        <v>171.28279</v>
      </c>
      <c r="J2965" s="43" t="n">
        <f aca="false">G2965*H2965*1.5</f>
        <v>47.736465</v>
      </c>
      <c r="K2965" s="6" t="n">
        <v>32.67</v>
      </c>
      <c r="L2965" s="43" t="n">
        <f aca="false">K2965*'Chart of Accounts'!$E$68</f>
        <v>21.8889</v>
      </c>
      <c r="O2965" s="42" t="n">
        <f aca="false">I2965+J2965+L2965</f>
        <v>240.908155</v>
      </c>
    </row>
    <row r="2966" customFormat="false" ht="15" hidden="false" customHeight="false" outlineLevel="0" collapsed="false">
      <c r="B2966" s="7" t="s">
        <v>11599</v>
      </c>
      <c r="C2966" s="39" t="n">
        <v>45842</v>
      </c>
      <c r="D2966" s="7" t="s">
        <v>254</v>
      </c>
      <c r="E2966" s="7" t="s">
        <v>180</v>
      </c>
      <c r="F2966" s="6" t="n">
        <v>7.36</v>
      </c>
      <c r="G2966" s="6" t="n">
        <v>0</v>
      </c>
      <c r="H2966" s="41" t="n">
        <v>17.1</v>
      </c>
      <c r="I2966" s="43" t="n">
        <f aca="false">F2966*H2966</f>
        <v>125.856</v>
      </c>
      <c r="J2966" s="43" t="n">
        <f aca="false">G2966*H2966*1.5</f>
        <v>0</v>
      </c>
      <c r="K2966" s="6" t="n">
        <v>25.8</v>
      </c>
      <c r="L2966" s="43" t="n">
        <f aca="false">K2966*'Chart of Accounts'!$E$68</f>
        <v>17.286</v>
      </c>
      <c r="O2966" s="42" t="n">
        <f aca="false">I2966+J2966+L2966</f>
        <v>143.142</v>
      </c>
    </row>
    <row r="2967" customFormat="false" ht="15" hidden="false" customHeight="false" outlineLevel="0" collapsed="false">
      <c r="B2967" s="7" t="s">
        <v>11600</v>
      </c>
      <c r="C2967" s="39" t="n">
        <v>45842</v>
      </c>
      <c r="D2967" s="7" t="s">
        <v>201</v>
      </c>
      <c r="E2967" s="7" t="s">
        <v>180</v>
      </c>
      <c r="F2967" s="6" t="n">
        <v>3.42</v>
      </c>
      <c r="G2967" s="6" t="n">
        <v>0</v>
      </c>
      <c r="H2967" s="41" t="n">
        <v>15.19</v>
      </c>
      <c r="I2967" s="43" t="n">
        <f aca="false">F2967*H2967</f>
        <v>51.9498</v>
      </c>
      <c r="J2967" s="43" t="n">
        <f aca="false">G2967*H2967*1.5</f>
        <v>0</v>
      </c>
      <c r="K2967" s="6" t="n">
        <v>7.57</v>
      </c>
      <c r="L2967" s="43" t="n">
        <f aca="false">K2967*'Chart of Accounts'!$E$68</f>
        <v>5.0719</v>
      </c>
      <c r="O2967" s="42" t="n">
        <f aca="false">I2967+J2967+L2967</f>
        <v>57.0217</v>
      </c>
    </row>
    <row r="2968" customFormat="false" ht="15" hidden="false" customHeight="false" outlineLevel="0" collapsed="false">
      <c r="B2968" s="7" t="s">
        <v>11601</v>
      </c>
      <c r="C2968" s="39" t="n">
        <v>45842</v>
      </c>
      <c r="D2968" s="7" t="s">
        <v>207</v>
      </c>
      <c r="E2968" s="7" t="s">
        <v>180</v>
      </c>
      <c r="F2968" s="6" t="n">
        <v>3.51</v>
      </c>
      <c r="G2968" s="6" t="n">
        <v>0</v>
      </c>
      <c r="H2968" s="41" t="n">
        <v>16.65</v>
      </c>
      <c r="I2968" s="43" t="n">
        <f aca="false">F2968*H2968</f>
        <v>58.4415</v>
      </c>
      <c r="J2968" s="43" t="n">
        <f aca="false">G2968*H2968*1.5</f>
        <v>0</v>
      </c>
      <c r="K2968" s="6" t="n">
        <v>11.91</v>
      </c>
      <c r="L2968" s="43" t="n">
        <f aca="false">K2968*'Chart of Accounts'!$E$68</f>
        <v>7.9797</v>
      </c>
      <c r="O2968" s="42" t="n">
        <f aca="false">I2968+J2968+L2968</f>
        <v>66.4212</v>
      </c>
    </row>
    <row r="2969" customFormat="false" ht="15" hidden="false" customHeight="false" outlineLevel="0" collapsed="false">
      <c r="B2969" s="7" t="s">
        <v>11602</v>
      </c>
      <c r="C2969" s="39" t="n">
        <v>45842</v>
      </c>
      <c r="D2969" s="7" t="s">
        <v>232</v>
      </c>
      <c r="E2969" s="7" t="s">
        <v>180</v>
      </c>
      <c r="F2969" s="6" t="n">
        <v>4.98</v>
      </c>
      <c r="G2969" s="6" t="n">
        <v>0</v>
      </c>
      <c r="H2969" s="41" t="n">
        <v>16.17</v>
      </c>
      <c r="I2969" s="43" t="n">
        <f aca="false">F2969*H2969</f>
        <v>80.5266</v>
      </c>
      <c r="J2969" s="43" t="n">
        <f aca="false">G2969*H2969*1.5</f>
        <v>0</v>
      </c>
      <c r="K2969" s="6" t="n">
        <v>13.02</v>
      </c>
      <c r="L2969" s="43" t="n">
        <f aca="false">K2969*'Chart of Accounts'!$E$68</f>
        <v>8.7234</v>
      </c>
      <c r="O2969" s="42" t="n">
        <f aca="false">I2969+J2969+L2969</f>
        <v>89.25</v>
      </c>
    </row>
    <row r="2970" customFormat="false" ht="15" hidden="false" customHeight="false" outlineLevel="0" collapsed="false">
      <c r="B2970" s="7" t="s">
        <v>11603</v>
      </c>
      <c r="C2970" s="39" t="n">
        <v>45842</v>
      </c>
      <c r="D2970" s="7" t="s">
        <v>224</v>
      </c>
      <c r="E2970" s="7" t="s">
        <v>180</v>
      </c>
      <c r="F2970" s="6" t="n">
        <v>4.6</v>
      </c>
      <c r="G2970" s="6" t="n">
        <v>0</v>
      </c>
      <c r="H2970" s="41" t="n">
        <v>14.93</v>
      </c>
      <c r="I2970" s="43" t="n">
        <f aca="false">F2970*H2970</f>
        <v>68.678</v>
      </c>
      <c r="J2970" s="43" t="n">
        <f aca="false">G2970*H2970*1.5</f>
        <v>0</v>
      </c>
      <c r="K2970" s="6" t="n">
        <v>15.44</v>
      </c>
      <c r="L2970" s="43" t="n">
        <f aca="false">K2970*'Chart of Accounts'!$E$68</f>
        <v>10.3448</v>
      </c>
      <c r="O2970" s="42" t="n">
        <f aca="false">I2970+J2970+L2970</f>
        <v>79.0228</v>
      </c>
    </row>
    <row r="2971" customFormat="false" ht="15" hidden="false" customHeight="false" outlineLevel="0" collapsed="false">
      <c r="B2971" s="7" t="s">
        <v>11604</v>
      </c>
      <c r="C2971" s="39" t="n">
        <v>45842</v>
      </c>
      <c r="D2971" s="7" t="s">
        <v>246</v>
      </c>
      <c r="E2971" s="7" t="s">
        <v>180</v>
      </c>
      <c r="F2971" s="6" t="n">
        <v>4.37</v>
      </c>
      <c r="G2971" s="6" t="n">
        <v>0</v>
      </c>
      <c r="H2971" s="41" t="n">
        <v>16.48</v>
      </c>
      <c r="I2971" s="43" t="n">
        <f aca="false">F2971*H2971</f>
        <v>72.0176</v>
      </c>
      <c r="J2971" s="43" t="n">
        <f aca="false">G2971*H2971*1.5</f>
        <v>0</v>
      </c>
      <c r="K2971" s="6" t="n">
        <v>14.65</v>
      </c>
      <c r="L2971" s="43" t="n">
        <f aca="false">K2971*'Chart of Accounts'!$E$68</f>
        <v>9.8155</v>
      </c>
      <c r="O2971" s="42" t="n">
        <f aca="false">I2971+J2971+L2971</f>
        <v>81.8331</v>
      </c>
    </row>
    <row r="2972" customFormat="false" ht="15" hidden="false" customHeight="false" outlineLevel="0" collapsed="false">
      <c r="B2972" s="7" t="s">
        <v>11605</v>
      </c>
      <c r="C2972" s="39" t="n">
        <v>45842</v>
      </c>
      <c r="D2972" s="7" t="s">
        <v>222</v>
      </c>
      <c r="E2972" s="7" t="s">
        <v>180</v>
      </c>
      <c r="F2972" s="6" t="n">
        <v>7.88</v>
      </c>
      <c r="G2972" s="6" t="n">
        <v>0</v>
      </c>
      <c r="H2972" s="41" t="n">
        <v>17.84</v>
      </c>
      <c r="I2972" s="43" t="n">
        <f aca="false">F2972*H2972</f>
        <v>140.5792</v>
      </c>
      <c r="J2972" s="43" t="n">
        <f aca="false">G2972*H2972*1.5</f>
        <v>0</v>
      </c>
      <c r="K2972" s="6" t="n">
        <v>23.04</v>
      </c>
      <c r="L2972" s="43" t="n">
        <f aca="false">K2972*'Chart of Accounts'!$E$68</f>
        <v>15.4368</v>
      </c>
      <c r="O2972" s="42" t="n">
        <f aca="false">I2972+J2972+L2972</f>
        <v>156.016</v>
      </c>
    </row>
    <row r="2973" customFormat="false" ht="15" hidden="false" customHeight="false" outlineLevel="0" collapsed="false">
      <c r="B2973" s="7" t="s">
        <v>11606</v>
      </c>
      <c r="C2973" s="39" t="n">
        <v>45842</v>
      </c>
      <c r="D2973" s="7" t="s">
        <v>203</v>
      </c>
      <c r="E2973" s="7" t="s">
        <v>158</v>
      </c>
      <c r="H2973" s="41" t="n">
        <v>49.43</v>
      </c>
      <c r="M2973" s="6" t="n">
        <v>1</v>
      </c>
      <c r="N2973" s="43" t="n">
        <f aca="false">M2973*H2973</f>
        <v>49.43</v>
      </c>
      <c r="O2973" s="42" t="n">
        <f aca="false">N2973</f>
        <v>49.43</v>
      </c>
    </row>
    <row r="2974" customFormat="false" ht="15" hidden="false" customHeight="false" outlineLevel="0" collapsed="false">
      <c r="B2974" s="7" t="s">
        <v>11607</v>
      </c>
      <c r="C2974" s="39" t="n">
        <v>45842</v>
      </c>
      <c r="D2974" s="7" t="s">
        <v>260</v>
      </c>
      <c r="E2974" s="7" t="s">
        <v>158</v>
      </c>
      <c r="H2974" s="41" t="n">
        <v>79.8</v>
      </c>
      <c r="M2974" s="6" t="n">
        <v>1</v>
      </c>
      <c r="N2974" s="43" t="n">
        <f aca="false">M2974*H2974</f>
        <v>79.8</v>
      </c>
      <c r="O2974" s="42" t="n">
        <f aca="false">N2974</f>
        <v>79.8</v>
      </c>
    </row>
    <row r="2975" customFormat="false" ht="15" hidden="false" customHeight="false" outlineLevel="0" collapsed="false">
      <c r="B2975" s="7" t="s">
        <v>11608</v>
      </c>
      <c r="C2975" s="39" t="n">
        <v>45842</v>
      </c>
      <c r="D2975" s="7" t="s">
        <v>214</v>
      </c>
      <c r="E2975" s="7" t="s">
        <v>180</v>
      </c>
      <c r="F2975" s="6" t="n">
        <v>3.33</v>
      </c>
      <c r="G2975" s="6" t="n">
        <v>0</v>
      </c>
      <c r="H2975" s="41" t="n">
        <v>15.67</v>
      </c>
      <c r="I2975" s="43" t="n">
        <f aca="false">F2975*H2975</f>
        <v>52.1811</v>
      </c>
      <c r="J2975" s="43" t="n">
        <f aca="false">G2975*H2975*1.5</f>
        <v>0</v>
      </c>
      <c r="K2975" s="6" t="n">
        <v>11.45</v>
      </c>
      <c r="L2975" s="43" t="n">
        <f aca="false">K2975*'Chart of Accounts'!$E$68</f>
        <v>7.6715</v>
      </c>
      <c r="O2975" s="42" t="n">
        <f aca="false">I2975+J2975+L2975</f>
        <v>59.8526</v>
      </c>
    </row>
    <row r="2976" customFormat="false" ht="15" hidden="false" customHeight="false" outlineLevel="0" collapsed="false">
      <c r="B2976" s="7" t="s">
        <v>11609</v>
      </c>
      <c r="C2976" s="39" t="n">
        <v>45843</v>
      </c>
      <c r="D2976" s="7" t="s">
        <v>232</v>
      </c>
      <c r="E2976" s="7" t="s">
        <v>180</v>
      </c>
      <c r="F2976" s="6" t="n">
        <v>4.05</v>
      </c>
      <c r="G2976" s="6" t="n">
        <v>0</v>
      </c>
      <c r="H2976" s="41" t="n">
        <v>16.17</v>
      </c>
      <c r="I2976" s="43" t="n">
        <f aca="false">F2976*H2976</f>
        <v>65.4885</v>
      </c>
      <c r="J2976" s="43" t="n">
        <f aca="false">G2976*H2976*1.5</f>
        <v>0</v>
      </c>
      <c r="K2976" s="6" t="n">
        <v>11.66</v>
      </c>
      <c r="L2976" s="43" t="n">
        <f aca="false">K2976*'Chart of Accounts'!$E$68</f>
        <v>7.8122</v>
      </c>
      <c r="O2976" s="42" t="n">
        <f aca="false">I2976+J2976+L2976</f>
        <v>73.3007</v>
      </c>
    </row>
    <row r="2977" customFormat="false" ht="15" hidden="false" customHeight="false" outlineLevel="0" collapsed="false">
      <c r="B2977" s="7" t="s">
        <v>11610</v>
      </c>
      <c r="C2977" s="39" t="n">
        <v>45843</v>
      </c>
      <c r="D2977" s="7" t="s">
        <v>218</v>
      </c>
      <c r="E2977" s="7" t="s">
        <v>180</v>
      </c>
      <c r="F2977" s="6" t="n">
        <v>4.3</v>
      </c>
      <c r="G2977" s="6" t="n">
        <v>0</v>
      </c>
      <c r="H2977" s="41" t="n">
        <v>16.19</v>
      </c>
      <c r="I2977" s="43" t="n">
        <f aca="false">F2977*H2977</f>
        <v>69.617</v>
      </c>
      <c r="J2977" s="43" t="n">
        <f aca="false">G2977*H2977*1.5</f>
        <v>0</v>
      </c>
      <c r="K2977" s="6" t="n">
        <v>14.23</v>
      </c>
      <c r="L2977" s="43" t="n">
        <f aca="false">K2977*'Chart of Accounts'!$E$68</f>
        <v>9.5341</v>
      </c>
      <c r="O2977" s="42" t="n">
        <f aca="false">I2977+J2977+L2977</f>
        <v>79.1511</v>
      </c>
    </row>
    <row r="2978" customFormat="false" ht="15" hidden="false" customHeight="false" outlineLevel="0" collapsed="false">
      <c r="B2978" s="7" t="s">
        <v>11611</v>
      </c>
      <c r="C2978" s="39" t="n">
        <v>45843</v>
      </c>
      <c r="D2978" s="7" t="s">
        <v>196</v>
      </c>
      <c r="E2978" s="7" t="s">
        <v>180</v>
      </c>
      <c r="F2978" s="6" t="n">
        <v>3.69</v>
      </c>
      <c r="G2978" s="6" t="n">
        <v>0</v>
      </c>
      <c r="H2978" s="41" t="n">
        <v>15.05</v>
      </c>
      <c r="I2978" s="43" t="n">
        <f aca="false">F2978*H2978</f>
        <v>55.5345</v>
      </c>
      <c r="J2978" s="43" t="n">
        <f aca="false">G2978*H2978*1.5</f>
        <v>0</v>
      </c>
      <c r="K2978" s="6" t="n">
        <v>12.58</v>
      </c>
      <c r="L2978" s="43" t="n">
        <f aca="false">K2978*'Chart of Accounts'!$E$68</f>
        <v>8.4286</v>
      </c>
      <c r="O2978" s="42" t="n">
        <f aca="false">I2978+J2978+L2978</f>
        <v>63.9631</v>
      </c>
    </row>
    <row r="2979" customFormat="false" ht="15" hidden="false" customHeight="false" outlineLevel="0" collapsed="false">
      <c r="B2979" s="7" t="s">
        <v>11612</v>
      </c>
      <c r="C2979" s="39" t="n">
        <v>45843</v>
      </c>
      <c r="D2979" s="7" t="s">
        <v>222</v>
      </c>
      <c r="E2979" s="7" t="s">
        <v>180</v>
      </c>
      <c r="F2979" s="6" t="n">
        <v>3.69</v>
      </c>
      <c r="G2979" s="6" t="n">
        <v>0</v>
      </c>
      <c r="H2979" s="41" t="n">
        <v>17.84</v>
      </c>
      <c r="I2979" s="43" t="n">
        <f aca="false">F2979*H2979</f>
        <v>65.8296</v>
      </c>
      <c r="J2979" s="43" t="n">
        <f aca="false">G2979*H2979*1.5</f>
        <v>0</v>
      </c>
      <c r="K2979" s="6" t="n">
        <v>11.83</v>
      </c>
      <c r="L2979" s="43" t="n">
        <f aca="false">K2979*'Chart of Accounts'!$E$68</f>
        <v>7.9261</v>
      </c>
      <c r="O2979" s="42" t="n">
        <f aca="false">I2979+J2979+L2979</f>
        <v>73.7557</v>
      </c>
    </row>
    <row r="2980" customFormat="false" ht="15" hidden="false" customHeight="false" outlineLevel="0" collapsed="false">
      <c r="B2980" s="7" t="s">
        <v>11613</v>
      </c>
      <c r="C2980" s="39" t="n">
        <v>45843</v>
      </c>
      <c r="D2980" s="7" t="s">
        <v>242</v>
      </c>
      <c r="E2980" s="7" t="s">
        <v>180</v>
      </c>
      <c r="F2980" s="6" t="n">
        <v>3.491</v>
      </c>
      <c r="G2980" s="6" t="n">
        <v>0.649</v>
      </c>
      <c r="H2980" s="41" t="n">
        <v>17.99</v>
      </c>
      <c r="I2980" s="43" t="n">
        <f aca="false">F2980*H2980</f>
        <v>62.80309</v>
      </c>
      <c r="J2980" s="43" t="n">
        <f aca="false">G2980*H2980*1.5</f>
        <v>17.513265</v>
      </c>
      <c r="K2980" s="6" t="n">
        <v>9.92</v>
      </c>
      <c r="L2980" s="43" t="n">
        <f aca="false">K2980*'Chart of Accounts'!$E$68</f>
        <v>6.6464</v>
      </c>
      <c r="O2980" s="42" t="n">
        <f aca="false">I2980+J2980+L2980</f>
        <v>86.962755</v>
      </c>
    </row>
    <row r="2981" customFormat="false" ht="15" hidden="false" customHeight="false" outlineLevel="0" collapsed="false">
      <c r="B2981" s="7" t="s">
        <v>11614</v>
      </c>
      <c r="C2981" s="39" t="n">
        <v>45843</v>
      </c>
      <c r="D2981" s="7" t="s">
        <v>254</v>
      </c>
      <c r="E2981" s="7" t="s">
        <v>180</v>
      </c>
      <c r="F2981" s="6" t="n">
        <v>3.91</v>
      </c>
      <c r="G2981" s="6" t="n">
        <v>0</v>
      </c>
      <c r="H2981" s="41" t="n">
        <v>17.1</v>
      </c>
      <c r="I2981" s="43" t="n">
        <f aca="false">F2981*H2981</f>
        <v>66.861</v>
      </c>
      <c r="J2981" s="43" t="n">
        <f aca="false">G2981*H2981*1.5</f>
        <v>0</v>
      </c>
      <c r="K2981" s="6" t="n">
        <v>8.95</v>
      </c>
      <c r="L2981" s="43" t="n">
        <f aca="false">K2981*'Chart of Accounts'!$E$68</f>
        <v>5.9965</v>
      </c>
      <c r="O2981" s="42" t="n">
        <f aca="false">I2981+J2981+L2981</f>
        <v>72.8575</v>
      </c>
    </row>
    <row r="2982" customFormat="false" ht="15" hidden="false" customHeight="false" outlineLevel="0" collapsed="false">
      <c r="B2982" s="7" t="s">
        <v>11615</v>
      </c>
      <c r="C2982" s="39" t="n">
        <v>45844</v>
      </c>
      <c r="D2982" s="7" t="s">
        <v>246</v>
      </c>
      <c r="E2982" s="7" t="s">
        <v>180</v>
      </c>
      <c r="F2982" s="6" t="n">
        <v>4.23</v>
      </c>
      <c r="G2982" s="6" t="n">
        <v>0</v>
      </c>
      <c r="H2982" s="41" t="n">
        <v>16.48</v>
      </c>
      <c r="I2982" s="43" t="n">
        <f aca="false">F2982*H2982</f>
        <v>69.7104</v>
      </c>
      <c r="J2982" s="43" t="n">
        <f aca="false">G2982*H2982*1.5</f>
        <v>0</v>
      </c>
      <c r="K2982" s="6" t="n">
        <v>13.8</v>
      </c>
      <c r="L2982" s="43" t="n">
        <f aca="false">K2982*'Chart of Accounts'!$E$68</f>
        <v>9.246</v>
      </c>
      <c r="O2982" s="42" t="n">
        <f aca="false">I2982+J2982+L2982</f>
        <v>78.9564</v>
      </c>
    </row>
    <row r="2983" customFormat="false" ht="15" hidden="false" customHeight="false" outlineLevel="0" collapsed="false">
      <c r="B2983" s="7" t="s">
        <v>11616</v>
      </c>
      <c r="C2983" s="39" t="n">
        <v>45844</v>
      </c>
      <c r="D2983" s="7" t="s">
        <v>218</v>
      </c>
      <c r="E2983" s="7" t="s">
        <v>180</v>
      </c>
      <c r="F2983" s="6" t="n">
        <v>3.92</v>
      </c>
      <c r="G2983" s="6" t="n">
        <v>0</v>
      </c>
      <c r="H2983" s="41" t="n">
        <v>16.19</v>
      </c>
      <c r="I2983" s="43" t="n">
        <f aca="false">F2983*H2983</f>
        <v>63.4648</v>
      </c>
      <c r="J2983" s="43" t="n">
        <f aca="false">G2983*H2983*1.5</f>
        <v>0</v>
      </c>
      <c r="K2983" s="6" t="n">
        <v>10.17</v>
      </c>
      <c r="L2983" s="43" t="n">
        <f aca="false">K2983*'Chart of Accounts'!$E$68</f>
        <v>6.8139</v>
      </c>
      <c r="O2983" s="42" t="n">
        <f aca="false">I2983+J2983+L2983</f>
        <v>70.2787</v>
      </c>
    </row>
    <row r="2984" customFormat="false" ht="15" hidden="false" customHeight="false" outlineLevel="0" collapsed="false">
      <c r="B2984" s="7" t="s">
        <v>11617</v>
      </c>
      <c r="C2984" s="39" t="n">
        <v>45844</v>
      </c>
      <c r="D2984" s="7" t="s">
        <v>207</v>
      </c>
      <c r="E2984" s="7" t="s">
        <v>180</v>
      </c>
      <c r="F2984" s="6" t="n">
        <v>3.95</v>
      </c>
      <c r="G2984" s="6" t="n">
        <v>0</v>
      </c>
      <c r="H2984" s="41" t="n">
        <v>16.65</v>
      </c>
      <c r="I2984" s="43" t="n">
        <f aca="false">F2984*H2984</f>
        <v>65.7675</v>
      </c>
      <c r="J2984" s="43" t="n">
        <f aca="false">G2984*H2984*1.5</f>
        <v>0</v>
      </c>
      <c r="K2984" s="6" t="n">
        <v>14.06</v>
      </c>
      <c r="L2984" s="43" t="n">
        <f aca="false">K2984*'Chart of Accounts'!$E$68</f>
        <v>9.4202</v>
      </c>
      <c r="O2984" s="42" t="n">
        <f aca="false">I2984+J2984+L2984</f>
        <v>75.1877</v>
      </c>
    </row>
    <row r="2985" customFormat="false" ht="15" hidden="false" customHeight="false" outlineLevel="0" collapsed="false">
      <c r="B2985" s="7" t="s">
        <v>11618</v>
      </c>
      <c r="C2985" s="39" t="n">
        <v>45844</v>
      </c>
      <c r="D2985" s="7" t="s">
        <v>222</v>
      </c>
      <c r="E2985" s="7" t="s">
        <v>180</v>
      </c>
      <c r="F2985" s="6" t="n">
        <v>3.62</v>
      </c>
      <c r="G2985" s="6" t="n">
        <v>0</v>
      </c>
      <c r="H2985" s="41" t="n">
        <v>17.84</v>
      </c>
      <c r="I2985" s="43" t="n">
        <f aca="false">F2985*H2985</f>
        <v>64.5808</v>
      </c>
      <c r="J2985" s="43" t="n">
        <f aca="false">G2985*H2985*1.5</f>
        <v>0</v>
      </c>
      <c r="K2985" s="6" t="n">
        <v>9.26</v>
      </c>
      <c r="L2985" s="43" t="n">
        <f aca="false">K2985*'Chart of Accounts'!$E$68</f>
        <v>6.2042</v>
      </c>
      <c r="O2985" s="42" t="n">
        <f aca="false">I2985+J2985+L2985</f>
        <v>70.785</v>
      </c>
    </row>
    <row r="2986" customFormat="false" ht="15" hidden="false" customHeight="false" outlineLevel="0" collapsed="false">
      <c r="B2986" s="7" t="s">
        <v>11619</v>
      </c>
      <c r="C2986" s="39" t="n">
        <v>45844</v>
      </c>
      <c r="D2986" s="7" t="s">
        <v>242</v>
      </c>
      <c r="E2986" s="7" t="s">
        <v>180</v>
      </c>
      <c r="F2986" s="6" t="n">
        <v>3.66</v>
      </c>
      <c r="G2986" s="6" t="n">
        <v>0.68</v>
      </c>
      <c r="H2986" s="41" t="n">
        <v>17.99</v>
      </c>
      <c r="I2986" s="43" t="n">
        <f aca="false">F2986*H2986</f>
        <v>65.8434</v>
      </c>
      <c r="J2986" s="43" t="n">
        <f aca="false">G2986*H2986*1.5</f>
        <v>18.3498</v>
      </c>
      <c r="K2986" s="6" t="n">
        <v>13.98</v>
      </c>
      <c r="L2986" s="43" t="n">
        <f aca="false">K2986*'Chart of Accounts'!$E$68</f>
        <v>9.3666</v>
      </c>
      <c r="O2986" s="42" t="n">
        <f aca="false">I2986+J2986+L2986</f>
        <v>93.5598</v>
      </c>
    </row>
    <row r="2987" customFormat="false" ht="15" hidden="false" customHeight="false" outlineLevel="0" collapsed="false">
      <c r="B2987" s="7" t="s">
        <v>11620</v>
      </c>
      <c r="C2987" s="39" t="n">
        <v>45844</v>
      </c>
      <c r="D2987" s="7" t="s">
        <v>254</v>
      </c>
      <c r="E2987" s="7" t="s">
        <v>180</v>
      </c>
      <c r="F2987" s="6" t="n">
        <v>4.28</v>
      </c>
      <c r="G2987" s="6" t="n">
        <v>0</v>
      </c>
      <c r="H2987" s="41" t="n">
        <v>17.1</v>
      </c>
      <c r="I2987" s="43" t="n">
        <f aca="false">F2987*H2987</f>
        <v>73.188</v>
      </c>
      <c r="J2987" s="43" t="n">
        <f aca="false">G2987*H2987*1.5</f>
        <v>0</v>
      </c>
      <c r="K2987" s="6" t="n">
        <v>11.09</v>
      </c>
      <c r="L2987" s="43" t="n">
        <f aca="false">K2987*'Chart of Accounts'!$E$68</f>
        <v>7.4303</v>
      </c>
      <c r="O2987" s="42" t="n">
        <f aca="false">I2987+J2987+L2987</f>
        <v>80.6183</v>
      </c>
    </row>
    <row r="2988" customFormat="false" ht="15" hidden="false" customHeight="false" outlineLevel="0" collapsed="false">
      <c r="B2988" s="7" t="s">
        <v>11621</v>
      </c>
      <c r="C2988" s="39" t="n">
        <v>45845</v>
      </c>
      <c r="D2988" s="7" t="s">
        <v>187</v>
      </c>
      <c r="E2988" s="7" t="s">
        <v>158</v>
      </c>
      <c r="H2988" s="41" t="n">
        <v>66.48</v>
      </c>
      <c r="M2988" s="6" t="n">
        <v>1</v>
      </c>
      <c r="N2988" s="43" t="n">
        <f aca="false">M2988*H2988</f>
        <v>66.48</v>
      </c>
      <c r="O2988" s="42" t="n">
        <f aca="false">N2988</f>
        <v>66.48</v>
      </c>
    </row>
    <row r="2989" customFormat="false" ht="15" hidden="false" customHeight="false" outlineLevel="0" collapsed="false">
      <c r="B2989" s="7" t="s">
        <v>11622</v>
      </c>
      <c r="C2989" s="39" t="n">
        <v>45845</v>
      </c>
      <c r="D2989" s="7" t="s">
        <v>242</v>
      </c>
      <c r="E2989" s="7" t="s">
        <v>180</v>
      </c>
      <c r="F2989" s="6" t="n">
        <v>10.498</v>
      </c>
      <c r="G2989" s="6" t="n">
        <v>0.892</v>
      </c>
      <c r="H2989" s="41" t="n">
        <v>17.99</v>
      </c>
      <c r="I2989" s="43" t="n">
        <f aca="false">F2989*H2989</f>
        <v>188.85902</v>
      </c>
      <c r="J2989" s="43" t="n">
        <f aca="false">G2989*H2989*1.5</f>
        <v>24.07062</v>
      </c>
      <c r="K2989" s="6" t="n">
        <v>29.92</v>
      </c>
      <c r="L2989" s="43" t="n">
        <f aca="false">K2989*'Chart of Accounts'!$E$68</f>
        <v>20.0464</v>
      </c>
      <c r="O2989" s="42" t="n">
        <f aca="false">I2989+J2989+L2989</f>
        <v>232.97604</v>
      </c>
    </row>
    <row r="2990" customFormat="false" ht="15" hidden="false" customHeight="false" outlineLevel="0" collapsed="false">
      <c r="B2990" s="7" t="s">
        <v>11623</v>
      </c>
      <c r="C2990" s="39" t="n">
        <v>45845</v>
      </c>
      <c r="D2990" s="7" t="s">
        <v>194</v>
      </c>
      <c r="E2990" s="7" t="s">
        <v>180</v>
      </c>
      <c r="F2990" s="6" t="n">
        <v>8.4</v>
      </c>
      <c r="G2990" s="6" t="n">
        <v>0</v>
      </c>
      <c r="H2990" s="41" t="n">
        <v>16</v>
      </c>
      <c r="I2990" s="43" t="n">
        <f aca="false">F2990*H2990</f>
        <v>134.4</v>
      </c>
      <c r="J2990" s="43" t="n">
        <f aca="false">G2990*H2990*1.5</f>
        <v>0</v>
      </c>
      <c r="K2990" s="6" t="n">
        <v>18.54</v>
      </c>
      <c r="L2990" s="43" t="n">
        <f aca="false">K2990*'Chart of Accounts'!$E$68</f>
        <v>12.4218</v>
      </c>
      <c r="O2990" s="42" t="n">
        <f aca="false">I2990+J2990+L2990</f>
        <v>146.8218</v>
      </c>
    </row>
    <row r="2991" customFormat="false" ht="15" hidden="false" customHeight="false" outlineLevel="0" collapsed="false">
      <c r="B2991" s="7" t="s">
        <v>11624</v>
      </c>
      <c r="C2991" s="39" t="n">
        <v>45845</v>
      </c>
      <c r="D2991" s="7" t="s">
        <v>201</v>
      </c>
      <c r="E2991" s="7" t="s">
        <v>180</v>
      </c>
      <c r="F2991" s="6" t="n">
        <v>9.98</v>
      </c>
      <c r="G2991" s="6" t="n">
        <v>0</v>
      </c>
      <c r="H2991" s="41" t="n">
        <v>15.19</v>
      </c>
      <c r="I2991" s="43" t="n">
        <f aca="false">F2991*H2991</f>
        <v>151.5962</v>
      </c>
      <c r="J2991" s="43" t="n">
        <f aca="false">G2991*H2991*1.5</f>
        <v>0</v>
      </c>
      <c r="K2991" s="6" t="n">
        <v>24.39</v>
      </c>
      <c r="L2991" s="43" t="n">
        <f aca="false">K2991*'Chart of Accounts'!$E$68</f>
        <v>16.3413</v>
      </c>
      <c r="O2991" s="42" t="n">
        <f aca="false">I2991+J2991+L2991</f>
        <v>167.9375</v>
      </c>
    </row>
    <row r="2992" customFormat="false" ht="15" hidden="false" customHeight="false" outlineLevel="0" collapsed="false">
      <c r="B2992" s="7" t="s">
        <v>11625</v>
      </c>
      <c r="C2992" s="39" t="n">
        <v>45845</v>
      </c>
      <c r="D2992" s="7" t="s">
        <v>205</v>
      </c>
      <c r="E2992" s="7" t="s">
        <v>180</v>
      </c>
      <c r="F2992" s="6" t="n">
        <v>4.19</v>
      </c>
      <c r="G2992" s="6" t="n">
        <v>0</v>
      </c>
      <c r="H2992" s="41" t="n">
        <v>16.36</v>
      </c>
      <c r="I2992" s="43" t="n">
        <f aca="false">F2992*H2992</f>
        <v>68.5484</v>
      </c>
      <c r="J2992" s="43" t="n">
        <f aca="false">G2992*H2992*1.5</f>
        <v>0</v>
      </c>
      <c r="K2992" s="6" t="n">
        <v>10.67</v>
      </c>
      <c r="L2992" s="43" t="n">
        <f aca="false">K2992*'Chart of Accounts'!$E$68</f>
        <v>7.1489</v>
      </c>
      <c r="O2992" s="42" t="n">
        <f aca="false">I2992+J2992+L2992</f>
        <v>75.6973</v>
      </c>
    </row>
    <row r="2993" customFormat="false" ht="15" hidden="false" customHeight="false" outlineLevel="0" collapsed="false">
      <c r="B2993" s="7" t="s">
        <v>11626</v>
      </c>
      <c r="C2993" s="39" t="n">
        <v>45845</v>
      </c>
      <c r="D2993" s="7" t="s">
        <v>264</v>
      </c>
      <c r="E2993" s="7" t="s">
        <v>158</v>
      </c>
      <c r="H2993" s="41" t="n">
        <v>55.55</v>
      </c>
      <c r="M2993" s="6" t="n">
        <v>1</v>
      </c>
      <c r="N2993" s="43" t="n">
        <f aca="false">M2993*H2993</f>
        <v>55.55</v>
      </c>
      <c r="O2993" s="42" t="n">
        <f aca="false">N2993</f>
        <v>55.55</v>
      </c>
    </row>
    <row r="2994" customFormat="false" ht="15" hidden="false" customHeight="false" outlineLevel="0" collapsed="false">
      <c r="B2994" s="7" t="s">
        <v>11627</v>
      </c>
      <c r="C2994" s="39" t="n">
        <v>45845</v>
      </c>
      <c r="D2994" s="7" t="s">
        <v>252</v>
      </c>
      <c r="E2994" s="7" t="s">
        <v>158</v>
      </c>
      <c r="H2994" s="41" t="n">
        <v>57.54</v>
      </c>
      <c r="M2994" s="6" t="n">
        <v>1</v>
      </c>
      <c r="N2994" s="43" t="n">
        <f aca="false">M2994*H2994</f>
        <v>57.54</v>
      </c>
      <c r="O2994" s="42" t="n">
        <f aca="false">N2994</f>
        <v>57.54</v>
      </c>
    </row>
    <row r="2995" customFormat="false" ht="15" hidden="false" customHeight="false" outlineLevel="0" collapsed="false">
      <c r="B2995" s="7" t="s">
        <v>11628</v>
      </c>
      <c r="C2995" s="39" t="n">
        <v>45845</v>
      </c>
      <c r="D2995" s="7" t="s">
        <v>196</v>
      </c>
      <c r="E2995" s="7" t="s">
        <v>180</v>
      </c>
      <c r="F2995" s="6" t="n">
        <v>6.31</v>
      </c>
      <c r="G2995" s="6" t="n">
        <v>0</v>
      </c>
      <c r="H2995" s="41" t="n">
        <v>15.05</v>
      </c>
      <c r="I2995" s="43" t="n">
        <f aca="false">F2995*H2995</f>
        <v>94.9655</v>
      </c>
      <c r="J2995" s="43" t="n">
        <f aca="false">G2995*H2995*1.5</f>
        <v>0</v>
      </c>
      <c r="K2995" s="6" t="n">
        <v>17.91</v>
      </c>
      <c r="L2995" s="43" t="n">
        <f aca="false">K2995*'Chart of Accounts'!$E$68</f>
        <v>11.9997</v>
      </c>
      <c r="O2995" s="42" t="n">
        <f aca="false">I2995+J2995+L2995</f>
        <v>106.9652</v>
      </c>
    </row>
    <row r="2996" customFormat="false" ht="15" hidden="false" customHeight="false" outlineLevel="0" collapsed="false">
      <c r="B2996" s="7" t="s">
        <v>11629</v>
      </c>
      <c r="C2996" s="39" t="n">
        <v>45845</v>
      </c>
      <c r="D2996" s="7" t="s">
        <v>184</v>
      </c>
      <c r="E2996" s="7" t="s">
        <v>180</v>
      </c>
      <c r="F2996" s="6" t="n">
        <v>4.33</v>
      </c>
      <c r="G2996" s="6" t="n">
        <v>0</v>
      </c>
      <c r="H2996" s="41" t="n">
        <v>17.34</v>
      </c>
      <c r="I2996" s="43" t="n">
        <f aca="false">F2996*H2996</f>
        <v>75.0822</v>
      </c>
      <c r="J2996" s="43" t="n">
        <f aca="false">G2996*H2996*1.5</f>
        <v>0</v>
      </c>
      <c r="K2996" s="6" t="n">
        <v>10.15</v>
      </c>
      <c r="L2996" s="43" t="n">
        <f aca="false">K2996*'Chart of Accounts'!$E$68</f>
        <v>6.8005</v>
      </c>
      <c r="O2996" s="42" t="n">
        <f aca="false">I2996+J2996+L2996</f>
        <v>81.8827</v>
      </c>
    </row>
    <row r="2997" customFormat="false" ht="15" hidden="false" customHeight="false" outlineLevel="0" collapsed="false">
      <c r="B2997" s="7" t="s">
        <v>11630</v>
      </c>
      <c r="C2997" s="39" t="n">
        <v>45845</v>
      </c>
      <c r="D2997" s="7" t="s">
        <v>207</v>
      </c>
      <c r="E2997" s="7" t="s">
        <v>180</v>
      </c>
      <c r="F2997" s="6" t="n">
        <v>6.44</v>
      </c>
      <c r="G2997" s="6" t="n">
        <v>0</v>
      </c>
      <c r="H2997" s="41" t="n">
        <v>16.65</v>
      </c>
      <c r="I2997" s="43" t="n">
        <f aca="false">F2997*H2997</f>
        <v>107.226</v>
      </c>
      <c r="J2997" s="43" t="n">
        <f aca="false">G2997*H2997*1.5</f>
        <v>0</v>
      </c>
      <c r="K2997" s="6" t="n">
        <v>20.67</v>
      </c>
      <c r="L2997" s="43" t="n">
        <f aca="false">K2997*'Chart of Accounts'!$E$68</f>
        <v>13.8489</v>
      </c>
      <c r="O2997" s="42" t="n">
        <f aca="false">I2997+J2997+L2997</f>
        <v>121.0749</v>
      </c>
    </row>
    <row r="2998" customFormat="false" ht="15" hidden="false" customHeight="false" outlineLevel="0" collapsed="false">
      <c r="B2998" s="7" t="s">
        <v>11631</v>
      </c>
      <c r="C2998" s="39" t="n">
        <v>45845</v>
      </c>
      <c r="D2998" s="7" t="s">
        <v>218</v>
      </c>
      <c r="E2998" s="7" t="s">
        <v>180</v>
      </c>
      <c r="F2998" s="6" t="n">
        <v>3.76</v>
      </c>
      <c r="G2998" s="6" t="n">
        <v>0</v>
      </c>
      <c r="H2998" s="41" t="n">
        <v>16.19</v>
      </c>
      <c r="I2998" s="43" t="n">
        <f aca="false">F2998*H2998</f>
        <v>60.8744</v>
      </c>
      <c r="J2998" s="43" t="n">
        <f aca="false">G2998*H2998*1.5</f>
        <v>0</v>
      </c>
      <c r="K2998" s="6" t="n">
        <v>13.11</v>
      </c>
      <c r="L2998" s="43" t="n">
        <f aca="false">K2998*'Chart of Accounts'!$E$68</f>
        <v>8.7837</v>
      </c>
      <c r="O2998" s="42" t="n">
        <f aca="false">I2998+J2998+L2998</f>
        <v>69.6581</v>
      </c>
    </row>
    <row r="2999" customFormat="false" ht="15" hidden="false" customHeight="false" outlineLevel="0" collapsed="false">
      <c r="B2999" s="7" t="s">
        <v>11632</v>
      </c>
      <c r="C2999" s="39" t="n">
        <v>45845</v>
      </c>
      <c r="D2999" s="7" t="s">
        <v>224</v>
      </c>
      <c r="E2999" s="7" t="s">
        <v>180</v>
      </c>
      <c r="F2999" s="6" t="n">
        <v>12</v>
      </c>
      <c r="G2999" s="6" t="n">
        <v>0</v>
      </c>
      <c r="H2999" s="41" t="n">
        <v>14.93</v>
      </c>
      <c r="I2999" s="43" t="n">
        <f aca="false">F2999*H2999</f>
        <v>179.16</v>
      </c>
      <c r="J2999" s="43" t="n">
        <f aca="false">G2999*H2999*1.5</f>
        <v>0</v>
      </c>
      <c r="K2999" s="6" t="n">
        <v>37.86</v>
      </c>
      <c r="L2999" s="43" t="n">
        <f aca="false">K2999*'Chart of Accounts'!$E$68</f>
        <v>25.3662</v>
      </c>
      <c r="O2999" s="42" t="n">
        <f aca="false">I2999+J2999+L2999</f>
        <v>204.5262</v>
      </c>
    </row>
    <row r="3000" customFormat="false" ht="15" hidden="false" customHeight="false" outlineLevel="0" collapsed="false">
      <c r="B3000" s="7" t="s">
        <v>11633</v>
      </c>
      <c r="C3000" s="39" t="n">
        <v>45845</v>
      </c>
      <c r="D3000" s="7" t="s">
        <v>220</v>
      </c>
      <c r="E3000" s="7" t="s">
        <v>180</v>
      </c>
      <c r="F3000" s="6" t="n">
        <v>4.37</v>
      </c>
      <c r="G3000" s="6" t="n">
        <v>0</v>
      </c>
      <c r="H3000" s="41" t="n">
        <v>16.43</v>
      </c>
      <c r="I3000" s="43" t="n">
        <f aca="false">F3000*H3000</f>
        <v>71.7991</v>
      </c>
      <c r="J3000" s="43" t="n">
        <f aca="false">G3000*H3000*1.5</f>
        <v>0</v>
      </c>
      <c r="K3000" s="6" t="n">
        <v>15.65</v>
      </c>
      <c r="L3000" s="43" t="n">
        <f aca="false">K3000*'Chart of Accounts'!$E$68</f>
        <v>10.4855</v>
      </c>
      <c r="O3000" s="42" t="n">
        <f aca="false">I3000+J3000+L3000</f>
        <v>82.2846</v>
      </c>
    </row>
    <row r="3001" customFormat="false" ht="15" hidden="false" customHeight="false" outlineLevel="0" collapsed="false">
      <c r="B3001" s="7" t="s">
        <v>11634</v>
      </c>
      <c r="C3001" s="39" t="n">
        <v>45845</v>
      </c>
      <c r="D3001" s="7" t="s">
        <v>177</v>
      </c>
      <c r="E3001" s="7" t="s">
        <v>180</v>
      </c>
      <c r="F3001" s="6" t="n">
        <v>9.02</v>
      </c>
      <c r="G3001" s="6" t="n">
        <v>0</v>
      </c>
      <c r="H3001" s="41" t="n">
        <v>14.56</v>
      </c>
      <c r="I3001" s="43" t="n">
        <f aca="false">F3001*H3001</f>
        <v>131.3312</v>
      </c>
      <c r="J3001" s="43" t="n">
        <f aca="false">G3001*H3001*1.5</f>
        <v>0</v>
      </c>
      <c r="K3001" s="6" t="n">
        <v>30.95</v>
      </c>
      <c r="L3001" s="43" t="n">
        <f aca="false">K3001*'Chart of Accounts'!$E$68</f>
        <v>20.7365</v>
      </c>
      <c r="O3001" s="42" t="n">
        <f aca="false">I3001+J3001+L3001</f>
        <v>152.0677</v>
      </c>
    </row>
    <row r="3002" customFormat="false" ht="15" hidden="false" customHeight="false" outlineLevel="0" collapsed="false">
      <c r="B3002" s="7" t="s">
        <v>11635</v>
      </c>
      <c r="C3002" s="39" t="n">
        <v>45845</v>
      </c>
      <c r="D3002" s="7" t="s">
        <v>232</v>
      </c>
      <c r="E3002" s="7" t="s">
        <v>180</v>
      </c>
      <c r="F3002" s="6" t="n">
        <v>11.74</v>
      </c>
      <c r="G3002" s="6" t="n">
        <v>0</v>
      </c>
      <c r="H3002" s="41" t="n">
        <v>16.17</v>
      </c>
      <c r="I3002" s="43" t="n">
        <f aca="false">F3002*H3002</f>
        <v>189.8358</v>
      </c>
      <c r="J3002" s="43" t="n">
        <f aca="false">G3002*H3002*1.5</f>
        <v>0</v>
      </c>
      <c r="K3002" s="6" t="n">
        <v>27.15</v>
      </c>
      <c r="L3002" s="43" t="n">
        <f aca="false">K3002*'Chart of Accounts'!$E$68</f>
        <v>18.1905</v>
      </c>
      <c r="O3002" s="42" t="n">
        <f aca="false">I3002+J3002+L3002</f>
        <v>208.0263</v>
      </c>
    </row>
    <row r="3003" customFormat="false" ht="15" hidden="false" customHeight="false" outlineLevel="0" collapsed="false">
      <c r="B3003" s="7" t="s">
        <v>11636</v>
      </c>
      <c r="C3003" s="39" t="n">
        <v>45845</v>
      </c>
      <c r="D3003" s="7" t="s">
        <v>222</v>
      </c>
      <c r="E3003" s="7" t="s">
        <v>180</v>
      </c>
      <c r="F3003" s="6" t="n">
        <v>7.29</v>
      </c>
      <c r="G3003" s="6" t="n">
        <v>0</v>
      </c>
      <c r="H3003" s="41" t="n">
        <v>17.84</v>
      </c>
      <c r="I3003" s="43" t="n">
        <f aca="false">F3003*H3003</f>
        <v>130.0536</v>
      </c>
      <c r="J3003" s="43" t="n">
        <f aca="false">G3003*H3003*1.5</f>
        <v>0</v>
      </c>
      <c r="K3003" s="6" t="n">
        <v>20.42</v>
      </c>
      <c r="L3003" s="43" t="n">
        <f aca="false">K3003*'Chart of Accounts'!$E$68</f>
        <v>13.6814</v>
      </c>
      <c r="O3003" s="42" t="n">
        <f aca="false">I3003+J3003+L3003</f>
        <v>143.735</v>
      </c>
    </row>
    <row r="3004" customFormat="false" ht="15" hidden="false" customHeight="false" outlineLevel="0" collapsed="false">
      <c r="B3004" s="7" t="s">
        <v>11637</v>
      </c>
      <c r="C3004" s="39" t="n">
        <v>45845</v>
      </c>
      <c r="D3004" s="7" t="s">
        <v>254</v>
      </c>
      <c r="E3004" s="7" t="s">
        <v>180</v>
      </c>
      <c r="F3004" s="6" t="n">
        <v>10.387</v>
      </c>
      <c r="G3004" s="6" t="n">
        <v>0.153</v>
      </c>
      <c r="H3004" s="41" t="n">
        <v>17.1</v>
      </c>
      <c r="I3004" s="43" t="n">
        <f aca="false">F3004*H3004</f>
        <v>177.6177</v>
      </c>
      <c r="J3004" s="43" t="n">
        <f aca="false">G3004*H3004*1.5</f>
        <v>3.92445</v>
      </c>
      <c r="K3004" s="6" t="n">
        <v>29.95</v>
      </c>
      <c r="L3004" s="43" t="n">
        <f aca="false">K3004*'Chart of Accounts'!$E$68</f>
        <v>20.0665</v>
      </c>
      <c r="O3004" s="42" t="n">
        <f aca="false">I3004+J3004+L3004</f>
        <v>201.60865</v>
      </c>
    </row>
    <row r="3005" customFormat="false" ht="15" hidden="false" customHeight="false" outlineLevel="0" collapsed="false">
      <c r="B3005" s="7" t="s">
        <v>11638</v>
      </c>
      <c r="C3005" s="39" t="n">
        <v>45845</v>
      </c>
      <c r="D3005" s="7" t="s">
        <v>214</v>
      </c>
      <c r="E3005" s="7" t="s">
        <v>180</v>
      </c>
      <c r="F3005" s="6" t="n">
        <v>11.419</v>
      </c>
      <c r="G3005" s="6" t="n">
        <v>0.331</v>
      </c>
      <c r="H3005" s="41" t="n">
        <v>15.67</v>
      </c>
      <c r="I3005" s="43" t="n">
        <f aca="false">F3005*H3005</f>
        <v>178.93573</v>
      </c>
      <c r="J3005" s="43" t="n">
        <f aca="false">G3005*H3005*1.5</f>
        <v>7.780155</v>
      </c>
      <c r="K3005" s="6" t="n">
        <v>34.06</v>
      </c>
      <c r="L3005" s="43" t="n">
        <f aca="false">K3005*'Chart of Accounts'!$E$68</f>
        <v>22.8202</v>
      </c>
      <c r="O3005" s="42" t="n">
        <f aca="false">I3005+J3005+L3005</f>
        <v>209.536085</v>
      </c>
    </row>
    <row r="3006" customFormat="false" ht="15" hidden="false" customHeight="false" outlineLevel="0" collapsed="false">
      <c r="B3006" s="7" t="s">
        <v>11639</v>
      </c>
      <c r="C3006" s="39" t="n">
        <v>45845</v>
      </c>
      <c r="D3006" s="7" t="s">
        <v>246</v>
      </c>
      <c r="E3006" s="7" t="s">
        <v>180</v>
      </c>
      <c r="F3006" s="6" t="n">
        <v>7.59</v>
      </c>
      <c r="G3006" s="6" t="n">
        <v>0</v>
      </c>
      <c r="H3006" s="41" t="n">
        <v>16.48</v>
      </c>
      <c r="I3006" s="43" t="n">
        <f aca="false">F3006*H3006</f>
        <v>125.0832</v>
      </c>
      <c r="J3006" s="43" t="n">
        <f aca="false">G3006*H3006*1.5</f>
        <v>0</v>
      </c>
      <c r="K3006" s="6" t="n">
        <v>22.39</v>
      </c>
      <c r="L3006" s="43" t="n">
        <f aca="false">K3006*'Chart of Accounts'!$E$68</f>
        <v>15.0013</v>
      </c>
      <c r="O3006" s="42" t="n">
        <f aca="false">I3006+J3006+L3006</f>
        <v>140.0845</v>
      </c>
    </row>
    <row r="3007" customFormat="false" ht="15" hidden="false" customHeight="false" outlineLevel="0" collapsed="false">
      <c r="B3007" s="7" t="s">
        <v>11640</v>
      </c>
      <c r="C3007" s="39" t="n">
        <v>45845</v>
      </c>
      <c r="D3007" s="7" t="s">
        <v>238</v>
      </c>
      <c r="E3007" s="7" t="s">
        <v>180</v>
      </c>
      <c r="F3007" s="6" t="n">
        <v>4.17</v>
      </c>
      <c r="G3007" s="6" t="n">
        <v>0</v>
      </c>
      <c r="H3007" s="41" t="n">
        <v>15.85</v>
      </c>
      <c r="I3007" s="43" t="n">
        <f aca="false">F3007*H3007</f>
        <v>66.0945</v>
      </c>
      <c r="J3007" s="43" t="n">
        <f aca="false">G3007*H3007*1.5</f>
        <v>0</v>
      </c>
      <c r="K3007" s="6" t="n">
        <v>13.9</v>
      </c>
      <c r="L3007" s="43" t="n">
        <f aca="false">K3007*'Chart of Accounts'!$E$68</f>
        <v>9.313</v>
      </c>
      <c r="O3007" s="42" t="n">
        <f aca="false">I3007+J3007+L3007</f>
        <v>75.4075</v>
      </c>
    </row>
    <row r="3008" customFormat="false" ht="15" hidden="false" customHeight="false" outlineLevel="0" collapsed="false">
      <c r="B3008" s="7" t="s">
        <v>11641</v>
      </c>
      <c r="C3008" s="39" t="n">
        <v>45846</v>
      </c>
      <c r="D3008" s="7" t="s">
        <v>214</v>
      </c>
      <c r="E3008" s="7" t="s">
        <v>180</v>
      </c>
      <c r="F3008" s="6" t="n">
        <v>4.043</v>
      </c>
      <c r="G3008" s="6" t="n">
        <v>0.117</v>
      </c>
      <c r="H3008" s="41" t="n">
        <v>15.67</v>
      </c>
      <c r="I3008" s="43" t="n">
        <f aca="false">F3008*H3008</f>
        <v>63.35381</v>
      </c>
      <c r="J3008" s="43" t="n">
        <f aca="false">G3008*H3008*1.5</f>
        <v>2.750085</v>
      </c>
      <c r="K3008" s="6" t="n">
        <v>11.16</v>
      </c>
      <c r="L3008" s="43" t="n">
        <f aca="false">K3008*'Chart of Accounts'!$E$68</f>
        <v>7.4772</v>
      </c>
      <c r="O3008" s="42" t="n">
        <f aca="false">I3008+J3008+L3008</f>
        <v>73.581095</v>
      </c>
    </row>
    <row r="3009" customFormat="false" ht="15" hidden="false" customHeight="false" outlineLevel="0" collapsed="false">
      <c r="B3009" s="7" t="s">
        <v>11642</v>
      </c>
      <c r="C3009" s="39" t="n">
        <v>45846</v>
      </c>
      <c r="D3009" s="7" t="s">
        <v>209</v>
      </c>
      <c r="E3009" s="7" t="s">
        <v>158</v>
      </c>
      <c r="H3009" s="41" t="n">
        <v>73.58</v>
      </c>
      <c r="M3009" s="6" t="n">
        <v>2</v>
      </c>
      <c r="N3009" s="43" t="n">
        <f aca="false">M3009*H3009</f>
        <v>147.16</v>
      </c>
      <c r="O3009" s="42" t="n">
        <f aca="false">N3009</f>
        <v>147.16</v>
      </c>
    </row>
    <row r="3010" customFormat="false" ht="15" hidden="false" customHeight="false" outlineLevel="0" collapsed="false">
      <c r="B3010" s="7" t="s">
        <v>11643</v>
      </c>
      <c r="C3010" s="39" t="n">
        <v>45846</v>
      </c>
      <c r="D3010" s="7" t="s">
        <v>184</v>
      </c>
      <c r="E3010" s="7" t="s">
        <v>180</v>
      </c>
      <c r="F3010" s="6" t="n">
        <v>4</v>
      </c>
      <c r="G3010" s="6" t="n">
        <v>0</v>
      </c>
      <c r="H3010" s="41" t="n">
        <v>17.34</v>
      </c>
      <c r="I3010" s="43" t="n">
        <f aca="false">F3010*H3010</f>
        <v>69.36</v>
      </c>
      <c r="J3010" s="43" t="n">
        <f aca="false">G3010*H3010*1.5</f>
        <v>0</v>
      </c>
      <c r="K3010" s="6" t="n">
        <v>9.61</v>
      </c>
      <c r="L3010" s="43" t="n">
        <f aca="false">K3010*'Chart of Accounts'!$E$68</f>
        <v>6.4387</v>
      </c>
      <c r="O3010" s="42" t="n">
        <f aca="false">I3010+J3010+L3010</f>
        <v>75.7987</v>
      </c>
    </row>
    <row r="3011" customFormat="false" ht="15" hidden="false" customHeight="false" outlineLevel="0" collapsed="false">
      <c r="B3011" s="7" t="s">
        <v>11644</v>
      </c>
      <c r="C3011" s="39" t="n">
        <v>45846</v>
      </c>
      <c r="D3011" s="7" t="s">
        <v>234</v>
      </c>
      <c r="E3011" s="7" t="s">
        <v>158</v>
      </c>
      <c r="H3011" s="41" t="n">
        <v>89.53</v>
      </c>
      <c r="M3011" s="6" t="n">
        <v>2</v>
      </c>
      <c r="N3011" s="43" t="n">
        <f aca="false">M3011*H3011</f>
        <v>179.06</v>
      </c>
      <c r="O3011" s="42" t="n">
        <f aca="false">N3011</f>
        <v>179.06</v>
      </c>
    </row>
    <row r="3012" customFormat="false" ht="15" hidden="false" customHeight="false" outlineLevel="0" collapsed="false">
      <c r="B3012" s="7" t="s">
        <v>11645</v>
      </c>
      <c r="C3012" s="39" t="n">
        <v>45846</v>
      </c>
      <c r="D3012" s="7" t="s">
        <v>218</v>
      </c>
      <c r="E3012" s="7" t="s">
        <v>180</v>
      </c>
      <c r="F3012" s="6" t="n">
        <v>3.65</v>
      </c>
      <c r="G3012" s="6" t="n">
        <v>0</v>
      </c>
      <c r="H3012" s="41" t="n">
        <v>16.19</v>
      </c>
      <c r="I3012" s="43" t="n">
        <f aca="false">F3012*H3012</f>
        <v>59.0935</v>
      </c>
      <c r="J3012" s="43" t="n">
        <f aca="false">G3012*H3012*1.5</f>
        <v>0</v>
      </c>
      <c r="K3012" s="6" t="n">
        <v>12.28</v>
      </c>
      <c r="L3012" s="43" t="n">
        <f aca="false">K3012*'Chart of Accounts'!$E$68</f>
        <v>8.2276</v>
      </c>
      <c r="O3012" s="42" t="n">
        <f aca="false">I3012+J3012+L3012</f>
        <v>67.3211</v>
      </c>
    </row>
    <row r="3013" customFormat="false" ht="15" hidden="false" customHeight="false" outlineLevel="0" collapsed="false">
      <c r="B3013" s="7" t="s">
        <v>11646</v>
      </c>
      <c r="C3013" s="39" t="n">
        <v>45846</v>
      </c>
      <c r="D3013" s="7" t="s">
        <v>266</v>
      </c>
      <c r="E3013" s="7" t="s">
        <v>158</v>
      </c>
      <c r="H3013" s="41" t="n">
        <v>75.18</v>
      </c>
      <c r="M3013" s="6" t="n">
        <v>1</v>
      </c>
      <c r="N3013" s="43" t="n">
        <f aca="false">M3013*H3013</f>
        <v>75.18</v>
      </c>
      <c r="O3013" s="42" t="n">
        <f aca="false">N3013</f>
        <v>75.18</v>
      </c>
    </row>
    <row r="3014" customFormat="false" ht="15" hidden="false" customHeight="false" outlineLevel="0" collapsed="false">
      <c r="B3014" s="7" t="s">
        <v>11647</v>
      </c>
      <c r="C3014" s="39" t="n">
        <v>45846</v>
      </c>
      <c r="D3014" s="7" t="s">
        <v>228</v>
      </c>
      <c r="E3014" s="7" t="s">
        <v>158</v>
      </c>
      <c r="H3014" s="41" t="n">
        <v>51.07</v>
      </c>
      <c r="M3014" s="6" t="n">
        <v>1</v>
      </c>
      <c r="N3014" s="43" t="n">
        <f aca="false">M3014*H3014</f>
        <v>51.07</v>
      </c>
      <c r="O3014" s="42" t="n">
        <f aca="false">N3014</f>
        <v>51.07</v>
      </c>
    </row>
    <row r="3015" customFormat="false" ht="15" hidden="false" customHeight="false" outlineLevel="0" collapsed="false">
      <c r="B3015" s="7" t="s">
        <v>11648</v>
      </c>
      <c r="C3015" s="39" t="n">
        <v>45846</v>
      </c>
      <c r="D3015" s="7" t="s">
        <v>220</v>
      </c>
      <c r="E3015" s="7" t="s">
        <v>180</v>
      </c>
      <c r="F3015" s="6" t="n">
        <v>4.18</v>
      </c>
      <c r="G3015" s="6" t="n">
        <v>0</v>
      </c>
      <c r="H3015" s="41" t="n">
        <v>16.43</v>
      </c>
      <c r="I3015" s="43" t="n">
        <f aca="false">F3015*H3015</f>
        <v>68.6774</v>
      </c>
      <c r="J3015" s="43" t="n">
        <f aca="false">G3015*H3015*1.5</f>
        <v>0</v>
      </c>
      <c r="K3015" s="6" t="n">
        <v>10.25</v>
      </c>
      <c r="L3015" s="43" t="n">
        <f aca="false">K3015*'Chart of Accounts'!$E$68</f>
        <v>6.8675</v>
      </c>
      <c r="O3015" s="42" t="n">
        <f aca="false">I3015+J3015+L3015</f>
        <v>75.5449</v>
      </c>
    </row>
    <row r="3016" customFormat="false" ht="15" hidden="false" customHeight="false" outlineLevel="0" collapsed="false">
      <c r="B3016" s="7" t="s">
        <v>11649</v>
      </c>
      <c r="C3016" s="39" t="n">
        <v>45846</v>
      </c>
      <c r="D3016" s="7" t="s">
        <v>232</v>
      </c>
      <c r="E3016" s="7" t="s">
        <v>180</v>
      </c>
      <c r="F3016" s="6" t="n">
        <v>4.16</v>
      </c>
      <c r="G3016" s="6" t="n">
        <v>0</v>
      </c>
      <c r="H3016" s="41" t="n">
        <v>16.17</v>
      </c>
      <c r="I3016" s="43" t="n">
        <f aca="false">F3016*H3016</f>
        <v>67.2672</v>
      </c>
      <c r="J3016" s="43" t="n">
        <f aca="false">G3016*H3016*1.5</f>
        <v>0</v>
      </c>
      <c r="K3016" s="6" t="n">
        <v>11.75</v>
      </c>
      <c r="L3016" s="43" t="n">
        <f aca="false">K3016*'Chart of Accounts'!$E$68</f>
        <v>7.8725</v>
      </c>
      <c r="O3016" s="42" t="n">
        <f aca="false">I3016+J3016+L3016</f>
        <v>75.1397</v>
      </c>
    </row>
    <row r="3017" customFormat="false" ht="15" hidden="false" customHeight="false" outlineLevel="0" collapsed="false">
      <c r="B3017" s="7" t="s">
        <v>11650</v>
      </c>
      <c r="C3017" s="39" t="n">
        <v>45846</v>
      </c>
      <c r="D3017" s="7" t="s">
        <v>194</v>
      </c>
      <c r="E3017" s="7" t="s">
        <v>180</v>
      </c>
      <c r="F3017" s="6" t="n">
        <v>3.86</v>
      </c>
      <c r="G3017" s="6" t="n">
        <v>0</v>
      </c>
      <c r="H3017" s="41" t="n">
        <v>16</v>
      </c>
      <c r="I3017" s="43" t="n">
        <f aca="false">F3017*H3017</f>
        <v>61.76</v>
      </c>
      <c r="J3017" s="43" t="n">
        <f aca="false">G3017*H3017*1.5</f>
        <v>0</v>
      </c>
      <c r="K3017" s="6" t="n">
        <v>13.59</v>
      </c>
      <c r="L3017" s="43" t="n">
        <f aca="false">K3017*'Chart of Accounts'!$E$68</f>
        <v>9.1053</v>
      </c>
      <c r="O3017" s="42" t="n">
        <f aca="false">I3017+J3017+L3017</f>
        <v>70.8653</v>
      </c>
    </row>
    <row r="3018" customFormat="false" ht="15" hidden="false" customHeight="false" outlineLevel="0" collapsed="false">
      <c r="B3018" s="7" t="s">
        <v>11651</v>
      </c>
      <c r="C3018" s="39" t="n">
        <v>45846</v>
      </c>
      <c r="D3018" s="7" t="s">
        <v>246</v>
      </c>
      <c r="E3018" s="7" t="s">
        <v>180</v>
      </c>
      <c r="F3018" s="6" t="n">
        <v>4.15</v>
      </c>
      <c r="G3018" s="6" t="n">
        <v>0</v>
      </c>
      <c r="H3018" s="41" t="n">
        <v>16.48</v>
      </c>
      <c r="I3018" s="43" t="n">
        <f aca="false">F3018*H3018</f>
        <v>68.392</v>
      </c>
      <c r="J3018" s="43" t="n">
        <f aca="false">G3018*H3018*1.5</f>
        <v>0</v>
      </c>
      <c r="K3018" s="6" t="n">
        <v>11.62</v>
      </c>
      <c r="L3018" s="43" t="n">
        <f aca="false">K3018*'Chart of Accounts'!$E$68</f>
        <v>7.7854</v>
      </c>
      <c r="O3018" s="42" t="n">
        <f aca="false">I3018+J3018+L3018</f>
        <v>76.1774</v>
      </c>
    </row>
    <row r="3019" customFormat="false" ht="15" hidden="false" customHeight="false" outlineLevel="0" collapsed="false">
      <c r="B3019" s="7" t="s">
        <v>11652</v>
      </c>
      <c r="C3019" s="39" t="n">
        <v>45846</v>
      </c>
      <c r="D3019" s="7" t="s">
        <v>222</v>
      </c>
      <c r="E3019" s="7" t="s">
        <v>180</v>
      </c>
      <c r="F3019" s="6" t="n">
        <v>4.09</v>
      </c>
      <c r="G3019" s="6" t="n">
        <v>0</v>
      </c>
      <c r="H3019" s="41" t="n">
        <v>17.84</v>
      </c>
      <c r="I3019" s="43" t="n">
        <f aca="false">F3019*H3019</f>
        <v>72.9656</v>
      </c>
      <c r="J3019" s="43" t="n">
        <f aca="false">G3019*H3019*1.5</f>
        <v>0</v>
      </c>
      <c r="K3019" s="6" t="n">
        <v>14.26</v>
      </c>
      <c r="L3019" s="43" t="n">
        <f aca="false">K3019*'Chart of Accounts'!$E$68</f>
        <v>9.5542</v>
      </c>
      <c r="O3019" s="42" t="n">
        <f aca="false">I3019+J3019+L3019</f>
        <v>82.5198</v>
      </c>
    </row>
    <row r="3020" customFormat="false" ht="15" hidden="false" customHeight="false" outlineLevel="0" collapsed="false">
      <c r="B3020" s="7" t="s">
        <v>11653</v>
      </c>
      <c r="C3020" s="39" t="n">
        <v>45846</v>
      </c>
      <c r="D3020" s="7" t="s">
        <v>242</v>
      </c>
      <c r="E3020" s="7" t="s">
        <v>180</v>
      </c>
      <c r="F3020" s="6" t="n">
        <v>3.41</v>
      </c>
      <c r="G3020" s="6" t="n">
        <v>0.29</v>
      </c>
      <c r="H3020" s="41" t="n">
        <v>17.99</v>
      </c>
      <c r="I3020" s="43" t="n">
        <f aca="false">F3020*H3020</f>
        <v>61.3459</v>
      </c>
      <c r="J3020" s="43" t="n">
        <f aca="false">G3020*H3020*1.5</f>
        <v>7.82565</v>
      </c>
      <c r="K3020" s="6" t="n">
        <v>10.83</v>
      </c>
      <c r="L3020" s="43" t="n">
        <f aca="false">K3020*'Chart of Accounts'!$E$68</f>
        <v>7.2561</v>
      </c>
      <c r="O3020" s="42" t="n">
        <f aca="false">I3020+J3020+L3020</f>
        <v>76.42765</v>
      </c>
    </row>
    <row r="3021" customFormat="false" ht="15" hidden="false" customHeight="false" outlineLevel="0" collapsed="false">
      <c r="B3021" s="7" t="s">
        <v>11654</v>
      </c>
      <c r="C3021" s="39" t="n">
        <v>45846</v>
      </c>
      <c r="D3021" s="7" t="s">
        <v>203</v>
      </c>
      <c r="E3021" s="7" t="s">
        <v>158</v>
      </c>
      <c r="H3021" s="41" t="n">
        <v>49.43</v>
      </c>
      <c r="M3021" s="6" t="n">
        <v>1</v>
      </c>
      <c r="N3021" s="43" t="n">
        <f aca="false">M3021*H3021</f>
        <v>49.43</v>
      </c>
      <c r="O3021" s="42" t="n">
        <f aca="false">N3021</f>
        <v>49.43</v>
      </c>
    </row>
    <row r="3022" customFormat="false" ht="15" hidden="false" customHeight="false" outlineLevel="0" collapsed="false">
      <c r="B3022" s="7" t="s">
        <v>11655</v>
      </c>
      <c r="C3022" s="39" t="n">
        <v>45846</v>
      </c>
      <c r="D3022" s="7" t="s">
        <v>254</v>
      </c>
      <c r="E3022" s="7" t="s">
        <v>180</v>
      </c>
      <c r="F3022" s="6" t="n">
        <v>3.745</v>
      </c>
      <c r="G3022" s="6" t="n">
        <v>0.055</v>
      </c>
      <c r="H3022" s="41" t="n">
        <v>17.1</v>
      </c>
      <c r="I3022" s="43" t="n">
        <f aca="false">F3022*H3022</f>
        <v>64.0395</v>
      </c>
      <c r="J3022" s="43" t="n">
        <f aca="false">G3022*H3022*1.5</f>
        <v>1.41075</v>
      </c>
      <c r="K3022" s="6" t="n">
        <v>11.65</v>
      </c>
      <c r="L3022" s="43" t="n">
        <f aca="false">K3022*'Chart of Accounts'!$E$68</f>
        <v>7.8055</v>
      </c>
      <c r="O3022" s="42" t="n">
        <f aca="false">I3022+J3022+L3022</f>
        <v>73.25575</v>
      </c>
    </row>
    <row r="3023" customFormat="false" ht="15" hidden="false" customHeight="false" outlineLevel="0" collapsed="false">
      <c r="B3023" s="7" t="s">
        <v>11656</v>
      </c>
      <c r="C3023" s="39" t="n">
        <v>45846</v>
      </c>
      <c r="D3023" s="7" t="s">
        <v>260</v>
      </c>
      <c r="E3023" s="7" t="s">
        <v>158</v>
      </c>
      <c r="H3023" s="41" t="n">
        <v>79.8</v>
      </c>
      <c r="M3023" s="6" t="n">
        <v>1</v>
      </c>
      <c r="N3023" s="43" t="n">
        <f aca="false">M3023*H3023</f>
        <v>79.8</v>
      </c>
      <c r="O3023" s="42" t="n">
        <f aca="false">N3023</f>
        <v>79.8</v>
      </c>
    </row>
    <row r="3024" customFormat="false" ht="15" hidden="false" customHeight="false" outlineLevel="0" collapsed="false">
      <c r="B3024" s="7" t="s">
        <v>11657</v>
      </c>
      <c r="C3024" s="39" t="n">
        <v>45847</v>
      </c>
      <c r="D3024" s="7" t="s">
        <v>187</v>
      </c>
      <c r="E3024" s="7" t="s">
        <v>158</v>
      </c>
      <c r="H3024" s="41" t="n">
        <v>66.48</v>
      </c>
      <c r="M3024" s="6" t="n">
        <v>1</v>
      </c>
      <c r="N3024" s="43" t="n">
        <f aca="false">M3024*H3024</f>
        <v>66.48</v>
      </c>
      <c r="O3024" s="42" t="n">
        <f aca="false">N3024</f>
        <v>66.48</v>
      </c>
    </row>
    <row r="3025" customFormat="false" ht="15" hidden="false" customHeight="false" outlineLevel="0" collapsed="false">
      <c r="B3025" s="7" t="s">
        <v>11658</v>
      </c>
      <c r="C3025" s="39" t="n">
        <v>45847</v>
      </c>
      <c r="D3025" s="7" t="s">
        <v>232</v>
      </c>
      <c r="E3025" s="7" t="s">
        <v>180</v>
      </c>
      <c r="F3025" s="6" t="n">
        <v>13</v>
      </c>
      <c r="G3025" s="6" t="n">
        <v>0</v>
      </c>
      <c r="H3025" s="41" t="n">
        <v>16.17</v>
      </c>
      <c r="I3025" s="43" t="n">
        <f aca="false">F3025*H3025</f>
        <v>210.21</v>
      </c>
      <c r="J3025" s="43" t="n">
        <f aca="false">G3025*H3025*1.5</f>
        <v>0</v>
      </c>
      <c r="K3025" s="6" t="n">
        <v>39.33</v>
      </c>
      <c r="L3025" s="43" t="n">
        <f aca="false">K3025*'Chart of Accounts'!$E$68</f>
        <v>26.3511</v>
      </c>
      <c r="O3025" s="42" t="n">
        <f aca="false">I3025+J3025+L3025</f>
        <v>236.5611</v>
      </c>
    </row>
    <row r="3026" customFormat="false" ht="15" hidden="false" customHeight="false" outlineLevel="0" collapsed="false">
      <c r="B3026" s="7" t="s">
        <v>11659</v>
      </c>
      <c r="C3026" s="39" t="n">
        <v>45847</v>
      </c>
      <c r="D3026" s="7" t="s">
        <v>194</v>
      </c>
      <c r="E3026" s="7" t="s">
        <v>180</v>
      </c>
      <c r="F3026" s="6" t="n">
        <v>8.62</v>
      </c>
      <c r="G3026" s="6" t="n">
        <v>0</v>
      </c>
      <c r="H3026" s="41" t="n">
        <v>16</v>
      </c>
      <c r="I3026" s="43" t="n">
        <f aca="false">F3026*H3026</f>
        <v>137.92</v>
      </c>
      <c r="J3026" s="43" t="n">
        <f aca="false">G3026*H3026*1.5</f>
        <v>0</v>
      </c>
      <c r="K3026" s="6" t="n">
        <v>25.5</v>
      </c>
      <c r="L3026" s="43" t="n">
        <f aca="false">K3026*'Chart of Accounts'!$E$68</f>
        <v>17.085</v>
      </c>
      <c r="O3026" s="42" t="n">
        <f aca="false">I3026+J3026+L3026</f>
        <v>155.005</v>
      </c>
    </row>
    <row r="3027" customFormat="false" ht="15" hidden="false" customHeight="false" outlineLevel="0" collapsed="false">
      <c r="B3027" s="7" t="s">
        <v>11660</v>
      </c>
      <c r="C3027" s="39" t="n">
        <v>45847</v>
      </c>
      <c r="D3027" s="7" t="s">
        <v>205</v>
      </c>
      <c r="E3027" s="7" t="s">
        <v>180</v>
      </c>
      <c r="F3027" s="6" t="n">
        <v>3.75</v>
      </c>
      <c r="G3027" s="6" t="n">
        <v>0</v>
      </c>
      <c r="H3027" s="41" t="n">
        <v>16.36</v>
      </c>
      <c r="I3027" s="43" t="n">
        <f aca="false">F3027*H3027</f>
        <v>61.35</v>
      </c>
      <c r="J3027" s="43" t="n">
        <f aca="false">G3027*H3027*1.5</f>
        <v>0</v>
      </c>
      <c r="K3027" s="6" t="n">
        <v>10.67</v>
      </c>
      <c r="L3027" s="43" t="n">
        <f aca="false">K3027*'Chart of Accounts'!$E$68</f>
        <v>7.1489</v>
      </c>
      <c r="O3027" s="42" t="n">
        <f aca="false">I3027+J3027+L3027</f>
        <v>68.4989</v>
      </c>
    </row>
    <row r="3028" customFormat="false" ht="15" hidden="false" customHeight="false" outlineLevel="0" collapsed="false">
      <c r="B3028" s="7" t="s">
        <v>11661</v>
      </c>
      <c r="C3028" s="39" t="n">
        <v>45847</v>
      </c>
      <c r="D3028" s="7" t="s">
        <v>264</v>
      </c>
      <c r="E3028" s="7" t="s">
        <v>158</v>
      </c>
      <c r="H3028" s="41" t="n">
        <v>55.55</v>
      </c>
      <c r="M3028" s="6" t="n">
        <v>1</v>
      </c>
      <c r="N3028" s="43" t="n">
        <f aca="false">M3028*H3028</f>
        <v>55.55</v>
      </c>
      <c r="O3028" s="42" t="n">
        <f aca="false">N3028</f>
        <v>55.55</v>
      </c>
    </row>
    <row r="3029" customFormat="false" ht="15" hidden="false" customHeight="false" outlineLevel="0" collapsed="false">
      <c r="B3029" s="7" t="s">
        <v>11662</v>
      </c>
      <c r="C3029" s="39" t="n">
        <v>45847</v>
      </c>
      <c r="D3029" s="7" t="s">
        <v>252</v>
      </c>
      <c r="E3029" s="7" t="s">
        <v>158</v>
      </c>
      <c r="H3029" s="41" t="n">
        <v>57.54</v>
      </c>
      <c r="M3029" s="6" t="n">
        <v>1</v>
      </c>
      <c r="N3029" s="43" t="n">
        <f aca="false">M3029*H3029</f>
        <v>57.54</v>
      </c>
      <c r="O3029" s="42" t="n">
        <f aca="false">N3029</f>
        <v>57.54</v>
      </c>
    </row>
    <row r="3030" customFormat="false" ht="15" hidden="false" customHeight="false" outlineLevel="0" collapsed="false">
      <c r="B3030" s="7" t="s">
        <v>11663</v>
      </c>
      <c r="C3030" s="39" t="n">
        <v>45847</v>
      </c>
      <c r="D3030" s="7" t="s">
        <v>184</v>
      </c>
      <c r="E3030" s="7" t="s">
        <v>180</v>
      </c>
      <c r="F3030" s="6" t="n">
        <v>4.12</v>
      </c>
      <c r="G3030" s="6" t="n">
        <v>0</v>
      </c>
      <c r="H3030" s="41" t="n">
        <v>17.34</v>
      </c>
      <c r="I3030" s="43" t="n">
        <f aca="false">F3030*H3030</f>
        <v>71.4408</v>
      </c>
      <c r="J3030" s="43" t="n">
        <f aca="false">G3030*H3030*1.5</f>
        <v>0</v>
      </c>
      <c r="K3030" s="6" t="n">
        <v>11.78</v>
      </c>
      <c r="L3030" s="43" t="n">
        <f aca="false">K3030*'Chart of Accounts'!$E$68</f>
        <v>7.8926</v>
      </c>
      <c r="O3030" s="42" t="n">
        <f aca="false">I3030+J3030+L3030</f>
        <v>79.3334</v>
      </c>
    </row>
    <row r="3031" customFormat="false" ht="15" hidden="false" customHeight="false" outlineLevel="0" collapsed="false">
      <c r="B3031" s="7" t="s">
        <v>11664</v>
      </c>
      <c r="C3031" s="39" t="n">
        <v>45847</v>
      </c>
      <c r="D3031" s="7" t="s">
        <v>218</v>
      </c>
      <c r="E3031" s="7" t="s">
        <v>180</v>
      </c>
      <c r="F3031" s="6" t="n">
        <v>3.68</v>
      </c>
      <c r="G3031" s="6" t="n">
        <v>0</v>
      </c>
      <c r="H3031" s="41" t="n">
        <v>16.19</v>
      </c>
      <c r="I3031" s="43" t="n">
        <f aca="false">F3031*H3031</f>
        <v>59.5792</v>
      </c>
      <c r="J3031" s="43" t="n">
        <f aca="false">G3031*H3031*1.5</f>
        <v>0</v>
      </c>
      <c r="K3031" s="6" t="n">
        <v>9.61</v>
      </c>
      <c r="L3031" s="43" t="n">
        <f aca="false">K3031*'Chart of Accounts'!$E$68</f>
        <v>6.4387</v>
      </c>
      <c r="O3031" s="42" t="n">
        <f aca="false">I3031+J3031+L3031</f>
        <v>66.0179</v>
      </c>
    </row>
    <row r="3032" customFormat="false" ht="15" hidden="false" customHeight="false" outlineLevel="0" collapsed="false">
      <c r="B3032" s="7" t="s">
        <v>11665</v>
      </c>
      <c r="C3032" s="39" t="n">
        <v>45847</v>
      </c>
      <c r="D3032" s="7" t="s">
        <v>220</v>
      </c>
      <c r="E3032" s="7" t="s">
        <v>180</v>
      </c>
      <c r="F3032" s="6" t="n">
        <v>3.65</v>
      </c>
      <c r="G3032" s="6" t="n">
        <v>0</v>
      </c>
      <c r="H3032" s="41" t="n">
        <v>16.43</v>
      </c>
      <c r="I3032" s="43" t="n">
        <f aca="false">F3032*H3032</f>
        <v>59.9695</v>
      </c>
      <c r="J3032" s="43" t="n">
        <f aca="false">G3032*H3032*1.5</f>
        <v>0</v>
      </c>
      <c r="K3032" s="6" t="n">
        <v>9.71</v>
      </c>
      <c r="L3032" s="43" t="n">
        <f aca="false">K3032*'Chart of Accounts'!$E$68</f>
        <v>6.5057</v>
      </c>
      <c r="O3032" s="42" t="n">
        <f aca="false">I3032+J3032+L3032</f>
        <v>66.4752</v>
      </c>
    </row>
    <row r="3033" customFormat="false" ht="15" hidden="false" customHeight="false" outlineLevel="0" collapsed="false">
      <c r="B3033" s="7" t="s">
        <v>11666</v>
      </c>
      <c r="C3033" s="39" t="n">
        <v>45847</v>
      </c>
      <c r="D3033" s="7" t="s">
        <v>242</v>
      </c>
      <c r="E3033" s="7" t="s">
        <v>180</v>
      </c>
      <c r="F3033" s="6" t="n">
        <v>6.829</v>
      </c>
      <c r="G3033" s="6" t="n">
        <v>0.581</v>
      </c>
      <c r="H3033" s="41" t="n">
        <v>17.99</v>
      </c>
      <c r="I3033" s="43" t="n">
        <f aca="false">F3033*H3033</f>
        <v>122.85371</v>
      </c>
      <c r="J3033" s="43" t="n">
        <f aca="false">G3033*H3033*1.5</f>
        <v>15.678285</v>
      </c>
      <c r="K3033" s="6" t="n">
        <v>18.98</v>
      </c>
      <c r="L3033" s="43" t="n">
        <f aca="false">K3033*'Chart of Accounts'!$E$68</f>
        <v>12.7166</v>
      </c>
      <c r="O3033" s="42" t="n">
        <f aca="false">I3033+J3033+L3033</f>
        <v>151.248595</v>
      </c>
    </row>
    <row r="3034" customFormat="false" ht="15" hidden="false" customHeight="false" outlineLevel="0" collapsed="false">
      <c r="B3034" s="7" t="s">
        <v>11667</v>
      </c>
      <c r="C3034" s="39" t="n">
        <v>45847</v>
      </c>
      <c r="D3034" s="7" t="s">
        <v>254</v>
      </c>
      <c r="E3034" s="7" t="s">
        <v>180</v>
      </c>
      <c r="F3034" s="6" t="n">
        <v>7.775</v>
      </c>
      <c r="G3034" s="6" t="n">
        <v>0.115</v>
      </c>
      <c r="H3034" s="41" t="n">
        <v>17.1</v>
      </c>
      <c r="I3034" s="43" t="n">
        <f aca="false">F3034*H3034</f>
        <v>132.9525</v>
      </c>
      <c r="J3034" s="43" t="n">
        <f aca="false">G3034*H3034*1.5</f>
        <v>2.94975</v>
      </c>
      <c r="K3034" s="6" t="n">
        <v>22.35</v>
      </c>
      <c r="L3034" s="43" t="n">
        <f aca="false">K3034*'Chart of Accounts'!$E$68</f>
        <v>14.9745</v>
      </c>
      <c r="O3034" s="42" t="n">
        <f aca="false">I3034+J3034+L3034</f>
        <v>150.87675</v>
      </c>
    </row>
    <row r="3035" customFormat="false" ht="15" hidden="false" customHeight="false" outlineLevel="0" collapsed="false">
      <c r="B3035" s="7" t="s">
        <v>11668</v>
      </c>
      <c r="C3035" s="39" t="n">
        <v>45847</v>
      </c>
      <c r="D3035" s="7" t="s">
        <v>201</v>
      </c>
      <c r="E3035" s="7" t="s">
        <v>180</v>
      </c>
      <c r="F3035" s="6" t="n">
        <v>6.73</v>
      </c>
      <c r="G3035" s="6" t="n">
        <v>0</v>
      </c>
      <c r="H3035" s="41" t="n">
        <v>15.19</v>
      </c>
      <c r="I3035" s="43" t="n">
        <f aca="false">F3035*H3035</f>
        <v>102.2287</v>
      </c>
      <c r="J3035" s="43" t="n">
        <f aca="false">G3035*H3035*1.5</f>
        <v>0</v>
      </c>
      <c r="K3035" s="6" t="n">
        <v>17.58</v>
      </c>
      <c r="L3035" s="43" t="n">
        <f aca="false">K3035*'Chart of Accounts'!$E$68</f>
        <v>11.7786</v>
      </c>
      <c r="O3035" s="42" t="n">
        <f aca="false">I3035+J3035+L3035</f>
        <v>114.0073</v>
      </c>
    </row>
    <row r="3036" customFormat="false" ht="15" hidden="false" customHeight="false" outlineLevel="0" collapsed="false">
      <c r="B3036" s="7" t="s">
        <v>11669</v>
      </c>
      <c r="C3036" s="39" t="n">
        <v>45847</v>
      </c>
      <c r="D3036" s="7" t="s">
        <v>207</v>
      </c>
      <c r="E3036" s="7" t="s">
        <v>180</v>
      </c>
      <c r="F3036" s="6" t="n">
        <v>3.33</v>
      </c>
      <c r="G3036" s="6" t="n">
        <v>0</v>
      </c>
      <c r="H3036" s="41" t="n">
        <v>16.65</v>
      </c>
      <c r="I3036" s="43" t="n">
        <f aca="false">F3036*H3036</f>
        <v>55.4445</v>
      </c>
      <c r="J3036" s="43" t="n">
        <f aca="false">G3036*H3036*1.5</f>
        <v>0</v>
      </c>
      <c r="K3036" s="6" t="n">
        <v>7.65</v>
      </c>
      <c r="L3036" s="43" t="n">
        <f aca="false">K3036*'Chart of Accounts'!$E$68</f>
        <v>5.1255</v>
      </c>
      <c r="O3036" s="42" t="n">
        <f aca="false">I3036+J3036+L3036</f>
        <v>60.57</v>
      </c>
    </row>
    <row r="3037" customFormat="false" ht="15" hidden="false" customHeight="false" outlineLevel="0" collapsed="false">
      <c r="B3037" s="7" t="s">
        <v>11670</v>
      </c>
      <c r="C3037" s="39" t="n">
        <v>45847</v>
      </c>
      <c r="D3037" s="7" t="s">
        <v>224</v>
      </c>
      <c r="E3037" s="7" t="s">
        <v>180</v>
      </c>
      <c r="F3037" s="6" t="n">
        <v>4.96</v>
      </c>
      <c r="G3037" s="6" t="n">
        <v>0</v>
      </c>
      <c r="H3037" s="41" t="n">
        <v>14.93</v>
      </c>
      <c r="I3037" s="43" t="n">
        <f aca="false">F3037*H3037</f>
        <v>74.0528</v>
      </c>
      <c r="J3037" s="43" t="n">
        <f aca="false">G3037*H3037*1.5</f>
        <v>0</v>
      </c>
      <c r="K3037" s="6" t="n">
        <v>12.84</v>
      </c>
      <c r="L3037" s="43" t="n">
        <f aca="false">K3037*'Chart of Accounts'!$E$68</f>
        <v>8.6028</v>
      </c>
      <c r="O3037" s="42" t="n">
        <f aca="false">I3037+J3037+L3037</f>
        <v>82.6556</v>
      </c>
    </row>
    <row r="3038" customFormat="false" ht="15" hidden="false" customHeight="false" outlineLevel="0" collapsed="false">
      <c r="B3038" s="7" t="s">
        <v>11671</v>
      </c>
      <c r="C3038" s="39" t="n">
        <v>45847</v>
      </c>
      <c r="D3038" s="7" t="s">
        <v>238</v>
      </c>
      <c r="E3038" s="7" t="s">
        <v>180</v>
      </c>
      <c r="F3038" s="6" t="n">
        <v>4.03</v>
      </c>
      <c r="G3038" s="6" t="n">
        <v>0</v>
      </c>
      <c r="H3038" s="41" t="n">
        <v>15.85</v>
      </c>
      <c r="I3038" s="43" t="n">
        <f aca="false">F3038*H3038</f>
        <v>63.8755</v>
      </c>
      <c r="J3038" s="43" t="n">
        <f aca="false">G3038*H3038*1.5</f>
        <v>0</v>
      </c>
      <c r="K3038" s="6" t="n">
        <v>9.52</v>
      </c>
      <c r="L3038" s="43" t="n">
        <f aca="false">K3038*'Chart of Accounts'!$E$68</f>
        <v>6.3784</v>
      </c>
      <c r="O3038" s="42" t="n">
        <f aca="false">I3038+J3038+L3038</f>
        <v>70.2539</v>
      </c>
    </row>
    <row r="3039" customFormat="false" ht="15" hidden="false" customHeight="false" outlineLevel="0" collapsed="false">
      <c r="B3039" s="7" t="s">
        <v>11672</v>
      </c>
      <c r="C3039" s="39" t="n">
        <v>45847</v>
      </c>
      <c r="D3039" s="7" t="s">
        <v>246</v>
      </c>
      <c r="E3039" s="7" t="s">
        <v>180</v>
      </c>
      <c r="F3039" s="6" t="n">
        <v>4.25</v>
      </c>
      <c r="G3039" s="6" t="n">
        <v>0</v>
      </c>
      <c r="H3039" s="41" t="n">
        <v>16.48</v>
      </c>
      <c r="I3039" s="43" t="n">
        <f aca="false">F3039*H3039</f>
        <v>70.04</v>
      </c>
      <c r="J3039" s="43" t="n">
        <f aca="false">G3039*H3039*1.5</f>
        <v>0</v>
      </c>
      <c r="K3039" s="6" t="n">
        <v>12.98</v>
      </c>
      <c r="L3039" s="43" t="n">
        <f aca="false">K3039*'Chart of Accounts'!$E$68</f>
        <v>8.6966</v>
      </c>
      <c r="O3039" s="42" t="n">
        <f aca="false">I3039+J3039+L3039</f>
        <v>78.7366</v>
      </c>
    </row>
    <row r="3040" customFormat="false" ht="15" hidden="false" customHeight="false" outlineLevel="0" collapsed="false">
      <c r="B3040" s="7" t="s">
        <v>11673</v>
      </c>
      <c r="C3040" s="39" t="n">
        <v>45847</v>
      </c>
      <c r="D3040" s="7" t="s">
        <v>222</v>
      </c>
      <c r="E3040" s="7" t="s">
        <v>180</v>
      </c>
      <c r="F3040" s="6" t="n">
        <v>3.88</v>
      </c>
      <c r="G3040" s="6" t="n">
        <v>0</v>
      </c>
      <c r="H3040" s="41" t="n">
        <v>17.84</v>
      </c>
      <c r="I3040" s="43" t="n">
        <f aca="false">F3040*H3040</f>
        <v>69.2192</v>
      </c>
      <c r="J3040" s="43" t="n">
        <f aca="false">G3040*H3040*1.5</f>
        <v>0</v>
      </c>
      <c r="K3040" s="6" t="n">
        <v>13.94</v>
      </c>
      <c r="L3040" s="43" t="n">
        <f aca="false">K3040*'Chart of Accounts'!$E$68</f>
        <v>9.3398</v>
      </c>
      <c r="O3040" s="42" t="n">
        <f aca="false">I3040+J3040+L3040</f>
        <v>78.559</v>
      </c>
    </row>
    <row r="3041" customFormat="false" ht="15" hidden="false" customHeight="false" outlineLevel="0" collapsed="false">
      <c r="B3041" s="7" t="s">
        <v>11674</v>
      </c>
      <c r="C3041" s="39" t="n">
        <v>45847</v>
      </c>
      <c r="D3041" s="7" t="s">
        <v>203</v>
      </c>
      <c r="E3041" s="7" t="s">
        <v>158</v>
      </c>
      <c r="H3041" s="41" t="n">
        <v>49.43</v>
      </c>
      <c r="M3041" s="6" t="n">
        <v>1</v>
      </c>
      <c r="N3041" s="43" t="n">
        <f aca="false">M3041*H3041</f>
        <v>49.43</v>
      </c>
      <c r="O3041" s="42" t="n">
        <f aca="false">N3041</f>
        <v>49.43</v>
      </c>
    </row>
    <row r="3042" customFormat="false" ht="15" hidden="false" customHeight="false" outlineLevel="0" collapsed="false">
      <c r="B3042" s="7" t="s">
        <v>11675</v>
      </c>
      <c r="C3042" s="39" t="n">
        <v>45847</v>
      </c>
      <c r="D3042" s="7" t="s">
        <v>214</v>
      </c>
      <c r="E3042" s="7" t="s">
        <v>180</v>
      </c>
      <c r="F3042" s="6" t="n">
        <v>3.071</v>
      </c>
      <c r="G3042" s="6" t="n">
        <v>0.089</v>
      </c>
      <c r="H3042" s="41" t="n">
        <v>15.67</v>
      </c>
      <c r="I3042" s="43" t="n">
        <f aca="false">F3042*H3042</f>
        <v>48.12257</v>
      </c>
      <c r="J3042" s="43" t="n">
        <f aca="false">G3042*H3042*1.5</f>
        <v>2.091945</v>
      </c>
      <c r="K3042" s="6" t="n">
        <v>10.15</v>
      </c>
      <c r="L3042" s="43" t="n">
        <f aca="false">K3042*'Chart of Accounts'!$E$68</f>
        <v>6.8005</v>
      </c>
      <c r="O3042" s="42" t="n">
        <f aca="false">I3042+J3042+L3042</f>
        <v>57.015015</v>
      </c>
    </row>
    <row r="3043" customFormat="false" ht="15" hidden="false" customHeight="false" outlineLevel="0" collapsed="false">
      <c r="B3043" s="7" t="s">
        <v>11676</v>
      </c>
      <c r="C3043" s="39" t="n">
        <v>45847</v>
      </c>
      <c r="D3043" s="7" t="s">
        <v>177</v>
      </c>
      <c r="E3043" s="7" t="s">
        <v>180</v>
      </c>
      <c r="F3043" s="6" t="n">
        <v>4.66</v>
      </c>
      <c r="G3043" s="6" t="n">
        <v>0</v>
      </c>
      <c r="H3043" s="41" t="n">
        <v>14.56</v>
      </c>
      <c r="I3043" s="43" t="n">
        <f aca="false">F3043*H3043</f>
        <v>67.8496</v>
      </c>
      <c r="J3043" s="43" t="n">
        <f aca="false">G3043*H3043*1.5</f>
        <v>0</v>
      </c>
      <c r="K3043" s="6" t="n">
        <v>14.04</v>
      </c>
      <c r="L3043" s="43" t="n">
        <f aca="false">K3043*'Chart of Accounts'!$E$68</f>
        <v>9.4068</v>
      </c>
      <c r="O3043" s="42" t="n">
        <f aca="false">I3043+J3043+L3043</f>
        <v>77.2564</v>
      </c>
    </row>
    <row r="3044" customFormat="false" ht="15" hidden="false" customHeight="false" outlineLevel="0" collapsed="false">
      <c r="B3044" s="7" t="s">
        <v>11677</v>
      </c>
      <c r="C3044" s="39" t="n">
        <v>45848</v>
      </c>
      <c r="D3044" s="7" t="s">
        <v>244</v>
      </c>
      <c r="E3044" s="7" t="s">
        <v>180</v>
      </c>
      <c r="F3044" s="6" t="n">
        <v>3.65</v>
      </c>
      <c r="G3044" s="6" t="n">
        <v>0</v>
      </c>
      <c r="H3044" s="41" t="n">
        <v>16.39</v>
      </c>
      <c r="I3044" s="43" t="n">
        <f aca="false">F3044*H3044</f>
        <v>59.8235</v>
      </c>
      <c r="J3044" s="43" t="n">
        <f aca="false">G3044*H3044*1.5</f>
        <v>0</v>
      </c>
      <c r="K3044" s="6" t="n">
        <v>11.57</v>
      </c>
      <c r="L3044" s="43" t="n">
        <f aca="false">K3044*'Chart of Accounts'!$E$68</f>
        <v>7.7519</v>
      </c>
      <c r="O3044" s="42" t="n">
        <f aca="false">I3044+J3044+L3044</f>
        <v>67.5754</v>
      </c>
    </row>
    <row r="3045" customFormat="false" ht="15" hidden="false" customHeight="false" outlineLevel="0" collapsed="false">
      <c r="B3045" s="7" t="s">
        <v>11678</v>
      </c>
      <c r="C3045" s="39" t="n">
        <v>45848</v>
      </c>
      <c r="D3045" s="7" t="s">
        <v>201</v>
      </c>
      <c r="E3045" s="7" t="s">
        <v>180</v>
      </c>
      <c r="F3045" s="6" t="n">
        <v>6.14</v>
      </c>
      <c r="G3045" s="6" t="n">
        <v>0</v>
      </c>
      <c r="H3045" s="41" t="n">
        <v>15.19</v>
      </c>
      <c r="I3045" s="43" t="n">
        <f aca="false">F3045*H3045</f>
        <v>93.2666</v>
      </c>
      <c r="J3045" s="43" t="n">
        <f aca="false">G3045*H3045*1.5</f>
        <v>0</v>
      </c>
      <c r="K3045" s="6" t="n">
        <v>15.34</v>
      </c>
      <c r="L3045" s="43" t="n">
        <f aca="false">K3045*'Chart of Accounts'!$E$68</f>
        <v>10.2778</v>
      </c>
      <c r="O3045" s="42" t="n">
        <f aca="false">I3045+J3045+L3045</f>
        <v>103.5444</v>
      </c>
    </row>
    <row r="3046" customFormat="false" ht="15" hidden="false" customHeight="false" outlineLevel="0" collapsed="false">
      <c r="B3046" s="7" t="s">
        <v>11679</v>
      </c>
      <c r="C3046" s="39" t="n">
        <v>45848</v>
      </c>
      <c r="D3046" s="7" t="s">
        <v>196</v>
      </c>
      <c r="E3046" s="7" t="s">
        <v>180</v>
      </c>
      <c r="F3046" s="6" t="n">
        <v>5.68</v>
      </c>
      <c r="G3046" s="6" t="n">
        <v>0</v>
      </c>
      <c r="H3046" s="41" t="n">
        <v>15.05</v>
      </c>
      <c r="I3046" s="43" t="n">
        <f aca="false">F3046*H3046</f>
        <v>85.484</v>
      </c>
      <c r="J3046" s="43" t="n">
        <f aca="false">G3046*H3046*1.5</f>
        <v>0</v>
      </c>
      <c r="K3046" s="6" t="n">
        <v>20.41</v>
      </c>
      <c r="L3046" s="43" t="n">
        <f aca="false">K3046*'Chart of Accounts'!$E$68</f>
        <v>13.6747</v>
      </c>
      <c r="O3046" s="42" t="n">
        <f aca="false">I3046+J3046+L3046</f>
        <v>99.1587</v>
      </c>
    </row>
    <row r="3047" customFormat="false" ht="15" hidden="false" customHeight="false" outlineLevel="0" collapsed="false">
      <c r="B3047" s="7" t="s">
        <v>11680</v>
      </c>
      <c r="C3047" s="39" t="n">
        <v>45848</v>
      </c>
      <c r="D3047" s="7" t="s">
        <v>184</v>
      </c>
      <c r="E3047" s="7" t="s">
        <v>180</v>
      </c>
      <c r="F3047" s="6" t="n">
        <v>3.86</v>
      </c>
      <c r="G3047" s="6" t="n">
        <v>0</v>
      </c>
      <c r="H3047" s="41" t="n">
        <v>17.34</v>
      </c>
      <c r="I3047" s="43" t="n">
        <f aca="false">F3047*H3047</f>
        <v>66.9324</v>
      </c>
      <c r="J3047" s="43" t="n">
        <f aca="false">G3047*H3047*1.5</f>
        <v>0</v>
      </c>
      <c r="K3047" s="6" t="n">
        <v>13.45</v>
      </c>
      <c r="L3047" s="43" t="n">
        <f aca="false">K3047*'Chart of Accounts'!$E$68</f>
        <v>9.0115</v>
      </c>
      <c r="O3047" s="42" t="n">
        <f aca="false">I3047+J3047+L3047</f>
        <v>75.9439</v>
      </c>
    </row>
    <row r="3048" customFormat="false" ht="15" hidden="false" customHeight="false" outlineLevel="0" collapsed="false">
      <c r="B3048" s="7" t="s">
        <v>11681</v>
      </c>
      <c r="C3048" s="39" t="n">
        <v>45848</v>
      </c>
      <c r="D3048" s="7" t="s">
        <v>207</v>
      </c>
      <c r="E3048" s="7" t="s">
        <v>180</v>
      </c>
      <c r="F3048" s="6" t="n">
        <v>3.02</v>
      </c>
      <c r="G3048" s="6" t="n">
        <v>0</v>
      </c>
      <c r="H3048" s="41" t="n">
        <v>16.65</v>
      </c>
      <c r="I3048" s="43" t="n">
        <f aca="false">F3048*H3048</f>
        <v>50.283</v>
      </c>
      <c r="J3048" s="43" t="n">
        <f aca="false">G3048*H3048*1.5</f>
        <v>0</v>
      </c>
      <c r="K3048" s="6" t="n">
        <v>9.57</v>
      </c>
      <c r="L3048" s="43" t="n">
        <f aca="false">K3048*'Chart of Accounts'!$E$68</f>
        <v>6.4119</v>
      </c>
      <c r="O3048" s="42" t="n">
        <f aca="false">I3048+J3048+L3048</f>
        <v>56.6949</v>
      </c>
    </row>
    <row r="3049" customFormat="false" ht="15" hidden="false" customHeight="false" outlineLevel="0" collapsed="false">
      <c r="B3049" s="7" t="s">
        <v>11682</v>
      </c>
      <c r="C3049" s="39" t="n">
        <v>45848</v>
      </c>
      <c r="D3049" s="7" t="s">
        <v>218</v>
      </c>
      <c r="E3049" s="7" t="s">
        <v>180</v>
      </c>
      <c r="F3049" s="6" t="n">
        <v>3.76</v>
      </c>
      <c r="G3049" s="6" t="n">
        <v>0</v>
      </c>
      <c r="H3049" s="41" t="n">
        <v>16.19</v>
      </c>
      <c r="I3049" s="43" t="n">
        <f aca="false">F3049*H3049</f>
        <v>60.8744</v>
      </c>
      <c r="J3049" s="43" t="n">
        <f aca="false">G3049*H3049*1.5</f>
        <v>0</v>
      </c>
      <c r="K3049" s="6" t="n">
        <v>13.34</v>
      </c>
      <c r="L3049" s="43" t="n">
        <f aca="false">K3049*'Chart of Accounts'!$E$68</f>
        <v>8.9378</v>
      </c>
      <c r="O3049" s="42" t="n">
        <f aca="false">I3049+J3049+L3049</f>
        <v>69.8122</v>
      </c>
    </row>
    <row r="3050" customFormat="false" ht="15" hidden="false" customHeight="false" outlineLevel="0" collapsed="false">
      <c r="B3050" s="7" t="s">
        <v>11683</v>
      </c>
      <c r="C3050" s="39" t="n">
        <v>45848</v>
      </c>
      <c r="D3050" s="7" t="s">
        <v>238</v>
      </c>
      <c r="E3050" s="7" t="s">
        <v>180</v>
      </c>
      <c r="F3050" s="6" t="n">
        <v>2.82</v>
      </c>
      <c r="G3050" s="6" t="n">
        <v>0</v>
      </c>
      <c r="H3050" s="41" t="n">
        <v>15.85</v>
      </c>
      <c r="I3050" s="43" t="n">
        <f aca="false">F3050*H3050</f>
        <v>44.697</v>
      </c>
      <c r="J3050" s="43" t="n">
        <f aca="false">G3050*H3050*1.5</f>
        <v>0</v>
      </c>
      <c r="K3050" s="6" t="n">
        <v>7.92</v>
      </c>
      <c r="L3050" s="43" t="n">
        <f aca="false">K3050*'Chart of Accounts'!$E$68</f>
        <v>5.3064</v>
      </c>
      <c r="O3050" s="42" t="n">
        <f aca="false">I3050+J3050+L3050</f>
        <v>50.0034</v>
      </c>
    </row>
    <row r="3051" customFormat="false" ht="15" hidden="false" customHeight="false" outlineLevel="0" collapsed="false">
      <c r="B3051" s="7" t="s">
        <v>11684</v>
      </c>
      <c r="C3051" s="39" t="n">
        <v>45848</v>
      </c>
      <c r="D3051" s="7" t="s">
        <v>220</v>
      </c>
      <c r="E3051" s="7" t="s">
        <v>180</v>
      </c>
      <c r="F3051" s="6" t="n">
        <v>3.9</v>
      </c>
      <c r="G3051" s="6" t="n">
        <v>0</v>
      </c>
      <c r="H3051" s="41" t="n">
        <v>16.43</v>
      </c>
      <c r="I3051" s="43" t="n">
        <f aca="false">F3051*H3051</f>
        <v>64.077</v>
      </c>
      <c r="J3051" s="43" t="n">
        <f aca="false">G3051*H3051*1.5</f>
        <v>0</v>
      </c>
      <c r="K3051" s="6" t="n">
        <v>12.38</v>
      </c>
      <c r="L3051" s="43" t="n">
        <f aca="false">K3051*'Chart of Accounts'!$E$68</f>
        <v>8.2946</v>
      </c>
      <c r="O3051" s="42" t="n">
        <f aca="false">I3051+J3051+L3051</f>
        <v>72.3716</v>
      </c>
    </row>
    <row r="3052" customFormat="false" ht="15" hidden="false" customHeight="false" outlineLevel="0" collapsed="false">
      <c r="B3052" s="7" t="s">
        <v>11685</v>
      </c>
      <c r="C3052" s="39" t="n">
        <v>45848</v>
      </c>
      <c r="D3052" s="7" t="s">
        <v>224</v>
      </c>
      <c r="E3052" s="7" t="s">
        <v>180</v>
      </c>
      <c r="F3052" s="6" t="n">
        <v>8.23</v>
      </c>
      <c r="G3052" s="6" t="n">
        <v>0</v>
      </c>
      <c r="H3052" s="41" t="n">
        <v>14.93</v>
      </c>
      <c r="I3052" s="43" t="n">
        <f aca="false">F3052*H3052</f>
        <v>122.8739</v>
      </c>
      <c r="J3052" s="43" t="n">
        <f aca="false">G3052*H3052*1.5</f>
        <v>0</v>
      </c>
      <c r="K3052" s="6" t="n">
        <v>21.94</v>
      </c>
      <c r="L3052" s="43" t="n">
        <f aca="false">K3052*'Chart of Accounts'!$E$68</f>
        <v>14.6998</v>
      </c>
      <c r="O3052" s="42" t="n">
        <f aca="false">I3052+J3052+L3052</f>
        <v>137.5737</v>
      </c>
    </row>
    <row r="3053" customFormat="false" ht="15" hidden="false" customHeight="false" outlineLevel="0" collapsed="false">
      <c r="B3053" s="7" t="s">
        <v>11686</v>
      </c>
      <c r="C3053" s="39" t="n">
        <v>45848</v>
      </c>
      <c r="D3053" s="7" t="s">
        <v>232</v>
      </c>
      <c r="E3053" s="7" t="s">
        <v>180</v>
      </c>
      <c r="F3053" s="6" t="n">
        <v>3</v>
      </c>
      <c r="G3053" s="6" t="n">
        <v>0</v>
      </c>
      <c r="H3053" s="41" t="n">
        <v>16.17</v>
      </c>
      <c r="I3053" s="43" t="n">
        <f aca="false">F3053*H3053</f>
        <v>48.51</v>
      </c>
      <c r="J3053" s="43" t="n">
        <f aca="false">G3053*H3053*1.5</f>
        <v>0</v>
      </c>
      <c r="K3053" s="6" t="n">
        <v>10.76</v>
      </c>
      <c r="L3053" s="43" t="n">
        <f aca="false">K3053*'Chart of Accounts'!$E$68</f>
        <v>7.2092</v>
      </c>
      <c r="O3053" s="42" t="n">
        <f aca="false">I3053+J3053+L3053</f>
        <v>55.7192</v>
      </c>
    </row>
    <row r="3054" customFormat="false" ht="15" hidden="false" customHeight="false" outlineLevel="0" collapsed="false">
      <c r="B3054" s="7" t="s">
        <v>11687</v>
      </c>
      <c r="C3054" s="39" t="n">
        <v>45848</v>
      </c>
      <c r="D3054" s="7" t="s">
        <v>222</v>
      </c>
      <c r="E3054" s="7" t="s">
        <v>180</v>
      </c>
      <c r="F3054" s="6" t="n">
        <v>6.88</v>
      </c>
      <c r="G3054" s="6" t="n">
        <v>0</v>
      </c>
      <c r="H3054" s="41" t="n">
        <v>17.84</v>
      </c>
      <c r="I3054" s="43" t="n">
        <f aca="false">F3054*H3054</f>
        <v>122.7392</v>
      </c>
      <c r="J3054" s="43" t="n">
        <f aca="false">G3054*H3054*1.5</f>
        <v>0</v>
      </c>
      <c r="K3054" s="6" t="n">
        <v>24.65</v>
      </c>
      <c r="L3054" s="43" t="n">
        <f aca="false">K3054*'Chart of Accounts'!$E$68</f>
        <v>16.5155</v>
      </c>
      <c r="O3054" s="42" t="n">
        <f aca="false">I3054+J3054+L3054</f>
        <v>139.2547</v>
      </c>
    </row>
    <row r="3055" customFormat="false" ht="15" hidden="false" customHeight="false" outlineLevel="0" collapsed="false">
      <c r="B3055" s="7" t="s">
        <v>11688</v>
      </c>
      <c r="C3055" s="39" t="n">
        <v>45848</v>
      </c>
      <c r="D3055" s="7" t="s">
        <v>254</v>
      </c>
      <c r="E3055" s="7" t="s">
        <v>180</v>
      </c>
      <c r="F3055" s="6" t="n">
        <v>3.695</v>
      </c>
      <c r="G3055" s="6" t="n">
        <v>0.055</v>
      </c>
      <c r="H3055" s="41" t="n">
        <v>17.1</v>
      </c>
      <c r="I3055" s="43" t="n">
        <f aca="false">F3055*H3055</f>
        <v>63.1845</v>
      </c>
      <c r="J3055" s="43" t="n">
        <f aca="false">G3055*H3055*1.5</f>
        <v>1.41075</v>
      </c>
      <c r="K3055" s="6" t="n">
        <v>11.3</v>
      </c>
      <c r="L3055" s="43" t="n">
        <f aca="false">K3055*'Chart of Accounts'!$E$68</f>
        <v>7.571</v>
      </c>
      <c r="O3055" s="42" t="n">
        <f aca="false">I3055+J3055+L3055</f>
        <v>72.16625</v>
      </c>
    </row>
    <row r="3056" customFormat="false" ht="15" hidden="false" customHeight="false" outlineLevel="0" collapsed="false">
      <c r="B3056" s="7" t="s">
        <v>11689</v>
      </c>
      <c r="C3056" s="39" t="n">
        <v>45848</v>
      </c>
      <c r="D3056" s="7" t="s">
        <v>246</v>
      </c>
      <c r="E3056" s="7" t="s">
        <v>180</v>
      </c>
      <c r="F3056" s="6" t="n">
        <v>7.81</v>
      </c>
      <c r="G3056" s="6" t="n">
        <v>0</v>
      </c>
      <c r="H3056" s="41" t="n">
        <v>16.48</v>
      </c>
      <c r="I3056" s="43" t="n">
        <f aca="false">F3056*H3056</f>
        <v>128.7088</v>
      </c>
      <c r="J3056" s="43" t="n">
        <f aca="false">G3056*H3056*1.5</f>
        <v>0</v>
      </c>
      <c r="K3056" s="6" t="n">
        <v>19.93</v>
      </c>
      <c r="L3056" s="43" t="n">
        <f aca="false">K3056*'Chart of Accounts'!$E$68</f>
        <v>13.3531</v>
      </c>
      <c r="O3056" s="42" t="n">
        <f aca="false">I3056+J3056+L3056</f>
        <v>142.0619</v>
      </c>
    </row>
    <row r="3057" customFormat="false" ht="15" hidden="false" customHeight="false" outlineLevel="0" collapsed="false">
      <c r="B3057" s="7" t="s">
        <v>11690</v>
      </c>
      <c r="C3057" s="39" t="n">
        <v>45848</v>
      </c>
      <c r="D3057" s="7" t="s">
        <v>194</v>
      </c>
      <c r="E3057" s="7" t="s">
        <v>180</v>
      </c>
      <c r="F3057" s="6" t="n">
        <v>4.19</v>
      </c>
      <c r="G3057" s="6" t="n">
        <v>0</v>
      </c>
      <c r="H3057" s="41" t="n">
        <v>16</v>
      </c>
      <c r="I3057" s="43" t="n">
        <f aca="false">F3057*H3057</f>
        <v>67.04</v>
      </c>
      <c r="J3057" s="43" t="n">
        <f aca="false">G3057*H3057*1.5</f>
        <v>0</v>
      </c>
      <c r="K3057" s="6" t="n">
        <v>14.47</v>
      </c>
      <c r="L3057" s="43" t="n">
        <f aca="false">K3057*'Chart of Accounts'!$E$68</f>
        <v>9.6949</v>
      </c>
      <c r="O3057" s="42" t="n">
        <f aca="false">I3057+J3057+L3057</f>
        <v>76.7349</v>
      </c>
    </row>
    <row r="3058" customFormat="false" ht="15" hidden="false" customHeight="false" outlineLevel="0" collapsed="false">
      <c r="B3058" s="7" t="s">
        <v>11691</v>
      </c>
      <c r="C3058" s="39" t="n">
        <v>45848</v>
      </c>
      <c r="D3058" s="7" t="s">
        <v>214</v>
      </c>
      <c r="E3058" s="7" t="s">
        <v>180</v>
      </c>
      <c r="F3058" s="6" t="n">
        <v>3.576</v>
      </c>
      <c r="G3058" s="6" t="n">
        <v>0.104</v>
      </c>
      <c r="H3058" s="41" t="n">
        <v>15.67</v>
      </c>
      <c r="I3058" s="43" t="n">
        <f aca="false">F3058*H3058</f>
        <v>56.03592</v>
      </c>
      <c r="J3058" s="43" t="n">
        <f aca="false">G3058*H3058*1.5</f>
        <v>2.44452</v>
      </c>
      <c r="K3058" s="6" t="n">
        <v>10.75</v>
      </c>
      <c r="L3058" s="43" t="n">
        <f aca="false">K3058*'Chart of Accounts'!$E$68</f>
        <v>7.2025</v>
      </c>
      <c r="O3058" s="42" t="n">
        <f aca="false">I3058+J3058+L3058</f>
        <v>65.68294</v>
      </c>
    </row>
    <row r="3059" customFormat="false" ht="15" hidden="false" customHeight="false" outlineLevel="0" collapsed="false">
      <c r="B3059" s="7" t="s">
        <v>11692</v>
      </c>
      <c r="C3059" s="39" t="n">
        <v>45848</v>
      </c>
      <c r="D3059" s="7" t="s">
        <v>242</v>
      </c>
      <c r="E3059" s="7" t="s">
        <v>180</v>
      </c>
      <c r="F3059" s="6" t="n">
        <v>4</v>
      </c>
      <c r="G3059" s="6" t="n">
        <v>0.34</v>
      </c>
      <c r="H3059" s="41" t="n">
        <v>17.99</v>
      </c>
      <c r="I3059" s="43" t="n">
        <f aca="false">F3059*H3059</f>
        <v>71.96</v>
      </c>
      <c r="J3059" s="43" t="n">
        <f aca="false">G3059*H3059*1.5</f>
        <v>9.1749</v>
      </c>
      <c r="K3059" s="6" t="n">
        <v>9.71</v>
      </c>
      <c r="L3059" s="43" t="n">
        <f aca="false">K3059*'Chart of Accounts'!$E$68</f>
        <v>6.5057</v>
      </c>
      <c r="O3059" s="42" t="n">
        <f aca="false">I3059+J3059+L3059</f>
        <v>87.6406</v>
      </c>
    </row>
    <row r="3060" customFormat="false" ht="15" hidden="false" customHeight="false" outlineLevel="0" collapsed="false">
      <c r="B3060" s="7" t="s">
        <v>11693</v>
      </c>
      <c r="C3060" s="39" t="n">
        <v>45849</v>
      </c>
      <c r="D3060" s="7" t="s">
        <v>187</v>
      </c>
      <c r="E3060" s="7" t="s">
        <v>158</v>
      </c>
      <c r="H3060" s="41" t="n">
        <v>66.48</v>
      </c>
      <c r="M3060" s="6" t="n">
        <v>1</v>
      </c>
      <c r="N3060" s="43" t="n">
        <f aca="false">M3060*H3060</f>
        <v>66.48</v>
      </c>
      <c r="O3060" s="42" t="n">
        <f aca="false">N3060</f>
        <v>66.48</v>
      </c>
    </row>
    <row r="3061" customFormat="false" ht="15" hidden="false" customHeight="false" outlineLevel="0" collapsed="false">
      <c r="B3061" s="7" t="s">
        <v>11694</v>
      </c>
      <c r="C3061" s="39" t="n">
        <v>45849</v>
      </c>
      <c r="D3061" s="7" t="s">
        <v>214</v>
      </c>
      <c r="E3061" s="7" t="s">
        <v>180</v>
      </c>
      <c r="F3061" s="6" t="n">
        <v>10.437</v>
      </c>
      <c r="G3061" s="6" t="n">
        <v>0.303</v>
      </c>
      <c r="H3061" s="41" t="n">
        <v>15.67</v>
      </c>
      <c r="I3061" s="43" t="n">
        <f aca="false">F3061*H3061</f>
        <v>163.54779</v>
      </c>
      <c r="J3061" s="43" t="n">
        <f aca="false">G3061*H3061*1.5</f>
        <v>7.122015</v>
      </c>
      <c r="K3061" s="6" t="n">
        <v>25.93</v>
      </c>
      <c r="L3061" s="43" t="n">
        <f aca="false">K3061*'Chart of Accounts'!$E$68</f>
        <v>17.3731</v>
      </c>
      <c r="O3061" s="42" t="n">
        <f aca="false">I3061+J3061+L3061</f>
        <v>188.042905</v>
      </c>
    </row>
    <row r="3062" customFormat="false" ht="15" hidden="false" customHeight="false" outlineLevel="0" collapsed="false">
      <c r="B3062" s="7" t="s">
        <v>11695</v>
      </c>
      <c r="C3062" s="39" t="n">
        <v>45849</v>
      </c>
      <c r="D3062" s="7" t="s">
        <v>194</v>
      </c>
      <c r="E3062" s="7" t="s">
        <v>180</v>
      </c>
      <c r="F3062" s="6" t="n">
        <v>8.63</v>
      </c>
      <c r="G3062" s="6" t="n">
        <v>0</v>
      </c>
      <c r="H3062" s="41" t="n">
        <v>16</v>
      </c>
      <c r="I3062" s="43" t="n">
        <f aca="false">F3062*H3062</f>
        <v>138.08</v>
      </c>
      <c r="J3062" s="43" t="n">
        <f aca="false">G3062*H3062*1.5</f>
        <v>0</v>
      </c>
      <c r="K3062" s="6" t="n">
        <v>22.35</v>
      </c>
      <c r="L3062" s="43" t="n">
        <f aca="false">K3062*'Chart of Accounts'!$E$68</f>
        <v>14.9745</v>
      </c>
      <c r="O3062" s="42" t="n">
        <f aca="false">I3062+J3062+L3062</f>
        <v>153.0545</v>
      </c>
    </row>
    <row r="3063" customFormat="false" ht="15" hidden="false" customHeight="false" outlineLevel="0" collapsed="false">
      <c r="B3063" s="7" t="s">
        <v>11696</v>
      </c>
      <c r="C3063" s="39" t="n">
        <v>45849</v>
      </c>
      <c r="D3063" s="7" t="s">
        <v>209</v>
      </c>
      <c r="E3063" s="7" t="s">
        <v>158</v>
      </c>
      <c r="H3063" s="41" t="n">
        <v>73.58</v>
      </c>
      <c r="M3063" s="6" t="n">
        <v>2</v>
      </c>
      <c r="N3063" s="43" t="n">
        <f aca="false">M3063*H3063</f>
        <v>147.16</v>
      </c>
      <c r="O3063" s="42" t="n">
        <f aca="false">N3063</f>
        <v>147.16</v>
      </c>
    </row>
    <row r="3064" customFormat="false" ht="15" hidden="false" customHeight="false" outlineLevel="0" collapsed="false">
      <c r="B3064" s="7" t="s">
        <v>11697</v>
      </c>
      <c r="C3064" s="39" t="n">
        <v>45849</v>
      </c>
      <c r="D3064" s="7" t="s">
        <v>205</v>
      </c>
      <c r="E3064" s="7" t="s">
        <v>180</v>
      </c>
      <c r="F3064" s="6" t="n">
        <v>3.94</v>
      </c>
      <c r="G3064" s="6" t="n">
        <v>0</v>
      </c>
      <c r="H3064" s="41" t="n">
        <v>16.36</v>
      </c>
      <c r="I3064" s="43" t="n">
        <f aca="false">F3064*H3064</f>
        <v>64.4584</v>
      </c>
      <c r="J3064" s="43" t="n">
        <f aca="false">G3064*H3064*1.5</f>
        <v>0</v>
      </c>
      <c r="K3064" s="6" t="n">
        <v>14.06</v>
      </c>
      <c r="L3064" s="43" t="n">
        <f aca="false">K3064*'Chart of Accounts'!$E$68</f>
        <v>9.4202</v>
      </c>
      <c r="O3064" s="42" t="n">
        <f aca="false">I3064+J3064+L3064</f>
        <v>73.8786</v>
      </c>
    </row>
    <row r="3065" customFormat="false" ht="15" hidden="false" customHeight="false" outlineLevel="0" collapsed="false">
      <c r="B3065" s="7" t="s">
        <v>11698</v>
      </c>
      <c r="C3065" s="39" t="n">
        <v>45849</v>
      </c>
      <c r="D3065" s="7" t="s">
        <v>264</v>
      </c>
      <c r="E3065" s="7" t="s">
        <v>158</v>
      </c>
      <c r="H3065" s="41" t="n">
        <v>55.55</v>
      </c>
      <c r="M3065" s="6" t="n">
        <v>1</v>
      </c>
      <c r="N3065" s="43" t="n">
        <f aca="false">M3065*H3065</f>
        <v>55.55</v>
      </c>
      <c r="O3065" s="42" t="n">
        <f aca="false">N3065</f>
        <v>55.55</v>
      </c>
    </row>
    <row r="3066" customFormat="false" ht="15" hidden="false" customHeight="false" outlineLevel="0" collapsed="false">
      <c r="B3066" s="7" t="s">
        <v>11699</v>
      </c>
      <c r="C3066" s="39" t="n">
        <v>45849</v>
      </c>
      <c r="D3066" s="7" t="s">
        <v>252</v>
      </c>
      <c r="E3066" s="7" t="s">
        <v>158</v>
      </c>
      <c r="H3066" s="41" t="n">
        <v>57.54</v>
      </c>
      <c r="M3066" s="6" t="n">
        <v>1</v>
      </c>
      <c r="N3066" s="43" t="n">
        <f aca="false">M3066*H3066</f>
        <v>57.54</v>
      </c>
      <c r="O3066" s="42" t="n">
        <f aca="false">N3066</f>
        <v>57.54</v>
      </c>
    </row>
    <row r="3067" customFormat="false" ht="15" hidden="false" customHeight="false" outlineLevel="0" collapsed="false">
      <c r="B3067" s="7" t="s">
        <v>11700</v>
      </c>
      <c r="C3067" s="39" t="n">
        <v>45849</v>
      </c>
      <c r="D3067" s="7" t="s">
        <v>184</v>
      </c>
      <c r="E3067" s="7" t="s">
        <v>180</v>
      </c>
      <c r="F3067" s="6" t="n">
        <v>3.93</v>
      </c>
      <c r="G3067" s="6" t="n">
        <v>0</v>
      </c>
      <c r="H3067" s="41" t="n">
        <v>17.34</v>
      </c>
      <c r="I3067" s="43" t="n">
        <f aca="false">F3067*H3067</f>
        <v>68.1462</v>
      </c>
      <c r="J3067" s="43" t="n">
        <f aca="false">G3067*H3067*1.5</f>
        <v>0</v>
      </c>
      <c r="K3067" s="6" t="n">
        <v>10.22</v>
      </c>
      <c r="L3067" s="43" t="n">
        <f aca="false">K3067*'Chart of Accounts'!$E$68</f>
        <v>6.8474</v>
      </c>
      <c r="O3067" s="42" t="n">
        <f aca="false">I3067+J3067+L3067</f>
        <v>74.9936</v>
      </c>
    </row>
    <row r="3068" customFormat="false" ht="15" hidden="false" customHeight="false" outlineLevel="0" collapsed="false">
      <c r="B3068" s="7" t="s">
        <v>11701</v>
      </c>
      <c r="C3068" s="39" t="n">
        <v>45849</v>
      </c>
      <c r="D3068" s="7" t="s">
        <v>234</v>
      </c>
      <c r="E3068" s="7" t="s">
        <v>158</v>
      </c>
      <c r="H3068" s="41" t="n">
        <v>89.53</v>
      </c>
      <c r="M3068" s="6" t="n">
        <v>2</v>
      </c>
      <c r="N3068" s="43" t="n">
        <f aca="false">M3068*H3068</f>
        <v>179.06</v>
      </c>
      <c r="O3068" s="42" t="n">
        <f aca="false">N3068</f>
        <v>179.06</v>
      </c>
    </row>
    <row r="3069" customFormat="false" ht="15" hidden="false" customHeight="false" outlineLevel="0" collapsed="false">
      <c r="B3069" s="7" t="s">
        <v>11702</v>
      </c>
      <c r="C3069" s="39" t="n">
        <v>45849</v>
      </c>
      <c r="D3069" s="7" t="s">
        <v>218</v>
      </c>
      <c r="E3069" s="7" t="s">
        <v>180</v>
      </c>
      <c r="F3069" s="6" t="n">
        <v>4.08</v>
      </c>
      <c r="G3069" s="6" t="n">
        <v>0</v>
      </c>
      <c r="H3069" s="41" t="n">
        <v>16.19</v>
      </c>
      <c r="I3069" s="43" t="n">
        <f aca="false">F3069*H3069</f>
        <v>66.0552</v>
      </c>
      <c r="J3069" s="43" t="n">
        <f aca="false">G3069*H3069*1.5</f>
        <v>0</v>
      </c>
      <c r="K3069" s="6" t="n">
        <v>10.66</v>
      </c>
      <c r="L3069" s="43" t="n">
        <f aca="false">K3069*'Chart of Accounts'!$E$68</f>
        <v>7.1422</v>
      </c>
      <c r="O3069" s="42" t="n">
        <f aca="false">I3069+J3069+L3069</f>
        <v>73.1974</v>
      </c>
    </row>
    <row r="3070" customFormat="false" ht="15" hidden="false" customHeight="false" outlineLevel="0" collapsed="false">
      <c r="B3070" s="7" t="s">
        <v>11703</v>
      </c>
      <c r="C3070" s="39" t="n">
        <v>45849</v>
      </c>
      <c r="D3070" s="7" t="s">
        <v>266</v>
      </c>
      <c r="E3070" s="7" t="s">
        <v>158</v>
      </c>
      <c r="H3070" s="41" t="n">
        <v>75.18</v>
      </c>
      <c r="M3070" s="6" t="n">
        <v>1</v>
      </c>
      <c r="N3070" s="43" t="n">
        <f aca="false">M3070*H3070</f>
        <v>75.18</v>
      </c>
      <c r="O3070" s="42" t="n">
        <f aca="false">N3070</f>
        <v>75.18</v>
      </c>
    </row>
    <row r="3071" customFormat="false" ht="15" hidden="false" customHeight="false" outlineLevel="0" collapsed="false">
      <c r="B3071" s="7" t="s">
        <v>11704</v>
      </c>
      <c r="C3071" s="39" t="n">
        <v>45849</v>
      </c>
      <c r="D3071" s="7" t="s">
        <v>228</v>
      </c>
      <c r="E3071" s="7" t="s">
        <v>158</v>
      </c>
      <c r="H3071" s="41" t="n">
        <v>51.07</v>
      </c>
      <c r="M3071" s="6" t="n">
        <v>1</v>
      </c>
      <c r="N3071" s="43" t="n">
        <f aca="false">M3071*H3071</f>
        <v>51.07</v>
      </c>
      <c r="O3071" s="42" t="n">
        <f aca="false">N3071</f>
        <v>51.07</v>
      </c>
    </row>
    <row r="3072" customFormat="false" ht="15" hidden="false" customHeight="false" outlineLevel="0" collapsed="false">
      <c r="B3072" s="7" t="s">
        <v>11705</v>
      </c>
      <c r="C3072" s="39" t="n">
        <v>45849</v>
      </c>
      <c r="D3072" s="7" t="s">
        <v>220</v>
      </c>
      <c r="E3072" s="7" t="s">
        <v>180</v>
      </c>
      <c r="F3072" s="6" t="n">
        <v>4.32</v>
      </c>
      <c r="G3072" s="6" t="n">
        <v>0</v>
      </c>
      <c r="H3072" s="41" t="n">
        <v>16.43</v>
      </c>
      <c r="I3072" s="43" t="n">
        <f aca="false">F3072*H3072</f>
        <v>70.9776</v>
      </c>
      <c r="J3072" s="43" t="n">
        <f aca="false">G3072*H3072*1.5</f>
        <v>0</v>
      </c>
      <c r="K3072" s="6" t="n">
        <v>13.16</v>
      </c>
      <c r="L3072" s="43" t="n">
        <f aca="false">K3072*'Chart of Accounts'!$E$68</f>
        <v>8.8172</v>
      </c>
      <c r="O3072" s="42" t="n">
        <f aca="false">I3072+J3072+L3072</f>
        <v>79.7948</v>
      </c>
    </row>
    <row r="3073" customFormat="false" ht="15" hidden="false" customHeight="false" outlineLevel="0" collapsed="false">
      <c r="B3073" s="7" t="s">
        <v>11706</v>
      </c>
      <c r="C3073" s="39" t="n">
        <v>45849</v>
      </c>
      <c r="D3073" s="7" t="s">
        <v>177</v>
      </c>
      <c r="E3073" s="7" t="s">
        <v>180</v>
      </c>
      <c r="F3073" s="6" t="n">
        <v>8.22</v>
      </c>
      <c r="G3073" s="6" t="n">
        <v>0</v>
      </c>
      <c r="H3073" s="41" t="n">
        <v>14.56</v>
      </c>
      <c r="I3073" s="43" t="n">
        <f aca="false">F3073*H3073</f>
        <v>119.6832</v>
      </c>
      <c r="J3073" s="43" t="n">
        <f aca="false">G3073*H3073*1.5</f>
        <v>0</v>
      </c>
      <c r="K3073" s="6" t="n">
        <v>22.94</v>
      </c>
      <c r="L3073" s="43" t="n">
        <f aca="false">K3073*'Chart of Accounts'!$E$68</f>
        <v>15.3698</v>
      </c>
      <c r="O3073" s="42" t="n">
        <f aca="false">I3073+J3073+L3073</f>
        <v>135.053</v>
      </c>
    </row>
    <row r="3074" customFormat="false" ht="15" hidden="false" customHeight="false" outlineLevel="0" collapsed="false">
      <c r="B3074" s="7" t="s">
        <v>11707</v>
      </c>
      <c r="C3074" s="39" t="n">
        <v>45849</v>
      </c>
      <c r="D3074" s="7" t="s">
        <v>242</v>
      </c>
      <c r="E3074" s="7" t="s">
        <v>180</v>
      </c>
      <c r="F3074" s="6" t="n">
        <v>7.198</v>
      </c>
      <c r="G3074" s="6" t="n">
        <v>0.612</v>
      </c>
      <c r="H3074" s="41" t="n">
        <v>17.99</v>
      </c>
      <c r="I3074" s="43" t="n">
        <f aca="false">F3074*H3074</f>
        <v>129.49202</v>
      </c>
      <c r="J3074" s="43" t="n">
        <f aca="false">G3074*H3074*1.5</f>
        <v>16.51482</v>
      </c>
      <c r="K3074" s="6" t="n">
        <v>25.8</v>
      </c>
      <c r="L3074" s="43" t="n">
        <f aca="false">K3074*'Chart of Accounts'!$E$68</f>
        <v>17.286</v>
      </c>
      <c r="O3074" s="42" t="n">
        <f aca="false">I3074+J3074+L3074</f>
        <v>163.29284</v>
      </c>
    </row>
    <row r="3075" customFormat="false" ht="15" hidden="false" customHeight="false" outlineLevel="0" collapsed="false">
      <c r="B3075" s="7" t="s">
        <v>11708</v>
      </c>
      <c r="C3075" s="39" t="n">
        <v>45849</v>
      </c>
      <c r="D3075" s="7" t="s">
        <v>238</v>
      </c>
      <c r="E3075" s="7" t="s">
        <v>180</v>
      </c>
      <c r="F3075" s="6" t="n">
        <v>8.31</v>
      </c>
      <c r="G3075" s="6" t="n">
        <v>0</v>
      </c>
      <c r="H3075" s="41" t="n">
        <v>15.85</v>
      </c>
      <c r="I3075" s="43" t="n">
        <f aca="false">F3075*H3075</f>
        <v>131.7135</v>
      </c>
      <c r="J3075" s="43" t="n">
        <f aca="false">G3075*H3075*1.5</f>
        <v>0</v>
      </c>
      <c r="K3075" s="6" t="n">
        <v>22.35</v>
      </c>
      <c r="L3075" s="43" t="n">
        <f aca="false">K3075*'Chart of Accounts'!$E$68</f>
        <v>14.9745</v>
      </c>
      <c r="O3075" s="42" t="n">
        <f aca="false">I3075+J3075+L3075</f>
        <v>146.688</v>
      </c>
    </row>
    <row r="3076" customFormat="false" ht="15" hidden="false" customHeight="false" outlineLevel="0" collapsed="false">
      <c r="B3076" s="7" t="s">
        <v>11709</v>
      </c>
      <c r="C3076" s="39" t="n">
        <v>45849</v>
      </c>
      <c r="D3076" s="7" t="s">
        <v>254</v>
      </c>
      <c r="E3076" s="7" t="s">
        <v>180</v>
      </c>
      <c r="F3076" s="6" t="n">
        <v>6.8</v>
      </c>
      <c r="G3076" s="6" t="n">
        <v>0.1</v>
      </c>
      <c r="H3076" s="41" t="n">
        <v>17.1</v>
      </c>
      <c r="I3076" s="43" t="n">
        <f aca="false">F3076*H3076</f>
        <v>116.28</v>
      </c>
      <c r="J3076" s="43" t="n">
        <f aca="false">G3076*H3076*1.5</f>
        <v>2.565</v>
      </c>
      <c r="K3076" s="6" t="n">
        <v>16.33</v>
      </c>
      <c r="L3076" s="43" t="n">
        <f aca="false">K3076*'Chart of Accounts'!$E$68</f>
        <v>10.9411</v>
      </c>
      <c r="O3076" s="42" t="n">
        <f aca="false">I3076+J3076+L3076</f>
        <v>129.7861</v>
      </c>
    </row>
    <row r="3077" customFormat="false" ht="15" hidden="false" customHeight="false" outlineLevel="0" collapsed="false">
      <c r="B3077" s="7" t="s">
        <v>11710</v>
      </c>
      <c r="C3077" s="39" t="n">
        <v>45849</v>
      </c>
      <c r="D3077" s="7" t="s">
        <v>201</v>
      </c>
      <c r="E3077" s="7" t="s">
        <v>180</v>
      </c>
      <c r="F3077" s="6" t="n">
        <v>3.59</v>
      </c>
      <c r="G3077" s="6" t="n">
        <v>0</v>
      </c>
      <c r="H3077" s="41" t="n">
        <v>15.19</v>
      </c>
      <c r="I3077" s="43" t="n">
        <f aca="false">F3077*H3077</f>
        <v>54.5321</v>
      </c>
      <c r="J3077" s="43" t="n">
        <f aca="false">G3077*H3077*1.5</f>
        <v>0</v>
      </c>
      <c r="K3077" s="6" t="n">
        <v>12.36</v>
      </c>
      <c r="L3077" s="43" t="n">
        <f aca="false">K3077*'Chart of Accounts'!$E$68</f>
        <v>8.2812</v>
      </c>
      <c r="O3077" s="42" t="n">
        <f aca="false">I3077+J3077+L3077</f>
        <v>62.8133</v>
      </c>
    </row>
    <row r="3078" customFormat="false" ht="15" hidden="false" customHeight="false" outlineLevel="0" collapsed="false">
      <c r="B3078" s="7" t="s">
        <v>11711</v>
      </c>
      <c r="C3078" s="39" t="n">
        <v>45849</v>
      </c>
      <c r="D3078" s="7" t="s">
        <v>207</v>
      </c>
      <c r="E3078" s="7" t="s">
        <v>180</v>
      </c>
      <c r="F3078" s="6" t="n">
        <v>3.33</v>
      </c>
      <c r="G3078" s="6" t="n">
        <v>0</v>
      </c>
      <c r="H3078" s="41" t="n">
        <v>16.65</v>
      </c>
      <c r="I3078" s="43" t="n">
        <f aca="false">F3078*H3078</f>
        <v>55.4445</v>
      </c>
      <c r="J3078" s="43" t="n">
        <f aca="false">G3078*H3078*1.5</f>
        <v>0</v>
      </c>
      <c r="K3078" s="6" t="n">
        <v>11.9</v>
      </c>
      <c r="L3078" s="43" t="n">
        <f aca="false">K3078*'Chart of Accounts'!$E$68</f>
        <v>7.973</v>
      </c>
      <c r="O3078" s="42" t="n">
        <f aca="false">I3078+J3078+L3078</f>
        <v>63.4175</v>
      </c>
    </row>
    <row r="3079" customFormat="false" ht="15" hidden="false" customHeight="false" outlineLevel="0" collapsed="false">
      <c r="B3079" s="7" t="s">
        <v>11712</v>
      </c>
      <c r="C3079" s="39" t="n">
        <v>45849</v>
      </c>
      <c r="D3079" s="7" t="s">
        <v>232</v>
      </c>
      <c r="E3079" s="7" t="s">
        <v>180</v>
      </c>
      <c r="F3079" s="6" t="n">
        <v>4.89</v>
      </c>
      <c r="G3079" s="6" t="n">
        <v>0</v>
      </c>
      <c r="H3079" s="41" t="n">
        <v>16.17</v>
      </c>
      <c r="I3079" s="43" t="n">
        <f aca="false">F3079*H3079</f>
        <v>79.0713</v>
      </c>
      <c r="J3079" s="43" t="n">
        <f aca="false">G3079*H3079*1.5</f>
        <v>0</v>
      </c>
      <c r="K3079" s="6" t="n">
        <v>13.56</v>
      </c>
      <c r="L3079" s="43" t="n">
        <f aca="false">K3079*'Chart of Accounts'!$E$68</f>
        <v>9.0852</v>
      </c>
      <c r="O3079" s="42" t="n">
        <f aca="false">I3079+J3079+L3079</f>
        <v>88.1565</v>
      </c>
    </row>
    <row r="3080" customFormat="false" ht="15" hidden="false" customHeight="false" outlineLevel="0" collapsed="false">
      <c r="B3080" s="7" t="s">
        <v>11713</v>
      </c>
      <c r="C3080" s="39" t="n">
        <v>45849</v>
      </c>
      <c r="D3080" s="7" t="s">
        <v>224</v>
      </c>
      <c r="E3080" s="7" t="s">
        <v>180</v>
      </c>
      <c r="F3080" s="6" t="n">
        <v>4.82</v>
      </c>
      <c r="G3080" s="6" t="n">
        <v>0</v>
      </c>
      <c r="H3080" s="41" t="n">
        <v>14.93</v>
      </c>
      <c r="I3080" s="43" t="n">
        <f aca="false">F3080*H3080</f>
        <v>71.9626</v>
      </c>
      <c r="J3080" s="43" t="n">
        <f aca="false">G3080*H3080*1.5</f>
        <v>0</v>
      </c>
      <c r="K3080" s="6" t="n">
        <v>16.02</v>
      </c>
      <c r="L3080" s="43" t="n">
        <f aca="false">K3080*'Chart of Accounts'!$E$68</f>
        <v>10.7334</v>
      </c>
      <c r="O3080" s="42" t="n">
        <f aca="false">I3080+J3080+L3080</f>
        <v>82.696</v>
      </c>
    </row>
    <row r="3081" customFormat="false" ht="15" hidden="false" customHeight="false" outlineLevel="0" collapsed="false">
      <c r="B3081" s="7" t="s">
        <v>11714</v>
      </c>
      <c r="C3081" s="39" t="n">
        <v>45849</v>
      </c>
      <c r="D3081" s="7" t="s">
        <v>246</v>
      </c>
      <c r="E3081" s="7" t="s">
        <v>180</v>
      </c>
      <c r="F3081" s="6" t="n">
        <v>3.8</v>
      </c>
      <c r="G3081" s="6" t="n">
        <v>0</v>
      </c>
      <c r="H3081" s="41" t="n">
        <v>16.48</v>
      </c>
      <c r="I3081" s="43" t="n">
        <f aca="false">F3081*H3081</f>
        <v>62.624</v>
      </c>
      <c r="J3081" s="43" t="n">
        <f aca="false">G3081*H3081*1.5</f>
        <v>0</v>
      </c>
      <c r="K3081" s="6" t="n">
        <v>9.08</v>
      </c>
      <c r="L3081" s="43" t="n">
        <f aca="false">K3081*'Chart of Accounts'!$E$68</f>
        <v>6.0836</v>
      </c>
      <c r="O3081" s="42" t="n">
        <f aca="false">I3081+J3081+L3081</f>
        <v>68.7076</v>
      </c>
    </row>
    <row r="3082" customFormat="false" ht="15" hidden="false" customHeight="false" outlineLevel="0" collapsed="false">
      <c r="B3082" s="7" t="s">
        <v>11715</v>
      </c>
      <c r="C3082" s="39" t="n">
        <v>45849</v>
      </c>
      <c r="D3082" s="7" t="s">
        <v>222</v>
      </c>
      <c r="E3082" s="7" t="s">
        <v>180</v>
      </c>
      <c r="F3082" s="6" t="n">
        <v>4.32</v>
      </c>
      <c r="G3082" s="6" t="n">
        <v>0</v>
      </c>
      <c r="H3082" s="41" t="n">
        <v>17.84</v>
      </c>
      <c r="I3082" s="43" t="n">
        <f aca="false">F3082*H3082</f>
        <v>77.0688</v>
      </c>
      <c r="J3082" s="43" t="n">
        <f aca="false">G3082*H3082*1.5</f>
        <v>0</v>
      </c>
      <c r="K3082" s="6" t="n">
        <v>10.3</v>
      </c>
      <c r="L3082" s="43" t="n">
        <f aca="false">K3082*'Chart of Accounts'!$E$68</f>
        <v>6.901</v>
      </c>
      <c r="O3082" s="42" t="n">
        <f aca="false">I3082+J3082+L3082</f>
        <v>83.9698</v>
      </c>
    </row>
    <row r="3083" customFormat="false" ht="15" hidden="false" customHeight="false" outlineLevel="0" collapsed="false">
      <c r="B3083" s="7" t="s">
        <v>11716</v>
      </c>
      <c r="C3083" s="39" t="n">
        <v>45849</v>
      </c>
      <c r="D3083" s="7" t="s">
        <v>203</v>
      </c>
      <c r="E3083" s="7" t="s">
        <v>158</v>
      </c>
      <c r="H3083" s="41" t="n">
        <v>49.43</v>
      </c>
      <c r="M3083" s="6" t="n">
        <v>1</v>
      </c>
      <c r="N3083" s="43" t="n">
        <f aca="false">M3083*H3083</f>
        <v>49.43</v>
      </c>
      <c r="O3083" s="42" t="n">
        <f aca="false">N3083</f>
        <v>49.43</v>
      </c>
    </row>
    <row r="3084" customFormat="false" ht="15" hidden="false" customHeight="false" outlineLevel="0" collapsed="false">
      <c r="B3084" s="7" t="s">
        <v>11717</v>
      </c>
      <c r="C3084" s="39" t="n">
        <v>45849</v>
      </c>
      <c r="D3084" s="7" t="s">
        <v>260</v>
      </c>
      <c r="E3084" s="7" t="s">
        <v>158</v>
      </c>
      <c r="H3084" s="41" t="n">
        <v>79.8</v>
      </c>
      <c r="M3084" s="6" t="n">
        <v>1</v>
      </c>
      <c r="N3084" s="43" t="n">
        <f aca="false">M3084*H3084</f>
        <v>79.8</v>
      </c>
      <c r="O3084" s="42" t="n">
        <f aca="false">N3084</f>
        <v>79.8</v>
      </c>
    </row>
    <row r="3085" customFormat="false" ht="15" hidden="false" customHeight="false" outlineLevel="0" collapsed="false">
      <c r="B3085" s="7" t="s">
        <v>11718</v>
      </c>
      <c r="C3085" s="39" t="n">
        <v>45850</v>
      </c>
      <c r="D3085" s="7" t="s">
        <v>214</v>
      </c>
      <c r="E3085" s="7" t="s">
        <v>180</v>
      </c>
      <c r="F3085" s="6" t="n">
        <v>3.605</v>
      </c>
      <c r="G3085" s="6" t="n">
        <v>0.105</v>
      </c>
      <c r="H3085" s="41" t="n">
        <v>15.67</v>
      </c>
      <c r="I3085" s="43" t="n">
        <f aca="false">F3085*H3085</f>
        <v>56.49035</v>
      </c>
      <c r="J3085" s="43" t="n">
        <f aca="false">G3085*H3085*1.5</f>
        <v>2.468025</v>
      </c>
      <c r="K3085" s="6" t="n">
        <v>12.95</v>
      </c>
      <c r="L3085" s="43" t="n">
        <f aca="false">K3085*'Chart of Accounts'!$E$68</f>
        <v>8.6765</v>
      </c>
      <c r="O3085" s="42" t="n">
        <f aca="false">I3085+J3085+L3085</f>
        <v>67.634875</v>
      </c>
    </row>
    <row r="3086" customFormat="false" ht="15" hidden="false" customHeight="false" outlineLevel="0" collapsed="false">
      <c r="B3086" s="7" t="s">
        <v>11719</v>
      </c>
      <c r="C3086" s="39" t="n">
        <v>45850</v>
      </c>
      <c r="D3086" s="7" t="s">
        <v>218</v>
      </c>
      <c r="E3086" s="7" t="s">
        <v>180</v>
      </c>
      <c r="F3086" s="6" t="n">
        <v>3.6</v>
      </c>
      <c r="G3086" s="6" t="n">
        <v>0</v>
      </c>
      <c r="H3086" s="41" t="n">
        <v>16.19</v>
      </c>
      <c r="I3086" s="43" t="n">
        <f aca="false">F3086*H3086</f>
        <v>58.284</v>
      </c>
      <c r="J3086" s="43" t="n">
        <f aca="false">G3086*H3086*1.5</f>
        <v>0</v>
      </c>
      <c r="K3086" s="6" t="n">
        <v>12.29</v>
      </c>
      <c r="L3086" s="43" t="n">
        <f aca="false">K3086*'Chart of Accounts'!$E$68</f>
        <v>8.2343</v>
      </c>
      <c r="O3086" s="42" t="n">
        <f aca="false">I3086+J3086+L3086</f>
        <v>66.5183</v>
      </c>
    </row>
    <row r="3087" customFormat="false" ht="15" hidden="false" customHeight="false" outlineLevel="0" collapsed="false">
      <c r="B3087" s="7" t="s">
        <v>11720</v>
      </c>
      <c r="C3087" s="39" t="n">
        <v>45850</v>
      </c>
      <c r="D3087" s="7" t="s">
        <v>184</v>
      </c>
      <c r="E3087" s="7" t="s">
        <v>180</v>
      </c>
      <c r="F3087" s="6" t="n">
        <v>4.05</v>
      </c>
      <c r="G3087" s="6" t="n">
        <v>0</v>
      </c>
      <c r="H3087" s="41" t="n">
        <v>17.34</v>
      </c>
      <c r="I3087" s="43" t="n">
        <f aca="false">F3087*H3087</f>
        <v>70.227</v>
      </c>
      <c r="J3087" s="43" t="n">
        <f aca="false">G3087*H3087*1.5</f>
        <v>0</v>
      </c>
      <c r="K3087" s="6" t="n">
        <v>9.26</v>
      </c>
      <c r="L3087" s="43" t="n">
        <f aca="false">K3087*'Chart of Accounts'!$E$68</f>
        <v>6.2042</v>
      </c>
      <c r="O3087" s="42" t="n">
        <f aca="false">I3087+J3087+L3087</f>
        <v>76.4312</v>
      </c>
    </row>
    <row r="3088" customFormat="false" ht="15" hidden="false" customHeight="false" outlineLevel="0" collapsed="false">
      <c r="B3088" s="7" t="s">
        <v>11721</v>
      </c>
      <c r="C3088" s="39" t="n">
        <v>45850</v>
      </c>
      <c r="D3088" s="7" t="s">
        <v>222</v>
      </c>
      <c r="E3088" s="7" t="s">
        <v>180</v>
      </c>
      <c r="F3088" s="6" t="n">
        <v>3.66</v>
      </c>
      <c r="G3088" s="6" t="n">
        <v>0</v>
      </c>
      <c r="H3088" s="41" t="n">
        <v>17.84</v>
      </c>
      <c r="I3088" s="43" t="n">
        <f aca="false">F3088*H3088</f>
        <v>65.2944</v>
      </c>
      <c r="J3088" s="43" t="n">
        <f aca="false">G3088*H3088*1.5</f>
        <v>0</v>
      </c>
      <c r="K3088" s="6" t="n">
        <v>12.88</v>
      </c>
      <c r="L3088" s="43" t="n">
        <f aca="false">K3088*'Chart of Accounts'!$E$68</f>
        <v>8.6296</v>
      </c>
      <c r="O3088" s="42" t="n">
        <f aca="false">I3088+J3088+L3088</f>
        <v>73.924</v>
      </c>
    </row>
    <row r="3089" customFormat="false" ht="15" hidden="false" customHeight="false" outlineLevel="0" collapsed="false">
      <c r="B3089" s="7" t="s">
        <v>11722</v>
      </c>
      <c r="C3089" s="39" t="n">
        <v>45850</v>
      </c>
      <c r="D3089" s="7" t="s">
        <v>242</v>
      </c>
      <c r="E3089" s="7" t="s">
        <v>180</v>
      </c>
      <c r="F3089" s="6" t="n">
        <v>4.009</v>
      </c>
      <c r="G3089" s="6" t="n">
        <v>0.341</v>
      </c>
      <c r="H3089" s="41" t="n">
        <v>17.99</v>
      </c>
      <c r="I3089" s="43" t="n">
        <f aca="false">F3089*H3089</f>
        <v>72.12191</v>
      </c>
      <c r="J3089" s="43" t="n">
        <f aca="false">G3089*H3089*1.5</f>
        <v>9.201885</v>
      </c>
      <c r="K3089" s="6" t="n">
        <v>12.4</v>
      </c>
      <c r="L3089" s="43" t="n">
        <f aca="false">K3089*'Chart of Accounts'!$E$68</f>
        <v>8.308</v>
      </c>
      <c r="O3089" s="42" t="n">
        <f aca="false">I3089+J3089+L3089</f>
        <v>89.631795</v>
      </c>
    </row>
    <row r="3090" customFormat="false" ht="15" hidden="false" customHeight="false" outlineLevel="0" collapsed="false">
      <c r="B3090" s="7" t="s">
        <v>11723</v>
      </c>
      <c r="C3090" s="39" t="n">
        <v>45850</v>
      </c>
      <c r="D3090" s="7" t="s">
        <v>254</v>
      </c>
      <c r="E3090" s="7" t="s">
        <v>180</v>
      </c>
      <c r="F3090" s="6" t="n">
        <v>4.031</v>
      </c>
      <c r="G3090" s="6" t="n">
        <v>0.059</v>
      </c>
      <c r="H3090" s="41" t="n">
        <v>17.1</v>
      </c>
      <c r="I3090" s="43" t="n">
        <f aca="false">F3090*H3090</f>
        <v>68.9301</v>
      </c>
      <c r="J3090" s="43" t="n">
        <f aca="false">G3090*H3090*1.5</f>
        <v>1.51335</v>
      </c>
      <c r="K3090" s="6" t="n">
        <v>12.76</v>
      </c>
      <c r="L3090" s="43" t="n">
        <f aca="false">K3090*'Chart of Accounts'!$E$68</f>
        <v>8.5492</v>
      </c>
      <c r="O3090" s="42" t="n">
        <f aca="false">I3090+J3090+L3090</f>
        <v>78.99265</v>
      </c>
    </row>
    <row r="3091" customFormat="false" ht="15" hidden="false" customHeight="false" outlineLevel="0" collapsed="false">
      <c r="B3091" s="7" t="s">
        <v>11724</v>
      </c>
      <c r="C3091" s="39" t="n">
        <v>45851</v>
      </c>
      <c r="D3091" s="7" t="s">
        <v>224</v>
      </c>
      <c r="E3091" s="7" t="s">
        <v>180</v>
      </c>
      <c r="F3091" s="6" t="n">
        <v>4.15</v>
      </c>
      <c r="G3091" s="6" t="n">
        <v>0</v>
      </c>
      <c r="H3091" s="41" t="n">
        <v>14.93</v>
      </c>
      <c r="I3091" s="43" t="n">
        <f aca="false">F3091*H3091</f>
        <v>61.9595</v>
      </c>
      <c r="J3091" s="43" t="n">
        <f aca="false">G3091*H3091*1.5</f>
        <v>0</v>
      </c>
      <c r="K3091" s="6" t="n">
        <v>11.08</v>
      </c>
      <c r="L3091" s="43" t="n">
        <f aca="false">K3091*'Chart of Accounts'!$E$68</f>
        <v>7.4236</v>
      </c>
      <c r="O3091" s="42" t="n">
        <f aca="false">I3091+J3091+L3091</f>
        <v>69.3831</v>
      </c>
    </row>
    <row r="3092" customFormat="false" ht="15" hidden="false" customHeight="false" outlineLevel="0" collapsed="false">
      <c r="B3092" s="7" t="s">
        <v>11725</v>
      </c>
      <c r="C3092" s="39" t="n">
        <v>45851</v>
      </c>
      <c r="D3092" s="7" t="s">
        <v>218</v>
      </c>
      <c r="E3092" s="7" t="s">
        <v>180</v>
      </c>
      <c r="F3092" s="6" t="n">
        <v>4.11</v>
      </c>
      <c r="G3092" s="6" t="n">
        <v>0</v>
      </c>
      <c r="H3092" s="41" t="n">
        <v>16.19</v>
      </c>
      <c r="I3092" s="43" t="n">
        <f aca="false">F3092*H3092</f>
        <v>66.5409</v>
      </c>
      <c r="J3092" s="43" t="n">
        <f aca="false">G3092*H3092*1.5</f>
        <v>0</v>
      </c>
      <c r="K3092" s="6" t="n">
        <v>10.49</v>
      </c>
      <c r="L3092" s="43" t="n">
        <f aca="false">K3092*'Chart of Accounts'!$E$68</f>
        <v>7.0283</v>
      </c>
      <c r="O3092" s="42" t="n">
        <f aca="false">I3092+J3092+L3092</f>
        <v>73.5692</v>
      </c>
    </row>
    <row r="3093" customFormat="false" ht="15" hidden="false" customHeight="false" outlineLevel="0" collapsed="false">
      <c r="B3093" s="7" t="s">
        <v>11726</v>
      </c>
      <c r="C3093" s="39" t="n">
        <v>45851</v>
      </c>
      <c r="D3093" s="7" t="s">
        <v>214</v>
      </c>
      <c r="E3093" s="7" t="s">
        <v>180</v>
      </c>
      <c r="F3093" s="6" t="n">
        <v>3.848</v>
      </c>
      <c r="G3093" s="6" t="n">
        <v>0.112</v>
      </c>
      <c r="H3093" s="41" t="n">
        <v>15.67</v>
      </c>
      <c r="I3093" s="43" t="n">
        <f aca="false">F3093*H3093</f>
        <v>60.29816</v>
      </c>
      <c r="J3093" s="43" t="n">
        <f aca="false">G3093*H3093*1.5</f>
        <v>2.63256</v>
      </c>
      <c r="K3093" s="6" t="n">
        <v>8.88</v>
      </c>
      <c r="L3093" s="43" t="n">
        <f aca="false">K3093*'Chart of Accounts'!$E$68</f>
        <v>5.9496</v>
      </c>
      <c r="O3093" s="42" t="n">
        <f aca="false">I3093+J3093+L3093</f>
        <v>68.88032</v>
      </c>
    </row>
    <row r="3094" customFormat="false" ht="15" hidden="false" customHeight="false" outlineLevel="0" collapsed="false">
      <c r="B3094" s="7" t="s">
        <v>11727</v>
      </c>
      <c r="C3094" s="39" t="n">
        <v>45851</v>
      </c>
      <c r="D3094" s="7" t="s">
        <v>222</v>
      </c>
      <c r="E3094" s="7" t="s">
        <v>180</v>
      </c>
      <c r="F3094" s="6" t="n">
        <v>4.11</v>
      </c>
      <c r="G3094" s="6" t="n">
        <v>0</v>
      </c>
      <c r="H3094" s="41" t="n">
        <v>17.84</v>
      </c>
      <c r="I3094" s="43" t="n">
        <f aca="false">F3094*H3094</f>
        <v>73.3224</v>
      </c>
      <c r="J3094" s="43" t="n">
        <f aca="false">G3094*H3094*1.5</f>
        <v>0</v>
      </c>
      <c r="K3094" s="6" t="n">
        <v>10.86</v>
      </c>
      <c r="L3094" s="43" t="n">
        <f aca="false">K3094*'Chart of Accounts'!$E$68</f>
        <v>7.2762</v>
      </c>
      <c r="O3094" s="42" t="n">
        <f aca="false">I3094+J3094+L3094</f>
        <v>80.5986</v>
      </c>
    </row>
    <row r="3095" customFormat="false" ht="15" hidden="false" customHeight="false" outlineLevel="0" collapsed="false">
      <c r="B3095" s="7" t="s">
        <v>11728</v>
      </c>
      <c r="C3095" s="39" t="n">
        <v>45851</v>
      </c>
      <c r="D3095" s="7" t="s">
        <v>242</v>
      </c>
      <c r="E3095" s="7" t="s">
        <v>180</v>
      </c>
      <c r="F3095" s="6" t="n">
        <v>4.055</v>
      </c>
      <c r="G3095" s="6" t="n">
        <v>0.345</v>
      </c>
      <c r="H3095" s="41" t="n">
        <v>17.99</v>
      </c>
      <c r="I3095" s="43" t="n">
        <f aca="false">F3095*H3095</f>
        <v>72.94945</v>
      </c>
      <c r="J3095" s="43" t="n">
        <f aca="false">G3095*H3095*1.5</f>
        <v>9.309825</v>
      </c>
      <c r="K3095" s="6" t="n">
        <v>11.11</v>
      </c>
      <c r="L3095" s="43" t="n">
        <f aca="false">K3095*'Chart of Accounts'!$E$68</f>
        <v>7.4437</v>
      </c>
      <c r="O3095" s="42" t="n">
        <f aca="false">I3095+J3095+L3095</f>
        <v>89.702975</v>
      </c>
    </row>
    <row r="3096" customFormat="false" ht="15" hidden="false" customHeight="false" outlineLevel="0" collapsed="false">
      <c r="B3096" s="7" t="s">
        <v>11729</v>
      </c>
      <c r="C3096" s="39" t="n">
        <v>45851</v>
      </c>
      <c r="D3096" s="7" t="s">
        <v>254</v>
      </c>
      <c r="E3096" s="7" t="s">
        <v>180</v>
      </c>
      <c r="F3096" s="6" t="n">
        <v>3.567</v>
      </c>
      <c r="G3096" s="6" t="n">
        <v>0.053</v>
      </c>
      <c r="H3096" s="41" t="n">
        <v>17.1</v>
      </c>
      <c r="I3096" s="43" t="n">
        <f aca="false">F3096*H3096</f>
        <v>60.9957</v>
      </c>
      <c r="J3096" s="43" t="n">
        <f aca="false">G3096*H3096*1.5</f>
        <v>1.35945</v>
      </c>
      <c r="K3096" s="6" t="n">
        <v>9.88</v>
      </c>
      <c r="L3096" s="43" t="n">
        <f aca="false">K3096*'Chart of Accounts'!$E$68</f>
        <v>6.6196</v>
      </c>
      <c r="O3096" s="42" t="n">
        <f aca="false">I3096+J3096+L3096</f>
        <v>68.97475</v>
      </c>
    </row>
    <row r="3097" customFormat="false" ht="15" hidden="false" customHeight="false" outlineLevel="0" collapsed="false">
      <c r="B3097" s="7" t="s">
        <v>11730</v>
      </c>
      <c r="C3097" s="39" t="n">
        <v>45852</v>
      </c>
      <c r="D3097" s="7" t="s">
        <v>187</v>
      </c>
      <c r="E3097" s="7" t="s">
        <v>158</v>
      </c>
      <c r="H3097" s="41" t="n">
        <v>66.48</v>
      </c>
      <c r="M3097" s="6" t="n">
        <v>1</v>
      </c>
      <c r="N3097" s="43" t="n">
        <f aca="false">M3097*H3097</f>
        <v>66.48</v>
      </c>
      <c r="O3097" s="42" t="n">
        <f aca="false">N3097</f>
        <v>66.48</v>
      </c>
    </row>
    <row r="3098" customFormat="false" ht="15" hidden="false" customHeight="false" outlineLevel="0" collapsed="false">
      <c r="B3098" s="7" t="s">
        <v>11731</v>
      </c>
      <c r="C3098" s="39" t="n">
        <v>45852</v>
      </c>
      <c r="D3098" s="7" t="s">
        <v>224</v>
      </c>
      <c r="E3098" s="7" t="s">
        <v>180</v>
      </c>
      <c r="F3098" s="6" t="n">
        <v>12.41</v>
      </c>
      <c r="G3098" s="6" t="n">
        <v>0</v>
      </c>
      <c r="H3098" s="41" t="n">
        <v>14.93</v>
      </c>
      <c r="I3098" s="43" t="n">
        <f aca="false">F3098*H3098</f>
        <v>185.2813</v>
      </c>
      <c r="J3098" s="43" t="n">
        <f aca="false">G3098*H3098*1.5</f>
        <v>0</v>
      </c>
      <c r="K3098" s="6" t="n">
        <v>29.58</v>
      </c>
      <c r="L3098" s="43" t="n">
        <f aca="false">K3098*'Chart of Accounts'!$E$68</f>
        <v>19.8186</v>
      </c>
      <c r="O3098" s="42" t="n">
        <f aca="false">I3098+J3098+L3098</f>
        <v>205.0999</v>
      </c>
    </row>
    <row r="3099" customFormat="false" ht="15" hidden="false" customHeight="false" outlineLevel="0" collapsed="false">
      <c r="B3099" s="7" t="s">
        <v>11732</v>
      </c>
      <c r="C3099" s="39" t="n">
        <v>45852</v>
      </c>
      <c r="D3099" s="7" t="s">
        <v>194</v>
      </c>
      <c r="E3099" s="7" t="s">
        <v>180</v>
      </c>
      <c r="F3099" s="6" t="n">
        <v>8.84</v>
      </c>
      <c r="G3099" s="6" t="n">
        <v>0</v>
      </c>
      <c r="H3099" s="41" t="n">
        <v>16</v>
      </c>
      <c r="I3099" s="43" t="n">
        <f aca="false">F3099*H3099</f>
        <v>141.44</v>
      </c>
      <c r="J3099" s="43" t="n">
        <f aca="false">G3099*H3099*1.5</f>
        <v>0</v>
      </c>
      <c r="K3099" s="6" t="n">
        <v>21.06</v>
      </c>
      <c r="L3099" s="43" t="n">
        <f aca="false">K3099*'Chart of Accounts'!$E$68</f>
        <v>14.1102</v>
      </c>
      <c r="O3099" s="42" t="n">
        <f aca="false">I3099+J3099+L3099</f>
        <v>155.5502</v>
      </c>
    </row>
    <row r="3100" customFormat="false" ht="15" hidden="false" customHeight="false" outlineLevel="0" collapsed="false">
      <c r="B3100" s="7" t="s">
        <v>11733</v>
      </c>
      <c r="C3100" s="39" t="n">
        <v>45852</v>
      </c>
      <c r="D3100" s="7" t="s">
        <v>201</v>
      </c>
      <c r="E3100" s="7" t="s">
        <v>180</v>
      </c>
      <c r="F3100" s="6" t="n">
        <v>13.57</v>
      </c>
      <c r="G3100" s="6" t="n">
        <v>0</v>
      </c>
      <c r="H3100" s="41" t="n">
        <v>15.19</v>
      </c>
      <c r="I3100" s="43" t="n">
        <f aca="false">F3100*H3100</f>
        <v>206.1283</v>
      </c>
      <c r="J3100" s="43" t="n">
        <f aca="false">G3100*H3100*1.5</f>
        <v>0</v>
      </c>
      <c r="K3100" s="6" t="n">
        <v>41.93</v>
      </c>
      <c r="L3100" s="43" t="n">
        <f aca="false">K3100*'Chart of Accounts'!$E$68</f>
        <v>28.0931</v>
      </c>
      <c r="O3100" s="42" t="n">
        <f aca="false">I3100+J3100+L3100</f>
        <v>234.2214</v>
      </c>
    </row>
    <row r="3101" customFormat="false" ht="15" hidden="false" customHeight="false" outlineLevel="0" collapsed="false">
      <c r="B3101" s="7" t="s">
        <v>11734</v>
      </c>
      <c r="C3101" s="39" t="n">
        <v>45852</v>
      </c>
      <c r="D3101" s="7" t="s">
        <v>205</v>
      </c>
      <c r="E3101" s="7" t="s">
        <v>180</v>
      </c>
      <c r="F3101" s="6" t="n">
        <v>3.87</v>
      </c>
      <c r="G3101" s="6" t="n">
        <v>0</v>
      </c>
      <c r="H3101" s="41" t="n">
        <v>16.36</v>
      </c>
      <c r="I3101" s="43" t="n">
        <f aca="false">F3101*H3101</f>
        <v>63.3132</v>
      </c>
      <c r="J3101" s="43" t="n">
        <f aca="false">G3101*H3101*1.5</f>
        <v>0</v>
      </c>
      <c r="K3101" s="6" t="n">
        <v>10.14</v>
      </c>
      <c r="L3101" s="43" t="n">
        <f aca="false">K3101*'Chart of Accounts'!$E$68</f>
        <v>6.7938</v>
      </c>
      <c r="O3101" s="42" t="n">
        <f aca="false">I3101+J3101+L3101</f>
        <v>70.107</v>
      </c>
    </row>
    <row r="3102" customFormat="false" ht="15" hidden="false" customHeight="false" outlineLevel="0" collapsed="false">
      <c r="B3102" s="7" t="s">
        <v>11735</v>
      </c>
      <c r="C3102" s="39" t="n">
        <v>45852</v>
      </c>
      <c r="D3102" s="7" t="s">
        <v>264</v>
      </c>
      <c r="E3102" s="7" t="s">
        <v>158</v>
      </c>
      <c r="H3102" s="41" t="n">
        <v>55.55</v>
      </c>
      <c r="M3102" s="6" t="n">
        <v>1</v>
      </c>
      <c r="N3102" s="43" t="n">
        <f aca="false">M3102*H3102</f>
        <v>55.55</v>
      </c>
      <c r="O3102" s="42" t="n">
        <f aca="false">N3102</f>
        <v>55.55</v>
      </c>
    </row>
    <row r="3103" customFormat="false" ht="15" hidden="false" customHeight="false" outlineLevel="0" collapsed="false">
      <c r="B3103" s="7" t="s">
        <v>11736</v>
      </c>
      <c r="C3103" s="39" t="n">
        <v>45852</v>
      </c>
      <c r="D3103" s="7" t="s">
        <v>252</v>
      </c>
      <c r="E3103" s="7" t="s">
        <v>158</v>
      </c>
      <c r="H3103" s="41" t="n">
        <v>57.54</v>
      </c>
      <c r="M3103" s="6" t="n">
        <v>1</v>
      </c>
      <c r="N3103" s="43" t="n">
        <f aca="false">M3103*H3103</f>
        <v>57.54</v>
      </c>
      <c r="O3103" s="42" t="n">
        <f aca="false">N3103</f>
        <v>57.54</v>
      </c>
    </row>
    <row r="3104" customFormat="false" ht="15" hidden="false" customHeight="false" outlineLevel="0" collapsed="false">
      <c r="B3104" s="7" t="s">
        <v>11737</v>
      </c>
      <c r="C3104" s="39" t="n">
        <v>45852</v>
      </c>
      <c r="D3104" s="7" t="s">
        <v>196</v>
      </c>
      <c r="E3104" s="7" t="s">
        <v>180</v>
      </c>
      <c r="F3104" s="6" t="n">
        <v>6.41</v>
      </c>
      <c r="G3104" s="6" t="n">
        <v>0</v>
      </c>
      <c r="H3104" s="41" t="n">
        <v>15.05</v>
      </c>
      <c r="I3104" s="43" t="n">
        <f aca="false">F3104*H3104</f>
        <v>96.4705</v>
      </c>
      <c r="J3104" s="43" t="n">
        <f aca="false">G3104*H3104*1.5</f>
        <v>0</v>
      </c>
      <c r="K3104" s="6" t="n">
        <v>16.33</v>
      </c>
      <c r="L3104" s="43" t="n">
        <f aca="false">K3104*'Chart of Accounts'!$E$68</f>
        <v>10.9411</v>
      </c>
      <c r="O3104" s="42" t="n">
        <f aca="false">I3104+J3104+L3104</f>
        <v>107.4116</v>
      </c>
    </row>
    <row r="3105" customFormat="false" ht="15" hidden="false" customHeight="false" outlineLevel="0" collapsed="false">
      <c r="B3105" s="7" t="s">
        <v>11738</v>
      </c>
      <c r="C3105" s="39" t="n">
        <v>45852</v>
      </c>
      <c r="D3105" s="7" t="s">
        <v>184</v>
      </c>
      <c r="E3105" s="7" t="s">
        <v>180</v>
      </c>
      <c r="F3105" s="6" t="n">
        <v>4.29</v>
      </c>
      <c r="G3105" s="6" t="n">
        <v>0</v>
      </c>
      <c r="H3105" s="41" t="n">
        <v>17.34</v>
      </c>
      <c r="I3105" s="43" t="n">
        <f aca="false">F3105*H3105</f>
        <v>74.3886</v>
      </c>
      <c r="J3105" s="43" t="n">
        <f aca="false">G3105*H3105*1.5</f>
        <v>0</v>
      </c>
      <c r="K3105" s="6" t="n">
        <v>10.72</v>
      </c>
      <c r="L3105" s="43" t="n">
        <f aca="false">K3105*'Chart of Accounts'!$E$68</f>
        <v>7.1824</v>
      </c>
      <c r="O3105" s="42" t="n">
        <f aca="false">I3105+J3105+L3105</f>
        <v>81.571</v>
      </c>
    </row>
    <row r="3106" customFormat="false" ht="15" hidden="false" customHeight="false" outlineLevel="0" collapsed="false">
      <c r="B3106" s="7" t="s">
        <v>11739</v>
      </c>
      <c r="C3106" s="39" t="n">
        <v>45852</v>
      </c>
      <c r="D3106" s="7" t="s">
        <v>207</v>
      </c>
      <c r="E3106" s="7" t="s">
        <v>180</v>
      </c>
      <c r="F3106" s="6" t="n">
        <v>5.94</v>
      </c>
      <c r="G3106" s="6" t="n">
        <v>0</v>
      </c>
      <c r="H3106" s="41" t="n">
        <v>16.65</v>
      </c>
      <c r="I3106" s="43" t="n">
        <f aca="false">F3106*H3106</f>
        <v>98.901</v>
      </c>
      <c r="J3106" s="43" t="n">
        <f aca="false">G3106*H3106*1.5</f>
        <v>0</v>
      </c>
      <c r="K3106" s="6" t="n">
        <v>16.73</v>
      </c>
      <c r="L3106" s="43" t="n">
        <f aca="false">K3106*'Chart of Accounts'!$E$68</f>
        <v>11.2091</v>
      </c>
      <c r="O3106" s="42" t="n">
        <f aca="false">I3106+J3106+L3106</f>
        <v>110.1101</v>
      </c>
    </row>
    <row r="3107" customFormat="false" ht="15" hidden="false" customHeight="false" outlineLevel="0" collapsed="false">
      <c r="B3107" s="7" t="s">
        <v>11740</v>
      </c>
      <c r="C3107" s="39" t="n">
        <v>45852</v>
      </c>
      <c r="D3107" s="7" t="s">
        <v>218</v>
      </c>
      <c r="E3107" s="7" t="s">
        <v>180</v>
      </c>
      <c r="F3107" s="6" t="n">
        <v>4.03</v>
      </c>
      <c r="G3107" s="6" t="n">
        <v>0</v>
      </c>
      <c r="H3107" s="41" t="n">
        <v>16.19</v>
      </c>
      <c r="I3107" s="43" t="n">
        <f aca="false">F3107*H3107</f>
        <v>65.2457</v>
      </c>
      <c r="J3107" s="43" t="n">
        <f aca="false">G3107*H3107*1.5</f>
        <v>0</v>
      </c>
      <c r="K3107" s="6" t="n">
        <v>12.68</v>
      </c>
      <c r="L3107" s="43" t="n">
        <f aca="false">K3107*'Chart of Accounts'!$E$68</f>
        <v>8.4956</v>
      </c>
      <c r="O3107" s="42" t="n">
        <f aca="false">I3107+J3107+L3107</f>
        <v>73.7413</v>
      </c>
    </row>
    <row r="3108" customFormat="false" ht="15" hidden="false" customHeight="false" outlineLevel="0" collapsed="false">
      <c r="B3108" s="7" t="s">
        <v>11741</v>
      </c>
      <c r="C3108" s="39" t="n">
        <v>45852</v>
      </c>
      <c r="D3108" s="7" t="s">
        <v>238</v>
      </c>
      <c r="E3108" s="7" t="s">
        <v>180</v>
      </c>
      <c r="F3108" s="6" t="n">
        <v>12.07</v>
      </c>
      <c r="G3108" s="6" t="n">
        <v>0</v>
      </c>
      <c r="H3108" s="41" t="n">
        <v>15.85</v>
      </c>
      <c r="I3108" s="43" t="n">
        <f aca="false">F3108*H3108</f>
        <v>191.3095</v>
      </c>
      <c r="J3108" s="43" t="n">
        <f aca="false">G3108*H3108*1.5</f>
        <v>0</v>
      </c>
      <c r="K3108" s="6" t="n">
        <v>40.21</v>
      </c>
      <c r="L3108" s="43" t="n">
        <f aca="false">K3108*'Chart of Accounts'!$E$68</f>
        <v>26.9407</v>
      </c>
      <c r="O3108" s="42" t="n">
        <f aca="false">I3108+J3108+L3108</f>
        <v>218.2502</v>
      </c>
    </row>
    <row r="3109" customFormat="false" ht="15" hidden="false" customHeight="false" outlineLevel="0" collapsed="false">
      <c r="B3109" s="7" t="s">
        <v>11742</v>
      </c>
      <c r="C3109" s="39" t="n">
        <v>45852</v>
      </c>
      <c r="D3109" s="7" t="s">
        <v>220</v>
      </c>
      <c r="E3109" s="7" t="s">
        <v>180</v>
      </c>
      <c r="F3109" s="6" t="n">
        <v>7.96</v>
      </c>
      <c r="G3109" s="6" t="n">
        <v>0</v>
      </c>
      <c r="H3109" s="41" t="n">
        <v>16.43</v>
      </c>
      <c r="I3109" s="43" t="n">
        <f aca="false">F3109*H3109</f>
        <v>130.7828</v>
      </c>
      <c r="J3109" s="43" t="n">
        <f aca="false">G3109*H3109*1.5</f>
        <v>0</v>
      </c>
      <c r="K3109" s="6" t="n">
        <v>27.69</v>
      </c>
      <c r="L3109" s="43" t="n">
        <f aca="false">K3109*'Chart of Accounts'!$E$68</f>
        <v>18.5523</v>
      </c>
      <c r="O3109" s="42" t="n">
        <f aca="false">I3109+J3109+L3109</f>
        <v>149.3351</v>
      </c>
    </row>
    <row r="3110" customFormat="false" ht="15" hidden="false" customHeight="false" outlineLevel="0" collapsed="false">
      <c r="B3110" s="7" t="s">
        <v>11743</v>
      </c>
      <c r="C3110" s="39" t="n">
        <v>45852</v>
      </c>
      <c r="D3110" s="7" t="s">
        <v>177</v>
      </c>
      <c r="E3110" s="7" t="s">
        <v>180</v>
      </c>
      <c r="F3110" s="6" t="n">
        <v>9.07</v>
      </c>
      <c r="G3110" s="6" t="n">
        <v>0</v>
      </c>
      <c r="H3110" s="41" t="n">
        <v>14.56</v>
      </c>
      <c r="I3110" s="43" t="n">
        <f aca="false">F3110*H3110</f>
        <v>132.0592</v>
      </c>
      <c r="J3110" s="43" t="n">
        <f aca="false">G3110*H3110*1.5</f>
        <v>0</v>
      </c>
      <c r="K3110" s="6" t="n">
        <v>29.04</v>
      </c>
      <c r="L3110" s="43" t="n">
        <f aca="false">K3110*'Chart of Accounts'!$E$68</f>
        <v>19.4568</v>
      </c>
      <c r="O3110" s="42" t="n">
        <f aca="false">I3110+J3110+L3110</f>
        <v>151.516</v>
      </c>
    </row>
    <row r="3111" customFormat="false" ht="15" hidden="false" customHeight="false" outlineLevel="0" collapsed="false">
      <c r="B3111" s="7" t="s">
        <v>11744</v>
      </c>
      <c r="C3111" s="39" t="n">
        <v>45852</v>
      </c>
      <c r="D3111" s="7" t="s">
        <v>232</v>
      </c>
      <c r="E3111" s="7" t="s">
        <v>180</v>
      </c>
      <c r="F3111" s="6" t="n">
        <v>7.57</v>
      </c>
      <c r="G3111" s="6" t="n">
        <v>0</v>
      </c>
      <c r="H3111" s="41" t="n">
        <v>16.17</v>
      </c>
      <c r="I3111" s="43" t="n">
        <f aca="false">F3111*H3111</f>
        <v>122.4069</v>
      </c>
      <c r="J3111" s="43" t="n">
        <f aca="false">G3111*H3111*1.5</f>
        <v>0</v>
      </c>
      <c r="K3111" s="6" t="n">
        <v>26.28</v>
      </c>
      <c r="L3111" s="43" t="n">
        <f aca="false">K3111*'Chart of Accounts'!$E$68</f>
        <v>17.6076</v>
      </c>
      <c r="O3111" s="42" t="n">
        <f aca="false">I3111+J3111+L3111</f>
        <v>140.0145</v>
      </c>
    </row>
    <row r="3112" customFormat="false" ht="15" hidden="false" customHeight="false" outlineLevel="0" collapsed="false">
      <c r="B3112" s="7" t="s">
        <v>11745</v>
      </c>
      <c r="C3112" s="39" t="n">
        <v>45852</v>
      </c>
      <c r="D3112" s="7" t="s">
        <v>242</v>
      </c>
      <c r="E3112" s="7" t="s">
        <v>180</v>
      </c>
      <c r="F3112" s="6" t="n">
        <v>9.574</v>
      </c>
      <c r="G3112" s="6" t="n">
        <v>1.166</v>
      </c>
      <c r="H3112" s="41" t="n">
        <v>17.99</v>
      </c>
      <c r="I3112" s="43" t="n">
        <f aca="false">F3112*H3112</f>
        <v>172.23626</v>
      </c>
      <c r="J3112" s="43" t="n">
        <f aca="false">G3112*H3112*1.5</f>
        <v>31.46451</v>
      </c>
      <c r="K3112" s="6" t="n">
        <v>24.64</v>
      </c>
      <c r="L3112" s="43" t="n">
        <f aca="false">K3112*'Chart of Accounts'!$E$68</f>
        <v>16.5088</v>
      </c>
      <c r="O3112" s="42" t="n">
        <f aca="false">I3112+J3112+L3112</f>
        <v>220.20957</v>
      </c>
    </row>
    <row r="3113" customFormat="false" ht="15" hidden="false" customHeight="false" outlineLevel="0" collapsed="false">
      <c r="B3113" s="7" t="s">
        <v>11746</v>
      </c>
      <c r="C3113" s="39" t="n">
        <v>45852</v>
      </c>
      <c r="D3113" s="7" t="s">
        <v>222</v>
      </c>
      <c r="E3113" s="7" t="s">
        <v>180</v>
      </c>
      <c r="F3113" s="6" t="n">
        <v>7.37</v>
      </c>
      <c r="G3113" s="6" t="n">
        <v>0</v>
      </c>
      <c r="H3113" s="41" t="n">
        <v>17.84</v>
      </c>
      <c r="I3113" s="43" t="n">
        <f aca="false">F3113*H3113</f>
        <v>131.4808</v>
      </c>
      <c r="J3113" s="43" t="n">
        <f aca="false">G3113*H3113*1.5</f>
        <v>0</v>
      </c>
      <c r="K3113" s="6" t="n">
        <v>20.48</v>
      </c>
      <c r="L3113" s="43" t="n">
        <f aca="false">K3113*'Chart of Accounts'!$E$68</f>
        <v>13.7216</v>
      </c>
      <c r="O3113" s="42" t="n">
        <f aca="false">I3113+J3113+L3113</f>
        <v>145.2024</v>
      </c>
    </row>
    <row r="3114" customFormat="false" ht="15" hidden="false" customHeight="false" outlineLevel="0" collapsed="false">
      <c r="B3114" s="7" t="s">
        <v>11747</v>
      </c>
      <c r="C3114" s="39" t="n">
        <v>45852</v>
      </c>
      <c r="D3114" s="7" t="s">
        <v>254</v>
      </c>
      <c r="E3114" s="7" t="s">
        <v>180</v>
      </c>
      <c r="F3114" s="6" t="n">
        <v>6.81</v>
      </c>
      <c r="G3114" s="6" t="n">
        <v>0</v>
      </c>
      <c r="H3114" s="41" t="n">
        <v>17.1</v>
      </c>
      <c r="I3114" s="43" t="n">
        <f aca="false">F3114*H3114</f>
        <v>116.451</v>
      </c>
      <c r="J3114" s="43" t="n">
        <f aca="false">G3114*H3114*1.5</f>
        <v>0</v>
      </c>
      <c r="K3114" s="6" t="n">
        <v>21.17</v>
      </c>
      <c r="L3114" s="43" t="n">
        <f aca="false">K3114*'Chart of Accounts'!$E$68</f>
        <v>14.1839</v>
      </c>
      <c r="O3114" s="42" t="n">
        <f aca="false">I3114+J3114+L3114</f>
        <v>130.6349</v>
      </c>
    </row>
    <row r="3115" customFormat="false" ht="15" hidden="false" customHeight="false" outlineLevel="0" collapsed="false">
      <c r="B3115" s="7" t="s">
        <v>11748</v>
      </c>
      <c r="C3115" s="39" t="n">
        <v>45852</v>
      </c>
      <c r="D3115" s="7" t="s">
        <v>246</v>
      </c>
      <c r="E3115" s="7" t="s">
        <v>180</v>
      </c>
      <c r="F3115" s="6" t="n">
        <v>8.02</v>
      </c>
      <c r="G3115" s="6" t="n">
        <v>0</v>
      </c>
      <c r="H3115" s="41" t="n">
        <v>16.48</v>
      </c>
      <c r="I3115" s="43" t="n">
        <f aca="false">F3115*H3115</f>
        <v>132.1696</v>
      </c>
      <c r="J3115" s="43" t="n">
        <f aca="false">G3115*H3115*1.5</f>
        <v>0</v>
      </c>
      <c r="K3115" s="6" t="n">
        <v>20.84</v>
      </c>
      <c r="L3115" s="43" t="n">
        <f aca="false">K3115*'Chart of Accounts'!$E$68</f>
        <v>13.9628</v>
      </c>
      <c r="O3115" s="42" t="n">
        <f aca="false">I3115+J3115+L3115</f>
        <v>146.1324</v>
      </c>
    </row>
    <row r="3116" customFormat="false" ht="15" hidden="false" customHeight="false" outlineLevel="0" collapsed="false">
      <c r="B3116" s="7" t="s">
        <v>11749</v>
      </c>
      <c r="C3116" s="39" t="n">
        <v>45852</v>
      </c>
      <c r="D3116" s="7" t="s">
        <v>214</v>
      </c>
      <c r="E3116" s="7" t="s">
        <v>180</v>
      </c>
      <c r="F3116" s="6" t="n">
        <v>7.66</v>
      </c>
      <c r="G3116" s="6" t="n">
        <v>0</v>
      </c>
      <c r="H3116" s="41" t="n">
        <v>15.67</v>
      </c>
      <c r="I3116" s="43" t="n">
        <f aca="false">F3116*H3116</f>
        <v>120.0322</v>
      </c>
      <c r="J3116" s="43" t="n">
        <f aca="false">G3116*H3116*1.5</f>
        <v>0</v>
      </c>
      <c r="K3116" s="6" t="n">
        <v>21.75</v>
      </c>
      <c r="L3116" s="43" t="n">
        <f aca="false">K3116*'Chart of Accounts'!$E$68</f>
        <v>14.5725</v>
      </c>
      <c r="O3116" s="42" t="n">
        <f aca="false">I3116+J3116+L3116</f>
        <v>134.6047</v>
      </c>
    </row>
    <row r="3117" customFormat="false" ht="15" hidden="false" customHeight="false" outlineLevel="0" collapsed="false">
      <c r="B3117" s="7" t="s">
        <v>11750</v>
      </c>
      <c r="C3117" s="39" t="n">
        <v>45853</v>
      </c>
      <c r="D3117" s="7" t="s">
        <v>232</v>
      </c>
      <c r="E3117" s="7" t="s">
        <v>180</v>
      </c>
      <c r="F3117" s="6" t="n">
        <v>3.71</v>
      </c>
      <c r="G3117" s="6" t="n">
        <v>0</v>
      </c>
      <c r="H3117" s="41" t="n">
        <v>16.17</v>
      </c>
      <c r="I3117" s="43" t="n">
        <f aca="false">F3117*H3117</f>
        <v>59.9907</v>
      </c>
      <c r="J3117" s="43" t="n">
        <f aca="false">G3117*H3117*1.5</f>
        <v>0</v>
      </c>
      <c r="K3117" s="6" t="n">
        <v>12.7</v>
      </c>
      <c r="L3117" s="43" t="n">
        <f aca="false">K3117*'Chart of Accounts'!$E$68</f>
        <v>8.509</v>
      </c>
      <c r="O3117" s="42" t="n">
        <f aca="false">I3117+J3117+L3117</f>
        <v>68.4997</v>
      </c>
    </row>
    <row r="3118" customFormat="false" ht="15" hidden="false" customHeight="false" outlineLevel="0" collapsed="false">
      <c r="B3118" s="7" t="s">
        <v>11751</v>
      </c>
      <c r="C3118" s="39" t="n">
        <v>45853</v>
      </c>
      <c r="D3118" s="7" t="s">
        <v>209</v>
      </c>
      <c r="E3118" s="7" t="s">
        <v>158</v>
      </c>
      <c r="H3118" s="41" t="n">
        <v>73.58</v>
      </c>
      <c r="M3118" s="6" t="n">
        <v>2</v>
      </c>
      <c r="N3118" s="43" t="n">
        <f aca="false">M3118*H3118</f>
        <v>147.16</v>
      </c>
      <c r="O3118" s="42" t="n">
        <f aca="false">N3118</f>
        <v>147.16</v>
      </c>
    </row>
    <row r="3119" customFormat="false" ht="15" hidden="false" customHeight="false" outlineLevel="0" collapsed="false">
      <c r="B3119" s="7" t="s">
        <v>11752</v>
      </c>
      <c r="C3119" s="39" t="n">
        <v>45853</v>
      </c>
      <c r="D3119" s="7" t="s">
        <v>184</v>
      </c>
      <c r="E3119" s="7" t="s">
        <v>180</v>
      </c>
      <c r="F3119" s="6" t="n">
        <v>3.76</v>
      </c>
      <c r="G3119" s="6" t="n">
        <v>0</v>
      </c>
      <c r="H3119" s="41" t="n">
        <v>17.34</v>
      </c>
      <c r="I3119" s="43" t="n">
        <f aca="false">F3119*H3119</f>
        <v>65.1984</v>
      </c>
      <c r="J3119" s="43" t="n">
        <f aca="false">G3119*H3119*1.5</f>
        <v>0</v>
      </c>
      <c r="K3119" s="6" t="n">
        <v>10.47</v>
      </c>
      <c r="L3119" s="43" t="n">
        <f aca="false">K3119*'Chart of Accounts'!$E$68</f>
        <v>7.0149</v>
      </c>
      <c r="O3119" s="42" t="n">
        <f aca="false">I3119+J3119+L3119</f>
        <v>72.2133</v>
      </c>
    </row>
    <row r="3120" customFormat="false" ht="15" hidden="false" customHeight="false" outlineLevel="0" collapsed="false">
      <c r="B3120" s="7" t="s">
        <v>11753</v>
      </c>
      <c r="C3120" s="39" t="n">
        <v>45853</v>
      </c>
      <c r="D3120" s="7" t="s">
        <v>234</v>
      </c>
      <c r="E3120" s="7" t="s">
        <v>158</v>
      </c>
      <c r="H3120" s="41" t="n">
        <v>89.53</v>
      </c>
      <c r="M3120" s="6" t="n">
        <v>2</v>
      </c>
      <c r="N3120" s="43" t="n">
        <f aca="false">M3120*H3120</f>
        <v>179.06</v>
      </c>
      <c r="O3120" s="42" t="n">
        <f aca="false">N3120</f>
        <v>179.06</v>
      </c>
    </row>
    <row r="3121" customFormat="false" ht="15" hidden="false" customHeight="false" outlineLevel="0" collapsed="false">
      <c r="B3121" s="7" t="s">
        <v>11754</v>
      </c>
      <c r="C3121" s="39" t="n">
        <v>45853</v>
      </c>
      <c r="D3121" s="7" t="s">
        <v>218</v>
      </c>
      <c r="E3121" s="7" t="s">
        <v>180</v>
      </c>
      <c r="F3121" s="6" t="n">
        <v>4.39</v>
      </c>
      <c r="G3121" s="6" t="n">
        <v>0</v>
      </c>
      <c r="H3121" s="41" t="n">
        <v>16.19</v>
      </c>
      <c r="I3121" s="43" t="n">
        <f aca="false">F3121*H3121</f>
        <v>71.0741</v>
      </c>
      <c r="J3121" s="43" t="n">
        <f aca="false">G3121*H3121*1.5</f>
        <v>0</v>
      </c>
      <c r="K3121" s="6" t="n">
        <v>14.95</v>
      </c>
      <c r="L3121" s="43" t="n">
        <f aca="false">K3121*'Chart of Accounts'!$E$68</f>
        <v>10.0165</v>
      </c>
      <c r="O3121" s="42" t="n">
        <f aca="false">I3121+J3121+L3121</f>
        <v>81.0906</v>
      </c>
    </row>
    <row r="3122" customFormat="false" ht="15" hidden="false" customHeight="false" outlineLevel="0" collapsed="false">
      <c r="B3122" s="7" t="s">
        <v>11755</v>
      </c>
      <c r="C3122" s="39" t="n">
        <v>45853</v>
      </c>
      <c r="D3122" s="7" t="s">
        <v>266</v>
      </c>
      <c r="E3122" s="7" t="s">
        <v>158</v>
      </c>
      <c r="H3122" s="41" t="n">
        <v>75.18</v>
      </c>
      <c r="M3122" s="6" t="n">
        <v>1</v>
      </c>
      <c r="N3122" s="43" t="n">
        <f aca="false">M3122*H3122</f>
        <v>75.18</v>
      </c>
      <c r="O3122" s="42" t="n">
        <f aca="false">N3122</f>
        <v>75.18</v>
      </c>
    </row>
    <row r="3123" customFormat="false" ht="15" hidden="false" customHeight="false" outlineLevel="0" collapsed="false">
      <c r="B3123" s="7" t="s">
        <v>11756</v>
      </c>
      <c r="C3123" s="39" t="n">
        <v>45853</v>
      </c>
      <c r="D3123" s="7" t="s">
        <v>228</v>
      </c>
      <c r="E3123" s="7" t="s">
        <v>158</v>
      </c>
      <c r="H3123" s="41" t="n">
        <v>51.07</v>
      </c>
      <c r="M3123" s="6" t="n">
        <v>1</v>
      </c>
      <c r="N3123" s="43" t="n">
        <f aca="false">M3123*H3123</f>
        <v>51.07</v>
      </c>
      <c r="O3123" s="42" t="n">
        <f aca="false">N3123</f>
        <v>51.07</v>
      </c>
    </row>
    <row r="3124" customFormat="false" ht="15" hidden="false" customHeight="false" outlineLevel="0" collapsed="false">
      <c r="B3124" s="7" t="s">
        <v>11757</v>
      </c>
      <c r="C3124" s="39" t="n">
        <v>45853</v>
      </c>
      <c r="D3124" s="7" t="s">
        <v>214</v>
      </c>
      <c r="E3124" s="7" t="s">
        <v>180</v>
      </c>
      <c r="F3124" s="6" t="n">
        <v>4.32</v>
      </c>
      <c r="G3124" s="6" t="n">
        <v>0</v>
      </c>
      <c r="H3124" s="41" t="n">
        <v>15.67</v>
      </c>
      <c r="I3124" s="43" t="n">
        <f aca="false">F3124*H3124</f>
        <v>67.6944</v>
      </c>
      <c r="J3124" s="43" t="n">
        <f aca="false">G3124*H3124*1.5</f>
        <v>0</v>
      </c>
      <c r="K3124" s="6" t="n">
        <v>14.34</v>
      </c>
      <c r="L3124" s="43" t="n">
        <f aca="false">K3124*'Chart of Accounts'!$E$68</f>
        <v>9.6078</v>
      </c>
      <c r="O3124" s="42" t="n">
        <f aca="false">I3124+J3124+L3124</f>
        <v>77.3022</v>
      </c>
    </row>
    <row r="3125" customFormat="false" ht="15" hidden="false" customHeight="false" outlineLevel="0" collapsed="false">
      <c r="B3125" s="7" t="s">
        <v>11758</v>
      </c>
      <c r="C3125" s="39" t="n">
        <v>45853</v>
      </c>
      <c r="D3125" s="7" t="s">
        <v>194</v>
      </c>
      <c r="E3125" s="7" t="s">
        <v>180</v>
      </c>
      <c r="F3125" s="6" t="n">
        <v>3.82</v>
      </c>
      <c r="G3125" s="6" t="n">
        <v>0</v>
      </c>
      <c r="H3125" s="41" t="n">
        <v>16</v>
      </c>
      <c r="I3125" s="43" t="n">
        <f aca="false">F3125*H3125</f>
        <v>61.12</v>
      </c>
      <c r="J3125" s="43" t="n">
        <f aca="false">G3125*H3125*1.5</f>
        <v>0</v>
      </c>
      <c r="K3125" s="6" t="n">
        <v>8.97</v>
      </c>
      <c r="L3125" s="43" t="n">
        <f aca="false">K3125*'Chart of Accounts'!$E$68</f>
        <v>6.0099</v>
      </c>
      <c r="O3125" s="42" t="n">
        <f aca="false">I3125+J3125+L3125</f>
        <v>67.1299</v>
      </c>
    </row>
    <row r="3126" customFormat="false" ht="15" hidden="false" customHeight="false" outlineLevel="0" collapsed="false">
      <c r="B3126" s="7" t="s">
        <v>11759</v>
      </c>
      <c r="C3126" s="39" t="n">
        <v>45853</v>
      </c>
      <c r="D3126" s="7" t="s">
        <v>246</v>
      </c>
      <c r="E3126" s="7" t="s">
        <v>180</v>
      </c>
      <c r="F3126" s="6" t="n">
        <v>4.3</v>
      </c>
      <c r="G3126" s="6" t="n">
        <v>0</v>
      </c>
      <c r="H3126" s="41" t="n">
        <v>16.48</v>
      </c>
      <c r="I3126" s="43" t="n">
        <f aca="false">F3126*H3126</f>
        <v>70.864</v>
      </c>
      <c r="J3126" s="43" t="n">
        <f aca="false">G3126*H3126*1.5</f>
        <v>0</v>
      </c>
      <c r="K3126" s="6" t="n">
        <v>13.23</v>
      </c>
      <c r="L3126" s="43" t="n">
        <f aca="false">K3126*'Chart of Accounts'!$E$68</f>
        <v>8.8641</v>
      </c>
      <c r="O3126" s="42" t="n">
        <f aca="false">I3126+J3126+L3126</f>
        <v>79.7281</v>
      </c>
    </row>
    <row r="3127" customFormat="false" ht="15" hidden="false" customHeight="false" outlineLevel="0" collapsed="false">
      <c r="B3127" s="7" t="s">
        <v>11760</v>
      </c>
      <c r="C3127" s="39" t="n">
        <v>45853</v>
      </c>
      <c r="D3127" s="7" t="s">
        <v>222</v>
      </c>
      <c r="E3127" s="7" t="s">
        <v>180</v>
      </c>
      <c r="F3127" s="6" t="n">
        <v>4.06</v>
      </c>
      <c r="G3127" s="6" t="n">
        <v>0</v>
      </c>
      <c r="H3127" s="41" t="n">
        <v>17.84</v>
      </c>
      <c r="I3127" s="43" t="n">
        <f aca="false">F3127*H3127</f>
        <v>72.4304</v>
      </c>
      <c r="J3127" s="43" t="n">
        <f aca="false">G3127*H3127*1.5</f>
        <v>0</v>
      </c>
      <c r="K3127" s="6" t="n">
        <v>10.12</v>
      </c>
      <c r="L3127" s="43" t="n">
        <f aca="false">K3127*'Chart of Accounts'!$E$68</f>
        <v>6.7804</v>
      </c>
      <c r="O3127" s="42" t="n">
        <f aca="false">I3127+J3127+L3127</f>
        <v>79.2108</v>
      </c>
    </row>
    <row r="3128" customFormat="false" ht="15" hidden="false" customHeight="false" outlineLevel="0" collapsed="false">
      <c r="B3128" s="7" t="s">
        <v>11761</v>
      </c>
      <c r="C3128" s="39" t="n">
        <v>45853</v>
      </c>
      <c r="D3128" s="7" t="s">
        <v>242</v>
      </c>
      <c r="E3128" s="7" t="s">
        <v>180</v>
      </c>
      <c r="F3128" s="6" t="n">
        <v>3.548</v>
      </c>
      <c r="G3128" s="6" t="n">
        <v>0.432</v>
      </c>
      <c r="H3128" s="41" t="n">
        <v>17.99</v>
      </c>
      <c r="I3128" s="43" t="n">
        <f aca="false">F3128*H3128</f>
        <v>63.82852</v>
      </c>
      <c r="J3128" s="43" t="n">
        <f aca="false">G3128*H3128*1.5</f>
        <v>11.65752</v>
      </c>
      <c r="K3128" s="6" t="n">
        <v>12.65</v>
      </c>
      <c r="L3128" s="43" t="n">
        <f aca="false">K3128*'Chart of Accounts'!$E$68</f>
        <v>8.4755</v>
      </c>
      <c r="O3128" s="42" t="n">
        <f aca="false">I3128+J3128+L3128</f>
        <v>83.96154</v>
      </c>
    </row>
    <row r="3129" customFormat="false" ht="15" hidden="false" customHeight="false" outlineLevel="0" collapsed="false">
      <c r="B3129" s="7" t="s">
        <v>11762</v>
      </c>
      <c r="C3129" s="39" t="n">
        <v>45853</v>
      </c>
      <c r="D3129" s="7" t="s">
        <v>203</v>
      </c>
      <c r="E3129" s="7" t="s">
        <v>158</v>
      </c>
      <c r="H3129" s="41" t="n">
        <v>49.43</v>
      </c>
      <c r="M3129" s="6" t="n">
        <v>1</v>
      </c>
      <c r="N3129" s="43" t="n">
        <f aca="false">M3129*H3129</f>
        <v>49.43</v>
      </c>
      <c r="O3129" s="42" t="n">
        <f aca="false">N3129</f>
        <v>49.43</v>
      </c>
    </row>
    <row r="3130" customFormat="false" ht="15" hidden="false" customHeight="false" outlineLevel="0" collapsed="false">
      <c r="B3130" s="7" t="s">
        <v>11763</v>
      </c>
      <c r="C3130" s="39" t="n">
        <v>45853</v>
      </c>
      <c r="D3130" s="7" t="s">
        <v>254</v>
      </c>
      <c r="E3130" s="7" t="s">
        <v>180</v>
      </c>
      <c r="F3130" s="6" t="n">
        <v>4.01</v>
      </c>
      <c r="G3130" s="6" t="n">
        <v>0</v>
      </c>
      <c r="H3130" s="41" t="n">
        <v>17.1</v>
      </c>
      <c r="I3130" s="43" t="n">
        <f aca="false">F3130*H3130</f>
        <v>68.571</v>
      </c>
      <c r="J3130" s="43" t="n">
        <f aca="false">G3130*H3130*1.5</f>
        <v>0</v>
      </c>
      <c r="K3130" s="6" t="n">
        <v>11.58</v>
      </c>
      <c r="L3130" s="43" t="n">
        <f aca="false">K3130*'Chart of Accounts'!$E$68</f>
        <v>7.7586</v>
      </c>
      <c r="O3130" s="42" t="n">
        <f aca="false">I3130+J3130+L3130</f>
        <v>76.3296</v>
      </c>
    </row>
    <row r="3131" customFormat="false" ht="15" hidden="false" customHeight="false" outlineLevel="0" collapsed="false">
      <c r="B3131" s="7" t="s">
        <v>11764</v>
      </c>
      <c r="C3131" s="39" t="n">
        <v>45853</v>
      </c>
      <c r="D3131" s="7" t="s">
        <v>260</v>
      </c>
      <c r="E3131" s="7" t="s">
        <v>158</v>
      </c>
      <c r="H3131" s="41" t="n">
        <v>79.8</v>
      </c>
      <c r="M3131" s="6" t="n">
        <v>1</v>
      </c>
      <c r="N3131" s="43" t="n">
        <f aca="false">M3131*H3131</f>
        <v>79.8</v>
      </c>
      <c r="O3131" s="42" t="n">
        <f aca="false">N3131</f>
        <v>79.8</v>
      </c>
    </row>
    <row r="3132" customFormat="false" ht="15" hidden="false" customHeight="false" outlineLevel="0" collapsed="false">
      <c r="B3132" s="7" t="s">
        <v>11765</v>
      </c>
      <c r="C3132" s="39" t="n">
        <v>45854</v>
      </c>
      <c r="D3132" s="7" t="s">
        <v>187</v>
      </c>
      <c r="E3132" s="7" t="s">
        <v>158</v>
      </c>
      <c r="H3132" s="41" t="n">
        <v>66.48</v>
      </c>
      <c r="M3132" s="6" t="n">
        <v>1</v>
      </c>
      <c r="N3132" s="43" t="n">
        <f aca="false">M3132*H3132</f>
        <v>66.48</v>
      </c>
      <c r="O3132" s="42" t="n">
        <f aca="false">N3132</f>
        <v>66.48</v>
      </c>
    </row>
    <row r="3133" customFormat="false" ht="15" hidden="false" customHeight="false" outlineLevel="0" collapsed="false">
      <c r="B3133" s="7" t="s">
        <v>11766</v>
      </c>
      <c r="C3133" s="39" t="n">
        <v>45854</v>
      </c>
      <c r="D3133" s="7" t="s">
        <v>194</v>
      </c>
      <c r="E3133" s="7" t="s">
        <v>180</v>
      </c>
      <c r="F3133" s="6" t="n">
        <v>12.47</v>
      </c>
      <c r="G3133" s="6" t="n">
        <v>0</v>
      </c>
      <c r="H3133" s="41" t="n">
        <v>16</v>
      </c>
      <c r="I3133" s="43" t="n">
        <f aca="false">F3133*H3133</f>
        <v>199.52</v>
      </c>
      <c r="J3133" s="43" t="n">
        <f aca="false">G3133*H3133*1.5</f>
        <v>0</v>
      </c>
      <c r="K3133" s="6" t="n">
        <v>42.23</v>
      </c>
      <c r="L3133" s="43" t="n">
        <f aca="false">K3133*'Chart of Accounts'!$E$68</f>
        <v>28.2941</v>
      </c>
      <c r="O3133" s="42" t="n">
        <f aca="false">I3133+J3133+L3133</f>
        <v>227.8141</v>
      </c>
    </row>
    <row r="3134" customFormat="false" ht="15" hidden="false" customHeight="false" outlineLevel="0" collapsed="false">
      <c r="B3134" s="7" t="s">
        <v>11767</v>
      </c>
      <c r="C3134" s="39" t="n">
        <v>45854</v>
      </c>
      <c r="D3134" s="7" t="s">
        <v>205</v>
      </c>
      <c r="E3134" s="7" t="s">
        <v>180</v>
      </c>
      <c r="F3134" s="6" t="n">
        <v>3.62</v>
      </c>
      <c r="G3134" s="6" t="n">
        <v>0</v>
      </c>
      <c r="H3134" s="41" t="n">
        <v>16.36</v>
      </c>
      <c r="I3134" s="43" t="n">
        <f aca="false">F3134*H3134</f>
        <v>59.2232</v>
      </c>
      <c r="J3134" s="43" t="n">
        <f aca="false">G3134*H3134*1.5</f>
        <v>0</v>
      </c>
      <c r="K3134" s="6" t="n">
        <v>10.79</v>
      </c>
      <c r="L3134" s="43" t="n">
        <f aca="false">K3134*'Chart of Accounts'!$E$68</f>
        <v>7.2293</v>
      </c>
      <c r="O3134" s="42" t="n">
        <f aca="false">I3134+J3134+L3134</f>
        <v>66.4525</v>
      </c>
    </row>
    <row r="3135" customFormat="false" ht="15" hidden="false" customHeight="false" outlineLevel="0" collapsed="false">
      <c r="B3135" s="7" t="s">
        <v>11768</v>
      </c>
      <c r="C3135" s="39" t="n">
        <v>45854</v>
      </c>
      <c r="D3135" s="7" t="s">
        <v>264</v>
      </c>
      <c r="E3135" s="7" t="s">
        <v>158</v>
      </c>
      <c r="H3135" s="41" t="n">
        <v>55.55</v>
      </c>
      <c r="M3135" s="6" t="n">
        <v>1</v>
      </c>
      <c r="N3135" s="43" t="n">
        <f aca="false">M3135*H3135</f>
        <v>55.55</v>
      </c>
      <c r="O3135" s="42" t="n">
        <f aca="false">N3135</f>
        <v>55.55</v>
      </c>
    </row>
    <row r="3136" customFormat="false" ht="15" hidden="false" customHeight="false" outlineLevel="0" collapsed="false">
      <c r="B3136" s="7" t="s">
        <v>11769</v>
      </c>
      <c r="C3136" s="39" t="n">
        <v>45854</v>
      </c>
      <c r="D3136" s="7" t="s">
        <v>252</v>
      </c>
      <c r="E3136" s="7" t="s">
        <v>158</v>
      </c>
      <c r="H3136" s="41" t="n">
        <v>57.54</v>
      </c>
      <c r="M3136" s="6" t="n">
        <v>1</v>
      </c>
      <c r="N3136" s="43" t="n">
        <f aca="false">M3136*H3136</f>
        <v>57.54</v>
      </c>
      <c r="O3136" s="42" t="n">
        <f aca="false">N3136</f>
        <v>57.54</v>
      </c>
    </row>
    <row r="3137" customFormat="false" ht="15" hidden="false" customHeight="false" outlineLevel="0" collapsed="false">
      <c r="B3137" s="7" t="s">
        <v>11770</v>
      </c>
      <c r="C3137" s="39" t="n">
        <v>45854</v>
      </c>
      <c r="D3137" s="7" t="s">
        <v>184</v>
      </c>
      <c r="E3137" s="7" t="s">
        <v>180</v>
      </c>
      <c r="F3137" s="6" t="n">
        <v>3.66</v>
      </c>
      <c r="G3137" s="6" t="n">
        <v>0</v>
      </c>
      <c r="H3137" s="41" t="n">
        <v>17.34</v>
      </c>
      <c r="I3137" s="43" t="n">
        <f aca="false">F3137*H3137</f>
        <v>63.4644</v>
      </c>
      <c r="J3137" s="43" t="n">
        <f aca="false">G3137*H3137*1.5</f>
        <v>0</v>
      </c>
      <c r="K3137" s="6" t="n">
        <v>10.55</v>
      </c>
      <c r="L3137" s="43" t="n">
        <f aca="false">K3137*'Chart of Accounts'!$E$68</f>
        <v>7.0685</v>
      </c>
      <c r="O3137" s="42" t="n">
        <f aca="false">I3137+J3137+L3137</f>
        <v>70.5329</v>
      </c>
    </row>
    <row r="3138" customFormat="false" ht="15" hidden="false" customHeight="false" outlineLevel="0" collapsed="false">
      <c r="B3138" s="7" t="s">
        <v>11771</v>
      </c>
      <c r="C3138" s="39" t="n">
        <v>45854</v>
      </c>
      <c r="D3138" s="7" t="s">
        <v>218</v>
      </c>
      <c r="E3138" s="7" t="s">
        <v>180</v>
      </c>
      <c r="F3138" s="6" t="n">
        <v>3.87</v>
      </c>
      <c r="G3138" s="6" t="n">
        <v>0</v>
      </c>
      <c r="H3138" s="41" t="n">
        <v>16.19</v>
      </c>
      <c r="I3138" s="43" t="n">
        <f aca="false">F3138*H3138</f>
        <v>62.6553</v>
      </c>
      <c r="J3138" s="43" t="n">
        <f aca="false">G3138*H3138*1.5</f>
        <v>0</v>
      </c>
      <c r="K3138" s="6" t="n">
        <v>12.62</v>
      </c>
      <c r="L3138" s="43" t="n">
        <f aca="false">K3138*'Chart of Accounts'!$E$68</f>
        <v>8.4554</v>
      </c>
      <c r="O3138" s="42" t="n">
        <f aca="false">I3138+J3138+L3138</f>
        <v>71.1107</v>
      </c>
    </row>
    <row r="3139" customFormat="false" ht="15" hidden="false" customHeight="false" outlineLevel="0" collapsed="false">
      <c r="B3139" s="7" t="s">
        <v>11772</v>
      </c>
      <c r="C3139" s="39" t="n">
        <v>45854</v>
      </c>
      <c r="D3139" s="7" t="s">
        <v>220</v>
      </c>
      <c r="E3139" s="7" t="s">
        <v>180</v>
      </c>
      <c r="F3139" s="6" t="n">
        <v>4.07</v>
      </c>
      <c r="G3139" s="6" t="n">
        <v>0</v>
      </c>
      <c r="H3139" s="41" t="n">
        <v>16.43</v>
      </c>
      <c r="I3139" s="43" t="n">
        <f aca="false">F3139*H3139</f>
        <v>66.8701</v>
      </c>
      <c r="J3139" s="43" t="n">
        <f aca="false">G3139*H3139*1.5</f>
        <v>0</v>
      </c>
      <c r="K3139" s="6" t="n">
        <v>9.22</v>
      </c>
      <c r="L3139" s="43" t="n">
        <f aca="false">K3139*'Chart of Accounts'!$E$68</f>
        <v>6.1774</v>
      </c>
      <c r="O3139" s="42" t="n">
        <f aca="false">I3139+J3139+L3139</f>
        <v>73.0475</v>
      </c>
    </row>
    <row r="3140" customFormat="false" ht="15" hidden="false" customHeight="false" outlineLevel="0" collapsed="false">
      <c r="B3140" s="7" t="s">
        <v>11773</v>
      </c>
      <c r="C3140" s="39" t="n">
        <v>45854</v>
      </c>
      <c r="D3140" s="7" t="s">
        <v>177</v>
      </c>
      <c r="E3140" s="7" t="s">
        <v>180</v>
      </c>
      <c r="F3140" s="6" t="n">
        <v>8.62</v>
      </c>
      <c r="G3140" s="6" t="n">
        <v>0</v>
      </c>
      <c r="H3140" s="41" t="n">
        <v>14.56</v>
      </c>
      <c r="I3140" s="43" t="n">
        <f aca="false">F3140*H3140</f>
        <v>125.5072</v>
      </c>
      <c r="J3140" s="43" t="n">
        <f aca="false">G3140*H3140*1.5</f>
        <v>0</v>
      </c>
      <c r="K3140" s="6" t="n">
        <v>23.73</v>
      </c>
      <c r="L3140" s="43" t="n">
        <f aca="false">K3140*'Chart of Accounts'!$E$68</f>
        <v>15.8991</v>
      </c>
      <c r="O3140" s="42" t="n">
        <f aca="false">I3140+J3140+L3140</f>
        <v>141.4063</v>
      </c>
    </row>
    <row r="3141" customFormat="false" ht="15" hidden="false" customHeight="false" outlineLevel="0" collapsed="false">
      <c r="B3141" s="7" t="s">
        <v>11774</v>
      </c>
      <c r="C3141" s="39" t="n">
        <v>45854</v>
      </c>
      <c r="D3141" s="7" t="s">
        <v>242</v>
      </c>
      <c r="E3141" s="7" t="s">
        <v>180</v>
      </c>
      <c r="F3141" s="6" t="n">
        <v>6.677</v>
      </c>
      <c r="G3141" s="6" t="n">
        <v>0.813</v>
      </c>
      <c r="H3141" s="41" t="n">
        <v>17.99</v>
      </c>
      <c r="I3141" s="43" t="n">
        <f aca="false">F3141*H3141</f>
        <v>120.11923</v>
      </c>
      <c r="J3141" s="43" t="n">
        <f aca="false">G3141*H3141*1.5</f>
        <v>21.938805</v>
      </c>
      <c r="K3141" s="6" t="n">
        <v>17.29</v>
      </c>
      <c r="L3141" s="43" t="n">
        <f aca="false">K3141*'Chart of Accounts'!$E$68</f>
        <v>11.5843</v>
      </c>
      <c r="O3141" s="42" t="n">
        <f aca="false">I3141+J3141+L3141</f>
        <v>153.642335</v>
      </c>
    </row>
    <row r="3142" customFormat="false" ht="15" hidden="false" customHeight="false" outlineLevel="0" collapsed="false">
      <c r="B3142" s="7" t="s">
        <v>11775</v>
      </c>
      <c r="C3142" s="39" t="n">
        <v>45854</v>
      </c>
      <c r="D3142" s="7" t="s">
        <v>238</v>
      </c>
      <c r="E3142" s="7" t="s">
        <v>180</v>
      </c>
      <c r="F3142" s="6" t="n">
        <v>8.78</v>
      </c>
      <c r="G3142" s="6" t="n">
        <v>0</v>
      </c>
      <c r="H3142" s="41" t="n">
        <v>15.85</v>
      </c>
      <c r="I3142" s="43" t="n">
        <f aca="false">F3142*H3142</f>
        <v>139.163</v>
      </c>
      <c r="J3142" s="43" t="n">
        <f aca="false">G3142*H3142*1.5</f>
        <v>0</v>
      </c>
      <c r="K3142" s="6" t="n">
        <v>27.88</v>
      </c>
      <c r="L3142" s="43" t="n">
        <f aca="false">K3142*'Chart of Accounts'!$E$68</f>
        <v>18.6796</v>
      </c>
      <c r="O3142" s="42" t="n">
        <f aca="false">I3142+J3142+L3142</f>
        <v>157.8426</v>
      </c>
    </row>
    <row r="3143" customFormat="false" ht="15" hidden="false" customHeight="false" outlineLevel="0" collapsed="false">
      <c r="B3143" s="7" t="s">
        <v>11776</v>
      </c>
      <c r="C3143" s="39" t="n">
        <v>45854</v>
      </c>
      <c r="D3143" s="7" t="s">
        <v>254</v>
      </c>
      <c r="E3143" s="7" t="s">
        <v>180</v>
      </c>
      <c r="F3143" s="6" t="n">
        <v>7.6</v>
      </c>
      <c r="G3143" s="6" t="n">
        <v>0</v>
      </c>
      <c r="H3143" s="41" t="n">
        <v>17.1</v>
      </c>
      <c r="I3143" s="43" t="n">
        <f aca="false">F3143*H3143</f>
        <v>129.96</v>
      </c>
      <c r="J3143" s="43" t="n">
        <f aca="false">G3143*H3143*1.5</f>
        <v>0</v>
      </c>
      <c r="K3143" s="6" t="n">
        <v>19.9</v>
      </c>
      <c r="L3143" s="43" t="n">
        <f aca="false">K3143*'Chart of Accounts'!$E$68</f>
        <v>13.333</v>
      </c>
      <c r="O3143" s="42" t="n">
        <f aca="false">I3143+J3143+L3143</f>
        <v>143.293</v>
      </c>
    </row>
    <row r="3144" customFormat="false" ht="15" hidden="false" customHeight="false" outlineLevel="0" collapsed="false">
      <c r="B3144" s="7" t="s">
        <v>11777</v>
      </c>
      <c r="C3144" s="39" t="n">
        <v>45854</v>
      </c>
      <c r="D3144" s="7" t="s">
        <v>201</v>
      </c>
      <c r="E3144" s="7" t="s">
        <v>180</v>
      </c>
      <c r="F3144" s="6" t="n">
        <v>3.46</v>
      </c>
      <c r="G3144" s="6" t="n">
        <v>0</v>
      </c>
      <c r="H3144" s="41" t="n">
        <v>15.19</v>
      </c>
      <c r="I3144" s="43" t="n">
        <f aca="false">F3144*H3144</f>
        <v>52.5574</v>
      </c>
      <c r="J3144" s="43" t="n">
        <f aca="false">G3144*H3144*1.5</f>
        <v>0</v>
      </c>
      <c r="K3144" s="6" t="n">
        <v>10.63</v>
      </c>
      <c r="L3144" s="43" t="n">
        <f aca="false">K3144*'Chart of Accounts'!$E$68</f>
        <v>7.1221</v>
      </c>
      <c r="O3144" s="42" t="n">
        <f aca="false">I3144+J3144+L3144</f>
        <v>59.6795</v>
      </c>
    </row>
    <row r="3145" customFormat="false" ht="15" hidden="false" customHeight="false" outlineLevel="0" collapsed="false">
      <c r="B3145" s="7" t="s">
        <v>11778</v>
      </c>
      <c r="C3145" s="39" t="n">
        <v>45854</v>
      </c>
      <c r="D3145" s="7" t="s">
        <v>207</v>
      </c>
      <c r="E3145" s="7" t="s">
        <v>180</v>
      </c>
      <c r="F3145" s="6" t="n">
        <v>3.26</v>
      </c>
      <c r="G3145" s="6" t="n">
        <v>0</v>
      </c>
      <c r="H3145" s="41" t="n">
        <v>16.65</v>
      </c>
      <c r="I3145" s="43" t="n">
        <f aca="false">F3145*H3145</f>
        <v>54.279</v>
      </c>
      <c r="J3145" s="43" t="n">
        <f aca="false">G3145*H3145*1.5</f>
        <v>0</v>
      </c>
      <c r="K3145" s="6" t="n">
        <v>9.5</v>
      </c>
      <c r="L3145" s="43" t="n">
        <f aca="false">K3145*'Chart of Accounts'!$E$68</f>
        <v>6.365</v>
      </c>
      <c r="O3145" s="42" t="n">
        <f aca="false">I3145+J3145+L3145</f>
        <v>60.644</v>
      </c>
    </row>
    <row r="3146" customFormat="false" ht="15" hidden="false" customHeight="false" outlineLevel="0" collapsed="false">
      <c r="B3146" s="7" t="s">
        <v>11779</v>
      </c>
      <c r="C3146" s="39" t="n">
        <v>45854</v>
      </c>
      <c r="D3146" s="7" t="s">
        <v>244</v>
      </c>
      <c r="E3146" s="7" t="s">
        <v>180</v>
      </c>
      <c r="F3146" s="6" t="n">
        <v>4.25</v>
      </c>
      <c r="G3146" s="6" t="n">
        <v>0</v>
      </c>
      <c r="H3146" s="41" t="n">
        <v>16.39</v>
      </c>
      <c r="I3146" s="43" t="n">
        <f aca="false">F3146*H3146</f>
        <v>69.6575</v>
      </c>
      <c r="J3146" s="43" t="n">
        <f aca="false">G3146*H3146*1.5</f>
        <v>0</v>
      </c>
      <c r="K3146" s="6" t="n">
        <v>12.41</v>
      </c>
      <c r="L3146" s="43" t="n">
        <f aca="false">K3146*'Chart of Accounts'!$E$68</f>
        <v>8.3147</v>
      </c>
      <c r="O3146" s="42" t="n">
        <f aca="false">I3146+J3146+L3146</f>
        <v>77.9722</v>
      </c>
    </row>
    <row r="3147" customFormat="false" ht="15" hidden="false" customHeight="false" outlineLevel="0" collapsed="false">
      <c r="B3147" s="7" t="s">
        <v>11780</v>
      </c>
      <c r="C3147" s="39" t="n">
        <v>45854</v>
      </c>
      <c r="D3147" s="7" t="s">
        <v>232</v>
      </c>
      <c r="E3147" s="7" t="s">
        <v>180</v>
      </c>
      <c r="F3147" s="6" t="n">
        <v>5.01</v>
      </c>
      <c r="G3147" s="6" t="n">
        <v>0</v>
      </c>
      <c r="H3147" s="41" t="n">
        <v>16.17</v>
      </c>
      <c r="I3147" s="43" t="n">
        <f aca="false">F3147*H3147</f>
        <v>81.0117</v>
      </c>
      <c r="J3147" s="43" t="n">
        <f aca="false">G3147*H3147*1.5</f>
        <v>0</v>
      </c>
      <c r="K3147" s="6" t="n">
        <v>13.66</v>
      </c>
      <c r="L3147" s="43" t="n">
        <f aca="false">K3147*'Chart of Accounts'!$E$68</f>
        <v>9.1522</v>
      </c>
      <c r="O3147" s="42" t="n">
        <f aca="false">I3147+J3147+L3147</f>
        <v>90.1639</v>
      </c>
    </row>
    <row r="3148" customFormat="false" ht="15" hidden="false" customHeight="false" outlineLevel="0" collapsed="false">
      <c r="B3148" s="7" t="s">
        <v>11781</v>
      </c>
      <c r="C3148" s="39" t="n">
        <v>45854</v>
      </c>
      <c r="D3148" s="7" t="s">
        <v>224</v>
      </c>
      <c r="E3148" s="7" t="s">
        <v>180</v>
      </c>
      <c r="F3148" s="6" t="n">
        <v>4.21</v>
      </c>
      <c r="G3148" s="6" t="n">
        <v>0</v>
      </c>
      <c r="H3148" s="41" t="n">
        <v>14.93</v>
      </c>
      <c r="I3148" s="43" t="n">
        <f aca="false">F3148*H3148</f>
        <v>62.8553</v>
      </c>
      <c r="J3148" s="43" t="n">
        <f aca="false">G3148*H3148*1.5</f>
        <v>0</v>
      </c>
      <c r="K3148" s="6" t="n">
        <v>11.35</v>
      </c>
      <c r="L3148" s="43" t="n">
        <f aca="false">K3148*'Chart of Accounts'!$E$68</f>
        <v>7.6045</v>
      </c>
      <c r="O3148" s="42" t="n">
        <f aca="false">I3148+J3148+L3148</f>
        <v>70.4598</v>
      </c>
    </row>
    <row r="3149" customFormat="false" ht="15" hidden="false" customHeight="false" outlineLevel="0" collapsed="false">
      <c r="B3149" s="7" t="s">
        <v>11782</v>
      </c>
      <c r="C3149" s="39" t="n">
        <v>45854</v>
      </c>
      <c r="D3149" s="7" t="s">
        <v>246</v>
      </c>
      <c r="E3149" s="7" t="s">
        <v>180</v>
      </c>
      <c r="F3149" s="6" t="n">
        <v>4.16</v>
      </c>
      <c r="G3149" s="6" t="n">
        <v>0</v>
      </c>
      <c r="H3149" s="41" t="n">
        <v>16.48</v>
      </c>
      <c r="I3149" s="43" t="n">
        <f aca="false">F3149*H3149</f>
        <v>68.5568</v>
      </c>
      <c r="J3149" s="43" t="n">
        <f aca="false">G3149*H3149*1.5</f>
        <v>0</v>
      </c>
      <c r="K3149" s="6" t="n">
        <v>11.05</v>
      </c>
      <c r="L3149" s="43" t="n">
        <f aca="false">K3149*'Chart of Accounts'!$E$68</f>
        <v>7.4035</v>
      </c>
      <c r="O3149" s="42" t="n">
        <f aca="false">I3149+J3149+L3149</f>
        <v>75.9603</v>
      </c>
    </row>
    <row r="3150" customFormat="false" ht="15" hidden="false" customHeight="false" outlineLevel="0" collapsed="false">
      <c r="B3150" s="7" t="s">
        <v>11783</v>
      </c>
      <c r="C3150" s="39" t="n">
        <v>45854</v>
      </c>
      <c r="D3150" s="7" t="s">
        <v>222</v>
      </c>
      <c r="E3150" s="7" t="s">
        <v>180</v>
      </c>
      <c r="F3150" s="6" t="n">
        <v>3.75</v>
      </c>
      <c r="G3150" s="6" t="n">
        <v>0</v>
      </c>
      <c r="H3150" s="41" t="n">
        <v>17.84</v>
      </c>
      <c r="I3150" s="43" t="n">
        <f aca="false">F3150*H3150</f>
        <v>66.9</v>
      </c>
      <c r="J3150" s="43" t="n">
        <f aca="false">G3150*H3150*1.5</f>
        <v>0</v>
      </c>
      <c r="K3150" s="6" t="n">
        <v>12.63</v>
      </c>
      <c r="L3150" s="43" t="n">
        <f aca="false">K3150*'Chart of Accounts'!$E$68</f>
        <v>8.4621</v>
      </c>
      <c r="O3150" s="42" t="n">
        <f aca="false">I3150+J3150+L3150</f>
        <v>75.3621</v>
      </c>
    </row>
    <row r="3151" customFormat="false" ht="15" hidden="false" customHeight="false" outlineLevel="0" collapsed="false">
      <c r="B3151" s="7" t="s">
        <v>11784</v>
      </c>
      <c r="C3151" s="39" t="n">
        <v>45854</v>
      </c>
      <c r="D3151" s="7" t="s">
        <v>203</v>
      </c>
      <c r="E3151" s="7" t="s">
        <v>158</v>
      </c>
      <c r="H3151" s="41" t="n">
        <v>49.43</v>
      </c>
      <c r="M3151" s="6" t="n">
        <v>1</v>
      </c>
      <c r="N3151" s="43" t="n">
        <f aca="false">M3151*H3151</f>
        <v>49.43</v>
      </c>
      <c r="O3151" s="42" t="n">
        <f aca="false">N3151</f>
        <v>49.43</v>
      </c>
    </row>
    <row r="3152" customFormat="false" ht="15" hidden="false" customHeight="false" outlineLevel="0" collapsed="false">
      <c r="B3152" s="7" t="s">
        <v>11785</v>
      </c>
      <c r="C3152" s="39" t="n">
        <v>45854</v>
      </c>
      <c r="D3152" s="7" t="s">
        <v>214</v>
      </c>
      <c r="E3152" s="7" t="s">
        <v>180</v>
      </c>
      <c r="F3152" s="6" t="n">
        <v>6.78</v>
      </c>
      <c r="G3152" s="6" t="n">
        <v>0</v>
      </c>
      <c r="H3152" s="41" t="n">
        <v>15.67</v>
      </c>
      <c r="I3152" s="43" t="n">
        <f aca="false">F3152*H3152</f>
        <v>106.2426</v>
      </c>
      <c r="J3152" s="43" t="n">
        <f aca="false">G3152*H3152*1.5</f>
        <v>0</v>
      </c>
      <c r="K3152" s="6" t="n">
        <v>15.67</v>
      </c>
      <c r="L3152" s="43" t="n">
        <f aca="false">K3152*'Chart of Accounts'!$E$68</f>
        <v>10.4989</v>
      </c>
      <c r="O3152" s="42" t="n">
        <f aca="false">I3152+J3152+L3152</f>
        <v>116.7415</v>
      </c>
    </row>
    <row r="3153" customFormat="false" ht="15" hidden="false" customHeight="false" outlineLevel="0" collapsed="false">
      <c r="B3153" s="7" t="s">
        <v>11786</v>
      </c>
      <c r="C3153" s="39" t="n">
        <v>45855</v>
      </c>
      <c r="D3153" s="7" t="s">
        <v>242</v>
      </c>
      <c r="E3153" s="7" t="s">
        <v>180</v>
      </c>
      <c r="F3153" s="6" t="n">
        <v>7.248</v>
      </c>
      <c r="G3153" s="6" t="n">
        <v>0.882</v>
      </c>
      <c r="H3153" s="41" t="n">
        <v>17.99</v>
      </c>
      <c r="I3153" s="43" t="n">
        <f aca="false">F3153*H3153</f>
        <v>130.39152</v>
      </c>
      <c r="J3153" s="43" t="n">
        <f aca="false">G3153*H3153*1.5</f>
        <v>23.80077</v>
      </c>
      <c r="K3153" s="6" t="n">
        <v>28.47</v>
      </c>
      <c r="L3153" s="43" t="n">
        <f aca="false">K3153*'Chart of Accounts'!$E$68</f>
        <v>19.0749</v>
      </c>
      <c r="O3153" s="42" t="n">
        <f aca="false">I3153+J3153+L3153</f>
        <v>173.26719</v>
      </c>
    </row>
    <row r="3154" customFormat="false" ht="15" hidden="false" customHeight="false" outlineLevel="0" collapsed="false">
      <c r="B3154" s="7" t="s">
        <v>11787</v>
      </c>
      <c r="C3154" s="39" t="n">
        <v>45855</v>
      </c>
      <c r="D3154" s="7" t="s">
        <v>201</v>
      </c>
      <c r="E3154" s="7" t="s">
        <v>180</v>
      </c>
      <c r="F3154" s="6" t="n">
        <v>9.99</v>
      </c>
      <c r="G3154" s="6" t="n">
        <v>0</v>
      </c>
      <c r="H3154" s="41" t="n">
        <v>15.19</v>
      </c>
      <c r="I3154" s="43" t="n">
        <f aca="false">F3154*H3154</f>
        <v>151.7481</v>
      </c>
      <c r="J3154" s="43" t="n">
        <f aca="false">G3154*H3154*1.5</f>
        <v>0</v>
      </c>
      <c r="K3154" s="6" t="n">
        <v>24.29</v>
      </c>
      <c r="L3154" s="43" t="n">
        <f aca="false">K3154*'Chart of Accounts'!$E$68</f>
        <v>16.2743</v>
      </c>
      <c r="O3154" s="42" t="n">
        <f aca="false">I3154+J3154+L3154</f>
        <v>168.0224</v>
      </c>
    </row>
    <row r="3155" customFormat="false" ht="15" hidden="false" customHeight="false" outlineLevel="0" collapsed="false">
      <c r="B3155" s="7" t="s">
        <v>11788</v>
      </c>
      <c r="C3155" s="39" t="n">
        <v>45855</v>
      </c>
      <c r="D3155" s="7" t="s">
        <v>196</v>
      </c>
      <c r="E3155" s="7" t="s">
        <v>180</v>
      </c>
      <c r="F3155" s="6" t="n">
        <v>6.25</v>
      </c>
      <c r="G3155" s="6" t="n">
        <v>0</v>
      </c>
      <c r="H3155" s="41" t="n">
        <v>15.05</v>
      </c>
      <c r="I3155" s="43" t="n">
        <f aca="false">F3155*H3155</f>
        <v>94.0625</v>
      </c>
      <c r="J3155" s="43" t="n">
        <f aca="false">G3155*H3155*1.5</f>
        <v>0</v>
      </c>
      <c r="K3155" s="6" t="n">
        <v>21.23</v>
      </c>
      <c r="L3155" s="43" t="n">
        <f aca="false">K3155*'Chart of Accounts'!$E$68</f>
        <v>14.2241</v>
      </c>
      <c r="O3155" s="42" t="n">
        <f aca="false">I3155+J3155+L3155</f>
        <v>108.2866</v>
      </c>
    </row>
    <row r="3156" customFormat="false" ht="15" hidden="false" customHeight="false" outlineLevel="0" collapsed="false">
      <c r="B3156" s="7" t="s">
        <v>11789</v>
      </c>
      <c r="C3156" s="39" t="n">
        <v>45855</v>
      </c>
      <c r="D3156" s="7" t="s">
        <v>184</v>
      </c>
      <c r="E3156" s="7" t="s">
        <v>180</v>
      </c>
      <c r="F3156" s="6" t="n">
        <v>4.14</v>
      </c>
      <c r="G3156" s="6" t="n">
        <v>0</v>
      </c>
      <c r="H3156" s="41" t="n">
        <v>17.34</v>
      </c>
      <c r="I3156" s="43" t="n">
        <f aca="false">F3156*H3156</f>
        <v>71.7876</v>
      </c>
      <c r="J3156" s="43" t="n">
        <f aca="false">G3156*H3156*1.5</f>
        <v>0</v>
      </c>
      <c r="K3156" s="6" t="n">
        <v>13.05</v>
      </c>
      <c r="L3156" s="43" t="n">
        <f aca="false">K3156*'Chart of Accounts'!$E$68</f>
        <v>8.7435</v>
      </c>
      <c r="O3156" s="42" t="n">
        <f aca="false">I3156+J3156+L3156</f>
        <v>80.5311</v>
      </c>
    </row>
    <row r="3157" customFormat="false" ht="15" hidden="false" customHeight="false" outlineLevel="0" collapsed="false">
      <c r="B3157" s="7" t="s">
        <v>11790</v>
      </c>
      <c r="C3157" s="39" t="n">
        <v>45855</v>
      </c>
      <c r="D3157" s="7" t="s">
        <v>207</v>
      </c>
      <c r="E3157" s="7" t="s">
        <v>180</v>
      </c>
      <c r="F3157" s="6" t="n">
        <v>6.09</v>
      </c>
      <c r="G3157" s="6" t="n">
        <v>0</v>
      </c>
      <c r="H3157" s="41" t="n">
        <v>16.65</v>
      </c>
      <c r="I3157" s="43" t="n">
        <f aca="false">F3157*H3157</f>
        <v>101.3985</v>
      </c>
      <c r="J3157" s="43" t="n">
        <f aca="false">G3157*H3157*1.5</f>
        <v>0</v>
      </c>
      <c r="K3157" s="6" t="n">
        <v>14.9</v>
      </c>
      <c r="L3157" s="43" t="n">
        <f aca="false">K3157*'Chart of Accounts'!$E$68</f>
        <v>9.983</v>
      </c>
      <c r="O3157" s="42" t="n">
        <f aca="false">I3157+J3157+L3157</f>
        <v>111.3815</v>
      </c>
    </row>
    <row r="3158" customFormat="false" ht="15" hidden="false" customHeight="false" outlineLevel="0" collapsed="false">
      <c r="B3158" s="7" t="s">
        <v>11791</v>
      </c>
      <c r="C3158" s="39" t="n">
        <v>45855</v>
      </c>
      <c r="D3158" s="7" t="s">
        <v>218</v>
      </c>
      <c r="E3158" s="7" t="s">
        <v>180</v>
      </c>
      <c r="F3158" s="6" t="n">
        <v>3.98</v>
      </c>
      <c r="G3158" s="6" t="n">
        <v>0</v>
      </c>
      <c r="H3158" s="41" t="n">
        <v>16.19</v>
      </c>
      <c r="I3158" s="43" t="n">
        <f aca="false">F3158*H3158</f>
        <v>64.4362</v>
      </c>
      <c r="J3158" s="43" t="n">
        <f aca="false">G3158*H3158*1.5</f>
        <v>0</v>
      </c>
      <c r="K3158" s="6" t="n">
        <v>9.53</v>
      </c>
      <c r="L3158" s="43" t="n">
        <f aca="false">K3158*'Chart of Accounts'!$E$68</f>
        <v>6.3851</v>
      </c>
      <c r="O3158" s="42" t="n">
        <f aca="false">I3158+J3158+L3158</f>
        <v>70.8213</v>
      </c>
    </row>
    <row r="3159" customFormat="false" ht="15" hidden="false" customHeight="false" outlineLevel="0" collapsed="false">
      <c r="B3159" s="7" t="s">
        <v>11792</v>
      </c>
      <c r="C3159" s="39" t="n">
        <v>45855</v>
      </c>
      <c r="D3159" s="7" t="s">
        <v>220</v>
      </c>
      <c r="E3159" s="7" t="s">
        <v>180</v>
      </c>
      <c r="F3159" s="6" t="n">
        <v>3.74</v>
      </c>
      <c r="G3159" s="6" t="n">
        <v>0</v>
      </c>
      <c r="H3159" s="41" t="n">
        <v>16.43</v>
      </c>
      <c r="I3159" s="43" t="n">
        <f aca="false">F3159*H3159</f>
        <v>61.4482</v>
      </c>
      <c r="J3159" s="43" t="n">
        <f aca="false">G3159*H3159*1.5</f>
        <v>0</v>
      </c>
      <c r="K3159" s="6" t="n">
        <v>13.14</v>
      </c>
      <c r="L3159" s="43" t="n">
        <f aca="false">K3159*'Chart of Accounts'!$E$68</f>
        <v>8.8038</v>
      </c>
      <c r="O3159" s="42" t="n">
        <f aca="false">I3159+J3159+L3159</f>
        <v>70.252</v>
      </c>
    </row>
    <row r="3160" customFormat="false" ht="15" hidden="false" customHeight="false" outlineLevel="0" collapsed="false">
      <c r="B3160" s="7" t="s">
        <v>11793</v>
      </c>
      <c r="C3160" s="39" t="n">
        <v>45855</v>
      </c>
      <c r="D3160" s="7" t="s">
        <v>224</v>
      </c>
      <c r="E3160" s="7" t="s">
        <v>180</v>
      </c>
      <c r="F3160" s="6" t="n">
        <v>4.3</v>
      </c>
      <c r="G3160" s="6" t="n">
        <v>0</v>
      </c>
      <c r="H3160" s="41" t="n">
        <v>14.93</v>
      </c>
      <c r="I3160" s="43" t="n">
        <f aca="false">F3160*H3160</f>
        <v>64.199</v>
      </c>
      <c r="J3160" s="43" t="n">
        <f aca="false">G3160*H3160*1.5</f>
        <v>0</v>
      </c>
      <c r="K3160" s="6" t="n">
        <v>14.97</v>
      </c>
      <c r="L3160" s="43" t="n">
        <f aca="false">K3160*'Chart of Accounts'!$E$68</f>
        <v>10.0299</v>
      </c>
      <c r="O3160" s="42" t="n">
        <f aca="false">I3160+J3160+L3160</f>
        <v>74.2289</v>
      </c>
    </row>
    <row r="3161" customFormat="false" ht="15" hidden="false" customHeight="false" outlineLevel="0" collapsed="false">
      <c r="B3161" s="7" t="s">
        <v>11794</v>
      </c>
      <c r="C3161" s="39" t="n">
        <v>45855</v>
      </c>
      <c r="D3161" s="7" t="s">
        <v>232</v>
      </c>
      <c r="E3161" s="7" t="s">
        <v>180</v>
      </c>
      <c r="F3161" s="6" t="n">
        <v>3.27</v>
      </c>
      <c r="G3161" s="6" t="n">
        <v>0</v>
      </c>
      <c r="H3161" s="41" t="n">
        <v>16.17</v>
      </c>
      <c r="I3161" s="43" t="n">
        <f aca="false">F3161*H3161</f>
        <v>52.8759</v>
      </c>
      <c r="J3161" s="43" t="n">
        <f aca="false">G3161*H3161*1.5</f>
        <v>0</v>
      </c>
      <c r="K3161" s="6" t="n">
        <v>9.59</v>
      </c>
      <c r="L3161" s="43" t="n">
        <f aca="false">K3161*'Chart of Accounts'!$E$68</f>
        <v>6.4253</v>
      </c>
      <c r="O3161" s="42" t="n">
        <f aca="false">I3161+J3161+L3161</f>
        <v>59.3012</v>
      </c>
    </row>
    <row r="3162" customFormat="false" ht="15" hidden="false" customHeight="false" outlineLevel="0" collapsed="false">
      <c r="B3162" s="7" t="s">
        <v>11795</v>
      </c>
      <c r="C3162" s="39" t="n">
        <v>45855</v>
      </c>
      <c r="D3162" s="7" t="s">
        <v>222</v>
      </c>
      <c r="E3162" s="7" t="s">
        <v>180</v>
      </c>
      <c r="F3162" s="6" t="n">
        <v>7.26</v>
      </c>
      <c r="G3162" s="6" t="n">
        <v>0</v>
      </c>
      <c r="H3162" s="41" t="n">
        <v>17.84</v>
      </c>
      <c r="I3162" s="43" t="n">
        <f aca="false">F3162*H3162</f>
        <v>129.5184</v>
      </c>
      <c r="J3162" s="43" t="n">
        <f aca="false">G3162*H3162*1.5</f>
        <v>0</v>
      </c>
      <c r="K3162" s="6" t="n">
        <v>21.46</v>
      </c>
      <c r="L3162" s="43" t="n">
        <f aca="false">K3162*'Chart of Accounts'!$E$68</f>
        <v>14.3782</v>
      </c>
      <c r="O3162" s="42" t="n">
        <f aca="false">I3162+J3162+L3162</f>
        <v>143.8966</v>
      </c>
    </row>
    <row r="3163" customFormat="false" ht="15" hidden="false" customHeight="false" outlineLevel="0" collapsed="false">
      <c r="B3163" s="7" t="s">
        <v>11796</v>
      </c>
      <c r="C3163" s="39" t="n">
        <v>45855</v>
      </c>
      <c r="D3163" s="7" t="s">
        <v>205</v>
      </c>
      <c r="E3163" s="7" t="s">
        <v>180</v>
      </c>
      <c r="F3163" s="6" t="n">
        <v>3.89</v>
      </c>
      <c r="G3163" s="6" t="n">
        <v>0</v>
      </c>
      <c r="H3163" s="41" t="n">
        <v>16.36</v>
      </c>
      <c r="I3163" s="43" t="n">
        <f aca="false">F3163*H3163</f>
        <v>63.6404</v>
      </c>
      <c r="J3163" s="43" t="n">
        <f aca="false">G3163*H3163*1.5</f>
        <v>0</v>
      </c>
      <c r="K3163" s="6" t="n">
        <v>10.91</v>
      </c>
      <c r="L3163" s="43" t="n">
        <f aca="false">K3163*'Chart of Accounts'!$E$68</f>
        <v>7.3097</v>
      </c>
      <c r="O3163" s="42" t="n">
        <f aca="false">I3163+J3163+L3163</f>
        <v>70.9501</v>
      </c>
    </row>
    <row r="3164" customFormat="false" ht="15" hidden="false" customHeight="false" outlineLevel="0" collapsed="false">
      <c r="B3164" s="7" t="s">
        <v>11797</v>
      </c>
      <c r="C3164" s="39" t="n">
        <v>45855</v>
      </c>
      <c r="D3164" s="7" t="s">
        <v>246</v>
      </c>
      <c r="E3164" s="7" t="s">
        <v>180</v>
      </c>
      <c r="F3164" s="6" t="n">
        <v>8.45</v>
      </c>
      <c r="G3164" s="6" t="n">
        <v>0</v>
      </c>
      <c r="H3164" s="41" t="n">
        <v>16.48</v>
      </c>
      <c r="I3164" s="43" t="n">
        <f aca="false">F3164*H3164</f>
        <v>139.256</v>
      </c>
      <c r="J3164" s="43" t="n">
        <f aca="false">G3164*H3164*1.5</f>
        <v>0</v>
      </c>
      <c r="K3164" s="6" t="n">
        <v>19.08</v>
      </c>
      <c r="L3164" s="43" t="n">
        <f aca="false">K3164*'Chart of Accounts'!$E$68</f>
        <v>12.7836</v>
      </c>
      <c r="O3164" s="42" t="n">
        <f aca="false">I3164+J3164+L3164</f>
        <v>152.0396</v>
      </c>
    </row>
    <row r="3165" customFormat="false" ht="15" hidden="false" customHeight="false" outlineLevel="0" collapsed="false">
      <c r="B3165" s="7" t="s">
        <v>11798</v>
      </c>
      <c r="C3165" s="39" t="n">
        <v>45855</v>
      </c>
      <c r="D3165" s="7" t="s">
        <v>194</v>
      </c>
      <c r="E3165" s="7" t="s">
        <v>180</v>
      </c>
      <c r="F3165" s="6" t="n">
        <v>3.98</v>
      </c>
      <c r="G3165" s="6" t="n">
        <v>0</v>
      </c>
      <c r="H3165" s="41" t="n">
        <v>16</v>
      </c>
      <c r="I3165" s="43" t="n">
        <f aca="false">F3165*H3165</f>
        <v>63.68</v>
      </c>
      <c r="J3165" s="43" t="n">
        <f aca="false">G3165*H3165*1.5</f>
        <v>0</v>
      </c>
      <c r="K3165" s="6" t="n">
        <v>13.91</v>
      </c>
      <c r="L3165" s="43" t="n">
        <f aca="false">K3165*'Chart of Accounts'!$E$68</f>
        <v>9.3197</v>
      </c>
      <c r="O3165" s="42" t="n">
        <f aca="false">I3165+J3165+L3165</f>
        <v>72.9997</v>
      </c>
    </row>
    <row r="3166" customFormat="false" ht="15" hidden="false" customHeight="false" outlineLevel="0" collapsed="false">
      <c r="B3166" s="7" t="s">
        <v>11799</v>
      </c>
      <c r="C3166" s="39" t="n">
        <v>45855</v>
      </c>
      <c r="D3166" s="7" t="s">
        <v>214</v>
      </c>
      <c r="E3166" s="7" t="s">
        <v>180</v>
      </c>
      <c r="F3166" s="6" t="n">
        <v>4.28</v>
      </c>
      <c r="G3166" s="6" t="n">
        <v>0</v>
      </c>
      <c r="H3166" s="41" t="n">
        <v>15.67</v>
      </c>
      <c r="I3166" s="43" t="n">
        <f aca="false">F3166*H3166</f>
        <v>67.0676</v>
      </c>
      <c r="J3166" s="43" t="n">
        <f aca="false">G3166*H3166*1.5</f>
        <v>0</v>
      </c>
      <c r="K3166" s="6" t="n">
        <v>14.41</v>
      </c>
      <c r="L3166" s="43" t="n">
        <f aca="false">K3166*'Chart of Accounts'!$E$68</f>
        <v>9.6547</v>
      </c>
      <c r="O3166" s="42" t="n">
        <f aca="false">I3166+J3166+L3166</f>
        <v>76.7223</v>
      </c>
    </row>
    <row r="3167" customFormat="false" ht="15" hidden="false" customHeight="false" outlineLevel="0" collapsed="false">
      <c r="B3167" s="7" t="s">
        <v>11800</v>
      </c>
      <c r="C3167" s="39" t="n">
        <v>45855</v>
      </c>
      <c r="D3167" s="7" t="s">
        <v>254</v>
      </c>
      <c r="E3167" s="7" t="s">
        <v>180</v>
      </c>
      <c r="F3167" s="6" t="n">
        <v>4.16</v>
      </c>
      <c r="G3167" s="6" t="n">
        <v>0</v>
      </c>
      <c r="H3167" s="41" t="n">
        <v>17.1</v>
      </c>
      <c r="I3167" s="43" t="n">
        <f aca="false">F3167*H3167</f>
        <v>71.136</v>
      </c>
      <c r="J3167" s="43" t="n">
        <f aca="false">G3167*H3167*1.5</f>
        <v>0</v>
      </c>
      <c r="K3167" s="6" t="n">
        <v>12.72</v>
      </c>
      <c r="L3167" s="43" t="n">
        <f aca="false">K3167*'Chart of Accounts'!$E$68</f>
        <v>8.5224</v>
      </c>
      <c r="O3167" s="42" t="n">
        <f aca="false">I3167+J3167+L3167</f>
        <v>79.6584</v>
      </c>
    </row>
    <row r="3168" customFormat="false" ht="15" hidden="false" customHeight="false" outlineLevel="0" collapsed="false">
      <c r="B3168" s="7" t="s">
        <v>11801</v>
      </c>
      <c r="C3168" s="39" t="n">
        <v>45856</v>
      </c>
      <c r="D3168" s="7" t="s">
        <v>187</v>
      </c>
      <c r="E3168" s="7" t="s">
        <v>158</v>
      </c>
      <c r="H3168" s="41" t="n">
        <v>66.48</v>
      </c>
      <c r="M3168" s="6" t="n">
        <v>1</v>
      </c>
      <c r="N3168" s="43" t="n">
        <f aca="false">M3168*H3168</f>
        <v>66.48</v>
      </c>
      <c r="O3168" s="42" t="n">
        <f aca="false">N3168</f>
        <v>66.48</v>
      </c>
    </row>
    <row r="3169" customFormat="false" ht="15" hidden="false" customHeight="false" outlineLevel="0" collapsed="false">
      <c r="B3169" s="7" t="s">
        <v>11802</v>
      </c>
      <c r="C3169" s="39" t="n">
        <v>45856</v>
      </c>
      <c r="D3169" s="7" t="s">
        <v>205</v>
      </c>
      <c r="E3169" s="7" t="s">
        <v>180</v>
      </c>
      <c r="F3169" s="6" t="n">
        <v>7.89</v>
      </c>
      <c r="G3169" s="6" t="n">
        <v>0</v>
      </c>
      <c r="H3169" s="41" t="n">
        <v>16.36</v>
      </c>
      <c r="I3169" s="43" t="n">
        <f aca="false">F3169*H3169</f>
        <v>129.0804</v>
      </c>
      <c r="J3169" s="43" t="n">
        <f aca="false">G3169*H3169*1.5</f>
        <v>0</v>
      </c>
      <c r="K3169" s="6" t="n">
        <v>21.67</v>
      </c>
      <c r="L3169" s="43" t="n">
        <f aca="false">K3169*'Chart of Accounts'!$E$68</f>
        <v>14.5189</v>
      </c>
      <c r="O3169" s="42" t="n">
        <f aca="false">I3169+J3169+L3169</f>
        <v>143.5993</v>
      </c>
    </row>
    <row r="3170" customFormat="false" ht="15" hidden="false" customHeight="false" outlineLevel="0" collapsed="false">
      <c r="B3170" s="7" t="s">
        <v>11803</v>
      </c>
      <c r="C3170" s="39" t="n">
        <v>45856</v>
      </c>
      <c r="D3170" s="7" t="s">
        <v>194</v>
      </c>
      <c r="E3170" s="7" t="s">
        <v>180</v>
      </c>
      <c r="F3170" s="6" t="n">
        <v>8.48</v>
      </c>
      <c r="G3170" s="6" t="n">
        <v>0</v>
      </c>
      <c r="H3170" s="41" t="n">
        <v>16</v>
      </c>
      <c r="I3170" s="43" t="n">
        <f aca="false">F3170*H3170</f>
        <v>135.68</v>
      </c>
      <c r="J3170" s="43" t="n">
        <f aca="false">G3170*H3170*1.5</f>
        <v>0</v>
      </c>
      <c r="K3170" s="6" t="n">
        <v>29.61</v>
      </c>
      <c r="L3170" s="43" t="n">
        <f aca="false">K3170*'Chart of Accounts'!$E$68</f>
        <v>19.8387</v>
      </c>
      <c r="O3170" s="42" t="n">
        <f aca="false">I3170+J3170+L3170</f>
        <v>155.5187</v>
      </c>
    </row>
    <row r="3171" customFormat="false" ht="15" hidden="false" customHeight="false" outlineLevel="0" collapsed="false">
      <c r="B3171" s="7" t="s">
        <v>11804</v>
      </c>
      <c r="C3171" s="39" t="n">
        <v>45856</v>
      </c>
      <c r="D3171" s="7" t="s">
        <v>209</v>
      </c>
      <c r="E3171" s="7" t="s">
        <v>158</v>
      </c>
      <c r="H3171" s="41" t="n">
        <v>73.58</v>
      </c>
      <c r="M3171" s="6" t="n">
        <v>2</v>
      </c>
      <c r="N3171" s="43" t="n">
        <f aca="false">M3171*H3171</f>
        <v>147.16</v>
      </c>
      <c r="O3171" s="42" t="n">
        <f aca="false">N3171</f>
        <v>147.16</v>
      </c>
    </row>
    <row r="3172" customFormat="false" ht="15" hidden="false" customHeight="false" outlineLevel="0" collapsed="false">
      <c r="B3172" s="7" t="s">
        <v>11805</v>
      </c>
      <c r="C3172" s="39" t="n">
        <v>45856</v>
      </c>
      <c r="D3172" s="7" t="s">
        <v>264</v>
      </c>
      <c r="E3172" s="7" t="s">
        <v>158</v>
      </c>
      <c r="H3172" s="41" t="n">
        <v>55.55</v>
      </c>
      <c r="M3172" s="6" t="n">
        <v>1</v>
      </c>
      <c r="N3172" s="43" t="n">
        <f aca="false">M3172*H3172</f>
        <v>55.55</v>
      </c>
      <c r="O3172" s="42" t="n">
        <f aca="false">N3172</f>
        <v>55.55</v>
      </c>
    </row>
    <row r="3173" customFormat="false" ht="15" hidden="false" customHeight="false" outlineLevel="0" collapsed="false">
      <c r="B3173" s="7" t="s">
        <v>11806</v>
      </c>
      <c r="C3173" s="39" t="n">
        <v>45856</v>
      </c>
      <c r="D3173" s="7" t="s">
        <v>252</v>
      </c>
      <c r="E3173" s="7" t="s">
        <v>158</v>
      </c>
      <c r="H3173" s="41" t="n">
        <v>57.54</v>
      </c>
      <c r="M3173" s="6" t="n">
        <v>1</v>
      </c>
      <c r="N3173" s="43" t="n">
        <f aca="false">M3173*H3173</f>
        <v>57.54</v>
      </c>
      <c r="O3173" s="42" t="n">
        <f aca="false">N3173</f>
        <v>57.54</v>
      </c>
    </row>
    <row r="3174" customFormat="false" ht="15" hidden="false" customHeight="false" outlineLevel="0" collapsed="false">
      <c r="B3174" s="7" t="s">
        <v>11807</v>
      </c>
      <c r="C3174" s="39" t="n">
        <v>45856</v>
      </c>
      <c r="D3174" s="7" t="s">
        <v>184</v>
      </c>
      <c r="E3174" s="7" t="s">
        <v>180</v>
      </c>
      <c r="F3174" s="6" t="n">
        <v>4.15</v>
      </c>
      <c r="G3174" s="6" t="n">
        <v>0</v>
      </c>
      <c r="H3174" s="41" t="n">
        <v>17.34</v>
      </c>
      <c r="I3174" s="43" t="n">
        <f aca="false">F3174*H3174</f>
        <v>71.961</v>
      </c>
      <c r="J3174" s="43" t="n">
        <f aca="false">G3174*H3174*1.5</f>
        <v>0</v>
      </c>
      <c r="K3174" s="6" t="n">
        <v>12.65</v>
      </c>
      <c r="L3174" s="43" t="n">
        <f aca="false">K3174*'Chart of Accounts'!$E$68</f>
        <v>8.4755</v>
      </c>
      <c r="O3174" s="42" t="n">
        <f aca="false">I3174+J3174+L3174</f>
        <v>80.4365</v>
      </c>
    </row>
    <row r="3175" customFormat="false" ht="15" hidden="false" customHeight="false" outlineLevel="0" collapsed="false">
      <c r="B3175" s="7" t="s">
        <v>11808</v>
      </c>
      <c r="C3175" s="39" t="n">
        <v>45856</v>
      </c>
      <c r="D3175" s="7" t="s">
        <v>234</v>
      </c>
      <c r="E3175" s="7" t="s">
        <v>158</v>
      </c>
      <c r="H3175" s="41" t="n">
        <v>89.53</v>
      </c>
      <c r="M3175" s="6" t="n">
        <v>2</v>
      </c>
      <c r="N3175" s="43" t="n">
        <f aca="false">M3175*H3175</f>
        <v>179.06</v>
      </c>
      <c r="O3175" s="42" t="n">
        <f aca="false">N3175</f>
        <v>179.06</v>
      </c>
    </row>
    <row r="3176" customFormat="false" ht="15" hidden="false" customHeight="false" outlineLevel="0" collapsed="false">
      <c r="B3176" s="7" t="s">
        <v>11809</v>
      </c>
      <c r="C3176" s="39" t="n">
        <v>45856</v>
      </c>
      <c r="D3176" s="7" t="s">
        <v>218</v>
      </c>
      <c r="E3176" s="7" t="s">
        <v>180</v>
      </c>
      <c r="F3176" s="6" t="n">
        <v>3.82</v>
      </c>
      <c r="G3176" s="6" t="n">
        <v>0</v>
      </c>
      <c r="H3176" s="41" t="n">
        <v>16.19</v>
      </c>
      <c r="I3176" s="43" t="n">
        <f aca="false">F3176*H3176</f>
        <v>61.8458</v>
      </c>
      <c r="J3176" s="43" t="n">
        <f aca="false">G3176*H3176*1.5</f>
        <v>0</v>
      </c>
      <c r="K3176" s="6" t="n">
        <v>12.47</v>
      </c>
      <c r="L3176" s="43" t="n">
        <f aca="false">K3176*'Chart of Accounts'!$E$68</f>
        <v>8.3549</v>
      </c>
      <c r="O3176" s="42" t="n">
        <f aca="false">I3176+J3176+L3176</f>
        <v>70.2007</v>
      </c>
    </row>
    <row r="3177" customFormat="false" ht="15" hidden="false" customHeight="false" outlineLevel="0" collapsed="false">
      <c r="B3177" s="7" t="s">
        <v>11810</v>
      </c>
      <c r="C3177" s="39" t="n">
        <v>45856</v>
      </c>
      <c r="D3177" s="7" t="s">
        <v>266</v>
      </c>
      <c r="E3177" s="7" t="s">
        <v>158</v>
      </c>
      <c r="H3177" s="41" t="n">
        <v>75.18</v>
      </c>
      <c r="M3177" s="6" t="n">
        <v>1</v>
      </c>
      <c r="N3177" s="43" t="n">
        <f aca="false">M3177*H3177</f>
        <v>75.18</v>
      </c>
      <c r="O3177" s="42" t="n">
        <f aca="false">N3177</f>
        <v>75.18</v>
      </c>
    </row>
    <row r="3178" customFormat="false" ht="15" hidden="false" customHeight="false" outlineLevel="0" collapsed="false">
      <c r="B3178" s="7" t="s">
        <v>11811</v>
      </c>
      <c r="C3178" s="39" t="n">
        <v>45856</v>
      </c>
      <c r="D3178" s="7" t="s">
        <v>228</v>
      </c>
      <c r="E3178" s="7" t="s">
        <v>158</v>
      </c>
      <c r="H3178" s="41" t="n">
        <v>51.07</v>
      </c>
      <c r="M3178" s="6" t="n">
        <v>1</v>
      </c>
      <c r="N3178" s="43" t="n">
        <f aca="false">M3178*H3178</f>
        <v>51.07</v>
      </c>
      <c r="O3178" s="42" t="n">
        <f aca="false">N3178</f>
        <v>51.07</v>
      </c>
    </row>
    <row r="3179" customFormat="false" ht="15" hidden="false" customHeight="false" outlineLevel="0" collapsed="false">
      <c r="B3179" s="7" t="s">
        <v>11812</v>
      </c>
      <c r="C3179" s="39" t="n">
        <v>45856</v>
      </c>
      <c r="D3179" s="7" t="s">
        <v>220</v>
      </c>
      <c r="E3179" s="7" t="s">
        <v>180</v>
      </c>
      <c r="F3179" s="6" t="n">
        <v>4.17</v>
      </c>
      <c r="G3179" s="6" t="n">
        <v>0</v>
      </c>
      <c r="H3179" s="41" t="n">
        <v>16.43</v>
      </c>
      <c r="I3179" s="43" t="n">
        <f aca="false">F3179*H3179</f>
        <v>68.5131</v>
      </c>
      <c r="J3179" s="43" t="n">
        <f aca="false">G3179*H3179*1.5</f>
        <v>0</v>
      </c>
      <c r="K3179" s="6" t="n">
        <v>10.2</v>
      </c>
      <c r="L3179" s="43" t="n">
        <f aca="false">K3179*'Chart of Accounts'!$E$68</f>
        <v>6.834</v>
      </c>
      <c r="O3179" s="42" t="n">
        <f aca="false">I3179+J3179+L3179</f>
        <v>75.3471</v>
      </c>
    </row>
    <row r="3180" customFormat="false" ht="15" hidden="false" customHeight="false" outlineLevel="0" collapsed="false">
      <c r="B3180" s="7" t="s">
        <v>11813</v>
      </c>
      <c r="C3180" s="39" t="n">
        <v>45856</v>
      </c>
      <c r="D3180" s="7" t="s">
        <v>177</v>
      </c>
      <c r="E3180" s="7" t="s">
        <v>180</v>
      </c>
      <c r="F3180" s="6" t="n">
        <v>8.55</v>
      </c>
      <c r="G3180" s="6" t="n">
        <v>0</v>
      </c>
      <c r="H3180" s="41" t="n">
        <v>14.56</v>
      </c>
      <c r="I3180" s="43" t="n">
        <f aca="false">F3180*H3180</f>
        <v>124.488</v>
      </c>
      <c r="J3180" s="43" t="n">
        <f aca="false">G3180*H3180*1.5</f>
        <v>0</v>
      </c>
      <c r="K3180" s="6" t="n">
        <v>24.81</v>
      </c>
      <c r="L3180" s="43" t="n">
        <f aca="false">K3180*'Chart of Accounts'!$E$68</f>
        <v>16.6227</v>
      </c>
      <c r="O3180" s="42" t="n">
        <f aca="false">I3180+J3180+L3180</f>
        <v>141.1107</v>
      </c>
    </row>
    <row r="3181" customFormat="false" ht="15" hidden="false" customHeight="false" outlineLevel="0" collapsed="false">
      <c r="B3181" s="7" t="s">
        <v>11814</v>
      </c>
      <c r="C3181" s="39" t="n">
        <v>45856</v>
      </c>
      <c r="D3181" s="7" t="s">
        <v>242</v>
      </c>
      <c r="E3181" s="7" t="s">
        <v>180</v>
      </c>
      <c r="F3181" s="6" t="n">
        <v>6.258</v>
      </c>
      <c r="G3181" s="6" t="n">
        <v>0.762</v>
      </c>
      <c r="H3181" s="41" t="n">
        <v>17.99</v>
      </c>
      <c r="I3181" s="43" t="n">
        <f aca="false">F3181*H3181</f>
        <v>112.58142</v>
      </c>
      <c r="J3181" s="43" t="n">
        <f aca="false">G3181*H3181*1.5</f>
        <v>20.56257</v>
      </c>
      <c r="K3181" s="6" t="n">
        <v>16.98</v>
      </c>
      <c r="L3181" s="43" t="n">
        <f aca="false">K3181*'Chart of Accounts'!$E$68</f>
        <v>11.3766</v>
      </c>
      <c r="O3181" s="42" t="n">
        <f aca="false">I3181+J3181+L3181</f>
        <v>144.52059</v>
      </c>
    </row>
    <row r="3182" customFormat="false" ht="15" hidden="false" customHeight="false" outlineLevel="0" collapsed="false">
      <c r="B3182" s="7" t="s">
        <v>11815</v>
      </c>
      <c r="C3182" s="39" t="n">
        <v>45856</v>
      </c>
      <c r="D3182" s="7" t="s">
        <v>238</v>
      </c>
      <c r="E3182" s="7" t="s">
        <v>180</v>
      </c>
      <c r="F3182" s="6" t="n">
        <v>8.53</v>
      </c>
      <c r="G3182" s="6" t="n">
        <v>0</v>
      </c>
      <c r="H3182" s="41" t="n">
        <v>15.85</v>
      </c>
      <c r="I3182" s="43" t="n">
        <f aca="false">F3182*H3182</f>
        <v>135.2005</v>
      </c>
      <c r="J3182" s="43" t="n">
        <f aca="false">G3182*H3182*1.5</f>
        <v>0</v>
      </c>
      <c r="K3182" s="6" t="n">
        <v>27.04</v>
      </c>
      <c r="L3182" s="43" t="n">
        <f aca="false">K3182*'Chart of Accounts'!$E$68</f>
        <v>18.1168</v>
      </c>
      <c r="O3182" s="42" t="n">
        <f aca="false">I3182+J3182+L3182</f>
        <v>153.3173</v>
      </c>
    </row>
    <row r="3183" customFormat="false" ht="15" hidden="false" customHeight="false" outlineLevel="0" collapsed="false">
      <c r="B3183" s="7" t="s">
        <v>11816</v>
      </c>
      <c r="C3183" s="39" t="n">
        <v>45856</v>
      </c>
      <c r="D3183" s="7" t="s">
        <v>254</v>
      </c>
      <c r="E3183" s="7" t="s">
        <v>180</v>
      </c>
      <c r="F3183" s="6" t="n">
        <v>7.22</v>
      </c>
      <c r="G3183" s="6" t="n">
        <v>0</v>
      </c>
      <c r="H3183" s="41" t="n">
        <v>17.1</v>
      </c>
      <c r="I3183" s="43" t="n">
        <f aca="false">F3183*H3183</f>
        <v>123.462</v>
      </c>
      <c r="J3183" s="43" t="n">
        <f aca="false">G3183*H3183*1.5</f>
        <v>0</v>
      </c>
      <c r="K3183" s="6" t="n">
        <v>21.27</v>
      </c>
      <c r="L3183" s="43" t="n">
        <f aca="false">K3183*'Chart of Accounts'!$E$68</f>
        <v>14.2509</v>
      </c>
      <c r="O3183" s="42" t="n">
        <f aca="false">I3183+J3183+L3183</f>
        <v>137.7129</v>
      </c>
    </row>
    <row r="3184" customFormat="false" ht="15" hidden="false" customHeight="false" outlineLevel="0" collapsed="false">
      <c r="B3184" s="7" t="s">
        <v>11817</v>
      </c>
      <c r="C3184" s="39" t="n">
        <v>45856</v>
      </c>
      <c r="D3184" s="7" t="s">
        <v>201</v>
      </c>
      <c r="E3184" s="7" t="s">
        <v>180</v>
      </c>
      <c r="F3184" s="6" t="n">
        <v>6.8</v>
      </c>
      <c r="G3184" s="6" t="n">
        <v>0</v>
      </c>
      <c r="H3184" s="41" t="n">
        <v>15.19</v>
      </c>
      <c r="I3184" s="43" t="n">
        <f aca="false">F3184*H3184</f>
        <v>103.292</v>
      </c>
      <c r="J3184" s="43" t="n">
        <f aca="false">G3184*H3184*1.5</f>
        <v>0</v>
      </c>
      <c r="K3184" s="6" t="n">
        <v>17.69</v>
      </c>
      <c r="L3184" s="43" t="n">
        <f aca="false">K3184*'Chart of Accounts'!$E$68</f>
        <v>11.8523</v>
      </c>
      <c r="O3184" s="42" t="n">
        <f aca="false">I3184+J3184+L3184</f>
        <v>115.1443</v>
      </c>
    </row>
    <row r="3185" customFormat="false" ht="15" hidden="false" customHeight="false" outlineLevel="0" collapsed="false">
      <c r="B3185" s="7" t="s">
        <v>11818</v>
      </c>
      <c r="C3185" s="39" t="n">
        <v>45856</v>
      </c>
      <c r="D3185" s="7" t="s">
        <v>207</v>
      </c>
      <c r="E3185" s="7" t="s">
        <v>180</v>
      </c>
      <c r="F3185" s="6" t="n">
        <v>3.13</v>
      </c>
      <c r="G3185" s="6" t="n">
        <v>0</v>
      </c>
      <c r="H3185" s="41" t="n">
        <v>16.65</v>
      </c>
      <c r="I3185" s="43" t="n">
        <f aca="false">F3185*H3185</f>
        <v>52.1145</v>
      </c>
      <c r="J3185" s="43" t="n">
        <f aca="false">G3185*H3185*1.5</f>
        <v>0</v>
      </c>
      <c r="K3185" s="6" t="n">
        <v>10.76</v>
      </c>
      <c r="L3185" s="43" t="n">
        <f aca="false">K3185*'Chart of Accounts'!$E$68</f>
        <v>7.2092</v>
      </c>
      <c r="O3185" s="42" t="n">
        <f aca="false">I3185+J3185+L3185</f>
        <v>59.3237</v>
      </c>
    </row>
    <row r="3186" customFormat="false" ht="15" hidden="false" customHeight="false" outlineLevel="0" collapsed="false">
      <c r="B3186" s="7" t="s">
        <v>11819</v>
      </c>
      <c r="C3186" s="39" t="n">
        <v>45856</v>
      </c>
      <c r="D3186" s="7" t="s">
        <v>244</v>
      </c>
      <c r="E3186" s="7" t="s">
        <v>180</v>
      </c>
      <c r="F3186" s="6" t="n">
        <v>3.89</v>
      </c>
      <c r="G3186" s="6" t="n">
        <v>0</v>
      </c>
      <c r="H3186" s="41" t="n">
        <v>16.39</v>
      </c>
      <c r="I3186" s="43" t="n">
        <f aca="false">F3186*H3186</f>
        <v>63.7571</v>
      </c>
      <c r="J3186" s="43" t="n">
        <f aca="false">G3186*H3186*1.5</f>
        <v>0</v>
      </c>
      <c r="K3186" s="6" t="n">
        <v>10.35</v>
      </c>
      <c r="L3186" s="43" t="n">
        <f aca="false">K3186*'Chart of Accounts'!$E$68</f>
        <v>6.9345</v>
      </c>
      <c r="O3186" s="42" t="n">
        <f aca="false">I3186+J3186+L3186</f>
        <v>70.6916</v>
      </c>
    </row>
    <row r="3187" customFormat="false" ht="15" hidden="false" customHeight="false" outlineLevel="0" collapsed="false">
      <c r="B3187" s="7" t="s">
        <v>11820</v>
      </c>
      <c r="C3187" s="39" t="n">
        <v>45856</v>
      </c>
      <c r="D3187" s="7" t="s">
        <v>232</v>
      </c>
      <c r="E3187" s="7" t="s">
        <v>180</v>
      </c>
      <c r="F3187" s="6" t="n">
        <v>4.5</v>
      </c>
      <c r="G3187" s="6" t="n">
        <v>0</v>
      </c>
      <c r="H3187" s="41" t="n">
        <v>16.17</v>
      </c>
      <c r="I3187" s="43" t="n">
        <f aca="false">F3187*H3187</f>
        <v>72.765</v>
      </c>
      <c r="J3187" s="43" t="n">
        <f aca="false">G3187*H3187*1.5</f>
        <v>0</v>
      </c>
      <c r="K3187" s="6" t="n">
        <v>10.18</v>
      </c>
      <c r="L3187" s="43" t="n">
        <f aca="false">K3187*'Chart of Accounts'!$E$68</f>
        <v>6.8206</v>
      </c>
      <c r="O3187" s="42" t="n">
        <f aca="false">I3187+J3187+L3187</f>
        <v>79.5856</v>
      </c>
    </row>
    <row r="3188" customFormat="false" ht="15" hidden="false" customHeight="false" outlineLevel="0" collapsed="false">
      <c r="B3188" s="7" t="s">
        <v>11821</v>
      </c>
      <c r="C3188" s="39" t="n">
        <v>45856</v>
      </c>
      <c r="D3188" s="7" t="s">
        <v>224</v>
      </c>
      <c r="E3188" s="7" t="s">
        <v>180</v>
      </c>
      <c r="F3188" s="6" t="n">
        <v>4.7</v>
      </c>
      <c r="G3188" s="6" t="n">
        <v>0</v>
      </c>
      <c r="H3188" s="41" t="n">
        <v>14.93</v>
      </c>
      <c r="I3188" s="43" t="n">
        <f aca="false">F3188*H3188</f>
        <v>70.171</v>
      </c>
      <c r="J3188" s="43" t="n">
        <f aca="false">G3188*H3188*1.5</f>
        <v>0</v>
      </c>
      <c r="K3188" s="6" t="n">
        <v>10.86</v>
      </c>
      <c r="L3188" s="43" t="n">
        <f aca="false">K3188*'Chart of Accounts'!$E$68</f>
        <v>7.2762</v>
      </c>
      <c r="O3188" s="42" t="n">
        <f aca="false">I3188+J3188+L3188</f>
        <v>77.4472</v>
      </c>
    </row>
    <row r="3189" customFormat="false" ht="15" hidden="false" customHeight="false" outlineLevel="0" collapsed="false">
      <c r="B3189" s="7" t="s">
        <v>11822</v>
      </c>
      <c r="C3189" s="39" t="n">
        <v>45856</v>
      </c>
      <c r="D3189" s="7" t="s">
        <v>246</v>
      </c>
      <c r="E3189" s="7" t="s">
        <v>180</v>
      </c>
      <c r="F3189" s="6" t="n">
        <v>4.24</v>
      </c>
      <c r="G3189" s="6" t="n">
        <v>0</v>
      </c>
      <c r="H3189" s="41" t="n">
        <v>16.48</v>
      </c>
      <c r="I3189" s="43" t="n">
        <f aca="false">F3189*H3189</f>
        <v>69.8752</v>
      </c>
      <c r="J3189" s="43" t="n">
        <f aca="false">G3189*H3189*1.5</f>
        <v>0</v>
      </c>
      <c r="K3189" s="6" t="n">
        <v>10.64</v>
      </c>
      <c r="L3189" s="43" t="n">
        <f aca="false">K3189*'Chart of Accounts'!$E$68</f>
        <v>7.1288</v>
      </c>
      <c r="O3189" s="42" t="n">
        <f aca="false">I3189+J3189+L3189</f>
        <v>77.004</v>
      </c>
    </row>
    <row r="3190" customFormat="false" ht="15" hidden="false" customHeight="false" outlineLevel="0" collapsed="false">
      <c r="B3190" s="7" t="s">
        <v>11823</v>
      </c>
      <c r="C3190" s="39" t="n">
        <v>45856</v>
      </c>
      <c r="D3190" s="7" t="s">
        <v>222</v>
      </c>
      <c r="E3190" s="7" t="s">
        <v>180</v>
      </c>
      <c r="F3190" s="6" t="n">
        <v>3.94</v>
      </c>
      <c r="G3190" s="6" t="n">
        <v>0</v>
      </c>
      <c r="H3190" s="41" t="n">
        <v>17.84</v>
      </c>
      <c r="I3190" s="43" t="n">
        <f aca="false">F3190*H3190</f>
        <v>70.2896</v>
      </c>
      <c r="J3190" s="43" t="n">
        <f aca="false">G3190*H3190*1.5</f>
        <v>0</v>
      </c>
      <c r="K3190" s="6" t="n">
        <v>12.39</v>
      </c>
      <c r="L3190" s="43" t="n">
        <f aca="false">K3190*'Chart of Accounts'!$E$68</f>
        <v>8.3013</v>
      </c>
      <c r="O3190" s="42" t="n">
        <f aca="false">I3190+J3190+L3190</f>
        <v>78.5909</v>
      </c>
    </row>
    <row r="3191" customFormat="false" ht="15" hidden="false" customHeight="false" outlineLevel="0" collapsed="false">
      <c r="B3191" s="7" t="s">
        <v>11824</v>
      </c>
      <c r="C3191" s="39" t="n">
        <v>45856</v>
      </c>
      <c r="D3191" s="7" t="s">
        <v>203</v>
      </c>
      <c r="E3191" s="7" t="s">
        <v>158</v>
      </c>
      <c r="H3191" s="41" t="n">
        <v>49.43</v>
      </c>
      <c r="M3191" s="6" t="n">
        <v>1</v>
      </c>
      <c r="N3191" s="43" t="n">
        <f aca="false">M3191*H3191</f>
        <v>49.43</v>
      </c>
      <c r="O3191" s="42" t="n">
        <f aca="false">N3191</f>
        <v>49.43</v>
      </c>
    </row>
    <row r="3192" customFormat="false" ht="15" hidden="false" customHeight="false" outlineLevel="0" collapsed="false">
      <c r="B3192" s="7" t="s">
        <v>11825</v>
      </c>
      <c r="C3192" s="39" t="n">
        <v>45856</v>
      </c>
      <c r="D3192" s="7" t="s">
        <v>260</v>
      </c>
      <c r="E3192" s="7" t="s">
        <v>158</v>
      </c>
      <c r="H3192" s="41" t="n">
        <v>79.8</v>
      </c>
      <c r="M3192" s="6" t="n">
        <v>1</v>
      </c>
      <c r="N3192" s="43" t="n">
        <f aca="false">M3192*H3192</f>
        <v>79.8</v>
      </c>
      <c r="O3192" s="42" t="n">
        <f aca="false">N3192</f>
        <v>79.8</v>
      </c>
    </row>
    <row r="3193" customFormat="false" ht="15" hidden="false" customHeight="false" outlineLevel="0" collapsed="false">
      <c r="B3193" s="7" t="s">
        <v>11826</v>
      </c>
      <c r="C3193" s="39" t="n">
        <v>45856</v>
      </c>
      <c r="D3193" s="7" t="s">
        <v>214</v>
      </c>
      <c r="E3193" s="7" t="s">
        <v>180</v>
      </c>
      <c r="F3193" s="6" t="n">
        <v>3.13</v>
      </c>
      <c r="G3193" s="6" t="n">
        <v>0</v>
      </c>
      <c r="H3193" s="41" t="n">
        <v>15.67</v>
      </c>
      <c r="I3193" s="43" t="n">
        <f aca="false">F3193*H3193</f>
        <v>49.0471</v>
      </c>
      <c r="J3193" s="43" t="n">
        <f aca="false">G3193*H3193*1.5</f>
        <v>0</v>
      </c>
      <c r="K3193" s="6" t="n">
        <v>10.46</v>
      </c>
      <c r="L3193" s="43" t="n">
        <f aca="false">K3193*'Chart of Accounts'!$E$68</f>
        <v>7.0082</v>
      </c>
      <c r="O3193" s="42" t="n">
        <f aca="false">I3193+J3193+L3193</f>
        <v>56.0553</v>
      </c>
    </row>
    <row r="3194" customFormat="false" ht="15" hidden="false" customHeight="false" outlineLevel="0" collapsed="false">
      <c r="B3194" s="7" t="s">
        <v>11827</v>
      </c>
      <c r="C3194" s="39" t="n">
        <v>45857</v>
      </c>
      <c r="D3194" s="7" t="s">
        <v>244</v>
      </c>
      <c r="E3194" s="7" t="s">
        <v>180</v>
      </c>
      <c r="F3194" s="6" t="n">
        <v>3.64</v>
      </c>
      <c r="G3194" s="6" t="n">
        <v>0</v>
      </c>
      <c r="H3194" s="41" t="n">
        <v>16.39</v>
      </c>
      <c r="I3194" s="43" t="n">
        <f aca="false">F3194*H3194</f>
        <v>59.6596</v>
      </c>
      <c r="J3194" s="43" t="n">
        <f aca="false">G3194*H3194*1.5</f>
        <v>0</v>
      </c>
      <c r="K3194" s="6" t="n">
        <v>10.76</v>
      </c>
      <c r="L3194" s="43" t="n">
        <f aca="false">K3194*'Chart of Accounts'!$E$68</f>
        <v>7.2092</v>
      </c>
      <c r="O3194" s="42" t="n">
        <f aca="false">I3194+J3194+L3194</f>
        <v>66.8688</v>
      </c>
    </row>
    <row r="3195" customFormat="false" ht="15" hidden="false" customHeight="false" outlineLevel="0" collapsed="false">
      <c r="B3195" s="7" t="s">
        <v>11828</v>
      </c>
      <c r="C3195" s="39" t="n">
        <v>45857</v>
      </c>
      <c r="D3195" s="7" t="s">
        <v>218</v>
      </c>
      <c r="E3195" s="7" t="s">
        <v>180</v>
      </c>
      <c r="F3195" s="6" t="n">
        <v>3.85</v>
      </c>
      <c r="G3195" s="6" t="n">
        <v>0</v>
      </c>
      <c r="H3195" s="41" t="n">
        <v>16.19</v>
      </c>
      <c r="I3195" s="43" t="n">
        <f aca="false">F3195*H3195</f>
        <v>62.3315</v>
      </c>
      <c r="J3195" s="43" t="n">
        <f aca="false">G3195*H3195*1.5</f>
        <v>0</v>
      </c>
      <c r="K3195" s="6" t="n">
        <v>13.14</v>
      </c>
      <c r="L3195" s="43" t="n">
        <f aca="false">K3195*'Chart of Accounts'!$E$68</f>
        <v>8.8038</v>
      </c>
      <c r="O3195" s="42" t="n">
        <f aca="false">I3195+J3195+L3195</f>
        <v>71.1353</v>
      </c>
    </row>
    <row r="3196" customFormat="false" ht="15" hidden="false" customHeight="false" outlineLevel="0" collapsed="false">
      <c r="B3196" s="7" t="s">
        <v>11829</v>
      </c>
      <c r="C3196" s="39" t="n">
        <v>45857</v>
      </c>
      <c r="D3196" s="7" t="s">
        <v>232</v>
      </c>
      <c r="E3196" s="7" t="s">
        <v>180</v>
      </c>
      <c r="F3196" s="6" t="n">
        <v>4.1</v>
      </c>
      <c r="G3196" s="6" t="n">
        <v>0</v>
      </c>
      <c r="H3196" s="41" t="n">
        <v>16.17</v>
      </c>
      <c r="I3196" s="43" t="n">
        <f aca="false">F3196*H3196</f>
        <v>66.297</v>
      </c>
      <c r="J3196" s="43" t="n">
        <f aca="false">G3196*H3196*1.5</f>
        <v>0</v>
      </c>
      <c r="K3196" s="6" t="n">
        <v>11.66</v>
      </c>
      <c r="L3196" s="43" t="n">
        <f aca="false">K3196*'Chart of Accounts'!$E$68</f>
        <v>7.8122</v>
      </c>
      <c r="O3196" s="42" t="n">
        <f aca="false">I3196+J3196+L3196</f>
        <v>74.1092</v>
      </c>
    </row>
    <row r="3197" customFormat="false" ht="15" hidden="false" customHeight="false" outlineLevel="0" collapsed="false">
      <c r="B3197" s="7" t="s">
        <v>11830</v>
      </c>
      <c r="C3197" s="39" t="n">
        <v>45857</v>
      </c>
      <c r="D3197" s="7" t="s">
        <v>222</v>
      </c>
      <c r="E3197" s="7" t="s">
        <v>180</v>
      </c>
      <c r="F3197" s="6" t="n">
        <v>4.09</v>
      </c>
      <c r="G3197" s="6" t="n">
        <v>0</v>
      </c>
      <c r="H3197" s="41" t="n">
        <v>17.84</v>
      </c>
      <c r="I3197" s="43" t="n">
        <f aca="false">F3197*H3197</f>
        <v>72.9656</v>
      </c>
      <c r="J3197" s="43" t="n">
        <f aca="false">G3197*H3197*1.5</f>
        <v>0</v>
      </c>
      <c r="K3197" s="6" t="n">
        <v>13.54</v>
      </c>
      <c r="L3197" s="43" t="n">
        <f aca="false">K3197*'Chart of Accounts'!$E$68</f>
        <v>9.0718</v>
      </c>
      <c r="O3197" s="42" t="n">
        <f aca="false">I3197+J3197+L3197</f>
        <v>82.0374</v>
      </c>
    </row>
    <row r="3198" customFormat="false" ht="15" hidden="false" customHeight="false" outlineLevel="0" collapsed="false">
      <c r="B3198" s="7" t="s">
        <v>11831</v>
      </c>
      <c r="C3198" s="39" t="n">
        <v>45857</v>
      </c>
      <c r="D3198" s="7" t="s">
        <v>242</v>
      </c>
      <c r="E3198" s="7" t="s">
        <v>180</v>
      </c>
      <c r="F3198" s="6" t="n">
        <v>3.441</v>
      </c>
      <c r="G3198" s="6" t="n">
        <v>0.419</v>
      </c>
      <c r="H3198" s="41" t="n">
        <v>17.99</v>
      </c>
      <c r="I3198" s="43" t="n">
        <f aca="false">F3198*H3198</f>
        <v>61.90359</v>
      </c>
      <c r="J3198" s="43" t="n">
        <f aca="false">G3198*H3198*1.5</f>
        <v>11.306715</v>
      </c>
      <c r="K3198" s="6" t="n">
        <v>12.57</v>
      </c>
      <c r="L3198" s="43" t="n">
        <f aca="false">K3198*'Chart of Accounts'!$E$68</f>
        <v>8.4219</v>
      </c>
      <c r="O3198" s="42" t="n">
        <f aca="false">I3198+J3198+L3198</f>
        <v>81.632205</v>
      </c>
    </row>
    <row r="3199" customFormat="false" ht="15" hidden="false" customHeight="false" outlineLevel="0" collapsed="false">
      <c r="B3199" s="7" t="s">
        <v>11832</v>
      </c>
      <c r="C3199" s="39" t="n">
        <v>45857</v>
      </c>
      <c r="D3199" s="7" t="s">
        <v>254</v>
      </c>
      <c r="E3199" s="7" t="s">
        <v>180</v>
      </c>
      <c r="F3199" s="6" t="n">
        <v>4.01</v>
      </c>
      <c r="G3199" s="6" t="n">
        <v>0</v>
      </c>
      <c r="H3199" s="41" t="n">
        <v>17.1</v>
      </c>
      <c r="I3199" s="43" t="n">
        <f aca="false">F3199*H3199</f>
        <v>68.571</v>
      </c>
      <c r="J3199" s="43" t="n">
        <f aca="false">G3199*H3199*1.5</f>
        <v>0</v>
      </c>
      <c r="K3199" s="6" t="n">
        <v>9.76</v>
      </c>
      <c r="L3199" s="43" t="n">
        <f aca="false">K3199*'Chart of Accounts'!$E$68</f>
        <v>6.5392</v>
      </c>
      <c r="O3199" s="42" t="n">
        <f aca="false">I3199+J3199+L3199</f>
        <v>75.1102</v>
      </c>
    </row>
    <row r="3200" customFormat="false" ht="15" hidden="false" customHeight="false" outlineLevel="0" collapsed="false">
      <c r="B3200" s="7" t="s">
        <v>11833</v>
      </c>
      <c r="C3200" s="39" t="n">
        <v>45858</v>
      </c>
      <c r="D3200" s="7" t="s">
        <v>201</v>
      </c>
      <c r="E3200" s="7" t="s">
        <v>180</v>
      </c>
      <c r="F3200" s="6" t="n">
        <v>4</v>
      </c>
      <c r="G3200" s="6" t="n">
        <v>0</v>
      </c>
      <c r="H3200" s="41" t="n">
        <v>15.19</v>
      </c>
      <c r="I3200" s="43" t="n">
        <f aca="false">F3200*H3200</f>
        <v>60.76</v>
      </c>
      <c r="J3200" s="43" t="n">
        <f aca="false">G3200*H3200*1.5</f>
        <v>0</v>
      </c>
      <c r="K3200" s="6" t="n">
        <v>12.98</v>
      </c>
      <c r="L3200" s="43" t="n">
        <f aca="false">K3200*'Chart of Accounts'!$E$68</f>
        <v>8.6966</v>
      </c>
      <c r="O3200" s="42" t="n">
        <f aca="false">I3200+J3200+L3200</f>
        <v>69.4566</v>
      </c>
    </row>
    <row r="3201" customFormat="false" ht="15" hidden="false" customHeight="false" outlineLevel="0" collapsed="false">
      <c r="B3201" s="7" t="s">
        <v>11834</v>
      </c>
      <c r="C3201" s="39" t="n">
        <v>45858</v>
      </c>
      <c r="D3201" s="7" t="s">
        <v>218</v>
      </c>
      <c r="E3201" s="7" t="s">
        <v>180</v>
      </c>
      <c r="F3201" s="6" t="n">
        <v>4.02</v>
      </c>
      <c r="G3201" s="6" t="n">
        <v>0</v>
      </c>
      <c r="H3201" s="41" t="n">
        <v>16.19</v>
      </c>
      <c r="I3201" s="43" t="n">
        <f aca="false">F3201*H3201</f>
        <v>65.0838</v>
      </c>
      <c r="J3201" s="43" t="n">
        <f aca="false">G3201*H3201*1.5</f>
        <v>0</v>
      </c>
      <c r="K3201" s="6" t="n">
        <v>14.01</v>
      </c>
      <c r="L3201" s="43" t="n">
        <f aca="false">K3201*'Chart of Accounts'!$E$68</f>
        <v>9.3867</v>
      </c>
      <c r="O3201" s="42" t="n">
        <f aca="false">I3201+J3201+L3201</f>
        <v>74.4705</v>
      </c>
    </row>
    <row r="3202" customFormat="false" ht="15" hidden="false" customHeight="false" outlineLevel="0" collapsed="false">
      <c r="B3202" s="7" t="s">
        <v>11835</v>
      </c>
      <c r="C3202" s="39" t="n">
        <v>45858</v>
      </c>
      <c r="D3202" s="7" t="s">
        <v>222</v>
      </c>
      <c r="E3202" s="7" t="s">
        <v>180</v>
      </c>
      <c r="F3202" s="6" t="n">
        <v>8.07</v>
      </c>
      <c r="G3202" s="6" t="n">
        <v>0</v>
      </c>
      <c r="H3202" s="41" t="n">
        <v>17.84</v>
      </c>
      <c r="I3202" s="43" t="n">
        <f aca="false">F3202*H3202</f>
        <v>143.9688</v>
      </c>
      <c r="J3202" s="43" t="n">
        <f aca="false">G3202*H3202*1.5</f>
        <v>0</v>
      </c>
      <c r="K3202" s="6" t="n">
        <v>20.1</v>
      </c>
      <c r="L3202" s="43" t="n">
        <f aca="false">K3202*'Chart of Accounts'!$E$68</f>
        <v>13.467</v>
      </c>
      <c r="O3202" s="42" t="n">
        <f aca="false">I3202+J3202+L3202</f>
        <v>157.4358</v>
      </c>
    </row>
    <row r="3203" customFormat="false" ht="15" hidden="false" customHeight="false" outlineLevel="0" collapsed="false">
      <c r="B3203" s="7" t="s">
        <v>11836</v>
      </c>
      <c r="C3203" s="39" t="n">
        <v>45858</v>
      </c>
      <c r="D3203" s="7" t="s">
        <v>242</v>
      </c>
      <c r="E3203" s="7" t="s">
        <v>180</v>
      </c>
      <c r="F3203" s="6" t="n">
        <v>3.254</v>
      </c>
      <c r="G3203" s="6" t="n">
        <v>0.396</v>
      </c>
      <c r="H3203" s="41" t="n">
        <v>17.99</v>
      </c>
      <c r="I3203" s="43" t="n">
        <f aca="false">F3203*H3203</f>
        <v>58.53946</v>
      </c>
      <c r="J3203" s="43" t="n">
        <f aca="false">G3203*H3203*1.5</f>
        <v>10.68606</v>
      </c>
      <c r="K3203" s="6" t="n">
        <v>10.24</v>
      </c>
      <c r="L3203" s="43" t="n">
        <f aca="false">K3203*'Chart of Accounts'!$E$68</f>
        <v>6.8608</v>
      </c>
      <c r="O3203" s="42" t="n">
        <f aca="false">I3203+J3203+L3203</f>
        <v>76.08632</v>
      </c>
    </row>
    <row r="3204" customFormat="false" ht="15" hidden="false" customHeight="false" outlineLevel="0" collapsed="false">
      <c r="B3204" s="7" t="s">
        <v>11837</v>
      </c>
      <c r="C3204" s="39" t="n">
        <v>45858</v>
      </c>
      <c r="D3204" s="7" t="s">
        <v>254</v>
      </c>
      <c r="E3204" s="7" t="s">
        <v>180</v>
      </c>
      <c r="F3204" s="6" t="n">
        <v>4.16</v>
      </c>
      <c r="G3204" s="6" t="n">
        <v>0</v>
      </c>
      <c r="H3204" s="41" t="n">
        <v>17.1</v>
      </c>
      <c r="I3204" s="43" t="n">
        <f aca="false">F3204*H3204</f>
        <v>71.136</v>
      </c>
      <c r="J3204" s="43" t="n">
        <f aca="false">G3204*H3204*1.5</f>
        <v>0</v>
      </c>
      <c r="K3204" s="6" t="n">
        <v>11.37</v>
      </c>
      <c r="L3204" s="43" t="n">
        <f aca="false">K3204*'Chart of Accounts'!$E$68</f>
        <v>7.6179</v>
      </c>
      <c r="O3204" s="42" t="n">
        <f aca="false">I3204+J3204+L3204</f>
        <v>78.7539</v>
      </c>
    </row>
    <row r="3205" customFormat="false" ht="15" hidden="false" customHeight="false" outlineLevel="0" collapsed="false">
      <c r="B3205" s="7" t="s">
        <v>11838</v>
      </c>
      <c r="C3205" s="39" t="n">
        <v>45859</v>
      </c>
      <c r="D3205" s="7" t="s">
        <v>187</v>
      </c>
      <c r="E3205" s="7" t="s">
        <v>158</v>
      </c>
      <c r="H3205" s="41" t="n">
        <v>66.48</v>
      </c>
      <c r="M3205" s="6" t="n">
        <v>1</v>
      </c>
      <c r="N3205" s="43" t="n">
        <f aca="false">M3205*H3205</f>
        <v>66.48</v>
      </c>
      <c r="O3205" s="42" t="n">
        <f aca="false">N3205</f>
        <v>66.48</v>
      </c>
    </row>
    <row r="3206" customFormat="false" ht="15" hidden="false" customHeight="false" outlineLevel="0" collapsed="false">
      <c r="B3206" s="7" t="s">
        <v>11839</v>
      </c>
      <c r="C3206" s="39" t="n">
        <v>45859</v>
      </c>
      <c r="D3206" s="7" t="s">
        <v>184</v>
      </c>
      <c r="E3206" s="7" t="s">
        <v>180</v>
      </c>
      <c r="F3206" s="6" t="n">
        <v>8.33</v>
      </c>
      <c r="G3206" s="6" t="n">
        <v>0</v>
      </c>
      <c r="H3206" s="41" t="n">
        <v>17.34</v>
      </c>
      <c r="I3206" s="43" t="n">
        <f aca="false">F3206*H3206</f>
        <v>144.4422</v>
      </c>
      <c r="J3206" s="43" t="n">
        <f aca="false">G3206*H3206*1.5</f>
        <v>0</v>
      </c>
      <c r="K3206" s="6" t="n">
        <v>23.42</v>
      </c>
      <c r="L3206" s="43" t="n">
        <f aca="false">K3206*'Chart of Accounts'!$E$68</f>
        <v>15.6914</v>
      </c>
      <c r="O3206" s="42" t="n">
        <f aca="false">I3206+J3206+L3206</f>
        <v>160.1336</v>
      </c>
    </row>
    <row r="3207" customFormat="false" ht="15" hidden="false" customHeight="false" outlineLevel="0" collapsed="false">
      <c r="B3207" s="7" t="s">
        <v>11840</v>
      </c>
      <c r="C3207" s="39" t="n">
        <v>45859</v>
      </c>
      <c r="D3207" s="7" t="s">
        <v>194</v>
      </c>
      <c r="E3207" s="7" t="s">
        <v>180</v>
      </c>
      <c r="F3207" s="6" t="n">
        <v>8.63</v>
      </c>
      <c r="G3207" s="6" t="n">
        <v>0</v>
      </c>
      <c r="H3207" s="41" t="n">
        <v>16</v>
      </c>
      <c r="I3207" s="43" t="n">
        <f aca="false">F3207*H3207</f>
        <v>138.08</v>
      </c>
      <c r="J3207" s="43" t="n">
        <f aca="false">G3207*H3207*1.5</f>
        <v>0</v>
      </c>
      <c r="K3207" s="6" t="n">
        <v>22.53</v>
      </c>
      <c r="L3207" s="43" t="n">
        <f aca="false">K3207*'Chart of Accounts'!$E$68</f>
        <v>15.0951</v>
      </c>
      <c r="O3207" s="42" t="n">
        <f aca="false">I3207+J3207+L3207</f>
        <v>153.1751</v>
      </c>
    </row>
    <row r="3208" customFormat="false" ht="15" hidden="false" customHeight="false" outlineLevel="0" collapsed="false">
      <c r="B3208" s="7" t="s">
        <v>11841</v>
      </c>
      <c r="C3208" s="39" t="n">
        <v>45859</v>
      </c>
      <c r="D3208" s="7" t="s">
        <v>201</v>
      </c>
      <c r="E3208" s="7" t="s">
        <v>180</v>
      </c>
      <c r="F3208" s="6" t="n">
        <v>9.12</v>
      </c>
      <c r="G3208" s="6" t="n">
        <v>0</v>
      </c>
      <c r="H3208" s="41" t="n">
        <v>15.19</v>
      </c>
      <c r="I3208" s="43" t="n">
        <f aca="false">F3208*H3208</f>
        <v>138.5328</v>
      </c>
      <c r="J3208" s="43" t="n">
        <f aca="false">G3208*H3208*1.5</f>
        <v>0</v>
      </c>
      <c r="K3208" s="6" t="n">
        <v>30.12</v>
      </c>
      <c r="L3208" s="43" t="n">
        <f aca="false">K3208*'Chart of Accounts'!$E$68</f>
        <v>20.1804</v>
      </c>
      <c r="O3208" s="42" t="n">
        <f aca="false">I3208+J3208+L3208</f>
        <v>158.7132</v>
      </c>
    </row>
    <row r="3209" customFormat="false" ht="15" hidden="false" customHeight="false" outlineLevel="0" collapsed="false">
      <c r="B3209" s="7" t="s">
        <v>11842</v>
      </c>
      <c r="C3209" s="39" t="n">
        <v>45859</v>
      </c>
      <c r="D3209" s="7" t="s">
        <v>205</v>
      </c>
      <c r="E3209" s="7" t="s">
        <v>180</v>
      </c>
      <c r="F3209" s="6" t="n">
        <v>3.79</v>
      </c>
      <c r="G3209" s="6" t="n">
        <v>0</v>
      </c>
      <c r="H3209" s="41" t="n">
        <v>16.36</v>
      </c>
      <c r="I3209" s="43" t="n">
        <f aca="false">F3209*H3209</f>
        <v>62.0044</v>
      </c>
      <c r="J3209" s="43" t="n">
        <f aca="false">G3209*H3209*1.5</f>
        <v>0</v>
      </c>
      <c r="K3209" s="6" t="n">
        <v>13.27</v>
      </c>
      <c r="L3209" s="43" t="n">
        <f aca="false">K3209*'Chart of Accounts'!$E$68</f>
        <v>8.8909</v>
      </c>
      <c r="O3209" s="42" t="n">
        <f aca="false">I3209+J3209+L3209</f>
        <v>70.8953</v>
      </c>
    </row>
    <row r="3210" customFormat="false" ht="15" hidden="false" customHeight="false" outlineLevel="0" collapsed="false">
      <c r="B3210" s="7" t="s">
        <v>11843</v>
      </c>
      <c r="C3210" s="39" t="n">
        <v>45859</v>
      </c>
      <c r="D3210" s="7" t="s">
        <v>264</v>
      </c>
      <c r="E3210" s="7" t="s">
        <v>158</v>
      </c>
      <c r="H3210" s="41" t="n">
        <v>55.55</v>
      </c>
      <c r="M3210" s="6" t="n">
        <v>1</v>
      </c>
      <c r="N3210" s="43" t="n">
        <f aca="false">M3210*H3210</f>
        <v>55.55</v>
      </c>
      <c r="O3210" s="42" t="n">
        <f aca="false">N3210</f>
        <v>55.55</v>
      </c>
    </row>
    <row r="3211" customFormat="false" ht="15" hidden="false" customHeight="false" outlineLevel="0" collapsed="false">
      <c r="B3211" s="7" t="s">
        <v>11844</v>
      </c>
      <c r="C3211" s="39" t="n">
        <v>45859</v>
      </c>
      <c r="D3211" s="7" t="s">
        <v>196</v>
      </c>
      <c r="E3211" s="7" t="s">
        <v>180</v>
      </c>
      <c r="F3211" s="6" t="n">
        <v>6.04</v>
      </c>
      <c r="G3211" s="6" t="n">
        <v>0</v>
      </c>
      <c r="H3211" s="41" t="n">
        <v>15.05</v>
      </c>
      <c r="I3211" s="43" t="n">
        <f aca="false">F3211*H3211</f>
        <v>90.902</v>
      </c>
      <c r="J3211" s="43" t="n">
        <f aca="false">G3211*H3211*1.5</f>
        <v>0</v>
      </c>
      <c r="K3211" s="6" t="n">
        <v>19.62</v>
      </c>
      <c r="L3211" s="43" t="n">
        <f aca="false">K3211*'Chart of Accounts'!$E$68</f>
        <v>13.1454</v>
      </c>
      <c r="O3211" s="42" t="n">
        <f aca="false">I3211+J3211+L3211</f>
        <v>104.0474</v>
      </c>
    </row>
    <row r="3212" customFormat="false" ht="15" hidden="false" customHeight="false" outlineLevel="0" collapsed="false">
      <c r="B3212" s="7" t="s">
        <v>11845</v>
      </c>
      <c r="C3212" s="39" t="n">
        <v>45859</v>
      </c>
      <c r="D3212" s="7" t="s">
        <v>207</v>
      </c>
      <c r="E3212" s="7" t="s">
        <v>180</v>
      </c>
      <c r="F3212" s="6" t="n">
        <v>13.46</v>
      </c>
      <c r="G3212" s="6" t="n">
        <v>0</v>
      </c>
      <c r="H3212" s="41" t="n">
        <v>16.65</v>
      </c>
      <c r="I3212" s="43" t="n">
        <f aca="false">F3212*H3212</f>
        <v>224.109</v>
      </c>
      <c r="J3212" s="43" t="n">
        <f aca="false">G3212*H3212*1.5</f>
        <v>0</v>
      </c>
      <c r="K3212" s="6" t="n">
        <v>39.88</v>
      </c>
      <c r="L3212" s="43" t="n">
        <f aca="false">K3212*'Chart of Accounts'!$E$68</f>
        <v>26.7196</v>
      </c>
      <c r="O3212" s="42" t="n">
        <f aca="false">I3212+J3212+L3212</f>
        <v>250.8286</v>
      </c>
    </row>
    <row r="3213" customFormat="false" ht="15" hidden="false" customHeight="false" outlineLevel="0" collapsed="false">
      <c r="B3213" s="7" t="s">
        <v>11846</v>
      </c>
      <c r="C3213" s="39" t="n">
        <v>45859</v>
      </c>
      <c r="D3213" s="7" t="s">
        <v>218</v>
      </c>
      <c r="E3213" s="7" t="s">
        <v>180</v>
      </c>
      <c r="F3213" s="6" t="n">
        <v>4.16</v>
      </c>
      <c r="G3213" s="6" t="n">
        <v>0</v>
      </c>
      <c r="H3213" s="41" t="n">
        <v>16.19</v>
      </c>
      <c r="I3213" s="43" t="n">
        <f aca="false">F3213*H3213</f>
        <v>67.3504</v>
      </c>
      <c r="J3213" s="43" t="n">
        <f aca="false">G3213*H3213*1.5</f>
        <v>0</v>
      </c>
      <c r="K3213" s="6" t="n">
        <v>9.95</v>
      </c>
      <c r="L3213" s="43" t="n">
        <f aca="false">K3213*'Chart of Accounts'!$E$68</f>
        <v>6.6665</v>
      </c>
      <c r="O3213" s="42" t="n">
        <f aca="false">I3213+J3213+L3213</f>
        <v>74.0169</v>
      </c>
    </row>
    <row r="3214" customFormat="false" ht="15" hidden="false" customHeight="false" outlineLevel="0" collapsed="false">
      <c r="B3214" s="7" t="s">
        <v>11847</v>
      </c>
      <c r="C3214" s="39" t="n">
        <v>45859</v>
      </c>
      <c r="D3214" s="7" t="s">
        <v>220</v>
      </c>
      <c r="E3214" s="7" t="s">
        <v>180</v>
      </c>
      <c r="F3214" s="6" t="n">
        <v>3.61</v>
      </c>
      <c r="G3214" s="6" t="n">
        <v>0</v>
      </c>
      <c r="H3214" s="41" t="n">
        <v>16.43</v>
      </c>
      <c r="I3214" s="43" t="n">
        <f aca="false">F3214*H3214</f>
        <v>59.3123</v>
      </c>
      <c r="J3214" s="43" t="n">
        <f aca="false">G3214*H3214*1.5</f>
        <v>0</v>
      </c>
      <c r="K3214" s="6" t="n">
        <v>12.72</v>
      </c>
      <c r="L3214" s="43" t="n">
        <f aca="false">K3214*'Chart of Accounts'!$E$68</f>
        <v>8.5224</v>
      </c>
      <c r="O3214" s="42" t="n">
        <f aca="false">I3214+J3214+L3214</f>
        <v>67.8347</v>
      </c>
    </row>
    <row r="3215" customFormat="false" ht="15" hidden="false" customHeight="false" outlineLevel="0" collapsed="false">
      <c r="B3215" s="7" t="s">
        <v>11848</v>
      </c>
      <c r="C3215" s="39" t="n">
        <v>45859</v>
      </c>
      <c r="D3215" s="7" t="s">
        <v>224</v>
      </c>
      <c r="E3215" s="7" t="s">
        <v>180</v>
      </c>
      <c r="F3215" s="6" t="n">
        <v>8.84</v>
      </c>
      <c r="G3215" s="6" t="n">
        <v>0</v>
      </c>
      <c r="H3215" s="41" t="n">
        <v>14.93</v>
      </c>
      <c r="I3215" s="43" t="n">
        <f aca="false">F3215*H3215</f>
        <v>131.9812</v>
      </c>
      <c r="J3215" s="43" t="n">
        <f aca="false">G3215*H3215*1.5</f>
        <v>0</v>
      </c>
      <c r="K3215" s="6" t="n">
        <v>28.14</v>
      </c>
      <c r="L3215" s="43" t="n">
        <f aca="false">K3215*'Chart of Accounts'!$E$68</f>
        <v>18.8538</v>
      </c>
      <c r="O3215" s="42" t="n">
        <f aca="false">I3215+J3215+L3215</f>
        <v>150.835</v>
      </c>
    </row>
    <row r="3216" customFormat="false" ht="15" hidden="false" customHeight="false" outlineLevel="0" collapsed="false">
      <c r="B3216" s="7" t="s">
        <v>11849</v>
      </c>
      <c r="C3216" s="39" t="n">
        <v>45859</v>
      </c>
      <c r="D3216" s="7" t="s">
        <v>177</v>
      </c>
      <c r="E3216" s="7" t="s">
        <v>180</v>
      </c>
      <c r="F3216" s="6" t="n">
        <v>12.37</v>
      </c>
      <c r="G3216" s="6" t="n">
        <v>0</v>
      </c>
      <c r="H3216" s="41" t="n">
        <v>14.56</v>
      </c>
      <c r="I3216" s="43" t="n">
        <f aca="false">F3216*H3216</f>
        <v>180.1072</v>
      </c>
      <c r="J3216" s="43" t="n">
        <f aca="false">G3216*H3216*1.5</f>
        <v>0</v>
      </c>
      <c r="K3216" s="6" t="n">
        <v>40.68</v>
      </c>
      <c r="L3216" s="43" t="n">
        <f aca="false">K3216*'Chart of Accounts'!$E$68</f>
        <v>27.2556</v>
      </c>
      <c r="O3216" s="42" t="n">
        <f aca="false">I3216+J3216+L3216</f>
        <v>207.3628</v>
      </c>
    </row>
    <row r="3217" customFormat="false" ht="15" hidden="false" customHeight="false" outlineLevel="0" collapsed="false">
      <c r="B3217" s="7" t="s">
        <v>11850</v>
      </c>
      <c r="C3217" s="39" t="n">
        <v>45859</v>
      </c>
      <c r="D3217" s="7" t="s">
        <v>232</v>
      </c>
      <c r="E3217" s="7" t="s">
        <v>180</v>
      </c>
      <c r="F3217" s="6" t="n">
        <v>11.34</v>
      </c>
      <c r="G3217" s="6" t="n">
        <v>0</v>
      </c>
      <c r="H3217" s="41" t="n">
        <v>16.17</v>
      </c>
      <c r="I3217" s="43" t="n">
        <f aca="false">F3217*H3217</f>
        <v>183.3678</v>
      </c>
      <c r="J3217" s="43" t="n">
        <f aca="false">G3217*H3217*1.5</f>
        <v>0</v>
      </c>
      <c r="K3217" s="6" t="n">
        <v>27.9</v>
      </c>
      <c r="L3217" s="43" t="n">
        <f aca="false">K3217*'Chart of Accounts'!$E$68</f>
        <v>18.693</v>
      </c>
      <c r="O3217" s="42" t="n">
        <f aca="false">I3217+J3217+L3217</f>
        <v>202.0608</v>
      </c>
    </row>
    <row r="3218" customFormat="false" ht="15" hidden="false" customHeight="false" outlineLevel="0" collapsed="false">
      <c r="B3218" s="7" t="s">
        <v>11851</v>
      </c>
      <c r="C3218" s="39" t="n">
        <v>45859</v>
      </c>
      <c r="D3218" s="7" t="s">
        <v>242</v>
      </c>
      <c r="E3218" s="7" t="s">
        <v>180</v>
      </c>
      <c r="F3218" s="6" t="n">
        <v>7.18</v>
      </c>
      <c r="G3218" s="6" t="n">
        <v>0</v>
      </c>
      <c r="H3218" s="41" t="n">
        <v>17.99</v>
      </c>
      <c r="I3218" s="43" t="n">
        <f aca="false">F3218*H3218</f>
        <v>129.1682</v>
      </c>
      <c r="J3218" s="43" t="n">
        <f aca="false">G3218*H3218*1.5</f>
        <v>0</v>
      </c>
      <c r="K3218" s="6" t="n">
        <v>17.24</v>
      </c>
      <c r="L3218" s="43" t="n">
        <f aca="false">K3218*'Chart of Accounts'!$E$68</f>
        <v>11.5508</v>
      </c>
      <c r="O3218" s="42" t="n">
        <f aca="false">I3218+J3218+L3218</f>
        <v>140.719</v>
      </c>
    </row>
    <row r="3219" customFormat="false" ht="15" hidden="false" customHeight="false" outlineLevel="0" collapsed="false">
      <c r="B3219" s="7" t="s">
        <v>11852</v>
      </c>
      <c r="C3219" s="39" t="n">
        <v>45859</v>
      </c>
      <c r="D3219" s="7" t="s">
        <v>222</v>
      </c>
      <c r="E3219" s="7" t="s">
        <v>180</v>
      </c>
      <c r="F3219" s="6" t="n">
        <v>7.01</v>
      </c>
      <c r="G3219" s="6" t="n">
        <v>0</v>
      </c>
      <c r="H3219" s="41" t="n">
        <v>17.84</v>
      </c>
      <c r="I3219" s="43" t="n">
        <f aca="false">F3219*H3219</f>
        <v>125.0584</v>
      </c>
      <c r="J3219" s="43" t="n">
        <f aca="false">G3219*H3219*1.5</f>
        <v>0</v>
      </c>
      <c r="K3219" s="6" t="n">
        <v>19.96</v>
      </c>
      <c r="L3219" s="43" t="n">
        <f aca="false">K3219*'Chart of Accounts'!$E$68</f>
        <v>13.3732</v>
      </c>
      <c r="O3219" s="42" t="n">
        <f aca="false">I3219+J3219+L3219</f>
        <v>138.4316</v>
      </c>
    </row>
    <row r="3220" customFormat="false" ht="15" hidden="false" customHeight="false" outlineLevel="0" collapsed="false">
      <c r="B3220" s="7" t="s">
        <v>11853</v>
      </c>
      <c r="C3220" s="39" t="n">
        <v>45859</v>
      </c>
      <c r="D3220" s="7" t="s">
        <v>238</v>
      </c>
      <c r="E3220" s="7" t="s">
        <v>180</v>
      </c>
      <c r="F3220" s="6" t="n">
        <v>9.18</v>
      </c>
      <c r="G3220" s="6" t="n">
        <v>0</v>
      </c>
      <c r="H3220" s="41" t="n">
        <v>15.85</v>
      </c>
      <c r="I3220" s="43" t="n">
        <f aca="false">F3220*H3220</f>
        <v>145.503</v>
      </c>
      <c r="J3220" s="43" t="n">
        <f aca="false">G3220*H3220*1.5</f>
        <v>0</v>
      </c>
      <c r="K3220" s="6" t="n">
        <v>25.06</v>
      </c>
      <c r="L3220" s="43" t="n">
        <f aca="false">K3220*'Chart of Accounts'!$E$68</f>
        <v>16.7902</v>
      </c>
      <c r="O3220" s="42" t="n">
        <f aca="false">I3220+J3220+L3220</f>
        <v>162.2932</v>
      </c>
    </row>
    <row r="3221" customFormat="false" ht="15" hidden="false" customHeight="false" outlineLevel="0" collapsed="false">
      <c r="B3221" s="7" t="s">
        <v>11854</v>
      </c>
      <c r="C3221" s="39" t="n">
        <v>45859</v>
      </c>
      <c r="D3221" s="7" t="s">
        <v>254</v>
      </c>
      <c r="E3221" s="7" t="s">
        <v>180</v>
      </c>
      <c r="F3221" s="6" t="n">
        <v>6.809</v>
      </c>
      <c r="G3221" s="6" t="n">
        <v>0.271</v>
      </c>
      <c r="H3221" s="41" t="n">
        <v>17.1</v>
      </c>
      <c r="I3221" s="43" t="n">
        <f aca="false">F3221*H3221</f>
        <v>116.4339</v>
      </c>
      <c r="J3221" s="43" t="n">
        <f aca="false">G3221*H3221*1.5</f>
        <v>6.95115</v>
      </c>
      <c r="K3221" s="6" t="n">
        <v>15.86</v>
      </c>
      <c r="L3221" s="43" t="n">
        <f aca="false">K3221*'Chart of Accounts'!$E$68</f>
        <v>10.6262</v>
      </c>
      <c r="O3221" s="42" t="n">
        <f aca="false">I3221+J3221+L3221</f>
        <v>134.01125</v>
      </c>
    </row>
    <row r="3222" customFormat="false" ht="15" hidden="false" customHeight="false" outlineLevel="0" collapsed="false">
      <c r="B3222" s="7" t="s">
        <v>11855</v>
      </c>
      <c r="C3222" s="39" t="n">
        <v>45859</v>
      </c>
      <c r="D3222" s="7" t="s">
        <v>246</v>
      </c>
      <c r="E3222" s="7" t="s">
        <v>180</v>
      </c>
      <c r="F3222" s="6" t="n">
        <v>8.13</v>
      </c>
      <c r="G3222" s="6" t="n">
        <v>0</v>
      </c>
      <c r="H3222" s="41" t="n">
        <v>16.48</v>
      </c>
      <c r="I3222" s="43" t="n">
        <f aca="false">F3222*H3222</f>
        <v>133.9824</v>
      </c>
      <c r="J3222" s="43" t="n">
        <f aca="false">G3222*H3222*1.5</f>
        <v>0</v>
      </c>
      <c r="K3222" s="6" t="n">
        <v>20.65</v>
      </c>
      <c r="L3222" s="43" t="n">
        <f aca="false">K3222*'Chart of Accounts'!$E$68</f>
        <v>13.8355</v>
      </c>
      <c r="O3222" s="42" t="n">
        <f aca="false">I3222+J3222+L3222</f>
        <v>147.8179</v>
      </c>
    </row>
    <row r="3223" customFormat="false" ht="15" hidden="false" customHeight="false" outlineLevel="0" collapsed="false">
      <c r="B3223" s="7" t="s">
        <v>11856</v>
      </c>
      <c r="C3223" s="39" t="n">
        <v>45859</v>
      </c>
      <c r="D3223" s="7" t="s">
        <v>214</v>
      </c>
      <c r="E3223" s="7" t="s">
        <v>180</v>
      </c>
      <c r="F3223" s="6" t="n">
        <v>7.59</v>
      </c>
      <c r="G3223" s="6" t="n">
        <v>0</v>
      </c>
      <c r="H3223" s="41" t="n">
        <v>15.67</v>
      </c>
      <c r="I3223" s="43" t="n">
        <f aca="false">F3223*H3223</f>
        <v>118.9353</v>
      </c>
      <c r="J3223" s="43" t="n">
        <f aca="false">G3223*H3223*1.5</f>
        <v>0</v>
      </c>
      <c r="K3223" s="6" t="n">
        <v>16.76</v>
      </c>
      <c r="L3223" s="43" t="n">
        <f aca="false">K3223*'Chart of Accounts'!$E$68</f>
        <v>11.2292</v>
      </c>
      <c r="O3223" s="42" t="n">
        <f aca="false">I3223+J3223+L3223</f>
        <v>130.1645</v>
      </c>
    </row>
    <row r="3224" customFormat="false" ht="15" hidden="false" customHeight="false" outlineLevel="0" collapsed="false">
      <c r="B3224" s="7" t="s">
        <v>11857</v>
      </c>
      <c r="C3224" s="39" t="n">
        <v>45860</v>
      </c>
      <c r="D3224" s="7" t="s">
        <v>244</v>
      </c>
      <c r="E3224" s="7" t="s">
        <v>180</v>
      </c>
      <c r="F3224" s="6" t="n">
        <v>8.66</v>
      </c>
      <c r="G3224" s="6" t="n">
        <v>0</v>
      </c>
      <c r="H3224" s="41" t="n">
        <v>16.39</v>
      </c>
      <c r="I3224" s="43" t="n">
        <f aca="false">F3224*H3224</f>
        <v>141.9374</v>
      </c>
      <c r="J3224" s="43" t="n">
        <f aca="false">G3224*H3224*1.5</f>
        <v>0</v>
      </c>
      <c r="K3224" s="6" t="n">
        <v>31.1</v>
      </c>
      <c r="L3224" s="43" t="n">
        <f aca="false">K3224*'Chart of Accounts'!$E$68</f>
        <v>20.837</v>
      </c>
      <c r="O3224" s="42" t="n">
        <f aca="false">I3224+J3224+L3224</f>
        <v>162.7744</v>
      </c>
    </row>
    <row r="3225" customFormat="false" ht="15" hidden="false" customHeight="false" outlineLevel="0" collapsed="false">
      <c r="B3225" s="7" t="s">
        <v>11858</v>
      </c>
      <c r="C3225" s="39" t="n">
        <v>45860</v>
      </c>
      <c r="D3225" s="7" t="s">
        <v>209</v>
      </c>
      <c r="E3225" s="7" t="s">
        <v>158</v>
      </c>
      <c r="H3225" s="41" t="n">
        <v>73.58</v>
      </c>
      <c r="M3225" s="6" t="n">
        <v>2</v>
      </c>
      <c r="N3225" s="43" t="n">
        <f aca="false">M3225*H3225</f>
        <v>147.16</v>
      </c>
      <c r="O3225" s="42" t="n">
        <f aca="false">N3225</f>
        <v>147.16</v>
      </c>
    </row>
    <row r="3226" customFormat="false" ht="15" hidden="false" customHeight="false" outlineLevel="0" collapsed="false">
      <c r="B3226" s="7" t="s">
        <v>11859</v>
      </c>
      <c r="C3226" s="39" t="n">
        <v>45860</v>
      </c>
      <c r="D3226" s="7" t="s">
        <v>184</v>
      </c>
      <c r="E3226" s="7" t="s">
        <v>180</v>
      </c>
      <c r="F3226" s="6" t="n">
        <v>4.31</v>
      </c>
      <c r="G3226" s="6" t="n">
        <v>0</v>
      </c>
      <c r="H3226" s="41" t="n">
        <v>17.34</v>
      </c>
      <c r="I3226" s="43" t="n">
        <f aca="false">F3226*H3226</f>
        <v>74.7354</v>
      </c>
      <c r="J3226" s="43" t="n">
        <f aca="false">G3226*H3226*1.5</f>
        <v>0</v>
      </c>
      <c r="K3226" s="6" t="n">
        <v>12.4</v>
      </c>
      <c r="L3226" s="43" t="n">
        <f aca="false">K3226*'Chart of Accounts'!$E$68</f>
        <v>8.308</v>
      </c>
      <c r="O3226" s="42" t="n">
        <f aca="false">I3226+J3226+L3226</f>
        <v>83.0434</v>
      </c>
    </row>
    <row r="3227" customFormat="false" ht="15" hidden="false" customHeight="false" outlineLevel="0" collapsed="false">
      <c r="B3227" s="7" t="s">
        <v>11860</v>
      </c>
      <c r="C3227" s="39" t="n">
        <v>45860</v>
      </c>
      <c r="D3227" s="7" t="s">
        <v>234</v>
      </c>
      <c r="E3227" s="7" t="s">
        <v>158</v>
      </c>
      <c r="H3227" s="41" t="n">
        <v>89.53</v>
      </c>
      <c r="M3227" s="6" t="n">
        <v>2</v>
      </c>
      <c r="N3227" s="43" t="n">
        <f aca="false">M3227*H3227</f>
        <v>179.06</v>
      </c>
      <c r="O3227" s="42" t="n">
        <f aca="false">N3227</f>
        <v>179.06</v>
      </c>
    </row>
    <row r="3228" customFormat="false" ht="15" hidden="false" customHeight="false" outlineLevel="0" collapsed="false">
      <c r="B3228" s="7" t="s">
        <v>11861</v>
      </c>
      <c r="C3228" s="39" t="n">
        <v>45860</v>
      </c>
      <c r="D3228" s="7" t="s">
        <v>218</v>
      </c>
      <c r="E3228" s="7" t="s">
        <v>180</v>
      </c>
      <c r="F3228" s="6" t="n">
        <v>4.15</v>
      </c>
      <c r="G3228" s="6" t="n">
        <v>0</v>
      </c>
      <c r="H3228" s="41" t="n">
        <v>16.19</v>
      </c>
      <c r="I3228" s="43" t="n">
        <f aca="false">F3228*H3228</f>
        <v>67.1885</v>
      </c>
      <c r="J3228" s="43" t="n">
        <f aca="false">G3228*H3228*1.5</f>
        <v>0</v>
      </c>
      <c r="K3228" s="6" t="n">
        <v>12.39</v>
      </c>
      <c r="L3228" s="43" t="n">
        <f aca="false">K3228*'Chart of Accounts'!$E$68</f>
        <v>8.3013</v>
      </c>
      <c r="O3228" s="42" t="n">
        <f aca="false">I3228+J3228+L3228</f>
        <v>75.4898</v>
      </c>
    </row>
    <row r="3229" customFormat="false" ht="15" hidden="false" customHeight="false" outlineLevel="0" collapsed="false">
      <c r="B3229" s="7" t="s">
        <v>11862</v>
      </c>
      <c r="C3229" s="39" t="n">
        <v>45860</v>
      </c>
      <c r="D3229" s="7" t="s">
        <v>266</v>
      </c>
      <c r="E3229" s="7" t="s">
        <v>158</v>
      </c>
      <c r="H3229" s="41" t="n">
        <v>75.18</v>
      </c>
      <c r="M3229" s="6" t="n">
        <v>1</v>
      </c>
      <c r="N3229" s="43" t="n">
        <f aca="false">M3229*H3229</f>
        <v>75.18</v>
      </c>
      <c r="O3229" s="42" t="n">
        <f aca="false">N3229</f>
        <v>75.18</v>
      </c>
    </row>
    <row r="3230" customFormat="false" ht="15" hidden="false" customHeight="false" outlineLevel="0" collapsed="false">
      <c r="B3230" s="7" t="s">
        <v>11863</v>
      </c>
      <c r="C3230" s="39" t="n">
        <v>45860</v>
      </c>
      <c r="D3230" s="7" t="s">
        <v>228</v>
      </c>
      <c r="E3230" s="7" t="s">
        <v>158</v>
      </c>
      <c r="H3230" s="41" t="n">
        <v>51.07</v>
      </c>
      <c r="M3230" s="6" t="n">
        <v>1</v>
      </c>
      <c r="N3230" s="43" t="n">
        <f aca="false">M3230*H3230</f>
        <v>51.07</v>
      </c>
      <c r="O3230" s="42" t="n">
        <f aca="false">N3230</f>
        <v>51.07</v>
      </c>
    </row>
    <row r="3231" customFormat="false" ht="15" hidden="false" customHeight="false" outlineLevel="0" collapsed="false">
      <c r="B3231" s="7" t="s">
        <v>11864</v>
      </c>
      <c r="C3231" s="39" t="n">
        <v>45860</v>
      </c>
      <c r="D3231" s="7" t="s">
        <v>220</v>
      </c>
      <c r="E3231" s="7" t="s">
        <v>180</v>
      </c>
      <c r="F3231" s="6" t="n">
        <v>4.32</v>
      </c>
      <c r="G3231" s="6" t="n">
        <v>0</v>
      </c>
      <c r="H3231" s="41" t="n">
        <v>16.43</v>
      </c>
      <c r="I3231" s="43" t="n">
        <f aca="false">F3231*H3231</f>
        <v>70.9776</v>
      </c>
      <c r="J3231" s="43" t="n">
        <f aca="false">G3231*H3231*1.5</f>
        <v>0</v>
      </c>
      <c r="K3231" s="6" t="n">
        <v>14.53</v>
      </c>
      <c r="L3231" s="43" t="n">
        <f aca="false">K3231*'Chart of Accounts'!$E$68</f>
        <v>9.7351</v>
      </c>
      <c r="O3231" s="42" t="n">
        <f aca="false">I3231+J3231+L3231</f>
        <v>80.7127</v>
      </c>
    </row>
    <row r="3232" customFormat="false" ht="15" hidden="false" customHeight="false" outlineLevel="0" collapsed="false">
      <c r="B3232" s="7" t="s">
        <v>11865</v>
      </c>
      <c r="C3232" s="39" t="n">
        <v>45860</v>
      </c>
      <c r="D3232" s="7" t="s">
        <v>194</v>
      </c>
      <c r="E3232" s="7" t="s">
        <v>180</v>
      </c>
      <c r="F3232" s="6" t="n">
        <v>3.75</v>
      </c>
      <c r="G3232" s="6" t="n">
        <v>0</v>
      </c>
      <c r="H3232" s="41" t="n">
        <v>16</v>
      </c>
      <c r="I3232" s="43" t="n">
        <f aca="false">F3232*H3232</f>
        <v>60</v>
      </c>
      <c r="J3232" s="43" t="n">
        <f aca="false">G3232*H3232*1.5</f>
        <v>0</v>
      </c>
      <c r="K3232" s="6" t="n">
        <v>10.55</v>
      </c>
      <c r="L3232" s="43" t="n">
        <f aca="false">K3232*'Chart of Accounts'!$E$68</f>
        <v>7.0685</v>
      </c>
      <c r="O3232" s="42" t="n">
        <f aca="false">I3232+J3232+L3232</f>
        <v>67.0685</v>
      </c>
    </row>
    <row r="3233" customFormat="false" ht="15" hidden="false" customHeight="false" outlineLevel="0" collapsed="false">
      <c r="B3233" s="7" t="s">
        <v>11866</v>
      </c>
      <c r="C3233" s="39" t="n">
        <v>45860</v>
      </c>
      <c r="D3233" s="7" t="s">
        <v>258</v>
      </c>
      <c r="E3233" s="7" t="s">
        <v>158</v>
      </c>
      <c r="H3233" s="41" t="n">
        <v>61.61</v>
      </c>
      <c r="M3233" s="6" t="n">
        <v>1</v>
      </c>
      <c r="N3233" s="43" t="n">
        <f aca="false">M3233*H3233</f>
        <v>61.61</v>
      </c>
      <c r="O3233" s="42" t="n">
        <f aca="false">N3233</f>
        <v>61.61</v>
      </c>
    </row>
    <row r="3234" customFormat="false" ht="15" hidden="false" customHeight="false" outlineLevel="0" collapsed="false">
      <c r="B3234" s="7" t="s">
        <v>11867</v>
      </c>
      <c r="C3234" s="39" t="n">
        <v>45860</v>
      </c>
      <c r="D3234" s="7" t="s">
        <v>246</v>
      </c>
      <c r="E3234" s="7" t="s">
        <v>180</v>
      </c>
      <c r="F3234" s="6" t="n">
        <v>4.23</v>
      </c>
      <c r="G3234" s="6" t="n">
        <v>0</v>
      </c>
      <c r="H3234" s="41" t="n">
        <v>16.48</v>
      </c>
      <c r="I3234" s="43" t="n">
        <f aca="false">F3234*H3234</f>
        <v>69.7104</v>
      </c>
      <c r="J3234" s="43" t="n">
        <f aca="false">G3234*H3234*1.5</f>
        <v>0</v>
      </c>
      <c r="K3234" s="6" t="n">
        <v>9.78</v>
      </c>
      <c r="L3234" s="43" t="n">
        <f aca="false">K3234*'Chart of Accounts'!$E$68</f>
        <v>6.5526</v>
      </c>
      <c r="O3234" s="42" t="n">
        <f aca="false">I3234+J3234+L3234</f>
        <v>76.263</v>
      </c>
    </row>
    <row r="3235" customFormat="false" ht="15" hidden="false" customHeight="false" outlineLevel="0" collapsed="false">
      <c r="B3235" s="7" t="s">
        <v>11868</v>
      </c>
      <c r="C3235" s="39" t="n">
        <v>45860</v>
      </c>
      <c r="D3235" s="7" t="s">
        <v>222</v>
      </c>
      <c r="E3235" s="7" t="s">
        <v>180</v>
      </c>
      <c r="F3235" s="6" t="n">
        <v>3.83</v>
      </c>
      <c r="G3235" s="6" t="n">
        <v>0</v>
      </c>
      <c r="H3235" s="41" t="n">
        <v>17.84</v>
      </c>
      <c r="I3235" s="43" t="n">
        <f aca="false">F3235*H3235</f>
        <v>68.3272</v>
      </c>
      <c r="J3235" s="43" t="n">
        <f aca="false">G3235*H3235*1.5</f>
        <v>0</v>
      </c>
      <c r="K3235" s="6" t="n">
        <v>12.41</v>
      </c>
      <c r="L3235" s="43" t="n">
        <f aca="false">K3235*'Chart of Accounts'!$E$68</f>
        <v>8.3147</v>
      </c>
      <c r="O3235" s="42" t="n">
        <f aca="false">I3235+J3235+L3235</f>
        <v>76.6419</v>
      </c>
    </row>
    <row r="3236" customFormat="false" ht="15" hidden="false" customHeight="false" outlineLevel="0" collapsed="false">
      <c r="B3236" s="7" t="s">
        <v>11869</v>
      </c>
      <c r="C3236" s="39" t="n">
        <v>45860</v>
      </c>
      <c r="D3236" s="7" t="s">
        <v>242</v>
      </c>
      <c r="E3236" s="7" t="s">
        <v>180</v>
      </c>
      <c r="F3236" s="6" t="n">
        <v>4.26</v>
      </c>
      <c r="G3236" s="6" t="n">
        <v>0</v>
      </c>
      <c r="H3236" s="41" t="n">
        <v>17.99</v>
      </c>
      <c r="I3236" s="43" t="n">
        <f aca="false">F3236*H3236</f>
        <v>76.6374</v>
      </c>
      <c r="J3236" s="43" t="n">
        <f aca="false">G3236*H3236*1.5</f>
        <v>0</v>
      </c>
      <c r="K3236" s="6" t="n">
        <v>11.8</v>
      </c>
      <c r="L3236" s="43" t="n">
        <f aca="false">K3236*'Chart of Accounts'!$E$68</f>
        <v>7.906</v>
      </c>
      <c r="O3236" s="42" t="n">
        <f aca="false">I3236+J3236+L3236</f>
        <v>84.5434</v>
      </c>
    </row>
    <row r="3237" customFormat="false" ht="15" hidden="false" customHeight="false" outlineLevel="0" collapsed="false">
      <c r="B3237" s="7" t="s">
        <v>11870</v>
      </c>
      <c r="C3237" s="39" t="n">
        <v>45860</v>
      </c>
      <c r="D3237" s="7" t="s">
        <v>203</v>
      </c>
      <c r="E3237" s="7" t="s">
        <v>158</v>
      </c>
      <c r="H3237" s="41" t="n">
        <v>49.43</v>
      </c>
      <c r="M3237" s="6" t="n">
        <v>1</v>
      </c>
      <c r="N3237" s="43" t="n">
        <f aca="false">M3237*H3237</f>
        <v>49.43</v>
      </c>
      <c r="O3237" s="42" t="n">
        <f aca="false">N3237</f>
        <v>49.43</v>
      </c>
    </row>
    <row r="3238" customFormat="false" ht="15" hidden="false" customHeight="false" outlineLevel="0" collapsed="false">
      <c r="B3238" s="7" t="s">
        <v>11871</v>
      </c>
      <c r="C3238" s="39" t="n">
        <v>45860</v>
      </c>
      <c r="D3238" s="7" t="s">
        <v>254</v>
      </c>
      <c r="E3238" s="7" t="s">
        <v>180</v>
      </c>
      <c r="F3238" s="6" t="n">
        <v>3.712</v>
      </c>
      <c r="G3238" s="6" t="n">
        <v>0.148</v>
      </c>
      <c r="H3238" s="41" t="n">
        <v>17.1</v>
      </c>
      <c r="I3238" s="43" t="n">
        <f aca="false">F3238*H3238</f>
        <v>63.4752</v>
      </c>
      <c r="J3238" s="43" t="n">
        <f aca="false">G3238*H3238*1.5</f>
        <v>3.7962</v>
      </c>
      <c r="K3238" s="6" t="n">
        <v>12.09</v>
      </c>
      <c r="L3238" s="43" t="n">
        <f aca="false">K3238*'Chart of Accounts'!$E$68</f>
        <v>8.1003</v>
      </c>
      <c r="O3238" s="42" t="n">
        <f aca="false">I3238+J3238+L3238</f>
        <v>75.3717</v>
      </c>
    </row>
    <row r="3239" customFormat="false" ht="15" hidden="false" customHeight="false" outlineLevel="0" collapsed="false">
      <c r="B3239" s="7" t="s">
        <v>11872</v>
      </c>
      <c r="C3239" s="39" t="n">
        <v>45860</v>
      </c>
      <c r="D3239" s="7" t="s">
        <v>260</v>
      </c>
      <c r="E3239" s="7" t="s">
        <v>158</v>
      </c>
      <c r="H3239" s="41" t="n">
        <v>79.8</v>
      </c>
      <c r="M3239" s="6" t="n">
        <v>1</v>
      </c>
      <c r="N3239" s="43" t="n">
        <f aca="false">M3239*H3239</f>
        <v>79.8</v>
      </c>
      <c r="O3239" s="42" t="n">
        <f aca="false">N3239</f>
        <v>79.8</v>
      </c>
    </row>
    <row r="3240" customFormat="false" ht="15" hidden="false" customHeight="false" outlineLevel="0" collapsed="false">
      <c r="B3240" s="7" t="s">
        <v>11873</v>
      </c>
      <c r="C3240" s="39" t="n">
        <v>45861</v>
      </c>
      <c r="D3240" s="7" t="s">
        <v>187</v>
      </c>
      <c r="E3240" s="7" t="s">
        <v>158</v>
      </c>
      <c r="H3240" s="41" t="n">
        <v>66.48</v>
      </c>
      <c r="M3240" s="6" t="n">
        <v>1</v>
      </c>
      <c r="N3240" s="43" t="n">
        <f aca="false">M3240*H3240</f>
        <v>66.48</v>
      </c>
      <c r="O3240" s="42" t="n">
        <f aca="false">N3240</f>
        <v>66.48</v>
      </c>
    </row>
    <row r="3241" customFormat="false" ht="15" hidden="false" customHeight="false" outlineLevel="0" collapsed="false">
      <c r="B3241" s="7" t="s">
        <v>11874</v>
      </c>
      <c r="C3241" s="39" t="n">
        <v>45861</v>
      </c>
      <c r="D3241" s="7" t="s">
        <v>238</v>
      </c>
      <c r="E3241" s="7" t="s">
        <v>180</v>
      </c>
      <c r="F3241" s="6" t="n">
        <v>7.91</v>
      </c>
      <c r="G3241" s="6" t="n">
        <v>0</v>
      </c>
      <c r="H3241" s="41" t="n">
        <v>15.85</v>
      </c>
      <c r="I3241" s="43" t="n">
        <f aca="false">F3241*H3241</f>
        <v>125.3735</v>
      </c>
      <c r="J3241" s="43" t="n">
        <f aca="false">G3241*H3241*1.5</f>
        <v>0</v>
      </c>
      <c r="K3241" s="6" t="n">
        <v>19.92</v>
      </c>
      <c r="L3241" s="43" t="n">
        <f aca="false">K3241*'Chart of Accounts'!$E$68</f>
        <v>13.3464</v>
      </c>
      <c r="O3241" s="42" t="n">
        <f aca="false">I3241+J3241+L3241</f>
        <v>138.7199</v>
      </c>
    </row>
    <row r="3242" customFormat="false" ht="15" hidden="false" customHeight="false" outlineLevel="0" collapsed="false">
      <c r="B3242" s="7" t="s">
        <v>11875</v>
      </c>
      <c r="C3242" s="39" t="n">
        <v>45861</v>
      </c>
      <c r="D3242" s="7" t="s">
        <v>194</v>
      </c>
      <c r="E3242" s="7" t="s">
        <v>180</v>
      </c>
      <c r="F3242" s="6" t="n">
        <v>11.68</v>
      </c>
      <c r="G3242" s="6" t="n">
        <v>0</v>
      </c>
      <c r="H3242" s="41" t="n">
        <v>16</v>
      </c>
      <c r="I3242" s="43" t="n">
        <f aca="false">F3242*H3242</f>
        <v>186.88</v>
      </c>
      <c r="J3242" s="43" t="n">
        <f aca="false">G3242*H3242*1.5</f>
        <v>0</v>
      </c>
      <c r="K3242" s="6" t="n">
        <v>29.32</v>
      </c>
      <c r="L3242" s="43" t="n">
        <f aca="false">K3242*'Chart of Accounts'!$E$68</f>
        <v>19.6444</v>
      </c>
      <c r="O3242" s="42" t="n">
        <f aca="false">I3242+J3242+L3242</f>
        <v>206.5244</v>
      </c>
    </row>
    <row r="3243" customFormat="false" ht="15" hidden="false" customHeight="false" outlineLevel="0" collapsed="false">
      <c r="B3243" s="7" t="s">
        <v>11876</v>
      </c>
      <c r="C3243" s="39" t="n">
        <v>45861</v>
      </c>
      <c r="D3243" s="7" t="s">
        <v>205</v>
      </c>
      <c r="E3243" s="7" t="s">
        <v>180</v>
      </c>
      <c r="F3243" s="6" t="n">
        <v>3.87</v>
      </c>
      <c r="G3243" s="6" t="n">
        <v>0</v>
      </c>
      <c r="H3243" s="41" t="n">
        <v>16.36</v>
      </c>
      <c r="I3243" s="43" t="n">
        <f aca="false">F3243*H3243</f>
        <v>63.3132</v>
      </c>
      <c r="J3243" s="43" t="n">
        <f aca="false">G3243*H3243*1.5</f>
        <v>0</v>
      </c>
      <c r="K3243" s="6" t="n">
        <v>11.97</v>
      </c>
      <c r="L3243" s="43" t="n">
        <f aca="false">K3243*'Chart of Accounts'!$E$68</f>
        <v>8.0199</v>
      </c>
      <c r="O3243" s="42" t="n">
        <f aca="false">I3243+J3243+L3243</f>
        <v>71.3331</v>
      </c>
    </row>
    <row r="3244" customFormat="false" ht="15" hidden="false" customHeight="false" outlineLevel="0" collapsed="false">
      <c r="B3244" s="7" t="s">
        <v>11877</v>
      </c>
      <c r="C3244" s="39" t="n">
        <v>45861</v>
      </c>
      <c r="D3244" s="7" t="s">
        <v>264</v>
      </c>
      <c r="E3244" s="7" t="s">
        <v>158</v>
      </c>
      <c r="H3244" s="41" t="n">
        <v>55.55</v>
      </c>
      <c r="M3244" s="6" t="n">
        <v>1</v>
      </c>
      <c r="N3244" s="43" t="n">
        <f aca="false">M3244*H3244</f>
        <v>55.55</v>
      </c>
      <c r="O3244" s="42" t="n">
        <f aca="false">N3244</f>
        <v>55.55</v>
      </c>
    </row>
    <row r="3245" customFormat="false" ht="15" hidden="false" customHeight="false" outlineLevel="0" collapsed="false">
      <c r="B3245" s="7" t="s">
        <v>11878</v>
      </c>
      <c r="C3245" s="39" t="n">
        <v>45861</v>
      </c>
      <c r="D3245" s="7" t="s">
        <v>252</v>
      </c>
      <c r="E3245" s="7" t="s">
        <v>158</v>
      </c>
      <c r="H3245" s="41" t="n">
        <v>57.54</v>
      </c>
      <c r="M3245" s="6" t="n">
        <v>1</v>
      </c>
      <c r="N3245" s="43" t="n">
        <f aca="false">M3245*H3245</f>
        <v>57.54</v>
      </c>
      <c r="O3245" s="42" t="n">
        <f aca="false">N3245</f>
        <v>57.54</v>
      </c>
    </row>
    <row r="3246" customFormat="false" ht="15" hidden="false" customHeight="false" outlineLevel="0" collapsed="false">
      <c r="B3246" s="7" t="s">
        <v>11879</v>
      </c>
      <c r="C3246" s="39" t="n">
        <v>45861</v>
      </c>
      <c r="D3246" s="7" t="s">
        <v>184</v>
      </c>
      <c r="E3246" s="7" t="s">
        <v>180</v>
      </c>
      <c r="F3246" s="6" t="n">
        <v>4.1</v>
      </c>
      <c r="G3246" s="6" t="n">
        <v>0</v>
      </c>
      <c r="H3246" s="41" t="n">
        <v>17.34</v>
      </c>
      <c r="I3246" s="43" t="n">
        <f aca="false">F3246*H3246</f>
        <v>71.094</v>
      </c>
      <c r="J3246" s="43" t="n">
        <f aca="false">G3246*H3246*1.5</f>
        <v>0</v>
      </c>
      <c r="K3246" s="6" t="n">
        <v>11.01</v>
      </c>
      <c r="L3246" s="43" t="n">
        <f aca="false">K3246*'Chart of Accounts'!$E$68</f>
        <v>7.3767</v>
      </c>
      <c r="O3246" s="42" t="n">
        <f aca="false">I3246+J3246+L3246</f>
        <v>78.4707</v>
      </c>
    </row>
    <row r="3247" customFormat="false" ht="15" hidden="false" customHeight="false" outlineLevel="0" collapsed="false">
      <c r="B3247" s="7" t="s">
        <v>11880</v>
      </c>
      <c r="C3247" s="39" t="n">
        <v>45861</v>
      </c>
      <c r="D3247" s="7" t="s">
        <v>218</v>
      </c>
      <c r="E3247" s="7" t="s">
        <v>180</v>
      </c>
      <c r="F3247" s="6" t="n">
        <v>4.27</v>
      </c>
      <c r="G3247" s="6" t="n">
        <v>0</v>
      </c>
      <c r="H3247" s="41" t="n">
        <v>16.19</v>
      </c>
      <c r="I3247" s="43" t="n">
        <f aca="false">F3247*H3247</f>
        <v>69.1313</v>
      </c>
      <c r="J3247" s="43" t="n">
        <f aca="false">G3247*H3247*1.5</f>
        <v>0</v>
      </c>
      <c r="K3247" s="6" t="n">
        <v>14.6</v>
      </c>
      <c r="L3247" s="43" t="n">
        <f aca="false">K3247*'Chart of Accounts'!$E$68</f>
        <v>9.782</v>
      </c>
      <c r="O3247" s="42" t="n">
        <f aca="false">I3247+J3247+L3247</f>
        <v>78.9133</v>
      </c>
    </row>
    <row r="3248" customFormat="false" ht="15" hidden="false" customHeight="false" outlineLevel="0" collapsed="false">
      <c r="B3248" s="7" t="s">
        <v>11881</v>
      </c>
      <c r="C3248" s="39" t="n">
        <v>45861</v>
      </c>
      <c r="D3248" s="7" t="s">
        <v>220</v>
      </c>
      <c r="E3248" s="7" t="s">
        <v>180</v>
      </c>
      <c r="F3248" s="6" t="n">
        <v>3.71</v>
      </c>
      <c r="G3248" s="6" t="n">
        <v>0</v>
      </c>
      <c r="H3248" s="41" t="n">
        <v>16.43</v>
      </c>
      <c r="I3248" s="43" t="n">
        <f aca="false">F3248*H3248</f>
        <v>60.9553</v>
      </c>
      <c r="J3248" s="43" t="n">
        <f aca="false">G3248*H3248*1.5</f>
        <v>0</v>
      </c>
      <c r="K3248" s="6" t="n">
        <v>12.09</v>
      </c>
      <c r="L3248" s="43" t="n">
        <f aca="false">K3248*'Chart of Accounts'!$E$68</f>
        <v>8.1003</v>
      </c>
      <c r="O3248" s="42" t="n">
        <f aca="false">I3248+J3248+L3248</f>
        <v>69.0556</v>
      </c>
    </row>
    <row r="3249" customFormat="false" ht="15" hidden="false" customHeight="false" outlineLevel="0" collapsed="false">
      <c r="B3249" s="7" t="s">
        <v>11882</v>
      </c>
      <c r="C3249" s="39" t="n">
        <v>45861</v>
      </c>
      <c r="D3249" s="7" t="s">
        <v>177</v>
      </c>
      <c r="E3249" s="7" t="s">
        <v>180</v>
      </c>
      <c r="F3249" s="6" t="n">
        <v>8.63</v>
      </c>
      <c r="G3249" s="6" t="n">
        <v>0</v>
      </c>
      <c r="H3249" s="41" t="n">
        <v>14.56</v>
      </c>
      <c r="I3249" s="43" t="n">
        <f aca="false">F3249*H3249</f>
        <v>125.6528</v>
      </c>
      <c r="J3249" s="43" t="n">
        <f aca="false">G3249*H3249*1.5</f>
        <v>0</v>
      </c>
      <c r="K3249" s="6" t="n">
        <v>30.54</v>
      </c>
      <c r="L3249" s="43" t="n">
        <f aca="false">K3249*'Chart of Accounts'!$E$68</f>
        <v>20.4618</v>
      </c>
      <c r="O3249" s="42" t="n">
        <f aca="false">I3249+J3249+L3249</f>
        <v>146.1146</v>
      </c>
    </row>
    <row r="3250" customFormat="false" ht="15" hidden="false" customHeight="false" outlineLevel="0" collapsed="false">
      <c r="B3250" s="7" t="s">
        <v>11883</v>
      </c>
      <c r="C3250" s="39" t="n">
        <v>45861</v>
      </c>
      <c r="D3250" s="7" t="s">
        <v>242</v>
      </c>
      <c r="E3250" s="7" t="s">
        <v>180</v>
      </c>
      <c r="F3250" s="6" t="n">
        <v>3.07</v>
      </c>
      <c r="G3250" s="6" t="n">
        <v>0</v>
      </c>
      <c r="H3250" s="41" t="n">
        <v>17.99</v>
      </c>
      <c r="I3250" s="43" t="n">
        <f aca="false">F3250*H3250</f>
        <v>55.2293</v>
      </c>
      <c r="J3250" s="43" t="n">
        <f aca="false">G3250*H3250*1.5</f>
        <v>0</v>
      </c>
      <c r="K3250" s="6" t="n">
        <v>9.78</v>
      </c>
      <c r="L3250" s="43" t="n">
        <f aca="false">K3250*'Chart of Accounts'!$E$68</f>
        <v>6.5526</v>
      </c>
      <c r="O3250" s="42" t="n">
        <f aca="false">I3250+J3250+L3250</f>
        <v>61.7819</v>
      </c>
    </row>
    <row r="3251" customFormat="false" ht="15" hidden="false" customHeight="false" outlineLevel="0" collapsed="false">
      <c r="B3251" s="7" t="s">
        <v>11884</v>
      </c>
      <c r="C3251" s="39" t="n">
        <v>45861</v>
      </c>
      <c r="D3251" s="7" t="s">
        <v>254</v>
      </c>
      <c r="E3251" s="7" t="s">
        <v>180</v>
      </c>
      <c r="F3251" s="6" t="n">
        <v>7.117</v>
      </c>
      <c r="G3251" s="6" t="n">
        <v>0.283</v>
      </c>
      <c r="H3251" s="41" t="n">
        <v>17.1</v>
      </c>
      <c r="I3251" s="43" t="n">
        <f aca="false">F3251*H3251</f>
        <v>121.7007</v>
      </c>
      <c r="J3251" s="43" t="n">
        <f aca="false">G3251*H3251*1.5</f>
        <v>7.25895</v>
      </c>
      <c r="K3251" s="6" t="n">
        <v>21.26</v>
      </c>
      <c r="L3251" s="43" t="n">
        <f aca="false">K3251*'Chart of Accounts'!$E$68</f>
        <v>14.2442</v>
      </c>
      <c r="O3251" s="42" t="n">
        <f aca="false">I3251+J3251+L3251</f>
        <v>143.20385</v>
      </c>
    </row>
    <row r="3252" customFormat="false" ht="15" hidden="false" customHeight="false" outlineLevel="0" collapsed="false">
      <c r="B3252" s="7" t="s">
        <v>11885</v>
      </c>
      <c r="C3252" s="39" t="n">
        <v>45861</v>
      </c>
      <c r="D3252" s="7" t="s">
        <v>201</v>
      </c>
      <c r="E3252" s="7" t="s">
        <v>180</v>
      </c>
      <c r="F3252" s="6" t="n">
        <v>3.47</v>
      </c>
      <c r="G3252" s="6" t="n">
        <v>0</v>
      </c>
      <c r="H3252" s="41" t="n">
        <v>15.19</v>
      </c>
      <c r="I3252" s="43" t="n">
        <f aca="false">F3252*H3252</f>
        <v>52.7093</v>
      </c>
      <c r="J3252" s="43" t="n">
        <f aca="false">G3252*H3252*1.5</f>
        <v>0</v>
      </c>
      <c r="K3252" s="6" t="n">
        <v>9.3</v>
      </c>
      <c r="L3252" s="43" t="n">
        <f aca="false">K3252*'Chart of Accounts'!$E$68</f>
        <v>6.231</v>
      </c>
      <c r="O3252" s="42" t="n">
        <f aca="false">I3252+J3252+L3252</f>
        <v>58.9403</v>
      </c>
    </row>
    <row r="3253" customFormat="false" ht="15" hidden="false" customHeight="false" outlineLevel="0" collapsed="false">
      <c r="B3253" s="7" t="s">
        <v>11886</v>
      </c>
      <c r="C3253" s="39" t="n">
        <v>45861</v>
      </c>
      <c r="D3253" s="7" t="s">
        <v>207</v>
      </c>
      <c r="E3253" s="7" t="s">
        <v>180</v>
      </c>
      <c r="F3253" s="6" t="n">
        <v>3.49</v>
      </c>
      <c r="G3253" s="6" t="n">
        <v>0</v>
      </c>
      <c r="H3253" s="41" t="n">
        <v>16.65</v>
      </c>
      <c r="I3253" s="43" t="n">
        <f aca="false">F3253*H3253</f>
        <v>58.1085</v>
      </c>
      <c r="J3253" s="43" t="n">
        <f aca="false">G3253*H3253*1.5</f>
        <v>0</v>
      </c>
      <c r="K3253" s="6" t="n">
        <v>9.76</v>
      </c>
      <c r="L3253" s="43" t="n">
        <f aca="false">K3253*'Chart of Accounts'!$E$68</f>
        <v>6.5392</v>
      </c>
      <c r="O3253" s="42" t="n">
        <f aca="false">I3253+J3253+L3253</f>
        <v>64.6477</v>
      </c>
    </row>
    <row r="3254" customFormat="false" ht="15" hidden="false" customHeight="false" outlineLevel="0" collapsed="false">
      <c r="B3254" s="7" t="s">
        <v>11887</v>
      </c>
      <c r="C3254" s="39" t="n">
        <v>45861</v>
      </c>
      <c r="D3254" s="7" t="s">
        <v>232</v>
      </c>
      <c r="E3254" s="7" t="s">
        <v>180</v>
      </c>
      <c r="F3254" s="6" t="n">
        <v>8.22</v>
      </c>
      <c r="G3254" s="6" t="n">
        <v>0</v>
      </c>
      <c r="H3254" s="41" t="n">
        <v>16.17</v>
      </c>
      <c r="I3254" s="43" t="n">
        <f aca="false">F3254*H3254</f>
        <v>132.9174</v>
      </c>
      <c r="J3254" s="43" t="n">
        <f aca="false">G3254*H3254*1.5</f>
        <v>0</v>
      </c>
      <c r="K3254" s="6" t="n">
        <v>20.3</v>
      </c>
      <c r="L3254" s="43" t="n">
        <f aca="false">K3254*'Chart of Accounts'!$E$68</f>
        <v>13.601</v>
      </c>
      <c r="O3254" s="42" t="n">
        <f aca="false">I3254+J3254+L3254</f>
        <v>146.5184</v>
      </c>
    </row>
    <row r="3255" customFormat="false" ht="15" hidden="false" customHeight="false" outlineLevel="0" collapsed="false">
      <c r="B3255" s="7" t="s">
        <v>11888</v>
      </c>
      <c r="C3255" s="39" t="n">
        <v>45861</v>
      </c>
      <c r="D3255" s="7" t="s">
        <v>224</v>
      </c>
      <c r="E3255" s="7" t="s">
        <v>180</v>
      </c>
      <c r="F3255" s="6" t="n">
        <v>4.98</v>
      </c>
      <c r="G3255" s="6" t="n">
        <v>0</v>
      </c>
      <c r="H3255" s="41" t="n">
        <v>14.93</v>
      </c>
      <c r="I3255" s="43" t="n">
        <f aca="false">F3255*H3255</f>
        <v>74.3514</v>
      </c>
      <c r="J3255" s="43" t="n">
        <f aca="false">G3255*H3255*1.5</f>
        <v>0</v>
      </c>
      <c r="K3255" s="6" t="n">
        <v>15.49</v>
      </c>
      <c r="L3255" s="43" t="n">
        <f aca="false">K3255*'Chart of Accounts'!$E$68</f>
        <v>10.3783</v>
      </c>
      <c r="O3255" s="42" t="n">
        <f aca="false">I3255+J3255+L3255</f>
        <v>84.7297</v>
      </c>
    </row>
    <row r="3256" customFormat="false" ht="15" hidden="false" customHeight="false" outlineLevel="0" collapsed="false">
      <c r="B3256" s="7" t="s">
        <v>11889</v>
      </c>
      <c r="C3256" s="39" t="n">
        <v>45861</v>
      </c>
      <c r="D3256" s="7" t="s">
        <v>246</v>
      </c>
      <c r="E3256" s="7" t="s">
        <v>180</v>
      </c>
      <c r="F3256" s="6" t="n">
        <v>3.69</v>
      </c>
      <c r="G3256" s="6" t="n">
        <v>0</v>
      </c>
      <c r="H3256" s="41" t="n">
        <v>16.48</v>
      </c>
      <c r="I3256" s="43" t="n">
        <f aca="false">F3256*H3256</f>
        <v>60.8112</v>
      </c>
      <c r="J3256" s="43" t="n">
        <f aca="false">G3256*H3256*1.5</f>
        <v>0</v>
      </c>
      <c r="K3256" s="6" t="n">
        <v>12.55</v>
      </c>
      <c r="L3256" s="43" t="n">
        <f aca="false">K3256*'Chart of Accounts'!$E$68</f>
        <v>8.4085</v>
      </c>
      <c r="O3256" s="42" t="n">
        <f aca="false">I3256+J3256+L3256</f>
        <v>69.2197</v>
      </c>
    </row>
    <row r="3257" customFormat="false" ht="15" hidden="false" customHeight="false" outlineLevel="0" collapsed="false">
      <c r="B3257" s="7" t="s">
        <v>11890</v>
      </c>
      <c r="C3257" s="39" t="n">
        <v>45861</v>
      </c>
      <c r="D3257" s="7" t="s">
        <v>222</v>
      </c>
      <c r="E3257" s="7" t="s">
        <v>180</v>
      </c>
      <c r="F3257" s="6" t="n">
        <v>4.36</v>
      </c>
      <c r="G3257" s="6" t="n">
        <v>0</v>
      </c>
      <c r="H3257" s="41" t="n">
        <v>17.84</v>
      </c>
      <c r="I3257" s="43" t="n">
        <f aca="false">F3257*H3257</f>
        <v>77.7824</v>
      </c>
      <c r="J3257" s="43" t="n">
        <f aca="false">G3257*H3257*1.5</f>
        <v>0</v>
      </c>
      <c r="K3257" s="6" t="n">
        <v>14.79</v>
      </c>
      <c r="L3257" s="43" t="n">
        <f aca="false">K3257*'Chart of Accounts'!$E$68</f>
        <v>9.9093</v>
      </c>
      <c r="O3257" s="42" t="n">
        <f aca="false">I3257+J3257+L3257</f>
        <v>87.6917</v>
      </c>
    </row>
    <row r="3258" customFormat="false" ht="15" hidden="false" customHeight="false" outlineLevel="0" collapsed="false">
      <c r="B3258" s="7" t="s">
        <v>11891</v>
      </c>
      <c r="C3258" s="39" t="n">
        <v>45861</v>
      </c>
      <c r="D3258" s="7" t="s">
        <v>203</v>
      </c>
      <c r="E3258" s="7" t="s">
        <v>158</v>
      </c>
      <c r="H3258" s="41" t="n">
        <v>49.43</v>
      </c>
      <c r="M3258" s="6" t="n">
        <v>1</v>
      </c>
      <c r="N3258" s="43" t="n">
        <f aca="false">M3258*H3258</f>
        <v>49.43</v>
      </c>
      <c r="O3258" s="42" t="n">
        <f aca="false">N3258</f>
        <v>49.43</v>
      </c>
    </row>
    <row r="3259" customFormat="false" ht="15" hidden="false" customHeight="false" outlineLevel="0" collapsed="false">
      <c r="B3259" s="7" t="s">
        <v>11892</v>
      </c>
      <c r="C3259" s="39" t="n">
        <v>45862</v>
      </c>
      <c r="D3259" s="7" t="s">
        <v>244</v>
      </c>
      <c r="E3259" s="7" t="s">
        <v>180</v>
      </c>
      <c r="F3259" s="6" t="n">
        <v>7.24</v>
      </c>
      <c r="G3259" s="6" t="n">
        <v>0</v>
      </c>
      <c r="H3259" s="41" t="n">
        <v>16.39</v>
      </c>
      <c r="I3259" s="43" t="n">
        <f aca="false">F3259*H3259</f>
        <v>118.6636</v>
      </c>
      <c r="J3259" s="43" t="n">
        <f aca="false">G3259*H3259*1.5</f>
        <v>0</v>
      </c>
      <c r="K3259" s="6" t="n">
        <v>20.52</v>
      </c>
      <c r="L3259" s="43" t="n">
        <f aca="false">K3259*'Chart of Accounts'!$E$68</f>
        <v>13.7484</v>
      </c>
      <c r="O3259" s="42" t="n">
        <f aca="false">I3259+J3259+L3259</f>
        <v>132.412</v>
      </c>
    </row>
    <row r="3260" customFormat="false" ht="15" hidden="false" customHeight="false" outlineLevel="0" collapsed="false">
      <c r="B3260" s="7" t="s">
        <v>11893</v>
      </c>
      <c r="C3260" s="39" t="n">
        <v>45862</v>
      </c>
      <c r="D3260" s="7" t="s">
        <v>201</v>
      </c>
      <c r="E3260" s="7" t="s">
        <v>180</v>
      </c>
      <c r="F3260" s="6" t="n">
        <v>3.06</v>
      </c>
      <c r="G3260" s="6" t="n">
        <v>0</v>
      </c>
      <c r="H3260" s="41" t="n">
        <v>15.19</v>
      </c>
      <c r="I3260" s="43" t="n">
        <f aca="false">F3260*H3260</f>
        <v>46.4814</v>
      </c>
      <c r="J3260" s="43" t="n">
        <f aca="false">G3260*H3260*1.5</f>
        <v>0</v>
      </c>
      <c r="K3260" s="6" t="n">
        <v>9.49</v>
      </c>
      <c r="L3260" s="43" t="n">
        <f aca="false">K3260*'Chart of Accounts'!$E$68</f>
        <v>6.3583</v>
      </c>
      <c r="O3260" s="42" t="n">
        <f aca="false">I3260+J3260+L3260</f>
        <v>52.8397</v>
      </c>
    </row>
    <row r="3261" customFormat="false" ht="15" hidden="false" customHeight="false" outlineLevel="0" collapsed="false">
      <c r="B3261" s="7" t="s">
        <v>11894</v>
      </c>
      <c r="C3261" s="39" t="n">
        <v>45862</v>
      </c>
      <c r="D3261" s="7" t="s">
        <v>196</v>
      </c>
      <c r="E3261" s="7" t="s">
        <v>180</v>
      </c>
      <c r="F3261" s="6" t="n">
        <v>6.09</v>
      </c>
      <c r="G3261" s="6" t="n">
        <v>0</v>
      </c>
      <c r="H3261" s="41" t="n">
        <v>15.05</v>
      </c>
      <c r="I3261" s="43" t="n">
        <f aca="false">F3261*H3261</f>
        <v>91.6545</v>
      </c>
      <c r="J3261" s="43" t="n">
        <f aca="false">G3261*H3261*1.5</f>
        <v>0</v>
      </c>
      <c r="K3261" s="6" t="n">
        <v>19.94</v>
      </c>
      <c r="L3261" s="43" t="n">
        <f aca="false">K3261*'Chart of Accounts'!$E$68</f>
        <v>13.3598</v>
      </c>
      <c r="O3261" s="42" t="n">
        <f aca="false">I3261+J3261+L3261</f>
        <v>105.0143</v>
      </c>
    </row>
    <row r="3262" customFormat="false" ht="15" hidden="false" customHeight="false" outlineLevel="0" collapsed="false">
      <c r="B3262" s="7" t="s">
        <v>11895</v>
      </c>
      <c r="C3262" s="39" t="n">
        <v>45862</v>
      </c>
      <c r="D3262" s="7" t="s">
        <v>184</v>
      </c>
      <c r="E3262" s="7" t="s">
        <v>180</v>
      </c>
      <c r="F3262" s="6" t="n">
        <v>3.98</v>
      </c>
      <c r="G3262" s="6" t="n">
        <v>0</v>
      </c>
      <c r="H3262" s="41" t="n">
        <v>17.34</v>
      </c>
      <c r="I3262" s="43" t="n">
        <f aca="false">F3262*H3262</f>
        <v>69.0132</v>
      </c>
      <c r="J3262" s="43" t="n">
        <f aca="false">G3262*H3262*1.5</f>
        <v>0</v>
      </c>
      <c r="K3262" s="6" t="n">
        <v>9.07</v>
      </c>
      <c r="L3262" s="43" t="n">
        <f aca="false">K3262*'Chart of Accounts'!$E$68</f>
        <v>6.0769</v>
      </c>
      <c r="O3262" s="42" t="n">
        <f aca="false">I3262+J3262+L3262</f>
        <v>75.0901</v>
      </c>
    </row>
    <row r="3263" customFormat="false" ht="15" hidden="false" customHeight="false" outlineLevel="0" collapsed="false">
      <c r="B3263" s="7" t="s">
        <v>11896</v>
      </c>
      <c r="C3263" s="39" t="n">
        <v>45862</v>
      </c>
      <c r="D3263" s="7" t="s">
        <v>207</v>
      </c>
      <c r="E3263" s="7" t="s">
        <v>180</v>
      </c>
      <c r="F3263" s="6" t="n">
        <v>3.16</v>
      </c>
      <c r="G3263" s="6" t="n">
        <v>0</v>
      </c>
      <c r="H3263" s="41" t="n">
        <v>16.65</v>
      </c>
      <c r="I3263" s="43" t="n">
        <f aca="false">F3263*H3263</f>
        <v>52.614</v>
      </c>
      <c r="J3263" s="43" t="n">
        <f aca="false">G3263*H3263*1.5</f>
        <v>0</v>
      </c>
      <c r="K3263" s="6" t="n">
        <v>8.41</v>
      </c>
      <c r="L3263" s="43" t="n">
        <f aca="false">K3263*'Chart of Accounts'!$E$68</f>
        <v>5.6347</v>
      </c>
      <c r="O3263" s="42" t="n">
        <f aca="false">I3263+J3263+L3263</f>
        <v>58.2487</v>
      </c>
    </row>
    <row r="3264" customFormat="false" ht="15" hidden="false" customHeight="false" outlineLevel="0" collapsed="false">
      <c r="B3264" s="7" t="s">
        <v>11897</v>
      </c>
      <c r="C3264" s="39" t="n">
        <v>45862</v>
      </c>
      <c r="D3264" s="7" t="s">
        <v>218</v>
      </c>
      <c r="E3264" s="7" t="s">
        <v>180</v>
      </c>
      <c r="F3264" s="6" t="n">
        <v>4.3</v>
      </c>
      <c r="G3264" s="6" t="n">
        <v>0</v>
      </c>
      <c r="H3264" s="41" t="n">
        <v>16.19</v>
      </c>
      <c r="I3264" s="43" t="n">
        <f aca="false">F3264*H3264</f>
        <v>69.617</v>
      </c>
      <c r="J3264" s="43" t="n">
        <f aca="false">G3264*H3264*1.5</f>
        <v>0</v>
      </c>
      <c r="K3264" s="6" t="n">
        <v>11.5</v>
      </c>
      <c r="L3264" s="43" t="n">
        <f aca="false">K3264*'Chart of Accounts'!$E$68</f>
        <v>7.705</v>
      </c>
      <c r="O3264" s="42" t="n">
        <f aca="false">I3264+J3264+L3264</f>
        <v>77.322</v>
      </c>
    </row>
    <row r="3265" customFormat="false" ht="15" hidden="false" customHeight="false" outlineLevel="0" collapsed="false">
      <c r="B3265" s="7" t="s">
        <v>11898</v>
      </c>
      <c r="C3265" s="39" t="n">
        <v>45862</v>
      </c>
      <c r="D3265" s="7" t="s">
        <v>220</v>
      </c>
      <c r="E3265" s="7" t="s">
        <v>180</v>
      </c>
      <c r="F3265" s="6" t="n">
        <v>3.67</v>
      </c>
      <c r="G3265" s="6" t="n">
        <v>0</v>
      </c>
      <c r="H3265" s="41" t="n">
        <v>16.43</v>
      </c>
      <c r="I3265" s="43" t="n">
        <f aca="false">F3265*H3265</f>
        <v>60.2981</v>
      </c>
      <c r="J3265" s="43" t="n">
        <f aca="false">G3265*H3265*1.5</f>
        <v>0</v>
      </c>
      <c r="K3265" s="6" t="n">
        <v>9.91</v>
      </c>
      <c r="L3265" s="43" t="n">
        <f aca="false">K3265*'Chart of Accounts'!$E$68</f>
        <v>6.6397</v>
      </c>
      <c r="O3265" s="42" t="n">
        <f aca="false">I3265+J3265+L3265</f>
        <v>66.9378</v>
      </c>
    </row>
    <row r="3266" customFormat="false" ht="15" hidden="false" customHeight="false" outlineLevel="0" collapsed="false">
      <c r="B3266" s="7" t="s">
        <v>11899</v>
      </c>
      <c r="C3266" s="39" t="n">
        <v>45862</v>
      </c>
      <c r="D3266" s="7" t="s">
        <v>224</v>
      </c>
      <c r="E3266" s="7" t="s">
        <v>180</v>
      </c>
      <c r="F3266" s="6" t="n">
        <v>3.8</v>
      </c>
      <c r="G3266" s="6" t="n">
        <v>0</v>
      </c>
      <c r="H3266" s="41" t="n">
        <v>14.93</v>
      </c>
      <c r="I3266" s="43" t="n">
        <f aca="false">F3266*H3266</f>
        <v>56.734</v>
      </c>
      <c r="J3266" s="43" t="n">
        <f aca="false">G3266*H3266*1.5</f>
        <v>0</v>
      </c>
      <c r="K3266" s="6" t="n">
        <v>11.47</v>
      </c>
      <c r="L3266" s="43" t="n">
        <f aca="false">K3266*'Chart of Accounts'!$E$68</f>
        <v>7.6849</v>
      </c>
      <c r="O3266" s="42" t="n">
        <f aca="false">I3266+J3266+L3266</f>
        <v>64.4189</v>
      </c>
    </row>
    <row r="3267" customFormat="false" ht="15" hidden="false" customHeight="false" outlineLevel="0" collapsed="false">
      <c r="B3267" s="7" t="s">
        <v>11900</v>
      </c>
      <c r="C3267" s="39" t="n">
        <v>45862</v>
      </c>
      <c r="D3267" s="7" t="s">
        <v>232</v>
      </c>
      <c r="E3267" s="7" t="s">
        <v>180</v>
      </c>
      <c r="F3267" s="6" t="n">
        <v>2.76</v>
      </c>
      <c r="G3267" s="6" t="n">
        <v>0</v>
      </c>
      <c r="H3267" s="41" t="n">
        <v>16.17</v>
      </c>
      <c r="I3267" s="43" t="n">
        <f aca="false">F3267*H3267</f>
        <v>44.6292</v>
      </c>
      <c r="J3267" s="43" t="n">
        <f aca="false">G3267*H3267*1.5</f>
        <v>0</v>
      </c>
      <c r="K3267" s="6" t="n">
        <v>6.92</v>
      </c>
      <c r="L3267" s="43" t="n">
        <f aca="false">K3267*'Chart of Accounts'!$E$68</f>
        <v>4.6364</v>
      </c>
      <c r="O3267" s="42" t="n">
        <f aca="false">I3267+J3267+L3267</f>
        <v>49.2656</v>
      </c>
    </row>
    <row r="3268" customFormat="false" ht="15" hidden="false" customHeight="false" outlineLevel="0" collapsed="false">
      <c r="B3268" s="7" t="s">
        <v>11901</v>
      </c>
      <c r="C3268" s="39" t="n">
        <v>45862</v>
      </c>
      <c r="D3268" s="7" t="s">
        <v>222</v>
      </c>
      <c r="E3268" s="7" t="s">
        <v>180</v>
      </c>
      <c r="F3268" s="6" t="n">
        <v>6.93</v>
      </c>
      <c r="G3268" s="6" t="n">
        <v>0</v>
      </c>
      <c r="H3268" s="41" t="n">
        <v>17.84</v>
      </c>
      <c r="I3268" s="43" t="n">
        <f aca="false">F3268*H3268</f>
        <v>123.6312</v>
      </c>
      <c r="J3268" s="43" t="n">
        <f aca="false">G3268*H3268*1.5</f>
        <v>0</v>
      </c>
      <c r="K3268" s="6" t="n">
        <v>24.38</v>
      </c>
      <c r="L3268" s="43" t="n">
        <f aca="false">K3268*'Chart of Accounts'!$E$68</f>
        <v>16.3346</v>
      </c>
      <c r="O3268" s="42" t="n">
        <f aca="false">I3268+J3268+L3268</f>
        <v>139.9658</v>
      </c>
    </row>
    <row r="3269" customFormat="false" ht="15" hidden="false" customHeight="false" outlineLevel="0" collapsed="false">
      <c r="B3269" s="7" t="s">
        <v>11902</v>
      </c>
      <c r="C3269" s="39" t="n">
        <v>45862</v>
      </c>
      <c r="D3269" s="7" t="s">
        <v>242</v>
      </c>
      <c r="E3269" s="7" t="s">
        <v>180</v>
      </c>
      <c r="F3269" s="6" t="n">
        <v>8.31</v>
      </c>
      <c r="G3269" s="6" t="n">
        <v>0</v>
      </c>
      <c r="H3269" s="41" t="n">
        <v>17.99</v>
      </c>
      <c r="I3269" s="43" t="n">
        <f aca="false">F3269*H3269</f>
        <v>149.4969</v>
      </c>
      <c r="J3269" s="43" t="n">
        <f aca="false">G3269*H3269*1.5</f>
        <v>0</v>
      </c>
      <c r="K3269" s="6" t="n">
        <v>27.31</v>
      </c>
      <c r="L3269" s="43" t="n">
        <f aca="false">K3269*'Chart of Accounts'!$E$68</f>
        <v>18.2977</v>
      </c>
      <c r="O3269" s="42" t="n">
        <f aca="false">I3269+J3269+L3269</f>
        <v>167.7946</v>
      </c>
    </row>
    <row r="3270" customFormat="false" ht="15" hidden="false" customHeight="false" outlineLevel="0" collapsed="false">
      <c r="B3270" s="7" t="s">
        <v>11903</v>
      </c>
      <c r="C3270" s="39" t="n">
        <v>45862</v>
      </c>
      <c r="D3270" s="7" t="s">
        <v>177</v>
      </c>
      <c r="E3270" s="7" t="s">
        <v>180</v>
      </c>
      <c r="F3270" s="6" t="n">
        <v>4.07</v>
      </c>
      <c r="G3270" s="6" t="n">
        <v>0</v>
      </c>
      <c r="H3270" s="41" t="n">
        <v>14.56</v>
      </c>
      <c r="I3270" s="43" t="n">
        <f aca="false">F3270*H3270</f>
        <v>59.2592</v>
      </c>
      <c r="J3270" s="43" t="n">
        <f aca="false">G3270*H3270*1.5</f>
        <v>0</v>
      </c>
      <c r="K3270" s="6" t="n">
        <v>10.21</v>
      </c>
      <c r="L3270" s="43" t="n">
        <f aca="false">K3270*'Chart of Accounts'!$E$68</f>
        <v>6.8407</v>
      </c>
      <c r="O3270" s="42" t="n">
        <f aca="false">I3270+J3270+L3270</f>
        <v>66.0999</v>
      </c>
    </row>
    <row r="3271" customFormat="false" ht="15" hidden="false" customHeight="false" outlineLevel="0" collapsed="false">
      <c r="B3271" s="7" t="s">
        <v>11904</v>
      </c>
      <c r="C3271" s="39" t="n">
        <v>45862</v>
      </c>
      <c r="D3271" s="7" t="s">
        <v>246</v>
      </c>
      <c r="E3271" s="7" t="s">
        <v>180</v>
      </c>
      <c r="F3271" s="6" t="n">
        <v>7.79</v>
      </c>
      <c r="G3271" s="6" t="n">
        <v>0</v>
      </c>
      <c r="H3271" s="41" t="n">
        <v>16.48</v>
      </c>
      <c r="I3271" s="43" t="n">
        <f aca="false">F3271*H3271</f>
        <v>128.3792</v>
      </c>
      <c r="J3271" s="43" t="n">
        <f aca="false">G3271*H3271*1.5</f>
        <v>0</v>
      </c>
      <c r="K3271" s="6" t="n">
        <v>24.07</v>
      </c>
      <c r="L3271" s="43" t="n">
        <f aca="false">K3271*'Chart of Accounts'!$E$68</f>
        <v>16.1269</v>
      </c>
      <c r="O3271" s="42" t="n">
        <f aca="false">I3271+J3271+L3271</f>
        <v>144.5061</v>
      </c>
    </row>
    <row r="3272" customFormat="false" ht="15" hidden="false" customHeight="false" outlineLevel="0" collapsed="false">
      <c r="B3272" s="7" t="s">
        <v>11905</v>
      </c>
      <c r="C3272" s="39" t="n">
        <v>45862</v>
      </c>
      <c r="D3272" s="7" t="s">
        <v>194</v>
      </c>
      <c r="E3272" s="7" t="s">
        <v>180</v>
      </c>
      <c r="F3272" s="6" t="n">
        <v>4.16</v>
      </c>
      <c r="G3272" s="6" t="n">
        <v>0</v>
      </c>
      <c r="H3272" s="41" t="n">
        <v>16</v>
      </c>
      <c r="I3272" s="43" t="n">
        <f aca="false">F3272*H3272</f>
        <v>66.56</v>
      </c>
      <c r="J3272" s="43" t="n">
        <f aca="false">G3272*H3272*1.5</f>
        <v>0</v>
      </c>
      <c r="K3272" s="6" t="n">
        <v>13.96</v>
      </c>
      <c r="L3272" s="43" t="n">
        <f aca="false">K3272*'Chart of Accounts'!$E$68</f>
        <v>9.3532</v>
      </c>
      <c r="O3272" s="42" t="n">
        <f aca="false">I3272+J3272+L3272</f>
        <v>75.9132</v>
      </c>
    </row>
    <row r="3273" customFormat="false" ht="15" hidden="false" customHeight="false" outlineLevel="0" collapsed="false">
      <c r="B3273" s="7" t="s">
        <v>11906</v>
      </c>
      <c r="C3273" s="39" t="n">
        <v>45862</v>
      </c>
      <c r="D3273" s="7" t="s">
        <v>214</v>
      </c>
      <c r="E3273" s="7" t="s">
        <v>180</v>
      </c>
      <c r="F3273" s="6" t="n">
        <v>4.16</v>
      </c>
      <c r="G3273" s="6" t="n">
        <v>0</v>
      </c>
      <c r="H3273" s="41" t="n">
        <v>15.67</v>
      </c>
      <c r="I3273" s="43" t="n">
        <f aca="false">F3273*H3273</f>
        <v>65.1872</v>
      </c>
      <c r="J3273" s="43" t="n">
        <f aca="false">G3273*H3273*1.5</f>
        <v>0</v>
      </c>
      <c r="K3273" s="6" t="n">
        <v>10.14</v>
      </c>
      <c r="L3273" s="43" t="n">
        <f aca="false">K3273*'Chart of Accounts'!$E$68</f>
        <v>6.7938</v>
      </c>
      <c r="O3273" s="42" t="n">
        <f aca="false">I3273+J3273+L3273</f>
        <v>71.981</v>
      </c>
    </row>
    <row r="3274" customFormat="false" ht="15" hidden="false" customHeight="false" outlineLevel="0" collapsed="false">
      <c r="B3274" s="7" t="s">
        <v>11907</v>
      </c>
      <c r="C3274" s="39" t="n">
        <v>45862</v>
      </c>
      <c r="D3274" s="7" t="s">
        <v>254</v>
      </c>
      <c r="E3274" s="7" t="s">
        <v>180</v>
      </c>
      <c r="F3274" s="6" t="n">
        <v>3.462</v>
      </c>
      <c r="G3274" s="6" t="n">
        <v>0.138</v>
      </c>
      <c r="H3274" s="41" t="n">
        <v>17.1</v>
      </c>
      <c r="I3274" s="43" t="n">
        <f aca="false">F3274*H3274</f>
        <v>59.2002</v>
      </c>
      <c r="J3274" s="43" t="n">
        <f aca="false">G3274*H3274*1.5</f>
        <v>3.5397</v>
      </c>
      <c r="K3274" s="6" t="n">
        <v>9.66</v>
      </c>
      <c r="L3274" s="43" t="n">
        <f aca="false">K3274*'Chart of Accounts'!$E$68</f>
        <v>6.4722</v>
      </c>
      <c r="O3274" s="42" t="n">
        <f aca="false">I3274+J3274+L3274</f>
        <v>69.2121</v>
      </c>
    </row>
    <row r="3275" customFormat="false" ht="15" hidden="false" customHeight="false" outlineLevel="0" collapsed="false">
      <c r="B3275" s="7" t="s">
        <v>11908</v>
      </c>
      <c r="C3275" s="39" t="n">
        <v>45863</v>
      </c>
      <c r="D3275" s="7" t="s">
        <v>187</v>
      </c>
      <c r="E3275" s="7" t="s">
        <v>158</v>
      </c>
      <c r="H3275" s="41" t="n">
        <v>66.48</v>
      </c>
      <c r="M3275" s="6" t="n">
        <v>1</v>
      </c>
      <c r="N3275" s="43" t="n">
        <f aca="false">M3275*H3275</f>
        <v>66.48</v>
      </c>
      <c r="O3275" s="42" t="n">
        <f aca="false">N3275</f>
        <v>66.48</v>
      </c>
    </row>
    <row r="3276" customFormat="false" ht="15" hidden="false" customHeight="false" outlineLevel="0" collapsed="false">
      <c r="B3276" s="7" t="s">
        <v>11909</v>
      </c>
      <c r="C3276" s="39" t="n">
        <v>45863</v>
      </c>
      <c r="D3276" s="7" t="s">
        <v>244</v>
      </c>
      <c r="E3276" s="7" t="s">
        <v>180</v>
      </c>
      <c r="F3276" s="6" t="n">
        <v>3.75</v>
      </c>
      <c r="G3276" s="6" t="n">
        <v>0</v>
      </c>
      <c r="H3276" s="41" t="n">
        <v>16.39</v>
      </c>
      <c r="I3276" s="43" t="n">
        <f aca="false">F3276*H3276</f>
        <v>61.4625</v>
      </c>
      <c r="J3276" s="43" t="n">
        <f aca="false">G3276*H3276*1.5</f>
        <v>0</v>
      </c>
      <c r="K3276" s="6" t="n">
        <v>13.1</v>
      </c>
      <c r="L3276" s="43" t="n">
        <f aca="false">K3276*'Chart of Accounts'!$E$68</f>
        <v>8.777</v>
      </c>
      <c r="O3276" s="42" t="n">
        <f aca="false">I3276+J3276+L3276</f>
        <v>70.2395</v>
      </c>
    </row>
    <row r="3277" customFormat="false" ht="15" hidden="false" customHeight="false" outlineLevel="0" collapsed="false">
      <c r="B3277" s="7" t="s">
        <v>11910</v>
      </c>
      <c r="C3277" s="39" t="n">
        <v>45863</v>
      </c>
      <c r="D3277" s="7" t="s">
        <v>194</v>
      </c>
      <c r="E3277" s="7" t="s">
        <v>180</v>
      </c>
      <c r="F3277" s="6" t="n">
        <v>8.75</v>
      </c>
      <c r="G3277" s="6" t="n">
        <v>0</v>
      </c>
      <c r="H3277" s="41" t="n">
        <v>16</v>
      </c>
      <c r="I3277" s="43" t="n">
        <f aca="false">F3277*H3277</f>
        <v>140</v>
      </c>
      <c r="J3277" s="43" t="n">
        <f aca="false">G3277*H3277*1.5</f>
        <v>0</v>
      </c>
      <c r="K3277" s="6" t="n">
        <v>24.74</v>
      </c>
      <c r="L3277" s="43" t="n">
        <f aca="false">K3277*'Chart of Accounts'!$E$68</f>
        <v>16.5758</v>
      </c>
      <c r="O3277" s="42" t="n">
        <f aca="false">I3277+J3277+L3277</f>
        <v>156.5758</v>
      </c>
    </row>
    <row r="3278" customFormat="false" ht="15" hidden="false" customHeight="false" outlineLevel="0" collapsed="false">
      <c r="B3278" s="7" t="s">
        <v>11911</v>
      </c>
      <c r="C3278" s="39" t="n">
        <v>45863</v>
      </c>
      <c r="D3278" s="7" t="s">
        <v>209</v>
      </c>
      <c r="E3278" s="7" t="s">
        <v>158</v>
      </c>
      <c r="H3278" s="41" t="n">
        <v>73.58</v>
      </c>
      <c r="M3278" s="6" t="n">
        <v>2</v>
      </c>
      <c r="N3278" s="43" t="n">
        <f aca="false">M3278*H3278</f>
        <v>147.16</v>
      </c>
      <c r="O3278" s="42" t="n">
        <f aca="false">N3278</f>
        <v>147.16</v>
      </c>
    </row>
    <row r="3279" customFormat="false" ht="15" hidden="false" customHeight="false" outlineLevel="0" collapsed="false">
      <c r="B3279" s="7" t="s">
        <v>11912</v>
      </c>
      <c r="C3279" s="39" t="n">
        <v>45863</v>
      </c>
      <c r="D3279" s="7" t="s">
        <v>205</v>
      </c>
      <c r="E3279" s="7" t="s">
        <v>180</v>
      </c>
      <c r="F3279" s="6" t="n">
        <v>4.36</v>
      </c>
      <c r="G3279" s="6" t="n">
        <v>0</v>
      </c>
      <c r="H3279" s="41" t="n">
        <v>16.36</v>
      </c>
      <c r="I3279" s="43" t="n">
        <f aca="false">F3279*H3279</f>
        <v>71.3296</v>
      </c>
      <c r="J3279" s="43" t="n">
        <f aca="false">G3279*H3279*1.5</f>
        <v>0</v>
      </c>
      <c r="K3279" s="6" t="n">
        <v>15.16</v>
      </c>
      <c r="L3279" s="43" t="n">
        <f aca="false">K3279*'Chart of Accounts'!$E$68</f>
        <v>10.1572</v>
      </c>
      <c r="O3279" s="42" t="n">
        <f aca="false">I3279+J3279+L3279</f>
        <v>81.4868</v>
      </c>
    </row>
    <row r="3280" customFormat="false" ht="15" hidden="false" customHeight="false" outlineLevel="0" collapsed="false">
      <c r="B3280" s="7" t="s">
        <v>11913</v>
      </c>
      <c r="C3280" s="39" t="n">
        <v>45863</v>
      </c>
      <c r="D3280" s="7" t="s">
        <v>264</v>
      </c>
      <c r="E3280" s="7" t="s">
        <v>158</v>
      </c>
      <c r="H3280" s="41" t="n">
        <v>55.55</v>
      </c>
      <c r="M3280" s="6" t="n">
        <v>1</v>
      </c>
      <c r="N3280" s="43" t="n">
        <f aca="false">M3280*H3280</f>
        <v>55.55</v>
      </c>
      <c r="O3280" s="42" t="n">
        <f aca="false">N3280</f>
        <v>55.55</v>
      </c>
    </row>
    <row r="3281" customFormat="false" ht="15" hidden="false" customHeight="false" outlineLevel="0" collapsed="false">
      <c r="B3281" s="7" t="s">
        <v>11914</v>
      </c>
      <c r="C3281" s="39" t="n">
        <v>45863</v>
      </c>
      <c r="D3281" s="7" t="s">
        <v>252</v>
      </c>
      <c r="E3281" s="7" t="s">
        <v>158</v>
      </c>
      <c r="H3281" s="41" t="n">
        <v>57.54</v>
      </c>
      <c r="M3281" s="6" t="n">
        <v>1</v>
      </c>
      <c r="N3281" s="43" t="n">
        <f aca="false">M3281*H3281</f>
        <v>57.54</v>
      </c>
      <c r="O3281" s="42" t="n">
        <f aca="false">N3281</f>
        <v>57.54</v>
      </c>
    </row>
    <row r="3282" customFormat="false" ht="15" hidden="false" customHeight="false" outlineLevel="0" collapsed="false">
      <c r="B3282" s="7" t="s">
        <v>11915</v>
      </c>
      <c r="C3282" s="39" t="n">
        <v>45863</v>
      </c>
      <c r="D3282" s="7" t="s">
        <v>184</v>
      </c>
      <c r="E3282" s="7" t="s">
        <v>180</v>
      </c>
      <c r="F3282" s="6" t="n">
        <v>3.69</v>
      </c>
      <c r="G3282" s="6" t="n">
        <v>0</v>
      </c>
      <c r="H3282" s="41" t="n">
        <v>17.34</v>
      </c>
      <c r="I3282" s="43" t="n">
        <f aca="false">F3282*H3282</f>
        <v>63.9846</v>
      </c>
      <c r="J3282" s="43" t="n">
        <f aca="false">G3282*H3282*1.5</f>
        <v>0</v>
      </c>
      <c r="K3282" s="6" t="n">
        <v>9.73</v>
      </c>
      <c r="L3282" s="43" t="n">
        <f aca="false">K3282*'Chart of Accounts'!$E$68</f>
        <v>6.5191</v>
      </c>
      <c r="O3282" s="42" t="n">
        <f aca="false">I3282+J3282+L3282</f>
        <v>70.5037</v>
      </c>
    </row>
    <row r="3283" customFormat="false" ht="15" hidden="false" customHeight="false" outlineLevel="0" collapsed="false">
      <c r="B3283" s="7" t="s">
        <v>11916</v>
      </c>
      <c r="C3283" s="39" t="n">
        <v>45863</v>
      </c>
      <c r="D3283" s="7" t="s">
        <v>234</v>
      </c>
      <c r="E3283" s="7" t="s">
        <v>158</v>
      </c>
      <c r="H3283" s="41" t="n">
        <v>89.53</v>
      </c>
      <c r="M3283" s="6" t="n">
        <v>2</v>
      </c>
      <c r="N3283" s="43" t="n">
        <f aca="false">M3283*H3283</f>
        <v>179.06</v>
      </c>
      <c r="O3283" s="42" t="n">
        <f aca="false">N3283</f>
        <v>179.06</v>
      </c>
    </row>
    <row r="3284" customFormat="false" ht="15" hidden="false" customHeight="false" outlineLevel="0" collapsed="false">
      <c r="B3284" s="7" t="s">
        <v>11917</v>
      </c>
      <c r="C3284" s="39" t="n">
        <v>45863</v>
      </c>
      <c r="D3284" s="7" t="s">
        <v>218</v>
      </c>
      <c r="E3284" s="7" t="s">
        <v>180</v>
      </c>
      <c r="F3284" s="6" t="n">
        <v>3.81</v>
      </c>
      <c r="G3284" s="6" t="n">
        <v>0</v>
      </c>
      <c r="H3284" s="41" t="n">
        <v>16.19</v>
      </c>
      <c r="I3284" s="43" t="n">
        <f aca="false">F3284*H3284</f>
        <v>61.6839</v>
      </c>
      <c r="J3284" s="43" t="n">
        <f aca="false">G3284*H3284*1.5</f>
        <v>0</v>
      </c>
      <c r="K3284" s="6" t="n">
        <v>9.25</v>
      </c>
      <c r="L3284" s="43" t="n">
        <f aca="false">K3284*'Chart of Accounts'!$E$68</f>
        <v>6.1975</v>
      </c>
      <c r="O3284" s="42" t="n">
        <f aca="false">I3284+J3284+L3284</f>
        <v>67.8814</v>
      </c>
    </row>
    <row r="3285" customFormat="false" ht="15" hidden="false" customHeight="false" outlineLevel="0" collapsed="false">
      <c r="B3285" s="7" t="s">
        <v>11918</v>
      </c>
      <c r="C3285" s="39" t="n">
        <v>45863</v>
      </c>
      <c r="D3285" s="7" t="s">
        <v>266</v>
      </c>
      <c r="E3285" s="7" t="s">
        <v>158</v>
      </c>
      <c r="H3285" s="41" t="n">
        <v>75.18</v>
      </c>
      <c r="M3285" s="6" t="n">
        <v>1</v>
      </c>
      <c r="N3285" s="43" t="n">
        <f aca="false">M3285*H3285</f>
        <v>75.18</v>
      </c>
      <c r="O3285" s="42" t="n">
        <f aca="false">N3285</f>
        <v>75.18</v>
      </c>
    </row>
    <row r="3286" customFormat="false" ht="15" hidden="false" customHeight="false" outlineLevel="0" collapsed="false">
      <c r="B3286" s="7" t="s">
        <v>11919</v>
      </c>
      <c r="C3286" s="39" t="n">
        <v>45863</v>
      </c>
      <c r="D3286" s="7" t="s">
        <v>228</v>
      </c>
      <c r="E3286" s="7" t="s">
        <v>158</v>
      </c>
      <c r="H3286" s="41" t="n">
        <v>51.07</v>
      </c>
      <c r="M3286" s="6" t="n">
        <v>1</v>
      </c>
      <c r="N3286" s="43" t="n">
        <f aca="false">M3286*H3286</f>
        <v>51.07</v>
      </c>
      <c r="O3286" s="42" t="n">
        <f aca="false">N3286</f>
        <v>51.07</v>
      </c>
    </row>
    <row r="3287" customFormat="false" ht="15" hidden="false" customHeight="false" outlineLevel="0" collapsed="false">
      <c r="B3287" s="7" t="s">
        <v>11920</v>
      </c>
      <c r="C3287" s="39" t="n">
        <v>45863</v>
      </c>
      <c r="D3287" s="7" t="s">
        <v>220</v>
      </c>
      <c r="E3287" s="7" t="s">
        <v>180</v>
      </c>
      <c r="F3287" s="6" t="n">
        <v>4.06</v>
      </c>
      <c r="G3287" s="6" t="n">
        <v>0</v>
      </c>
      <c r="H3287" s="41" t="n">
        <v>16.43</v>
      </c>
      <c r="I3287" s="43" t="n">
        <f aca="false">F3287*H3287</f>
        <v>66.7058</v>
      </c>
      <c r="J3287" s="43" t="n">
        <f aca="false">G3287*H3287*1.5</f>
        <v>0</v>
      </c>
      <c r="K3287" s="6" t="n">
        <v>10.38</v>
      </c>
      <c r="L3287" s="43" t="n">
        <f aca="false">K3287*'Chart of Accounts'!$E$68</f>
        <v>6.9546</v>
      </c>
      <c r="O3287" s="42" t="n">
        <f aca="false">I3287+J3287+L3287</f>
        <v>73.6604</v>
      </c>
    </row>
    <row r="3288" customFormat="false" ht="15" hidden="false" customHeight="false" outlineLevel="0" collapsed="false">
      <c r="B3288" s="7" t="s">
        <v>11921</v>
      </c>
      <c r="C3288" s="39" t="n">
        <v>45863</v>
      </c>
      <c r="D3288" s="7" t="s">
        <v>177</v>
      </c>
      <c r="E3288" s="7" t="s">
        <v>180</v>
      </c>
      <c r="F3288" s="6" t="n">
        <v>9.16</v>
      </c>
      <c r="G3288" s="6" t="n">
        <v>0</v>
      </c>
      <c r="H3288" s="41" t="n">
        <v>14.56</v>
      </c>
      <c r="I3288" s="43" t="n">
        <f aca="false">F3288*H3288</f>
        <v>133.3696</v>
      </c>
      <c r="J3288" s="43" t="n">
        <f aca="false">G3288*H3288*1.5</f>
        <v>0</v>
      </c>
      <c r="K3288" s="6" t="n">
        <v>29.94</v>
      </c>
      <c r="L3288" s="43" t="n">
        <f aca="false">K3288*'Chart of Accounts'!$E$68</f>
        <v>20.0598</v>
      </c>
      <c r="O3288" s="42" t="n">
        <f aca="false">I3288+J3288+L3288</f>
        <v>153.4294</v>
      </c>
    </row>
    <row r="3289" customFormat="false" ht="15" hidden="false" customHeight="false" outlineLevel="0" collapsed="false">
      <c r="B3289" s="7" t="s">
        <v>11922</v>
      </c>
      <c r="C3289" s="39" t="n">
        <v>45863</v>
      </c>
      <c r="D3289" s="7" t="s">
        <v>242</v>
      </c>
      <c r="E3289" s="7" t="s">
        <v>180</v>
      </c>
      <c r="F3289" s="6" t="n">
        <v>6.9</v>
      </c>
      <c r="G3289" s="6" t="n">
        <v>0</v>
      </c>
      <c r="H3289" s="41" t="n">
        <v>17.99</v>
      </c>
      <c r="I3289" s="43" t="n">
        <f aca="false">F3289*H3289</f>
        <v>124.131</v>
      </c>
      <c r="J3289" s="43" t="n">
        <f aca="false">G3289*H3289*1.5</f>
        <v>0</v>
      </c>
      <c r="K3289" s="6" t="n">
        <v>24.56</v>
      </c>
      <c r="L3289" s="43" t="n">
        <f aca="false">K3289*'Chart of Accounts'!$E$68</f>
        <v>16.4552</v>
      </c>
      <c r="O3289" s="42" t="n">
        <f aca="false">I3289+J3289+L3289</f>
        <v>140.5862</v>
      </c>
    </row>
    <row r="3290" customFormat="false" ht="15" hidden="false" customHeight="false" outlineLevel="0" collapsed="false">
      <c r="B3290" s="7" t="s">
        <v>11923</v>
      </c>
      <c r="C3290" s="39" t="n">
        <v>45863</v>
      </c>
      <c r="D3290" s="7" t="s">
        <v>238</v>
      </c>
      <c r="E3290" s="7" t="s">
        <v>180</v>
      </c>
      <c r="F3290" s="6" t="n">
        <v>8.32</v>
      </c>
      <c r="G3290" s="6" t="n">
        <v>0</v>
      </c>
      <c r="H3290" s="41" t="n">
        <v>15.85</v>
      </c>
      <c r="I3290" s="43" t="n">
        <f aca="false">F3290*H3290</f>
        <v>131.872</v>
      </c>
      <c r="J3290" s="43" t="n">
        <f aca="false">G3290*H3290*1.5</f>
        <v>0</v>
      </c>
      <c r="K3290" s="6" t="n">
        <v>22.16</v>
      </c>
      <c r="L3290" s="43" t="n">
        <f aca="false">K3290*'Chart of Accounts'!$E$68</f>
        <v>14.8472</v>
      </c>
      <c r="O3290" s="42" t="n">
        <f aca="false">I3290+J3290+L3290</f>
        <v>146.7192</v>
      </c>
    </row>
    <row r="3291" customFormat="false" ht="15" hidden="false" customHeight="false" outlineLevel="0" collapsed="false">
      <c r="B3291" s="7" t="s">
        <v>11924</v>
      </c>
      <c r="C3291" s="39" t="n">
        <v>45863</v>
      </c>
      <c r="D3291" s="7" t="s">
        <v>254</v>
      </c>
      <c r="E3291" s="7" t="s">
        <v>180</v>
      </c>
      <c r="F3291" s="6" t="n">
        <v>7.175</v>
      </c>
      <c r="G3291" s="6" t="n">
        <v>0.285</v>
      </c>
      <c r="H3291" s="41" t="n">
        <v>17.1</v>
      </c>
      <c r="I3291" s="43" t="n">
        <f aca="false">F3291*H3291</f>
        <v>122.6925</v>
      </c>
      <c r="J3291" s="43" t="n">
        <f aca="false">G3291*H3291*1.5</f>
        <v>7.31025</v>
      </c>
      <c r="K3291" s="6" t="n">
        <v>19.94</v>
      </c>
      <c r="L3291" s="43" t="n">
        <f aca="false">K3291*'Chart of Accounts'!$E$68</f>
        <v>13.3598</v>
      </c>
      <c r="O3291" s="42" t="n">
        <f aca="false">I3291+J3291+L3291</f>
        <v>143.36255</v>
      </c>
    </row>
    <row r="3292" customFormat="false" ht="15" hidden="false" customHeight="false" outlineLevel="0" collapsed="false">
      <c r="B3292" s="7" t="s">
        <v>11925</v>
      </c>
      <c r="C3292" s="39" t="n">
        <v>45863</v>
      </c>
      <c r="D3292" s="7" t="s">
        <v>201</v>
      </c>
      <c r="E3292" s="7" t="s">
        <v>180</v>
      </c>
      <c r="F3292" s="6" t="n">
        <v>10.18</v>
      </c>
      <c r="G3292" s="6" t="n">
        <v>0</v>
      </c>
      <c r="H3292" s="41" t="n">
        <v>15.19</v>
      </c>
      <c r="I3292" s="43" t="n">
        <f aca="false">F3292*H3292</f>
        <v>154.6342</v>
      </c>
      <c r="J3292" s="43" t="n">
        <f aca="false">G3292*H3292*1.5</f>
        <v>0</v>
      </c>
      <c r="K3292" s="6" t="n">
        <v>35.34</v>
      </c>
      <c r="L3292" s="43" t="n">
        <f aca="false">K3292*'Chart of Accounts'!$E$68</f>
        <v>23.6778</v>
      </c>
      <c r="O3292" s="42" t="n">
        <f aca="false">I3292+J3292+L3292</f>
        <v>178.312</v>
      </c>
    </row>
    <row r="3293" customFormat="false" ht="15" hidden="false" customHeight="false" outlineLevel="0" collapsed="false">
      <c r="B3293" s="7" t="s">
        <v>11926</v>
      </c>
      <c r="C3293" s="39" t="n">
        <v>45863</v>
      </c>
      <c r="D3293" s="7" t="s">
        <v>207</v>
      </c>
      <c r="E3293" s="7" t="s">
        <v>180</v>
      </c>
      <c r="F3293" s="6" t="n">
        <v>3.08</v>
      </c>
      <c r="G3293" s="6" t="n">
        <v>0</v>
      </c>
      <c r="H3293" s="41" t="n">
        <v>16.65</v>
      </c>
      <c r="I3293" s="43" t="n">
        <f aca="false">F3293*H3293</f>
        <v>51.282</v>
      </c>
      <c r="J3293" s="43" t="n">
        <f aca="false">G3293*H3293*1.5</f>
        <v>0</v>
      </c>
      <c r="K3293" s="6" t="n">
        <v>9.02</v>
      </c>
      <c r="L3293" s="43" t="n">
        <f aca="false">K3293*'Chart of Accounts'!$E$68</f>
        <v>6.0434</v>
      </c>
      <c r="O3293" s="42" t="n">
        <f aca="false">I3293+J3293+L3293</f>
        <v>57.3254</v>
      </c>
    </row>
    <row r="3294" customFormat="false" ht="15" hidden="false" customHeight="false" outlineLevel="0" collapsed="false">
      <c r="B3294" s="7" t="s">
        <v>11927</v>
      </c>
      <c r="C3294" s="39" t="n">
        <v>45863</v>
      </c>
      <c r="D3294" s="7" t="s">
        <v>258</v>
      </c>
      <c r="E3294" s="7" t="s">
        <v>158</v>
      </c>
      <c r="H3294" s="41" t="n">
        <v>61.61</v>
      </c>
      <c r="M3294" s="6" t="n">
        <v>1</v>
      </c>
      <c r="N3294" s="43" t="n">
        <f aca="false">M3294*H3294</f>
        <v>61.61</v>
      </c>
      <c r="O3294" s="42" t="n">
        <f aca="false">N3294</f>
        <v>61.61</v>
      </c>
    </row>
    <row r="3295" customFormat="false" ht="15" hidden="false" customHeight="false" outlineLevel="0" collapsed="false">
      <c r="B3295" s="7" t="s">
        <v>11928</v>
      </c>
      <c r="C3295" s="39" t="n">
        <v>45863</v>
      </c>
      <c r="D3295" s="7" t="s">
        <v>232</v>
      </c>
      <c r="E3295" s="7" t="s">
        <v>180</v>
      </c>
      <c r="F3295" s="6" t="n">
        <v>5</v>
      </c>
      <c r="G3295" s="6" t="n">
        <v>0</v>
      </c>
      <c r="H3295" s="41" t="n">
        <v>16.17</v>
      </c>
      <c r="I3295" s="43" t="n">
        <f aca="false">F3295*H3295</f>
        <v>80.85</v>
      </c>
      <c r="J3295" s="43" t="n">
        <f aca="false">G3295*H3295*1.5</f>
        <v>0</v>
      </c>
      <c r="K3295" s="6" t="n">
        <v>16.09</v>
      </c>
      <c r="L3295" s="43" t="n">
        <f aca="false">K3295*'Chart of Accounts'!$E$68</f>
        <v>10.7803</v>
      </c>
      <c r="O3295" s="42" t="n">
        <f aca="false">I3295+J3295+L3295</f>
        <v>91.6303</v>
      </c>
    </row>
    <row r="3296" customFormat="false" ht="15" hidden="false" customHeight="false" outlineLevel="0" collapsed="false">
      <c r="B3296" s="7" t="s">
        <v>11929</v>
      </c>
      <c r="C3296" s="39" t="n">
        <v>45863</v>
      </c>
      <c r="D3296" s="7" t="s">
        <v>224</v>
      </c>
      <c r="E3296" s="7" t="s">
        <v>180</v>
      </c>
      <c r="F3296" s="6" t="n">
        <v>5</v>
      </c>
      <c r="G3296" s="6" t="n">
        <v>0</v>
      </c>
      <c r="H3296" s="41" t="n">
        <v>14.93</v>
      </c>
      <c r="I3296" s="43" t="n">
        <f aca="false">F3296*H3296</f>
        <v>74.65</v>
      </c>
      <c r="J3296" s="43" t="n">
        <f aca="false">G3296*H3296*1.5</f>
        <v>0</v>
      </c>
      <c r="K3296" s="6" t="n">
        <v>15.9</v>
      </c>
      <c r="L3296" s="43" t="n">
        <f aca="false">K3296*'Chart of Accounts'!$E$68</f>
        <v>10.653</v>
      </c>
      <c r="O3296" s="42" t="n">
        <f aca="false">I3296+J3296+L3296</f>
        <v>85.303</v>
      </c>
    </row>
    <row r="3297" customFormat="false" ht="15" hidden="false" customHeight="false" outlineLevel="0" collapsed="false">
      <c r="B3297" s="7" t="s">
        <v>11930</v>
      </c>
      <c r="C3297" s="39" t="n">
        <v>45863</v>
      </c>
      <c r="D3297" s="7" t="s">
        <v>246</v>
      </c>
      <c r="E3297" s="7" t="s">
        <v>180</v>
      </c>
      <c r="F3297" s="6" t="n">
        <v>4.1</v>
      </c>
      <c r="G3297" s="6" t="n">
        <v>0</v>
      </c>
      <c r="H3297" s="41" t="n">
        <v>16.48</v>
      </c>
      <c r="I3297" s="43" t="n">
        <f aca="false">F3297*H3297</f>
        <v>67.568</v>
      </c>
      <c r="J3297" s="43" t="n">
        <f aca="false">G3297*H3297*1.5</f>
        <v>0</v>
      </c>
      <c r="K3297" s="6" t="n">
        <v>10.3</v>
      </c>
      <c r="L3297" s="43" t="n">
        <f aca="false">K3297*'Chart of Accounts'!$E$68</f>
        <v>6.901</v>
      </c>
      <c r="O3297" s="42" t="n">
        <f aca="false">I3297+J3297+L3297</f>
        <v>74.469</v>
      </c>
    </row>
    <row r="3298" customFormat="false" ht="15" hidden="false" customHeight="false" outlineLevel="0" collapsed="false">
      <c r="B3298" s="7" t="s">
        <v>11931</v>
      </c>
      <c r="C3298" s="39" t="n">
        <v>45863</v>
      </c>
      <c r="D3298" s="7" t="s">
        <v>222</v>
      </c>
      <c r="E3298" s="7" t="s">
        <v>180</v>
      </c>
      <c r="F3298" s="6" t="n">
        <v>3.93</v>
      </c>
      <c r="G3298" s="6" t="n">
        <v>0</v>
      </c>
      <c r="H3298" s="41" t="n">
        <v>17.84</v>
      </c>
      <c r="I3298" s="43" t="n">
        <f aca="false">F3298*H3298</f>
        <v>70.1112</v>
      </c>
      <c r="J3298" s="43" t="n">
        <f aca="false">G3298*H3298*1.5</f>
        <v>0</v>
      </c>
      <c r="K3298" s="6" t="n">
        <v>11.83</v>
      </c>
      <c r="L3298" s="43" t="n">
        <f aca="false">K3298*'Chart of Accounts'!$E$68</f>
        <v>7.9261</v>
      </c>
      <c r="O3298" s="42" t="n">
        <f aca="false">I3298+J3298+L3298</f>
        <v>78.0373</v>
      </c>
    </row>
    <row r="3299" customFormat="false" ht="15" hidden="false" customHeight="false" outlineLevel="0" collapsed="false">
      <c r="B3299" s="7" t="s">
        <v>11932</v>
      </c>
      <c r="C3299" s="39" t="n">
        <v>45863</v>
      </c>
      <c r="D3299" s="7" t="s">
        <v>203</v>
      </c>
      <c r="E3299" s="7" t="s">
        <v>158</v>
      </c>
      <c r="H3299" s="41" t="n">
        <v>49.43</v>
      </c>
      <c r="M3299" s="6" t="n">
        <v>1</v>
      </c>
      <c r="N3299" s="43" t="n">
        <f aca="false">M3299*H3299</f>
        <v>49.43</v>
      </c>
      <c r="O3299" s="42" t="n">
        <f aca="false">N3299</f>
        <v>49.43</v>
      </c>
    </row>
    <row r="3300" customFormat="false" ht="15" hidden="false" customHeight="false" outlineLevel="0" collapsed="false">
      <c r="B3300" s="7" t="s">
        <v>11933</v>
      </c>
      <c r="C3300" s="39" t="n">
        <v>45863</v>
      </c>
      <c r="D3300" s="7" t="s">
        <v>260</v>
      </c>
      <c r="E3300" s="7" t="s">
        <v>158</v>
      </c>
      <c r="H3300" s="41" t="n">
        <v>79.8</v>
      </c>
      <c r="M3300" s="6" t="n">
        <v>1</v>
      </c>
      <c r="N3300" s="43" t="n">
        <f aca="false">M3300*H3300</f>
        <v>79.8</v>
      </c>
      <c r="O3300" s="42" t="n">
        <f aca="false">N3300</f>
        <v>79.8</v>
      </c>
    </row>
    <row r="3301" customFormat="false" ht="15" hidden="false" customHeight="false" outlineLevel="0" collapsed="false">
      <c r="B3301" s="7" t="s">
        <v>11934</v>
      </c>
      <c r="C3301" s="39" t="n">
        <v>45863</v>
      </c>
      <c r="D3301" s="7" t="s">
        <v>214</v>
      </c>
      <c r="E3301" s="7" t="s">
        <v>180</v>
      </c>
      <c r="F3301" s="6" t="n">
        <v>3.35</v>
      </c>
      <c r="G3301" s="6" t="n">
        <v>0</v>
      </c>
      <c r="H3301" s="41" t="n">
        <v>15.67</v>
      </c>
      <c r="I3301" s="43" t="n">
        <f aca="false">F3301*H3301</f>
        <v>52.4945</v>
      </c>
      <c r="J3301" s="43" t="n">
        <f aca="false">G3301*H3301*1.5</f>
        <v>0</v>
      </c>
      <c r="K3301" s="6" t="n">
        <v>9.48</v>
      </c>
      <c r="L3301" s="43" t="n">
        <f aca="false">K3301*'Chart of Accounts'!$E$68</f>
        <v>6.3516</v>
      </c>
      <c r="O3301" s="42" t="n">
        <f aca="false">I3301+J3301+L3301</f>
        <v>58.8461</v>
      </c>
    </row>
    <row r="3302" customFormat="false" ht="15" hidden="false" customHeight="false" outlineLevel="0" collapsed="false">
      <c r="B3302" s="7" t="s">
        <v>11935</v>
      </c>
      <c r="C3302" s="39" t="n">
        <v>45864</v>
      </c>
      <c r="D3302" s="7" t="s">
        <v>184</v>
      </c>
      <c r="E3302" s="7" t="s">
        <v>180</v>
      </c>
      <c r="F3302" s="6" t="n">
        <v>4.16</v>
      </c>
      <c r="G3302" s="6" t="n">
        <v>0</v>
      </c>
      <c r="H3302" s="41" t="n">
        <v>17.34</v>
      </c>
      <c r="I3302" s="43" t="n">
        <f aca="false">F3302*H3302</f>
        <v>72.1344</v>
      </c>
      <c r="J3302" s="43" t="n">
        <f aca="false">G3302*H3302*1.5</f>
        <v>0</v>
      </c>
      <c r="K3302" s="6" t="n">
        <v>14.48</v>
      </c>
      <c r="L3302" s="43" t="n">
        <f aca="false">K3302*'Chart of Accounts'!$E$68</f>
        <v>9.7016</v>
      </c>
      <c r="O3302" s="42" t="n">
        <f aca="false">I3302+J3302+L3302</f>
        <v>81.836</v>
      </c>
    </row>
    <row r="3303" customFormat="false" ht="15" hidden="false" customHeight="false" outlineLevel="0" collapsed="false">
      <c r="B3303" s="7" t="s">
        <v>11936</v>
      </c>
      <c r="C3303" s="39" t="n">
        <v>45864</v>
      </c>
      <c r="D3303" s="7" t="s">
        <v>218</v>
      </c>
      <c r="E3303" s="7" t="s">
        <v>180</v>
      </c>
      <c r="F3303" s="6" t="n">
        <v>3.91</v>
      </c>
      <c r="G3303" s="6" t="n">
        <v>0</v>
      </c>
      <c r="H3303" s="41" t="n">
        <v>16.19</v>
      </c>
      <c r="I3303" s="43" t="n">
        <f aca="false">F3303*H3303</f>
        <v>63.3029</v>
      </c>
      <c r="J3303" s="43" t="n">
        <f aca="false">G3303*H3303*1.5</f>
        <v>0</v>
      </c>
      <c r="K3303" s="6" t="n">
        <v>11.11</v>
      </c>
      <c r="L3303" s="43" t="n">
        <f aca="false">K3303*'Chart of Accounts'!$E$68</f>
        <v>7.4437</v>
      </c>
      <c r="O3303" s="42" t="n">
        <f aca="false">I3303+J3303+L3303</f>
        <v>70.7466</v>
      </c>
    </row>
    <row r="3304" customFormat="false" ht="15" hidden="false" customHeight="false" outlineLevel="0" collapsed="false">
      <c r="B3304" s="7" t="s">
        <v>11937</v>
      </c>
      <c r="C3304" s="39" t="n">
        <v>45864</v>
      </c>
      <c r="D3304" s="7" t="s">
        <v>254</v>
      </c>
      <c r="E3304" s="7" t="s">
        <v>180</v>
      </c>
      <c r="F3304" s="6" t="n">
        <v>8.079</v>
      </c>
      <c r="G3304" s="6" t="n">
        <v>0.321</v>
      </c>
      <c r="H3304" s="41" t="n">
        <v>17.1</v>
      </c>
      <c r="I3304" s="43" t="n">
        <f aca="false">F3304*H3304</f>
        <v>138.1509</v>
      </c>
      <c r="J3304" s="43" t="n">
        <f aca="false">G3304*H3304*1.5</f>
        <v>8.23365</v>
      </c>
      <c r="K3304" s="6" t="n">
        <v>18.93</v>
      </c>
      <c r="L3304" s="43" t="n">
        <f aca="false">K3304*'Chart of Accounts'!$E$68</f>
        <v>12.6831</v>
      </c>
      <c r="O3304" s="42" t="n">
        <f aca="false">I3304+J3304+L3304</f>
        <v>159.06765</v>
      </c>
    </row>
    <row r="3305" customFormat="false" ht="15" hidden="false" customHeight="false" outlineLevel="0" collapsed="false">
      <c r="B3305" s="7" t="s">
        <v>11938</v>
      </c>
      <c r="C3305" s="39" t="n">
        <v>45864</v>
      </c>
      <c r="D3305" s="7" t="s">
        <v>222</v>
      </c>
      <c r="E3305" s="7" t="s">
        <v>180</v>
      </c>
      <c r="F3305" s="6" t="n">
        <v>4.34</v>
      </c>
      <c r="G3305" s="6" t="n">
        <v>0</v>
      </c>
      <c r="H3305" s="41" t="n">
        <v>17.84</v>
      </c>
      <c r="I3305" s="43" t="n">
        <f aca="false">F3305*H3305</f>
        <v>77.4256</v>
      </c>
      <c r="J3305" s="43" t="n">
        <f aca="false">G3305*H3305*1.5</f>
        <v>0</v>
      </c>
      <c r="K3305" s="6" t="n">
        <v>10.18</v>
      </c>
      <c r="L3305" s="43" t="n">
        <f aca="false">K3305*'Chart of Accounts'!$E$68</f>
        <v>6.8206</v>
      </c>
      <c r="O3305" s="42" t="n">
        <f aca="false">I3305+J3305+L3305</f>
        <v>84.2462</v>
      </c>
    </row>
    <row r="3306" customFormat="false" ht="15" hidden="false" customHeight="false" outlineLevel="0" collapsed="false">
      <c r="B3306" s="7" t="s">
        <v>11939</v>
      </c>
      <c r="C3306" s="39" t="n">
        <v>45864</v>
      </c>
      <c r="D3306" s="7" t="s">
        <v>242</v>
      </c>
      <c r="E3306" s="7" t="s">
        <v>180</v>
      </c>
      <c r="F3306" s="6" t="n">
        <v>3.99</v>
      </c>
      <c r="G3306" s="6" t="n">
        <v>0</v>
      </c>
      <c r="H3306" s="41" t="n">
        <v>17.99</v>
      </c>
      <c r="I3306" s="43" t="n">
        <f aca="false">F3306*H3306</f>
        <v>71.7801</v>
      </c>
      <c r="J3306" s="43" t="n">
        <f aca="false">G3306*H3306*1.5</f>
        <v>0</v>
      </c>
      <c r="K3306" s="6" t="n">
        <v>11.1</v>
      </c>
      <c r="L3306" s="43" t="n">
        <f aca="false">K3306*'Chart of Accounts'!$E$68</f>
        <v>7.437</v>
      </c>
      <c r="O3306" s="42" t="n">
        <f aca="false">I3306+J3306+L3306</f>
        <v>79.2171</v>
      </c>
    </row>
    <row r="3307" customFormat="false" ht="15" hidden="false" customHeight="false" outlineLevel="0" collapsed="false">
      <c r="B3307" s="7" t="s">
        <v>11940</v>
      </c>
      <c r="C3307" s="39" t="n">
        <v>45865</v>
      </c>
      <c r="D3307" s="7" t="s">
        <v>201</v>
      </c>
      <c r="E3307" s="7" t="s">
        <v>180</v>
      </c>
      <c r="F3307" s="6" t="n">
        <v>4.08</v>
      </c>
      <c r="G3307" s="6" t="n">
        <v>0</v>
      </c>
      <c r="H3307" s="41" t="n">
        <v>15.19</v>
      </c>
      <c r="I3307" s="43" t="n">
        <f aca="false">F3307*H3307</f>
        <v>61.9752</v>
      </c>
      <c r="J3307" s="43" t="n">
        <f aca="false">G3307*H3307*1.5</f>
        <v>0</v>
      </c>
      <c r="K3307" s="6" t="n">
        <v>14.52</v>
      </c>
      <c r="L3307" s="43" t="n">
        <f aca="false">K3307*'Chart of Accounts'!$E$68</f>
        <v>9.7284</v>
      </c>
      <c r="O3307" s="42" t="n">
        <f aca="false">I3307+J3307+L3307</f>
        <v>71.7036</v>
      </c>
    </row>
    <row r="3308" customFormat="false" ht="15" hidden="false" customHeight="false" outlineLevel="0" collapsed="false">
      <c r="B3308" s="7" t="s">
        <v>11941</v>
      </c>
      <c r="C3308" s="39" t="n">
        <v>45865</v>
      </c>
      <c r="D3308" s="7" t="s">
        <v>218</v>
      </c>
      <c r="E3308" s="7" t="s">
        <v>180</v>
      </c>
      <c r="F3308" s="6" t="n">
        <v>7.68</v>
      </c>
      <c r="G3308" s="6" t="n">
        <v>0</v>
      </c>
      <c r="H3308" s="41" t="n">
        <v>16.19</v>
      </c>
      <c r="I3308" s="43" t="n">
        <f aca="false">F3308*H3308</f>
        <v>124.3392</v>
      </c>
      <c r="J3308" s="43" t="n">
        <f aca="false">G3308*H3308*1.5</f>
        <v>0</v>
      </c>
      <c r="K3308" s="6" t="n">
        <v>22.67</v>
      </c>
      <c r="L3308" s="43" t="n">
        <f aca="false">K3308*'Chart of Accounts'!$E$68</f>
        <v>15.1889</v>
      </c>
      <c r="O3308" s="42" t="n">
        <f aca="false">I3308+J3308+L3308</f>
        <v>139.5281</v>
      </c>
    </row>
    <row r="3309" customFormat="false" ht="15" hidden="false" customHeight="false" outlineLevel="0" collapsed="false">
      <c r="B3309" s="7" t="s">
        <v>11942</v>
      </c>
      <c r="C3309" s="39" t="n">
        <v>45865</v>
      </c>
      <c r="D3309" s="7" t="s">
        <v>222</v>
      </c>
      <c r="E3309" s="7" t="s">
        <v>180</v>
      </c>
      <c r="F3309" s="6" t="n">
        <v>4.35</v>
      </c>
      <c r="G3309" s="6" t="n">
        <v>0</v>
      </c>
      <c r="H3309" s="41" t="n">
        <v>17.84</v>
      </c>
      <c r="I3309" s="43" t="n">
        <f aca="false">F3309*H3309</f>
        <v>77.604</v>
      </c>
      <c r="J3309" s="43" t="n">
        <f aca="false">G3309*H3309*1.5</f>
        <v>0</v>
      </c>
      <c r="K3309" s="6" t="n">
        <v>15.38</v>
      </c>
      <c r="L3309" s="43" t="n">
        <f aca="false">K3309*'Chart of Accounts'!$E$68</f>
        <v>10.3046</v>
      </c>
      <c r="O3309" s="42" t="n">
        <f aca="false">I3309+J3309+L3309</f>
        <v>87.9086</v>
      </c>
    </row>
    <row r="3310" customFormat="false" ht="15" hidden="false" customHeight="false" outlineLevel="0" collapsed="false">
      <c r="B3310" s="7" t="s">
        <v>11943</v>
      </c>
      <c r="C3310" s="39" t="n">
        <v>45865</v>
      </c>
      <c r="D3310" s="7" t="s">
        <v>242</v>
      </c>
      <c r="E3310" s="7" t="s">
        <v>180</v>
      </c>
      <c r="F3310" s="6" t="n">
        <v>3.78</v>
      </c>
      <c r="G3310" s="6" t="n">
        <v>0</v>
      </c>
      <c r="H3310" s="41" t="n">
        <v>17.99</v>
      </c>
      <c r="I3310" s="43" t="n">
        <f aca="false">F3310*H3310</f>
        <v>68.0022</v>
      </c>
      <c r="J3310" s="43" t="n">
        <f aca="false">G3310*H3310*1.5</f>
        <v>0</v>
      </c>
      <c r="K3310" s="6" t="n">
        <v>10.22</v>
      </c>
      <c r="L3310" s="43" t="n">
        <f aca="false">K3310*'Chart of Accounts'!$E$68</f>
        <v>6.8474</v>
      </c>
      <c r="O3310" s="42" t="n">
        <f aca="false">I3310+J3310+L3310</f>
        <v>74.8496</v>
      </c>
    </row>
    <row r="3311" customFormat="false" ht="15" hidden="false" customHeight="false" outlineLevel="0" collapsed="false">
      <c r="B3311" s="7" t="s">
        <v>11944</v>
      </c>
      <c r="C3311" s="39" t="n">
        <v>45865</v>
      </c>
      <c r="D3311" s="7" t="s">
        <v>254</v>
      </c>
      <c r="E3311" s="7" t="s">
        <v>180</v>
      </c>
      <c r="F3311" s="6" t="n">
        <v>3.645</v>
      </c>
      <c r="G3311" s="6" t="n">
        <v>0.145</v>
      </c>
      <c r="H3311" s="41" t="n">
        <v>17.1</v>
      </c>
      <c r="I3311" s="43" t="n">
        <f aca="false">F3311*H3311</f>
        <v>62.3295</v>
      </c>
      <c r="J3311" s="43" t="n">
        <f aca="false">G3311*H3311*1.5</f>
        <v>3.71925</v>
      </c>
      <c r="K3311" s="6" t="n">
        <v>11.44</v>
      </c>
      <c r="L3311" s="43" t="n">
        <f aca="false">K3311*'Chart of Accounts'!$E$68</f>
        <v>7.6648</v>
      </c>
      <c r="O3311" s="42" t="n">
        <f aca="false">I3311+J3311+L3311</f>
        <v>73.71355</v>
      </c>
    </row>
    <row r="3312" customFormat="false" ht="15" hidden="false" customHeight="false" outlineLevel="0" collapsed="false">
      <c r="B3312" s="7" t="s">
        <v>11945</v>
      </c>
      <c r="C3312" s="39" t="n">
        <v>45866</v>
      </c>
      <c r="D3312" s="7" t="s">
        <v>187</v>
      </c>
      <c r="E3312" s="7" t="s">
        <v>158</v>
      </c>
      <c r="H3312" s="41" t="n">
        <v>66.48</v>
      </c>
      <c r="M3312" s="6" t="n">
        <v>1</v>
      </c>
      <c r="N3312" s="43" t="n">
        <f aca="false">M3312*H3312</f>
        <v>66.48</v>
      </c>
      <c r="O3312" s="42" t="n">
        <f aca="false">N3312</f>
        <v>66.48</v>
      </c>
    </row>
    <row r="3313" customFormat="false" ht="15" hidden="false" customHeight="false" outlineLevel="0" collapsed="false">
      <c r="B3313" s="7" t="s">
        <v>11946</v>
      </c>
      <c r="C3313" s="39" t="n">
        <v>45866</v>
      </c>
      <c r="D3313" s="7" t="s">
        <v>207</v>
      </c>
      <c r="E3313" s="7" t="s">
        <v>180</v>
      </c>
      <c r="F3313" s="6" t="n">
        <v>10.29</v>
      </c>
      <c r="G3313" s="6" t="n">
        <v>0</v>
      </c>
      <c r="H3313" s="41" t="n">
        <v>16.65</v>
      </c>
      <c r="I3313" s="43" t="n">
        <f aca="false">F3313*H3313</f>
        <v>171.3285</v>
      </c>
      <c r="J3313" s="43" t="n">
        <f aca="false">G3313*H3313*1.5</f>
        <v>0</v>
      </c>
      <c r="K3313" s="6" t="n">
        <v>31.82</v>
      </c>
      <c r="L3313" s="43" t="n">
        <f aca="false">K3313*'Chart of Accounts'!$E$68</f>
        <v>21.3194</v>
      </c>
      <c r="O3313" s="42" t="n">
        <f aca="false">I3313+J3313+L3313</f>
        <v>192.6479</v>
      </c>
    </row>
    <row r="3314" customFormat="false" ht="15" hidden="false" customHeight="false" outlineLevel="0" collapsed="false">
      <c r="B3314" s="7" t="s">
        <v>11947</v>
      </c>
      <c r="C3314" s="39" t="n">
        <v>45866</v>
      </c>
      <c r="D3314" s="7" t="s">
        <v>194</v>
      </c>
      <c r="E3314" s="7" t="s">
        <v>180</v>
      </c>
      <c r="F3314" s="6" t="n">
        <v>9.1</v>
      </c>
      <c r="G3314" s="6" t="n">
        <v>0</v>
      </c>
      <c r="H3314" s="41" t="n">
        <v>16</v>
      </c>
      <c r="I3314" s="43" t="n">
        <f aca="false">F3314*H3314</f>
        <v>145.6</v>
      </c>
      <c r="J3314" s="43" t="n">
        <f aca="false">G3314*H3314*1.5</f>
        <v>0</v>
      </c>
      <c r="K3314" s="6" t="n">
        <v>31.03</v>
      </c>
      <c r="L3314" s="43" t="n">
        <f aca="false">K3314*'Chart of Accounts'!$E$68</f>
        <v>20.7901</v>
      </c>
      <c r="O3314" s="42" t="n">
        <f aca="false">I3314+J3314+L3314</f>
        <v>166.3901</v>
      </c>
    </row>
    <row r="3315" customFormat="false" ht="15" hidden="false" customHeight="false" outlineLevel="0" collapsed="false">
      <c r="B3315" s="7" t="s">
        <v>11948</v>
      </c>
      <c r="C3315" s="39" t="n">
        <v>45866</v>
      </c>
      <c r="D3315" s="7" t="s">
        <v>201</v>
      </c>
      <c r="E3315" s="7" t="s">
        <v>180</v>
      </c>
      <c r="F3315" s="6" t="n">
        <v>8.7</v>
      </c>
      <c r="G3315" s="6" t="n">
        <v>0</v>
      </c>
      <c r="H3315" s="41" t="n">
        <v>15.19</v>
      </c>
      <c r="I3315" s="43" t="n">
        <f aca="false">F3315*H3315</f>
        <v>132.153</v>
      </c>
      <c r="J3315" s="43" t="n">
        <f aca="false">G3315*H3315*1.5</f>
        <v>0</v>
      </c>
      <c r="K3315" s="6" t="n">
        <v>24.01</v>
      </c>
      <c r="L3315" s="43" t="n">
        <f aca="false">K3315*'Chart of Accounts'!$E$68</f>
        <v>16.0867</v>
      </c>
      <c r="O3315" s="42" t="n">
        <f aca="false">I3315+J3315+L3315</f>
        <v>148.2397</v>
      </c>
    </row>
    <row r="3316" customFormat="false" ht="15" hidden="false" customHeight="false" outlineLevel="0" collapsed="false">
      <c r="B3316" s="7" t="s">
        <v>11949</v>
      </c>
      <c r="C3316" s="39" t="n">
        <v>45866</v>
      </c>
      <c r="D3316" s="7" t="s">
        <v>205</v>
      </c>
      <c r="E3316" s="7" t="s">
        <v>180</v>
      </c>
      <c r="F3316" s="6" t="n">
        <v>4.03</v>
      </c>
      <c r="G3316" s="6" t="n">
        <v>0</v>
      </c>
      <c r="H3316" s="41" t="n">
        <v>16.36</v>
      </c>
      <c r="I3316" s="43" t="n">
        <f aca="false">F3316*H3316</f>
        <v>65.9308</v>
      </c>
      <c r="J3316" s="43" t="n">
        <f aca="false">G3316*H3316*1.5</f>
        <v>0</v>
      </c>
      <c r="K3316" s="6" t="n">
        <v>12.5</v>
      </c>
      <c r="L3316" s="43" t="n">
        <f aca="false">K3316*'Chart of Accounts'!$E$68</f>
        <v>8.375</v>
      </c>
      <c r="O3316" s="42" t="n">
        <f aca="false">I3316+J3316+L3316</f>
        <v>74.3058</v>
      </c>
    </row>
    <row r="3317" customFormat="false" ht="15" hidden="false" customHeight="false" outlineLevel="0" collapsed="false">
      <c r="B3317" s="7" t="s">
        <v>11950</v>
      </c>
      <c r="C3317" s="39" t="n">
        <v>45866</v>
      </c>
      <c r="D3317" s="7" t="s">
        <v>264</v>
      </c>
      <c r="E3317" s="7" t="s">
        <v>158</v>
      </c>
      <c r="H3317" s="41" t="n">
        <v>55.55</v>
      </c>
      <c r="M3317" s="6" t="n">
        <v>1</v>
      </c>
      <c r="N3317" s="43" t="n">
        <f aca="false">M3317*H3317</f>
        <v>55.55</v>
      </c>
      <c r="O3317" s="42" t="n">
        <f aca="false">N3317</f>
        <v>55.55</v>
      </c>
    </row>
    <row r="3318" customFormat="false" ht="15" hidden="false" customHeight="false" outlineLevel="0" collapsed="false">
      <c r="B3318" s="7" t="s">
        <v>11951</v>
      </c>
      <c r="C3318" s="39" t="n">
        <v>45866</v>
      </c>
      <c r="D3318" s="7" t="s">
        <v>252</v>
      </c>
      <c r="E3318" s="7" t="s">
        <v>158</v>
      </c>
      <c r="H3318" s="41" t="n">
        <v>57.54</v>
      </c>
      <c r="M3318" s="6" t="n">
        <v>1</v>
      </c>
      <c r="N3318" s="43" t="n">
        <f aca="false">M3318*H3318</f>
        <v>57.54</v>
      </c>
      <c r="O3318" s="42" t="n">
        <f aca="false">N3318</f>
        <v>57.54</v>
      </c>
    </row>
    <row r="3319" customFormat="false" ht="15" hidden="false" customHeight="false" outlineLevel="0" collapsed="false">
      <c r="B3319" s="7" t="s">
        <v>11952</v>
      </c>
      <c r="C3319" s="39" t="n">
        <v>45866</v>
      </c>
      <c r="D3319" s="7" t="s">
        <v>196</v>
      </c>
      <c r="E3319" s="7" t="s">
        <v>180</v>
      </c>
      <c r="F3319" s="6" t="n">
        <v>9.495</v>
      </c>
      <c r="G3319" s="6" t="n">
        <v>0.715</v>
      </c>
      <c r="H3319" s="41" t="n">
        <v>15.05</v>
      </c>
      <c r="I3319" s="43" t="n">
        <f aca="false">F3319*H3319</f>
        <v>142.89975</v>
      </c>
      <c r="J3319" s="43" t="n">
        <f aca="false">G3319*H3319*1.5</f>
        <v>16.141125</v>
      </c>
      <c r="K3319" s="6" t="n">
        <v>25.79</v>
      </c>
      <c r="L3319" s="43" t="n">
        <f aca="false">K3319*'Chart of Accounts'!$E$68</f>
        <v>17.2793</v>
      </c>
      <c r="O3319" s="42" t="n">
        <f aca="false">I3319+J3319+L3319</f>
        <v>176.320175</v>
      </c>
    </row>
    <row r="3320" customFormat="false" ht="15" hidden="false" customHeight="false" outlineLevel="0" collapsed="false">
      <c r="B3320" s="7" t="s">
        <v>11953</v>
      </c>
      <c r="C3320" s="39" t="n">
        <v>45866</v>
      </c>
      <c r="D3320" s="7" t="s">
        <v>184</v>
      </c>
      <c r="E3320" s="7" t="s">
        <v>180</v>
      </c>
      <c r="F3320" s="6" t="n">
        <v>8.01</v>
      </c>
      <c r="G3320" s="6" t="n">
        <v>0</v>
      </c>
      <c r="H3320" s="41" t="n">
        <v>17.34</v>
      </c>
      <c r="I3320" s="43" t="n">
        <f aca="false">F3320*H3320</f>
        <v>138.8934</v>
      </c>
      <c r="J3320" s="43" t="n">
        <f aca="false">G3320*H3320*1.5</f>
        <v>0</v>
      </c>
      <c r="K3320" s="6" t="n">
        <v>22.01</v>
      </c>
      <c r="L3320" s="43" t="n">
        <f aca="false">K3320*'Chart of Accounts'!$E$68</f>
        <v>14.7467</v>
      </c>
      <c r="O3320" s="42" t="n">
        <f aca="false">I3320+J3320+L3320</f>
        <v>153.6401</v>
      </c>
    </row>
    <row r="3321" customFormat="false" ht="15" hidden="false" customHeight="false" outlineLevel="0" collapsed="false">
      <c r="B3321" s="7" t="s">
        <v>11954</v>
      </c>
      <c r="C3321" s="39" t="n">
        <v>45866</v>
      </c>
      <c r="D3321" s="7" t="s">
        <v>218</v>
      </c>
      <c r="E3321" s="7" t="s">
        <v>180</v>
      </c>
      <c r="F3321" s="6" t="n">
        <v>7.81</v>
      </c>
      <c r="G3321" s="6" t="n">
        <v>0</v>
      </c>
      <c r="H3321" s="41" t="n">
        <v>16.19</v>
      </c>
      <c r="I3321" s="43" t="n">
        <f aca="false">F3321*H3321</f>
        <v>126.4439</v>
      </c>
      <c r="J3321" s="43" t="n">
        <f aca="false">G3321*H3321*1.5</f>
        <v>0</v>
      </c>
      <c r="K3321" s="6" t="n">
        <v>25.78</v>
      </c>
      <c r="L3321" s="43" t="n">
        <f aca="false">K3321*'Chart of Accounts'!$E$68</f>
        <v>17.2726</v>
      </c>
      <c r="O3321" s="42" t="n">
        <f aca="false">I3321+J3321+L3321</f>
        <v>143.7165</v>
      </c>
    </row>
    <row r="3322" customFormat="false" ht="15" hidden="false" customHeight="false" outlineLevel="0" collapsed="false">
      <c r="B3322" s="7" t="s">
        <v>11955</v>
      </c>
      <c r="C3322" s="39" t="n">
        <v>45866</v>
      </c>
      <c r="D3322" s="7" t="s">
        <v>254</v>
      </c>
      <c r="E3322" s="7" t="s">
        <v>180</v>
      </c>
      <c r="F3322" s="6" t="n">
        <v>10.273</v>
      </c>
      <c r="G3322" s="6" t="n">
        <v>0.067</v>
      </c>
      <c r="H3322" s="41" t="n">
        <v>17.1</v>
      </c>
      <c r="I3322" s="43" t="n">
        <f aca="false">F3322*H3322</f>
        <v>175.6683</v>
      </c>
      <c r="J3322" s="43" t="n">
        <f aca="false">G3322*H3322*1.5</f>
        <v>1.71855</v>
      </c>
      <c r="K3322" s="6" t="n">
        <v>35.4</v>
      </c>
      <c r="L3322" s="43" t="n">
        <f aca="false">K3322*'Chart of Accounts'!$E$68</f>
        <v>23.718</v>
      </c>
      <c r="O3322" s="42" t="n">
        <f aca="false">I3322+J3322+L3322</f>
        <v>201.10485</v>
      </c>
    </row>
    <row r="3323" customFormat="false" ht="15" hidden="false" customHeight="false" outlineLevel="0" collapsed="false">
      <c r="B3323" s="7" t="s">
        <v>11956</v>
      </c>
      <c r="C3323" s="39" t="n">
        <v>45866</v>
      </c>
      <c r="D3323" s="7" t="s">
        <v>220</v>
      </c>
      <c r="E3323" s="7" t="s">
        <v>180</v>
      </c>
      <c r="F3323" s="6" t="n">
        <v>3.6</v>
      </c>
      <c r="G3323" s="6" t="n">
        <v>0</v>
      </c>
      <c r="H3323" s="41" t="n">
        <v>16.43</v>
      </c>
      <c r="I3323" s="43" t="n">
        <f aca="false">F3323*H3323</f>
        <v>59.148</v>
      </c>
      <c r="J3323" s="43" t="n">
        <f aca="false">G3323*H3323*1.5</f>
        <v>0</v>
      </c>
      <c r="K3323" s="6" t="n">
        <v>9.84</v>
      </c>
      <c r="L3323" s="43" t="n">
        <f aca="false">K3323*'Chart of Accounts'!$E$68</f>
        <v>6.5928</v>
      </c>
      <c r="O3323" s="42" t="n">
        <f aca="false">I3323+J3323+L3323</f>
        <v>65.7408</v>
      </c>
    </row>
    <row r="3324" customFormat="false" ht="15" hidden="false" customHeight="false" outlineLevel="0" collapsed="false">
      <c r="B3324" s="7" t="s">
        <v>11957</v>
      </c>
      <c r="C3324" s="39" t="n">
        <v>45866</v>
      </c>
      <c r="D3324" s="7" t="s">
        <v>224</v>
      </c>
      <c r="E3324" s="7" t="s">
        <v>180</v>
      </c>
      <c r="F3324" s="6" t="n">
        <v>8.66</v>
      </c>
      <c r="G3324" s="6" t="n">
        <v>0</v>
      </c>
      <c r="H3324" s="41" t="n">
        <v>14.93</v>
      </c>
      <c r="I3324" s="43" t="n">
        <f aca="false">F3324*H3324</f>
        <v>129.2938</v>
      </c>
      <c r="J3324" s="43" t="n">
        <f aca="false">G3324*H3324*1.5</f>
        <v>0</v>
      </c>
      <c r="K3324" s="6" t="n">
        <v>19.18</v>
      </c>
      <c r="L3324" s="43" t="n">
        <f aca="false">K3324*'Chart of Accounts'!$E$68</f>
        <v>12.8506</v>
      </c>
      <c r="O3324" s="42" t="n">
        <f aca="false">I3324+J3324+L3324</f>
        <v>142.1444</v>
      </c>
    </row>
    <row r="3325" customFormat="false" ht="15" hidden="false" customHeight="false" outlineLevel="0" collapsed="false">
      <c r="B3325" s="7" t="s">
        <v>11958</v>
      </c>
      <c r="C3325" s="39" t="n">
        <v>45866</v>
      </c>
      <c r="D3325" s="7" t="s">
        <v>177</v>
      </c>
      <c r="E3325" s="7" t="s">
        <v>180</v>
      </c>
      <c r="F3325" s="6" t="n">
        <v>8.29</v>
      </c>
      <c r="G3325" s="6" t="n">
        <v>0</v>
      </c>
      <c r="H3325" s="41" t="n">
        <v>14.56</v>
      </c>
      <c r="I3325" s="43" t="n">
        <f aca="false">F3325*H3325</f>
        <v>120.7024</v>
      </c>
      <c r="J3325" s="43" t="n">
        <f aca="false">G3325*H3325*1.5</f>
        <v>0</v>
      </c>
      <c r="K3325" s="6" t="n">
        <v>29.43</v>
      </c>
      <c r="L3325" s="43" t="n">
        <f aca="false">K3325*'Chart of Accounts'!$E$68</f>
        <v>19.7181</v>
      </c>
      <c r="O3325" s="42" t="n">
        <f aca="false">I3325+J3325+L3325</f>
        <v>140.4205</v>
      </c>
    </row>
    <row r="3326" customFormat="false" ht="15" hidden="false" customHeight="false" outlineLevel="0" collapsed="false">
      <c r="B3326" s="7" t="s">
        <v>11959</v>
      </c>
      <c r="C3326" s="39" t="n">
        <v>45866</v>
      </c>
      <c r="D3326" s="7" t="s">
        <v>232</v>
      </c>
      <c r="E3326" s="7" t="s">
        <v>180</v>
      </c>
      <c r="F3326" s="6" t="n">
        <v>11.02</v>
      </c>
      <c r="G3326" s="6" t="n">
        <v>0</v>
      </c>
      <c r="H3326" s="41" t="n">
        <v>16.17</v>
      </c>
      <c r="I3326" s="43" t="n">
        <f aca="false">F3326*H3326</f>
        <v>178.1934</v>
      </c>
      <c r="J3326" s="43" t="n">
        <f aca="false">G3326*H3326*1.5</f>
        <v>0</v>
      </c>
      <c r="K3326" s="6" t="n">
        <v>28.54</v>
      </c>
      <c r="L3326" s="43" t="n">
        <f aca="false">K3326*'Chart of Accounts'!$E$68</f>
        <v>19.1218</v>
      </c>
      <c r="O3326" s="42" t="n">
        <f aca="false">I3326+J3326+L3326</f>
        <v>197.3152</v>
      </c>
    </row>
    <row r="3327" customFormat="false" ht="15" hidden="false" customHeight="false" outlineLevel="0" collapsed="false">
      <c r="B3327" s="7" t="s">
        <v>11960</v>
      </c>
      <c r="C3327" s="39" t="n">
        <v>45866</v>
      </c>
      <c r="D3327" s="7" t="s">
        <v>242</v>
      </c>
      <c r="E3327" s="7" t="s">
        <v>180</v>
      </c>
      <c r="F3327" s="6" t="n">
        <v>7.93</v>
      </c>
      <c r="G3327" s="6" t="n">
        <v>0</v>
      </c>
      <c r="H3327" s="41" t="n">
        <v>17.99</v>
      </c>
      <c r="I3327" s="43" t="n">
        <f aca="false">F3327*H3327</f>
        <v>142.6607</v>
      </c>
      <c r="J3327" s="43" t="n">
        <f aca="false">G3327*H3327*1.5</f>
        <v>0</v>
      </c>
      <c r="K3327" s="6" t="n">
        <v>24.9</v>
      </c>
      <c r="L3327" s="43" t="n">
        <f aca="false">K3327*'Chart of Accounts'!$E$68</f>
        <v>16.683</v>
      </c>
      <c r="O3327" s="42" t="n">
        <f aca="false">I3327+J3327+L3327</f>
        <v>159.3437</v>
      </c>
    </row>
    <row r="3328" customFormat="false" ht="15" hidden="false" customHeight="false" outlineLevel="0" collapsed="false">
      <c r="B3328" s="7" t="s">
        <v>11961</v>
      </c>
      <c r="C3328" s="39" t="n">
        <v>45866</v>
      </c>
      <c r="D3328" s="7" t="s">
        <v>222</v>
      </c>
      <c r="E3328" s="7" t="s">
        <v>180</v>
      </c>
      <c r="F3328" s="6" t="n">
        <v>7.21</v>
      </c>
      <c r="G3328" s="6" t="n">
        <v>0</v>
      </c>
      <c r="H3328" s="41" t="n">
        <v>17.84</v>
      </c>
      <c r="I3328" s="43" t="n">
        <f aca="false">F3328*H3328</f>
        <v>128.6264</v>
      </c>
      <c r="J3328" s="43" t="n">
        <f aca="false">G3328*H3328*1.5</f>
        <v>0</v>
      </c>
      <c r="K3328" s="6" t="n">
        <v>24.92</v>
      </c>
      <c r="L3328" s="43" t="n">
        <f aca="false">K3328*'Chart of Accounts'!$E$68</f>
        <v>16.6964</v>
      </c>
      <c r="O3328" s="42" t="n">
        <f aca="false">I3328+J3328+L3328</f>
        <v>145.3228</v>
      </c>
    </row>
    <row r="3329" customFormat="false" ht="15" hidden="false" customHeight="false" outlineLevel="0" collapsed="false">
      <c r="B3329" s="7" t="s">
        <v>11962</v>
      </c>
      <c r="C3329" s="39" t="n">
        <v>45866</v>
      </c>
      <c r="D3329" s="7" t="s">
        <v>238</v>
      </c>
      <c r="E3329" s="7" t="s">
        <v>180</v>
      </c>
      <c r="F3329" s="6" t="n">
        <v>8.06</v>
      </c>
      <c r="G3329" s="6" t="n">
        <v>0</v>
      </c>
      <c r="H3329" s="41" t="n">
        <v>15.85</v>
      </c>
      <c r="I3329" s="43" t="n">
        <f aca="false">F3329*H3329</f>
        <v>127.751</v>
      </c>
      <c r="J3329" s="43" t="n">
        <f aca="false">G3329*H3329*1.5</f>
        <v>0</v>
      </c>
      <c r="K3329" s="6" t="n">
        <v>26.15</v>
      </c>
      <c r="L3329" s="43" t="n">
        <f aca="false">K3329*'Chart of Accounts'!$E$68</f>
        <v>17.5205</v>
      </c>
      <c r="O3329" s="42" t="n">
        <f aca="false">I3329+J3329+L3329</f>
        <v>145.2715</v>
      </c>
    </row>
    <row r="3330" customFormat="false" ht="15" hidden="false" customHeight="false" outlineLevel="0" collapsed="false">
      <c r="B3330" s="7" t="s">
        <v>11963</v>
      </c>
      <c r="C3330" s="39" t="n">
        <v>45866</v>
      </c>
      <c r="D3330" s="7" t="s">
        <v>246</v>
      </c>
      <c r="E3330" s="7" t="s">
        <v>180</v>
      </c>
      <c r="F3330" s="6" t="n">
        <v>8.02</v>
      </c>
      <c r="G3330" s="6" t="n">
        <v>0</v>
      </c>
      <c r="H3330" s="41" t="n">
        <v>16.48</v>
      </c>
      <c r="I3330" s="43" t="n">
        <f aca="false">F3330*H3330</f>
        <v>132.1696</v>
      </c>
      <c r="J3330" s="43" t="n">
        <f aca="false">G3330*H3330*1.5</f>
        <v>0</v>
      </c>
      <c r="K3330" s="6" t="n">
        <v>22.49</v>
      </c>
      <c r="L3330" s="43" t="n">
        <f aca="false">K3330*'Chart of Accounts'!$E$68</f>
        <v>15.0683</v>
      </c>
      <c r="O3330" s="42" t="n">
        <f aca="false">I3330+J3330+L3330</f>
        <v>147.2379</v>
      </c>
    </row>
    <row r="3331" customFormat="false" ht="15" hidden="false" customHeight="false" outlineLevel="0" collapsed="false">
      <c r="B3331" s="7" t="s">
        <v>11964</v>
      </c>
      <c r="C3331" s="39" t="n">
        <v>45866</v>
      </c>
      <c r="D3331" s="7" t="s">
        <v>214</v>
      </c>
      <c r="E3331" s="7" t="s">
        <v>180</v>
      </c>
      <c r="F3331" s="6" t="n">
        <v>7.38</v>
      </c>
      <c r="G3331" s="6" t="n">
        <v>0</v>
      </c>
      <c r="H3331" s="41" t="n">
        <v>15.67</v>
      </c>
      <c r="I3331" s="43" t="n">
        <f aca="false">F3331*H3331</f>
        <v>115.6446</v>
      </c>
      <c r="J3331" s="43" t="n">
        <f aca="false">G3331*H3331*1.5</f>
        <v>0</v>
      </c>
      <c r="K3331" s="6" t="n">
        <v>23.94</v>
      </c>
      <c r="L3331" s="43" t="n">
        <f aca="false">K3331*'Chart of Accounts'!$E$68</f>
        <v>16.0398</v>
      </c>
      <c r="O3331" s="42" t="n">
        <f aca="false">I3331+J3331+L3331</f>
        <v>131.6844</v>
      </c>
    </row>
    <row r="3332" customFormat="false" ht="15" hidden="false" customHeight="false" outlineLevel="0" collapsed="false">
      <c r="B3332" s="7" t="s">
        <v>11965</v>
      </c>
      <c r="C3332" s="39" t="n">
        <v>45867</v>
      </c>
      <c r="D3332" s="7" t="s">
        <v>201</v>
      </c>
      <c r="E3332" s="7" t="s">
        <v>180</v>
      </c>
      <c r="F3332" s="6" t="n">
        <v>3.95</v>
      </c>
      <c r="G3332" s="6" t="n">
        <v>0</v>
      </c>
      <c r="H3332" s="41" t="n">
        <v>15.19</v>
      </c>
      <c r="I3332" s="43" t="n">
        <f aca="false">F3332*H3332</f>
        <v>60.0005</v>
      </c>
      <c r="J3332" s="43" t="n">
        <f aca="false">G3332*H3332*1.5</f>
        <v>0</v>
      </c>
      <c r="K3332" s="6" t="n">
        <v>9.84</v>
      </c>
      <c r="L3332" s="43" t="n">
        <f aca="false">K3332*'Chart of Accounts'!$E$68</f>
        <v>6.5928</v>
      </c>
      <c r="O3332" s="42" t="n">
        <f aca="false">I3332+J3332+L3332</f>
        <v>66.5933</v>
      </c>
    </row>
    <row r="3333" customFormat="false" ht="15" hidden="false" customHeight="false" outlineLevel="0" collapsed="false">
      <c r="B3333" s="7" t="s">
        <v>11966</v>
      </c>
      <c r="C3333" s="39" t="n">
        <v>45867</v>
      </c>
      <c r="D3333" s="7" t="s">
        <v>209</v>
      </c>
      <c r="E3333" s="7" t="s">
        <v>158</v>
      </c>
      <c r="H3333" s="41" t="n">
        <v>73.58</v>
      </c>
      <c r="M3333" s="6" t="n">
        <v>2</v>
      </c>
      <c r="N3333" s="43" t="n">
        <f aca="false">M3333*H3333</f>
        <v>147.16</v>
      </c>
      <c r="O3333" s="42" t="n">
        <f aca="false">N3333</f>
        <v>147.16</v>
      </c>
    </row>
    <row r="3334" customFormat="false" ht="15" hidden="false" customHeight="false" outlineLevel="0" collapsed="false">
      <c r="B3334" s="7" t="s">
        <v>11967</v>
      </c>
      <c r="C3334" s="39" t="n">
        <v>45867</v>
      </c>
      <c r="D3334" s="7" t="s">
        <v>184</v>
      </c>
      <c r="E3334" s="7" t="s">
        <v>180</v>
      </c>
      <c r="F3334" s="6" t="n">
        <v>4.23</v>
      </c>
      <c r="G3334" s="6" t="n">
        <v>0</v>
      </c>
      <c r="H3334" s="41" t="n">
        <v>17.34</v>
      </c>
      <c r="I3334" s="43" t="n">
        <f aca="false">F3334*H3334</f>
        <v>73.3482</v>
      </c>
      <c r="J3334" s="43" t="n">
        <f aca="false">G3334*H3334*1.5</f>
        <v>0</v>
      </c>
      <c r="K3334" s="6" t="n">
        <v>13.52</v>
      </c>
      <c r="L3334" s="43" t="n">
        <f aca="false">K3334*'Chart of Accounts'!$E$68</f>
        <v>9.0584</v>
      </c>
      <c r="O3334" s="42" t="n">
        <f aca="false">I3334+J3334+L3334</f>
        <v>82.4066</v>
      </c>
    </row>
    <row r="3335" customFormat="false" ht="15" hidden="false" customHeight="false" outlineLevel="0" collapsed="false">
      <c r="B3335" s="7" t="s">
        <v>11968</v>
      </c>
      <c r="C3335" s="39" t="n">
        <v>45867</v>
      </c>
      <c r="D3335" s="7" t="s">
        <v>234</v>
      </c>
      <c r="E3335" s="7" t="s">
        <v>158</v>
      </c>
      <c r="H3335" s="41" t="n">
        <v>89.53</v>
      </c>
      <c r="M3335" s="6" t="n">
        <v>2</v>
      </c>
      <c r="N3335" s="43" t="n">
        <f aca="false">M3335*H3335</f>
        <v>179.06</v>
      </c>
      <c r="O3335" s="42" t="n">
        <f aca="false">N3335</f>
        <v>179.06</v>
      </c>
    </row>
    <row r="3336" customFormat="false" ht="15" hidden="false" customHeight="false" outlineLevel="0" collapsed="false">
      <c r="B3336" s="7" t="s">
        <v>11969</v>
      </c>
      <c r="C3336" s="39" t="n">
        <v>45867</v>
      </c>
      <c r="D3336" s="7" t="s">
        <v>218</v>
      </c>
      <c r="E3336" s="7" t="s">
        <v>180</v>
      </c>
      <c r="F3336" s="6" t="n">
        <v>3.78</v>
      </c>
      <c r="G3336" s="6" t="n">
        <v>0</v>
      </c>
      <c r="H3336" s="41" t="n">
        <v>16.19</v>
      </c>
      <c r="I3336" s="43" t="n">
        <f aca="false">F3336*H3336</f>
        <v>61.1982</v>
      </c>
      <c r="J3336" s="43" t="n">
        <f aca="false">G3336*H3336*1.5</f>
        <v>0</v>
      </c>
      <c r="K3336" s="6" t="n">
        <v>11.62</v>
      </c>
      <c r="L3336" s="43" t="n">
        <f aca="false">K3336*'Chart of Accounts'!$E$68</f>
        <v>7.7854</v>
      </c>
      <c r="O3336" s="42" t="n">
        <f aca="false">I3336+J3336+L3336</f>
        <v>68.9836</v>
      </c>
    </row>
    <row r="3337" customFormat="false" ht="15" hidden="false" customHeight="false" outlineLevel="0" collapsed="false">
      <c r="B3337" s="7" t="s">
        <v>11970</v>
      </c>
      <c r="C3337" s="39" t="n">
        <v>45867</v>
      </c>
      <c r="D3337" s="7" t="s">
        <v>266</v>
      </c>
      <c r="E3337" s="7" t="s">
        <v>158</v>
      </c>
      <c r="H3337" s="41" t="n">
        <v>75.18</v>
      </c>
      <c r="M3337" s="6" t="n">
        <v>1</v>
      </c>
      <c r="N3337" s="43" t="n">
        <f aca="false">M3337*H3337</f>
        <v>75.18</v>
      </c>
      <c r="O3337" s="42" t="n">
        <f aca="false">N3337</f>
        <v>75.18</v>
      </c>
    </row>
    <row r="3338" customFormat="false" ht="15" hidden="false" customHeight="false" outlineLevel="0" collapsed="false">
      <c r="B3338" s="7" t="s">
        <v>11971</v>
      </c>
      <c r="C3338" s="39" t="n">
        <v>45867</v>
      </c>
      <c r="D3338" s="7" t="s">
        <v>228</v>
      </c>
      <c r="E3338" s="7" t="s">
        <v>158</v>
      </c>
      <c r="H3338" s="41" t="n">
        <v>51.07</v>
      </c>
      <c r="M3338" s="6" t="n">
        <v>1</v>
      </c>
      <c r="N3338" s="43" t="n">
        <f aca="false">M3338*H3338</f>
        <v>51.07</v>
      </c>
      <c r="O3338" s="42" t="n">
        <f aca="false">N3338</f>
        <v>51.07</v>
      </c>
    </row>
    <row r="3339" customFormat="false" ht="15" hidden="false" customHeight="false" outlineLevel="0" collapsed="false">
      <c r="B3339" s="7" t="s">
        <v>11972</v>
      </c>
      <c r="C3339" s="39" t="n">
        <v>45867</v>
      </c>
      <c r="D3339" s="7" t="s">
        <v>220</v>
      </c>
      <c r="E3339" s="7" t="s">
        <v>180</v>
      </c>
      <c r="F3339" s="6" t="n">
        <v>3.91</v>
      </c>
      <c r="G3339" s="6" t="n">
        <v>0</v>
      </c>
      <c r="H3339" s="41" t="n">
        <v>16.43</v>
      </c>
      <c r="I3339" s="43" t="n">
        <f aca="false">F3339*H3339</f>
        <v>64.2413</v>
      </c>
      <c r="J3339" s="43" t="n">
        <f aca="false">G3339*H3339*1.5</f>
        <v>0</v>
      </c>
      <c r="K3339" s="6" t="n">
        <v>8.99</v>
      </c>
      <c r="L3339" s="43" t="n">
        <f aca="false">K3339*'Chart of Accounts'!$E$68</f>
        <v>6.0233</v>
      </c>
      <c r="O3339" s="42" t="n">
        <f aca="false">I3339+J3339+L3339</f>
        <v>70.2646</v>
      </c>
    </row>
    <row r="3340" customFormat="false" ht="15" hidden="false" customHeight="false" outlineLevel="0" collapsed="false">
      <c r="B3340" s="7" t="s">
        <v>11973</v>
      </c>
      <c r="C3340" s="39" t="n">
        <v>45867</v>
      </c>
      <c r="D3340" s="7" t="s">
        <v>238</v>
      </c>
      <c r="E3340" s="7" t="s">
        <v>180</v>
      </c>
      <c r="F3340" s="6" t="n">
        <v>3.99</v>
      </c>
      <c r="G3340" s="6" t="n">
        <v>0</v>
      </c>
      <c r="H3340" s="41" t="n">
        <v>15.85</v>
      </c>
      <c r="I3340" s="43" t="n">
        <f aca="false">F3340*H3340</f>
        <v>63.2415</v>
      </c>
      <c r="J3340" s="43" t="n">
        <f aca="false">G3340*H3340*1.5</f>
        <v>0</v>
      </c>
      <c r="K3340" s="6" t="n">
        <v>12.63</v>
      </c>
      <c r="L3340" s="43" t="n">
        <f aca="false">K3340*'Chart of Accounts'!$E$68</f>
        <v>8.4621</v>
      </c>
      <c r="O3340" s="42" t="n">
        <f aca="false">I3340+J3340+L3340</f>
        <v>71.7036</v>
      </c>
    </row>
    <row r="3341" customFormat="false" ht="15" hidden="false" customHeight="false" outlineLevel="0" collapsed="false">
      <c r="B3341" s="7" t="s">
        <v>11974</v>
      </c>
      <c r="C3341" s="39" t="n">
        <v>45867</v>
      </c>
      <c r="D3341" s="7" t="s">
        <v>194</v>
      </c>
      <c r="E3341" s="7" t="s">
        <v>180</v>
      </c>
      <c r="F3341" s="6" t="n">
        <v>4.4</v>
      </c>
      <c r="G3341" s="6" t="n">
        <v>0</v>
      </c>
      <c r="H3341" s="41" t="n">
        <v>16</v>
      </c>
      <c r="I3341" s="43" t="n">
        <f aca="false">F3341*H3341</f>
        <v>70.4</v>
      </c>
      <c r="J3341" s="43" t="n">
        <f aca="false">G3341*H3341*1.5</f>
        <v>0</v>
      </c>
      <c r="K3341" s="6" t="n">
        <v>11.43</v>
      </c>
      <c r="L3341" s="43" t="n">
        <f aca="false">K3341*'Chart of Accounts'!$E$68</f>
        <v>7.6581</v>
      </c>
      <c r="O3341" s="42" t="n">
        <f aca="false">I3341+J3341+L3341</f>
        <v>78.0581</v>
      </c>
    </row>
    <row r="3342" customFormat="false" ht="15" hidden="false" customHeight="false" outlineLevel="0" collapsed="false">
      <c r="B3342" s="7" t="s">
        <v>11975</v>
      </c>
      <c r="C3342" s="39" t="n">
        <v>45867</v>
      </c>
      <c r="D3342" s="7" t="s">
        <v>258</v>
      </c>
      <c r="E3342" s="7" t="s">
        <v>158</v>
      </c>
      <c r="H3342" s="41" t="n">
        <v>61.61</v>
      </c>
      <c r="M3342" s="6" t="n">
        <v>1</v>
      </c>
      <c r="N3342" s="43" t="n">
        <f aca="false">M3342*H3342</f>
        <v>61.61</v>
      </c>
      <c r="O3342" s="42" t="n">
        <f aca="false">N3342</f>
        <v>61.61</v>
      </c>
    </row>
    <row r="3343" customFormat="false" ht="15" hidden="false" customHeight="false" outlineLevel="0" collapsed="false">
      <c r="B3343" s="7" t="s">
        <v>11976</v>
      </c>
      <c r="C3343" s="39" t="n">
        <v>45867</v>
      </c>
      <c r="D3343" s="7" t="s">
        <v>230</v>
      </c>
      <c r="E3343" s="7" t="s">
        <v>158</v>
      </c>
      <c r="H3343" s="41" t="n">
        <v>48.78</v>
      </c>
      <c r="M3343" s="6" t="n">
        <v>1</v>
      </c>
      <c r="N3343" s="43" t="n">
        <f aca="false">M3343*H3343</f>
        <v>48.78</v>
      </c>
      <c r="O3343" s="42" t="n">
        <f aca="false">N3343</f>
        <v>48.78</v>
      </c>
    </row>
    <row r="3344" customFormat="false" ht="15" hidden="false" customHeight="false" outlineLevel="0" collapsed="false">
      <c r="B3344" s="7" t="s">
        <v>11977</v>
      </c>
      <c r="C3344" s="39" t="n">
        <v>45867</v>
      </c>
      <c r="D3344" s="7" t="s">
        <v>196</v>
      </c>
      <c r="E3344" s="7" t="s">
        <v>180</v>
      </c>
      <c r="F3344" s="6" t="n">
        <v>4.027</v>
      </c>
      <c r="G3344" s="6" t="n">
        <v>0.303</v>
      </c>
      <c r="H3344" s="41" t="n">
        <v>15.05</v>
      </c>
      <c r="I3344" s="43" t="n">
        <f aca="false">F3344*H3344</f>
        <v>60.60635</v>
      </c>
      <c r="J3344" s="43" t="n">
        <f aca="false">G3344*H3344*1.5</f>
        <v>6.840225</v>
      </c>
      <c r="K3344" s="6" t="n">
        <v>13.18</v>
      </c>
      <c r="L3344" s="43" t="n">
        <f aca="false">K3344*'Chart of Accounts'!$E$68</f>
        <v>8.8306</v>
      </c>
      <c r="O3344" s="42" t="n">
        <f aca="false">I3344+J3344+L3344</f>
        <v>76.277175</v>
      </c>
    </row>
    <row r="3345" customFormat="false" ht="15" hidden="false" customHeight="false" outlineLevel="0" collapsed="false">
      <c r="B3345" s="7" t="s">
        <v>11978</v>
      </c>
      <c r="C3345" s="39" t="n">
        <v>45867</v>
      </c>
      <c r="D3345" s="7" t="s">
        <v>246</v>
      </c>
      <c r="E3345" s="7" t="s">
        <v>180</v>
      </c>
      <c r="F3345" s="6" t="n">
        <v>3.64</v>
      </c>
      <c r="G3345" s="6" t="n">
        <v>0</v>
      </c>
      <c r="H3345" s="41" t="n">
        <v>16.48</v>
      </c>
      <c r="I3345" s="43" t="n">
        <f aca="false">F3345*H3345</f>
        <v>59.9872</v>
      </c>
      <c r="J3345" s="43" t="n">
        <f aca="false">G3345*H3345*1.5</f>
        <v>0</v>
      </c>
      <c r="K3345" s="6" t="n">
        <v>9.8</v>
      </c>
      <c r="L3345" s="43" t="n">
        <f aca="false">K3345*'Chart of Accounts'!$E$68</f>
        <v>6.566</v>
      </c>
      <c r="O3345" s="42" t="n">
        <f aca="false">I3345+J3345+L3345</f>
        <v>66.5532</v>
      </c>
    </row>
    <row r="3346" customFormat="false" ht="15" hidden="false" customHeight="false" outlineLevel="0" collapsed="false">
      <c r="B3346" s="7" t="s">
        <v>11979</v>
      </c>
      <c r="C3346" s="39" t="n">
        <v>45867</v>
      </c>
      <c r="D3346" s="7" t="s">
        <v>222</v>
      </c>
      <c r="E3346" s="7" t="s">
        <v>180</v>
      </c>
      <c r="F3346" s="6" t="n">
        <v>3.96</v>
      </c>
      <c r="G3346" s="6" t="n">
        <v>0</v>
      </c>
      <c r="H3346" s="41" t="n">
        <v>17.84</v>
      </c>
      <c r="I3346" s="43" t="n">
        <f aca="false">F3346*H3346</f>
        <v>70.6464</v>
      </c>
      <c r="J3346" s="43" t="n">
        <f aca="false">G3346*H3346*1.5</f>
        <v>0</v>
      </c>
      <c r="K3346" s="6" t="n">
        <v>11.29</v>
      </c>
      <c r="L3346" s="43" t="n">
        <f aca="false">K3346*'Chart of Accounts'!$E$68</f>
        <v>7.5643</v>
      </c>
      <c r="O3346" s="42" t="n">
        <f aca="false">I3346+J3346+L3346</f>
        <v>78.2107</v>
      </c>
    </row>
    <row r="3347" customFormat="false" ht="15" hidden="false" customHeight="false" outlineLevel="0" collapsed="false">
      <c r="B3347" s="7" t="s">
        <v>11980</v>
      </c>
      <c r="C3347" s="39" t="n">
        <v>45867</v>
      </c>
      <c r="D3347" s="7" t="s">
        <v>242</v>
      </c>
      <c r="E3347" s="7" t="s">
        <v>180</v>
      </c>
      <c r="F3347" s="6" t="n">
        <v>3.82</v>
      </c>
      <c r="G3347" s="6" t="n">
        <v>0</v>
      </c>
      <c r="H3347" s="41" t="n">
        <v>17.99</v>
      </c>
      <c r="I3347" s="43" t="n">
        <f aca="false">F3347*H3347</f>
        <v>68.7218</v>
      </c>
      <c r="J3347" s="43" t="n">
        <f aca="false">G3347*H3347*1.5</f>
        <v>0</v>
      </c>
      <c r="K3347" s="6" t="n">
        <v>12.09</v>
      </c>
      <c r="L3347" s="43" t="n">
        <f aca="false">K3347*'Chart of Accounts'!$E$68</f>
        <v>8.1003</v>
      </c>
      <c r="O3347" s="42" t="n">
        <f aca="false">I3347+J3347+L3347</f>
        <v>76.8221</v>
      </c>
    </row>
    <row r="3348" customFormat="false" ht="15" hidden="false" customHeight="false" outlineLevel="0" collapsed="false">
      <c r="B3348" s="7" t="s">
        <v>11981</v>
      </c>
      <c r="C3348" s="39" t="n">
        <v>45867</v>
      </c>
      <c r="D3348" s="7" t="s">
        <v>203</v>
      </c>
      <c r="E3348" s="7" t="s">
        <v>158</v>
      </c>
      <c r="H3348" s="41" t="n">
        <v>49.43</v>
      </c>
      <c r="M3348" s="6" t="n">
        <v>1</v>
      </c>
      <c r="N3348" s="43" t="n">
        <f aca="false">M3348*H3348</f>
        <v>49.43</v>
      </c>
      <c r="O3348" s="42" t="n">
        <f aca="false">N3348</f>
        <v>49.43</v>
      </c>
    </row>
    <row r="3349" customFormat="false" ht="15" hidden="false" customHeight="false" outlineLevel="0" collapsed="false">
      <c r="B3349" s="7" t="s">
        <v>11982</v>
      </c>
      <c r="C3349" s="39" t="n">
        <v>45867</v>
      </c>
      <c r="D3349" s="7" t="s">
        <v>254</v>
      </c>
      <c r="E3349" s="7" t="s">
        <v>180</v>
      </c>
      <c r="F3349" s="6" t="n">
        <v>3.646</v>
      </c>
      <c r="G3349" s="6" t="n">
        <v>0.024</v>
      </c>
      <c r="H3349" s="41" t="n">
        <v>17.1</v>
      </c>
      <c r="I3349" s="43" t="n">
        <f aca="false">F3349*H3349</f>
        <v>62.3466</v>
      </c>
      <c r="J3349" s="43" t="n">
        <f aca="false">G3349*H3349*1.5</f>
        <v>0.6156</v>
      </c>
      <c r="K3349" s="6" t="n">
        <v>8.22</v>
      </c>
      <c r="L3349" s="43" t="n">
        <f aca="false">K3349*'Chart of Accounts'!$E$68</f>
        <v>5.5074</v>
      </c>
      <c r="O3349" s="42" t="n">
        <f aca="false">I3349+J3349+L3349</f>
        <v>68.4696</v>
      </c>
    </row>
    <row r="3350" customFormat="false" ht="15" hidden="false" customHeight="false" outlineLevel="0" collapsed="false">
      <c r="B3350" s="7" t="s">
        <v>11983</v>
      </c>
      <c r="C3350" s="39" t="n">
        <v>45867</v>
      </c>
      <c r="D3350" s="7" t="s">
        <v>260</v>
      </c>
      <c r="E3350" s="7" t="s">
        <v>158</v>
      </c>
      <c r="H3350" s="41" t="n">
        <v>79.8</v>
      </c>
      <c r="M3350" s="6" t="n">
        <v>1</v>
      </c>
      <c r="N3350" s="43" t="n">
        <f aca="false">M3350*H3350</f>
        <v>79.8</v>
      </c>
      <c r="O3350" s="42" t="n">
        <f aca="false">N3350</f>
        <v>79.8</v>
      </c>
    </row>
    <row r="3351" customFormat="false" ht="15" hidden="false" customHeight="false" outlineLevel="0" collapsed="false">
      <c r="B3351" s="7" t="s">
        <v>11984</v>
      </c>
      <c r="C3351" s="39" t="n">
        <v>45868</v>
      </c>
      <c r="D3351" s="7" t="s">
        <v>187</v>
      </c>
      <c r="E3351" s="7" t="s">
        <v>158</v>
      </c>
      <c r="H3351" s="41" t="n">
        <v>66.48</v>
      </c>
      <c r="M3351" s="6" t="n">
        <v>1</v>
      </c>
      <c r="N3351" s="43" t="n">
        <f aca="false">M3351*H3351</f>
        <v>66.48</v>
      </c>
      <c r="O3351" s="42" t="n">
        <f aca="false">N3351</f>
        <v>66.48</v>
      </c>
    </row>
    <row r="3352" customFormat="false" ht="15" hidden="false" customHeight="false" outlineLevel="0" collapsed="false">
      <c r="B3352" s="7" t="s">
        <v>11985</v>
      </c>
      <c r="C3352" s="39" t="n">
        <v>45868</v>
      </c>
      <c r="D3352" s="7" t="s">
        <v>207</v>
      </c>
      <c r="E3352" s="7" t="s">
        <v>180</v>
      </c>
      <c r="F3352" s="6" t="n">
        <v>7.67</v>
      </c>
      <c r="G3352" s="6" t="n">
        <v>0</v>
      </c>
      <c r="H3352" s="41" t="n">
        <v>16.65</v>
      </c>
      <c r="I3352" s="43" t="n">
        <f aca="false">F3352*H3352</f>
        <v>127.7055</v>
      </c>
      <c r="J3352" s="43" t="n">
        <f aca="false">G3352*H3352*1.5</f>
        <v>0</v>
      </c>
      <c r="K3352" s="6" t="n">
        <v>23.95</v>
      </c>
      <c r="L3352" s="43" t="n">
        <f aca="false">K3352*'Chart of Accounts'!$E$68</f>
        <v>16.0465</v>
      </c>
      <c r="O3352" s="42" t="n">
        <f aca="false">I3352+J3352+L3352</f>
        <v>143.752</v>
      </c>
    </row>
    <row r="3353" customFormat="false" ht="15" hidden="false" customHeight="false" outlineLevel="0" collapsed="false">
      <c r="B3353" s="7" t="s">
        <v>11986</v>
      </c>
      <c r="C3353" s="39" t="n">
        <v>45868</v>
      </c>
      <c r="D3353" s="7" t="s">
        <v>194</v>
      </c>
      <c r="E3353" s="7" t="s">
        <v>180</v>
      </c>
      <c r="F3353" s="6" t="n">
        <v>8.39</v>
      </c>
      <c r="G3353" s="6" t="n">
        <v>0</v>
      </c>
      <c r="H3353" s="41" t="n">
        <v>16</v>
      </c>
      <c r="I3353" s="43" t="n">
        <f aca="false">F3353*H3353</f>
        <v>134.24</v>
      </c>
      <c r="J3353" s="43" t="n">
        <f aca="false">G3353*H3353*1.5</f>
        <v>0</v>
      </c>
      <c r="K3353" s="6" t="n">
        <v>23.43</v>
      </c>
      <c r="L3353" s="43" t="n">
        <f aca="false">K3353*'Chart of Accounts'!$E$68</f>
        <v>15.6981</v>
      </c>
      <c r="O3353" s="42" t="n">
        <f aca="false">I3353+J3353+L3353</f>
        <v>149.9381</v>
      </c>
    </row>
    <row r="3354" customFormat="false" ht="15" hidden="false" customHeight="false" outlineLevel="0" collapsed="false">
      <c r="B3354" s="7" t="s">
        <v>11987</v>
      </c>
      <c r="C3354" s="39" t="n">
        <v>45868</v>
      </c>
      <c r="D3354" s="7" t="s">
        <v>205</v>
      </c>
      <c r="E3354" s="7" t="s">
        <v>180</v>
      </c>
      <c r="F3354" s="6" t="n">
        <v>4.23</v>
      </c>
      <c r="G3354" s="6" t="n">
        <v>0</v>
      </c>
      <c r="H3354" s="41" t="n">
        <v>16.36</v>
      </c>
      <c r="I3354" s="43" t="n">
        <f aca="false">F3354*H3354</f>
        <v>69.2028</v>
      </c>
      <c r="J3354" s="43" t="n">
        <f aca="false">G3354*H3354*1.5</f>
        <v>0</v>
      </c>
      <c r="K3354" s="6" t="n">
        <v>10.26</v>
      </c>
      <c r="L3354" s="43" t="n">
        <f aca="false">K3354*'Chart of Accounts'!$E$68</f>
        <v>6.8742</v>
      </c>
      <c r="O3354" s="42" t="n">
        <f aca="false">I3354+J3354+L3354</f>
        <v>76.077</v>
      </c>
    </row>
    <row r="3355" customFormat="false" ht="15" hidden="false" customHeight="false" outlineLevel="0" collapsed="false">
      <c r="B3355" s="7" t="s">
        <v>11988</v>
      </c>
      <c r="C3355" s="39" t="n">
        <v>45868</v>
      </c>
      <c r="D3355" s="7" t="s">
        <v>264</v>
      </c>
      <c r="E3355" s="7" t="s">
        <v>158</v>
      </c>
      <c r="H3355" s="41" t="n">
        <v>55.55</v>
      </c>
      <c r="M3355" s="6" t="n">
        <v>1</v>
      </c>
      <c r="N3355" s="43" t="n">
        <f aca="false">M3355*H3355</f>
        <v>55.55</v>
      </c>
      <c r="O3355" s="42" t="n">
        <f aca="false">N3355</f>
        <v>55.55</v>
      </c>
    </row>
    <row r="3356" customFormat="false" ht="15" hidden="false" customHeight="false" outlineLevel="0" collapsed="false">
      <c r="B3356" s="7" t="s">
        <v>11989</v>
      </c>
      <c r="C3356" s="39" t="n">
        <v>45868</v>
      </c>
      <c r="D3356" s="7" t="s">
        <v>252</v>
      </c>
      <c r="E3356" s="7" t="s">
        <v>158</v>
      </c>
      <c r="H3356" s="41" t="n">
        <v>57.54</v>
      </c>
      <c r="M3356" s="6" t="n">
        <v>1</v>
      </c>
      <c r="N3356" s="43" t="n">
        <f aca="false">M3356*H3356</f>
        <v>57.54</v>
      </c>
      <c r="O3356" s="42" t="n">
        <f aca="false">N3356</f>
        <v>57.54</v>
      </c>
    </row>
    <row r="3357" customFormat="false" ht="15" hidden="false" customHeight="false" outlineLevel="0" collapsed="false">
      <c r="B3357" s="7" t="s">
        <v>11990</v>
      </c>
      <c r="C3357" s="39" t="n">
        <v>45868</v>
      </c>
      <c r="D3357" s="7" t="s">
        <v>184</v>
      </c>
      <c r="E3357" s="7" t="s">
        <v>180</v>
      </c>
      <c r="F3357" s="6" t="n">
        <v>3.86</v>
      </c>
      <c r="G3357" s="6" t="n">
        <v>0</v>
      </c>
      <c r="H3357" s="41" t="n">
        <v>17.34</v>
      </c>
      <c r="I3357" s="43" t="n">
        <f aca="false">F3357*H3357</f>
        <v>66.9324</v>
      </c>
      <c r="J3357" s="43" t="n">
        <f aca="false">G3357*H3357*1.5</f>
        <v>0</v>
      </c>
      <c r="K3357" s="6" t="n">
        <v>12.15</v>
      </c>
      <c r="L3357" s="43" t="n">
        <f aca="false">K3357*'Chart of Accounts'!$E$68</f>
        <v>8.1405</v>
      </c>
      <c r="O3357" s="42" t="n">
        <f aca="false">I3357+J3357+L3357</f>
        <v>75.0729</v>
      </c>
    </row>
    <row r="3358" customFormat="false" ht="15" hidden="false" customHeight="false" outlineLevel="0" collapsed="false">
      <c r="B3358" s="7" t="s">
        <v>11991</v>
      </c>
      <c r="C3358" s="39" t="n">
        <v>45868</v>
      </c>
      <c r="D3358" s="7" t="s">
        <v>218</v>
      </c>
      <c r="E3358" s="7" t="s">
        <v>180</v>
      </c>
      <c r="F3358" s="6" t="n">
        <v>4.25</v>
      </c>
      <c r="G3358" s="6" t="n">
        <v>0</v>
      </c>
      <c r="H3358" s="41" t="n">
        <v>16.19</v>
      </c>
      <c r="I3358" s="43" t="n">
        <f aca="false">F3358*H3358</f>
        <v>68.8075</v>
      </c>
      <c r="J3358" s="43" t="n">
        <f aca="false">G3358*H3358*1.5</f>
        <v>0</v>
      </c>
      <c r="K3358" s="6" t="n">
        <v>10.91</v>
      </c>
      <c r="L3358" s="43" t="n">
        <f aca="false">K3358*'Chart of Accounts'!$E$68</f>
        <v>7.3097</v>
      </c>
      <c r="O3358" s="42" t="n">
        <f aca="false">I3358+J3358+L3358</f>
        <v>76.1172</v>
      </c>
    </row>
    <row r="3359" customFormat="false" ht="15" hidden="false" customHeight="false" outlineLevel="0" collapsed="false">
      <c r="B3359" s="7" t="s">
        <v>11992</v>
      </c>
      <c r="C3359" s="39" t="n">
        <v>45868</v>
      </c>
      <c r="D3359" s="7" t="s">
        <v>220</v>
      </c>
      <c r="E3359" s="7" t="s">
        <v>180</v>
      </c>
      <c r="F3359" s="6" t="n">
        <v>3.92</v>
      </c>
      <c r="G3359" s="6" t="n">
        <v>0</v>
      </c>
      <c r="H3359" s="41" t="n">
        <v>16.43</v>
      </c>
      <c r="I3359" s="43" t="n">
        <f aca="false">F3359*H3359</f>
        <v>64.4056</v>
      </c>
      <c r="J3359" s="43" t="n">
        <f aca="false">G3359*H3359*1.5</f>
        <v>0</v>
      </c>
      <c r="K3359" s="6" t="n">
        <v>10.34</v>
      </c>
      <c r="L3359" s="43" t="n">
        <f aca="false">K3359*'Chart of Accounts'!$E$68</f>
        <v>6.9278</v>
      </c>
      <c r="O3359" s="42" t="n">
        <f aca="false">I3359+J3359+L3359</f>
        <v>71.3334</v>
      </c>
    </row>
    <row r="3360" customFormat="false" ht="15" hidden="false" customHeight="false" outlineLevel="0" collapsed="false">
      <c r="B3360" s="7" t="s">
        <v>11993</v>
      </c>
      <c r="C3360" s="39" t="n">
        <v>45868</v>
      </c>
      <c r="D3360" s="7" t="s">
        <v>177</v>
      </c>
      <c r="E3360" s="7" t="s">
        <v>180</v>
      </c>
      <c r="F3360" s="6" t="n">
        <v>8.92</v>
      </c>
      <c r="G3360" s="6" t="n">
        <v>0</v>
      </c>
      <c r="H3360" s="41" t="n">
        <v>14.56</v>
      </c>
      <c r="I3360" s="43" t="n">
        <f aca="false">F3360*H3360</f>
        <v>129.8752</v>
      </c>
      <c r="J3360" s="43" t="n">
        <f aca="false">G3360*H3360*1.5</f>
        <v>0</v>
      </c>
      <c r="K3360" s="6" t="n">
        <v>30.12</v>
      </c>
      <c r="L3360" s="43" t="n">
        <f aca="false">K3360*'Chart of Accounts'!$E$68</f>
        <v>20.1804</v>
      </c>
      <c r="O3360" s="42" t="n">
        <f aca="false">I3360+J3360+L3360</f>
        <v>150.0556</v>
      </c>
    </row>
    <row r="3361" customFormat="false" ht="15" hidden="false" customHeight="false" outlineLevel="0" collapsed="false">
      <c r="B3361" s="7" t="s">
        <v>11994</v>
      </c>
      <c r="C3361" s="39" t="n">
        <v>45868</v>
      </c>
      <c r="D3361" s="7" t="s">
        <v>242</v>
      </c>
      <c r="E3361" s="7" t="s">
        <v>180</v>
      </c>
      <c r="F3361" s="6" t="n">
        <v>7.46</v>
      </c>
      <c r="G3361" s="6" t="n">
        <v>0</v>
      </c>
      <c r="H3361" s="41" t="n">
        <v>17.99</v>
      </c>
      <c r="I3361" s="43" t="n">
        <f aca="false">F3361*H3361</f>
        <v>134.2054</v>
      </c>
      <c r="J3361" s="43" t="n">
        <f aca="false">G3361*H3361*1.5</f>
        <v>0</v>
      </c>
      <c r="K3361" s="6" t="n">
        <v>23.49</v>
      </c>
      <c r="L3361" s="43" t="n">
        <f aca="false">K3361*'Chart of Accounts'!$E$68</f>
        <v>15.7383</v>
      </c>
      <c r="O3361" s="42" t="n">
        <f aca="false">I3361+J3361+L3361</f>
        <v>149.9437</v>
      </c>
    </row>
    <row r="3362" customFormat="false" ht="15" hidden="false" customHeight="false" outlineLevel="0" collapsed="false">
      <c r="B3362" s="7" t="s">
        <v>11995</v>
      </c>
      <c r="C3362" s="39" t="n">
        <v>45868</v>
      </c>
      <c r="D3362" s="7" t="s">
        <v>238</v>
      </c>
      <c r="E3362" s="7" t="s">
        <v>180</v>
      </c>
      <c r="F3362" s="6" t="n">
        <v>8.91</v>
      </c>
      <c r="G3362" s="6" t="n">
        <v>0</v>
      </c>
      <c r="H3362" s="41" t="n">
        <v>15.85</v>
      </c>
      <c r="I3362" s="43" t="n">
        <f aca="false">F3362*H3362</f>
        <v>141.2235</v>
      </c>
      <c r="J3362" s="43" t="n">
        <f aca="false">G3362*H3362*1.5</f>
        <v>0</v>
      </c>
      <c r="K3362" s="6" t="n">
        <v>23.08</v>
      </c>
      <c r="L3362" s="43" t="n">
        <f aca="false">K3362*'Chart of Accounts'!$E$68</f>
        <v>15.4636</v>
      </c>
      <c r="O3362" s="42" t="n">
        <f aca="false">I3362+J3362+L3362</f>
        <v>156.6871</v>
      </c>
    </row>
    <row r="3363" customFormat="false" ht="15" hidden="false" customHeight="false" outlineLevel="0" collapsed="false">
      <c r="B3363" s="7" t="s">
        <v>11996</v>
      </c>
      <c r="C3363" s="39" t="n">
        <v>45868</v>
      </c>
      <c r="D3363" s="7" t="s">
        <v>254</v>
      </c>
      <c r="E3363" s="7" t="s">
        <v>180</v>
      </c>
      <c r="F3363" s="6" t="n">
        <v>6.905</v>
      </c>
      <c r="G3363" s="6" t="n">
        <v>0.045</v>
      </c>
      <c r="H3363" s="41" t="n">
        <v>17.1</v>
      </c>
      <c r="I3363" s="43" t="n">
        <f aca="false">F3363*H3363</f>
        <v>118.0755</v>
      </c>
      <c r="J3363" s="43" t="n">
        <f aca="false">G3363*H3363*1.5</f>
        <v>1.15425</v>
      </c>
      <c r="K3363" s="6" t="n">
        <v>16.84</v>
      </c>
      <c r="L3363" s="43" t="n">
        <f aca="false">K3363*'Chart of Accounts'!$E$68</f>
        <v>11.2828</v>
      </c>
      <c r="O3363" s="42" t="n">
        <f aca="false">I3363+J3363+L3363</f>
        <v>130.51255</v>
      </c>
    </row>
    <row r="3364" customFormat="false" ht="15" hidden="false" customHeight="false" outlineLevel="0" collapsed="false">
      <c r="B3364" s="7" t="s">
        <v>11997</v>
      </c>
      <c r="C3364" s="39" t="n">
        <v>45868</v>
      </c>
      <c r="D3364" s="7" t="s">
        <v>201</v>
      </c>
      <c r="E3364" s="7" t="s">
        <v>180</v>
      </c>
      <c r="F3364" s="6" t="n">
        <v>7.05</v>
      </c>
      <c r="G3364" s="6" t="n">
        <v>0</v>
      </c>
      <c r="H3364" s="41" t="n">
        <v>15.19</v>
      </c>
      <c r="I3364" s="43" t="n">
        <f aca="false">F3364*H3364</f>
        <v>107.0895</v>
      </c>
      <c r="J3364" s="43" t="n">
        <f aca="false">G3364*H3364*1.5</f>
        <v>0</v>
      </c>
      <c r="K3364" s="6" t="n">
        <v>18.22</v>
      </c>
      <c r="L3364" s="43" t="n">
        <f aca="false">K3364*'Chart of Accounts'!$E$68</f>
        <v>12.2074</v>
      </c>
      <c r="O3364" s="42" t="n">
        <f aca="false">I3364+J3364+L3364</f>
        <v>119.2969</v>
      </c>
    </row>
    <row r="3365" customFormat="false" ht="15" hidden="false" customHeight="false" outlineLevel="0" collapsed="false">
      <c r="B3365" s="7" t="s">
        <v>11998</v>
      </c>
      <c r="C3365" s="39" t="n">
        <v>45868</v>
      </c>
      <c r="D3365" s="7" t="s">
        <v>246</v>
      </c>
      <c r="E3365" s="7" t="s">
        <v>180</v>
      </c>
      <c r="F3365" s="6" t="n">
        <v>7.73</v>
      </c>
      <c r="G3365" s="6" t="n">
        <v>0</v>
      </c>
      <c r="H3365" s="41" t="n">
        <v>16.48</v>
      </c>
      <c r="I3365" s="43" t="n">
        <f aca="false">F3365*H3365</f>
        <v>127.3904</v>
      </c>
      <c r="J3365" s="43" t="n">
        <f aca="false">G3365*H3365*1.5</f>
        <v>0</v>
      </c>
      <c r="K3365" s="6" t="n">
        <v>22.29</v>
      </c>
      <c r="L3365" s="43" t="n">
        <f aca="false">K3365*'Chart of Accounts'!$E$68</f>
        <v>14.9343</v>
      </c>
      <c r="O3365" s="42" t="n">
        <f aca="false">I3365+J3365+L3365</f>
        <v>142.3247</v>
      </c>
    </row>
    <row r="3366" customFormat="false" ht="15" hidden="false" customHeight="false" outlineLevel="0" collapsed="false">
      <c r="B3366" s="7" t="s">
        <v>11999</v>
      </c>
      <c r="C3366" s="39" t="n">
        <v>45868</v>
      </c>
      <c r="D3366" s="7" t="s">
        <v>232</v>
      </c>
      <c r="E3366" s="7" t="s">
        <v>180</v>
      </c>
      <c r="F3366" s="6" t="n">
        <v>4.74</v>
      </c>
      <c r="G3366" s="6" t="n">
        <v>0</v>
      </c>
      <c r="H3366" s="41" t="n">
        <v>16.17</v>
      </c>
      <c r="I3366" s="43" t="n">
        <f aca="false">F3366*H3366</f>
        <v>76.6458</v>
      </c>
      <c r="J3366" s="43" t="n">
        <f aca="false">G3366*H3366*1.5</f>
        <v>0</v>
      </c>
      <c r="K3366" s="6" t="n">
        <v>10.59</v>
      </c>
      <c r="L3366" s="43" t="n">
        <f aca="false">K3366*'Chart of Accounts'!$E$68</f>
        <v>7.0953</v>
      </c>
      <c r="O3366" s="42" t="n">
        <f aca="false">I3366+J3366+L3366</f>
        <v>83.7411</v>
      </c>
    </row>
    <row r="3367" customFormat="false" ht="15" hidden="false" customHeight="false" outlineLevel="0" collapsed="false">
      <c r="B3367" s="7" t="s">
        <v>12000</v>
      </c>
      <c r="C3367" s="39" t="n">
        <v>45868</v>
      </c>
      <c r="D3367" s="7" t="s">
        <v>224</v>
      </c>
      <c r="E3367" s="7" t="s">
        <v>180</v>
      </c>
      <c r="F3367" s="6" t="n">
        <v>4.43</v>
      </c>
      <c r="G3367" s="6" t="n">
        <v>0</v>
      </c>
      <c r="H3367" s="41" t="n">
        <v>14.93</v>
      </c>
      <c r="I3367" s="43" t="n">
        <f aca="false">F3367*H3367</f>
        <v>66.1399</v>
      </c>
      <c r="J3367" s="43" t="n">
        <f aca="false">G3367*H3367*1.5</f>
        <v>0</v>
      </c>
      <c r="K3367" s="6" t="n">
        <v>13.19</v>
      </c>
      <c r="L3367" s="43" t="n">
        <f aca="false">K3367*'Chart of Accounts'!$E$68</f>
        <v>8.8373</v>
      </c>
      <c r="O3367" s="42" t="n">
        <f aca="false">I3367+J3367+L3367</f>
        <v>74.9772</v>
      </c>
    </row>
    <row r="3368" customFormat="false" ht="15" hidden="false" customHeight="false" outlineLevel="0" collapsed="false">
      <c r="B3368" s="7" t="s">
        <v>12001</v>
      </c>
      <c r="C3368" s="39" t="n">
        <v>45868</v>
      </c>
      <c r="D3368" s="7" t="s">
        <v>196</v>
      </c>
      <c r="E3368" s="7" t="s">
        <v>180</v>
      </c>
      <c r="F3368" s="6" t="n">
        <v>3.404</v>
      </c>
      <c r="G3368" s="6" t="n">
        <v>0.256</v>
      </c>
      <c r="H3368" s="41" t="n">
        <v>15.05</v>
      </c>
      <c r="I3368" s="43" t="n">
        <f aca="false">F3368*H3368</f>
        <v>51.2302</v>
      </c>
      <c r="J3368" s="43" t="n">
        <f aca="false">G3368*H3368*1.5</f>
        <v>5.7792</v>
      </c>
      <c r="K3368" s="6" t="n">
        <v>9.71</v>
      </c>
      <c r="L3368" s="43" t="n">
        <f aca="false">K3368*'Chart of Accounts'!$E$68</f>
        <v>6.5057</v>
      </c>
      <c r="O3368" s="42" t="n">
        <f aca="false">I3368+J3368+L3368</f>
        <v>63.5151</v>
      </c>
    </row>
    <row r="3369" customFormat="false" ht="15" hidden="false" customHeight="false" outlineLevel="0" collapsed="false">
      <c r="B3369" s="7" t="s">
        <v>12002</v>
      </c>
      <c r="C3369" s="39" t="n">
        <v>45868</v>
      </c>
      <c r="D3369" s="7" t="s">
        <v>214</v>
      </c>
      <c r="E3369" s="7" t="s">
        <v>180</v>
      </c>
      <c r="F3369" s="6" t="n">
        <v>3.15</v>
      </c>
      <c r="G3369" s="6" t="n">
        <v>0</v>
      </c>
      <c r="H3369" s="41" t="n">
        <v>15.67</v>
      </c>
      <c r="I3369" s="43" t="n">
        <f aca="false">F3369*H3369</f>
        <v>49.3605</v>
      </c>
      <c r="J3369" s="43" t="n">
        <f aca="false">G3369*H3369*1.5</f>
        <v>0</v>
      </c>
      <c r="K3369" s="6" t="n">
        <v>7.19</v>
      </c>
      <c r="L3369" s="43" t="n">
        <f aca="false">K3369*'Chart of Accounts'!$E$68</f>
        <v>4.8173</v>
      </c>
      <c r="O3369" s="42" t="n">
        <f aca="false">I3369+J3369+L3369</f>
        <v>54.1778</v>
      </c>
    </row>
    <row r="3370" customFormat="false" ht="15" hidden="false" customHeight="false" outlineLevel="0" collapsed="false">
      <c r="B3370" s="7" t="s">
        <v>12003</v>
      </c>
      <c r="C3370" s="39" t="n">
        <v>45869</v>
      </c>
      <c r="D3370" s="7" t="s">
        <v>184</v>
      </c>
      <c r="E3370" s="7" t="s">
        <v>180</v>
      </c>
      <c r="F3370" s="6" t="n">
        <v>12.38</v>
      </c>
      <c r="G3370" s="6" t="n">
        <v>0</v>
      </c>
      <c r="H3370" s="41" t="n">
        <v>17.34</v>
      </c>
      <c r="I3370" s="43" t="n">
        <f aca="false">F3370*H3370</f>
        <v>214.6692</v>
      </c>
      <c r="J3370" s="43" t="n">
        <f aca="false">G3370*H3370*1.5</f>
        <v>0</v>
      </c>
      <c r="K3370" s="6" t="n">
        <v>29.47</v>
      </c>
      <c r="L3370" s="43" t="n">
        <f aca="false">K3370*'Chart of Accounts'!$E$68</f>
        <v>19.7449</v>
      </c>
      <c r="O3370" s="42" t="n">
        <f aca="false">I3370+J3370+L3370</f>
        <v>234.4141</v>
      </c>
    </row>
    <row r="3371" customFormat="false" ht="15" hidden="false" customHeight="false" outlineLevel="0" collapsed="false">
      <c r="B3371" s="7" t="s">
        <v>12004</v>
      </c>
      <c r="C3371" s="39" t="n">
        <v>45869</v>
      </c>
      <c r="D3371" s="7" t="s">
        <v>201</v>
      </c>
      <c r="E3371" s="7" t="s">
        <v>180</v>
      </c>
      <c r="F3371" s="6" t="n">
        <v>5.84</v>
      </c>
      <c r="G3371" s="6" t="n">
        <v>0</v>
      </c>
      <c r="H3371" s="41" t="n">
        <v>15.19</v>
      </c>
      <c r="I3371" s="43" t="n">
        <f aca="false">F3371*H3371</f>
        <v>88.7096</v>
      </c>
      <c r="J3371" s="43" t="n">
        <f aca="false">G3371*H3371*1.5</f>
        <v>0</v>
      </c>
      <c r="K3371" s="6" t="n">
        <v>18.72</v>
      </c>
      <c r="L3371" s="43" t="n">
        <f aca="false">K3371*'Chart of Accounts'!$E$68</f>
        <v>12.5424</v>
      </c>
      <c r="O3371" s="42" t="n">
        <f aca="false">I3371+J3371+L3371</f>
        <v>101.252</v>
      </c>
    </row>
    <row r="3372" customFormat="false" ht="15" hidden="false" customHeight="false" outlineLevel="0" collapsed="false">
      <c r="B3372" s="7" t="s">
        <v>12005</v>
      </c>
      <c r="C3372" s="39" t="n">
        <v>45869</v>
      </c>
      <c r="D3372" s="7" t="s">
        <v>196</v>
      </c>
      <c r="E3372" s="7" t="s">
        <v>180</v>
      </c>
      <c r="F3372" s="6" t="n">
        <v>9.105</v>
      </c>
      <c r="G3372" s="6" t="n">
        <v>0.685</v>
      </c>
      <c r="H3372" s="41" t="n">
        <v>15.05</v>
      </c>
      <c r="I3372" s="43" t="n">
        <f aca="false">F3372*H3372</f>
        <v>137.03025</v>
      </c>
      <c r="J3372" s="43" t="n">
        <f aca="false">G3372*H3372*1.5</f>
        <v>15.463875</v>
      </c>
      <c r="K3372" s="6" t="n">
        <v>24.63</v>
      </c>
      <c r="L3372" s="43" t="n">
        <f aca="false">K3372*'Chart of Accounts'!$E$68</f>
        <v>16.5021</v>
      </c>
      <c r="O3372" s="42" t="n">
        <f aca="false">I3372+J3372+L3372</f>
        <v>168.996225</v>
      </c>
    </row>
    <row r="3373" customFormat="false" ht="15" hidden="false" customHeight="false" outlineLevel="0" collapsed="false">
      <c r="B3373" s="7" t="s">
        <v>12006</v>
      </c>
      <c r="C3373" s="39" t="n">
        <v>45869</v>
      </c>
      <c r="D3373" s="7" t="s">
        <v>207</v>
      </c>
      <c r="E3373" s="7" t="s">
        <v>180</v>
      </c>
      <c r="F3373" s="6" t="n">
        <v>2.88</v>
      </c>
      <c r="G3373" s="6" t="n">
        <v>0</v>
      </c>
      <c r="H3373" s="41" t="n">
        <v>16.65</v>
      </c>
      <c r="I3373" s="43" t="n">
        <f aca="false">F3373*H3373</f>
        <v>47.952</v>
      </c>
      <c r="J3373" s="43" t="n">
        <f aca="false">G3373*H3373*1.5</f>
        <v>0</v>
      </c>
      <c r="K3373" s="6" t="n">
        <v>10.19</v>
      </c>
      <c r="L3373" s="43" t="n">
        <f aca="false">K3373*'Chart of Accounts'!$E$68</f>
        <v>6.8273</v>
      </c>
      <c r="O3373" s="42" t="n">
        <f aca="false">I3373+J3373+L3373</f>
        <v>54.7793</v>
      </c>
    </row>
    <row r="3374" customFormat="false" ht="15" hidden="false" customHeight="false" outlineLevel="0" collapsed="false">
      <c r="B3374" s="7" t="s">
        <v>12007</v>
      </c>
      <c r="C3374" s="39" t="n">
        <v>45869</v>
      </c>
      <c r="D3374" s="7" t="s">
        <v>218</v>
      </c>
      <c r="E3374" s="7" t="s">
        <v>180</v>
      </c>
      <c r="F3374" s="6" t="n">
        <v>3.63</v>
      </c>
      <c r="G3374" s="6" t="n">
        <v>0</v>
      </c>
      <c r="H3374" s="41" t="n">
        <v>16.19</v>
      </c>
      <c r="I3374" s="43" t="n">
        <f aca="false">F3374*H3374</f>
        <v>58.7697</v>
      </c>
      <c r="J3374" s="43" t="n">
        <f aca="false">G3374*H3374*1.5</f>
        <v>0</v>
      </c>
      <c r="K3374" s="6" t="n">
        <v>10.91</v>
      </c>
      <c r="L3374" s="43" t="n">
        <f aca="false">K3374*'Chart of Accounts'!$E$68</f>
        <v>7.3097</v>
      </c>
      <c r="O3374" s="42" t="n">
        <f aca="false">I3374+J3374+L3374</f>
        <v>66.0794</v>
      </c>
    </row>
    <row r="3375" customFormat="false" ht="15" hidden="false" customHeight="false" outlineLevel="0" collapsed="false">
      <c r="B3375" s="7" t="s">
        <v>12008</v>
      </c>
      <c r="C3375" s="39" t="n">
        <v>45869</v>
      </c>
      <c r="D3375" s="7" t="s">
        <v>220</v>
      </c>
      <c r="E3375" s="7" t="s">
        <v>180</v>
      </c>
      <c r="F3375" s="6" t="n">
        <v>6.47</v>
      </c>
      <c r="G3375" s="6" t="n">
        <v>0</v>
      </c>
      <c r="H3375" s="41" t="n">
        <v>16.43</v>
      </c>
      <c r="I3375" s="43" t="n">
        <f aca="false">F3375*H3375</f>
        <v>106.3021</v>
      </c>
      <c r="J3375" s="43" t="n">
        <f aca="false">G3375*H3375*1.5</f>
        <v>0</v>
      </c>
      <c r="K3375" s="6" t="n">
        <v>14.5</v>
      </c>
      <c r="L3375" s="43" t="n">
        <f aca="false">K3375*'Chart of Accounts'!$E$68</f>
        <v>9.715</v>
      </c>
      <c r="O3375" s="42" t="n">
        <f aca="false">I3375+J3375+L3375</f>
        <v>116.0171</v>
      </c>
    </row>
    <row r="3376" customFormat="false" ht="15" hidden="false" customHeight="false" outlineLevel="0" collapsed="false">
      <c r="B3376" s="7" t="s">
        <v>12009</v>
      </c>
      <c r="C3376" s="39" t="n">
        <v>45869</v>
      </c>
      <c r="D3376" s="7" t="s">
        <v>224</v>
      </c>
      <c r="E3376" s="7" t="s">
        <v>180</v>
      </c>
      <c r="F3376" s="6" t="n">
        <v>4.17</v>
      </c>
      <c r="G3376" s="6" t="n">
        <v>0</v>
      </c>
      <c r="H3376" s="41" t="n">
        <v>14.93</v>
      </c>
      <c r="I3376" s="43" t="n">
        <f aca="false">F3376*H3376</f>
        <v>62.2581</v>
      </c>
      <c r="J3376" s="43" t="n">
        <f aca="false">G3376*H3376*1.5</f>
        <v>0</v>
      </c>
      <c r="K3376" s="6" t="n">
        <v>9.86</v>
      </c>
      <c r="L3376" s="43" t="n">
        <f aca="false">K3376*'Chart of Accounts'!$E$68</f>
        <v>6.6062</v>
      </c>
      <c r="O3376" s="42" t="n">
        <f aca="false">I3376+J3376+L3376</f>
        <v>68.8643</v>
      </c>
    </row>
    <row r="3377" customFormat="false" ht="15" hidden="false" customHeight="false" outlineLevel="0" collapsed="false">
      <c r="B3377" s="7" t="s">
        <v>12010</v>
      </c>
      <c r="C3377" s="39" t="n">
        <v>45869</v>
      </c>
      <c r="D3377" s="7" t="s">
        <v>232</v>
      </c>
      <c r="E3377" s="7" t="s">
        <v>180</v>
      </c>
      <c r="F3377" s="6" t="n">
        <v>2.83</v>
      </c>
      <c r="G3377" s="6" t="n">
        <v>0</v>
      </c>
      <c r="H3377" s="41" t="n">
        <v>16.17</v>
      </c>
      <c r="I3377" s="43" t="n">
        <f aca="false">F3377*H3377</f>
        <v>45.7611</v>
      </c>
      <c r="J3377" s="43" t="n">
        <f aca="false">G3377*H3377*1.5</f>
        <v>0</v>
      </c>
      <c r="K3377" s="6" t="n">
        <v>9.08</v>
      </c>
      <c r="L3377" s="43" t="n">
        <f aca="false">K3377*'Chart of Accounts'!$E$68</f>
        <v>6.0836</v>
      </c>
      <c r="O3377" s="42" t="n">
        <f aca="false">I3377+J3377+L3377</f>
        <v>51.8447</v>
      </c>
    </row>
    <row r="3378" customFormat="false" ht="15" hidden="false" customHeight="false" outlineLevel="0" collapsed="false">
      <c r="B3378" s="7" t="s">
        <v>12011</v>
      </c>
      <c r="C3378" s="39" t="n">
        <v>45869</v>
      </c>
      <c r="D3378" s="7" t="s">
        <v>222</v>
      </c>
      <c r="E3378" s="7" t="s">
        <v>180</v>
      </c>
      <c r="F3378" s="6" t="n">
        <v>7</v>
      </c>
      <c r="G3378" s="6" t="n">
        <v>0</v>
      </c>
      <c r="H3378" s="41" t="n">
        <v>17.84</v>
      </c>
      <c r="I3378" s="43" t="n">
        <f aca="false">F3378*H3378</f>
        <v>124.88</v>
      </c>
      <c r="J3378" s="43" t="n">
        <f aca="false">G3378*H3378*1.5</f>
        <v>0</v>
      </c>
      <c r="K3378" s="6" t="n">
        <v>20.34</v>
      </c>
      <c r="L3378" s="43" t="n">
        <f aca="false">K3378*'Chart of Accounts'!$E$68</f>
        <v>13.6278</v>
      </c>
      <c r="O3378" s="42" t="n">
        <f aca="false">I3378+J3378+L3378</f>
        <v>138.5078</v>
      </c>
    </row>
    <row r="3379" customFormat="false" ht="15" hidden="false" customHeight="false" outlineLevel="0" collapsed="false">
      <c r="B3379" s="7" t="s">
        <v>12012</v>
      </c>
      <c r="C3379" s="39" t="n">
        <v>45869</v>
      </c>
      <c r="D3379" s="7" t="s">
        <v>254</v>
      </c>
      <c r="E3379" s="7" t="s">
        <v>180</v>
      </c>
      <c r="F3379" s="6" t="n">
        <v>3.924</v>
      </c>
      <c r="G3379" s="6" t="n">
        <v>0.026</v>
      </c>
      <c r="H3379" s="41" t="n">
        <v>17.1</v>
      </c>
      <c r="I3379" s="43" t="n">
        <f aca="false">F3379*H3379</f>
        <v>67.1004</v>
      </c>
      <c r="J3379" s="43" t="n">
        <f aca="false">G3379*H3379*1.5</f>
        <v>0.6669</v>
      </c>
      <c r="K3379" s="6" t="n">
        <v>9.19</v>
      </c>
      <c r="L3379" s="43" t="n">
        <f aca="false">K3379*'Chart of Accounts'!$E$68</f>
        <v>6.1573</v>
      </c>
      <c r="O3379" s="42" t="n">
        <f aca="false">I3379+J3379+L3379</f>
        <v>73.9246</v>
      </c>
    </row>
    <row r="3380" customFormat="false" ht="15" hidden="false" customHeight="false" outlineLevel="0" collapsed="false">
      <c r="B3380" s="7" t="s">
        <v>12013</v>
      </c>
      <c r="C3380" s="39" t="n">
        <v>45869</v>
      </c>
      <c r="D3380" s="7" t="s">
        <v>246</v>
      </c>
      <c r="E3380" s="7" t="s">
        <v>180</v>
      </c>
      <c r="F3380" s="6" t="n">
        <v>7.89</v>
      </c>
      <c r="G3380" s="6" t="n">
        <v>0</v>
      </c>
      <c r="H3380" s="41" t="n">
        <v>16.48</v>
      </c>
      <c r="I3380" s="43" t="n">
        <f aca="false">F3380*H3380</f>
        <v>130.0272</v>
      </c>
      <c r="J3380" s="43" t="n">
        <f aca="false">G3380*H3380*1.5</f>
        <v>0</v>
      </c>
      <c r="K3380" s="6" t="n">
        <v>25.74</v>
      </c>
      <c r="L3380" s="43" t="n">
        <f aca="false">K3380*'Chart of Accounts'!$E$68</f>
        <v>17.2458</v>
      </c>
      <c r="O3380" s="42" t="n">
        <f aca="false">I3380+J3380+L3380</f>
        <v>147.273</v>
      </c>
    </row>
    <row r="3381" customFormat="false" ht="15" hidden="false" customHeight="false" outlineLevel="0" collapsed="false">
      <c r="B3381" s="7" t="s">
        <v>12014</v>
      </c>
      <c r="C3381" s="39" t="n">
        <v>45869</v>
      </c>
      <c r="D3381" s="7" t="s">
        <v>194</v>
      </c>
      <c r="E3381" s="7" t="s">
        <v>180</v>
      </c>
      <c r="F3381" s="6" t="n">
        <v>4.35</v>
      </c>
      <c r="G3381" s="6" t="n">
        <v>0</v>
      </c>
      <c r="H3381" s="41" t="n">
        <v>16</v>
      </c>
      <c r="I3381" s="43" t="n">
        <f aca="false">F3381*H3381</f>
        <v>69.6</v>
      </c>
      <c r="J3381" s="43" t="n">
        <f aca="false">G3381*H3381*1.5</f>
        <v>0</v>
      </c>
      <c r="K3381" s="6" t="n">
        <v>10.45</v>
      </c>
      <c r="L3381" s="43" t="n">
        <f aca="false">K3381*'Chart of Accounts'!$E$68</f>
        <v>7.0015</v>
      </c>
      <c r="O3381" s="42" t="n">
        <f aca="false">I3381+J3381+L3381</f>
        <v>76.6015</v>
      </c>
    </row>
    <row r="3382" customFormat="false" ht="15" hidden="false" customHeight="false" outlineLevel="0" collapsed="false">
      <c r="B3382" s="7" t="s">
        <v>12015</v>
      </c>
      <c r="C3382" s="39" t="n">
        <v>45869</v>
      </c>
      <c r="D3382" s="7" t="s">
        <v>214</v>
      </c>
      <c r="E3382" s="7" t="s">
        <v>180</v>
      </c>
      <c r="F3382" s="6" t="n">
        <v>3.71</v>
      </c>
      <c r="G3382" s="6" t="n">
        <v>0</v>
      </c>
      <c r="H3382" s="41" t="n">
        <v>15.67</v>
      </c>
      <c r="I3382" s="43" t="n">
        <f aca="false">F3382*H3382</f>
        <v>58.1357</v>
      </c>
      <c r="J3382" s="43" t="n">
        <f aca="false">G3382*H3382*1.5</f>
        <v>0</v>
      </c>
      <c r="K3382" s="6" t="n">
        <v>9.32</v>
      </c>
      <c r="L3382" s="43" t="n">
        <f aca="false">K3382*'Chart of Accounts'!$E$68</f>
        <v>6.2444</v>
      </c>
      <c r="O3382" s="42" t="n">
        <f aca="false">I3382+J3382+L3382</f>
        <v>64.3801</v>
      </c>
    </row>
    <row r="3383" customFormat="false" ht="15" hidden="false" customHeight="false" outlineLevel="0" collapsed="false">
      <c r="B3383" s="7" t="s">
        <v>12016</v>
      </c>
      <c r="C3383" s="39" t="n">
        <v>45869</v>
      </c>
      <c r="D3383" s="7" t="s">
        <v>242</v>
      </c>
      <c r="E3383" s="7" t="s">
        <v>180</v>
      </c>
      <c r="F3383" s="6" t="n">
        <v>3.72</v>
      </c>
      <c r="G3383" s="6" t="n">
        <v>0</v>
      </c>
      <c r="H3383" s="41" t="n">
        <v>17.99</v>
      </c>
      <c r="I3383" s="43" t="n">
        <f aca="false">F3383*H3383</f>
        <v>66.9228</v>
      </c>
      <c r="J3383" s="43" t="n">
        <f aca="false">G3383*H3383*1.5</f>
        <v>0</v>
      </c>
      <c r="K3383" s="6" t="n">
        <v>10.04</v>
      </c>
      <c r="L3383" s="43" t="n">
        <f aca="false">K3383*'Chart of Accounts'!$E$68</f>
        <v>6.7268</v>
      </c>
      <c r="O3383" s="42" t="n">
        <f aca="false">I3383+J3383+L3383</f>
        <v>73.6496</v>
      </c>
    </row>
    <row r="3384" customFormat="false" ht="15" hidden="false" customHeight="false" outlineLevel="0" collapsed="false">
      <c r="B3384" s="7" t="s">
        <v>12017</v>
      </c>
      <c r="C3384" s="39" t="n">
        <v>45870</v>
      </c>
      <c r="D3384" s="7" t="s">
        <v>187</v>
      </c>
      <c r="E3384" s="7" t="s">
        <v>158</v>
      </c>
      <c r="H3384" s="41" t="n">
        <v>66.48</v>
      </c>
      <c r="M3384" s="6" t="n">
        <v>1</v>
      </c>
      <c r="N3384" s="43" t="n">
        <f aca="false">M3384*H3384</f>
        <v>66.48</v>
      </c>
      <c r="O3384" s="42" t="n">
        <f aca="false">N3384</f>
        <v>66.48</v>
      </c>
    </row>
    <row r="3385" customFormat="false" ht="15" hidden="false" customHeight="false" outlineLevel="0" collapsed="false">
      <c r="B3385" s="7" t="s">
        <v>12018</v>
      </c>
      <c r="C3385" s="39" t="n">
        <v>45870</v>
      </c>
      <c r="D3385" s="7" t="s">
        <v>205</v>
      </c>
      <c r="E3385" s="7" t="s">
        <v>180</v>
      </c>
      <c r="F3385" s="6" t="n">
        <v>8.51</v>
      </c>
      <c r="G3385" s="6" t="n">
        <v>0</v>
      </c>
      <c r="H3385" s="41" t="n">
        <v>16.36</v>
      </c>
      <c r="I3385" s="43" t="n">
        <f aca="false">F3385*H3385</f>
        <v>139.2236</v>
      </c>
      <c r="J3385" s="43" t="n">
        <f aca="false">G3385*H3385*1.5</f>
        <v>0</v>
      </c>
      <c r="K3385" s="6" t="n">
        <v>25.27</v>
      </c>
      <c r="L3385" s="43" t="n">
        <f aca="false">K3385*'Chart of Accounts'!$E$68</f>
        <v>16.9309</v>
      </c>
      <c r="O3385" s="42" t="n">
        <f aca="false">I3385+J3385+L3385</f>
        <v>156.1545</v>
      </c>
    </row>
    <row r="3386" customFormat="false" ht="15" hidden="false" customHeight="false" outlineLevel="0" collapsed="false">
      <c r="B3386" s="7" t="s">
        <v>12019</v>
      </c>
      <c r="C3386" s="39" t="n">
        <v>45870</v>
      </c>
      <c r="D3386" s="7" t="s">
        <v>194</v>
      </c>
      <c r="E3386" s="7" t="s">
        <v>180</v>
      </c>
      <c r="F3386" s="6" t="n">
        <v>8.53</v>
      </c>
      <c r="G3386" s="6" t="n">
        <v>0</v>
      </c>
      <c r="H3386" s="41" t="n">
        <v>16</v>
      </c>
      <c r="I3386" s="43" t="n">
        <f aca="false">F3386*H3386</f>
        <v>136.48</v>
      </c>
      <c r="J3386" s="43" t="n">
        <f aca="false">G3386*H3386*1.5</f>
        <v>0</v>
      </c>
      <c r="K3386" s="6" t="n">
        <v>19.4</v>
      </c>
      <c r="L3386" s="43" t="n">
        <f aca="false">K3386*'Chart of Accounts'!$E$68</f>
        <v>12.998</v>
      </c>
      <c r="O3386" s="42" t="n">
        <f aca="false">I3386+J3386+L3386</f>
        <v>149.478</v>
      </c>
    </row>
    <row r="3387" customFormat="false" ht="15" hidden="false" customHeight="false" outlineLevel="0" collapsed="false">
      <c r="B3387" s="7" t="s">
        <v>12020</v>
      </c>
      <c r="C3387" s="39" t="n">
        <v>45870</v>
      </c>
      <c r="D3387" s="7" t="s">
        <v>209</v>
      </c>
      <c r="E3387" s="7" t="s">
        <v>158</v>
      </c>
      <c r="H3387" s="41" t="n">
        <v>73.58</v>
      </c>
      <c r="M3387" s="6" t="n">
        <v>2</v>
      </c>
      <c r="N3387" s="43" t="n">
        <f aca="false">M3387*H3387</f>
        <v>147.16</v>
      </c>
      <c r="O3387" s="42" t="n">
        <f aca="false">N3387</f>
        <v>147.16</v>
      </c>
    </row>
    <row r="3388" customFormat="false" ht="15" hidden="false" customHeight="false" outlineLevel="0" collapsed="false">
      <c r="B3388" s="7" t="s">
        <v>12021</v>
      </c>
      <c r="C3388" s="39" t="n">
        <v>45870</v>
      </c>
      <c r="D3388" s="7" t="s">
        <v>264</v>
      </c>
      <c r="E3388" s="7" t="s">
        <v>158</v>
      </c>
      <c r="H3388" s="41" t="n">
        <v>55.55</v>
      </c>
      <c r="M3388" s="6" t="n">
        <v>1</v>
      </c>
      <c r="N3388" s="43" t="n">
        <f aca="false">M3388*H3388</f>
        <v>55.55</v>
      </c>
      <c r="O3388" s="42" t="n">
        <f aca="false">N3388</f>
        <v>55.55</v>
      </c>
    </row>
    <row r="3389" customFormat="false" ht="15" hidden="false" customHeight="false" outlineLevel="0" collapsed="false">
      <c r="B3389" s="7" t="s">
        <v>12022</v>
      </c>
      <c r="C3389" s="39" t="n">
        <v>45870</v>
      </c>
      <c r="D3389" s="7" t="s">
        <v>252</v>
      </c>
      <c r="E3389" s="7" t="s">
        <v>158</v>
      </c>
      <c r="H3389" s="41" t="n">
        <v>57.54</v>
      </c>
      <c r="M3389" s="6" t="n">
        <v>1</v>
      </c>
      <c r="N3389" s="43" t="n">
        <f aca="false">M3389*H3389</f>
        <v>57.54</v>
      </c>
      <c r="O3389" s="42" t="n">
        <f aca="false">N3389</f>
        <v>57.54</v>
      </c>
    </row>
    <row r="3390" customFormat="false" ht="15" hidden="false" customHeight="false" outlineLevel="0" collapsed="false">
      <c r="B3390" s="7" t="s">
        <v>12023</v>
      </c>
      <c r="C3390" s="39" t="n">
        <v>45870</v>
      </c>
      <c r="D3390" s="7" t="s">
        <v>184</v>
      </c>
      <c r="E3390" s="7" t="s">
        <v>180</v>
      </c>
      <c r="F3390" s="6" t="n">
        <v>4.13</v>
      </c>
      <c r="G3390" s="6" t="n">
        <v>0</v>
      </c>
      <c r="H3390" s="41" t="n">
        <v>17.34</v>
      </c>
      <c r="I3390" s="43" t="n">
        <f aca="false">F3390*H3390</f>
        <v>71.6142</v>
      </c>
      <c r="J3390" s="43" t="n">
        <f aca="false">G3390*H3390*1.5</f>
        <v>0</v>
      </c>
      <c r="K3390" s="6" t="n">
        <v>14.24</v>
      </c>
      <c r="L3390" s="43" t="n">
        <f aca="false">K3390*'Chart of Accounts'!$E$68</f>
        <v>9.5408</v>
      </c>
      <c r="O3390" s="42" t="n">
        <f aca="false">I3390+J3390+L3390</f>
        <v>81.155</v>
      </c>
    </row>
    <row r="3391" customFormat="false" ht="15" hidden="false" customHeight="false" outlineLevel="0" collapsed="false">
      <c r="B3391" s="7" t="s">
        <v>12024</v>
      </c>
      <c r="C3391" s="39" t="n">
        <v>45870</v>
      </c>
      <c r="D3391" s="7" t="s">
        <v>234</v>
      </c>
      <c r="E3391" s="7" t="s">
        <v>158</v>
      </c>
      <c r="H3391" s="41" t="n">
        <v>89.53</v>
      </c>
      <c r="M3391" s="6" t="n">
        <v>2</v>
      </c>
      <c r="N3391" s="43" t="n">
        <f aca="false">M3391*H3391</f>
        <v>179.06</v>
      </c>
      <c r="O3391" s="42" t="n">
        <f aca="false">N3391</f>
        <v>179.06</v>
      </c>
    </row>
    <row r="3392" customFormat="false" ht="15" hidden="false" customHeight="false" outlineLevel="0" collapsed="false">
      <c r="B3392" s="7" t="s">
        <v>12025</v>
      </c>
      <c r="C3392" s="39" t="n">
        <v>45870</v>
      </c>
      <c r="D3392" s="7" t="s">
        <v>218</v>
      </c>
      <c r="E3392" s="7" t="s">
        <v>180</v>
      </c>
      <c r="F3392" s="6" t="n">
        <v>3.8</v>
      </c>
      <c r="G3392" s="6" t="n">
        <v>0</v>
      </c>
      <c r="H3392" s="41" t="n">
        <v>16.19</v>
      </c>
      <c r="I3392" s="43" t="n">
        <f aca="false">F3392*H3392</f>
        <v>61.522</v>
      </c>
      <c r="J3392" s="43" t="n">
        <f aca="false">G3392*H3392*1.5</f>
        <v>0</v>
      </c>
      <c r="K3392" s="6" t="n">
        <v>11.28</v>
      </c>
      <c r="L3392" s="43" t="n">
        <f aca="false">K3392*'Chart of Accounts'!$E$68</f>
        <v>7.5576</v>
      </c>
      <c r="O3392" s="42" t="n">
        <f aca="false">I3392+J3392+L3392</f>
        <v>69.0796</v>
      </c>
    </row>
    <row r="3393" customFormat="false" ht="15" hidden="false" customHeight="false" outlineLevel="0" collapsed="false">
      <c r="B3393" s="7" t="s">
        <v>12026</v>
      </c>
      <c r="C3393" s="39" t="n">
        <v>45870</v>
      </c>
      <c r="D3393" s="7" t="s">
        <v>266</v>
      </c>
      <c r="E3393" s="7" t="s">
        <v>158</v>
      </c>
      <c r="H3393" s="41" t="n">
        <v>75.18</v>
      </c>
      <c r="M3393" s="6" t="n">
        <v>1</v>
      </c>
      <c r="N3393" s="43" t="n">
        <f aca="false">M3393*H3393</f>
        <v>75.18</v>
      </c>
      <c r="O3393" s="42" t="n">
        <f aca="false">N3393</f>
        <v>75.18</v>
      </c>
    </row>
    <row r="3394" customFormat="false" ht="15" hidden="false" customHeight="false" outlineLevel="0" collapsed="false">
      <c r="B3394" s="7" t="s">
        <v>12027</v>
      </c>
      <c r="C3394" s="39" t="n">
        <v>45870</v>
      </c>
      <c r="D3394" s="7" t="s">
        <v>228</v>
      </c>
      <c r="E3394" s="7" t="s">
        <v>158</v>
      </c>
      <c r="H3394" s="41" t="n">
        <v>51.07</v>
      </c>
      <c r="M3394" s="6" t="n">
        <v>1</v>
      </c>
      <c r="N3394" s="43" t="n">
        <f aca="false">M3394*H3394</f>
        <v>51.07</v>
      </c>
      <c r="O3394" s="42" t="n">
        <f aca="false">N3394</f>
        <v>51.07</v>
      </c>
    </row>
    <row r="3395" customFormat="false" ht="15" hidden="false" customHeight="false" outlineLevel="0" collapsed="false">
      <c r="B3395" s="7" t="s">
        <v>12028</v>
      </c>
      <c r="C3395" s="39" t="n">
        <v>45870</v>
      </c>
      <c r="D3395" s="7" t="s">
        <v>220</v>
      </c>
      <c r="E3395" s="7" t="s">
        <v>180</v>
      </c>
      <c r="F3395" s="6" t="n">
        <v>4.07</v>
      </c>
      <c r="G3395" s="6" t="n">
        <v>0</v>
      </c>
      <c r="H3395" s="41" t="n">
        <v>16.43</v>
      </c>
      <c r="I3395" s="43" t="n">
        <f aca="false">F3395*H3395</f>
        <v>66.8701</v>
      </c>
      <c r="J3395" s="43" t="n">
        <f aca="false">G3395*H3395*1.5</f>
        <v>0</v>
      </c>
      <c r="K3395" s="6" t="n">
        <v>14.64</v>
      </c>
      <c r="L3395" s="43" t="n">
        <f aca="false">K3395*'Chart of Accounts'!$E$68</f>
        <v>9.8088</v>
      </c>
      <c r="O3395" s="42" t="n">
        <f aca="false">I3395+J3395+L3395</f>
        <v>76.6789</v>
      </c>
    </row>
    <row r="3396" customFormat="false" ht="15" hidden="false" customHeight="false" outlineLevel="0" collapsed="false">
      <c r="B3396" s="7" t="s">
        <v>12029</v>
      </c>
      <c r="C3396" s="39" t="n">
        <v>45870</v>
      </c>
      <c r="D3396" s="7" t="s">
        <v>177</v>
      </c>
      <c r="E3396" s="7" t="s">
        <v>180</v>
      </c>
      <c r="F3396" s="6" t="n">
        <v>9.01</v>
      </c>
      <c r="G3396" s="6" t="n">
        <v>0</v>
      </c>
      <c r="H3396" s="41" t="n">
        <v>14.56</v>
      </c>
      <c r="I3396" s="43" t="n">
        <f aca="false">F3396*H3396</f>
        <v>131.1856</v>
      </c>
      <c r="J3396" s="43" t="n">
        <f aca="false">G3396*H3396*1.5</f>
        <v>0</v>
      </c>
      <c r="K3396" s="6" t="n">
        <v>20.3</v>
      </c>
      <c r="L3396" s="43" t="n">
        <f aca="false">K3396*'Chart of Accounts'!$E$68</f>
        <v>13.601</v>
      </c>
      <c r="O3396" s="42" t="n">
        <f aca="false">I3396+J3396+L3396</f>
        <v>144.7866</v>
      </c>
    </row>
    <row r="3397" customFormat="false" ht="15" hidden="false" customHeight="false" outlineLevel="0" collapsed="false">
      <c r="B3397" s="7" t="s">
        <v>12030</v>
      </c>
      <c r="C3397" s="39" t="n">
        <v>45870</v>
      </c>
      <c r="D3397" s="7" t="s">
        <v>242</v>
      </c>
      <c r="E3397" s="7" t="s">
        <v>180</v>
      </c>
      <c r="F3397" s="6" t="n">
        <v>7.42</v>
      </c>
      <c r="G3397" s="6" t="n">
        <v>0</v>
      </c>
      <c r="H3397" s="41" t="n">
        <v>17.99</v>
      </c>
      <c r="I3397" s="43" t="n">
        <f aca="false">F3397*H3397</f>
        <v>133.4858</v>
      </c>
      <c r="J3397" s="43" t="n">
        <f aca="false">G3397*H3397*1.5</f>
        <v>0</v>
      </c>
      <c r="K3397" s="6" t="n">
        <v>23.32</v>
      </c>
      <c r="L3397" s="43" t="n">
        <f aca="false">K3397*'Chart of Accounts'!$E$68</f>
        <v>15.6244</v>
      </c>
      <c r="O3397" s="42" t="n">
        <f aca="false">I3397+J3397+L3397</f>
        <v>149.1102</v>
      </c>
    </row>
    <row r="3398" customFormat="false" ht="15" hidden="false" customHeight="false" outlineLevel="0" collapsed="false">
      <c r="B3398" s="7" t="s">
        <v>12031</v>
      </c>
      <c r="C3398" s="39" t="n">
        <v>45870</v>
      </c>
      <c r="D3398" s="7" t="s">
        <v>238</v>
      </c>
      <c r="E3398" s="7" t="s">
        <v>180</v>
      </c>
      <c r="F3398" s="6" t="n">
        <v>12.38</v>
      </c>
      <c r="G3398" s="6" t="n">
        <v>0</v>
      </c>
      <c r="H3398" s="41" t="n">
        <v>15.85</v>
      </c>
      <c r="I3398" s="43" t="n">
        <f aca="false">F3398*H3398</f>
        <v>196.223</v>
      </c>
      <c r="J3398" s="43" t="n">
        <f aca="false">G3398*H3398*1.5</f>
        <v>0</v>
      </c>
      <c r="K3398" s="6" t="n">
        <v>43.64</v>
      </c>
      <c r="L3398" s="43" t="n">
        <f aca="false">K3398*'Chart of Accounts'!$E$68</f>
        <v>29.2388</v>
      </c>
      <c r="O3398" s="42" t="n">
        <f aca="false">I3398+J3398+L3398</f>
        <v>225.4618</v>
      </c>
    </row>
    <row r="3399" customFormat="false" ht="15" hidden="false" customHeight="false" outlineLevel="0" collapsed="false">
      <c r="B3399" s="7" t="s">
        <v>12032</v>
      </c>
      <c r="C3399" s="39" t="n">
        <v>45870</v>
      </c>
      <c r="D3399" s="7" t="s">
        <v>254</v>
      </c>
      <c r="E3399" s="7" t="s">
        <v>180</v>
      </c>
      <c r="F3399" s="6" t="n">
        <v>7.263</v>
      </c>
      <c r="G3399" s="6" t="n">
        <v>0.047</v>
      </c>
      <c r="H3399" s="41" t="n">
        <v>17.1</v>
      </c>
      <c r="I3399" s="43" t="n">
        <f aca="false">F3399*H3399</f>
        <v>124.1973</v>
      </c>
      <c r="J3399" s="43" t="n">
        <f aca="false">G3399*H3399*1.5</f>
        <v>1.20555</v>
      </c>
      <c r="K3399" s="6" t="n">
        <v>19.83</v>
      </c>
      <c r="L3399" s="43" t="n">
        <f aca="false">K3399*'Chart of Accounts'!$E$68</f>
        <v>13.2861</v>
      </c>
      <c r="O3399" s="42" t="n">
        <f aca="false">I3399+J3399+L3399</f>
        <v>138.68895</v>
      </c>
    </row>
    <row r="3400" customFormat="false" ht="15" hidden="false" customHeight="false" outlineLevel="0" collapsed="false">
      <c r="B3400" s="7" t="s">
        <v>12033</v>
      </c>
      <c r="C3400" s="39" t="n">
        <v>45870</v>
      </c>
      <c r="D3400" s="7" t="s">
        <v>201</v>
      </c>
      <c r="E3400" s="7" t="s">
        <v>180</v>
      </c>
      <c r="F3400" s="6" t="n">
        <v>3.22</v>
      </c>
      <c r="G3400" s="6" t="n">
        <v>0</v>
      </c>
      <c r="H3400" s="41" t="n">
        <v>15.19</v>
      </c>
      <c r="I3400" s="43" t="n">
        <f aca="false">F3400*H3400</f>
        <v>48.9118</v>
      </c>
      <c r="J3400" s="43" t="n">
        <f aca="false">G3400*H3400*1.5</f>
        <v>0</v>
      </c>
      <c r="K3400" s="6" t="n">
        <v>8.07</v>
      </c>
      <c r="L3400" s="43" t="n">
        <f aca="false">K3400*'Chart of Accounts'!$E$68</f>
        <v>5.4069</v>
      </c>
      <c r="O3400" s="42" t="n">
        <f aca="false">I3400+J3400+L3400</f>
        <v>54.3187</v>
      </c>
    </row>
    <row r="3401" customFormat="false" ht="15" hidden="false" customHeight="false" outlineLevel="0" collapsed="false">
      <c r="B3401" s="7" t="s">
        <v>12034</v>
      </c>
      <c r="C3401" s="39" t="n">
        <v>45870</v>
      </c>
      <c r="D3401" s="7" t="s">
        <v>207</v>
      </c>
      <c r="E3401" s="7" t="s">
        <v>180</v>
      </c>
      <c r="F3401" s="6" t="n">
        <v>3.32</v>
      </c>
      <c r="G3401" s="6" t="n">
        <v>0</v>
      </c>
      <c r="H3401" s="41" t="n">
        <v>16.65</v>
      </c>
      <c r="I3401" s="43" t="n">
        <f aca="false">F3401*H3401</f>
        <v>55.278</v>
      </c>
      <c r="J3401" s="43" t="n">
        <f aca="false">G3401*H3401*1.5</f>
        <v>0</v>
      </c>
      <c r="K3401" s="6" t="n">
        <v>9.43</v>
      </c>
      <c r="L3401" s="43" t="n">
        <f aca="false">K3401*'Chart of Accounts'!$E$68</f>
        <v>6.3181</v>
      </c>
      <c r="O3401" s="42" t="n">
        <f aca="false">I3401+J3401+L3401</f>
        <v>61.5961</v>
      </c>
    </row>
    <row r="3402" customFormat="false" ht="15" hidden="false" customHeight="false" outlineLevel="0" collapsed="false">
      <c r="B3402" s="7" t="s">
        <v>12035</v>
      </c>
      <c r="C3402" s="39" t="n">
        <v>45870</v>
      </c>
      <c r="D3402" s="7" t="s">
        <v>258</v>
      </c>
      <c r="E3402" s="7" t="s">
        <v>158</v>
      </c>
      <c r="H3402" s="41" t="n">
        <v>61.61</v>
      </c>
      <c r="M3402" s="6" t="n">
        <v>1</v>
      </c>
      <c r="N3402" s="43" t="n">
        <f aca="false">M3402*H3402</f>
        <v>61.61</v>
      </c>
      <c r="O3402" s="42" t="n">
        <f aca="false">N3402</f>
        <v>61.61</v>
      </c>
    </row>
    <row r="3403" customFormat="false" ht="15" hidden="false" customHeight="false" outlineLevel="0" collapsed="false">
      <c r="B3403" s="7" t="s">
        <v>12036</v>
      </c>
      <c r="C3403" s="39" t="n">
        <v>45870</v>
      </c>
      <c r="D3403" s="7" t="s">
        <v>232</v>
      </c>
      <c r="E3403" s="7" t="s">
        <v>180</v>
      </c>
      <c r="F3403" s="6" t="n">
        <v>4.57</v>
      </c>
      <c r="G3403" s="6" t="n">
        <v>0</v>
      </c>
      <c r="H3403" s="41" t="n">
        <v>16.17</v>
      </c>
      <c r="I3403" s="43" t="n">
        <f aca="false">F3403*H3403</f>
        <v>73.8969</v>
      </c>
      <c r="J3403" s="43" t="n">
        <f aca="false">G3403*H3403*1.5</f>
        <v>0</v>
      </c>
      <c r="K3403" s="6" t="n">
        <v>15.41</v>
      </c>
      <c r="L3403" s="43" t="n">
        <f aca="false">K3403*'Chart of Accounts'!$E$68</f>
        <v>10.3247</v>
      </c>
      <c r="O3403" s="42" t="n">
        <f aca="false">I3403+J3403+L3403</f>
        <v>84.2216</v>
      </c>
    </row>
    <row r="3404" customFormat="false" ht="15" hidden="false" customHeight="false" outlineLevel="0" collapsed="false">
      <c r="B3404" s="7" t="s">
        <v>12037</v>
      </c>
      <c r="C3404" s="39" t="n">
        <v>45870</v>
      </c>
      <c r="D3404" s="7" t="s">
        <v>224</v>
      </c>
      <c r="E3404" s="7" t="s">
        <v>180</v>
      </c>
      <c r="F3404" s="6" t="n">
        <v>4.42</v>
      </c>
      <c r="G3404" s="6" t="n">
        <v>0</v>
      </c>
      <c r="H3404" s="41" t="n">
        <v>14.93</v>
      </c>
      <c r="I3404" s="43" t="n">
        <f aca="false">F3404*H3404</f>
        <v>65.9906</v>
      </c>
      <c r="J3404" s="43" t="n">
        <f aca="false">G3404*H3404*1.5</f>
        <v>0</v>
      </c>
      <c r="K3404" s="6" t="n">
        <v>10.95</v>
      </c>
      <c r="L3404" s="43" t="n">
        <f aca="false">K3404*'Chart of Accounts'!$E$68</f>
        <v>7.3365</v>
      </c>
      <c r="O3404" s="42" t="n">
        <f aca="false">I3404+J3404+L3404</f>
        <v>73.3271</v>
      </c>
    </row>
    <row r="3405" customFormat="false" ht="15" hidden="false" customHeight="false" outlineLevel="0" collapsed="false">
      <c r="B3405" s="7" t="s">
        <v>12038</v>
      </c>
      <c r="C3405" s="39" t="n">
        <v>45870</v>
      </c>
      <c r="D3405" s="7" t="s">
        <v>230</v>
      </c>
      <c r="E3405" s="7" t="s">
        <v>158</v>
      </c>
      <c r="H3405" s="41" t="n">
        <v>48.78</v>
      </c>
      <c r="M3405" s="6" t="n">
        <v>1</v>
      </c>
      <c r="N3405" s="43" t="n">
        <f aca="false">M3405*H3405</f>
        <v>48.78</v>
      </c>
      <c r="O3405" s="42" t="n">
        <f aca="false">N3405</f>
        <v>48.78</v>
      </c>
    </row>
    <row r="3406" customFormat="false" ht="15" hidden="false" customHeight="false" outlineLevel="0" collapsed="false">
      <c r="B3406" s="7" t="s">
        <v>12039</v>
      </c>
      <c r="C3406" s="39" t="n">
        <v>45870</v>
      </c>
      <c r="D3406" s="7" t="s">
        <v>196</v>
      </c>
      <c r="E3406" s="7" t="s">
        <v>180</v>
      </c>
      <c r="F3406" s="6" t="n">
        <v>6.91</v>
      </c>
      <c r="G3406" s="6" t="n">
        <v>0.52</v>
      </c>
      <c r="H3406" s="41" t="n">
        <v>15.05</v>
      </c>
      <c r="I3406" s="43" t="n">
        <f aca="false">F3406*H3406</f>
        <v>103.9955</v>
      </c>
      <c r="J3406" s="43" t="n">
        <f aca="false">G3406*H3406*1.5</f>
        <v>11.739</v>
      </c>
      <c r="K3406" s="6" t="n">
        <v>20.55</v>
      </c>
      <c r="L3406" s="43" t="n">
        <f aca="false">K3406*'Chart of Accounts'!$E$68</f>
        <v>13.7685</v>
      </c>
      <c r="O3406" s="42" t="n">
        <f aca="false">I3406+J3406+L3406</f>
        <v>129.503</v>
      </c>
    </row>
    <row r="3407" customFormat="false" ht="15" hidden="false" customHeight="false" outlineLevel="0" collapsed="false">
      <c r="B3407" s="7" t="s">
        <v>12040</v>
      </c>
      <c r="C3407" s="39" t="n">
        <v>45870</v>
      </c>
      <c r="D3407" s="7" t="s">
        <v>246</v>
      </c>
      <c r="E3407" s="7" t="s">
        <v>180</v>
      </c>
      <c r="F3407" s="6" t="n">
        <v>4.16</v>
      </c>
      <c r="G3407" s="6" t="n">
        <v>0</v>
      </c>
      <c r="H3407" s="41" t="n">
        <v>16.48</v>
      </c>
      <c r="I3407" s="43" t="n">
        <f aca="false">F3407*H3407</f>
        <v>68.5568</v>
      </c>
      <c r="J3407" s="43" t="n">
        <f aca="false">G3407*H3407*1.5</f>
        <v>0</v>
      </c>
      <c r="K3407" s="6" t="n">
        <v>9.28</v>
      </c>
      <c r="L3407" s="43" t="n">
        <f aca="false">K3407*'Chart of Accounts'!$E$68</f>
        <v>6.2176</v>
      </c>
      <c r="O3407" s="42" t="n">
        <f aca="false">I3407+J3407+L3407</f>
        <v>74.7744</v>
      </c>
    </row>
    <row r="3408" customFormat="false" ht="15" hidden="false" customHeight="false" outlineLevel="0" collapsed="false">
      <c r="B3408" s="7" t="s">
        <v>12041</v>
      </c>
      <c r="C3408" s="39" t="n">
        <v>45870</v>
      </c>
      <c r="D3408" s="7" t="s">
        <v>222</v>
      </c>
      <c r="E3408" s="7" t="s">
        <v>180</v>
      </c>
      <c r="F3408" s="6" t="n">
        <v>3.98</v>
      </c>
      <c r="G3408" s="6" t="n">
        <v>0</v>
      </c>
      <c r="H3408" s="41" t="n">
        <v>17.84</v>
      </c>
      <c r="I3408" s="43" t="n">
        <f aca="false">F3408*H3408</f>
        <v>71.0032</v>
      </c>
      <c r="J3408" s="43" t="n">
        <f aca="false">G3408*H3408*1.5</f>
        <v>0</v>
      </c>
      <c r="K3408" s="6" t="n">
        <v>12.3</v>
      </c>
      <c r="L3408" s="43" t="n">
        <f aca="false">K3408*'Chart of Accounts'!$E$68</f>
        <v>8.241</v>
      </c>
      <c r="O3408" s="42" t="n">
        <f aca="false">I3408+J3408+L3408</f>
        <v>79.2442</v>
      </c>
    </row>
    <row r="3409" customFormat="false" ht="15" hidden="false" customHeight="false" outlineLevel="0" collapsed="false">
      <c r="B3409" s="7" t="s">
        <v>12042</v>
      </c>
      <c r="C3409" s="39" t="n">
        <v>45870</v>
      </c>
      <c r="D3409" s="7" t="s">
        <v>203</v>
      </c>
      <c r="E3409" s="7" t="s">
        <v>158</v>
      </c>
      <c r="H3409" s="41" t="n">
        <v>49.43</v>
      </c>
      <c r="M3409" s="6" t="n">
        <v>1</v>
      </c>
      <c r="N3409" s="43" t="n">
        <f aca="false">M3409*H3409</f>
        <v>49.43</v>
      </c>
      <c r="O3409" s="42" t="n">
        <f aca="false">N3409</f>
        <v>49.43</v>
      </c>
    </row>
    <row r="3410" customFormat="false" ht="15" hidden="false" customHeight="false" outlineLevel="0" collapsed="false">
      <c r="B3410" s="7" t="s">
        <v>12043</v>
      </c>
      <c r="C3410" s="39" t="n">
        <v>45870</v>
      </c>
      <c r="D3410" s="7" t="s">
        <v>260</v>
      </c>
      <c r="E3410" s="7" t="s">
        <v>158</v>
      </c>
      <c r="H3410" s="41" t="n">
        <v>79.8</v>
      </c>
      <c r="M3410" s="6" t="n">
        <v>1</v>
      </c>
      <c r="N3410" s="43" t="n">
        <f aca="false">M3410*H3410</f>
        <v>79.8</v>
      </c>
      <c r="O3410" s="42" t="n">
        <f aca="false">N3410</f>
        <v>79.8</v>
      </c>
    </row>
    <row r="3411" customFormat="false" ht="15" hidden="false" customHeight="false" outlineLevel="0" collapsed="false">
      <c r="B3411" s="7" t="s">
        <v>12044</v>
      </c>
      <c r="C3411" s="39" t="n">
        <v>45870</v>
      </c>
      <c r="D3411" s="7" t="s">
        <v>214</v>
      </c>
      <c r="E3411" s="7" t="s">
        <v>180</v>
      </c>
      <c r="F3411" s="6" t="n">
        <v>3.26</v>
      </c>
      <c r="G3411" s="6" t="n">
        <v>0</v>
      </c>
      <c r="H3411" s="41" t="n">
        <v>15.67</v>
      </c>
      <c r="I3411" s="43" t="n">
        <f aca="false">F3411*H3411</f>
        <v>51.0842</v>
      </c>
      <c r="J3411" s="43" t="n">
        <f aca="false">G3411*H3411*1.5</f>
        <v>0</v>
      </c>
      <c r="K3411" s="6" t="n">
        <v>9.23</v>
      </c>
      <c r="L3411" s="43" t="n">
        <f aca="false">K3411*'Chart of Accounts'!$E$68</f>
        <v>6.1841</v>
      </c>
      <c r="O3411" s="42" t="n">
        <f aca="false">I3411+J3411+L3411</f>
        <v>57.2683</v>
      </c>
    </row>
    <row r="3412" customFormat="false" ht="15" hidden="false" customHeight="false" outlineLevel="0" collapsed="false">
      <c r="B3412" s="7" t="s">
        <v>12045</v>
      </c>
      <c r="C3412" s="39" t="n">
        <v>45871</v>
      </c>
      <c r="D3412" s="7" t="s">
        <v>194</v>
      </c>
      <c r="E3412" s="7" t="s">
        <v>180</v>
      </c>
      <c r="F3412" s="6" t="n">
        <v>4.27</v>
      </c>
      <c r="G3412" s="6" t="n">
        <v>0</v>
      </c>
      <c r="H3412" s="41" t="n">
        <v>16</v>
      </c>
      <c r="I3412" s="43" t="n">
        <f aca="false">F3412*H3412</f>
        <v>68.32</v>
      </c>
      <c r="J3412" s="43" t="n">
        <f aca="false">G3412*H3412*1.5</f>
        <v>0</v>
      </c>
      <c r="K3412" s="6" t="n">
        <v>10.38</v>
      </c>
      <c r="L3412" s="43" t="n">
        <f aca="false">K3412*'Chart of Accounts'!$E$68</f>
        <v>6.9546</v>
      </c>
      <c r="O3412" s="42" t="n">
        <f aca="false">I3412+J3412+L3412</f>
        <v>75.2746</v>
      </c>
    </row>
    <row r="3413" customFormat="false" ht="15" hidden="false" customHeight="false" outlineLevel="0" collapsed="false">
      <c r="B3413" s="7" t="s">
        <v>12046</v>
      </c>
      <c r="C3413" s="39" t="n">
        <v>45871</v>
      </c>
      <c r="D3413" s="7" t="s">
        <v>218</v>
      </c>
      <c r="E3413" s="7" t="s">
        <v>180</v>
      </c>
      <c r="F3413" s="6" t="n">
        <v>4.28</v>
      </c>
      <c r="G3413" s="6" t="n">
        <v>0</v>
      </c>
      <c r="H3413" s="41" t="n">
        <v>16.19</v>
      </c>
      <c r="I3413" s="43" t="n">
        <f aca="false">F3413*H3413</f>
        <v>69.2932</v>
      </c>
      <c r="J3413" s="43" t="n">
        <f aca="false">G3413*H3413*1.5</f>
        <v>0</v>
      </c>
      <c r="K3413" s="6" t="n">
        <v>14.01</v>
      </c>
      <c r="L3413" s="43" t="n">
        <f aca="false">K3413*'Chart of Accounts'!$E$68</f>
        <v>9.3867</v>
      </c>
      <c r="O3413" s="42" t="n">
        <f aca="false">I3413+J3413+L3413</f>
        <v>78.6799</v>
      </c>
    </row>
    <row r="3414" customFormat="false" ht="15" hidden="false" customHeight="false" outlineLevel="0" collapsed="false">
      <c r="B3414" s="7" t="s">
        <v>12047</v>
      </c>
      <c r="C3414" s="39" t="n">
        <v>45871</v>
      </c>
      <c r="D3414" s="7" t="s">
        <v>214</v>
      </c>
      <c r="E3414" s="7" t="s">
        <v>180</v>
      </c>
      <c r="F3414" s="6" t="n">
        <v>4.01</v>
      </c>
      <c r="G3414" s="6" t="n">
        <v>0</v>
      </c>
      <c r="H3414" s="41" t="n">
        <v>15.67</v>
      </c>
      <c r="I3414" s="43" t="n">
        <f aca="false">F3414*H3414</f>
        <v>62.8367</v>
      </c>
      <c r="J3414" s="43" t="n">
        <f aca="false">G3414*H3414*1.5</f>
        <v>0</v>
      </c>
      <c r="K3414" s="6" t="n">
        <v>9.22</v>
      </c>
      <c r="L3414" s="43" t="n">
        <f aca="false">K3414*'Chart of Accounts'!$E$68</f>
        <v>6.1774</v>
      </c>
      <c r="O3414" s="42" t="n">
        <f aca="false">I3414+J3414+L3414</f>
        <v>69.0141</v>
      </c>
    </row>
    <row r="3415" customFormat="false" ht="15" hidden="false" customHeight="false" outlineLevel="0" collapsed="false">
      <c r="B3415" s="7" t="s">
        <v>12048</v>
      </c>
      <c r="C3415" s="39" t="n">
        <v>45871</v>
      </c>
      <c r="D3415" s="7" t="s">
        <v>196</v>
      </c>
      <c r="E3415" s="7" t="s">
        <v>180</v>
      </c>
      <c r="F3415" s="6" t="n">
        <v>3.376</v>
      </c>
      <c r="G3415" s="6" t="n">
        <v>0.254</v>
      </c>
      <c r="H3415" s="41" t="n">
        <v>15.05</v>
      </c>
      <c r="I3415" s="43" t="n">
        <f aca="false">F3415*H3415</f>
        <v>50.8088</v>
      </c>
      <c r="J3415" s="43" t="n">
        <f aca="false">G3415*H3415*1.5</f>
        <v>5.73405</v>
      </c>
      <c r="K3415" s="6" t="n">
        <v>9.61</v>
      </c>
      <c r="L3415" s="43" t="n">
        <f aca="false">K3415*'Chart of Accounts'!$E$68</f>
        <v>6.4387</v>
      </c>
      <c r="O3415" s="42" t="n">
        <f aca="false">I3415+J3415+L3415</f>
        <v>62.98155</v>
      </c>
    </row>
    <row r="3416" customFormat="false" ht="15" hidden="false" customHeight="false" outlineLevel="0" collapsed="false">
      <c r="B3416" s="7" t="s">
        <v>12049</v>
      </c>
      <c r="C3416" s="39" t="n">
        <v>45871</v>
      </c>
      <c r="D3416" s="7" t="s">
        <v>222</v>
      </c>
      <c r="E3416" s="7" t="s">
        <v>180</v>
      </c>
      <c r="F3416" s="6" t="n">
        <v>4.16</v>
      </c>
      <c r="G3416" s="6" t="n">
        <v>0</v>
      </c>
      <c r="H3416" s="41" t="n">
        <v>17.84</v>
      </c>
      <c r="I3416" s="43" t="n">
        <f aca="false">F3416*H3416</f>
        <v>74.2144</v>
      </c>
      <c r="J3416" s="43" t="n">
        <f aca="false">G3416*H3416*1.5</f>
        <v>0</v>
      </c>
      <c r="K3416" s="6" t="n">
        <v>11.37</v>
      </c>
      <c r="L3416" s="43" t="n">
        <f aca="false">K3416*'Chart of Accounts'!$E$68</f>
        <v>7.6179</v>
      </c>
      <c r="O3416" s="42" t="n">
        <f aca="false">I3416+J3416+L3416</f>
        <v>81.8323</v>
      </c>
    </row>
    <row r="3417" customFormat="false" ht="15" hidden="false" customHeight="false" outlineLevel="0" collapsed="false">
      <c r="B3417" s="7" t="s">
        <v>12050</v>
      </c>
      <c r="C3417" s="39" t="n">
        <v>45871</v>
      </c>
      <c r="D3417" s="7" t="s">
        <v>242</v>
      </c>
      <c r="E3417" s="7" t="s">
        <v>180</v>
      </c>
      <c r="F3417" s="6" t="n">
        <v>4.01</v>
      </c>
      <c r="G3417" s="6" t="n">
        <v>0</v>
      </c>
      <c r="H3417" s="41" t="n">
        <v>17.99</v>
      </c>
      <c r="I3417" s="43" t="n">
        <f aca="false">F3417*H3417</f>
        <v>72.1399</v>
      </c>
      <c r="J3417" s="43" t="n">
        <f aca="false">G3417*H3417*1.5</f>
        <v>0</v>
      </c>
      <c r="K3417" s="6" t="n">
        <v>12.24</v>
      </c>
      <c r="L3417" s="43" t="n">
        <f aca="false">K3417*'Chart of Accounts'!$E$68</f>
        <v>8.2008</v>
      </c>
      <c r="O3417" s="42" t="n">
        <f aca="false">I3417+J3417+L3417</f>
        <v>80.3407</v>
      </c>
    </row>
    <row r="3418" customFormat="false" ht="15" hidden="false" customHeight="false" outlineLevel="0" collapsed="false">
      <c r="B3418" s="7" t="s">
        <v>12051</v>
      </c>
      <c r="C3418" s="39" t="n">
        <v>45871</v>
      </c>
      <c r="D3418" s="7" t="s">
        <v>254</v>
      </c>
      <c r="E3418" s="7" t="s">
        <v>180</v>
      </c>
      <c r="F3418" s="6" t="n">
        <v>3.895</v>
      </c>
      <c r="G3418" s="6" t="n">
        <v>0.025</v>
      </c>
      <c r="H3418" s="41" t="n">
        <v>17.1</v>
      </c>
      <c r="I3418" s="43" t="n">
        <f aca="false">F3418*H3418</f>
        <v>66.6045</v>
      </c>
      <c r="J3418" s="43" t="n">
        <f aca="false">G3418*H3418*1.5</f>
        <v>0.64125</v>
      </c>
      <c r="K3418" s="6" t="n">
        <v>12.25</v>
      </c>
      <c r="L3418" s="43" t="n">
        <f aca="false">K3418*'Chart of Accounts'!$E$68</f>
        <v>8.2075</v>
      </c>
      <c r="O3418" s="42" t="n">
        <f aca="false">I3418+J3418+L3418</f>
        <v>75.45325</v>
      </c>
    </row>
    <row r="3419" customFormat="false" ht="15" hidden="false" customHeight="false" outlineLevel="0" collapsed="false">
      <c r="B3419" s="7" t="s">
        <v>12052</v>
      </c>
      <c r="C3419" s="39" t="n">
        <v>45872</v>
      </c>
      <c r="D3419" s="7" t="s">
        <v>222</v>
      </c>
      <c r="E3419" s="7" t="s">
        <v>180</v>
      </c>
      <c r="F3419" s="6" t="n">
        <v>8.61</v>
      </c>
      <c r="G3419" s="6" t="n">
        <v>0</v>
      </c>
      <c r="H3419" s="41" t="n">
        <v>17.84</v>
      </c>
      <c r="I3419" s="43" t="n">
        <f aca="false">F3419*H3419</f>
        <v>153.6024</v>
      </c>
      <c r="J3419" s="43" t="n">
        <f aca="false">G3419*H3419*1.5</f>
        <v>0</v>
      </c>
      <c r="K3419" s="6" t="n">
        <v>23.38</v>
      </c>
      <c r="L3419" s="43" t="n">
        <f aca="false">K3419*'Chart of Accounts'!$E$68</f>
        <v>15.6646</v>
      </c>
      <c r="O3419" s="42" t="n">
        <f aca="false">I3419+J3419+L3419</f>
        <v>169.267</v>
      </c>
    </row>
    <row r="3420" customFormat="false" ht="15" hidden="false" customHeight="false" outlineLevel="0" collapsed="false">
      <c r="B3420" s="7" t="s">
        <v>12053</v>
      </c>
      <c r="C3420" s="39" t="n">
        <v>45872</v>
      </c>
      <c r="D3420" s="7" t="s">
        <v>218</v>
      </c>
      <c r="E3420" s="7" t="s">
        <v>180</v>
      </c>
      <c r="F3420" s="6" t="n">
        <v>3.97</v>
      </c>
      <c r="G3420" s="6" t="n">
        <v>0</v>
      </c>
      <c r="H3420" s="41" t="n">
        <v>16.19</v>
      </c>
      <c r="I3420" s="43" t="n">
        <f aca="false">F3420*H3420</f>
        <v>64.2743</v>
      </c>
      <c r="J3420" s="43" t="n">
        <f aca="false">G3420*H3420*1.5</f>
        <v>0</v>
      </c>
      <c r="K3420" s="6" t="n">
        <v>12.61</v>
      </c>
      <c r="L3420" s="43" t="n">
        <f aca="false">K3420*'Chart of Accounts'!$E$68</f>
        <v>8.4487</v>
      </c>
      <c r="O3420" s="42" t="n">
        <f aca="false">I3420+J3420+L3420</f>
        <v>72.723</v>
      </c>
    </row>
    <row r="3421" customFormat="false" ht="15" hidden="false" customHeight="false" outlineLevel="0" collapsed="false">
      <c r="B3421" s="7" t="s">
        <v>12054</v>
      </c>
      <c r="C3421" s="39" t="n">
        <v>45872</v>
      </c>
      <c r="D3421" s="7" t="s">
        <v>201</v>
      </c>
      <c r="E3421" s="7" t="s">
        <v>180</v>
      </c>
      <c r="F3421" s="6" t="n">
        <v>3.65</v>
      </c>
      <c r="G3421" s="6" t="n">
        <v>0</v>
      </c>
      <c r="H3421" s="41" t="n">
        <v>15.19</v>
      </c>
      <c r="I3421" s="43" t="n">
        <f aca="false">F3421*H3421</f>
        <v>55.4435</v>
      </c>
      <c r="J3421" s="43" t="n">
        <f aca="false">G3421*H3421*1.5</f>
        <v>0</v>
      </c>
      <c r="K3421" s="6" t="n">
        <v>11</v>
      </c>
      <c r="L3421" s="43" t="n">
        <f aca="false">K3421*'Chart of Accounts'!$E$68</f>
        <v>7.37</v>
      </c>
      <c r="O3421" s="42" t="n">
        <f aca="false">I3421+J3421+L3421</f>
        <v>62.8135</v>
      </c>
    </row>
    <row r="3422" customFormat="false" ht="15" hidden="false" customHeight="false" outlineLevel="0" collapsed="false">
      <c r="B3422" s="7" t="s">
        <v>12055</v>
      </c>
      <c r="C3422" s="39" t="n">
        <v>45872</v>
      </c>
      <c r="D3422" s="7" t="s">
        <v>196</v>
      </c>
      <c r="E3422" s="7" t="s">
        <v>180</v>
      </c>
      <c r="F3422" s="6" t="n">
        <v>3.683</v>
      </c>
      <c r="G3422" s="6" t="n">
        <v>0.277</v>
      </c>
      <c r="H3422" s="41" t="n">
        <v>15.05</v>
      </c>
      <c r="I3422" s="43" t="n">
        <f aca="false">F3422*H3422</f>
        <v>55.42915</v>
      </c>
      <c r="J3422" s="43" t="n">
        <f aca="false">G3422*H3422*1.5</f>
        <v>6.253275</v>
      </c>
      <c r="K3422" s="6" t="n">
        <v>13.69</v>
      </c>
      <c r="L3422" s="43" t="n">
        <f aca="false">K3422*'Chart of Accounts'!$E$68</f>
        <v>9.1723</v>
      </c>
      <c r="O3422" s="42" t="n">
        <f aca="false">I3422+J3422+L3422</f>
        <v>70.854725</v>
      </c>
    </row>
    <row r="3423" customFormat="false" ht="15" hidden="false" customHeight="false" outlineLevel="0" collapsed="false">
      <c r="B3423" s="7" t="s">
        <v>12056</v>
      </c>
      <c r="C3423" s="39" t="n">
        <v>45872</v>
      </c>
      <c r="D3423" s="7" t="s">
        <v>242</v>
      </c>
      <c r="E3423" s="7" t="s">
        <v>180</v>
      </c>
      <c r="F3423" s="6" t="n">
        <v>4.17</v>
      </c>
      <c r="G3423" s="6" t="n">
        <v>0</v>
      </c>
      <c r="H3423" s="41" t="n">
        <v>17.99</v>
      </c>
      <c r="I3423" s="43" t="n">
        <f aca="false">F3423*H3423</f>
        <v>75.0183</v>
      </c>
      <c r="J3423" s="43" t="n">
        <f aca="false">G3423*H3423*1.5</f>
        <v>0</v>
      </c>
      <c r="K3423" s="6" t="n">
        <v>11.24</v>
      </c>
      <c r="L3423" s="43" t="n">
        <f aca="false">K3423*'Chart of Accounts'!$E$68</f>
        <v>7.5308</v>
      </c>
      <c r="O3423" s="42" t="n">
        <f aca="false">I3423+J3423+L3423</f>
        <v>82.5491</v>
      </c>
    </row>
    <row r="3424" customFormat="false" ht="15" hidden="false" customHeight="false" outlineLevel="0" collapsed="false">
      <c r="B3424" s="7" t="s">
        <v>12057</v>
      </c>
      <c r="C3424" s="39" t="n">
        <v>45872</v>
      </c>
      <c r="D3424" s="7" t="s">
        <v>254</v>
      </c>
      <c r="E3424" s="7" t="s">
        <v>180</v>
      </c>
      <c r="F3424" s="6" t="n">
        <v>4.093</v>
      </c>
      <c r="G3424" s="6" t="n">
        <v>0.027</v>
      </c>
      <c r="H3424" s="41" t="n">
        <v>17.1</v>
      </c>
      <c r="I3424" s="43" t="n">
        <f aca="false">F3424*H3424</f>
        <v>69.9903</v>
      </c>
      <c r="J3424" s="43" t="n">
        <f aca="false">G3424*H3424*1.5</f>
        <v>0.69255</v>
      </c>
      <c r="K3424" s="6" t="n">
        <v>11.92</v>
      </c>
      <c r="L3424" s="43" t="n">
        <f aca="false">K3424*'Chart of Accounts'!$E$68</f>
        <v>7.9864</v>
      </c>
      <c r="O3424" s="42" t="n">
        <f aca="false">I3424+J3424+L3424</f>
        <v>78.66925</v>
      </c>
    </row>
    <row r="3425" customFormat="false" ht="15" hidden="false" customHeight="false" outlineLevel="0" collapsed="false">
      <c r="B3425" s="7" t="s">
        <v>12058</v>
      </c>
      <c r="C3425" s="39" t="n">
        <v>45873</v>
      </c>
      <c r="D3425" s="7" t="s">
        <v>187</v>
      </c>
      <c r="E3425" s="7" t="s">
        <v>158</v>
      </c>
      <c r="H3425" s="41" t="n">
        <v>66.48</v>
      </c>
      <c r="M3425" s="6" t="n">
        <v>1</v>
      </c>
      <c r="N3425" s="43" t="n">
        <f aca="false">M3425*H3425</f>
        <v>66.48</v>
      </c>
      <c r="O3425" s="42" t="n">
        <f aca="false">N3425</f>
        <v>66.48</v>
      </c>
    </row>
    <row r="3426" customFormat="false" ht="15" hidden="false" customHeight="false" outlineLevel="0" collapsed="false">
      <c r="B3426" s="7" t="s">
        <v>12059</v>
      </c>
      <c r="C3426" s="39" t="n">
        <v>45873</v>
      </c>
      <c r="D3426" s="7" t="s">
        <v>205</v>
      </c>
      <c r="E3426" s="7" t="s">
        <v>180</v>
      </c>
      <c r="F3426" s="6" t="n">
        <v>8.27</v>
      </c>
      <c r="G3426" s="6" t="n">
        <v>0</v>
      </c>
      <c r="H3426" s="41" t="n">
        <v>16.36</v>
      </c>
      <c r="I3426" s="43" t="n">
        <f aca="false">F3426*H3426</f>
        <v>135.2972</v>
      </c>
      <c r="J3426" s="43" t="n">
        <f aca="false">G3426*H3426*1.5</f>
        <v>0</v>
      </c>
      <c r="K3426" s="6" t="n">
        <v>24.77</v>
      </c>
      <c r="L3426" s="43" t="n">
        <f aca="false">K3426*'Chart of Accounts'!$E$68</f>
        <v>16.5959</v>
      </c>
      <c r="O3426" s="42" t="n">
        <f aca="false">I3426+J3426+L3426</f>
        <v>151.8931</v>
      </c>
    </row>
    <row r="3427" customFormat="false" ht="15" hidden="false" customHeight="false" outlineLevel="0" collapsed="false">
      <c r="B3427" s="7" t="s">
        <v>12060</v>
      </c>
      <c r="C3427" s="39" t="n">
        <v>45873</v>
      </c>
      <c r="D3427" s="7" t="s">
        <v>194</v>
      </c>
      <c r="E3427" s="7" t="s">
        <v>180</v>
      </c>
      <c r="F3427" s="6" t="n">
        <v>8.65</v>
      </c>
      <c r="G3427" s="6" t="n">
        <v>0</v>
      </c>
      <c r="H3427" s="41" t="n">
        <v>16</v>
      </c>
      <c r="I3427" s="43" t="n">
        <f aca="false">F3427*H3427</f>
        <v>138.4</v>
      </c>
      <c r="J3427" s="43" t="n">
        <f aca="false">G3427*H3427*1.5</f>
        <v>0</v>
      </c>
      <c r="K3427" s="6" t="n">
        <v>26.44</v>
      </c>
      <c r="L3427" s="43" t="n">
        <f aca="false">K3427*'Chart of Accounts'!$E$68</f>
        <v>17.7148</v>
      </c>
      <c r="O3427" s="42" t="n">
        <f aca="false">I3427+J3427+L3427</f>
        <v>156.1148</v>
      </c>
    </row>
    <row r="3428" customFormat="false" ht="15" hidden="false" customHeight="false" outlineLevel="0" collapsed="false">
      <c r="B3428" s="7" t="s">
        <v>12061</v>
      </c>
      <c r="C3428" s="39" t="n">
        <v>45873</v>
      </c>
      <c r="D3428" s="7" t="s">
        <v>214</v>
      </c>
      <c r="E3428" s="7" t="s">
        <v>180</v>
      </c>
      <c r="F3428" s="6" t="n">
        <v>11.2</v>
      </c>
      <c r="G3428" s="6" t="n">
        <v>0</v>
      </c>
      <c r="H3428" s="41" t="n">
        <v>15.67</v>
      </c>
      <c r="I3428" s="43" t="n">
        <f aca="false">F3428*H3428</f>
        <v>175.504</v>
      </c>
      <c r="J3428" s="43" t="n">
        <f aca="false">G3428*H3428*1.5</f>
        <v>0</v>
      </c>
      <c r="K3428" s="6" t="n">
        <v>30.45</v>
      </c>
      <c r="L3428" s="43" t="n">
        <f aca="false">K3428*'Chart of Accounts'!$E$68</f>
        <v>20.4015</v>
      </c>
      <c r="O3428" s="42" t="n">
        <f aca="false">I3428+J3428+L3428</f>
        <v>195.9055</v>
      </c>
    </row>
    <row r="3429" customFormat="false" ht="15" hidden="false" customHeight="false" outlineLevel="0" collapsed="false">
      <c r="B3429" s="7" t="s">
        <v>12062</v>
      </c>
      <c r="C3429" s="39" t="n">
        <v>45873</v>
      </c>
      <c r="D3429" s="7" t="s">
        <v>201</v>
      </c>
      <c r="E3429" s="7" t="s">
        <v>180</v>
      </c>
      <c r="F3429" s="6" t="n">
        <v>9.45</v>
      </c>
      <c r="G3429" s="6" t="n">
        <v>0</v>
      </c>
      <c r="H3429" s="41" t="n">
        <v>15.19</v>
      </c>
      <c r="I3429" s="43" t="n">
        <f aca="false">F3429*H3429</f>
        <v>143.5455</v>
      </c>
      <c r="J3429" s="43" t="n">
        <f aca="false">G3429*H3429*1.5</f>
        <v>0</v>
      </c>
      <c r="K3429" s="6" t="n">
        <v>25.66</v>
      </c>
      <c r="L3429" s="43" t="n">
        <f aca="false">K3429*'Chart of Accounts'!$E$68</f>
        <v>17.1922</v>
      </c>
      <c r="O3429" s="42" t="n">
        <f aca="false">I3429+J3429+L3429</f>
        <v>160.7377</v>
      </c>
    </row>
    <row r="3430" customFormat="false" ht="15" hidden="false" customHeight="false" outlineLevel="0" collapsed="false">
      <c r="B3430" s="7" t="s">
        <v>12063</v>
      </c>
      <c r="C3430" s="39" t="n">
        <v>45873</v>
      </c>
      <c r="D3430" s="7" t="s">
        <v>264</v>
      </c>
      <c r="E3430" s="7" t="s">
        <v>158</v>
      </c>
      <c r="H3430" s="41" t="n">
        <v>55.55</v>
      </c>
      <c r="M3430" s="6" t="n">
        <v>1</v>
      </c>
      <c r="N3430" s="43" t="n">
        <f aca="false">M3430*H3430</f>
        <v>55.55</v>
      </c>
      <c r="O3430" s="42" t="n">
        <f aca="false">N3430</f>
        <v>55.55</v>
      </c>
    </row>
    <row r="3431" customFormat="false" ht="15" hidden="false" customHeight="false" outlineLevel="0" collapsed="false">
      <c r="B3431" s="7" t="s">
        <v>12064</v>
      </c>
      <c r="C3431" s="39" t="n">
        <v>45873</v>
      </c>
      <c r="D3431" s="7" t="s">
        <v>252</v>
      </c>
      <c r="E3431" s="7" t="s">
        <v>158</v>
      </c>
      <c r="H3431" s="41" t="n">
        <v>57.54</v>
      </c>
      <c r="M3431" s="6" t="n">
        <v>1</v>
      </c>
      <c r="N3431" s="43" t="n">
        <f aca="false">M3431*H3431</f>
        <v>57.54</v>
      </c>
      <c r="O3431" s="42" t="n">
        <f aca="false">N3431</f>
        <v>57.54</v>
      </c>
    </row>
    <row r="3432" customFormat="false" ht="15" hidden="false" customHeight="false" outlineLevel="0" collapsed="false">
      <c r="B3432" s="7" t="s">
        <v>12065</v>
      </c>
      <c r="C3432" s="39" t="n">
        <v>45873</v>
      </c>
      <c r="D3432" s="7" t="s">
        <v>196</v>
      </c>
      <c r="E3432" s="7" t="s">
        <v>180</v>
      </c>
      <c r="F3432" s="6" t="n">
        <v>10.21</v>
      </c>
      <c r="G3432" s="6" t="n">
        <v>0</v>
      </c>
      <c r="H3432" s="41" t="n">
        <v>15.05</v>
      </c>
      <c r="I3432" s="43" t="n">
        <f aca="false">F3432*H3432</f>
        <v>153.6605</v>
      </c>
      <c r="J3432" s="43" t="n">
        <f aca="false">G3432*H3432*1.5</f>
        <v>0</v>
      </c>
      <c r="K3432" s="6" t="n">
        <v>35.2</v>
      </c>
      <c r="L3432" s="43" t="n">
        <f aca="false">K3432*'Chart of Accounts'!$E$68</f>
        <v>23.584</v>
      </c>
      <c r="O3432" s="42" t="n">
        <f aca="false">I3432+J3432+L3432</f>
        <v>177.2445</v>
      </c>
    </row>
    <row r="3433" customFormat="false" ht="15" hidden="false" customHeight="false" outlineLevel="0" collapsed="false">
      <c r="B3433" s="7" t="s">
        <v>12066</v>
      </c>
      <c r="C3433" s="39" t="n">
        <v>45873</v>
      </c>
      <c r="D3433" s="7" t="s">
        <v>184</v>
      </c>
      <c r="E3433" s="7" t="s">
        <v>180</v>
      </c>
      <c r="F3433" s="6" t="n">
        <v>10.38</v>
      </c>
      <c r="G3433" s="6" t="n">
        <v>0</v>
      </c>
      <c r="H3433" s="41" t="n">
        <v>17.34</v>
      </c>
      <c r="I3433" s="43" t="n">
        <f aca="false">F3433*H3433</f>
        <v>179.9892</v>
      </c>
      <c r="J3433" s="43" t="n">
        <f aca="false">G3433*H3433*1.5</f>
        <v>0</v>
      </c>
      <c r="K3433" s="6" t="n">
        <v>27.55</v>
      </c>
      <c r="L3433" s="43" t="n">
        <f aca="false">K3433*'Chart of Accounts'!$E$68</f>
        <v>18.4585</v>
      </c>
      <c r="O3433" s="42" t="n">
        <f aca="false">I3433+J3433+L3433</f>
        <v>198.4477</v>
      </c>
    </row>
    <row r="3434" customFormat="false" ht="15" hidden="false" customHeight="false" outlineLevel="0" collapsed="false">
      <c r="B3434" s="7" t="s">
        <v>12067</v>
      </c>
      <c r="C3434" s="39" t="n">
        <v>45873</v>
      </c>
      <c r="D3434" s="7" t="s">
        <v>207</v>
      </c>
      <c r="E3434" s="7" t="s">
        <v>180</v>
      </c>
      <c r="F3434" s="6" t="n">
        <v>9.99</v>
      </c>
      <c r="G3434" s="6" t="n">
        <v>0</v>
      </c>
      <c r="H3434" s="41" t="n">
        <v>16.65</v>
      </c>
      <c r="I3434" s="43" t="n">
        <f aca="false">F3434*H3434</f>
        <v>166.3335</v>
      </c>
      <c r="J3434" s="43" t="n">
        <f aca="false">G3434*H3434*1.5</f>
        <v>0</v>
      </c>
      <c r="K3434" s="6" t="n">
        <v>31.05</v>
      </c>
      <c r="L3434" s="43" t="n">
        <f aca="false">K3434*'Chart of Accounts'!$E$68</f>
        <v>20.8035</v>
      </c>
      <c r="O3434" s="42" t="n">
        <f aca="false">I3434+J3434+L3434</f>
        <v>187.137</v>
      </c>
    </row>
    <row r="3435" customFormat="false" ht="15" hidden="false" customHeight="false" outlineLevel="0" collapsed="false">
      <c r="B3435" s="7" t="s">
        <v>12068</v>
      </c>
      <c r="C3435" s="39" t="n">
        <v>45873</v>
      </c>
      <c r="D3435" s="7" t="s">
        <v>218</v>
      </c>
      <c r="E3435" s="7" t="s">
        <v>180</v>
      </c>
      <c r="F3435" s="6" t="n">
        <v>4.01</v>
      </c>
      <c r="G3435" s="6" t="n">
        <v>0</v>
      </c>
      <c r="H3435" s="41" t="n">
        <v>16.19</v>
      </c>
      <c r="I3435" s="43" t="n">
        <f aca="false">F3435*H3435</f>
        <v>64.9219</v>
      </c>
      <c r="J3435" s="43" t="n">
        <f aca="false">G3435*H3435*1.5</f>
        <v>0</v>
      </c>
      <c r="K3435" s="6" t="n">
        <v>12.69</v>
      </c>
      <c r="L3435" s="43" t="n">
        <f aca="false">K3435*'Chart of Accounts'!$E$68</f>
        <v>8.5023</v>
      </c>
      <c r="O3435" s="42" t="n">
        <f aca="false">I3435+J3435+L3435</f>
        <v>73.4242</v>
      </c>
    </row>
    <row r="3436" customFormat="false" ht="15" hidden="false" customHeight="false" outlineLevel="0" collapsed="false">
      <c r="B3436" s="7" t="s">
        <v>12069</v>
      </c>
      <c r="C3436" s="39" t="n">
        <v>45873</v>
      </c>
      <c r="D3436" s="7" t="s">
        <v>220</v>
      </c>
      <c r="E3436" s="7" t="s">
        <v>180</v>
      </c>
      <c r="F3436" s="6" t="n">
        <v>4.11</v>
      </c>
      <c r="G3436" s="6" t="n">
        <v>0</v>
      </c>
      <c r="H3436" s="41" t="n">
        <v>16.43</v>
      </c>
      <c r="I3436" s="43" t="n">
        <f aca="false">F3436*H3436</f>
        <v>67.5273</v>
      </c>
      <c r="J3436" s="43" t="n">
        <f aca="false">G3436*H3436*1.5</f>
        <v>0</v>
      </c>
      <c r="K3436" s="6" t="n">
        <v>11.27</v>
      </c>
      <c r="L3436" s="43" t="n">
        <f aca="false">K3436*'Chart of Accounts'!$E$68</f>
        <v>7.5509</v>
      </c>
      <c r="O3436" s="42" t="n">
        <f aca="false">I3436+J3436+L3436</f>
        <v>75.0782</v>
      </c>
    </row>
    <row r="3437" customFormat="false" ht="15" hidden="false" customHeight="false" outlineLevel="0" collapsed="false">
      <c r="B3437" s="7" t="s">
        <v>12070</v>
      </c>
      <c r="C3437" s="39" t="n">
        <v>45873</v>
      </c>
      <c r="D3437" s="7" t="s">
        <v>177</v>
      </c>
      <c r="E3437" s="7" t="s">
        <v>180</v>
      </c>
      <c r="F3437" s="6" t="n">
        <v>9.1</v>
      </c>
      <c r="G3437" s="6" t="n">
        <v>0</v>
      </c>
      <c r="H3437" s="41" t="n">
        <v>14.56</v>
      </c>
      <c r="I3437" s="43" t="n">
        <f aca="false">F3437*H3437</f>
        <v>132.496</v>
      </c>
      <c r="J3437" s="43" t="n">
        <f aca="false">G3437*H3437*1.5</f>
        <v>0</v>
      </c>
      <c r="K3437" s="6" t="n">
        <v>27.19</v>
      </c>
      <c r="L3437" s="43" t="n">
        <f aca="false">K3437*'Chart of Accounts'!$E$68</f>
        <v>18.2173</v>
      </c>
      <c r="O3437" s="42" t="n">
        <f aca="false">I3437+J3437+L3437</f>
        <v>150.7133</v>
      </c>
    </row>
    <row r="3438" customFormat="false" ht="15" hidden="false" customHeight="false" outlineLevel="0" collapsed="false">
      <c r="B3438" s="7" t="s">
        <v>12071</v>
      </c>
      <c r="C3438" s="39" t="n">
        <v>45873</v>
      </c>
      <c r="D3438" s="7" t="s">
        <v>232</v>
      </c>
      <c r="E3438" s="7" t="s">
        <v>180</v>
      </c>
      <c r="F3438" s="6" t="n">
        <v>6.99</v>
      </c>
      <c r="G3438" s="6" t="n">
        <v>0</v>
      </c>
      <c r="H3438" s="41" t="n">
        <v>16.17</v>
      </c>
      <c r="I3438" s="43" t="n">
        <f aca="false">F3438*H3438</f>
        <v>113.0283</v>
      </c>
      <c r="J3438" s="43" t="n">
        <f aca="false">G3438*H3438*1.5</f>
        <v>0</v>
      </c>
      <c r="K3438" s="6" t="n">
        <v>21.56</v>
      </c>
      <c r="L3438" s="43" t="n">
        <f aca="false">K3438*'Chart of Accounts'!$E$68</f>
        <v>14.4452</v>
      </c>
      <c r="O3438" s="42" t="n">
        <f aca="false">I3438+J3438+L3438</f>
        <v>127.4735</v>
      </c>
    </row>
    <row r="3439" customFormat="false" ht="15" hidden="false" customHeight="false" outlineLevel="0" collapsed="false">
      <c r="B3439" s="7" t="s">
        <v>12072</v>
      </c>
      <c r="C3439" s="39" t="n">
        <v>45873</v>
      </c>
      <c r="D3439" s="7" t="s">
        <v>242</v>
      </c>
      <c r="E3439" s="7" t="s">
        <v>180</v>
      </c>
      <c r="F3439" s="6" t="n">
        <v>11.066</v>
      </c>
      <c r="G3439" s="6" t="n">
        <v>0.564</v>
      </c>
      <c r="H3439" s="41" t="n">
        <v>17.99</v>
      </c>
      <c r="I3439" s="43" t="n">
        <f aca="false">F3439*H3439</f>
        <v>199.07734</v>
      </c>
      <c r="J3439" s="43" t="n">
        <f aca="false">G3439*H3439*1.5</f>
        <v>15.21954</v>
      </c>
      <c r="K3439" s="6" t="n">
        <v>32.8</v>
      </c>
      <c r="L3439" s="43" t="n">
        <f aca="false">K3439*'Chart of Accounts'!$E$68</f>
        <v>21.976</v>
      </c>
      <c r="O3439" s="42" t="n">
        <f aca="false">I3439+J3439+L3439</f>
        <v>236.27288</v>
      </c>
    </row>
    <row r="3440" customFormat="false" ht="15" hidden="false" customHeight="false" outlineLevel="0" collapsed="false">
      <c r="B3440" s="7" t="s">
        <v>12073</v>
      </c>
      <c r="C3440" s="39" t="n">
        <v>45873</v>
      </c>
      <c r="D3440" s="7" t="s">
        <v>222</v>
      </c>
      <c r="E3440" s="7" t="s">
        <v>180</v>
      </c>
      <c r="F3440" s="6" t="n">
        <v>7.05</v>
      </c>
      <c r="G3440" s="6" t="n">
        <v>0</v>
      </c>
      <c r="H3440" s="41" t="n">
        <v>17.84</v>
      </c>
      <c r="I3440" s="43" t="n">
        <f aca="false">F3440*H3440</f>
        <v>125.772</v>
      </c>
      <c r="J3440" s="43" t="n">
        <f aca="false">G3440*H3440*1.5</f>
        <v>0</v>
      </c>
      <c r="K3440" s="6" t="n">
        <v>18.47</v>
      </c>
      <c r="L3440" s="43" t="n">
        <f aca="false">K3440*'Chart of Accounts'!$E$68</f>
        <v>12.3749</v>
      </c>
      <c r="O3440" s="42" t="n">
        <f aca="false">I3440+J3440+L3440</f>
        <v>138.1469</v>
      </c>
    </row>
    <row r="3441" customFormat="false" ht="15" hidden="false" customHeight="false" outlineLevel="0" collapsed="false">
      <c r="B3441" s="7" t="s">
        <v>12074</v>
      </c>
      <c r="C3441" s="39" t="n">
        <v>45873</v>
      </c>
      <c r="D3441" s="7" t="s">
        <v>238</v>
      </c>
      <c r="E3441" s="7" t="s">
        <v>180</v>
      </c>
      <c r="F3441" s="6" t="n">
        <v>8.48</v>
      </c>
      <c r="G3441" s="6" t="n">
        <v>0</v>
      </c>
      <c r="H3441" s="41" t="n">
        <v>15.85</v>
      </c>
      <c r="I3441" s="43" t="n">
        <f aca="false">F3441*H3441</f>
        <v>134.408</v>
      </c>
      <c r="J3441" s="43" t="n">
        <f aca="false">G3441*H3441*1.5</f>
        <v>0</v>
      </c>
      <c r="K3441" s="6" t="n">
        <v>22.98</v>
      </c>
      <c r="L3441" s="43" t="n">
        <f aca="false">K3441*'Chart of Accounts'!$E$68</f>
        <v>15.3966</v>
      </c>
      <c r="O3441" s="42" t="n">
        <f aca="false">I3441+J3441+L3441</f>
        <v>149.8046</v>
      </c>
    </row>
    <row r="3442" customFormat="false" ht="15" hidden="false" customHeight="false" outlineLevel="0" collapsed="false">
      <c r="B3442" s="7" t="s">
        <v>12075</v>
      </c>
      <c r="C3442" s="39" t="n">
        <v>45873</v>
      </c>
      <c r="D3442" s="7" t="s">
        <v>254</v>
      </c>
      <c r="E3442" s="7" t="s">
        <v>180</v>
      </c>
      <c r="F3442" s="6" t="n">
        <v>6.953</v>
      </c>
      <c r="G3442" s="6" t="n">
        <v>0.257</v>
      </c>
      <c r="H3442" s="41" t="n">
        <v>17.1</v>
      </c>
      <c r="I3442" s="43" t="n">
        <f aca="false">F3442*H3442</f>
        <v>118.8963</v>
      </c>
      <c r="J3442" s="43" t="n">
        <f aca="false">G3442*H3442*1.5</f>
        <v>6.59205</v>
      </c>
      <c r="K3442" s="6" t="n">
        <v>24.85</v>
      </c>
      <c r="L3442" s="43" t="n">
        <f aca="false">K3442*'Chart of Accounts'!$E$68</f>
        <v>16.6495</v>
      </c>
      <c r="O3442" s="42" t="n">
        <f aca="false">I3442+J3442+L3442</f>
        <v>142.13785</v>
      </c>
    </row>
    <row r="3443" customFormat="false" ht="15" hidden="false" customHeight="false" outlineLevel="0" collapsed="false">
      <c r="B3443" s="7" t="s">
        <v>12076</v>
      </c>
      <c r="C3443" s="39" t="n">
        <v>45873</v>
      </c>
      <c r="D3443" s="7" t="s">
        <v>246</v>
      </c>
      <c r="E3443" s="7" t="s">
        <v>180</v>
      </c>
      <c r="F3443" s="6" t="n">
        <v>8.44</v>
      </c>
      <c r="G3443" s="6" t="n">
        <v>0</v>
      </c>
      <c r="H3443" s="41" t="n">
        <v>16.48</v>
      </c>
      <c r="I3443" s="43" t="n">
        <f aca="false">F3443*H3443</f>
        <v>139.0912</v>
      </c>
      <c r="J3443" s="43" t="n">
        <f aca="false">G3443*H3443*1.5</f>
        <v>0</v>
      </c>
      <c r="K3443" s="6" t="n">
        <v>28.49</v>
      </c>
      <c r="L3443" s="43" t="n">
        <f aca="false">K3443*'Chart of Accounts'!$E$68</f>
        <v>19.0883</v>
      </c>
      <c r="O3443" s="42" t="n">
        <f aca="false">I3443+J3443+L3443</f>
        <v>158.1795</v>
      </c>
    </row>
    <row r="3444" customFormat="false" ht="15" hidden="false" customHeight="false" outlineLevel="0" collapsed="false">
      <c r="B3444" s="7" t="s">
        <v>12077</v>
      </c>
      <c r="C3444" s="39" t="n">
        <v>45873</v>
      </c>
      <c r="D3444" s="7" t="s">
        <v>224</v>
      </c>
      <c r="E3444" s="7" t="s">
        <v>180</v>
      </c>
      <c r="F3444" s="6" t="n">
        <v>4.7</v>
      </c>
      <c r="G3444" s="6" t="n">
        <v>0</v>
      </c>
      <c r="H3444" s="41" t="n">
        <v>14.93</v>
      </c>
      <c r="I3444" s="43" t="n">
        <f aca="false">F3444*H3444</f>
        <v>70.171</v>
      </c>
      <c r="J3444" s="43" t="n">
        <f aca="false">G3444*H3444*1.5</f>
        <v>0</v>
      </c>
      <c r="K3444" s="6" t="n">
        <v>16.25</v>
      </c>
      <c r="L3444" s="43" t="n">
        <f aca="false">K3444*'Chart of Accounts'!$E$68</f>
        <v>10.8875</v>
      </c>
      <c r="O3444" s="42" t="n">
        <f aca="false">I3444+J3444+L3444</f>
        <v>81.0585</v>
      </c>
    </row>
    <row r="3445" customFormat="false" ht="15" hidden="false" customHeight="false" outlineLevel="0" collapsed="false">
      <c r="B3445" s="7" t="s">
        <v>12078</v>
      </c>
      <c r="C3445" s="39" t="n">
        <v>45874</v>
      </c>
      <c r="D3445" s="7" t="s">
        <v>238</v>
      </c>
      <c r="E3445" s="7" t="s">
        <v>180</v>
      </c>
      <c r="F3445" s="6" t="n">
        <v>3.81</v>
      </c>
      <c r="G3445" s="6" t="n">
        <v>0</v>
      </c>
      <c r="H3445" s="41" t="n">
        <v>15.85</v>
      </c>
      <c r="I3445" s="43" t="n">
        <f aca="false">F3445*H3445</f>
        <v>60.3885</v>
      </c>
      <c r="J3445" s="43" t="n">
        <f aca="false">G3445*H3445*1.5</f>
        <v>0</v>
      </c>
      <c r="K3445" s="6" t="n">
        <v>11.36</v>
      </c>
      <c r="L3445" s="43" t="n">
        <f aca="false">K3445*'Chart of Accounts'!$E$68</f>
        <v>7.6112</v>
      </c>
      <c r="O3445" s="42" t="n">
        <f aca="false">I3445+J3445+L3445</f>
        <v>67.9997</v>
      </c>
    </row>
    <row r="3446" customFormat="false" ht="15" hidden="false" customHeight="false" outlineLevel="0" collapsed="false">
      <c r="B3446" s="7" t="s">
        <v>12079</v>
      </c>
      <c r="C3446" s="39" t="n">
        <v>45874</v>
      </c>
      <c r="D3446" s="7" t="s">
        <v>209</v>
      </c>
      <c r="E3446" s="7" t="s">
        <v>158</v>
      </c>
      <c r="H3446" s="41" t="n">
        <v>73.58</v>
      </c>
      <c r="M3446" s="6" t="n">
        <v>2</v>
      </c>
      <c r="N3446" s="43" t="n">
        <f aca="false">M3446*H3446</f>
        <v>147.16</v>
      </c>
      <c r="O3446" s="42" t="n">
        <f aca="false">N3446</f>
        <v>147.16</v>
      </c>
    </row>
    <row r="3447" customFormat="false" ht="15" hidden="false" customHeight="false" outlineLevel="0" collapsed="false">
      <c r="B3447" s="7" t="s">
        <v>12080</v>
      </c>
      <c r="C3447" s="39" t="n">
        <v>45874</v>
      </c>
      <c r="D3447" s="7" t="s">
        <v>184</v>
      </c>
      <c r="E3447" s="7" t="s">
        <v>180</v>
      </c>
      <c r="F3447" s="6" t="n">
        <v>3.85</v>
      </c>
      <c r="G3447" s="6" t="n">
        <v>0</v>
      </c>
      <c r="H3447" s="41" t="n">
        <v>17.34</v>
      </c>
      <c r="I3447" s="43" t="n">
        <f aca="false">F3447*H3447</f>
        <v>66.759</v>
      </c>
      <c r="J3447" s="43" t="n">
        <f aca="false">G3447*H3447*1.5</f>
        <v>0</v>
      </c>
      <c r="K3447" s="6" t="n">
        <v>11.83</v>
      </c>
      <c r="L3447" s="43" t="n">
        <f aca="false">K3447*'Chart of Accounts'!$E$68</f>
        <v>7.9261</v>
      </c>
      <c r="O3447" s="42" t="n">
        <f aca="false">I3447+J3447+L3447</f>
        <v>74.6851</v>
      </c>
    </row>
    <row r="3448" customFormat="false" ht="15" hidden="false" customHeight="false" outlineLevel="0" collapsed="false">
      <c r="B3448" s="7" t="s">
        <v>12081</v>
      </c>
      <c r="C3448" s="39" t="n">
        <v>45874</v>
      </c>
      <c r="D3448" s="7" t="s">
        <v>234</v>
      </c>
      <c r="E3448" s="7" t="s">
        <v>158</v>
      </c>
      <c r="H3448" s="41" t="n">
        <v>89.53</v>
      </c>
      <c r="M3448" s="6" t="n">
        <v>2</v>
      </c>
      <c r="N3448" s="43" t="n">
        <f aca="false">M3448*H3448</f>
        <v>179.06</v>
      </c>
      <c r="O3448" s="42" t="n">
        <f aca="false">N3448</f>
        <v>179.06</v>
      </c>
    </row>
    <row r="3449" customFormat="false" ht="15" hidden="false" customHeight="false" outlineLevel="0" collapsed="false">
      <c r="B3449" s="7" t="s">
        <v>12082</v>
      </c>
      <c r="C3449" s="39" t="n">
        <v>45874</v>
      </c>
      <c r="D3449" s="7" t="s">
        <v>266</v>
      </c>
      <c r="E3449" s="7" t="s">
        <v>158</v>
      </c>
      <c r="H3449" s="41" t="n">
        <v>75.18</v>
      </c>
      <c r="M3449" s="6" t="n">
        <v>1</v>
      </c>
      <c r="N3449" s="43" t="n">
        <f aca="false">M3449*H3449</f>
        <v>75.18</v>
      </c>
      <c r="O3449" s="42" t="n">
        <f aca="false">N3449</f>
        <v>75.18</v>
      </c>
    </row>
    <row r="3450" customFormat="false" ht="15" hidden="false" customHeight="false" outlineLevel="0" collapsed="false">
      <c r="B3450" s="7" t="s">
        <v>12083</v>
      </c>
      <c r="C3450" s="39" t="n">
        <v>45874</v>
      </c>
      <c r="D3450" s="7" t="s">
        <v>228</v>
      </c>
      <c r="E3450" s="7" t="s">
        <v>158</v>
      </c>
      <c r="H3450" s="41" t="n">
        <v>51.07</v>
      </c>
      <c r="M3450" s="6" t="n">
        <v>1</v>
      </c>
      <c r="N3450" s="43" t="n">
        <f aca="false">M3450*H3450</f>
        <v>51.07</v>
      </c>
      <c r="O3450" s="42" t="n">
        <f aca="false">N3450</f>
        <v>51.07</v>
      </c>
    </row>
    <row r="3451" customFormat="false" ht="15" hidden="false" customHeight="false" outlineLevel="0" collapsed="false">
      <c r="B3451" s="7" t="s">
        <v>12084</v>
      </c>
      <c r="C3451" s="39" t="n">
        <v>45874</v>
      </c>
      <c r="D3451" s="7" t="s">
        <v>220</v>
      </c>
      <c r="E3451" s="7" t="s">
        <v>180</v>
      </c>
      <c r="F3451" s="6" t="n">
        <v>3.87</v>
      </c>
      <c r="G3451" s="6" t="n">
        <v>0</v>
      </c>
      <c r="H3451" s="41" t="n">
        <v>16.43</v>
      </c>
      <c r="I3451" s="43" t="n">
        <f aca="false">F3451*H3451</f>
        <v>63.5841</v>
      </c>
      <c r="J3451" s="43" t="n">
        <f aca="false">G3451*H3451*1.5</f>
        <v>0</v>
      </c>
      <c r="K3451" s="6" t="n">
        <v>13.62</v>
      </c>
      <c r="L3451" s="43" t="n">
        <f aca="false">K3451*'Chart of Accounts'!$E$68</f>
        <v>9.1254</v>
      </c>
      <c r="O3451" s="42" t="n">
        <f aca="false">I3451+J3451+L3451</f>
        <v>72.7095</v>
      </c>
    </row>
    <row r="3452" customFormat="false" ht="15" hidden="false" customHeight="false" outlineLevel="0" collapsed="false">
      <c r="B3452" s="7" t="s">
        <v>12085</v>
      </c>
      <c r="C3452" s="39" t="n">
        <v>45874</v>
      </c>
      <c r="D3452" s="7" t="s">
        <v>244</v>
      </c>
      <c r="E3452" s="7" t="s">
        <v>180</v>
      </c>
      <c r="F3452" s="6" t="n">
        <v>4.03</v>
      </c>
      <c r="G3452" s="6" t="n">
        <v>0</v>
      </c>
      <c r="H3452" s="41" t="n">
        <v>16.39</v>
      </c>
      <c r="I3452" s="43" t="n">
        <f aca="false">F3452*H3452</f>
        <v>66.0517</v>
      </c>
      <c r="J3452" s="43" t="n">
        <f aca="false">G3452*H3452*1.5</f>
        <v>0</v>
      </c>
      <c r="K3452" s="6" t="n">
        <v>12.76</v>
      </c>
      <c r="L3452" s="43" t="n">
        <f aca="false">K3452*'Chart of Accounts'!$E$68</f>
        <v>8.5492</v>
      </c>
      <c r="O3452" s="42" t="n">
        <f aca="false">I3452+J3452+L3452</f>
        <v>74.6009</v>
      </c>
    </row>
    <row r="3453" customFormat="false" ht="15" hidden="false" customHeight="false" outlineLevel="0" collapsed="false">
      <c r="B3453" s="7" t="s">
        <v>12086</v>
      </c>
      <c r="C3453" s="39" t="n">
        <v>45874</v>
      </c>
      <c r="D3453" s="7" t="s">
        <v>194</v>
      </c>
      <c r="E3453" s="7" t="s">
        <v>180</v>
      </c>
      <c r="F3453" s="6" t="n">
        <v>3.88</v>
      </c>
      <c r="G3453" s="6" t="n">
        <v>0</v>
      </c>
      <c r="H3453" s="41" t="n">
        <v>16</v>
      </c>
      <c r="I3453" s="43" t="n">
        <f aca="false">F3453*H3453</f>
        <v>62.08</v>
      </c>
      <c r="J3453" s="43" t="n">
        <f aca="false">G3453*H3453*1.5</f>
        <v>0</v>
      </c>
      <c r="K3453" s="6" t="n">
        <v>9.25</v>
      </c>
      <c r="L3453" s="43" t="n">
        <f aca="false">K3453*'Chart of Accounts'!$E$68</f>
        <v>6.1975</v>
      </c>
      <c r="O3453" s="42" t="n">
        <f aca="false">I3453+J3453+L3453</f>
        <v>68.2775</v>
      </c>
    </row>
    <row r="3454" customFormat="false" ht="15" hidden="false" customHeight="false" outlineLevel="0" collapsed="false">
      <c r="B3454" s="7" t="s">
        <v>12087</v>
      </c>
      <c r="C3454" s="39" t="n">
        <v>45874</v>
      </c>
      <c r="D3454" s="7" t="s">
        <v>258</v>
      </c>
      <c r="E3454" s="7" t="s">
        <v>158</v>
      </c>
      <c r="H3454" s="41" t="n">
        <v>61.61</v>
      </c>
      <c r="M3454" s="6" t="n">
        <v>1</v>
      </c>
      <c r="N3454" s="43" t="n">
        <f aca="false">M3454*H3454</f>
        <v>61.61</v>
      </c>
      <c r="O3454" s="42" t="n">
        <f aca="false">N3454</f>
        <v>61.61</v>
      </c>
    </row>
    <row r="3455" customFormat="false" ht="15" hidden="false" customHeight="false" outlineLevel="0" collapsed="false">
      <c r="B3455" s="7" t="s">
        <v>12088</v>
      </c>
      <c r="C3455" s="39" t="n">
        <v>45874</v>
      </c>
      <c r="D3455" s="7" t="s">
        <v>230</v>
      </c>
      <c r="E3455" s="7" t="s">
        <v>158</v>
      </c>
      <c r="H3455" s="41" t="n">
        <v>48.78</v>
      </c>
      <c r="M3455" s="6" t="n">
        <v>1</v>
      </c>
      <c r="N3455" s="43" t="n">
        <f aca="false">M3455*H3455</f>
        <v>48.78</v>
      </c>
      <c r="O3455" s="42" t="n">
        <f aca="false">N3455</f>
        <v>48.78</v>
      </c>
    </row>
    <row r="3456" customFormat="false" ht="15" hidden="false" customHeight="false" outlineLevel="0" collapsed="false">
      <c r="B3456" s="7" t="s">
        <v>12089</v>
      </c>
      <c r="C3456" s="39" t="n">
        <v>45874</v>
      </c>
      <c r="D3456" s="7" t="s">
        <v>196</v>
      </c>
      <c r="E3456" s="7" t="s">
        <v>180</v>
      </c>
      <c r="F3456" s="6" t="n">
        <v>4.02</v>
      </c>
      <c r="G3456" s="6" t="n">
        <v>0</v>
      </c>
      <c r="H3456" s="41" t="n">
        <v>15.05</v>
      </c>
      <c r="I3456" s="43" t="n">
        <f aca="false">F3456*H3456</f>
        <v>60.501</v>
      </c>
      <c r="J3456" s="43" t="n">
        <f aca="false">G3456*H3456*1.5</f>
        <v>0</v>
      </c>
      <c r="K3456" s="6" t="n">
        <v>13.65</v>
      </c>
      <c r="L3456" s="43" t="n">
        <f aca="false">K3456*'Chart of Accounts'!$E$68</f>
        <v>9.1455</v>
      </c>
      <c r="O3456" s="42" t="n">
        <f aca="false">I3456+J3456+L3456</f>
        <v>69.6465</v>
      </c>
    </row>
    <row r="3457" customFormat="false" ht="15" hidden="false" customHeight="false" outlineLevel="0" collapsed="false">
      <c r="B3457" s="7" t="s">
        <v>12090</v>
      </c>
      <c r="C3457" s="39" t="n">
        <v>45874</v>
      </c>
      <c r="D3457" s="7" t="s">
        <v>246</v>
      </c>
      <c r="E3457" s="7" t="s">
        <v>180</v>
      </c>
      <c r="F3457" s="6" t="n">
        <v>4.39</v>
      </c>
      <c r="G3457" s="6" t="n">
        <v>0</v>
      </c>
      <c r="H3457" s="41" t="n">
        <v>16.48</v>
      </c>
      <c r="I3457" s="43" t="n">
        <f aca="false">F3457*H3457</f>
        <v>72.3472</v>
      </c>
      <c r="J3457" s="43" t="n">
        <f aca="false">G3457*H3457*1.5</f>
        <v>0</v>
      </c>
      <c r="K3457" s="6" t="n">
        <v>15.17</v>
      </c>
      <c r="L3457" s="43" t="n">
        <f aca="false">K3457*'Chart of Accounts'!$E$68</f>
        <v>10.1639</v>
      </c>
      <c r="O3457" s="42" t="n">
        <f aca="false">I3457+J3457+L3457</f>
        <v>82.5111</v>
      </c>
    </row>
    <row r="3458" customFormat="false" ht="15" hidden="false" customHeight="false" outlineLevel="0" collapsed="false">
      <c r="B3458" s="7" t="s">
        <v>12091</v>
      </c>
      <c r="C3458" s="39" t="n">
        <v>45874</v>
      </c>
      <c r="D3458" s="7" t="s">
        <v>222</v>
      </c>
      <c r="E3458" s="7" t="s">
        <v>180</v>
      </c>
      <c r="F3458" s="6" t="n">
        <v>3.87</v>
      </c>
      <c r="G3458" s="6" t="n">
        <v>0</v>
      </c>
      <c r="H3458" s="41" t="n">
        <v>17.84</v>
      </c>
      <c r="I3458" s="43" t="n">
        <f aca="false">F3458*H3458</f>
        <v>69.0408</v>
      </c>
      <c r="J3458" s="43" t="n">
        <f aca="false">G3458*H3458*1.5</f>
        <v>0</v>
      </c>
      <c r="K3458" s="6" t="n">
        <v>9.29</v>
      </c>
      <c r="L3458" s="43" t="n">
        <f aca="false">K3458*'Chart of Accounts'!$E$68</f>
        <v>6.2243</v>
      </c>
      <c r="O3458" s="42" t="n">
        <f aca="false">I3458+J3458+L3458</f>
        <v>75.2651</v>
      </c>
    </row>
    <row r="3459" customFormat="false" ht="15" hidden="false" customHeight="false" outlineLevel="0" collapsed="false">
      <c r="B3459" s="7" t="s">
        <v>12092</v>
      </c>
      <c r="C3459" s="39" t="n">
        <v>45874</v>
      </c>
      <c r="D3459" s="7" t="s">
        <v>242</v>
      </c>
      <c r="E3459" s="7" t="s">
        <v>180</v>
      </c>
      <c r="F3459" s="6" t="n">
        <v>3.501</v>
      </c>
      <c r="G3459" s="6" t="n">
        <v>0.179</v>
      </c>
      <c r="H3459" s="41" t="n">
        <v>17.99</v>
      </c>
      <c r="I3459" s="43" t="n">
        <f aca="false">F3459*H3459</f>
        <v>62.98299</v>
      </c>
      <c r="J3459" s="43" t="n">
        <f aca="false">G3459*H3459*1.5</f>
        <v>4.830315</v>
      </c>
      <c r="K3459" s="6" t="n">
        <v>12.9</v>
      </c>
      <c r="L3459" s="43" t="n">
        <f aca="false">K3459*'Chart of Accounts'!$E$68</f>
        <v>8.643</v>
      </c>
      <c r="O3459" s="42" t="n">
        <f aca="false">I3459+J3459+L3459</f>
        <v>76.456305</v>
      </c>
    </row>
    <row r="3460" customFormat="false" ht="15" hidden="false" customHeight="false" outlineLevel="0" collapsed="false">
      <c r="B3460" s="7" t="s">
        <v>12093</v>
      </c>
      <c r="C3460" s="39" t="n">
        <v>45874</v>
      </c>
      <c r="D3460" s="7" t="s">
        <v>203</v>
      </c>
      <c r="E3460" s="7" t="s">
        <v>158</v>
      </c>
      <c r="H3460" s="41" t="n">
        <v>49.43</v>
      </c>
      <c r="M3460" s="6" t="n">
        <v>1</v>
      </c>
      <c r="N3460" s="43" t="n">
        <f aca="false">M3460*H3460</f>
        <v>49.43</v>
      </c>
      <c r="O3460" s="42" t="n">
        <f aca="false">N3460</f>
        <v>49.43</v>
      </c>
    </row>
    <row r="3461" customFormat="false" ht="15" hidden="false" customHeight="false" outlineLevel="0" collapsed="false">
      <c r="B3461" s="7" t="s">
        <v>12094</v>
      </c>
      <c r="C3461" s="39" t="n">
        <v>45874</v>
      </c>
      <c r="D3461" s="7" t="s">
        <v>254</v>
      </c>
      <c r="E3461" s="7" t="s">
        <v>180</v>
      </c>
      <c r="F3461" s="6" t="n">
        <v>4.069</v>
      </c>
      <c r="G3461" s="6" t="n">
        <v>0.151</v>
      </c>
      <c r="H3461" s="41" t="n">
        <v>17.1</v>
      </c>
      <c r="I3461" s="43" t="n">
        <f aca="false">F3461*H3461</f>
        <v>69.5799</v>
      </c>
      <c r="J3461" s="43" t="n">
        <f aca="false">G3461*H3461*1.5</f>
        <v>3.87315</v>
      </c>
      <c r="K3461" s="6" t="n">
        <v>14.85</v>
      </c>
      <c r="L3461" s="43" t="n">
        <f aca="false">K3461*'Chart of Accounts'!$E$68</f>
        <v>9.9495</v>
      </c>
      <c r="O3461" s="42" t="n">
        <f aca="false">I3461+J3461+L3461</f>
        <v>83.40255</v>
      </c>
    </row>
    <row r="3462" customFormat="false" ht="15" hidden="false" customHeight="false" outlineLevel="0" collapsed="false">
      <c r="B3462" s="7" t="s">
        <v>12095</v>
      </c>
      <c r="C3462" s="39" t="n">
        <v>45874</v>
      </c>
      <c r="D3462" s="7" t="s">
        <v>260</v>
      </c>
      <c r="E3462" s="7" t="s">
        <v>158</v>
      </c>
      <c r="H3462" s="41" t="n">
        <v>79.8</v>
      </c>
      <c r="M3462" s="6" t="n">
        <v>1</v>
      </c>
      <c r="N3462" s="43" t="n">
        <f aca="false">M3462*H3462</f>
        <v>79.8</v>
      </c>
      <c r="O3462" s="42" t="n">
        <f aca="false">N3462</f>
        <v>79.8</v>
      </c>
    </row>
    <row r="3463" customFormat="false" ht="15" hidden="false" customHeight="false" outlineLevel="0" collapsed="false">
      <c r="B3463" s="7" t="s">
        <v>12096</v>
      </c>
      <c r="C3463" s="39" t="n">
        <v>45875</v>
      </c>
      <c r="D3463" s="7" t="s">
        <v>187</v>
      </c>
      <c r="E3463" s="7" t="s">
        <v>158</v>
      </c>
      <c r="H3463" s="41" t="n">
        <v>66.48</v>
      </c>
      <c r="M3463" s="6" t="n">
        <v>1</v>
      </c>
      <c r="N3463" s="43" t="n">
        <f aca="false">M3463*H3463</f>
        <v>66.48</v>
      </c>
      <c r="O3463" s="42" t="n">
        <f aca="false">N3463</f>
        <v>66.48</v>
      </c>
    </row>
    <row r="3464" customFormat="false" ht="15" hidden="false" customHeight="false" outlineLevel="0" collapsed="false">
      <c r="B3464" s="7" t="s">
        <v>12097</v>
      </c>
      <c r="C3464" s="39" t="n">
        <v>45875</v>
      </c>
      <c r="D3464" s="7" t="s">
        <v>207</v>
      </c>
      <c r="E3464" s="7" t="s">
        <v>180</v>
      </c>
      <c r="F3464" s="6" t="n">
        <v>7.18</v>
      </c>
      <c r="G3464" s="6" t="n">
        <v>0</v>
      </c>
      <c r="H3464" s="41" t="n">
        <v>16.65</v>
      </c>
      <c r="I3464" s="43" t="n">
        <f aca="false">F3464*H3464</f>
        <v>119.547</v>
      </c>
      <c r="J3464" s="43" t="n">
        <f aca="false">G3464*H3464*1.5</f>
        <v>0</v>
      </c>
      <c r="K3464" s="6" t="n">
        <v>24.78</v>
      </c>
      <c r="L3464" s="43" t="n">
        <f aca="false">K3464*'Chart of Accounts'!$E$68</f>
        <v>16.6026</v>
      </c>
      <c r="O3464" s="42" t="n">
        <f aca="false">I3464+J3464+L3464</f>
        <v>136.1496</v>
      </c>
    </row>
    <row r="3465" customFormat="false" ht="15" hidden="false" customHeight="false" outlineLevel="0" collapsed="false">
      <c r="B3465" s="7" t="s">
        <v>12098</v>
      </c>
      <c r="C3465" s="39" t="n">
        <v>45875</v>
      </c>
      <c r="D3465" s="7" t="s">
        <v>194</v>
      </c>
      <c r="E3465" s="7" t="s">
        <v>180</v>
      </c>
      <c r="F3465" s="6" t="n">
        <v>8.31</v>
      </c>
      <c r="G3465" s="6" t="n">
        <v>0</v>
      </c>
      <c r="H3465" s="41" t="n">
        <v>16</v>
      </c>
      <c r="I3465" s="43" t="n">
        <f aca="false">F3465*H3465</f>
        <v>132.96</v>
      </c>
      <c r="J3465" s="43" t="n">
        <f aca="false">G3465*H3465*1.5</f>
        <v>0</v>
      </c>
      <c r="K3465" s="6" t="n">
        <v>27.28</v>
      </c>
      <c r="L3465" s="43" t="n">
        <f aca="false">K3465*'Chart of Accounts'!$E$68</f>
        <v>18.2776</v>
      </c>
      <c r="O3465" s="42" t="n">
        <f aca="false">I3465+J3465+L3465</f>
        <v>151.2376</v>
      </c>
    </row>
    <row r="3466" customFormat="false" ht="15" hidden="false" customHeight="false" outlineLevel="0" collapsed="false">
      <c r="B3466" s="7" t="s">
        <v>12099</v>
      </c>
      <c r="C3466" s="39" t="n">
        <v>45875</v>
      </c>
      <c r="D3466" s="7" t="s">
        <v>214</v>
      </c>
      <c r="E3466" s="7" t="s">
        <v>180</v>
      </c>
      <c r="F3466" s="6" t="n">
        <v>6.61</v>
      </c>
      <c r="G3466" s="6" t="n">
        <v>0</v>
      </c>
      <c r="H3466" s="41" t="n">
        <v>15.67</v>
      </c>
      <c r="I3466" s="43" t="n">
        <f aca="false">F3466*H3466</f>
        <v>103.5787</v>
      </c>
      <c r="J3466" s="43" t="n">
        <f aca="false">G3466*H3466*1.5</f>
        <v>0</v>
      </c>
      <c r="K3466" s="6" t="n">
        <v>20.51</v>
      </c>
      <c r="L3466" s="43" t="n">
        <f aca="false">K3466*'Chart of Accounts'!$E$68</f>
        <v>13.7417</v>
      </c>
      <c r="O3466" s="42" t="n">
        <f aca="false">I3466+J3466+L3466</f>
        <v>117.3204</v>
      </c>
    </row>
    <row r="3467" customFormat="false" ht="15" hidden="false" customHeight="false" outlineLevel="0" collapsed="false">
      <c r="B3467" s="7" t="s">
        <v>12100</v>
      </c>
      <c r="C3467" s="39" t="n">
        <v>45875</v>
      </c>
      <c r="D3467" s="7" t="s">
        <v>205</v>
      </c>
      <c r="E3467" s="7" t="s">
        <v>180</v>
      </c>
      <c r="F3467" s="6" t="n">
        <v>3.87</v>
      </c>
      <c r="G3467" s="6" t="n">
        <v>0</v>
      </c>
      <c r="H3467" s="41" t="n">
        <v>16.36</v>
      </c>
      <c r="I3467" s="43" t="n">
        <f aca="false">F3467*H3467</f>
        <v>63.3132</v>
      </c>
      <c r="J3467" s="43" t="n">
        <f aca="false">G3467*H3467*1.5</f>
        <v>0</v>
      </c>
      <c r="K3467" s="6" t="n">
        <v>11.23</v>
      </c>
      <c r="L3467" s="43" t="n">
        <f aca="false">K3467*'Chart of Accounts'!$E$68</f>
        <v>7.5241</v>
      </c>
      <c r="O3467" s="42" t="n">
        <f aca="false">I3467+J3467+L3467</f>
        <v>70.8373</v>
      </c>
    </row>
    <row r="3468" customFormat="false" ht="15" hidden="false" customHeight="false" outlineLevel="0" collapsed="false">
      <c r="B3468" s="7" t="s">
        <v>12101</v>
      </c>
      <c r="C3468" s="39" t="n">
        <v>45875</v>
      </c>
      <c r="D3468" s="7" t="s">
        <v>264</v>
      </c>
      <c r="E3468" s="7" t="s">
        <v>158</v>
      </c>
      <c r="H3468" s="41" t="n">
        <v>55.55</v>
      </c>
      <c r="M3468" s="6" t="n">
        <v>1</v>
      </c>
      <c r="N3468" s="43" t="n">
        <f aca="false">M3468*H3468</f>
        <v>55.55</v>
      </c>
      <c r="O3468" s="42" t="n">
        <f aca="false">N3468</f>
        <v>55.55</v>
      </c>
    </row>
    <row r="3469" customFormat="false" ht="15" hidden="false" customHeight="false" outlineLevel="0" collapsed="false">
      <c r="B3469" s="7" t="s">
        <v>12102</v>
      </c>
      <c r="C3469" s="39" t="n">
        <v>45875</v>
      </c>
      <c r="D3469" s="7" t="s">
        <v>252</v>
      </c>
      <c r="E3469" s="7" t="s">
        <v>158</v>
      </c>
      <c r="H3469" s="41" t="n">
        <v>57.54</v>
      </c>
      <c r="M3469" s="6" t="n">
        <v>1</v>
      </c>
      <c r="N3469" s="43" t="n">
        <f aca="false">M3469*H3469</f>
        <v>57.54</v>
      </c>
      <c r="O3469" s="42" t="n">
        <f aca="false">N3469</f>
        <v>57.54</v>
      </c>
    </row>
    <row r="3470" customFormat="false" ht="15" hidden="false" customHeight="false" outlineLevel="0" collapsed="false">
      <c r="B3470" s="7" t="s">
        <v>12103</v>
      </c>
      <c r="C3470" s="39" t="n">
        <v>45875</v>
      </c>
      <c r="D3470" s="7" t="s">
        <v>184</v>
      </c>
      <c r="E3470" s="7" t="s">
        <v>180</v>
      </c>
      <c r="F3470" s="6" t="n">
        <v>4.07</v>
      </c>
      <c r="G3470" s="6" t="n">
        <v>0</v>
      </c>
      <c r="H3470" s="41" t="n">
        <v>17.34</v>
      </c>
      <c r="I3470" s="43" t="n">
        <f aca="false">F3470*H3470</f>
        <v>70.5738</v>
      </c>
      <c r="J3470" s="43" t="n">
        <f aca="false">G3470*H3470*1.5</f>
        <v>0</v>
      </c>
      <c r="K3470" s="6" t="n">
        <v>13.37</v>
      </c>
      <c r="L3470" s="43" t="n">
        <f aca="false">K3470*'Chart of Accounts'!$E$68</f>
        <v>8.9579</v>
      </c>
      <c r="O3470" s="42" t="n">
        <f aca="false">I3470+J3470+L3470</f>
        <v>79.5317</v>
      </c>
    </row>
    <row r="3471" customFormat="false" ht="15" hidden="false" customHeight="false" outlineLevel="0" collapsed="false">
      <c r="B3471" s="7" t="s">
        <v>12104</v>
      </c>
      <c r="C3471" s="39" t="n">
        <v>45875</v>
      </c>
      <c r="D3471" s="7" t="s">
        <v>216</v>
      </c>
      <c r="E3471" s="7" t="s">
        <v>158</v>
      </c>
      <c r="H3471" s="41" t="n">
        <v>61.79</v>
      </c>
      <c r="M3471" s="6" t="n">
        <v>1</v>
      </c>
      <c r="N3471" s="43" t="n">
        <f aca="false">M3471*H3471</f>
        <v>61.79</v>
      </c>
      <c r="O3471" s="42" t="n">
        <f aca="false">N3471</f>
        <v>61.79</v>
      </c>
    </row>
    <row r="3472" customFormat="false" ht="15" hidden="false" customHeight="false" outlineLevel="0" collapsed="false">
      <c r="B3472" s="7" t="s">
        <v>12105</v>
      </c>
      <c r="C3472" s="39" t="n">
        <v>45875</v>
      </c>
      <c r="D3472" s="7" t="s">
        <v>218</v>
      </c>
      <c r="E3472" s="7" t="s">
        <v>180</v>
      </c>
      <c r="F3472" s="6" t="n">
        <v>7.53</v>
      </c>
      <c r="G3472" s="6" t="n">
        <v>0</v>
      </c>
      <c r="H3472" s="41" t="n">
        <v>16.19</v>
      </c>
      <c r="I3472" s="43" t="n">
        <f aca="false">F3472*H3472</f>
        <v>121.9107</v>
      </c>
      <c r="J3472" s="43" t="n">
        <f aca="false">G3472*H3472*1.5</f>
        <v>0</v>
      </c>
      <c r="K3472" s="6" t="n">
        <v>17.35</v>
      </c>
      <c r="L3472" s="43" t="n">
        <f aca="false">K3472*'Chart of Accounts'!$E$68</f>
        <v>11.6245</v>
      </c>
      <c r="O3472" s="42" t="n">
        <f aca="false">I3472+J3472+L3472</f>
        <v>133.5352</v>
      </c>
    </row>
    <row r="3473" customFormat="false" ht="15" hidden="false" customHeight="false" outlineLevel="0" collapsed="false">
      <c r="B3473" s="7" t="s">
        <v>12106</v>
      </c>
      <c r="C3473" s="39" t="n">
        <v>45875</v>
      </c>
      <c r="D3473" s="7" t="s">
        <v>220</v>
      </c>
      <c r="E3473" s="7" t="s">
        <v>180</v>
      </c>
      <c r="F3473" s="6" t="n">
        <v>3.8</v>
      </c>
      <c r="G3473" s="6" t="n">
        <v>0</v>
      </c>
      <c r="H3473" s="41" t="n">
        <v>16.43</v>
      </c>
      <c r="I3473" s="43" t="n">
        <f aca="false">F3473*H3473</f>
        <v>62.434</v>
      </c>
      <c r="J3473" s="43" t="n">
        <f aca="false">G3473*H3473*1.5</f>
        <v>0</v>
      </c>
      <c r="K3473" s="6" t="n">
        <v>11.82</v>
      </c>
      <c r="L3473" s="43" t="n">
        <f aca="false">K3473*'Chart of Accounts'!$E$68</f>
        <v>7.9194</v>
      </c>
      <c r="O3473" s="42" t="n">
        <f aca="false">I3473+J3473+L3473</f>
        <v>70.3534</v>
      </c>
    </row>
    <row r="3474" customFormat="false" ht="15" hidden="false" customHeight="false" outlineLevel="0" collapsed="false">
      <c r="B3474" s="7" t="s">
        <v>12107</v>
      </c>
      <c r="C3474" s="39" t="n">
        <v>45875</v>
      </c>
      <c r="D3474" s="7" t="s">
        <v>177</v>
      </c>
      <c r="E3474" s="7" t="s">
        <v>180</v>
      </c>
      <c r="F3474" s="6" t="n">
        <v>8.59</v>
      </c>
      <c r="G3474" s="6" t="n">
        <v>0</v>
      </c>
      <c r="H3474" s="41" t="n">
        <v>14.56</v>
      </c>
      <c r="I3474" s="43" t="n">
        <f aca="false">F3474*H3474</f>
        <v>125.0704</v>
      </c>
      <c r="J3474" s="43" t="n">
        <f aca="false">G3474*H3474*1.5</f>
        <v>0</v>
      </c>
      <c r="K3474" s="6" t="n">
        <v>20.06</v>
      </c>
      <c r="L3474" s="43" t="n">
        <f aca="false">K3474*'Chart of Accounts'!$E$68</f>
        <v>13.4402</v>
      </c>
      <c r="O3474" s="42" t="n">
        <f aca="false">I3474+J3474+L3474</f>
        <v>138.5106</v>
      </c>
    </row>
    <row r="3475" customFormat="false" ht="15" hidden="false" customHeight="false" outlineLevel="0" collapsed="false">
      <c r="B3475" s="7" t="s">
        <v>12108</v>
      </c>
      <c r="C3475" s="39" t="n">
        <v>45875</v>
      </c>
      <c r="D3475" s="7" t="s">
        <v>242</v>
      </c>
      <c r="E3475" s="7" t="s">
        <v>180</v>
      </c>
      <c r="F3475" s="6" t="n">
        <v>7.269</v>
      </c>
      <c r="G3475" s="6" t="n">
        <v>0.371</v>
      </c>
      <c r="H3475" s="41" t="n">
        <v>17.99</v>
      </c>
      <c r="I3475" s="43" t="n">
        <f aca="false">F3475*H3475</f>
        <v>130.76931</v>
      </c>
      <c r="J3475" s="43" t="n">
        <f aca="false">G3475*H3475*1.5</f>
        <v>10.011435</v>
      </c>
      <c r="K3475" s="6" t="n">
        <v>17.53</v>
      </c>
      <c r="L3475" s="43" t="n">
        <f aca="false">K3475*'Chart of Accounts'!$E$68</f>
        <v>11.7451</v>
      </c>
      <c r="O3475" s="42" t="n">
        <f aca="false">I3475+J3475+L3475</f>
        <v>152.525845</v>
      </c>
    </row>
    <row r="3476" customFormat="false" ht="15" hidden="false" customHeight="false" outlineLevel="0" collapsed="false">
      <c r="B3476" s="7" t="s">
        <v>12109</v>
      </c>
      <c r="C3476" s="39" t="n">
        <v>45875</v>
      </c>
      <c r="D3476" s="7" t="s">
        <v>238</v>
      </c>
      <c r="E3476" s="7" t="s">
        <v>180</v>
      </c>
      <c r="F3476" s="6" t="n">
        <v>9.2</v>
      </c>
      <c r="G3476" s="6" t="n">
        <v>0</v>
      </c>
      <c r="H3476" s="41" t="n">
        <v>15.85</v>
      </c>
      <c r="I3476" s="43" t="n">
        <f aca="false">F3476*H3476</f>
        <v>145.82</v>
      </c>
      <c r="J3476" s="43" t="n">
        <f aca="false">G3476*H3476*1.5</f>
        <v>0</v>
      </c>
      <c r="K3476" s="6" t="n">
        <v>28.34</v>
      </c>
      <c r="L3476" s="43" t="n">
        <f aca="false">K3476*'Chart of Accounts'!$E$68</f>
        <v>18.9878</v>
      </c>
      <c r="O3476" s="42" t="n">
        <f aca="false">I3476+J3476+L3476</f>
        <v>164.8078</v>
      </c>
    </row>
    <row r="3477" customFormat="false" ht="15" hidden="false" customHeight="false" outlineLevel="0" collapsed="false">
      <c r="B3477" s="7" t="s">
        <v>12110</v>
      </c>
      <c r="C3477" s="39" t="n">
        <v>45875</v>
      </c>
      <c r="D3477" s="7" t="s">
        <v>254</v>
      </c>
      <c r="E3477" s="7" t="s">
        <v>180</v>
      </c>
      <c r="F3477" s="6" t="n">
        <v>7.02</v>
      </c>
      <c r="G3477" s="6" t="n">
        <v>0.26</v>
      </c>
      <c r="H3477" s="41" t="n">
        <v>17.1</v>
      </c>
      <c r="I3477" s="43" t="n">
        <f aca="false">F3477*H3477</f>
        <v>120.042</v>
      </c>
      <c r="J3477" s="43" t="n">
        <f aca="false">G3477*H3477*1.5</f>
        <v>6.669</v>
      </c>
      <c r="K3477" s="6" t="n">
        <v>17.9</v>
      </c>
      <c r="L3477" s="43" t="n">
        <f aca="false">K3477*'Chart of Accounts'!$E$68</f>
        <v>11.993</v>
      </c>
      <c r="O3477" s="42" t="n">
        <f aca="false">I3477+J3477+L3477</f>
        <v>138.704</v>
      </c>
    </row>
    <row r="3478" customFormat="false" ht="15" hidden="false" customHeight="false" outlineLevel="0" collapsed="false">
      <c r="B3478" s="7" t="s">
        <v>12111</v>
      </c>
      <c r="C3478" s="39" t="n">
        <v>45875</v>
      </c>
      <c r="D3478" s="7" t="s">
        <v>201</v>
      </c>
      <c r="E3478" s="7" t="s">
        <v>180</v>
      </c>
      <c r="F3478" s="6" t="n">
        <v>6.99</v>
      </c>
      <c r="G3478" s="6" t="n">
        <v>0</v>
      </c>
      <c r="H3478" s="41" t="n">
        <v>15.19</v>
      </c>
      <c r="I3478" s="43" t="n">
        <f aca="false">F3478*H3478</f>
        <v>106.1781</v>
      </c>
      <c r="J3478" s="43" t="n">
        <f aca="false">G3478*H3478*1.5</f>
        <v>0</v>
      </c>
      <c r="K3478" s="6" t="n">
        <v>18.31</v>
      </c>
      <c r="L3478" s="43" t="n">
        <f aca="false">K3478*'Chart of Accounts'!$E$68</f>
        <v>12.2677</v>
      </c>
      <c r="O3478" s="42" t="n">
        <f aca="false">I3478+J3478+L3478</f>
        <v>118.4458</v>
      </c>
    </row>
    <row r="3479" customFormat="false" ht="15" hidden="false" customHeight="false" outlineLevel="0" collapsed="false">
      <c r="B3479" s="7" t="s">
        <v>12112</v>
      </c>
      <c r="C3479" s="39" t="n">
        <v>45875</v>
      </c>
      <c r="D3479" s="7" t="s">
        <v>232</v>
      </c>
      <c r="E3479" s="7" t="s">
        <v>180</v>
      </c>
      <c r="F3479" s="6" t="n">
        <v>4.29</v>
      </c>
      <c r="G3479" s="6" t="n">
        <v>0</v>
      </c>
      <c r="H3479" s="41" t="n">
        <v>16.17</v>
      </c>
      <c r="I3479" s="43" t="n">
        <f aca="false">F3479*H3479</f>
        <v>69.3693</v>
      </c>
      <c r="J3479" s="43" t="n">
        <f aca="false">G3479*H3479*1.5</f>
        <v>0</v>
      </c>
      <c r="K3479" s="6" t="n">
        <v>14.89</v>
      </c>
      <c r="L3479" s="43" t="n">
        <f aca="false">K3479*'Chart of Accounts'!$E$68</f>
        <v>9.9763</v>
      </c>
      <c r="O3479" s="42" t="n">
        <f aca="false">I3479+J3479+L3479</f>
        <v>79.3456</v>
      </c>
    </row>
    <row r="3480" customFormat="false" ht="15" hidden="false" customHeight="false" outlineLevel="0" collapsed="false">
      <c r="B3480" s="7" t="s">
        <v>12113</v>
      </c>
      <c r="C3480" s="39" t="n">
        <v>45875</v>
      </c>
      <c r="D3480" s="7" t="s">
        <v>224</v>
      </c>
      <c r="E3480" s="7" t="s">
        <v>180</v>
      </c>
      <c r="F3480" s="6" t="n">
        <v>5.03</v>
      </c>
      <c r="G3480" s="6" t="n">
        <v>0</v>
      </c>
      <c r="H3480" s="41" t="n">
        <v>14.93</v>
      </c>
      <c r="I3480" s="43" t="n">
        <f aca="false">F3480*H3480</f>
        <v>75.0979</v>
      </c>
      <c r="J3480" s="43" t="n">
        <f aca="false">G3480*H3480*1.5</f>
        <v>0</v>
      </c>
      <c r="K3480" s="6" t="n">
        <v>14.53</v>
      </c>
      <c r="L3480" s="43" t="n">
        <f aca="false">K3480*'Chart of Accounts'!$E$68</f>
        <v>9.7351</v>
      </c>
      <c r="O3480" s="42" t="n">
        <f aca="false">I3480+J3480+L3480</f>
        <v>84.833</v>
      </c>
    </row>
    <row r="3481" customFormat="false" ht="15" hidden="false" customHeight="false" outlineLevel="0" collapsed="false">
      <c r="B3481" s="7" t="s">
        <v>12114</v>
      </c>
      <c r="C3481" s="39" t="n">
        <v>45875</v>
      </c>
      <c r="D3481" s="7" t="s">
        <v>196</v>
      </c>
      <c r="E3481" s="7" t="s">
        <v>180</v>
      </c>
      <c r="F3481" s="6" t="n">
        <v>4.27</v>
      </c>
      <c r="G3481" s="6" t="n">
        <v>0</v>
      </c>
      <c r="H3481" s="41" t="n">
        <v>15.05</v>
      </c>
      <c r="I3481" s="43" t="n">
        <f aca="false">F3481*H3481</f>
        <v>64.2635</v>
      </c>
      <c r="J3481" s="43" t="n">
        <f aca="false">G3481*H3481*1.5</f>
        <v>0</v>
      </c>
      <c r="K3481" s="6" t="n">
        <v>13.64</v>
      </c>
      <c r="L3481" s="43" t="n">
        <f aca="false">K3481*'Chart of Accounts'!$E$68</f>
        <v>9.1388</v>
      </c>
      <c r="O3481" s="42" t="n">
        <f aca="false">I3481+J3481+L3481</f>
        <v>73.4023</v>
      </c>
    </row>
    <row r="3482" customFormat="false" ht="15" hidden="false" customHeight="false" outlineLevel="0" collapsed="false">
      <c r="B3482" s="7" t="s">
        <v>12115</v>
      </c>
      <c r="C3482" s="39" t="n">
        <v>45875</v>
      </c>
      <c r="D3482" s="7" t="s">
        <v>246</v>
      </c>
      <c r="E3482" s="7" t="s">
        <v>180</v>
      </c>
      <c r="F3482" s="6" t="n">
        <v>4.29</v>
      </c>
      <c r="G3482" s="6" t="n">
        <v>0</v>
      </c>
      <c r="H3482" s="41" t="n">
        <v>16.48</v>
      </c>
      <c r="I3482" s="43" t="n">
        <f aca="false">F3482*H3482</f>
        <v>70.6992</v>
      </c>
      <c r="J3482" s="43" t="n">
        <f aca="false">G3482*H3482*1.5</f>
        <v>0</v>
      </c>
      <c r="K3482" s="6" t="n">
        <v>11.36</v>
      </c>
      <c r="L3482" s="43" t="n">
        <f aca="false">K3482*'Chart of Accounts'!$E$68</f>
        <v>7.6112</v>
      </c>
      <c r="O3482" s="42" t="n">
        <f aca="false">I3482+J3482+L3482</f>
        <v>78.3104</v>
      </c>
    </row>
    <row r="3483" customFormat="false" ht="15" hidden="false" customHeight="false" outlineLevel="0" collapsed="false">
      <c r="B3483" s="7" t="s">
        <v>12116</v>
      </c>
      <c r="C3483" s="39" t="n">
        <v>45875</v>
      </c>
      <c r="D3483" s="7" t="s">
        <v>222</v>
      </c>
      <c r="E3483" s="7" t="s">
        <v>180</v>
      </c>
      <c r="F3483" s="6" t="n">
        <v>4.06</v>
      </c>
      <c r="G3483" s="6" t="n">
        <v>0</v>
      </c>
      <c r="H3483" s="41" t="n">
        <v>17.84</v>
      </c>
      <c r="I3483" s="43" t="n">
        <f aca="false">F3483*H3483</f>
        <v>72.4304</v>
      </c>
      <c r="J3483" s="43" t="n">
        <f aca="false">G3483*H3483*1.5</f>
        <v>0</v>
      </c>
      <c r="K3483" s="6" t="n">
        <v>9.27</v>
      </c>
      <c r="L3483" s="43" t="n">
        <f aca="false">K3483*'Chart of Accounts'!$E$68</f>
        <v>6.2109</v>
      </c>
      <c r="O3483" s="42" t="n">
        <f aca="false">I3483+J3483+L3483</f>
        <v>78.6413</v>
      </c>
    </row>
    <row r="3484" customFormat="false" ht="15" hidden="false" customHeight="false" outlineLevel="0" collapsed="false">
      <c r="B3484" s="7" t="s">
        <v>12117</v>
      </c>
      <c r="C3484" s="39" t="n">
        <v>45875</v>
      </c>
      <c r="D3484" s="7" t="s">
        <v>203</v>
      </c>
      <c r="E3484" s="7" t="s">
        <v>158</v>
      </c>
      <c r="H3484" s="41" t="n">
        <v>49.43</v>
      </c>
      <c r="M3484" s="6" t="n">
        <v>1</v>
      </c>
      <c r="N3484" s="43" t="n">
        <f aca="false">M3484*H3484</f>
        <v>49.43</v>
      </c>
      <c r="O3484" s="42" t="n">
        <f aca="false">N3484</f>
        <v>49.43</v>
      </c>
    </row>
    <row r="3485" customFormat="false" ht="15" hidden="false" customHeight="false" outlineLevel="0" collapsed="false">
      <c r="B3485" s="7" t="s">
        <v>12118</v>
      </c>
      <c r="C3485" s="39" t="n">
        <v>45876</v>
      </c>
      <c r="D3485" s="7" t="s">
        <v>214</v>
      </c>
      <c r="E3485" s="7" t="s">
        <v>180</v>
      </c>
      <c r="F3485" s="6" t="n">
        <v>7.65</v>
      </c>
      <c r="G3485" s="6" t="n">
        <v>0</v>
      </c>
      <c r="H3485" s="41" t="n">
        <v>15.67</v>
      </c>
      <c r="I3485" s="43" t="n">
        <f aca="false">F3485*H3485</f>
        <v>119.8755</v>
      </c>
      <c r="J3485" s="43" t="n">
        <f aca="false">G3485*H3485*1.5</f>
        <v>0</v>
      </c>
      <c r="K3485" s="6" t="n">
        <v>19.02</v>
      </c>
      <c r="L3485" s="43" t="n">
        <f aca="false">K3485*'Chart of Accounts'!$E$68</f>
        <v>12.7434</v>
      </c>
      <c r="O3485" s="42" t="n">
        <f aca="false">I3485+J3485+L3485</f>
        <v>132.6189</v>
      </c>
    </row>
    <row r="3486" customFormat="false" ht="15" hidden="false" customHeight="false" outlineLevel="0" collapsed="false">
      <c r="B3486" s="7" t="s">
        <v>12119</v>
      </c>
      <c r="C3486" s="39" t="n">
        <v>45876</v>
      </c>
      <c r="D3486" s="7" t="s">
        <v>201</v>
      </c>
      <c r="E3486" s="7" t="s">
        <v>180</v>
      </c>
      <c r="F3486" s="6" t="n">
        <v>9.55</v>
      </c>
      <c r="G3486" s="6" t="n">
        <v>0</v>
      </c>
      <c r="H3486" s="41" t="n">
        <v>15.19</v>
      </c>
      <c r="I3486" s="43" t="n">
        <f aca="false">F3486*H3486</f>
        <v>145.0645</v>
      </c>
      <c r="J3486" s="43" t="n">
        <f aca="false">G3486*H3486*1.5</f>
        <v>0</v>
      </c>
      <c r="K3486" s="6" t="n">
        <v>31.57</v>
      </c>
      <c r="L3486" s="43" t="n">
        <f aca="false">K3486*'Chart of Accounts'!$E$68</f>
        <v>21.1519</v>
      </c>
      <c r="O3486" s="42" t="n">
        <f aca="false">I3486+J3486+L3486</f>
        <v>166.2164</v>
      </c>
    </row>
    <row r="3487" customFormat="false" ht="15" hidden="false" customHeight="false" outlineLevel="0" collapsed="false">
      <c r="B3487" s="7" t="s">
        <v>12120</v>
      </c>
      <c r="C3487" s="39" t="n">
        <v>45876</v>
      </c>
      <c r="D3487" s="7" t="s">
        <v>196</v>
      </c>
      <c r="E3487" s="7" t="s">
        <v>180</v>
      </c>
      <c r="F3487" s="6" t="n">
        <v>6.07</v>
      </c>
      <c r="G3487" s="6" t="n">
        <v>0</v>
      </c>
      <c r="H3487" s="41" t="n">
        <v>15.05</v>
      </c>
      <c r="I3487" s="43" t="n">
        <f aca="false">F3487*H3487</f>
        <v>91.3535</v>
      </c>
      <c r="J3487" s="43" t="n">
        <f aca="false">G3487*H3487*1.5</f>
        <v>0</v>
      </c>
      <c r="K3487" s="6" t="n">
        <v>19</v>
      </c>
      <c r="L3487" s="43" t="n">
        <f aca="false">K3487*'Chart of Accounts'!$E$68</f>
        <v>12.73</v>
      </c>
      <c r="O3487" s="42" t="n">
        <f aca="false">I3487+J3487+L3487</f>
        <v>104.0835</v>
      </c>
    </row>
    <row r="3488" customFormat="false" ht="15" hidden="false" customHeight="false" outlineLevel="0" collapsed="false">
      <c r="B3488" s="7" t="s">
        <v>12121</v>
      </c>
      <c r="C3488" s="39" t="n">
        <v>45876</v>
      </c>
      <c r="D3488" s="7" t="s">
        <v>184</v>
      </c>
      <c r="E3488" s="7" t="s">
        <v>180</v>
      </c>
      <c r="F3488" s="6" t="n">
        <v>3.77</v>
      </c>
      <c r="G3488" s="6" t="n">
        <v>0</v>
      </c>
      <c r="H3488" s="41" t="n">
        <v>17.34</v>
      </c>
      <c r="I3488" s="43" t="n">
        <f aca="false">F3488*H3488</f>
        <v>65.3718</v>
      </c>
      <c r="J3488" s="43" t="n">
        <f aca="false">G3488*H3488*1.5</f>
        <v>0</v>
      </c>
      <c r="K3488" s="6" t="n">
        <v>10.79</v>
      </c>
      <c r="L3488" s="43" t="n">
        <f aca="false">K3488*'Chart of Accounts'!$E$68</f>
        <v>7.2293</v>
      </c>
      <c r="O3488" s="42" t="n">
        <f aca="false">I3488+J3488+L3488</f>
        <v>72.6011</v>
      </c>
    </row>
    <row r="3489" customFormat="false" ht="15" hidden="false" customHeight="false" outlineLevel="0" collapsed="false">
      <c r="B3489" s="7" t="s">
        <v>12122</v>
      </c>
      <c r="C3489" s="39" t="n">
        <v>45876</v>
      </c>
      <c r="D3489" s="7" t="s">
        <v>207</v>
      </c>
      <c r="E3489" s="7" t="s">
        <v>180</v>
      </c>
      <c r="F3489" s="6" t="n">
        <v>6.5</v>
      </c>
      <c r="G3489" s="6" t="n">
        <v>0</v>
      </c>
      <c r="H3489" s="41" t="n">
        <v>16.65</v>
      </c>
      <c r="I3489" s="43" t="n">
        <f aca="false">F3489*H3489</f>
        <v>108.225</v>
      </c>
      <c r="J3489" s="43" t="n">
        <f aca="false">G3489*H3489*1.5</f>
        <v>0</v>
      </c>
      <c r="K3489" s="6" t="n">
        <v>17.81</v>
      </c>
      <c r="L3489" s="43" t="n">
        <f aca="false">K3489*'Chart of Accounts'!$E$68</f>
        <v>11.9327</v>
      </c>
      <c r="O3489" s="42" t="n">
        <f aca="false">I3489+J3489+L3489</f>
        <v>120.1577</v>
      </c>
    </row>
    <row r="3490" customFormat="false" ht="15" hidden="false" customHeight="false" outlineLevel="0" collapsed="false">
      <c r="B3490" s="7" t="s">
        <v>12123</v>
      </c>
      <c r="C3490" s="39" t="n">
        <v>45876</v>
      </c>
      <c r="D3490" s="7" t="s">
        <v>220</v>
      </c>
      <c r="E3490" s="7" t="s">
        <v>180</v>
      </c>
      <c r="F3490" s="6" t="n">
        <v>3.79</v>
      </c>
      <c r="G3490" s="6" t="n">
        <v>0</v>
      </c>
      <c r="H3490" s="41" t="n">
        <v>16.43</v>
      </c>
      <c r="I3490" s="43" t="n">
        <f aca="false">F3490*H3490</f>
        <v>62.2697</v>
      </c>
      <c r="J3490" s="43" t="n">
        <f aca="false">G3490*H3490*1.5</f>
        <v>0</v>
      </c>
      <c r="K3490" s="6" t="n">
        <v>11.64</v>
      </c>
      <c r="L3490" s="43" t="n">
        <f aca="false">K3490*'Chart of Accounts'!$E$68</f>
        <v>7.7988</v>
      </c>
      <c r="O3490" s="42" t="n">
        <f aca="false">I3490+J3490+L3490</f>
        <v>70.0685</v>
      </c>
    </row>
    <row r="3491" customFormat="false" ht="15" hidden="false" customHeight="false" outlineLevel="0" collapsed="false">
      <c r="B3491" s="7" t="s">
        <v>12124</v>
      </c>
      <c r="C3491" s="39" t="n">
        <v>45876</v>
      </c>
      <c r="D3491" s="7" t="s">
        <v>224</v>
      </c>
      <c r="E3491" s="7" t="s">
        <v>180</v>
      </c>
      <c r="F3491" s="6" t="n">
        <v>3.91</v>
      </c>
      <c r="G3491" s="6" t="n">
        <v>0</v>
      </c>
      <c r="H3491" s="41" t="n">
        <v>14.93</v>
      </c>
      <c r="I3491" s="43" t="n">
        <f aca="false">F3491*H3491</f>
        <v>58.3763</v>
      </c>
      <c r="J3491" s="43" t="n">
        <f aca="false">G3491*H3491*1.5</f>
        <v>0</v>
      </c>
      <c r="K3491" s="6" t="n">
        <v>10.04</v>
      </c>
      <c r="L3491" s="43" t="n">
        <f aca="false">K3491*'Chart of Accounts'!$E$68</f>
        <v>6.7268</v>
      </c>
      <c r="O3491" s="42" t="n">
        <f aca="false">I3491+J3491+L3491</f>
        <v>65.1031</v>
      </c>
    </row>
    <row r="3492" customFormat="false" ht="15" hidden="false" customHeight="false" outlineLevel="0" collapsed="false">
      <c r="B3492" s="7" t="s">
        <v>12125</v>
      </c>
      <c r="C3492" s="39" t="n">
        <v>45876</v>
      </c>
      <c r="D3492" s="7" t="s">
        <v>232</v>
      </c>
      <c r="E3492" s="7" t="s">
        <v>180</v>
      </c>
      <c r="F3492" s="6" t="n">
        <v>2.78</v>
      </c>
      <c r="G3492" s="6" t="n">
        <v>0</v>
      </c>
      <c r="H3492" s="41" t="n">
        <v>16.17</v>
      </c>
      <c r="I3492" s="43" t="n">
        <f aca="false">F3492*H3492</f>
        <v>44.9526</v>
      </c>
      <c r="J3492" s="43" t="n">
        <f aca="false">G3492*H3492*1.5</f>
        <v>0</v>
      </c>
      <c r="K3492" s="6" t="n">
        <v>6.9</v>
      </c>
      <c r="L3492" s="43" t="n">
        <f aca="false">K3492*'Chart of Accounts'!$E$68</f>
        <v>4.623</v>
      </c>
      <c r="O3492" s="42" t="n">
        <f aca="false">I3492+J3492+L3492</f>
        <v>49.5756</v>
      </c>
    </row>
    <row r="3493" customFormat="false" ht="15" hidden="false" customHeight="false" outlineLevel="0" collapsed="false">
      <c r="B3493" s="7" t="s">
        <v>12126</v>
      </c>
      <c r="C3493" s="39" t="n">
        <v>45876</v>
      </c>
      <c r="D3493" s="7" t="s">
        <v>222</v>
      </c>
      <c r="E3493" s="7" t="s">
        <v>180</v>
      </c>
      <c r="F3493" s="6" t="n">
        <v>6.74</v>
      </c>
      <c r="G3493" s="6" t="n">
        <v>0</v>
      </c>
      <c r="H3493" s="41" t="n">
        <v>17.84</v>
      </c>
      <c r="I3493" s="43" t="n">
        <f aca="false">F3493*H3493</f>
        <v>120.2416</v>
      </c>
      <c r="J3493" s="43" t="n">
        <f aca="false">G3493*H3493*1.5</f>
        <v>0</v>
      </c>
      <c r="K3493" s="6" t="n">
        <v>19.67</v>
      </c>
      <c r="L3493" s="43" t="n">
        <f aca="false">K3493*'Chart of Accounts'!$E$68</f>
        <v>13.1789</v>
      </c>
      <c r="O3493" s="42" t="n">
        <f aca="false">I3493+J3493+L3493</f>
        <v>133.4205</v>
      </c>
    </row>
    <row r="3494" customFormat="false" ht="15" hidden="false" customHeight="false" outlineLevel="0" collapsed="false">
      <c r="B3494" s="7" t="s">
        <v>12127</v>
      </c>
      <c r="C3494" s="39" t="n">
        <v>45876</v>
      </c>
      <c r="D3494" s="7" t="s">
        <v>218</v>
      </c>
      <c r="E3494" s="7" t="s">
        <v>180</v>
      </c>
      <c r="F3494" s="6" t="n">
        <v>4.31</v>
      </c>
      <c r="G3494" s="6" t="n">
        <v>0</v>
      </c>
      <c r="H3494" s="41" t="n">
        <v>16.19</v>
      </c>
      <c r="I3494" s="43" t="n">
        <f aca="false">F3494*H3494</f>
        <v>69.7789</v>
      </c>
      <c r="J3494" s="43" t="n">
        <f aca="false">G3494*H3494*1.5</f>
        <v>0</v>
      </c>
      <c r="K3494" s="6" t="n">
        <v>14.16</v>
      </c>
      <c r="L3494" s="43" t="n">
        <f aca="false">K3494*'Chart of Accounts'!$E$68</f>
        <v>9.4872</v>
      </c>
      <c r="O3494" s="42" t="n">
        <f aca="false">I3494+J3494+L3494</f>
        <v>79.2661</v>
      </c>
    </row>
    <row r="3495" customFormat="false" ht="15" hidden="false" customHeight="false" outlineLevel="0" collapsed="false">
      <c r="B3495" s="7" t="s">
        <v>12128</v>
      </c>
      <c r="C3495" s="39" t="n">
        <v>45876</v>
      </c>
      <c r="D3495" s="7" t="s">
        <v>246</v>
      </c>
      <c r="E3495" s="7" t="s">
        <v>180</v>
      </c>
      <c r="F3495" s="6" t="n">
        <v>8.42</v>
      </c>
      <c r="G3495" s="6" t="n">
        <v>0</v>
      </c>
      <c r="H3495" s="41" t="n">
        <v>16.48</v>
      </c>
      <c r="I3495" s="43" t="n">
        <f aca="false">F3495*H3495</f>
        <v>138.7616</v>
      </c>
      <c r="J3495" s="43" t="n">
        <f aca="false">G3495*H3495*1.5</f>
        <v>0</v>
      </c>
      <c r="K3495" s="6" t="n">
        <v>20.19</v>
      </c>
      <c r="L3495" s="43" t="n">
        <f aca="false">K3495*'Chart of Accounts'!$E$68</f>
        <v>13.5273</v>
      </c>
      <c r="O3495" s="42" t="n">
        <f aca="false">I3495+J3495+L3495</f>
        <v>152.2889</v>
      </c>
    </row>
    <row r="3496" customFormat="false" ht="15" hidden="false" customHeight="false" outlineLevel="0" collapsed="false">
      <c r="B3496" s="7" t="s">
        <v>12129</v>
      </c>
      <c r="C3496" s="39" t="n">
        <v>45876</v>
      </c>
      <c r="D3496" s="7" t="s">
        <v>194</v>
      </c>
      <c r="E3496" s="7" t="s">
        <v>180</v>
      </c>
      <c r="F3496" s="6" t="n">
        <v>3.8</v>
      </c>
      <c r="G3496" s="6" t="n">
        <v>0</v>
      </c>
      <c r="H3496" s="41" t="n">
        <v>16</v>
      </c>
      <c r="I3496" s="43" t="n">
        <f aca="false">F3496*H3496</f>
        <v>60.8</v>
      </c>
      <c r="J3496" s="43" t="n">
        <f aca="false">G3496*H3496*1.5</f>
        <v>0</v>
      </c>
      <c r="K3496" s="6" t="n">
        <v>13.42</v>
      </c>
      <c r="L3496" s="43" t="n">
        <f aca="false">K3496*'Chart of Accounts'!$E$68</f>
        <v>8.9914</v>
      </c>
      <c r="O3496" s="42" t="n">
        <f aca="false">I3496+J3496+L3496</f>
        <v>69.7914</v>
      </c>
    </row>
    <row r="3497" customFormat="false" ht="15" hidden="false" customHeight="false" outlineLevel="0" collapsed="false">
      <c r="B3497" s="7" t="s">
        <v>12130</v>
      </c>
      <c r="C3497" s="39" t="n">
        <v>45876</v>
      </c>
      <c r="D3497" s="7" t="s">
        <v>242</v>
      </c>
      <c r="E3497" s="7" t="s">
        <v>180</v>
      </c>
      <c r="F3497" s="6" t="n">
        <v>3.977</v>
      </c>
      <c r="G3497" s="6" t="n">
        <v>0.203</v>
      </c>
      <c r="H3497" s="41" t="n">
        <v>17.99</v>
      </c>
      <c r="I3497" s="43" t="n">
        <f aca="false">F3497*H3497</f>
        <v>71.54623</v>
      </c>
      <c r="J3497" s="43" t="n">
        <f aca="false">G3497*H3497*1.5</f>
        <v>5.477955</v>
      </c>
      <c r="K3497" s="6" t="n">
        <v>10.3</v>
      </c>
      <c r="L3497" s="43" t="n">
        <f aca="false">K3497*'Chart of Accounts'!$E$68</f>
        <v>6.901</v>
      </c>
      <c r="O3497" s="42" t="n">
        <f aca="false">I3497+J3497+L3497</f>
        <v>83.925185</v>
      </c>
    </row>
    <row r="3498" customFormat="false" ht="15" hidden="false" customHeight="false" outlineLevel="0" collapsed="false">
      <c r="B3498" s="7" t="s">
        <v>12131</v>
      </c>
      <c r="C3498" s="39" t="n">
        <v>45876</v>
      </c>
      <c r="D3498" s="7" t="s">
        <v>254</v>
      </c>
      <c r="E3498" s="7" t="s">
        <v>180</v>
      </c>
      <c r="F3498" s="6" t="n">
        <v>3.722</v>
      </c>
      <c r="G3498" s="6" t="n">
        <v>0.138</v>
      </c>
      <c r="H3498" s="41" t="n">
        <v>17.1</v>
      </c>
      <c r="I3498" s="43" t="n">
        <f aca="false">F3498*H3498</f>
        <v>63.6462</v>
      </c>
      <c r="J3498" s="43" t="n">
        <f aca="false">G3498*H3498*1.5</f>
        <v>3.5397</v>
      </c>
      <c r="K3498" s="6" t="n">
        <v>12.43</v>
      </c>
      <c r="L3498" s="43" t="n">
        <f aca="false">K3498*'Chart of Accounts'!$E$68</f>
        <v>8.3281</v>
      </c>
      <c r="O3498" s="42" t="n">
        <f aca="false">I3498+J3498+L3498</f>
        <v>75.514</v>
      </c>
    </row>
    <row r="3499" customFormat="false" ht="15" hidden="false" customHeight="false" outlineLevel="0" collapsed="false">
      <c r="B3499" s="7" t="s">
        <v>12132</v>
      </c>
      <c r="C3499" s="39" t="n">
        <v>45877</v>
      </c>
      <c r="D3499" s="7" t="s">
        <v>187</v>
      </c>
      <c r="E3499" s="7" t="s">
        <v>158</v>
      </c>
      <c r="H3499" s="41" t="n">
        <v>66.48</v>
      </c>
      <c r="M3499" s="6" t="n">
        <v>1</v>
      </c>
      <c r="N3499" s="43" t="n">
        <f aca="false">M3499*H3499</f>
        <v>66.48</v>
      </c>
      <c r="O3499" s="42" t="n">
        <f aca="false">N3499</f>
        <v>66.48</v>
      </c>
    </row>
    <row r="3500" customFormat="false" ht="15" hidden="false" customHeight="false" outlineLevel="0" collapsed="false">
      <c r="B3500" s="7" t="s">
        <v>12133</v>
      </c>
      <c r="C3500" s="39" t="n">
        <v>45877</v>
      </c>
      <c r="D3500" s="7" t="s">
        <v>224</v>
      </c>
      <c r="E3500" s="7" t="s">
        <v>180</v>
      </c>
      <c r="F3500" s="6" t="n">
        <v>8.71</v>
      </c>
      <c r="G3500" s="6" t="n">
        <v>0</v>
      </c>
      <c r="H3500" s="41" t="n">
        <v>14.93</v>
      </c>
      <c r="I3500" s="43" t="n">
        <f aca="false">F3500*H3500</f>
        <v>130.0403</v>
      </c>
      <c r="J3500" s="43" t="n">
        <f aca="false">G3500*H3500*1.5</f>
        <v>0</v>
      </c>
      <c r="K3500" s="6" t="n">
        <v>27.49</v>
      </c>
      <c r="L3500" s="43" t="n">
        <f aca="false">K3500*'Chart of Accounts'!$E$68</f>
        <v>18.4183</v>
      </c>
      <c r="O3500" s="42" t="n">
        <f aca="false">I3500+J3500+L3500</f>
        <v>148.4586</v>
      </c>
    </row>
    <row r="3501" customFormat="false" ht="15" hidden="false" customHeight="false" outlineLevel="0" collapsed="false">
      <c r="B3501" s="7" t="s">
        <v>12134</v>
      </c>
      <c r="C3501" s="39" t="n">
        <v>45877</v>
      </c>
      <c r="D3501" s="7" t="s">
        <v>194</v>
      </c>
      <c r="E3501" s="7" t="s">
        <v>180</v>
      </c>
      <c r="F3501" s="6" t="n">
        <v>8.68</v>
      </c>
      <c r="G3501" s="6" t="n">
        <v>0</v>
      </c>
      <c r="H3501" s="41" t="n">
        <v>16</v>
      </c>
      <c r="I3501" s="43" t="n">
        <f aca="false">F3501*H3501</f>
        <v>138.88</v>
      </c>
      <c r="J3501" s="43" t="n">
        <f aca="false">G3501*H3501*1.5</f>
        <v>0</v>
      </c>
      <c r="K3501" s="6" t="n">
        <v>22.04</v>
      </c>
      <c r="L3501" s="43" t="n">
        <f aca="false">K3501*'Chart of Accounts'!$E$68</f>
        <v>14.7668</v>
      </c>
      <c r="O3501" s="42" t="n">
        <f aca="false">I3501+J3501+L3501</f>
        <v>153.6468</v>
      </c>
    </row>
    <row r="3502" customFormat="false" ht="15" hidden="false" customHeight="false" outlineLevel="0" collapsed="false">
      <c r="B3502" s="7" t="s">
        <v>12135</v>
      </c>
      <c r="C3502" s="39" t="n">
        <v>45877</v>
      </c>
      <c r="D3502" s="7" t="s">
        <v>214</v>
      </c>
      <c r="E3502" s="7" t="s">
        <v>180</v>
      </c>
      <c r="F3502" s="6" t="n">
        <v>7.26</v>
      </c>
      <c r="G3502" s="6" t="n">
        <v>0</v>
      </c>
      <c r="H3502" s="41" t="n">
        <v>15.67</v>
      </c>
      <c r="I3502" s="43" t="n">
        <f aca="false">F3502*H3502</f>
        <v>113.7642</v>
      </c>
      <c r="J3502" s="43" t="n">
        <f aca="false">G3502*H3502*1.5</f>
        <v>0</v>
      </c>
      <c r="K3502" s="6" t="n">
        <v>23.33</v>
      </c>
      <c r="L3502" s="43" t="n">
        <f aca="false">K3502*'Chart of Accounts'!$E$68</f>
        <v>15.6311</v>
      </c>
      <c r="O3502" s="42" t="n">
        <f aca="false">I3502+J3502+L3502</f>
        <v>129.3953</v>
      </c>
    </row>
    <row r="3503" customFormat="false" ht="15" hidden="false" customHeight="false" outlineLevel="0" collapsed="false">
      <c r="B3503" s="7" t="s">
        <v>12136</v>
      </c>
      <c r="C3503" s="39" t="n">
        <v>45877</v>
      </c>
      <c r="D3503" s="7" t="s">
        <v>209</v>
      </c>
      <c r="E3503" s="7" t="s">
        <v>158</v>
      </c>
      <c r="H3503" s="41" t="n">
        <v>73.58</v>
      </c>
      <c r="M3503" s="6" t="n">
        <v>1</v>
      </c>
      <c r="N3503" s="43" t="n">
        <f aca="false">M3503*H3503</f>
        <v>73.58</v>
      </c>
      <c r="O3503" s="42" t="n">
        <f aca="false">N3503</f>
        <v>73.58</v>
      </c>
    </row>
    <row r="3504" customFormat="false" ht="15" hidden="false" customHeight="false" outlineLevel="0" collapsed="false">
      <c r="B3504" s="7" t="s">
        <v>12137</v>
      </c>
      <c r="C3504" s="39" t="n">
        <v>45877</v>
      </c>
      <c r="D3504" s="7" t="s">
        <v>205</v>
      </c>
      <c r="E3504" s="7" t="s">
        <v>180</v>
      </c>
      <c r="F3504" s="6" t="n">
        <v>8.55</v>
      </c>
      <c r="G3504" s="6" t="n">
        <v>0</v>
      </c>
      <c r="H3504" s="41" t="n">
        <v>16.36</v>
      </c>
      <c r="I3504" s="43" t="n">
        <f aca="false">F3504*H3504</f>
        <v>139.878</v>
      </c>
      <c r="J3504" s="43" t="n">
        <f aca="false">G3504*H3504*1.5</f>
        <v>0</v>
      </c>
      <c r="K3504" s="6" t="n">
        <v>19.91</v>
      </c>
      <c r="L3504" s="43" t="n">
        <f aca="false">K3504*'Chart of Accounts'!$E$68</f>
        <v>13.3397</v>
      </c>
      <c r="O3504" s="42" t="n">
        <f aca="false">I3504+J3504+L3504</f>
        <v>153.2177</v>
      </c>
    </row>
    <row r="3505" customFormat="false" ht="15" hidden="false" customHeight="false" outlineLevel="0" collapsed="false">
      <c r="B3505" s="7" t="s">
        <v>12138</v>
      </c>
      <c r="C3505" s="39" t="n">
        <v>45877</v>
      </c>
      <c r="D3505" s="7" t="s">
        <v>264</v>
      </c>
      <c r="E3505" s="7" t="s">
        <v>158</v>
      </c>
      <c r="H3505" s="41" t="n">
        <v>55.55</v>
      </c>
      <c r="M3505" s="6" t="n">
        <v>1</v>
      </c>
      <c r="N3505" s="43" t="n">
        <f aca="false">M3505*H3505</f>
        <v>55.55</v>
      </c>
      <c r="O3505" s="42" t="n">
        <f aca="false">N3505</f>
        <v>55.55</v>
      </c>
    </row>
    <row r="3506" customFormat="false" ht="15" hidden="false" customHeight="false" outlineLevel="0" collapsed="false">
      <c r="B3506" s="7" t="s">
        <v>12139</v>
      </c>
      <c r="C3506" s="39" t="n">
        <v>45877</v>
      </c>
      <c r="D3506" s="7" t="s">
        <v>252</v>
      </c>
      <c r="E3506" s="7" t="s">
        <v>158</v>
      </c>
      <c r="H3506" s="41" t="n">
        <v>57.54</v>
      </c>
      <c r="M3506" s="6" t="n">
        <v>1</v>
      </c>
      <c r="N3506" s="43" t="n">
        <f aca="false">M3506*H3506</f>
        <v>57.54</v>
      </c>
      <c r="O3506" s="42" t="n">
        <f aca="false">N3506</f>
        <v>57.54</v>
      </c>
    </row>
    <row r="3507" customFormat="false" ht="15" hidden="false" customHeight="false" outlineLevel="0" collapsed="false">
      <c r="B3507" s="7" t="s">
        <v>12140</v>
      </c>
      <c r="C3507" s="39" t="n">
        <v>45877</v>
      </c>
      <c r="D3507" s="7" t="s">
        <v>184</v>
      </c>
      <c r="E3507" s="7" t="s">
        <v>180</v>
      </c>
      <c r="F3507" s="6" t="n">
        <v>3.61</v>
      </c>
      <c r="G3507" s="6" t="n">
        <v>0</v>
      </c>
      <c r="H3507" s="41" t="n">
        <v>17.34</v>
      </c>
      <c r="I3507" s="43" t="n">
        <f aca="false">F3507*H3507</f>
        <v>62.5974</v>
      </c>
      <c r="J3507" s="43" t="n">
        <f aca="false">G3507*H3507*1.5</f>
        <v>0</v>
      </c>
      <c r="K3507" s="6" t="n">
        <v>8.79</v>
      </c>
      <c r="L3507" s="43" t="n">
        <f aca="false">K3507*'Chart of Accounts'!$E$68</f>
        <v>5.8893</v>
      </c>
      <c r="O3507" s="42" t="n">
        <f aca="false">I3507+J3507+L3507</f>
        <v>68.4867</v>
      </c>
    </row>
    <row r="3508" customFormat="false" ht="15" hidden="false" customHeight="false" outlineLevel="0" collapsed="false">
      <c r="B3508" s="7" t="s">
        <v>12141</v>
      </c>
      <c r="C3508" s="39" t="n">
        <v>45877</v>
      </c>
      <c r="D3508" s="7" t="s">
        <v>216</v>
      </c>
      <c r="E3508" s="7" t="s">
        <v>158</v>
      </c>
      <c r="H3508" s="41" t="n">
        <v>61.79</v>
      </c>
      <c r="M3508" s="6" t="n">
        <v>1</v>
      </c>
      <c r="N3508" s="43" t="n">
        <f aca="false">M3508*H3508</f>
        <v>61.79</v>
      </c>
      <c r="O3508" s="42" t="n">
        <f aca="false">N3508</f>
        <v>61.79</v>
      </c>
    </row>
    <row r="3509" customFormat="false" ht="15" hidden="false" customHeight="false" outlineLevel="0" collapsed="false">
      <c r="B3509" s="7" t="s">
        <v>12142</v>
      </c>
      <c r="C3509" s="39" t="n">
        <v>45877</v>
      </c>
      <c r="D3509" s="7" t="s">
        <v>234</v>
      </c>
      <c r="E3509" s="7" t="s">
        <v>158</v>
      </c>
      <c r="H3509" s="41" t="n">
        <v>89.53</v>
      </c>
      <c r="M3509" s="6" t="n">
        <v>2</v>
      </c>
      <c r="N3509" s="43" t="n">
        <f aca="false">M3509*H3509</f>
        <v>179.06</v>
      </c>
      <c r="O3509" s="42" t="n">
        <f aca="false">N3509</f>
        <v>179.06</v>
      </c>
    </row>
    <row r="3510" customFormat="false" ht="15" hidden="false" customHeight="false" outlineLevel="0" collapsed="false">
      <c r="B3510" s="7" t="s">
        <v>12143</v>
      </c>
      <c r="C3510" s="39" t="n">
        <v>45877</v>
      </c>
      <c r="D3510" s="7" t="s">
        <v>218</v>
      </c>
      <c r="E3510" s="7" t="s">
        <v>180</v>
      </c>
      <c r="F3510" s="6" t="n">
        <v>3.98</v>
      </c>
      <c r="G3510" s="6" t="n">
        <v>0</v>
      </c>
      <c r="H3510" s="41" t="n">
        <v>16.19</v>
      </c>
      <c r="I3510" s="43" t="n">
        <f aca="false">F3510*H3510</f>
        <v>64.4362</v>
      </c>
      <c r="J3510" s="43" t="n">
        <f aca="false">G3510*H3510*1.5</f>
        <v>0</v>
      </c>
      <c r="K3510" s="6" t="n">
        <v>14.28</v>
      </c>
      <c r="L3510" s="43" t="n">
        <f aca="false">K3510*'Chart of Accounts'!$E$68</f>
        <v>9.5676</v>
      </c>
      <c r="O3510" s="42" t="n">
        <f aca="false">I3510+J3510+L3510</f>
        <v>74.0038</v>
      </c>
    </row>
    <row r="3511" customFormat="false" ht="15" hidden="false" customHeight="false" outlineLevel="0" collapsed="false">
      <c r="B3511" s="7" t="s">
        <v>12144</v>
      </c>
      <c r="C3511" s="39" t="n">
        <v>45877</v>
      </c>
      <c r="D3511" s="7" t="s">
        <v>266</v>
      </c>
      <c r="E3511" s="7" t="s">
        <v>158</v>
      </c>
      <c r="H3511" s="41" t="n">
        <v>75.18</v>
      </c>
      <c r="M3511" s="6" t="n">
        <v>1</v>
      </c>
      <c r="N3511" s="43" t="n">
        <f aca="false">M3511*H3511</f>
        <v>75.18</v>
      </c>
      <c r="O3511" s="42" t="n">
        <f aca="false">N3511</f>
        <v>75.18</v>
      </c>
    </row>
    <row r="3512" customFormat="false" ht="15" hidden="false" customHeight="false" outlineLevel="0" collapsed="false">
      <c r="B3512" s="7" t="s">
        <v>12145</v>
      </c>
      <c r="C3512" s="39" t="n">
        <v>45877</v>
      </c>
      <c r="D3512" s="7" t="s">
        <v>228</v>
      </c>
      <c r="E3512" s="7" t="s">
        <v>158</v>
      </c>
      <c r="H3512" s="41" t="n">
        <v>51.07</v>
      </c>
      <c r="M3512" s="6" t="n">
        <v>1</v>
      </c>
      <c r="N3512" s="43" t="n">
        <f aca="false">M3512*H3512</f>
        <v>51.07</v>
      </c>
      <c r="O3512" s="42" t="n">
        <f aca="false">N3512</f>
        <v>51.07</v>
      </c>
    </row>
    <row r="3513" customFormat="false" ht="15" hidden="false" customHeight="false" outlineLevel="0" collapsed="false">
      <c r="B3513" s="7" t="s">
        <v>12146</v>
      </c>
      <c r="C3513" s="39" t="n">
        <v>45877</v>
      </c>
      <c r="D3513" s="7" t="s">
        <v>220</v>
      </c>
      <c r="E3513" s="7" t="s">
        <v>180</v>
      </c>
      <c r="F3513" s="6" t="n">
        <v>4.36</v>
      </c>
      <c r="G3513" s="6" t="n">
        <v>0</v>
      </c>
      <c r="H3513" s="41" t="n">
        <v>16.43</v>
      </c>
      <c r="I3513" s="43" t="n">
        <f aca="false">F3513*H3513</f>
        <v>71.6348</v>
      </c>
      <c r="J3513" s="43" t="n">
        <f aca="false">G3513*H3513*1.5</f>
        <v>0</v>
      </c>
      <c r="K3513" s="6" t="n">
        <v>14.95</v>
      </c>
      <c r="L3513" s="43" t="n">
        <f aca="false">K3513*'Chart of Accounts'!$E$68</f>
        <v>10.0165</v>
      </c>
      <c r="O3513" s="42" t="n">
        <f aca="false">I3513+J3513+L3513</f>
        <v>81.6513</v>
      </c>
    </row>
    <row r="3514" customFormat="false" ht="15" hidden="false" customHeight="false" outlineLevel="0" collapsed="false">
      <c r="B3514" s="7" t="s">
        <v>12147</v>
      </c>
      <c r="C3514" s="39" t="n">
        <v>45877</v>
      </c>
      <c r="D3514" s="7" t="s">
        <v>177</v>
      </c>
      <c r="E3514" s="7" t="s">
        <v>180</v>
      </c>
      <c r="F3514" s="6" t="n">
        <v>8.72</v>
      </c>
      <c r="G3514" s="6" t="n">
        <v>0</v>
      </c>
      <c r="H3514" s="41" t="n">
        <v>14.56</v>
      </c>
      <c r="I3514" s="43" t="n">
        <f aca="false">F3514*H3514</f>
        <v>126.9632</v>
      </c>
      <c r="J3514" s="43" t="n">
        <f aca="false">G3514*H3514*1.5</f>
        <v>0</v>
      </c>
      <c r="K3514" s="6" t="n">
        <v>22.67</v>
      </c>
      <c r="L3514" s="43" t="n">
        <f aca="false">K3514*'Chart of Accounts'!$E$68</f>
        <v>15.1889</v>
      </c>
      <c r="O3514" s="42" t="n">
        <f aca="false">I3514+J3514+L3514</f>
        <v>142.1521</v>
      </c>
    </row>
    <row r="3515" customFormat="false" ht="15" hidden="false" customHeight="false" outlineLevel="0" collapsed="false">
      <c r="B3515" s="7" t="s">
        <v>12148</v>
      </c>
      <c r="C3515" s="39" t="n">
        <v>45877</v>
      </c>
      <c r="D3515" s="7" t="s">
        <v>242</v>
      </c>
      <c r="E3515" s="7" t="s">
        <v>180</v>
      </c>
      <c r="F3515" s="6" t="n">
        <v>6.794</v>
      </c>
      <c r="G3515" s="6" t="n">
        <v>0.346</v>
      </c>
      <c r="H3515" s="41" t="n">
        <v>17.99</v>
      </c>
      <c r="I3515" s="43" t="n">
        <f aca="false">F3515*H3515</f>
        <v>122.22406</v>
      </c>
      <c r="J3515" s="43" t="n">
        <f aca="false">G3515*H3515*1.5</f>
        <v>9.33681</v>
      </c>
      <c r="K3515" s="6" t="n">
        <v>23.07</v>
      </c>
      <c r="L3515" s="43" t="n">
        <f aca="false">K3515*'Chart of Accounts'!$E$68</f>
        <v>15.4569</v>
      </c>
      <c r="O3515" s="42" t="n">
        <f aca="false">I3515+J3515+L3515</f>
        <v>147.01777</v>
      </c>
    </row>
    <row r="3516" customFormat="false" ht="15" hidden="false" customHeight="false" outlineLevel="0" collapsed="false">
      <c r="B3516" s="7" t="s">
        <v>12149</v>
      </c>
      <c r="C3516" s="39" t="n">
        <v>45877</v>
      </c>
      <c r="D3516" s="7" t="s">
        <v>238</v>
      </c>
      <c r="E3516" s="7" t="s">
        <v>180</v>
      </c>
      <c r="F3516" s="6" t="n">
        <v>8.93</v>
      </c>
      <c r="G3516" s="6" t="n">
        <v>0</v>
      </c>
      <c r="H3516" s="41" t="n">
        <v>15.85</v>
      </c>
      <c r="I3516" s="43" t="n">
        <f aca="false">F3516*H3516</f>
        <v>141.5405</v>
      </c>
      <c r="J3516" s="43" t="n">
        <f aca="false">G3516*H3516*1.5</f>
        <v>0</v>
      </c>
      <c r="K3516" s="6" t="n">
        <v>21.81</v>
      </c>
      <c r="L3516" s="43" t="n">
        <f aca="false">K3516*'Chart of Accounts'!$E$68</f>
        <v>14.6127</v>
      </c>
      <c r="O3516" s="42" t="n">
        <f aca="false">I3516+J3516+L3516</f>
        <v>156.1532</v>
      </c>
    </row>
    <row r="3517" customFormat="false" ht="15" hidden="false" customHeight="false" outlineLevel="0" collapsed="false">
      <c r="B3517" s="7" t="s">
        <v>12150</v>
      </c>
      <c r="C3517" s="39" t="n">
        <v>45877</v>
      </c>
      <c r="D3517" s="7" t="s">
        <v>254</v>
      </c>
      <c r="E3517" s="7" t="s">
        <v>180</v>
      </c>
      <c r="F3517" s="6" t="n">
        <v>10.366</v>
      </c>
      <c r="G3517" s="6" t="n">
        <v>0.384</v>
      </c>
      <c r="H3517" s="41" t="n">
        <v>17.1</v>
      </c>
      <c r="I3517" s="43" t="n">
        <f aca="false">F3517*H3517</f>
        <v>177.2586</v>
      </c>
      <c r="J3517" s="43" t="n">
        <f aca="false">G3517*H3517*1.5</f>
        <v>9.8496</v>
      </c>
      <c r="K3517" s="6" t="n">
        <v>26.66</v>
      </c>
      <c r="L3517" s="43" t="n">
        <f aca="false">K3517*'Chart of Accounts'!$E$68</f>
        <v>17.8622</v>
      </c>
      <c r="O3517" s="42" t="n">
        <f aca="false">I3517+J3517+L3517</f>
        <v>204.9704</v>
      </c>
    </row>
    <row r="3518" customFormat="false" ht="15" hidden="false" customHeight="false" outlineLevel="0" collapsed="false">
      <c r="B3518" s="7" t="s">
        <v>12151</v>
      </c>
      <c r="C3518" s="39" t="n">
        <v>45877</v>
      </c>
      <c r="D3518" s="7" t="s">
        <v>201</v>
      </c>
      <c r="E3518" s="7" t="s">
        <v>180</v>
      </c>
      <c r="F3518" s="6" t="n">
        <v>3.19</v>
      </c>
      <c r="G3518" s="6" t="n">
        <v>0</v>
      </c>
      <c r="H3518" s="41" t="n">
        <v>15.19</v>
      </c>
      <c r="I3518" s="43" t="n">
        <f aca="false">F3518*H3518</f>
        <v>48.4561</v>
      </c>
      <c r="J3518" s="43" t="n">
        <f aca="false">G3518*H3518*1.5</f>
        <v>0</v>
      </c>
      <c r="K3518" s="6" t="n">
        <v>10.47</v>
      </c>
      <c r="L3518" s="43" t="n">
        <f aca="false">K3518*'Chart of Accounts'!$E$68</f>
        <v>7.0149</v>
      </c>
      <c r="O3518" s="42" t="n">
        <f aca="false">I3518+J3518+L3518</f>
        <v>55.471</v>
      </c>
    </row>
    <row r="3519" customFormat="false" ht="15" hidden="false" customHeight="false" outlineLevel="0" collapsed="false">
      <c r="B3519" s="7" t="s">
        <v>12152</v>
      </c>
      <c r="C3519" s="39" t="n">
        <v>45877</v>
      </c>
      <c r="D3519" s="7" t="s">
        <v>207</v>
      </c>
      <c r="E3519" s="7" t="s">
        <v>180</v>
      </c>
      <c r="F3519" s="6" t="n">
        <v>3.45</v>
      </c>
      <c r="G3519" s="6" t="n">
        <v>0</v>
      </c>
      <c r="H3519" s="41" t="n">
        <v>16.65</v>
      </c>
      <c r="I3519" s="43" t="n">
        <f aca="false">F3519*H3519</f>
        <v>57.4425</v>
      </c>
      <c r="J3519" s="43" t="n">
        <f aca="false">G3519*H3519*1.5</f>
        <v>0</v>
      </c>
      <c r="K3519" s="6" t="n">
        <v>8.72</v>
      </c>
      <c r="L3519" s="43" t="n">
        <f aca="false">K3519*'Chart of Accounts'!$E$68</f>
        <v>5.8424</v>
      </c>
      <c r="O3519" s="42" t="n">
        <f aca="false">I3519+J3519+L3519</f>
        <v>63.2849</v>
      </c>
    </row>
    <row r="3520" customFormat="false" ht="15" hidden="false" customHeight="false" outlineLevel="0" collapsed="false">
      <c r="B3520" s="7" t="s">
        <v>12153</v>
      </c>
      <c r="C3520" s="39" t="n">
        <v>45877</v>
      </c>
      <c r="D3520" s="7" t="s">
        <v>232</v>
      </c>
      <c r="E3520" s="7" t="s">
        <v>180</v>
      </c>
      <c r="F3520" s="6" t="n">
        <v>4.37</v>
      </c>
      <c r="G3520" s="6" t="n">
        <v>0</v>
      </c>
      <c r="H3520" s="41" t="n">
        <v>16.17</v>
      </c>
      <c r="I3520" s="43" t="n">
        <f aca="false">F3520*H3520</f>
        <v>70.6629</v>
      </c>
      <c r="J3520" s="43" t="n">
        <f aca="false">G3520*H3520*1.5</f>
        <v>0</v>
      </c>
      <c r="K3520" s="6" t="n">
        <v>13.55</v>
      </c>
      <c r="L3520" s="43" t="n">
        <f aca="false">K3520*'Chart of Accounts'!$E$68</f>
        <v>9.0785</v>
      </c>
      <c r="O3520" s="42" t="n">
        <f aca="false">I3520+J3520+L3520</f>
        <v>79.7414</v>
      </c>
    </row>
    <row r="3521" customFormat="false" ht="15" hidden="false" customHeight="false" outlineLevel="0" collapsed="false">
      <c r="B3521" s="7" t="s">
        <v>12154</v>
      </c>
      <c r="C3521" s="39" t="n">
        <v>45877</v>
      </c>
      <c r="D3521" s="7" t="s">
        <v>230</v>
      </c>
      <c r="E3521" s="7" t="s">
        <v>158</v>
      </c>
      <c r="H3521" s="41" t="n">
        <v>48.78</v>
      </c>
      <c r="M3521" s="6" t="n">
        <v>1</v>
      </c>
      <c r="N3521" s="43" t="n">
        <f aca="false">M3521*H3521</f>
        <v>48.78</v>
      </c>
      <c r="O3521" s="42" t="n">
        <f aca="false">N3521</f>
        <v>48.78</v>
      </c>
    </row>
    <row r="3522" customFormat="false" ht="15" hidden="false" customHeight="false" outlineLevel="0" collapsed="false">
      <c r="B3522" s="7" t="s">
        <v>12155</v>
      </c>
      <c r="C3522" s="39" t="n">
        <v>45877</v>
      </c>
      <c r="D3522" s="7" t="s">
        <v>196</v>
      </c>
      <c r="E3522" s="7" t="s">
        <v>180</v>
      </c>
      <c r="F3522" s="6" t="n">
        <v>3.64</v>
      </c>
      <c r="G3522" s="6" t="n">
        <v>0</v>
      </c>
      <c r="H3522" s="41" t="n">
        <v>15.05</v>
      </c>
      <c r="I3522" s="43" t="n">
        <f aca="false">F3522*H3522</f>
        <v>54.782</v>
      </c>
      <c r="J3522" s="43" t="n">
        <f aca="false">G3522*H3522*1.5</f>
        <v>0</v>
      </c>
      <c r="K3522" s="6" t="n">
        <v>12.06</v>
      </c>
      <c r="L3522" s="43" t="n">
        <f aca="false">K3522*'Chart of Accounts'!$E$68</f>
        <v>8.0802</v>
      </c>
      <c r="O3522" s="42" t="n">
        <f aca="false">I3522+J3522+L3522</f>
        <v>62.8622</v>
      </c>
    </row>
    <row r="3523" customFormat="false" ht="15" hidden="false" customHeight="false" outlineLevel="0" collapsed="false">
      <c r="B3523" s="7" t="s">
        <v>12156</v>
      </c>
      <c r="C3523" s="39" t="n">
        <v>45877</v>
      </c>
      <c r="D3523" s="7" t="s">
        <v>246</v>
      </c>
      <c r="E3523" s="7" t="s">
        <v>180</v>
      </c>
      <c r="F3523" s="6" t="n">
        <v>3.79</v>
      </c>
      <c r="G3523" s="6" t="n">
        <v>0</v>
      </c>
      <c r="H3523" s="41" t="n">
        <v>16.48</v>
      </c>
      <c r="I3523" s="43" t="n">
        <f aca="false">F3523*H3523</f>
        <v>62.4592</v>
      </c>
      <c r="J3523" s="43" t="n">
        <f aca="false">G3523*H3523*1.5</f>
        <v>0</v>
      </c>
      <c r="K3523" s="6" t="n">
        <v>8.46</v>
      </c>
      <c r="L3523" s="43" t="n">
        <f aca="false">K3523*'Chart of Accounts'!$E$68</f>
        <v>5.6682</v>
      </c>
      <c r="O3523" s="42" t="n">
        <f aca="false">I3523+J3523+L3523</f>
        <v>68.1274</v>
      </c>
    </row>
    <row r="3524" customFormat="false" ht="15" hidden="false" customHeight="false" outlineLevel="0" collapsed="false">
      <c r="B3524" s="7" t="s">
        <v>12157</v>
      </c>
      <c r="C3524" s="39" t="n">
        <v>45877</v>
      </c>
      <c r="D3524" s="7" t="s">
        <v>203</v>
      </c>
      <c r="E3524" s="7" t="s">
        <v>158</v>
      </c>
      <c r="H3524" s="41" t="n">
        <v>49.43</v>
      </c>
      <c r="M3524" s="6" t="n">
        <v>1</v>
      </c>
      <c r="N3524" s="43" t="n">
        <f aca="false">M3524*H3524</f>
        <v>49.43</v>
      </c>
      <c r="O3524" s="42" t="n">
        <f aca="false">N3524</f>
        <v>49.43</v>
      </c>
    </row>
    <row r="3525" customFormat="false" ht="15" hidden="false" customHeight="false" outlineLevel="0" collapsed="false">
      <c r="B3525" s="7" t="s">
        <v>12158</v>
      </c>
      <c r="C3525" s="39" t="n">
        <v>45877</v>
      </c>
      <c r="D3525" s="7" t="s">
        <v>260</v>
      </c>
      <c r="E3525" s="7" t="s">
        <v>158</v>
      </c>
      <c r="H3525" s="41" t="n">
        <v>79.8</v>
      </c>
      <c r="M3525" s="6" t="n">
        <v>1</v>
      </c>
      <c r="N3525" s="43" t="n">
        <f aca="false">M3525*H3525</f>
        <v>79.8</v>
      </c>
      <c r="O3525" s="42" t="n">
        <f aca="false">N3525</f>
        <v>79.8</v>
      </c>
    </row>
    <row r="3526" customFormat="false" ht="15" hidden="false" customHeight="false" outlineLevel="0" collapsed="false">
      <c r="B3526" s="7" t="s">
        <v>12159</v>
      </c>
      <c r="C3526" s="39" t="n">
        <v>45878</v>
      </c>
      <c r="D3526" s="7" t="s">
        <v>194</v>
      </c>
      <c r="E3526" s="7" t="s">
        <v>180</v>
      </c>
      <c r="F3526" s="6" t="n">
        <v>4.34</v>
      </c>
      <c r="G3526" s="6" t="n">
        <v>0</v>
      </c>
      <c r="H3526" s="41" t="n">
        <v>16</v>
      </c>
      <c r="I3526" s="43" t="n">
        <f aca="false">F3526*H3526</f>
        <v>69.44</v>
      </c>
      <c r="J3526" s="43" t="n">
        <f aca="false">G3526*H3526*1.5</f>
        <v>0</v>
      </c>
      <c r="K3526" s="6" t="n">
        <v>11.07</v>
      </c>
      <c r="L3526" s="43" t="n">
        <f aca="false">K3526*'Chart of Accounts'!$E$68</f>
        <v>7.4169</v>
      </c>
      <c r="O3526" s="42" t="n">
        <f aca="false">I3526+J3526+L3526</f>
        <v>76.8569</v>
      </c>
    </row>
    <row r="3527" customFormat="false" ht="15" hidden="false" customHeight="false" outlineLevel="0" collapsed="false">
      <c r="B3527" s="7" t="s">
        <v>12160</v>
      </c>
      <c r="C3527" s="39" t="n">
        <v>45878</v>
      </c>
      <c r="D3527" s="7" t="s">
        <v>218</v>
      </c>
      <c r="E3527" s="7" t="s">
        <v>180</v>
      </c>
      <c r="F3527" s="6" t="n">
        <v>8.44</v>
      </c>
      <c r="G3527" s="6" t="n">
        <v>0</v>
      </c>
      <c r="H3527" s="41" t="n">
        <v>16.19</v>
      </c>
      <c r="I3527" s="43" t="n">
        <f aca="false">F3527*H3527</f>
        <v>136.6436</v>
      </c>
      <c r="J3527" s="43" t="n">
        <f aca="false">G3527*H3527*1.5</f>
        <v>0</v>
      </c>
      <c r="K3527" s="6" t="n">
        <v>20.65</v>
      </c>
      <c r="L3527" s="43" t="n">
        <f aca="false">K3527*'Chart of Accounts'!$E$68</f>
        <v>13.8355</v>
      </c>
      <c r="O3527" s="42" t="n">
        <f aca="false">I3527+J3527+L3527</f>
        <v>150.4791</v>
      </c>
    </row>
    <row r="3528" customFormat="false" ht="15" hidden="false" customHeight="false" outlineLevel="0" collapsed="false">
      <c r="B3528" s="7" t="s">
        <v>12161</v>
      </c>
      <c r="C3528" s="39" t="n">
        <v>45878</v>
      </c>
      <c r="D3528" s="7" t="s">
        <v>196</v>
      </c>
      <c r="E3528" s="7" t="s">
        <v>180</v>
      </c>
      <c r="F3528" s="6" t="n">
        <v>4.13</v>
      </c>
      <c r="G3528" s="6" t="n">
        <v>0</v>
      </c>
      <c r="H3528" s="41" t="n">
        <v>15.05</v>
      </c>
      <c r="I3528" s="43" t="n">
        <f aca="false">F3528*H3528</f>
        <v>62.1565</v>
      </c>
      <c r="J3528" s="43" t="n">
        <f aca="false">G3528*H3528*1.5</f>
        <v>0</v>
      </c>
      <c r="K3528" s="6" t="n">
        <v>13.23</v>
      </c>
      <c r="L3528" s="43" t="n">
        <f aca="false">K3528*'Chart of Accounts'!$E$68</f>
        <v>8.8641</v>
      </c>
      <c r="O3528" s="42" t="n">
        <f aca="false">I3528+J3528+L3528</f>
        <v>71.0206</v>
      </c>
    </row>
    <row r="3529" customFormat="false" ht="15" hidden="false" customHeight="false" outlineLevel="0" collapsed="false">
      <c r="B3529" s="7" t="s">
        <v>12162</v>
      </c>
      <c r="C3529" s="39" t="n">
        <v>45878</v>
      </c>
      <c r="D3529" s="7" t="s">
        <v>222</v>
      </c>
      <c r="E3529" s="7" t="s">
        <v>180</v>
      </c>
      <c r="F3529" s="6" t="n">
        <v>4.27</v>
      </c>
      <c r="G3529" s="6" t="n">
        <v>0</v>
      </c>
      <c r="H3529" s="41" t="n">
        <v>17.84</v>
      </c>
      <c r="I3529" s="43" t="n">
        <f aca="false">F3529*H3529</f>
        <v>76.1768</v>
      </c>
      <c r="J3529" s="43" t="n">
        <f aca="false">G3529*H3529*1.5</f>
        <v>0</v>
      </c>
      <c r="K3529" s="6" t="n">
        <v>14.31</v>
      </c>
      <c r="L3529" s="43" t="n">
        <f aca="false">K3529*'Chart of Accounts'!$E$68</f>
        <v>9.5877</v>
      </c>
      <c r="O3529" s="42" t="n">
        <f aca="false">I3529+J3529+L3529</f>
        <v>85.7645</v>
      </c>
    </row>
    <row r="3530" customFormat="false" ht="15" hidden="false" customHeight="false" outlineLevel="0" collapsed="false">
      <c r="B3530" s="7" t="s">
        <v>12163</v>
      </c>
      <c r="C3530" s="39" t="n">
        <v>45878</v>
      </c>
      <c r="D3530" s="7" t="s">
        <v>242</v>
      </c>
      <c r="E3530" s="7" t="s">
        <v>180</v>
      </c>
      <c r="F3530" s="6" t="n">
        <v>3.739</v>
      </c>
      <c r="G3530" s="6" t="n">
        <v>0.191</v>
      </c>
      <c r="H3530" s="41" t="n">
        <v>17.99</v>
      </c>
      <c r="I3530" s="43" t="n">
        <f aca="false">F3530*H3530</f>
        <v>67.26461</v>
      </c>
      <c r="J3530" s="43" t="n">
        <f aca="false">G3530*H3530*1.5</f>
        <v>5.154135</v>
      </c>
      <c r="K3530" s="6" t="n">
        <v>13.6</v>
      </c>
      <c r="L3530" s="43" t="n">
        <f aca="false">K3530*'Chart of Accounts'!$E$68</f>
        <v>9.112</v>
      </c>
      <c r="O3530" s="42" t="n">
        <f aca="false">I3530+J3530+L3530</f>
        <v>81.530745</v>
      </c>
    </row>
    <row r="3531" customFormat="false" ht="15" hidden="false" customHeight="false" outlineLevel="0" collapsed="false">
      <c r="B3531" s="7" t="s">
        <v>12164</v>
      </c>
      <c r="C3531" s="39" t="n">
        <v>45878</v>
      </c>
      <c r="D3531" s="7" t="s">
        <v>254</v>
      </c>
      <c r="E3531" s="7" t="s">
        <v>180</v>
      </c>
      <c r="F3531" s="6" t="n">
        <v>3.925</v>
      </c>
      <c r="G3531" s="6" t="n">
        <v>0.145</v>
      </c>
      <c r="H3531" s="41" t="n">
        <v>17.1</v>
      </c>
      <c r="I3531" s="43" t="n">
        <f aca="false">F3531*H3531</f>
        <v>67.1175</v>
      </c>
      <c r="J3531" s="43" t="n">
        <f aca="false">G3531*H3531*1.5</f>
        <v>3.71925</v>
      </c>
      <c r="K3531" s="6" t="n">
        <v>11.01</v>
      </c>
      <c r="L3531" s="43" t="n">
        <f aca="false">K3531*'Chart of Accounts'!$E$68</f>
        <v>7.3767</v>
      </c>
      <c r="O3531" s="42" t="n">
        <f aca="false">I3531+J3531+L3531</f>
        <v>78.21345</v>
      </c>
    </row>
    <row r="3532" customFormat="false" ht="15" hidden="false" customHeight="false" outlineLevel="0" collapsed="false">
      <c r="B3532" s="7" t="s">
        <v>12165</v>
      </c>
      <c r="C3532" s="39" t="n">
        <v>45879</v>
      </c>
      <c r="D3532" s="7" t="s">
        <v>224</v>
      </c>
      <c r="E3532" s="7" t="s">
        <v>180</v>
      </c>
      <c r="F3532" s="6" t="n">
        <v>3.94</v>
      </c>
      <c r="G3532" s="6" t="n">
        <v>0</v>
      </c>
      <c r="H3532" s="41" t="n">
        <v>14.93</v>
      </c>
      <c r="I3532" s="43" t="n">
        <f aca="false">F3532*H3532</f>
        <v>58.8242</v>
      </c>
      <c r="J3532" s="43" t="n">
        <f aca="false">G3532*H3532*1.5</f>
        <v>0</v>
      </c>
      <c r="K3532" s="6" t="n">
        <v>13.25</v>
      </c>
      <c r="L3532" s="43" t="n">
        <f aca="false">K3532*'Chart of Accounts'!$E$68</f>
        <v>8.8775</v>
      </c>
      <c r="O3532" s="42" t="n">
        <f aca="false">I3532+J3532+L3532</f>
        <v>67.7017</v>
      </c>
    </row>
    <row r="3533" customFormat="false" ht="15" hidden="false" customHeight="false" outlineLevel="0" collapsed="false">
      <c r="B3533" s="7" t="s">
        <v>12166</v>
      </c>
      <c r="C3533" s="39" t="n">
        <v>45879</v>
      </c>
      <c r="D3533" s="7" t="s">
        <v>218</v>
      </c>
      <c r="E3533" s="7" t="s">
        <v>180</v>
      </c>
      <c r="F3533" s="6" t="n">
        <v>8.43</v>
      </c>
      <c r="G3533" s="6" t="n">
        <v>0</v>
      </c>
      <c r="H3533" s="41" t="n">
        <v>16.19</v>
      </c>
      <c r="I3533" s="43" t="n">
        <f aca="false">F3533*H3533</f>
        <v>136.4817</v>
      </c>
      <c r="J3533" s="43" t="n">
        <f aca="false">G3533*H3533*1.5</f>
        <v>0</v>
      </c>
      <c r="K3533" s="6" t="n">
        <v>20.49</v>
      </c>
      <c r="L3533" s="43" t="n">
        <f aca="false">K3533*'Chart of Accounts'!$E$68</f>
        <v>13.7283</v>
      </c>
      <c r="O3533" s="42" t="n">
        <f aca="false">I3533+J3533+L3533</f>
        <v>150.21</v>
      </c>
    </row>
    <row r="3534" customFormat="false" ht="15" hidden="false" customHeight="false" outlineLevel="0" collapsed="false">
      <c r="B3534" s="7" t="s">
        <v>12167</v>
      </c>
      <c r="C3534" s="39" t="n">
        <v>45879</v>
      </c>
      <c r="D3534" s="7" t="s">
        <v>196</v>
      </c>
      <c r="E3534" s="7" t="s">
        <v>180</v>
      </c>
      <c r="F3534" s="6" t="n">
        <v>4.26</v>
      </c>
      <c r="G3534" s="6" t="n">
        <v>0</v>
      </c>
      <c r="H3534" s="41" t="n">
        <v>15.05</v>
      </c>
      <c r="I3534" s="43" t="n">
        <f aca="false">F3534*H3534</f>
        <v>64.113</v>
      </c>
      <c r="J3534" s="43" t="n">
        <f aca="false">G3534*H3534*1.5</f>
        <v>0</v>
      </c>
      <c r="K3534" s="6" t="n">
        <v>12.22</v>
      </c>
      <c r="L3534" s="43" t="n">
        <f aca="false">K3534*'Chart of Accounts'!$E$68</f>
        <v>8.1874</v>
      </c>
      <c r="O3534" s="42" t="n">
        <f aca="false">I3534+J3534+L3534</f>
        <v>72.3004</v>
      </c>
    </row>
    <row r="3535" customFormat="false" ht="15" hidden="false" customHeight="false" outlineLevel="0" collapsed="false">
      <c r="B3535" s="7" t="s">
        <v>12168</v>
      </c>
      <c r="C3535" s="39" t="n">
        <v>45879</v>
      </c>
      <c r="D3535" s="7" t="s">
        <v>222</v>
      </c>
      <c r="E3535" s="7" t="s">
        <v>180</v>
      </c>
      <c r="F3535" s="6" t="n">
        <v>3.74</v>
      </c>
      <c r="G3535" s="6" t="n">
        <v>0</v>
      </c>
      <c r="H3535" s="41" t="n">
        <v>17.84</v>
      </c>
      <c r="I3535" s="43" t="n">
        <f aca="false">F3535*H3535</f>
        <v>66.7216</v>
      </c>
      <c r="J3535" s="43" t="n">
        <f aca="false">G3535*H3535*1.5</f>
        <v>0</v>
      </c>
      <c r="K3535" s="6" t="n">
        <v>9.89</v>
      </c>
      <c r="L3535" s="43" t="n">
        <f aca="false">K3535*'Chart of Accounts'!$E$68</f>
        <v>6.6263</v>
      </c>
      <c r="O3535" s="42" t="n">
        <f aca="false">I3535+J3535+L3535</f>
        <v>73.3479</v>
      </c>
    </row>
    <row r="3536" customFormat="false" ht="15" hidden="false" customHeight="false" outlineLevel="0" collapsed="false">
      <c r="B3536" s="7" t="s">
        <v>12169</v>
      </c>
      <c r="C3536" s="39" t="n">
        <v>45879</v>
      </c>
      <c r="D3536" s="7" t="s">
        <v>242</v>
      </c>
      <c r="E3536" s="7" t="s">
        <v>180</v>
      </c>
      <c r="F3536" s="6" t="n">
        <v>3.654</v>
      </c>
      <c r="G3536" s="6" t="n">
        <v>0.186</v>
      </c>
      <c r="H3536" s="41" t="n">
        <v>17.99</v>
      </c>
      <c r="I3536" s="43" t="n">
        <f aca="false">F3536*H3536</f>
        <v>65.73546</v>
      </c>
      <c r="J3536" s="43" t="n">
        <f aca="false">G3536*H3536*1.5</f>
        <v>5.01921</v>
      </c>
      <c r="K3536" s="6" t="n">
        <v>11.5</v>
      </c>
      <c r="L3536" s="43" t="n">
        <f aca="false">K3536*'Chart of Accounts'!$E$68</f>
        <v>7.705</v>
      </c>
      <c r="O3536" s="42" t="n">
        <f aca="false">I3536+J3536+L3536</f>
        <v>78.45967</v>
      </c>
    </row>
    <row r="3537" customFormat="false" ht="15" hidden="false" customHeight="false" outlineLevel="0" collapsed="false">
      <c r="B3537" s="7" t="s">
        <v>12170</v>
      </c>
      <c r="C3537" s="39" t="n">
        <v>45879</v>
      </c>
      <c r="D3537" s="7" t="s">
        <v>254</v>
      </c>
      <c r="E3537" s="7" t="s">
        <v>180</v>
      </c>
      <c r="F3537" s="6" t="n">
        <v>3.944</v>
      </c>
      <c r="G3537" s="6" t="n">
        <v>0.146</v>
      </c>
      <c r="H3537" s="41" t="n">
        <v>17.1</v>
      </c>
      <c r="I3537" s="43" t="n">
        <f aca="false">F3537*H3537</f>
        <v>67.4424</v>
      </c>
      <c r="J3537" s="43" t="n">
        <f aca="false">G3537*H3537*1.5</f>
        <v>3.7449</v>
      </c>
      <c r="K3537" s="6" t="n">
        <v>13.05</v>
      </c>
      <c r="L3537" s="43" t="n">
        <f aca="false">K3537*'Chart of Accounts'!$E$68</f>
        <v>8.7435</v>
      </c>
      <c r="O3537" s="42" t="n">
        <f aca="false">I3537+J3537+L3537</f>
        <v>79.9308</v>
      </c>
    </row>
    <row r="3538" customFormat="false" ht="15" hidden="false" customHeight="false" outlineLevel="0" collapsed="false">
      <c r="B3538" s="7" t="s">
        <v>12171</v>
      </c>
      <c r="C3538" s="39" t="n">
        <v>45880</v>
      </c>
      <c r="D3538" s="7" t="s">
        <v>187</v>
      </c>
      <c r="E3538" s="7" t="s">
        <v>158</v>
      </c>
      <c r="H3538" s="41" t="n">
        <v>66.48</v>
      </c>
      <c r="M3538" s="6" t="n">
        <v>1</v>
      </c>
      <c r="N3538" s="43" t="n">
        <f aca="false">M3538*H3538</f>
        <v>66.48</v>
      </c>
      <c r="O3538" s="42" t="n">
        <f aca="false">N3538</f>
        <v>66.48</v>
      </c>
    </row>
    <row r="3539" customFormat="false" ht="15" hidden="false" customHeight="false" outlineLevel="0" collapsed="false">
      <c r="B3539" s="7" t="s">
        <v>12172</v>
      </c>
      <c r="C3539" s="39" t="n">
        <v>45880</v>
      </c>
      <c r="D3539" s="7" t="s">
        <v>238</v>
      </c>
      <c r="E3539" s="7" t="s">
        <v>180</v>
      </c>
      <c r="F3539" s="6" t="n">
        <v>12.49</v>
      </c>
      <c r="G3539" s="6" t="n">
        <v>0</v>
      </c>
      <c r="H3539" s="41" t="n">
        <v>15.85</v>
      </c>
      <c r="I3539" s="43" t="n">
        <f aca="false">F3539*H3539</f>
        <v>197.9665</v>
      </c>
      <c r="J3539" s="43" t="n">
        <f aca="false">G3539*H3539*1.5</f>
        <v>0</v>
      </c>
      <c r="K3539" s="6" t="n">
        <v>32.41</v>
      </c>
      <c r="L3539" s="43" t="n">
        <f aca="false">K3539*'Chart of Accounts'!$E$68</f>
        <v>21.7147</v>
      </c>
      <c r="O3539" s="42" t="n">
        <f aca="false">I3539+J3539+L3539</f>
        <v>219.6812</v>
      </c>
    </row>
    <row r="3540" customFormat="false" ht="15" hidden="false" customHeight="false" outlineLevel="0" collapsed="false">
      <c r="B3540" s="7" t="s">
        <v>12173</v>
      </c>
      <c r="C3540" s="39" t="n">
        <v>45880</v>
      </c>
      <c r="D3540" s="7" t="s">
        <v>194</v>
      </c>
      <c r="E3540" s="7" t="s">
        <v>180</v>
      </c>
      <c r="F3540" s="6" t="n">
        <v>7.721</v>
      </c>
      <c r="G3540" s="6" t="n">
        <v>0.479</v>
      </c>
      <c r="H3540" s="41" t="n">
        <v>16</v>
      </c>
      <c r="I3540" s="43" t="n">
        <f aca="false">F3540*H3540</f>
        <v>123.536</v>
      </c>
      <c r="J3540" s="43" t="n">
        <f aca="false">G3540*H3540*1.5</f>
        <v>11.496</v>
      </c>
      <c r="K3540" s="6" t="n">
        <v>27.42</v>
      </c>
      <c r="L3540" s="43" t="n">
        <f aca="false">K3540*'Chart of Accounts'!$E$68</f>
        <v>18.3714</v>
      </c>
      <c r="O3540" s="42" t="n">
        <f aca="false">I3540+J3540+L3540</f>
        <v>153.4034</v>
      </c>
    </row>
    <row r="3541" customFormat="false" ht="15" hidden="false" customHeight="false" outlineLevel="0" collapsed="false">
      <c r="B3541" s="7" t="s">
        <v>12174</v>
      </c>
      <c r="C3541" s="39" t="n">
        <v>45880</v>
      </c>
      <c r="D3541" s="7" t="s">
        <v>214</v>
      </c>
      <c r="E3541" s="7" t="s">
        <v>180</v>
      </c>
      <c r="F3541" s="6" t="n">
        <v>14.95</v>
      </c>
      <c r="G3541" s="6" t="n">
        <v>0</v>
      </c>
      <c r="H3541" s="41" t="n">
        <v>15.67</v>
      </c>
      <c r="I3541" s="43" t="n">
        <f aca="false">F3541*H3541</f>
        <v>234.2665</v>
      </c>
      <c r="J3541" s="43" t="n">
        <f aca="false">G3541*H3541*1.5</f>
        <v>0</v>
      </c>
      <c r="K3541" s="6" t="n">
        <v>45.61</v>
      </c>
      <c r="L3541" s="43" t="n">
        <f aca="false">K3541*'Chart of Accounts'!$E$68</f>
        <v>30.5587</v>
      </c>
      <c r="O3541" s="42" t="n">
        <f aca="false">I3541+J3541+L3541</f>
        <v>264.8252</v>
      </c>
    </row>
    <row r="3542" customFormat="false" ht="15" hidden="false" customHeight="false" outlineLevel="0" collapsed="false">
      <c r="B3542" s="7" t="s">
        <v>12175</v>
      </c>
      <c r="C3542" s="39" t="n">
        <v>45880</v>
      </c>
      <c r="D3542" s="7" t="s">
        <v>201</v>
      </c>
      <c r="E3542" s="7" t="s">
        <v>180</v>
      </c>
      <c r="F3542" s="6" t="n">
        <v>9.48</v>
      </c>
      <c r="G3542" s="6" t="n">
        <v>0</v>
      </c>
      <c r="H3542" s="41" t="n">
        <v>15.19</v>
      </c>
      <c r="I3542" s="43" t="n">
        <f aca="false">F3542*H3542</f>
        <v>144.0012</v>
      </c>
      <c r="J3542" s="43" t="n">
        <f aca="false">G3542*H3542*1.5</f>
        <v>0</v>
      </c>
      <c r="K3542" s="6" t="n">
        <v>24.21</v>
      </c>
      <c r="L3542" s="43" t="n">
        <f aca="false">K3542*'Chart of Accounts'!$E$68</f>
        <v>16.2207</v>
      </c>
      <c r="O3542" s="42" t="n">
        <f aca="false">I3542+J3542+L3542</f>
        <v>160.2219</v>
      </c>
    </row>
    <row r="3543" customFormat="false" ht="15" hidden="false" customHeight="false" outlineLevel="0" collapsed="false">
      <c r="B3543" s="7" t="s">
        <v>12176</v>
      </c>
      <c r="C3543" s="39" t="n">
        <v>45880</v>
      </c>
      <c r="D3543" s="7" t="s">
        <v>205</v>
      </c>
      <c r="E3543" s="7" t="s">
        <v>180</v>
      </c>
      <c r="F3543" s="6" t="n">
        <v>8.46</v>
      </c>
      <c r="G3543" s="6" t="n">
        <v>0</v>
      </c>
      <c r="H3543" s="41" t="n">
        <v>16.36</v>
      </c>
      <c r="I3543" s="43" t="n">
        <f aca="false">F3543*H3543</f>
        <v>138.4056</v>
      </c>
      <c r="J3543" s="43" t="n">
        <f aca="false">G3543*H3543*1.5</f>
        <v>0</v>
      </c>
      <c r="K3543" s="6" t="n">
        <v>20.23</v>
      </c>
      <c r="L3543" s="43" t="n">
        <f aca="false">K3543*'Chart of Accounts'!$E$68</f>
        <v>13.5541</v>
      </c>
      <c r="O3543" s="42" t="n">
        <f aca="false">I3543+J3543+L3543</f>
        <v>151.9597</v>
      </c>
    </row>
    <row r="3544" customFormat="false" ht="15" hidden="false" customHeight="false" outlineLevel="0" collapsed="false">
      <c r="B3544" s="7" t="s">
        <v>12177</v>
      </c>
      <c r="C3544" s="39" t="n">
        <v>45880</v>
      </c>
      <c r="D3544" s="7" t="s">
        <v>264</v>
      </c>
      <c r="E3544" s="7" t="s">
        <v>158</v>
      </c>
      <c r="H3544" s="41" t="n">
        <v>55.55</v>
      </c>
      <c r="M3544" s="6" t="n">
        <v>1</v>
      </c>
      <c r="N3544" s="43" t="n">
        <f aca="false">M3544*H3544</f>
        <v>55.55</v>
      </c>
      <c r="O3544" s="42" t="n">
        <f aca="false">N3544</f>
        <v>55.55</v>
      </c>
    </row>
    <row r="3545" customFormat="false" ht="15" hidden="false" customHeight="false" outlineLevel="0" collapsed="false">
      <c r="B3545" s="7" t="s">
        <v>12178</v>
      </c>
      <c r="C3545" s="39" t="n">
        <v>45880</v>
      </c>
      <c r="D3545" s="7" t="s">
        <v>252</v>
      </c>
      <c r="E3545" s="7" t="s">
        <v>158</v>
      </c>
      <c r="H3545" s="41" t="n">
        <v>57.54</v>
      </c>
      <c r="M3545" s="6" t="n">
        <v>1</v>
      </c>
      <c r="N3545" s="43" t="n">
        <f aca="false">M3545*H3545</f>
        <v>57.54</v>
      </c>
      <c r="O3545" s="42" t="n">
        <f aca="false">N3545</f>
        <v>57.54</v>
      </c>
    </row>
    <row r="3546" customFormat="false" ht="15" hidden="false" customHeight="false" outlineLevel="0" collapsed="false">
      <c r="B3546" s="7" t="s">
        <v>12179</v>
      </c>
      <c r="C3546" s="39" t="n">
        <v>45880</v>
      </c>
      <c r="D3546" s="7" t="s">
        <v>196</v>
      </c>
      <c r="E3546" s="7" t="s">
        <v>180</v>
      </c>
      <c r="F3546" s="6" t="n">
        <v>11.64</v>
      </c>
      <c r="G3546" s="6" t="n">
        <v>2.5</v>
      </c>
      <c r="H3546" s="41" t="n">
        <v>15.05</v>
      </c>
      <c r="I3546" s="43" t="n">
        <f aca="false">F3546*H3546</f>
        <v>175.182</v>
      </c>
      <c r="J3546" s="43" t="n">
        <f aca="false">G3546*H3546*1.5</f>
        <v>56.4375</v>
      </c>
      <c r="K3546" s="6" t="n">
        <v>49.14</v>
      </c>
      <c r="L3546" s="43" t="n">
        <f aca="false">K3546*'Chart of Accounts'!$E$68</f>
        <v>32.9238</v>
      </c>
      <c r="O3546" s="42" t="n">
        <f aca="false">I3546+J3546+L3546</f>
        <v>264.5433</v>
      </c>
    </row>
    <row r="3547" customFormat="false" ht="15" hidden="false" customHeight="false" outlineLevel="0" collapsed="false">
      <c r="B3547" s="7" t="s">
        <v>12180</v>
      </c>
      <c r="C3547" s="39" t="n">
        <v>45880</v>
      </c>
      <c r="D3547" s="7" t="s">
        <v>184</v>
      </c>
      <c r="E3547" s="7" t="s">
        <v>180</v>
      </c>
      <c r="F3547" s="6" t="n">
        <v>7.97</v>
      </c>
      <c r="G3547" s="6" t="n">
        <v>0.08</v>
      </c>
      <c r="H3547" s="41" t="n">
        <v>17.34</v>
      </c>
      <c r="I3547" s="43" t="n">
        <f aca="false">F3547*H3547</f>
        <v>138.1998</v>
      </c>
      <c r="J3547" s="43" t="n">
        <f aca="false">G3547*H3547*1.5</f>
        <v>2.0808</v>
      </c>
      <c r="K3547" s="6" t="n">
        <v>20.38</v>
      </c>
      <c r="L3547" s="43" t="n">
        <f aca="false">K3547*'Chart of Accounts'!$E$68</f>
        <v>13.6546</v>
      </c>
      <c r="O3547" s="42" t="n">
        <f aca="false">I3547+J3547+L3547</f>
        <v>153.9352</v>
      </c>
    </row>
    <row r="3548" customFormat="false" ht="15" hidden="false" customHeight="false" outlineLevel="0" collapsed="false">
      <c r="B3548" s="7" t="s">
        <v>12181</v>
      </c>
      <c r="C3548" s="39" t="n">
        <v>45880</v>
      </c>
      <c r="D3548" s="7" t="s">
        <v>216</v>
      </c>
      <c r="E3548" s="7" t="s">
        <v>158</v>
      </c>
      <c r="H3548" s="41" t="n">
        <v>61.79</v>
      </c>
      <c r="M3548" s="6" t="n">
        <v>1</v>
      </c>
      <c r="N3548" s="43" t="n">
        <f aca="false">M3548*H3548</f>
        <v>61.79</v>
      </c>
      <c r="O3548" s="42" t="n">
        <f aca="false">N3548</f>
        <v>61.79</v>
      </c>
    </row>
    <row r="3549" customFormat="false" ht="15" hidden="false" customHeight="false" outlineLevel="0" collapsed="false">
      <c r="B3549" s="7" t="s">
        <v>12182</v>
      </c>
      <c r="C3549" s="39" t="n">
        <v>45880</v>
      </c>
      <c r="D3549" s="7" t="s">
        <v>207</v>
      </c>
      <c r="E3549" s="7" t="s">
        <v>180</v>
      </c>
      <c r="F3549" s="6" t="n">
        <v>8.98</v>
      </c>
      <c r="G3549" s="6" t="n">
        <v>0</v>
      </c>
      <c r="H3549" s="41" t="n">
        <v>16.65</v>
      </c>
      <c r="I3549" s="43" t="n">
        <f aca="false">F3549*H3549</f>
        <v>149.517</v>
      </c>
      <c r="J3549" s="43" t="n">
        <f aca="false">G3549*H3549*1.5</f>
        <v>0</v>
      </c>
      <c r="K3549" s="6" t="n">
        <v>21.69</v>
      </c>
      <c r="L3549" s="43" t="n">
        <f aca="false">K3549*'Chart of Accounts'!$E$68</f>
        <v>14.5323</v>
      </c>
      <c r="O3549" s="42" t="n">
        <f aca="false">I3549+J3549+L3549</f>
        <v>164.0493</v>
      </c>
    </row>
    <row r="3550" customFormat="false" ht="15" hidden="false" customHeight="false" outlineLevel="0" collapsed="false">
      <c r="B3550" s="7" t="s">
        <v>12183</v>
      </c>
      <c r="C3550" s="39" t="n">
        <v>45880</v>
      </c>
      <c r="D3550" s="7" t="s">
        <v>218</v>
      </c>
      <c r="E3550" s="7" t="s">
        <v>180</v>
      </c>
      <c r="F3550" s="6" t="n">
        <v>3.94</v>
      </c>
      <c r="G3550" s="6" t="n">
        <v>0</v>
      </c>
      <c r="H3550" s="41" t="n">
        <v>16.19</v>
      </c>
      <c r="I3550" s="43" t="n">
        <f aca="false">F3550*H3550</f>
        <v>63.7886</v>
      </c>
      <c r="J3550" s="43" t="n">
        <f aca="false">G3550*H3550*1.5</f>
        <v>0</v>
      </c>
      <c r="K3550" s="6" t="n">
        <v>10.34</v>
      </c>
      <c r="L3550" s="43" t="n">
        <f aca="false">K3550*'Chart of Accounts'!$E$68</f>
        <v>6.9278</v>
      </c>
      <c r="O3550" s="42" t="n">
        <f aca="false">I3550+J3550+L3550</f>
        <v>70.7164</v>
      </c>
    </row>
    <row r="3551" customFormat="false" ht="15" hidden="false" customHeight="false" outlineLevel="0" collapsed="false">
      <c r="B3551" s="7" t="s">
        <v>12184</v>
      </c>
      <c r="C3551" s="39" t="n">
        <v>45880</v>
      </c>
      <c r="D3551" s="7" t="s">
        <v>220</v>
      </c>
      <c r="E3551" s="7" t="s">
        <v>180</v>
      </c>
      <c r="F3551" s="6" t="n">
        <v>4.24</v>
      </c>
      <c r="G3551" s="6" t="n">
        <v>0</v>
      </c>
      <c r="H3551" s="41" t="n">
        <v>16.43</v>
      </c>
      <c r="I3551" s="43" t="n">
        <f aca="false">F3551*H3551</f>
        <v>69.6632</v>
      </c>
      <c r="J3551" s="43" t="n">
        <f aca="false">G3551*H3551*1.5</f>
        <v>0</v>
      </c>
      <c r="K3551" s="6" t="n">
        <v>9.38</v>
      </c>
      <c r="L3551" s="43" t="n">
        <f aca="false">K3551*'Chart of Accounts'!$E$68</f>
        <v>6.2846</v>
      </c>
      <c r="O3551" s="42" t="n">
        <f aca="false">I3551+J3551+L3551</f>
        <v>75.9478</v>
      </c>
    </row>
    <row r="3552" customFormat="false" ht="15" hidden="false" customHeight="false" outlineLevel="0" collapsed="false">
      <c r="B3552" s="7" t="s">
        <v>12185</v>
      </c>
      <c r="C3552" s="39" t="n">
        <v>45880</v>
      </c>
      <c r="D3552" s="7" t="s">
        <v>224</v>
      </c>
      <c r="E3552" s="7" t="s">
        <v>180</v>
      </c>
      <c r="F3552" s="6" t="n">
        <v>8.06</v>
      </c>
      <c r="G3552" s="6" t="n">
        <v>0</v>
      </c>
      <c r="H3552" s="41" t="n">
        <v>14.93</v>
      </c>
      <c r="I3552" s="43" t="n">
        <f aca="false">F3552*H3552</f>
        <v>120.3358</v>
      </c>
      <c r="J3552" s="43" t="n">
        <f aca="false">G3552*H3552*1.5</f>
        <v>0</v>
      </c>
      <c r="K3552" s="6" t="n">
        <v>23.98</v>
      </c>
      <c r="L3552" s="43" t="n">
        <f aca="false">K3552*'Chart of Accounts'!$E$68</f>
        <v>16.0666</v>
      </c>
      <c r="O3552" s="42" t="n">
        <f aca="false">I3552+J3552+L3552</f>
        <v>136.4024</v>
      </c>
    </row>
    <row r="3553" customFormat="false" ht="15" hidden="false" customHeight="false" outlineLevel="0" collapsed="false">
      <c r="B3553" s="7" t="s">
        <v>12186</v>
      </c>
      <c r="C3553" s="39" t="n">
        <v>45880</v>
      </c>
      <c r="D3553" s="7" t="s">
        <v>177</v>
      </c>
      <c r="E3553" s="7" t="s">
        <v>180</v>
      </c>
      <c r="F3553" s="6" t="n">
        <v>8.36</v>
      </c>
      <c r="G3553" s="6" t="n">
        <v>0</v>
      </c>
      <c r="H3553" s="41" t="n">
        <v>14.56</v>
      </c>
      <c r="I3553" s="43" t="n">
        <f aca="false">F3553*H3553</f>
        <v>121.7216</v>
      </c>
      <c r="J3553" s="43" t="n">
        <f aca="false">G3553*H3553*1.5</f>
        <v>0</v>
      </c>
      <c r="K3553" s="6" t="n">
        <v>25.35</v>
      </c>
      <c r="L3553" s="43" t="n">
        <f aca="false">K3553*'Chart of Accounts'!$E$68</f>
        <v>16.9845</v>
      </c>
      <c r="O3553" s="42" t="n">
        <f aca="false">I3553+J3553+L3553</f>
        <v>138.7061</v>
      </c>
    </row>
    <row r="3554" customFormat="false" ht="15" hidden="false" customHeight="false" outlineLevel="0" collapsed="false">
      <c r="B3554" s="7" t="s">
        <v>12187</v>
      </c>
      <c r="C3554" s="39" t="n">
        <v>45880</v>
      </c>
      <c r="D3554" s="7" t="s">
        <v>232</v>
      </c>
      <c r="E3554" s="7" t="s">
        <v>180</v>
      </c>
      <c r="F3554" s="6" t="n">
        <v>7.69</v>
      </c>
      <c r="G3554" s="6" t="n">
        <v>0</v>
      </c>
      <c r="H3554" s="41" t="n">
        <v>16.17</v>
      </c>
      <c r="I3554" s="43" t="n">
        <f aca="false">F3554*H3554</f>
        <v>124.3473</v>
      </c>
      <c r="J3554" s="43" t="n">
        <f aca="false">G3554*H3554*1.5</f>
        <v>0</v>
      </c>
      <c r="K3554" s="6" t="n">
        <v>27.2</v>
      </c>
      <c r="L3554" s="43" t="n">
        <f aca="false">K3554*'Chart of Accounts'!$E$68</f>
        <v>18.224</v>
      </c>
      <c r="O3554" s="42" t="n">
        <f aca="false">I3554+J3554+L3554</f>
        <v>142.5713</v>
      </c>
    </row>
    <row r="3555" customFormat="false" ht="15" hidden="false" customHeight="false" outlineLevel="0" collapsed="false">
      <c r="B3555" s="7" t="s">
        <v>12188</v>
      </c>
      <c r="C3555" s="39" t="n">
        <v>45880</v>
      </c>
      <c r="D3555" s="7" t="s">
        <v>242</v>
      </c>
      <c r="E3555" s="7" t="s">
        <v>180</v>
      </c>
      <c r="F3555" s="6" t="n">
        <v>7.56</v>
      </c>
      <c r="G3555" s="6" t="n">
        <v>0</v>
      </c>
      <c r="H3555" s="41" t="n">
        <v>17.99</v>
      </c>
      <c r="I3555" s="43" t="n">
        <f aca="false">F3555*H3555</f>
        <v>136.0044</v>
      </c>
      <c r="J3555" s="43" t="n">
        <f aca="false">G3555*H3555*1.5</f>
        <v>0</v>
      </c>
      <c r="K3555" s="6" t="n">
        <v>24.91</v>
      </c>
      <c r="L3555" s="43" t="n">
        <f aca="false">K3555*'Chart of Accounts'!$E$68</f>
        <v>16.6897</v>
      </c>
      <c r="O3555" s="42" t="n">
        <f aca="false">I3555+J3555+L3555</f>
        <v>152.6941</v>
      </c>
    </row>
    <row r="3556" customFormat="false" ht="15" hidden="false" customHeight="false" outlineLevel="0" collapsed="false">
      <c r="B3556" s="7" t="s">
        <v>12189</v>
      </c>
      <c r="C3556" s="39" t="n">
        <v>45880</v>
      </c>
      <c r="D3556" s="7" t="s">
        <v>222</v>
      </c>
      <c r="E3556" s="7" t="s">
        <v>180</v>
      </c>
      <c r="F3556" s="6" t="n">
        <v>6.97</v>
      </c>
      <c r="G3556" s="6" t="n">
        <v>0</v>
      </c>
      <c r="H3556" s="41" t="n">
        <v>17.84</v>
      </c>
      <c r="I3556" s="43" t="n">
        <f aca="false">F3556*H3556</f>
        <v>124.3448</v>
      </c>
      <c r="J3556" s="43" t="n">
        <f aca="false">G3556*H3556*1.5</f>
        <v>0</v>
      </c>
      <c r="K3556" s="6" t="n">
        <v>17.32</v>
      </c>
      <c r="L3556" s="43" t="n">
        <f aca="false">K3556*'Chart of Accounts'!$E$68</f>
        <v>11.6044</v>
      </c>
      <c r="O3556" s="42" t="n">
        <f aca="false">I3556+J3556+L3556</f>
        <v>135.9492</v>
      </c>
    </row>
    <row r="3557" customFormat="false" ht="15" hidden="false" customHeight="false" outlineLevel="0" collapsed="false">
      <c r="B3557" s="7" t="s">
        <v>12190</v>
      </c>
      <c r="C3557" s="39" t="n">
        <v>45880</v>
      </c>
      <c r="D3557" s="7" t="s">
        <v>254</v>
      </c>
      <c r="E3557" s="7" t="s">
        <v>180</v>
      </c>
      <c r="F3557" s="6" t="n">
        <v>7.16</v>
      </c>
      <c r="G3557" s="6" t="n">
        <v>0</v>
      </c>
      <c r="H3557" s="41" t="n">
        <v>17.1</v>
      </c>
      <c r="I3557" s="43" t="n">
        <f aca="false">F3557*H3557</f>
        <v>122.436</v>
      </c>
      <c r="J3557" s="43" t="n">
        <f aca="false">G3557*H3557*1.5</f>
        <v>0</v>
      </c>
      <c r="K3557" s="6" t="n">
        <v>18.79</v>
      </c>
      <c r="L3557" s="43" t="n">
        <f aca="false">K3557*'Chart of Accounts'!$E$68</f>
        <v>12.5893</v>
      </c>
      <c r="O3557" s="42" t="n">
        <f aca="false">I3557+J3557+L3557</f>
        <v>135.0253</v>
      </c>
    </row>
    <row r="3558" customFormat="false" ht="15" hidden="false" customHeight="false" outlineLevel="0" collapsed="false">
      <c r="B3558" s="7" t="s">
        <v>12191</v>
      </c>
      <c r="C3558" s="39" t="n">
        <v>45880</v>
      </c>
      <c r="D3558" s="7" t="s">
        <v>246</v>
      </c>
      <c r="E3558" s="7" t="s">
        <v>180</v>
      </c>
      <c r="F3558" s="6" t="n">
        <v>8.03</v>
      </c>
      <c r="G3558" s="6" t="n">
        <v>0</v>
      </c>
      <c r="H3558" s="41" t="n">
        <v>16.48</v>
      </c>
      <c r="I3558" s="43" t="n">
        <f aca="false">F3558*H3558</f>
        <v>132.3344</v>
      </c>
      <c r="J3558" s="43" t="n">
        <f aca="false">G3558*H3558*1.5</f>
        <v>0</v>
      </c>
      <c r="K3558" s="6" t="n">
        <v>28.49</v>
      </c>
      <c r="L3558" s="43" t="n">
        <f aca="false">K3558*'Chart of Accounts'!$E$68</f>
        <v>19.0883</v>
      </c>
      <c r="O3558" s="42" t="n">
        <f aca="false">I3558+J3558+L3558</f>
        <v>151.4227</v>
      </c>
    </row>
    <row r="3559" customFormat="false" ht="15" hidden="false" customHeight="false" outlineLevel="0" collapsed="false">
      <c r="B3559" s="7" t="s">
        <v>12192</v>
      </c>
      <c r="C3559" s="39" t="n">
        <v>45881</v>
      </c>
      <c r="D3559" s="7" t="s">
        <v>184</v>
      </c>
      <c r="E3559" s="7" t="s">
        <v>180</v>
      </c>
      <c r="F3559" s="6" t="n">
        <v>7.822</v>
      </c>
      <c r="G3559" s="6" t="n">
        <v>0.078</v>
      </c>
      <c r="H3559" s="41" t="n">
        <v>17.34</v>
      </c>
      <c r="I3559" s="43" t="n">
        <f aca="false">F3559*H3559</f>
        <v>135.63348</v>
      </c>
      <c r="J3559" s="43" t="n">
        <f aca="false">G3559*H3559*1.5</f>
        <v>2.02878</v>
      </c>
      <c r="K3559" s="6" t="n">
        <v>28.19</v>
      </c>
      <c r="L3559" s="43" t="n">
        <f aca="false">K3559*'Chart of Accounts'!$E$68</f>
        <v>18.8873</v>
      </c>
      <c r="O3559" s="42" t="n">
        <f aca="false">I3559+J3559+L3559</f>
        <v>156.54956</v>
      </c>
    </row>
    <row r="3560" customFormat="false" ht="15" hidden="false" customHeight="false" outlineLevel="0" collapsed="false">
      <c r="B3560" s="7" t="s">
        <v>12193</v>
      </c>
      <c r="C3560" s="39" t="n">
        <v>45881</v>
      </c>
      <c r="D3560" s="7" t="s">
        <v>209</v>
      </c>
      <c r="E3560" s="7" t="s">
        <v>158</v>
      </c>
      <c r="H3560" s="41" t="n">
        <v>73.58</v>
      </c>
      <c r="M3560" s="6" t="n">
        <v>2</v>
      </c>
      <c r="N3560" s="43" t="n">
        <f aca="false">M3560*H3560</f>
        <v>147.16</v>
      </c>
      <c r="O3560" s="42" t="n">
        <f aca="false">N3560</f>
        <v>147.16</v>
      </c>
    </row>
    <row r="3561" customFormat="false" ht="15" hidden="false" customHeight="false" outlineLevel="0" collapsed="false">
      <c r="B3561" s="7" t="s">
        <v>12194</v>
      </c>
      <c r="C3561" s="39" t="n">
        <v>45881</v>
      </c>
      <c r="D3561" s="7" t="s">
        <v>234</v>
      </c>
      <c r="E3561" s="7" t="s">
        <v>158</v>
      </c>
      <c r="H3561" s="41" t="n">
        <v>89.53</v>
      </c>
      <c r="M3561" s="6" t="n">
        <v>2</v>
      </c>
      <c r="N3561" s="43" t="n">
        <f aca="false">M3561*H3561</f>
        <v>179.06</v>
      </c>
      <c r="O3561" s="42" t="n">
        <f aca="false">N3561</f>
        <v>179.06</v>
      </c>
    </row>
    <row r="3562" customFormat="false" ht="15" hidden="false" customHeight="false" outlineLevel="0" collapsed="false">
      <c r="B3562" s="7" t="s">
        <v>12195</v>
      </c>
      <c r="C3562" s="39" t="n">
        <v>45881</v>
      </c>
      <c r="D3562" s="7" t="s">
        <v>218</v>
      </c>
      <c r="E3562" s="7" t="s">
        <v>180</v>
      </c>
      <c r="F3562" s="6" t="n">
        <v>3.67</v>
      </c>
      <c r="G3562" s="6" t="n">
        <v>0</v>
      </c>
      <c r="H3562" s="41" t="n">
        <v>16.19</v>
      </c>
      <c r="I3562" s="43" t="n">
        <f aca="false">F3562*H3562</f>
        <v>59.4173</v>
      </c>
      <c r="J3562" s="43" t="n">
        <f aca="false">G3562*H3562*1.5</f>
        <v>0</v>
      </c>
      <c r="K3562" s="6" t="n">
        <v>9.42</v>
      </c>
      <c r="L3562" s="43" t="n">
        <f aca="false">K3562*'Chart of Accounts'!$E$68</f>
        <v>6.3114</v>
      </c>
      <c r="O3562" s="42" t="n">
        <f aca="false">I3562+J3562+L3562</f>
        <v>65.7287</v>
      </c>
    </row>
    <row r="3563" customFormat="false" ht="15" hidden="false" customHeight="false" outlineLevel="0" collapsed="false">
      <c r="B3563" s="7" t="s">
        <v>12196</v>
      </c>
      <c r="C3563" s="39" t="n">
        <v>45881</v>
      </c>
      <c r="D3563" s="7" t="s">
        <v>266</v>
      </c>
      <c r="E3563" s="7" t="s">
        <v>158</v>
      </c>
      <c r="H3563" s="41" t="n">
        <v>75.18</v>
      </c>
      <c r="M3563" s="6" t="n">
        <v>1</v>
      </c>
      <c r="N3563" s="43" t="n">
        <f aca="false">M3563*H3563</f>
        <v>75.18</v>
      </c>
      <c r="O3563" s="42" t="n">
        <f aca="false">N3563</f>
        <v>75.18</v>
      </c>
    </row>
    <row r="3564" customFormat="false" ht="15" hidden="false" customHeight="false" outlineLevel="0" collapsed="false">
      <c r="B3564" s="7" t="s">
        <v>12197</v>
      </c>
      <c r="C3564" s="39" t="n">
        <v>45881</v>
      </c>
      <c r="D3564" s="7" t="s">
        <v>228</v>
      </c>
      <c r="E3564" s="7" t="s">
        <v>158</v>
      </c>
      <c r="H3564" s="41" t="n">
        <v>51.07</v>
      </c>
      <c r="M3564" s="6" t="n">
        <v>1</v>
      </c>
      <c r="N3564" s="43" t="n">
        <f aca="false">M3564*H3564</f>
        <v>51.07</v>
      </c>
      <c r="O3564" s="42" t="n">
        <f aca="false">N3564</f>
        <v>51.07</v>
      </c>
    </row>
    <row r="3565" customFormat="false" ht="15" hidden="false" customHeight="false" outlineLevel="0" collapsed="false">
      <c r="B3565" s="7" t="s">
        <v>12198</v>
      </c>
      <c r="C3565" s="39" t="n">
        <v>45881</v>
      </c>
      <c r="D3565" s="7" t="s">
        <v>220</v>
      </c>
      <c r="E3565" s="7" t="s">
        <v>180</v>
      </c>
      <c r="F3565" s="6" t="n">
        <v>4.39</v>
      </c>
      <c r="G3565" s="6" t="n">
        <v>0</v>
      </c>
      <c r="H3565" s="41" t="n">
        <v>16.43</v>
      </c>
      <c r="I3565" s="43" t="n">
        <f aca="false">F3565*H3565</f>
        <v>72.1277</v>
      </c>
      <c r="J3565" s="43" t="n">
        <f aca="false">G3565*H3565*1.5</f>
        <v>0</v>
      </c>
      <c r="K3565" s="6" t="n">
        <v>12.75</v>
      </c>
      <c r="L3565" s="43" t="n">
        <f aca="false">K3565*'Chart of Accounts'!$E$68</f>
        <v>8.5425</v>
      </c>
      <c r="O3565" s="42" t="n">
        <f aca="false">I3565+J3565+L3565</f>
        <v>80.6702</v>
      </c>
    </row>
    <row r="3566" customFormat="false" ht="15" hidden="false" customHeight="false" outlineLevel="0" collapsed="false">
      <c r="B3566" s="7" t="s">
        <v>12199</v>
      </c>
      <c r="C3566" s="39" t="n">
        <v>45881</v>
      </c>
      <c r="D3566" s="7" t="s">
        <v>232</v>
      </c>
      <c r="E3566" s="7" t="s">
        <v>180</v>
      </c>
      <c r="F3566" s="6" t="n">
        <v>3.85</v>
      </c>
      <c r="G3566" s="6" t="n">
        <v>0</v>
      </c>
      <c r="H3566" s="41" t="n">
        <v>16.17</v>
      </c>
      <c r="I3566" s="43" t="n">
        <f aca="false">F3566*H3566</f>
        <v>62.2545</v>
      </c>
      <c r="J3566" s="43" t="n">
        <f aca="false">G3566*H3566*1.5</f>
        <v>0</v>
      </c>
      <c r="K3566" s="6" t="n">
        <v>10.45</v>
      </c>
      <c r="L3566" s="43" t="n">
        <f aca="false">K3566*'Chart of Accounts'!$E$68</f>
        <v>7.0015</v>
      </c>
      <c r="O3566" s="42" t="n">
        <f aca="false">I3566+J3566+L3566</f>
        <v>69.256</v>
      </c>
    </row>
    <row r="3567" customFormat="false" ht="15" hidden="false" customHeight="false" outlineLevel="0" collapsed="false">
      <c r="B3567" s="7" t="s">
        <v>12200</v>
      </c>
      <c r="C3567" s="39" t="n">
        <v>45881</v>
      </c>
      <c r="D3567" s="7" t="s">
        <v>194</v>
      </c>
      <c r="E3567" s="7" t="s">
        <v>180</v>
      </c>
      <c r="F3567" s="6" t="n">
        <v>3.701</v>
      </c>
      <c r="G3567" s="6" t="n">
        <v>0.229</v>
      </c>
      <c r="H3567" s="41" t="n">
        <v>16</v>
      </c>
      <c r="I3567" s="43" t="n">
        <f aca="false">F3567*H3567</f>
        <v>59.216</v>
      </c>
      <c r="J3567" s="43" t="n">
        <f aca="false">G3567*H3567*1.5</f>
        <v>5.496</v>
      </c>
      <c r="K3567" s="6" t="n">
        <v>9.02</v>
      </c>
      <c r="L3567" s="43" t="n">
        <f aca="false">K3567*'Chart of Accounts'!$E$68</f>
        <v>6.0434</v>
      </c>
      <c r="O3567" s="42" t="n">
        <f aca="false">I3567+J3567+L3567</f>
        <v>70.7554</v>
      </c>
    </row>
    <row r="3568" customFormat="false" ht="15" hidden="false" customHeight="false" outlineLevel="0" collapsed="false">
      <c r="B3568" s="7" t="s">
        <v>12201</v>
      </c>
      <c r="C3568" s="39" t="n">
        <v>45881</v>
      </c>
      <c r="D3568" s="7" t="s">
        <v>258</v>
      </c>
      <c r="E3568" s="7" t="s">
        <v>158</v>
      </c>
      <c r="H3568" s="41" t="n">
        <v>61.61</v>
      </c>
      <c r="M3568" s="6" t="n">
        <v>1</v>
      </c>
      <c r="N3568" s="43" t="n">
        <f aca="false">M3568*H3568</f>
        <v>61.61</v>
      </c>
      <c r="O3568" s="42" t="n">
        <f aca="false">N3568</f>
        <v>61.61</v>
      </c>
    </row>
    <row r="3569" customFormat="false" ht="15" hidden="false" customHeight="false" outlineLevel="0" collapsed="false">
      <c r="B3569" s="7" t="s">
        <v>12202</v>
      </c>
      <c r="C3569" s="39" t="n">
        <v>45881</v>
      </c>
      <c r="D3569" s="7" t="s">
        <v>230</v>
      </c>
      <c r="E3569" s="7" t="s">
        <v>158</v>
      </c>
      <c r="H3569" s="41" t="n">
        <v>48.78</v>
      </c>
      <c r="M3569" s="6" t="n">
        <v>1</v>
      </c>
      <c r="N3569" s="43" t="n">
        <f aca="false">M3569*H3569</f>
        <v>48.78</v>
      </c>
      <c r="O3569" s="42" t="n">
        <f aca="false">N3569</f>
        <v>48.78</v>
      </c>
    </row>
    <row r="3570" customFormat="false" ht="15" hidden="false" customHeight="false" outlineLevel="0" collapsed="false">
      <c r="B3570" s="7" t="s">
        <v>12203</v>
      </c>
      <c r="C3570" s="39" t="n">
        <v>45881</v>
      </c>
      <c r="D3570" s="7" t="s">
        <v>196</v>
      </c>
      <c r="E3570" s="7" t="s">
        <v>180</v>
      </c>
      <c r="F3570" s="6" t="n">
        <v>3.046</v>
      </c>
      <c r="G3570" s="6" t="n">
        <v>0.654</v>
      </c>
      <c r="H3570" s="41" t="n">
        <v>15.05</v>
      </c>
      <c r="I3570" s="43" t="n">
        <f aca="false">F3570*H3570</f>
        <v>45.8423</v>
      </c>
      <c r="J3570" s="43" t="n">
        <f aca="false">G3570*H3570*1.5</f>
        <v>14.76405</v>
      </c>
      <c r="K3570" s="6" t="n">
        <v>9.25</v>
      </c>
      <c r="L3570" s="43" t="n">
        <f aca="false">K3570*'Chart of Accounts'!$E$68</f>
        <v>6.1975</v>
      </c>
      <c r="O3570" s="42" t="n">
        <f aca="false">I3570+J3570+L3570</f>
        <v>66.80385</v>
      </c>
    </row>
    <row r="3571" customFormat="false" ht="15" hidden="false" customHeight="false" outlineLevel="0" collapsed="false">
      <c r="B3571" s="7" t="s">
        <v>12204</v>
      </c>
      <c r="C3571" s="39" t="n">
        <v>45881</v>
      </c>
      <c r="D3571" s="7" t="s">
        <v>246</v>
      </c>
      <c r="E3571" s="7" t="s">
        <v>180</v>
      </c>
      <c r="F3571" s="6" t="n">
        <v>4.34</v>
      </c>
      <c r="G3571" s="6" t="n">
        <v>0</v>
      </c>
      <c r="H3571" s="41" t="n">
        <v>16.48</v>
      </c>
      <c r="I3571" s="43" t="n">
        <f aca="false">F3571*H3571</f>
        <v>71.5232</v>
      </c>
      <c r="J3571" s="43" t="n">
        <f aca="false">G3571*H3571*1.5</f>
        <v>0</v>
      </c>
      <c r="K3571" s="6" t="n">
        <v>14.21</v>
      </c>
      <c r="L3571" s="43" t="n">
        <f aca="false">K3571*'Chart of Accounts'!$E$68</f>
        <v>9.5207</v>
      </c>
      <c r="O3571" s="42" t="n">
        <f aca="false">I3571+J3571+L3571</f>
        <v>81.0439</v>
      </c>
    </row>
    <row r="3572" customFormat="false" ht="15" hidden="false" customHeight="false" outlineLevel="0" collapsed="false">
      <c r="B3572" s="7" t="s">
        <v>12205</v>
      </c>
      <c r="C3572" s="39" t="n">
        <v>45881</v>
      </c>
      <c r="D3572" s="7" t="s">
        <v>222</v>
      </c>
      <c r="E3572" s="7" t="s">
        <v>180</v>
      </c>
      <c r="F3572" s="6" t="n">
        <v>4.02</v>
      </c>
      <c r="G3572" s="6" t="n">
        <v>0</v>
      </c>
      <c r="H3572" s="41" t="n">
        <v>17.84</v>
      </c>
      <c r="I3572" s="43" t="n">
        <f aca="false">F3572*H3572</f>
        <v>71.7168</v>
      </c>
      <c r="J3572" s="43" t="n">
        <f aca="false">G3572*H3572*1.5</f>
        <v>0</v>
      </c>
      <c r="K3572" s="6" t="n">
        <v>12.35</v>
      </c>
      <c r="L3572" s="43" t="n">
        <f aca="false">K3572*'Chart of Accounts'!$E$68</f>
        <v>8.2745</v>
      </c>
      <c r="O3572" s="42" t="n">
        <f aca="false">I3572+J3572+L3572</f>
        <v>79.9913</v>
      </c>
    </row>
    <row r="3573" customFormat="false" ht="15" hidden="false" customHeight="false" outlineLevel="0" collapsed="false">
      <c r="B3573" s="7" t="s">
        <v>12206</v>
      </c>
      <c r="C3573" s="39" t="n">
        <v>45881</v>
      </c>
      <c r="D3573" s="7" t="s">
        <v>242</v>
      </c>
      <c r="E3573" s="7" t="s">
        <v>180</v>
      </c>
      <c r="F3573" s="6" t="n">
        <v>4.19</v>
      </c>
      <c r="G3573" s="6" t="n">
        <v>0</v>
      </c>
      <c r="H3573" s="41" t="n">
        <v>17.99</v>
      </c>
      <c r="I3573" s="43" t="n">
        <f aca="false">F3573*H3573</f>
        <v>75.3781</v>
      </c>
      <c r="J3573" s="43" t="n">
        <f aca="false">G3573*H3573*1.5</f>
        <v>0</v>
      </c>
      <c r="K3573" s="6" t="n">
        <v>13.28</v>
      </c>
      <c r="L3573" s="43" t="n">
        <f aca="false">K3573*'Chart of Accounts'!$E$68</f>
        <v>8.8976</v>
      </c>
      <c r="O3573" s="42" t="n">
        <f aca="false">I3573+J3573+L3573</f>
        <v>84.2757</v>
      </c>
    </row>
    <row r="3574" customFormat="false" ht="15" hidden="false" customHeight="false" outlineLevel="0" collapsed="false">
      <c r="B3574" s="7" t="s">
        <v>12207</v>
      </c>
      <c r="C3574" s="39" t="n">
        <v>45881</v>
      </c>
      <c r="D3574" s="7" t="s">
        <v>203</v>
      </c>
      <c r="E3574" s="7" t="s">
        <v>158</v>
      </c>
      <c r="H3574" s="41" t="n">
        <v>49.43</v>
      </c>
      <c r="M3574" s="6" t="n">
        <v>1</v>
      </c>
      <c r="N3574" s="43" t="n">
        <f aca="false">M3574*H3574</f>
        <v>49.43</v>
      </c>
      <c r="O3574" s="42" t="n">
        <f aca="false">N3574</f>
        <v>49.43</v>
      </c>
    </row>
    <row r="3575" customFormat="false" ht="15" hidden="false" customHeight="false" outlineLevel="0" collapsed="false">
      <c r="B3575" s="7" t="s">
        <v>12208</v>
      </c>
      <c r="C3575" s="39" t="n">
        <v>45881</v>
      </c>
      <c r="D3575" s="7" t="s">
        <v>254</v>
      </c>
      <c r="E3575" s="7" t="s">
        <v>180</v>
      </c>
      <c r="F3575" s="6" t="n">
        <v>3.98</v>
      </c>
      <c r="G3575" s="6" t="n">
        <v>0</v>
      </c>
      <c r="H3575" s="41" t="n">
        <v>17.1</v>
      </c>
      <c r="I3575" s="43" t="n">
        <f aca="false">F3575*H3575</f>
        <v>68.058</v>
      </c>
      <c r="J3575" s="43" t="n">
        <f aca="false">G3575*H3575*1.5</f>
        <v>0</v>
      </c>
      <c r="K3575" s="6" t="n">
        <v>13.73</v>
      </c>
      <c r="L3575" s="43" t="n">
        <f aca="false">K3575*'Chart of Accounts'!$E$68</f>
        <v>9.1991</v>
      </c>
      <c r="O3575" s="42" t="n">
        <f aca="false">I3575+J3575+L3575</f>
        <v>77.2571</v>
      </c>
    </row>
    <row r="3576" customFormat="false" ht="15" hidden="false" customHeight="false" outlineLevel="0" collapsed="false">
      <c r="B3576" s="7" t="s">
        <v>12209</v>
      </c>
      <c r="C3576" s="39" t="n">
        <v>45881</v>
      </c>
      <c r="D3576" s="7" t="s">
        <v>260</v>
      </c>
      <c r="E3576" s="7" t="s">
        <v>158</v>
      </c>
      <c r="H3576" s="41" t="n">
        <v>79.8</v>
      </c>
      <c r="M3576" s="6" t="n">
        <v>1</v>
      </c>
      <c r="N3576" s="43" t="n">
        <f aca="false">M3576*H3576</f>
        <v>79.8</v>
      </c>
      <c r="O3576" s="42" t="n">
        <f aca="false">N3576</f>
        <v>79.8</v>
      </c>
    </row>
    <row r="3577" customFormat="false" ht="15" hidden="false" customHeight="false" outlineLevel="0" collapsed="false">
      <c r="B3577" s="7" t="s">
        <v>12210</v>
      </c>
      <c r="C3577" s="39" t="n">
        <v>45882</v>
      </c>
      <c r="D3577" s="7" t="s">
        <v>187</v>
      </c>
      <c r="E3577" s="7" t="s">
        <v>158</v>
      </c>
      <c r="H3577" s="41" t="n">
        <v>66.48</v>
      </c>
      <c r="M3577" s="6" t="n">
        <v>1</v>
      </c>
      <c r="N3577" s="43" t="n">
        <f aca="false">M3577*H3577</f>
        <v>66.48</v>
      </c>
      <c r="O3577" s="42" t="n">
        <f aca="false">N3577</f>
        <v>66.48</v>
      </c>
    </row>
    <row r="3578" customFormat="false" ht="15" hidden="false" customHeight="false" outlineLevel="0" collapsed="false">
      <c r="B3578" s="7" t="s">
        <v>12211</v>
      </c>
      <c r="C3578" s="39" t="n">
        <v>45882</v>
      </c>
      <c r="D3578" s="7" t="s">
        <v>232</v>
      </c>
      <c r="E3578" s="7" t="s">
        <v>180</v>
      </c>
      <c r="F3578" s="6" t="n">
        <v>8.6</v>
      </c>
      <c r="G3578" s="6" t="n">
        <v>0</v>
      </c>
      <c r="H3578" s="41" t="n">
        <v>16.17</v>
      </c>
      <c r="I3578" s="43" t="n">
        <f aca="false">F3578*H3578</f>
        <v>139.062</v>
      </c>
      <c r="J3578" s="43" t="n">
        <f aca="false">G3578*H3578*1.5</f>
        <v>0</v>
      </c>
      <c r="K3578" s="6" t="n">
        <v>24.07</v>
      </c>
      <c r="L3578" s="43" t="n">
        <f aca="false">K3578*'Chart of Accounts'!$E$68</f>
        <v>16.1269</v>
      </c>
      <c r="O3578" s="42" t="n">
        <f aca="false">I3578+J3578+L3578</f>
        <v>155.1889</v>
      </c>
    </row>
    <row r="3579" customFormat="false" ht="15" hidden="false" customHeight="false" outlineLevel="0" collapsed="false">
      <c r="B3579" s="7" t="s">
        <v>12212</v>
      </c>
      <c r="C3579" s="39" t="n">
        <v>45882</v>
      </c>
      <c r="D3579" s="7" t="s">
        <v>194</v>
      </c>
      <c r="E3579" s="7" t="s">
        <v>180</v>
      </c>
      <c r="F3579" s="6" t="n">
        <v>8.136</v>
      </c>
      <c r="G3579" s="6" t="n">
        <v>0.504</v>
      </c>
      <c r="H3579" s="41" t="n">
        <v>16</v>
      </c>
      <c r="I3579" s="43" t="n">
        <f aca="false">F3579*H3579</f>
        <v>130.176</v>
      </c>
      <c r="J3579" s="43" t="n">
        <f aca="false">G3579*H3579*1.5</f>
        <v>12.096</v>
      </c>
      <c r="K3579" s="6" t="n">
        <v>24.04</v>
      </c>
      <c r="L3579" s="43" t="n">
        <f aca="false">K3579*'Chart of Accounts'!$E$68</f>
        <v>16.1068</v>
      </c>
      <c r="O3579" s="42" t="n">
        <f aca="false">I3579+J3579+L3579</f>
        <v>158.3788</v>
      </c>
    </row>
    <row r="3580" customFormat="false" ht="15" hidden="false" customHeight="false" outlineLevel="0" collapsed="false">
      <c r="B3580" s="7" t="s">
        <v>12213</v>
      </c>
      <c r="C3580" s="39" t="n">
        <v>45882</v>
      </c>
      <c r="D3580" s="7" t="s">
        <v>214</v>
      </c>
      <c r="E3580" s="7" t="s">
        <v>180</v>
      </c>
      <c r="F3580" s="6" t="n">
        <v>7.27</v>
      </c>
      <c r="G3580" s="6" t="n">
        <v>0</v>
      </c>
      <c r="H3580" s="41" t="n">
        <v>15.67</v>
      </c>
      <c r="I3580" s="43" t="n">
        <f aca="false">F3580*H3580</f>
        <v>113.9209</v>
      </c>
      <c r="J3580" s="43" t="n">
        <f aca="false">G3580*H3580*1.5</f>
        <v>0</v>
      </c>
      <c r="K3580" s="6" t="n">
        <v>17.88</v>
      </c>
      <c r="L3580" s="43" t="n">
        <f aca="false">K3580*'Chart of Accounts'!$E$68</f>
        <v>11.9796</v>
      </c>
      <c r="O3580" s="42" t="n">
        <f aca="false">I3580+J3580+L3580</f>
        <v>125.9005</v>
      </c>
    </row>
    <row r="3581" customFormat="false" ht="15" hidden="false" customHeight="false" outlineLevel="0" collapsed="false">
      <c r="B3581" s="7" t="s">
        <v>12214</v>
      </c>
      <c r="C3581" s="39" t="n">
        <v>45882</v>
      </c>
      <c r="D3581" s="7" t="s">
        <v>205</v>
      </c>
      <c r="E3581" s="7" t="s">
        <v>180</v>
      </c>
      <c r="F3581" s="6" t="n">
        <v>3.73</v>
      </c>
      <c r="G3581" s="6" t="n">
        <v>0</v>
      </c>
      <c r="H3581" s="41" t="n">
        <v>16.36</v>
      </c>
      <c r="I3581" s="43" t="n">
        <f aca="false">F3581*H3581</f>
        <v>61.0228</v>
      </c>
      <c r="J3581" s="43" t="n">
        <f aca="false">G3581*H3581*1.5</f>
        <v>0</v>
      </c>
      <c r="K3581" s="6" t="n">
        <v>9.46</v>
      </c>
      <c r="L3581" s="43" t="n">
        <f aca="false">K3581*'Chart of Accounts'!$E$68</f>
        <v>6.3382</v>
      </c>
      <c r="O3581" s="42" t="n">
        <f aca="false">I3581+J3581+L3581</f>
        <v>67.361</v>
      </c>
    </row>
    <row r="3582" customFormat="false" ht="15" hidden="false" customHeight="false" outlineLevel="0" collapsed="false">
      <c r="B3582" s="7" t="s">
        <v>12215</v>
      </c>
      <c r="C3582" s="39" t="n">
        <v>45882</v>
      </c>
      <c r="D3582" s="7" t="s">
        <v>264</v>
      </c>
      <c r="E3582" s="7" t="s">
        <v>158</v>
      </c>
      <c r="H3582" s="41" t="n">
        <v>55.55</v>
      </c>
      <c r="M3582" s="6" t="n">
        <v>1</v>
      </c>
      <c r="N3582" s="43" t="n">
        <f aca="false">M3582*H3582</f>
        <v>55.55</v>
      </c>
      <c r="O3582" s="42" t="n">
        <f aca="false">N3582</f>
        <v>55.55</v>
      </c>
    </row>
    <row r="3583" customFormat="false" ht="15" hidden="false" customHeight="false" outlineLevel="0" collapsed="false">
      <c r="B3583" s="7" t="s">
        <v>12216</v>
      </c>
      <c r="C3583" s="39" t="n">
        <v>45882</v>
      </c>
      <c r="D3583" s="7" t="s">
        <v>252</v>
      </c>
      <c r="E3583" s="7" t="s">
        <v>158</v>
      </c>
      <c r="H3583" s="41" t="n">
        <v>57.54</v>
      </c>
      <c r="M3583" s="6" t="n">
        <v>1</v>
      </c>
      <c r="N3583" s="43" t="n">
        <f aca="false">M3583*H3583</f>
        <v>57.54</v>
      </c>
      <c r="O3583" s="42" t="n">
        <f aca="false">N3583</f>
        <v>57.54</v>
      </c>
    </row>
    <row r="3584" customFormat="false" ht="15" hidden="false" customHeight="false" outlineLevel="0" collapsed="false">
      <c r="B3584" s="7" t="s">
        <v>12217</v>
      </c>
      <c r="C3584" s="39" t="n">
        <v>45882</v>
      </c>
      <c r="D3584" s="7" t="s">
        <v>184</v>
      </c>
      <c r="E3584" s="7" t="s">
        <v>180</v>
      </c>
      <c r="F3584" s="6" t="n">
        <v>7.901</v>
      </c>
      <c r="G3584" s="6" t="n">
        <v>0.079</v>
      </c>
      <c r="H3584" s="41" t="n">
        <v>17.34</v>
      </c>
      <c r="I3584" s="43" t="n">
        <f aca="false">F3584*H3584</f>
        <v>137.00334</v>
      </c>
      <c r="J3584" s="43" t="n">
        <f aca="false">G3584*H3584*1.5</f>
        <v>2.05479</v>
      </c>
      <c r="K3584" s="6" t="n">
        <v>26.71</v>
      </c>
      <c r="L3584" s="43" t="n">
        <f aca="false">K3584*'Chart of Accounts'!$E$68</f>
        <v>17.8957</v>
      </c>
      <c r="O3584" s="42" t="n">
        <f aca="false">I3584+J3584+L3584</f>
        <v>156.95383</v>
      </c>
    </row>
    <row r="3585" customFormat="false" ht="15" hidden="false" customHeight="false" outlineLevel="0" collapsed="false">
      <c r="B3585" s="7" t="s">
        <v>12218</v>
      </c>
      <c r="C3585" s="39" t="n">
        <v>45882</v>
      </c>
      <c r="D3585" s="7" t="s">
        <v>216</v>
      </c>
      <c r="E3585" s="7" t="s">
        <v>158</v>
      </c>
      <c r="H3585" s="41" t="n">
        <v>61.79</v>
      </c>
      <c r="M3585" s="6" t="n">
        <v>1</v>
      </c>
      <c r="N3585" s="43" t="n">
        <f aca="false">M3585*H3585</f>
        <v>61.79</v>
      </c>
      <c r="O3585" s="42" t="n">
        <f aca="false">N3585</f>
        <v>61.79</v>
      </c>
    </row>
    <row r="3586" customFormat="false" ht="15" hidden="false" customHeight="false" outlineLevel="0" collapsed="false">
      <c r="B3586" s="7" t="s">
        <v>12219</v>
      </c>
      <c r="C3586" s="39" t="n">
        <v>45882</v>
      </c>
      <c r="D3586" s="7" t="s">
        <v>218</v>
      </c>
      <c r="E3586" s="7" t="s">
        <v>180</v>
      </c>
      <c r="F3586" s="6" t="n">
        <v>3.91</v>
      </c>
      <c r="G3586" s="6" t="n">
        <v>0</v>
      </c>
      <c r="H3586" s="41" t="n">
        <v>16.19</v>
      </c>
      <c r="I3586" s="43" t="n">
        <f aca="false">F3586*H3586</f>
        <v>63.3029</v>
      </c>
      <c r="J3586" s="43" t="n">
        <f aca="false">G3586*H3586*1.5</f>
        <v>0</v>
      </c>
      <c r="K3586" s="6" t="n">
        <v>9.24</v>
      </c>
      <c r="L3586" s="43" t="n">
        <f aca="false">K3586*'Chart of Accounts'!$E$68</f>
        <v>6.1908</v>
      </c>
      <c r="O3586" s="42" t="n">
        <f aca="false">I3586+J3586+L3586</f>
        <v>69.4937</v>
      </c>
    </row>
    <row r="3587" customFormat="false" ht="15" hidden="false" customHeight="false" outlineLevel="0" collapsed="false">
      <c r="B3587" s="7" t="s">
        <v>12220</v>
      </c>
      <c r="C3587" s="39" t="n">
        <v>45882</v>
      </c>
      <c r="D3587" s="7" t="s">
        <v>220</v>
      </c>
      <c r="E3587" s="7" t="s">
        <v>180</v>
      </c>
      <c r="F3587" s="6" t="n">
        <v>4.21</v>
      </c>
      <c r="G3587" s="6" t="n">
        <v>0</v>
      </c>
      <c r="H3587" s="41" t="n">
        <v>16.43</v>
      </c>
      <c r="I3587" s="43" t="n">
        <f aca="false">F3587*H3587</f>
        <v>69.1703</v>
      </c>
      <c r="J3587" s="43" t="n">
        <f aca="false">G3587*H3587*1.5</f>
        <v>0</v>
      </c>
      <c r="K3587" s="6" t="n">
        <v>9.95</v>
      </c>
      <c r="L3587" s="43" t="n">
        <f aca="false">K3587*'Chart of Accounts'!$E$68</f>
        <v>6.6665</v>
      </c>
      <c r="O3587" s="42" t="n">
        <f aca="false">I3587+J3587+L3587</f>
        <v>75.8368</v>
      </c>
    </row>
    <row r="3588" customFormat="false" ht="15" hidden="false" customHeight="false" outlineLevel="0" collapsed="false">
      <c r="B3588" s="7" t="s">
        <v>12221</v>
      </c>
      <c r="C3588" s="39" t="n">
        <v>45882</v>
      </c>
      <c r="D3588" s="7" t="s">
        <v>177</v>
      </c>
      <c r="E3588" s="7" t="s">
        <v>180</v>
      </c>
      <c r="F3588" s="6" t="n">
        <v>8.42</v>
      </c>
      <c r="G3588" s="6" t="n">
        <v>0</v>
      </c>
      <c r="H3588" s="41" t="n">
        <v>14.56</v>
      </c>
      <c r="I3588" s="43" t="n">
        <f aca="false">F3588*H3588</f>
        <v>122.5952</v>
      </c>
      <c r="J3588" s="43" t="n">
        <f aca="false">G3588*H3588*1.5</f>
        <v>0</v>
      </c>
      <c r="K3588" s="6" t="n">
        <v>18.83</v>
      </c>
      <c r="L3588" s="43" t="n">
        <f aca="false">K3588*'Chart of Accounts'!$E$68</f>
        <v>12.6161</v>
      </c>
      <c r="O3588" s="42" t="n">
        <f aca="false">I3588+J3588+L3588</f>
        <v>135.2113</v>
      </c>
    </row>
    <row r="3589" customFormat="false" ht="15" hidden="false" customHeight="false" outlineLevel="0" collapsed="false">
      <c r="B3589" s="7" t="s">
        <v>12222</v>
      </c>
      <c r="C3589" s="39" t="n">
        <v>45882</v>
      </c>
      <c r="D3589" s="7" t="s">
        <v>242</v>
      </c>
      <c r="E3589" s="7" t="s">
        <v>180</v>
      </c>
      <c r="F3589" s="6" t="n">
        <v>7.48</v>
      </c>
      <c r="G3589" s="6" t="n">
        <v>0</v>
      </c>
      <c r="H3589" s="41" t="n">
        <v>17.99</v>
      </c>
      <c r="I3589" s="43" t="n">
        <f aca="false">F3589*H3589</f>
        <v>134.5652</v>
      </c>
      <c r="J3589" s="43" t="n">
        <f aca="false">G3589*H3589*1.5</f>
        <v>0</v>
      </c>
      <c r="K3589" s="6" t="n">
        <v>18.19</v>
      </c>
      <c r="L3589" s="43" t="n">
        <f aca="false">K3589*'Chart of Accounts'!$E$68</f>
        <v>12.1873</v>
      </c>
      <c r="O3589" s="42" t="n">
        <f aca="false">I3589+J3589+L3589</f>
        <v>146.7525</v>
      </c>
    </row>
    <row r="3590" customFormat="false" ht="15" hidden="false" customHeight="false" outlineLevel="0" collapsed="false">
      <c r="B3590" s="7" t="s">
        <v>12223</v>
      </c>
      <c r="C3590" s="39" t="n">
        <v>45882</v>
      </c>
      <c r="D3590" s="7" t="s">
        <v>238</v>
      </c>
      <c r="E3590" s="7" t="s">
        <v>180</v>
      </c>
      <c r="F3590" s="6" t="n">
        <v>8.97</v>
      </c>
      <c r="G3590" s="6" t="n">
        <v>0</v>
      </c>
      <c r="H3590" s="41" t="n">
        <v>15.85</v>
      </c>
      <c r="I3590" s="43" t="n">
        <f aca="false">F3590*H3590</f>
        <v>142.1745</v>
      </c>
      <c r="J3590" s="43" t="n">
        <f aca="false">G3590*H3590*1.5</f>
        <v>0</v>
      </c>
      <c r="K3590" s="6" t="n">
        <v>20.82</v>
      </c>
      <c r="L3590" s="43" t="n">
        <f aca="false">K3590*'Chart of Accounts'!$E$68</f>
        <v>13.9494</v>
      </c>
      <c r="O3590" s="42" t="n">
        <f aca="false">I3590+J3590+L3590</f>
        <v>156.1239</v>
      </c>
    </row>
    <row r="3591" customFormat="false" ht="15" hidden="false" customHeight="false" outlineLevel="0" collapsed="false">
      <c r="B3591" s="7" t="s">
        <v>12224</v>
      </c>
      <c r="C3591" s="39" t="n">
        <v>45882</v>
      </c>
      <c r="D3591" s="7" t="s">
        <v>254</v>
      </c>
      <c r="E3591" s="7" t="s">
        <v>180</v>
      </c>
      <c r="F3591" s="6" t="n">
        <v>7.29</v>
      </c>
      <c r="G3591" s="6" t="n">
        <v>0</v>
      </c>
      <c r="H3591" s="41" t="n">
        <v>17.1</v>
      </c>
      <c r="I3591" s="43" t="n">
        <f aca="false">F3591*H3591</f>
        <v>124.659</v>
      </c>
      <c r="J3591" s="43" t="n">
        <f aca="false">G3591*H3591*1.5</f>
        <v>0</v>
      </c>
      <c r="K3591" s="6" t="n">
        <v>23.14</v>
      </c>
      <c r="L3591" s="43" t="n">
        <f aca="false">K3591*'Chart of Accounts'!$E$68</f>
        <v>15.5038</v>
      </c>
      <c r="O3591" s="42" t="n">
        <f aca="false">I3591+J3591+L3591</f>
        <v>140.1628</v>
      </c>
    </row>
    <row r="3592" customFormat="false" ht="15" hidden="false" customHeight="false" outlineLevel="0" collapsed="false">
      <c r="B3592" s="7" t="s">
        <v>12225</v>
      </c>
      <c r="C3592" s="39" t="n">
        <v>45882</v>
      </c>
      <c r="D3592" s="7" t="s">
        <v>201</v>
      </c>
      <c r="E3592" s="7" t="s">
        <v>180</v>
      </c>
      <c r="F3592" s="6" t="n">
        <v>3.19</v>
      </c>
      <c r="G3592" s="6" t="n">
        <v>0</v>
      </c>
      <c r="H3592" s="41" t="n">
        <v>15.19</v>
      </c>
      <c r="I3592" s="43" t="n">
        <f aca="false">F3592*H3592</f>
        <v>48.4561</v>
      </c>
      <c r="J3592" s="43" t="n">
        <f aca="false">G3592*H3592*1.5</f>
        <v>0</v>
      </c>
      <c r="K3592" s="6" t="n">
        <v>7.93</v>
      </c>
      <c r="L3592" s="43" t="n">
        <f aca="false">K3592*'Chart of Accounts'!$E$68</f>
        <v>5.3131</v>
      </c>
      <c r="O3592" s="42" t="n">
        <f aca="false">I3592+J3592+L3592</f>
        <v>53.7692</v>
      </c>
    </row>
    <row r="3593" customFormat="false" ht="15" hidden="false" customHeight="false" outlineLevel="0" collapsed="false">
      <c r="B3593" s="7" t="s">
        <v>12226</v>
      </c>
      <c r="C3593" s="39" t="n">
        <v>45882</v>
      </c>
      <c r="D3593" s="7" t="s">
        <v>207</v>
      </c>
      <c r="E3593" s="7" t="s">
        <v>180</v>
      </c>
      <c r="F3593" s="6" t="n">
        <v>3.54</v>
      </c>
      <c r="G3593" s="6" t="n">
        <v>0</v>
      </c>
      <c r="H3593" s="41" t="n">
        <v>16.65</v>
      </c>
      <c r="I3593" s="43" t="n">
        <f aca="false">F3593*H3593</f>
        <v>58.941</v>
      </c>
      <c r="J3593" s="43" t="n">
        <f aca="false">G3593*H3593*1.5</f>
        <v>0</v>
      </c>
      <c r="K3593" s="6" t="n">
        <v>8.2</v>
      </c>
      <c r="L3593" s="43" t="n">
        <f aca="false">K3593*'Chart of Accounts'!$E$68</f>
        <v>5.494</v>
      </c>
      <c r="O3593" s="42" t="n">
        <f aca="false">I3593+J3593+L3593</f>
        <v>64.435</v>
      </c>
    </row>
    <row r="3594" customFormat="false" ht="15" hidden="false" customHeight="false" outlineLevel="0" collapsed="false">
      <c r="B3594" s="7" t="s">
        <v>12227</v>
      </c>
      <c r="C3594" s="39" t="n">
        <v>45882</v>
      </c>
      <c r="D3594" s="7" t="s">
        <v>224</v>
      </c>
      <c r="E3594" s="7" t="s">
        <v>180</v>
      </c>
      <c r="F3594" s="6" t="n">
        <v>8.99</v>
      </c>
      <c r="G3594" s="6" t="n">
        <v>0</v>
      </c>
      <c r="H3594" s="41" t="n">
        <v>14.93</v>
      </c>
      <c r="I3594" s="43" t="n">
        <f aca="false">F3594*H3594</f>
        <v>134.2207</v>
      </c>
      <c r="J3594" s="43" t="n">
        <f aca="false">G3594*H3594*1.5</f>
        <v>0</v>
      </c>
      <c r="K3594" s="6" t="n">
        <v>22.59</v>
      </c>
      <c r="L3594" s="43" t="n">
        <f aca="false">K3594*'Chart of Accounts'!$E$68</f>
        <v>15.1353</v>
      </c>
      <c r="O3594" s="42" t="n">
        <f aca="false">I3594+J3594+L3594</f>
        <v>149.356</v>
      </c>
    </row>
    <row r="3595" customFormat="false" ht="15" hidden="false" customHeight="false" outlineLevel="0" collapsed="false">
      <c r="B3595" s="7" t="s">
        <v>12228</v>
      </c>
      <c r="C3595" s="39" t="n">
        <v>45882</v>
      </c>
      <c r="D3595" s="7" t="s">
        <v>196</v>
      </c>
      <c r="E3595" s="7" t="s">
        <v>180</v>
      </c>
      <c r="F3595" s="6" t="n">
        <v>3.614</v>
      </c>
      <c r="G3595" s="6" t="n">
        <v>0.776</v>
      </c>
      <c r="H3595" s="41" t="n">
        <v>15.05</v>
      </c>
      <c r="I3595" s="43" t="n">
        <f aca="false">F3595*H3595</f>
        <v>54.3907</v>
      </c>
      <c r="J3595" s="43" t="n">
        <f aca="false">G3595*H3595*1.5</f>
        <v>17.5182</v>
      </c>
      <c r="K3595" s="6" t="n">
        <v>10.23</v>
      </c>
      <c r="L3595" s="43" t="n">
        <f aca="false">K3595*'Chart of Accounts'!$E$68</f>
        <v>6.8541</v>
      </c>
      <c r="O3595" s="42" t="n">
        <f aca="false">I3595+J3595+L3595</f>
        <v>78.763</v>
      </c>
    </row>
    <row r="3596" customFormat="false" ht="15" hidden="false" customHeight="false" outlineLevel="0" collapsed="false">
      <c r="B3596" s="7" t="s">
        <v>12229</v>
      </c>
      <c r="C3596" s="39" t="n">
        <v>45882</v>
      </c>
      <c r="D3596" s="7" t="s">
        <v>246</v>
      </c>
      <c r="E3596" s="7" t="s">
        <v>180</v>
      </c>
      <c r="F3596" s="6" t="n">
        <v>3.77</v>
      </c>
      <c r="G3596" s="6" t="n">
        <v>0</v>
      </c>
      <c r="H3596" s="41" t="n">
        <v>16.48</v>
      </c>
      <c r="I3596" s="43" t="n">
        <f aca="false">F3596*H3596</f>
        <v>62.1296</v>
      </c>
      <c r="J3596" s="43" t="n">
        <f aca="false">G3596*H3596*1.5</f>
        <v>0</v>
      </c>
      <c r="K3596" s="6" t="n">
        <v>11.42</v>
      </c>
      <c r="L3596" s="43" t="n">
        <f aca="false">K3596*'Chart of Accounts'!$E$68</f>
        <v>7.6514</v>
      </c>
      <c r="O3596" s="42" t="n">
        <f aca="false">I3596+J3596+L3596</f>
        <v>69.781</v>
      </c>
    </row>
    <row r="3597" customFormat="false" ht="15" hidden="false" customHeight="false" outlineLevel="0" collapsed="false">
      <c r="B3597" s="7" t="s">
        <v>12230</v>
      </c>
      <c r="C3597" s="39" t="n">
        <v>45882</v>
      </c>
      <c r="D3597" s="7" t="s">
        <v>222</v>
      </c>
      <c r="E3597" s="7" t="s">
        <v>180</v>
      </c>
      <c r="F3597" s="6" t="n">
        <v>3.76</v>
      </c>
      <c r="G3597" s="6" t="n">
        <v>0</v>
      </c>
      <c r="H3597" s="41" t="n">
        <v>17.84</v>
      </c>
      <c r="I3597" s="43" t="n">
        <f aca="false">F3597*H3597</f>
        <v>67.0784</v>
      </c>
      <c r="J3597" s="43" t="n">
        <f aca="false">G3597*H3597*1.5</f>
        <v>0</v>
      </c>
      <c r="K3597" s="6" t="n">
        <v>9.88</v>
      </c>
      <c r="L3597" s="43" t="n">
        <f aca="false">K3597*'Chart of Accounts'!$E$68</f>
        <v>6.6196</v>
      </c>
      <c r="O3597" s="42" t="n">
        <f aca="false">I3597+J3597+L3597</f>
        <v>73.698</v>
      </c>
    </row>
    <row r="3598" customFormat="false" ht="15" hidden="false" customHeight="false" outlineLevel="0" collapsed="false">
      <c r="B3598" s="7" t="s">
        <v>12231</v>
      </c>
      <c r="C3598" s="39" t="n">
        <v>45882</v>
      </c>
      <c r="D3598" s="7" t="s">
        <v>203</v>
      </c>
      <c r="E3598" s="7" t="s">
        <v>158</v>
      </c>
      <c r="H3598" s="41" t="n">
        <v>49.43</v>
      </c>
      <c r="M3598" s="6" t="n">
        <v>1</v>
      </c>
      <c r="N3598" s="43" t="n">
        <f aca="false">M3598*H3598</f>
        <v>49.43</v>
      </c>
      <c r="O3598" s="42" t="n">
        <f aca="false">N3598</f>
        <v>49.43</v>
      </c>
    </row>
    <row r="3599" customFormat="false" ht="15" hidden="false" customHeight="false" outlineLevel="0" collapsed="false">
      <c r="B3599" s="7" t="s">
        <v>12232</v>
      </c>
      <c r="C3599" s="39" t="n">
        <v>45882</v>
      </c>
      <c r="D3599" s="7" t="s">
        <v>240</v>
      </c>
      <c r="E3599" s="7" t="s">
        <v>180</v>
      </c>
      <c r="F3599" s="6" t="n">
        <v>3.47</v>
      </c>
      <c r="G3599" s="6" t="n">
        <v>0</v>
      </c>
      <c r="H3599" s="41" t="n">
        <v>16.96</v>
      </c>
      <c r="I3599" s="43" t="n">
        <f aca="false">F3599*H3599</f>
        <v>58.8512</v>
      </c>
      <c r="J3599" s="43" t="n">
        <f aca="false">G3599*H3599*1.5</f>
        <v>0</v>
      </c>
      <c r="K3599" s="6" t="n">
        <v>7.8</v>
      </c>
      <c r="L3599" s="43" t="n">
        <f aca="false">K3599*'Chart of Accounts'!$E$68</f>
        <v>5.226</v>
      </c>
      <c r="O3599" s="42" t="n">
        <f aca="false">I3599+J3599+L3599</f>
        <v>64.0772</v>
      </c>
    </row>
    <row r="3600" customFormat="false" ht="15" hidden="false" customHeight="false" outlineLevel="0" collapsed="false">
      <c r="B3600" s="7" t="s">
        <v>12233</v>
      </c>
      <c r="C3600" s="39" t="n">
        <v>45883</v>
      </c>
      <c r="D3600" s="7" t="s">
        <v>194</v>
      </c>
      <c r="E3600" s="7" t="s">
        <v>180</v>
      </c>
      <c r="F3600" s="6" t="n">
        <v>11.657</v>
      </c>
      <c r="G3600" s="6" t="n">
        <v>0.723</v>
      </c>
      <c r="H3600" s="41" t="n">
        <v>16</v>
      </c>
      <c r="I3600" s="43" t="n">
        <f aca="false">F3600*H3600</f>
        <v>186.512</v>
      </c>
      <c r="J3600" s="43" t="n">
        <f aca="false">G3600*H3600*1.5</f>
        <v>17.352</v>
      </c>
      <c r="K3600" s="6" t="n">
        <v>37.95</v>
      </c>
      <c r="L3600" s="43" t="n">
        <f aca="false">K3600*'Chart of Accounts'!$E$68</f>
        <v>25.4265</v>
      </c>
      <c r="O3600" s="42" t="n">
        <f aca="false">I3600+J3600+L3600</f>
        <v>229.2905</v>
      </c>
    </row>
    <row r="3601" customFormat="false" ht="15" hidden="false" customHeight="false" outlineLevel="0" collapsed="false">
      <c r="B3601" s="7" t="s">
        <v>12234</v>
      </c>
      <c r="C3601" s="39" t="n">
        <v>45883</v>
      </c>
      <c r="D3601" s="7" t="s">
        <v>201</v>
      </c>
      <c r="E3601" s="7" t="s">
        <v>180</v>
      </c>
      <c r="F3601" s="6" t="n">
        <v>6.18</v>
      </c>
      <c r="G3601" s="6" t="n">
        <v>0</v>
      </c>
      <c r="H3601" s="41" t="n">
        <v>15.19</v>
      </c>
      <c r="I3601" s="43" t="n">
        <f aca="false">F3601*H3601</f>
        <v>93.8742</v>
      </c>
      <c r="J3601" s="43" t="n">
        <f aca="false">G3601*H3601*1.5</f>
        <v>0</v>
      </c>
      <c r="K3601" s="6" t="n">
        <v>21.82</v>
      </c>
      <c r="L3601" s="43" t="n">
        <f aca="false">K3601*'Chart of Accounts'!$E$68</f>
        <v>14.6194</v>
      </c>
      <c r="O3601" s="42" t="n">
        <f aca="false">I3601+J3601+L3601</f>
        <v>108.4936</v>
      </c>
    </row>
    <row r="3602" customFormat="false" ht="15" hidden="false" customHeight="false" outlineLevel="0" collapsed="false">
      <c r="B3602" s="7" t="s">
        <v>12235</v>
      </c>
      <c r="C3602" s="39" t="n">
        <v>45883</v>
      </c>
      <c r="D3602" s="7" t="s">
        <v>196</v>
      </c>
      <c r="E3602" s="7" t="s">
        <v>180</v>
      </c>
      <c r="F3602" s="6" t="n">
        <v>7.96</v>
      </c>
      <c r="G3602" s="6" t="n">
        <v>1.71</v>
      </c>
      <c r="H3602" s="41" t="n">
        <v>15.05</v>
      </c>
      <c r="I3602" s="43" t="n">
        <f aca="false">F3602*H3602</f>
        <v>119.798</v>
      </c>
      <c r="J3602" s="43" t="n">
        <f aca="false">G3602*H3602*1.5</f>
        <v>38.60325</v>
      </c>
      <c r="K3602" s="6" t="n">
        <v>21.96</v>
      </c>
      <c r="L3602" s="43" t="n">
        <f aca="false">K3602*'Chart of Accounts'!$E$68</f>
        <v>14.7132</v>
      </c>
      <c r="O3602" s="42" t="n">
        <f aca="false">I3602+J3602+L3602</f>
        <v>173.11445</v>
      </c>
    </row>
    <row r="3603" customFormat="false" ht="15" hidden="false" customHeight="false" outlineLevel="0" collapsed="false">
      <c r="B3603" s="7" t="s">
        <v>12236</v>
      </c>
      <c r="C3603" s="39" t="n">
        <v>45883</v>
      </c>
      <c r="D3603" s="7" t="s">
        <v>184</v>
      </c>
      <c r="E3603" s="7" t="s">
        <v>180</v>
      </c>
      <c r="F3603" s="6" t="n">
        <v>3.96</v>
      </c>
      <c r="G3603" s="6" t="n">
        <v>0.04</v>
      </c>
      <c r="H3603" s="41" t="n">
        <v>17.34</v>
      </c>
      <c r="I3603" s="43" t="n">
        <f aca="false">F3603*H3603</f>
        <v>68.6664</v>
      </c>
      <c r="J3603" s="43" t="n">
        <f aca="false">G3603*H3603*1.5</f>
        <v>1.0404</v>
      </c>
      <c r="K3603" s="6" t="n">
        <v>11.85</v>
      </c>
      <c r="L3603" s="43" t="n">
        <f aca="false">K3603*'Chart of Accounts'!$E$68</f>
        <v>7.9395</v>
      </c>
      <c r="O3603" s="42" t="n">
        <f aca="false">I3603+J3603+L3603</f>
        <v>77.6463</v>
      </c>
    </row>
    <row r="3604" customFormat="false" ht="15" hidden="false" customHeight="false" outlineLevel="0" collapsed="false">
      <c r="B3604" s="7" t="s">
        <v>12237</v>
      </c>
      <c r="C3604" s="39" t="n">
        <v>45883</v>
      </c>
      <c r="D3604" s="7" t="s">
        <v>207</v>
      </c>
      <c r="E3604" s="7" t="s">
        <v>180</v>
      </c>
      <c r="F3604" s="6" t="n">
        <v>3.22</v>
      </c>
      <c r="G3604" s="6" t="n">
        <v>0</v>
      </c>
      <c r="H3604" s="41" t="n">
        <v>16.65</v>
      </c>
      <c r="I3604" s="43" t="n">
        <f aca="false">F3604*H3604</f>
        <v>53.613</v>
      </c>
      <c r="J3604" s="43" t="n">
        <f aca="false">G3604*H3604*1.5</f>
        <v>0</v>
      </c>
      <c r="K3604" s="6" t="n">
        <v>9.47</v>
      </c>
      <c r="L3604" s="43" t="n">
        <f aca="false">K3604*'Chart of Accounts'!$E$68</f>
        <v>6.3449</v>
      </c>
      <c r="O3604" s="42" t="n">
        <f aca="false">I3604+J3604+L3604</f>
        <v>59.9579</v>
      </c>
    </row>
    <row r="3605" customFormat="false" ht="15" hidden="false" customHeight="false" outlineLevel="0" collapsed="false">
      <c r="B3605" s="7" t="s">
        <v>12238</v>
      </c>
      <c r="C3605" s="39" t="n">
        <v>45883</v>
      </c>
      <c r="D3605" s="7" t="s">
        <v>218</v>
      </c>
      <c r="E3605" s="7" t="s">
        <v>180</v>
      </c>
      <c r="F3605" s="6" t="n">
        <v>3.75</v>
      </c>
      <c r="G3605" s="6" t="n">
        <v>0</v>
      </c>
      <c r="H3605" s="41" t="n">
        <v>16.19</v>
      </c>
      <c r="I3605" s="43" t="n">
        <f aca="false">F3605*H3605</f>
        <v>60.7125</v>
      </c>
      <c r="J3605" s="43" t="n">
        <f aca="false">G3605*H3605*1.5</f>
        <v>0</v>
      </c>
      <c r="K3605" s="6" t="n">
        <v>8.62</v>
      </c>
      <c r="L3605" s="43" t="n">
        <f aca="false">K3605*'Chart of Accounts'!$E$68</f>
        <v>5.7754</v>
      </c>
      <c r="O3605" s="42" t="n">
        <f aca="false">I3605+J3605+L3605</f>
        <v>66.4879</v>
      </c>
    </row>
    <row r="3606" customFormat="false" ht="15" hidden="false" customHeight="false" outlineLevel="0" collapsed="false">
      <c r="B3606" s="7" t="s">
        <v>12239</v>
      </c>
      <c r="C3606" s="39" t="n">
        <v>45883</v>
      </c>
      <c r="D3606" s="7" t="s">
        <v>238</v>
      </c>
      <c r="E3606" s="7" t="s">
        <v>180</v>
      </c>
      <c r="F3606" s="6" t="n">
        <v>2.72</v>
      </c>
      <c r="G3606" s="6" t="n">
        <v>0</v>
      </c>
      <c r="H3606" s="41" t="n">
        <v>15.85</v>
      </c>
      <c r="I3606" s="43" t="n">
        <f aca="false">F3606*H3606</f>
        <v>43.112</v>
      </c>
      <c r="J3606" s="43" t="n">
        <f aca="false">G3606*H3606*1.5</f>
        <v>0</v>
      </c>
      <c r="K3606" s="6" t="n">
        <v>7.43</v>
      </c>
      <c r="L3606" s="43" t="n">
        <f aca="false">K3606*'Chart of Accounts'!$E$68</f>
        <v>4.9781</v>
      </c>
      <c r="O3606" s="42" t="n">
        <f aca="false">I3606+J3606+L3606</f>
        <v>48.0901</v>
      </c>
    </row>
    <row r="3607" customFormat="false" ht="15" hidden="false" customHeight="false" outlineLevel="0" collapsed="false">
      <c r="B3607" s="7" t="s">
        <v>12240</v>
      </c>
      <c r="C3607" s="39" t="n">
        <v>45883</v>
      </c>
      <c r="D3607" s="7" t="s">
        <v>220</v>
      </c>
      <c r="E3607" s="7" t="s">
        <v>180</v>
      </c>
      <c r="F3607" s="6" t="n">
        <v>3.7</v>
      </c>
      <c r="G3607" s="6" t="n">
        <v>0</v>
      </c>
      <c r="H3607" s="41" t="n">
        <v>16.43</v>
      </c>
      <c r="I3607" s="43" t="n">
        <f aca="false">F3607*H3607</f>
        <v>60.791</v>
      </c>
      <c r="J3607" s="43" t="n">
        <f aca="false">G3607*H3607*1.5</f>
        <v>0</v>
      </c>
      <c r="K3607" s="6" t="n">
        <v>10.28</v>
      </c>
      <c r="L3607" s="43" t="n">
        <f aca="false">K3607*'Chart of Accounts'!$E$68</f>
        <v>6.8876</v>
      </c>
      <c r="O3607" s="42" t="n">
        <f aca="false">I3607+J3607+L3607</f>
        <v>67.6786</v>
      </c>
    </row>
    <row r="3608" customFormat="false" ht="15" hidden="false" customHeight="false" outlineLevel="0" collapsed="false">
      <c r="B3608" s="7" t="s">
        <v>12241</v>
      </c>
      <c r="C3608" s="39" t="n">
        <v>45883</v>
      </c>
      <c r="D3608" s="7" t="s">
        <v>224</v>
      </c>
      <c r="E3608" s="7" t="s">
        <v>180</v>
      </c>
      <c r="F3608" s="6" t="n">
        <v>3.8</v>
      </c>
      <c r="G3608" s="6" t="n">
        <v>0</v>
      </c>
      <c r="H3608" s="41" t="n">
        <v>14.93</v>
      </c>
      <c r="I3608" s="43" t="n">
        <f aca="false">F3608*H3608</f>
        <v>56.734</v>
      </c>
      <c r="J3608" s="43" t="n">
        <f aca="false">G3608*H3608*1.5</f>
        <v>0</v>
      </c>
      <c r="K3608" s="6" t="n">
        <v>12.67</v>
      </c>
      <c r="L3608" s="43" t="n">
        <f aca="false">K3608*'Chart of Accounts'!$E$68</f>
        <v>8.4889</v>
      </c>
      <c r="O3608" s="42" t="n">
        <f aca="false">I3608+J3608+L3608</f>
        <v>65.2229</v>
      </c>
    </row>
    <row r="3609" customFormat="false" ht="15" hidden="false" customHeight="false" outlineLevel="0" collapsed="false">
      <c r="B3609" s="7" t="s">
        <v>12242</v>
      </c>
      <c r="C3609" s="39" t="n">
        <v>45883</v>
      </c>
      <c r="D3609" s="7" t="s">
        <v>232</v>
      </c>
      <c r="E3609" s="7" t="s">
        <v>180</v>
      </c>
      <c r="F3609" s="6" t="n">
        <v>3.12</v>
      </c>
      <c r="G3609" s="6" t="n">
        <v>0</v>
      </c>
      <c r="H3609" s="41" t="n">
        <v>16.17</v>
      </c>
      <c r="I3609" s="43" t="n">
        <f aca="false">F3609*H3609</f>
        <v>50.4504</v>
      </c>
      <c r="J3609" s="43" t="n">
        <f aca="false">G3609*H3609*1.5</f>
        <v>0</v>
      </c>
      <c r="K3609" s="6" t="n">
        <v>7.55</v>
      </c>
      <c r="L3609" s="43" t="n">
        <f aca="false">K3609*'Chart of Accounts'!$E$68</f>
        <v>5.0585</v>
      </c>
      <c r="O3609" s="42" t="n">
        <f aca="false">I3609+J3609+L3609</f>
        <v>55.5089</v>
      </c>
    </row>
    <row r="3610" customFormat="false" ht="15" hidden="false" customHeight="false" outlineLevel="0" collapsed="false">
      <c r="B3610" s="7" t="s">
        <v>12243</v>
      </c>
      <c r="C3610" s="39" t="n">
        <v>45883</v>
      </c>
      <c r="D3610" s="7" t="s">
        <v>222</v>
      </c>
      <c r="E3610" s="7" t="s">
        <v>180</v>
      </c>
      <c r="F3610" s="6" t="n">
        <v>6.95</v>
      </c>
      <c r="G3610" s="6" t="n">
        <v>0</v>
      </c>
      <c r="H3610" s="41" t="n">
        <v>17.84</v>
      </c>
      <c r="I3610" s="43" t="n">
        <f aca="false">F3610*H3610</f>
        <v>123.988</v>
      </c>
      <c r="J3610" s="43" t="n">
        <f aca="false">G3610*H3610*1.5</f>
        <v>0</v>
      </c>
      <c r="K3610" s="6" t="n">
        <v>16.43</v>
      </c>
      <c r="L3610" s="43" t="n">
        <f aca="false">K3610*'Chart of Accounts'!$E$68</f>
        <v>11.0081</v>
      </c>
      <c r="O3610" s="42" t="n">
        <f aca="false">I3610+J3610+L3610</f>
        <v>134.9961</v>
      </c>
    </row>
    <row r="3611" customFormat="false" ht="15" hidden="false" customHeight="false" outlineLevel="0" collapsed="false">
      <c r="B3611" s="7" t="s">
        <v>12244</v>
      </c>
      <c r="C3611" s="39" t="n">
        <v>45883</v>
      </c>
      <c r="D3611" s="7" t="s">
        <v>246</v>
      </c>
      <c r="E3611" s="7" t="s">
        <v>180</v>
      </c>
      <c r="F3611" s="6" t="n">
        <v>8.01</v>
      </c>
      <c r="G3611" s="6" t="n">
        <v>0</v>
      </c>
      <c r="H3611" s="41" t="n">
        <v>16.48</v>
      </c>
      <c r="I3611" s="43" t="n">
        <f aca="false">F3611*H3611</f>
        <v>132.0048</v>
      </c>
      <c r="J3611" s="43" t="n">
        <f aca="false">G3611*H3611*1.5</f>
        <v>0</v>
      </c>
      <c r="K3611" s="6" t="n">
        <v>24.04</v>
      </c>
      <c r="L3611" s="43" t="n">
        <f aca="false">K3611*'Chart of Accounts'!$E$68</f>
        <v>16.1068</v>
      </c>
      <c r="O3611" s="42" t="n">
        <f aca="false">I3611+J3611+L3611</f>
        <v>148.1116</v>
      </c>
    </row>
    <row r="3612" customFormat="false" ht="15" hidden="false" customHeight="false" outlineLevel="0" collapsed="false">
      <c r="B3612" s="7" t="s">
        <v>12245</v>
      </c>
      <c r="C3612" s="39" t="n">
        <v>45883</v>
      </c>
      <c r="D3612" s="7" t="s">
        <v>214</v>
      </c>
      <c r="E3612" s="7" t="s">
        <v>180</v>
      </c>
      <c r="F3612" s="6" t="n">
        <v>4.27</v>
      </c>
      <c r="G3612" s="6" t="n">
        <v>0</v>
      </c>
      <c r="H3612" s="41" t="n">
        <v>15.67</v>
      </c>
      <c r="I3612" s="43" t="n">
        <f aca="false">F3612*H3612</f>
        <v>66.9109</v>
      </c>
      <c r="J3612" s="43" t="n">
        <f aca="false">G3612*H3612*1.5</f>
        <v>0</v>
      </c>
      <c r="K3612" s="6" t="n">
        <v>13.44</v>
      </c>
      <c r="L3612" s="43" t="n">
        <f aca="false">K3612*'Chart of Accounts'!$E$68</f>
        <v>9.0048</v>
      </c>
      <c r="O3612" s="42" t="n">
        <f aca="false">I3612+J3612+L3612</f>
        <v>75.9157</v>
      </c>
    </row>
    <row r="3613" customFormat="false" ht="15" hidden="false" customHeight="false" outlineLevel="0" collapsed="false">
      <c r="B3613" s="7" t="s">
        <v>12246</v>
      </c>
      <c r="C3613" s="39" t="n">
        <v>45883</v>
      </c>
      <c r="D3613" s="7" t="s">
        <v>242</v>
      </c>
      <c r="E3613" s="7" t="s">
        <v>180</v>
      </c>
      <c r="F3613" s="6" t="n">
        <v>3.93</v>
      </c>
      <c r="G3613" s="6" t="n">
        <v>0</v>
      </c>
      <c r="H3613" s="41" t="n">
        <v>17.99</v>
      </c>
      <c r="I3613" s="43" t="n">
        <f aca="false">F3613*H3613</f>
        <v>70.7007</v>
      </c>
      <c r="J3613" s="43" t="n">
        <f aca="false">G3613*H3613*1.5</f>
        <v>0</v>
      </c>
      <c r="K3613" s="6" t="n">
        <v>13.43</v>
      </c>
      <c r="L3613" s="43" t="n">
        <f aca="false">K3613*'Chart of Accounts'!$E$68</f>
        <v>8.9981</v>
      </c>
      <c r="O3613" s="42" t="n">
        <f aca="false">I3613+J3613+L3613</f>
        <v>79.6988</v>
      </c>
    </row>
    <row r="3614" customFormat="false" ht="15" hidden="false" customHeight="false" outlineLevel="0" collapsed="false">
      <c r="B3614" s="7" t="s">
        <v>12247</v>
      </c>
      <c r="C3614" s="39" t="n">
        <v>45883</v>
      </c>
      <c r="D3614" s="7" t="s">
        <v>254</v>
      </c>
      <c r="E3614" s="7" t="s">
        <v>180</v>
      </c>
      <c r="F3614" s="6" t="n">
        <v>4.16</v>
      </c>
      <c r="G3614" s="6" t="n">
        <v>0</v>
      </c>
      <c r="H3614" s="41" t="n">
        <v>17.1</v>
      </c>
      <c r="I3614" s="43" t="n">
        <f aca="false">F3614*H3614</f>
        <v>71.136</v>
      </c>
      <c r="J3614" s="43" t="n">
        <f aca="false">G3614*H3614*1.5</f>
        <v>0</v>
      </c>
      <c r="K3614" s="6" t="n">
        <v>9.36</v>
      </c>
      <c r="L3614" s="43" t="n">
        <f aca="false">K3614*'Chart of Accounts'!$E$68</f>
        <v>6.2712</v>
      </c>
      <c r="O3614" s="42" t="n">
        <f aca="false">I3614+J3614+L3614</f>
        <v>77.4072</v>
      </c>
    </row>
    <row r="3615" customFormat="false" ht="15" hidden="false" customHeight="false" outlineLevel="0" collapsed="false">
      <c r="B3615" s="7" t="s">
        <v>12248</v>
      </c>
      <c r="C3615" s="39" t="n">
        <v>45884</v>
      </c>
      <c r="D3615" s="7" t="s">
        <v>187</v>
      </c>
      <c r="E3615" s="7" t="s">
        <v>158</v>
      </c>
      <c r="H3615" s="41" t="n">
        <v>66.48</v>
      </c>
      <c r="M3615" s="6" t="n">
        <v>1</v>
      </c>
      <c r="N3615" s="43" t="n">
        <f aca="false">M3615*H3615</f>
        <v>66.48</v>
      </c>
      <c r="O3615" s="42" t="n">
        <f aca="false">N3615</f>
        <v>66.48</v>
      </c>
    </row>
    <row r="3616" customFormat="false" ht="15" hidden="false" customHeight="false" outlineLevel="0" collapsed="false">
      <c r="B3616" s="7" t="s">
        <v>12249</v>
      </c>
      <c r="C3616" s="39" t="n">
        <v>45884</v>
      </c>
      <c r="D3616" s="7" t="s">
        <v>222</v>
      </c>
      <c r="E3616" s="7" t="s">
        <v>180</v>
      </c>
      <c r="F3616" s="6" t="n">
        <v>8.54</v>
      </c>
      <c r="G3616" s="6" t="n">
        <v>0</v>
      </c>
      <c r="H3616" s="41" t="n">
        <v>17.84</v>
      </c>
      <c r="I3616" s="43" t="n">
        <f aca="false">F3616*H3616</f>
        <v>152.3536</v>
      </c>
      <c r="J3616" s="43" t="n">
        <f aca="false">G3616*H3616*1.5</f>
        <v>0</v>
      </c>
      <c r="K3616" s="6" t="n">
        <v>20.63</v>
      </c>
      <c r="L3616" s="43" t="n">
        <f aca="false">K3616*'Chart of Accounts'!$E$68</f>
        <v>13.8221</v>
      </c>
      <c r="O3616" s="42" t="n">
        <f aca="false">I3616+J3616+L3616</f>
        <v>166.1757</v>
      </c>
    </row>
    <row r="3617" customFormat="false" ht="15" hidden="false" customHeight="false" outlineLevel="0" collapsed="false">
      <c r="B3617" s="7" t="s">
        <v>12250</v>
      </c>
      <c r="C3617" s="39" t="n">
        <v>45884</v>
      </c>
      <c r="D3617" s="7" t="s">
        <v>194</v>
      </c>
      <c r="E3617" s="7" t="s">
        <v>180</v>
      </c>
      <c r="F3617" s="6" t="n">
        <v>8.785</v>
      </c>
      <c r="G3617" s="6" t="n">
        <v>0.545</v>
      </c>
      <c r="H3617" s="41" t="n">
        <v>16</v>
      </c>
      <c r="I3617" s="43" t="n">
        <f aca="false">F3617*H3617</f>
        <v>140.56</v>
      </c>
      <c r="J3617" s="43" t="n">
        <f aca="false">G3617*H3617*1.5</f>
        <v>13.08</v>
      </c>
      <c r="K3617" s="6" t="n">
        <v>29.29</v>
      </c>
      <c r="L3617" s="43" t="n">
        <f aca="false">K3617*'Chart of Accounts'!$E$68</f>
        <v>19.6243</v>
      </c>
      <c r="O3617" s="42" t="n">
        <f aca="false">I3617+J3617+L3617</f>
        <v>173.2643</v>
      </c>
    </row>
    <row r="3618" customFormat="false" ht="15" hidden="false" customHeight="false" outlineLevel="0" collapsed="false">
      <c r="B3618" s="7" t="s">
        <v>12251</v>
      </c>
      <c r="C3618" s="39" t="n">
        <v>45884</v>
      </c>
      <c r="D3618" s="7" t="s">
        <v>214</v>
      </c>
      <c r="E3618" s="7" t="s">
        <v>180</v>
      </c>
      <c r="F3618" s="6" t="n">
        <v>7.72</v>
      </c>
      <c r="G3618" s="6" t="n">
        <v>0</v>
      </c>
      <c r="H3618" s="41" t="n">
        <v>15.67</v>
      </c>
      <c r="I3618" s="43" t="n">
        <f aca="false">F3618*H3618</f>
        <v>120.9724</v>
      </c>
      <c r="J3618" s="43" t="n">
        <f aca="false">G3618*H3618*1.5</f>
        <v>0</v>
      </c>
      <c r="K3618" s="6" t="n">
        <v>19.06</v>
      </c>
      <c r="L3618" s="43" t="n">
        <f aca="false">K3618*'Chart of Accounts'!$E$68</f>
        <v>12.7702</v>
      </c>
      <c r="O3618" s="42" t="n">
        <f aca="false">I3618+J3618+L3618</f>
        <v>133.7426</v>
      </c>
    </row>
    <row r="3619" customFormat="false" ht="15" hidden="false" customHeight="false" outlineLevel="0" collapsed="false">
      <c r="B3619" s="7" t="s">
        <v>12252</v>
      </c>
      <c r="C3619" s="39" t="n">
        <v>45884</v>
      </c>
      <c r="D3619" s="7" t="s">
        <v>209</v>
      </c>
      <c r="E3619" s="7" t="s">
        <v>158</v>
      </c>
      <c r="H3619" s="41" t="n">
        <v>73.58</v>
      </c>
      <c r="M3619" s="6" t="n">
        <v>2</v>
      </c>
      <c r="N3619" s="43" t="n">
        <f aca="false">M3619*H3619</f>
        <v>147.16</v>
      </c>
      <c r="O3619" s="42" t="n">
        <f aca="false">N3619</f>
        <v>147.16</v>
      </c>
    </row>
    <row r="3620" customFormat="false" ht="15" hidden="false" customHeight="false" outlineLevel="0" collapsed="false">
      <c r="B3620" s="7" t="s">
        <v>12253</v>
      </c>
      <c r="C3620" s="39" t="n">
        <v>45884</v>
      </c>
      <c r="D3620" s="7" t="s">
        <v>205</v>
      </c>
      <c r="E3620" s="7" t="s">
        <v>180</v>
      </c>
      <c r="F3620" s="6" t="n">
        <v>4.35</v>
      </c>
      <c r="G3620" s="6" t="n">
        <v>0</v>
      </c>
      <c r="H3620" s="41" t="n">
        <v>16.36</v>
      </c>
      <c r="I3620" s="43" t="n">
        <f aca="false">F3620*H3620</f>
        <v>71.166</v>
      </c>
      <c r="J3620" s="43" t="n">
        <f aca="false">G3620*H3620*1.5</f>
        <v>0</v>
      </c>
      <c r="K3620" s="6" t="n">
        <v>11.96</v>
      </c>
      <c r="L3620" s="43" t="n">
        <f aca="false">K3620*'Chart of Accounts'!$E$68</f>
        <v>8.0132</v>
      </c>
      <c r="O3620" s="42" t="n">
        <f aca="false">I3620+J3620+L3620</f>
        <v>79.1792</v>
      </c>
    </row>
    <row r="3621" customFormat="false" ht="15" hidden="false" customHeight="false" outlineLevel="0" collapsed="false">
      <c r="B3621" s="7" t="s">
        <v>12254</v>
      </c>
      <c r="C3621" s="39" t="n">
        <v>45884</v>
      </c>
      <c r="D3621" s="7" t="s">
        <v>264</v>
      </c>
      <c r="E3621" s="7" t="s">
        <v>158</v>
      </c>
      <c r="H3621" s="41" t="n">
        <v>55.55</v>
      </c>
      <c r="M3621" s="6" t="n">
        <v>1</v>
      </c>
      <c r="N3621" s="43" t="n">
        <f aca="false">M3621*H3621</f>
        <v>55.55</v>
      </c>
      <c r="O3621" s="42" t="n">
        <f aca="false">N3621</f>
        <v>55.55</v>
      </c>
    </row>
    <row r="3622" customFormat="false" ht="15" hidden="false" customHeight="false" outlineLevel="0" collapsed="false">
      <c r="B3622" s="7" t="s">
        <v>12255</v>
      </c>
      <c r="C3622" s="39" t="n">
        <v>45884</v>
      </c>
      <c r="D3622" s="7" t="s">
        <v>252</v>
      </c>
      <c r="E3622" s="7" t="s">
        <v>158</v>
      </c>
      <c r="H3622" s="41" t="n">
        <v>57.54</v>
      </c>
      <c r="M3622" s="6" t="n">
        <v>1</v>
      </c>
      <c r="N3622" s="43" t="n">
        <f aca="false">M3622*H3622</f>
        <v>57.54</v>
      </c>
      <c r="O3622" s="42" t="n">
        <f aca="false">N3622</f>
        <v>57.54</v>
      </c>
    </row>
    <row r="3623" customFormat="false" ht="15" hidden="false" customHeight="false" outlineLevel="0" collapsed="false">
      <c r="B3623" s="7" t="s">
        <v>12256</v>
      </c>
      <c r="C3623" s="39" t="n">
        <v>45884</v>
      </c>
      <c r="D3623" s="7" t="s">
        <v>184</v>
      </c>
      <c r="E3623" s="7" t="s">
        <v>180</v>
      </c>
      <c r="F3623" s="6" t="n">
        <v>12.347</v>
      </c>
      <c r="G3623" s="6" t="n">
        <v>0.123</v>
      </c>
      <c r="H3623" s="41" t="n">
        <v>17.34</v>
      </c>
      <c r="I3623" s="43" t="n">
        <f aca="false">F3623*H3623</f>
        <v>214.09698</v>
      </c>
      <c r="J3623" s="43" t="n">
        <f aca="false">G3623*H3623*1.5</f>
        <v>3.19923</v>
      </c>
      <c r="K3623" s="6" t="n">
        <v>37.24</v>
      </c>
      <c r="L3623" s="43" t="n">
        <f aca="false">K3623*'Chart of Accounts'!$E$68</f>
        <v>24.9508</v>
      </c>
      <c r="O3623" s="42" t="n">
        <f aca="false">I3623+J3623+L3623</f>
        <v>242.24701</v>
      </c>
    </row>
    <row r="3624" customFormat="false" ht="15" hidden="false" customHeight="false" outlineLevel="0" collapsed="false">
      <c r="B3624" s="7" t="s">
        <v>12257</v>
      </c>
      <c r="C3624" s="39" t="n">
        <v>45884</v>
      </c>
      <c r="D3624" s="7" t="s">
        <v>216</v>
      </c>
      <c r="E3624" s="7" t="s">
        <v>158</v>
      </c>
      <c r="H3624" s="41" t="n">
        <v>61.79</v>
      </c>
      <c r="M3624" s="6" t="n">
        <v>1</v>
      </c>
      <c r="N3624" s="43" t="n">
        <f aca="false">M3624*H3624</f>
        <v>61.79</v>
      </c>
      <c r="O3624" s="42" t="n">
        <f aca="false">N3624</f>
        <v>61.79</v>
      </c>
    </row>
    <row r="3625" customFormat="false" ht="15" hidden="false" customHeight="false" outlineLevel="0" collapsed="false">
      <c r="B3625" s="7" t="s">
        <v>12258</v>
      </c>
      <c r="C3625" s="39" t="n">
        <v>45884</v>
      </c>
      <c r="D3625" s="7" t="s">
        <v>234</v>
      </c>
      <c r="E3625" s="7" t="s">
        <v>158</v>
      </c>
      <c r="H3625" s="41" t="n">
        <v>89.53</v>
      </c>
      <c r="M3625" s="6" t="n">
        <v>2</v>
      </c>
      <c r="N3625" s="43" t="n">
        <f aca="false">M3625*H3625</f>
        <v>179.06</v>
      </c>
      <c r="O3625" s="42" t="n">
        <f aca="false">N3625</f>
        <v>179.06</v>
      </c>
    </row>
    <row r="3626" customFormat="false" ht="15" hidden="false" customHeight="false" outlineLevel="0" collapsed="false">
      <c r="B3626" s="7" t="s">
        <v>12259</v>
      </c>
      <c r="C3626" s="39" t="n">
        <v>45884</v>
      </c>
      <c r="D3626" s="7" t="s">
        <v>218</v>
      </c>
      <c r="E3626" s="7" t="s">
        <v>180</v>
      </c>
      <c r="F3626" s="6" t="n">
        <v>3.87</v>
      </c>
      <c r="G3626" s="6" t="n">
        <v>0</v>
      </c>
      <c r="H3626" s="41" t="n">
        <v>16.19</v>
      </c>
      <c r="I3626" s="43" t="n">
        <f aca="false">F3626*H3626</f>
        <v>62.6553</v>
      </c>
      <c r="J3626" s="43" t="n">
        <f aca="false">G3626*H3626*1.5</f>
        <v>0</v>
      </c>
      <c r="K3626" s="6" t="n">
        <v>12.94</v>
      </c>
      <c r="L3626" s="43" t="n">
        <f aca="false">K3626*'Chart of Accounts'!$E$68</f>
        <v>8.6698</v>
      </c>
      <c r="O3626" s="42" t="n">
        <f aca="false">I3626+J3626+L3626</f>
        <v>71.3251</v>
      </c>
    </row>
    <row r="3627" customFormat="false" ht="15" hidden="false" customHeight="false" outlineLevel="0" collapsed="false">
      <c r="B3627" s="7" t="s">
        <v>12260</v>
      </c>
      <c r="C3627" s="39" t="n">
        <v>45884</v>
      </c>
      <c r="D3627" s="7" t="s">
        <v>266</v>
      </c>
      <c r="E3627" s="7" t="s">
        <v>158</v>
      </c>
      <c r="H3627" s="41" t="n">
        <v>75.18</v>
      </c>
      <c r="M3627" s="6" t="n">
        <v>1</v>
      </c>
      <c r="N3627" s="43" t="n">
        <f aca="false">M3627*H3627</f>
        <v>75.18</v>
      </c>
      <c r="O3627" s="42" t="n">
        <f aca="false">N3627</f>
        <v>75.18</v>
      </c>
    </row>
    <row r="3628" customFormat="false" ht="15" hidden="false" customHeight="false" outlineLevel="0" collapsed="false">
      <c r="B3628" s="7" t="s">
        <v>12261</v>
      </c>
      <c r="C3628" s="39" t="n">
        <v>45884</v>
      </c>
      <c r="D3628" s="7" t="s">
        <v>228</v>
      </c>
      <c r="E3628" s="7" t="s">
        <v>158</v>
      </c>
      <c r="H3628" s="41" t="n">
        <v>51.07</v>
      </c>
      <c r="M3628" s="6" t="n">
        <v>1</v>
      </c>
      <c r="N3628" s="43" t="n">
        <f aca="false">M3628*H3628</f>
        <v>51.07</v>
      </c>
      <c r="O3628" s="42" t="n">
        <f aca="false">N3628</f>
        <v>51.07</v>
      </c>
    </row>
    <row r="3629" customFormat="false" ht="15" hidden="false" customHeight="false" outlineLevel="0" collapsed="false">
      <c r="B3629" s="7" t="s">
        <v>12262</v>
      </c>
      <c r="C3629" s="39" t="n">
        <v>45884</v>
      </c>
      <c r="D3629" s="7" t="s">
        <v>220</v>
      </c>
      <c r="E3629" s="7" t="s">
        <v>180</v>
      </c>
      <c r="F3629" s="6" t="n">
        <v>4.12</v>
      </c>
      <c r="G3629" s="6" t="n">
        <v>0</v>
      </c>
      <c r="H3629" s="41" t="n">
        <v>16.43</v>
      </c>
      <c r="I3629" s="43" t="n">
        <f aca="false">F3629*H3629</f>
        <v>67.6916</v>
      </c>
      <c r="J3629" s="43" t="n">
        <f aca="false">G3629*H3629*1.5</f>
        <v>0</v>
      </c>
      <c r="K3629" s="6" t="n">
        <v>10.26</v>
      </c>
      <c r="L3629" s="43" t="n">
        <f aca="false">K3629*'Chart of Accounts'!$E$68</f>
        <v>6.8742</v>
      </c>
      <c r="O3629" s="42" t="n">
        <f aca="false">I3629+J3629+L3629</f>
        <v>74.5658</v>
      </c>
    </row>
    <row r="3630" customFormat="false" ht="15" hidden="false" customHeight="false" outlineLevel="0" collapsed="false">
      <c r="B3630" s="7" t="s">
        <v>12263</v>
      </c>
      <c r="C3630" s="39" t="n">
        <v>45884</v>
      </c>
      <c r="D3630" s="7" t="s">
        <v>177</v>
      </c>
      <c r="E3630" s="7" t="s">
        <v>180</v>
      </c>
      <c r="F3630" s="6" t="n">
        <v>8.75</v>
      </c>
      <c r="G3630" s="6" t="n">
        <v>0</v>
      </c>
      <c r="H3630" s="41" t="n">
        <v>14.56</v>
      </c>
      <c r="I3630" s="43" t="n">
        <f aca="false">F3630*H3630</f>
        <v>127.4</v>
      </c>
      <c r="J3630" s="43" t="n">
        <f aca="false">G3630*H3630*1.5</f>
        <v>0</v>
      </c>
      <c r="K3630" s="6" t="n">
        <v>24.67</v>
      </c>
      <c r="L3630" s="43" t="n">
        <f aca="false">K3630*'Chart of Accounts'!$E$68</f>
        <v>16.5289</v>
      </c>
      <c r="O3630" s="42" t="n">
        <f aca="false">I3630+J3630+L3630</f>
        <v>143.9289</v>
      </c>
    </row>
    <row r="3631" customFormat="false" ht="15" hidden="false" customHeight="false" outlineLevel="0" collapsed="false">
      <c r="B3631" s="7" t="s">
        <v>12264</v>
      </c>
      <c r="C3631" s="39" t="n">
        <v>45884</v>
      </c>
      <c r="D3631" s="7" t="s">
        <v>242</v>
      </c>
      <c r="E3631" s="7" t="s">
        <v>180</v>
      </c>
      <c r="F3631" s="6" t="n">
        <v>6.75</v>
      </c>
      <c r="G3631" s="6" t="n">
        <v>0</v>
      </c>
      <c r="H3631" s="41" t="n">
        <v>17.99</v>
      </c>
      <c r="I3631" s="43" t="n">
        <f aca="false">F3631*H3631</f>
        <v>121.4325</v>
      </c>
      <c r="J3631" s="43" t="n">
        <f aca="false">G3631*H3631*1.5</f>
        <v>0</v>
      </c>
      <c r="K3631" s="6" t="n">
        <v>16.28</v>
      </c>
      <c r="L3631" s="43" t="n">
        <f aca="false">K3631*'Chart of Accounts'!$E$68</f>
        <v>10.9076</v>
      </c>
      <c r="O3631" s="42" t="n">
        <f aca="false">I3631+J3631+L3631</f>
        <v>132.3401</v>
      </c>
    </row>
    <row r="3632" customFormat="false" ht="15" hidden="false" customHeight="false" outlineLevel="0" collapsed="false">
      <c r="B3632" s="7" t="s">
        <v>12265</v>
      </c>
      <c r="C3632" s="39" t="n">
        <v>45884</v>
      </c>
      <c r="D3632" s="7" t="s">
        <v>238</v>
      </c>
      <c r="E3632" s="7" t="s">
        <v>180</v>
      </c>
      <c r="F3632" s="6" t="n">
        <v>8.45</v>
      </c>
      <c r="G3632" s="6" t="n">
        <v>0</v>
      </c>
      <c r="H3632" s="41" t="n">
        <v>15.85</v>
      </c>
      <c r="I3632" s="43" t="n">
        <f aca="false">F3632*H3632</f>
        <v>133.9325</v>
      </c>
      <c r="J3632" s="43" t="n">
        <f aca="false">G3632*H3632*1.5</f>
        <v>0</v>
      </c>
      <c r="K3632" s="6" t="n">
        <v>27.59</v>
      </c>
      <c r="L3632" s="43" t="n">
        <f aca="false">K3632*'Chart of Accounts'!$E$68</f>
        <v>18.4853</v>
      </c>
      <c r="O3632" s="42" t="n">
        <f aca="false">I3632+J3632+L3632</f>
        <v>152.4178</v>
      </c>
    </row>
    <row r="3633" customFormat="false" ht="15" hidden="false" customHeight="false" outlineLevel="0" collapsed="false">
      <c r="B3633" s="7" t="s">
        <v>12266</v>
      </c>
      <c r="C3633" s="39" t="n">
        <v>45884</v>
      </c>
      <c r="D3633" s="7" t="s">
        <v>254</v>
      </c>
      <c r="E3633" s="7" t="s">
        <v>180</v>
      </c>
      <c r="F3633" s="6" t="n">
        <v>7.19</v>
      </c>
      <c r="G3633" s="6" t="n">
        <v>0</v>
      </c>
      <c r="H3633" s="41" t="n">
        <v>17.1</v>
      </c>
      <c r="I3633" s="43" t="n">
        <f aca="false">F3633*H3633</f>
        <v>122.949</v>
      </c>
      <c r="J3633" s="43" t="n">
        <f aca="false">G3633*H3633*1.5</f>
        <v>0</v>
      </c>
      <c r="K3633" s="6" t="n">
        <v>24.69</v>
      </c>
      <c r="L3633" s="43" t="n">
        <f aca="false">K3633*'Chart of Accounts'!$E$68</f>
        <v>16.5423</v>
      </c>
      <c r="O3633" s="42" t="n">
        <f aca="false">I3633+J3633+L3633</f>
        <v>139.4913</v>
      </c>
    </row>
    <row r="3634" customFormat="false" ht="15" hidden="false" customHeight="false" outlineLevel="0" collapsed="false">
      <c r="B3634" s="7" t="s">
        <v>12267</v>
      </c>
      <c r="C3634" s="39" t="n">
        <v>45884</v>
      </c>
      <c r="D3634" s="7" t="s">
        <v>201</v>
      </c>
      <c r="E3634" s="7" t="s">
        <v>180</v>
      </c>
      <c r="F3634" s="6" t="n">
        <v>3.44</v>
      </c>
      <c r="G3634" s="6" t="n">
        <v>0</v>
      </c>
      <c r="H3634" s="41" t="n">
        <v>15.19</v>
      </c>
      <c r="I3634" s="43" t="n">
        <f aca="false">F3634*H3634</f>
        <v>52.2536</v>
      </c>
      <c r="J3634" s="43" t="n">
        <f aca="false">G3634*H3634*1.5</f>
        <v>0</v>
      </c>
      <c r="K3634" s="6" t="n">
        <v>10.58</v>
      </c>
      <c r="L3634" s="43" t="n">
        <f aca="false">K3634*'Chart of Accounts'!$E$68</f>
        <v>7.0886</v>
      </c>
      <c r="O3634" s="42" t="n">
        <f aca="false">I3634+J3634+L3634</f>
        <v>59.3422</v>
      </c>
    </row>
    <row r="3635" customFormat="false" ht="15" hidden="false" customHeight="false" outlineLevel="0" collapsed="false">
      <c r="B3635" s="7" t="s">
        <v>12268</v>
      </c>
      <c r="C3635" s="39" t="n">
        <v>45884</v>
      </c>
      <c r="D3635" s="7" t="s">
        <v>207</v>
      </c>
      <c r="E3635" s="7" t="s">
        <v>180</v>
      </c>
      <c r="F3635" s="6" t="n">
        <v>3.09</v>
      </c>
      <c r="G3635" s="6" t="n">
        <v>0</v>
      </c>
      <c r="H3635" s="41" t="n">
        <v>16.65</v>
      </c>
      <c r="I3635" s="43" t="n">
        <f aca="false">F3635*H3635</f>
        <v>51.4485</v>
      </c>
      <c r="J3635" s="43" t="n">
        <f aca="false">G3635*H3635*1.5</f>
        <v>0</v>
      </c>
      <c r="K3635" s="6" t="n">
        <v>8.91</v>
      </c>
      <c r="L3635" s="43" t="n">
        <f aca="false">K3635*'Chart of Accounts'!$E$68</f>
        <v>5.9697</v>
      </c>
      <c r="O3635" s="42" t="n">
        <f aca="false">I3635+J3635+L3635</f>
        <v>57.4182</v>
      </c>
    </row>
    <row r="3636" customFormat="false" ht="15" hidden="false" customHeight="false" outlineLevel="0" collapsed="false">
      <c r="B3636" s="7" t="s">
        <v>12269</v>
      </c>
      <c r="C3636" s="39" t="n">
        <v>45884</v>
      </c>
      <c r="D3636" s="7" t="s">
        <v>258</v>
      </c>
      <c r="E3636" s="7" t="s">
        <v>158</v>
      </c>
      <c r="H3636" s="41" t="n">
        <v>61.61</v>
      </c>
      <c r="M3636" s="6" t="n">
        <v>1</v>
      </c>
      <c r="N3636" s="43" t="n">
        <f aca="false">M3636*H3636</f>
        <v>61.61</v>
      </c>
      <c r="O3636" s="42" t="n">
        <f aca="false">N3636</f>
        <v>61.61</v>
      </c>
    </row>
    <row r="3637" customFormat="false" ht="15" hidden="false" customHeight="false" outlineLevel="0" collapsed="false">
      <c r="B3637" s="7" t="s">
        <v>12270</v>
      </c>
      <c r="C3637" s="39" t="n">
        <v>45884</v>
      </c>
      <c r="D3637" s="7" t="s">
        <v>232</v>
      </c>
      <c r="E3637" s="7" t="s">
        <v>180</v>
      </c>
      <c r="F3637" s="6" t="n">
        <v>4.74</v>
      </c>
      <c r="G3637" s="6" t="n">
        <v>0</v>
      </c>
      <c r="H3637" s="41" t="n">
        <v>16.17</v>
      </c>
      <c r="I3637" s="43" t="n">
        <f aca="false">F3637*H3637</f>
        <v>76.6458</v>
      </c>
      <c r="J3637" s="43" t="n">
        <f aca="false">G3637*H3637*1.5</f>
        <v>0</v>
      </c>
      <c r="K3637" s="6" t="n">
        <v>17.01</v>
      </c>
      <c r="L3637" s="43" t="n">
        <f aca="false">K3637*'Chart of Accounts'!$E$68</f>
        <v>11.3967</v>
      </c>
      <c r="O3637" s="42" t="n">
        <f aca="false">I3637+J3637+L3637</f>
        <v>88.0425</v>
      </c>
    </row>
    <row r="3638" customFormat="false" ht="15" hidden="false" customHeight="false" outlineLevel="0" collapsed="false">
      <c r="B3638" s="7" t="s">
        <v>12271</v>
      </c>
      <c r="C3638" s="39" t="n">
        <v>45884</v>
      </c>
      <c r="D3638" s="7" t="s">
        <v>224</v>
      </c>
      <c r="E3638" s="7" t="s">
        <v>180</v>
      </c>
      <c r="F3638" s="6" t="n">
        <v>4.62</v>
      </c>
      <c r="G3638" s="6" t="n">
        <v>0</v>
      </c>
      <c r="H3638" s="41" t="n">
        <v>14.93</v>
      </c>
      <c r="I3638" s="43" t="n">
        <f aca="false">F3638*H3638</f>
        <v>68.9766</v>
      </c>
      <c r="J3638" s="43" t="n">
        <f aca="false">G3638*H3638*1.5</f>
        <v>0</v>
      </c>
      <c r="K3638" s="6" t="n">
        <v>16.46</v>
      </c>
      <c r="L3638" s="43" t="n">
        <f aca="false">K3638*'Chart of Accounts'!$E$68</f>
        <v>11.0282</v>
      </c>
      <c r="O3638" s="42" t="n">
        <f aca="false">I3638+J3638+L3638</f>
        <v>80.0048</v>
      </c>
    </row>
    <row r="3639" customFormat="false" ht="15" hidden="false" customHeight="false" outlineLevel="0" collapsed="false">
      <c r="B3639" s="7" t="s">
        <v>12272</v>
      </c>
      <c r="C3639" s="39" t="n">
        <v>45884</v>
      </c>
      <c r="D3639" s="7" t="s">
        <v>230</v>
      </c>
      <c r="E3639" s="7" t="s">
        <v>158</v>
      </c>
      <c r="H3639" s="41" t="n">
        <v>48.78</v>
      </c>
      <c r="M3639" s="6" t="n">
        <v>1</v>
      </c>
      <c r="N3639" s="43" t="n">
        <f aca="false">M3639*H3639</f>
        <v>48.78</v>
      </c>
      <c r="O3639" s="42" t="n">
        <f aca="false">N3639</f>
        <v>48.78</v>
      </c>
    </row>
    <row r="3640" customFormat="false" ht="15" hidden="false" customHeight="false" outlineLevel="0" collapsed="false">
      <c r="B3640" s="7" t="s">
        <v>12273</v>
      </c>
      <c r="C3640" s="39" t="n">
        <v>45884</v>
      </c>
      <c r="D3640" s="7" t="s">
        <v>196</v>
      </c>
      <c r="E3640" s="7" t="s">
        <v>180</v>
      </c>
      <c r="F3640" s="6" t="n">
        <v>3.507</v>
      </c>
      <c r="G3640" s="6" t="n">
        <v>0.753</v>
      </c>
      <c r="H3640" s="41" t="n">
        <v>15.05</v>
      </c>
      <c r="I3640" s="43" t="n">
        <f aca="false">F3640*H3640</f>
        <v>52.78035</v>
      </c>
      <c r="J3640" s="43" t="n">
        <f aca="false">G3640*H3640*1.5</f>
        <v>16.998975</v>
      </c>
      <c r="K3640" s="6" t="n">
        <v>13.62</v>
      </c>
      <c r="L3640" s="43" t="n">
        <f aca="false">K3640*'Chart of Accounts'!$E$68</f>
        <v>9.1254</v>
      </c>
      <c r="O3640" s="42" t="n">
        <f aca="false">I3640+J3640+L3640</f>
        <v>78.904725</v>
      </c>
    </row>
    <row r="3641" customFormat="false" ht="15" hidden="false" customHeight="false" outlineLevel="0" collapsed="false">
      <c r="B3641" s="7" t="s">
        <v>12274</v>
      </c>
      <c r="C3641" s="39" t="n">
        <v>45884</v>
      </c>
      <c r="D3641" s="7" t="s">
        <v>246</v>
      </c>
      <c r="E3641" s="7" t="s">
        <v>180</v>
      </c>
      <c r="F3641" s="6" t="n">
        <v>4.2</v>
      </c>
      <c r="G3641" s="6" t="n">
        <v>0</v>
      </c>
      <c r="H3641" s="41" t="n">
        <v>16.48</v>
      </c>
      <c r="I3641" s="43" t="n">
        <f aca="false">F3641*H3641</f>
        <v>69.216</v>
      </c>
      <c r="J3641" s="43" t="n">
        <f aca="false">G3641*H3641*1.5</f>
        <v>0</v>
      </c>
      <c r="K3641" s="6" t="n">
        <v>13.33</v>
      </c>
      <c r="L3641" s="43" t="n">
        <f aca="false">K3641*'Chart of Accounts'!$E$68</f>
        <v>8.9311</v>
      </c>
      <c r="O3641" s="42" t="n">
        <f aca="false">I3641+J3641+L3641</f>
        <v>78.1471</v>
      </c>
    </row>
    <row r="3642" customFormat="false" ht="15" hidden="false" customHeight="false" outlineLevel="0" collapsed="false">
      <c r="B3642" s="7" t="s">
        <v>12275</v>
      </c>
      <c r="C3642" s="39" t="n">
        <v>45884</v>
      </c>
      <c r="D3642" s="7" t="s">
        <v>203</v>
      </c>
      <c r="E3642" s="7" t="s">
        <v>158</v>
      </c>
      <c r="H3642" s="41" t="n">
        <v>49.43</v>
      </c>
      <c r="M3642" s="6" t="n">
        <v>1</v>
      </c>
      <c r="N3642" s="43" t="n">
        <f aca="false">M3642*H3642</f>
        <v>49.43</v>
      </c>
      <c r="O3642" s="42" t="n">
        <f aca="false">N3642</f>
        <v>49.43</v>
      </c>
    </row>
    <row r="3643" customFormat="false" ht="15" hidden="false" customHeight="false" outlineLevel="0" collapsed="false">
      <c r="B3643" s="7" t="s">
        <v>12276</v>
      </c>
      <c r="C3643" s="39" t="n">
        <v>45884</v>
      </c>
      <c r="D3643" s="7" t="s">
        <v>244</v>
      </c>
      <c r="E3643" s="7" t="s">
        <v>180</v>
      </c>
      <c r="F3643" s="6" t="n">
        <v>3.38</v>
      </c>
      <c r="G3643" s="6" t="n">
        <v>0</v>
      </c>
      <c r="H3643" s="41" t="n">
        <v>16.39</v>
      </c>
      <c r="I3643" s="43" t="n">
        <f aca="false">F3643*H3643</f>
        <v>55.3982</v>
      </c>
      <c r="J3643" s="43" t="n">
        <f aca="false">G3643*H3643*1.5</f>
        <v>0</v>
      </c>
      <c r="K3643" s="6" t="n">
        <v>7.76</v>
      </c>
      <c r="L3643" s="43" t="n">
        <f aca="false">K3643*'Chart of Accounts'!$E$68</f>
        <v>5.1992</v>
      </c>
      <c r="O3643" s="42" t="n">
        <f aca="false">I3643+J3643+L3643</f>
        <v>60.5974</v>
      </c>
    </row>
    <row r="3644" customFormat="false" ht="15" hidden="false" customHeight="false" outlineLevel="0" collapsed="false">
      <c r="B3644" s="7" t="s">
        <v>12277</v>
      </c>
      <c r="C3644" s="39" t="n">
        <v>45884</v>
      </c>
      <c r="D3644" s="7" t="s">
        <v>260</v>
      </c>
      <c r="E3644" s="7" t="s">
        <v>158</v>
      </c>
      <c r="H3644" s="41" t="n">
        <v>79.8</v>
      </c>
      <c r="M3644" s="6" t="n">
        <v>1</v>
      </c>
      <c r="N3644" s="43" t="n">
        <f aca="false">M3644*H3644</f>
        <v>79.8</v>
      </c>
      <c r="O3644" s="42" t="n">
        <f aca="false">N3644</f>
        <v>79.8</v>
      </c>
    </row>
    <row r="3645" customFormat="false" ht="15" hidden="false" customHeight="false" outlineLevel="0" collapsed="false">
      <c r="B3645" s="7" t="s">
        <v>12278</v>
      </c>
      <c r="C3645" s="39" t="n">
        <v>45885</v>
      </c>
      <c r="D3645" s="7" t="s">
        <v>218</v>
      </c>
      <c r="E3645" s="7" t="s">
        <v>180</v>
      </c>
      <c r="F3645" s="6" t="n">
        <v>3.98</v>
      </c>
      <c r="G3645" s="6" t="n">
        <v>0</v>
      </c>
      <c r="H3645" s="41" t="n">
        <v>16.19</v>
      </c>
      <c r="I3645" s="43" t="n">
        <f aca="false">F3645*H3645</f>
        <v>64.4362</v>
      </c>
      <c r="J3645" s="43" t="n">
        <f aca="false">G3645*H3645*1.5</f>
        <v>0</v>
      </c>
      <c r="K3645" s="6" t="n">
        <v>11.45</v>
      </c>
      <c r="L3645" s="43" t="n">
        <f aca="false">K3645*'Chart of Accounts'!$E$68</f>
        <v>7.6715</v>
      </c>
      <c r="O3645" s="42" t="n">
        <f aca="false">I3645+J3645+L3645</f>
        <v>72.1077</v>
      </c>
    </row>
    <row r="3646" customFormat="false" ht="15" hidden="false" customHeight="false" outlineLevel="0" collapsed="false">
      <c r="B3646" s="7" t="s">
        <v>12279</v>
      </c>
      <c r="C3646" s="39" t="n">
        <v>45885</v>
      </c>
      <c r="D3646" s="7" t="s">
        <v>177</v>
      </c>
      <c r="E3646" s="7" t="s">
        <v>180</v>
      </c>
      <c r="F3646" s="6" t="n">
        <v>4.21</v>
      </c>
      <c r="G3646" s="6" t="n">
        <v>0</v>
      </c>
      <c r="H3646" s="41" t="n">
        <v>14.56</v>
      </c>
      <c r="I3646" s="43" t="n">
        <f aca="false">F3646*H3646</f>
        <v>61.2976</v>
      </c>
      <c r="J3646" s="43" t="n">
        <f aca="false">G3646*H3646*1.5</f>
        <v>0</v>
      </c>
      <c r="K3646" s="6" t="n">
        <v>9.33</v>
      </c>
      <c r="L3646" s="43" t="n">
        <f aca="false">K3646*'Chart of Accounts'!$E$68</f>
        <v>6.2511</v>
      </c>
      <c r="O3646" s="42" t="n">
        <f aca="false">I3646+J3646+L3646</f>
        <v>67.5487</v>
      </c>
    </row>
    <row r="3647" customFormat="false" ht="15" hidden="false" customHeight="false" outlineLevel="0" collapsed="false">
      <c r="B3647" s="7" t="s">
        <v>12280</v>
      </c>
      <c r="C3647" s="39" t="n">
        <v>45885</v>
      </c>
      <c r="D3647" s="7" t="s">
        <v>196</v>
      </c>
      <c r="E3647" s="7" t="s">
        <v>180</v>
      </c>
      <c r="F3647" s="6" t="n">
        <v>3.079</v>
      </c>
      <c r="G3647" s="6" t="n">
        <v>0.661</v>
      </c>
      <c r="H3647" s="41" t="n">
        <v>15.05</v>
      </c>
      <c r="I3647" s="43" t="n">
        <f aca="false">F3647*H3647</f>
        <v>46.33895</v>
      </c>
      <c r="J3647" s="43" t="n">
        <f aca="false">G3647*H3647*1.5</f>
        <v>14.922075</v>
      </c>
      <c r="K3647" s="6" t="n">
        <v>11.66</v>
      </c>
      <c r="L3647" s="43" t="n">
        <f aca="false">K3647*'Chart of Accounts'!$E$68</f>
        <v>7.8122</v>
      </c>
      <c r="O3647" s="42" t="n">
        <f aca="false">I3647+J3647+L3647</f>
        <v>69.073225</v>
      </c>
    </row>
    <row r="3648" customFormat="false" ht="15" hidden="false" customHeight="false" outlineLevel="0" collapsed="false">
      <c r="B3648" s="7" t="s">
        <v>12281</v>
      </c>
      <c r="C3648" s="39" t="n">
        <v>45885</v>
      </c>
      <c r="D3648" s="7" t="s">
        <v>222</v>
      </c>
      <c r="E3648" s="7" t="s">
        <v>180</v>
      </c>
      <c r="F3648" s="6" t="n">
        <v>4.4</v>
      </c>
      <c r="G3648" s="6" t="n">
        <v>0</v>
      </c>
      <c r="H3648" s="41" t="n">
        <v>17.84</v>
      </c>
      <c r="I3648" s="43" t="n">
        <f aca="false">F3648*H3648</f>
        <v>78.496</v>
      </c>
      <c r="J3648" s="43" t="n">
        <f aca="false">G3648*H3648*1.5</f>
        <v>0</v>
      </c>
      <c r="K3648" s="6" t="n">
        <v>13.94</v>
      </c>
      <c r="L3648" s="43" t="n">
        <f aca="false">K3648*'Chart of Accounts'!$E$68</f>
        <v>9.3398</v>
      </c>
      <c r="O3648" s="42" t="n">
        <f aca="false">I3648+J3648+L3648</f>
        <v>87.8358</v>
      </c>
    </row>
    <row r="3649" customFormat="false" ht="15" hidden="false" customHeight="false" outlineLevel="0" collapsed="false">
      <c r="B3649" s="7" t="s">
        <v>12282</v>
      </c>
      <c r="C3649" s="39" t="n">
        <v>45885</v>
      </c>
      <c r="D3649" s="7" t="s">
        <v>242</v>
      </c>
      <c r="E3649" s="7" t="s">
        <v>180</v>
      </c>
      <c r="F3649" s="6" t="n">
        <v>3.86</v>
      </c>
      <c r="G3649" s="6" t="n">
        <v>0</v>
      </c>
      <c r="H3649" s="41" t="n">
        <v>17.99</v>
      </c>
      <c r="I3649" s="43" t="n">
        <f aca="false">F3649*H3649</f>
        <v>69.4414</v>
      </c>
      <c r="J3649" s="43" t="n">
        <f aca="false">G3649*H3649*1.5</f>
        <v>0</v>
      </c>
      <c r="K3649" s="6" t="n">
        <v>13.37</v>
      </c>
      <c r="L3649" s="43" t="n">
        <f aca="false">K3649*'Chart of Accounts'!$E$68</f>
        <v>8.9579</v>
      </c>
      <c r="O3649" s="42" t="n">
        <f aca="false">I3649+J3649+L3649</f>
        <v>78.3993</v>
      </c>
    </row>
    <row r="3650" customFormat="false" ht="15" hidden="false" customHeight="false" outlineLevel="0" collapsed="false">
      <c r="B3650" s="7" t="s">
        <v>12283</v>
      </c>
      <c r="C3650" s="39" t="n">
        <v>45885</v>
      </c>
      <c r="D3650" s="7" t="s">
        <v>254</v>
      </c>
      <c r="E3650" s="7" t="s">
        <v>180</v>
      </c>
      <c r="F3650" s="6" t="n">
        <v>4.12</v>
      </c>
      <c r="G3650" s="6" t="n">
        <v>0</v>
      </c>
      <c r="H3650" s="41" t="n">
        <v>17.1</v>
      </c>
      <c r="I3650" s="43" t="n">
        <f aca="false">F3650*H3650</f>
        <v>70.452</v>
      </c>
      <c r="J3650" s="43" t="n">
        <f aca="false">G3650*H3650*1.5</f>
        <v>0</v>
      </c>
      <c r="K3650" s="6" t="n">
        <v>9.6</v>
      </c>
      <c r="L3650" s="43" t="n">
        <f aca="false">K3650*'Chart of Accounts'!$E$68</f>
        <v>6.432</v>
      </c>
      <c r="O3650" s="42" t="n">
        <f aca="false">I3650+J3650+L3650</f>
        <v>76.884</v>
      </c>
    </row>
    <row r="3651" customFormat="false" ht="15" hidden="false" customHeight="false" outlineLevel="0" collapsed="false">
      <c r="B3651" s="7" t="s">
        <v>12284</v>
      </c>
      <c r="C3651" s="39" t="n">
        <v>45886</v>
      </c>
      <c r="D3651" s="7" t="s">
        <v>177</v>
      </c>
      <c r="E3651" s="7" t="s">
        <v>180</v>
      </c>
      <c r="F3651" s="6" t="n">
        <v>4.13</v>
      </c>
      <c r="G3651" s="6" t="n">
        <v>0</v>
      </c>
      <c r="H3651" s="41" t="n">
        <v>14.56</v>
      </c>
      <c r="I3651" s="43" t="n">
        <f aca="false">F3651*H3651</f>
        <v>60.1328</v>
      </c>
      <c r="J3651" s="43" t="n">
        <f aca="false">G3651*H3651*1.5</f>
        <v>0</v>
      </c>
      <c r="K3651" s="6" t="n">
        <v>9.75</v>
      </c>
      <c r="L3651" s="43" t="n">
        <f aca="false">K3651*'Chart of Accounts'!$E$68</f>
        <v>6.5325</v>
      </c>
      <c r="O3651" s="42" t="n">
        <f aca="false">I3651+J3651+L3651</f>
        <v>66.6653</v>
      </c>
    </row>
    <row r="3652" customFormat="false" ht="15" hidden="false" customHeight="false" outlineLevel="0" collapsed="false">
      <c r="B3652" s="7" t="s">
        <v>12285</v>
      </c>
      <c r="C3652" s="39" t="n">
        <v>45886</v>
      </c>
      <c r="D3652" s="7" t="s">
        <v>218</v>
      </c>
      <c r="E3652" s="7" t="s">
        <v>180</v>
      </c>
      <c r="F3652" s="6" t="n">
        <v>4.38</v>
      </c>
      <c r="G3652" s="6" t="n">
        <v>0</v>
      </c>
      <c r="H3652" s="41" t="n">
        <v>16.19</v>
      </c>
      <c r="I3652" s="43" t="n">
        <f aca="false">F3652*H3652</f>
        <v>70.9122</v>
      </c>
      <c r="J3652" s="43" t="n">
        <f aca="false">G3652*H3652*1.5</f>
        <v>0</v>
      </c>
      <c r="K3652" s="6" t="n">
        <v>12.74</v>
      </c>
      <c r="L3652" s="43" t="n">
        <f aca="false">K3652*'Chart of Accounts'!$E$68</f>
        <v>8.5358</v>
      </c>
      <c r="O3652" s="42" t="n">
        <f aca="false">I3652+J3652+L3652</f>
        <v>79.448</v>
      </c>
    </row>
    <row r="3653" customFormat="false" ht="15" hidden="false" customHeight="false" outlineLevel="0" collapsed="false">
      <c r="B3653" s="7" t="s">
        <v>12286</v>
      </c>
      <c r="C3653" s="39" t="n">
        <v>45886</v>
      </c>
      <c r="D3653" s="7" t="s">
        <v>196</v>
      </c>
      <c r="E3653" s="7" t="s">
        <v>180</v>
      </c>
      <c r="F3653" s="6" t="n">
        <v>7.154</v>
      </c>
      <c r="G3653" s="6" t="n">
        <v>1.536</v>
      </c>
      <c r="H3653" s="41" t="n">
        <v>15.05</v>
      </c>
      <c r="I3653" s="43" t="n">
        <f aca="false">F3653*H3653</f>
        <v>107.6677</v>
      </c>
      <c r="J3653" s="43" t="n">
        <f aca="false">G3653*H3653*1.5</f>
        <v>34.6752</v>
      </c>
      <c r="K3653" s="6" t="n">
        <v>28.4</v>
      </c>
      <c r="L3653" s="43" t="n">
        <f aca="false">K3653*'Chart of Accounts'!$E$68</f>
        <v>19.028</v>
      </c>
      <c r="O3653" s="42" t="n">
        <f aca="false">I3653+J3653+L3653</f>
        <v>161.3709</v>
      </c>
    </row>
    <row r="3654" customFormat="false" ht="15" hidden="false" customHeight="false" outlineLevel="0" collapsed="false">
      <c r="B3654" s="7" t="s">
        <v>12287</v>
      </c>
      <c r="C3654" s="39" t="n">
        <v>45886</v>
      </c>
      <c r="D3654" s="7" t="s">
        <v>222</v>
      </c>
      <c r="E3654" s="7" t="s">
        <v>180</v>
      </c>
      <c r="F3654" s="6" t="n">
        <v>3.62</v>
      </c>
      <c r="G3654" s="6" t="n">
        <v>0</v>
      </c>
      <c r="H3654" s="41" t="n">
        <v>17.84</v>
      </c>
      <c r="I3654" s="43" t="n">
        <f aca="false">F3654*H3654</f>
        <v>64.5808</v>
      </c>
      <c r="J3654" s="43" t="n">
        <f aca="false">G3654*H3654*1.5</f>
        <v>0</v>
      </c>
      <c r="K3654" s="6" t="n">
        <v>9.44</v>
      </c>
      <c r="L3654" s="43" t="n">
        <f aca="false">K3654*'Chart of Accounts'!$E$68</f>
        <v>6.3248</v>
      </c>
      <c r="O3654" s="42" t="n">
        <f aca="false">I3654+J3654+L3654</f>
        <v>70.9056</v>
      </c>
    </row>
    <row r="3655" customFormat="false" ht="15" hidden="false" customHeight="false" outlineLevel="0" collapsed="false">
      <c r="B3655" s="7" t="s">
        <v>12288</v>
      </c>
      <c r="C3655" s="39" t="n">
        <v>45886</v>
      </c>
      <c r="D3655" s="7" t="s">
        <v>242</v>
      </c>
      <c r="E3655" s="7" t="s">
        <v>180</v>
      </c>
      <c r="F3655" s="6" t="n">
        <v>3.92</v>
      </c>
      <c r="G3655" s="6" t="n">
        <v>0</v>
      </c>
      <c r="H3655" s="41" t="n">
        <v>17.99</v>
      </c>
      <c r="I3655" s="43" t="n">
        <f aca="false">F3655*H3655</f>
        <v>70.5208</v>
      </c>
      <c r="J3655" s="43" t="n">
        <f aca="false">G3655*H3655*1.5</f>
        <v>0</v>
      </c>
      <c r="K3655" s="6" t="n">
        <v>10.39</v>
      </c>
      <c r="L3655" s="43" t="n">
        <f aca="false">K3655*'Chart of Accounts'!$E$68</f>
        <v>6.9613</v>
      </c>
      <c r="O3655" s="42" t="n">
        <f aca="false">I3655+J3655+L3655</f>
        <v>77.4821</v>
      </c>
    </row>
    <row r="3656" customFormat="false" ht="15" hidden="false" customHeight="false" outlineLevel="0" collapsed="false">
      <c r="B3656" s="7" t="s">
        <v>12289</v>
      </c>
      <c r="C3656" s="39" t="n">
        <v>45886</v>
      </c>
      <c r="D3656" s="7" t="s">
        <v>254</v>
      </c>
      <c r="E3656" s="7" t="s">
        <v>180</v>
      </c>
      <c r="F3656" s="6" t="n">
        <v>3.72</v>
      </c>
      <c r="G3656" s="6" t="n">
        <v>0</v>
      </c>
      <c r="H3656" s="41" t="n">
        <v>17.1</v>
      </c>
      <c r="I3656" s="43" t="n">
        <f aca="false">F3656*H3656</f>
        <v>63.612</v>
      </c>
      <c r="J3656" s="43" t="n">
        <f aca="false">G3656*H3656*1.5</f>
        <v>0</v>
      </c>
      <c r="K3656" s="6" t="n">
        <v>12.7</v>
      </c>
      <c r="L3656" s="43" t="n">
        <f aca="false">K3656*'Chart of Accounts'!$E$68</f>
        <v>8.509</v>
      </c>
      <c r="O3656" s="42" t="n">
        <f aca="false">I3656+J3656+L3656</f>
        <v>72.121</v>
      </c>
    </row>
    <row r="3657" customFormat="false" ht="15" hidden="false" customHeight="false" outlineLevel="0" collapsed="false">
      <c r="B3657" s="7" t="s">
        <v>12290</v>
      </c>
      <c r="C3657" s="39" t="n">
        <v>45887</v>
      </c>
      <c r="D3657" s="7" t="s">
        <v>187</v>
      </c>
      <c r="E3657" s="7" t="s">
        <v>158</v>
      </c>
      <c r="H3657" s="41" t="n">
        <v>66.48</v>
      </c>
      <c r="M3657" s="6" t="n">
        <v>1</v>
      </c>
      <c r="N3657" s="43" t="n">
        <f aca="false">M3657*H3657</f>
        <v>66.48</v>
      </c>
      <c r="O3657" s="42" t="n">
        <f aca="false">N3657</f>
        <v>66.48</v>
      </c>
    </row>
    <row r="3658" customFormat="false" ht="15" hidden="false" customHeight="false" outlineLevel="0" collapsed="false">
      <c r="B3658" s="7" t="s">
        <v>12291</v>
      </c>
      <c r="C3658" s="39" t="n">
        <v>45887</v>
      </c>
      <c r="D3658" s="7" t="s">
        <v>207</v>
      </c>
      <c r="E3658" s="7" t="s">
        <v>180</v>
      </c>
      <c r="F3658" s="6" t="n">
        <v>13.48</v>
      </c>
      <c r="G3658" s="6" t="n">
        <v>0</v>
      </c>
      <c r="H3658" s="41" t="n">
        <v>16.65</v>
      </c>
      <c r="I3658" s="43" t="n">
        <f aca="false">F3658*H3658</f>
        <v>224.442</v>
      </c>
      <c r="J3658" s="43" t="n">
        <f aca="false">G3658*H3658*1.5</f>
        <v>0</v>
      </c>
      <c r="K3658" s="6" t="n">
        <v>31.77</v>
      </c>
      <c r="L3658" s="43" t="n">
        <f aca="false">K3658*'Chart of Accounts'!$E$68</f>
        <v>21.2859</v>
      </c>
      <c r="O3658" s="42" t="n">
        <f aca="false">I3658+J3658+L3658</f>
        <v>245.7279</v>
      </c>
    </row>
    <row r="3659" customFormat="false" ht="15" hidden="false" customHeight="false" outlineLevel="0" collapsed="false">
      <c r="B3659" s="7" t="s">
        <v>12292</v>
      </c>
      <c r="C3659" s="39" t="n">
        <v>45887</v>
      </c>
      <c r="D3659" s="7" t="s">
        <v>194</v>
      </c>
      <c r="E3659" s="7" t="s">
        <v>180</v>
      </c>
      <c r="F3659" s="6" t="n">
        <v>9.04</v>
      </c>
      <c r="G3659" s="6" t="n">
        <v>0</v>
      </c>
      <c r="H3659" s="41" t="n">
        <v>16</v>
      </c>
      <c r="I3659" s="43" t="n">
        <f aca="false">F3659*H3659</f>
        <v>144.64</v>
      </c>
      <c r="J3659" s="43" t="n">
        <f aca="false">G3659*H3659*1.5</f>
        <v>0</v>
      </c>
      <c r="K3659" s="6" t="n">
        <v>29.03</v>
      </c>
      <c r="L3659" s="43" t="n">
        <f aca="false">K3659*'Chart of Accounts'!$E$68</f>
        <v>19.4501</v>
      </c>
      <c r="O3659" s="42" t="n">
        <f aca="false">I3659+J3659+L3659</f>
        <v>164.0901</v>
      </c>
    </row>
    <row r="3660" customFormat="false" ht="15" hidden="false" customHeight="false" outlineLevel="0" collapsed="false">
      <c r="B3660" s="7" t="s">
        <v>12293</v>
      </c>
      <c r="C3660" s="39" t="n">
        <v>45887</v>
      </c>
      <c r="D3660" s="7" t="s">
        <v>214</v>
      </c>
      <c r="E3660" s="7" t="s">
        <v>180</v>
      </c>
      <c r="F3660" s="6" t="n">
        <v>11.83</v>
      </c>
      <c r="G3660" s="6" t="n">
        <v>0</v>
      </c>
      <c r="H3660" s="41" t="n">
        <v>15.67</v>
      </c>
      <c r="I3660" s="43" t="n">
        <f aca="false">F3660*H3660</f>
        <v>185.3761</v>
      </c>
      <c r="J3660" s="43" t="n">
        <f aca="false">G3660*H3660*1.5</f>
        <v>0</v>
      </c>
      <c r="K3660" s="6" t="n">
        <v>38.97</v>
      </c>
      <c r="L3660" s="43" t="n">
        <f aca="false">K3660*'Chart of Accounts'!$E$68</f>
        <v>26.1099</v>
      </c>
      <c r="O3660" s="42" t="n">
        <f aca="false">I3660+J3660+L3660</f>
        <v>211.486</v>
      </c>
    </row>
    <row r="3661" customFormat="false" ht="15" hidden="false" customHeight="false" outlineLevel="0" collapsed="false">
      <c r="B3661" s="7" t="s">
        <v>12294</v>
      </c>
      <c r="C3661" s="39" t="n">
        <v>45887</v>
      </c>
      <c r="D3661" s="7" t="s">
        <v>201</v>
      </c>
      <c r="E3661" s="7" t="s">
        <v>180</v>
      </c>
      <c r="F3661" s="6" t="n">
        <v>9.11</v>
      </c>
      <c r="G3661" s="6" t="n">
        <v>0</v>
      </c>
      <c r="H3661" s="41" t="n">
        <v>15.19</v>
      </c>
      <c r="I3661" s="43" t="n">
        <f aca="false">F3661*H3661</f>
        <v>138.3809</v>
      </c>
      <c r="J3661" s="43" t="n">
        <f aca="false">G3661*H3661*1.5</f>
        <v>0</v>
      </c>
      <c r="K3661" s="6" t="n">
        <v>20.33</v>
      </c>
      <c r="L3661" s="43" t="n">
        <f aca="false">K3661*'Chart of Accounts'!$E$68</f>
        <v>13.6211</v>
      </c>
      <c r="O3661" s="42" t="n">
        <f aca="false">I3661+J3661+L3661</f>
        <v>152.002</v>
      </c>
    </row>
    <row r="3662" customFormat="false" ht="15" hidden="false" customHeight="false" outlineLevel="0" collapsed="false">
      <c r="B3662" s="7" t="s">
        <v>12295</v>
      </c>
      <c r="C3662" s="39" t="n">
        <v>45887</v>
      </c>
      <c r="D3662" s="7" t="s">
        <v>205</v>
      </c>
      <c r="E3662" s="7" t="s">
        <v>180</v>
      </c>
      <c r="F3662" s="6" t="n">
        <v>4.2</v>
      </c>
      <c r="G3662" s="6" t="n">
        <v>0</v>
      </c>
      <c r="H3662" s="41" t="n">
        <v>16.36</v>
      </c>
      <c r="I3662" s="43" t="n">
        <f aca="false">F3662*H3662</f>
        <v>68.712</v>
      </c>
      <c r="J3662" s="43" t="n">
        <f aca="false">G3662*H3662*1.5</f>
        <v>0</v>
      </c>
      <c r="K3662" s="6" t="n">
        <v>14.46</v>
      </c>
      <c r="L3662" s="43" t="n">
        <f aca="false">K3662*'Chart of Accounts'!$E$68</f>
        <v>9.6882</v>
      </c>
      <c r="O3662" s="42" t="n">
        <f aca="false">I3662+J3662+L3662</f>
        <v>78.4002</v>
      </c>
    </row>
    <row r="3663" customFormat="false" ht="15" hidden="false" customHeight="false" outlineLevel="0" collapsed="false">
      <c r="B3663" s="7" t="s">
        <v>12296</v>
      </c>
      <c r="C3663" s="39" t="n">
        <v>45887</v>
      </c>
      <c r="D3663" s="7" t="s">
        <v>264</v>
      </c>
      <c r="E3663" s="7" t="s">
        <v>158</v>
      </c>
      <c r="H3663" s="41" t="n">
        <v>55.55</v>
      </c>
      <c r="M3663" s="6" t="n">
        <v>1</v>
      </c>
      <c r="N3663" s="43" t="n">
        <f aca="false">M3663*H3663</f>
        <v>55.55</v>
      </c>
      <c r="O3663" s="42" t="n">
        <f aca="false">N3663</f>
        <v>55.55</v>
      </c>
    </row>
    <row r="3664" customFormat="false" ht="15" hidden="false" customHeight="false" outlineLevel="0" collapsed="false">
      <c r="B3664" s="7" t="s">
        <v>12297</v>
      </c>
      <c r="C3664" s="39" t="n">
        <v>45887</v>
      </c>
      <c r="D3664" s="7" t="s">
        <v>252</v>
      </c>
      <c r="E3664" s="7" t="s">
        <v>158</v>
      </c>
      <c r="H3664" s="41" t="n">
        <v>57.54</v>
      </c>
      <c r="M3664" s="6" t="n">
        <v>1</v>
      </c>
      <c r="N3664" s="43" t="n">
        <f aca="false">M3664*H3664</f>
        <v>57.54</v>
      </c>
      <c r="O3664" s="42" t="n">
        <f aca="false">N3664</f>
        <v>57.54</v>
      </c>
    </row>
    <row r="3665" customFormat="false" ht="15" hidden="false" customHeight="false" outlineLevel="0" collapsed="false">
      <c r="B3665" s="7" t="s">
        <v>12298</v>
      </c>
      <c r="C3665" s="39" t="n">
        <v>45887</v>
      </c>
      <c r="D3665" s="7" t="s">
        <v>196</v>
      </c>
      <c r="E3665" s="7" t="s">
        <v>180</v>
      </c>
      <c r="F3665" s="6" t="n">
        <v>9.859</v>
      </c>
      <c r="G3665" s="6" t="n">
        <v>0.811</v>
      </c>
      <c r="H3665" s="41" t="n">
        <v>15.05</v>
      </c>
      <c r="I3665" s="43" t="n">
        <f aca="false">F3665*H3665</f>
        <v>148.37795</v>
      </c>
      <c r="J3665" s="43" t="n">
        <f aca="false">G3665*H3665*1.5</f>
        <v>18.308325</v>
      </c>
      <c r="K3665" s="6" t="n">
        <v>27.19</v>
      </c>
      <c r="L3665" s="43" t="n">
        <f aca="false">K3665*'Chart of Accounts'!$E$68</f>
        <v>18.2173</v>
      </c>
      <c r="O3665" s="42" t="n">
        <f aca="false">I3665+J3665+L3665</f>
        <v>184.903575</v>
      </c>
    </row>
    <row r="3666" customFormat="false" ht="15" hidden="false" customHeight="false" outlineLevel="0" collapsed="false">
      <c r="B3666" s="7" t="s">
        <v>12299</v>
      </c>
      <c r="C3666" s="39" t="n">
        <v>45887</v>
      </c>
      <c r="D3666" s="7" t="s">
        <v>184</v>
      </c>
      <c r="E3666" s="7" t="s">
        <v>180</v>
      </c>
      <c r="F3666" s="6" t="n">
        <v>12.86</v>
      </c>
      <c r="G3666" s="6" t="n">
        <v>0</v>
      </c>
      <c r="H3666" s="41" t="n">
        <v>17.34</v>
      </c>
      <c r="I3666" s="43" t="n">
        <f aca="false">F3666*H3666</f>
        <v>222.9924</v>
      </c>
      <c r="J3666" s="43" t="n">
        <f aca="false">G3666*H3666*1.5</f>
        <v>0</v>
      </c>
      <c r="K3666" s="6" t="n">
        <v>45.44</v>
      </c>
      <c r="L3666" s="43" t="n">
        <f aca="false">K3666*'Chart of Accounts'!$E$68</f>
        <v>30.4448</v>
      </c>
      <c r="O3666" s="42" t="n">
        <f aca="false">I3666+J3666+L3666</f>
        <v>253.4372</v>
      </c>
    </row>
    <row r="3667" customFormat="false" ht="15" hidden="false" customHeight="false" outlineLevel="0" collapsed="false">
      <c r="B3667" s="7" t="s">
        <v>12300</v>
      </c>
      <c r="C3667" s="39" t="n">
        <v>45887</v>
      </c>
      <c r="D3667" s="7" t="s">
        <v>216</v>
      </c>
      <c r="E3667" s="7" t="s">
        <v>158</v>
      </c>
      <c r="H3667" s="41" t="n">
        <v>61.79</v>
      </c>
      <c r="M3667" s="6" t="n">
        <v>1</v>
      </c>
      <c r="N3667" s="43" t="n">
        <f aca="false">M3667*H3667</f>
        <v>61.79</v>
      </c>
      <c r="O3667" s="42" t="n">
        <f aca="false">N3667</f>
        <v>61.79</v>
      </c>
    </row>
    <row r="3668" customFormat="false" ht="15" hidden="false" customHeight="false" outlineLevel="0" collapsed="false">
      <c r="B3668" s="7" t="s">
        <v>12301</v>
      </c>
      <c r="C3668" s="39" t="n">
        <v>45887</v>
      </c>
      <c r="D3668" s="7" t="s">
        <v>218</v>
      </c>
      <c r="E3668" s="7" t="s">
        <v>180</v>
      </c>
      <c r="F3668" s="6" t="n">
        <v>3.64</v>
      </c>
      <c r="G3668" s="6" t="n">
        <v>0</v>
      </c>
      <c r="H3668" s="41" t="n">
        <v>16.19</v>
      </c>
      <c r="I3668" s="43" t="n">
        <f aca="false">F3668*H3668</f>
        <v>58.9316</v>
      </c>
      <c r="J3668" s="43" t="n">
        <f aca="false">G3668*H3668*1.5</f>
        <v>0</v>
      </c>
      <c r="K3668" s="6" t="n">
        <v>9.35</v>
      </c>
      <c r="L3668" s="43" t="n">
        <f aca="false">K3668*'Chart of Accounts'!$E$68</f>
        <v>6.2645</v>
      </c>
      <c r="O3668" s="42" t="n">
        <f aca="false">I3668+J3668+L3668</f>
        <v>65.1961</v>
      </c>
    </row>
    <row r="3669" customFormat="false" ht="15" hidden="false" customHeight="false" outlineLevel="0" collapsed="false">
      <c r="B3669" s="7" t="s">
        <v>12302</v>
      </c>
      <c r="C3669" s="39" t="n">
        <v>45887</v>
      </c>
      <c r="D3669" s="7" t="s">
        <v>220</v>
      </c>
      <c r="E3669" s="7" t="s">
        <v>180</v>
      </c>
      <c r="F3669" s="6" t="n">
        <v>3.87</v>
      </c>
      <c r="G3669" s="6" t="n">
        <v>0</v>
      </c>
      <c r="H3669" s="41" t="n">
        <v>16.43</v>
      </c>
      <c r="I3669" s="43" t="n">
        <f aca="false">F3669*H3669</f>
        <v>63.5841</v>
      </c>
      <c r="J3669" s="43" t="n">
        <f aca="false">G3669*H3669*1.5</f>
        <v>0</v>
      </c>
      <c r="K3669" s="6" t="n">
        <v>10.51</v>
      </c>
      <c r="L3669" s="43" t="n">
        <f aca="false">K3669*'Chart of Accounts'!$E$68</f>
        <v>7.0417</v>
      </c>
      <c r="O3669" s="42" t="n">
        <f aca="false">I3669+J3669+L3669</f>
        <v>70.6258</v>
      </c>
    </row>
    <row r="3670" customFormat="false" ht="15" hidden="false" customHeight="false" outlineLevel="0" collapsed="false">
      <c r="B3670" s="7" t="s">
        <v>12303</v>
      </c>
      <c r="C3670" s="39" t="n">
        <v>45887</v>
      </c>
      <c r="D3670" s="7" t="s">
        <v>224</v>
      </c>
      <c r="E3670" s="7" t="s">
        <v>180</v>
      </c>
      <c r="F3670" s="6" t="n">
        <v>7.92</v>
      </c>
      <c r="G3670" s="6" t="n">
        <v>0</v>
      </c>
      <c r="H3670" s="41" t="n">
        <v>14.93</v>
      </c>
      <c r="I3670" s="43" t="n">
        <f aca="false">F3670*H3670</f>
        <v>118.2456</v>
      </c>
      <c r="J3670" s="43" t="n">
        <f aca="false">G3670*H3670*1.5</f>
        <v>0</v>
      </c>
      <c r="K3670" s="6" t="n">
        <v>17.73</v>
      </c>
      <c r="L3670" s="43" t="n">
        <f aca="false">K3670*'Chart of Accounts'!$E$68</f>
        <v>11.8791</v>
      </c>
      <c r="O3670" s="42" t="n">
        <f aca="false">I3670+J3670+L3670</f>
        <v>130.1247</v>
      </c>
    </row>
    <row r="3671" customFormat="false" ht="15" hidden="false" customHeight="false" outlineLevel="0" collapsed="false">
      <c r="B3671" s="7" t="s">
        <v>12304</v>
      </c>
      <c r="C3671" s="39" t="n">
        <v>45887</v>
      </c>
      <c r="D3671" s="7" t="s">
        <v>177</v>
      </c>
      <c r="E3671" s="7" t="s">
        <v>180</v>
      </c>
      <c r="F3671" s="6" t="n">
        <v>8.58</v>
      </c>
      <c r="G3671" s="6" t="n">
        <v>0</v>
      </c>
      <c r="H3671" s="41" t="n">
        <v>14.56</v>
      </c>
      <c r="I3671" s="43" t="n">
        <f aca="false">F3671*H3671</f>
        <v>124.9248</v>
      </c>
      <c r="J3671" s="43" t="n">
        <f aca="false">G3671*H3671*1.5</f>
        <v>0</v>
      </c>
      <c r="K3671" s="6" t="n">
        <v>24.8</v>
      </c>
      <c r="L3671" s="43" t="n">
        <f aca="false">K3671*'Chart of Accounts'!$E$68</f>
        <v>16.616</v>
      </c>
      <c r="O3671" s="42" t="n">
        <f aca="false">I3671+J3671+L3671</f>
        <v>141.5408</v>
      </c>
    </row>
    <row r="3672" customFormat="false" ht="15" hidden="false" customHeight="false" outlineLevel="0" collapsed="false">
      <c r="B3672" s="7" t="s">
        <v>12305</v>
      </c>
      <c r="C3672" s="39" t="n">
        <v>45887</v>
      </c>
      <c r="D3672" s="7" t="s">
        <v>232</v>
      </c>
      <c r="E3672" s="7" t="s">
        <v>180</v>
      </c>
      <c r="F3672" s="6" t="n">
        <v>7.32</v>
      </c>
      <c r="G3672" s="6" t="n">
        <v>0</v>
      </c>
      <c r="H3672" s="41" t="n">
        <v>16.17</v>
      </c>
      <c r="I3672" s="43" t="n">
        <f aca="false">F3672*H3672</f>
        <v>118.3644</v>
      </c>
      <c r="J3672" s="43" t="n">
        <f aca="false">G3672*H3672*1.5</f>
        <v>0</v>
      </c>
      <c r="K3672" s="6" t="n">
        <v>18.73</v>
      </c>
      <c r="L3672" s="43" t="n">
        <f aca="false">K3672*'Chart of Accounts'!$E$68</f>
        <v>12.5491</v>
      </c>
      <c r="O3672" s="42" t="n">
        <f aca="false">I3672+J3672+L3672</f>
        <v>130.9135</v>
      </c>
    </row>
    <row r="3673" customFormat="false" ht="15" hidden="false" customHeight="false" outlineLevel="0" collapsed="false">
      <c r="B3673" s="7" t="s">
        <v>12306</v>
      </c>
      <c r="C3673" s="39" t="n">
        <v>45887</v>
      </c>
      <c r="D3673" s="7" t="s">
        <v>242</v>
      </c>
      <c r="E3673" s="7" t="s">
        <v>180</v>
      </c>
      <c r="F3673" s="6" t="n">
        <v>8.882</v>
      </c>
      <c r="G3673" s="6" t="n">
        <v>2.118</v>
      </c>
      <c r="H3673" s="41" t="n">
        <v>17.99</v>
      </c>
      <c r="I3673" s="43" t="n">
        <f aca="false">F3673*H3673</f>
        <v>159.78718</v>
      </c>
      <c r="J3673" s="43" t="n">
        <f aca="false">G3673*H3673*1.5</f>
        <v>57.15423</v>
      </c>
      <c r="K3673" s="6" t="n">
        <v>32.2</v>
      </c>
      <c r="L3673" s="43" t="n">
        <f aca="false">K3673*'Chart of Accounts'!$E$68</f>
        <v>21.574</v>
      </c>
      <c r="O3673" s="42" t="n">
        <f aca="false">I3673+J3673+L3673</f>
        <v>238.51541</v>
      </c>
    </row>
    <row r="3674" customFormat="false" ht="15" hidden="false" customHeight="false" outlineLevel="0" collapsed="false">
      <c r="B3674" s="7" t="s">
        <v>12307</v>
      </c>
      <c r="C3674" s="39" t="n">
        <v>45887</v>
      </c>
      <c r="D3674" s="7" t="s">
        <v>222</v>
      </c>
      <c r="E3674" s="7" t="s">
        <v>180</v>
      </c>
      <c r="F3674" s="6" t="n">
        <v>7.41</v>
      </c>
      <c r="G3674" s="6" t="n">
        <v>0</v>
      </c>
      <c r="H3674" s="41" t="n">
        <v>17.84</v>
      </c>
      <c r="I3674" s="43" t="n">
        <f aca="false">F3674*H3674</f>
        <v>132.1944</v>
      </c>
      <c r="J3674" s="43" t="n">
        <f aca="false">G3674*H3674*1.5</f>
        <v>0</v>
      </c>
      <c r="K3674" s="6" t="n">
        <v>24.29</v>
      </c>
      <c r="L3674" s="43" t="n">
        <f aca="false">K3674*'Chart of Accounts'!$E$68</f>
        <v>16.2743</v>
      </c>
      <c r="O3674" s="42" t="n">
        <f aca="false">I3674+J3674+L3674</f>
        <v>148.4687</v>
      </c>
    </row>
    <row r="3675" customFormat="false" ht="15" hidden="false" customHeight="false" outlineLevel="0" collapsed="false">
      <c r="B3675" s="7" t="s">
        <v>12308</v>
      </c>
      <c r="C3675" s="39" t="n">
        <v>45887</v>
      </c>
      <c r="D3675" s="7" t="s">
        <v>238</v>
      </c>
      <c r="E3675" s="7" t="s">
        <v>180</v>
      </c>
      <c r="F3675" s="6" t="n">
        <v>8.3</v>
      </c>
      <c r="G3675" s="6" t="n">
        <v>0</v>
      </c>
      <c r="H3675" s="41" t="n">
        <v>15.85</v>
      </c>
      <c r="I3675" s="43" t="n">
        <f aca="false">F3675*H3675</f>
        <v>131.555</v>
      </c>
      <c r="J3675" s="43" t="n">
        <f aca="false">G3675*H3675*1.5</f>
        <v>0</v>
      </c>
      <c r="K3675" s="6" t="n">
        <v>22.27</v>
      </c>
      <c r="L3675" s="43" t="n">
        <f aca="false">K3675*'Chart of Accounts'!$E$68</f>
        <v>14.9209</v>
      </c>
      <c r="O3675" s="42" t="n">
        <f aca="false">I3675+J3675+L3675</f>
        <v>146.4759</v>
      </c>
    </row>
    <row r="3676" customFormat="false" ht="15" hidden="false" customHeight="false" outlineLevel="0" collapsed="false">
      <c r="B3676" s="7" t="s">
        <v>12309</v>
      </c>
      <c r="C3676" s="39" t="n">
        <v>45887</v>
      </c>
      <c r="D3676" s="7" t="s">
        <v>254</v>
      </c>
      <c r="E3676" s="7" t="s">
        <v>180</v>
      </c>
      <c r="F3676" s="6" t="n">
        <v>6.96</v>
      </c>
      <c r="G3676" s="6" t="n">
        <v>0</v>
      </c>
      <c r="H3676" s="41" t="n">
        <v>17.1</v>
      </c>
      <c r="I3676" s="43" t="n">
        <f aca="false">F3676*H3676</f>
        <v>119.016</v>
      </c>
      <c r="J3676" s="43" t="n">
        <f aca="false">G3676*H3676*1.5</f>
        <v>0</v>
      </c>
      <c r="K3676" s="6" t="n">
        <v>23.36</v>
      </c>
      <c r="L3676" s="43" t="n">
        <f aca="false">K3676*'Chart of Accounts'!$E$68</f>
        <v>15.6512</v>
      </c>
      <c r="O3676" s="42" t="n">
        <f aca="false">I3676+J3676+L3676</f>
        <v>134.6672</v>
      </c>
    </row>
    <row r="3677" customFormat="false" ht="15" hidden="false" customHeight="false" outlineLevel="0" collapsed="false">
      <c r="B3677" s="7" t="s">
        <v>12310</v>
      </c>
      <c r="C3677" s="39" t="n">
        <v>45887</v>
      </c>
      <c r="D3677" s="7" t="s">
        <v>246</v>
      </c>
      <c r="E3677" s="7" t="s">
        <v>180</v>
      </c>
      <c r="F3677" s="6" t="n">
        <v>8.6</v>
      </c>
      <c r="G3677" s="6" t="n">
        <v>0</v>
      </c>
      <c r="H3677" s="41" t="n">
        <v>16.48</v>
      </c>
      <c r="I3677" s="43" t="n">
        <f aca="false">F3677*H3677</f>
        <v>141.728</v>
      </c>
      <c r="J3677" s="43" t="n">
        <f aca="false">G3677*H3677*1.5</f>
        <v>0</v>
      </c>
      <c r="K3677" s="6" t="n">
        <v>24.89</v>
      </c>
      <c r="L3677" s="43" t="n">
        <f aca="false">K3677*'Chart of Accounts'!$E$68</f>
        <v>16.6763</v>
      </c>
      <c r="O3677" s="42" t="n">
        <f aca="false">I3677+J3677+L3677</f>
        <v>158.4043</v>
      </c>
    </row>
    <row r="3678" customFormat="false" ht="15" hidden="false" customHeight="false" outlineLevel="0" collapsed="false">
      <c r="B3678" s="7" t="s">
        <v>12311</v>
      </c>
      <c r="C3678" s="39" t="n">
        <v>45887</v>
      </c>
      <c r="D3678" s="7" t="s">
        <v>244</v>
      </c>
      <c r="E3678" s="7" t="s">
        <v>180</v>
      </c>
      <c r="F3678" s="6" t="n">
        <v>3.15</v>
      </c>
      <c r="G3678" s="6" t="n">
        <v>0</v>
      </c>
      <c r="H3678" s="41" t="n">
        <v>16.39</v>
      </c>
      <c r="I3678" s="43" t="n">
        <f aca="false">F3678*H3678</f>
        <v>51.6285</v>
      </c>
      <c r="J3678" s="43" t="n">
        <f aca="false">G3678*H3678*1.5</f>
        <v>0</v>
      </c>
      <c r="K3678" s="6" t="n">
        <v>8.46</v>
      </c>
      <c r="L3678" s="43" t="n">
        <f aca="false">K3678*'Chart of Accounts'!$E$68</f>
        <v>5.6682</v>
      </c>
      <c r="O3678" s="42" t="n">
        <f aca="false">I3678+J3678+L3678</f>
        <v>57.2967</v>
      </c>
    </row>
    <row r="3679" customFormat="false" ht="15" hidden="false" customHeight="false" outlineLevel="0" collapsed="false">
      <c r="B3679" s="7" t="s">
        <v>12312</v>
      </c>
      <c r="C3679" s="39" t="n">
        <v>45888</v>
      </c>
      <c r="D3679" s="7" t="s">
        <v>184</v>
      </c>
      <c r="E3679" s="7" t="s">
        <v>180</v>
      </c>
      <c r="F3679" s="6" t="n">
        <v>7.41</v>
      </c>
      <c r="G3679" s="6" t="n">
        <v>0</v>
      </c>
      <c r="H3679" s="41" t="n">
        <v>17.34</v>
      </c>
      <c r="I3679" s="43" t="n">
        <f aca="false">F3679*H3679</f>
        <v>128.4894</v>
      </c>
      <c r="J3679" s="43" t="n">
        <f aca="false">G3679*H3679*1.5</f>
        <v>0</v>
      </c>
      <c r="K3679" s="6" t="n">
        <v>23.6</v>
      </c>
      <c r="L3679" s="43" t="n">
        <f aca="false">K3679*'Chart of Accounts'!$E$68</f>
        <v>15.812</v>
      </c>
      <c r="O3679" s="42" t="n">
        <f aca="false">I3679+J3679+L3679</f>
        <v>144.3014</v>
      </c>
    </row>
    <row r="3680" customFormat="false" ht="15" hidden="false" customHeight="false" outlineLevel="0" collapsed="false">
      <c r="B3680" s="7" t="s">
        <v>12313</v>
      </c>
      <c r="C3680" s="39" t="n">
        <v>45888</v>
      </c>
      <c r="D3680" s="7" t="s">
        <v>209</v>
      </c>
      <c r="E3680" s="7" t="s">
        <v>158</v>
      </c>
      <c r="H3680" s="41" t="n">
        <v>73.58</v>
      </c>
      <c r="M3680" s="6" t="n">
        <v>2</v>
      </c>
      <c r="N3680" s="43" t="n">
        <f aca="false">M3680*H3680</f>
        <v>147.16</v>
      </c>
      <c r="O3680" s="42" t="n">
        <f aca="false">N3680</f>
        <v>147.16</v>
      </c>
    </row>
    <row r="3681" customFormat="false" ht="15" hidden="false" customHeight="false" outlineLevel="0" collapsed="false">
      <c r="B3681" s="7" t="s">
        <v>12314</v>
      </c>
      <c r="C3681" s="39" t="n">
        <v>45888</v>
      </c>
      <c r="D3681" s="7" t="s">
        <v>234</v>
      </c>
      <c r="E3681" s="7" t="s">
        <v>158</v>
      </c>
      <c r="H3681" s="41" t="n">
        <v>89.53</v>
      </c>
      <c r="M3681" s="6" t="n">
        <v>2</v>
      </c>
      <c r="N3681" s="43" t="n">
        <f aca="false">M3681*H3681</f>
        <v>179.06</v>
      </c>
      <c r="O3681" s="42" t="n">
        <f aca="false">N3681</f>
        <v>179.06</v>
      </c>
    </row>
    <row r="3682" customFormat="false" ht="15" hidden="false" customHeight="false" outlineLevel="0" collapsed="false">
      <c r="B3682" s="7" t="s">
        <v>12315</v>
      </c>
      <c r="C3682" s="39" t="n">
        <v>45888</v>
      </c>
      <c r="D3682" s="7" t="s">
        <v>218</v>
      </c>
      <c r="E3682" s="7" t="s">
        <v>180</v>
      </c>
      <c r="F3682" s="6" t="n">
        <v>3.68</v>
      </c>
      <c r="G3682" s="6" t="n">
        <v>0</v>
      </c>
      <c r="H3682" s="41" t="n">
        <v>16.19</v>
      </c>
      <c r="I3682" s="43" t="n">
        <f aca="false">F3682*H3682</f>
        <v>59.5792</v>
      </c>
      <c r="J3682" s="43" t="n">
        <f aca="false">G3682*H3682*1.5</f>
        <v>0</v>
      </c>
      <c r="K3682" s="6" t="n">
        <v>9.94</v>
      </c>
      <c r="L3682" s="43" t="n">
        <f aca="false">K3682*'Chart of Accounts'!$E$68</f>
        <v>6.6598</v>
      </c>
      <c r="O3682" s="42" t="n">
        <f aca="false">I3682+J3682+L3682</f>
        <v>66.239</v>
      </c>
    </row>
    <row r="3683" customFormat="false" ht="15" hidden="false" customHeight="false" outlineLevel="0" collapsed="false">
      <c r="B3683" s="7" t="s">
        <v>12316</v>
      </c>
      <c r="C3683" s="39" t="n">
        <v>45888</v>
      </c>
      <c r="D3683" s="7" t="s">
        <v>266</v>
      </c>
      <c r="E3683" s="7" t="s">
        <v>158</v>
      </c>
      <c r="H3683" s="41" t="n">
        <v>75.18</v>
      </c>
      <c r="M3683" s="6" t="n">
        <v>1</v>
      </c>
      <c r="N3683" s="43" t="n">
        <f aca="false">M3683*H3683</f>
        <v>75.18</v>
      </c>
      <c r="O3683" s="42" t="n">
        <f aca="false">N3683</f>
        <v>75.18</v>
      </c>
    </row>
    <row r="3684" customFormat="false" ht="15" hidden="false" customHeight="false" outlineLevel="0" collapsed="false">
      <c r="B3684" s="7" t="s">
        <v>12317</v>
      </c>
      <c r="C3684" s="39" t="n">
        <v>45888</v>
      </c>
      <c r="D3684" s="7" t="s">
        <v>228</v>
      </c>
      <c r="E3684" s="7" t="s">
        <v>158</v>
      </c>
      <c r="H3684" s="41" t="n">
        <v>51.07</v>
      </c>
      <c r="M3684" s="6" t="n">
        <v>1</v>
      </c>
      <c r="N3684" s="43" t="n">
        <f aca="false">M3684*H3684</f>
        <v>51.07</v>
      </c>
      <c r="O3684" s="42" t="n">
        <f aca="false">N3684</f>
        <v>51.07</v>
      </c>
    </row>
    <row r="3685" customFormat="false" ht="15" hidden="false" customHeight="false" outlineLevel="0" collapsed="false">
      <c r="B3685" s="7" t="s">
        <v>12318</v>
      </c>
      <c r="C3685" s="39" t="n">
        <v>45888</v>
      </c>
      <c r="D3685" s="7" t="s">
        <v>220</v>
      </c>
      <c r="E3685" s="7" t="s">
        <v>180</v>
      </c>
      <c r="F3685" s="6" t="n">
        <v>3.61</v>
      </c>
      <c r="G3685" s="6" t="n">
        <v>0</v>
      </c>
      <c r="H3685" s="41" t="n">
        <v>16.43</v>
      </c>
      <c r="I3685" s="43" t="n">
        <f aca="false">F3685*H3685</f>
        <v>59.3123</v>
      </c>
      <c r="J3685" s="43" t="n">
        <f aca="false">G3685*H3685*1.5</f>
        <v>0</v>
      </c>
      <c r="K3685" s="6" t="n">
        <v>12.29</v>
      </c>
      <c r="L3685" s="43" t="n">
        <f aca="false">K3685*'Chart of Accounts'!$E$68</f>
        <v>8.2343</v>
      </c>
      <c r="O3685" s="42" t="n">
        <f aca="false">I3685+J3685+L3685</f>
        <v>67.5466</v>
      </c>
    </row>
    <row r="3686" customFormat="false" ht="15" hidden="false" customHeight="false" outlineLevel="0" collapsed="false">
      <c r="B3686" s="7" t="s">
        <v>12319</v>
      </c>
      <c r="C3686" s="39" t="n">
        <v>45888</v>
      </c>
      <c r="D3686" s="7" t="s">
        <v>246</v>
      </c>
      <c r="E3686" s="7" t="s">
        <v>180</v>
      </c>
      <c r="F3686" s="6" t="n">
        <v>8.14</v>
      </c>
      <c r="G3686" s="6" t="n">
        <v>0</v>
      </c>
      <c r="H3686" s="41" t="n">
        <v>16.48</v>
      </c>
      <c r="I3686" s="43" t="n">
        <f aca="false">F3686*H3686</f>
        <v>134.1472</v>
      </c>
      <c r="J3686" s="43" t="n">
        <f aca="false">G3686*H3686*1.5</f>
        <v>0</v>
      </c>
      <c r="K3686" s="6" t="n">
        <v>23.14</v>
      </c>
      <c r="L3686" s="43" t="n">
        <f aca="false">K3686*'Chart of Accounts'!$E$68</f>
        <v>15.5038</v>
      </c>
      <c r="O3686" s="42" t="n">
        <f aca="false">I3686+J3686+L3686</f>
        <v>149.651</v>
      </c>
    </row>
    <row r="3687" customFormat="false" ht="15" hidden="false" customHeight="false" outlineLevel="0" collapsed="false">
      <c r="B3687" s="7" t="s">
        <v>12320</v>
      </c>
      <c r="C3687" s="39" t="n">
        <v>45888</v>
      </c>
      <c r="D3687" s="7" t="s">
        <v>194</v>
      </c>
      <c r="E3687" s="7" t="s">
        <v>180</v>
      </c>
      <c r="F3687" s="6" t="n">
        <v>4.38</v>
      </c>
      <c r="G3687" s="6" t="n">
        <v>0</v>
      </c>
      <c r="H3687" s="41" t="n">
        <v>16</v>
      </c>
      <c r="I3687" s="43" t="n">
        <f aca="false">F3687*H3687</f>
        <v>70.08</v>
      </c>
      <c r="J3687" s="43" t="n">
        <f aca="false">G3687*H3687*1.5</f>
        <v>0</v>
      </c>
      <c r="K3687" s="6" t="n">
        <v>11.02</v>
      </c>
      <c r="L3687" s="43" t="n">
        <f aca="false">K3687*'Chart of Accounts'!$E$68</f>
        <v>7.3834</v>
      </c>
      <c r="O3687" s="42" t="n">
        <f aca="false">I3687+J3687+L3687</f>
        <v>77.4634</v>
      </c>
    </row>
    <row r="3688" customFormat="false" ht="15" hidden="false" customHeight="false" outlineLevel="0" collapsed="false">
      <c r="B3688" s="7" t="s">
        <v>12321</v>
      </c>
      <c r="C3688" s="39" t="n">
        <v>45888</v>
      </c>
      <c r="D3688" s="7" t="s">
        <v>258</v>
      </c>
      <c r="E3688" s="7" t="s">
        <v>158</v>
      </c>
      <c r="H3688" s="41" t="n">
        <v>61.61</v>
      </c>
      <c r="M3688" s="6" t="n">
        <v>1</v>
      </c>
      <c r="N3688" s="43" t="n">
        <f aca="false">M3688*H3688</f>
        <v>61.61</v>
      </c>
      <c r="O3688" s="42" t="n">
        <f aca="false">N3688</f>
        <v>61.61</v>
      </c>
    </row>
    <row r="3689" customFormat="false" ht="15" hidden="false" customHeight="false" outlineLevel="0" collapsed="false">
      <c r="B3689" s="7" t="s">
        <v>12322</v>
      </c>
      <c r="C3689" s="39" t="n">
        <v>45888</v>
      </c>
      <c r="D3689" s="7" t="s">
        <v>230</v>
      </c>
      <c r="E3689" s="7" t="s">
        <v>158</v>
      </c>
      <c r="H3689" s="41" t="n">
        <v>48.78</v>
      </c>
      <c r="M3689" s="6" t="n">
        <v>1</v>
      </c>
      <c r="N3689" s="43" t="n">
        <f aca="false">M3689*H3689</f>
        <v>48.78</v>
      </c>
      <c r="O3689" s="42" t="n">
        <f aca="false">N3689</f>
        <v>48.78</v>
      </c>
    </row>
    <row r="3690" customFormat="false" ht="15" hidden="false" customHeight="false" outlineLevel="0" collapsed="false">
      <c r="B3690" s="7" t="s">
        <v>12323</v>
      </c>
      <c r="C3690" s="39" t="n">
        <v>45888</v>
      </c>
      <c r="D3690" s="7" t="s">
        <v>196</v>
      </c>
      <c r="E3690" s="7" t="s">
        <v>180</v>
      </c>
      <c r="F3690" s="6" t="n">
        <v>3.973</v>
      </c>
      <c r="G3690" s="6" t="n">
        <v>0.327</v>
      </c>
      <c r="H3690" s="41" t="n">
        <v>15.05</v>
      </c>
      <c r="I3690" s="43" t="n">
        <f aca="false">F3690*H3690</f>
        <v>59.79365</v>
      </c>
      <c r="J3690" s="43" t="n">
        <f aca="false">G3690*H3690*1.5</f>
        <v>7.382025</v>
      </c>
      <c r="K3690" s="6" t="n">
        <v>14.43</v>
      </c>
      <c r="L3690" s="43" t="n">
        <f aca="false">K3690*'Chart of Accounts'!$E$68</f>
        <v>9.6681</v>
      </c>
      <c r="O3690" s="42" t="n">
        <f aca="false">I3690+J3690+L3690</f>
        <v>76.843775</v>
      </c>
    </row>
    <row r="3691" customFormat="false" ht="15" hidden="false" customHeight="false" outlineLevel="0" collapsed="false">
      <c r="B3691" s="7" t="s">
        <v>12324</v>
      </c>
      <c r="C3691" s="39" t="n">
        <v>45888</v>
      </c>
      <c r="D3691" s="7" t="s">
        <v>222</v>
      </c>
      <c r="E3691" s="7" t="s">
        <v>180</v>
      </c>
      <c r="F3691" s="6" t="n">
        <v>3.78</v>
      </c>
      <c r="G3691" s="6" t="n">
        <v>0</v>
      </c>
      <c r="H3691" s="41" t="n">
        <v>17.84</v>
      </c>
      <c r="I3691" s="43" t="n">
        <f aca="false">F3691*H3691</f>
        <v>67.4352</v>
      </c>
      <c r="J3691" s="43" t="n">
        <f aca="false">G3691*H3691*1.5</f>
        <v>0</v>
      </c>
      <c r="K3691" s="6" t="n">
        <v>12.32</v>
      </c>
      <c r="L3691" s="43" t="n">
        <f aca="false">K3691*'Chart of Accounts'!$E$68</f>
        <v>8.2544</v>
      </c>
      <c r="O3691" s="42" t="n">
        <f aca="false">I3691+J3691+L3691</f>
        <v>75.6896</v>
      </c>
    </row>
    <row r="3692" customFormat="false" ht="15" hidden="false" customHeight="false" outlineLevel="0" collapsed="false">
      <c r="B3692" s="7" t="s">
        <v>12325</v>
      </c>
      <c r="C3692" s="39" t="n">
        <v>45888</v>
      </c>
      <c r="D3692" s="7" t="s">
        <v>242</v>
      </c>
      <c r="E3692" s="7" t="s">
        <v>180</v>
      </c>
      <c r="F3692" s="6" t="n">
        <v>2.923</v>
      </c>
      <c r="G3692" s="6" t="n">
        <v>0.697</v>
      </c>
      <c r="H3692" s="41" t="n">
        <v>17.99</v>
      </c>
      <c r="I3692" s="43" t="n">
        <f aca="false">F3692*H3692</f>
        <v>52.58477</v>
      </c>
      <c r="J3692" s="43" t="n">
        <f aca="false">G3692*H3692*1.5</f>
        <v>18.808545</v>
      </c>
      <c r="K3692" s="6" t="n">
        <v>9.02</v>
      </c>
      <c r="L3692" s="43" t="n">
        <f aca="false">K3692*'Chart of Accounts'!$E$68</f>
        <v>6.0434</v>
      </c>
      <c r="O3692" s="42" t="n">
        <f aca="false">I3692+J3692+L3692</f>
        <v>77.436715</v>
      </c>
    </row>
    <row r="3693" customFormat="false" ht="15" hidden="false" customHeight="false" outlineLevel="0" collapsed="false">
      <c r="B3693" s="7" t="s">
        <v>12326</v>
      </c>
      <c r="C3693" s="39" t="n">
        <v>45888</v>
      </c>
      <c r="D3693" s="7" t="s">
        <v>203</v>
      </c>
      <c r="E3693" s="7" t="s">
        <v>158</v>
      </c>
      <c r="H3693" s="41" t="n">
        <v>49.43</v>
      </c>
      <c r="M3693" s="6" t="n">
        <v>1</v>
      </c>
      <c r="N3693" s="43" t="n">
        <f aca="false">M3693*H3693</f>
        <v>49.43</v>
      </c>
      <c r="O3693" s="42" t="n">
        <f aca="false">N3693</f>
        <v>49.43</v>
      </c>
    </row>
    <row r="3694" customFormat="false" ht="15" hidden="false" customHeight="false" outlineLevel="0" collapsed="false">
      <c r="B3694" s="7" t="s">
        <v>12327</v>
      </c>
      <c r="C3694" s="39" t="n">
        <v>45888</v>
      </c>
      <c r="D3694" s="7" t="s">
        <v>254</v>
      </c>
      <c r="E3694" s="7" t="s">
        <v>180</v>
      </c>
      <c r="F3694" s="6" t="n">
        <v>4.4</v>
      </c>
      <c r="G3694" s="6" t="n">
        <v>0</v>
      </c>
      <c r="H3694" s="41" t="n">
        <v>17.1</v>
      </c>
      <c r="I3694" s="43" t="n">
        <f aca="false">F3694*H3694</f>
        <v>75.24</v>
      </c>
      <c r="J3694" s="43" t="n">
        <f aca="false">G3694*H3694*1.5</f>
        <v>0</v>
      </c>
      <c r="K3694" s="6" t="n">
        <v>12.11</v>
      </c>
      <c r="L3694" s="43" t="n">
        <f aca="false">K3694*'Chart of Accounts'!$E$68</f>
        <v>8.1137</v>
      </c>
      <c r="O3694" s="42" t="n">
        <f aca="false">I3694+J3694+L3694</f>
        <v>83.3537</v>
      </c>
    </row>
    <row r="3695" customFormat="false" ht="15" hidden="false" customHeight="false" outlineLevel="0" collapsed="false">
      <c r="B3695" s="7" t="s">
        <v>12328</v>
      </c>
      <c r="C3695" s="39" t="n">
        <v>45888</v>
      </c>
      <c r="D3695" s="7" t="s">
        <v>260</v>
      </c>
      <c r="E3695" s="7" t="s">
        <v>158</v>
      </c>
      <c r="H3695" s="41" t="n">
        <v>79.8</v>
      </c>
      <c r="M3695" s="6" t="n">
        <v>1</v>
      </c>
      <c r="N3695" s="43" t="n">
        <f aca="false">M3695*H3695</f>
        <v>79.8</v>
      </c>
      <c r="O3695" s="42" t="n">
        <f aca="false">N3695</f>
        <v>79.8</v>
      </c>
    </row>
    <row r="3696" customFormat="false" ht="15" hidden="false" customHeight="false" outlineLevel="0" collapsed="false">
      <c r="B3696" s="7" t="s">
        <v>12329</v>
      </c>
      <c r="C3696" s="39" t="n">
        <v>45889</v>
      </c>
      <c r="D3696" s="7" t="s">
        <v>187</v>
      </c>
      <c r="E3696" s="7" t="s">
        <v>158</v>
      </c>
      <c r="H3696" s="41" t="n">
        <v>66.48</v>
      </c>
      <c r="M3696" s="6" t="n">
        <v>1</v>
      </c>
      <c r="N3696" s="43" t="n">
        <f aca="false">M3696*H3696</f>
        <v>66.48</v>
      </c>
      <c r="O3696" s="42" t="n">
        <f aca="false">N3696</f>
        <v>66.48</v>
      </c>
    </row>
    <row r="3697" customFormat="false" ht="15" hidden="false" customHeight="false" outlineLevel="0" collapsed="false">
      <c r="B3697" s="7" t="s">
        <v>12330</v>
      </c>
      <c r="C3697" s="39" t="n">
        <v>45889</v>
      </c>
      <c r="D3697" s="7" t="s">
        <v>177</v>
      </c>
      <c r="E3697" s="7" t="s">
        <v>180</v>
      </c>
      <c r="F3697" s="6" t="n">
        <v>12.76</v>
      </c>
      <c r="G3697" s="6" t="n">
        <v>0</v>
      </c>
      <c r="H3697" s="41" t="n">
        <v>14.56</v>
      </c>
      <c r="I3697" s="43" t="n">
        <f aca="false">F3697*H3697</f>
        <v>185.7856</v>
      </c>
      <c r="J3697" s="43" t="n">
        <f aca="false">G3697*H3697*1.5</f>
        <v>0</v>
      </c>
      <c r="K3697" s="6" t="n">
        <v>42.99</v>
      </c>
      <c r="L3697" s="43" t="n">
        <f aca="false">K3697*'Chart of Accounts'!$E$68</f>
        <v>28.8033</v>
      </c>
      <c r="O3697" s="42" t="n">
        <f aca="false">I3697+J3697+L3697</f>
        <v>214.5889</v>
      </c>
    </row>
    <row r="3698" customFormat="false" ht="15" hidden="false" customHeight="false" outlineLevel="0" collapsed="false">
      <c r="B3698" s="7" t="s">
        <v>12331</v>
      </c>
      <c r="C3698" s="39" t="n">
        <v>45889</v>
      </c>
      <c r="D3698" s="7" t="s">
        <v>194</v>
      </c>
      <c r="E3698" s="7" t="s">
        <v>180</v>
      </c>
      <c r="F3698" s="6" t="n">
        <v>8.17</v>
      </c>
      <c r="G3698" s="6" t="n">
        <v>0</v>
      </c>
      <c r="H3698" s="41" t="n">
        <v>16</v>
      </c>
      <c r="I3698" s="43" t="n">
        <f aca="false">F3698*H3698</f>
        <v>130.72</v>
      </c>
      <c r="J3698" s="43" t="n">
        <f aca="false">G3698*H3698*1.5</f>
        <v>0</v>
      </c>
      <c r="K3698" s="6" t="n">
        <v>25.55</v>
      </c>
      <c r="L3698" s="43" t="n">
        <f aca="false">K3698*'Chart of Accounts'!$E$68</f>
        <v>17.1185</v>
      </c>
      <c r="O3698" s="42" t="n">
        <f aca="false">I3698+J3698+L3698</f>
        <v>147.8385</v>
      </c>
    </row>
    <row r="3699" customFormat="false" ht="15" hidden="false" customHeight="false" outlineLevel="0" collapsed="false">
      <c r="B3699" s="7" t="s">
        <v>12332</v>
      </c>
      <c r="C3699" s="39" t="n">
        <v>45889</v>
      </c>
      <c r="D3699" s="7" t="s">
        <v>214</v>
      </c>
      <c r="E3699" s="7" t="s">
        <v>180</v>
      </c>
      <c r="F3699" s="6" t="n">
        <v>7.26</v>
      </c>
      <c r="G3699" s="6" t="n">
        <v>0</v>
      </c>
      <c r="H3699" s="41" t="n">
        <v>15.67</v>
      </c>
      <c r="I3699" s="43" t="n">
        <f aca="false">F3699*H3699</f>
        <v>113.7642</v>
      </c>
      <c r="J3699" s="43" t="n">
        <f aca="false">G3699*H3699*1.5</f>
        <v>0</v>
      </c>
      <c r="K3699" s="6" t="n">
        <v>25.73</v>
      </c>
      <c r="L3699" s="43" t="n">
        <f aca="false">K3699*'Chart of Accounts'!$E$68</f>
        <v>17.2391</v>
      </c>
      <c r="O3699" s="42" t="n">
        <f aca="false">I3699+J3699+L3699</f>
        <v>131.0033</v>
      </c>
    </row>
    <row r="3700" customFormat="false" ht="15" hidden="false" customHeight="false" outlineLevel="0" collapsed="false">
      <c r="B3700" s="7" t="s">
        <v>12333</v>
      </c>
      <c r="C3700" s="39" t="n">
        <v>45889</v>
      </c>
      <c r="D3700" s="7" t="s">
        <v>205</v>
      </c>
      <c r="E3700" s="7" t="s">
        <v>180</v>
      </c>
      <c r="F3700" s="6" t="n">
        <v>3.67</v>
      </c>
      <c r="G3700" s="6" t="n">
        <v>0</v>
      </c>
      <c r="H3700" s="41" t="n">
        <v>16.36</v>
      </c>
      <c r="I3700" s="43" t="n">
        <f aca="false">F3700*H3700</f>
        <v>60.0412</v>
      </c>
      <c r="J3700" s="43" t="n">
        <f aca="false">G3700*H3700*1.5</f>
        <v>0</v>
      </c>
      <c r="K3700" s="6" t="n">
        <v>10.66</v>
      </c>
      <c r="L3700" s="43" t="n">
        <f aca="false">K3700*'Chart of Accounts'!$E$68</f>
        <v>7.1422</v>
      </c>
      <c r="O3700" s="42" t="n">
        <f aca="false">I3700+J3700+L3700</f>
        <v>67.1834</v>
      </c>
    </row>
    <row r="3701" customFormat="false" ht="15" hidden="false" customHeight="false" outlineLevel="0" collapsed="false">
      <c r="B3701" s="7" t="s">
        <v>12334</v>
      </c>
      <c r="C3701" s="39" t="n">
        <v>45889</v>
      </c>
      <c r="D3701" s="7" t="s">
        <v>264</v>
      </c>
      <c r="E3701" s="7" t="s">
        <v>158</v>
      </c>
      <c r="H3701" s="41" t="n">
        <v>55.55</v>
      </c>
      <c r="M3701" s="6" t="n">
        <v>1</v>
      </c>
      <c r="N3701" s="43" t="n">
        <f aca="false">M3701*H3701</f>
        <v>55.55</v>
      </c>
      <c r="O3701" s="42" t="n">
        <f aca="false">N3701</f>
        <v>55.55</v>
      </c>
    </row>
    <row r="3702" customFormat="false" ht="15" hidden="false" customHeight="false" outlineLevel="0" collapsed="false">
      <c r="B3702" s="7" t="s">
        <v>12335</v>
      </c>
      <c r="C3702" s="39" t="n">
        <v>45889</v>
      </c>
      <c r="D3702" s="7" t="s">
        <v>252</v>
      </c>
      <c r="E3702" s="7" t="s">
        <v>158</v>
      </c>
      <c r="H3702" s="41" t="n">
        <v>57.54</v>
      </c>
      <c r="M3702" s="6" t="n">
        <v>1</v>
      </c>
      <c r="N3702" s="43" t="n">
        <f aca="false">M3702*H3702</f>
        <v>57.54</v>
      </c>
      <c r="O3702" s="42" t="n">
        <f aca="false">N3702</f>
        <v>57.54</v>
      </c>
    </row>
    <row r="3703" customFormat="false" ht="15" hidden="false" customHeight="false" outlineLevel="0" collapsed="false">
      <c r="B3703" s="7" t="s">
        <v>12336</v>
      </c>
      <c r="C3703" s="39" t="n">
        <v>45889</v>
      </c>
      <c r="D3703" s="7" t="s">
        <v>184</v>
      </c>
      <c r="E3703" s="7" t="s">
        <v>180</v>
      </c>
      <c r="F3703" s="6" t="n">
        <v>8.16</v>
      </c>
      <c r="G3703" s="6" t="n">
        <v>0</v>
      </c>
      <c r="H3703" s="41" t="n">
        <v>17.34</v>
      </c>
      <c r="I3703" s="43" t="n">
        <f aca="false">F3703*H3703</f>
        <v>141.4944</v>
      </c>
      <c r="J3703" s="43" t="n">
        <f aca="false">G3703*H3703*1.5</f>
        <v>0</v>
      </c>
      <c r="K3703" s="6" t="n">
        <v>18.83</v>
      </c>
      <c r="L3703" s="43" t="n">
        <f aca="false">K3703*'Chart of Accounts'!$E$68</f>
        <v>12.6161</v>
      </c>
      <c r="O3703" s="42" t="n">
        <f aca="false">I3703+J3703+L3703</f>
        <v>154.1105</v>
      </c>
    </row>
    <row r="3704" customFormat="false" ht="15" hidden="false" customHeight="false" outlineLevel="0" collapsed="false">
      <c r="B3704" s="7" t="s">
        <v>12337</v>
      </c>
      <c r="C3704" s="39" t="n">
        <v>45889</v>
      </c>
      <c r="D3704" s="7" t="s">
        <v>216</v>
      </c>
      <c r="E3704" s="7" t="s">
        <v>158</v>
      </c>
      <c r="H3704" s="41" t="n">
        <v>61.79</v>
      </c>
      <c r="M3704" s="6" t="n">
        <v>1</v>
      </c>
      <c r="N3704" s="43" t="n">
        <f aca="false">M3704*H3704</f>
        <v>61.79</v>
      </c>
      <c r="O3704" s="42" t="n">
        <f aca="false">N3704</f>
        <v>61.79</v>
      </c>
    </row>
    <row r="3705" customFormat="false" ht="15" hidden="false" customHeight="false" outlineLevel="0" collapsed="false">
      <c r="B3705" s="7" t="s">
        <v>12338</v>
      </c>
      <c r="C3705" s="39" t="n">
        <v>45889</v>
      </c>
      <c r="D3705" s="7" t="s">
        <v>218</v>
      </c>
      <c r="E3705" s="7" t="s">
        <v>180</v>
      </c>
      <c r="F3705" s="6" t="n">
        <v>3.71</v>
      </c>
      <c r="G3705" s="6" t="n">
        <v>0</v>
      </c>
      <c r="H3705" s="41" t="n">
        <v>16.19</v>
      </c>
      <c r="I3705" s="43" t="n">
        <f aca="false">F3705*H3705</f>
        <v>60.0649</v>
      </c>
      <c r="J3705" s="43" t="n">
        <f aca="false">G3705*H3705*1.5</f>
        <v>0</v>
      </c>
      <c r="K3705" s="6" t="n">
        <v>11.55</v>
      </c>
      <c r="L3705" s="43" t="n">
        <f aca="false">K3705*'Chart of Accounts'!$E$68</f>
        <v>7.7385</v>
      </c>
      <c r="O3705" s="42" t="n">
        <f aca="false">I3705+J3705+L3705</f>
        <v>67.8034</v>
      </c>
    </row>
    <row r="3706" customFormat="false" ht="15" hidden="false" customHeight="false" outlineLevel="0" collapsed="false">
      <c r="B3706" s="7" t="s">
        <v>12339</v>
      </c>
      <c r="C3706" s="39" t="n">
        <v>45889</v>
      </c>
      <c r="D3706" s="7" t="s">
        <v>220</v>
      </c>
      <c r="E3706" s="7" t="s">
        <v>180</v>
      </c>
      <c r="F3706" s="6" t="n">
        <v>8.37</v>
      </c>
      <c r="G3706" s="6" t="n">
        <v>0</v>
      </c>
      <c r="H3706" s="41" t="n">
        <v>16.43</v>
      </c>
      <c r="I3706" s="43" t="n">
        <f aca="false">F3706*H3706</f>
        <v>137.5191</v>
      </c>
      <c r="J3706" s="43" t="n">
        <f aca="false">G3706*H3706*1.5</f>
        <v>0</v>
      </c>
      <c r="K3706" s="6" t="n">
        <v>28.41</v>
      </c>
      <c r="L3706" s="43" t="n">
        <f aca="false">K3706*'Chart of Accounts'!$E$68</f>
        <v>19.0347</v>
      </c>
      <c r="O3706" s="42" t="n">
        <f aca="false">I3706+J3706+L3706</f>
        <v>156.5538</v>
      </c>
    </row>
    <row r="3707" customFormat="false" ht="15" hidden="false" customHeight="false" outlineLevel="0" collapsed="false">
      <c r="B3707" s="7" t="s">
        <v>12340</v>
      </c>
      <c r="C3707" s="39" t="n">
        <v>45889</v>
      </c>
      <c r="D3707" s="7" t="s">
        <v>242</v>
      </c>
      <c r="E3707" s="7" t="s">
        <v>180</v>
      </c>
      <c r="F3707" s="6" t="n">
        <v>5.959</v>
      </c>
      <c r="G3707" s="6" t="n">
        <v>1.421</v>
      </c>
      <c r="H3707" s="41" t="n">
        <v>17.99</v>
      </c>
      <c r="I3707" s="43" t="n">
        <f aca="false">F3707*H3707</f>
        <v>107.20241</v>
      </c>
      <c r="J3707" s="43" t="n">
        <f aca="false">G3707*H3707*1.5</f>
        <v>38.345685</v>
      </c>
      <c r="K3707" s="6" t="n">
        <v>23.93</v>
      </c>
      <c r="L3707" s="43" t="n">
        <f aca="false">K3707*'Chart of Accounts'!$E$68</f>
        <v>16.0331</v>
      </c>
      <c r="O3707" s="42" t="n">
        <f aca="false">I3707+J3707+L3707</f>
        <v>161.581195</v>
      </c>
    </row>
    <row r="3708" customFormat="false" ht="15" hidden="false" customHeight="false" outlineLevel="0" collapsed="false">
      <c r="B3708" s="7" t="s">
        <v>12341</v>
      </c>
      <c r="C3708" s="39" t="n">
        <v>45889</v>
      </c>
      <c r="D3708" s="7" t="s">
        <v>238</v>
      </c>
      <c r="E3708" s="7" t="s">
        <v>180</v>
      </c>
      <c r="F3708" s="6" t="n">
        <v>9.02</v>
      </c>
      <c r="G3708" s="6" t="n">
        <v>0</v>
      </c>
      <c r="H3708" s="41" t="n">
        <v>15.85</v>
      </c>
      <c r="I3708" s="43" t="n">
        <f aca="false">F3708*H3708</f>
        <v>142.967</v>
      </c>
      <c r="J3708" s="43" t="n">
        <f aca="false">G3708*H3708*1.5</f>
        <v>0</v>
      </c>
      <c r="K3708" s="6" t="n">
        <v>29.56</v>
      </c>
      <c r="L3708" s="43" t="n">
        <f aca="false">K3708*'Chart of Accounts'!$E$68</f>
        <v>19.8052</v>
      </c>
      <c r="O3708" s="42" t="n">
        <f aca="false">I3708+J3708+L3708</f>
        <v>162.7722</v>
      </c>
    </row>
    <row r="3709" customFormat="false" ht="15" hidden="false" customHeight="false" outlineLevel="0" collapsed="false">
      <c r="B3709" s="7" t="s">
        <v>12342</v>
      </c>
      <c r="C3709" s="39" t="n">
        <v>45889</v>
      </c>
      <c r="D3709" s="7" t="s">
        <v>254</v>
      </c>
      <c r="E3709" s="7" t="s">
        <v>180</v>
      </c>
      <c r="F3709" s="6" t="n">
        <v>7.64</v>
      </c>
      <c r="G3709" s="6" t="n">
        <v>0</v>
      </c>
      <c r="H3709" s="41" t="n">
        <v>17.1</v>
      </c>
      <c r="I3709" s="43" t="n">
        <f aca="false">F3709*H3709</f>
        <v>130.644</v>
      </c>
      <c r="J3709" s="43" t="n">
        <f aca="false">G3709*H3709*1.5</f>
        <v>0</v>
      </c>
      <c r="K3709" s="6" t="n">
        <v>20.18</v>
      </c>
      <c r="L3709" s="43" t="n">
        <f aca="false">K3709*'Chart of Accounts'!$E$68</f>
        <v>13.5206</v>
      </c>
      <c r="O3709" s="42" t="n">
        <f aca="false">I3709+J3709+L3709</f>
        <v>144.1646</v>
      </c>
    </row>
    <row r="3710" customFormat="false" ht="15" hidden="false" customHeight="false" outlineLevel="0" collapsed="false">
      <c r="B3710" s="7" t="s">
        <v>12343</v>
      </c>
      <c r="C3710" s="39" t="n">
        <v>45889</v>
      </c>
      <c r="D3710" s="7" t="s">
        <v>201</v>
      </c>
      <c r="E3710" s="7" t="s">
        <v>180</v>
      </c>
      <c r="F3710" s="6" t="n">
        <v>3.63</v>
      </c>
      <c r="G3710" s="6" t="n">
        <v>0</v>
      </c>
      <c r="H3710" s="41" t="n">
        <v>15.19</v>
      </c>
      <c r="I3710" s="43" t="n">
        <f aca="false">F3710*H3710</f>
        <v>55.1397</v>
      </c>
      <c r="J3710" s="43" t="n">
        <f aca="false">G3710*H3710*1.5</f>
        <v>0</v>
      </c>
      <c r="K3710" s="6" t="n">
        <v>12.5</v>
      </c>
      <c r="L3710" s="43" t="n">
        <f aca="false">K3710*'Chart of Accounts'!$E$68</f>
        <v>8.375</v>
      </c>
      <c r="O3710" s="42" t="n">
        <f aca="false">I3710+J3710+L3710</f>
        <v>63.5147</v>
      </c>
    </row>
    <row r="3711" customFormat="false" ht="15" hidden="false" customHeight="false" outlineLevel="0" collapsed="false">
      <c r="B3711" s="7" t="s">
        <v>12344</v>
      </c>
      <c r="C3711" s="39" t="n">
        <v>45889</v>
      </c>
      <c r="D3711" s="7" t="s">
        <v>207</v>
      </c>
      <c r="E3711" s="7" t="s">
        <v>180</v>
      </c>
      <c r="F3711" s="6" t="n">
        <v>3.56</v>
      </c>
      <c r="G3711" s="6" t="n">
        <v>0</v>
      </c>
      <c r="H3711" s="41" t="n">
        <v>16.65</v>
      </c>
      <c r="I3711" s="43" t="n">
        <f aca="false">F3711*H3711</f>
        <v>59.274</v>
      </c>
      <c r="J3711" s="43" t="n">
        <f aca="false">G3711*H3711*1.5</f>
        <v>0</v>
      </c>
      <c r="K3711" s="6" t="n">
        <v>11.6</v>
      </c>
      <c r="L3711" s="43" t="n">
        <f aca="false">K3711*'Chart of Accounts'!$E$68</f>
        <v>7.772</v>
      </c>
      <c r="O3711" s="42" t="n">
        <f aca="false">I3711+J3711+L3711</f>
        <v>67.046</v>
      </c>
    </row>
    <row r="3712" customFormat="false" ht="15" hidden="false" customHeight="false" outlineLevel="0" collapsed="false">
      <c r="B3712" s="7" t="s">
        <v>12345</v>
      </c>
      <c r="C3712" s="39" t="n">
        <v>45889</v>
      </c>
      <c r="D3712" s="7" t="s">
        <v>232</v>
      </c>
      <c r="E3712" s="7" t="s">
        <v>180</v>
      </c>
      <c r="F3712" s="6" t="n">
        <v>4.77</v>
      </c>
      <c r="G3712" s="6" t="n">
        <v>0</v>
      </c>
      <c r="H3712" s="41" t="n">
        <v>16.17</v>
      </c>
      <c r="I3712" s="43" t="n">
        <f aca="false">F3712*H3712</f>
        <v>77.1309</v>
      </c>
      <c r="J3712" s="43" t="n">
        <f aca="false">G3712*H3712*1.5</f>
        <v>0</v>
      </c>
      <c r="K3712" s="6" t="n">
        <v>17.02</v>
      </c>
      <c r="L3712" s="43" t="n">
        <f aca="false">K3712*'Chart of Accounts'!$E$68</f>
        <v>11.4034</v>
      </c>
      <c r="O3712" s="42" t="n">
        <f aca="false">I3712+J3712+L3712</f>
        <v>88.5343</v>
      </c>
    </row>
    <row r="3713" customFormat="false" ht="15" hidden="false" customHeight="false" outlineLevel="0" collapsed="false">
      <c r="B3713" s="7" t="s">
        <v>12346</v>
      </c>
      <c r="C3713" s="39" t="n">
        <v>45889</v>
      </c>
      <c r="D3713" s="7" t="s">
        <v>224</v>
      </c>
      <c r="E3713" s="7" t="s">
        <v>180</v>
      </c>
      <c r="F3713" s="6" t="n">
        <v>4.28</v>
      </c>
      <c r="G3713" s="6" t="n">
        <v>0</v>
      </c>
      <c r="H3713" s="41" t="n">
        <v>14.93</v>
      </c>
      <c r="I3713" s="43" t="n">
        <f aca="false">F3713*H3713</f>
        <v>63.9004</v>
      </c>
      <c r="J3713" s="43" t="n">
        <f aca="false">G3713*H3713*1.5</f>
        <v>0</v>
      </c>
      <c r="K3713" s="6" t="n">
        <v>15.23</v>
      </c>
      <c r="L3713" s="43" t="n">
        <f aca="false">K3713*'Chart of Accounts'!$E$68</f>
        <v>10.2041</v>
      </c>
      <c r="O3713" s="42" t="n">
        <f aca="false">I3713+J3713+L3713</f>
        <v>74.1045</v>
      </c>
    </row>
    <row r="3714" customFormat="false" ht="15" hidden="false" customHeight="false" outlineLevel="0" collapsed="false">
      <c r="B3714" s="7" t="s">
        <v>12347</v>
      </c>
      <c r="C3714" s="39" t="n">
        <v>45889</v>
      </c>
      <c r="D3714" s="7" t="s">
        <v>196</v>
      </c>
      <c r="E3714" s="7" t="s">
        <v>180</v>
      </c>
      <c r="F3714" s="6" t="n">
        <v>3.354</v>
      </c>
      <c r="G3714" s="6" t="n">
        <v>0.276</v>
      </c>
      <c r="H3714" s="41" t="n">
        <v>15.05</v>
      </c>
      <c r="I3714" s="43" t="n">
        <f aca="false">F3714*H3714</f>
        <v>50.4777</v>
      </c>
      <c r="J3714" s="43" t="n">
        <f aca="false">G3714*H3714*1.5</f>
        <v>6.2307</v>
      </c>
      <c r="K3714" s="6" t="n">
        <v>12.83</v>
      </c>
      <c r="L3714" s="43" t="n">
        <f aca="false">K3714*'Chart of Accounts'!$E$68</f>
        <v>8.5961</v>
      </c>
      <c r="O3714" s="42" t="n">
        <f aca="false">I3714+J3714+L3714</f>
        <v>65.3045</v>
      </c>
    </row>
    <row r="3715" customFormat="false" ht="15" hidden="false" customHeight="false" outlineLevel="0" collapsed="false">
      <c r="B3715" s="7" t="s">
        <v>12348</v>
      </c>
      <c r="C3715" s="39" t="n">
        <v>45889</v>
      </c>
      <c r="D3715" s="7" t="s">
        <v>246</v>
      </c>
      <c r="E3715" s="7" t="s">
        <v>180</v>
      </c>
      <c r="F3715" s="6" t="n">
        <v>4.34</v>
      </c>
      <c r="G3715" s="6" t="n">
        <v>0</v>
      </c>
      <c r="H3715" s="41" t="n">
        <v>16.48</v>
      </c>
      <c r="I3715" s="43" t="n">
        <f aca="false">F3715*H3715</f>
        <v>71.5232</v>
      </c>
      <c r="J3715" s="43" t="n">
        <f aca="false">G3715*H3715*1.5</f>
        <v>0</v>
      </c>
      <c r="K3715" s="6" t="n">
        <v>14.16</v>
      </c>
      <c r="L3715" s="43" t="n">
        <f aca="false">K3715*'Chart of Accounts'!$E$68</f>
        <v>9.4872</v>
      </c>
      <c r="O3715" s="42" t="n">
        <f aca="false">I3715+J3715+L3715</f>
        <v>81.0104</v>
      </c>
    </row>
    <row r="3716" customFormat="false" ht="15" hidden="false" customHeight="false" outlineLevel="0" collapsed="false">
      <c r="B3716" s="7" t="s">
        <v>12349</v>
      </c>
      <c r="C3716" s="39" t="n">
        <v>45889</v>
      </c>
      <c r="D3716" s="7" t="s">
        <v>222</v>
      </c>
      <c r="E3716" s="7" t="s">
        <v>180</v>
      </c>
      <c r="F3716" s="6" t="n">
        <v>3.96</v>
      </c>
      <c r="G3716" s="6" t="n">
        <v>0</v>
      </c>
      <c r="H3716" s="41" t="n">
        <v>17.84</v>
      </c>
      <c r="I3716" s="43" t="n">
        <f aca="false">F3716*H3716</f>
        <v>70.6464</v>
      </c>
      <c r="J3716" s="43" t="n">
        <f aca="false">G3716*H3716*1.5</f>
        <v>0</v>
      </c>
      <c r="K3716" s="6" t="n">
        <v>11.89</v>
      </c>
      <c r="L3716" s="43" t="n">
        <f aca="false">K3716*'Chart of Accounts'!$E$68</f>
        <v>7.9663</v>
      </c>
      <c r="O3716" s="42" t="n">
        <f aca="false">I3716+J3716+L3716</f>
        <v>78.6127</v>
      </c>
    </row>
    <row r="3717" customFormat="false" ht="15" hidden="false" customHeight="false" outlineLevel="0" collapsed="false">
      <c r="B3717" s="7" t="s">
        <v>12350</v>
      </c>
      <c r="C3717" s="39" t="n">
        <v>45889</v>
      </c>
      <c r="D3717" s="7" t="s">
        <v>203</v>
      </c>
      <c r="E3717" s="7" t="s">
        <v>158</v>
      </c>
      <c r="H3717" s="41" t="n">
        <v>49.43</v>
      </c>
      <c r="M3717" s="6" t="n">
        <v>1</v>
      </c>
      <c r="N3717" s="43" t="n">
        <f aca="false">M3717*H3717</f>
        <v>49.43</v>
      </c>
      <c r="O3717" s="42" t="n">
        <f aca="false">N3717</f>
        <v>49.43</v>
      </c>
    </row>
    <row r="3718" customFormat="false" ht="15" hidden="false" customHeight="false" outlineLevel="0" collapsed="false">
      <c r="B3718" s="7" t="s">
        <v>12351</v>
      </c>
      <c r="C3718" s="39" t="n">
        <v>45889</v>
      </c>
      <c r="D3718" s="7" t="s">
        <v>240</v>
      </c>
      <c r="E3718" s="7" t="s">
        <v>180</v>
      </c>
      <c r="F3718" s="6" t="n">
        <v>3.41</v>
      </c>
      <c r="G3718" s="6" t="n">
        <v>0</v>
      </c>
      <c r="H3718" s="41" t="n">
        <v>16.96</v>
      </c>
      <c r="I3718" s="43" t="n">
        <f aca="false">F3718*H3718</f>
        <v>57.8336</v>
      </c>
      <c r="J3718" s="43" t="n">
        <f aca="false">G3718*H3718*1.5</f>
        <v>0</v>
      </c>
      <c r="K3718" s="6" t="n">
        <v>9.31</v>
      </c>
      <c r="L3718" s="43" t="n">
        <f aca="false">K3718*'Chart of Accounts'!$E$68</f>
        <v>6.2377</v>
      </c>
      <c r="O3718" s="42" t="n">
        <f aca="false">I3718+J3718+L3718</f>
        <v>64.0713</v>
      </c>
    </row>
    <row r="3719" customFormat="false" ht="15" hidden="false" customHeight="false" outlineLevel="0" collapsed="false">
      <c r="B3719" s="7" t="s">
        <v>12352</v>
      </c>
      <c r="C3719" s="39" t="n">
        <v>45890</v>
      </c>
      <c r="D3719" s="7" t="s">
        <v>246</v>
      </c>
      <c r="E3719" s="7" t="s">
        <v>180</v>
      </c>
      <c r="F3719" s="6" t="n">
        <v>12.34</v>
      </c>
      <c r="G3719" s="6" t="n">
        <v>0</v>
      </c>
      <c r="H3719" s="41" t="n">
        <v>16.48</v>
      </c>
      <c r="I3719" s="43" t="n">
        <f aca="false">F3719*H3719</f>
        <v>203.3632</v>
      </c>
      <c r="J3719" s="43" t="n">
        <f aca="false">G3719*H3719*1.5</f>
        <v>0</v>
      </c>
      <c r="K3719" s="6" t="n">
        <v>40.48</v>
      </c>
      <c r="L3719" s="43" t="n">
        <f aca="false">K3719*'Chart of Accounts'!$E$68</f>
        <v>27.1216</v>
      </c>
      <c r="O3719" s="42" t="n">
        <f aca="false">I3719+J3719+L3719</f>
        <v>230.4848</v>
      </c>
    </row>
    <row r="3720" customFormat="false" ht="15" hidden="false" customHeight="false" outlineLevel="0" collapsed="false">
      <c r="B3720" s="7" t="s">
        <v>12353</v>
      </c>
      <c r="C3720" s="39" t="n">
        <v>45890</v>
      </c>
      <c r="D3720" s="7" t="s">
        <v>201</v>
      </c>
      <c r="E3720" s="7" t="s">
        <v>180</v>
      </c>
      <c r="F3720" s="6" t="n">
        <v>6.09</v>
      </c>
      <c r="G3720" s="6" t="n">
        <v>0</v>
      </c>
      <c r="H3720" s="41" t="n">
        <v>15.19</v>
      </c>
      <c r="I3720" s="43" t="n">
        <f aca="false">F3720*H3720</f>
        <v>92.5071</v>
      </c>
      <c r="J3720" s="43" t="n">
        <f aca="false">G3720*H3720*1.5</f>
        <v>0</v>
      </c>
      <c r="K3720" s="6" t="n">
        <v>13.91</v>
      </c>
      <c r="L3720" s="43" t="n">
        <f aca="false">K3720*'Chart of Accounts'!$E$68</f>
        <v>9.3197</v>
      </c>
      <c r="O3720" s="42" t="n">
        <f aca="false">I3720+J3720+L3720</f>
        <v>101.8268</v>
      </c>
    </row>
    <row r="3721" customFormat="false" ht="15" hidden="false" customHeight="false" outlineLevel="0" collapsed="false">
      <c r="B3721" s="7" t="s">
        <v>12354</v>
      </c>
      <c r="C3721" s="39" t="n">
        <v>45890</v>
      </c>
      <c r="D3721" s="7" t="s">
        <v>196</v>
      </c>
      <c r="E3721" s="7" t="s">
        <v>180</v>
      </c>
      <c r="F3721" s="6" t="n">
        <v>9.425</v>
      </c>
      <c r="G3721" s="6" t="n">
        <v>0.775</v>
      </c>
      <c r="H3721" s="41" t="n">
        <v>15.05</v>
      </c>
      <c r="I3721" s="43" t="n">
        <f aca="false">F3721*H3721</f>
        <v>141.84625</v>
      </c>
      <c r="J3721" s="43" t="n">
        <f aca="false">G3721*H3721*1.5</f>
        <v>17.495625</v>
      </c>
      <c r="K3721" s="6" t="n">
        <v>28.14</v>
      </c>
      <c r="L3721" s="43" t="n">
        <f aca="false">K3721*'Chart of Accounts'!$E$68</f>
        <v>18.8538</v>
      </c>
      <c r="O3721" s="42" t="n">
        <f aca="false">I3721+J3721+L3721</f>
        <v>178.195675</v>
      </c>
    </row>
    <row r="3722" customFormat="false" ht="15" hidden="false" customHeight="false" outlineLevel="0" collapsed="false">
      <c r="B3722" s="7" t="s">
        <v>12355</v>
      </c>
      <c r="C3722" s="39" t="n">
        <v>45890</v>
      </c>
      <c r="D3722" s="7" t="s">
        <v>184</v>
      </c>
      <c r="E3722" s="7" t="s">
        <v>180</v>
      </c>
      <c r="F3722" s="6" t="n">
        <v>3.82</v>
      </c>
      <c r="G3722" s="6" t="n">
        <v>0</v>
      </c>
      <c r="H3722" s="41" t="n">
        <v>17.34</v>
      </c>
      <c r="I3722" s="43" t="n">
        <f aca="false">F3722*H3722</f>
        <v>66.2388</v>
      </c>
      <c r="J3722" s="43" t="n">
        <f aca="false">G3722*H3722*1.5</f>
        <v>0</v>
      </c>
      <c r="K3722" s="6" t="n">
        <v>10.87</v>
      </c>
      <c r="L3722" s="43" t="n">
        <f aca="false">K3722*'Chart of Accounts'!$E$68</f>
        <v>7.2829</v>
      </c>
      <c r="O3722" s="42" t="n">
        <f aca="false">I3722+J3722+L3722</f>
        <v>73.5217</v>
      </c>
    </row>
    <row r="3723" customFormat="false" ht="15" hidden="false" customHeight="false" outlineLevel="0" collapsed="false">
      <c r="B3723" s="7" t="s">
        <v>12356</v>
      </c>
      <c r="C3723" s="39" t="n">
        <v>45890</v>
      </c>
      <c r="D3723" s="7" t="s">
        <v>207</v>
      </c>
      <c r="E3723" s="7" t="s">
        <v>180</v>
      </c>
      <c r="F3723" s="6" t="n">
        <v>2.92</v>
      </c>
      <c r="G3723" s="6" t="n">
        <v>0</v>
      </c>
      <c r="H3723" s="41" t="n">
        <v>16.65</v>
      </c>
      <c r="I3723" s="43" t="n">
        <f aca="false">F3723*H3723</f>
        <v>48.618</v>
      </c>
      <c r="J3723" s="43" t="n">
        <f aca="false">G3723*H3723*1.5</f>
        <v>0</v>
      </c>
      <c r="K3723" s="6" t="n">
        <v>6.48</v>
      </c>
      <c r="L3723" s="43" t="n">
        <f aca="false">K3723*'Chart of Accounts'!$E$68</f>
        <v>4.3416</v>
      </c>
      <c r="O3723" s="42" t="n">
        <f aca="false">I3723+J3723+L3723</f>
        <v>52.9596</v>
      </c>
    </row>
    <row r="3724" customFormat="false" ht="15" hidden="false" customHeight="false" outlineLevel="0" collapsed="false">
      <c r="B3724" s="7" t="s">
        <v>12357</v>
      </c>
      <c r="C3724" s="39" t="n">
        <v>45890</v>
      </c>
      <c r="D3724" s="7" t="s">
        <v>218</v>
      </c>
      <c r="E3724" s="7" t="s">
        <v>180</v>
      </c>
      <c r="F3724" s="6" t="n">
        <v>6.82</v>
      </c>
      <c r="G3724" s="6" t="n">
        <v>0</v>
      </c>
      <c r="H3724" s="41" t="n">
        <v>16.19</v>
      </c>
      <c r="I3724" s="43" t="n">
        <f aca="false">F3724*H3724</f>
        <v>110.4158</v>
      </c>
      <c r="J3724" s="43" t="n">
        <f aca="false">G3724*H3724*1.5</f>
        <v>0</v>
      </c>
      <c r="K3724" s="6" t="n">
        <v>20.67</v>
      </c>
      <c r="L3724" s="43" t="n">
        <f aca="false">K3724*'Chart of Accounts'!$E$68</f>
        <v>13.8489</v>
      </c>
      <c r="O3724" s="42" t="n">
        <f aca="false">I3724+J3724+L3724</f>
        <v>124.2647</v>
      </c>
    </row>
    <row r="3725" customFormat="false" ht="15" hidden="false" customHeight="false" outlineLevel="0" collapsed="false">
      <c r="B3725" s="7" t="s">
        <v>12358</v>
      </c>
      <c r="C3725" s="39" t="n">
        <v>45890</v>
      </c>
      <c r="D3725" s="7" t="s">
        <v>220</v>
      </c>
      <c r="E3725" s="7" t="s">
        <v>180</v>
      </c>
      <c r="F3725" s="6" t="n">
        <v>3.74</v>
      </c>
      <c r="G3725" s="6" t="n">
        <v>0</v>
      </c>
      <c r="H3725" s="41" t="n">
        <v>16.43</v>
      </c>
      <c r="I3725" s="43" t="n">
        <f aca="false">F3725*H3725</f>
        <v>61.4482</v>
      </c>
      <c r="J3725" s="43" t="n">
        <f aca="false">G3725*H3725*1.5</f>
        <v>0</v>
      </c>
      <c r="K3725" s="6" t="n">
        <v>9.7</v>
      </c>
      <c r="L3725" s="43" t="n">
        <f aca="false">K3725*'Chart of Accounts'!$E$68</f>
        <v>6.499</v>
      </c>
      <c r="O3725" s="42" t="n">
        <f aca="false">I3725+J3725+L3725</f>
        <v>67.9472</v>
      </c>
    </row>
    <row r="3726" customFormat="false" ht="15" hidden="false" customHeight="false" outlineLevel="0" collapsed="false">
      <c r="B3726" s="7" t="s">
        <v>12359</v>
      </c>
      <c r="C3726" s="39" t="n">
        <v>45890</v>
      </c>
      <c r="D3726" s="7" t="s">
        <v>224</v>
      </c>
      <c r="E3726" s="7" t="s">
        <v>180</v>
      </c>
      <c r="F3726" s="6" t="n">
        <v>3.81</v>
      </c>
      <c r="G3726" s="6" t="n">
        <v>0</v>
      </c>
      <c r="H3726" s="41" t="n">
        <v>14.93</v>
      </c>
      <c r="I3726" s="43" t="n">
        <f aca="false">F3726*H3726</f>
        <v>56.8833</v>
      </c>
      <c r="J3726" s="43" t="n">
        <f aca="false">G3726*H3726*1.5</f>
        <v>0</v>
      </c>
      <c r="K3726" s="6" t="n">
        <v>13.26</v>
      </c>
      <c r="L3726" s="43" t="n">
        <f aca="false">K3726*'Chart of Accounts'!$E$68</f>
        <v>8.8842</v>
      </c>
      <c r="O3726" s="42" t="n">
        <f aca="false">I3726+J3726+L3726</f>
        <v>65.7675</v>
      </c>
    </row>
    <row r="3727" customFormat="false" ht="15" hidden="false" customHeight="false" outlineLevel="0" collapsed="false">
      <c r="B3727" s="7" t="s">
        <v>12360</v>
      </c>
      <c r="C3727" s="39" t="n">
        <v>45890</v>
      </c>
      <c r="D3727" s="7" t="s">
        <v>222</v>
      </c>
      <c r="E3727" s="7" t="s">
        <v>180</v>
      </c>
      <c r="F3727" s="6" t="n">
        <v>6.72</v>
      </c>
      <c r="G3727" s="6" t="n">
        <v>0</v>
      </c>
      <c r="H3727" s="41" t="n">
        <v>17.84</v>
      </c>
      <c r="I3727" s="43" t="n">
        <f aca="false">F3727*H3727</f>
        <v>119.8848</v>
      </c>
      <c r="J3727" s="43" t="n">
        <f aca="false">G3727*H3727*1.5</f>
        <v>0</v>
      </c>
      <c r="K3727" s="6" t="n">
        <v>22.9</v>
      </c>
      <c r="L3727" s="43" t="n">
        <f aca="false">K3727*'Chart of Accounts'!$E$68</f>
        <v>15.343</v>
      </c>
      <c r="O3727" s="42" t="n">
        <f aca="false">I3727+J3727+L3727</f>
        <v>135.2278</v>
      </c>
    </row>
    <row r="3728" customFormat="false" ht="15" hidden="false" customHeight="false" outlineLevel="0" collapsed="false">
      <c r="B3728" s="7" t="s">
        <v>12361</v>
      </c>
      <c r="C3728" s="39" t="n">
        <v>45890</v>
      </c>
      <c r="D3728" s="7" t="s">
        <v>205</v>
      </c>
      <c r="E3728" s="7" t="s">
        <v>180</v>
      </c>
      <c r="F3728" s="6" t="n">
        <v>4.26</v>
      </c>
      <c r="G3728" s="6" t="n">
        <v>0</v>
      </c>
      <c r="H3728" s="41" t="n">
        <v>16.36</v>
      </c>
      <c r="I3728" s="43" t="n">
        <f aca="false">F3728*H3728</f>
        <v>69.6936</v>
      </c>
      <c r="J3728" s="43" t="n">
        <f aca="false">G3728*H3728*1.5</f>
        <v>0</v>
      </c>
      <c r="K3728" s="6" t="n">
        <v>15.14</v>
      </c>
      <c r="L3728" s="43" t="n">
        <f aca="false">K3728*'Chart of Accounts'!$E$68</f>
        <v>10.1438</v>
      </c>
      <c r="O3728" s="42" t="n">
        <f aca="false">I3728+J3728+L3728</f>
        <v>79.8374</v>
      </c>
    </row>
    <row r="3729" customFormat="false" ht="15" hidden="false" customHeight="false" outlineLevel="0" collapsed="false">
      <c r="B3729" s="7" t="s">
        <v>12362</v>
      </c>
      <c r="C3729" s="39" t="n">
        <v>45890</v>
      </c>
      <c r="D3729" s="7" t="s">
        <v>232</v>
      </c>
      <c r="E3729" s="7" t="s">
        <v>180</v>
      </c>
      <c r="F3729" s="6" t="n">
        <v>4.06</v>
      </c>
      <c r="G3729" s="6" t="n">
        <v>0</v>
      </c>
      <c r="H3729" s="41" t="n">
        <v>16.17</v>
      </c>
      <c r="I3729" s="43" t="n">
        <f aca="false">F3729*H3729</f>
        <v>65.6502</v>
      </c>
      <c r="J3729" s="43" t="n">
        <f aca="false">G3729*H3729*1.5</f>
        <v>0</v>
      </c>
      <c r="K3729" s="6" t="n">
        <v>11.19</v>
      </c>
      <c r="L3729" s="43" t="n">
        <f aca="false">K3729*'Chart of Accounts'!$E$68</f>
        <v>7.4973</v>
      </c>
      <c r="O3729" s="42" t="n">
        <f aca="false">I3729+J3729+L3729</f>
        <v>73.1475</v>
      </c>
    </row>
    <row r="3730" customFormat="false" ht="15" hidden="false" customHeight="false" outlineLevel="0" collapsed="false">
      <c r="B3730" s="7" t="s">
        <v>12363</v>
      </c>
      <c r="C3730" s="39" t="n">
        <v>45890</v>
      </c>
      <c r="D3730" s="7" t="s">
        <v>194</v>
      </c>
      <c r="E3730" s="7" t="s">
        <v>180</v>
      </c>
      <c r="F3730" s="6" t="n">
        <v>4.32</v>
      </c>
      <c r="G3730" s="6" t="n">
        <v>0</v>
      </c>
      <c r="H3730" s="41" t="n">
        <v>16</v>
      </c>
      <c r="I3730" s="43" t="n">
        <f aca="false">F3730*H3730</f>
        <v>69.12</v>
      </c>
      <c r="J3730" s="43" t="n">
        <f aca="false">G3730*H3730*1.5</f>
        <v>0</v>
      </c>
      <c r="K3730" s="6" t="n">
        <v>13.16</v>
      </c>
      <c r="L3730" s="43" t="n">
        <f aca="false">K3730*'Chart of Accounts'!$E$68</f>
        <v>8.8172</v>
      </c>
      <c r="O3730" s="42" t="n">
        <f aca="false">I3730+J3730+L3730</f>
        <v>77.9372</v>
      </c>
    </row>
    <row r="3731" customFormat="false" ht="15" hidden="false" customHeight="false" outlineLevel="0" collapsed="false">
      <c r="B3731" s="7" t="s">
        <v>12364</v>
      </c>
      <c r="C3731" s="39" t="n">
        <v>45890</v>
      </c>
      <c r="D3731" s="7" t="s">
        <v>214</v>
      </c>
      <c r="E3731" s="7" t="s">
        <v>180</v>
      </c>
      <c r="F3731" s="6" t="n">
        <v>4.33</v>
      </c>
      <c r="G3731" s="6" t="n">
        <v>0</v>
      </c>
      <c r="H3731" s="41" t="n">
        <v>15.67</v>
      </c>
      <c r="I3731" s="43" t="n">
        <f aca="false">F3731*H3731</f>
        <v>67.8511</v>
      </c>
      <c r="J3731" s="43" t="n">
        <f aca="false">G3731*H3731*1.5</f>
        <v>0</v>
      </c>
      <c r="K3731" s="6" t="n">
        <v>14.75</v>
      </c>
      <c r="L3731" s="43" t="n">
        <f aca="false">K3731*'Chart of Accounts'!$E$68</f>
        <v>9.8825</v>
      </c>
      <c r="O3731" s="42" t="n">
        <f aca="false">I3731+J3731+L3731</f>
        <v>77.7336</v>
      </c>
    </row>
    <row r="3732" customFormat="false" ht="15" hidden="false" customHeight="false" outlineLevel="0" collapsed="false">
      <c r="B3732" s="7" t="s">
        <v>12365</v>
      </c>
      <c r="C3732" s="39" t="n">
        <v>45890</v>
      </c>
      <c r="D3732" s="7" t="s">
        <v>242</v>
      </c>
      <c r="E3732" s="7" t="s">
        <v>180</v>
      </c>
      <c r="F3732" s="6" t="n">
        <v>3.359</v>
      </c>
      <c r="G3732" s="6" t="n">
        <v>0.801</v>
      </c>
      <c r="H3732" s="41" t="n">
        <v>17.99</v>
      </c>
      <c r="I3732" s="43" t="n">
        <f aca="false">F3732*H3732</f>
        <v>60.42841</v>
      </c>
      <c r="J3732" s="43" t="n">
        <f aca="false">G3732*H3732*1.5</f>
        <v>21.614985</v>
      </c>
      <c r="K3732" s="6" t="n">
        <v>9.95</v>
      </c>
      <c r="L3732" s="43" t="n">
        <f aca="false">K3732*'Chart of Accounts'!$E$68</f>
        <v>6.6665</v>
      </c>
      <c r="O3732" s="42" t="n">
        <f aca="false">I3732+J3732+L3732</f>
        <v>88.709895</v>
      </c>
    </row>
    <row r="3733" customFormat="false" ht="15" hidden="false" customHeight="false" outlineLevel="0" collapsed="false">
      <c r="B3733" s="7" t="s">
        <v>12366</v>
      </c>
      <c r="C3733" s="39" t="n">
        <v>45890</v>
      </c>
      <c r="D3733" s="7" t="s">
        <v>254</v>
      </c>
      <c r="E3733" s="7" t="s">
        <v>180</v>
      </c>
      <c r="F3733" s="6" t="n">
        <v>4.15</v>
      </c>
      <c r="G3733" s="6" t="n">
        <v>0</v>
      </c>
      <c r="H3733" s="41" t="n">
        <v>17.1</v>
      </c>
      <c r="I3733" s="43" t="n">
        <f aca="false">F3733*H3733</f>
        <v>70.965</v>
      </c>
      <c r="J3733" s="43" t="n">
        <f aca="false">G3733*H3733*1.5</f>
        <v>0</v>
      </c>
      <c r="K3733" s="6" t="n">
        <v>13.58</v>
      </c>
      <c r="L3733" s="43" t="n">
        <f aca="false">K3733*'Chart of Accounts'!$E$68</f>
        <v>9.0986</v>
      </c>
      <c r="O3733" s="42" t="n">
        <f aca="false">I3733+J3733+L3733</f>
        <v>80.0636</v>
      </c>
    </row>
    <row r="3734" customFormat="false" ht="15" hidden="false" customHeight="false" outlineLevel="0" collapsed="false">
      <c r="B3734" s="7" t="s">
        <v>12367</v>
      </c>
      <c r="C3734" s="39" t="n">
        <v>45891</v>
      </c>
      <c r="D3734" s="7" t="s">
        <v>187</v>
      </c>
      <c r="E3734" s="7" t="s">
        <v>158</v>
      </c>
      <c r="H3734" s="41" t="n">
        <v>66.48</v>
      </c>
      <c r="M3734" s="6" t="n">
        <v>1</v>
      </c>
      <c r="N3734" s="43" t="n">
        <f aca="false">M3734*H3734</f>
        <v>66.48</v>
      </c>
      <c r="O3734" s="42" t="n">
        <f aca="false">N3734</f>
        <v>66.48</v>
      </c>
    </row>
    <row r="3735" customFormat="false" ht="15" hidden="false" customHeight="false" outlineLevel="0" collapsed="false">
      <c r="B3735" s="7" t="s">
        <v>12368</v>
      </c>
      <c r="C3735" s="39" t="n">
        <v>45891</v>
      </c>
      <c r="D3735" s="7" t="s">
        <v>242</v>
      </c>
      <c r="E3735" s="7" t="s">
        <v>180</v>
      </c>
      <c r="F3735" s="6" t="n">
        <v>12.16</v>
      </c>
      <c r="G3735" s="6" t="n">
        <v>2.9</v>
      </c>
      <c r="H3735" s="41" t="n">
        <v>17.99</v>
      </c>
      <c r="I3735" s="43" t="n">
        <f aca="false">F3735*H3735</f>
        <v>218.7584</v>
      </c>
      <c r="J3735" s="43" t="n">
        <f aca="false">G3735*H3735*1.5</f>
        <v>78.2565</v>
      </c>
      <c r="K3735" s="6" t="n">
        <v>37.73</v>
      </c>
      <c r="L3735" s="43" t="n">
        <f aca="false">K3735*'Chart of Accounts'!$E$68</f>
        <v>25.2791</v>
      </c>
      <c r="O3735" s="42" t="n">
        <f aca="false">I3735+J3735+L3735</f>
        <v>322.294</v>
      </c>
    </row>
    <row r="3736" customFormat="false" ht="15" hidden="false" customHeight="false" outlineLevel="0" collapsed="false">
      <c r="B3736" s="7" t="s">
        <v>12369</v>
      </c>
      <c r="C3736" s="39" t="n">
        <v>45891</v>
      </c>
      <c r="D3736" s="7" t="s">
        <v>194</v>
      </c>
      <c r="E3736" s="7" t="s">
        <v>180</v>
      </c>
      <c r="F3736" s="6" t="n">
        <v>8.7</v>
      </c>
      <c r="G3736" s="6" t="n">
        <v>0</v>
      </c>
      <c r="H3736" s="41" t="n">
        <v>16</v>
      </c>
      <c r="I3736" s="43" t="n">
        <f aca="false">F3736*H3736</f>
        <v>139.2</v>
      </c>
      <c r="J3736" s="43" t="n">
        <f aca="false">G3736*H3736*1.5</f>
        <v>0</v>
      </c>
      <c r="K3736" s="6" t="n">
        <v>24.76</v>
      </c>
      <c r="L3736" s="43" t="n">
        <f aca="false">K3736*'Chart of Accounts'!$E$68</f>
        <v>16.5892</v>
      </c>
      <c r="O3736" s="42" t="n">
        <f aca="false">I3736+J3736+L3736</f>
        <v>155.7892</v>
      </c>
    </row>
    <row r="3737" customFormat="false" ht="15" hidden="false" customHeight="false" outlineLevel="0" collapsed="false">
      <c r="B3737" s="7" t="s">
        <v>12370</v>
      </c>
      <c r="C3737" s="39" t="n">
        <v>45891</v>
      </c>
      <c r="D3737" s="7" t="s">
        <v>214</v>
      </c>
      <c r="E3737" s="7" t="s">
        <v>180</v>
      </c>
      <c r="F3737" s="6" t="n">
        <v>6.76</v>
      </c>
      <c r="G3737" s="6" t="n">
        <v>0</v>
      </c>
      <c r="H3737" s="41" t="n">
        <v>15.67</v>
      </c>
      <c r="I3737" s="43" t="n">
        <f aca="false">F3737*H3737</f>
        <v>105.9292</v>
      </c>
      <c r="J3737" s="43" t="n">
        <f aca="false">G3737*H3737*1.5</f>
        <v>0</v>
      </c>
      <c r="K3737" s="6" t="n">
        <v>15.15</v>
      </c>
      <c r="L3737" s="43" t="n">
        <f aca="false">K3737*'Chart of Accounts'!$E$68</f>
        <v>10.1505</v>
      </c>
      <c r="O3737" s="42" t="n">
        <f aca="false">I3737+J3737+L3737</f>
        <v>116.0797</v>
      </c>
    </row>
    <row r="3738" customFormat="false" ht="15" hidden="false" customHeight="false" outlineLevel="0" collapsed="false">
      <c r="B3738" s="7" t="s">
        <v>12371</v>
      </c>
      <c r="C3738" s="39" t="n">
        <v>45891</v>
      </c>
      <c r="D3738" s="7" t="s">
        <v>209</v>
      </c>
      <c r="E3738" s="7" t="s">
        <v>158</v>
      </c>
      <c r="H3738" s="41" t="n">
        <v>73.58</v>
      </c>
      <c r="M3738" s="6" t="n">
        <v>2</v>
      </c>
      <c r="N3738" s="43" t="n">
        <f aca="false">M3738*H3738</f>
        <v>147.16</v>
      </c>
      <c r="O3738" s="42" t="n">
        <f aca="false">N3738</f>
        <v>147.16</v>
      </c>
    </row>
    <row r="3739" customFormat="false" ht="15" hidden="false" customHeight="false" outlineLevel="0" collapsed="false">
      <c r="B3739" s="7" t="s">
        <v>12372</v>
      </c>
      <c r="C3739" s="39" t="n">
        <v>45891</v>
      </c>
      <c r="D3739" s="7" t="s">
        <v>205</v>
      </c>
      <c r="E3739" s="7" t="s">
        <v>180</v>
      </c>
      <c r="F3739" s="6" t="n">
        <v>3.76</v>
      </c>
      <c r="G3739" s="6" t="n">
        <v>0</v>
      </c>
      <c r="H3739" s="41" t="n">
        <v>16.36</v>
      </c>
      <c r="I3739" s="43" t="n">
        <f aca="false">F3739*H3739</f>
        <v>61.5136</v>
      </c>
      <c r="J3739" s="43" t="n">
        <f aca="false">G3739*H3739*1.5</f>
        <v>0</v>
      </c>
      <c r="K3739" s="6" t="n">
        <v>8.84</v>
      </c>
      <c r="L3739" s="43" t="n">
        <f aca="false">K3739*'Chart of Accounts'!$E$68</f>
        <v>5.9228</v>
      </c>
      <c r="O3739" s="42" t="n">
        <f aca="false">I3739+J3739+L3739</f>
        <v>67.4364</v>
      </c>
    </row>
    <row r="3740" customFormat="false" ht="15" hidden="false" customHeight="false" outlineLevel="0" collapsed="false">
      <c r="B3740" s="7" t="s">
        <v>12373</v>
      </c>
      <c r="C3740" s="39" t="n">
        <v>45891</v>
      </c>
      <c r="D3740" s="7" t="s">
        <v>264</v>
      </c>
      <c r="E3740" s="7" t="s">
        <v>158</v>
      </c>
      <c r="H3740" s="41" t="n">
        <v>55.55</v>
      </c>
      <c r="M3740" s="6" t="n">
        <v>1</v>
      </c>
      <c r="N3740" s="43" t="n">
        <f aca="false">M3740*H3740</f>
        <v>55.55</v>
      </c>
      <c r="O3740" s="42" t="n">
        <f aca="false">N3740</f>
        <v>55.55</v>
      </c>
    </row>
    <row r="3741" customFormat="false" ht="15" hidden="false" customHeight="false" outlineLevel="0" collapsed="false">
      <c r="B3741" s="7" t="s">
        <v>12374</v>
      </c>
      <c r="C3741" s="39" t="n">
        <v>45891</v>
      </c>
      <c r="D3741" s="7" t="s">
        <v>252</v>
      </c>
      <c r="E3741" s="7" t="s">
        <v>158</v>
      </c>
      <c r="H3741" s="41" t="n">
        <v>57.54</v>
      </c>
      <c r="M3741" s="6" t="n">
        <v>1</v>
      </c>
      <c r="N3741" s="43" t="n">
        <f aca="false">M3741*H3741</f>
        <v>57.54</v>
      </c>
      <c r="O3741" s="42" t="n">
        <f aca="false">N3741</f>
        <v>57.54</v>
      </c>
    </row>
    <row r="3742" customFormat="false" ht="15" hidden="false" customHeight="false" outlineLevel="0" collapsed="false">
      <c r="B3742" s="7" t="s">
        <v>12375</v>
      </c>
      <c r="C3742" s="39" t="n">
        <v>45891</v>
      </c>
      <c r="D3742" s="7" t="s">
        <v>184</v>
      </c>
      <c r="E3742" s="7" t="s">
        <v>180</v>
      </c>
      <c r="F3742" s="6" t="n">
        <v>7.7</v>
      </c>
      <c r="G3742" s="6" t="n">
        <v>0</v>
      </c>
      <c r="H3742" s="41" t="n">
        <v>17.34</v>
      </c>
      <c r="I3742" s="43" t="n">
        <f aca="false">F3742*H3742</f>
        <v>133.518</v>
      </c>
      <c r="J3742" s="43" t="n">
        <f aca="false">G3742*H3742*1.5</f>
        <v>0</v>
      </c>
      <c r="K3742" s="6" t="n">
        <v>24.28</v>
      </c>
      <c r="L3742" s="43" t="n">
        <f aca="false">K3742*'Chart of Accounts'!$E$68</f>
        <v>16.2676</v>
      </c>
      <c r="O3742" s="42" t="n">
        <f aca="false">I3742+J3742+L3742</f>
        <v>149.7856</v>
      </c>
    </row>
    <row r="3743" customFormat="false" ht="15" hidden="false" customHeight="false" outlineLevel="0" collapsed="false">
      <c r="B3743" s="7" t="s">
        <v>12376</v>
      </c>
      <c r="C3743" s="39" t="n">
        <v>45891</v>
      </c>
      <c r="D3743" s="7" t="s">
        <v>216</v>
      </c>
      <c r="E3743" s="7" t="s">
        <v>158</v>
      </c>
      <c r="H3743" s="41" t="n">
        <v>61.79</v>
      </c>
      <c r="M3743" s="6" t="n">
        <v>1</v>
      </c>
      <c r="N3743" s="43" t="n">
        <f aca="false">M3743*H3743</f>
        <v>61.79</v>
      </c>
      <c r="O3743" s="42" t="n">
        <f aca="false">N3743</f>
        <v>61.79</v>
      </c>
    </row>
    <row r="3744" customFormat="false" ht="15" hidden="false" customHeight="false" outlineLevel="0" collapsed="false">
      <c r="B3744" s="7" t="s">
        <v>12377</v>
      </c>
      <c r="C3744" s="39" t="n">
        <v>45891</v>
      </c>
      <c r="D3744" s="7" t="s">
        <v>234</v>
      </c>
      <c r="E3744" s="7" t="s">
        <v>158</v>
      </c>
      <c r="H3744" s="41" t="n">
        <v>89.53</v>
      </c>
      <c r="M3744" s="6" t="n">
        <v>2</v>
      </c>
      <c r="N3744" s="43" t="n">
        <f aca="false">M3744*H3744</f>
        <v>179.06</v>
      </c>
      <c r="O3744" s="42" t="n">
        <f aca="false">N3744</f>
        <v>179.06</v>
      </c>
    </row>
    <row r="3745" customFormat="false" ht="15" hidden="false" customHeight="false" outlineLevel="0" collapsed="false">
      <c r="B3745" s="7" t="s">
        <v>12378</v>
      </c>
      <c r="C3745" s="39" t="n">
        <v>45891</v>
      </c>
      <c r="D3745" s="7" t="s">
        <v>218</v>
      </c>
      <c r="E3745" s="7" t="s">
        <v>180</v>
      </c>
      <c r="F3745" s="6" t="n">
        <v>3.85</v>
      </c>
      <c r="G3745" s="6" t="n">
        <v>0</v>
      </c>
      <c r="H3745" s="41" t="n">
        <v>16.19</v>
      </c>
      <c r="I3745" s="43" t="n">
        <f aca="false">F3745*H3745</f>
        <v>62.3315</v>
      </c>
      <c r="J3745" s="43" t="n">
        <f aca="false">G3745*H3745*1.5</f>
        <v>0</v>
      </c>
      <c r="K3745" s="6" t="n">
        <v>11.29</v>
      </c>
      <c r="L3745" s="43" t="n">
        <f aca="false">K3745*'Chart of Accounts'!$E$68</f>
        <v>7.5643</v>
      </c>
      <c r="O3745" s="42" t="n">
        <f aca="false">I3745+J3745+L3745</f>
        <v>69.8958</v>
      </c>
    </row>
    <row r="3746" customFormat="false" ht="15" hidden="false" customHeight="false" outlineLevel="0" collapsed="false">
      <c r="B3746" s="7" t="s">
        <v>12379</v>
      </c>
      <c r="C3746" s="39" t="n">
        <v>45891</v>
      </c>
      <c r="D3746" s="7" t="s">
        <v>266</v>
      </c>
      <c r="E3746" s="7" t="s">
        <v>158</v>
      </c>
      <c r="H3746" s="41" t="n">
        <v>75.18</v>
      </c>
      <c r="M3746" s="6" t="n">
        <v>1</v>
      </c>
      <c r="N3746" s="43" t="n">
        <f aca="false">M3746*H3746</f>
        <v>75.18</v>
      </c>
      <c r="O3746" s="42" t="n">
        <f aca="false">N3746</f>
        <v>75.18</v>
      </c>
    </row>
    <row r="3747" customFormat="false" ht="15" hidden="false" customHeight="false" outlineLevel="0" collapsed="false">
      <c r="B3747" s="7" t="s">
        <v>12380</v>
      </c>
      <c r="C3747" s="39" t="n">
        <v>45891</v>
      </c>
      <c r="D3747" s="7" t="s">
        <v>228</v>
      </c>
      <c r="E3747" s="7" t="s">
        <v>158</v>
      </c>
      <c r="H3747" s="41" t="n">
        <v>51.07</v>
      </c>
      <c r="M3747" s="6" t="n">
        <v>1</v>
      </c>
      <c r="N3747" s="43" t="n">
        <f aca="false">M3747*H3747</f>
        <v>51.07</v>
      </c>
      <c r="O3747" s="42" t="n">
        <f aca="false">N3747</f>
        <v>51.07</v>
      </c>
    </row>
    <row r="3748" customFormat="false" ht="15" hidden="false" customHeight="false" outlineLevel="0" collapsed="false">
      <c r="B3748" s="7" t="s">
        <v>12381</v>
      </c>
      <c r="C3748" s="39" t="n">
        <v>45891</v>
      </c>
      <c r="D3748" s="7" t="s">
        <v>220</v>
      </c>
      <c r="E3748" s="7" t="s">
        <v>180</v>
      </c>
      <c r="F3748" s="6" t="n">
        <v>4.25</v>
      </c>
      <c r="G3748" s="6" t="n">
        <v>0</v>
      </c>
      <c r="H3748" s="41" t="n">
        <v>16.43</v>
      </c>
      <c r="I3748" s="43" t="n">
        <f aca="false">F3748*H3748</f>
        <v>69.8275</v>
      </c>
      <c r="J3748" s="43" t="n">
        <f aca="false">G3748*H3748*1.5</f>
        <v>0</v>
      </c>
      <c r="K3748" s="6" t="n">
        <v>9.4</v>
      </c>
      <c r="L3748" s="43" t="n">
        <f aca="false">K3748*'Chart of Accounts'!$E$68</f>
        <v>6.298</v>
      </c>
      <c r="O3748" s="42" t="n">
        <f aca="false">I3748+J3748+L3748</f>
        <v>76.1255</v>
      </c>
    </row>
    <row r="3749" customFormat="false" ht="15" hidden="false" customHeight="false" outlineLevel="0" collapsed="false">
      <c r="B3749" s="7" t="s">
        <v>12382</v>
      </c>
      <c r="C3749" s="39" t="n">
        <v>45891</v>
      </c>
      <c r="D3749" s="7" t="s">
        <v>177</v>
      </c>
      <c r="E3749" s="7" t="s">
        <v>180</v>
      </c>
      <c r="F3749" s="6" t="n">
        <v>9.11</v>
      </c>
      <c r="G3749" s="6" t="n">
        <v>0</v>
      </c>
      <c r="H3749" s="41" t="n">
        <v>14.56</v>
      </c>
      <c r="I3749" s="43" t="n">
        <f aca="false">F3749*H3749</f>
        <v>132.6416</v>
      </c>
      <c r="J3749" s="43" t="n">
        <f aca="false">G3749*H3749*1.5</f>
        <v>0</v>
      </c>
      <c r="K3749" s="6" t="n">
        <v>20.38</v>
      </c>
      <c r="L3749" s="43" t="n">
        <f aca="false">K3749*'Chart of Accounts'!$E$68</f>
        <v>13.6546</v>
      </c>
      <c r="O3749" s="42" t="n">
        <f aca="false">I3749+J3749+L3749</f>
        <v>146.2962</v>
      </c>
    </row>
    <row r="3750" customFormat="false" ht="15" hidden="false" customHeight="false" outlineLevel="0" collapsed="false">
      <c r="B3750" s="7" t="s">
        <v>12383</v>
      </c>
      <c r="C3750" s="39" t="n">
        <v>45891</v>
      </c>
      <c r="D3750" s="7" t="s">
        <v>238</v>
      </c>
      <c r="E3750" s="7" t="s">
        <v>180</v>
      </c>
      <c r="F3750" s="6" t="n">
        <v>8.48</v>
      </c>
      <c r="G3750" s="6" t="n">
        <v>0</v>
      </c>
      <c r="H3750" s="41" t="n">
        <v>15.85</v>
      </c>
      <c r="I3750" s="43" t="n">
        <f aca="false">F3750*H3750</f>
        <v>134.408</v>
      </c>
      <c r="J3750" s="43" t="n">
        <f aca="false">G3750*H3750*1.5</f>
        <v>0</v>
      </c>
      <c r="K3750" s="6" t="n">
        <v>24.54</v>
      </c>
      <c r="L3750" s="43" t="n">
        <f aca="false">K3750*'Chart of Accounts'!$E$68</f>
        <v>16.4418</v>
      </c>
      <c r="O3750" s="42" t="n">
        <f aca="false">I3750+J3750+L3750</f>
        <v>150.8498</v>
      </c>
    </row>
    <row r="3751" customFormat="false" ht="15" hidden="false" customHeight="false" outlineLevel="0" collapsed="false">
      <c r="B3751" s="7" t="s">
        <v>12384</v>
      </c>
      <c r="C3751" s="39" t="n">
        <v>45891</v>
      </c>
      <c r="D3751" s="7" t="s">
        <v>254</v>
      </c>
      <c r="E3751" s="7" t="s">
        <v>180</v>
      </c>
      <c r="F3751" s="6" t="n">
        <v>7.68</v>
      </c>
      <c r="G3751" s="6" t="n">
        <v>0</v>
      </c>
      <c r="H3751" s="41" t="n">
        <v>17.1</v>
      </c>
      <c r="I3751" s="43" t="n">
        <f aca="false">F3751*H3751</f>
        <v>131.328</v>
      </c>
      <c r="J3751" s="43" t="n">
        <f aca="false">G3751*H3751*1.5</f>
        <v>0</v>
      </c>
      <c r="K3751" s="6" t="n">
        <v>26.71</v>
      </c>
      <c r="L3751" s="43" t="n">
        <f aca="false">K3751*'Chart of Accounts'!$E$68</f>
        <v>17.8957</v>
      </c>
      <c r="O3751" s="42" t="n">
        <f aca="false">I3751+J3751+L3751</f>
        <v>149.2237</v>
      </c>
    </row>
    <row r="3752" customFormat="false" ht="15" hidden="false" customHeight="false" outlineLevel="0" collapsed="false">
      <c r="B3752" s="7" t="s">
        <v>12385</v>
      </c>
      <c r="C3752" s="39" t="n">
        <v>45891</v>
      </c>
      <c r="D3752" s="7" t="s">
        <v>201</v>
      </c>
      <c r="E3752" s="7" t="s">
        <v>180</v>
      </c>
      <c r="F3752" s="6" t="n">
        <v>3.53</v>
      </c>
      <c r="G3752" s="6" t="n">
        <v>0</v>
      </c>
      <c r="H3752" s="41" t="n">
        <v>15.19</v>
      </c>
      <c r="I3752" s="43" t="n">
        <f aca="false">F3752*H3752</f>
        <v>53.6207</v>
      </c>
      <c r="J3752" s="43" t="n">
        <f aca="false">G3752*H3752*1.5</f>
        <v>0</v>
      </c>
      <c r="K3752" s="6" t="n">
        <v>9.12</v>
      </c>
      <c r="L3752" s="43" t="n">
        <f aca="false">K3752*'Chart of Accounts'!$E$68</f>
        <v>6.1104</v>
      </c>
      <c r="O3752" s="42" t="n">
        <f aca="false">I3752+J3752+L3752</f>
        <v>59.7311</v>
      </c>
    </row>
    <row r="3753" customFormat="false" ht="15" hidden="false" customHeight="false" outlineLevel="0" collapsed="false">
      <c r="B3753" s="7" t="s">
        <v>12386</v>
      </c>
      <c r="C3753" s="39" t="n">
        <v>45891</v>
      </c>
      <c r="D3753" s="7" t="s">
        <v>207</v>
      </c>
      <c r="E3753" s="7" t="s">
        <v>180</v>
      </c>
      <c r="F3753" s="6" t="n">
        <v>3.3</v>
      </c>
      <c r="G3753" s="6" t="n">
        <v>0</v>
      </c>
      <c r="H3753" s="41" t="n">
        <v>16.65</v>
      </c>
      <c r="I3753" s="43" t="n">
        <f aca="false">F3753*H3753</f>
        <v>54.945</v>
      </c>
      <c r="J3753" s="43" t="n">
        <f aca="false">G3753*H3753*1.5</f>
        <v>0</v>
      </c>
      <c r="K3753" s="6" t="n">
        <v>7.48</v>
      </c>
      <c r="L3753" s="43" t="n">
        <f aca="false">K3753*'Chart of Accounts'!$E$68</f>
        <v>5.0116</v>
      </c>
      <c r="O3753" s="42" t="n">
        <f aca="false">I3753+J3753+L3753</f>
        <v>59.9566</v>
      </c>
    </row>
    <row r="3754" customFormat="false" ht="15" hidden="false" customHeight="false" outlineLevel="0" collapsed="false">
      <c r="B3754" s="7" t="s">
        <v>12387</v>
      </c>
      <c r="C3754" s="39" t="n">
        <v>45891</v>
      </c>
      <c r="D3754" s="7" t="s">
        <v>258</v>
      </c>
      <c r="E3754" s="7" t="s">
        <v>158</v>
      </c>
      <c r="H3754" s="41" t="n">
        <v>61.61</v>
      </c>
      <c r="M3754" s="6" t="n">
        <v>1</v>
      </c>
      <c r="N3754" s="43" t="n">
        <f aca="false">M3754*H3754</f>
        <v>61.61</v>
      </c>
      <c r="O3754" s="42" t="n">
        <f aca="false">N3754</f>
        <v>61.61</v>
      </c>
    </row>
    <row r="3755" customFormat="false" ht="15" hidden="false" customHeight="false" outlineLevel="0" collapsed="false">
      <c r="B3755" s="7" t="s">
        <v>12388</v>
      </c>
      <c r="C3755" s="39" t="n">
        <v>45891</v>
      </c>
      <c r="D3755" s="7" t="s">
        <v>232</v>
      </c>
      <c r="E3755" s="7" t="s">
        <v>180</v>
      </c>
      <c r="F3755" s="6" t="n">
        <v>4.58</v>
      </c>
      <c r="G3755" s="6" t="n">
        <v>0</v>
      </c>
      <c r="H3755" s="41" t="n">
        <v>16.17</v>
      </c>
      <c r="I3755" s="43" t="n">
        <f aca="false">F3755*H3755</f>
        <v>74.0586</v>
      </c>
      <c r="J3755" s="43" t="n">
        <f aca="false">G3755*H3755*1.5</f>
        <v>0</v>
      </c>
      <c r="K3755" s="6" t="n">
        <v>12.77</v>
      </c>
      <c r="L3755" s="43" t="n">
        <f aca="false">K3755*'Chart of Accounts'!$E$68</f>
        <v>8.5559</v>
      </c>
      <c r="O3755" s="42" t="n">
        <f aca="false">I3755+J3755+L3755</f>
        <v>82.6145</v>
      </c>
    </row>
    <row r="3756" customFormat="false" ht="15" hidden="false" customHeight="false" outlineLevel="0" collapsed="false">
      <c r="B3756" s="7" t="s">
        <v>12389</v>
      </c>
      <c r="C3756" s="39" t="n">
        <v>45891</v>
      </c>
      <c r="D3756" s="7" t="s">
        <v>224</v>
      </c>
      <c r="E3756" s="7" t="s">
        <v>180</v>
      </c>
      <c r="F3756" s="6" t="n">
        <v>4.72</v>
      </c>
      <c r="G3756" s="6" t="n">
        <v>0</v>
      </c>
      <c r="H3756" s="41" t="n">
        <v>14.93</v>
      </c>
      <c r="I3756" s="43" t="n">
        <f aca="false">F3756*H3756</f>
        <v>70.4696</v>
      </c>
      <c r="J3756" s="43" t="n">
        <f aca="false">G3756*H3756*1.5</f>
        <v>0</v>
      </c>
      <c r="K3756" s="6" t="n">
        <v>12.03</v>
      </c>
      <c r="L3756" s="43" t="n">
        <f aca="false">K3756*'Chart of Accounts'!$E$68</f>
        <v>8.0601</v>
      </c>
      <c r="O3756" s="42" t="n">
        <f aca="false">I3756+J3756+L3756</f>
        <v>78.5297</v>
      </c>
    </row>
    <row r="3757" customFormat="false" ht="15" hidden="false" customHeight="false" outlineLevel="0" collapsed="false">
      <c r="B3757" s="7" t="s">
        <v>12390</v>
      </c>
      <c r="C3757" s="39" t="n">
        <v>45891</v>
      </c>
      <c r="D3757" s="7" t="s">
        <v>230</v>
      </c>
      <c r="E3757" s="7" t="s">
        <v>158</v>
      </c>
      <c r="H3757" s="41" t="n">
        <v>48.78</v>
      </c>
      <c r="M3757" s="6" t="n">
        <v>1</v>
      </c>
      <c r="N3757" s="43" t="n">
        <f aca="false">M3757*H3757</f>
        <v>48.78</v>
      </c>
      <c r="O3757" s="42" t="n">
        <f aca="false">N3757</f>
        <v>48.78</v>
      </c>
    </row>
    <row r="3758" customFormat="false" ht="15" hidden="false" customHeight="false" outlineLevel="0" collapsed="false">
      <c r="B3758" s="7" t="s">
        <v>12391</v>
      </c>
      <c r="C3758" s="39" t="n">
        <v>45891</v>
      </c>
      <c r="D3758" s="7" t="s">
        <v>196</v>
      </c>
      <c r="E3758" s="7" t="s">
        <v>180</v>
      </c>
      <c r="F3758" s="6" t="n">
        <v>6.385</v>
      </c>
      <c r="G3758" s="6" t="n">
        <v>0.525</v>
      </c>
      <c r="H3758" s="41" t="n">
        <v>15.05</v>
      </c>
      <c r="I3758" s="43" t="n">
        <f aca="false">F3758*H3758</f>
        <v>96.09425</v>
      </c>
      <c r="J3758" s="43" t="n">
        <f aca="false">G3758*H3758*1.5</f>
        <v>11.851875</v>
      </c>
      <c r="K3758" s="6" t="n">
        <v>17.29</v>
      </c>
      <c r="L3758" s="43" t="n">
        <f aca="false">K3758*'Chart of Accounts'!$E$68</f>
        <v>11.5843</v>
      </c>
      <c r="O3758" s="42" t="n">
        <f aca="false">I3758+J3758+L3758</f>
        <v>119.530425</v>
      </c>
    </row>
    <row r="3759" customFormat="false" ht="15" hidden="false" customHeight="false" outlineLevel="0" collapsed="false">
      <c r="B3759" s="7" t="s">
        <v>12392</v>
      </c>
      <c r="C3759" s="39" t="n">
        <v>45891</v>
      </c>
      <c r="D3759" s="7" t="s">
        <v>246</v>
      </c>
      <c r="E3759" s="7" t="s">
        <v>180</v>
      </c>
      <c r="F3759" s="6" t="n">
        <v>4.39</v>
      </c>
      <c r="G3759" s="6" t="n">
        <v>0</v>
      </c>
      <c r="H3759" s="41" t="n">
        <v>16.48</v>
      </c>
      <c r="I3759" s="43" t="n">
        <f aca="false">F3759*H3759</f>
        <v>72.3472</v>
      </c>
      <c r="J3759" s="43" t="n">
        <f aca="false">G3759*H3759*1.5</f>
        <v>0</v>
      </c>
      <c r="K3759" s="6" t="n">
        <v>10.98</v>
      </c>
      <c r="L3759" s="43" t="n">
        <f aca="false">K3759*'Chart of Accounts'!$E$68</f>
        <v>7.3566</v>
      </c>
      <c r="O3759" s="42" t="n">
        <f aca="false">I3759+J3759+L3759</f>
        <v>79.7038</v>
      </c>
    </row>
    <row r="3760" customFormat="false" ht="15" hidden="false" customHeight="false" outlineLevel="0" collapsed="false">
      <c r="B3760" s="7" t="s">
        <v>12393</v>
      </c>
      <c r="C3760" s="39" t="n">
        <v>45891</v>
      </c>
      <c r="D3760" s="7" t="s">
        <v>222</v>
      </c>
      <c r="E3760" s="7" t="s">
        <v>180</v>
      </c>
      <c r="F3760" s="6" t="n">
        <v>4.11</v>
      </c>
      <c r="G3760" s="6" t="n">
        <v>0</v>
      </c>
      <c r="H3760" s="41" t="n">
        <v>17.84</v>
      </c>
      <c r="I3760" s="43" t="n">
        <f aca="false">F3760*H3760</f>
        <v>73.3224</v>
      </c>
      <c r="J3760" s="43" t="n">
        <f aca="false">G3760*H3760*1.5</f>
        <v>0</v>
      </c>
      <c r="K3760" s="6" t="n">
        <v>9.22</v>
      </c>
      <c r="L3760" s="43" t="n">
        <f aca="false">K3760*'Chart of Accounts'!$E$68</f>
        <v>6.1774</v>
      </c>
      <c r="O3760" s="42" t="n">
        <f aca="false">I3760+J3760+L3760</f>
        <v>79.4998</v>
      </c>
    </row>
    <row r="3761" customFormat="false" ht="15" hidden="false" customHeight="false" outlineLevel="0" collapsed="false">
      <c r="B3761" s="7" t="s">
        <v>12394</v>
      </c>
      <c r="C3761" s="39" t="n">
        <v>45891</v>
      </c>
      <c r="D3761" s="7" t="s">
        <v>203</v>
      </c>
      <c r="E3761" s="7" t="s">
        <v>158</v>
      </c>
      <c r="H3761" s="41" t="n">
        <v>49.43</v>
      </c>
      <c r="M3761" s="6" t="n">
        <v>1</v>
      </c>
      <c r="N3761" s="43" t="n">
        <f aca="false">M3761*H3761</f>
        <v>49.43</v>
      </c>
      <c r="O3761" s="42" t="n">
        <f aca="false">N3761</f>
        <v>49.43</v>
      </c>
    </row>
    <row r="3762" customFormat="false" ht="15" hidden="false" customHeight="false" outlineLevel="0" collapsed="false">
      <c r="B3762" s="7" t="s">
        <v>12395</v>
      </c>
      <c r="C3762" s="39" t="n">
        <v>45891</v>
      </c>
      <c r="D3762" s="7" t="s">
        <v>260</v>
      </c>
      <c r="E3762" s="7" t="s">
        <v>158</v>
      </c>
      <c r="H3762" s="41" t="n">
        <v>79.8</v>
      </c>
      <c r="M3762" s="6" t="n">
        <v>1</v>
      </c>
      <c r="N3762" s="43" t="n">
        <f aca="false">M3762*H3762</f>
        <v>79.8</v>
      </c>
      <c r="O3762" s="42" t="n">
        <f aca="false">N3762</f>
        <v>79.8</v>
      </c>
    </row>
    <row r="3763" customFormat="false" ht="15" hidden="false" customHeight="false" outlineLevel="0" collapsed="false">
      <c r="B3763" s="7" t="s">
        <v>12396</v>
      </c>
      <c r="C3763" s="39" t="n">
        <v>45892</v>
      </c>
      <c r="D3763" s="7" t="s">
        <v>222</v>
      </c>
      <c r="E3763" s="7" t="s">
        <v>180</v>
      </c>
      <c r="F3763" s="6" t="n">
        <v>8.59</v>
      </c>
      <c r="G3763" s="6" t="n">
        <v>0</v>
      </c>
      <c r="H3763" s="41" t="n">
        <v>17.84</v>
      </c>
      <c r="I3763" s="43" t="n">
        <f aca="false">F3763*H3763</f>
        <v>153.2456</v>
      </c>
      <c r="J3763" s="43" t="n">
        <f aca="false">G3763*H3763*1.5</f>
        <v>0</v>
      </c>
      <c r="K3763" s="6" t="n">
        <v>27.95</v>
      </c>
      <c r="L3763" s="43" t="n">
        <f aca="false">K3763*'Chart of Accounts'!$E$68</f>
        <v>18.7265</v>
      </c>
      <c r="O3763" s="42" t="n">
        <f aca="false">I3763+J3763+L3763</f>
        <v>171.9721</v>
      </c>
    </row>
    <row r="3764" customFormat="false" ht="15" hidden="false" customHeight="false" outlineLevel="0" collapsed="false">
      <c r="B3764" s="7" t="s">
        <v>12397</v>
      </c>
      <c r="C3764" s="39" t="n">
        <v>45892</v>
      </c>
      <c r="D3764" s="7" t="s">
        <v>238</v>
      </c>
      <c r="E3764" s="7" t="s">
        <v>180</v>
      </c>
      <c r="F3764" s="6" t="n">
        <v>3.98</v>
      </c>
      <c r="G3764" s="6" t="n">
        <v>0</v>
      </c>
      <c r="H3764" s="41" t="n">
        <v>15.85</v>
      </c>
      <c r="I3764" s="43" t="n">
        <f aca="false">F3764*H3764</f>
        <v>63.083</v>
      </c>
      <c r="J3764" s="43" t="n">
        <f aca="false">G3764*H3764*1.5</f>
        <v>0</v>
      </c>
      <c r="K3764" s="6" t="n">
        <v>10.64</v>
      </c>
      <c r="L3764" s="43" t="n">
        <f aca="false">K3764*'Chart of Accounts'!$E$68</f>
        <v>7.1288</v>
      </c>
      <c r="O3764" s="42" t="n">
        <f aca="false">I3764+J3764+L3764</f>
        <v>70.2118</v>
      </c>
    </row>
    <row r="3765" customFormat="false" ht="15" hidden="false" customHeight="false" outlineLevel="0" collapsed="false">
      <c r="B3765" s="7" t="s">
        <v>12398</v>
      </c>
      <c r="C3765" s="39" t="n">
        <v>45892</v>
      </c>
      <c r="D3765" s="7" t="s">
        <v>196</v>
      </c>
      <c r="E3765" s="7" t="s">
        <v>180</v>
      </c>
      <c r="F3765" s="6" t="n">
        <v>3.465</v>
      </c>
      <c r="G3765" s="6" t="n">
        <v>0.285</v>
      </c>
      <c r="H3765" s="41" t="n">
        <v>15.05</v>
      </c>
      <c r="I3765" s="43" t="n">
        <f aca="false">F3765*H3765</f>
        <v>52.14825</v>
      </c>
      <c r="J3765" s="43" t="n">
        <f aca="false">G3765*H3765*1.5</f>
        <v>6.433875</v>
      </c>
      <c r="K3765" s="6" t="n">
        <v>11.06</v>
      </c>
      <c r="L3765" s="43" t="n">
        <f aca="false">K3765*'Chart of Accounts'!$E$68</f>
        <v>7.4102</v>
      </c>
      <c r="O3765" s="42" t="n">
        <f aca="false">I3765+J3765+L3765</f>
        <v>65.992325</v>
      </c>
    </row>
    <row r="3766" customFormat="false" ht="15" hidden="false" customHeight="false" outlineLevel="0" collapsed="false">
      <c r="B3766" s="7" t="s">
        <v>12399</v>
      </c>
      <c r="C3766" s="39" t="n">
        <v>45892</v>
      </c>
      <c r="D3766" s="7" t="s">
        <v>242</v>
      </c>
      <c r="E3766" s="7" t="s">
        <v>180</v>
      </c>
      <c r="F3766" s="6" t="n">
        <v>3.286</v>
      </c>
      <c r="G3766" s="6" t="n">
        <v>0.784</v>
      </c>
      <c r="H3766" s="41" t="n">
        <v>17.99</v>
      </c>
      <c r="I3766" s="43" t="n">
        <f aca="false">F3766*H3766</f>
        <v>59.11514</v>
      </c>
      <c r="J3766" s="43" t="n">
        <f aca="false">G3766*H3766*1.5</f>
        <v>21.15624</v>
      </c>
      <c r="K3766" s="6" t="n">
        <v>11.75</v>
      </c>
      <c r="L3766" s="43" t="n">
        <f aca="false">K3766*'Chart of Accounts'!$E$68</f>
        <v>7.8725</v>
      </c>
      <c r="O3766" s="42" t="n">
        <f aca="false">I3766+J3766+L3766</f>
        <v>88.14388</v>
      </c>
    </row>
    <row r="3767" customFormat="false" ht="15" hidden="false" customHeight="false" outlineLevel="0" collapsed="false">
      <c r="B3767" s="7" t="s">
        <v>12400</v>
      </c>
      <c r="C3767" s="39" t="n">
        <v>45892</v>
      </c>
      <c r="D3767" s="7" t="s">
        <v>254</v>
      </c>
      <c r="E3767" s="7" t="s">
        <v>180</v>
      </c>
      <c r="F3767" s="6" t="n">
        <v>4</v>
      </c>
      <c r="G3767" s="6" t="n">
        <v>0</v>
      </c>
      <c r="H3767" s="41" t="n">
        <v>17.1</v>
      </c>
      <c r="I3767" s="43" t="n">
        <f aca="false">F3767*H3767</f>
        <v>68.4</v>
      </c>
      <c r="J3767" s="43" t="n">
        <f aca="false">G3767*H3767*1.5</f>
        <v>0</v>
      </c>
      <c r="K3767" s="6" t="n">
        <v>10.4</v>
      </c>
      <c r="L3767" s="43" t="n">
        <f aca="false">K3767*'Chart of Accounts'!$E$68</f>
        <v>6.968</v>
      </c>
      <c r="O3767" s="42" t="n">
        <f aca="false">I3767+J3767+L3767</f>
        <v>75.368</v>
      </c>
    </row>
    <row r="3768" customFormat="false" ht="15" hidden="false" customHeight="false" outlineLevel="0" collapsed="false">
      <c r="B3768" s="7" t="s">
        <v>12401</v>
      </c>
      <c r="C3768" s="39" t="n">
        <v>45893</v>
      </c>
      <c r="D3768" s="7" t="s">
        <v>240</v>
      </c>
      <c r="E3768" s="7" t="s">
        <v>180</v>
      </c>
      <c r="F3768" s="6" t="n">
        <v>3.78</v>
      </c>
      <c r="G3768" s="6" t="n">
        <v>0</v>
      </c>
      <c r="H3768" s="41" t="n">
        <v>16.96</v>
      </c>
      <c r="I3768" s="43" t="n">
        <f aca="false">F3768*H3768</f>
        <v>64.1088</v>
      </c>
      <c r="J3768" s="43" t="n">
        <f aca="false">G3768*H3768*1.5</f>
        <v>0</v>
      </c>
      <c r="K3768" s="6" t="n">
        <v>12</v>
      </c>
      <c r="L3768" s="43" t="n">
        <f aca="false">K3768*'Chart of Accounts'!$E$68</f>
        <v>8.04</v>
      </c>
      <c r="O3768" s="42" t="n">
        <f aca="false">I3768+J3768+L3768</f>
        <v>72.1488</v>
      </c>
    </row>
    <row r="3769" customFormat="false" ht="15" hidden="false" customHeight="false" outlineLevel="0" collapsed="false">
      <c r="B3769" s="7" t="s">
        <v>12402</v>
      </c>
      <c r="C3769" s="39" t="n">
        <v>45893</v>
      </c>
      <c r="D3769" s="7" t="s">
        <v>218</v>
      </c>
      <c r="E3769" s="7" t="s">
        <v>180</v>
      </c>
      <c r="F3769" s="6" t="n">
        <v>3.83</v>
      </c>
      <c r="G3769" s="6" t="n">
        <v>0</v>
      </c>
      <c r="H3769" s="41" t="n">
        <v>16.19</v>
      </c>
      <c r="I3769" s="43" t="n">
        <f aca="false">F3769*H3769</f>
        <v>62.0077</v>
      </c>
      <c r="J3769" s="43" t="n">
        <f aca="false">G3769*H3769*1.5</f>
        <v>0</v>
      </c>
      <c r="K3769" s="6" t="n">
        <v>12.14</v>
      </c>
      <c r="L3769" s="43" t="n">
        <f aca="false">K3769*'Chart of Accounts'!$E$68</f>
        <v>8.1338</v>
      </c>
      <c r="O3769" s="42" t="n">
        <f aca="false">I3769+J3769+L3769</f>
        <v>70.1415</v>
      </c>
    </row>
    <row r="3770" customFormat="false" ht="15" hidden="false" customHeight="false" outlineLevel="0" collapsed="false">
      <c r="B3770" s="7" t="s">
        <v>12403</v>
      </c>
      <c r="C3770" s="39" t="n">
        <v>45893</v>
      </c>
      <c r="D3770" s="7" t="s">
        <v>205</v>
      </c>
      <c r="E3770" s="7" t="s">
        <v>180</v>
      </c>
      <c r="F3770" s="6" t="n">
        <v>3.7</v>
      </c>
      <c r="G3770" s="6" t="n">
        <v>0</v>
      </c>
      <c r="H3770" s="41" t="n">
        <v>16.36</v>
      </c>
      <c r="I3770" s="43" t="n">
        <f aca="false">F3770*H3770</f>
        <v>60.532</v>
      </c>
      <c r="J3770" s="43" t="n">
        <f aca="false">G3770*H3770*1.5</f>
        <v>0</v>
      </c>
      <c r="K3770" s="6" t="n">
        <v>11</v>
      </c>
      <c r="L3770" s="43" t="n">
        <f aca="false">K3770*'Chart of Accounts'!$E$68</f>
        <v>7.37</v>
      </c>
      <c r="O3770" s="42" t="n">
        <f aca="false">I3770+J3770+L3770</f>
        <v>67.902</v>
      </c>
    </row>
    <row r="3771" customFormat="false" ht="15" hidden="false" customHeight="false" outlineLevel="0" collapsed="false">
      <c r="B3771" s="7" t="s">
        <v>12404</v>
      </c>
      <c r="C3771" s="39" t="n">
        <v>45893</v>
      </c>
      <c r="D3771" s="7" t="s">
        <v>196</v>
      </c>
      <c r="E3771" s="7" t="s">
        <v>180</v>
      </c>
      <c r="F3771" s="6" t="n">
        <v>3.539</v>
      </c>
      <c r="G3771" s="6" t="n">
        <v>0.291</v>
      </c>
      <c r="H3771" s="41" t="n">
        <v>15.05</v>
      </c>
      <c r="I3771" s="43" t="n">
        <f aca="false">F3771*H3771</f>
        <v>53.26195</v>
      </c>
      <c r="J3771" s="43" t="n">
        <f aca="false">G3771*H3771*1.5</f>
        <v>6.569325</v>
      </c>
      <c r="K3771" s="6" t="n">
        <v>11.77</v>
      </c>
      <c r="L3771" s="43" t="n">
        <f aca="false">K3771*'Chart of Accounts'!$E$68</f>
        <v>7.8859</v>
      </c>
      <c r="O3771" s="42" t="n">
        <f aca="false">I3771+J3771+L3771</f>
        <v>67.717175</v>
      </c>
    </row>
    <row r="3772" customFormat="false" ht="15" hidden="false" customHeight="false" outlineLevel="0" collapsed="false">
      <c r="B3772" s="7" t="s">
        <v>12405</v>
      </c>
      <c r="C3772" s="39" t="n">
        <v>45893</v>
      </c>
      <c r="D3772" s="7" t="s">
        <v>222</v>
      </c>
      <c r="E3772" s="7" t="s">
        <v>180</v>
      </c>
      <c r="F3772" s="6" t="n">
        <v>3.77</v>
      </c>
      <c r="G3772" s="6" t="n">
        <v>0</v>
      </c>
      <c r="H3772" s="41" t="n">
        <v>17.84</v>
      </c>
      <c r="I3772" s="43" t="n">
        <f aca="false">F3772*H3772</f>
        <v>67.2568</v>
      </c>
      <c r="J3772" s="43" t="n">
        <f aca="false">G3772*H3772*1.5</f>
        <v>0</v>
      </c>
      <c r="K3772" s="6" t="n">
        <v>11.73</v>
      </c>
      <c r="L3772" s="43" t="n">
        <f aca="false">K3772*'Chart of Accounts'!$E$68</f>
        <v>7.8591</v>
      </c>
      <c r="O3772" s="42" t="n">
        <f aca="false">I3772+J3772+L3772</f>
        <v>75.1159</v>
      </c>
    </row>
    <row r="3773" customFormat="false" ht="15" hidden="false" customHeight="false" outlineLevel="0" collapsed="false">
      <c r="B3773" s="7" t="s">
        <v>12406</v>
      </c>
      <c r="C3773" s="39" t="n">
        <v>45893</v>
      </c>
      <c r="D3773" s="7" t="s">
        <v>242</v>
      </c>
      <c r="E3773" s="7" t="s">
        <v>180</v>
      </c>
      <c r="F3773" s="6" t="n">
        <v>3.432</v>
      </c>
      <c r="G3773" s="6" t="n">
        <v>0.818</v>
      </c>
      <c r="H3773" s="41" t="n">
        <v>17.99</v>
      </c>
      <c r="I3773" s="43" t="n">
        <f aca="false">F3773*H3773</f>
        <v>61.74168</v>
      </c>
      <c r="J3773" s="43" t="n">
        <f aca="false">G3773*H3773*1.5</f>
        <v>22.07373</v>
      </c>
      <c r="K3773" s="6" t="n">
        <v>10.8</v>
      </c>
      <c r="L3773" s="43" t="n">
        <f aca="false">K3773*'Chart of Accounts'!$E$68</f>
        <v>7.236</v>
      </c>
      <c r="O3773" s="42" t="n">
        <f aca="false">I3773+J3773+L3773</f>
        <v>91.05141</v>
      </c>
    </row>
    <row r="3774" customFormat="false" ht="15" hidden="false" customHeight="false" outlineLevel="0" collapsed="false">
      <c r="B3774" s="7" t="s">
        <v>12407</v>
      </c>
      <c r="C3774" s="39" t="n">
        <v>45893</v>
      </c>
      <c r="D3774" s="7" t="s">
        <v>254</v>
      </c>
      <c r="E3774" s="7" t="s">
        <v>180</v>
      </c>
      <c r="F3774" s="6" t="n">
        <v>4.27</v>
      </c>
      <c r="G3774" s="6" t="n">
        <v>0</v>
      </c>
      <c r="H3774" s="41" t="n">
        <v>17.1</v>
      </c>
      <c r="I3774" s="43" t="n">
        <f aca="false">F3774*H3774</f>
        <v>73.017</v>
      </c>
      <c r="J3774" s="43" t="n">
        <f aca="false">G3774*H3774*1.5</f>
        <v>0</v>
      </c>
      <c r="K3774" s="6" t="n">
        <v>11.4</v>
      </c>
      <c r="L3774" s="43" t="n">
        <f aca="false">K3774*'Chart of Accounts'!$E$68</f>
        <v>7.638</v>
      </c>
      <c r="O3774" s="42" t="n">
        <f aca="false">I3774+J3774+L3774</f>
        <v>80.655</v>
      </c>
    </row>
    <row r="3775" customFormat="false" ht="15" hidden="false" customHeight="false" outlineLevel="0" collapsed="false">
      <c r="B3775" s="7" t="s">
        <v>12408</v>
      </c>
      <c r="C3775" s="39" t="n">
        <v>45894</v>
      </c>
      <c r="D3775" s="7" t="s">
        <v>220</v>
      </c>
      <c r="E3775" s="7" t="s">
        <v>180</v>
      </c>
      <c r="F3775" s="6" t="n">
        <v>8.05</v>
      </c>
      <c r="G3775" s="6" t="n">
        <v>0</v>
      </c>
      <c r="H3775" s="41" t="n">
        <v>16.43</v>
      </c>
      <c r="I3775" s="43" t="n">
        <f aca="false">F3775*H3775</f>
        <v>132.2615</v>
      </c>
      <c r="J3775" s="43" t="n">
        <f aca="false">G3775*H3775*1.5</f>
        <v>0</v>
      </c>
      <c r="K3775" s="6" t="n">
        <v>25.96</v>
      </c>
      <c r="L3775" s="43" t="n">
        <f aca="false">K3775*'Chart of Accounts'!$E$68</f>
        <v>17.3932</v>
      </c>
      <c r="O3775" s="42" t="n">
        <f aca="false">I3775+J3775+L3775</f>
        <v>149.6547</v>
      </c>
    </row>
    <row r="3776" customFormat="false" ht="15" hidden="false" customHeight="false" outlineLevel="0" collapsed="false">
      <c r="B3776" s="7" t="s">
        <v>12409</v>
      </c>
      <c r="C3776" s="39" t="n">
        <v>45894</v>
      </c>
      <c r="D3776" s="7" t="s">
        <v>194</v>
      </c>
      <c r="E3776" s="7" t="s">
        <v>180</v>
      </c>
      <c r="F3776" s="6" t="n">
        <v>8.25</v>
      </c>
      <c r="G3776" s="6" t="n">
        <v>0</v>
      </c>
      <c r="H3776" s="41" t="n">
        <v>16</v>
      </c>
      <c r="I3776" s="43" t="n">
        <f aca="false">F3776*H3776</f>
        <v>132</v>
      </c>
      <c r="J3776" s="43" t="n">
        <f aca="false">G3776*H3776*1.5</f>
        <v>0</v>
      </c>
      <c r="K3776" s="6" t="n">
        <v>27.86</v>
      </c>
      <c r="L3776" s="43" t="n">
        <f aca="false">K3776*'Chart of Accounts'!$E$68</f>
        <v>18.6662</v>
      </c>
      <c r="O3776" s="42" t="n">
        <f aca="false">I3776+J3776+L3776</f>
        <v>150.6662</v>
      </c>
    </row>
    <row r="3777" customFormat="false" ht="15" hidden="false" customHeight="false" outlineLevel="0" collapsed="false">
      <c r="B3777" s="7" t="s">
        <v>12410</v>
      </c>
      <c r="C3777" s="39" t="n">
        <v>45894</v>
      </c>
      <c r="D3777" s="7" t="s">
        <v>214</v>
      </c>
      <c r="E3777" s="7" t="s">
        <v>180</v>
      </c>
      <c r="F3777" s="6" t="n">
        <v>11.48</v>
      </c>
      <c r="G3777" s="6" t="n">
        <v>0</v>
      </c>
      <c r="H3777" s="41" t="n">
        <v>15.67</v>
      </c>
      <c r="I3777" s="43" t="n">
        <f aca="false">F3777*H3777</f>
        <v>179.8916</v>
      </c>
      <c r="J3777" s="43" t="n">
        <f aca="false">G3777*H3777*1.5</f>
        <v>0</v>
      </c>
      <c r="K3777" s="6" t="n">
        <v>33.18</v>
      </c>
      <c r="L3777" s="43" t="n">
        <f aca="false">K3777*'Chart of Accounts'!$E$68</f>
        <v>22.2306</v>
      </c>
      <c r="O3777" s="42" t="n">
        <f aca="false">I3777+J3777+L3777</f>
        <v>202.1222</v>
      </c>
    </row>
    <row r="3778" customFormat="false" ht="15" hidden="false" customHeight="false" outlineLevel="0" collapsed="false">
      <c r="B3778" s="7" t="s">
        <v>12411</v>
      </c>
      <c r="C3778" s="39" t="n">
        <v>45894</v>
      </c>
      <c r="D3778" s="7" t="s">
        <v>201</v>
      </c>
      <c r="E3778" s="7" t="s">
        <v>180</v>
      </c>
      <c r="F3778" s="6" t="n">
        <v>8.95</v>
      </c>
      <c r="G3778" s="6" t="n">
        <v>0</v>
      </c>
      <c r="H3778" s="41" t="n">
        <v>15.19</v>
      </c>
      <c r="I3778" s="43" t="n">
        <f aca="false">F3778*H3778</f>
        <v>135.9505</v>
      </c>
      <c r="J3778" s="43" t="n">
        <f aca="false">G3778*H3778*1.5</f>
        <v>0</v>
      </c>
      <c r="K3778" s="6" t="n">
        <v>21.47</v>
      </c>
      <c r="L3778" s="43" t="n">
        <f aca="false">K3778*'Chart of Accounts'!$E$68</f>
        <v>14.3849</v>
      </c>
      <c r="O3778" s="42" t="n">
        <f aca="false">I3778+J3778+L3778</f>
        <v>150.3354</v>
      </c>
    </row>
    <row r="3779" customFormat="false" ht="15" hidden="false" customHeight="false" outlineLevel="0" collapsed="false">
      <c r="B3779" s="7" t="s">
        <v>12412</v>
      </c>
      <c r="C3779" s="39" t="n">
        <v>45894</v>
      </c>
      <c r="D3779" s="7" t="s">
        <v>205</v>
      </c>
      <c r="E3779" s="7" t="s">
        <v>180</v>
      </c>
      <c r="F3779" s="6" t="n">
        <v>4.03</v>
      </c>
      <c r="G3779" s="6" t="n">
        <v>0</v>
      </c>
      <c r="H3779" s="41" t="n">
        <v>16.36</v>
      </c>
      <c r="I3779" s="43" t="n">
        <f aca="false">F3779*H3779</f>
        <v>65.9308</v>
      </c>
      <c r="J3779" s="43" t="n">
        <f aca="false">G3779*H3779*1.5</f>
        <v>0</v>
      </c>
      <c r="K3779" s="6" t="n">
        <v>13.67</v>
      </c>
      <c r="L3779" s="43" t="n">
        <f aca="false">K3779*'Chart of Accounts'!$E$68</f>
        <v>9.1589</v>
      </c>
      <c r="O3779" s="42" t="n">
        <f aca="false">I3779+J3779+L3779</f>
        <v>75.0897</v>
      </c>
    </row>
    <row r="3780" customFormat="false" ht="15" hidden="false" customHeight="false" outlineLevel="0" collapsed="false">
      <c r="B3780" s="7" t="s">
        <v>12413</v>
      </c>
      <c r="C3780" s="39" t="n">
        <v>45894</v>
      </c>
      <c r="D3780" s="7" t="s">
        <v>264</v>
      </c>
      <c r="E3780" s="7" t="s">
        <v>158</v>
      </c>
      <c r="H3780" s="41" t="n">
        <v>55.55</v>
      </c>
      <c r="M3780" s="6" t="n">
        <v>1</v>
      </c>
      <c r="N3780" s="43" t="n">
        <f aca="false">M3780*H3780</f>
        <v>55.55</v>
      </c>
      <c r="O3780" s="42" t="n">
        <f aca="false">N3780</f>
        <v>55.55</v>
      </c>
    </row>
    <row r="3781" customFormat="false" ht="15" hidden="false" customHeight="false" outlineLevel="0" collapsed="false">
      <c r="B3781" s="7" t="s">
        <v>12414</v>
      </c>
      <c r="C3781" s="39" t="n">
        <v>45894</v>
      </c>
      <c r="D3781" s="7" t="s">
        <v>252</v>
      </c>
      <c r="E3781" s="7" t="s">
        <v>158</v>
      </c>
      <c r="H3781" s="41" t="n">
        <v>57.54</v>
      </c>
      <c r="M3781" s="6" t="n">
        <v>1</v>
      </c>
      <c r="N3781" s="43" t="n">
        <f aca="false">M3781*H3781</f>
        <v>57.54</v>
      </c>
      <c r="O3781" s="42" t="n">
        <f aca="false">N3781</f>
        <v>57.54</v>
      </c>
    </row>
    <row r="3782" customFormat="false" ht="15" hidden="false" customHeight="false" outlineLevel="0" collapsed="false">
      <c r="B3782" s="7" t="s">
        <v>12415</v>
      </c>
      <c r="C3782" s="39" t="n">
        <v>45894</v>
      </c>
      <c r="D3782" s="7" t="s">
        <v>196</v>
      </c>
      <c r="E3782" s="7" t="s">
        <v>180</v>
      </c>
      <c r="F3782" s="6" t="n">
        <v>8.395</v>
      </c>
      <c r="G3782" s="6" t="n">
        <v>1.625</v>
      </c>
      <c r="H3782" s="41" t="n">
        <v>15.05</v>
      </c>
      <c r="I3782" s="43" t="n">
        <f aca="false">F3782*H3782</f>
        <v>126.34475</v>
      </c>
      <c r="J3782" s="43" t="n">
        <f aca="false">G3782*H3782*1.5</f>
        <v>36.684375</v>
      </c>
      <c r="K3782" s="6" t="n">
        <v>26.6</v>
      </c>
      <c r="L3782" s="43" t="n">
        <f aca="false">K3782*'Chart of Accounts'!$E$68</f>
        <v>17.822</v>
      </c>
      <c r="O3782" s="42" t="n">
        <f aca="false">I3782+J3782+L3782</f>
        <v>180.851125</v>
      </c>
    </row>
    <row r="3783" customFormat="false" ht="15" hidden="false" customHeight="false" outlineLevel="0" collapsed="false">
      <c r="B3783" s="7" t="s">
        <v>12416</v>
      </c>
      <c r="C3783" s="39" t="n">
        <v>45894</v>
      </c>
      <c r="D3783" s="7" t="s">
        <v>184</v>
      </c>
      <c r="E3783" s="7" t="s">
        <v>180</v>
      </c>
      <c r="F3783" s="6" t="n">
        <v>9.619</v>
      </c>
      <c r="G3783" s="6" t="n">
        <v>0.731</v>
      </c>
      <c r="H3783" s="41" t="n">
        <v>17.34</v>
      </c>
      <c r="I3783" s="43" t="n">
        <f aca="false">F3783*H3783</f>
        <v>166.79346</v>
      </c>
      <c r="J3783" s="43" t="n">
        <f aca="false">G3783*H3783*1.5</f>
        <v>19.01331</v>
      </c>
      <c r="K3783" s="6" t="n">
        <v>30.62</v>
      </c>
      <c r="L3783" s="43" t="n">
        <f aca="false">K3783*'Chart of Accounts'!$E$68</f>
        <v>20.5154</v>
      </c>
      <c r="O3783" s="42" t="n">
        <f aca="false">I3783+J3783+L3783</f>
        <v>206.32217</v>
      </c>
    </row>
    <row r="3784" customFormat="false" ht="15" hidden="false" customHeight="false" outlineLevel="0" collapsed="false">
      <c r="B3784" s="7" t="s">
        <v>12417</v>
      </c>
      <c r="C3784" s="39" t="n">
        <v>45894</v>
      </c>
      <c r="D3784" s="7" t="s">
        <v>216</v>
      </c>
      <c r="E3784" s="7" t="s">
        <v>158</v>
      </c>
      <c r="H3784" s="41" t="n">
        <v>61.79</v>
      </c>
      <c r="M3784" s="6" t="n">
        <v>1</v>
      </c>
      <c r="N3784" s="43" t="n">
        <f aca="false">M3784*H3784</f>
        <v>61.79</v>
      </c>
      <c r="O3784" s="42" t="n">
        <f aca="false">N3784</f>
        <v>61.79</v>
      </c>
    </row>
    <row r="3785" customFormat="false" ht="15" hidden="false" customHeight="false" outlineLevel="0" collapsed="false">
      <c r="B3785" s="7" t="s">
        <v>12418</v>
      </c>
      <c r="C3785" s="39" t="n">
        <v>45894</v>
      </c>
      <c r="D3785" s="7" t="s">
        <v>207</v>
      </c>
      <c r="E3785" s="7" t="s">
        <v>180</v>
      </c>
      <c r="F3785" s="6" t="n">
        <v>5.97</v>
      </c>
      <c r="G3785" s="6" t="n">
        <v>0</v>
      </c>
      <c r="H3785" s="41" t="n">
        <v>16.65</v>
      </c>
      <c r="I3785" s="43" t="n">
        <f aca="false">F3785*H3785</f>
        <v>99.4005</v>
      </c>
      <c r="J3785" s="43" t="n">
        <f aca="false">G3785*H3785*1.5</f>
        <v>0</v>
      </c>
      <c r="K3785" s="6" t="n">
        <v>18.92</v>
      </c>
      <c r="L3785" s="43" t="n">
        <f aca="false">K3785*'Chart of Accounts'!$E$68</f>
        <v>12.6764</v>
      </c>
      <c r="O3785" s="42" t="n">
        <f aca="false">I3785+J3785+L3785</f>
        <v>112.0769</v>
      </c>
    </row>
    <row r="3786" customFormat="false" ht="15" hidden="false" customHeight="false" outlineLevel="0" collapsed="false">
      <c r="B3786" s="7" t="s">
        <v>12419</v>
      </c>
      <c r="C3786" s="39" t="n">
        <v>45894</v>
      </c>
      <c r="D3786" s="7" t="s">
        <v>218</v>
      </c>
      <c r="E3786" s="7" t="s">
        <v>180</v>
      </c>
      <c r="F3786" s="6" t="n">
        <v>4.19</v>
      </c>
      <c r="G3786" s="6" t="n">
        <v>0</v>
      </c>
      <c r="H3786" s="41" t="n">
        <v>16.19</v>
      </c>
      <c r="I3786" s="43" t="n">
        <f aca="false">F3786*H3786</f>
        <v>67.8361</v>
      </c>
      <c r="J3786" s="43" t="n">
        <f aca="false">G3786*H3786*1.5</f>
        <v>0</v>
      </c>
      <c r="K3786" s="6" t="n">
        <v>13.24</v>
      </c>
      <c r="L3786" s="43" t="n">
        <f aca="false">K3786*'Chart of Accounts'!$E$68</f>
        <v>8.8708</v>
      </c>
      <c r="O3786" s="42" t="n">
        <f aca="false">I3786+J3786+L3786</f>
        <v>76.7069</v>
      </c>
    </row>
    <row r="3787" customFormat="false" ht="15" hidden="false" customHeight="false" outlineLevel="0" collapsed="false">
      <c r="B3787" s="7" t="s">
        <v>12420</v>
      </c>
      <c r="C3787" s="39" t="n">
        <v>45894</v>
      </c>
      <c r="D3787" s="7" t="s">
        <v>224</v>
      </c>
      <c r="E3787" s="7" t="s">
        <v>180</v>
      </c>
      <c r="F3787" s="6" t="n">
        <v>8.9</v>
      </c>
      <c r="G3787" s="6" t="n">
        <v>0</v>
      </c>
      <c r="H3787" s="41" t="n">
        <v>14.93</v>
      </c>
      <c r="I3787" s="43" t="n">
        <f aca="false">F3787*H3787</f>
        <v>132.877</v>
      </c>
      <c r="J3787" s="43" t="n">
        <f aca="false">G3787*H3787*1.5</f>
        <v>0</v>
      </c>
      <c r="K3787" s="6" t="n">
        <v>26.44</v>
      </c>
      <c r="L3787" s="43" t="n">
        <f aca="false">K3787*'Chart of Accounts'!$E$68</f>
        <v>17.7148</v>
      </c>
      <c r="O3787" s="42" t="n">
        <f aca="false">I3787+J3787+L3787</f>
        <v>150.5918</v>
      </c>
    </row>
    <row r="3788" customFormat="false" ht="15" hidden="false" customHeight="false" outlineLevel="0" collapsed="false">
      <c r="B3788" s="7" t="s">
        <v>12421</v>
      </c>
      <c r="C3788" s="39" t="n">
        <v>45894</v>
      </c>
      <c r="D3788" s="7" t="s">
        <v>177</v>
      </c>
      <c r="E3788" s="7" t="s">
        <v>180</v>
      </c>
      <c r="F3788" s="6" t="n">
        <v>8.64</v>
      </c>
      <c r="G3788" s="6" t="n">
        <v>0</v>
      </c>
      <c r="H3788" s="41" t="n">
        <v>14.56</v>
      </c>
      <c r="I3788" s="43" t="n">
        <f aca="false">F3788*H3788</f>
        <v>125.7984</v>
      </c>
      <c r="J3788" s="43" t="n">
        <f aca="false">G3788*H3788*1.5</f>
        <v>0</v>
      </c>
      <c r="K3788" s="6" t="n">
        <v>23.09</v>
      </c>
      <c r="L3788" s="43" t="n">
        <f aca="false">K3788*'Chart of Accounts'!$E$68</f>
        <v>15.4703</v>
      </c>
      <c r="O3788" s="42" t="n">
        <f aca="false">I3788+J3788+L3788</f>
        <v>141.2687</v>
      </c>
    </row>
    <row r="3789" customFormat="false" ht="15" hidden="false" customHeight="false" outlineLevel="0" collapsed="false">
      <c r="B3789" s="7" t="s">
        <v>12422</v>
      </c>
      <c r="C3789" s="39" t="n">
        <v>45894</v>
      </c>
      <c r="D3789" s="7" t="s">
        <v>242</v>
      </c>
      <c r="E3789" s="7" t="s">
        <v>180</v>
      </c>
      <c r="F3789" s="6" t="n">
        <v>7.64</v>
      </c>
      <c r="G3789" s="6" t="n">
        <v>0</v>
      </c>
      <c r="H3789" s="41" t="n">
        <v>17.99</v>
      </c>
      <c r="I3789" s="43" t="n">
        <f aca="false">F3789*H3789</f>
        <v>137.4436</v>
      </c>
      <c r="J3789" s="43" t="n">
        <f aca="false">G3789*H3789*1.5</f>
        <v>0</v>
      </c>
      <c r="K3789" s="6" t="n">
        <v>19.74</v>
      </c>
      <c r="L3789" s="43" t="n">
        <f aca="false">K3789*'Chart of Accounts'!$E$68</f>
        <v>13.2258</v>
      </c>
      <c r="O3789" s="42" t="n">
        <f aca="false">I3789+J3789+L3789</f>
        <v>150.6694</v>
      </c>
    </row>
    <row r="3790" customFormat="false" ht="15" hidden="false" customHeight="false" outlineLevel="0" collapsed="false">
      <c r="B3790" s="7" t="s">
        <v>12423</v>
      </c>
      <c r="C3790" s="39" t="n">
        <v>45894</v>
      </c>
      <c r="D3790" s="7" t="s">
        <v>222</v>
      </c>
      <c r="E3790" s="7" t="s">
        <v>180</v>
      </c>
      <c r="F3790" s="6" t="n">
        <v>10.4</v>
      </c>
      <c r="G3790" s="6" t="n">
        <v>0</v>
      </c>
      <c r="H3790" s="41" t="n">
        <v>17.84</v>
      </c>
      <c r="I3790" s="43" t="n">
        <f aca="false">F3790*H3790</f>
        <v>185.536</v>
      </c>
      <c r="J3790" s="43" t="n">
        <f aca="false">G3790*H3790*1.5</f>
        <v>0</v>
      </c>
      <c r="K3790" s="6" t="n">
        <v>27.49</v>
      </c>
      <c r="L3790" s="43" t="n">
        <f aca="false">K3790*'Chart of Accounts'!$E$68</f>
        <v>18.4183</v>
      </c>
      <c r="O3790" s="42" t="n">
        <f aca="false">I3790+J3790+L3790</f>
        <v>203.9543</v>
      </c>
    </row>
    <row r="3791" customFormat="false" ht="15" hidden="false" customHeight="false" outlineLevel="0" collapsed="false">
      <c r="B3791" s="7" t="s">
        <v>12424</v>
      </c>
      <c r="C3791" s="39" t="n">
        <v>45894</v>
      </c>
      <c r="D3791" s="7" t="s">
        <v>254</v>
      </c>
      <c r="E3791" s="7" t="s">
        <v>180</v>
      </c>
      <c r="F3791" s="6" t="n">
        <v>11.035</v>
      </c>
      <c r="G3791" s="6" t="n">
        <v>0.635</v>
      </c>
      <c r="H3791" s="41" t="n">
        <v>17.1</v>
      </c>
      <c r="I3791" s="43" t="n">
        <f aca="false">F3791*H3791</f>
        <v>188.6985</v>
      </c>
      <c r="J3791" s="43" t="n">
        <f aca="false">G3791*H3791*1.5</f>
        <v>16.28775</v>
      </c>
      <c r="K3791" s="6" t="n">
        <v>39.89</v>
      </c>
      <c r="L3791" s="43" t="n">
        <f aca="false">K3791*'Chart of Accounts'!$E$68</f>
        <v>26.7263</v>
      </c>
      <c r="O3791" s="42" t="n">
        <f aca="false">I3791+J3791+L3791</f>
        <v>231.71255</v>
      </c>
    </row>
    <row r="3792" customFormat="false" ht="15" hidden="false" customHeight="false" outlineLevel="0" collapsed="false">
      <c r="B3792" s="7" t="s">
        <v>12425</v>
      </c>
      <c r="C3792" s="39" t="n">
        <v>45894</v>
      </c>
      <c r="D3792" s="7" t="s">
        <v>238</v>
      </c>
      <c r="E3792" s="7" t="s">
        <v>180</v>
      </c>
      <c r="F3792" s="6" t="n">
        <v>8.14</v>
      </c>
      <c r="G3792" s="6" t="n">
        <v>0</v>
      </c>
      <c r="H3792" s="41" t="n">
        <v>15.85</v>
      </c>
      <c r="I3792" s="43" t="n">
        <f aca="false">F3792*H3792</f>
        <v>129.019</v>
      </c>
      <c r="J3792" s="43" t="n">
        <f aca="false">G3792*H3792*1.5</f>
        <v>0</v>
      </c>
      <c r="K3792" s="6" t="n">
        <v>20.32</v>
      </c>
      <c r="L3792" s="43" t="n">
        <f aca="false">K3792*'Chart of Accounts'!$E$68</f>
        <v>13.6144</v>
      </c>
      <c r="O3792" s="42" t="n">
        <f aca="false">I3792+J3792+L3792</f>
        <v>142.6334</v>
      </c>
    </row>
    <row r="3793" customFormat="false" ht="15" hidden="false" customHeight="false" outlineLevel="0" collapsed="false">
      <c r="B3793" s="7" t="s">
        <v>12426</v>
      </c>
      <c r="C3793" s="39" t="n">
        <v>45894</v>
      </c>
      <c r="D3793" s="7" t="s">
        <v>246</v>
      </c>
      <c r="E3793" s="7" t="s">
        <v>180</v>
      </c>
      <c r="F3793" s="6" t="n">
        <v>12.01</v>
      </c>
      <c r="G3793" s="6" t="n">
        <v>0</v>
      </c>
      <c r="H3793" s="41" t="n">
        <v>16.48</v>
      </c>
      <c r="I3793" s="43" t="n">
        <f aca="false">F3793*H3793</f>
        <v>197.9248</v>
      </c>
      <c r="J3793" s="43" t="n">
        <f aca="false">G3793*H3793*1.5</f>
        <v>0</v>
      </c>
      <c r="K3793" s="6" t="n">
        <v>39.36</v>
      </c>
      <c r="L3793" s="43" t="n">
        <f aca="false">K3793*'Chart of Accounts'!$E$68</f>
        <v>26.3712</v>
      </c>
      <c r="O3793" s="42" t="n">
        <f aca="false">I3793+J3793+L3793</f>
        <v>224.296</v>
      </c>
    </row>
    <row r="3794" customFormat="false" ht="15" hidden="false" customHeight="false" outlineLevel="0" collapsed="false">
      <c r="B3794" s="7" t="s">
        <v>12427</v>
      </c>
      <c r="C3794" s="39" t="n">
        <v>45894</v>
      </c>
      <c r="D3794" s="7" t="s">
        <v>232</v>
      </c>
      <c r="E3794" s="7" t="s">
        <v>180</v>
      </c>
      <c r="F3794" s="6" t="n">
        <v>5.02</v>
      </c>
      <c r="G3794" s="6" t="n">
        <v>0</v>
      </c>
      <c r="H3794" s="41" t="n">
        <v>16.17</v>
      </c>
      <c r="I3794" s="43" t="n">
        <f aca="false">F3794*H3794</f>
        <v>81.1734</v>
      </c>
      <c r="J3794" s="43" t="n">
        <f aca="false">G3794*H3794*1.5</f>
        <v>0</v>
      </c>
      <c r="K3794" s="6" t="n">
        <v>17.33</v>
      </c>
      <c r="L3794" s="43" t="n">
        <f aca="false">K3794*'Chart of Accounts'!$E$68</f>
        <v>11.6111</v>
      </c>
      <c r="O3794" s="42" t="n">
        <f aca="false">I3794+J3794+L3794</f>
        <v>92.7845</v>
      </c>
    </row>
    <row r="3795" customFormat="false" ht="15" hidden="false" customHeight="false" outlineLevel="0" collapsed="false">
      <c r="B3795" s="7" t="s">
        <v>12428</v>
      </c>
      <c r="C3795" s="39" t="n">
        <v>45895</v>
      </c>
      <c r="D3795" s="7" t="s">
        <v>184</v>
      </c>
      <c r="E3795" s="7" t="s">
        <v>180</v>
      </c>
      <c r="F3795" s="6" t="n">
        <v>7.491</v>
      </c>
      <c r="G3795" s="6" t="n">
        <v>0.569</v>
      </c>
      <c r="H3795" s="41" t="n">
        <v>17.34</v>
      </c>
      <c r="I3795" s="43" t="n">
        <f aca="false">F3795*H3795</f>
        <v>129.89394</v>
      </c>
      <c r="J3795" s="43" t="n">
        <f aca="false">G3795*H3795*1.5</f>
        <v>14.79969</v>
      </c>
      <c r="K3795" s="6" t="n">
        <v>28.51</v>
      </c>
      <c r="L3795" s="43" t="n">
        <f aca="false">K3795*'Chart of Accounts'!$E$68</f>
        <v>19.1017</v>
      </c>
      <c r="O3795" s="42" t="n">
        <f aca="false">I3795+J3795+L3795</f>
        <v>163.79533</v>
      </c>
    </row>
    <row r="3796" customFormat="false" ht="15" hidden="false" customHeight="false" outlineLevel="0" collapsed="false">
      <c r="B3796" s="7" t="s">
        <v>12429</v>
      </c>
      <c r="C3796" s="39" t="n">
        <v>45895</v>
      </c>
      <c r="D3796" s="7" t="s">
        <v>209</v>
      </c>
      <c r="E3796" s="7" t="s">
        <v>158</v>
      </c>
      <c r="H3796" s="41" t="n">
        <v>73.58</v>
      </c>
      <c r="M3796" s="6" t="n">
        <v>2</v>
      </c>
      <c r="N3796" s="43" t="n">
        <f aca="false">M3796*H3796</f>
        <v>147.16</v>
      </c>
      <c r="O3796" s="42" t="n">
        <f aca="false">N3796</f>
        <v>147.16</v>
      </c>
    </row>
    <row r="3797" customFormat="false" ht="15" hidden="false" customHeight="false" outlineLevel="0" collapsed="false">
      <c r="B3797" s="7" t="s">
        <v>12430</v>
      </c>
      <c r="C3797" s="39" t="n">
        <v>45895</v>
      </c>
      <c r="D3797" s="7" t="s">
        <v>234</v>
      </c>
      <c r="E3797" s="7" t="s">
        <v>158</v>
      </c>
      <c r="H3797" s="41" t="n">
        <v>89.53</v>
      </c>
      <c r="M3797" s="6" t="n">
        <v>2</v>
      </c>
      <c r="N3797" s="43" t="n">
        <f aca="false">M3797*H3797</f>
        <v>179.06</v>
      </c>
      <c r="O3797" s="42" t="n">
        <f aca="false">N3797</f>
        <v>179.06</v>
      </c>
    </row>
    <row r="3798" customFormat="false" ht="15" hidden="false" customHeight="false" outlineLevel="0" collapsed="false">
      <c r="B3798" s="7" t="s">
        <v>12431</v>
      </c>
      <c r="C3798" s="39" t="n">
        <v>45895</v>
      </c>
      <c r="D3798" s="7" t="s">
        <v>218</v>
      </c>
      <c r="E3798" s="7" t="s">
        <v>180</v>
      </c>
      <c r="F3798" s="6" t="n">
        <v>4.19</v>
      </c>
      <c r="G3798" s="6" t="n">
        <v>0</v>
      </c>
      <c r="H3798" s="41" t="n">
        <v>16.19</v>
      </c>
      <c r="I3798" s="43" t="n">
        <f aca="false">F3798*H3798</f>
        <v>67.8361</v>
      </c>
      <c r="J3798" s="43" t="n">
        <f aca="false">G3798*H3798*1.5</f>
        <v>0</v>
      </c>
      <c r="K3798" s="6" t="n">
        <v>13.8</v>
      </c>
      <c r="L3798" s="43" t="n">
        <f aca="false">K3798*'Chart of Accounts'!$E$68</f>
        <v>9.246</v>
      </c>
      <c r="O3798" s="42" t="n">
        <f aca="false">I3798+J3798+L3798</f>
        <v>77.0821</v>
      </c>
    </row>
    <row r="3799" customFormat="false" ht="15" hidden="false" customHeight="false" outlineLevel="0" collapsed="false">
      <c r="B3799" s="7" t="s">
        <v>12432</v>
      </c>
      <c r="C3799" s="39" t="n">
        <v>45895</v>
      </c>
      <c r="D3799" s="7" t="s">
        <v>266</v>
      </c>
      <c r="E3799" s="7" t="s">
        <v>158</v>
      </c>
      <c r="H3799" s="41" t="n">
        <v>75.18</v>
      </c>
      <c r="M3799" s="6" t="n">
        <v>1</v>
      </c>
      <c r="N3799" s="43" t="n">
        <f aca="false">M3799*H3799</f>
        <v>75.18</v>
      </c>
      <c r="O3799" s="42" t="n">
        <f aca="false">N3799</f>
        <v>75.18</v>
      </c>
    </row>
    <row r="3800" customFormat="false" ht="15" hidden="false" customHeight="false" outlineLevel="0" collapsed="false">
      <c r="B3800" s="7" t="s">
        <v>12433</v>
      </c>
      <c r="C3800" s="39" t="n">
        <v>45895</v>
      </c>
      <c r="D3800" s="7" t="s">
        <v>228</v>
      </c>
      <c r="E3800" s="7" t="s">
        <v>158</v>
      </c>
      <c r="H3800" s="41" t="n">
        <v>51.07</v>
      </c>
      <c r="M3800" s="6" t="n">
        <v>1</v>
      </c>
      <c r="N3800" s="43" t="n">
        <f aca="false">M3800*H3800</f>
        <v>51.07</v>
      </c>
      <c r="O3800" s="42" t="n">
        <f aca="false">N3800</f>
        <v>51.07</v>
      </c>
    </row>
    <row r="3801" customFormat="false" ht="15" hidden="false" customHeight="false" outlineLevel="0" collapsed="false">
      <c r="B3801" s="7" t="s">
        <v>12434</v>
      </c>
      <c r="C3801" s="39" t="n">
        <v>45895</v>
      </c>
      <c r="D3801" s="7" t="s">
        <v>220</v>
      </c>
      <c r="E3801" s="7" t="s">
        <v>180</v>
      </c>
      <c r="F3801" s="6" t="n">
        <v>7.96</v>
      </c>
      <c r="G3801" s="6" t="n">
        <v>0</v>
      </c>
      <c r="H3801" s="41" t="n">
        <v>16.43</v>
      </c>
      <c r="I3801" s="43" t="n">
        <f aca="false">F3801*H3801</f>
        <v>130.7828</v>
      </c>
      <c r="J3801" s="43" t="n">
        <f aca="false">G3801*H3801*1.5</f>
        <v>0</v>
      </c>
      <c r="K3801" s="6" t="n">
        <v>28.25</v>
      </c>
      <c r="L3801" s="43" t="n">
        <f aca="false">K3801*'Chart of Accounts'!$E$68</f>
        <v>18.9275</v>
      </c>
      <c r="O3801" s="42" t="n">
        <f aca="false">I3801+J3801+L3801</f>
        <v>149.7103</v>
      </c>
    </row>
    <row r="3802" customFormat="false" ht="15" hidden="false" customHeight="false" outlineLevel="0" collapsed="false">
      <c r="B3802" s="7" t="s">
        <v>12435</v>
      </c>
      <c r="C3802" s="39" t="n">
        <v>45895</v>
      </c>
      <c r="D3802" s="7" t="s">
        <v>194</v>
      </c>
      <c r="E3802" s="7" t="s">
        <v>180</v>
      </c>
      <c r="F3802" s="6" t="n">
        <v>4.24</v>
      </c>
      <c r="G3802" s="6" t="n">
        <v>0</v>
      </c>
      <c r="H3802" s="41" t="n">
        <v>16</v>
      </c>
      <c r="I3802" s="43" t="n">
        <f aca="false">F3802*H3802</f>
        <v>67.84</v>
      </c>
      <c r="J3802" s="43" t="n">
        <f aca="false">G3802*H3802*1.5</f>
        <v>0</v>
      </c>
      <c r="K3802" s="6" t="n">
        <v>14.79</v>
      </c>
      <c r="L3802" s="43" t="n">
        <f aca="false">K3802*'Chart of Accounts'!$E$68</f>
        <v>9.9093</v>
      </c>
      <c r="O3802" s="42" t="n">
        <f aca="false">I3802+J3802+L3802</f>
        <v>77.7493</v>
      </c>
    </row>
    <row r="3803" customFormat="false" ht="15" hidden="false" customHeight="false" outlineLevel="0" collapsed="false">
      <c r="B3803" s="7" t="s">
        <v>12436</v>
      </c>
      <c r="C3803" s="39" t="n">
        <v>45895</v>
      </c>
      <c r="D3803" s="7" t="s">
        <v>258</v>
      </c>
      <c r="E3803" s="7" t="s">
        <v>158</v>
      </c>
      <c r="H3803" s="41" t="n">
        <v>61.61</v>
      </c>
      <c r="M3803" s="6" t="n">
        <v>1</v>
      </c>
      <c r="N3803" s="43" t="n">
        <f aca="false">M3803*H3803</f>
        <v>61.61</v>
      </c>
      <c r="O3803" s="42" t="n">
        <f aca="false">N3803</f>
        <v>61.61</v>
      </c>
    </row>
    <row r="3804" customFormat="false" ht="15" hidden="false" customHeight="false" outlineLevel="0" collapsed="false">
      <c r="B3804" s="7" t="s">
        <v>12437</v>
      </c>
      <c r="C3804" s="39" t="n">
        <v>45895</v>
      </c>
      <c r="D3804" s="7" t="s">
        <v>230</v>
      </c>
      <c r="E3804" s="7" t="s">
        <v>158</v>
      </c>
      <c r="H3804" s="41" t="n">
        <v>48.78</v>
      </c>
      <c r="M3804" s="6" t="n">
        <v>1</v>
      </c>
      <c r="N3804" s="43" t="n">
        <f aca="false">M3804*H3804</f>
        <v>48.78</v>
      </c>
      <c r="O3804" s="42" t="n">
        <f aca="false">N3804</f>
        <v>48.78</v>
      </c>
    </row>
    <row r="3805" customFormat="false" ht="15" hidden="false" customHeight="false" outlineLevel="0" collapsed="false">
      <c r="B3805" s="7" t="s">
        <v>12438</v>
      </c>
      <c r="C3805" s="39" t="n">
        <v>45895</v>
      </c>
      <c r="D3805" s="7" t="s">
        <v>196</v>
      </c>
      <c r="E3805" s="7" t="s">
        <v>180</v>
      </c>
      <c r="F3805" s="6" t="n">
        <v>3.125</v>
      </c>
      <c r="G3805" s="6" t="n">
        <v>0.605</v>
      </c>
      <c r="H3805" s="41" t="n">
        <v>15.05</v>
      </c>
      <c r="I3805" s="43" t="n">
        <f aca="false">F3805*H3805</f>
        <v>47.03125</v>
      </c>
      <c r="J3805" s="43" t="n">
        <f aca="false">G3805*H3805*1.5</f>
        <v>13.657875</v>
      </c>
      <c r="K3805" s="6" t="n">
        <v>10.92</v>
      </c>
      <c r="L3805" s="43" t="n">
        <f aca="false">K3805*'Chart of Accounts'!$E$68</f>
        <v>7.3164</v>
      </c>
      <c r="O3805" s="42" t="n">
        <f aca="false">I3805+J3805+L3805</f>
        <v>68.005525</v>
      </c>
    </row>
    <row r="3806" customFormat="false" ht="15" hidden="false" customHeight="false" outlineLevel="0" collapsed="false">
      <c r="B3806" s="7" t="s">
        <v>12439</v>
      </c>
      <c r="C3806" s="39" t="n">
        <v>45895</v>
      </c>
      <c r="D3806" s="7" t="s">
        <v>246</v>
      </c>
      <c r="E3806" s="7" t="s">
        <v>180</v>
      </c>
      <c r="F3806" s="6" t="n">
        <v>4.2</v>
      </c>
      <c r="G3806" s="6" t="n">
        <v>0</v>
      </c>
      <c r="H3806" s="41" t="n">
        <v>16.48</v>
      </c>
      <c r="I3806" s="43" t="n">
        <f aca="false">F3806*H3806</f>
        <v>69.216</v>
      </c>
      <c r="J3806" s="43" t="n">
        <f aca="false">G3806*H3806*1.5</f>
        <v>0</v>
      </c>
      <c r="K3806" s="6" t="n">
        <v>10.21</v>
      </c>
      <c r="L3806" s="43" t="n">
        <f aca="false">K3806*'Chart of Accounts'!$E$68</f>
        <v>6.8407</v>
      </c>
      <c r="O3806" s="42" t="n">
        <f aca="false">I3806+J3806+L3806</f>
        <v>76.0567</v>
      </c>
    </row>
    <row r="3807" customFormat="false" ht="15" hidden="false" customHeight="false" outlineLevel="0" collapsed="false">
      <c r="B3807" s="7" t="s">
        <v>12440</v>
      </c>
      <c r="C3807" s="39" t="n">
        <v>45895</v>
      </c>
      <c r="D3807" s="7" t="s">
        <v>222</v>
      </c>
      <c r="E3807" s="7" t="s">
        <v>180</v>
      </c>
      <c r="F3807" s="6" t="n">
        <v>3.76</v>
      </c>
      <c r="G3807" s="6" t="n">
        <v>0</v>
      </c>
      <c r="H3807" s="41" t="n">
        <v>17.84</v>
      </c>
      <c r="I3807" s="43" t="n">
        <f aca="false">F3807*H3807</f>
        <v>67.0784</v>
      </c>
      <c r="J3807" s="43" t="n">
        <f aca="false">G3807*H3807*1.5</f>
        <v>0</v>
      </c>
      <c r="K3807" s="6" t="n">
        <v>12.23</v>
      </c>
      <c r="L3807" s="43" t="n">
        <f aca="false">K3807*'Chart of Accounts'!$E$68</f>
        <v>8.1941</v>
      </c>
      <c r="O3807" s="42" t="n">
        <f aca="false">I3807+J3807+L3807</f>
        <v>75.2725</v>
      </c>
    </row>
    <row r="3808" customFormat="false" ht="15" hidden="false" customHeight="false" outlineLevel="0" collapsed="false">
      <c r="B3808" s="7" t="s">
        <v>12441</v>
      </c>
      <c r="C3808" s="39" t="n">
        <v>45895</v>
      </c>
      <c r="D3808" s="7" t="s">
        <v>242</v>
      </c>
      <c r="E3808" s="7" t="s">
        <v>180</v>
      </c>
      <c r="F3808" s="6" t="n">
        <v>4.01</v>
      </c>
      <c r="G3808" s="6" t="n">
        <v>0</v>
      </c>
      <c r="H3808" s="41" t="n">
        <v>17.99</v>
      </c>
      <c r="I3808" s="43" t="n">
        <f aca="false">F3808*H3808</f>
        <v>72.1399</v>
      </c>
      <c r="J3808" s="43" t="n">
        <f aca="false">G3808*H3808*1.5</f>
        <v>0</v>
      </c>
      <c r="K3808" s="6" t="n">
        <v>11.23</v>
      </c>
      <c r="L3808" s="43" t="n">
        <f aca="false">K3808*'Chart of Accounts'!$E$68</f>
        <v>7.5241</v>
      </c>
      <c r="O3808" s="42" t="n">
        <f aca="false">I3808+J3808+L3808</f>
        <v>79.664</v>
      </c>
    </row>
    <row r="3809" customFormat="false" ht="15" hidden="false" customHeight="false" outlineLevel="0" collapsed="false">
      <c r="B3809" s="7" t="s">
        <v>12442</v>
      </c>
      <c r="C3809" s="39" t="n">
        <v>45895</v>
      </c>
      <c r="D3809" s="7" t="s">
        <v>203</v>
      </c>
      <c r="E3809" s="7" t="s">
        <v>158</v>
      </c>
      <c r="H3809" s="41" t="n">
        <v>49.43</v>
      </c>
      <c r="M3809" s="6" t="n">
        <v>1</v>
      </c>
      <c r="N3809" s="43" t="n">
        <f aca="false">M3809*H3809</f>
        <v>49.43</v>
      </c>
      <c r="O3809" s="42" t="n">
        <f aca="false">N3809</f>
        <v>49.43</v>
      </c>
    </row>
    <row r="3810" customFormat="false" ht="15" hidden="false" customHeight="false" outlineLevel="0" collapsed="false">
      <c r="B3810" s="7" t="s">
        <v>12443</v>
      </c>
      <c r="C3810" s="39" t="n">
        <v>45895</v>
      </c>
      <c r="D3810" s="7" t="s">
        <v>254</v>
      </c>
      <c r="E3810" s="7" t="s">
        <v>180</v>
      </c>
      <c r="F3810" s="6" t="n">
        <v>3.47</v>
      </c>
      <c r="G3810" s="6" t="n">
        <v>0.2</v>
      </c>
      <c r="H3810" s="41" t="n">
        <v>17.1</v>
      </c>
      <c r="I3810" s="43" t="n">
        <f aca="false">F3810*H3810</f>
        <v>59.337</v>
      </c>
      <c r="J3810" s="43" t="n">
        <f aca="false">G3810*H3810*1.5</f>
        <v>5.13</v>
      </c>
      <c r="K3810" s="6" t="n">
        <v>10.86</v>
      </c>
      <c r="L3810" s="43" t="n">
        <f aca="false">K3810*'Chart of Accounts'!$E$68</f>
        <v>7.2762</v>
      </c>
      <c r="O3810" s="42" t="n">
        <f aca="false">I3810+J3810+L3810</f>
        <v>71.7432</v>
      </c>
    </row>
    <row r="3811" customFormat="false" ht="15" hidden="false" customHeight="false" outlineLevel="0" collapsed="false">
      <c r="B3811" s="7" t="s">
        <v>12444</v>
      </c>
      <c r="C3811" s="39" t="n">
        <v>45895</v>
      </c>
      <c r="D3811" s="7" t="s">
        <v>260</v>
      </c>
      <c r="E3811" s="7" t="s">
        <v>158</v>
      </c>
      <c r="H3811" s="41" t="n">
        <v>79.8</v>
      </c>
      <c r="M3811" s="6" t="n">
        <v>1</v>
      </c>
      <c r="N3811" s="43" t="n">
        <f aca="false">M3811*H3811</f>
        <v>79.8</v>
      </c>
      <c r="O3811" s="42" t="n">
        <f aca="false">N3811</f>
        <v>79.8</v>
      </c>
    </row>
    <row r="3812" customFormat="false" ht="15" hidden="false" customHeight="false" outlineLevel="0" collapsed="false">
      <c r="B3812" s="7" t="s">
        <v>12445</v>
      </c>
      <c r="C3812" s="39" t="n">
        <v>45896</v>
      </c>
      <c r="D3812" s="7" t="s">
        <v>196</v>
      </c>
      <c r="E3812" s="7" t="s">
        <v>180</v>
      </c>
      <c r="F3812" s="6" t="n">
        <v>6.996</v>
      </c>
      <c r="G3812" s="6" t="n">
        <v>1.354</v>
      </c>
      <c r="H3812" s="41" t="n">
        <v>15.05</v>
      </c>
      <c r="I3812" s="43" t="n">
        <f aca="false">F3812*H3812</f>
        <v>105.2898</v>
      </c>
      <c r="J3812" s="43" t="n">
        <f aca="false">G3812*H3812*1.5</f>
        <v>30.56655</v>
      </c>
      <c r="K3812" s="6" t="n">
        <v>28.99</v>
      </c>
      <c r="L3812" s="43" t="n">
        <f aca="false">K3812*'Chart of Accounts'!$E$68</f>
        <v>19.4233</v>
      </c>
      <c r="O3812" s="42" t="n">
        <f aca="false">I3812+J3812+L3812</f>
        <v>155.27965</v>
      </c>
    </row>
    <row r="3813" customFormat="false" ht="15" hidden="false" customHeight="false" outlineLevel="0" collapsed="false">
      <c r="B3813" s="7" t="s">
        <v>12446</v>
      </c>
      <c r="C3813" s="39" t="n">
        <v>45896</v>
      </c>
      <c r="D3813" s="7" t="s">
        <v>194</v>
      </c>
      <c r="E3813" s="7" t="s">
        <v>180</v>
      </c>
      <c r="F3813" s="6" t="n">
        <v>8.14</v>
      </c>
      <c r="G3813" s="6" t="n">
        <v>0</v>
      </c>
      <c r="H3813" s="41" t="n">
        <v>16</v>
      </c>
      <c r="I3813" s="43" t="n">
        <f aca="false">F3813*H3813</f>
        <v>130.24</v>
      </c>
      <c r="J3813" s="43" t="n">
        <f aca="false">G3813*H3813*1.5</f>
        <v>0</v>
      </c>
      <c r="K3813" s="6" t="n">
        <v>24.15</v>
      </c>
      <c r="L3813" s="43" t="n">
        <f aca="false">K3813*'Chart of Accounts'!$E$68</f>
        <v>16.1805</v>
      </c>
      <c r="O3813" s="42" t="n">
        <f aca="false">I3813+J3813+L3813</f>
        <v>146.4205</v>
      </c>
    </row>
    <row r="3814" customFormat="false" ht="15" hidden="false" customHeight="false" outlineLevel="0" collapsed="false">
      <c r="B3814" s="7" t="s">
        <v>12447</v>
      </c>
      <c r="C3814" s="39" t="n">
        <v>45896</v>
      </c>
      <c r="D3814" s="7" t="s">
        <v>214</v>
      </c>
      <c r="E3814" s="7" t="s">
        <v>180</v>
      </c>
      <c r="F3814" s="6" t="n">
        <v>7.59</v>
      </c>
      <c r="G3814" s="6" t="n">
        <v>0</v>
      </c>
      <c r="H3814" s="41" t="n">
        <v>15.67</v>
      </c>
      <c r="I3814" s="43" t="n">
        <f aca="false">F3814*H3814</f>
        <v>118.9353</v>
      </c>
      <c r="J3814" s="43" t="n">
        <f aca="false">G3814*H3814*1.5</f>
        <v>0</v>
      </c>
      <c r="K3814" s="6" t="n">
        <v>21.89</v>
      </c>
      <c r="L3814" s="43" t="n">
        <f aca="false">K3814*'Chart of Accounts'!$E$68</f>
        <v>14.6663</v>
      </c>
      <c r="O3814" s="42" t="n">
        <f aca="false">I3814+J3814+L3814</f>
        <v>133.6016</v>
      </c>
    </row>
    <row r="3815" customFormat="false" ht="15" hidden="false" customHeight="false" outlineLevel="0" collapsed="false">
      <c r="B3815" s="7" t="s">
        <v>12448</v>
      </c>
      <c r="C3815" s="39" t="n">
        <v>45896</v>
      </c>
      <c r="D3815" s="7" t="s">
        <v>205</v>
      </c>
      <c r="E3815" s="7" t="s">
        <v>180</v>
      </c>
      <c r="F3815" s="6" t="n">
        <v>3.64</v>
      </c>
      <c r="G3815" s="6" t="n">
        <v>0</v>
      </c>
      <c r="H3815" s="41" t="n">
        <v>16.36</v>
      </c>
      <c r="I3815" s="43" t="n">
        <f aca="false">F3815*H3815</f>
        <v>59.5504</v>
      </c>
      <c r="J3815" s="43" t="n">
        <f aca="false">G3815*H3815*1.5</f>
        <v>0</v>
      </c>
      <c r="K3815" s="6" t="n">
        <v>10.03</v>
      </c>
      <c r="L3815" s="43" t="n">
        <f aca="false">K3815*'Chart of Accounts'!$E$68</f>
        <v>6.7201</v>
      </c>
      <c r="O3815" s="42" t="n">
        <f aca="false">I3815+J3815+L3815</f>
        <v>66.2705</v>
      </c>
    </row>
    <row r="3816" customFormat="false" ht="15" hidden="false" customHeight="false" outlineLevel="0" collapsed="false">
      <c r="B3816" s="7" t="s">
        <v>12449</v>
      </c>
      <c r="C3816" s="39" t="n">
        <v>45896</v>
      </c>
      <c r="D3816" s="7" t="s">
        <v>264</v>
      </c>
      <c r="E3816" s="7" t="s">
        <v>158</v>
      </c>
      <c r="H3816" s="41" t="n">
        <v>55.55</v>
      </c>
      <c r="M3816" s="6" t="n">
        <v>1</v>
      </c>
      <c r="N3816" s="43" t="n">
        <f aca="false">M3816*H3816</f>
        <v>55.55</v>
      </c>
      <c r="O3816" s="42" t="n">
        <f aca="false">N3816</f>
        <v>55.55</v>
      </c>
    </row>
    <row r="3817" customFormat="false" ht="15" hidden="false" customHeight="false" outlineLevel="0" collapsed="false">
      <c r="B3817" s="7" t="s">
        <v>12450</v>
      </c>
      <c r="C3817" s="39" t="n">
        <v>45896</v>
      </c>
      <c r="D3817" s="7" t="s">
        <v>252</v>
      </c>
      <c r="E3817" s="7" t="s">
        <v>158</v>
      </c>
      <c r="H3817" s="41" t="n">
        <v>57.54</v>
      </c>
      <c r="M3817" s="6" t="n">
        <v>1</v>
      </c>
      <c r="N3817" s="43" t="n">
        <f aca="false">M3817*H3817</f>
        <v>57.54</v>
      </c>
      <c r="O3817" s="42" t="n">
        <f aca="false">N3817</f>
        <v>57.54</v>
      </c>
    </row>
    <row r="3818" customFormat="false" ht="15" hidden="false" customHeight="false" outlineLevel="0" collapsed="false">
      <c r="B3818" s="7" t="s">
        <v>12451</v>
      </c>
      <c r="C3818" s="39" t="n">
        <v>45896</v>
      </c>
      <c r="D3818" s="7" t="s">
        <v>184</v>
      </c>
      <c r="E3818" s="7" t="s">
        <v>180</v>
      </c>
      <c r="F3818" s="6" t="n">
        <v>7.807</v>
      </c>
      <c r="G3818" s="6" t="n">
        <v>0.593</v>
      </c>
      <c r="H3818" s="41" t="n">
        <v>17.34</v>
      </c>
      <c r="I3818" s="43" t="n">
        <f aca="false">F3818*H3818</f>
        <v>135.37338</v>
      </c>
      <c r="J3818" s="43" t="n">
        <f aca="false">G3818*H3818*1.5</f>
        <v>15.42393</v>
      </c>
      <c r="K3818" s="6" t="n">
        <v>25.1</v>
      </c>
      <c r="L3818" s="43" t="n">
        <f aca="false">K3818*'Chart of Accounts'!$E$68</f>
        <v>16.817</v>
      </c>
      <c r="O3818" s="42" t="n">
        <f aca="false">I3818+J3818+L3818</f>
        <v>167.61431</v>
      </c>
    </row>
    <row r="3819" customFormat="false" ht="15" hidden="false" customHeight="false" outlineLevel="0" collapsed="false">
      <c r="B3819" s="7" t="s">
        <v>12452</v>
      </c>
      <c r="C3819" s="39" t="n">
        <v>45896</v>
      </c>
      <c r="D3819" s="7" t="s">
        <v>216</v>
      </c>
      <c r="E3819" s="7" t="s">
        <v>158</v>
      </c>
      <c r="H3819" s="41" t="n">
        <v>61.79</v>
      </c>
      <c r="M3819" s="6" t="n">
        <v>1</v>
      </c>
      <c r="N3819" s="43" t="n">
        <f aca="false">M3819*H3819</f>
        <v>61.79</v>
      </c>
      <c r="O3819" s="42" t="n">
        <f aca="false">N3819</f>
        <v>61.79</v>
      </c>
    </row>
    <row r="3820" customFormat="false" ht="15" hidden="false" customHeight="false" outlineLevel="0" collapsed="false">
      <c r="B3820" s="7" t="s">
        <v>12453</v>
      </c>
      <c r="C3820" s="39" t="n">
        <v>45896</v>
      </c>
      <c r="D3820" s="7" t="s">
        <v>218</v>
      </c>
      <c r="E3820" s="7" t="s">
        <v>180</v>
      </c>
      <c r="F3820" s="6" t="n">
        <v>4.35</v>
      </c>
      <c r="G3820" s="6" t="n">
        <v>0</v>
      </c>
      <c r="H3820" s="41" t="n">
        <v>16.19</v>
      </c>
      <c r="I3820" s="43" t="n">
        <f aca="false">F3820*H3820</f>
        <v>70.4265</v>
      </c>
      <c r="J3820" s="43" t="n">
        <f aca="false">G3820*H3820*1.5</f>
        <v>0</v>
      </c>
      <c r="K3820" s="6" t="n">
        <v>13.44</v>
      </c>
      <c r="L3820" s="43" t="n">
        <f aca="false">K3820*'Chart of Accounts'!$E$68</f>
        <v>9.0048</v>
      </c>
      <c r="O3820" s="42" t="n">
        <f aca="false">I3820+J3820+L3820</f>
        <v>79.4313</v>
      </c>
    </row>
    <row r="3821" customFormat="false" ht="15" hidden="false" customHeight="false" outlineLevel="0" collapsed="false">
      <c r="B3821" s="7" t="s">
        <v>12454</v>
      </c>
      <c r="C3821" s="39" t="n">
        <v>45896</v>
      </c>
      <c r="D3821" s="7" t="s">
        <v>220</v>
      </c>
      <c r="E3821" s="7" t="s">
        <v>180</v>
      </c>
      <c r="F3821" s="6" t="n">
        <v>4.18</v>
      </c>
      <c r="G3821" s="6" t="n">
        <v>0</v>
      </c>
      <c r="H3821" s="41" t="n">
        <v>16.43</v>
      </c>
      <c r="I3821" s="43" t="n">
        <f aca="false">F3821*H3821</f>
        <v>68.6774</v>
      </c>
      <c r="J3821" s="43" t="n">
        <f aca="false">G3821*H3821*1.5</f>
        <v>0</v>
      </c>
      <c r="K3821" s="6" t="n">
        <v>10.05</v>
      </c>
      <c r="L3821" s="43" t="n">
        <f aca="false">K3821*'Chart of Accounts'!$E$68</f>
        <v>6.7335</v>
      </c>
      <c r="O3821" s="42" t="n">
        <f aca="false">I3821+J3821+L3821</f>
        <v>75.4109</v>
      </c>
    </row>
    <row r="3822" customFormat="false" ht="15" hidden="false" customHeight="false" outlineLevel="0" collapsed="false">
      <c r="B3822" s="7" t="s">
        <v>12455</v>
      </c>
      <c r="C3822" s="39" t="n">
        <v>45896</v>
      </c>
      <c r="D3822" s="7" t="s">
        <v>177</v>
      </c>
      <c r="E3822" s="7" t="s">
        <v>180</v>
      </c>
      <c r="F3822" s="6" t="n">
        <v>8.3</v>
      </c>
      <c r="G3822" s="6" t="n">
        <v>0</v>
      </c>
      <c r="H3822" s="41" t="n">
        <v>14.56</v>
      </c>
      <c r="I3822" s="43" t="n">
        <f aca="false">F3822*H3822</f>
        <v>120.848</v>
      </c>
      <c r="J3822" s="43" t="n">
        <f aca="false">G3822*H3822*1.5</f>
        <v>0</v>
      </c>
      <c r="K3822" s="6" t="n">
        <v>21.05</v>
      </c>
      <c r="L3822" s="43" t="n">
        <f aca="false">K3822*'Chart of Accounts'!$E$68</f>
        <v>14.1035</v>
      </c>
      <c r="O3822" s="42" t="n">
        <f aca="false">I3822+J3822+L3822</f>
        <v>134.9515</v>
      </c>
    </row>
    <row r="3823" customFormat="false" ht="15" hidden="false" customHeight="false" outlineLevel="0" collapsed="false">
      <c r="B3823" s="7" t="s">
        <v>12456</v>
      </c>
      <c r="C3823" s="39" t="n">
        <v>45896</v>
      </c>
      <c r="D3823" s="7" t="s">
        <v>242</v>
      </c>
      <c r="E3823" s="7" t="s">
        <v>180</v>
      </c>
      <c r="F3823" s="6" t="n">
        <v>7.19</v>
      </c>
      <c r="G3823" s="6" t="n">
        <v>0</v>
      </c>
      <c r="H3823" s="41" t="n">
        <v>17.99</v>
      </c>
      <c r="I3823" s="43" t="n">
        <f aca="false">F3823*H3823</f>
        <v>129.3481</v>
      </c>
      <c r="J3823" s="43" t="n">
        <f aca="false">G3823*H3823*1.5</f>
        <v>0</v>
      </c>
      <c r="K3823" s="6" t="n">
        <v>15.99</v>
      </c>
      <c r="L3823" s="43" t="n">
        <f aca="false">K3823*'Chart of Accounts'!$E$68</f>
        <v>10.7133</v>
      </c>
      <c r="O3823" s="42" t="n">
        <f aca="false">I3823+J3823+L3823</f>
        <v>140.0614</v>
      </c>
    </row>
    <row r="3824" customFormat="false" ht="15" hidden="false" customHeight="false" outlineLevel="0" collapsed="false">
      <c r="B3824" s="7" t="s">
        <v>12457</v>
      </c>
      <c r="C3824" s="39" t="n">
        <v>45896</v>
      </c>
      <c r="D3824" s="7" t="s">
        <v>238</v>
      </c>
      <c r="E3824" s="7" t="s">
        <v>180</v>
      </c>
      <c r="F3824" s="6" t="n">
        <v>8.61</v>
      </c>
      <c r="G3824" s="6" t="n">
        <v>0</v>
      </c>
      <c r="H3824" s="41" t="n">
        <v>15.85</v>
      </c>
      <c r="I3824" s="43" t="n">
        <f aca="false">F3824*H3824</f>
        <v>136.4685</v>
      </c>
      <c r="J3824" s="43" t="n">
        <f aca="false">G3824*H3824*1.5</f>
        <v>0</v>
      </c>
      <c r="K3824" s="6" t="n">
        <v>22.05</v>
      </c>
      <c r="L3824" s="43" t="n">
        <f aca="false">K3824*'Chart of Accounts'!$E$68</f>
        <v>14.7735</v>
      </c>
      <c r="O3824" s="42" t="n">
        <f aca="false">I3824+J3824+L3824</f>
        <v>151.242</v>
      </c>
    </row>
    <row r="3825" customFormat="false" ht="15" hidden="false" customHeight="false" outlineLevel="0" collapsed="false">
      <c r="B3825" s="7" t="s">
        <v>12458</v>
      </c>
      <c r="C3825" s="39" t="n">
        <v>45896</v>
      </c>
      <c r="D3825" s="7" t="s">
        <v>254</v>
      </c>
      <c r="E3825" s="7" t="s">
        <v>180</v>
      </c>
      <c r="F3825" s="6" t="n">
        <v>6.742</v>
      </c>
      <c r="G3825" s="6" t="n">
        <v>0.388</v>
      </c>
      <c r="H3825" s="41" t="n">
        <v>17.1</v>
      </c>
      <c r="I3825" s="43" t="n">
        <f aca="false">F3825*H3825</f>
        <v>115.2882</v>
      </c>
      <c r="J3825" s="43" t="n">
        <f aca="false">G3825*H3825*1.5</f>
        <v>9.9522</v>
      </c>
      <c r="K3825" s="6" t="n">
        <v>18.04</v>
      </c>
      <c r="L3825" s="43" t="n">
        <f aca="false">K3825*'Chart of Accounts'!$E$68</f>
        <v>12.0868</v>
      </c>
      <c r="O3825" s="42" t="n">
        <f aca="false">I3825+J3825+L3825</f>
        <v>137.3272</v>
      </c>
    </row>
    <row r="3826" customFormat="false" ht="15" hidden="false" customHeight="false" outlineLevel="0" collapsed="false">
      <c r="B3826" s="7" t="s">
        <v>12459</v>
      </c>
      <c r="C3826" s="39" t="n">
        <v>45896</v>
      </c>
      <c r="D3826" s="7" t="s">
        <v>201</v>
      </c>
      <c r="E3826" s="7" t="s">
        <v>180</v>
      </c>
      <c r="F3826" s="6" t="n">
        <v>10.16</v>
      </c>
      <c r="G3826" s="6" t="n">
        <v>0</v>
      </c>
      <c r="H3826" s="41" t="n">
        <v>15.19</v>
      </c>
      <c r="I3826" s="43" t="n">
        <f aca="false">F3826*H3826</f>
        <v>154.3304</v>
      </c>
      <c r="J3826" s="43" t="n">
        <f aca="false">G3826*H3826*1.5</f>
        <v>0</v>
      </c>
      <c r="K3826" s="6" t="n">
        <v>25.98</v>
      </c>
      <c r="L3826" s="43" t="n">
        <f aca="false">K3826*'Chart of Accounts'!$E$68</f>
        <v>17.4066</v>
      </c>
      <c r="O3826" s="42" t="n">
        <f aca="false">I3826+J3826+L3826</f>
        <v>171.737</v>
      </c>
    </row>
    <row r="3827" customFormat="false" ht="15" hidden="false" customHeight="false" outlineLevel="0" collapsed="false">
      <c r="B3827" s="7" t="s">
        <v>12460</v>
      </c>
      <c r="C3827" s="39" t="n">
        <v>45896</v>
      </c>
      <c r="D3827" s="7" t="s">
        <v>207</v>
      </c>
      <c r="E3827" s="7" t="s">
        <v>180</v>
      </c>
      <c r="F3827" s="6" t="n">
        <v>3.42</v>
      </c>
      <c r="G3827" s="6" t="n">
        <v>0</v>
      </c>
      <c r="H3827" s="41" t="n">
        <v>16.65</v>
      </c>
      <c r="I3827" s="43" t="n">
        <f aca="false">F3827*H3827</f>
        <v>56.943</v>
      </c>
      <c r="J3827" s="43" t="n">
        <f aca="false">G3827*H3827*1.5</f>
        <v>0</v>
      </c>
      <c r="K3827" s="6" t="n">
        <v>9.27</v>
      </c>
      <c r="L3827" s="43" t="n">
        <f aca="false">K3827*'Chart of Accounts'!$E$68</f>
        <v>6.2109</v>
      </c>
      <c r="O3827" s="42" t="n">
        <f aca="false">I3827+J3827+L3827</f>
        <v>63.1539</v>
      </c>
    </row>
    <row r="3828" customFormat="false" ht="15" hidden="false" customHeight="false" outlineLevel="0" collapsed="false">
      <c r="B3828" s="7" t="s">
        <v>12461</v>
      </c>
      <c r="C3828" s="39" t="n">
        <v>45896</v>
      </c>
      <c r="D3828" s="7" t="s">
        <v>232</v>
      </c>
      <c r="E3828" s="7" t="s">
        <v>180</v>
      </c>
      <c r="F3828" s="6" t="n">
        <v>4.75</v>
      </c>
      <c r="G3828" s="6" t="n">
        <v>0</v>
      </c>
      <c r="H3828" s="41" t="n">
        <v>16.17</v>
      </c>
      <c r="I3828" s="43" t="n">
        <f aca="false">F3828*H3828</f>
        <v>76.8075</v>
      </c>
      <c r="J3828" s="43" t="n">
        <f aca="false">G3828*H3828*1.5</f>
        <v>0</v>
      </c>
      <c r="K3828" s="6" t="n">
        <v>12.52</v>
      </c>
      <c r="L3828" s="43" t="n">
        <f aca="false">K3828*'Chart of Accounts'!$E$68</f>
        <v>8.3884</v>
      </c>
      <c r="O3828" s="42" t="n">
        <f aca="false">I3828+J3828+L3828</f>
        <v>85.1959</v>
      </c>
    </row>
    <row r="3829" customFormat="false" ht="15" hidden="false" customHeight="false" outlineLevel="0" collapsed="false">
      <c r="B3829" s="7" t="s">
        <v>12462</v>
      </c>
      <c r="C3829" s="39" t="n">
        <v>45896</v>
      </c>
      <c r="D3829" s="7" t="s">
        <v>224</v>
      </c>
      <c r="E3829" s="7" t="s">
        <v>180</v>
      </c>
      <c r="F3829" s="6" t="n">
        <v>5.1</v>
      </c>
      <c r="G3829" s="6" t="n">
        <v>0</v>
      </c>
      <c r="H3829" s="41" t="n">
        <v>14.93</v>
      </c>
      <c r="I3829" s="43" t="n">
        <f aca="false">F3829*H3829</f>
        <v>76.143</v>
      </c>
      <c r="J3829" s="43" t="n">
        <f aca="false">G3829*H3829*1.5</f>
        <v>0</v>
      </c>
      <c r="K3829" s="6" t="n">
        <v>14.23</v>
      </c>
      <c r="L3829" s="43" t="n">
        <f aca="false">K3829*'Chart of Accounts'!$E$68</f>
        <v>9.5341</v>
      </c>
      <c r="O3829" s="42" t="n">
        <f aca="false">I3829+J3829+L3829</f>
        <v>85.6771</v>
      </c>
    </row>
    <row r="3830" customFormat="false" ht="15" hidden="false" customHeight="false" outlineLevel="0" collapsed="false">
      <c r="B3830" s="7" t="s">
        <v>12463</v>
      </c>
      <c r="C3830" s="39" t="n">
        <v>45896</v>
      </c>
      <c r="D3830" s="7" t="s">
        <v>246</v>
      </c>
      <c r="E3830" s="7" t="s">
        <v>180</v>
      </c>
      <c r="F3830" s="6" t="n">
        <v>4.08</v>
      </c>
      <c r="G3830" s="6" t="n">
        <v>0</v>
      </c>
      <c r="H3830" s="41" t="n">
        <v>16.48</v>
      </c>
      <c r="I3830" s="43" t="n">
        <f aca="false">F3830*H3830</f>
        <v>67.2384</v>
      </c>
      <c r="J3830" s="43" t="n">
        <f aca="false">G3830*H3830*1.5</f>
        <v>0</v>
      </c>
      <c r="K3830" s="6" t="n">
        <v>13.54</v>
      </c>
      <c r="L3830" s="43" t="n">
        <f aca="false">K3830*'Chart of Accounts'!$E$68</f>
        <v>9.0718</v>
      </c>
      <c r="O3830" s="42" t="n">
        <f aca="false">I3830+J3830+L3830</f>
        <v>76.3102</v>
      </c>
    </row>
    <row r="3831" customFormat="false" ht="15" hidden="false" customHeight="false" outlineLevel="0" collapsed="false">
      <c r="B3831" s="7" t="s">
        <v>12464</v>
      </c>
      <c r="C3831" s="39" t="n">
        <v>45896</v>
      </c>
      <c r="D3831" s="7" t="s">
        <v>203</v>
      </c>
      <c r="E3831" s="7" t="s">
        <v>158</v>
      </c>
      <c r="H3831" s="41" t="n">
        <v>49.43</v>
      </c>
      <c r="M3831" s="6" t="n">
        <v>1</v>
      </c>
      <c r="N3831" s="43" t="n">
        <f aca="false">M3831*H3831</f>
        <v>49.43</v>
      </c>
      <c r="O3831" s="42" t="n">
        <f aca="false">N3831</f>
        <v>49.43</v>
      </c>
    </row>
    <row r="3832" customFormat="false" ht="15" hidden="false" customHeight="false" outlineLevel="0" collapsed="false">
      <c r="B3832" s="7" t="s">
        <v>12465</v>
      </c>
      <c r="C3832" s="39" t="n">
        <v>45897</v>
      </c>
      <c r="D3832" s="7" t="s">
        <v>184</v>
      </c>
      <c r="E3832" s="7" t="s">
        <v>180</v>
      </c>
      <c r="F3832" s="6" t="n">
        <v>7.379</v>
      </c>
      <c r="G3832" s="6" t="n">
        <v>0.561</v>
      </c>
      <c r="H3832" s="41" t="n">
        <v>17.34</v>
      </c>
      <c r="I3832" s="43" t="n">
        <f aca="false">F3832*H3832</f>
        <v>127.95186</v>
      </c>
      <c r="J3832" s="43" t="n">
        <f aca="false">G3832*H3832*1.5</f>
        <v>14.59161</v>
      </c>
      <c r="K3832" s="6" t="n">
        <v>23.22</v>
      </c>
      <c r="L3832" s="43" t="n">
        <f aca="false">K3832*'Chart of Accounts'!$E$68</f>
        <v>15.5574</v>
      </c>
      <c r="O3832" s="42" t="n">
        <f aca="false">I3832+J3832+L3832</f>
        <v>158.10087</v>
      </c>
    </row>
    <row r="3833" customFormat="false" ht="15" hidden="false" customHeight="false" outlineLevel="0" collapsed="false">
      <c r="B3833" s="7" t="s">
        <v>12466</v>
      </c>
      <c r="C3833" s="39" t="n">
        <v>45897</v>
      </c>
      <c r="D3833" s="7" t="s">
        <v>201</v>
      </c>
      <c r="E3833" s="7" t="s">
        <v>180</v>
      </c>
      <c r="F3833" s="6" t="n">
        <v>6.09</v>
      </c>
      <c r="G3833" s="6" t="n">
        <v>0</v>
      </c>
      <c r="H3833" s="41" t="n">
        <v>15.19</v>
      </c>
      <c r="I3833" s="43" t="n">
        <f aca="false">F3833*H3833</f>
        <v>92.5071</v>
      </c>
      <c r="J3833" s="43" t="n">
        <f aca="false">G3833*H3833*1.5</f>
        <v>0</v>
      </c>
      <c r="K3833" s="6" t="n">
        <v>19.69</v>
      </c>
      <c r="L3833" s="43" t="n">
        <f aca="false">K3833*'Chart of Accounts'!$E$68</f>
        <v>13.1923</v>
      </c>
      <c r="O3833" s="42" t="n">
        <f aca="false">I3833+J3833+L3833</f>
        <v>105.6994</v>
      </c>
    </row>
    <row r="3834" customFormat="false" ht="15" hidden="false" customHeight="false" outlineLevel="0" collapsed="false">
      <c r="B3834" s="7" t="s">
        <v>12467</v>
      </c>
      <c r="C3834" s="39" t="n">
        <v>45897</v>
      </c>
      <c r="D3834" s="7" t="s">
        <v>196</v>
      </c>
      <c r="E3834" s="7" t="s">
        <v>180</v>
      </c>
      <c r="F3834" s="6" t="n">
        <v>8.119</v>
      </c>
      <c r="G3834" s="6" t="n">
        <v>1.571</v>
      </c>
      <c r="H3834" s="41" t="n">
        <v>15.05</v>
      </c>
      <c r="I3834" s="43" t="n">
        <f aca="false">F3834*H3834</f>
        <v>122.19095</v>
      </c>
      <c r="J3834" s="43" t="n">
        <f aca="false">G3834*H3834*1.5</f>
        <v>35.465325</v>
      </c>
      <c r="K3834" s="6" t="n">
        <v>34.12</v>
      </c>
      <c r="L3834" s="43" t="n">
        <f aca="false">K3834*'Chart of Accounts'!$E$68</f>
        <v>22.8604</v>
      </c>
      <c r="O3834" s="42" t="n">
        <f aca="false">I3834+J3834+L3834</f>
        <v>180.516675</v>
      </c>
    </row>
    <row r="3835" customFormat="false" ht="15" hidden="false" customHeight="false" outlineLevel="0" collapsed="false">
      <c r="B3835" s="7" t="s">
        <v>12468</v>
      </c>
      <c r="C3835" s="39" t="n">
        <v>45897</v>
      </c>
      <c r="D3835" s="7" t="s">
        <v>205</v>
      </c>
      <c r="E3835" s="7" t="s">
        <v>180</v>
      </c>
      <c r="F3835" s="6" t="n">
        <v>2.76</v>
      </c>
      <c r="G3835" s="6" t="n">
        <v>0</v>
      </c>
      <c r="H3835" s="41" t="n">
        <v>16.36</v>
      </c>
      <c r="I3835" s="43" t="n">
        <f aca="false">F3835*H3835</f>
        <v>45.1536</v>
      </c>
      <c r="J3835" s="43" t="n">
        <f aca="false">G3835*H3835*1.5</f>
        <v>0</v>
      </c>
      <c r="K3835" s="6" t="n">
        <v>7.1</v>
      </c>
      <c r="L3835" s="43" t="n">
        <f aca="false">K3835*'Chart of Accounts'!$E$68</f>
        <v>4.757</v>
      </c>
      <c r="O3835" s="42" t="n">
        <f aca="false">I3835+J3835+L3835</f>
        <v>49.9106</v>
      </c>
    </row>
    <row r="3836" customFormat="false" ht="15" hidden="false" customHeight="false" outlineLevel="0" collapsed="false">
      <c r="B3836" s="7" t="s">
        <v>12469</v>
      </c>
      <c r="C3836" s="39" t="n">
        <v>45897</v>
      </c>
      <c r="D3836" s="7" t="s">
        <v>218</v>
      </c>
      <c r="E3836" s="7" t="s">
        <v>180</v>
      </c>
      <c r="F3836" s="6" t="n">
        <v>7.28</v>
      </c>
      <c r="G3836" s="6" t="n">
        <v>0</v>
      </c>
      <c r="H3836" s="41" t="n">
        <v>16.19</v>
      </c>
      <c r="I3836" s="43" t="n">
        <f aca="false">F3836*H3836</f>
        <v>117.8632</v>
      </c>
      <c r="J3836" s="43" t="n">
        <f aca="false">G3836*H3836*1.5</f>
        <v>0</v>
      </c>
      <c r="K3836" s="6" t="n">
        <v>20.02</v>
      </c>
      <c r="L3836" s="43" t="n">
        <f aca="false">K3836*'Chart of Accounts'!$E$68</f>
        <v>13.4134</v>
      </c>
      <c r="O3836" s="42" t="n">
        <f aca="false">I3836+J3836+L3836</f>
        <v>131.2766</v>
      </c>
    </row>
    <row r="3837" customFormat="false" ht="15" hidden="false" customHeight="false" outlineLevel="0" collapsed="false">
      <c r="B3837" s="7" t="s">
        <v>12470</v>
      </c>
      <c r="C3837" s="39" t="n">
        <v>45897</v>
      </c>
      <c r="D3837" s="7" t="s">
        <v>220</v>
      </c>
      <c r="E3837" s="7" t="s">
        <v>180</v>
      </c>
      <c r="F3837" s="6" t="n">
        <v>7.59</v>
      </c>
      <c r="G3837" s="6" t="n">
        <v>0</v>
      </c>
      <c r="H3837" s="41" t="n">
        <v>16.43</v>
      </c>
      <c r="I3837" s="43" t="n">
        <f aca="false">F3837*H3837</f>
        <v>124.7037</v>
      </c>
      <c r="J3837" s="43" t="n">
        <f aca="false">G3837*H3837*1.5</f>
        <v>0</v>
      </c>
      <c r="K3837" s="6" t="n">
        <v>21.92</v>
      </c>
      <c r="L3837" s="43" t="n">
        <f aca="false">K3837*'Chart of Accounts'!$E$68</f>
        <v>14.6864</v>
      </c>
      <c r="O3837" s="42" t="n">
        <f aca="false">I3837+J3837+L3837</f>
        <v>139.3901</v>
      </c>
    </row>
    <row r="3838" customFormat="false" ht="15" hidden="false" customHeight="false" outlineLevel="0" collapsed="false">
      <c r="B3838" s="7" t="s">
        <v>12471</v>
      </c>
      <c r="C3838" s="39" t="n">
        <v>45897</v>
      </c>
      <c r="D3838" s="7" t="s">
        <v>224</v>
      </c>
      <c r="E3838" s="7" t="s">
        <v>180</v>
      </c>
      <c r="F3838" s="6" t="n">
        <v>4.37</v>
      </c>
      <c r="G3838" s="6" t="n">
        <v>0</v>
      </c>
      <c r="H3838" s="41" t="n">
        <v>14.93</v>
      </c>
      <c r="I3838" s="43" t="n">
        <f aca="false">F3838*H3838</f>
        <v>65.2441</v>
      </c>
      <c r="J3838" s="43" t="n">
        <f aca="false">G3838*H3838*1.5</f>
        <v>0</v>
      </c>
      <c r="K3838" s="6" t="n">
        <v>10.15</v>
      </c>
      <c r="L3838" s="43" t="n">
        <f aca="false">K3838*'Chart of Accounts'!$E$68</f>
        <v>6.8005</v>
      </c>
      <c r="O3838" s="42" t="n">
        <f aca="false">I3838+J3838+L3838</f>
        <v>72.0446</v>
      </c>
    </row>
    <row r="3839" customFormat="false" ht="15" hidden="false" customHeight="false" outlineLevel="0" collapsed="false">
      <c r="B3839" s="7" t="s">
        <v>12472</v>
      </c>
      <c r="C3839" s="39" t="n">
        <v>45897</v>
      </c>
      <c r="D3839" s="7" t="s">
        <v>222</v>
      </c>
      <c r="E3839" s="7" t="s">
        <v>180</v>
      </c>
      <c r="F3839" s="6" t="n">
        <v>6.65</v>
      </c>
      <c r="G3839" s="6" t="n">
        <v>0</v>
      </c>
      <c r="H3839" s="41" t="n">
        <v>17.84</v>
      </c>
      <c r="I3839" s="43" t="n">
        <f aca="false">F3839*H3839</f>
        <v>118.636</v>
      </c>
      <c r="J3839" s="43" t="n">
        <f aca="false">G3839*H3839*1.5</f>
        <v>0</v>
      </c>
      <c r="K3839" s="6" t="n">
        <v>14.99</v>
      </c>
      <c r="L3839" s="43" t="n">
        <f aca="false">K3839*'Chart of Accounts'!$E$68</f>
        <v>10.0433</v>
      </c>
      <c r="O3839" s="42" t="n">
        <f aca="false">I3839+J3839+L3839</f>
        <v>128.6793</v>
      </c>
    </row>
    <row r="3840" customFormat="false" ht="15" hidden="false" customHeight="false" outlineLevel="0" collapsed="false">
      <c r="B3840" s="7" t="s">
        <v>12473</v>
      </c>
      <c r="C3840" s="39" t="n">
        <v>45897</v>
      </c>
      <c r="D3840" s="7" t="s">
        <v>232</v>
      </c>
      <c r="E3840" s="7" t="s">
        <v>180</v>
      </c>
      <c r="F3840" s="6" t="n">
        <v>4.1</v>
      </c>
      <c r="G3840" s="6" t="n">
        <v>0</v>
      </c>
      <c r="H3840" s="41" t="n">
        <v>16.17</v>
      </c>
      <c r="I3840" s="43" t="n">
        <f aca="false">F3840*H3840</f>
        <v>66.297</v>
      </c>
      <c r="J3840" s="43" t="n">
        <f aca="false">G3840*H3840*1.5</f>
        <v>0</v>
      </c>
      <c r="K3840" s="6" t="n">
        <v>10.33</v>
      </c>
      <c r="L3840" s="43" t="n">
        <f aca="false">K3840*'Chart of Accounts'!$E$68</f>
        <v>6.9211</v>
      </c>
      <c r="O3840" s="42" t="n">
        <f aca="false">I3840+J3840+L3840</f>
        <v>73.2181</v>
      </c>
    </row>
    <row r="3841" customFormat="false" ht="15" hidden="false" customHeight="false" outlineLevel="0" collapsed="false">
      <c r="B3841" s="7" t="s">
        <v>12474</v>
      </c>
      <c r="C3841" s="39" t="n">
        <v>45897</v>
      </c>
      <c r="D3841" s="7" t="s">
        <v>246</v>
      </c>
      <c r="E3841" s="7" t="s">
        <v>180</v>
      </c>
      <c r="F3841" s="6" t="n">
        <v>7.54</v>
      </c>
      <c r="G3841" s="6" t="n">
        <v>0</v>
      </c>
      <c r="H3841" s="41" t="n">
        <v>16.48</v>
      </c>
      <c r="I3841" s="43" t="n">
        <f aca="false">F3841*H3841</f>
        <v>124.2592</v>
      </c>
      <c r="J3841" s="43" t="n">
        <f aca="false">G3841*H3841*1.5</f>
        <v>0</v>
      </c>
      <c r="K3841" s="6" t="n">
        <v>21.42</v>
      </c>
      <c r="L3841" s="43" t="n">
        <f aca="false">K3841*'Chart of Accounts'!$E$68</f>
        <v>14.3514</v>
      </c>
      <c r="O3841" s="42" t="n">
        <f aca="false">I3841+J3841+L3841</f>
        <v>138.6106</v>
      </c>
    </row>
    <row r="3842" customFormat="false" ht="15" hidden="false" customHeight="false" outlineLevel="0" collapsed="false">
      <c r="B3842" s="7" t="s">
        <v>12475</v>
      </c>
      <c r="C3842" s="39" t="n">
        <v>45897</v>
      </c>
      <c r="D3842" s="7" t="s">
        <v>194</v>
      </c>
      <c r="E3842" s="7" t="s">
        <v>180</v>
      </c>
      <c r="F3842" s="6" t="n">
        <v>3.69</v>
      </c>
      <c r="G3842" s="6" t="n">
        <v>0</v>
      </c>
      <c r="H3842" s="41" t="n">
        <v>16</v>
      </c>
      <c r="I3842" s="43" t="n">
        <f aca="false">F3842*H3842</f>
        <v>59.04</v>
      </c>
      <c r="J3842" s="43" t="n">
        <f aca="false">G3842*H3842*1.5</f>
        <v>0</v>
      </c>
      <c r="K3842" s="6" t="n">
        <v>9.9</v>
      </c>
      <c r="L3842" s="43" t="n">
        <f aca="false">K3842*'Chart of Accounts'!$E$68</f>
        <v>6.633</v>
      </c>
      <c r="O3842" s="42" t="n">
        <f aca="false">I3842+J3842+L3842</f>
        <v>65.673</v>
      </c>
    </row>
    <row r="3843" customFormat="false" ht="15" hidden="false" customHeight="false" outlineLevel="0" collapsed="false">
      <c r="B3843" s="7" t="s">
        <v>12476</v>
      </c>
      <c r="C3843" s="39" t="n">
        <v>45897</v>
      </c>
      <c r="D3843" s="7" t="s">
        <v>214</v>
      </c>
      <c r="E3843" s="7" t="s">
        <v>180</v>
      </c>
      <c r="F3843" s="6" t="n">
        <v>3.93</v>
      </c>
      <c r="G3843" s="6" t="n">
        <v>0</v>
      </c>
      <c r="H3843" s="41" t="n">
        <v>15.67</v>
      </c>
      <c r="I3843" s="43" t="n">
        <f aca="false">F3843*H3843</f>
        <v>61.5831</v>
      </c>
      <c r="J3843" s="43" t="n">
        <f aca="false">G3843*H3843*1.5</f>
        <v>0</v>
      </c>
      <c r="K3843" s="6" t="n">
        <v>9.57</v>
      </c>
      <c r="L3843" s="43" t="n">
        <f aca="false">K3843*'Chart of Accounts'!$E$68</f>
        <v>6.4119</v>
      </c>
      <c r="O3843" s="42" t="n">
        <f aca="false">I3843+J3843+L3843</f>
        <v>67.995</v>
      </c>
    </row>
    <row r="3844" customFormat="false" ht="15" hidden="false" customHeight="false" outlineLevel="0" collapsed="false">
      <c r="B3844" s="7" t="s">
        <v>12477</v>
      </c>
      <c r="C3844" s="39" t="n">
        <v>45897</v>
      </c>
      <c r="D3844" s="7" t="s">
        <v>242</v>
      </c>
      <c r="E3844" s="7" t="s">
        <v>180</v>
      </c>
      <c r="F3844" s="6" t="n">
        <v>3.69</v>
      </c>
      <c r="G3844" s="6" t="n">
        <v>0</v>
      </c>
      <c r="H3844" s="41" t="n">
        <v>17.99</v>
      </c>
      <c r="I3844" s="43" t="n">
        <f aca="false">F3844*H3844</f>
        <v>66.3831</v>
      </c>
      <c r="J3844" s="43" t="n">
        <f aca="false">G3844*H3844*1.5</f>
        <v>0</v>
      </c>
      <c r="K3844" s="6" t="n">
        <v>10.4</v>
      </c>
      <c r="L3844" s="43" t="n">
        <f aca="false">K3844*'Chart of Accounts'!$E$68</f>
        <v>6.968</v>
      </c>
      <c r="O3844" s="42" t="n">
        <f aca="false">I3844+J3844+L3844</f>
        <v>73.3511</v>
      </c>
    </row>
    <row r="3845" customFormat="false" ht="15" hidden="false" customHeight="false" outlineLevel="0" collapsed="false">
      <c r="B3845" s="7" t="s">
        <v>12478</v>
      </c>
      <c r="C3845" s="39" t="n">
        <v>45897</v>
      </c>
      <c r="D3845" s="7" t="s">
        <v>254</v>
      </c>
      <c r="E3845" s="7" t="s">
        <v>180</v>
      </c>
      <c r="F3845" s="6" t="n">
        <v>3.489</v>
      </c>
      <c r="G3845" s="6" t="n">
        <v>0.201</v>
      </c>
      <c r="H3845" s="41" t="n">
        <v>17.1</v>
      </c>
      <c r="I3845" s="43" t="n">
        <f aca="false">F3845*H3845</f>
        <v>59.6619</v>
      </c>
      <c r="J3845" s="43" t="n">
        <f aca="false">G3845*H3845*1.5</f>
        <v>5.15565</v>
      </c>
      <c r="K3845" s="6" t="n">
        <v>10.18</v>
      </c>
      <c r="L3845" s="43" t="n">
        <f aca="false">K3845*'Chart of Accounts'!$E$68</f>
        <v>6.8206</v>
      </c>
      <c r="O3845" s="42" t="n">
        <f aca="false">I3845+J3845+L3845</f>
        <v>71.63815</v>
      </c>
    </row>
    <row r="3846" customFormat="false" ht="15" hidden="false" customHeight="false" outlineLevel="0" collapsed="false">
      <c r="B3846" s="7" t="s">
        <v>12479</v>
      </c>
      <c r="C3846" s="39" t="n">
        <v>45898</v>
      </c>
      <c r="D3846" s="7" t="s">
        <v>240</v>
      </c>
      <c r="E3846" s="7" t="s">
        <v>180</v>
      </c>
      <c r="F3846" s="6" t="n">
        <v>3.67</v>
      </c>
      <c r="G3846" s="6" t="n">
        <v>0</v>
      </c>
      <c r="H3846" s="41" t="n">
        <v>16.96</v>
      </c>
      <c r="I3846" s="43" t="n">
        <f aca="false">F3846*H3846</f>
        <v>62.2432</v>
      </c>
      <c r="J3846" s="43" t="n">
        <f aca="false">G3846*H3846*1.5</f>
        <v>0</v>
      </c>
      <c r="K3846" s="6" t="n">
        <v>8.7</v>
      </c>
      <c r="L3846" s="43" t="n">
        <f aca="false">K3846*'Chart of Accounts'!$E$68</f>
        <v>5.829</v>
      </c>
      <c r="O3846" s="42" t="n">
        <f aca="false">I3846+J3846+L3846</f>
        <v>68.0722</v>
      </c>
    </row>
    <row r="3847" customFormat="false" ht="15" hidden="false" customHeight="false" outlineLevel="0" collapsed="false">
      <c r="B3847" s="7" t="s">
        <v>12480</v>
      </c>
      <c r="C3847" s="39" t="n">
        <v>45898</v>
      </c>
      <c r="D3847" s="7" t="s">
        <v>194</v>
      </c>
      <c r="E3847" s="7" t="s">
        <v>180</v>
      </c>
      <c r="F3847" s="6" t="n">
        <v>8.6</v>
      </c>
      <c r="G3847" s="6" t="n">
        <v>0</v>
      </c>
      <c r="H3847" s="41" t="n">
        <v>16</v>
      </c>
      <c r="I3847" s="43" t="n">
        <f aca="false">F3847*H3847</f>
        <v>137.6</v>
      </c>
      <c r="J3847" s="43" t="n">
        <f aca="false">G3847*H3847*1.5</f>
        <v>0</v>
      </c>
      <c r="K3847" s="6" t="n">
        <v>23.23</v>
      </c>
      <c r="L3847" s="43" t="n">
        <f aca="false">K3847*'Chart of Accounts'!$E$68</f>
        <v>15.5641</v>
      </c>
      <c r="O3847" s="42" t="n">
        <f aca="false">I3847+J3847+L3847</f>
        <v>153.1641</v>
      </c>
    </row>
    <row r="3848" customFormat="false" ht="15" hidden="false" customHeight="false" outlineLevel="0" collapsed="false">
      <c r="B3848" s="7" t="s">
        <v>12481</v>
      </c>
      <c r="C3848" s="39" t="n">
        <v>45898</v>
      </c>
      <c r="D3848" s="7" t="s">
        <v>214</v>
      </c>
      <c r="E3848" s="7" t="s">
        <v>180</v>
      </c>
      <c r="F3848" s="6" t="n">
        <v>7.07</v>
      </c>
      <c r="G3848" s="6" t="n">
        <v>0</v>
      </c>
      <c r="H3848" s="41" t="n">
        <v>15.67</v>
      </c>
      <c r="I3848" s="43" t="n">
        <f aca="false">F3848*H3848</f>
        <v>110.7869</v>
      </c>
      <c r="J3848" s="43" t="n">
        <f aca="false">G3848*H3848*1.5</f>
        <v>0</v>
      </c>
      <c r="K3848" s="6" t="n">
        <v>18.54</v>
      </c>
      <c r="L3848" s="43" t="n">
        <f aca="false">K3848*'Chart of Accounts'!$E$68</f>
        <v>12.4218</v>
      </c>
      <c r="O3848" s="42" t="n">
        <f aca="false">I3848+J3848+L3848</f>
        <v>123.2087</v>
      </c>
    </row>
    <row r="3849" customFormat="false" ht="15" hidden="false" customHeight="false" outlineLevel="0" collapsed="false">
      <c r="B3849" s="7" t="s">
        <v>12482</v>
      </c>
      <c r="C3849" s="39" t="n">
        <v>45898</v>
      </c>
      <c r="D3849" s="7" t="s">
        <v>209</v>
      </c>
      <c r="E3849" s="7" t="s">
        <v>158</v>
      </c>
      <c r="H3849" s="41" t="n">
        <v>73.58</v>
      </c>
      <c r="M3849" s="6" t="n">
        <v>2</v>
      </c>
      <c r="N3849" s="43" t="n">
        <f aca="false">M3849*H3849</f>
        <v>147.16</v>
      </c>
      <c r="O3849" s="42" t="n">
        <f aca="false">N3849</f>
        <v>147.16</v>
      </c>
    </row>
    <row r="3850" customFormat="false" ht="15" hidden="false" customHeight="false" outlineLevel="0" collapsed="false">
      <c r="B3850" s="7" t="s">
        <v>12483</v>
      </c>
      <c r="C3850" s="39" t="n">
        <v>45898</v>
      </c>
      <c r="D3850" s="7" t="s">
        <v>205</v>
      </c>
      <c r="E3850" s="7" t="s">
        <v>180</v>
      </c>
      <c r="F3850" s="6" t="n">
        <v>3.84</v>
      </c>
      <c r="G3850" s="6" t="n">
        <v>0</v>
      </c>
      <c r="H3850" s="41" t="n">
        <v>16.36</v>
      </c>
      <c r="I3850" s="43" t="n">
        <f aca="false">F3850*H3850</f>
        <v>62.8224</v>
      </c>
      <c r="J3850" s="43" t="n">
        <f aca="false">G3850*H3850*1.5</f>
        <v>0</v>
      </c>
      <c r="K3850" s="6" t="n">
        <v>11.21</v>
      </c>
      <c r="L3850" s="43" t="n">
        <f aca="false">K3850*'Chart of Accounts'!$E$68</f>
        <v>7.5107</v>
      </c>
      <c r="O3850" s="42" t="n">
        <f aca="false">I3850+J3850+L3850</f>
        <v>70.3331</v>
      </c>
    </row>
    <row r="3851" customFormat="false" ht="15" hidden="false" customHeight="false" outlineLevel="0" collapsed="false">
      <c r="B3851" s="7" t="s">
        <v>12484</v>
      </c>
      <c r="C3851" s="39" t="n">
        <v>45898</v>
      </c>
      <c r="D3851" s="7" t="s">
        <v>252</v>
      </c>
      <c r="E3851" s="7" t="s">
        <v>158</v>
      </c>
      <c r="H3851" s="41" t="n">
        <v>57.54</v>
      </c>
      <c r="M3851" s="6" t="n">
        <v>1</v>
      </c>
      <c r="N3851" s="43" t="n">
        <f aca="false">M3851*H3851</f>
        <v>57.54</v>
      </c>
      <c r="O3851" s="42" t="n">
        <f aca="false">N3851</f>
        <v>57.54</v>
      </c>
    </row>
    <row r="3852" customFormat="false" ht="15" hidden="false" customHeight="false" outlineLevel="0" collapsed="false">
      <c r="B3852" s="7" t="s">
        <v>12485</v>
      </c>
      <c r="C3852" s="39" t="n">
        <v>45898</v>
      </c>
      <c r="D3852" s="7" t="s">
        <v>184</v>
      </c>
      <c r="E3852" s="7" t="s">
        <v>180</v>
      </c>
      <c r="F3852" s="6" t="n">
        <v>7.704</v>
      </c>
      <c r="G3852" s="6" t="n">
        <v>0.586</v>
      </c>
      <c r="H3852" s="41" t="n">
        <v>17.34</v>
      </c>
      <c r="I3852" s="43" t="n">
        <f aca="false">F3852*H3852</f>
        <v>133.58736</v>
      </c>
      <c r="J3852" s="43" t="n">
        <f aca="false">G3852*H3852*1.5</f>
        <v>15.24186</v>
      </c>
      <c r="K3852" s="6" t="n">
        <v>19.53</v>
      </c>
      <c r="L3852" s="43" t="n">
        <f aca="false">K3852*'Chart of Accounts'!$E$68</f>
        <v>13.0851</v>
      </c>
      <c r="O3852" s="42" t="n">
        <f aca="false">I3852+J3852+L3852</f>
        <v>161.91432</v>
      </c>
    </row>
    <row r="3853" customFormat="false" ht="15" hidden="false" customHeight="false" outlineLevel="0" collapsed="false">
      <c r="B3853" s="7" t="s">
        <v>12486</v>
      </c>
      <c r="C3853" s="39" t="n">
        <v>45898</v>
      </c>
      <c r="D3853" s="7" t="s">
        <v>216</v>
      </c>
      <c r="E3853" s="7" t="s">
        <v>158</v>
      </c>
      <c r="H3853" s="41" t="n">
        <v>61.79</v>
      </c>
      <c r="M3853" s="6" t="n">
        <v>1</v>
      </c>
      <c r="N3853" s="43" t="n">
        <f aca="false">M3853*H3853</f>
        <v>61.79</v>
      </c>
      <c r="O3853" s="42" t="n">
        <f aca="false">N3853</f>
        <v>61.79</v>
      </c>
    </row>
    <row r="3854" customFormat="false" ht="15" hidden="false" customHeight="false" outlineLevel="0" collapsed="false">
      <c r="B3854" s="7" t="s">
        <v>12487</v>
      </c>
      <c r="C3854" s="39" t="n">
        <v>45898</v>
      </c>
      <c r="D3854" s="7" t="s">
        <v>234</v>
      </c>
      <c r="E3854" s="7" t="s">
        <v>158</v>
      </c>
      <c r="H3854" s="41" t="n">
        <v>89.53</v>
      </c>
      <c r="M3854" s="6" t="n">
        <v>2</v>
      </c>
      <c r="N3854" s="43" t="n">
        <f aca="false">M3854*H3854</f>
        <v>179.06</v>
      </c>
      <c r="O3854" s="42" t="n">
        <f aca="false">N3854</f>
        <v>179.06</v>
      </c>
    </row>
    <row r="3855" customFormat="false" ht="15" hidden="false" customHeight="false" outlineLevel="0" collapsed="false">
      <c r="B3855" s="7" t="s">
        <v>12488</v>
      </c>
      <c r="C3855" s="39" t="n">
        <v>45898</v>
      </c>
      <c r="D3855" s="7" t="s">
        <v>218</v>
      </c>
      <c r="E3855" s="7" t="s">
        <v>180</v>
      </c>
      <c r="F3855" s="6" t="n">
        <v>7.56</v>
      </c>
      <c r="G3855" s="6" t="n">
        <v>0</v>
      </c>
      <c r="H3855" s="41" t="n">
        <v>16.19</v>
      </c>
      <c r="I3855" s="43" t="n">
        <f aca="false">F3855*H3855</f>
        <v>122.3964</v>
      </c>
      <c r="J3855" s="43" t="n">
        <f aca="false">G3855*H3855*1.5</f>
        <v>0</v>
      </c>
      <c r="K3855" s="6" t="n">
        <v>24.85</v>
      </c>
      <c r="L3855" s="43" t="n">
        <f aca="false">K3855*'Chart of Accounts'!$E$68</f>
        <v>16.6495</v>
      </c>
      <c r="O3855" s="42" t="n">
        <f aca="false">I3855+J3855+L3855</f>
        <v>139.0459</v>
      </c>
    </row>
    <row r="3856" customFormat="false" ht="15" hidden="false" customHeight="false" outlineLevel="0" collapsed="false">
      <c r="B3856" s="7" t="s">
        <v>12489</v>
      </c>
      <c r="C3856" s="39" t="n">
        <v>45898</v>
      </c>
      <c r="D3856" s="7" t="s">
        <v>266</v>
      </c>
      <c r="E3856" s="7" t="s">
        <v>158</v>
      </c>
      <c r="H3856" s="41" t="n">
        <v>75.18</v>
      </c>
      <c r="M3856" s="6" t="n">
        <v>1</v>
      </c>
      <c r="N3856" s="43" t="n">
        <f aca="false">M3856*H3856</f>
        <v>75.18</v>
      </c>
      <c r="O3856" s="42" t="n">
        <f aca="false">N3856</f>
        <v>75.18</v>
      </c>
    </row>
    <row r="3857" customFormat="false" ht="15" hidden="false" customHeight="false" outlineLevel="0" collapsed="false">
      <c r="B3857" s="7" t="s">
        <v>12490</v>
      </c>
      <c r="C3857" s="39" t="n">
        <v>45898</v>
      </c>
      <c r="D3857" s="7" t="s">
        <v>228</v>
      </c>
      <c r="E3857" s="7" t="s">
        <v>158</v>
      </c>
      <c r="H3857" s="41" t="n">
        <v>51.07</v>
      </c>
      <c r="M3857" s="6" t="n">
        <v>1</v>
      </c>
      <c r="N3857" s="43" t="n">
        <f aca="false">M3857*H3857</f>
        <v>51.07</v>
      </c>
      <c r="O3857" s="42" t="n">
        <f aca="false">N3857</f>
        <v>51.07</v>
      </c>
    </row>
    <row r="3858" customFormat="false" ht="15" hidden="false" customHeight="false" outlineLevel="0" collapsed="false">
      <c r="B3858" s="7" t="s">
        <v>12491</v>
      </c>
      <c r="C3858" s="39" t="n">
        <v>45898</v>
      </c>
      <c r="D3858" s="7" t="s">
        <v>220</v>
      </c>
      <c r="E3858" s="7" t="s">
        <v>180</v>
      </c>
      <c r="F3858" s="6" t="n">
        <v>7.58</v>
      </c>
      <c r="G3858" s="6" t="n">
        <v>0</v>
      </c>
      <c r="H3858" s="41" t="n">
        <v>16.43</v>
      </c>
      <c r="I3858" s="43" t="n">
        <f aca="false">F3858*H3858</f>
        <v>124.5394</v>
      </c>
      <c r="J3858" s="43" t="n">
        <f aca="false">G3858*H3858*1.5</f>
        <v>0</v>
      </c>
      <c r="K3858" s="6" t="n">
        <v>19.36</v>
      </c>
      <c r="L3858" s="43" t="n">
        <f aca="false">K3858*'Chart of Accounts'!$E$68</f>
        <v>12.9712</v>
      </c>
      <c r="O3858" s="42" t="n">
        <f aca="false">I3858+J3858+L3858</f>
        <v>137.5106</v>
      </c>
    </row>
    <row r="3859" customFormat="false" ht="15" hidden="false" customHeight="false" outlineLevel="0" collapsed="false">
      <c r="B3859" s="7" t="s">
        <v>12492</v>
      </c>
      <c r="C3859" s="39" t="n">
        <v>45898</v>
      </c>
      <c r="D3859" s="7" t="s">
        <v>177</v>
      </c>
      <c r="E3859" s="7" t="s">
        <v>180</v>
      </c>
      <c r="F3859" s="6" t="n">
        <v>8.62</v>
      </c>
      <c r="G3859" s="6" t="n">
        <v>0</v>
      </c>
      <c r="H3859" s="41" t="n">
        <v>14.56</v>
      </c>
      <c r="I3859" s="43" t="n">
        <f aca="false">F3859*H3859</f>
        <v>125.5072</v>
      </c>
      <c r="J3859" s="43" t="n">
        <f aca="false">G3859*H3859*1.5</f>
        <v>0</v>
      </c>
      <c r="K3859" s="6" t="n">
        <v>19.92</v>
      </c>
      <c r="L3859" s="43" t="n">
        <f aca="false">K3859*'Chart of Accounts'!$E$68</f>
        <v>13.3464</v>
      </c>
      <c r="O3859" s="42" t="n">
        <f aca="false">I3859+J3859+L3859</f>
        <v>138.8536</v>
      </c>
    </row>
    <row r="3860" customFormat="false" ht="15" hidden="false" customHeight="false" outlineLevel="0" collapsed="false">
      <c r="B3860" s="7" t="s">
        <v>12493</v>
      </c>
      <c r="C3860" s="39" t="n">
        <v>45898</v>
      </c>
      <c r="D3860" s="7" t="s">
        <v>238</v>
      </c>
      <c r="E3860" s="7" t="s">
        <v>180</v>
      </c>
      <c r="F3860" s="6" t="n">
        <v>9.03</v>
      </c>
      <c r="G3860" s="6" t="n">
        <v>0</v>
      </c>
      <c r="H3860" s="41" t="n">
        <v>15.85</v>
      </c>
      <c r="I3860" s="43" t="n">
        <f aca="false">F3860*H3860</f>
        <v>143.1255</v>
      </c>
      <c r="J3860" s="43" t="n">
        <f aca="false">G3860*H3860*1.5</f>
        <v>0</v>
      </c>
      <c r="K3860" s="6" t="n">
        <v>25.42</v>
      </c>
      <c r="L3860" s="43" t="n">
        <f aca="false">K3860*'Chart of Accounts'!$E$68</f>
        <v>17.0314</v>
      </c>
      <c r="O3860" s="42" t="n">
        <f aca="false">I3860+J3860+L3860</f>
        <v>160.1569</v>
      </c>
    </row>
    <row r="3861" customFormat="false" ht="15" hidden="false" customHeight="false" outlineLevel="0" collapsed="false">
      <c r="B3861" s="7" t="s">
        <v>12494</v>
      </c>
      <c r="C3861" s="39" t="n">
        <v>45898</v>
      </c>
      <c r="D3861" s="7" t="s">
        <v>254</v>
      </c>
      <c r="E3861" s="7" t="s">
        <v>180</v>
      </c>
      <c r="F3861" s="6" t="n">
        <v>7.017</v>
      </c>
      <c r="G3861" s="6" t="n">
        <v>0.403</v>
      </c>
      <c r="H3861" s="41" t="n">
        <v>17.1</v>
      </c>
      <c r="I3861" s="43" t="n">
        <f aca="false">F3861*H3861</f>
        <v>119.9907</v>
      </c>
      <c r="J3861" s="43" t="n">
        <f aca="false">G3861*H3861*1.5</f>
        <v>10.33695</v>
      </c>
      <c r="K3861" s="6" t="n">
        <v>21.98</v>
      </c>
      <c r="L3861" s="43" t="n">
        <f aca="false">K3861*'Chart of Accounts'!$E$68</f>
        <v>14.7266</v>
      </c>
      <c r="O3861" s="42" t="n">
        <f aca="false">I3861+J3861+L3861</f>
        <v>145.05425</v>
      </c>
    </row>
    <row r="3862" customFormat="false" ht="15" hidden="false" customHeight="false" outlineLevel="0" collapsed="false">
      <c r="B3862" s="7" t="s">
        <v>12495</v>
      </c>
      <c r="C3862" s="39" t="n">
        <v>45898</v>
      </c>
      <c r="D3862" s="7" t="s">
        <v>201</v>
      </c>
      <c r="E3862" s="7" t="s">
        <v>180</v>
      </c>
      <c r="F3862" s="6" t="n">
        <v>3.5</v>
      </c>
      <c r="G3862" s="6" t="n">
        <v>0</v>
      </c>
      <c r="H3862" s="41" t="n">
        <v>15.19</v>
      </c>
      <c r="I3862" s="43" t="n">
        <f aca="false">F3862*H3862</f>
        <v>53.165</v>
      </c>
      <c r="J3862" s="43" t="n">
        <f aca="false">G3862*H3862*1.5</f>
        <v>0</v>
      </c>
      <c r="K3862" s="6" t="n">
        <v>11.16</v>
      </c>
      <c r="L3862" s="43" t="n">
        <f aca="false">K3862*'Chart of Accounts'!$E$68</f>
        <v>7.4772</v>
      </c>
      <c r="O3862" s="42" t="n">
        <f aca="false">I3862+J3862+L3862</f>
        <v>60.6422</v>
      </c>
    </row>
    <row r="3863" customFormat="false" ht="15" hidden="false" customHeight="false" outlineLevel="0" collapsed="false">
      <c r="B3863" s="7" t="s">
        <v>12496</v>
      </c>
      <c r="C3863" s="39" t="n">
        <v>45898</v>
      </c>
      <c r="D3863" s="7" t="s">
        <v>196</v>
      </c>
      <c r="E3863" s="7" t="s">
        <v>180</v>
      </c>
      <c r="F3863" s="6" t="n">
        <v>6.284</v>
      </c>
      <c r="G3863" s="6" t="n">
        <v>1.216</v>
      </c>
      <c r="H3863" s="41" t="n">
        <v>15.05</v>
      </c>
      <c r="I3863" s="43" t="n">
        <f aca="false">F3863*H3863</f>
        <v>94.5742</v>
      </c>
      <c r="J3863" s="43" t="n">
        <f aca="false">G3863*H3863*1.5</f>
        <v>27.4512</v>
      </c>
      <c r="K3863" s="6" t="n">
        <v>23.97</v>
      </c>
      <c r="L3863" s="43" t="n">
        <f aca="false">K3863*'Chart of Accounts'!$E$68</f>
        <v>16.0599</v>
      </c>
      <c r="O3863" s="42" t="n">
        <f aca="false">I3863+J3863+L3863</f>
        <v>138.0853</v>
      </c>
    </row>
    <row r="3864" customFormat="false" ht="15" hidden="false" customHeight="false" outlineLevel="0" collapsed="false">
      <c r="B3864" s="7" t="s">
        <v>12497</v>
      </c>
      <c r="C3864" s="39" t="n">
        <v>45898</v>
      </c>
      <c r="D3864" s="7" t="s">
        <v>258</v>
      </c>
      <c r="E3864" s="7" t="s">
        <v>158</v>
      </c>
      <c r="H3864" s="41" t="n">
        <v>61.61</v>
      </c>
      <c r="M3864" s="6" t="n">
        <v>1</v>
      </c>
      <c r="N3864" s="43" t="n">
        <f aca="false">M3864*H3864</f>
        <v>61.61</v>
      </c>
      <c r="O3864" s="42" t="n">
        <f aca="false">N3864</f>
        <v>61.61</v>
      </c>
    </row>
    <row r="3865" customFormat="false" ht="15" hidden="false" customHeight="false" outlineLevel="0" collapsed="false">
      <c r="B3865" s="7" t="s">
        <v>12498</v>
      </c>
      <c r="C3865" s="39" t="n">
        <v>45898</v>
      </c>
      <c r="D3865" s="7" t="s">
        <v>232</v>
      </c>
      <c r="E3865" s="7" t="s">
        <v>180</v>
      </c>
      <c r="F3865" s="6" t="n">
        <v>4.43</v>
      </c>
      <c r="G3865" s="6" t="n">
        <v>0</v>
      </c>
      <c r="H3865" s="41" t="n">
        <v>16.17</v>
      </c>
      <c r="I3865" s="43" t="n">
        <f aca="false">F3865*H3865</f>
        <v>71.6331</v>
      </c>
      <c r="J3865" s="43" t="n">
        <f aca="false">G3865*H3865*1.5</f>
        <v>0</v>
      </c>
      <c r="K3865" s="6" t="n">
        <v>14.11</v>
      </c>
      <c r="L3865" s="43" t="n">
        <f aca="false">K3865*'Chart of Accounts'!$E$68</f>
        <v>9.4537</v>
      </c>
      <c r="O3865" s="42" t="n">
        <f aca="false">I3865+J3865+L3865</f>
        <v>81.0868</v>
      </c>
    </row>
    <row r="3866" customFormat="false" ht="15" hidden="false" customHeight="false" outlineLevel="0" collapsed="false">
      <c r="B3866" s="7" t="s">
        <v>12499</v>
      </c>
      <c r="C3866" s="39" t="n">
        <v>45898</v>
      </c>
      <c r="D3866" s="7" t="s">
        <v>224</v>
      </c>
      <c r="E3866" s="7" t="s">
        <v>180</v>
      </c>
      <c r="F3866" s="6" t="n">
        <v>4.93</v>
      </c>
      <c r="G3866" s="6" t="n">
        <v>0</v>
      </c>
      <c r="H3866" s="41" t="n">
        <v>14.93</v>
      </c>
      <c r="I3866" s="43" t="n">
        <f aca="false">F3866*H3866</f>
        <v>73.6049</v>
      </c>
      <c r="J3866" s="43" t="n">
        <f aca="false">G3866*H3866*1.5</f>
        <v>0</v>
      </c>
      <c r="K3866" s="6" t="n">
        <v>17</v>
      </c>
      <c r="L3866" s="43" t="n">
        <f aca="false">K3866*'Chart of Accounts'!$E$68</f>
        <v>11.39</v>
      </c>
      <c r="O3866" s="42" t="n">
        <f aca="false">I3866+J3866+L3866</f>
        <v>84.9949</v>
      </c>
    </row>
    <row r="3867" customFormat="false" ht="15" hidden="false" customHeight="false" outlineLevel="0" collapsed="false">
      <c r="B3867" s="7" t="s">
        <v>12500</v>
      </c>
      <c r="C3867" s="39" t="n">
        <v>45898</v>
      </c>
      <c r="D3867" s="7" t="s">
        <v>230</v>
      </c>
      <c r="E3867" s="7" t="s">
        <v>158</v>
      </c>
      <c r="H3867" s="41" t="n">
        <v>48.78</v>
      </c>
      <c r="M3867" s="6" t="n">
        <v>1</v>
      </c>
      <c r="N3867" s="43" t="n">
        <f aca="false">M3867*H3867</f>
        <v>48.78</v>
      </c>
      <c r="O3867" s="42" t="n">
        <f aca="false">N3867</f>
        <v>48.78</v>
      </c>
    </row>
    <row r="3868" customFormat="false" ht="15" hidden="false" customHeight="false" outlineLevel="0" collapsed="false">
      <c r="B3868" s="7" t="s">
        <v>12501</v>
      </c>
      <c r="C3868" s="39" t="n">
        <v>45898</v>
      </c>
      <c r="D3868" s="7" t="s">
        <v>246</v>
      </c>
      <c r="E3868" s="7" t="s">
        <v>180</v>
      </c>
      <c r="F3868" s="6" t="n">
        <v>4.07</v>
      </c>
      <c r="G3868" s="6" t="n">
        <v>0</v>
      </c>
      <c r="H3868" s="41" t="n">
        <v>16.48</v>
      </c>
      <c r="I3868" s="43" t="n">
        <f aca="false">F3868*H3868</f>
        <v>67.0736</v>
      </c>
      <c r="J3868" s="43" t="n">
        <f aca="false">G3868*H3868*1.5</f>
        <v>0</v>
      </c>
      <c r="K3868" s="6" t="n">
        <v>9.37</v>
      </c>
      <c r="L3868" s="43" t="n">
        <f aca="false">K3868*'Chart of Accounts'!$E$68</f>
        <v>6.2779</v>
      </c>
      <c r="O3868" s="42" t="n">
        <f aca="false">I3868+J3868+L3868</f>
        <v>73.3515</v>
      </c>
    </row>
    <row r="3869" customFormat="false" ht="15" hidden="false" customHeight="false" outlineLevel="0" collapsed="false">
      <c r="B3869" s="7" t="s">
        <v>12502</v>
      </c>
      <c r="C3869" s="39" t="n">
        <v>45898</v>
      </c>
      <c r="D3869" s="7" t="s">
        <v>222</v>
      </c>
      <c r="E3869" s="7" t="s">
        <v>180</v>
      </c>
      <c r="F3869" s="6" t="n">
        <v>3.91</v>
      </c>
      <c r="G3869" s="6" t="n">
        <v>0</v>
      </c>
      <c r="H3869" s="41" t="n">
        <v>17.84</v>
      </c>
      <c r="I3869" s="43" t="n">
        <f aca="false">F3869*H3869</f>
        <v>69.7544</v>
      </c>
      <c r="J3869" s="43" t="n">
        <f aca="false">G3869*H3869*1.5</f>
        <v>0</v>
      </c>
      <c r="K3869" s="6" t="n">
        <v>11.55</v>
      </c>
      <c r="L3869" s="43" t="n">
        <f aca="false">K3869*'Chart of Accounts'!$E$68</f>
        <v>7.7385</v>
      </c>
      <c r="O3869" s="42" t="n">
        <f aca="false">I3869+J3869+L3869</f>
        <v>77.4929</v>
      </c>
    </row>
    <row r="3870" customFormat="false" ht="15" hidden="false" customHeight="false" outlineLevel="0" collapsed="false">
      <c r="B3870" s="7" t="s">
        <v>12503</v>
      </c>
      <c r="C3870" s="39" t="n">
        <v>45898</v>
      </c>
      <c r="D3870" s="7" t="s">
        <v>242</v>
      </c>
      <c r="E3870" s="7" t="s">
        <v>180</v>
      </c>
      <c r="F3870" s="6" t="n">
        <v>3.93</v>
      </c>
      <c r="G3870" s="6" t="n">
        <v>0</v>
      </c>
      <c r="H3870" s="41" t="n">
        <v>17.99</v>
      </c>
      <c r="I3870" s="43" t="n">
        <f aca="false">F3870*H3870</f>
        <v>70.7007</v>
      </c>
      <c r="J3870" s="43" t="n">
        <f aca="false">G3870*H3870*1.5</f>
        <v>0</v>
      </c>
      <c r="K3870" s="6" t="n">
        <v>9.3</v>
      </c>
      <c r="L3870" s="43" t="n">
        <f aca="false">K3870*'Chart of Accounts'!$E$68</f>
        <v>6.231</v>
      </c>
      <c r="O3870" s="42" t="n">
        <f aca="false">I3870+J3870+L3870</f>
        <v>76.9317</v>
      </c>
    </row>
    <row r="3871" customFormat="false" ht="15" hidden="false" customHeight="false" outlineLevel="0" collapsed="false">
      <c r="B3871" s="7" t="s">
        <v>12504</v>
      </c>
      <c r="C3871" s="39" t="n">
        <v>45898</v>
      </c>
      <c r="D3871" s="7" t="s">
        <v>203</v>
      </c>
      <c r="E3871" s="7" t="s">
        <v>158</v>
      </c>
      <c r="H3871" s="41" t="n">
        <v>49.43</v>
      </c>
      <c r="M3871" s="6" t="n">
        <v>1</v>
      </c>
      <c r="N3871" s="43" t="n">
        <f aca="false">M3871*H3871</f>
        <v>49.43</v>
      </c>
      <c r="O3871" s="42" t="n">
        <f aca="false">N3871</f>
        <v>49.43</v>
      </c>
    </row>
    <row r="3872" customFormat="false" ht="15" hidden="false" customHeight="false" outlineLevel="0" collapsed="false">
      <c r="B3872" s="7" t="s">
        <v>12505</v>
      </c>
      <c r="C3872" s="39" t="n">
        <v>45898</v>
      </c>
      <c r="D3872" s="7" t="s">
        <v>260</v>
      </c>
      <c r="E3872" s="7" t="s">
        <v>158</v>
      </c>
      <c r="H3872" s="41" t="n">
        <v>79.8</v>
      </c>
      <c r="M3872" s="6" t="n">
        <v>1</v>
      </c>
      <c r="N3872" s="43" t="n">
        <f aca="false">M3872*H3872</f>
        <v>79.8</v>
      </c>
      <c r="O3872" s="42" t="n">
        <f aca="false">N3872</f>
        <v>79.8</v>
      </c>
    </row>
    <row r="3873" customFormat="false" ht="15" hidden="false" customHeight="false" outlineLevel="0" collapsed="false">
      <c r="B3873" s="7" t="s">
        <v>12506</v>
      </c>
      <c r="C3873" s="39" t="n">
        <v>45899</v>
      </c>
      <c r="D3873" s="7" t="s">
        <v>201</v>
      </c>
      <c r="E3873" s="7" t="s">
        <v>180</v>
      </c>
      <c r="F3873" s="6" t="n">
        <v>4.28</v>
      </c>
      <c r="G3873" s="6" t="n">
        <v>0</v>
      </c>
      <c r="H3873" s="41" t="n">
        <v>15.19</v>
      </c>
      <c r="I3873" s="43" t="n">
        <f aca="false">F3873*H3873</f>
        <v>65.0132</v>
      </c>
      <c r="J3873" s="43" t="n">
        <f aca="false">G3873*H3873*1.5</f>
        <v>0</v>
      </c>
      <c r="K3873" s="6" t="n">
        <v>11.26</v>
      </c>
      <c r="L3873" s="43" t="n">
        <f aca="false">K3873*'Chart of Accounts'!$E$68</f>
        <v>7.5442</v>
      </c>
      <c r="O3873" s="42" t="n">
        <f aca="false">I3873+J3873+L3873</f>
        <v>72.5574</v>
      </c>
    </row>
    <row r="3874" customFormat="false" ht="15" hidden="false" customHeight="false" outlineLevel="0" collapsed="false">
      <c r="B3874" s="7" t="s">
        <v>12507</v>
      </c>
      <c r="C3874" s="39" t="n">
        <v>45899</v>
      </c>
      <c r="D3874" s="7" t="s">
        <v>218</v>
      </c>
      <c r="E3874" s="7" t="s">
        <v>180</v>
      </c>
      <c r="F3874" s="6" t="n">
        <v>3.97</v>
      </c>
      <c r="G3874" s="6" t="n">
        <v>0</v>
      </c>
      <c r="H3874" s="41" t="n">
        <v>16.19</v>
      </c>
      <c r="I3874" s="43" t="n">
        <f aca="false">F3874*H3874</f>
        <v>64.2743</v>
      </c>
      <c r="J3874" s="43" t="n">
        <f aca="false">G3874*H3874*1.5</f>
        <v>0</v>
      </c>
      <c r="K3874" s="6" t="n">
        <v>13.83</v>
      </c>
      <c r="L3874" s="43" t="n">
        <f aca="false">K3874*'Chart of Accounts'!$E$68</f>
        <v>9.2661</v>
      </c>
      <c r="O3874" s="42" t="n">
        <f aca="false">I3874+J3874+L3874</f>
        <v>73.5404</v>
      </c>
    </row>
    <row r="3875" customFormat="false" ht="15" hidden="false" customHeight="false" outlineLevel="0" collapsed="false">
      <c r="B3875" s="7" t="s">
        <v>12508</v>
      </c>
      <c r="C3875" s="39" t="n">
        <v>45899</v>
      </c>
      <c r="D3875" s="7" t="s">
        <v>194</v>
      </c>
      <c r="E3875" s="7" t="s">
        <v>180</v>
      </c>
      <c r="F3875" s="6" t="n">
        <v>4.03</v>
      </c>
      <c r="G3875" s="6" t="n">
        <v>0</v>
      </c>
      <c r="H3875" s="41" t="n">
        <v>16</v>
      </c>
      <c r="I3875" s="43" t="n">
        <f aca="false">F3875*H3875</f>
        <v>64.48</v>
      </c>
      <c r="J3875" s="43" t="n">
        <f aca="false">G3875*H3875*1.5</f>
        <v>0</v>
      </c>
      <c r="K3875" s="6" t="n">
        <v>13.72</v>
      </c>
      <c r="L3875" s="43" t="n">
        <f aca="false">K3875*'Chart of Accounts'!$E$68</f>
        <v>9.1924</v>
      </c>
      <c r="O3875" s="42" t="n">
        <f aca="false">I3875+J3875+L3875</f>
        <v>73.6724</v>
      </c>
    </row>
    <row r="3876" customFormat="false" ht="15" hidden="false" customHeight="false" outlineLevel="0" collapsed="false">
      <c r="B3876" s="7" t="s">
        <v>12509</v>
      </c>
      <c r="C3876" s="39" t="n">
        <v>45899</v>
      </c>
      <c r="D3876" s="7" t="s">
        <v>196</v>
      </c>
      <c r="E3876" s="7" t="s">
        <v>180</v>
      </c>
      <c r="F3876" s="6" t="n">
        <v>3.578</v>
      </c>
      <c r="G3876" s="6" t="n">
        <v>0.692</v>
      </c>
      <c r="H3876" s="41" t="n">
        <v>15.05</v>
      </c>
      <c r="I3876" s="43" t="n">
        <f aca="false">F3876*H3876</f>
        <v>53.8489</v>
      </c>
      <c r="J3876" s="43" t="n">
        <f aca="false">G3876*H3876*1.5</f>
        <v>15.6219</v>
      </c>
      <c r="K3876" s="6" t="n">
        <v>14.64</v>
      </c>
      <c r="L3876" s="43" t="n">
        <f aca="false">K3876*'Chart of Accounts'!$E$68</f>
        <v>9.8088</v>
      </c>
      <c r="O3876" s="42" t="n">
        <f aca="false">I3876+J3876+L3876</f>
        <v>79.2796</v>
      </c>
    </row>
    <row r="3877" customFormat="false" ht="15" hidden="false" customHeight="false" outlineLevel="0" collapsed="false">
      <c r="B3877" s="7" t="s">
        <v>12510</v>
      </c>
      <c r="C3877" s="39" t="n">
        <v>45899</v>
      </c>
      <c r="D3877" s="7" t="s">
        <v>222</v>
      </c>
      <c r="E3877" s="7" t="s">
        <v>180</v>
      </c>
      <c r="F3877" s="6" t="n">
        <v>4.1</v>
      </c>
      <c r="G3877" s="6" t="n">
        <v>0</v>
      </c>
      <c r="H3877" s="41" t="n">
        <v>17.84</v>
      </c>
      <c r="I3877" s="43" t="n">
        <f aca="false">F3877*H3877</f>
        <v>73.144</v>
      </c>
      <c r="J3877" s="43" t="n">
        <f aca="false">G3877*H3877*1.5</f>
        <v>0</v>
      </c>
      <c r="K3877" s="6" t="n">
        <v>9.46</v>
      </c>
      <c r="L3877" s="43" t="n">
        <f aca="false">K3877*'Chart of Accounts'!$E$68</f>
        <v>6.3382</v>
      </c>
      <c r="O3877" s="42" t="n">
        <f aca="false">I3877+J3877+L3877</f>
        <v>79.4822</v>
      </c>
    </row>
    <row r="3878" customFormat="false" ht="15" hidden="false" customHeight="false" outlineLevel="0" collapsed="false">
      <c r="B3878" s="7" t="s">
        <v>12511</v>
      </c>
      <c r="C3878" s="39" t="n">
        <v>45899</v>
      </c>
      <c r="D3878" s="7" t="s">
        <v>242</v>
      </c>
      <c r="E3878" s="7" t="s">
        <v>180</v>
      </c>
      <c r="F3878" s="6" t="n">
        <v>4.28</v>
      </c>
      <c r="G3878" s="6" t="n">
        <v>0</v>
      </c>
      <c r="H3878" s="41" t="n">
        <v>17.99</v>
      </c>
      <c r="I3878" s="43" t="n">
        <f aca="false">F3878*H3878</f>
        <v>76.9972</v>
      </c>
      <c r="J3878" s="43" t="n">
        <f aca="false">G3878*H3878*1.5</f>
        <v>0</v>
      </c>
      <c r="K3878" s="6" t="n">
        <v>12.51</v>
      </c>
      <c r="L3878" s="43" t="n">
        <f aca="false">K3878*'Chart of Accounts'!$E$68</f>
        <v>8.3817</v>
      </c>
      <c r="O3878" s="42" t="n">
        <f aca="false">I3878+J3878+L3878</f>
        <v>85.3789</v>
      </c>
    </row>
    <row r="3879" customFormat="false" ht="15" hidden="false" customHeight="false" outlineLevel="0" collapsed="false">
      <c r="B3879" s="7" t="s">
        <v>12512</v>
      </c>
      <c r="C3879" s="39" t="n">
        <v>45899</v>
      </c>
      <c r="D3879" s="7" t="s">
        <v>254</v>
      </c>
      <c r="E3879" s="7" t="s">
        <v>180</v>
      </c>
      <c r="F3879" s="6" t="n">
        <v>4.142</v>
      </c>
      <c r="G3879" s="6" t="n">
        <v>0.238</v>
      </c>
      <c r="H3879" s="41" t="n">
        <v>17.1</v>
      </c>
      <c r="I3879" s="43" t="n">
        <f aca="false">F3879*H3879</f>
        <v>70.8282</v>
      </c>
      <c r="J3879" s="43" t="n">
        <f aca="false">G3879*H3879*1.5</f>
        <v>6.1047</v>
      </c>
      <c r="K3879" s="6" t="n">
        <v>10.66</v>
      </c>
      <c r="L3879" s="43" t="n">
        <f aca="false">K3879*'Chart of Accounts'!$E$68</f>
        <v>7.1422</v>
      </c>
      <c r="O3879" s="42" t="n">
        <f aca="false">I3879+J3879+L3879</f>
        <v>84.0751</v>
      </c>
    </row>
    <row r="3880" customFormat="false" ht="15" hidden="false" customHeight="false" outlineLevel="0" collapsed="false">
      <c r="B3880" s="7" t="s">
        <v>12513</v>
      </c>
      <c r="C3880" s="39" t="n">
        <v>45900</v>
      </c>
      <c r="D3880" s="7" t="s">
        <v>246</v>
      </c>
      <c r="E3880" s="7" t="s">
        <v>180</v>
      </c>
      <c r="F3880" s="6" t="n">
        <v>4.16</v>
      </c>
      <c r="G3880" s="6" t="n">
        <v>0</v>
      </c>
      <c r="H3880" s="41" t="n">
        <v>16.48</v>
      </c>
      <c r="I3880" s="43" t="n">
        <f aca="false">F3880*H3880</f>
        <v>68.5568</v>
      </c>
      <c r="J3880" s="43" t="n">
        <f aca="false">G3880*H3880*1.5</f>
        <v>0</v>
      </c>
      <c r="K3880" s="6" t="n">
        <v>13.51</v>
      </c>
      <c r="L3880" s="43" t="n">
        <f aca="false">K3880*'Chart of Accounts'!$E$68</f>
        <v>9.0517</v>
      </c>
      <c r="O3880" s="42" t="n">
        <f aca="false">I3880+J3880+L3880</f>
        <v>77.6085</v>
      </c>
    </row>
    <row r="3881" customFormat="false" ht="15" hidden="false" customHeight="false" outlineLevel="0" collapsed="false">
      <c r="B3881" s="7" t="s">
        <v>12514</v>
      </c>
      <c r="C3881" s="39" t="n">
        <v>45900</v>
      </c>
      <c r="D3881" s="7" t="s">
        <v>218</v>
      </c>
      <c r="E3881" s="7" t="s">
        <v>180</v>
      </c>
      <c r="F3881" s="6" t="n">
        <v>4.31</v>
      </c>
      <c r="G3881" s="6" t="n">
        <v>0</v>
      </c>
      <c r="H3881" s="41" t="n">
        <v>16.19</v>
      </c>
      <c r="I3881" s="43" t="n">
        <f aca="false">F3881*H3881</f>
        <v>69.7789</v>
      </c>
      <c r="J3881" s="43" t="n">
        <f aca="false">G3881*H3881*1.5</f>
        <v>0</v>
      </c>
      <c r="K3881" s="6" t="n">
        <v>9.62</v>
      </c>
      <c r="L3881" s="43" t="n">
        <f aca="false">K3881*'Chart of Accounts'!$E$68</f>
        <v>6.4454</v>
      </c>
      <c r="O3881" s="42" t="n">
        <f aca="false">I3881+J3881+L3881</f>
        <v>76.2243</v>
      </c>
    </row>
    <row r="3882" customFormat="false" ht="15" hidden="false" customHeight="false" outlineLevel="0" collapsed="false">
      <c r="B3882" s="7" t="s">
        <v>12515</v>
      </c>
      <c r="C3882" s="39" t="n">
        <v>45900</v>
      </c>
      <c r="D3882" s="7" t="s">
        <v>242</v>
      </c>
      <c r="E3882" s="7" t="s">
        <v>180</v>
      </c>
      <c r="F3882" s="6" t="n">
        <v>7.97</v>
      </c>
      <c r="G3882" s="6" t="n">
        <v>0</v>
      </c>
      <c r="H3882" s="41" t="n">
        <v>17.99</v>
      </c>
      <c r="I3882" s="43" t="n">
        <f aca="false">F3882*H3882</f>
        <v>143.3803</v>
      </c>
      <c r="J3882" s="43" t="n">
        <f aca="false">G3882*H3882*1.5</f>
        <v>0</v>
      </c>
      <c r="K3882" s="6" t="n">
        <v>21.25</v>
      </c>
      <c r="L3882" s="43" t="n">
        <f aca="false">K3882*'Chart of Accounts'!$E$68</f>
        <v>14.2375</v>
      </c>
      <c r="O3882" s="42" t="n">
        <f aca="false">I3882+J3882+L3882</f>
        <v>157.6178</v>
      </c>
    </row>
    <row r="3883" customFormat="false" ht="15" hidden="false" customHeight="false" outlineLevel="0" collapsed="false">
      <c r="B3883" s="7" t="s">
        <v>12516</v>
      </c>
      <c r="C3883" s="39" t="n">
        <v>45900</v>
      </c>
      <c r="D3883" s="7" t="s">
        <v>196</v>
      </c>
      <c r="E3883" s="7" t="s">
        <v>180</v>
      </c>
      <c r="F3883" s="6" t="n">
        <v>3.502</v>
      </c>
      <c r="G3883" s="6" t="n">
        <v>0.678</v>
      </c>
      <c r="H3883" s="41" t="n">
        <v>15.05</v>
      </c>
      <c r="I3883" s="43" t="n">
        <f aca="false">F3883*H3883</f>
        <v>52.7051</v>
      </c>
      <c r="J3883" s="43" t="n">
        <f aca="false">G3883*H3883*1.5</f>
        <v>15.30585</v>
      </c>
      <c r="K3883" s="6" t="n">
        <v>11.18</v>
      </c>
      <c r="L3883" s="43" t="n">
        <f aca="false">K3883*'Chart of Accounts'!$E$68</f>
        <v>7.4906</v>
      </c>
      <c r="O3883" s="42" t="n">
        <f aca="false">I3883+J3883+L3883</f>
        <v>75.50155</v>
      </c>
    </row>
    <row r="3884" customFormat="false" ht="15" hidden="false" customHeight="false" outlineLevel="0" collapsed="false">
      <c r="B3884" s="7" t="s">
        <v>12517</v>
      </c>
      <c r="C3884" s="39" t="n">
        <v>45900</v>
      </c>
      <c r="D3884" s="7" t="s">
        <v>222</v>
      </c>
      <c r="E3884" s="7" t="s">
        <v>180</v>
      </c>
      <c r="F3884" s="6" t="n">
        <v>4.37</v>
      </c>
      <c r="G3884" s="6" t="n">
        <v>0</v>
      </c>
      <c r="H3884" s="41" t="n">
        <v>17.84</v>
      </c>
      <c r="I3884" s="43" t="n">
        <f aca="false">F3884*H3884</f>
        <v>77.9608</v>
      </c>
      <c r="J3884" s="43" t="n">
        <f aca="false">G3884*H3884*1.5</f>
        <v>0</v>
      </c>
      <c r="K3884" s="6" t="n">
        <v>13.47</v>
      </c>
      <c r="L3884" s="43" t="n">
        <f aca="false">K3884*'Chart of Accounts'!$E$68</f>
        <v>9.0249</v>
      </c>
      <c r="O3884" s="42" t="n">
        <f aca="false">I3884+J3884+L3884</f>
        <v>86.9857</v>
      </c>
    </row>
    <row r="3885" customFormat="false" ht="15" hidden="false" customHeight="false" outlineLevel="0" collapsed="false">
      <c r="B3885" s="7" t="s">
        <v>12518</v>
      </c>
      <c r="C3885" s="39" t="n">
        <v>45900</v>
      </c>
      <c r="D3885" s="7" t="s">
        <v>254</v>
      </c>
      <c r="E3885" s="7" t="s">
        <v>180</v>
      </c>
      <c r="F3885" s="6" t="n">
        <v>4.104</v>
      </c>
      <c r="G3885" s="6" t="n">
        <v>0.236</v>
      </c>
      <c r="H3885" s="41" t="n">
        <v>17.1</v>
      </c>
      <c r="I3885" s="43" t="n">
        <f aca="false">F3885*H3885</f>
        <v>70.1784</v>
      </c>
      <c r="J3885" s="43" t="n">
        <f aca="false">G3885*H3885*1.5</f>
        <v>6.0534</v>
      </c>
      <c r="K3885" s="6" t="n">
        <v>11.85</v>
      </c>
      <c r="L3885" s="43" t="n">
        <f aca="false">K3885*'Chart of Accounts'!$E$68</f>
        <v>7.9395</v>
      </c>
      <c r="O3885" s="42" t="n">
        <f aca="false">I3885+J3885+L3885</f>
        <v>84.1713</v>
      </c>
    </row>
    <row r="3886" customFormat="false" ht="15" hidden="false" customHeight="false" outlineLevel="0" collapsed="false">
      <c r="B3886" s="7" t="s">
        <v>12519</v>
      </c>
      <c r="C3886" s="39" t="n">
        <v>45901</v>
      </c>
      <c r="D3886" s="7" t="s">
        <v>242</v>
      </c>
      <c r="E3886" s="7" t="s">
        <v>180</v>
      </c>
      <c r="F3886" s="6" t="n">
        <v>10.36</v>
      </c>
      <c r="G3886" s="6" t="n">
        <v>0</v>
      </c>
      <c r="H3886" s="41" t="n">
        <v>17.99</v>
      </c>
      <c r="I3886" s="43" t="n">
        <f aca="false">F3886*H3886</f>
        <v>186.3764</v>
      </c>
      <c r="J3886" s="43" t="n">
        <f aca="false">G3886*H3886*1.5</f>
        <v>0</v>
      </c>
      <c r="K3886" s="6" t="n">
        <v>27.88</v>
      </c>
      <c r="L3886" s="43" t="n">
        <f aca="false">K3886*'Chart of Accounts'!$E$68</f>
        <v>18.6796</v>
      </c>
      <c r="O3886" s="42" t="n">
        <f aca="false">I3886+J3886+L3886</f>
        <v>205.056</v>
      </c>
    </row>
    <row r="3887" customFormat="false" ht="15" hidden="false" customHeight="false" outlineLevel="0" collapsed="false">
      <c r="B3887" s="7" t="s">
        <v>12520</v>
      </c>
      <c r="C3887" s="39" t="n">
        <v>45901</v>
      </c>
      <c r="D3887" s="7" t="s">
        <v>194</v>
      </c>
      <c r="E3887" s="7" t="s">
        <v>180</v>
      </c>
      <c r="F3887" s="6" t="n">
        <v>8.74</v>
      </c>
      <c r="G3887" s="6" t="n">
        <v>0</v>
      </c>
      <c r="H3887" s="41" t="n">
        <v>16</v>
      </c>
      <c r="I3887" s="43" t="n">
        <f aca="false">F3887*H3887</f>
        <v>139.84</v>
      </c>
      <c r="J3887" s="43" t="n">
        <f aca="false">G3887*H3887*1.5</f>
        <v>0</v>
      </c>
      <c r="K3887" s="6" t="n">
        <v>22.39</v>
      </c>
      <c r="L3887" s="43" t="n">
        <f aca="false">K3887*'Chart of Accounts'!$E$68</f>
        <v>15.0013</v>
      </c>
      <c r="O3887" s="42" t="n">
        <f aca="false">I3887+J3887+L3887</f>
        <v>154.8413</v>
      </c>
    </row>
    <row r="3888" customFormat="false" ht="15" hidden="false" customHeight="false" outlineLevel="0" collapsed="false">
      <c r="B3888" s="7" t="s">
        <v>12521</v>
      </c>
      <c r="C3888" s="39" t="n">
        <v>45901</v>
      </c>
      <c r="D3888" s="7" t="s">
        <v>214</v>
      </c>
      <c r="E3888" s="7" t="s">
        <v>180</v>
      </c>
      <c r="F3888" s="6" t="n">
        <v>7.46</v>
      </c>
      <c r="G3888" s="6" t="n">
        <v>0</v>
      </c>
      <c r="H3888" s="41" t="n">
        <v>15.67</v>
      </c>
      <c r="I3888" s="43" t="n">
        <f aca="false">F3888*H3888</f>
        <v>116.8982</v>
      </c>
      <c r="J3888" s="43" t="n">
        <f aca="false">G3888*H3888*1.5</f>
        <v>0</v>
      </c>
      <c r="K3888" s="6" t="n">
        <v>24.16</v>
      </c>
      <c r="L3888" s="43" t="n">
        <f aca="false">K3888*'Chart of Accounts'!$E$68</f>
        <v>16.1872</v>
      </c>
      <c r="O3888" s="42" t="n">
        <f aca="false">I3888+J3888+L3888</f>
        <v>133.0854</v>
      </c>
    </row>
    <row r="3889" customFormat="false" ht="15" hidden="false" customHeight="false" outlineLevel="0" collapsed="false">
      <c r="B3889" s="7" t="s">
        <v>12522</v>
      </c>
      <c r="C3889" s="39" t="n">
        <v>45901</v>
      </c>
      <c r="D3889" s="7" t="s">
        <v>201</v>
      </c>
      <c r="E3889" s="7" t="s">
        <v>180</v>
      </c>
      <c r="F3889" s="6" t="n">
        <v>9.5</v>
      </c>
      <c r="G3889" s="6" t="n">
        <v>0</v>
      </c>
      <c r="H3889" s="41" t="n">
        <v>15.19</v>
      </c>
      <c r="I3889" s="43" t="n">
        <f aca="false">F3889*H3889</f>
        <v>144.305</v>
      </c>
      <c r="J3889" s="43" t="n">
        <f aca="false">G3889*H3889*1.5</f>
        <v>0</v>
      </c>
      <c r="K3889" s="6" t="n">
        <v>27.56</v>
      </c>
      <c r="L3889" s="43" t="n">
        <f aca="false">K3889*'Chart of Accounts'!$E$68</f>
        <v>18.4652</v>
      </c>
      <c r="O3889" s="42" t="n">
        <f aca="false">I3889+J3889+L3889</f>
        <v>162.7702</v>
      </c>
    </row>
    <row r="3890" customFormat="false" ht="15" hidden="false" customHeight="false" outlineLevel="0" collapsed="false">
      <c r="B3890" s="7" t="s">
        <v>12523</v>
      </c>
      <c r="C3890" s="39" t="n">
        <v>45901</v>
      </c>
      <c r="D3890" s="7" t="s">
        <v>205</v>
      </c>
      <c r="E3890" s="7" t="s">
        <v>180</v>
      </c>
      <c r="F3890" s="6" t="n">
        <v>3.65</v>
      </c>
      <c r="G3890" s="6" t="n">
        <v>0</v>
      </c>
      <c r="H3890" s="41" t="n">
        <v>16.36</v>
      </c>
      <c r="I3890" s="43" t="n">
        <f aca="false">F3890*H3890</f>
        <v>59.714</v>
      </c>
      <c r="J3890" s="43" t="n">
        <f aca="false">G3890*H3890*1.5</f>
        <v>0</v>
      </c>
      <c r="K3890" s="6" t="n">
        <v>9.29</v>
      </c>
      <c r="L3890" s="43" t="n">
        <f aca="false">K3890*'Chart of Accounts'!$E$68</f>
        <v>6.2243</v>
      </c>
      <c r="O3890" s="42" t="n">
        <f aca="false">I3890+J3890+L3890</f>
        <v>65.9383</v>
      </c>
    </row>
    <row r="3891" customFormat="false" ht="15" hidden="false" customHeight="false" outlineLevel="0" collapsed="false">
      <c r="B3891" s="7" t="s">
        <v>12524</v>
      </c>
      <c r="C3891" s="39" t="n">
        <v>45901</v>
      </c>
      <c r="D3891" s="7" t="s">
        <v>264</v>
      </c>
      <c r="E3891" s="7" t="s">
        <v>158</v>
      </c>
      <c r="H3891" s="41" t="n">
        <v>55.55</v>
      </c>
      <c r="M3891" s="6" t="n">
        <v>1</v>
      </c>
      <c r="N3891" s="43" t="n">
        <f aca="false">M3891*H3891</f>
        <v>55.55</v>
      </c>
      <c r="O3891" s="42" t="n">
        <f aca="false">N3891</f>
        <v>55.55</v>
      </c>
    </row>
    <row r="3892" customFormat="false" ht="15" hidden="false" customHeight="false" outlineLevel="0" collapsed="false">
      <c r="B3892" s="7" t="s">
        <v>12525</v>
      </c>
      <c r="C3892" s="39" t="n">
        <v>45901</v>
      </c>
      <c r="D3892" s="7" t="s">
        <v>252</v>
      </c>
      <c r="E3892" s="7" t="s">
        <v>158</v>
      </c>
      <c r="H3892" s="41" t="n">
        <v>57.54</v>
      </c>
      <c r="M3892" s="6" t="n">
        <v>1</v>
      </c>
      <c r="N3892" s="43" t="n">
        <f aca="false">M3892*H3892</f>
        <v>57.54</v>
      </c>
      <c r="O3892" s="42" t="n">
        <f aca="false">N3892</f>
        <v>57.54</v>
      </c>
    </row>
    <row r="3893" customFormat="false" ht="15" hidden="false" customHeight="false" outlineLevel="0" collapsed="false">
      <c r="B3893" s="7" t="s">
        <v>12526</v>
      </c>
      <c r="C3893" s="39" t="n">
        <v>45901</v>
      </c>
      <c r="D3893" s="7" t="s">
        <v>196</v>
      </c>
      <c r="E3893" s="7" t="s">
        <v>180</v>
      </c>
      <c r="F3893" s="6" t="n">
        <v>10.554</v>
      </c>
      <c r="G3893" s="6" t="n">
        <v>2.016</v>
      </c>
      <c r="H3893" s="41" t="n">
        <v>15.05</v>
      </c>
      <c r="I3893" s="43" t="n">
        <f aca="false">F3893*H3893</f>
        <v>158.8377</v>
      </c>
      <c r="J3893" s="43" t="n">
        <f aca="false">G3893*H3893*1.5</f>
        <v>45.5112</v>
      </c>
      <c r="K3893" s="6" t="n">
        <v>36.57</v>
      </c>
      <c r="L3893" s="43" t="n">
        <f aca="false">K3893*'Chart of Accounts'!$E$68</f>
        <v>24.5019</v>
      </c>
      <c r="O3893" s="42" t="n">
        <f aca="false">I3893+J3893+L3893</f>
        <v>228.8508</v>
      </c>
    </row>
    <row r="3894" customFormat="false" ht="15" hidden="false" customHeight="false" outlineLevel="0" collapsed="false">
      <c r="B3894" s="7" t="s">
        <v>12527</v>
      </c>
      <c r="C3894" s="39" t="n">
        <v>45901</v>
      </c>
      <c r="D3894" s="7" t="s">
        <v>184</v>
      </c>
      <c r="E3894" s="7" t="s">
        <v>180</v>
      </c>
      <c r="F3894" s="6" t="n">
        <v>8.41</v>
      </c>
      <c r="G3894" s="6" t="n">
        <v>0</v>
      </c>
      <c r="H3894" s="41" t="n">
        <v>17.34</v>
      </c>
      <c r="I3894" s="43" t="n">
        <f aca="false">F3894*H3894</f>
        <v>145.8294</v>
      </c>
      <c r="J3894" s="43" t="n">
        <f aca="false">G3894*H3894*1.5</f>
        <v>0</v>
      </c>
      <c r="K3894" s="6" t="n">
        <v>21.51</v>
      </c>
      <c r="L3894" s="43" t="n">
        <f aca="false">K3894*'Chart of Accounts'!$E$68</f>
        <v>14.4117</v>
      </c>
      <c r="O3894" s="42" t="n">
        <f aca="false">I3894+J3894+L3894</f>
        <v>160.2411</v>
      </c>
    </row>
    <row r="3895" customFormat="false" ht="15" hidden="false" customHeight="false" outlineLevel="0" collapsed="false">
      <c r="B3895" s="7" t="s">
        <v>12528</v>
      </c>
      <c r="C3895" s="39" t="n">
        <v>45901</v>
      </c>
      <c r="D3895" s="7" t="s">
        <v>216</v>
      </c>
      <c r="E3895" s="7" t="s">
        <v>158</v>
      </c>
      <c r="H3895" s="41" t="n">
        <v>61.79</v>
      </c>
      <c r="M3895" s="6" t="n">
        <v>1</v>
      </c>
      <c r="N3895" s="43" t="n">
        <f aca="false">M3895*H3895</f>
        <v>61.79</v>
      </c>
      <c r="O3895" s="42" t="n">
        <f aca="false">N3895</f>
        <v>61.79</v>
      </c>
    </row>
    <row r="3896" customFormat="false" ht="15" hidden="false" customHeight="false" outlineLevel="0" collapsed="false">
      <c r="B3896" s="7" t="s">
        <v>12529</v>
      </c>
      <c r="C3896" s="39" t="n">
        <v>45901</v>
      </c>
      <c r="D3896" s="7" t="s">
        <v>240</v>
      </c>
      <c r="E3896" s="7" t="s">
        <v>180</v>
      </c>
      <c r="F3896" s="6" t="n">
        <v>2.86</v>
      </c>
      <c r="G3896" s="6" t="n">
        <v>0</v>
      </c>
      <c r="H3896" s="41" t="n">
        <v>16.96</v>
      </c>
      <c r="I3896" s="43" t="n">
        <f aca="false">F3896*H3896</f>
        <v>48.5056</v>
      </c>
      <c r="J3896" s="43" t="n">
        <f aca="false">G3896*H3896*1.5</f>
        <v>0</v>
      </c>
      <c r="K3896" s="6" t="n">
        <v>9.69</v>
      </c>
      <c r="L3896" s="43" t="n">
        <f aca="false">K3896*'Chart of Accounts'!$E$68</f>
        <v>6.4923</v>
      </c>
      <c r="O3896" s="42" t="n">
        <f aca="false">I3896+J3896+L3896</f>
        <v>54.9979</v>
      </c>
    </row>
    <row r="3897" customFormat="false" ht="15" hidden="false" customHeight="false" outlineLevel="0" collapsed="false">
      <c r="B3897" s="7" t="s">
        <v>12530</v>
      </c>
      <c r="C3897" s="39" t="n">
        <v>45901</v>
      </c>
      <c r="D3897" s="7" t="s">
        <v>218</v>
      </c>
      <c r="E3897" s="7" t="s">
        <v>180</v>
      </c>
      <c r="F3897" s="6" t="n">
        <v>4</v>
      </c>
      <c r="G3897" s="6" t="n">
        <v>0</v>
      </c>
      <c r="H3897" s="41" t="n">
        <v>16.19</v>
      </c>
      <c r="I3897" s="43" t="n">
        <f aca="false">F3897*H3897</f>
        <v>64.76</v>
      </c>
      <c r="J3897" s="43" t="n">
        <f aca="false">G3897*H3897*1.5</f>
        <v>0</v>
      </c>
      <c r="K3897" s="6" t="n">
        <v>13.16</v>
      </c>
      <c r="L3897" s="43" t="n">
        <f aca="false">K3897*'Chart of Accounts'!$E$68</f>
        <v>8.8172</v>
      </c>
      <c r="O3897" s="42" t="n">
        <f aca="false">I3897+J3897+L3897</f>
        <v>73.5772</v>
      </c>
    </row>
    <row r="3898" customFormat="false" ht="15" hidden="false" customHeight="false" outlineLevel="0" collapsed="false">
      <c r="B3898" s="7" t="s">
        <v>12531</v>
      </c>
      <c r="C3898" s="39" t="n">
        <v>45901</v>
      </c>
      <c r="D3898" s="7" t="s">
        <v>244</v>
      </c>
      <c r="E3898" s="7" t="s">
        <v>180</v>
      </c>
      <c r="F3898" s="6" t="n">
        <v>3.05</v>
      </c>
      <c r="G3898" s="6" t="n">
        <v>0</v>
      </c>
      <c r="H3898" s="41" t="n">
        <v>16.39</v>
      </c>
      <c r="I3898" s="43" t="n">
        <f aca="false">F3898*H3898</f>
        <v>49.9895</v>
      </c>
      <c r="J3898" s="43" t="n">
        <f aca="false">G3898*H3898*1.5</f>
        <v>0</v>
      </c>
      <c r="K3898" s="6" t="n">
        <v>10.32</v>
      </c>
      <c r="L3898" s="43" t="n">
        <f aca="false">K3898*'Chart of Accounts'!$E$68</f>
        <v>6.9144</v>
      </c>
      <c r="O3898" s="42" t="n">
        <f aca="false">I3898+J3898+L3898</f>
        <v>56.9039</v>
      </c>
    </row>
    <row r="3899" customFormat="false" ht="15" hidden="false" customHeight="false" outlineLevel="0" collapsed="false">
      <c r="B3899" s="7" t="s">
        <v>12532</v>
      </c>
      <c r="C3899" s="39" t="n">
        <v>45901</v>
      </c>
      <c r="D3899" s="7" t="s">
        <v>220</v>
      </c>
      <c r="E3899" s="7" t="s">
        <v>180</v>
      </c>
      <c r="F3899" s="6" t="n">
        <v>3.64</v>
      </c>
      <c r="G3899" s="6" t="n">
        <v>0</v>
      </c>
      <c r="H3899" s="41" t="n">
        <v>16.43</v>
      </c>
      <c r="I3899" s="43" t="n">
        <f aca="false">F3899*H3899</f>
        <v>59.8052</v>
      </c>
      <c r="J3899" s="43" t="n">
        <f aca="false">G3899*H3899*1.5</f>
        <v>0</v>
      </c>
      <c r="K3899" s="6" t="n">
        <v>9.19</v>
      </c>
      <c r="L3899" s="43" t="n">
        <f aca="false">K3899*'Chart of Accounts'!$E$68</f>
        <v>6.1573</v>
      </c>
      <c r="O3899" s="42" t="n">
        <f aca="false">I3899+J3899+L3899</f>
        <v>65.9625</v>
      </c>
    </row>
    <row r="3900" customFormat="false" ht="15" hidden="false" customHeight="false" outlineLevel="0" collapsed="false">
      <c r="B3900" s="7" t="s">
        <v>12533</v>
      </c>
      <c r="C3900" s="39" t="n">
        <v>45901</v>
      </c>
      <c r="D3900" s="7" t="s">
        <v>224</v>
      </c>
      <c r="E3900" s="7" t="s">
        <v>180</v>
      </c>
      <c r="F3900" s="6" t="n">
        <v>13.07</v>
      </c>
      <c r="G3900" s="6" t="n">
        <v>0.35</v>
      </c>
      <c r="H3900" s="41" t="n">
        <v>14.93</v>
      </c>
      <c r="I3900" s="43" t="n">
        <f aca="false">F3900*H3900</f>
        <v>195.1351</v>
      </c>
      <c r="J3900" s="43" t="n">
        <f aca="false">G3900*H3900*1.5</f>
        <v>7.83825</v>
      </c>
      <c r="K3900" s="6" t="n">
        <v>38.02</v>
      </c>
      <c r="L3900" s="43" t="n">
        <f aca="false">K3900*'Chart of Accounts'!$E$68</f>
        <v>25.4734</v>
      </c>
      <c r="O3900" s="42" t="n">
        <f aca="false">I3900+J3900+L3900</f>
        <v>228.44675</v>
      </c>
    </row>
    <row r="3901" customFormat="false" ht="15" hidden="false" customHeight="false" outlineLevel="0" collapsed="false">
      <c r="B3901" s="7" t="s">
        <v>12534</v>
      </c>
      <c r="C3901" s="39" t="n">
        <v>45901</v>
      </c>
      <c r="D3901" s="7" t="s">
        <v>177</v>
      </c>
      <c r="E3901" s="7" t="s">
        <v>180</v>
      </c>
      <c r="F3901" s="6" t="n">
        <v>12.34</v>
      </c>
      <c r="G3901" s="6" t="n">
        <v>0</v>
      </c>
      <c r="H3901" s="41" t="n">
        <v>14.56</v>
      </c>
      <c r="I3901" s="43" t="n">
        <f aca="false">F3901*H3901</f>
        <v>179.6704</v>
      </c>
      <c r="J3901" s="43" t="n">
        <f aca="false">G3901*H3901*1.5</f>
        <v>0</v>
      </c>
      <c r="K3901" s="6" t="n">
        <v>44.23</v>
      </c>
      <c r="L3901" s="43" t="n">
        <f aca="false">K3901*'Chart of Accounts'!$E$68</f>
        <v>29.6341</v>
      </c>
      <c r="O3901" s="42" t="n">
        <f aca="false">I3901+J3901+L3901</f>
        <v>209.3045</v>
      </c>
    </row>
    <row r="3902" customFormat="false" ht="15" hidden="false" customHeight="false" outlineLevel="0" collapsed="false">
      <c r="B3902" s="7" t="s">
        <v>12535</v>
      </c>
      <c r="C3902" s="39" t="n">
        <v>45901</v>
      </c>
      <c r="D3902" s="7" t="s">
        <v>222</v>
      </c>
      <c r="E3902" s="7" t="s">
        <v>180</v>
      </c>
      <c r="F3902" s="6" t="n">
        <v>6.83</v>
      </c>
      <c r="G3902" s="6" t="n">
        <v>0</v>
      </c>
      <c r="H3902" s="41" t="n">
        <v>17.84</v>
      </c>
      <c r="I3902" s="43" t="n">
        <f aca="false">F3902*H3902</f>
        <v>121.8472</v>
      </c>
      <c r="J3902" s="43" t="n">
        <f aca="false">G3902*H3902*1.5</f>
        <v>0</v>
      </c>
      <c r="K3902" s="6" t="n">
        <v>22.74</v>
      </c>
      <c r="L3902" s="43" t="n">
        <f aca="false">K3902*'Chart of Accounts'!$E$68</f>
        <v>15.2358</v>
      </c>
      <c r="O3902" s="42" t="n">
        <f aca="false">I3902+J3902+L3902</f>
        <v>137.083</v>
      </c>
    </row>
    <row r="3903" customFormat="false" ht="15" hidden="false" customHeight="false" outlineLevel="0" collapsed="false">
      <c r="B3903" s="7" t="s">
        <v>12536</v>
      </c>
      <c r="C3903" s="39" t="n">
        <v>45901</v>
      </c>
      <c r="D3903" s="7" t="s">
        <v>238</v>
      </c>
      <c r="E3903" s="7" t="s">
        <v>180</v>
      </c>
      <c r="F3903" s="6" t="n">
        <v>8.45</v>
      </c>
      <c r="G3903" s="6" t="n">
        <v>0</v>
      </c>
      <c r="H3903" s="41" t="n">
        <v>15.85</v>
      </c>
      <c r="I3903" s="43" t="n">
        <f aca="false">F3903*H3903</f>
        <v>133.9325</v>
      </c>
      <c r="J3903" s="43" t="n">
        <f aca="false">G3903*H3903*1.5</f>
        <v>0</v>
      </c>
      <c r="K3903" s="6" t="n">
        <v>20.94</v>
      </c>
      <c r="L3903" s="43" t="n">
        <f aca="false">K3903*'Chart of Accounts'!$E$68</f>
        <v>14.0298</v>
      </c>
      <c r="O3903" s="42" t="n">
        <f aca="false">I3903+J3903+L3903</f>
        <v>147.9623</v>
      </c>
    </row>
    <row r="3904" customFormat="false" ht="15" hidden="false" customHeight="false" outlineLevel="0" collapsed="false">
      <c r="B3904" s="7" t="s">
        <v>12537</v>
      </c>
      <c r="C3904" s="39" t="n">
        <v>45901</v>
      </c>
      <c r="D3904" s="7" t="s">
        <v>254</v>
      </c>
      <c r="E3904" s="7" t="s">
        <v>180</v>
      </c>
      <c r="F3904" s="6" t="n">
        <v>8.939</v>
      </c>
      <c r="G3904" s="6" t="n">
        <v>2.101</v>
      </c>
      <c r="H3904" s="41" t="n">
        <v>17.1</v>
      </c>
      <c r="I3904" s="43" t="n">
        <f aca="false">F3904*H3904</f>
        <v>152.8569</v>
      </c>
      <c r="J3904" s="43" t="n">
        <f aca="false">G3904*H3904*1.5</f>
        <v>53.89065</v>
      </c>
      <c r="K3904" s="6" t="n">
        <v>37.85</v>
      </c>
      <c r="L3904" s="43" t="n">
        <f aca="false">K3904*'Chart of Accounts'!$E$68</f>
        <v>25.3595</v>
      </c>
      <c r="O3904" s="42" t="n">
        <f aca="false">I3904+J3904+L3904</f>
        <v>232.10705</v>
      </c>
    </row>
    <row r="3905" customFormat="false" ht="15" hidden="false" customHeight="false" outlineLevel="0" collapsed="false">
      <c r="B3905" s="7" t="s">
        <v>12538</v>
      </c>
      <c r="C3905" s="39" t="n">
        <v>45901</v>
      </c>
      <c r="D3905" s="7" t="s">
        <v>246</v>
      </c>
      <c r="E3905" s="7" t="s">
        <v>180</v>
      </c>
      <c r="F3905" s="6" t="n">
        <v>7.93</v>
      </c>
      <c r="G3905" s="6" t="n">
        <v>0</v>
      </c>
      <c r="H3905" s="41" t="n">
        <v>16.48</v>
      </c>
      <c r="I3905" s="43" t="n">
        <f aca="false">F3905*H3905</f>
        <v>130.6864</v>
      </c>
      <c r="J3905" s="43" t="n">
        <f aca="false">G3905*H3905*1.5</f>
        <v>0</v>
      </c>
      <c r="K3905" s="6" t="n">
        <v>24.96</v>
      </c>
      <c r="L3905" s="43" t="n">
        <f aca="false">K3905*'Chart of Accounts'!$E$68</f>
        <v>16.7232</v>
      </c>
      <c r="O3905" s="42" t="n">
        <f aca="false">I3905+J3905+L3905</f>
        <v>147.4096</v>
      </c>
    </row>
    <row r="3906" customFormat="false" ht="15" hidden="false" customHeight="false" outlineLevel="0" collapsed="false">
      <c r="B3906" s="7" t="s">
        <v>12539</v>
      </c>
      <c r="C3906" s="39" t="n">
        <v>45901</v>
      </c>
      <c r="D3906" s="7" t="s">
        <v>232</v>
      </c>
      <c r="E3906" s="7" t="s">
        <v>180</v>
      </c>
      <c r="F3906" s="6" t="n">
        <v>4.35</v>
      </c>
      <c r="G3906" s="6" t="n">
        <v>0</v>
      </c>
      <c r="H3906" s="41" t="n">
        <v>16.17</v>
      </c>
      <c r="I3906" s="43" t="n">
        <f aca="false">F3906*H3906</f>
        <v>70.3395</v>
      </c>
      <c r="J3906" s="43" t="n">
        <f aca="false">G3906*H3906*1.5</f>
        <v>0</v>
      </c>
      <c r="K3906" s="6" t="n">
        <v>13.42</v>
      </c>
      <c r="L3906" s="43" t="n">
        <f aca="false">K3906*'Chart of Accounts'!$E$68</f>
        <v>8.9914</v>
      </c>
      <c r="O3906" s="42" t="n">
        <f aca="false">I3906+J3906+L3906</f>
        <v>79.3309</v>
      </c>
    </row>
    <row r="3907" customFormat="false" ht="15" hidden="false" customHeight="false" outlineLevel="0" collapsed="false">
      <c r="B3907" s="7" t="s">
        <v>12540</v>
      </c>
      <c r="C3907" s="39" t="n">
        <v>45902</v>
      </c>
      <c r="D3907" s="7" t="s">
        <v>218</v>
      </c>
      <c r="E3907" s="7" t="s">
        <v>180</v>
      </c>
      <c r="F3907" s="6" t="n">
        <v>8.16</v>
      </c>
      <c r="G3907" s="6" t="n">
        <v>0</v>
      </c>
      <c r="H3907" s="41" t="n">
        <v>16.19</v>
      </c>
      <c r="I3907" s="43" t="n">
        <f aca="false">F3907*H3907</f>
        <v>132.1104</v>
      </c>
      <c r="J3907" s="43" t="n">
        <f aca="false">G3907*H3907*1.5</f>
        <v>0</v>
      </c>
      <c r="K3907" s="6" t="n">
        <v>21.55</v>
      </c>
      <c r="L3907" s="43" t="n">
        <f aca="false">K3907*'Chart of Accounts'!$E$68</f>
        <v>14.4385</v>
      </c>
      <c r="O3907" s="42" t="n">
        <f aca="false">I3907+J3907+L3907</f>
        <v>146.5489</v>
      </c>
    </row>
    <row r="3908" customFormat="false" ht="15" hidden="false" customHeight="false" outlineLevel="0" collapsed="false">
      <c r="B3908" s="7" t="s">
        <v>12541</v>
      </c>
      <c r="C3908" s="39" t="n">
        <v>45902</v>
      </c>
      <c r="D3908" s="7" t="s">
        <v>209</v>
      </c>
      <c r="E3908" s="7" t="s">
        <v>158</v>
      </c>
      <c r="H3908" s="41" t="n">
        <v>73.58</v>
      </c>
      <c r="M3908" s="6" t="n">
        <v>2</v>
      </c>
      <c r="N3908" s="43" t="n">
        <f aca="false">M3908*H3908</f>
        <v>147.16</v>
      </c>
      <c r="O3908" s="42" t="n">
        <f aca="false">N3908</f>
        <v>147.16</v>
      </c>
    </row>
    <row r="3909" customFormat="false" ht="15" hidden="false" customHeight="false" outlineLevel="0" collapsed="false">
      <c r="B3909" s="7" t="s">
        <v>12542</v>
      </c>
      <c r="C3909" s="39" t="n">
        <v>45902</v>
      </c>
      <c r="D3909" s="7" t="s">
        <v>184</v>
      </c>
      <c r="E3909" s="7" t="s">
        <v>180</v>
      </c>
      <c r="F3909" s="6" t="n">
        <v>3.87</v>
      </c>
      <c r="G3909" s="6" t="n">
        <v>0</v>
      </c>
      <c r="H3909" s="41" t="n">
        <v>17.34</v>
      </c>
      <c r="I3909" s="43" t="n">
        <f aca="false">F3909*H3909</f>
        <v>67.1058</v>
      </c>
      <c r="J3909" s="43" t="n">
        <f aca="false">G3909*H3909*1.5</f>
        <v>0</v>
      </c>
      <c r="K3909" s="6" t="n">
        <v>13.89</v>
      </c>
      <c r="L3909" s="43" t="n">
        <f aca="false">K3909*'Chart of Accounts'!$E$68</f>
        <v>9.3063</v>
      </c>
      <c r="O3909" s="42" t="n">
        <f aca="false">I3909+J3909+L3909</f>
        <v>76.4121</v>
      </c>
    </row>
    <row r="3910" customFormat="false" ht="15" hidden="false" customHeight="false" outlineLevel="0" collapsed="false">
      <c r="B3910" s="7" t="s">
        <v>12543</v>
      </c>
      <c r="C3910" s="39" t="n">
        <v>45902</v>
      </c>
      <c r="D3910" s="7" t="s">
        <v>234</v>
      </c>
      <c r="E3910" s="7" t="s">
        <v>158</v>
      </c>
      <c r="H3910" s="41" t="n">
        <v>89.53</v>
      </c>
      <c r="M3910" s="6" t="n">
        <v>2</v>
      </c>
      <c r="N3910" s="43" t="n">
        <f aca="false">M3910*H3910</f>
        <v>179.06</v>
      </c>
      <c r="O3910" s="42" t="n">
        <f aca="false">N3910</f>
        <v>179.06</v>
      </c>
    </row>
    <row r="3911" customFormat="false" ht="15" hidden="false" customHeight="false" outlineLevel="0" collapsed="false">
      <c r="B3911" s="7" t="s">
        <v>12544</v>
      </c>
      <c r="C3911" s="39" t="n">
        <v>45902</v>
      </c>
      <c r="D3911" s="7" t="s">
        <v>266</v>
      </c>
      <c r="E3911" s="7" t="s">
        <v>158</v>
      </c>
      <c r="H3911" s="41" t="n">
        <v>75.18</v>
      </c>
      <c r="M3911" s="6" t="n">
        <v>1</v>
      </c>
      <c r="N3911" s="43" t="n">
        <f aca="false">M3911*H3911</f>
        <v>75.18</v>
      </c>
      <c r="O3911" s="42" t="n">
        <f aca="false">N3911</f>
        <v>75.18</v>
      </c>
    </row>
    <row r="3912" customFormat="false" ht="15" hidden="false" customHeight="false" outlineLevel="0" collapsed="false">
      <c r="B3912" s="7" t="s">
        <v>12545</v>
      </c>
      <c r="C3912" s="39" t="n">
        <v>45902</v>
      </c>
      <c r="D3912" s="7" t="s">
        <v>228</v>
      </c>
      <c r="E3912" s="7" t="s">
        <v>158</v>
      </c>
      <c r="H3912" s="41" t="n">
        <v>51.07</v>
      </c>
      <c r="M3912" s="6" t="n">
        <v>1</v>
      </c>
      <c r="N3912" s="43" t="n">
        <f aca="false">M3912*H3912</f>
        <v>51.07</v>
      </c>
      <c r="O3912" s="42" t="n">
        <f aca="false">N3912</f>
        <v>51.07</v>
      </c>
    </row>
    <row r="3913" customFormat="false" ht="15" hidden="false" customHeight="false" outlineLevel="0" collapsed="false">
      <c r="B3913" s="7" t="s">
        <v>12546</v>
      </c>
      <c r="C3913" s="39" t="n">
        <v>45902</v>
      </c>
      <c r="D3913" s="7" t="s">
        <v>220</v>
      </c>
      <c r="E3913" s="7" t="s">
        <v>180</v>
      </c>
      <c r="F3913" s="6" t="n">
        <v>4.05</v>
      </c>
      <c r="G3913" s="6" t="n">
        <v>0</v>
      </c>
      <c r="H3913" s="41" t="n">
        <v>16.43</v>
      </c>
      <c r="I3913" s="43" t="n">
        <f aca="false">F3913*H3913</f>
        <v>66.5415</v>
      </c>
      <c r="J3913" s="43" t="n">
        <f aca="false">G3913*H3913*1.5</f>
        <v>0</v>
      </c>
      <c r="K3913" s="6" t="n">
        <v>13.72</v>
      </c>
      <c r="L3913" s="43" t="n">
        <f aca="false">K3913*'Chart of Accounts'!$E$68</f>
        <v>9.1924</v>
      </c>
      <c r="O3913" s="42" t="n">
        <f aca="false">I3913+J3913+L3913</f>
        <v>75.7339</v>
      </c>
    </row>
    <row r="3914" customFormat="false" ht="15" hidden="false" customHeight="false" outlineLevel="0" collapsed="false">
      <c r="B3914" s="7" t="s">
        <v>12547</v>
      </c>
      <c r="C3914" s="39" t="n">
        <v>45902</v>
      </c>
      <c r="D3914" s="7" t="s">
        <v>194</v>
      </c>
      <c r="E3914" s="7" t="s">
        <v>180</v>
      </c>
      <c r="F3914" s="6" t="n">
        <v>8.4</v>
      </c>
      <c r="G3914" s="6" t="n">
        <v>0</v>
      </c>
      <c r="H3914" s="41" t="n">
        <v>16</v>
      </c>
      <c r="I3914" s="43" t="n">
        <f aca="false">F3914*H3914</f>
        <v>134.4</v>
      </c>
      <c r="J3914" s="43" t="n">
        <f aca="false">G3914*H3914*1.5</f>
        <v>0</v>
      </c>
      <c r="K3914" s="6" t="n">
        <v>22.65</v>
      </c>
      <c r="L3914" s="43" t="n">
        <f aca="false">K3914*'Chart of Accounts'!$E$68</f>
        <v>15.1755</v>
      </c>
      <c r="O3914" s="42" t="n">
        <f aca="false">I3914+J3914+L3914</f>
        <v>149.5755</v>
      </c>
    </row>
    <row r="3915" customFormat="false" ht="15" hidden="false" customHeight="false" outlineLevel="0" collapsed="false">
      <c r="B3915" s="7" t="s">
        <v>12548</v>
      </c>
      <c r="C3915" s="39" t="n">
        <v>45902</v>
      </c>
      <c r="D3915" s="7" t="s">
        <v>258</v>
      </c>
      <c r="E3915" s="7" t="s">
        <v>158</v>
      </c>
      <c r="H3915" s="41" t="n">
        <v>61.61</v>
      </c>
      <c r="M3915" s="6" t="n">
        <v>1</v>
      </c>
      <c r="N3915" s="43" t="n">
        <f aca="false">M3915*H3915</f>
        <v>61.61</v>
      </c>
      <c r="O3915" s="42" t="n">
        <f aca="false">N3915</f>
        <v>61.61</v>
      </c>
    </row>
    <row r="3916" customFormat="false" ht="15" hidden="false" customHeight="false" outlineLevel="0" collapsed="false">
      <c r="B3916" s="7" t="s">
        <v>12549</v>
      </c>
      <c r="C3916" s="39" t="n">
        <v>45902</v>
      </c>
      <c r="D3916" s="7" t="s">
        <v>230</v>
      </c>
      <c r="E3916" s="7" t="s">
        <v>158</v>
      </c>
      <c r="H3916" s="41" t="n">
        <v>48.78</v>
      </c>
      <c r="M3916" s="6" t="n">
        <v>1</v>
      </c>
      <c r="N3916" s="43" t="n">
        <f aca="false">M3916*H3916</f>
        <v>48.78</v>
      </c>
      <c r="O3916" s="42" t="n">
        <f aca="false">N3916</f>
        <v>48.78</v>
      </c>
    </row>
    <row r="3917" customFormat="false" ht="15" hidden="false" customHeight="false" outlineLevel="0" collapsed="false">
      <c r="B3917" s="7" t="s">
        <v>12550</v>
      </c>
      <c r="C3917" s="39" t="n">
        <v>45902</v>
      </c>
      <c r="D3917" s="7" t="s">
        <v>196</v>
      </c>
      <c r="E3917" s="7" t="s">
        <v>180</v>
      </c>
      <c r="F3917" s="6" t="n">
        <v>3.694</v>
      </c>
      <c r="G3917" s="6" t="n">
        <v>0.706</v>
      </c>
      <c r="H3917" s="41" t="n">
        <v>15.05</v>
      </c>
      <c r="I3917" s="43" t="n">
        <f aca="false">F3917*H3917</f>
        <v>55.5947</v>
      </c>
      <c r="J3917" s="43" t="n">
        <f aca="false">G3917*H3917*1.5</f>
        <v>15.93795</v>
      </c>
      <c r="K3917" s="6" t="n">
        <v>12.21</v>
      </c>
      <c r="L3917" s="43" t="n">
        <f aca="false">K3917*'Chart of Accounts'!$E$68</f>
        <v>8.1807</v>
      </c>
      <c r="O3917" s="42" t="n">
        <f aca="false">I3917+J3917+L3917</f>
        <v>79.71335</v>
      </c>
    </row>
    <row r="3918" customFormat="false" ht="15" hidden="false" customHeight="false" outlineLevel="0" collapsed="false">
      <c r="B3918" s="7" t="s">
        <v>12551</v>
      </c>
      <c r="C3918" s="39" t="n">
        <v>45902</v>
      </c>
      <c r="D3918" s="7" t="s">
        <v>246</v>
      </c>
      <c r="E3918" s="7" t="s">
        <v>180</v>
      </c>
      <c r="F3918" s="6" t="n">
        <v>4.1</v>
      </c>
      <c r="G3918" s="6" t="n">
        <v>0</v>
      </c>
      <c r="H3918" s="41" t="n">
        <v>16.48</v>
      </c>
      <c r="I3918" s="43" t="n">
        <f aca="false">F3918*H3918</f>
        <v>67.568</v>
      </c>
      <c r="J3918" s="43" t="n">
        <f aca="false">G3918*H3918*1.5</f>
        <v>0</v>
      </c>
      <c r="K3918" s="6" t="n">
        <v>11.45</v>
      </c>
      <c r="L3918" s="43" t="n">
        <f aca="false">K3918*'Chart of Accounts'!$E$68</f>
        <v>7.6715</v>
      </c>
      <c r="O3918" s="42" t="n">
        <f aca="false">I3918+J3918+L3918</f>
        <v>75.2395</v>
      </c>
    </row>
    <row r="3919" customFormat="false" ht="15" hidden="false" customHeight="false" outlineLevel="0" collapsed="false">
      <c r="B3919" s="7" t="s">
        <v>12552</v>
      </c>
      <c r="C3919" s="39" t="n">
        <v>45902</v>
      </c>
      <c r="D3919" s="7" t="s">
        <v>222</v>
      </c>
      <c r="E3919" s="7" t="s">
        <v>180</v>
      </c>
      <c r="F3919" s="6" t="n">
        <v>4.36</v>
      </c>
      <c r="G3919" s="6" t="n">
        <v>0</v>
      </c>
      <c r="H3919" s="41" t="n">
        <v>17.84</v>
      </c>
      <c r="I3919" s="43" t="n">
        <f aca="false">F3919*H3919</f>
        <v>77.7824</v>
      </c>
      <c r="J3919" s="43" t="n">
        <f aca="false">G3919*H3919*1.5</f>
        <v>0</v>
      </c>
      <c r="K3919" s="6" t="n">
        <v>9.65</v>
      </c>
      <c r="L3919" s="43" t="n">
        <f aca="false">K3919*'Chart of Accounts'!$E$68</f>
        <v>6.4655</v>
      </c>
      <c r="O3919" s="42" t="n">
        <f aca="false">I3919+J3919+L3919</f>
        <v>84.2479</v>
      </c>
    </row>
    <row r="3920" customFormat="false" ht="15" hidden="false" customHeight="false" outlineLevel="0" collapsed="false">
      <c r="B3920" s="7" t="s">
        <v>12553</v>
      </c>
      <c r="C3920" s="39" t="n">
        <v>45902</v>
      </c>
      <c r="D3920" s="7" t="s">
        <v>242</v>
      </c>
      <c r="E3920" s="7" t="s">
        <v>180</v>
      </c>
      <c r="F3920" s="6" t="n">
        <v>4.03</v>
      </c>
      <c r="G3920" s="6" t="n">
        <v>0</v>
      </c>
      <c r="H3920" s="41" t="n">
        <v>17.99</v>
      </c>
      <c r="I3920" s="43" t="n">
        <f aca="false">F3920*H3920</f>
        <v>72.4997</v>
      </c>
      <c r="J3920" s="43" t="n">
        <f aca="false">G3920*H3920*1.5</f>
        <v>0</v>
      </c>
      <c r="K3920" s="6" t="n">
        <v>14.47</v>
      </c>
      <c r="L3920" s="43" t="n">
        <f aca="false">K3920*'Chart of Accounts'!$E$68</f>
        <v>9.6949</v>
      </c>
      <c r="O3920" s="42" t="n">
        <f aca="false">I3920+J3920+L3920</f>
        <v>82.1946</v>
      </c>
    </row>
    <row r="3921" customFormat="false" ht="15" hidden="false" customHeight="false" outlineLevel="0" collapsed="false">
      <c r="B3921" s="7" t="s">
        <v>12554</v>
      </c>
      <c r="C3921" s="39" t="n">
        <v>45902</v>
      </c>
      <c r="D3921" s="7" t="s">
        <v>203</v>
      </c>
      <c r="E3921" s="7" t="s">
        <v>158</v>
      </c>
      <c r="H3921" s="41" t="n">
        <v>49.43</v>
      </c>
      <c r="M3921" s="6" t="n">
        <v>1</v>
      </c>
      <c r="N3921" s="43" t="n">
        <f aca="false">M3921*H3921</f>
        <v>49.43</v>
      </c>
      <c r="O3921" s="42" t="n">
        <f aca="false">N3921</f>
        <v>49.43</v>
      </c>
    </row>
    <row r="3922" customFormat="false" ht="15" hidden="false" customHeight="false" outlineLevel="0" collapsed="false">
      <c r="B3922" s="7" t="s">
        <v>12555</v>
      </c>
      <c r="C3922" s="39" t="n">
        <v>45902</v>
      </c>
      <c r="D3922" s="7" t="s">
        <v>254</v>
      </c>
      <c r="E3922" s="7" t="s">
        <v>180</v>
      </c>
      <c r="F3922" s="6" t="n">
        <v>3.198</v>
      </c>
      <c r="G3922" s="6" t="n">
        <v>0.752</v>
      </c>
      <c r="H3922" s="41" t="n">
        <v>17.1</v>
      </c>
      <c r="I3922" s="43" t="n">
        <f aca="false">F3922*H3922</f>
        <v>54.6858</v>
      </c>
      <c r="J3922" s="43" t="n">
        <f aca="false">G3922*H3922*1.5</f>
        <v>19.2888</v>
      </c>
      <c r="K3922" s="6" t="n">
        <v>13.4</v>
      </c>
      <c r="L3922" s="43" t="n">
        <f aca="false">K3922*'Chart of Accounts'!$E$68</f>
        <v>8.978</v>
      </c>
      <c r="O3922" s="42" t="n">
        <f aca="false">I3922+J3922+L3922</f>
        <v>82.9526</v>
      </c>
    </row>
    <row r="3923" customFormat="false" ht="15" hidden="false" customHeight="false" outlineLevel="0" collapsed="false">
      <c r="B3923" s="7" t="s">
        <v>12556</v>
      </c>
      <c r="C3923" s="39" t="n">
        <v>45902</v>
      </c>
      <c r="D3923" s="7" t="s">
        <v>260</v>
      </c>
      <c r="E3923" s="7" t="s">
        <v>158</v>
      </c>
      <c r="H3923" s="41" t="n">
        <v>79.8</v>
      </c>
      <c r="M3923" s="6" t="n">
        <v>1</v>
      </c>
      <c r="N3923" s="43" t="n">
        <f aca="false">M3923*H3923</f>
        <v>79.8</v>
      </c>
      <c r="O3923" s="42" t="n">
        <f aca="false">N3923</f>
        <v>79.8</v>
      </c>
    </row>
    <row r="3924" customFormat="false" ht="15" hidden="false" customHeight="false" outlineLevel="0" collapsed="false">
      <c r="B3924" s="7" t="s">
        <v>12557</v>
      </c>
      <c r="C3924" s="39" t="n">
        <v>45903</v>
      </c>
      <c r="D3924" s="7" t="s">
        <v>224</v>
      </c>
      <c r="E3924" s="7" t="s">
        <v>180</v>
      </c>
      <c r="F3924" s="6" t="n">
        <v>12.106</v>
      </c>
      <c r="G3924" s="6" t="n">
        <v>0.324</v>
      </c>
      <c r="H3924" s="41" t="n">
        <v>14.93</v>
      </c>
      <c r="I3924" s="43" t="n">
        <f aca="false">F3924*H3924</f>
        <v>180.74258</v>
      </c>
      <c r="J3924" s="43" t="n">
        <f aca="false">G3924*H3924*1.5</f>
        <v>7.25598</v>
      </c>
      <c r="K3924" s="6" t="n">
        <v>28.96</v>
      </c>
      <c r="L3924" s="43" t="n">
        <f aca="false">K3924*'Chart of Accounts'!$E$68</f>
        <v>19.4032</v>
      </c>
      <c r="O3924" s="42" t="n">
        <f aca="false">I3924+J3924+L3924</f>
        <v>207.40176</v>
      </c>
    </row>
    <row r="3925" customFormat="false" ht="15" hidden="false" customHeight="false" outlineLevel="0" collapsed="false">
      <c r="B3925" s="7" t="s">
        <v>12558</v>
      </c>
      <c r="C3925" s="39" t="n">
        <v>45903</v>
      </c>
      <c r="D3925" s="7" t="s">
        <v>194</v>
      </c>
      <c r="E3925" s="7" t="s">
        <v>180</v>
      </c>
      <c r="F3925" s="6" t="n">
        <v>4.25</v>
      </c>
      <c r="G3925" s="6" t="n">
        <v>0</v>
      </c>
      <c r="H3925" s="41" t="n">
        <v>16</v>
      </c>
      <c r="I3925" s="43" t="n">
        <f aca="false">F3925*H3925</f>
        <v>68</v>
      </c>
      <c r="J3925" s="43" t="n">
        <f aca="false">G3925*H3925*1.5</f>
        <v>0</v>
      </c>
      <c r="K3925" s="6" t="n">
        <v>15.03</v>
      </c>
      <c r="L3925" s="43" t="n">
        <f aca="false">K3925*'Chart of Accounts'!$E$68</f>
        <v>10.0701</v>
      </c>
      <c r="O3925" s="42" t="n">
        <f aca="false">I3925+J3925+L3925</f>
        <v>78.0701</v>
      </c>
    </row>
    <row r="3926" customFormat="false" ht="15" hidden="false" customHeight="false" outlineLevel="0" collapsed="false">
      <c r="B3926" s="7" t="s">
        <v>12559</v>
      </c>
      <c r="C3926" s="39" t="n">
        <v>45903</v>
      </c>
      <c r="D3926" s="7" t="s">
        <v>214</v>
      </c>
      <c r="E3926" s="7" t="s">
        <v>180</v>
      </c>
      <c r="F3926" s="6" t="n">
        <v>7.28</v>
      </c>
      <c r="G3926" s="6" t="n">
        <v>0</v>
      </c>
      <c r="H3926" s="41" t="n">
        <v>15.67</v>
      </c>
      <c r="I3926" s="43" t="n">
        <f aca="false">F3926*H3926</f>
        <v>114.0776</v>
      </c>
      <c r="J3926" s="43" t="n">
        <f aca="false">G3926*H3926*1.5</f>
        <v>0</v>
      </c>
      <c r="K3926" s="6" t="n">
        <v>22.57</v>
      </c>
      <c r="L3926" s="43" t="n">
        <f aca="false">K3926*'Chart of Accounts'!$E$68</f>
        <v>15.1219</v>
      </c>
      <c r="O3926" s="42" t="n">
        <f aca="false">I3926+J3926+L3926</f>
        <v>129.1995</v>
      </c>
    </row>
    <row r="3927" customFormat="false" ht="15" hidden="false" customHeight="false" outlineLevel="0" collapsed="false">
      <c r="B3927" s="7" t="s">
        <v>12560</v>
      </c>
      <c r="C3927" s="39" t="n">
        <v>45903</v>
      </c>
      <c r="D3927" s="7" t="s">
        <v>205</v>
      </c>
      <c r="E3927" s="7" t="s">
        <v>180</v>
      </c>
      <c r="F3927" s="6" t="n">
        <v>4.22</v>
      </c>
      <c r="G3927" s="6" t="n">
        <v>0</v>
      </c>
      <c r="H3927" s="41" t="n">
        <v>16.36</v>
      </c>
      <c r="I3927" s="43" t="n">
        <f aca="false">F3927*H3927</f>
        <v>69.0392</v>
      </c>
      <c r="J3927" s="43" t="n">
        <f aca="false">G3927*H3927*1.5</f>
        <v>0</v>
      </c>
      <c r="K3927" s="6" t="n">
        <v>10.1</v>
      </c>
      <c r="L3927" s="43" t="n">
        <f aca="false">K3927*'Chart of Accounts'!$E$68</f>
        <v>6.767</v>
      </c>
      <c r="O3927" s="42" t="n">
        <f aca="false">I3927+J3927+L3927</f>
        <v>75.8062</v>
      </c>
    </row>
    <row r="3928" customFormat="false" ht="15" hidden="false" customHeight="false" outlineLevel="0" collapsed="false">
      <c r="B3928" s="7" t="s">
        <v>12561</v>
      </c>
      <c r="C3928" s="39" t="n">
        <v>45903</v>
      </c>
      <c r="D3928" s="7" t="s">
        <v>264</v>
      </c>
      <c r="E3928" s="7" t="s">
        <v>158</v>
      </c>
      <c r="H3928" s="41" t="n">
        <v>55.55</v>
      </c>
      <c r="M3928" s="6" t="n">
        <v>1</v>
      </c>
      <c r="N3928" s="43" t="n">
        <f aca="false">M3928*H3928</f>
        <v>55.55</v>
      </c>
      <c r="O3928" s="42" t="n">
        <f aca="false">N3928</f>
        <v>55.55</v>
      </c>
    </row>
    <row r="3929" customFormat="false" ht="15" hidden="false" customHeight="false" outlineLevel="0" collapsed="false">
      <c r="B3929" s="7" t="s">
        <v>12562</v>
      </c>
      <c r="C3929" s="39" t="n">
        <v>45903</v>
      </c>
      <c r="D3929" s="7" t="s">
        <v>252</v>
      </c>
      <c r="E3929" s="7" t="s">
        <v>158</v>
      </c>
      <c r="H3929" s="41" t="n">
        <v>57.54</v>
      </c>
      <c r="M3929" s="6" t="n">
        <v>1</v>
      </c>
      <c r="N3929" s="43" t="n">
        <f aca="false">M3929*H3929</f>
        <v>57.54</v>
      </c>
      <c r="O3929" s="42" t="n">
        <f aca="false">N3929</f>
        <v>57.54</v>
      </c>
    </row>
    <row r="3930" customFormat="false" ht="15" hidden="false" customHeight="false" outlineLevel="0" collapsed="false">
      <c r="B3930" s="7" t="s">
        <v>12563</v>
      </c>
      <c r="C3930" s="39" t="n">
        <v>45903</v>
      </c>
      <c r="D3930" s="7" t="s">
        <v>184</v>
      </c>
      <c r="E3930" s="7" t="s">
        <v>180</v>
      </c>
      <c r="F3930" s="6" t="n">
        <v>7.91</v>
      </c>
      <c r="G3930" s="6" t="n">
        <v>0</v>
      </c>
      <c r="H3930" s="41" t="n">
        <v>17.34</v>
      </c>
      <c r="I3930" s="43" t="n">
        <f aca="false">F3930*H3930</f>
        <v>137.1594</v>
      </c>
      <c r="J3930" s="43" t="n">
        <f aca="false">G3930*H3930*1.5</f>
        <v>0</v>
      </c>
      <c r="K3930" s="6" t="n">
        <v>22.9</v>
      </c>
      <c r="L3930" s="43" t="n">
        <f aca="false">K3930*'Chart of Accounts'!$E$68</f>
        <v>15.343</v>
      </c>
      <c r="O3930" s="42" t="n">
        <f aca="false">I3930+J3930+L3930</f>
        <v>152.5024</v>
      </c>
    </row>
    <row r="3931" customFormat="false" ht="15" hidden="false" customHeight="false" outlineLevel="0" collapsed="false">
      <c r="B3931" s="7" t="s">
        <v>12564</v>
      </c>
      <c r="C3931" s="39" t="n">
        <v>45903</v>
      </c>
      <c r="D3931" s="7" t="s">
        <v>216</v>
      </c>
      <c r="E3931" s="7" t="s">
        <v>158</v>
      </c>
      <c r="H3931" s="41" t="n">
        <v>61.79</v>
      </c>
      <c r="M3931" s="6" t="n">
        <v>1</v>
      </c>
      <c r="N3931" s="43" t="n">
        <f aca="false">M3931*H3931</f>
        <v>61.79</v>
      </c>
      <c r="O3931" s="42" t="n">
        <f aca="false">N3931</f>
        <v>61.79</v>
      </c>
    </row>
    <row r="3932" customFormat="false" ht="15" hidden="false" customHeight="false" outlineLevel="0" collapsed="false">
      <c r="B3932" s="7" t="s">
        <v>12565</v>
      </c>
      <c r="C3932" s="39" t="n">
        <v>45903</v>
      </c>
      <c r="D3932" s="7" t="s">
        <v>218</v>
      </c>
      <c r="E3932" s="7" t="s">
        <v>180</v>
      </c>
      <c r="F3932" s="6" t="n">
        <v>3.94</v>
      </c>
      <c r="G3932" s="6" t="n">
        <v>0</v>
      </c>
      <c r="H3932" s="41" t="n">
        <v>16.19</v>
      </c>
      <c r="I3932" s="43" t="n">
        <f aca="false">F3932*H3932</f>
        <v>63.7886</v>
      </c>
      <c r="J3932" s="43" t="n">
        <f aca="false">G3932*H3932*1.5</f>
        <v>0</v>
      </c>
      <c r="K3932" s="6" t="n">
        <v>9.49</v>
      </c>
      <c r="L3932" s="43" t="n">
        <f aca="false">K3932*'Chart of Accounts'!$E$68</f>
        <v>6.3583</v>
      </c>
      <c r="O3932" s="42" t="n">
        <f aca="false">I3932+J3932+L3932</f>
        <v>70.1469</v>
      </c>
    </row>
    <row r="3933" customFormat="false" ht="15" hidden="false" customHeight="false" outlineLevel="0" collapsed="false">
      <c r="B3933" s="7" t="s">
        <v>12566</v>
      </c>
      <c r="C3933" s="39" t="n">
        <v>45903</v>
      </c>
      <c r="D3933" s="7" t="s">
        <v>220</v>
      </c>
      <c r="E3933" s="7" t="s">
        <v>180</v>
      </c>
      <c r="F3933" s="6" t="n">
        <v>4.12</v>
      </c>
      <c r="G3933" s="6" t="n">
        <v>0</v>
      </c>
      <c r="H3933" s="41" t="n">
        <v>16.43</v>
      </c>
      <c r="I3933" s="43" t="n">
        <f aca="false">F3933*H3933</f>
        <v>67.6916</v>
      </c>
      <c r="J3933" s="43" t="n">
        <f aca="false">G3933*H3933*1.5</f>
        <v>0</v>
      </c>
      <c r="K3933" s="6" t="n">
        <v>10.34</v>
      </c>
      <c r="L3933" s="43" t="n">
        <f aca="false">K3933*'Chart of Accounts'!$E$68</f>
        <v>6.9278</v>
      </c>
      <c r="O3933" s="42" t="n">
        <f aca="false">I3933+J3933+L3933</f>
        <v>74.6194</v>
      </c>
    </row>
    <row r="3934" customFormat="false" ht="15" hidden="false" customHeight="false" outlineLevel="0" collapsed="false">
      <c r="B3934" s="7" t="s">
        <v>12567</v>
      </c>
      <c r="C3934" s="39" t="n">
        <v>45903</v>
      </c>
      <c r="D3934" s="7" t="s">
        <v>177</v>
      </c>
      <c r="E3934" s="7" t="s">
        <v>180</v>
      </c>
      <c r="F3934" s="6" t="n">
        <v>8.46</v>
      </c>
      <c r="G3934" s="6" t="n">
        <v>0</v>
      </c>
      <c r="H3934" s="41" t="n">
        <v>14.56</v>
      </c>
      <c r="I3934" s="43" t="n">
        <f aca="false">F3934*H3934</f>
        <v>123.1776</v>
      </c>
      <c r="J3934" s="43" t="n">
        <f aca="false">G3934*H3934*1.5</f>
        <v>0</v>
      </c>
      <c r="K3934" s="6" t="n">
        <v>24.8</v>
      </c>
      <c r="L3934" s="43" t="n">
        <f aca="false">K3934*'Chart of Accounts'!$E$68</f>
        <v>16.616</v>
      </c>
      <c r="O3934" s="42" t="n">
        <f aca="false">I3934+J3934+L3934</f>
        <v>139.7936</v>
      </c>
    </row>
    <row r="3935" customFormat="false" ht="15" hidden="false" customHeight="false" outlineLevel="0" collapsed="false">
      <c r="B3935" s="7" t="s">
        <v>12568</v>
      </c>
      <c r="C3935" s="39" t="n">
        <v>45903</v>
      </c>
      <c r="D3935" s="7" t="s">
        <v>238</v>
      </c>
      <c r="E3935" s="7" t="s">
        <v>180</v>
      </c>
      <c r="F3935" s="6" t="n">
        <v>8.77</v>
      </c>
      <c r="G3935" s="6" t="n">
        <v>0</v>
      </c>
      <c r="H3935" s="41" t="n">
        <v>15.85</v>
      </c>
      <c r="I3935" s="43" t="n">
        <f aca="false">F3935*H3935</f>
        <v>139.0045</v>
      </c>
      <c r="J3935" s="43" t="n">
        <f aca="false">G3935*H3935*1.5</f>
        <v>0</v>
      </c>
      <c r="K3935" s="6" t="n">
        <v>29.11</v>
      </c>
      <c r="L3935" s="43" t="n">
        <f aca="false">K3935*'Chart of Accounts'!$E$68</f>
        <v>19.5037</v>
      </c>
      <c r="O3935" s="42" t="n">
        <f aca="false">I3935+J3935+L3935</f>
        <v>158.5082</v>
      </c>
    </row>
    <row r="3936" customFormat="false" ht="15" hidden="false" customHeight="false" outlineLevel="0" collapsed="false">
      <c r="B3936" s="7" t="s">
        <v>12569</v>
      </c>
      <c r="C3936" s="39" t="n">
        <v>45903</v>
      </c>
      <c r="D3936" s="7" t="s">
        <v>254</v>
      </c>
      <c r="E3936" s="7" t="s">
        <v>180</v>
      </c>
      <c r="F3936" s="6" t="n">
        <v>8.559</v>
      </c>
      <c r="G3936" s="6" t="n">
        <v>2.011</v>
      </c>
      <c r="H3936" s="41" t="n">
        <v>17.1</v>
      </c>
      <c r="I3936" s="43" t="n">
        <f aca="false">F3936*H3936</f>
        <v>146.3589</v>
      </c>
      <c r="J3936" s="43" t="n">
        <f aca="false">G3936*H3936*1.5</f>
        <v>51.58215</v>
      </c>
      <c r="K3936" s="6" t="n">
        <v>30.23</v>
      </c>
      <c r="L3936" s="43" t="n">
        <f aca="false">K3936*'Chart of Accounts'!$E$68</f>
        <v>20.2541</v>
      </c>
      <c r="O3936" s="42" t="n">
        <f aca="false">I3936+J3936+L3936</f>
        <v>218.19515</v>
      </c>
    </row>
    <row r="3937" customFormat="false" ht="15" hidden="false" customHeight="false" outlineLevel="0" collapsed="false">
      <c r="B3937" s="7" t="s">
        <v>12570</v>
      </c>
      <c r="C3937" s="39" t="n">
        <v>45903</v>
      </c>
      <c r="D3937" s="7" t="s">
        <v>201</v>
      </c>
      <c r="E3937" s="7" t="s">
        <v>180</v>
      </c>
      <c r="F3937" s="6" t="n">
        <v>3.2</v>
      </c>
      <c r="G3937" s="6" t="n">
        <v>0</v>
      </c>
      <c r="H3937" s="41" t="n">
        <v>15.19</v>
      </c>
      <c r="I3937" s="43" t="n">
        <f aca="false">F3937*H3937</f>
        <v>48.608</v>
      </c>
      <c r="J3937" s="43" t="n">
        <f aca="false">G3937*H3937*1.5</f>
        <v>0</v>
      </c>
      <c r="K3937" s="6" t="n">
        <v>8.24</v>
      </c>
      <c r="L3937" s="43" t="n">
        <f aca="false">K3937*'Chart of Accounts'!$E$68</f>
        <v>5.5208</v>
      </c>
      <c r="O3937" s="42" t="n">
        <f aca="false">I3937+J3937+L3937</f>
        <v>54.1288</v>
      </c>
    </row>
    <row r="3938" customFormat="false" ht="15" hidden="false" customHeight="false" outlineLevel="0" collapsed="false">
      <c r="B3938" s="7" t="s">
        <v>12571</v>
      </c>
      <c r="C3938" s="39" t="n">
        <v>45903</v>
      </c>
      <c r="D3938" s="7" t="s">
        <v>232</v>
      </c>
      <c r="E3938" s="7" t="s">
        <v>180</v>
      </c>
      <c r="F3938" s="6" t="n">
        <v>7.56</v>
      </c>
      <c r="G3938" s="6" t="n">
        <v>0</v>
      </c>
      <c r="H3938" s="41" t="n">
        <v>16.17</v>
      </c>
      <c r="I3938" s="43" t="n">
        <f aca="false">F3938*H3938</f>
        <v>122.2452</v>
      </c>
      <c r="J3938" s="43" t="n">
        <f aca="false">G3938*H3938*1.5</f>
        <v>0</v>
      </c>
      <c r="K3938" s="6" t="n">
        <v>17.96</v>
      </c>
      <c r="L3938" s="43" t="n">
        <f aca="false">K3938*'Chart of Accounts'!$E$68</f>
        <v>12.0332</v>
      </c>
      <c r="O3938" s="42" t="n">
        <f aca="false">I3938+J3938+L3938</f>
        <v>134.2784</v>
      </c>
    </row>
    <row r="3939" customFormat="false" ht="15" hidden="false" customHeight="false" outlineLevel="0" collapsed="false">
      <c r="B3939" s="7" t="s">
        <v>12572</v>
      </c>
      <c r="C3939" s="39" t="n">
        <v>45903</v>
      </c>
      <c r="D3939" s="7" t="s">
        <v>196</v>
      </c>
      <c r="E3939" s="7" t="s">
        <v>180</v>
      </c>
      <c r="F3939" s="6" t="n">
        <v>3.669</v>
      </c>
      <c r="G3939" s="6" t="n">
        <v>0.701</v>
      </c>
      <c r="H3939" s="41" t="n">
        <v>15.05</v>
      </c>
      <c r="I3939" s="43" t="n">
        <f aca="false">F3939*H3939</f>
        <v>55.21845</v>
      </c>
      <c r="J3939" s="43" t="n">
        <f aca="false">G3939*H3939*1.5</f>
        <v>15.825075</v>
      </c>
      <c r="K3939" s="6" t="n">
        <v>10.22</v>
      </c>
      <c r="L3939" s="43" t="n">
        <f aca="false">K3939*'Chart of Accounts'!$E$68</f>
        <v>6.8474</v>
      </c>
      <c r="O3939" s="42" t="n">
        <f aca="false">I3939+J3939+L3939</f>
        <v>77.890925</v>
      </c>
    </row>
    <row r="3940" customFormat="false" ht="15" hidden="false" customHeight="false" outlineLevel="0" collapsed="false">
      <c r="B3940" s="7" t="s">
        <v>12573</v>
      </c>
      <c r="C3940" s="39" t="n">
        <v>45903</v>
      </c>
      <c r="D3940" s="7" t="s">
        <v>246</v>
      </c>
      <c r="E3940" s="7" t="s">
        <v>180</v>
      </c>
      <c r="F3940" s="6" t="n">
        <v>4.09</v>
      </c>
      <c r="G3940" s="6" t="n">
        <v>0</v>
      </c>
      <c r="H3940" s="41" t="n">
        <v>16.48</v>
      </c>
      <c r="I3940" s="43" t="n">
        <f aca="false">F3940*H3940</f>
        <v>67.4032</v>
      </c>
      <c r="J3940" s="43" t="n">
        <f aca="false">G3940*H3940*1.5</f>
        <v>0</v>
      </c>
      <c r="K3940" s="6" t="n">
        <v>13.91</v>
      </c>
      <c r="L3940" s="43" t="n">
        <f aca="false">K3940*'Chart of Accounts'!$E$68</f>
        <v>9.3197</v>
      </c>
      <c r="O3940" s="42" t="n">
        <f aca="false">I3940+J3940+L3940</f>
        <v>76.7229</v>
      </c>
    </row>
    <row r="3941" customFormat="false" ht="15" hidden="false" customHeight="false" outlineLevel="0" collapsed="false">
      <c r="B3941" s="7" t="s">
        <v>12574</v>
      </c>
      <c r="C3941" s="39" t="n">
        <v>45903</v>
      </c>
      <c r="D3941" s="7" t="s">
        <v>222</v>
      </c>
      <c r="E3941" s="7" t="s">
        <v>180</v>
      </c>
      <c r="F3941" s="6" t="n">
        <v>4.23</v>
      </c>
      <c r="G3941" s="6" t="n">
        <v>0</v>
      </c>
      <c r="H3941" s="41" t="n">
        <v>17.84</v>
      </c>
      <c r="I3941" s="43" t="n">
        <f aca="false">F3941*H3941</f>
        <v>75.4632</v>
      </c>
      <c r="J3941" s="43" t="n">
        <f aca="false">G3941*H3941*1.5</f>
        <v>0</v>
      </c>
      <c r="K3941" s="6" t="n">
        <v>15.03</v>
      </c>
      <c r="L3941" s="43" t="n">
        <f aca="false">K3941*'Chart of Accounts'!$E$68</f>
        <v>10.0701</v>
      </c>
      <c r="O3941" s="42" t="n">
        <f aca="false">I3941+J3941+L3941</f>
        <v>85.5333</v>
      </c>
    </row>
    <row r="3942" customFormat="false" ht="15" hidden="false" customHeight="false" outlineLevel="0" collapsed="false">
      <c r="B3942" s="7" t="s">
        <v>12575</v>
      </c>
      <c r="C3942" s="39" t="n">
        <v>45903</v>
      </c>
      <c r="D3942" s="7" t="s">
        <v>203</v>
      </c>
      <c r="E3942" s="7" t="s">
        <v>158</v>
      </c>
      <c r="H3942" s="41" t="n">
        <v>49.43</v>
      </c>
      <c r="M3942" s="6" t="n">
        <v>1</v>
      </c>
      <c r="N3942" s="43" t="n">
        <f aca="false">M3942*H3942</f>
        <v>49.43</v>
      </c>
      <c r="O3942" s="42" t="n">
        <f aca="false">N3942</f>
        <v>49.43</v>
      </c>
    </row>
    <row r="3943" customFormat="false" ht="15" hidden="false" customHeight="false" outlineLevel="0" collapsed="false">
      <c r="B3943" s="7" t="s">
        <v>12576</v>
      </c>
      <c r="C3943" s="39" t="n">
        <v>45903</v>
      </c>
      <c r="D3943" s="7" t="s">
        <v>242</v>
      </c>
      <c r="E3943" s="7" t="s">
        <v>180</v>
      </c>
      <c r="F3943" s="6" t="n">
        <v>4.22</v>
      </c>
      <c r="G3943" s="6" t="n">
        <v>0</v>
      </c>
      <c r="H3943" s="41" t="n">
        <v>17.99</v>
      </c>
      <c r="I3943" s="43" t="n">
        <f aca="false">F3943*H3943</f>
        <v>75.9178</v>
      </c>
      <c r="J3943" s="43" t="n">
        <f aca="false">G3943*H3943*1.5</f>
        <v>0</v>
      </c>
      <c r="K3943" s="6" t="n">
        <v>11.91</v>
      </c>
      <c r="L3943" s="43" t="n">
        <f aca="false">K3943*'Chart of Accounts'!$E$68</f>
        <v>7.9797</v>
      </c>
      <c r="O3943" s="42" t="n">
        <f aca="false">I3943+J3943+L3943</f>
        <v>83.8975</v>
      </c>
    </row>
    <row r="3944" customFormat="false" ht="15" hidden="false" customHeight="false" outlineLevel="0" collapsed="false">
      <c r="B3944" s="7" t="s">
        <v>12577</v>
      </c>
      <c r="C3944" s="39" t="n">
        <v>45904</v>
      </c>
      <c r="D3944" s="7" t="s">
        <v>224</v>
      </c>
      <c r="E3944" s="7" t="s">
        <v>180</v>
      </c>
      <c r="F3944" s="6" t="n">
        <v>7.441</v>
      </c>
      <c r="G3944" s="6" t="n">
        <v>0.199</v>
      </c>
      <c r="H3944" s="41" t="n">
        <v>14.93</v>
      </c>
      <c r="I3944" s="43" t="n">
        <f aca="false">F3944*H3944</f>
        <v>111.09413</v>
      </c>
      <c r="J3944" s="43" t="n">
        <f aca="false">G3944*H3944*1.5</f>
        <v>4.456605</v>
      </c>
      <c r="K3944" s="6" t="n">
        <v>26.14</v>
      </c>
      <c r="L3944" s="43" t="n">
        <f aca="false">K3944*'Chart of Accounts'!$E$68</f>
        <v>17.5138</v>
      </c>
      <c r="O3944" s="42" t="n">
        <f aca="false">I3944+J3944+L3944</f>
        <v>133.064535</v>
      </c>
    </row>
    <row r="3945" customFormat="false" ht="15" hidden="false" customHeight="false" outlineLevel="0" collapsed="false">
      <c r="B3945" s="7" t="s">
        <v>12578</v>
      </c>
      <c r="C3945" s="39" t="n">
        <v>45904</v>
      </c>
      <c r="D3945" s="7" t="s">
        <v>201</v>
      </c>
      <c r="E3945" s="7" t="s">
        <v>180</v>
      </c>
      <c r="F3945" s="6" t="n">
        <v>10.22</v>
      </c>
      <c r="G3945" s="6" t="n">
        <v>0</v>
      </c>
      <c r="H3945" s="41" t="n">
        <v>15.19</v>
      </c>
      <c r="I3945" s="43" t="n">
        <f aca="false">F3945*H3945</f>
        <v>155.2418</v>
      </c>
      <c r="J3945" s="43" t="n">
        <f aca="false">G3945*H3945*1.5</f>
        <v>0</v>
      </c>
      <c r="K3945" s="6" t="n">
        <v>25.46</v>
      </c>
      <c r="L3945" s="43" t="n">
        <f aca="false">K3945*'Chart of Accounts'!$E$68</f>
        <v>17.0582</v>
      </c>
      <c r="O3945" s="42" t="n">
        <f aca="false">I3945+J3945+L3945</f>
        <v>172.3</v>
      </c>
    </row>
    <row r="3946" customFormat="false" ht="15" hidden="false" customHeight="false" outlineLevel="0" collapsed="false">
      <c r="B3946" s="7" t="s">
        <v>12579</v>
      </c>
      <c r="C3946" s="39" t="n">
        <v>45904</v>
      </c>
      <c r="D3946" s="7" t="s">
        <v>196</v>
      </c>
      <c r="E3946" s="7" t="s">
        <v>180</v>
      </c>
      <c r="F3946" s="6" t="n">
        <v>12.317</v>
      </c>
      <c r="G3946" s="6" t="n">
        <v>2.353</v>
      </c>
      <c r="H3946" s="41" t="n">
        <v>15.05</v>
      </c>
      <c r="I3946" s="43" t="n">
        <f aca="false">F3946*H3946</f>
        <v>185.37085</v>
      </c>
      <c r="J3946" s="43" t="n">
        <f aca="false">G3946*H3946*1.5</f>
        <v>53.118975</v>
      </c>
      <c r="K3946" s="6" t="n">
        <v>48.66</v>
      </c>
      <c r="L3946" s="43" t="n">
        <f aca="false">K3946*'Chart of Accounts'!$E$68</f>
        <v>32.6022</v>
      </c>
      <c r="O3946" s="42" t="n">
        <f aca="false">I3946+J3946+L3946</f>
        <v>271.092025</v>
      </c>
    </row>
    <row r="3947" customFormat="false" ht="15" hidden="false" customHeight="false" outlineLevel="0" collapsed="false">
      <c r="B3947" s="7" t="s">
        <v>12580</v>
      </c>
      <c r="C3947" s="39" t="n">
        <v>45904</v>
      </c>
      <c r="D3947" s="7" t="s">
        <v>184</v>
      </c>
      <c r="E3947" s="7" t="s">
        <v>180</v>
      </c>
      <c r="F3947" s="6" t="n">
        <v>4.38</v>
      </c>
      <c r="G3947" s="6" t="n">
        <v>0</v>
      </c>
      <c r="H3947" s="41" t="n">
        <v>17.34</v>
      </c>
      <c r="I3947" s="43" t="n">
        <f aca="false">F3947*H3947</f>
        <v>75.9492</v>
      </c>
      <c r="J3947" s="43" t="n">
        <f aca="false">G3947*H3947*1.5</f>
        <v>0</v>
      </c>
      <c r="K3947" s="6" t="n">
        <v>11.06</v>
      </c>
      <c r="L3947" s="43" t="n">
        <f aca="false">K3947*'Chart of Accounts'!$E$68</f>
        <v>7.4102</v>
      </c>
      <c r="O3947" s="42" t="n">
        <f aca="false">I3947+J3947+L3947</f>
        <v>83.3594</v>
      </c>
    </row>
    <row r="3948" customFormat="false" ht="15" hidden="false" customHeight="false" outlineLevel="0" collapsed="false">
      <c r="B3948" s="7" t="s">
        <v>12581</v>
      </c>
      <c r="C3948" s="39" t="n">
        <v>45904</v>
      </c>
      <c r="D3948" s="7" t="s">
        <v>238</v>
      </c>
      <c r="E3948" s="7" t="s">
        <v>180</v>
      </c>
      <c r="F3948" s="6" t="n">
        <v>5.79</v>
      </c>
      <c r="G3948" s="6" t="n">
        <v>0</v>
      </c>
      <c r="H3948" s="41" t="n">
        <v>15.85</v>
      </c>
      <c r="I3948" s="43" t="n">
        <f aca="false">F3948*H3948</f>
        <v>91.7715</v>
      </c>
      <c r="J3948" s="43" t="n">
        <f aca="false">G3948*H3948*1.5</f>
        <v>0</v>
      </c>
      <c r="K3948" s="6" t="n">
        <v>15.72</v>
      </c>
      <c r="L3948" s="43" t="n">
        <f aca="false">K3948*'Chart of Accounts'!$E$68</f>
        <v>10.5324</v>
      </c>
      <c r="O3948" s="42" t="n">
        <f aca="false">I3948+J3948+L3948</f>
        <v>102.3039</v>
      </c>
    </row>
    <row r="3949" customFormat="false" ht="15" hidden="false" customHeight="false" outlineLevel="0" collapsed="false">
      <c r="B3949" s="7" t="s">
        <v>12582</v>
      </c>
      <c r="C3949" s="39" t="n">
        <v>45904</v>
      </c>
      <c r="D3949" s="7" t="s">
        <v>218</v>
      </c>
      <c r="E3949" s="7" t="s">
        <v>180</v>
      </c>
      <c r="F3949" s="6" t="n">
        <v>3.6</v>
      </c>
      <c r="G3949" s="6" t="n">
        <v>0</v>
      </c>
      <c r="H3949" s="41" t="n">
        <v>16.19</v>
      </c>
      <c r="I3949" s="43" t="n">
        <f aca="false">F3949*H3949</f>
        <v>58.284</v>
      </c>
      <c r="J3949" s="43" t="n">
        <f aca="false">G3949*H3949*1.5</f>
        <v>0</v>
      </c>
      <c r="K3949" s="6" t="n">
        <v>11.88</v>
      </c>
      <c r="L3949" s="43" t="n">
        <f aca="false">K3949*'Chart of Accounts'!$E$68</f>
        <v>7.9596</v>
      </c>
      <c r="O3949" s="42" t="n">
        <f aca="false">I3949+J3949+L3949</f>
        <v>66.2436</v>
      </c>
    </row>
    <row r="3950" customFormat="false" ht="15" hidden="false" customHeight="false" outlineLevel="0" collapsed="false">
      <c r="B3950" s="7" t="s">
        <v>12583</v>
      </c>
      <c r="C3950" s="39" t="n">
        <v>45904</v>
      </c>
      <c r="D3950" s="7" t="s">
        <v>220</v>
      </c>
      <c r="E3950" s="7" t="s">
        <v>180</v>
      </c>
      <c r="F3950" s="6" t="n">
        <v>4</v>
      </c>
      <c r="G3950" s="6" t="n">
        <v>0</v>
      </c>
      <c r="H3950" s="41" t="n">
        <v>16.43</v>
      </c>
      <c r="I3950" s="43" t="n">
        <f aca="false">F3950*H3950</f>
        <v>65.72</v>
      </c>
      <c r="J3950" s="43" t="n">
        <f aca="false">G3950*H3950*1.5</f>
        <v>0</v>
      </c>
      <c r="K3950" s="6" t="n">
        <v>9.11</v>
      </c>
      <c r="L3950" s="43" t="n">
        <f aca="false">K3950*'Chart of Accounts'!$E$68</f>
        <v>6.1037</v>
      </c>
      <c r="O3950" s="42" t="n">
        <f aca="false">I3950+J3950+L3950</f>
        <v>71.8237</v>
      </c>
    </row>
    <row r="3951" customFormat="false" ht="15" hidden="false" customHeight="false" outlineLevel="0" collapsed="false">
      <c r="B3951" s="7" t="s">
        <v>12584</v>
      </c>
      <c r="C3951" s="39" t="n">
        <v>45904</v>
      </c>
      <c r="D3951" s="7" t="s">
        <v>222</v>
      </c>
      <c r="E3951" s="7" t="s">
        <v>180</v>
      </c>
      <c r="F3951" s="6" t="n">
        <v>6.62</v>
      </c>
      <c r="G3951" s="6" t="n">
        <v>0</v>
      </c>
      <c r="H3951" s="41" t="n">
        <v>17.84</v>
      </c>
      <c r="I3951" s="43" t="n">
        <f aca="false">F3951*H3951</f>
        <v>118.1008</v>
      </c>
      <c r="J3951" s="43" t="n">
        <f aca="false">G3951*H3951*1.5</f>
        <v>0</v>
      </c>
      <c r="K3951" s="6" t="n">
        <v>19.95</v>
      </c>
      <c r="L3951" s="43" t="n">
        <f aca="false">K3951*'Chart of Accounts'!$E$68</f>
        <v>13.3665</v>
      </c>
      <c r="O3951" s="42" t="n">
        <f aca="false">I3951+J3951+L3951</f>
        <v>131.4673</v>
      </c>
    </row>
    <row r="3952" customFormat="false" ht="15" hidden="false" customHeight="false" outlineLevel="0" collapsed="false">
      <c r="B3952" s="7" t="s">
        <v>12585</v>
      </c>
      <c r="C3952" s="39" t="n">
        <v>45904</v>
      </c>
      <c r="D3952" s="7" t="s">
        <v>246</v>
      </c>
      <c r="E3952" s="7" t="s">
        <v>180</v>
      </c>
      <c r="F3952" s="6" t="n">
        <v>7.45</v>
      </c>
      <c r="G3952" s="6" t="n">
        <v>0</v>
      </c>
      <c r="H3952" s="41" t="n">
        <v>16.48</v>
      </c>
      <c r="I3952" s="43" t="n">
        <f aca="false">F3952*H3952</f>
        <v>122.776</v>
      </c>
      <c r="J3952" s="43" t="n">
        <f aca="false">G3952*H3952*1.5</f>
        <v>0</v>
      </c>
      <c r="K3952" s="6" t="n">
        <v>25.13</v>
      </c>
      <c r="L3952" s="43" t="n">
        <f aca="false">K3952*'Chart of Accounts'!$E$68</f>
        <v>16.8371</v>
      </c>
      <c r="O3952" s="42" t="n">
        <f aca="false">I3952+J3952+L3952</f>
        <v>139.6131</v>
      </c>
    </row>
    <row r="3953" customFormat="false" ht="15" hidden="false" customHeight="false" outlineLevel="0" collapsed="false">
      <c r="B3953" s="7" t="s">
        <v>12586</v>
      </c>
      <c r="C3953" s="39" t="n">
        <v>45904</v>
      </c>
      <c r="D3953" s="7" t="s">
        <v>194</v>
      </c>
      <c r="E3953" s="7" t="s">
        <v>180</v>
      </c>
      <c r="F3953" s="6" t="n">
        <v>4.21</v>
      </c>
      <c r="G3953" s="6" t="n">
        <v>0</v>
      </c>
      <c r="H3953" s="41" t="n">
        <v>16</v>
      </c>
      <c r="I3953" s="43" t="n">
        <f aca="false">F3953*H3953</f>
        <v>67.36</v>
      </c>
      <c r="J3953" s="43" t="n">
        <f aca="false">G3953*H3953*1.5</f>
        <v>0</v>
      </c>
      <c r="K3953" s="6" t="n">
        <v>12.98</v>
      </c>
      <c r="L3953" s="43" t="n">
        <f aca="false">K3953*'Chart of Accounts'!$E$68</f>
        <v>8.6966</v>
      </c>
      <c r="O3953" s="42" t="n">
        <f aca="false">I3953+J3953+L3953</f>
        <v>76.0566</v>
      </c>
    </row>
    <row r="3954" customFormat="false" ht="15" hidden="false" customHeight="false" outlineLevel="0" collapsed="false">
      <c r="B3954" s="7" t="s">
        <v>12587</v>
      </c>
      <c r="C3954" s="39" t="n">
        <v>45904</v>
      </c>
      <c r="D3954" s="7" t="s">
        <v>214</v>
      </c>
      <c r="E3954" s="7" t="s">
        <v>180</v>
      </c>
      <c r="F3954" s="6" t="n">
        <v>4.2</v>
      </c>
      <c r="G3954" s="6" t="n">
        <v>0</v>
      </c>
      <c r="H3954" s="41" t="n">
        <v>15.67</v>
      </c>
      <c r="I3954" s="43" t="n">
        <f aca="false">F3954*H3954</f>
        <v>65.814</v>
      </c>
      <c r="J3954" s="43" t="n">
        <f aca="false">G3954*H3954*1.5</f>
        <v>0</v>
      </c>
      <c r="K3954" s="6" t="n">
        <v>9.37</v>
      </c>
      <c r="L3954" s="43" t="n">
        <f aca="false">K3954*'Chart of Accounts'!$E$68</f>
        <v>6.2779</v>
      </c>
      <c r="O3954" s="42" t="n">
        <f aca="false">I3954+J3954+L3954</f>
        <v>72.0919</v>
      </c>
    </row>
    <row r="3955" customFormat="false" ht="15" hidden="false" customHeight="false" outlineLevel="0" collapsed="false">
      <c r="B3955" s="7" t="s">
        <v>12588</v>
      </c>
      <c r="C3955" s="39" t="n">
        <v>45904</v>
      </c>
      <c r="D3955" s="7" t="s">
        <v>242</v>
      </c>
      <c r="E3955" s="7" t="s">
        <v>180</v>
      </c>
      <c r="F3955" s="6" t="n">
        <v>4</v>
      </c>
      <c r="G3955" s="6" t="n">
        <v>0</v>
      </c>
      <c r="H3955" s="41" t="n">
        <v>17.99</v>
      </c>
      <c r="I3955" s="43" t="n">
        <f aca="false">F3955*H3955</f>
        <v>71.96</v>
      </c>
      <c r="J3955" s="43" t="n">
        <f aca="false">G3955*H3955*1.5</f>
        <v>0</v>
      </c>
      <c r="K3955" s="6" t="n">
        <v>13.22</v>
      </c>
      <c r="L3955" s="43" t="n">
        <f aca="false">K3955*'Chart of Accounts'!$E$68</f>
        <v>8.8574</v>
      </c>
      <c r="O3955" s="42" t="n">
        <f aca="false">I3955+J3955+L3955</f>
        <v>80.8174</v>
      </c>
    </row>
    <row r="3956" customFormat="false" ht="15" hidden="false" customHeight="false" outlineLevel="0" collapsed="false">
      <c r="B3956" s="7" t="s">
        <v>12589</v>
      </c>
      <c r="C3956" s="39" t="n">
        <v>45904</v>
      </c>
      <c r="D3956" s="7" t="s">
        <v>254</v>
      </c>
      <c r="E3956" s="7" t="s">
        <v>180</v>
      </c>
      <c r="F3956" s="6" t="n">
        <v>3.401</v>
      </c>
      <c r="G3956" s="6" t="n">
        <v>0.799</v>
      </c>
      <c r="H3956" s="41" t="n">
        <v>17.1</v>
      </c>
      <c r="I3956" s="43" t="n">
        <f aca="false">F3956*H3956</f>
        <v>58.1571</v>
      </c>
      <c r="J3956" s="43" t="n">
        <f aca="false">G3956*H3956*1.5</f>
        <v>20.49435</v>
      </c>
      <c r="K3956" s="6" t="n">
        <v>10.38</v>
      </c>
      <c r="L3956" s="43" t="n">
        <f aca="false">K3956*'Chart of Accounts'!$E$68</f>
        <v>6.9546</v>
      </c>
      <c r="O3956" s="42" t="n">
        <f aca="false">I3956+J3956+L3956</f>
        <v>85.60605</v>
      </c>
    </row>
    <row r="3957" customFormat="false" ht="15" hidden="false" customHeight="false" outlineLevel="0" collapsed="false">
      <c r="B3957" s="7" t="s">
        <v>12590</v>
      </c>
      <c r="C3957" s="39" t="n">
        <v>45905</v>
      </c>
      <c r="D3957" s="7" t="s">
        <v>222</v>
      </c>
      <c r="E3957" s="7" t="s">
        <v>180</v>
      </c>
      <c r="F3957" s="6" t="n">
        <v>8.33</v>
      </c>
      <c r="G3957" s="6" t="n">
        <v>0</v>
      </c>
      <c r="H3957" s="41" t="n">
        <v>17.84</v>
      </c>
      <c r="I3957" s="43" t="n">
        <f aca="false">F3957*H3957</f>
        <v>148.6072</v>
      </c>
      <c r="J3957" s="43" t="n">
        <f aca="false">G3957*H3957*1.5</f>
        <v>0</v>
      </c>
      <c r="K3957" s="6" t="n">
        <v>18.67</v>
      </c>
      <c r="L3957" s="43" t="n">
        <f aca="false">K3957*'Chart of Accounts'!$E$68</f>
        <v>12.5089</v>
      </c>
      <c r="O3957" s="42" t="n">
        <f aca="false">I3957+J3957+L3957</f>
        <v>161.1161</v>
      </c>
    </row>
    <row r="3958" customFormat="false" ht="15" hidden="false" customHeight="false" outlineLevel="0" collapsed="false">
      <c r="B3958" s="7" t="s">
        <v>12591</v>
      </c>
      <c r="C3958" s="39" t="n">
        <v>45905</v>
      </c>
      <c r="D3958" s="7" t="s">
        <v>194</v>
      </c>
      <c r="E3958" s="7" t="s">
        <v>180</v>
      </c>
      <c r="F3958" s="6" t="n">
        <v>8.21</v>
      </c>
      <c r="G3958" s="6" t="n">
        <v>0</v>
      </c>
      <c r="H3958" s="41" t="n">
        <v>16</v>
      </c>
      <c r="I3958" s="43" t="n">
        <f aca="false">F3958*H3958</f>
        <v>131.36</v>
      </c>
      <c r="J3958" s="43" t="n">
        <f aca="false">G3958*H3958*1.5</f>
        <v>0</v>
      </c>
      <c r="K3958" s="6" t="n">
        <v>26.29</v>
      </c>
      <c r="L3958" s="43" t="n">
        <f aca="false">K3958*'Chart of Accounts'!$E$68</f>
        <v>17.6143</v>
      </c>
      <c r="O3958" s="42" t="n">
        <f aca="false">I3958+J3958+L3958</f>
        <v>148.9743</v>
      </c>
    </row>
    <row r="3959" customFormat="false" ht="15" hidden="false" customHeight="false" outlineLevel="0" collapsed="false">
      <c r="B3959" s="7" t="s">
        <v>12592</v>
      </c>
      <c r="C3959" s="39" t="n">
        <v>45905</v>
      </c>
      <c r="D3959" s="7" t="s">
        <v>198</v>
      </c>
      <c r="E3959" s="7" t="s">
        <v>158</v>
      </c>
      <c r="H3959" s="41" t="n">
        <v>48.09</v>
      </c>
      <c r="M3959" s="6" t="n">
        <v>1</v>
      </c>
      <c r="N3959" s="43" t="n">
        <f aca="false">M3959*H3959</f>
        <v>48.09</v>
      </c>
      <c r="O3959" s="42" t="n">
        <f aca="false">N3959</f>
        <v>48.09</v>
      </c>
    </row>
    <row r="3960" customFormat="false" ht="15" hidden="false" customHeight="false" outlineLevel="0" collapsed="false">
      <c r="B3960" s="7" t="s">
        <v>12593</v>
      </c>
      <c r="C3960" s="39" t="n">
        <v>45905</v>
      </c>
      <c r="D3960" s="7" t="s">
        <v>214</v>
      </c>
      <c r="E3960" s="7" t="s">
        <v>180</v>
      </c>
      <c r="F3960" s="6" t="n">
        <v>7.37</v>
      </c>
      <c r="G3960" s="6" t="n">
        <v>0</v>
      </c>
      <c r="H3960" s="41" t="n">
        <v>15.67</v>
      </c>
      <c r="I3960" s="43" t="n">
        <f aca="false">F3960*H3960</f>
        <v>115.4879</v>
      </c>
      <c r="J3960" s="43" t="n">
        <f aca="false">G3960*H3960*1.5</f>
        <v>0</v>
      </c>
      <c r="K3960" s="6" t="n">
        <v>22.13</v>
      </c>
      <c r="L3960" s="43" t="n">
        <f aca="false">K3960*'Chart of Accounts'!$E$68</f>
        <v>14.8271</v>
      </c>
      <c r="O3960" s="42" t="n">
        <f aca="false">I3960+J3960+L3960</f>
        <v>130.315</v>
      </c>
    </row>
    <row r="3961" customFormat="false" ht="15" hidden="false" customHeight="false" outlineLevel="0" collapsed="false">
      <c r="B3961" s="7" t="s">
        <v>12594</v>
      </c>
      <c r="C3961" s="39" t="n">
        <v>45905</v>
      </c>
      <c r="D3961" s="7" t="s">
        <v>209</v>
      </c>
      <c r="E3961" s="7" t="s">
        <v>158</v>
      </c>
      <c r="H3961" s="41" t="n">
        <v>73.58</v>
      </c>
      <c r="M3961" s="6" t="n">
        <v>2</v>
      </c>
      <c r="N3961" s="43" t="n">
        <f aca="false">M3961*H3961</f>
        <v>147.16</v>
      </c>
      <c r="O3961" s="42" t="n">
        <f aca="false">N3961</f>
        <v>147.16</v>
      </c>
    </row>
    <row r="3962" customFormat="false" ht="15" hidden="false" customHeight="false" outlineLevel="0" collapsed="false">
      <c r="B3962" s="7" t="s">
        <v>12595</v>
      </c>
      <c r="C3962" s="39" t="n">
        <v>45905</v>
      </c>
      <c r="D3962" s="7" t="s">
        <v>205</v>
      </c>
      <c r="E3962" s="7" t="s">
        <v>180</v>
      </c>
      <c r="F3962" s="6" t="n">
        <v>4.21</v>
      </c>
      <c r="G3962" s="6" t="n">
        <v>0</v>
      </c>
      <c r="H3962" s="41" t="n">
        <v>16.36</v>
      </c>
      <c r="I3962" s="43" t="n">
        <f aca="false">F3962*H3962</f>
        <v>68.8756</v>
      </c>
      <c r="J3962" s="43" t="n">
        <f aca="false">G3962*H3962*1.5</f>
        <v>0</v>
      </c>
      <c r="K3962" s="6" t="n">
        <v>11.66</v>
      </c>
      <c r="L3962" s="43" t="n">
        <f aca="false">K3962*'Chart of Accounts'!$E$68</f>
        <v>7.8122</v>
      </c>
      <c r="O3962" s="42" t="n">
        <f aca="false">I3962+J3962+L3962</f>
        <v>76.6878</v>
      </c>
    </row>
    <row r="3963" customFormat="false" ht="15" hidden="false" customHeight="false" outlineLevel="0" collapsed="false">
      <c r="B3963" s="7" t="s">
        <v>12596</v>
      </c>
      <c r="C3963" s="39" t="n">
        <v>45905</v>
      </c>
      <c r="D3963" s="7" t="s">
        <v>264</v>
      </c>
      <c r="E3963" s="7" t="s">
        <v>158</v>
      </c>
      <c r="H3963" s="41" t="n">
        <v>55.55</v>
      </c>
      <c r="M3963" s="6" t="n">
        <v>1</v>
      </c>
      <c r="N3963" s="43" t="n">
        <f aca="false">M3963*H3963</f>
        <v>55.55</v>
      </c>
      <c r="O3963" s="42" t="n">
        <f aca="false">N3963</f>
        <v>55.55</v>
      </c>
    </row>
    <row r="3964" customFormat="false" ht="15" hidden="false" customHeight="false" outlineLevel="0" collapsed="false">
      <c r="B3964" s="7" t="s">
        <v>12597</v>
      </c>
      <c r="C3964" s="39" t="n">
        <v>45905</v>
      </c>
      <c r="D3964" s="7" t="s">
        <v>252</v>
      </c>
      <c r="E3964" s="7" t="s">
        <v>158</v>
      </c>
      <c r="H3964" s="41" t="n">
        <v>57.54</v>
      </c>
      <c r="M3964" s="6" t="n">
        <v>1</v>
      </c>
      <c r="N3964" s="43" t="n">
        <f aca="false">M3964*H3964</f>
        <v>57.54</v>
      </c>
      <c r="O3964" s="42" t="n">
        <f aca="false">N3964</f>
        <v>57.54</v>
      </c>
    </row>
    <row r="3965" customFormat="false" ht="15" hidden="false" customHeight="false" outlineLevel="0" collapsed="false">
      <c r="B3965" s="7" t="s">
        <v>12598</v>
      </c>
      <c r="C3965" s="39" t="n">
        <v>45905</v>
      </c>
      <c r="D3965" s="7" t="s">
        <v>184</v>
      </c>
      <c r="E3965" s="7" t="s">
        <v>180</v>
      </c>
      <c r="F3965" s="6" t="n">
        <v>8.04</v>
      </c>
      <c r="G3965" s="6" t="n">
        <v>0</v>
      </c>
      <c r="H3965" s="41" t="n">
        <v>17.34</v>
      </c>
      <c r="I3965" s="43" t="n">
        <f aca="false">F3965*H3965</f>
        <v>139.4136</v>
      </c>
      <c r="J3965" s="43" t="n">
        <f aca="false">G3965*H3965*1.5</f>
        <v>0</v>
      </c>
      <c r="K3965" s="6" t="n">
        <v>28.03</v>
      </c>
      <c r="L3965" s="43" t="n">
        <f aca="false">K3965*'Chart of Accounts'!$E$68</f>
        <v>18.7801</v>
      </c>
      <c r="O3965" s="42" t="n">
        <f aca="false">I3965+J3965+L3965</f>
        <v>158.1937</v>
      </c>
    </row>
    <row r="3966" customFormat="false" ht="15" hidden="false" customHeight="false" outlineLevel="0" collapsed="false">
      <c r="B3966" s="7" t="s">
        <v>12599</v>
      </c>
      <c r="C3966" s="39" t="n">
        <v>45905</v>
      </c>
      <c r="D3966" s="7" t="s">
        <v>216</v>
      </c>
      <c r="E3966" s="7" t="s">
        <v>158</v>
      </c>
      <c r="H3966" s="41" t="n">
        <v>61.79</v>
      </c>
      <c r="M3966" s="6" t="n">
        <v>1</v>
      </c>
      <c r="N3966" s="43" t="n">
        <f aca="false">M3966*H3966</f>
        <v>61.79</v>
      </c>
      <c r="O3966" s="42" t="n">
        <f aca="false">N3966</f>
        <v>61.79</v>
      </c>
    </row>
    <row r="3967" customFormat="false" ht="15" hidden="false" customHeight="false" outlineLevel="0" collapsed="false">
      <c r="B3967" s="7" t="s">
        <v>12600</v>
      </c>
      <c r="C3967" s="39" t="n">
        <v>45905</v>
      </c>
      <c r="D3967" s="7" t="s">
        <v>234</v>
      </c>
      <c r="E3967" s="7" t="s">
        <v>158</v>
      </c>
      <c r="H3967" s="41" t="n">
        <v>89.53</v>
      </c>
      <c r="M3967" s="6" t="n">
        <v>2</v>
      </c>
      <c r="N3967" s="43" t="n">
        <f aca="false">M3967*H3967</f>
        <v>179.06</v>
      </c>
      <c r="O3967" s="42" t="n">
        <f aca="false">N3967</f>
        <v>179.06</v>
      </c>
    </row>
    <row r="3968" customFormat="false" ht="15" hidden="false" customHeight="false" outlineLevel="0" collapsed="false">
      <c r="B3968" s="7" t="s">
        <v>12601</v>
      </c>
      <c r="C3968" s="39" t="n">
        <v>45905</v>
      </c>
      <c r="D3968" s="7" t="s">
        <v>218</v>
      </c>
      <c r="E3968" s="7" t="s">
        <v>180</v>
      </c>
      <c r="F3968" s="6" t="n">
        <v>4.15</v>
      </c>
      <c r="G3968" s="6" t="n">
        <v>0</v>
      </c>
      <c r="H3968" s="41" t="n">
        <v>16.19</v>
      </c>
      <c r="I3968" s="43" t="n">
        <f aca="false">F3968*H3968</f>
        <v>67.1885</v>
      </c>
      <c r="J3968" s="43" t="n">
        <f aca="false">G3968*H3968*1.5</f>
        <v>0</v>
      </c>
      <c r="K3968" s="6" t="n">
        <v>11.23</v>
      </c>
      <c r="L3968" s="43" t="n">
        <f aca="false">K3968*'Chart of Accounts'!$E$68</f>
        <v>7.5241</v>
      </c>
      <c r="O3968" s="42" t="n">
        <f aca="false">I3968+J3968+L3968</f>
        <v>74.7126</v>
      </c>
    </row>
    <row r="3969" customFormat="false" ht="15" hidden="false" customHeight="false" outlineLevel="0" collapsed="false">
      <c r="B3969" s="7" t="s">
        <v>12602</v>
      </c>
      <c r="C3969" s="39" t="n">
        <v>45905</v>
      </c>
      <c r="D3969" s="7" t="s">
        <v>228</v>
      </c>
      <c r="E3969" s="7" t="s">
        <v>158</v>
      </c>
      <c r="H3969" s="41" t="n">
        <v>51.07</v>
      </c>
      <c r="M3969" s="6" t="n">
        <v>1</v>
      </c>
      <c r="N3969" s="43" t="n">
        <f aca="false">M3969*H3969</f>
        <v>51.07</v>
      </c>
      <c r="O3969" s="42" t="n">
        <f aca="false">N3969</f>
        <v>51.07</v>
      </c>
    </row>
    <row r="3970" customFormat="false" ht="15" hidden="false" customHeight="false" outlineLevel="0" collapsed="false">
      <c r="B3970" s="7" t="s">
        <v>12603</v>
      </c>
      <c r="C3970" s="39" t="n">
        <v>45905</v>
      </c>
      <c r="D3970" s="7" t="s">
        <v>220</v>
      </c>
      <c r="E3970" s="7" t="s">
        <v>180</v>
      </c>
      <c r="F3970" s="6" t="n">
        <v>3.91</v>
      </c>
      <c r="G3970" s="6" t="n">
        <v>0</v>
      </c>
      <c r="H3970" s="41" t="n">
        <v>16.43</v>
      </c>
      <c r="I3970" s="43" t="n">
        <f aca="false">F3970*H3970</f>
        <v>64.2413</v>
      </c>
      <c r="J3970" s="43" t="n">
        <f aca="false">G3970*H3970*1.5</f>
        <v>0</v>
      </c>
      <c r="K3970" s="6" t="n">
        <v>11.58</v>
      </c>
      <c r="L3970" s="43" t="n">
        <f aca="false">K3970*'Chart of Accounts'!$E$68</f>
        <v>7.7586</v>
      </c>
      <c r="O3970" s="42" t="n">
        <f aca="false">I3970+J3970+L3970</f>
        <v>71.9999</v>
      </c>
    </row>
    <row r="3971" customFormat="false" ht="15" hidden="false" customHeight="false" outlineLevel="0" collapsed="false">
      <c r="B3971" s="7" t="s">
        <v>12604</v>
      </c>
      <c r="C3971" s="39" t="n">
        <v>45905</v>
      </c>
      <c r="D3971" s="7" t="s">
        <v>177</v>
      </c>
      <c r="E3971" s="7" t="s">
        <v>180</v>
      </c>
      <c r="F3971" s="6" t="n">
        <v>8.72</v>
      </c>
      <c r="G3971" s="6" t="n">
        <v>0</v>
      </c>
      <c r="H3971" s="41" t="n">
        <v>14.56</v>
      </c>
      <c r="I3971" s="43" t="n">
        <f aca="false">F3971*H3971</f>
        <v>126.9632</v>
      </c>
      <c r="J3971" s="43" t="n">
        <f aca="false">G3971*H3971*1.5</f>
        <v>0</v>
      </c>
      <c r="K3971" s="6" t="n">
        <v>20.03</v>
      </c>
      <c r="L3971" s="43" t="n">
        <f aca="false">K3971*'Chart of Accounts'!$E$68</f>
        <v>13.4201</v>
      </c>
      <c r="O3971" s="42" t="n">
        <f aca="false">I3971+J3971+L3971</f>
        <v>140.3833</v>
      </c>
    </row>
    <row r="3972" customFormat="false" ht="15" hidden="false" customHeight="false" outlineLevel="0" collapsed="false">
      <c r="B3972" s="7" t="s">
        <v>12605</v>
      </c>
      <c r="C3972" s="39" t="n">
        <v>45905</v>
      </c>
      <c r="D3972" s="7" t="s">
        <v>242</v>
      </c>
      <c r="E3972" s="7" t="s">
        <v>180</v>
      </c>
      <c r="F3972" s="6" t="n">
        <v>7.35</v>
      </c>
      <c r="G3972" s="6" t="n">
        <v>0</v>
      </c>
      <c r="H3972" s="41" t="n">
        <v>17.99</v>
      </c>
      <c r="I3972" s="43" t="n">
        <f aca="false">F3972*H3972</f>
        <v>132.2265</v>
      </c>
      <c r="J3972" s="43" t="n">
        <f aca="false">G3972*H3972*1.5</f>
        <v>0</v>
      </c>
      <c r="K3972" s="6" t="n">
        <v>20.41</v>
      </c>
      <c r="L3972" s="43" t="n">
        <f aca="false">K3972*'Chart of Accounts'!$E$68</f>
        <v>13.6747</v>
      </c>
      <c r="O3972" s="42" t="n">
        <f aca="false">I3972+J3972+L3972</f>
        <v>145.9012</v>
      </c>
    </row>
    <row r="3973" customFormat="false" ht="15" hidden="false" customHeight="false" outlineLevel="0" collapsed="false">
      <c r="B3973" s="7" t="s">
        <v>12606</v>
      </c>
      <c r="C3973" s="39" t="n">
        <v>45905</v>
      </c>
      <c r="D3973" s="7" t="s">
        <v>238</v>
      </c>
      <c r="E3973" s="7" t="s">
        <v>180</v>
      </c>
      <c r="F3973" s="6" t="n">
        <v>9.11</v>
      </c>
      <c r="G3973" s="6" t="n">
        <v>0</v>
      </c>
      <c r="H3973" s="41" t="n">
        <v>15.85</v>
      </c>
      <c r="I3973" s="43" t="n">
        <f aca="false">F3973*H3973</f>
        <v>144.3935</v>
      </c>
      <c r="J3973" s="43" t="n">
        <f aca="false">G3973*H3973*1.5</f>
        <v>0</v>
      </c>
      <c r="K3973" s="6" t="n">
        <v>28.88</v>
      </c>
      <c r="L3973" s="43" t="n">
        <f aca="false">K3973*'Chart of Accounts'!$E$68</f>
        <v>19.3496</v>
      </c>
      <c r="O3973" s="42" t="n">
        <f aca="false">I3973+J3973+L3973</f>
        <v>163.7431</v>
      </c>
    </row>
    <row r="3974" customFormat="false" ht="15" hidden="false" customHeight="false" outlineLevel="0" collapsed="false">
      <c r="B3974" s="7" t="s">
        <v>12607</v>
      </c>
      <c r="C3974" s="39" t="n">
        <v>45905</v>
      </c>
      <c r="D3974" s="7" t="s">
        <v>254</v>
      </c>
      <c r="E3974" s="7" t="s">
        <v>180</v>
      </c>
      <c r="F3974" s="6" t="n">
        <v>6.138</v>
      </c>
      <c r="G3974" s="6" t="n">
        <v>1.442</v>
      </c>
      <c r="H3974" s="41" t="n">
        <v>17.1</v>
      </c>
      <c r="I3974" s="43" t="n">
        <f aca="false">F3974*H3974</f>
        <v>104.9598</v>
      </c>
      <c r="J3974" s="43" t="n">
        <f aca="false">G3974*H3974*1.5</f>
        <v>36.9873</v>
      </c>
      <c r="K3974" s="6" t="n">
        <v>19.43</v>
      </c>
      <c r="L3974" s="43" t="n">
        <f aca="false">K3974*'Chart of Accounts'!$E$68</f>
        <v>13.0181</v>
      </c>
      <c r="O3974" s="42" t="n">
        <f aca="false">I3974+J3974+L3974</f>
        <v>154.9652</v>
      </c>
    </row>
    <row r="3975" customFormat="false" ht="15" hidden="false" customHeight="false" outlineLevel="0" collapsed="false">
      <c r="B3975" s="7" t="s">
        <v>12608</v>
      </c>
      <c r="C3975" s="39" t="n">
        <v>45905</v>
      </c>
      <c r="D3975" s="7" t="s">
        <v>246</v>
      </c>
      <c r="E3975" s="7" t="s">
        <v>180</v>
      </c>
      <c r="F3975" s="6" t="n">
        <v>11.83</v>
      </c>
      <c r="G3975" s="6" t="n">
        <v>0</v>
      </c>
      <c r="H3975" s="41" t="n">
        <v>16.48</v>
      </c>
      <c r="I3975" s="43" t="n">
        <f aca="false">F3975*H3975</f>
        <v>194.9584</v>
      </c>
      <c r="J3975" s="43" t="n">
        <f aca="false">G3975*H3975*1.5</f>
        <v>0</v>
      </c>
      <c r="K3975" s="6" t="n">
        <v>40.79</v>
      </c>
      <c r="L3975" s="43" t="n">
        <f aca="false">K3975*'Chart of Accounts'!$E$68</f>
        <v>27.3293</v>
      </c>
      <c r="O3975" s="42" t="n">
        <f aca="false">I3975+J3975+L3975</f>
        <v>222.2877</v>
      </c>
    </row>
    <row r="3976" customFormat="false" ht="15" hidden="false" customHeight="false" outlineLevel="0" collapsed="false">
      <c r="B3976" s="7" t="s">
        <v>12609</v>
      </c>
      <c r="C3976" s="39" t="n">
        <v>45905</v>
      </c>
      <c r="D3976" s="7" t="s">
        <v>258</v>
      </c>
      <c r="E3976" s="7" t="s">
        <v>158</v>
      </c>
      <c r="H3976" s="41" t="n">
        <v>61.61</v>
      </c>
      <c r="M3976" s="6" t="n">
        <v>1</v>
      </c>
      <c r="N3976" s="43" t="n">
        <f aca="false">M3976*H3976</f>
        <v>61.61</v>
      </c>
      <c r="O3976" s="42" t="n">
        <f aca="false">N3976</f>
        <v>61.61</v>
      </c>
    </row>
    <row r="3977" customFormat="false" ht="15" hidden="false" customHeight="false" outlineLevel="0" collapsed="false">
      <c r="B3977" s="7" t="s">
        <v>12610</v>
      </c>
      <c r="C3977" s="39" t="n">
        <v>45905</v>
      </c>
      <c r="D3977" s="7" t="s">
        <v>232</v>
      </c>
      <c r="E3977" s="7" t="s">
        <v>180</v>
      </c>
      <c r="F3977" s="6" t="n">
        <v>4.97</v>
      </c>
      <c r="G3977" s="6" t="n">
        <v>0</v>
      </c>
      <c r="H3977" s="41" t="n">
        <v>16.17</v>
      </c>
      <c r="I3977" s="43" t="n">
        <f aca="false">F3977*H3977</f>
        <v>80.3649</v>
      </c>
      <c r="J3977" s="43" t="n">
        <f aca="false">G3977*H3977*1.5</f>
        <v>0</v>
      </c>
      <c r="K3977" s="6" t="n">
        <v>16.32</v>
      </c>
      <c r="L3977" s="43" t="n">
        <f aca="false">K3977*'Chart of Accounts'!$E$68</f>
        <v>10.9344</v>
      </c>
      <c r="O3977" s="42" t="n">
        <f aca="false">I3977+J3977+L3977</f>
        <v>91.2993</v>
      </c>
    </row>
    <row r="3978" customFormat="false" ht="15" hidden="false" customHeight="false" outlineLevel="0" collapsed="false">
      <c r="B3978" s="7" t="s">
        <v>12611</v>
      </c>
      <c r="C3978" s="39" t="n">
        <v>45905</v>
      </c>
      <c r="D3978" s="7" t="s">
        <v>224</v>
      </c>
      <c r="E3978" s="7" t="s">
        <v>180</v>
      </c>
      <c r="F3978" s="6" t="n">
        <v>7.383</v>
      </c>
      <c r="G3978" s="6" t="n">
        <v>0.197</v>
      </c>
      <c r="H3978" s="41" t="n">
        <v>14.93</v>
      </c>
      <c r="I3978" s="43" t="n">
        <f aca="false">F3978*H3978</f>
        <v>110.22819</v>
      </c>
      <c r="J3978" s="43" t="n">
        <f aca="false">G3978*H3978*1.5</f>
        <v>4.411815</v>
      </c>
      <c r="K3978" s="6" t="n">
        <v>16.88</v>
      </c>
      <c r="L3978" s="43" t="n">
        <f aca="false">K3978*'Chart of Accounts'!$E$68</f>
        <v>11.3096</v>
      </c>
      <c r="O3978" s="42" t="n">
        <f aca="false">I3978+J3978+L3978</f>
        <v>125.949605</v>
      </c>
    </row>
    <row r="3979" customFormat="false" ht="15" hidden="false" customHeight="false" outlineLevel="0" collapsed="false">
      <c r="B3979" s="7" t="s">
        <v>12612</v>
      </c>
      <c r="C3979" s="39" t="n">
        <v>45905</v>
      </c>
      <c r="D3979" s="7" t="s">
        <v>230</v>
      </c>
      <c r="E3979" s="7" t="s">
        <v>158</v>
      </c>
      <c r="H3979" s="41" t="n">
        <v>48.78</v>
      </c>
      <c r="M3979" s="6" t="n">
        <v>1</v>
      </c>
      <c r="N3979" s="43" t="n">
        <f aca="false">M3979*H3979</f>
        <v>48.78</v>
      </c>
      <c r="O3979" s="42" t="n">
        <f aca="false">N3979</f>
        <v>48.78</v>
      </c>
    </row>
    <row r="3980" customFormat="false" ht="15" hidden="false" customHeight="false" outlineLevel="0" collapsed="false">
      <c r="B3980" s="7" t="s">
        <v>12613</v>
      </c>
      <c r="C3980" s="39" t="n">
        <v>45905</v>
      </c>
      <c r="D3980" s="7" t="s">
        <v>196</v>
      </c>
      <c r="E3980" s="7" t="s">
        <v>180</v>
      </c>
      <c r="F3980" s="6" t="n">
        <v>3.426</v>
      </c>
      <c r="G3980" s="6" t="n">
        <v>0.654</v>
      </c>
      <c r="H3980" s="41" t="n">
        <v>15.05</v>
      </c>
      <c r="I3980" s="43" t="n">
        <f aca="false">F3980*H3980</f>
        <v>51.5613</v>
      </c>
      <c r="J3980" s="43" t="n">
        <f aca="false">G3980*H3980*1.5</f>
        <v>14.76405</v>
      </c>
      <c r="K3980" s="6" t="n">
        <v>10.55</v>
      </c>
      <c r="L3980" s="43" t="n">
        <f aca="false">K3980*'Chart of Accounts'!$E$68</f>
        <v>7.0685</v>
      </c>
      <c r="O3980" s="42" t="n">
        <f aca="false">I3980+J3980+L3980</f>
        <v>73.39385</v>
      </c>
    </row>
    <row r="3981" customFormat="false" ht="15" hidden="false" customHeight="false" outlineLevel="0" collapsed="false">
      <c r="B3981" s="7" t="s">
        <v>12614</v>
      </c>
      <c r="C3981" s="39" t="n">
        <v>45905</v>
      </c>
      <c r="D3981" s="7" t="s">
        <v>203</v>
      </c>
      <c r="E3981" s="7" t="s">
        <v>158</v>
      </c>
      <c r="H3981" s="41" t="n">
        <v>49.43</v>
      </c>
      <c r="M3981" s="6" t="n">
        <v>1</v>
      </c>
      <c r="N3981" s="43" t="n">
        <f aca="false">M3981*H3981</f>
        <v>49.43</v>
      </c>
      <c r="O3981" s="42" t="n">
        <f aca="false">N3981</f>
        <v>49.43</v>
      </c>
    </row>
    <row r="3982" customFormat="false" ht="15" hidden="false" customHeight="false" outlineLevel="0" collapsed="false">
      <c r="B3982" s="7" t="s">
        <v>12615</v>
      </c>
      <c r="C3982" s="39" t="n">
        <v>45905</v>
      </c>
      <c r="D3982" s="7" t="s">
        <v>260</v>
      </c>
      <c r="E3982" s="7" t="s">
        <v>158</v>
      </c>
      <c r="H3982" s="41" t="n">
        <v>79.8</v>
      </c>
      <c r="M3982" s="6" t="n">
        <v>1</v>
      </c>
      <c r="N3982" s="43" t="n">
        <f aca="false">M3982*H3982</f>
        <v>79.8</v>
      </c>
      <c r="O3982" s="42" t="n">
        <f aca="false">N3982</f>
        <v>79.8</v>
      </c>
    </row>
    <row r="3983" customFormat="false" ht="15" hidden="false" customHeight="false" outlineLevel="0" collapsed="false">
      <c r="B3983" s="7" t="s">
        <v>12616</v>
      </c>
      <c r="C3983" s="39" t="n">
        <v>45906</v>
      </c>
      <c r="D3983" s="7" t="s">
        <v>218</v>
      </c>
      <c r="E3983" s="7" t="s">
        <v>180</v>
      </c>
      <c r="F3983" s="6" t="n">
        <v>7.49</v>
      </c>
      <c r="G3983" s="6" t="n">
        <v>0</v>
      </c>
      <c r="H3983" s="41" t="n">
        <v>16.19</v>
      </c>
      <c r="I3983" s="43" t="n">
        <f aca="false">F3983*H3983</f>
        <v>121.2631</v>
      </c>
      <c r="J3983" s="43" t="n">
        <f aca="false">G3983*H3983*1.5</f>
        <v>0</v>
      </c>
      <c r="K3983" s="6" t="n">
        <v>22.01</v>
      </c>
      <c r="L3983" s="43" t="n">
        <f aca="false">K3983*'Chart of Accounts'!$E$68</f>
        <v>14.7467</v>
      </c>
      <c r="O3983" s="42" t="n">
        <f aca="false">I3983+J3983+L3983</f>
        <v>136.0098</v>
      </c>
    </row>
    <row r="3984" customFormat="false" ht="15" hidden="false" customHeight="false" outlineLevel="0" collapsed="false">
      <c r="B3984" s="7" t="s">
        <v>12617</v>
      </c>
      <c r="C3984" s="39" t="n">
        <v>45906</v>
      </c>
      <c r="D3984" s="7" t="s">
        <v>254</v>
      </c>
      <c r="E3984" s="7" t="s">
        <v>180</v>
      </c>
      <c r="F3984" s="6" t="n">
        <v>6.494</v>
      </c>
      <c r="G3984" s="6" t="n">
        <v>1.526</v>
      </c>
      <c r="H3984" s="41" t="n">
        <v>17.1</v>
      </c>
      <c r="I3984" s="43" t="n">
        <f aca="false">F3984*H3984</f>
        <v>111.0474</v>
      </c>
      <c r="J3984" s="43" t="n">
        <f aca="false">G3984*H3984*1.5</f>
        <v>39.1419</v>
      </c>
      <c r="K3984" s="6" t="n">
        <v>20.47</v>
      </c>
      <c r="L3984" s="43" t="n">
        <f aca="false">K3984*'Chart of Accounts'!$E$68</f>
        <v>13.7149</v>
      </c>
      <c r="O3984" s="42" t="n">
        <f aca="false">I3984+J3984+L3984</f>
        <v>163.9042</v>
      </c>
    </row>
    <row r="3985" customFormat="false" ht="15" hidden="false" customHeight="false" outlineLevel="0" collapsed="false">
      <c r="B3985" s="7" t="s">
        <v>12618</v>
      </c>
      <c r="C3985" s="39" t="n">
        <v>45906</v>
      </c>
      <c r="D3985" s="7" t="s">
        <v>196</v>
      </c>
      <c r="E3985" s="7" t="s">
        <v>180</v>
      </c>
      <c r="F3985" s="6" t="n">
        <v>3.283</v>
      </c>
      <c r="G3985" s="6" t="n">
        <v>0.627</v>
      </c>
      <c r="H3985" s="41" t="n">
        <v>15.05</v>
      </c>
      <c r="I3985" s="43" t="n">
        <f aca="false">F3985*H3985</f>
        <v>49.40915</v>
      </c>
      <c r="J3985" s="43" t="n">
        <f aca="false">G3985*H3985*1.5</f>
        <v>14.154525</v>
      </c>
      <c r="K3985" s="6" t="n">
        <v>10.09</v>
      </c>
      <c r="L3985" s="43" t="n">
        <f aca="false">K3985*'Chart of Accounts'!$E$68</f>
        <v>6.7603</v>
      </c>
      <c r="O3985" s="42" t="n">
        <f aca="false">I3985+J3985+L3985</f>
        <v>70.323975</v>
      </c>
    </row>
    <row r="3986" customFormat="false" ht="15" hidden="false" customHeight="false" outlineLevel="0" collapsed="false">
      <c r="B3986" s="7" t="s">
        <v>12619</v>
      </c>
      <c r="C3986" s="39" t="n">
        <v>45906</v>
      </c>
      <c r="D3986" s="7" t="s">
        <v>222</v>
      </c>
      <c r="E3986" s="7" t="s">
        <v>180</v>
      </c>
      <c r="F3986" s="6" t="n">
        <v>4.05</v>
      </c>
      <c r="G3986" s="6" t="n">
        <v>0</v>
      </c>
      <c r="H3986" s="41" t="n">
        <v>17.84</v>
      </c>
      <c r="I3986" s="43" t="n">
        <f aca="false">F3986*H3986</f>
        <v>72.252</v>
      </c>
      <c r="J3986" s="43" t="n">
        <f aca="false">G3986*H3986*1.5</f>
        <v>0</v>
      </c>
      <c r="K3986" s="6" t="n">
        <v>13.85</v>
      </c>
      <c r="L3986" s="43" t="n">
        <f aca="false">K3986*'Chart of Accounts'!$E$68</f>
        <v>9.2795</v>
      </c>
      <c r="O3986" s="42" t="n">
        <f aca="false">I3986+J3986+L3986</f>
        <v>81.5315</v>
      </c>
    </row>
    <row r="3987" customFormat="false" ht="15" hidden="false" customHeight="false" outlineLevel="0" collapsed="false">
      <c r="B3987" s="7" t="s">
        <v>12620</v>
      </c>
      <c r="C3987" s="39" t="n">
        <v>45906</v>
      </c>
      <c r="D3987" s="7" t="s">
        <v>242</v>
      </c>
      <c r="E3987" s="7" t="s">
        <v>180</v>
      </c>
      <c r="F3987" s="6" t="n">
        <v>4.01</v>
      </c>
      <c r="G3987" s="6" t="n">
        <v>0</v>
      </c>
      <c r="H3987" s="41" t="n">
        <v>17.99</v>
      </c>
      <c r="I3987" s="43" t="n">
        <f aca="false">F3987*H3987</f>
        <v>72.1399</v>
      </c>
      <c r="J3987" s="43" t="n">
        <f aca="false">G3987*H3987*1.5</f>
        <v>0</v>
      </c>
      <c r="K3987" s="6" t="n">
        <v>14.22</v>
      </c>
      <c r="L3987" s="43" t="n">
        <f aca="false">K3987*'Chart of Accounts'!$E$68</f>
        <v>9.5274</v>
      </c>
      <c r="O3987" s="42" t="n">
        <f aca="false">I3987+J3987+L3987</f>
        <v>81.6673</v>
      </c>
    </row>
    <row r="3988" customFormat="false" ht="15" hidden="false" customHeight="false" outlineLevel="0" collapsed="false">
      <c r="B3988" s="7" t="s">
        <v>12621</v>
      </c>
      <c r="C3988" s="39" t="n">
        <v>45907</v>
      </c>
      <c r="D3988" s="7" t="s">
        <v>240</v>
      </c>
      <c r="E3988" s="7" t="s">
        <v>180</v>
      </c>
      <c r="F3988" s="6" t="n">
        <v>4.15</v>
      </c>
      <c r="G3988" s="6" t="n">
        <v>0</v>
      </c>
      <c r="H3988" s="41" t="n">
        <v>16.96</v>
      </c>
      <c r="I3988" s="43" t="n">
        <f aca="false">F3988*H3988</f>
        <v>70.384</v>
      </c>
      <c r="J3988" s="43" t="n">
        <f aca="false">G3988*H3988*1.5</f>
        <v>0</v>
      </c>
      <c r="K3988" s="6" t="n">
        <v>13.85</v>
      </c>
      <c r="L3988" s="43" t="n">
        <f aca="false">K3988*'Chart of Accounts'!$E$68</f>
        <v>9.2795</v>
      </c>
      <c r="O3988" s="42" t="n">
        <f aca="false">I3988+J3988+L3988</f>
        <v>79.6635</v>
      </c>
    </row>
    <row r="3989" customFormat="false" ht="15" hidden="false" customHeight="false" outlineLevel="0" collapsed="false">
      <c r="B3989" s="7" t="s">
        <v>12622</v>
      </c>
      <c r="C3989" s="39" t="n">
        <v>45907</v>
      </c>
      <c r="D3989" s="7" t="s">
        <v>196</v>
      </c>
      <c r="E3989" s="7" t="s">
        <v>180</v>
      </c>
      <c r="F3989" s="6" t="n">
        <v>3.056</v>
      </c>
      <c r="G3989" s="6" t="n">
        <v>0.584</v>
      </c>
      <c r="H3989" s="41" t="n">
        <v>15.05</v>
      </c>
      <c r="I3989" s="43" t="n">
        <f aca="false">F3989*H3989</f>
        <v>45.9928</v>
      </c>
      <c r="J3989" s="43" t="n">
        <f aca="false">G3989*H3989*1.5</f>
        <v>13.1838</v>
      </c>
      <c r="K3989" s="6" t="n">
        <v>8.18</v>
      </c>
      <c r="L3989" s="43" t="n">
        <f aca="false">K3989*'Chart of Accounts'!$E$68</f>
        <v>5.4806</v>
      </c>
      <c r="O3989" s="42" t="n">
        <f aca="false">I3989+J3989+L3989</f>
        <v>64.6572</v>
      </c>
    </row>
    <row r="3990" customFormat="false" ht="15" hidden="false" customHeight="false" outlineLevel="0" collapsed="false">
      <c r="B3990" s="7" t="s">
        <v>12623</v>
      </c>
      <c r="C3990" s="39" t="n">
        <v>45907</v>
      </c>
      <c r="D3990" s="7" t="s">
        <v>222</v>
      </c>
      <c r="E3990" s="7" t="s">
        <v>180</v>
      </c>
      <c r="F3990" s="6" t="n">
        <v>4.08</v>
      </c>
      <c r="G3990" s="6" t="n">
        <v>0</v>
      </c>
      <c r="H3990" s="41" t="n">
        <v>17.84</v>
      </c>
      <c r="I3990" s="43" t="n">
        <f aca="false">F3990*H3990</f>
        <v>72.7872</v>
      </c>
      <c r="J3990" s="43" t="n">
        <f aca="false">G3990*H3990*1.5</f>
        <v>0</v>
      </c>
      <c r="K3990" s="6" t="n">
        <v>12.92</v>
      </c>
      <c r="L3990" s="43" t="n">
        <f aca="false">K3990*'Chart of Accounts'!$E$68</f>
        <v>8.6564</v>
      </c>
      <c r="O3990" s="42" t="n">
        <f aca="false">I3990+J3990+L3990</f>
        <v>81.4436</v>
      </c>
    </row>
    <row r="3991" customFormat="false" ht="15" hidden="false" customHeight="false" outlineLevel="0" collapsed="false">
      <c r="B3991" s="7" t="s">
        <v>12624</v>
      </c>
      <c r="C3991" s="39" t="n">
        <v>45907</v>
      </c>
      <c r="D3991" s="7" t="s">
        <v>242</v>
      </c>
      <c r="E3991" s="7" t="s">
        <v>180</v>
      </c>
      <c r="F3991" s="6" t="n">
        <v>4.14</v>
      </c>
      <c r="G3991" s="6" t="n">
        <v>0</v>
      </c>
      <c r="H3991" s="41" t="n">
        <v>17.99</v>
      </c>
      <c r="I3991" s="43" t="n">
        <f aca="false">F3991*H3991</f>
        <v>74.4786</v>
      </c>
      <c r="J3991" s="43" t="n">
        <f aca="false">G3991*H3991*1.5</f>
        <v>0</v>
      </c>
      <c r="K3991" s="6" t="n">
        <v>10.11</v>
      </c>
      <c r="L3991" s="43" t="n">
        <f aca="false">K3991*'Chart of Accounts'!$E$68</f>
        <v>6.7737</v>
      </c>
      <c r="O3991" s="42" t="n">
        <f aca="false">I3991+J3991+L3991</f>
        <v>81.2523</v>
      </c>
    </row>
    <row r="3992" customFormat="false" ht="15" hidden="false" customHeight="false" outlineLevel="0" collapsed="false">
      <c r="B3992" s="7" t="s">
        <v>12625</v>
      </c>
      <c r="C3992" s="39" t="n">
        <v>45907</v>
      </c>
      <c r="D3992" s="7" t="s">
        <v>254</v>
      </c>
      <c r="E3992" s="7" t="s">
        <v>180</v>
      </c>
      <c r="F3992" s="6" t="n">
        <v>3.271</v>
      </c>
      <c r="G3992" s="6" t="n">
        <v>0.769</v>
      </c>
      <c r="H3992" s="41" t="n">
        <v>17.1</v>
      </c>
      <c r="I3992" s="43" t="n">
        <f aca="false">F3992*H3992</f>
        <v>55.9341</v>
      </c>
      <c r="J3992" s="43" t="n">
        <f aca="false">G3992*H3992*1.5</f>
        <v>19.72485</v>
      </c>
      <c r="K3992" s="6" t="n">
        <v>11.64</v>
      </c>
      <c r="L3992" s="43" t="n">
        <f aca="false">K3992*'Chart of Accounts'!$E$68</f>
        <v>7.7988</v>
      </c>
      <c r="O3992" s="42" t="n">
        <f aca="false">I3992+J3992+L3992</f>
        <v>83.45775</v>
      </c>
    </row>
    <row r="3993" customFormat="false" ht="15" hidden="false" customHeight="false" outlineLevel="0" collapsed="false">
      <c r="B3993" s="7" t="s">
        <v>12626</v>
      </c>
      <c r="C3993" s="39" t="n">
        <v>45908</v>
      </c>
      <c r="D3993" s="7" t="s">
        <v>184</v>
      </c>
      <c r="E3993" s="7" t="s">
        <v>180</v>
      </c>
      <c r="F3993" s="6" t="n">
        <v>7.6</v>
      </c>
      <c r="G3993" s="6" t="n">
        <v>0</v>
      </c>
      <c r="H3993" s="41" t="n">
        <v>17.34</v>
      </c>
      <c r="I3993" s="43" t="n">
        <f aca="false">F3993*H3993</f>
        <v>131.784</v>
      </c>
      <c r="J3993" s="43" t="n">
        <f aca="false">G3993*H3993*1.5</f>
        <v>0</v>
      </c>
      <c r="K3993" s="6" t="n">
        <v>22.79</v>
      </c>
      <c r="L3993" s="43" t="n">
        <f aca="false">K3993*'Chart of Accounts'!$E$68</f>
        <v>15.2693</v>
      </c>
      <c r="O3993" s="42" t="n">
        <f aca="false">I3993+J3993+L3993</f>
        <v>147.0533</v>
      </c>
    </row>
    <row r="3994" customFormat="false" ht="15" hidden="false" customHeight="false" outlineLevel="0" collapsed="false">
      <c r="B3994" s="7" t="s">
        <v>12627</v>
      </c>
      <c r="C3994" s="39" t="n">
        <v>45908</v>
      </c>
      <c r="D3994" s="7" t="s">
        <v>194</v>
      </c>
      <c r="E3994" s="7" t="s">
        <v>180</v>
      </c>
      <c r="F3994" s="6" t="n">
        <v>11.8</v>
      </c>
      <c r="G3994" s="6" t="n">
        <v>0</v>
      </c>
      <c r="H3994" s="41" t="n">
        <v>16</v>
      </c>
      <c r="I3994" s="43" t="n">
        <f aca="false">F3994*H3994</f>
        <v>188.8</v>
      </c>
      <c r="J3994" s="43" t="n">
        <f aca="false">G3994*H3994*1.5</f>
        <v>0</v>
      </c>
      <c r="K3994" s="6" t="n">
        <v>37.73</v>
      </c>
      <c r="L3994" s="43" t="n">
        <f aca="false">K3994*'Chart of Accounts'!$E$68</f>
        <v>25.2791</v>
      </c>
      <c r="O3994" s="42" t="n">
        <f aca="false">I3994+J3994+L3994</f>
        <v>214.0791</v>
      </c>
    </row>
    <row r="3995" customFormat="false" ht="15" hidden="false" customHeight="false" outlineLevel="0" collapsed="false">
      <c r="B3995" s="7" t="s">
        <v>12628</v>
      </c>
      <c r="C3995" s="39" t="n">
        <v>45908</v>
      </c>
      <c r="D3995" s="7" t="s">
        <v>214</v>
      </c>
      <c r="E3995" s="7" t="s">
        <v>180</v>
      </c>
      <c r="F3995" s="6" t="n">
        <v>11.14</v>
      </c>
      <c r="G3995" s="6" t="n">
        <v>0</v>
      </c>
      <c r="H3995" s="41" t="n">
        <v>15.67</v>
      </c>
      <c r="I3995" s="43" t="n">
        <f aca="false">F3995*H3995</f>
        <v>174.5638</v>
      </c>
      <c r="J3995" s="43" t="n">
        <f aca="false">G3995*H3995*1.5</f>
        <v>0</v>
      </c>
      <c r="K3995" s="6" t="n">
        <v>33.5</v>
      </c>
      <c r="L3995" s="43" t="n">
        <f aca="false">K3995*'Chart of Accounts'!$E$68</f>
        <v>22.445</v>
      </c>
      <c r="O3995" s="42" t="n">
        <f aca="false">I3995+J3995+L3995</f>
        <v>197.0088</v>
      </c>
    </row>
    <row r="3996" customFormat="false" ht="15" hidden="false" customHeight="false" outlineLevel="0" collapsed="false">
      <c r="B3996" s="7" t="s">
        <v>12629</v>
      </c>
      <c r="C3996" s="39" t="n">
        <v>45908</v>
      </c>
      <c r="D3996" s="7" t="s">
        <v>201</v>
      </c>
      <c r="E3996" s="7" t="s">
        <v>180</v>
      </c>
      <c r="F3996" s="6" t="n">
        <v>9.53</v>
      </c>
      <c r="G3996" s="6" t="n">
        <v>0</v>
      </c>
      <c r="H3996" s="41" t="n">
        <v>15.19</v>
      </c>
      <c r="I3996" s="43" t="n">
        <f aca="false">F3996*H3996</f>
        <v>144.7607</v>
      </c>
      <c r="J3996" s="43" t="n">
        <f aca="false">G3996*H3996*1.5</f>
        <v>0</v>
      </c>
      <c r="K3996" s="6" t="n">
        <v>32.66</v>
      </c>
      <c r="L3996" s="43" t="n">
        <f aca="false">K3996*'Chart of Accounts'!$E$68</f>
        <v>21.8822</v>
      </c>
      <c r="O3996" s="42" t="n">
        <f aca="false">I3996+J3996+L3996</f>
        <v>166.6429</v>
      </c>
    </row>
    <row r="3997" customFormat="false" ht="15" hidden="false" customHeight="false" outlineLevel="0" collapsed="false">
      <c r="B3997" s="7" t="s">
        <v>12630</v>
      </c>
      <c r="C3997" s="39" t="n">
        <v>45908</v>
      </c>
      <c r="D3997" s="7" t="s">
        <v>205</v>
      </c>
      <c r="E3997" s="7" t="s">
        <v>180</v>
      </c>
      <c r="F3997" s="6" t="n">
        <v>3.94</v>
      </c>
      <c r="G3997" s="6" t="n">
        <v>0</v>
      </c>
      <c r="H3997" s="41" t="n">
        <v>16.36</v>
      </c>
      <c r="I3997" s="43" t="n">
        <f aca="false">F3997*H3997</f>
        <v>64.4584</v>
      </c>
      <c r="J3997" s="43" t="n">
        <f aca="false">G3997*H3997*1.5</f>
        <v>0</v>
      </c>
      <c r="K3997" s="6" t="n">
        <v>9.35</v>
      </c>
      <c r="L3997" s="43" t="n">
        <f aca="false">K3997*'Chart of Accounts'!$E$68</f>
        <v>6.2645</v>
      </c>
      <c r="O3997" s="42" t="n">
        <f aca="false">I3997+J3997+L3997</f>
        <v>70.7229</v>
      </c>
    </row>
    <row r="3998" customFormat="false" ht="15" hidden="false" customHeight="false" outlineLevel="0" collapsed="false">
      <c r="B3998" s="7" t="s">
        <v>12631</v>
      </c>
      <c r="C3998" s="39" t="n">
        <v>45908</v>
      </c>
      <c r="D3998" s="7" t="s">
        <v>264</v>
      </c>
      <c r="E3998" s="7" t="s">
        <v>158</v>
      </c>
      <c r="H3998" s="41" t="n">
        <v>55.55</v>
      </c>
      <c r="M3998" s="6" t="n">
        <v>1</v>
      </c>
      <c r="N3998" s="43" t="n">
        <f aca="false">M3998*H3998</f>
        <v>55.55</v>
      </c>
      <c r="O3998" s="42" t="n">
        <f aca="false">N3998</f>
        <v>55.55</v>
      </c>
    </row>
    <row r="3999" customFormat="false" ht="15" hidden="false" customHeight="false" outlineLevel="0" collapsed="false">
      <c r="B3999" s="7" t="s">
        <v>12632</v>
      </c>
      <c r="C3999" s="39" t="n">
        <v>45908</v>
      </c>
      <c r="D3999" s="7" t="s">
        <v>252</v>
      </c>
      <c r="E3999" s="7" t="s">
        <v>158</v>
      </c>
      <c r="H3999" s="41" t="n">
        <v>57.54</v>
      </c>
      <c r="M3999" s="6" t="n">
        <v>1</v>
      </c>
      <c r="N3999" s="43" t="n">
        <f aca="false">M3999*H3999</f>
        <v>57.54</v>
      </c>
      <c r="O3999" s="42" t="n">
        <f aca="false">N3999</f>
        <v>57.54</v>
      </c>
    </row>
    <row r="4000" customFormat="false" ht="15" hidden="false" customHeight="false" outlineLevel="0" collapsed="false">
      <c r="B4000" s="7" t="s">
        <v>12633</v>
      </c>
      <c r="C4000" s="39" t="n">
        <v>45908</v>
      </c>
      <c r="D4000" s="7" t="s">
        <v>196</v>
      </c>
      <c r="E4000" s="7" t="s">
        <v>180</v>
      </c>
      <c r="F4000" s="6" t="n">
        <v>8.312</v>
      </c>
      <c r="G4000" s="6" t="n">
        <v>1.558</v>
      </c>
      <c r="H4000" s="41" t="n">
        <v>15.05</v>
      </c>
      <c r="I4000" s="43" t="n">
        <f aca="false">F4000*H4000</f>
        <v>125.0956</v>
      </c>
      <c r="J4000" s="43" t="n">
        <f aca="false">G4000*H4000*1.5</f>
        <v>35.17185</v>
      </c>
      <c r="K4000" s="6" t="n">
        <v>32.92</v>
      </c>
      <c r="L4000" s="43" t="n">
        <f aca="false">K4000*'Chart of Accounts'!$E$68</f>
        <v>22.0564</v>
      </c>
      <c r="O4000" s="42" t="n">
        <f aca="false">I4000+J4000+L4000</f>
        <v>182.32385</v>
      </c>
    </row>
    <row r="4001" customFormat="false" ht="15" hidden="false" customHeight="false" outlineLevel="0" collapsed="false">
      <c r="B4001" s="7" t="s">
        <v>12634</v>
      </c>
      <c r="C4001" s="39" t="n">
        <v>45908</v>
      </c>
      <c r="D4001" s="7" t="s">
        <v>238</v>
      </c>
      <c r="E4001" s="7" t="s">
        <v>180</v>
      </c>
      <c r="F4001" s="6" t="n">
        <v>14.35</v>
      </c>
      <c r="G4001" s="6" t="n">
        <v>0</v>
      </c>
      <c r="H4001" s="41" t="n">
        <v>15.85</v>
      </c>
      <c r="I4001" s="43" t="n">
        <f aca="false">F4001*H4001</f>
        <v>227.4475</v>
      </c>
      <c r="J4001" s="43" t="n">
        <f aca="false">G4001*H4001*1.5</f>
        <v>0</v>
      </c>
      <c r="K4001" s="6" t="n">
        <v>43.5</v>
      </c>
      <c r="L4001" s="43" t="n">
        <f aca="false">K4001*'Chart of Accounts'!$E$68</f>
        <v>29.145</v>
      </c>
      <c r="O4001" s="42" t="n">
        <f aca="false">I4001+J4001+L4001</f>
        <v>256.5925</v>
      </c>
    </row>
    <row r="4002" customFormat="false" ht="15" hidden="false" customHeight="false" outlineLevel="0" collapsed="false">
      <c r="B4002" s="7" t="s">
        <v>12635</v>
      </c>
      <c r="C4002" s="39" t="n">
        <v>45908</v>
      </c>
      <c r="D4002" s="7" t="s">
        <v>224</v>
      </c>
      <c r="E4002" s="7" t="s">
        <v>180</v>
      </c>
      <c r="F4002" s="6" t="n">
        <v>3.91</v>
      </c>
      <c r="G4002" s="6" t="n">
        <v>0</v>
      </c>
      <c r="H4002" s="41" t="n">
        <v>14.93</v>
      </c>
      <c r="I4002" s="43" t="n">
        <f aca="false">F4002*H4002</f>
        <v>58.3763</v>
      </c>
      <c r="J4002" s="43" t="n">
        <f aca="false">G4002*H4002*1.5</f>
        <v>0</v>
      </c>
      <c r="K4002" s="6" t="n">
        <v>10.55</v>
      </c>
      <c r="L4002" s="43" t="n">
        <f aca="false">K4002*'Chart of Accounts'!$E$68</f>
        <v>7.0685</v>
      </c>
      <c r="O4002" s="42" t="n">
        <f aca="false">I4002+J4002+L4002</f>
        <v>65.4448</v>
      </c>
    </row>
    <row r="4003" customFormat="false" ht="15" hidden="false" customHeight="false" outlineLevel="0" collapsed="false">
      <c r="B4003" s="7" t="s">
        <v>12636</v>
      </c>
      <c r="C4003" s="39" t="n">
        <v>45908</v>
      </c>
      <c r="D4003" s="7" t="s">
        <v>177</v>
      </c>
      <c r="E4003" s="7" t="s">
        <v>180</v>
      </c>
      <c r="F4003" s="6" t="n">
        <v>11.333</v>
      </c>
      <c r="G4003" s="6" t="n">
        <v>0.507</v>
      </c>
      <c r="H4003" s="41" t="n">
        <v>14.56</v>
      </c>
      <c r="I4003" s="43" t="n">
        <f aca="false">F4003*H4003</f>
        <v>165.00848</v>
      </c>
      <c r="J4003" s="43" t="n">
        <f aca="false">G4003*H4003*1.5</f>
        <v>11.07288</v>
      </c>
      <c r="K4003" s="6" t="n">
        <v>30.77</v>
      </c>
      <c r="L4003" s="43" t="n">
        <f aca="false">K4003*'Chart of Accounts'!$E$68</f>
        <v>20.6159</v>
      </c>
      <c r="O4003" s="42" t="n">
        <f aca="false">I4003+J4003+L4003</f>
        <v>196.69726</v>
      </c>
    </row>
    <row r="4004" customFormat="false" ht="15" hidden="false" customHeight="false" outlineLevel="0" collapsed="false">
      <c r="B4004" s="7" t="s">
        <v>12637</v>
      </c>
      <c r="C4004" s="39" t="n">
        <v>45908</v>
      </c>
      <c r="D4004" s="7" t="s">
        <v>242</v>
      </c>
      <c r="E4004" s="7" t="s">
        <v>180</v>
      </c>
      <c r="F4004" s="6" t="n">
        <v>7.03</v>
      </c>
      <c r="G4004" s="6" t="n">
        <v>0.2</v>
      </c>
      <c r="H4004" s="41" t="n">
        <v>17.99</v>
      </c>
      <c r="I4004" s="43" t="n">
        <f aca="false">F4004*H4004</f>
        <v>126.4697</v>
      </c>
      <c r="J4004" s="43" t="n">
        <f aca="false">G4004*H4004*1.5</f>
        <v>5.397</v>
      </c>
      <c r="K4004" s="6" t="n">
        <v>23.49</v>
      </c>
      <c r="L4004" s="43" t="n">
        <f aca="false">K4004*'Chart of Accounts'!$E$68</f>
        <v>15.7383</v>
      </c>
      <c r="O4004" s="42" t="n">
        <f aca="false">I4004+J4004+L4004</f>
        <v>147.605</v>
      </c>
    </row>
    <row r="4005" customFormat="false" ht="15" hidden="false" customHeight="false" outlineLevel="0" collapsed="false">
      <c r="B4005" s="7" t="s">
        <v>12638</v>
      </c>
      <c r="C4005" s="39" t="n">
        <v>45908</v>
      </c>
      <c r="D4005" s="7" t="s">
        <v>222</v>
      </c>
      <c r="E4005" s="7" t="s">
        <v>180</v>
      </c>
      <c r="F4005" s="6" t="n">
        <v>6.374</v>
      </c>
      <c r="G4005" s="6" t="n">
        <v>0.206</v>
      </c>
      <c r="H4005" s="41" t="n">
        <v>17.84</v>
      </c>
      <c r="I4005" s="43" t="n">
        <f aca="false">F4005*H4005</f>
        <v>113.71216</v>
      </c>
      <c r="J4005" s="43" t="n">
        <f aca="false">G4005*H4005*1.5</f>
        <v>5.51256</v>
      </c>
      <c r="K4005" s="6" t="n">
        <v>18.42</v>
      </c>
      <c r="L4005" s="43" t="n">
        <f aca="false">K4005*'Chart of Accounts'!$E$68</f>
        <v>12.3414</v>
      </c>
      <c r="O4005" s="42" t="n">
        <f aca="false">I4005+J4005+L4005</f>
        <v>131.56612</v>
      </c>
    </row>
    <row r="4006" customFormat="false" ht="15" hidden="false" customHeight="false" outlineLevel="0" collapsed="false">
      <c r="B4006" s="7" t="s">
        <v>12639</v>
      </c>
      <c r="C4006" s="39" t="n">
        <v>45908</v>
      </c>
      <c r="D4006" s="7" t="s">
        <v>220</v>
      </c>
      <c r="E4006" s="7" t="s">
        <v>180</v>
      </c>
      <c r="F4006" s="6" t="n">
        <v>4.25</v>
      </c>
      <c r="G4006" s="6" t="n">
        <v>0</v>
      </c>
      <c r="H4006" s="41" t="n">
        <v>16.43</v>
      </c>
      <c r="I4006" s="43" t="n">
        <f aca="false">F4006*H4006</f>
        <v>69.8275</v>
      </c>
      <c r="J4006" s="43" t="n">
        <f aca="false">G4006*H4006*1.5</f>
        <v>0</v>
      </c>
      <c r="K4006" s="6" t="n">
        <v>11.31</v>
      </c>
      <c r="L4006" s="43" t="n">
        <f aca="false">K4006*'Chart of Accounts'!$E$68</f>
        <v>7.5777</v>
      </c>
      <c r="O4006" s="42" t="n">
        <f aca="false">I4006+J4006+L4006</f>
        <v>77.4052</v>
      </c>
    </row>
    <row r="4007" customFormat="false" ht="15" hidden="false" customHeight="false" outlineLevel="0" collapsed="false">
      <c r="B4007" s="7" t="s">
        <v>12640</v>
      </c>
      <c r="C4007" s="39" t="n">
        <v>45908</v>
      </c>
      <c r="D4007" s="7" t="s">
        <v>254</v>
      </c>
      <c r="E4007" s="7" t="s">
        <v>180</v>
      </c>
      <c r="F4007" s="6" t="n">
        <v>5.886</v>
      </c>
      <c r="G4007" s="6" t="n">
        <v>1.374</v>
      </c>
      <c r="H4007" s="41" t="n">
        <v>17.1</v>
      </c>
      <c r="I4007" s="43" t="n">
        <f aca="false">F4007*H4007</f>
        <v>100.6506</v>
      </c>
      <c r="J4007" s="43" t="n">
        <f aca="false">G4007*H4007*1.5</f>
        <v>35.2431</v>
      </c>
      <c r="K4007" s="6" t="n">
        <v>17.38</v>
      </c>
      <c r="L4007" s="43" t="n">
        <f aca="false">K4007*'Chart of Accounts'!$E$68</f>
        <v>11.6446</v>
      </c>
      <c r="O4007" s="42" t="n">
        <f aca="false">I4007+J4007+L4007</f>
        <v>147.5383</v>
      </c>
    </row>
    <row r="4008" customFormat="false" ht="15" hidden="false" customHeight="false" outlineLevel="0" collapsed="false">
      <c r="B4008" s="7" t="s">
        <v>12641</v>
      </c>
      <c r="C4008" s="39" t="n">
        <v>45908</v>
      </c>
      <c r="D4008" s="7" t="s">
        <v>246</v>
      </c>
      <c r="E4008" s="7" t="s">
        <v>180</v>
      </c>
      <c r="F4008" s="6" t="n">
        <v>12.14</v>
      </c>
      <c r="G4008" s="6" t="n">
        <v>0</v>
      </c>
      <c r="H4008" s="41" t="n">
        <v>16.48</v>
      </c>
      <c r="I4008" s="43" t="n">
        <f aca="false">F4008*H4008</f>
        <v>200.0672</v>
      </c>
      <c r="J4008" s="43" t="n">
        <f aca="false">G4008*H4008*1.5</f>
        <v>0</v>
      </c>
      <c r="K4008" s="6" t="n">
        <v>28.14</v>
      </c>
      <c r="L4008" s="43" t="n">
        <f aca="false">K4008*'Chart of Accounts'!$E$68</f>
        <v>18.8538</v>
      </c>
      <c r="O4008" s="42" t="n">
        <f aca="false">I4008+J4008+L4008</f>
        <v>218.921</v>
      </c>
    </row>
    <row r="4009" customFormat="false" ht="15" hidden="false" customHeight="false" outlineLevel="0" collapsed="false">
      <c r="B4009" s="7" t="s">
        <v>12642</v>
      </c>
      <c r="C4009" s="39" t="n">
        <v>45908</v>
      </c>
      <c r="D4009" s="7" t="s">
        <v>232</v>
      </c>
      <c r="E4009" s="7" t="s">
        <v>180</v>
      </c>
      <c r="F4009" s="6" t="n">
        <v>4.54</v>
      </c>
      <c r="G4009" s="6" t="n">
        <v>0</v>
      </c>
      <c r="H4009" s="41" t="n">
        <v>16.17</v>
      </c>
      <c r="I4009" s="43" t="n">
        <f aca="false">F4009*H4009</f>
        <v>73.4118</v>
      </c>
      <c r="J4009" s="43" t="n">
        <f aca="false">G4009*H4009*1.5</f>
        <v>0</v>
      </c>
      <c r="K4009" s="6" t="n">
        <v>14.7</v>
      </c>
      <c r="L4009" s="43" t="n">
        <f aca="false">K4009*'Chart of Accounts'!$E$68</f>
        <v>9.849</v>
      </c>
      <c r="O4009" s="42" t="n">
        <f aca="false">I4009+J4009+L4009</f>
        <v>83.2608</v>
      </c>
    </row>
    <row r="4010" customFormat="false" ht="15" hidden="false" customHeight="false" outlineLevel="0" collapsed="false">
      <c r="B4010" s="7" t="s">
        <v>12643</v>
      </c>
      <c r="C4010" s="39" t="n">
        <v>45909</v>
      </c>
      <c r="D4010" s="7" t="s">
        <v>254</v>
      </c>
      <c r="E4010" s="7" t="s">
        <v>180</v>
      </c>
      <c r="F4010" s="6" t="n">
        <v>6.234</v>
      </c>
      <c r="G4010" s="6" t="n">
        <v>1.456</v>
      </c>
      <c r="H4010" s="41" t="n">
        <v>17.1</v>
      </c>
      <c r="I4010" s="43" t="n">
        <f aca="false">F4010*H4010</f>
        <v>106.6014</v>
      </c>
      <c r="J4010" s="43" t="n">
        <f aca="false">G4010*H4010*1.5</f>
        <v>37.3464</v>
      </c>
      <c r="K4010" s="6" t="n">
        <v>24.42</v>
      </c>
      <c r="L4010" s="43" t="n">
        <f aca="false">K4010*'Chart of Accounts'!$E$68</f>
        <v>16.3614</v>
      </c>
      <c r="O4010" s="42" t="n">
        <f aca="false">I4010+J4010+L4010</f>
        <v>160.3092</v>
      </c>
    </row>
    <row r="4011" customFormat="false" ht="15" hidden="false" customHeight="false" outlineLevel="0" collapsed="false">
      <c r="B4011" s="7" t="s">
        <v>12644</v>
      </c>
      <c r="C4011" s="39" t="n">
        <v>45909</v>
      </c>
      <c r="D4011" s="7" t="s">
        <v>198</v>
      </c>
      <c r="E4011" s="7" t="s">
        <v>158</v>
      </c>
      <c r="H4011" s="41" t="n">
        <v>48.09</v>
      </c>
      <c r="M4011" s="6" t="n">
        <v>2</v>
      </c>
      <c r="N4011" s="43" t="n">
        <f aca="false">M4011*H4011</f>
        <v>96.18</v>
      </c>
      <c r="O4011" s="42" t="n">
        <f aca="false">N4011</f>
        <v>96.18</v>
      </c>
    </row>
    <row r="4012" customFormat="false" ht="15" hidden="false" customHeight="false" outlineLevel="0" collapsed="false">
      <c r="B4012" s="7" t="s">
        <v>12645</v>
      </c>
      <c r="C4012" s="39" t="n">
        <v>45909</v>
      </c>
      <c r="D4012" s="7" t="s">
        <v>209</v>
      </c>
      <c r="E4012" s="7" t="s">
        <v>158</v>
      </c>
      <c r="H4012" s="41" t="n">
        <v>73.58</v>
      </c>
      <c r="M4012" s="6" t="n">
        <v>2</v>
      </c>
      <c r="N4012" s="43" t="n">
        <f aca="false">M4012*H4012</f>
        <v>147.16</v>
      </c>
      <c r="O4012" s="42" t="n">
        <f aca="false">N4012</f>
        <v>147.16</v>
      </c>
    </row>
    <row r="4013" customFormat="false" ht="15" hidden="false" customHeight="false" outlineLevel="0" collapsed="false">
      <c r="B4013" s="7" t="s">
        <v>12646</v>
      </c>
      <c r="C4013" s="39" t="n">
        <v>45909</v>
      </c>
      <c r="D4013" s="7" t="s">
        <v>184</v>
      </c>
      <c r="E4013" s="7" t="s">
        <v>180</v>
      </c>
      <c r="F4013" s="6" t="n">
        <v>4.08</v>
      </c>
      <c r="G4013" s="6" t="n">
        <v>0</v>
      </c>
      <c r="H4013" s="41" t="n">
        <v>17.34</v>
      </c>
      <c r="I4013" s="43" t="n">
        <f aca="false">F4013*H4013</f>
        <v>70.7472</v>
      </c>
      <c r="J4013" s="43" t="n">
        <f aca="false">G4013*H4013*1.5</f>
        <v>0</v>
      </c>
      <c r="K4013" s="6" t="n">
        <v>13.79</v>
      </c>
      <c r="L4013" s="43" t="n">
        <f aca="false">K4013*'Chart of Accounts'!$E$68</f>
        <v>9.2393</v>
      </c>
      <c r="O4013" s="42" t="n">
        <f aca="false">I4013+J4013+L4013</f>
        <v>79.9865</v>
      </c>
    </row>
    <row r="4014" customFormat="false" ht="15" hidden="false" customHeight="false" outlineLevel="0" collapsed="false">
      <c r="B4014" s="7" t="s">
        <v>12647</v>
      </c>
      <c r="C4014" s="39" t="n">
        <v>45909</v>
      </c>
      <c r="D4014" s="7" t="s">
        <v>234</v>
      </c>
      <c r="E4014" s="7" t="s">
        <v>158</v>
      </c>
      <c r="H4014" s="41" t="n">
        <v>89.53</v>
      </c>
      <c r="M4014" s="6" t="n">
        <v>2</v>
      </c>
      <c r="N4014" s="43" t="n">
        <f aca="false">M4014*H4014</f>
        <v>179.06</v>
      </c>
      <c r="O4014" s="42" t="n">
        <f aca="false">N4014</f>
        <v>179.06</v>
      </c>
    </row>
    <row r="4015" customFormat="false" ht="15" hidden="false" customHeight="false" outlineLevel="0" collapsed="false">
      <c r="B4015" s="7" t="s">
        <v>12648</v>
      </c>
      <c r="C4015" s="39" t="n">
        <v>45909</v>
      </c>
      <c r="D4015" s="7" t="s">
        <v>218</v>
      </c>
      <c r="E4015" s="7" t="s">
        <v>180</v>
      </c>
      <c r="F4015" s="6" t="n">
        <v>4.4</v>
      </c>
      <c r="G4015" s="6" t="n">
        <v>0</v>
      </c>
      <c r="H4015" s="41" t="n">
        <v>16.19</v>
      </c>
      <c r="I4015" s="43" t="n">
        <f aca="false">F4015*H4015</f>
        <v>71.236</v>
      </c>
      <c r="J4015" s="43" t="n">
        <f aca="false">G4015*H4015*1.5</f>
        <v>0</v>
      </c>
      <c r="K4015" s="6" t="n">
        <v>13.98</v>
      </c>
      <c r="L4015" s="43" t="n">
        <f aca="false">K4015*'Chart of Accounts'!$E$68</f>
        <v>9.3666</v>
      </c>
      <c r="O4015" s="42" t="n">
        <f aca="false">I4015+J4015+L4015</f>
        <v>80.6026</v>
      </c>
    </row>
    <row r="4016" customFormat="false" ht="15" hidden="false" customHeight="false" outlineLevel="0" collapsed="false">
      <c r="B4016" s="7" t="s">
        <v>12649</v>
      </c>
      <c r="C4016" s="39" t="n">
        <v>45909</v>
      </c>
      <c r="D4016" s="7" t="s">
        <v>228</v>
      </c>
      <c r="E4016" s="7" t="s">
        <v>158</v>
      </c>
      <c r="H4016" s="41" t="n">
        <v>51.07</v>
      </c>
      <c r="M4016" s="6" t="n">
        <v>1</v>
      </c>
      <c r="N4016" s="43" t="n">
        <f aca="false">M4016*H4016</f>
        <v>51.07</v>
      </c>
      <c r="O4016" s="42" t="n">
        <f aca="false">N4016</f>
        <v>51.07</v>
      </c>
    </row>
    <row r="4017" customFormat="false" ht="15" hidden="false" customHeight="false" outlineLevel="0" collapsed="false">
      <c r="B4017" s="7" t="s">
        <v>12650</v>
      </c>
      <c r="C4017" s="39" t="n">
        <v>45909</v>
      </c>
      <c r="D4017" s="7" t="s">
        <v>220</v>
      </c>
      <c r="E4017" s="7" t="s">
        <v>180</v>
      </c>
      <c r="F4017" s="6" t="n">
        <v>4.27</v>
      </c>
      <c r="G4017" s="6" t="n">
        <v>0</v>
      </c>
      <c r="H4017" s="41" t="n">
        <v>16.43</v>
      </c>
      <c r="I4017" s="43" t="n">
        <f aca="false">F4017*H4017</f>
        <v>70.1561</v>
      </c>
      <c r="J4017" s="43" t="n">
        <f aca="false">G4017*H4017*1.5</f>
        <v>0</v>
      </c>
      <c r="K4017" s="6" t="n">
        <v>11.51</v>
      </c>
      <c r="L4017" s="43" t="n">
        <f aca="false">K4017*'Chart of Accounts'!$E$68</f>
        <v>7.7117</v>
      </c>
      <c r="O4017" s="42" t="n">
        <f aca="false">I4017+J4017+L4017</f>
        <v>77.8678</v>
      </c>
    </row>
    <row r="4018" customFormat="false" ht="15" hidden="false" customHeight="false" outlineLevel="0" collapsed="false">
      <c r="B4018" s="7" t="s">
        <v>12651</v>
      </c>
      <c r="C4018" s="39" t="n">
        <v>45909</v>
      </c>
      <c r="D4018" s="7" t="s">
        <v>244</v>
      </c>
      <c r="E4018" s="7" t="s">
        <v>180</v>
      </c>
      <c r="F4018" s="6" t="n">
        <v>3.7</v>
      </c>
      <c r="G4018" s="6" t="n">
        <v>0</v>
      </c>
      <c r="H4018" s="41" t="n">
        <v>16.39</v>
      </c>
      <c r="I4018" s="43" t="n">
        <f aca="false">F4018*H4018</f>
        <v>60.643</v>
      </c>
      <c r="J4018" s="43" t="n">
        <f aca="false">G4018*H4018*1.5</f>
        <v>0</v>
      </c>
      <c r="K4018" s="6" t="n">
        <v>10.39</v>
      </c>
      <c r="L4018" s="43" t="n">
        <f aca="false">K4018*'Chart of Accounts'!$E$68</f>
        <v>6.9613</v>
      </c>
      <c r="O4018" s="42" t="n">
        <f aca="false">I4018+J4018+L4018</f>
        <v>67.6043</v>
      </c>
    </row>
    <row r="4019" customFormat="false" ht="15" hidden="false" customHeight="false" outlineLevel="0" collapsed="false">
      <c r="B4019" s="7" t="s">
        <v>12652</v>
      </c>
      <c r="C4019" s="39" t="n">
        <v>45909</v>
      </c>
      <c r="D4019" s="7" t="s">
        <v>177</v>
      </c>
      <c r="E4019" s="7" t="s">
        <v>180</v>
      </c>
      <c r="F4019" s="6" t="n">
        <v>4.097</v>
      </c>
      <c r="G4019" s="6" t="n">
        <v>0.183</v>
      </c>
      <c r="H4019" s="41" t="n">
        <v>14.56</v>
      </c>
      <c r="I4019" s="43" t="n">
        <f aca="false">F4019*H4019</f>
        <v>59.65232</v>
      </c>
      <c r="J4019" s="43" t="n">
        <f aca="false">G4019*H4019*1.5</f>
        <v>3.99672</v>
      </c>
      <c r="K4019" s="6" t="n">
        <v>12.26</v>
      </c>
      <c r="L4019" s="43" t="n">
        <f aca="false">K4019*'Chart of Accounts'!$E$68</f>
        <v>8.2142</v>
      </c>
      <c r="O4019" s="42" t="n">
        <f aca="false">I4019+J4019+L4019</f>
        <v>71.86324</v>
      </c>
    </row>
    <row r="4020" customFormat="false" ht="15" hidden="false" customHeight="false" outlineLevel="0" collapsed="false">
      <c r="B4020" s="7" t="s">
        <v>12653</v>
      </c>
      <c r="C4020" s="39" t="n">
        <v>45909</v>
      </c>
      <c r="D4020" s="7" t="s">
        <v>194</v>
      </c>
      <c r="E4020" s="7" t="s">
        <v>180</v>
      </c>
      <c r="F4020" s="6" t="n">
        <v>3.92</v>
      </c>
      <c r="G4020" s="6" t="n">
        <v>0</v>
      </c>
      <c r="H4020" s="41" t="n">
        <v>16</v>
      </c>
      <c r="I4020" s="43" t="n">
        <f aca="false">F4020*H4020</f>
        <v>62.72</v>
      </c>
      <c r="J4020" s="43" t="n">
        <f aca="false">G4020*H4020*1.5</f>
        <v>0</v>
      </c>
      <c r="K4020" s="6" t="n">
        <v>9.55</v>
      </c>
      <c r="L4020" s="43" t="n">
        <f aca="false">K4020*'Chart of Accounts'!$E$68</f>
        <v>6.3985</v>
      </c>
      <c r="O4020" s="42" t="n">
        <f aca="false">I4020+J4020+L4020</f>
        <v>69.1185</v>
      </c>
    </row>
    <row r="4021" customFormat="false" ht="15" hidden="false" customHeight="false" outlineLevel="0" collapsed="false">
      <c r="B4021" s="7" t="s">
        <v>12654</v>
      </c>
      <c r="C4021" s="39" t="n">
        <v>45909</v>
      </c>
      <c r="D4021" s="7" t="s">
        <v>258</v>
      </c>
      <c r="E4021" s="7" t="s">
        <v>158</v>
      </c>
      <c r="H4021" s="41" t="n">
        <v>61.61</v>
      </c>
      <c r="M4021" s="6" t="n">
        <v>1</v>
      </c>
      <c r="N4021" s="43" t="n">
        <f aca="false">M4021*H4021</f>
        <v>61.61</v>
      </c>
      <c r="O4021" s="42" t="n">
        <f aca="false">N4021</f>
        <v>61.61</v>
      </c>
    </row>
    <row r="4022" customFormat="false" ht="15" hidden="false" customHeight="false" outlineLevel="0" collapsed="false">
      <c r="B4022" s="7" t="s">
        <v>12655</v>
      </c>
      <c r="C4022" s="39" t="n">
        <v>45909</v>
      </c>
      <c r="D4022" s="7" t="s">
        <v>230</v>
      </c>
      <c r="E4022" s="7" t="s">
        <v>158</v>
      </c>
      <c r="H4022" s="41" t="n">
        <v>48.78</v>
      </c>
      <c r="M4022" s="6" t="n">
        <v>1</v>
      </c>
      <c r="N4022" s="43" t="n">
        <f aca="false">M4022*H4022</f>
        <v>48.78</v>
      </c>
      <c r="O4022" s="42" t="n">
        <f aca="false">N4022</f>
        <v>48.78</v>
      </c>
    </row>
    <row r="4023" customFormat="false" ht="15" hidden="false" customHeight="false" outlineLevel="0" collapsed="false">
      <c r="B4023" s="7" t="s">
        <v>12656</v>
      </c>
      <c r="C4023" s="39" t="n">
        <v>45909</v>
      </c>
      <c r="D4023" s="7" t="s">
        <v>196</v>
      </c>
      <c r="E4023" s="7" t="s">
        <v>180</v>
      </c>
      <c r="F4023" s="6" t="n">
        <v>3.411</v>
      </c>
      <c r="G4023" s="6" t="n">
        <v>0.639</v>
      </c>
      <c r="H4023" s="41" t="n">
        <v>15.05</v>
      </c>
      <c r="I4023" s="43" t="n">
        <f aca="false">F4023*H4023</f>
        <v>51.33555</v>
      </c>
      <c r="J4023" s="43" t="n">
        <f aca="false">G4023*H4023*1.5</f>
        <v>14.425425</v>
      </c>
      <c r="K4023" s="6" t="n">
        <v>8.95</v>
      </c>
      <c r="L4023" s="43" t="n">
        <f aca="false">K4023*'Chart of Accounts'!$E$68</f>
        <v>5.9965</v>
      </c>
      <c r="O4023" s="42" t="n">
        <f aca="false">I4023+J4023+L4023</f>
        <v>71.757475</v>
      </c>
    </row>
    <row r="4024" customFormat="false" ht="15" hidden="false" customHeight="false" outlineLevel="0" collapsed="false">
      <c r="B4024" s="7" t="s">
        <v>12657</v>
      </c>
      <c r="C4024" s="39" t="n">
        <v>45909</v>
      </c>
      <c r="D4024" s="7" t="s">
        <v>222</v>
      </c>
      <c r="E4024" s="7" t="s">
        <v>180</v>
      </c>
      <c r="F4024" s="6" t="n">
        <v>3.865</v>
      </c>
      <c r="G4024" s="6" t="n">
        <v>0.125</v>
      </c>
      <c r="H4024" s="41" t="n">
        <v>17.84</v>
      </c>
      <c r="I4024" s="43" t="n">
        <f aca="false">F4024*H4024</f>
        <v>68.9516</v>
      </c>
      <c r="J4024" s="43" t="n">
        <f aca="false">G4024*H4024*1.5</f>
        <v>3.345</v>
      </c>
      <c r="K4024" s="6" t="n">
        <v>8.84</v>
      </c>
      <c r="L4024" s="43" t="n">
        <f aca="false">K4024*'Chart of Accounts'!$E$68</f>
        <v>5.9228</v>
      </c>
      <c r="O4024" s="42" t="n">
        <f aca="false">I4024+J4024+L4024</f>
        <v>78.2194</v>
      </c>
    </row>
    <row r="4025" customFormat="false" ht="15" hidden="false" customHeight="false" outlineLevel="0" collapsed="false">
      <c r="B4025" s="7" t="s">
        <v>12658</v>
      </c>
      <c r="C4025" s="39" t="n">
        <v>45909</v>
      </c>
      <c r="D4025" s="7" t="s">
        <v>242</v>
      </c>
      <c r="E4025" s="7" t="s">
        <v>180</v>
      </c>
      <c r="F4025" s="6" t="n">
        <v>3.899</v>
      </c>
      <c r="G4025" s="6" t="n">
        <v>0.111</v>
      </c>
      <c r="H4025" s="41" t="n">
        <v>17.99</v>
      </c>
      <c r="I4025" s="43" t="n">
        <f aca="false">F4025*H4025</f>
        <v>70.14301</v>
      </c>
      <c r="J4025" s="43" t="n">
        <f aca="false">G4025*H4025*1.5</f>
        <v>2.995335</v>
      </c>
      <c r="K4025" s="6" t="n">
        <v>11.15</v>
      </c>
      <c r="L4025" s="43" t="n">
        <f aca="false">K4025*'Chart of Accounts'!$E$68</f>
        <v>7.4705</v>
      </c>
      <c r="O4025" s="42" t="n">
        <f aca="false">I4025+J4025+L4025</f>
        <v>80.608845</v>
      </c>
    </row>
    <row r="4026" customFormat="false" ht="15" hidden="false" customHeight="false" outlineLevel="0" collapsed="false">
      <c r="B4026" s="7" t="s">
        <v>12659</v>
      </c>
      <c r="C4026" s="39" t="n">
        <v>45909</v>
      </c>
      <c r="D4026" s="7" t="s">
        <v>203</v>
      </c>
      <c r="E4026" s="7" t="s">
        <v>158</v>
      </c>
      <c r="H4026" s="41" t="n">
        <v>49.43</v>
      </c>
      <c r="M4026" s="6" t="n">
        <v>1</v>
      </c>
      <c r="N4026" s="43" t="n">
        <f aca="false">M4026*H4026</f>
        <v>49.43</v>
      </c>
      <c r="O4026" s="42" t="n">
        <f aca="false">N4026</f>
        <v>49.43</v>
      </c>
    </row>
    <row r="4027" customFormat="false" ht="15" hidden="false" customHeight="false" outlineLevel="0" collapsed="false">
      <c r="B4027" s="7" t="s">
        <v>12660</v>
      </c>
      <c r="C4027" s="39" t="n">
        <v>45909</v>
      </c>
      <c r="D4027" s="7" t="s">
        <v>260</v>
      </c>
      <c r="E4027" s="7" t="s">
        <v>158</v>
      </c>
      <c r="H4027" s="41" t="n">
        <v>79.8</v>
      </c>
      <c r="M4027" s="6" t="n">
        <v>1</v>
      </c>
      <c r="N4027" s="43" t="n">
        <f aca="false">M4027*H4027</f>
        <v>79.8</v>
      </c>
      <c r="O4027" s="42" t="n">
        <f aca="false">N4027</f>
        <v>79.8</v>
      </c>
    </row>
    <row r="4028" customFormat="false" ht="15" hidden="false" customHeight="false" outlineLevel="0" collapsed="false">
      <c r="B4028" s="7" t="s">
        <v>12661</v>
      </c>
      <c r="C4028" s="39" t="n">
        <v>45910</v>
      </c>
      <c r="D4028" s="7" t="s">
        <v>254</v>
      </c>
      <c r="E4028" s="7" t="s">
        <v>180</v>
      </c>
      <c r="F4028" s="6" t="n">
        <v>8.837</v>
      </c>
      <c r="G4028" s="6" t="n">
        <v>2.063</v>
      </c>
      <c r="H4028" s="41" t="n">
        <v>17.1</v>
      </c>
      <c r="I4028" s="43" t="n">
        <f aca="false">F4028*H4028</f>
        <v>151.1127</v>
      </c>
      <c r="J4028" s="43" t="n">
        <f aca="false">G4028*H4028*1.5</f>
        <v>52.91595</v>
      </c>
      <c r="K4028" s="6" t="n">
        <v>38.18</v>
      </c>
      <c r="L4028" s="43" t="n">
        <f aca="false">K4028*'Chart of Accounts'!$E$68</f>
        <v>25.5806</v>
      </c>
      <c r="O4028" s="42" t="n">
        <f aca="false">I4028+J4028+L4028</f>
        <v>229.60925</v>
      </c>
    </row>
    <row r="4029" customFormat="false" ht="15" hidden="false" customHeight="false" outlineLevel="0" collapsed="false">
      <c r="B4029" s="7" t="s">
        <v>12662</v>
      </c>
      <c r="C4029" s="39" t="n">
        <v>45910</v>
      </c>
      <c r="D4029" s="7" t="s">
        <v>194</v>
      </c>
      <c r="E4029" s="7" t="s">
        <v>180</v>
      </c>
      <c r="F4029" s="6" t="n">
        <v>9.28</v>
      </c>
      <c r="G4029" s="6" t="n">
        <v>0</v>
      </c>
      <c r="H4029" s="41" t="n">
        <v>16</v>
      </c>
      <c r="I4029" s="43" t="n">
        <f aca="false">F4029*H4029</f>
        <v>148.48</v>
      </c>
      <c r="J4029" s="43" t="n">
        <f aca="false">G4029*H4029*1.5</f>
        <v>0</v>
      </c>
      <c r="K4029" s="6" t="n">
        <v>31.97</v>
      </c>
      <c r="L4029" s="43" t="n">
        <f aca="false">K4029*'Chart of Accounts'!$E$68</f>
        <v>21.4199</v>
      </c>
      <c r="O4029" s="42" t="n">
        <f aca="false">I4029+J4029+L4029</f>
        <v>169.8999</v>
      </c>
    </row>
    <row r="4030" customFormat="false" ht="15" hidden="false" customHeight="false" outlineLevel="0" collapsed="false">
      <c r="B4030" s="7" t="s">
        <v>12663</v>
      </c>
      <c r="C4030" s="39" t="n">
        <v>45910</v>
      </c>
      <c r="D4030" s="7" t="s">
        <v>205</v>
      </c>
      <c r="E4030" s="7" t="s">
        <v>180</v>
      </c>
      <c r="F4030" s="6" t="n">
        <v>4.28</v>
      </c>
      <c r="G4030" s="6" t="n">
        <v>0</v>
      </c>
      <c r="H4030" s="41" t="n">
        <v>16.36</v>
      </c>
      <c r="I4030" s="43" t="n">
        <f aca="false">F4030*H4030</f>
        <v>70.0208</v>
      </c>
      <c r="J4030" s="43" t="n">
        <f aca="false">G4030*H4030*1.5</f>
        <v>0</v>
      </c>
      <c r="K4030" s="6" t="n">
        <v>14.74</v>
      </c>
      <c r="L4030" s="43" t="n">
        <f aca="false">K4030*'Chart of Accounts'!$E$68</f>
        <v>9.8758</v>
      </c>
      <c r="O4030" s="42" t="n">
        <f aca="false">I4030+J4030+L4030</f>
        <v>79.8966</v>
      </c>
    </row>
    <row r="4031" customFormat="false" ht="15" hidden="false" customHeight="false" outlineLevel="0" collapsed="false">
      <c r="B4031" s="7" t="s">
        <v>12664</v>
      </c>
      <c r="C4031" s="39" t="n">
        <v>45910</v>
      </c>
      <c r="D4031" s="7" t="s">
        <v>264</v>
      </c>
      <c r="E4031" s="7" t="s">
        <v>158</v>
      </c>
      <c r="H4031" s="41" t="n">
        <v>55.55</v>
      </c>
      <c r="M4031" s="6" t="n">
        <v>1</v>
      </c>
      <c r="N4031" s="43" t="n">
        <f aca="false">M4031*H4031</f>
        <v>55.55</v>
      </c>
      <c r="O4031" s="42" t="n">
        <f aca="false">N4031</f>
        <v>55.55</v>
      </c>
    </row>
    <row r="4032" customFormat="false" ht="15" hidden="false" customHeight="false" outlineLevel="0" collapsed="false">
      <c r="B4032" s="7" t="s">
        <v>12665</v>
      </c>
      <c r="C4032" s="39" t="n">
        <v>45910</v>
      </c>
      <c r="D4032" s="7" t="s">
        <v>252</v>
      </c>
      <c r="E4032" s="7" t="s">
        <v>158</v>
      </c>
      <c r="H4032" s="41" t="n">
        <v>57.54</v>
      </c>
      <c r="M4032" s="6" t="n">
        <v>1</v>
      </c>
      <c r="N4032" s="43" t="n">
        <f aca="false">M4032*H4032</f>
        <v>57.54</v>
      </c>
      <c r="O4032" s="42" t="n">
        <f aca="false">N4032</f>
        <v>57.54</v>
      </c>
    </row>
    <row r="4033" customFormat="false" ht="15" hidden="false" customHeight="false" outlineLevel="0" collapsed="false">
      <c r="B4033" s="7" t="s">
        <v>12666</v>
      </c>
      <c r="C4033" s="39" t="n">
        <v>45910</v>
      </c>
      <c r="D4033" s="7" t="s">
        <v>184</v>
      </c>
      <c r="E4033" s="7" t="s">
        <v>180</v>
      </c>
      <c r="F4033" s="6" t="n">
        <v>8.17</v>
      </c>
      <c r="G4033" s="6" t="n">
        <v>0</v>
      </c>
      <c r="H4033" s="41" t="n">
        <v>17.34</v>
      </c>
      <c r="I4033" s="43" t="n">
        <f aca="false">F4033*H4033</f>
        <v>141.6678</v>
      </c>
      <c r="J4033" s="43" t="n">
        <f aca="false">G4033*H4033*1.5</f>
        <v>0</v>
      </c>
      <c r="K4033" s="6" t="n">
        <v>26.19</v>
      </c>
      <c r="L4033" s="43" t="n">
        <f aca="false">K4033*'Chart of Accounts'!$E$68</f>
        <v>17.5473</v>
      </c>
      <c r="O4033" s="42" t="n">
        <f aca="false">I4033+J4033+L4033</f>
        <v>159.2151</v>
      </c>
    </row>
    <row r="4034" customFormat="false" ht="15" hidden="false" customHeight="false" outlineLevel="0" collapsed="false">
      <c r="B4034" s="7" t="s">
        <v>12667</v>
      </c>
      <c r="C4034" s="39" t="n">
        <v>45910</v>
      </c>
      <c r="D4034" s="7" t="s">
        <v>216</v>
      </c>
      <c r="E4034" s="7" t="s">
        <v>158</v>
      </c>
      <c r="H4034" s="41" t="n">
        <v>61.79</v>
      </c>
      <c r="M4034" s="6" t="n">
        <v>1</v>
      </c>
      <c r="N4034" s="43" t="n">
        <f aca="false">M4034*H4034</f>
        <v>61.79</v>
      </c>
      <c r="O4034" s="42" t="n">
        <f aca="false">N4034</f>
        <v>61.79</v>
      </c>
    </row>
    <row r="4035" customFormat="false" ht="15" hidden="false" customHeight="false" outlineLevel="0" collapsed="false">
      <c r="B4035" s="7" t="s">
        <v>12668</v>
      </c>
      <c r="C4035" s="39" t="n">
        <v>45910</v>
      </c>
      <c r="D4035" s="7" t="s">
        <v>218</v>
      </c>
      <c r="E4035" s="7" t="s">
        <v>180</v>
      </c>
      <c r="F4035" s="6" t="n">
        <v>3.63</v>
      </c>
      <c r="G4035" s="6" t="n">
        <v>0</v>
      </c>
      <c r="H4035" s="41" t="n">
        <v>16.19</v>
      </c>
      <c r="I4035" s="43" t="n">
        <f aca="false">F4035*H4035</f>
        <v>58.7697</v>
      </c>
      <c r="J4035" s="43" t="n">
        <f aca="false">G4035*H4035*1.5</f>
        <v>0</v>
      </c>
      <c r="K4035" s="6" t="n">
        <v>8.33</v>
      </c>
      <c r="L4035" s="43" t="n">
        <f aca="false">K4035*'Chart of Accounts'!$E$68</f>
        <v>5.5811</v>
      </c>
      <c r="O4035" s="42" t="n">
        <f aca="false">I4035+J4035+L4035</f>
        <v>64.3508</v>
      </c>
    </row>
    <row r="4036" customFormat="false" ht="15" hidden="false" customHeight="false" outlineLevel="0" collapsed="false">
      <c r="B4036" s="7" t="s">
        <v>12669</v>
      </c>
      <c r="C4036" s="39" t="n">
        <v>45910</v>
      </c>
      <c r="D4036" s="7" t="s">
        <v>177</v>
      </c>
      <c r="E4036" s="7" t="s">
        <v>180</v>
      </c>
      <c r="F4036" s="6" t="n">
        <v>8.528</v>
      </c>
      <c r="G4036" s="6" t="n">
        <v>0.382</v>
      </c>
      <c r="H4036" s="41" t="n">
        <v>14.56</v>
      </c>
      <c r="I4036" s="43" t="n">
        <f aca="false">F4036*H4036</f>
        <v>124.16768</v>
      </c>
      <c r="J4036" s="43" t="n">
        <f aca="false">G4036*H4036*1.5</f>
        <v>8.34288</v>
      </c>
      <c r="K4036" s="6" t="n">
        <v>31.99</v>
      </c>
      <c r="L4036" s="43" t="n">
        <f aca="false">K4036*'Chart of Accounts'!$E$68</f>
        <v>21.4333</v>
      </c>
      <c r="O4036" s="42" t="n">
        <f aca="false">I4036+J4036+L4036</f>
        <v>153.94386</v>
      </c>
    </row>
    <row r="4037" customFormat="false" ht="15" hidden="false" customHeight="false" outlineLevel="0" collapsed="false">
      <c r="B4037" s="7" t="s">
        <v>12670</v>
      </c>
      <c r="C4037" s="39" t="n">
        <v>45910</v>
      </c>
      <c r="D4037" s="7" t="s">
        <v>242</v>
      </c>
      <c r="E4037" s="7" t="s">
        <v>180</v>
      </c>
      <c r="F4037" s="6" t="n">
        <v>7.185</v>
      </c>
      <c r="G4037" s="6" t="n">
        <v>0.205</v>
      </c>
      <c r="H4037" s="41" t="n">
        <v>17.99</v>
      </c>
      <c r="I4037" s="43" t="n">
        <f aca="false">F4037*H4037</f>
        <v>129.25815</v>
      </c>
      <c r="J4037" s="43" t="n">
        <f aca="false">G4037*H4037*1.5</f>
        <v>5.531925</v>
      </c>
      <c r="K4037" s="6" t="n">
        <v>18.38</v>
      </c>
      <c r="L4037" s="43" t="n">
        <f aca="false">K4037*'Chart of Accounts'!$E$68</f>
        <v>12.3146</v>
      </c>
      <c r="O4037" s="42" t="n">
        <f aca="false">I4037+J4037+L4037</f>
        <v>147.104675</v>
      </c>
    </row>
    <row r="4038" customFormat="false" ht="15" hidden="false" customHeight="false" outlineLevel="0" collapsed="false">
      <c r="B4038" s="7" t="s">
        <v>12671</v>
      </c>
      <c r="C4038" s="39" t="n">
        <v>45910</v>
      </c>
      <c r="D4038" s="7" t="s">
        <v>238</v>
      </c>
      <c r="E4038" s="7" t="s">
        <v>180</v>
      </c>
      <c r="F4038" s="6" t="n">
        <v>8.44</v>
      </c>
      <c r="G4038" s="6" t="n">
        <v>0</v>
      </c>
      <c r="H4038" s="41" t="n">
        <v>15.85</v>
      </c>
      <c r="I4038" s="43" t="n">
        <f aca="false">F4038*H4038</f>
        <v>133.774</v>
      </c>
      <c r="J4038" s="43" t="n">
        <f aca="false">G4038*H4038*1.5</f>
        <v>0</v>
      </c>
      <c r="K4038" s="6" t="n">
        <v>22.18</v>
      </c>
      <c r="L4038" s="43" t="n">
        <f aca="false">K4038*'Chart of Accounts'!$E$68</f>
        <v>14.8606</v>
      </c>
      <c r="O4038" s="42" t="n">
        <f aca="false">I4038+J4038+L4038</f>
        <v>148.6346</v>
      </c>
    </row>
    <row r="4039" customFormat="false" ht="15" hidden="false" customHeight="false" outlineLevel="0" collapsed="false">
      <c r="B4039" s="7" t="s">
        <v>12672</v>
      </c>
      <c r="C4039" s="39" t="n">
        <v>45910</v>
      </c>
      <c r="D4039" s="7" t="s">
        <v>244</v>
      </c>
      <c r="E4039" s="7" t="s">
        <v>180</v>
      </c>
      <c r="F4039" s="6" t="n">
        <v>4.25</v>
      </c>
      <c r="G4039" s="6" t="n">
        <v>0</v>
      </c>
      <c r="H4039" s="41" t="n">
        <v>16.39</v>
      </c>
      <c r="I4039" s="43" t="n">
        <f aca="false">F4039*H4039</f>
        <v>69.6575</v>
      </c>
      <c r="J4039" s="43" t="n">
        <f aca="false">G4039*H4039*1.5</f>
        <v>0</v>
      </c>
      <c r="K4039" s="6" t="n">
        <v>12.8</v>
      </c>
      <c r="L4039" s="43" t="n">
        <f aca="false">K4039*'Chart of Accounts'!$E$68</f>
        <v>8.576</v>
      </c>
      <c r="O4039" s="42" t="n">
        <f aca="false">I4039+J4039+L4039</f>
        <v>78.2335</v>
      </c>
    </row>
    <row r="4040" customFormat="false" ht="15" hidden="false" customHeight="false" outlineLevel="0" collapsed="false">
      <c r="B4040" s="7" t="s">
        <v>12673</v>
      </c>
      <c r="C4040" s="39" t="n">
        <v>45910</v>
      </c>
      <c r="D4040" s="7" t="s">
        <v>201</v>
      </c>
      <c r="E4040" s="7" t="s">
        <v>180</v>
      </c>
      <c r="F4040" s="6" t="n">
        <v>3.58</v>
      </c>
      <c r="G4040" s="6" t="n">
        <v>0</v>
      </c>
      <c r="H4040" s="41" t="n">
        <v>15.19</v>
      </c>
      <c r="I4040" s="43" t="n">
        <f aca="false">F4040*H4040</f>
        <v>54.3802</v>
      </c>
      <c r="J4040" s="43" t="n">
        <f aca="false">G4040*H4040*1.5</f>
        <v>0</v>
      </c>
      <c r="K4040" s="6" t="n">
        <v>11.8</v>
      </c>
      <c r="L4040" s="43" t="n">
        <f aca="false">K4040*'Chart of Accounts'!$E$68</f>
        <v>7.906</v>
      </c>
      <c r="O4040" s="42" t="n">
        <f aca="false">I4040+J4040+L4040</f>
        <v>62.2862</v>
      </c>
    </row>
    <row r="4041" customFormat="false" ht="15" hidden="false" customHeight="false" outlineLevel="0" collapsed="false">
      <c r="B4041" s="7" t="s">
        <v>12674</v>
      </c>
      <c r="C4041" s="39" t="n">
        <v>45910</v>
      </c>
      <c r="D4041" s="7" t="s">
        <v>196</v>
      </c>
      <c r="E4041" s="7" t="s">
        <v>180</v>
      </c>
      <c r="F4041" s="6" t="n">
        <v>5.971</v>
      </c>
      <c r="G4041" s="6" t="n">
        <v>1.119</v>
      </c>
      <c r="H4041" s="41" t="n">
        <v>15.05</v>
      </c>
      <c r="I4041" s="43" t="n">
        <f aca="false">F4041*H4041</f>
        <v>89.86355</v>
      </c>
      <c r="J4041" s="43" t="n">
        <f aca="false">G4041*H4041*1.5</f>
        <v>25.261425</v>
      </c>
      <c r="K4041" s="6" t="n">
        <v>22.52</v>
      </c>
      <c r="L4041" s="43" t="n">
        <f aca="false">K4041*'Chart of Accounts'!$E$68</f>
        <v>15.0884</v>
      </c>
      <c r="O4041" s="42" t="n">
        <f aca="false">I4041+J4041+L4041</f>
        <v>130.213375</v>
      </c>
    </row>
    <row r="4042" customFormat="false" ht="15" hidden="false" customHeight="false" outlineLevel="0" collapsed="false">
      <c r="B4042" s="7" t="s">
        <v>12675</v>
      </c>
      <c r="C4042" s="39" t="n">
        <v>45910</v>
      </c>
      <c r="D4042" s="7" t="s">
        <v>246</v>
      </c>
      <c r="E4042" s="7" t="s">
        <v>180</v>
      </c>
      <c r="F4042" s="6" t="n">
        <v>8.5</v>
      </c>
      <c r="G4042" s="6" t="n">
        <v>0</v>
      </c>
      <c r="H4042" s="41" t="n">
        <v>16.48</v>
      </c>
      <c r="I4042" s="43" t="n">
        <f aca="false">F4042*H4042</f>
        <v>140.08</v>
      </c>
      <c r="J4042" s="43" t="n">
        <f aca="false">G4042*H4042*1.5</f>
        <v>0</v>
      </c>
      <c r="K4042" s="6" t="n">
        <v>22.5</v>
      </c>
      <c r="L4042" s="43" t="n">
        <f aca="false">K4042*'Chart of Accounts'!$E$68</f>
        <v>15.075</v>
      </c>
      <c r="O4042" s="42" t="n">
        <f aca="false">I4042+J4042+L4042</f>
        <v>155.155</v>
      </c>
    </row>
    <row r="4043" customFormat="false" ht="15" hidden="false" customHeight="false" outlineLevel="0" collapsed="false">
      <c r="B4043" s="7" t="s">
        <v>12676</v>
      </c>
      <c r="C4043" s="39" t="n">
        <v>45910</v>
      </c>
      <c r="D4043" s="7" t="s">
        <v>232</v>
      </c>
      <c r="E4043" s="7" t="s">
        <v>180</v>
      </c>
      <c r="F4043" s="6" t="n">
        <v>4.7</v>
      </c>
      <c r="G4043" s="6" t="n">
        <v>0</v>
      </c>
      <c r="H4043" s="41" t="n">
        <v>16.17</v>
      </c>
      <c r="I4043" s="43" t="n">
        <f aca="false">F4043*H4043</f>
        <v>75.999</v>
      </c>
      <c r="J4043" s="43" t="n">
        <f aca="false">G4043*H4043*1.5</f>
        <v>0</v>
      </c>
      <c r="K4043" s="6" t="n">
        <v>11.55</v>
      </c>
      <c r="L4043" s="43" t="n">
        <f aca="false">K4043*'Chart of Accounts'!$E$68</f>
        <v>7.7385</v>
      </c>
      <c r="O4043" s="42" t="n">
        <f aca="false">I4043+J4043+L4043</f>
        <v>83.7375</v>
      </c>
    </row>
    <row r="4044" customFormat="false" ht="15" hidden="false" customHeight="false" outlineLevel="0" collapsed="false">
      <c r="B4044" s="7" t="s">
        <v>12677</v>
      </c>
      <c r="C4044" s="39" t="n">
        <v>45910</v>
      </c>
      <c r="D4044" s="7" t="s">
        <v>224</v>
      </c>
      <c r="E4044" s="7" t="s">
        <v>180</v>
      </c>
      <c r="F4044" s="6" t="n">
        <v>4.92</v>
      </c>
      <c r="G4044" s="6" t="n">
        <v>0</v>
      </c>
      <c r="H4044" s="41" t="n">
        <v>14.93</v>
      </c>
      <c r="I4044" s="43" t="n">
        <f aca="false">F4044*H4044</f>
        <v>73.4556</v>
      </c>
      <c r="J4044" s="43" t="n">
        <f aca="false">G4044*H4044*1.5</f>
        <v>0</v>
      </c>
      <c r="K4044" s="6" t="n">
        <v>12.98</v>
      </c>
      <c r="L4044" s="43" t="n">
        <f aca="false">K4044*'Chart of Accounts'!$E$68</f>
        <v>8.6966</v>
      </c>
      <c r="O4044" s="42" t="n">
        <f aca="false">I4044+J4044+L4044</f>
        <v>82.1522</v>
      </c>
    </row>
    <row r="4045" customFormat="false" ht="15" hidden="false" customHeight="false" outlineLevel="0" collapsed="false">
      <c r="B4045" s="7" t="s">
        <v>12678</v>
      </c>
      <c r="C4045" s="39" t="n">
        <v>45910</v>
      </c>
      <c r="D4045" s="7" t="s">
        <v>222</v>
      </c>
      <c r="E4045" s="7" t="s">
        <v>180</v>
      </c>
      <c r="F4045" s="6" t="n">
        <v>4.098</v>
      </c>
      <c r="G4045" s="6" t="n">
        <v>0.132</v>
      </c>
      <c r="H4045" s="41" t="n">
        <v>17.84</v>
      </c>
      <c r="I4045" s="43" t="n">
        <f aca="false">F4045*H4045</f>
        <v>73.10832</v>
      </c>
      <c r="J4045" s="43" t="n">
        <f aca="false">G4045*H4045*1.5</f>
        <v>3.53232</v>
      </c>
      <c r="K4045" s="6" t="n">
        <v>10</v>
      </c>
      <c r="L4045" s="43" t="n">
        <f aca="false">K4045*'Chart of Accounts'!$E$68</f>
        <v>6.7</v>
      </c>
      <c r="O4045" s="42" t="n">
        <f aca="false">I4045+J4045+L4045</f>
        <v>83.34064</v>
      </c>
    </row>
    <row r="4046" customFormat="false" ht="15" hidden="false" customHeight="false" outlineLevel="0" collapsed="false">
      <c r="B4046" s="7" t="s">
        <v>12679</v>
      </c>
      <c r="C4046" s="39" t="n">
        <v>45910</v>
      </c>
      <c r="D4046" s="7" t="s">
        <v>203</v>
      </c>
      <c r="E4046" s="7" t="s">
        <v>158</v>
      </c>
      <c r="H4046" s="41" t="n">
        <v>49.43</v>
      </c>
      <c r="M4046" s="6" t="n">
        <v>1</v>
      </c>
      <c r="N4046" s="43" t="n">
        <f aca="false">M4046*H4046</f>
        <v>49.43</v>
      </c>
      <c r="O4046" s="42" t="n">
        <f aca="false">N4046</f>
        <v>49.43</v>
      </c>
    </row>
    <row r="4047" customFormat="false" ht="15" hidden="false" customHeight="false" outlineLevel="0" collapsed="false">
      <c r="B4047" s="7" t="s">
        <v>12680</v>
      </c>
      <c r="C4047" s="39" t="n">
        <v>45910</v>
      </c>
      <c r="D4047" s="7" t="s">
        <v>240</v>
      </c>
      <c r="E4047" s="7" t="s">
        <v>180</v>
      </c>
      <c r="F4047" s="6" t="n">
        <v>3.57</v>
      </c>
      <c r="G4047" s="6" t="n">
        <v>0</v>
      </c>
      <c r="H4047" s="41" t="n">
        <v>16.96</v>
      </c>
      <c r="I4047" s="43" t="n">
        <f aca="false">F4047*H4047</f>
        <v>60.5472</v>
      </c>
      <c r="J4047" s="43" t="n">
        <f aca="false">G4047*H4047*1.5</f>
        <v>0</v>
      </c>
      <c r="K4047" s="6" t="n">
        <v>9.9</v>
      </c>
      <c r="L4047" s="43" t="n">
        <f aca="false">K4047*'Chart of Accounts'!$E$68</f>
        <v>6.633</v>
      </c>
      <c r="O4047" s="42" t="n">
        <f aca="false">I4047+J4047+L4047</f>
        <v>67.1802</v>
      </c>
    </row>
    <row r="4048" customFormat="false" ht="15" hidden="false" customHeight="false" outlineLevel="0" collapsed="false">
      <c r="B4048" s="7" t="s">
        <v>12681</v>
      </c>
      <c r="C4048" s="39" t="n">
        <v>45910</v>
      </c>
      <c r="D4048" s="7" t="s">
        <v>214</v>
      </c>
      <c r="E4048" s="7" t="s">
        <v>180</v>
      </c>
      <c r="F4048" s="6" t="n">
        <v>3.62</v>
      </c>
      <c r="G4048" s="6" t="n">
        <v>0</v>
      </c>
      <c r="H4048" s="41" t="n">
        <v>15.67</v>
      </c>
      <c r="I4048" s="43" t="n">
        <f aca="false">F4048*H4048</f>
        <v>56.7254</v>
      </c>
      <c r="J4048" s="43" t="n">
        <f aca="false">G4048*H4048*1.5</f>
        <v>0</v>
      </c>
      <c r="K4048" s="6" t="n">
        <v>9.04</v>
      </c>
      <c r="L4048" s="43" t="n">
        <f aca="false">K4048*'Chart of Accounts'!$E$68</f>
        <v>6.0568</v>
      </c>
      <c r="O4048" s="42" t="n">
        <f aca="false">I4048+J4048+L4048</f>
        <v>62.7822</v>
      </c>
    </row>
    <row r="4049" customFormat="false" ht="15" hidden="false" customHeight="false" outlineLevel="0" collapsed="false">
      <c r="B4049" s="7" t="s">
        <v>12682</v>
      </c>
      <c r="C4049" s="39" t="n">
        <v>45911</v>
      </c>
      <c r="D4049" s="7" t="s">
        <v>222</v>
      </c>
      <c r="E4049" s="7" t="s">
        <v>180</v>
      </c>
      <c r="F4049" s="6" t="n">
        <v>10.957</v>
      </c>
      <c r="G4049" s="6" t="n">
        <v>0.353</v>
      </c>
      <c r="H4049" s="41" t="n">
        <v>17.84</v>
      </c>
      <c r="I4049" s="43" t="n">
        <f aca="false">F4049*H4049</f>
        <v>195.47288</v>
      </c>
      <c r="J4049" s="43" t="n">
        <f aca="false">G4049*H4049*1.5</f>
        <v>9.44628</v>
      </c>
      <c r="K4049" s="6" t="n">
        <v>28.49</v>
      </c>
      <c r="L4049" s="43" t="n">
        <f aca="false">K4049*'Chart of Accounts'!$E$68</f>
        <v>19.0883</v>
      </c>
      <c r="O4049" s="42" t="n">
        <f aca="false">I4049+J4049+L4049</f>
        <v>224.00746</v>
      </c>
    </row>
    <row r="4050" customFormat="false" ht="15" hidden="false" customHeight="false" outlineLevel="0" collapsed="false">
      <c r="B4050" s="7" t="s">
        <v>12683</v>
      </c>
      <c r="C4050" s="39" t="n">
        <v>45911</v>
      </c>
      <c r="D4050" s="7" t="s">
        <v>201</v>
      </c>
      <c r="E4050" s="7" t="s">
        <v>180</v>
      </c>
      <c r="F4050" s="6" t="n">
        <v>5.9</v>
      </c>
      <c r="G4050" s="6" t="n">
        <v>0</v>
      </c>
      <c r="H4050" s="41" t="n">
        <v>15.19</v>
      </c>
      <c r="I4050" s="43" t="n">
        <f aca="false">F4050*H4050</f>
        <v>89.621</v>
      </c>
      <c r="J4050" s="43" t="n">
        <f aca="false">G4050*H4050*1.5</f>
        <v>0</v>
      </c>
      <c r="K4050" s="6" t="n">
        <v>14.32</v>
      </c>
      <c r="L4050" s="43" t="n">
        <f aca="false">K4050*'Chart of Accounts'!$E$68</f>
        <v>9.5944</v>
      </c>
      <c r="O4050" s="42" t="n">
        <f aca="false">I4050+J4050+L4050</f>
        <v>99.2154</v>
      </c>
    </row>
    <row r="4051" customFormat="false" ht="15" hidden="false" customHeight="false" outlineLevel="0" collapsed="false">
      <c r="B4051" s="7" t="s">
        <v>12684</v>
      </c>
      <c r="C4051" s="39" t="n">
        <v>45911</v>
      </c>
      <c r="D4051" s="7" t="s">
        <v>196</v>
      </c>
      <c r="E4051" s="7" t="s">
        <v>180</v>
      </c>
      <c r="F4051" s="6" t="n">
        <v>12.236</v>
      </c>
      <c r="G4051" s="6" t="n">
        <v>2.294</v>
      </c>
      <c r="H4051" s="41" t="n">
        <v>15.05</v>
      </c>
      <c r="I4051" s="43" t="n">
        <f aca="false">F4051*H4051</f>
        <v>184.1518</v>
      </c>
      <c r="J4051" s="43" t="n">
        <f aca="false">G4051*H4051*1.5</f>
        <v>51.78705</v>
      </c>
      <c r="K4051" s="6" t="n">
        <v>37.63</v>
      </c>
      <c r="L4051" s="43" t="n">
        <f aca="false">K4051*'Chart of Accounts'!$E$68</f>
        <v>25.2121</v>
      </c>
      <c r="O4051" s="42" t="n">
        <f aca="false">I4051+J4051+L4051</f>
        <v>261.15095</v>
      </c>
    </row>
    <row r="4052" customFormat="false" ht="15" hidden="false" customHeight="false" outlineLevel="0" collapsed="false">
      <c r="B4052" s="7" t="s">
        <v>12685</v>
      </c>
      <c r="C4052" s="39" t="n">
        <v>45911</v>
      </c>
      <c r="D4052" s="7" t="s">
        <v>184</v>
      </c>
      <c r="E4052" s="7" t="s">
        <v>180</v>
      </c>
      <c r="F4052" s="6" t="n">
        <v>3.64</v>
      </c>
      <c r="G4052" s="6" t="n">
        <v>0</v>
      </c>
      <c r="H4052" s="41" t="n">
        <v>17.34</v>
      </c>
      <c r="I4052" s="43" t="n">
        <f aca="false">F4052*H4052</f>
        <v>63.1176</v>
      </c>
      <c r="J4052" s="43" t="n">
        <f aca="false">G4052*H4052*1.5</f>
        <v>0</v>
      </c>
      <c r="K4052" s="6" t="n">
        <v>11.74</v>
      </c>
      <c r="L4052" s="43" t="n">
        <f aca="false">K4052*'Chart of Accounts'!$E$68</f>
        <v>7.8658</v>
      </c>
      <c r="O4052" s="42" t="n">
        <f aca="false">I4052+J4052+L4052</f>
        <v>70.9834</v>
      </c>
    </row>
    <row r="4053" customFormat="false" ht="15" hidden="false" customHeight="false" outlineLevel="0" collapsed="false">
      <c r="B4053" s="7" t="s">
        <v>12686</v>
      </c>
      <c r="C4053" s="39" t="n">
        <v>45911</v>
      </c>
      <c r="D4053" s="7" t="s">
        <v>238</v>
      </c>
      <c r="E4053" s="7" t="s">
        <v>180</v>
      </c>
      <c r="F4053" s="6" t="n">
        <v>2.91</v>
      </c>
      <c r="G4053" s="6" t="n">
        <v>0</v>
      </c>
      <c r="H4053" s="41" t="n">
        <v>15.85</v>
      </c>
      <c r="I4053" s="43" t="n">
        <f aca="false">F4053*H4053</f>
        <v>46.1235</v>
      </c>
      <c r="J4053" s="43" t="n">
        <f aca="false">G4053*H4053*1.5</f>
        <v>0</v>
      </c>
      <c r="K4053" s="6" t="n">
        <v>8.87</v>
      </c>
      <c r="L4053" s="43" t="n">
        <f aca="false">K4053*'Chart of Accounts'!$E$68</f>
        <v>5.9429</v>
      </c>
      <c r="O4053" s="42" t="n">
        <f aca="false">I4053+J4053+L4053</f>
        <v>52.0664</v>
      </c>
    </row>
    <row r="4054" customFormat="false" ht="15" hidden="false" customHeight="false" outlineLevel="0" collapsed="false">
      <c r="B4054" s="7" t="s">
        <v>12687</v>
      </c>
      <c r="C4054" s="39" t="n">
        <v>45911</v>
      </c>
      <c r="D4054" s="7" t="s">
        <v>218</v>
      </c>
      <c r="E4054" s="7" t="s">
        <v>180</v>
      </c>
      <c r="F4054" s="6" t="n">
        <v>4.05</v>
      </c>
      <c r="G4054" s="6" t="n">
        <v>0</v>
      </c>
      <c r="H4054" s="41" t="n">
        <v>16.19</v>
      </c>
      <c r="I4054" s="43" t="n">
        <f aca="false">F4054*H4054</f>
        <v>65.5695</v>
      </c>
      <c r="J4054" s="43" t="n">
        <f aca="false">G4054*H4054*1.5</f>
        <v>0</v>
      </c>
      <c r="K4054" s="6" t="n">
        <v>12.98</v>
      </c>
      <c r="L4054" s="43" t="n">
        <f aca="false">K4054*'Chart of Accounts'!$E$68</f>
        <v>8.6966</v>
      </c>
      <c r="O4054" s="42" t="n">
        <f aca="false">I4054+J4054+L4054</f>
        <v>74.2661</v>
      </c>
    </row>
    <row r="4055" customFormat="false" ht="15" hidden="false" customHeight="false" outlineLevel="0" collapsed="false">
      <c r="B4055" s="7" t="s">
        <v>12688</v>
      </c>
      <c r="C4055" s="39" t="n">
        <v>45911</v>
      </c>
      <c r="D4055" s="7" t="s">
        <v>224</v>
      </c>
      <c r="E4055" s="7" t="s">
        <v>180</v>
      </c>
      <c r="F4055" s="6" t="n">
        <v>6.85</v>
      </c>
      <c r="G4055" s="6" t="n">
        <v>0</v>
      </c>
      <c r="H4055" s="41" t="n">
        <v>14.93</v>
      </c>
      <c r="I4055" s="43" t="n">
        <f aca="false">F4055*H4055</f>
        <v>102.2705</v>
      </c>
      <c r="J4055" s="43" t="n">
        <f aca="false">G4055*H4055*1.5</f>
        <v>0</v>
      </c>
      <c r="K4055" s="6" t="n">
        <v>21.66</v>
      </c>
      <c r="L4055" s="43" t="n">
        <f aca="false">K4055*'Chart of Accounts'!$E$68</f>
        <v>14.5122</v>
      </c>
      <c r="O4055" s="42" t="n">
        <f aca="false">I4055+J4055+L4055</f>
        <v>116.7827</v>
      </c>
    </row>
    <row r="4056" customFormat="false" ht="15" hidden="false" customHeight="false" outlineLevel="0" collapsed="false">
      <c r="B4056" s="7" t="s">
        <v>12689</v>
      </c>
      <c r="C4056" s="39" t="n">
        <v>45911</v>
      </c>
      <c r="D4056" s="7" t="s">
        <v>220</v>
      </c>
      <c r="E4056" s="7" t="s">
        <v>180</v>
      </c>
      <c r="F4056" s="6" t="n">
        <v>3.99</v>
      </c>
      <c r="G4056" s="6" t="n">
        <v>0</v>
      </c>
      <c r="H4056" s="41" t="n">
        <v>16.43</v>
      </c>
      <c r="I4056" s="43" t="n">
        <f aca="false">F4056*H4056</f>
        <v>65.5557</v>
      </c>
      <c r="J4056" s="43" t="n">
        <f aca="false">G4056*H4056*1.5</f>
        <v>0</v>
      </c>
      <c r="K4056" s="6" t="n">
        <v>12.6</v>
      </c>
      <c r="L4056" s="43" t="n">
        <f aca="false">K4056*'Chart of Accounts'!$E$68</f>
        <v>8.442</v>
      </c>
      <c r="O4056" s="42" t="n">
        <f aca="false">I4056+J4056+L4056</f>
        <v>73.9977</v>
      </c>
    </row>
    <row r="4057" customFormat="false" ht="15" hidden="false" customHeight="false" outlineLevel="0" collapsed="false">
      <c r="B4057" s="7" t="s">
        <v>12690</v>
      </c>
      <c r="C4057" s="39" t="n">
        <v>45911</v>
      </c>
      <c r="D4057" s="7" t="s">
        <v>244</v>
      </c>
      <c r="E4057" s="7" t="s">
        <v>180</v>
      </c>
      <c r="F4057" s="6" t="n">
        <v>4.15</v>
      </c>
      <c r="G4057" s="6" t="n">
        <v>0</v>
      </c>
      <c r="H4057" s="41" t="n">
        <v>16.39</v>
      </c>
      <c r="I4057" s="43" t="n">
        <f aca="false">F4057*H4057</f>
        <v>68.0185</v>
      </c>
      <c r="J4057" s="43" t="n">
        <f aca="false">G4057*H4057*1.5</f>
        <v>0</v>
      </c>
      <c r="K4057" s="6" t="n">
        <v>9.4</v>
      </c>
      <c r="L4057" s="43" t="n">
        <f aca="false">K4057*'Chart of Accounts'!$E$68</f>
        <v>6.298</v>
      </c>
      <c r="O4057" s="42" t="n">
        <f aca="false">I4057+J4057+L4057</f>
        <v>74.3165</v>
      </c>
    </row>
    <row r="4058" customFormat="false" ht="15" hidden="false" customHeight="false" outlineLevel="0" collapsed="false">
      <c r="B4058" s="7" t="s">
        <v>12691</v>
      </c>
      <c r="C4058" s="39" t="n">
        <v>45911</v>
      </c>
      <c r="D4058" s="7" t="s">
        <v>177</v>
      </c>
      <c r="E4058" s="7" t="s">
        <v>180</v>
      </c>
      <c r="F4058" s="6" t="n">
        <v>3.972</v>
      </c>
      <c r="G4058" s="6" t="n">
        <v>0.178</v>
      </c>
      <c r="H4058" s="41" t="n">
        <v>14.56</v>
      </c>
      <c r="I4058" s="43" t="n">
        <f aca="false">F4058*H4058</f>
        <v>57.83232</v>
      </c>
      <c r="J4058" s="43" t="n">
        <f aca="false">G4058*H4058*1.5</f>
        <v>3.88752</v>
      </c>
      <c r="K4058" s="6" t="n">
        <v>9.66</v>
      </c>
      <c r="L4058" s="43" t="n">
        <f aca="false">K4058*'Chart of Accounts'!$E$68</f>
        <v>6.4722</v>
      </c>
      <c r="O4058" s="42" t="n">
        <f aca="false">I4058+J4058+L4058</f>
        <v>68.19204</v>
      </c>
    </row>
    <row r="4059" customFormat="false" ht="15" hidden="false" customHeight="false" outlineLevel="0" collapsed="false">
      <c r="B4059" s="7" t="s">
        <v>12692</v>
      </c>
      <c r="C4059" s="39" t="n">
        <v>45911</v>
      </c>
      <c r="D4059" s="7" t="s">
        <v>246</v>
      </c>
      <c r="E4059" s="7" t="s">
        <v>180</v>
      </c>
      <c r="F4059" s="6" t="n">
        <v>4.1</v>
      </c>
      <c r="G4059" s="6" t="n">
        <v>0</v>
      </c>
      <c r="H4059" s="41" t="n">
        <v>16.48</v>
      </c>
      <c r="I4059" s="43" t="n">
        <f aca="false">F4059*H4059</f>
        <v>67.568</v>
      </c>
      <c r="J4059" s="43" t="n">
        <f aca="false">G4059*H4059*1.5</f>
        <v>0</v>
      </c>
      <c r="K4059" s="6" t="n">
        <v>9.09</v>
      </c>
      <c r="L4059" s="43" t="n">
        <f aca="false">K4059*'Chart of Accounts'!$E$68</f>
        <v>6.0903</v>
      </c>
      <c r="O4059" s="42" t="n">
        <f aca="false">I4059+J4059+L4059</f>
        <v>73.6583</v>
      </c>
    </row>
    <row r="4060" customFormat="false" ht="15" hidden="false" customHeight="false" outlineLevel="0" collapsed="false">
      <c r="B4060" s="7" t="s">
        <v>12693</v>
      </c>
      <c r="C4060" s="39" t="n">
        <v>45911</v>
      </c>
      <c r="D4060" s="7" t="s">
        <v>194</v>
      </c>
      <c r="E4060" s="7" t="s">
        <v>180</v>
      </c>
      <c r="F4060" s="6" t="n">
        <v>4.34</v>
      </c>
      <c r="G4060" s="6" t="n">
        <v>0</v>
      </c>
      <c r="H4060" s="41" t="n">
        <v>16</v>
      </c>
      <c r="I4060" s="43" t="n">
        <f aca="false">F4060*H4060</f>
        <v>69.44</v>
      </c>
      <c r="J4060" s="43" t="n">
        <f aca="false">G4060*H4060*1.5</f>
        <v>0</v>
      </c>
      <c r="K4060" s="6" t="n">
        <v>12.93</v>
      </c>
      <c r="L4060" s="43" t="n">
        <f aca="false">K4060*'Chart of Accounts'!$E$68</f>
        <v>8.6631</v>
      </c>
      <c r="O4060" s="42" t="n">
        <f aca="false">I4060+J4060+L4060</f>
        <v>78.1031</v>
      </c>
    </row>
    <row r="4061" customFormat="false" ht="15" hidden="false" customHeight="false" outlineLevel="0" collapsed="false">
      <c r="B4061" s="7" t="s">
        <v>12694</v>
      </c>
      <c r="C4061" s="39" t="n">
        <v>45911</v>
      </c>
      <c r="D4061" s="7" t="s">
        <v>214</v>
      </c>
      <c r="E4061" s="7" t="s">
        <v>180</v>
      </c>
      <c r="F4061" s="6" t="n">
        <v>4.13</v>
      </c>
      <c r="G4061" s="6" t="n">
        <v>0</v>
      </c>
      <c r="H4061" s="41" t="n">
        <v>15.67</v>
      </c>
      <c r="I4061" s="43" t="n">
        <f aca="false">F4061*H4061</f>
        <v>64.7171</v>
      </c>
      <c r="J4061" s="43" t="n">
        <f aca="false">G4061*H4061*1.5</f>
        <v>0</v>
      </c>
      <c r="K4061" s="6" t="n">
        <v>14.56</v>
      </c>
      <c r="L4061" s="43" t="n">
        <f aca="false">K4061*'Chart of Accounts'!$E$68</f>
        <v>9.7552</v>
      </c>
      <c r="O4061" s="42" t="n">
        <f aca="false">I4061+J4061+L4061</f>
        <v>74.4723</v>
      </c>
    </row>
    <row r="4062" customFormat="false" ht="15" hidden="false" customHeight="false" outlineLevel="0" collapsed="false">
      <c r="B4062" s="7" t="s">
        <v>12695</v>
      </c>
      <c r="C4062" s="39" t="n">
        <v>45911</v>
      </c>
      <c r="D4062" s="7" t="s">
        <v>242</v>
      </c>
      <c r="E4062" s="7" t="s">
        <v>180</v>
      </c>
      <c r="F4062" s="6" t="n">
        <v>3.753</v>
      </c>
      <c r="G4062" s="6" t="n">
        <v>0.107</v>
      </c>
      <c r="H4062" s="41" t="n">
        <v>17.99</v>
      </c>
      <c r="I4062" s="43" t="n">
        <f aca="false">F4062*H4062</f>
        <v>67.51647</v>
      </c>
      <c r="J4062" s="43" t="n">
        <f aca="false">G4062*H4062*1.5</f>
        <v>2.887395</v>
      </c>
      <c r="K4062" s="6" t="n">
        <v>9.17</v>
      </c>
      <c r="L4062" s="43" t="n">
        <f aca="false">K4062*'Chart of Accounts'!$E$68</f>
        <v>6.1439</v>
      </c>
      <c r="O4062" s="42" t="n">
        <f aca="false">I4062+J4062+L4062</f>
        <v>76.547765</v>
      </c>
    </row>
    <row r="4063" customFormat="false" ht="15" hidden="false" customHeight="false" outlineLevel="0" collapsed="false">
      <c r="B4063" s="7" t="s">
        <v>12696</v>
      </c>
      <c r="C4063" s="39" t="n">
        <v>45911</v>
      </c>
      <c r="D4063" s="7" t="s">
        <v>254</v>
      </c>
      <c r="E4063" s="7" t="s">
        <v>180</v>
      </c>
      <c r="F4063" s="6" t="n">
        <v>3.518</v>
      </c>
      <c r="G4063" s="6" t="n">
        <v>0.822</v>
      </c>
      <c r="H4063" s="41" t="n">
        <v>17.1</v>
      </c>
      <c r="I4063" s="43" t="n">
        <f aca="false">F4063*H4063</f>
        <v>60.1578</v>
      </c>
      <c r="J4063" s="43" t="n">
        <f aca="false">G4063*H4063*1.5</f>
        <v>21.0843</v>
      </c>
      <c r="K4063" s="6" t="n">
        <v>13.87</v>
      </c>
      <c r="L4063" s="43" t="n">
        <f aca="false">K4063*'Chart of Accounts'!$E$68</f>
        <v>9.2929</v>
      </c>
      <c r="O4063" s="42" t="n">
        <f aca="false">I4063+J4063+L4063</f>
        <v>90.535</v>
      </c>
    </row>
    <row r="4064" customFormat="false" ht="15" hidden="false" customHeight="false" outlineLevel="0" collapsed="false">
      <c r="B4064" s="7" t="s">
        <v>12697</v>
      </c>
      <c r="C4064" s="39" t="n">
        <v>45912</v>
      </c>
      <c r="D4064" s="7" t="s">
        <v>220</v>
      </c>
      <c r="E4064" s="7" t="s">
        <v>180</v>
      </c>
      <c r="F4064" s="6" t="n">
        <v>12.51</v>
      </c>
      <c r="G4064" s="6" t="n">
        <v>0</v>
      </c>
      <c r="H4064" s="41" t="n">
        <v>16.43</v>
      </c>
      <c r="I4064" s="43" t="n">
        <f aca="false">F4064*H4064</f>
        <v>205.5393</v>
      </c>
      <c r="J4064" s="43" t="n">
        <f aca="false">G4064*H4064*1.5</f>
        <v>0</v>
      </c>
      <c r="K4064" s="6" t="n">
        <v>32.49</v>
      </c>
      <c r="L4064" s="43" t="n">
        <f aca="false">K4064*'Chart of Accounts'!$E$68</f>
        <v>21.7683</v>
      </c>
      <c r="O4064" s="42" t="n">
        <f aca="false">I4064+J4064+L4064</f>
        <v>227.3076</v>
      </c>
    </row>
    <row r="4065" customFormat="false" ht="15" hidden="false" customHeight="false" outlineLevel="0" collapsed="false">
      <c r="B4065" s="7" t="s">
        <v>12698</v>
      </c>
      <c r="C4065" s="39" t="n">
        <v>45912</v>
      </c>
      <c r="D4065" s="7" t="s">
        <v>194</v>
      </c>
      <c r="E4065" s="7" t="s">
        <v>180</v>
      </c>
      <c r="F4065" s="6" t="n">
        <v>8.84</v>
      </c>
      <c r="G4065" s="6" t="n">
        <v>0</v>
      </c>
      <c r="H4065" s="41" t="n">
        <v>16</v>
      </c>
      <c r="I4065" s="43" t="n">
        <f aca="false">F4065*H4065</f>
        <v>141.44</v>
      </c>
      <c r="J4065" s="43" t="n">
        <f aca="false">G4065*H4065*1.5</f>
        <v>0</v>
      </c>
      <c r="K4065" s="6" t="n">
        <v>27.57</v>
      </c>
      <c r="L4065" s="43" t="n">
        <f aca="false">K4065*'Chart of Accounts'!$E$68</f>
        <v>18.4719</v>
      </c>
      <c r="O4065" s="42" t="n">
        <f aca="false">I4065+J4065+L4065</f>
        <v>159.9119</v>
      </c>
    </row>
    <row r="4066" customFormat="false" ht="15" hidden="false" customHeight="false" outlineLevel="0" collapsed="false">
      <c r="B4066" s="7" t="s">
        <v>12699</v>
      </c>
      <c r="C4066" s="39" t="n">
        <v>45912</v>
      </c>
      <c r="D4066" s="7" t="s">
        <v>198</v>
      </c>
      <c r="E4066" s="7" t="s">
        <v>158</v>
      </c>
      <c r="H4066" s="41" t="n">
        <v>48.09</v>
      </c>
      <c r="M4066" s="6" t="n">
        <v>1</v>
      </c>
      <c r="N4066" s="43" t="n">
        <f aca="false">M4066*H4066</f>
        <v>48.09</v>
      </c>
      <c r="O4066" s="42" t="n">
        <f aca="false">N4066</f>
        <v>48.09</v>
      </c>
    </row>
    <row r="4067" customFormat="false" ht="15" hidden="false" customHeight="false" outlineLevel="0" collapsed="false">
      <c r="B4067" s="7" t="s">
        <v>12700</v>
      </c>
      <c r="C4067" s="39" t="n">
        <v>45912</v>
      </c>
      <c r="D4067" s="7" t="s">
        <v>214</v>
      </c>
      <c r="E4067" s="7" t="s">
        <v>180</v>
      </c>
      <c r="F4067" s="6" t="n">
        <v>3.95</v>
      </c>
      <c r="G4067" s="6" t="n">
        <v>0</v>
      </c>
      <c r="H4067" s="41" t="n">
        <v>15.67</v>
      </c>
      <c r="I4067" s="43" t="n">
        <f aca="false">F4067*H4067</f>
        <v>61.8965</v>
      </c>
      <c r="J4067" s="43" t="n">
        <f aca="false">G4067*H4067*1.5</f>
        <v>0</v>
      </c>
      <c r="K4067" s="6" t="n">
        <v>11.17</v>
      </c>
      <c r="L4067" s="43" t="n">
        <f aca="false">K4067*'Chart of Accounts'!$E$68</f>
        <v>7.4839</v>
      </c>
      <c r="O4067" s="42" t="n">
        <f aca="false">I4067+J4067+L4067</f>
        <v>69.3804</v>
      </c>
    </row>
    <row r="4068" customFormat="false" ht="15" hidden="false" customHeight="false" outlineLevel="0" collapsed="false">
      <c r="B4068" s="7" t="s">
        <v>12701</v>
      </c>
      <c r="C4068" s="39" t="n">
        <v>45912</v>
      </c>
      <c r="D4068" s="7" t="s">
        <v>209</v>
      </c>
      <c r="E4068" s="7" t="s">
        <v>158</v>
      </c>
      <c r="H4068" s="41" t="n">
        <v>73.58</v>
      </c>
      <c r="M4068" s="6" t="n">
        <v>2</v>
      </c>
      <c r="N4068" s="43" t="n">
        <f aca="false">M4068*H4068</f>
        <v>147.16</v>
      </c>
      <c r="O4068" s="42" t="n">
        <f aca="false">N4068</f>
        <v>147.16</v>
      </c>
    </row>
    <row r="4069" customFormat="false" ht="15" hidden="false" customHeight="false" outlineLevel="0" collapsed="false">
      <c r="B4069" s="7" t="s">
        <v>12702</v>
      </c>
      <c r="C4069" s="39" t="n">
        <v>45912</v>
      </c>
      <c r="D4069" s="7" t="s">
        <v>205</v>
      </c>
      <c r="E4069" s="7" t="s">
        <v>180</v>
      </c>
      <c r="F4069" s="6" t="n">
        <v>4.19</v>
      </c>
      <c r="G4069" s="6" t="n">
        <v>0</v>
      </c>
      <c r="H4069" s="41" t="n">
        <v>16.36</v>
      </c>
      <c r="I4069" s="43" t="n">
        <f aca="false">F4069*H4069</f>
        <v>68.5484</v>
      </c>
      <c r="J4069" s="43" t="n">
        <f aca="false">G4069*H4069*1.5</f>
        <v>0</v>
      </c>
      <c r="K4069" s="6" t="n">
        <v>14.8</v>
      </c>
      <c r="L4069" s="43" t="n">
        <f aca="false">K4069*'Chart of Accounts'!$E$68</f>
        <v>9.916</v>
      </c>
      <c r="O4069" s="42" t="n">
        <f aca="false">I4069+J4069+L4069</f>
        <v>78.4644</v>
      </c>
    </row>
    <row r="4070" customFormat="false" ht="15" hidden="false" customHeight="false" outlineLevel="0" collapsed="false">
      <c r="B4070" s="7" t="s">
        <v>12703</v>
      </c>
      <c r="C4070" s="39" t="n">
        <v>45912</v>
      </c>
      <c r="D4070" s="7" t="s">
        <v>264</v>
      </c>
      <c r="E4070" s="7" t="s">
        <v>158</v>
      </c>
      <c r="H4070" s="41" t="n">
        <v>55.55</v>
      </c>
      <c r="M4070" s="6" t="n">
        <v>1</v>
      </c>
      <c r="N4070" s="43" t="n">
        <f aca="false">M4070*H4070</f>
        <v>55.55</v>
      </c>
      <c r="O4070" s="42" t="n">
        <f aca="false">N4070</f>
        <v>55.55</v>
      </c>
    </row>
    <row r="4071" customFormat="false" ht="15" hidden="false" customHeight="false" outlineLevel="0" collapsed="false">
      <c r="B4071" s="7" t="s">
        <v>12704</v>
      </c>
      <c r="C4071" s="39" t="n">
        <v>45912</v>
      </c>
      <c r="D4071" s="7" t="s">
        <v>252</v>
      </c>
      <c r="E4071" s="7" t="s">
        <v>158</v>
      </c>
      <c r="H4071" s="41" t="n">
        <v>57.54</v>
      </c>
      <c r="M4071" s="6" t="n">
        <v>1</v>
      </c>
      <c r="N4071" s="43" t="n">
        <f aca="false">M4071*H4071</f>
        <v>57.54</v>
      </c>
      <c r="O4071" s="42" t="n">
        <f aca="false">N4071</f>
        <v>57.54</v>
      </c>
    </row>
    <row r="4072" customFormat="false" ht="15" hidden="false" customHeight="false" outlineLevel="0" collapsed="false">
      <c r="B4072" s="7" t="s">
        <v>12705</v>
      </c>
      <c r="C4072" s="39" t="n">
        <v>45912</v>
      </c>
      <c r="D4072" s="7" t="s">
        <v>184</v>
      </c>
      <c r="E4072" s="7" t="s">
        <v>180</v>
      </c>
      <c r="F4072" s="6" t="n">
        <v>14.96</v>
      </c>
      <c r="G4072" s="6" t="n">
        <v>0</v>
      </c>
      <c r="H4072" s="41" t="n">
        <v>17.34</v>
      </c>
      <c r="I4072" s="43" t="n">
        <f aca="false">F4072*H4072</f>
        <v>259.4064</v>
      </c>
      <c r="J4072" s="43" t="n">
        <f aca="false">G4072*H4072*1.5</f>
        <v>0</v>
      </c>
      <c r="K4072" s="6" t="n">
        <v>48.36</v>
      </c>
      <c r="L4072" s="43" t="n">
        <f aca="false">K4072*'Chart of Accounts'!$E$68</f>
        <v>32.4012</v>
      </c>
      <c r="O4072" s="42" t="n">
        <f aca="false">I4072+J4072+L4072</f>
        <v>291.8076</v>
      </c>
    </row>
    <row r="4073" customFormat="false" ht="15" hidden="false" customHeight="false" outlineLevel="0" collapsed="false">
      <c r="B4073" s="7" t="s">
        <v>12706</v>
      </c>
      <c r="C4073" s="39" t="n">
        <v>45912</v>
      </c>
      <c r="D4073" s="7" t="s">
        <v>216</v>
      </c>
      <c r="E4073" s="7" t="s">
        <v>158</v>
      </c>
      <c r="H4073" s="41" t="n">
        <v>61.79</v>
      </c>
      <c r="M4073" s="6" t="n">
        <v>2</v>
      </c>
      <c r="N4073" s="43" t="n">
        <f aca="false">M4073*H4073</f>
        <v>123.58</v>
      </c>
      <c r="O4073" s="42" t="n">
        <f aca="false">N4073</f>
        <v>123.58</v>
      </c>
    </row>
    <row r="4074" customFormat="false" ht="15" hidden="false" customHeight="false" outlineLevel="0" collapsed="false">
      <c r="B4074" s="7" t="s">
        <v>12707</v>
      </c>
      <c r="C4074" s="39" t="n">
        <v>45912</v>
      </c>
      <c r="D4074" s="7" t="s">
        <v>234</v>
      </c>
      <c r="E4074" s="7" t="s">
        <v>158</v>
      </c>
      <c r="H4074" s="41" t="n">
        <v>89.53</v>
      </c>
      <c r="M4074" s="6" t="n">
        <v>2</v>
      </c>
      <c r="N4074" s="43" t="n">
        <f aca="false">M4074*H4074</f>
        <v>179.06</v>
      </c>
      <c r="O4074" s="42" t="n">
        <f aca="false">N4074</f>
        <v>179.06</v>
      </c>
    </row>
    <row r="4075" customFormat="false" ht="15" hidden="false" customHeight="false" outlineLevel="0" collapsed="false">
      <c r="B4075" s="7" t="s">
        <v>12708</v>
      </c>
      <c r="C4075" s="39" t="n">
        <v>45912</v>
      </c>
      <c r="D4075" s="7" t="s">
        <v>218</v>
      </c>
      <c r="E4075" s="7" t="s">
        <v>180</v>
      </c>
      <c r="F4075" s="6" t="n">
        <v>3.63</v>
      </c>
      <c r="G4075" s="6" t="n">
        <v>0</v>
      </c>
      <c r="H4075" s="41" t="n">
        <v>16.19</v>
      </c>
      <c r="I4075" s="43" t="n">
        <f aca="false">F4075*H4075</f>
        <v>58.7697</v>
      </c>
      <c r="J4075" s="43" t="n">
        <f aca="false">G4075*H4075*1.5</f>
        <v>0</v>
      </c>
      <c r="K4075" s="6" t="n">
        <v>9.2</v>
      </c>
      <c r="L4075" s="43" t="n">
        <f aca="false">K4075*'Chart of Accounts'!$E$68</f>
        <v>6.164</v>
      </c>
      <c r="O4075" s="42" t="n">
        <f aca="false">I4075+J4075+L4075</f>
        <v>64.9337</v>
      </c>
    </row>
    <row r="4076" customFormat="false" ht="15" hidden="false" customHeight="false" outlineLevel="0" collapsed="false">
      <c r="B4076" s="7" t="s">
        <v>12709</v>
      </c>
      <c r="C4076" s="39" t="n">
        <v>45912</v>
      </c>
      <c r="D4076" s="7" t="s">
        <v>228</v>
      </c>
      <c r="E4076" s="7" t="s">
        <v>158</v>
      </c>
      <c r="H4076" s="41" t="n">
        <v>51.07</v>
      </c>
      <c r="M4076" s="6" t="n">
        <v>1</v>
      </c>
      <c r="N4076" s="43" t="n">
        <f aca="false">M4076*H4076</f>
        <v>51.07</v>
      </c>
      <c r="O4076" s="42" t="n">
        <f aca="false">N4076</f>
        <v>51.07</v>
      </c>
    </row>
    <row r="4077" customFormat="false" ht="15" hidden="false" customHeight="false" outlineLevel="0" collapsed="false">
      <c r="B4077" s="7" t="s">
        <v>12710</v>
      </c>
      <c r="C4077" s="39" t="n">
        <v>45912</v>
      </c>
      <c r="D4077" s="7" t="s">
        <v>177</v>
      </c>
      <c r="E4077" s="7" t="s">
        <v>180</v>
      </c>
      <c r="F4077" s="6" t="n">
        <v>8.011</v>
      </c>
      <c r="G4077" s="6" t="n">
        <v>0.359</v>
      </c>
      <c r="H4077" s="41" t="n">
        <v>14.56</v>
      </c>
      <c r="I4077" s="43" t="n">
        <f aca="false">F4077*H4077</f>
        <v>116.64016</v>
      </c>
      <c r="J4077" s="43" t="n">
        <f aca="false">G4077*H4077*1.5</f>
        <v>7.84056</v>
      </c>
      <c r="K4077" s="6" t="n">
        <v>28.45</v>
      </c>
      <c r="L4077" s="43" t="n">
        <f aca="false">K4077*'Chart of Accounts'!$E$68</f>
        <v>19.0615</v>
      </c>
      <c r="O4077" s="42" t="n">
        <f aca="false">I4077+J4077+L4077</f>
        <v>143.54222</v>
      </c>
    </row>
    <row r="4078" customFormat="false" ht="15" hidden="false" customHeight="false" outlineLevel="0" collapsed="false">
      <c r="B4078" s="7" t="s">
        <v>12711</v>
      </c>
      <c r="C4078" s="39" t="n">
        <v>45912</v>
      </c>
      <c r="D4078" s="7" t="s">
        <v>242</v>
      </c>
      <c r="E4078" s="7" t="s">
        <v>180</v>
      </c>
      <c r="F4078" s="6" t="n">
        <v>6.796</v>
      </c>
      <c r="G4078" s="6" t="n">
        <v>0.194</v>
      </c>
      <c r="H4078" s="41" t="n">
        <v>17.99</v>
      </c>
      <c r="I4078" s="43" t="n">
        <f aca="false">F4078*H4078</f>
        <v>122.26004</v>
      </c>
      <c r="J4078" s="43" t="n">
        <f aca="false">G4078*H4078*1.5</f>
        <v>5.23509</v>
      </c>
      <c r="K4078" s="6" t="n">
        <v>23.93</v>
      </c>
      <c r="L4078" s="43" t="n">
        <f aca="false">K4078*'Chart of Accounts'!$E$68</f>
        <v>16.0331</v>
      </c>
      <c r="O4078" s="42" t="n">
        <f aca="false">I4078+J4078+L4078</f>
        <v>143.52823</v>
      </c>
    </row>
    <row r="4079" customFormat="false" ht="15" hidden="false" customHeight="false" outlineLevel="0" collapsed="false">
      <c r="B4079" s="7" t="s">
        <v>12712</v>
      </c>
      <c r="C4079" s="39" t="n">
        <v>45912</v>
      </c>
      <c r="D4079" s="7" t="s">
        <v>238</v>
      </c>
      <c r="E4079" s="7" t="s">
        <v>180</v>
      </c>
      <c r="F4079" s="6" t="n">
        <v>8.66</v>
      </c>
      <c r="G4079" s="6" t="n">
        <v>0</v>
      </c>
      <c r="H4079" s="41" t="n">
        <v>15.85</v>
      </c>
      <c r="I4079" s="43" t="n">
        <f aca="false">F4079*H4079</f>
        <v>137.261</v>
      </c>
      <c r="J4079" s="43" t="n">
        <f aca="false">G4079*H4079*1.5</f>
        <v>0</v>
      </c>
      <c r="K4079" s="6" t="n">
        <v>28.49</v>
      </c>
      <c r="L4079" s="43" t="n">
        <f aca="false">K4079*'Chart of Accounts'!$E$68</f>
        <v>19.0883</v>
      </c>
      <c r="O4079" s="42" t="n">
        <f aca="false">I4079+J4079+L4079</f>
        <v>156.3493</v>
      </c>
    </row>
    <row r="4080" customFormat="false" ht="15" hidden="false" customHeight="false" outlineLevel="0" collapsed="false">
      <c r="B4080" s="7" t="s">
        <v>12713</v>
      </c>
      <c r="C4080" s="39" t="n">
        <v>45912</v>
      </c>
      <c r="D4080" s="7" t="s">
        <v>244</v>
      </c>
      <c r="E4080" s="7" t="s">
        <v>180</v>
      </c>
      <c r="F4080" s="6" t="n">
        <v>3.89</v>
      </c>
      <c r="G4080" s="6" t="n">
        <v>0</v>
      </c>
      <c r="H4080" s="41" t="n">
        <v>16.39</v>
      </c>
      <c r="I4080" s="43" t="n">
        <f aca="false">F4080*H4080</f>
        <v>63.7571</v>
      </c>
      <c r="J4080" s="43" t="n">
        <f aca="false">G4080*H4080*1.5</f>
        <v>0</v>
      </c>
      <c r="K4080" s="6" t="n">
        <v>13.68</v>
      </c>
      <c r="L4080" s="43" t="n">
        <f aca="false">K4080*'Chart of Accounts'!$E$68</f>
        <v>9.1656</v>
      </c>
      <c r="O4080" s="42" t="n">
        <f aca="false">I4080+J4080+L4080</f>
        <v>72.9227</v>
      </c>
    </row>
    <row r="4081" customFormat="false" ht="15" hidden="false" customHeight="false" outlineLevel="0" collapsed="false">
      <c r="B4081" s="7" t="s">
        <v>12714</v>
      </c>
      <c r="C4081" s="39" t="n">
        <v>45912</v>
      </c>
      <c r="D4081" s="7" t="s">
        <v>254</v>
      </c>
      <c r="E4081" s="7" t="s">
        <v>180</v>
      </c>
      <c r="F4081" s="6" t="n">
        <v>6.283</v>
      </c>
      <c r="G4081" s="6" t="n">
        <v>1.467</v>
      </c>
      <c r="H4081" s="41" t="n">
        <v>17.1</v>
      </c>
      <c r="I4081" s="43" t="n">
        <f aca="false">F4081*H4081</f>
        <v>107.4393</v>
      </c>
      <c r="J4081" s="43" t="n">
        <f aca="false">G4081*H4081*1.5</f>
        <v>37.62855</v>
      </c>
      <c r="K4081" s="6" t="n">
        <v>20.32</v>
      </c>
      <c r="L4081" s="43" t="n">
        <f aca="false">K4081*'Chart of Accounts'!$E$68</f>
        <v>13.6144</v>
      </c>
      <c r="O4081" s="42" t="n">
        <f aca="false">I4081+J4081+L4081</f>
        <v>158.68225</v>
      </c>
    </row>
    <row r="4082" customFormat="false" ht="15" hidden="false" customHeight="false" outlineLevel="0" collapsed="false">
      <c r="B4082" s="7" t="s">
        <v>12715</v>
      </c>
      <c r="C4082" s="39" t="n">
        <v>45912</v>
      </c>
      <c r="D4082" s="7" t="s">
        <v>201</v>
      </c>
      <c r="E4082" s="7" t="s">
        <v>180</v>
      </c>
      <c r="F4082" s="6" t="n">
        <v>3.43</v>
      </c>
      <c r="G4082" s="6" t="n">
        <v>0</v>
      </c>
      <c r="H4082" s="41" t="n">
        <v>15.19</v>
      </c>
      <c r="I4082" s="43" t="n">
        <f aca="false">F4082*H4082</f>
        <v>52.1017</v>
      </c>
      <c r="J4082" s="43" t="n">
        <f aca="false">G4082*H4082*1.5</f>
        <v>0</v>
      </c>
      <c r="K4082" s="6" t="n">
        <v>8.9</v>
      </c>
      <c r="L4082" s="43" t="n">
        <f aca="false">K4082*'Chart of Accounts'!$E$68</f>
        <v>5.963</v>
      </c>
      <c r="O4082" s="42" t="n">
        <f aca="false">I4082+J4082+L4082</f>
        <v>58.0647</v>
      </c>
    </row>
    <row r="4083" customFormat="false" ht="15" hidden="false" customHeight="false" outlineLevel="0" collapsed="false">
      <c r="B4083" s="7" t="s">
        <v>12716</v>
      </c>
      <c r="C4083" s="39" t="n">
        <v>45912</v>
      </c>
      <c r="D4083" s="7" t="s">
        <v>258</v>
      </c>
      <c r="E4083" s="7" t="s">
        <v>158</v>
      </c>
      <c r="H4083" s="41" t="n">
        <v>61.61</v>
      </c>
      <c r="M4083" s="6" t="n">
        <v>1</v>
      </c>
      <c r="N4083" s="43" t="n">
        <f aca="false">M4083*H4083</f>
        <v>61.61</v>
      </c>
      <c r="O4083" s="42" t="n">
        <f aca="false">N4083</f>
        <v>61.61</v>
      </c>
    </row>
    <row r="4084" customFormat="false" ht="15" hidden="false" customHeight="false" outlineLevel="0" collapsed="false">
      <c r="B4084" s="7" t="s">
        <v>12717</v>
      </c>
      <c r="C4084" s="39" t="n">
        <v>45912</v>
      </c>
      <c r="D4084" s="7" t="s">
        <v>232</v>
      </c>
      <c r="E4084" s="7" t="s">
        <v>180</v>
      </c>
      <c r="F4084" s="6" t="n">
        <v>4.47</v>
      </c>
      <c r="G4084" s="6" t="n">
        <v>0</v>
      </c>
      <c r="H4084" s="41" t="n">
        <v>16.17</v>
      </c>
      <c r="I4084" s="43" t="n">
        <f aca="false">F4084*H4084</f>
        <v>72.2799</v>
      </c>
      <c r="J4084" s="43" t="n">
        <f aca="false">G4084*H4084*1.5</f>
        <v>0</v>
      </c>
      <c r="K4084" s="6" t="n">
        <v>14.21</v>
      </c>
      <c r="L4084" s="43" t="n">
        <f aca="false">K4084*'Chart of Accounts'!$E$68</f>
        <v>9.5207</v>
      </c>
      <c r="O4084" s="42" t="n">
        <f aca="false">I4084+J4084+L4084</f>
        <v>81.8006</v>
      </c>
    </row>
    <row r="4085" customFormat="false" ht="15" hidden="false" customHeight="false" outlineLevel="0" collapsed="false">
      <c r="B4085" s="7" t="s">
        <v>12718</v>
      </c>
      <c r="C4085" s="39" t="n">
        <v>45912</v>
      </c>
      <c r="D4085" s="7" t="s">
        <v>224</v>
      </c>
      <c r="E4085" s="7" t="s">
        <v>180</v>
      </c>
      <c r="F4085" s="6" t="n">
        <v>4.55</v>
      </c>
      <c r="G4085" s="6" t="n">
        <v>0</v>
      </c>
      <c r="H4085" s="41" t="n">
        <v>14.93</v>
      </c>
      <c r="I4085" s="43" t="n">
        <f aca="false">F4085*H4085</f>
        <v>67.9315</v>
      </c>
      <c r="J4085" s="43" t="n">
        <f aca="false">G4085*H4085*1.5</f>
        <v>0</v>
      </c>
      <c r="K4085" s="6" t="n">
        <v>15.44</v>
      </c>
      <c r="L4085" s="43" t="n">
        <f aca="false">K4085*'Chart of Accounts'!$E$68</f>
        <v>10.3448</v>
      </c>
      <c r="O4085" s="42" t="n">
        <f aca="false">I4085+J4085+L4085</f>
        <v>78.2763</v>
      </c>
    </row>
    <row r="4086" customFormat="false" ht="15" hidden="false" customHeight="false" outlineLevel="0" collapsed="false">
      <c r="B4086" s="7" t="s">
        <v>12719</v>
      </c>
      <c r="C4086" s="39" t="n">
        <v>45912</v>
      </c>
      <c r="D4086" s="7" t="s">
        <v>230</v>
      </c>
      <c r="E4086" s="7" t="s">
        <v>158</v>
      </c>
      <c r="H4086" s="41" t="n">
        <v>48.78</v>
      </c>
      <c r="M4086" s="6" t="n">
        <v>1</v>
      </c>
      <c r="N4086" s="43" t="n">
        <f aca="false">M4086*H4086</f>
        <v>48.78</v>
      </c>
      <c r="O4086" s="42" t="n">
        <f aca="false">N4086</f>
        <v>48.78</v>
      </c>
    </row>
    <row r="4087" customFormat="false" ht="15" hidden="false" customHeight="false" outlineLevel="0" collapsed="false">
      <c r="B4087" s="7" t="s">
        <v>12720</v>
      </c>
      <c r="C4087" s="39" t="n">
        <v>45912</v>
      </c>
      <c r="D4087" s="7" t="s">
        <v>196</v>
      </c>
      <c r="E4087" s="7" t="s">
        <v>180</v>
      </c>
      <c r="F4087" s="6" t="n">
        <v>3.175</v>
      </c>
      <c r="G4087" s="6" t="n">
        <v>0.595</v>
      </c>
      <c r="H4087" s="41" t="n">
        <v>15.05</v>
      </c>
      <c r="I4087" s="43" t="n">
        <f aca="false">F4087*H4087</f>
        <v>47.78375</v>
      </c>
      <c r="J4087" s="43" t="n">
        <f aca="false">G4087*H4087*1.5</f>
        <v>13.432125</v>
      </c>
      <c r="K4087" s="6" t="n">
        <v>9.21</v>
      </c>
      <c r="L4087" s="43" t="n">
        <f aca="false">K4087*'Chart of Accounts'!$E$68</f>
        <v>6.1707</v>
      </c>
      <c r="O4087" s="42" t="n">
        <f aca="false">I4087+J4087+L4087</f>
        <v>67.386575</v>
      </c>
    </row>
    <row r="4088" customFormat="false" ht="15" hidden="false" customHeight="false" outlineLevel="0" collapsed="false">
      <c r="B4088" s="7" t="s">
        <v>12721</v>
      </c>
      <c r="C4088" s="39" t="n">
        <v>45912</v>
      </c>
      <c r="D4088" s="7" t="s">
        <v>246</v>
      </c>
      <c r="E4088" s="7" t="s">
        <v>180</v>
      </c>
      <c r="F4088" s="6" t="n">
        <v>4.32</v>
      </c>
      <c r="G4088" s="6" t="n">
        <v>0</v>
      </c>
      <c r="H4088" s="41" t="n">
        <v>16.48</v>
      </c>
      <c r="I4088" s="43" t="n">
        <f aca="false">F4088*H4088</f>
        <v>71.1936</v>
      </c>
      <c r="J4088" s="43" t="n">
        <f aca="false">G4088*H4088*1.5</f>
        <v>0</v>
      </c>
      <c r="K4088" s="6" t="n">
        <v>13.77</v>
      </c>
      <c r="L4088" s="43" t="n">
        <f aca="false">K4088*'Chart of Accounts'!$E$68</f>
        <v>9.2259</v>
      </c>
      <c r="O4088" s="42" t="n">
        <f aca="false">I4088+J4088+L4088</f>
        <v>80.4195</v>
      </c>
    </row>
    <row r="4089" customFormat="false" ht="15" hidden="false" customHeight="false" outlineLevel="0" collapsed="false">
      <c r="B4089" s="7" t="s">
        <v>12722</v>
      </c>
      <c r="C4089" s="39" t="n">
        <v>45912</v>
      </c>
      <c r="D4089" s="7" t="s">
        <v>222</v>
      </c>
      <c r="E4089" s="7" t="s">
        <v>180</v>
      </c>
      <c r="F4089" s="6" t="n">
        <v>3.904</v>
      </c>
      <c r="G4089" s="6" t="n">
        <v>0.126</v>
      </c>
      <c r="H4089" s="41" t="n">
        <v>17.84</v>
      </c>
      <c r="I4089" s="43" t="n">
        <f aca="false">F4089*H4089</f>
        <v>69.64736</v>
      </c>
      <c r="J4089" s="43" t="n">
        <f aca="false">G4089*H4089*1.5</f>
        <v>3.37176</v>
      </c>
      <c r="K4089" s="6" t="n">
        <v>12.46</v>
      </c>
      <c r="L4089" s="43" t="n">
        <f aca="false">K4089*'Chart of Accounts'!$E$68</f>
        <v>8.3482</v>
      </c>
      <c r="O4089" s="42" t="n">
        <f aca="false">I4089+J4089+L4089</f>
        <v>81.36732</v>
      </c>
    </row>
    <row r="4090" customFormat="false" ht="15" hidden="false" customHeight="false" outlineLevel="0" collapsed="false">
      <c r="B4090" s="7" t="s">
        <v>12723</v>
      </c>
      <c r="C4090" s="39" t="n">
        <v>45912</v>
      </c>
      <c r="D4090" s="7" t="s">
        <v>203</v>
      </c>
      <c r="E4090" s="7" t="s">
        <v>158</v>
      </c>
      <c r="H4090" s="41" t="n">
        <v>49.43</v>
      </c>
      <c r="M4090" s="6" t="n">
        <v>1</v>
      </c>
      <c r="N4090" s="43" t="n">
        <f aca="false">M4090*H4090</f>
        <v>49.43</v>
      </c>
      <c r="O4090" s="42" t="n">
        <f aca="false">N4090</f>
        <v>49.43</v>
      </c>
    </row>
    <row r="4091" customFormat="false" ht="15" hidden="false" customHeight="false" outlineLevel="0" collapsed="false">
      <c r="B4091" s="7" t="s">
        <v>12724</v>
      </c>
      <c r="C4091" s="39" t="n">
        <v>45912</v>
      </c>
      <c r="D4091" s="7" t="s">
        <v>260</v>
      </c>
      <c r="E4091" s="7" t="s">
        <v>158</v>
      </c>
      <c r="H4091" s="41" t="n">
        <v>79.8</v>
      </c>
      <c r="M4091" s="6" t="n">
        <v>1</v>
      </c>
      <c r="N4091" s="43" t="n">
        <f aca="false">M4091*H4091</f>
        <v>79.8</v>
      </c>
      <c r="O4091" s="42" t="n">
        <f aca="false">N4091</f>
        <v>79.8</v>
      </c>
    </row>
    <row r="4092" customFormat="false" ht="15" hidden="false" customHeight="false" outlineLevel="0" collapsed="false">
      <c r="B4092" s="7" t="s">
        <v>12725</v>
      </c>
      <c r="C4092" s="39" t="n">
        <v>45913</v>
      </c>
      <c r="D4092" s="7" t="s">
        <v>222</v>
      </c>
      <c r="E4092" s="7" t="s">
        <v>180</v>
      </c>
      <c r="F4092" s="6" t="n">
        <v>7.227</v>
      </c>
      <c r="G4092" s="6" t="n">
        <v>0.233</v>
      </c>
      <c r="H4092" s="41" t="n">
        <v>17.84</v>
      </c>
      <c r="I4092" s="43" t="n">
        <f aca="false">F4092*H4092</f>
        <v>128.92968</v>
      </c>
      <c r="J4092" s="43" t="n">
        <f aca="false">G4092*H4092*1.5</f>
        <v>6.23508</v>
      </c>
      <c r="K4092" s="6" t="n">
        <v>25.7</v>
      </c>
      <c r="L4092" s="43" t="n">
        <f aca="false">K4092*'Chart of Accounts'!$E$68</f>
        <v>17.219</v>
      </c>
      <c r="O4092" s="42" t="n">
        <f aca="false">I4092+J4092+L4092</f>
        <v>152.38376</v>
      </c>
    </row>
    <row r="4093" customFormat="false" ht="15" hidden="false" customHeight="false" outlineLevel="0" collapsed="false">
      <c r="B4093" s="7" t="s">
        <v>12726</v>
      </c>
      <c r="C4093" s="39" t="n">
        <v>45913</v>
      </c>
      <c r="D4093" s="7" t="s">
        <v>218</v>
      </c>
      <c r="E4093" s="7" t="s">
        <v>180</v>
      </c>
      <c r="F4093" s="6" t="n">
        <v>3.87</v>
      </c>
      <c r="G4093" s="6" t="n">
        <v>0</v>
      </c>
      <c r="H4093" s="41" t="n">
        <v>16.19</v>
      </c>
      <c r="I4093" s="43" t="n">
        <f aca="false">F4093*H4093</f>
        <v>62.6553</v>
      </c>
      <c r="J4093" s="43" t="n">
        <f aca="false">G4093*H4093*1.5</f>
        <v>0</v>
      </c>
      <c r="K4093" s="6" t="n">
        <v>9.84</v>
      </c>
      <c r="L4093" s="43" t="n">
        <f aca="false">K4093*'Chart of Accounts'!$E$68</f>
        <v>6.5928</v>
      </c>
      <c r="O4093" s="42" t="n">
        <f aca="false">I4093+J4093+L4093</f>
        <v>69.2481</v>
      </c>
    </row>
    <row r="4094" customFormat="false" ht="15" hidden="false" customHeight="false" outlineLevel="0" collapsed="false">
      <c r="B4094" s="7" t="s">
        <v>12727</v>
      </c>
      <c r="C4094" s="39" t="n">
        <v>45913</v>
      </c>
      <c r="D4094" s="7" t="s">
        <v>254</v>
      </c>
      <c r="E4094" s="7" t="s">
        <v>180</v>
      </c>
      <c r="F4094" s="6" t="n">
        <v>6.202</v>
      </c>
      <c r="G4094" s="6" t="n">
        <v>1.448</v>
      </c>
      <c r="H4094" s="41" t="n">
        <v>17.1</v>
      </c>
      <c r="I4094" s="43" t="n">
        <f aca="false">F4094*H4094</f>
        <v>106.0542</v>
      </c>
      <c r="J4094" s="43" t="n">
        <f aca="false">G4094*H4094*1.5</f>
        <v>37.1412</v>
      </c>
      <c r="K4094" s="6" t="n">
        <v>24.47</v>
      </c>
      <c r="L4094" s="43" t="n">
        <f aca="false">K4094*'Chart of Accounts'!$E$68</f>
        <v>16.3949</v>
      </c>
      <c r="O4094" s="42" t="n">
        <f aca="false">I4094+J4094+L4094</f>
        <v>159.5903</v>
      </c>
    </row>
    <row r="4095" customFormat="false" ht="15" hidden="false" customHeight="false" outlineLevel="0" collapsed="false">
      <c r="B4095" s="7" t="s">
        <v>12728</v>
      </c>
      <c r="C4095" s="39" t="n">
        <v>45913</v>
      </c>
      <c r="D4095" s="7" t="s">
        <v>196</v>
      </c>
      <c r="E4095" s="7" t="s">
        <v>180</v>
      </c>
      <c r="F4095" s="6" t="n">
        <v>3.394</v>
      </c>
      <c r="G4095" s="6" t="n">
        <v>0.636</v>
      </c>
      <c r="H4095" s="41" t="n">
        <v>15.05</v>
      </c>
      <c r="I4095" s="43" t="n">
        <f aca="false">F4095*H4095</f>
        <v>51.0797</v>
      </c>
      <c r="J4095" s="43" t="n">
        <f aca="false">G4095*H4095*1.5</f>
        <v>14.3577</v>
      </c>
      <c r="K4095" s="6" t="n">
        <v>13.23</v>
      </c>
      <c r="L4095" s="43" t="n">
        <f aca="false">K4095*'Chart of Accounts'!$E$68</f>
        <v>8.8641</v>
      </c>
      <c r="O4095" s="42" t="n">
        <f aca="false">I4095+J4095+L4095</f>
        <v>74.3015</v>
      </c>
    </row>
    <row r="4096" customFormat="false" ht="15" hidden="false" customHeight="false" outlineLevel="0" collapsed="false">
      <c r="B4096" s="7" t="s">
        <v>12729</v>
      </c>
      <c r="C4096" s="39" t="n">
        <v>45913</v>
      </c>
      <c r="D4096" s="7" t="s">
        <v>242</v>
      </c>
      <c r="E4096" s="7" t="s">
        <v>180</v>
      </c>
      <c r="F4096" s="6" t="n">
        <v>4.103</v>
      </c>
      <c r="G4096" s="6" t="n">
        <v>0.117</v>
      </c>
      <c r="H4096" s="41" t="n">
        <v>17.99</v>
      </c>
      <c r="I4096" s="43" t="n">
        <f aca="false">F4096*H4096</f>
        <v>73.81297</v>
      </c>
      <c r="J4096" s="43" t="n">
        <f aca="false">G4096*H4096*1.5</f>
        <v>3.157245</v>
      </c>
      <c r="K4096" s="6" t="n">
        <v>13.93</v>
      </c>
      <c r="L4096" s="43" t="n">
        <f aca="false">K4096*'Chart of Accounts'!$E$68</f>
        <v>9.3331</v>
      </c>
      <c r="O4096" s="42" t="n">
        <f aca="false">I4096+J4096+L4096</f>
        <v>86.303315</v>
      </c>
    </row>
    <row r="4097" customFormat="false" ht="15" hidden="false" customHeight="false" outlineLevel="0" collapsed="false">
      <c r="B4097" s="7" t="s">
        <v>12730</v>
      </c>
      <c r="C4097" s="39" t="n">
        <v>45914</v>
      </c>
      <c r="D4097" s="7" t="s">
        <v>177</v>
      </c>
      <c r="E4097" s="7" t="s">
        <v>180</v>
      </c>
      <c r="F4097" s="6" t="n">
        <v>4.058</v>
      </c>
      <c r="G4097" s="6" t="n">
        <v>0.182</v>
      </c>
      <c r="H4097" s="41" t="n">
        <v>14.56</v>
      </c>
      <c r="I4097" s="43" t="n">
        <f aca="false">F4097*H4097</f>
        <v>59.08448</v>
      </c>
      <c r="J4097" s="43" t="n">
        <f aca="false">G4097*H4097*1.5</f>
        <v>3.97488</v>
      </c>
      <c r="K4097" s="6" t="n">
        <v>14.59</v>
      </c>
      <c r="L4097" s="43" t="n">
        <f aca="false">K4097*'Chart of Accounts'!$E$68</f>
        <v>9.7753</v>
      </c>
      <c r="O4097" s="42" t="n">
        <f aca="false">I4097+J4097+L4097</f>
        <v>72.83466</v>
      </c>
    </row>
    <row r="4098" customFormat="false" ht="15" hidden="false" customHeight="false" outlineLevel="0" collapsed="false">
      <c r="B4098" s="7" t="s">
        <v>12731</v>
      </c>
      <c r="C4098" s="39" t="n">
        <v>45914</v>
      </c>
      <c r="D4098" s="7" t="s">
        <v>218</v>
      </c>
      <c r="E4098" s="7" t="s">
        <v>180</v>
      </c>
      <c r="F4098" s="6" t="n">
        <v>3.71</v>
      </c>
      <c r="G4098" s="6" t="n">
        <v>0</v>
      </c>
      <c r="H4098" s="41" t="n">
        <v>16.19</v>
      </c>
      <c r="I4098" s="43" t="n">
        <f aca="false">F4098*H4098</f>
        <v>60.0649</v>
      </c>
      <c r="J4098" s="43" t="n">
        <f aca="false">G4098*H4098*1.5</f>
        <v>0</v>
      </c>
      <c r="K4098" s="6" t="n">
        <v>12.79</v>
      </c>
      <c r="L4098" s="43" t="n">
        <f aca="false">K4098*'Chart of Accounts'!$E$68</f>
        <v>8.5693</v>
      </c>
      <c r="O4098" s="42" t="n">
        <f aca="false">I4098+J4098+L4098</f>
        <v>68.6342</v>
      </c>
    </row>
    <row r="4099" customFormat="false" ht="15" hidden="false" customHeight="false" outlineLevel="0" collapsed="false">
      <c r="B4099" s="7" t="s">
        <v>12732</v>
      </c>
      <c r="C4099" s="39" t="n">
        <v>45914</v>
      </c>
      <c r="D4099" s="7" t="s">
        <v>242</v>
      </c>
      <c r="E4099" s="7" t="s">
        <v>180</v>
      </c>
      <c r="F4099" s="6" t="n">
        <v>7.234</v>
      </c>
      <c r="G4099" s="6" t="n">
        <v>0.206</v>
      </c>
      <c r="H4099" s="41" t="n">
        <v>17.99</v>
      </c>
      <c r="I4099" s="43" t="n">
        <f aca="false">F4099*H4099</f>
        <v>130.13966</v>
      </c>
      <c r="J4099" s="43" t="n">
        <f aca="false">G4099*H4099*1.5</f>
        <v>5.55891</v>
      </c>
      <c r="K4099" s="6" t="n">
        <v>18.47</v>
      </c>
      <c r="L4099" s="43" t="n">
        <f aca="false">K4099*'Chart of Accounts'!$E$68</f>
        <v>12.3749</v>
      </c>
      <c r="O4099" s="42" t="n">
        <f aca="false">I4099+J4099+L4099</f>
        <v>148.07347</v>
      </c>
    </row>
    <row r="4100" customFormat="false" ht="15" hidden="false" customHeight="false" outlineLevel="0" collapsed="false">
      <c r="B4100" s="7" t="s">
        <v>12733</v>
      </c>
      <c r="C4100" s="39" t="n">
        <v>45914</v>
      </c>
      <c r="D4100" s="7" t="s">
        <v>196</v>
      </c>
      <c r="E4100" s="7" t="s">
        <v>180</v>
      </c>
      <c r="F4100" s="6" t="n">
        <v>3.503</v>
      </c>
      <c r="G4100" s="6" t="n">
        <v>0.657</v>
      </c>
      <c r="H4100" s="41" t="n">
        <v>15.05</v>
      </c>
      <c r="I4100" s="43" t="n">
        <f aca="false">F4100*H4100</f>
        <v>52.72015</v>
      </c>
      <c r="J4100" s="43" t="n">
        <f aca="false">G4100*H4100*1.5</f>
        <v>14.831775</v>
      </c>
      <c r="K4100" s="6" t="n">
        <v>10.39</v>
      </c>
      <c r="L4100" s="43" t="n">
        <f aca="false">K4100*'Chart of Accounts'!$E$68</f>
        <v>6.9613</v>
      </c>
      <c r="O4100" s="42" t="n">
        <f aca="false">I4100+J4100+L4100</f>
        <v>74.513225</v>
      </c>
    </row>
    <row r="4101" customFormat="false" ht="15" hidden="false" customHeight="false" outlineLevel="0" collapsed="false">
      <c r="B4101" s="7" t="s">
        <v>12734</v>
      </c>
      <c r="C4101" s="39" t="n">
        <v>45914</v>
      </c>
      <c r="D4101" s="7" t="s">
        <v>222</v>
      </c>
      <c r="E4101" s="7" t="s">
        <v>180</v>
      </c>
      <c r="F4101" s="6" t="n">
        <v>3.575</v>
      </c>
      <c r="G4101" s="6" t="n">
        <v>0.115</v>
      </c>
      <c r="H4101" s="41" t="n">
        <v>17.84</v>
      </c>
      <c r="I4101" s="43" t="n">
        <f aca="false">F4101*H4101</f>
        <v>63.778</v>
      </c>
      <c r="J4101" s="43" t="n">
        <f aca="false">G4101*H4101*1.5</f>
        <v>3.0774</v>
      </c>
      <c r="K4101" s="6" t="n">
        <v>8.99</v>
      </c>
      <c r="L4101" s="43" t="n">
        <f aca="false">K4101*'Chart of Accounts'!$E$68</f>
        <v>6.0233</v>
      </c>
      <c r="O4101" s="42" t="n">
        <f aca="false">I4101+J4101+L4101</f>
        <v>72.8787</v>
      </c>
    </row>
    <row r="4102" customFormat="false" ht="15" hidden="false" customHeight="false" outlineLevel="0" collapsed="false">
      <c r="B4102" s="7" t="s">
        <v>12735</v>
      </c>
      <c r="C4102" s="39" t="n">
        <v>45914</v>
      </c>
      <c r="D4102" s="7" t="s">
        <v>254</v>
      </c>
      <c r="E4102" s="7" t="s">
        <v>180</v>
      </c>
      <c r="F4102" s="6" t="n">
        <v>3.04</v>
      </c>
      <c r="G4102" s="6" t="n">
        <v>0.71</v>
      </c>
      <c r="H4102" s="41" t="n">
        <v>17.1</v>
      </c>
      <c r="I4102" s="43" t="n">
        <f aca="false">F4102*H4102</f>
        <v>51.984</v>
      </c>
      <c r="J4102" s="43" t="n">
        <f aca="false">G4102*H4102*1.5</f>
        <v>18.2115</v>
      </c>
      <c r="K4102" s="6" t="n">
        <v>11.06</v>
      </c>
      <c r="L4102" s="43" t="n">
        <f aca="false">K4102*'Chart of Accounts'!$E$68</f>
        <v>7.4102</v>
      </c>
      <c r="O4102" s="42" t="n">
        <f aca="false">I4102+J4102+L4102</f>
        <v>77.6057</v>
      </c>
    </row>
    <row r="4103" customFormat="false" ht="15" hidden="false" customHeight="false" outlineLevel="0" collapsed="false">
      <c r="B4103" s="7" t="s">
        <v>12736</v>
      </c>
      <c r="C4103" s="39" t="n">
        <v>45915</v>
      </c>
      <c r="D4103" s="7" t="s">
        <v>205</v>
      </c>
      <c r="E4103" s="7" t="s">
        <v>180</v>
      </c>
      <c r="F4103" s="6" t="n">
        <v>11.06</v>
      </c>
      <c r="G4103" s="6" t="n">
        <v>0</v>
      </c>
      <c r="H4103" s="41" t="n">
        <v>16.36</v>
      </c>
      <c r="I4103" s="43" t="n">
        <f aca="false">F4103*H4103</f>
        <v>180.9416</v>
      </c>
      <c r="J4103" s="43" t="n">
        <f aca="false">G4103*H4103*1.5</f>
        <v>0</v>
      </c>
      <c r="K4103" s="6" t="n">
        <v>31.64</v>
      </c>
      <c r="L4103" s="43" t="n">
        <f aca="false">K4103*'Chart of Accounts'!$E$68</f>
        <v>21.1988</v>
      </c>
      <c r="O4103" s="42" t="n">
        <f aca="false">I4103+J4103+L4103</f>
        <v>202.1404</v>
      </c>
    </row>
    <row r="4104" customFormat="false" ht="15" hidden="false" customHeight="false" outlineLevel="0" collapsed="false">
      <c r="B4104" s="7" t="s">
        <v>12737</v>
      </c>
      <c r="C4104" s="39" t="n">
        <v>45915</v>
      </c>
      <c r="D4104" s="7" t="s">
        <v>194</v>
      </c>
      <c r="E4104" s="7" t="s">
        <v>180</v>
      </c>
      <c r="F4104" s="6" t="n">
        <v>12.92</v>
      </c>
      <c r="G4104" s="6" t="n">
        <v>0</v>
      </c>
      <c r="H4104" s="41" t="n">
        <v>16</v>
      </c>
      <c r="I4104" s="43" t="n">
        <f aca="false">F4104*H4104</f>
        <v>206.72</v>
      </c>
      <c r="J4104" s="43" t="n">
        <f aca="false">G4104*H4104*1.5</f>
        <v>0</v>
      </c>
      <c r="K4104" s="6" t="n">
        <v>34.92</v>
      </c>
      <c r="L4104" s="43" t="n">
        <f aca="false">K4104*'Chart of Accounts'!$E$68</f>
        <v>23.3964</v>
      </c>
      <c r="O4104" s="42" t="n">
        <f aca="false">I4104+J4104+L4104</f>
        <v>230.1164</v>
      </c>
    </row>
    <row r="4105" customFormat="false" ht="15" hidden="false" customHeight="false" outlineLevel="0" collapsed="false">
      <c r="B4105" s="7" t="s">
        <v>12738</v>
      </c>
      <c r="C4105" s="39" t="n">
        <v>45915</v>
      </c>
      <c r="D4105" s="7" t="s">
        <v>214</v>
      </c>
      <c r="E4105" s="7" t="s">
        <v>180</v>
      </c>
      <c r="F4105" s="6" t="n">
        <v>14</v>
      </c>
      <c r="G4105" s="6" t="n">
        <v>0</v>
      </c>
      <c r="H4105" s="41" t="n">
        <v>15.67</v>
      </c>
      <c r="I4105" s="43" t="n">
        <f aca="false">F4105*H4105</f>
        <v>219.38</v>
      </c>
      <c r="J4105" s="43" t="n">
        <f aca="false">G4105*H4105*1.5</f>
        <v>0</v>
      </c>
      <c r="K4105" s="6" t="n">
        <v>38.75</v>
      </c>
      <c r="L4105" s="43" t="n">
        <f aca="false">K4105*'Chart of Accounts'!$E$68</f>
        <v>25.9625</v>
      </c>
      <c r="O4105" s="42" t="n">
        <f aca="false">I4105+J4105+L4105</f>
        <v>245.3425</v>
      </c>
    </row>
    <row r="4106" customFormat="false" ht="15" hidden="false" customHeight="false" outlineLevel="0" collapsed="false">
      <c r="B4106" s="7" t="s">
        <v>12739</v>
      </c>
      <c r="C4106" s="39" t="n">
        <v>45915</v>
      </c>
      <c r="D4106" s="7" t="s">
        <v>201</v>
      </c>
      <c r="E4106" s="7" t="s">
        <v>180</v>
      </c>
      <c r="F4106" s="6" t="n">
        <v>20.65</v>
      </c>
      <c r="G4106" s="6" t="n">
        <v>0</v>
      </c>
      <c r="H4106" s="41" t="n">
        <v>15.19</v>
      </c>
      <c r="I4106" s="43" t="n">
        <f aca="false">F4106*H4106</f>
        <v>313.6735</v>
      </c>
      <c r="J4106" s="43" t="n">
        <f aca="false">G4106*H4106*1.5</f>
        <v>0</v>
      </c>
      <c r="K4106" s="6" t="n">
        <v>59.65</v>
      </c>
      <c r="L4106" s="43" t="n">
        <f aca="false">K4106*'Chart of Accounts'!$E$68</f>
        <v>39.9655</v>
      </c>
      <c r="O4106" s="42" t="n">
        <f aca="false">I4106+J4106+L4106</f>
        <v>353.639</v>
      </c>
    </row>
    <row r="4107" customFormat="false" ht="15" hidden="false" customHeight="false" outlineLevel="0" collapsed="false">
      <c r="B4107" s="7" t="s">
        <v>12740</v>
      </c>
      <c r="C4107" s="39" t="n">
        <v>45915</v>
      </c>
      <c r="D4107" s="7" t="s">
        <v>264</v>
      </c>
      <c r="E4107" s="7" t="s">
        <v>158</v>
      </c>
      <c r="H4107" s="41" t="n">
        <v>55.55</v>
      </c>
      <c r="M4107" s="6" t="n">
        <v>1</v>
      </c>
      <c r="N4107" s="43" t="n">
        <f aca="false">M4107*H4107</f>
        <v>55.55</v>
      </c>
      <c r="O4107" s="42" t="n">
        <f aca="false">N4107</f>
        <v>55.55</v>
      </c>
    </row>
    <row r="4108" customFormat="false" ht="15" hidden="false" customHeight="false" outlineLevel="0" collapsed="false">
      <c r="B4108" s="7" t="s">
        <v>12741</v>
      </c>
      <c r="C4108" s="39" t="n">
        <v>45915</v>
      </c>
      <c r="D4108" s="7" t="s">
        <v>252</v>
      </c>
      <c r="E4108" s="7" t="s">
        <v>158</v>
      </c>
      <c r="H4108" s="41" t="n">
        <v>57.54</v>
      </c>
      <c r="M4108" s="6" t="n">
        <v>1</v>
      </c>
      <c r="N4108" s="43" t="n">
        <f aca="false">M4108*H4108</f>
        <v>57.54</v>
      </c>
      <c r="O4108" s="42" t="n">
        <f aca="false">N4108</f>
        <v>57.54</v>
      </c>
    </row>
    <row r="4109" customFormat="false" ht="15" hidden="false" customHeight="false" outlineLevel="0" collapsed="false">
      <c r="B4109" s="7" t="s">
        <v>12742</v>
      </c>
      <c r="C4109" s="39" t="n">
        <v>45915</v>
      </c>
      <c r="D4109" s="7" t="s">
        <v>196</v>
      </c>
      <c r="E4109" s="7" t="s">
        <v>180</v>
      </c>
      <c r="F4109" s="6" t="n">
        <v>10.406</v>
      </c>
      <c r="G4109" s="6" t="n">
        <v>0.304</v>
      </c>
      <c r="H4109" s="41" t="n">
        <v>15.05</v>
      </c>
      <c r="I4109" s="43" t="n">
        <f aca="false">F4109*H4109</f>
        <v>156.6103</v>
      </c>
      <c r="J4109" s="43" t="n">
        <f aca="false">G4109*H4109*1.5</f>
        <v>6.8628</v>
      </c>
      <c r="K4109" s="6" t="n">
        <v>38.46</v>
      </c>
      <c r="L4109" s="43" t="n">
        <f aca="false">K4109*'Chart of Accounts'!$E$68</f>
        <v>25.7682</v>
      </c>
      <c r="O4109" s="42" t="n">
        <f aca="false">I4109+J4109+L4109</f>
        <v>189.2413</v>
      </c>
    </row>
    <row r="4110" customFormat="false" ht="15" hidden="false" customHeight="false" outlineLevel="0" collapsed="false">
      <c r="B4110" s="7" t="s">
        <v>12743</v>
      </c>
      <c r="C4110" s="39" t="n">
        <v>45915</v>
      </c>
      <c r="D4110" s="7" t="s">
        <v>184</v>
      </c>
      <c r="E4110" s="7" t="s">
        <v>180</v>
      </c>
      <c r="F4110" s="6" t="n">
        <v>7.64</v>
      </c>
      <c r="G4110" s="6" t="n">
        <v>0</v>
      </c>
      <c r="H4110" s="41" t="n">
        <v>17.34</v>
      </c>
      <c r="I4110" s="43" t="n">
        <f aca="false">F4110*H4110</f>
        <v>132.4776</v>
      </c>
      <c r="J4110" s="43" t="n">
        <f aca="false">G4110*H4110*1.5</f>
        <v>0</v>
      </c>
      <c r="K4110" s="6" t="n">
        <v>18.14</v>
      </c>
      <c r="L4110" s="43" t="n">
        <f aca="false">K4110*'Chart of Accounts'!$E$68</f>
        <v>12.1538</v>
      </c>
      <c r="O4110" s="42" t="n">
        <f aca="false">I4110+J4110+L4110</f>
        <v>144.6314</v>
      </c>
    </row>
    <row r="4111" customFormat="false" ht="15" hidden="false" customHeight="false" outlineLevel="0" collapsed="false">
      <c r="B4111" s="7" t="s">
        <v>12744</v>
      </c>
      <c r="C4111" s="39" t="n">
        <v>45915</v>
      </c>
      <c r="D4111" s="7" t="s">
        <v>216</v>
      </c>
      <c r="E4111" s="7" t="s">
        <v>158</v>
      </c>
      <c r="H4111" s="41" t="n">
        <v>61.79</v>
      </c>
      <c r="M4111" s="6" t="n">
        <v>1</v>
      </c>
      <c r="N4111" s="43" t="n">
        <f aca="false">M4111*H4111</f>
        <v>61.79</v>
      </c>
      <c r="O4111" s="42" t="n">
        <f aca="false">N4111</f>
        <v>61.79</v>
      </c>
    </row>
    <row r="4112" customFormat="false" ht="15" hidden="false" customHeight="false" outlineLevel="0" collapsed="false">
      <c r="B4112" s="7" t="s">
        <v>12745</v>
      </c>
      <c r="C4112" s="39" t="n">
        <v>45915</v>
      </c>
      <c r="D4112" s="7" t="s">
        <v>218</v>
      </c>
      <c r="E4112" s="7" t="s">
        <v>180</v>
      </c>
      <c r="F4112" s="6" t="n">
        <v>4.38</v>
      </c>
      <c r="G4112" s="6" t="n">
        <v>0</v>
      </c>
      <c r="H4112" s="41" t="n">
        <v>16.19</v>
      </c>
      <c r="I4112" s="43" t="n">
        <f aca="false">F4112*H4112</f>
        <v>70.9122</v>
      </c>
      <c r="J4112" s="43" t="n">
        <f aca="false">G4112*H4112*1.5</f>
        <v>0</v>
      </c>
      <c r="K4112" s="6" t="n">
        <v>10.91</v>
      </c>
      <c r="L4112" s="43" t="n">
        <f aca="false">K4112*'Chart of Accounts'!$E$68</f>
        <v>7.3097</v>
      </c>
      <c r="O4112" s="42" t="n">
        <f aca="false">I4112+J4112+L4112</f>
        <v>78.2219</v>
      </c>
    </row>
    <row r="4113" customFormat="false" ht="15" hidden="false" customHeight="false" outlineLevel="0" collapsed="false">
      <c r="B4113" s="7" t="s">
        <v>12746</v>
      </c>
      <c r="C4113" s="39" t="n">
        <v>45915</v>
      </c>
      <c r="D4113" s="7" t="s">
        <v>220</v>
      </c>
      <c r="E4113" s="7" t="s">
        <v>180</v>
      </c>
      <c r="F4113" s="6" t="n">
        <v>3.82</v>
      </c>
      <c r="G4113" s="6" t="n">
        <v>0</v>
      </c>
      <c r="H4113" s="41" t="n">
        <v>16.43</v>
      </c>
      <c r="I4113" s="43" t="n">
        <f aca="false">F4113*H4113</f>
        <v>62.7626</v>
      </c>
      <c r="J4113" s="43" t="n">
        <f aca="false">G4113*H4113*1.5</f>
        <v>0</v>
      </c>
      <c r="K4113" s="6" t="n">
        <v>13.32</v>
      </c>
      <c r="L4113" s="43" t="n">
        <f aca="false">K4113*'Chart of Accounts'!$E$68</f>
        <v>8.9244</v>
      </c>
      <c r="O4113" s="42" t="n">
        <f aca="false">I4113+J4113+L4113</f>
        <v>71.687</v>
      </c>
    </row>
    <row r="4114" customFormat="false" ht="15" hidden="false" customHeight="false" outlineLevel="0" collapsed="false">
      <c r="B4114" s="7" t="s">
        <v>12747</v>
      </c>
      <c r="C4114" s="39" t="n">
        <v>45915</v>
      </c>
      <c r="D4114" s="7" t="s">
        <v>224</v>
      </c>
      <c r="E4114" s="7" t="s">
        <v>180</v>
      </c>
      <c r="F4114" s="6" t="n">
        <v>8.02</v>
      </c>
      <c r="G4114" s="6" t="n">
        <v>0</v>
      </c>
      <c r="H4114" s="41" t="n">
        <v>14.93</v>
      </c>
      <c r="I4114" s="43" t="n">
        <f aca="false">F4114*H4114</f>
        <v>119.7386</v>
      </c>
      <c r="J4114" s="43" t="n">
        <f aca="false">G4114*H4114*1.5</f>
        <v>0</v>
      </c>
      <c r="K4114" s="6" t="n">
        <v>22.3</v>
      </c>
      <c r="L4114" s="43" t="n">
        <f aca="false">K4114*'Chart of Accounts'!$E$68</f>
        <v>14.941</v>
      </c>
      <c r="O4114" s="42" t="n">
        <f aca="false">I4114+J4114+L4114</f>
        <v>134.6796</v>
      </c>
    </row>
    <row r="4115" customFormat="false" ht="15" hidden="false" customHeight="false" outlineLevel="0" collapsed="false">
      <c r="B4115" s="7" t="s">
        <v>12748</v>
      </c>
      <c r="C4115" s="39" t="n">
        <v>45915</v>
      </c>
      <c r="D4115" s="7" t="s">
        <v>177</v>
      </c>
      <c r="E4115" s="7" t="s">
        <v>180</v>
      </c>
      <c r="F4115" s="6" t="n">
        <v>8.72</v>
      </c>
      <c r="G4115" s="6" t="n">
        <v>0</v>
      </c>
      <c r="H4115" s="41" t="n">
        <v>14.56</v>
      </c>
      <c r="I4115" s="43" t="n">
        <f aca="false">F4115*H4115</f>
        <v>126.9632</v>
      </c>
      <c r="J4115" s="43" t="n">
        <f aca="false">G4115*H4115*1.5</f>
        <v>0</v>
      </c>
      <c r="K4115" s="6" t="n">
        <v>23.16</v>
      </c>
      <c r="L4115" s="43" t="n">
        <f aca="false">K4115*'Chart of Accounts'!$E$68</f>
        <v>15.5172</v>
      </c>
      <c r="O4115" s="42" t="n">
        <f aca="false">I4115+J4115+L4115</f>
        <v>142.4804</v>
      </c>
    </row>
    <row r="4116" customFormat="false" ht="15" hidden="false" customHeight="false" outlineLevel="0" collapsed="false">
      <c r="B4116" s="7" t="s">
        <v>12749</v>
      </c>
      <c r="C4116" s="39" t="n">
        <v>45915</v>
      </c>
      <c r="D4116" s="7" t="s">
        <v>242</v>
      </c>
      <c r="E4116" s="7" t="s">
        <v>180</v>
      </c>
      <c r="F4116" s="6" t="n">
        <v>6.195</v>
      </c>
      <c r="G4116" s="6" t="n">
        <v>0.575</v>
      </c>
      <c r="H4116" s="41" t="n">
        <v>17.99</v>
      </c>
      <c r="I4116" s="43" t="n">
        <f aca="false">F4116*H4116</f>
        <v>111.44805</v>
      </c>
      <c r="J4116" s="43" t="n">
        <f aca="false">G4116*H4116*1.5</f>
        <v>15.516375</v>
      </c>
      <c r="K4116" s="6" t="n">
        <v>17.49</v>
      </c>
      <c r="L4116" s="43" t="n">
        <f aca="false">K4116*'Chart of Accounts'!$E$68</f>
        <v>11.7183</v>
      </c>
      <c r="O4116" s="42" t="n">
        <f aca="false">I4116+J4116+L4116</f>
        <v>138.682725</v>
      </c>
    </row>
    <row r="4117" customFormat="false" ht="15" hidden="false" customHeight="false" outlineLevel="0" collapsed="false">
      <c r="B4117" s="7" t="s">
        <v>12750</v>
      </c>
      <c r="C4117" s="39" t="n">
        <v>45915</v>
      </c>
      <c r="D4117" s="7" t="s">
        <v>222</v>
      </c>
      <c r="E4117" s="7" t="s">
        <v>180</v>
      </c>
      <c r="F4117" s="6" t="n">
        <v>6.487</v>
      </c>
      <c r="G4117" s="6" t="n">
        <v>0.243</v>
      </c>
      <c r="H4117" s="41" t="n">
        <v>17.84</v>
      </c>
      <c r="I4117" s="43" t="n">
        <f aca="false">F4117*H4117</f>
        <v>115.72808</v>
      </c>
      <c r="J4117" s="43" t="n">
        <f aca="false">G4117*H4117*1.5</f>
        <v>6.50268</v>
      </c>
      <c r="K4117" s="6" t="n">
        <v>19.11</v>
      </c>
      <c r="L4117" s="43" t="n">
        <f aca="false">K4117*'Chart of Accounts'!$E$68</f>
        <v>12.8037</v>
      </c>
      <c r="O4117" s="42" t="n">
        <f aca="false">I4117+J4117+L4117</f>
        <v>135.03446</v>
      </c>
    </row>
    <row r="4118" customFormat="false" ht="15" hidden="false" customHeight="false" outlineLevel="0" collapsed="false">
      <c r="B4118" s="7" t="s">
        <v>12751</v>
      </c>
      <c r="C4118" s="39" t="n">
        <v>45915</v>
      </c>
      <c r="D4118" s="7" t="s">
        <v>238</v>
      </c>
      <c r="E4118" s="7" t="s">
        <v>180</v>
      </c>
      <c r="F4118" s="6" t="n">
        <v>8.16</v>
      </c>
      <c r="G4118" s="6" t="n">
        <v>0</v>
      </c>
      <c r="H4118" s="41" t="n">
        <v>15.85</v>
      </c>
      <c r="I4118" s="43" t="n">
        <f aca="false">F4118*H4118</f>
        <v>129.336</v>
      </c>
      <c r="J4118" s="43" t="n">
        <f aca="false">G4118*H4118*1.5</f>
        <v>0</v>
      </c>
      <c r="K4118" s="6" t="n">
        <v>26.07</v>
      </c>
      <c r="L4118" s="43" t="n">
        <f aca="false">K4118*'Chart of Accounts'!$E$68</f>
        <v>17.4669</v>
      </c>
      <c r="O4118" s="42" t="n">
        <f aca="false">I4118+J4118+L4118</f>
        <v>146.8029</v>
      </c>
    </row>
    <row r="4119" customFormat="false" ht="15" hidden="false" customHeight="false" outlineLevel="0" collapsed="false">
      <c r="B4119" s="7" t="s">
        <v>12752</v>
      </c>
      <c r="C4119" s="39" t="n">
        <v>45915</v>
      </c>
      <c r="D4119" s="7" t="s">
        <v>244</v>
      </c>
      <c r="E4119" s="7" t="s">
        <v>180</v>
      </c>
      <c r="F4119" s="6" t="n">
        <v>4.12</v>
      </c>
      <c r="G4119" s="6" t="n">
        <v>0</v>
      </c>
      <c r="H4119" s="41" t="n">
        <v>16.39</v>
      </c>
      <c r="I4119" s="43" t="n">
        <f aca="false">F4119*H4119</f>
        <v>67.5268</v>
      </c>
      <c r="J4119" s="43" t="n">
        <f aca="false">G4119*H4119*1.5</f>
        <v>0</v>
      </c>
      <c r="K4119" s="6" t="n">
        <v>9.62</v>
      </c>
      <c r="L4119" s="43" t="n">
        <f aca="false">K4119*'Chart of Accounts'!$E$68</f>
        <v>6.4454</v>
      </c>
      <c r="O4119" s="42" t="n">
        <f aca="false">I4119+J4119+L4119</f>
        <v>73.9722</v>
      </c>
    </row>
    <row r="4120" customFormat="false" ht="15" hidden="false" customHeight="false" outlineLevel="0" collapsed="false">
      <c r="B4120" s="7" t="s">
        <v>12753</v>
      </c>
      <c r="C4120" s="39" t="n">
        <v>45915</v>
      </c>
      <c r="D4120" s="7" t="s">
        <v>254</v>
      </c>
      <c r="E4120" s="7" t="s">
        <v>180</v>
      </c>
      <c r="F4120" s="6" t="n">
        <v>7.316</v>
      </c>
      <c r="G4120" s="6" t="n">
        <v>0.234</v>
      </c>
      <c r="H4120" s="41" t="n">
        <v>17.1</v>
      </c>
      <c r="I4120" s="43" t="n">
        <f aca="false">F4120*H4120</f>
        <v>125.1036</v>
      </c>
      <c r="J4120" s="43" t="n">
        <f aca="false">G4120*H4120*1.5</f>
        <v>6.0021</v>
      </c>
      <c r="K4120" s="6" t="n">
        <v>17.49</v>
      </c>
      <c r="L4120" s="43" t="n">
        <f aca="false">K4120*'Chart of Accounts'!$E$68</f>
        <v>11.7183</v>
      </c>
      <c r="O4120" s="42" t="n">
        <f aca="false">I4120+J4120+L4120</f>
        <v>142.824</v>
      </c>
    </row>
    <row r="4121" customFormat="false" ht="15" hidden="false" customHeight="false" outlineLevel="0" collapsed="false">
      <c r="B4121" s="7" t="s">
        <v>12754</v>
      </c>
      <c r="C4121" s="39" t="n">
        <v>45915</v>
      </c>
      <c r="D4121" s="7" t="s">
        <v>246</v>
      </c>
      <c r="E4121" s="7" t="s">
        <v>180</v>
      </c>
      <c r="F4121" s="6" t="n">
        <v>8.02</v>
      </c>
      <c r="G4121" s="6" t="n">
        <v>0</v>
      </c>
      <c r="H4121" s="41" t="n">
        <v>16.48</v>
      </c>
      <c r="I4121" s="43" t="n">
        <f aca="false">F4121*H4121</f>
        <v>132.1696</v>
      </c>
      <c r="J4121" s="43" t="n">
        <f aca="false">G4121*H4121*1.5</f>
        <v>0</v>
      </c>
      <c r="K4121" s="6" t="n">
        <v>23.46</v>
      </c>
      <c r="L4121" s="43" t="n">
        <f aca="false">K4121*'Chart of Accounts'!$E$68</f>
        <v>15.7182</v>
      </c>
      <c r="O4121" s="42" t="n">
        <f aca="false">I4121+J4121+L4121</f>
        <v>147.8878</v>
      </c>
    </row>
    <row r="4122" customFormat="false" ht="15" hidden="false" customHeight="false" outlineLevel="0" collapsed="false">
      <c r="B4122" s="7" t="s">
        <v>12755</v>
      </c>
      <c r="C4122" s="39" t="n">
        <v>45915</v>
      </c>
      <c r="D4122" s="7" t="s">
        <v>232</v>
      </c>
      <c r="E4122" s="7" t="s">
        <v>180</v>
      </c>
      <c r="F4122" s="6" t="n">
        <v>4.43</v>
      </c>
      <c r="G4122" s="6" t="n">
        <v>0</v>
      </c>
      <c r="H4122" s="41" t="n">
        <v>16.17</v>
      </c>
      <c r="I4122" s="43" t="n">
        <f aca="false">F4122*H4122</f>
        <v>71.6331</v>
      </c>
      <c r="J4122" s="43" t="n">
        <f aca="false">G4122*H4122*1.5</f>
        <v>0</v>
      </c>
      <c r="K4122" s="6" t="n">
        <v>10.55</v>
      </c>
      <c r="L4122" s="43" t="n">
        <f aca="false">K4122*'Chart of Accounts'!$E$68</f>
        <v>7.0685</v>
      </c>
      <c r="O4122" s="42" t="n">
        <f aca="false">I4122+J4122+L4122</f>
        <v>78.7016</v>
      </c>
    </row>
    <row r="4123" customFormat="false" ht="15" hidden="false" customHeight="false" outlineLevel="0" collapsed="false">
      <c r="B4123" s="7" t="s">
        <v>12756</v>
      </c>
      <c r="C4123" s="39" t="n">
        <v>45916</v>
      </c>
      <c r="D4123" s="7" t="s">
        <v>205</v>
      </c>
      <c r="E4123" s="7" t="s">
        <v>180</v>
      </c>
      <c r="F4123" s="6" t="n">
        <v>3.65</v>
      </c>
      <c r="G4123" s="6" t="n">
        <v>0</v>
      </c>
      <c r="H4123" s="41" t="n">
        <v>16.36</v>
      </c>
      <c r="I4123" s="43" t="n">
        <f aca="false">F4123*H4123</f>
        <v>59.714</v>
      </c>
      <c r="J4123" s="43" t="n">
        <f aca="false">G4123*H4123*1.5</f>
        <v>0</v>
      </c>
      <c r="K4123" s="6" t="n">
        <v>11.75</v>
      </c>
      <c r="L4123" s="43" t="n">
        <f aca="false">K4123*'Chart of Accounts'!$E$68</f>
        <v>7.8725</v>
      </c>
      <c r="O4123" s="42" t="n">
        <f aca="false">I4123+J4123+L4123</f>
        <v>67.5865</v>
      </c>
    </row>
    <row r="4124" customFormat="false" ht="15" hidden="false" customHeight="false" outlineLevel="0" collapsed="false">
      <c r="B4124" s="7" t="s">
        <v>12757</v>
      </c>
      <c r="C4124" s="39" t="n">
        <v>45916</v>
      </c>
      <c r="D4124" s="7" t="s">
        <v>198</v>
      </c>
      <c r="E4124" s="7" t="s">
        <v>158</v>
      </c>
      <c r="H4124" s="41" t="n">
        <v>48.09</v>
      </c>
      <c r="M4124" s="6" t="n">
        <v>1</v>
      </c>
      <c r="N4124" s="43" t="n">
        <f aca="false">M4124*H4124</f>
        <v>48.09</v>
      </c>
      <c r="O4124" s="42" t="n">
        <f aca="false">N4124</f>
        <v>48.09</v>
      </c>
    </row>
    <row r="4125" customFormat="false" ht="15" hidden="false" customHeight="false" outlineLevel="0" collapsed="false">
      <c r="B4125" s="7" t="s">
        <v>12758</v>
      </c>
      <c r="C4125" s="39" t="n">
        <v>45916</v>
      </c>
      <c r="D4125" s="7" t="s">
        <v>184</v>
      </c>
      <c r="E4125" s="7" t="s">
        <v>180</v>
      </c>
      <c r="F4125" s="6" t="n">
        <v>3.89</v>
      </c>
      <c r="G4125" s="6" t="n">
        <v>0</v>
      </c>
      <c r="H4125" s="41" t="n">
        <v>17.34</v>
      </c>
      <c r="I4125" s="43" t="n">
        <f aca="false">F4125*H4125</f>
        <v>67.4526</v>
      </c>
      <c r="J4125" s="43" t="n">
        <f aca="false">G4125*H4125*1.5</f>
        <v>0</v>
      </c>
      <c r="K4125" s="6" t="n">
        <v>13.92</v>
      </c>
      <c r="L4125" s="43" t="n">
        <f aca="false">K4125*'Chart of Accounts'!$E$68</f>
        <v>9.3264</v>
      </c>
      <c r="O4125" s="42" t="n">
        <f aca="false">I4125+J4125+L4125</f>
        <v>76.779</v>
      </c>
    </row>
    <row r="4126" customFormat="false" ht="15" hidden="false" customHeight="false" outlineLevel="0" collapsed="false">
      <c r="B4126" s="7" t="s">
        <v>12759</v>
      </c>
      <c r="C4126" s="39" t="n">
        <v>45916</v>
      </c>
      <c r="D4126" s="7" t="s">
        <v>234</v>
      </c>
      <c r="E4126" s="7" t="s">
        <v>158</v>
      </c>
      <c r="H4126" s="41" t="n">
        <v>89.53</v>
      </c>
      <c r="M4126" s="6" t="n">
        <v>2</v>
      </c>
      <c r="N4126" s="43" t="n">
        <f aca="false">M4126*H4126</f>
        <v>179.06</v>
      </c>
      <c r="O4126" s="42" t="n">
        <f aca="false">N4126</f>
        <v>179.06</v>
      </c>
    </row>
    <row r="4127" customFormat="false" ht="15" hidden="false" customHeight="false" outlineLevel="0" collapsed="false">
      <c r="B4127" s="7" t="s">
        <v>12760</v>
      </c>
      <c r="C4127" s="39" t="n">
        <v>45916</v>
      </c>
      <c r="D4127" s="7" t="s">
        <v>218</v>
      </c>
      <c r="E4127" s="7" t="s">
        <v>180</v>
      </c>
      <c r="F4127" s="6" t="n">
        <v>3.97</v>
      </c>
      <c r="G4127" s="6" t="n">
        <v>0</v>
      </c>
      <c r="H4127" s="41" t="n">
        <v>16.19</v>
      </c>
      <c r="I4127" s="43" t="n">
        <f aca="false">F4127*H4127</f>
        <v>64.2743</v>
      </c>
      <c r="J4127" s="43" t="n">
        <f aca="false">G4127*H4127*1.5</f>
        <v>0</v>
      </c>
      <c r="K4127" s="6" t="n">
        <v>13.38</v>
      </c>
      <c r="L4127" s="43" t="n">
        <f aca="false">K4127*'Chart of Accounts'!$E$68</f>
        <v>8.9646</v>
      </c>
      <c r="O4127" s="42" t="n">
        <f aca="false">I4127+J4127+L4127</f>
        <v>73.2389</v>
      </c>
    </row>
    <row r="4128" customFormat="false" ht="15" hidden="false" customHeight="false" outlineLevel="0" collapsed="false">
      <c r="B4128" s="7" t="s">
        <v>12761</v>
      </c>
      <c r="C4128" s="39" t="n">
        <v>45916</v>
      </c>
      <c r="D4128" s="7" t="s">
        <v>203</v>
      </c>
      <c r="E4128" s="7" t="s">
        <v>158</v>
      </c>
      <c r="H4128" s="41" t="n">
        <v>49.43</v>
      </c>
      <c r="M4128" s="6" t="n">
        <v>2</v>
      </c>
      <c r="N4128" s="43" t="n">
        <f aca="false">M4128*H4128</f>
        <v>98.86</v>
      </c>
      <c r="O4128" s="42" t="n">
        <f aca="false">N4128</f>
        <v>98.86</v>
      </c>
    </row>
    <row r="4129" customFormat="false" ht="15" hidden="false" customHeight="false" outlineLevel="0" collapsed="false">
      <c r="B4129" s="7" t="s">
        <v>12762</v>
      </c>
      <c r="C4129" s="39" t="n">
        <v>45916</v>
      </c>
      <c r="D4129" s="7" t="s">
        <v>228</v>
      </c>
      <c r="E4129" s="7" t="s">
        <v>158</v>
      </c>
      <c r="H4129" s="41" t="n">
        <v>51.07</v>
      </c>
      <c r="M4129" s="6" t="n">
        <v>1</v>
      </c>
      <c r="N4129" s="43" t="n">
        <f aca="false">M4129*H4129</f>
        <v>51.07</v>
      </c>
      <c r="O4129" s="42" t="n">
        <f aca="false">N4129</f>
        <v>51.07</v>
      </c>
    </row>
    <row r="4130" customFormat="false" ht="15" hidden="false" customHeight="false" outlineLevel="0" collapsed="false">
      <c r="B4130" s="7" t="s">
        <v>12763</v>
      </c>
      <c r="C4130" s="39" t="n">
        <v>45916</v>
      </c>
      <c r="D4130" s="7" t="s">
        <v>220</v>
      </c>
      <c r="E4130" s="7" t="s">
        <v>180</v>
      </c>
      <c r="F4130" s="6" t="n">
        <v>3.84</v>
      </c>
      <c r="G4130" s="6" t="n">
        <v>0</v>
      </c>
      <c r="H4130" s="41" t="n">
        <v>16.43</v>
      </c>
      <c r="I4130" s="43" t="n">
        <f aca="false">F4130*H4130</f>
        <v>63.0912</v>
      </c>
      <c r="J4130" s="43" t="n">
        <f aca="false">G4130*H4130*1.5</f>
        <v>0</v>
      </c>
      <c r="K4130" s="6" t="n">
        <v>13.1</v>
      </c>
      <c r="L4130" s="43" t="n">
        <f aca="false">K4130*'Chart of Accounts'!$E$68</f>
        <v>8.777</v>
      </c>
      <c r="O4130" s="42" t="n">
        <f aca="false">I4130+J4130+L4130</f>
        <v>71.8682</v>
      </c>
    </row>
    <row r="4131" customFormat="false" ht="15" hidden="false" customHeight="false" outlineLevel="0" collapsed="false">
      <c r="B4131" s="7" t="s">
        <v>12764</v>
      </c>
      <c r="C4131" s="39" t="n">
        <v>45916</v>
      </c>
      <c r="D4131" s="7" t="s">
        <v>244</v>
      </c>
      <c r="E4131" s="7" t="s">
        <v>180</v>
      </c>
      <c r="F4131" s="6" t="n">
        <v>3.8</v>
      </c>
      <c r="G4131" s="6" t="n">
        <v>0</v>
      </c>
      <c r="H4131" s="41" t="n">
        <v>16.39</v>
      </c>
      <c r="I4131" s="43" t="n">
        <f aca="false">F4131*H4131</f>
        <v>62.282</v>
      </c>
      <c r="J4131" s="43" t="n">
        <f aca="false">G4131*H4131*1.5</f>
        <v>0</v>
      </c>
      <c r="K4131" s="6" t="n">
        <v>13.47</v>
      </c>
      <c r="L4131" s="43" t="n">
        <f aca="false">K4131*'Chart of Accounts'!$E$68</f>
        <v>9.0249</v>
      </c>
      <c r="O4131" s="42" t="n">
        <f aca="false">I4131+J4131+L4131</f>
        <v>71.3069</v>
      </c>
    </row>
    <row r="4132" customFormat="false" ht="15" hidden="false" customHeight="false" outlineLevel="0" collapsed="false">
      <c r="B4132" s="7" t="s">
        <v>12765</v>
      </c>
      <c r="C4132" s="39" t="n">
        <v>45916</v>
      </c>
      <c r="D4132" s="7" t="s">
        <v>222</v>
      </c>
      <c r="E4132" s="7" t="s">
        <v>180</v>
      </c>
      <c r="F4132" s="6" t="n">
        <v>7.48</v>
      </c>
      <c r="G4132" s="6" t="n">
        <v>0.28</v>
      </c>
      <c r="H4132" s="41" t="n">
        <v>17.84</v>
      </c>
      <c r="I4132" s="43" t="n">
        <f aca="false">F4132*H4132</f>
        <v>133.4432</v>
      </c>
      <c r="J4132" s="43" t="n">
        <f aca="false">G4132*H4132*1.5</f>
        <v>7.4928</v>
      </c>
      <c r="K4132" s="6" t="n">
        <v>27.5</v>
      </c>
      <c r="L4132" s="43" t="n">
        <f aca="false">K4132*'Chart of Accounts'!$E$68</f>
        <v>18.425</v>
      </c>
      <c r="O4132" s="42" t="n">
        <f aca="false">I4132+J4132+L4132</f>
        <v>159.361</v>
      </c>
    </row>
    <row r="4133" customFormat="false" ht="15" hidden="false" customHeight="false" outlineLevel="0" collapsed="false">
      <c r="B4133" s="7" t="s">
        <v>12766</v>
      </c>
      <c r="C4133" s="39" t="n">
        <v>45916</v>
      </c>
      <c r="D4133" s="7" t="s">
        <v>209</v>
      </c>
      <c r="E4133" s="7" t="s">
        <v>158</v>
      </c>
      <c r="H4133" s="41" t="n">
        <v>73.58</v>
      </c>
      <c r="M4133" s="6" t="n">
        <v>1</v>
      </c>
      <c r="N4133" s="43" t="n">
        <f aca="false">M4133*H4133</f>
        <v>73.58</v>
      </c>
      <c r="O4133" s="42" t="n">
        <f aca="false">N4133</f>
        <v>73.58</v>
      </c>
    </row>
    <row r="4134" customFormat="false" ht="15" hidden="false" customHeight="false" outlineLevel="0" collapsed="false">
      <c r="B4134" s="7" t="s">
        <v>12767</v>
      </c>
      <c r="C4134" s="39" t="n">
        <v>45916</v>
      </c>
      <c r="D4134" s="7" t="s">
        <v>194</v>
      </c>
      <c r="E4134" s="7" t="s">
        <v>180</v>
      </c>
      <c r="F4134" s="6" t="n">
        <v>3.61</v>
      </c>
      <c r="G4134" s="6" t="n">
        <v>0</v>
      </c>
      <c r="H4134" s="41" t="n">
        <v>16</v>
      </c>
      <c r="I4134" s="43" t="n">
        <f aca="false">F4134*H4134</f>
        <v>57.76</v>
      </c>
      <c r="J4134" s="43" t="n">
        <f aca="false">G4134*H4134*1.5</f>
        <v>0</v>
      </c>
      <c r="K4134" s="6" t="n">
        <v>11.35</v>
      </c>
      <c r="L4134" s="43" t="n">
        <f aca="false">K4134*'Chart of Accounts'!$E$68</f>
        <v>7.6045</v>
      </c>
      <c r="O4134" s="42" t="n">
        <f aca="false">I4134+J4134+L4134</f>
        <v>65.3645</v>
      </c>
    </row>
    <row r="4135" customFormat="false" ht="15" hidden="false" customHeight="false" outlineLevel="0" collapsed="false">
      <c r="B4135" s="7" t="s">
        <v>12768</v>
      </c>
      <c r="C4135" s="39" t="n">
        <v>45916</v>
      </c>
      <c r="D4135" s="7" t="s">
        <v>258</v>
      </c>
      <c r="E4135" s="7" t="s">
        <v>158</v>
      </c>
      <c r="H4135" s="41" t="n">
        <v>61.61</v>
      </c>
      <c r="M4135" s="6" t="n">
        <v>1</v>
      </c>
      <c r="N4135" s="43" t="n">
        <f aca="false">M4135*H4135</f>
        <v>61.61</v>
      </c>
      <c r="O4135" s="42" t="n">
        <f aca="false">N4135</f>
        <v>61.61</v>
      </c>
    </row>
    <row r="4136" customFormat="false" ht="15" hidden="false" customHeight="false" outlineLevel="0" collapsed="false">
      <c r="B4136" s="7" t="s">
        <v>12769</v>
      </c>
      <c r="C4136" s="39" t="n">
        <v>45916</v>
      </c>
      <c r="D4136" s="7" t="s">
        <v>230</v>
      </c>
      <c r="E4136" s="7" t="s">
        <v>158</v>
      </c>
      <c r="H4136" s="41" t="n">
        <v>48.78</v>
      </c>
      <c r="M4136" s="6" t="n">
        <v>1</v>
      </c>
      <c r="N4136" s="43" t="n">
        <f aca="false">M4136*H4136</f>
        <v>48.78</v>
      </c>
      <c r="O4136" s="42" t="n">
        <f aca="false">N4136</f>
        <v>48.78</v>
      </c>
    </row>
    <row r="4137" customFormat="false" ht="15" hidden="false" customHeight="false" outlineLevel="0" collapsed="false">
      <c r="B4137" s="7" t="s">
        <v>12770</v>
      </c>
      <c r="C4137" s="39" t="n">
        <v>45916</v>
      </c>
      <c r="D4137" s="7" t="s">
        <v>196</v>
      </c>
      <c r="E4137" s="7" t="s">
        <v>180</v>
      </c>
      <c r="F4137" s="6" t="n">
        <v>3.818</v>
      </c>
      <c r="G4137" s="6" t="n">
        <v>0.112</v>
      </c>
      <c r="H4137" s="41" t="n">
        <v>15.05</v>
      </c>
      <c r="I4137" s="43" t="n">
        <f aca="false">F4137*H4137</f>
        <v>57.4609</v>
      </c>
      <c r="J4137" s="43" t="n">
        <f aca="false">G4137*H4137*1.5</f>
        <v>2.5284</v>
      </c>
      <c r="K4137" s="6" t="n">
        <v>11.52</v>
      </c>
      <c r="L4137" s="43" t="n">
        <f aca="false">K4137*'Chart of Accounts'!$E$68</f>
        <v>7.7184</v>
      </c>
      <c r="O4137" s="42" t="n">
        <f aca="false">I4137+J4137+L4137</f>
        <v>67.7077</v>
      </c>
    </row>
    <row r="4138" customFormat="false" ht="15" hidden="false" customHeight="false" outlineLevel="0" collapsed="false">
      <c r="B4138" s="7" t="s">
        <v>12771</v>
      </c>
      <c r="C4138" s="39" t="n">
        <v>45916</v>
      </c>
      <c r="D4138" s="7" t="s">
        <v>246</v>
      </c>
      <c r="E4138" s="7" t="s">
        <v>180</v>
      </c>
      <c r="F4138" s="6" t="n">
        <v>3.87</v>
      </c>
      <c r="G4138" s="6" t="n">
        <v>0</v>
      </c>
      <c r="H4138" s="41" t="n">
        <v>16.48</v>
      </c>
      <c r="I4138" s="43" t="n">
        <f aca="false">F4138*H4138</f>
        <v>63.7776</v>
      </c>
      <c r="J4138" s="43" t="n">
        <f aca="false">G4138*H4138*1.5</f>
        <v>0</v>
      </c>
      <c r="K4138" s="6" t="n">
        <v>11.74</v>
      </c>
      <c r="L4138" s="43" t="n">
        <f aca="false">K4138*'Chart of Accounts'!$E$68</f>
        <v>7.8658</v>
      </c>
      <c r="O4138" s="42" t="n">
        <f aca="false">I4138+J4138+L4138</f>
        <v>71.6434</v>
      </c>
    </row>
    <row r="4139" customFormat="false" ht="15" hidden="false" customHeight="false" outlineLevel="0" collapsed="false">
      <c r="B4139" s="7" t="s">
        <v>12772</v>
      </c>
      <c r="C4139" s="39" t="n">
        <v>45916</v>
      </c>
      <c r="D4139" s="7" t="s">
        <v>242</v>
      </c>
      <c r="E4139" s="7" t="s">
        <v>180</v>
      </c>
      <c r="F4139" s="6" t="n">
        <v>3.917</v>
      </c>
      <c r="G4139" s="6" t="n">
        <v>0.363</v>
      </c>
      <c r="H4139" s="41" t="n">
        <v>17.99</v>
      </c>
      <c r="I4139" s="43" t="n">
        <f aca="false">F4139*H4139</f>
        <v>70.46683</v>
      </c>
      <c r="J4139" s="43" t="n">
        <f aca="false">G4139*H4139*1.5</f>
        <v>9.795555</v>
      </c>
      <c r="K4139" s="6" t="n">
        <v>9.85</v>
      </c>
      <c r="L4139" s="43" t="n">
        <f aca="false">K4139*'Chart of Accounts'!$E$68</f>
        <v>6.5995</v>
      </c>
      <c r="O4139" s="42" t="n">
        <f aca="false">I4139+J4139+L4139</f>
        <v>86.861885</v>
      </c>
    </row>
    <row r="4140" customFormat="false" ht="15" hidden="false" customHeight="false" outlineLevel="0" collapsed="false">
      <c r="B4140" s="7" t="s">
        <v>12773</v>
      </c>
      <c r="C4140" s="39" t="n">
        <v>45916</v>
      </c>
      <c r="D4140" s="7" t="s">
        <v>254</v>
      </c>
      <c r="E4140" s="7" t="s">
        <v>180</v>
      </c>
      <c r="F4140" s="6" t="n">
        <v>4.225</v>
      </c>
      <c r="G4140" s="6" t="n">
        <v>0.135</v>
      </c>
      <c r="H4140" s="41" t="n">
        <v>17.1</v>
      </c>
      <c r="I4140" s="43" t="n">
        <f aca="false">F4140*H4140</f>
        <v>72.2475</v>
      </c>
      <c r="J4140" s="43" t="n">
        <f aca="false">G4140*H4140*1.5</f>
        <v>3.46275</v>
      </c>
      <c r="K4140" s="6" t="n">
        <v>14</v>
      </c>
      <c r="L4140" s="43" t="n">
        <f aca="false">K4140*'Chart of Accounts'!$E$68</f>
        <v>9.38</v>
      </c>
      <c r="O4140" s="42" t="n">
        <f aca="false">I4140+J4140+L4140</f>
        <v>85.09025</v>
      </c>
    </row>
    <row r="4141" customFormat="false" ht="15" hidden="false" customHeight="false" outlineLevel="0" collapsed="false">
      <c r="B4141" s="7" t="s">
        <v>12774</v>
      </c>
      <c r="C4141" s="39" t="n">
        <v>45916</v>
      </c>
      <c r="D4141" s="7" t="s">
        <v>260</v>
      </c>
      <c r="E4141" s="7" t="s">
        <v>158</v>
      </c>
      <c r="H4141" s="41" t="n">
        <v>79.8</v>
      </c>
      <c r="M4141" s="6" t="n">
        <v>1</v>
      </c>
      <c r="N4141" s="43" t="n">
        <f aca="false">M4141*H4141</f>
        <v>79.8</v>
      </c>
      <c r="O4141" s="42" t="n">
        <f aca="false">N4141</f>
        <v>79.8</v>
      </c>
    </row>
    <row r="4142" customFormat="false" ht="15" hidden="false" customHeight="false" outlineLevel="0" collapsed="false">
      <c r="B4142" s="7" t="s">
        <v>12775</v>
      </c>
      <c r="C4142" s="39" t="n">
        <v>45917</v>
      </c>
      <c r="D4142" s="7" t="s">
        <v>194</v>
      </c>
      <c r="E4142" s="7" t="s">
        <v>180</v>
      </c>
      <c r="F4142" s="6" t="n">
        <v>12.83</v>
      </c>
      <c r="G4142" s="6" t="n">
        <v>0</v>
      </c>
      <c r="H4142" s="41" t="n">
        <v>16</v>
      </c>
      <c r="I4142" s="43" t="n">
        <f aca="false">F4142*H4142</f>
        <v>205.28</v>
      </c>
      <c r="J4142" s="43" t="n">
        <f aca="false">G4142*H4142*1.5</f>
        <v>0</v>
      </c>
      <c r="K4142" s="6" t="n">
        <v>28.26</v>
      </c>
      <c r="L4142" s="43" t="n">
        <f aca="false">K4142*'Chart of Accounts'!$E$68</f>
        <v>18.9342</v>
      </c>
      <c r="O4142" s="42" t="n">
        <f aca="false">I4142+J4142+L4142</f>
        <v>224.2142</v>
      </c>
    </row>
    <row r="4143" customFormat="false" ht="15" hidden="false" customHeight="false" outlineLevel="0" collapsed="false">
      <c r="B4143" s="7" t="s">
        <v>12776</v>
      </c>
      <c r="C4143" s="39" t="n">
        <v>45917</v>
      </c>
      <c r="D4143" s="7" t="s">
        <v>214</v>
      </c>
      <c r="E4143" s="7" t="s">
        <v>180</v>
      </c>
      <c r="F4143" s="6" t="n">
        <v>7.48</v>
      </c>
      <c r="G4143" s="6" t="n">
        <v>0</v>
      </c>
      <c r="H4143" s="41" t="n">
        <v>15.67</v>
      </c>
      <c r="I4143" s="43" t="n">
        <f aca="false">F4143*H4143</f>
        <v>117.2116</v>
      </c>
      <c r="J4143" s="43" t="n">
        <f aca="false">G4143*H4143*1.5</f>
        <v>0</v>
      </c>
      <c r="K4143" s="6" t="n">
        <v>24.08</v>
      </c>
      <c r="L4143" s="43" t="n">
        <f aca="false">K4143*'Chart of Accounts'!$E$68</f>
        <v>16.1336</v>
      </c>
      <c r="O4143" s="42" t="n">
        <f aca="false">I4143+J4143+L4143</f>
        <v>133.3452</v>
      </c>
    </row>
    <row r="4144" customFormat="false" ht="15" hidden="false" customHeight="false" outlineLevel="0" collapsed="false">
      <c r="B4144" s="7" t="s">
        <v>12777</v>
      </c>
      <c r="C4144" s="39" t="n">
        <v>45917</v>
      </c>
      <c r="D4144" s="7" t="s">
        <v>205</v>
      </c>
      <c r="E4144" s="7" t="s">
        <v>180</v>
      </c>
      <c r="F4144" s="6" t="n">
        <v>4.18</v>
      </c>
      <c r="G4144" s="6" t="n">
        <v>0</v>
      </c>
      <c r="H4144" s="41" t="n">
        <v>16.36</v>
      </c>
      <c r="I4144" s="43" t="n">
        <f aca="false">F4144*H4144</f>
        <v>68.3848</v>
      </c>
      <c r="J4144" s="43" t="n">
        <f aca="false">G4144*H4144*1.5</f>
        <v>0</v>
      </c>
      <c r="K4144" s="6" t="n">
        <v>9.9</v>
      </c>
      <c r="L4144" s="43" t="n">
        <f aca="false">K4144*'Chart of Accounts'!$E$68</f>
        <v>6.633</v>
      </c>
      <c r="O4144" s="42" t="n">
        <f aca="false">I4144+J4144+L4144</f>
        <v>75.0178</v>
      </c>
    </row>
    <row r="4145" customFormat="false" ht="15" hidden="false" customHeight="false" outlineLevel="0" collapsed="false">
      <c r="B4145" s="7" t="s">
        <v>12778</v>
      </c>
      <c r="C4145" s="39" t="n">
        <v>45917</v>
      </c>
      <c r="D4145" s="7" t="s">
        <v>264</v>
      </c>
      <c r="E4145" s="7" t="s">
        <v>158</v>
      </c>
      <c r="H4145" s="41" t="n">
        <v>55.55</v>
      </c>
      <c r="M4145" s="6" t="n">
        <v>1</v>
      </c>
      <c r="N4145" s="43" t="n">
        <f aca="false">M4145*H4145</f>
        <v>55.55</v>
      </c>
      <c r="O4145" s="42" t="n">
        <f aca="false">N4145</f>
        <v>55.55</v>
      </c>
    </row>
    <row r="4146" customFormat="false" ht="15" hidden="false" customHeight="false" outlineLevel="0" collapsed="false">
      <c r="B4146" s="7" t="s">
        <v>12779</v>
      </c>
      <c r="C4146" s="39" t="n">
        <v>45917</v>
      </c>
      <c r="D4146" s="7" t="s">
        <v>252</v>
      </c>
      <c r="E4146" s="7" t="s">
        <v>158</v>
      </c>
      <c r="H4146" s="41" t="n">
        <v>57.54</v>
      </c>
      <c r="M4146" s="6" t="n">
        <v>1</v>
      </c>
      <c r="N4146" s="43" t="n">
        <f aca="false">M4146*H4146</f>
        <v>57.54</v>
      </c>
      <c r="O4146" s="42" t="n">
        <f aca="false">N4146</f>
        <v>57.54</v>
      </c>
    </row>
    <row r="4147" customFormat="false" ht="15" hidden="false" customHeight="false" outlineLevel="0" collapsed="false">
      <c r="B4147" s="7" t="s">
        <v>12780</v>
      </c>
      <c r="C4147" s="39" t="n">
        <v>45917</v>
      </c>
      <c r="D4147" s="7" t="s">
        <v>184</v>
      </c>
      <c r="E4147" s="7" t="s">
        <v>180</v>
      </c>
      <c r="F4147" s="6" t="n">
        <v>7.63</v>
      </c>
      <c r="G4147" s="6" t="n">
        <v>0</v>
      </c>
      <c r="H4147" s="41" t="n">
        <v>17.34</v>
      </c>
      <c r="I4147" s="43" t="n">
        <f aca="false">F4147*H4147</f>
        <v>132.3042</v>
      </c>
      <c r="J4147" s="43" t="n">
        <f aca="false">G4147*H4147*1.5</f>
        <v>0</v>
      </c>
      <c r="K4147" s="6" t="n">
        <v>27.35</v>
      </c>
      <c r="L4147" s="43" t="n">
        <f aca="false">K4147*'Chart of Accounts'!$E$68</f>
        <v>18.3245</v>
      </c>
      <c r="O4147" s="42" t="n">
        <f aca="false">I4147+J4147+L4147</f>
        <v>150.6287</v>
      </c>
    </row>
    <row r="4148" customFormat="false" ht="15" hidden="false" customHeight="false" outlineLevel="0" collapsed="false">
      <c r="B4148" s="7" t="s">
        <v>12781</v>
      </c>
      <c r="C4148" s="39" t="n">
        <v>45917</v>
      </c>
      <c r="D4148" s="7" t="s">
        <v>216</v>
      </c>
      <c r="E4148" s="7" t="s">
        <v>158</v>
      </c>
      <c r="H4148" s="41" t="n">
        <v>61.79</v>
      </c>
      <c r="M4148" s="6" t="n">
        <v>1</v>
      </c>
      <c r="N4148" s="43" t="n">
        <f aca="false">M4148*H4148</f>
        <v>61.79</v>
      </c>
      <c r="O4148" s="42" t="n">
        <f aca="false">N4148</f>
        <v>61.79</v>
      </c>
    </row>
    <row r="4149" customFormat="false" ht="15" hidden="false" customHeight="false" outlineLevel="0" collapsed="false">
      <c r="B4149" s="7" t="s">
        <v>12782</v>
      </c>
      <c r="C4149" s="39" t="n">
        <v>45917</v>
      </c>
      <c r="D4149" s="7" t="s">
        <v>218</v>
      </c>
      <c r="E4149" s="7" t="s">
        <v>180</v>
      </c>
      <c r="F4149" s="6" t="n">
        <v>4.17</v>
      </c>
      <c r="G4149" s="6" t="n">
        <v>0</v>
      </c>
      <c r="H4149" s="41" t="n">
        <v>16.19</v>
      </c>
      <c r="I4149" s="43" t="n">
        <f aca="false">F4149*H4149</f>
        <v>67.5123</v>
      </c>
      <c r="J4149" s="43" t="n">
        <f aca="false">G4149*H4149*1.5</f>
        <v>0</v>
      </c>
      <c r="K4149" s="6" t="n">
        <v>9.87</v>
      </c>
      <c r="L4149" s="43" t="n">
        <f aca="false">K4149*'Chart of Accounts'!$E$68</f>
        <v>6.6129</v>
      </c>
      <c r="O4149" s="42" t="n">
        <f aca="false">I4149+J4149+L4149</f>
        <v>74.1252</v>
      </c>
    </row>
    <row r="4150" customFormat="false" ht="15" hidden="false" customHeight="false" outlineLevel="0" collapsed="false">
      <c r="B4150" s="7" t="s">
        <v>12783</v>
      </c>
      <c r="C4150" s="39" t="n">
        <v>45917</v>
      </c>
      <c r="D4150" s="7" t="s">
        <v>220</v>
      </c>
      <c r="E4150" s="7" t="s">
        <v>180</v>
      </c>
      <c r="F4150" s="6" t="n">
        <v>7.29</v>
      </c>
      <c r="G4150" s="6" t="n">
        <v>0</v>
      </c>
      <c r="H4150" s="41" t="n">
        <v>16.43</v>
      </c>
      <c r="I4150" s="43" t="n">
        <f aca="false">F4150*H4150</f>
        <v>119.7747</v>
      </c>
      <c r="J4150" s="43" t="n">
        <f aca="false">G4150*H4150*1.5</f>
        <v>0</v>
      </c>
      <c r="K4150" s="6" t="n">
        <v>19.11</v>
      </c>
      <c r="L4150" s="43" t="n">
        <f aca="false">K4150*'Chart of Accounts'!$E$68</f>
        <v>12.8037</v>
      </c>
      <c r="O4150" s="42" t="n">
        <f aca="false">I4150+J4150+L4150</f>
        <v>132.5784</v>
      </c>
    </row>
    <row r="4151" customFormat="false" ht="15" hidden="false" customHeight="false" outlineLevel="0" collapsed="false">
      <c r="B4151" s="7" t="s">
        <v>12784</v>
      </c>
      <c r="C4151" s="39" t="n">
        <v>45917</v>
      </c>
      <c r="D4151" s="7" t="s">
        <v>177</v>
      </c>
      <c r="E4151" s="7" t="s">
        <v>180</v>
      </c>
      <c r="F4151" s="6" t="n">
        <v>8.85</v>
      </c>
      <c r="G4151" s="6" t="n">
        <v>0</v>
      </c>
      <c r="H4151" s="41" t="n">
        <v>14.56</v>
      </c>
      <c r="I4151" s="43" t="n">
        <f aca="false">F4151*H4151</f>
        <v>128.856</v>
      </c>
      <c r="J4151" s="43" t="n">
        <f aca="false">G4151*H4151*1.5</f>
        <v>0</v>
      </c>
      <c r="K4151" s="6" t="n">
        <v>24.44</v>
      </c>
      <c r="L4151" s="43" t="n">
        <f aca="false">K4151*'Chart of Accounts'!$E$68</f>
        <v>16.3748</v>
      </c>
      <c r="O4151" s="42" t="n">
        <f aca="false">I4151+J4151+L4151</f>
        <v>145.2308</v>
      </c>
    </row>
    <row r="4152" customFormat="false" ht="15" hidden="false" customHeight="false" outlineLevel="0" collapsed="false">
      <c r="B4152" s="7" t="s">
        <v>12785</v>
      </c>
      <c r="C4152" s="39" t="n">
        <v>45917</v>
      </c>
      <c r="D4152" s="7" t="s">
        <v>242</v>
      </c>
      <c r="E4152" s="7" t="s">
        <v>180</v>
      </c>
      <c r="F4152" s="6" t="n">
        <v>2.983</v>
      </c>
      <c r="G4152" s="6" t="n">
        <v>0.277</v>
      </c>
      <c r="H4152" s="41" t="n">
        <v>17.99</v>
      </c>
      <c r="I4152" s="43" t="n">
        <f aca="false">F4152*H4152</f>
        <v>53.66417</v>
      </c>
      <c r="J4152" s="43" t="n">
        <f aca="false">G4152*H4152*1.5</f>
        <v>7.474845</v>
      </c>
      <c r="K4152" s="6" t="n">
        <v>8.33</v>
      </c>
      <c r="L4152" s="43" t="n">
        <f aca="false">K4152*'Chart of Accounts'!$E$68</f>
        <v>5.5811</v>
      </c>
      <c r="O4152" s="42" t="n">
        <f aca="false">I4152+J4152+L4152</f>
        <v>66.720115</v>
      </c>
    </row>
    <row r="4153" customFormat="false" ht="15" hidden="false" customHeight="false" outlineLevel="0" collapsed="false">
      <c r="B4153" s="7" t="s">
        <v>12786</v>
      </c>
      <c r="C4153" s="39" t="n">
        <v>45917</v>
      </c>
      <c r="D4153" s="7" t="s">
        <v>238</v>
      </c>
      <c r="E4153" s="7" t="s">
        <v>180</v>
      </c>
      <c r="F4153" s="6" t="n">
        <v>8.54</v>
      </c>
      <c r="G4153" s="6" t="n">
        <v>0</v>
      </c>
      <c r="H4153" s="41" t="n">
        <v>15.85</v>
      </c>
      <c r="I4153" s="43" t="n">
        <f aca="false">F4153*H4153</f>
        <v>135.359</v>
      </c>
      <c r="J4153" s="43" t="n">
        <f aca="false">G4153*H4153*1.5</f>
        <v>0</v>
      </c>
      <c r="K4153" s="6" t="n">
        <v>27.31</v>
      </c>
      <c r="L4153" s="43" t="n">
        <f aca="false">K4153*'Chart of Accounts'!$E$68</f>
        <v>18.2977</v>
      </c>
      <c r="O4153" s="42" t="n">
        <f aca="false">I4153+J4153+L4153</f>
        <v>153.6567</v>
      </c>
    </row>
    <row r="4154" customFormat="false" ht="15" hidden="false" customHeight="false" outlineLevel="0" collapsed="false">
      <c r="B4154" s="7" t="s">
        <v>12787</v>
      </c>
      <c r="C4154" s="39" t="n">
        <v>45917</v>
      </c>
      <c r="D4154" s="7" t="s">
        <v>244</v>
      </c>
      <c r="E4154" s="7" t="s">
        <v>180</v>
      </c>
      <c r="F4154" s="6" t="n">
        <v>8.51</v>
      </c>
      <c r="G4154" s="6" t="n">
        <v>0</v>
      </c>
      <c r="H4154" s="41" t="n">
        <v>16.39</v>
      </c>
      <c r="I4154" s="43" t="n">
        <f aca="false">F4154*H4154</f>
        <v>139.4789</v>
      </c>
      <c r="J4154" s="43" t="n">
        <f aca="false">G4154*H4154*1.5</f>
        <v>0</v>
      </c>
      <c r="K4154" s="6" t="n">
        <v>19.7</v>
      </c>
      <c r="L4154" s="43" t="n">
        <f aca="false">K4154*'Chart of Accounts'!$E$68</f>
        <v>13.199</v>
      </c>
      <c r="O4154" s="42" t="n">
        <f aca="false">I4154+J4154+L4154</f>
        <v>152.6779</v>
      </c>
    </row>
    <row r="4155" customFormat="false" ht="15" hidden="false" customHeight="false" outlineLevel="0" collapsed="false">
      <c r="B4155" s="7" t="s">
        <v>12788</v>
      </c>
      <c r="C4155" s="39" t="n">
        <v>45917</v>
      </c>
      <c r="D4155" s="7" t="s">
        <v>254</v>
      </c>
      <c r="E4155" s="7" t="s">
        <v>180</v>
      </c>
      <c r="F4155" s="6" t="n">
        <v>10.058</v>
      </c>
      <c r="G4155" s="6" t="n">
        <v>0.322</v>
      </c>
      <c r="H4155" s="41" t="n">
        <v>17.1</v>
      </c>
      <c r="I4155" s="43" t="n">
        <f aca="false">F4155*H4155</f>
        <v>171.9918</v>
      </c>
      <c r="J4155" s="43" t="n">
        <f aca="false">G4155*H4155*1.5</f>
        <v>8.2593</v>
      </c>
      <c r="K4155" s="6" t="n">
        <v>24.33</v>
      </c>
      <c r="L4155" s="43" t="n">
        <f aca="false">K4155*'Chart of Accounts'!$E$68</f>
        <v>16.3011</v>
      </c>
      <c r="O4155" s="42" t="n">
        <f aca="false">I4155+J4155+L4155</f>
        <v>196.5522</v>
      </c>
    </row>
    <row r="4156" customFormat="false" ht="15" hidden="false" customHeight="false" outlineLevel="0" collapsed="false">
      <c r="B4156" s="7" t="s">
        <v>12789</v>
      </c>
      <c r="C4156" s="39" t="n">
        <v>45917</v>
      </c>
      <c r="D4156" s="7" t="s">
        <v>201</v>
      </c>
      <c r="E4156" s="7" t="s">
        <v>180</v>
      </c>
      <c r="F4156" s="6" t="n">
        <v>3.22</v>
      </c>
      <c r="G4156" s="6" t="n">
        <v>0</v>
      </c>
      <c r="H4156" s="41" t="n">
        <v>15.19</v>
      </c>
      <c r="I4156" s="43" t="n">
        <f aca="false">F4156*H4156</f>
        <v>48.9118</v>
      </c>
      <c r="J4156" s="43" t="n">
        <f aca="false">G4156*H4156*1.5</f>
        <v>0</v>
      </c>
      <c r="K4156" s="6" t="n">
        <v>9.71</v>
      </c>
      <c r="L4156" s="43" t="n">
        <f aca="false">K4156*'Chart of Accounts'!$E$68</f>
        <v>6.5057</v>
      </c>
      <c r="O4156" s="42" t="n">
        <f aca="false">I4156+J4156+L4156</f>
        <v>55.4175</v>
      </c>
    </row>
    <row r="4157" customFormat="false" ht="15" hidden="false" customHeight="false" outlineLevel="0" collapsed="false">
      <c r="B4157" s="7" t="s">
        <v>12790</v>
      </c>
      <c r="C4157" s="39" t="n">
        <v>45917</v>
      </c>
      <c r="D4157" s="7" t="s">
        <v>232</v>
      </c>
      <c r="E4157" s="7" t="s">
        <v>180</v>
      </c>
      <c r="F4157" s="6" t="n">
        <v>4.32</v>
      </c>
      <c r="G4157" s="6" t="n">
        <v>0</v>
      </c>
      <c r="H4157" s="41" t="n">
        <v>16.17</v>
      </c>
      <c r="I4157" s="43" t="n">
        <f aca="false">F4157*H4157</f>
        <v>69.8544</v>
      </c>
      <c r="J4157" s="43" t="n">
        <f aca="false">G4157*H4157*1.5</f>
        <v>0</v>
      </c>
      <c r="K4157" s="6" t="n">
        <v>12.56</v>
      </c>
      <c r="L4157" s="43" t="n">
        <f aca="false">K4157*'Chart of Accounts'!$E$68</f>
        <v>8.4152</v>
      </c>
      <c r="O4157" s="42" t="n">
        <f aca="false">I4157+J4157+L4157</f>
        <v>78.2696</v>
      </c>
    </row>
    <row r="4158" customFormat="false" ht="15" hidden="false" customHeight="false" outlineLevel="0" collapsed="false">
      <c r="B4158" s="7" t="s">
        <v>12791</v>
      </c>
      <c r="C4158" s="39" t="n">
        <v>45917</v>
      </c>
      <c r="D4158" s="7" t="s">
        <v>224</v>
      </c>
      <c r="E4158" s="7" t="s">
        <v>180</v>
      </c>
      <c r="F4158" s="6" t="n">
        <v>4.22</v>
      </c>
      <c r="G4158" s="6" t="n">
        <v>0</v>
      </c>
      <c r="H4158" s="41" t="n">
        <v>14.93</v>
      </c>
      <c r="I4158" s="43" t="n">
        <f aca="false">F4158*H4158</f>
        <v>63.0046</v>
      </c>
      <c r="J4158" s="43" t="n">
        <f aca="false">G4158*H4158*1.5</f>
        <v>0</v>
      </c>
      <c r="K4158" s="6" t="n">
        <v>9.64</v>
      </c>
      <c r="L4158" s="43" t="n">
        <f aca="false">K4158*'Chart of Accounts'!$E$68</f>
        <v>6.4588</v>
      </c>
      <c r="O4158" s="42" t="n">
        <f aca="false">I4158+J4158+L4158</f>
        <v>69.4634</v>
      </c>
    </row>
    <row r="4159" customFormat="false" ht="15" hidden="false" customHeight="false" outlineLevel="0" collapsed="false">
      <c r="B4159" s="7" t="s">
        <v>12792</v>
      </c>
      <c r="C4159" s="39" t="n">
        <v>45917</v>
      </c>
      <c r="D4159" s="7" t="s">
        <v>196</v>
      </c>
      <c r="E4159" s="7" t="s">
        <v>180</v>
      </c>
      <c r="F4159" s="6" t="n">
        <v>4.226</v>
      </c>
      <c r="G4159" s="6" t="n">
        <v>0.124</v>
      </c>
      <c r="H4159" s="41" t="n">
        <v>15.05</v>
      </c>
      <c r="I4159" s="43" t="n">
        <f aca="false">F4159*H4159</f>
        <v>63.6013</v>
      </c>
      <c r="J4159" s="43" t="n">
        <f aca="false">G4159*H4159*1.5</f>
        <v>2.7993</v>
      </c>
      <c r="K4159" s="6" t="n">
        <v>13.08</v>
      </c>
      <c r="L4159" s="43" t="n">
        <f aca="false">K4159*'Chart of Accounts'!$E$68</f>
        <v>8.7636</v>
      </c>
      <c r="O4159" s="42" t="n">
        <f aca="false">I4159+J4159+L4159</f>
        <v>75.1642</v>
      </c>
    </row>
    <row r="4160" customFormat="false" ht="15" hidden="false" customHeight="false" outlineLevel="0" collapsed="false">
      <c r="B4160" s="7" t="s">
        <v>12793</v>
      </c>
      <c r="C4160" s="39" t="n">
        <v>45917</v>
      </c>
      <c r="D4160" s="7" t="s">
        <v>246</v>
      </c>
      <c r="E4160" s="7" t="s">
        <v>180</v>
      </c>
      <c r="F4160" s="6" t="n">
        <v>3.75</v>
      </c>
      <c r="G4160" s="6" t="n">
        <v>0</v>
      </c>
      <c r="H4160" s="41" t="n">
        <v>16.48</v>
      </c>
      <c r="I4160" s="43" t="n">
        <f aca="false">F4160*H4160</f>
        <v>61.8</v>
      </c>
      <c r="J4160" s="43" t="n">
        <f aca="false">G4160*H4160*1.5</f>
        <v>0</v>
      </c>
      <c r="K4160" s="6" t="n">
        <v>10.16</v>
      </c>
      <c r="L4160" s="43" t="n">
        <f aca="false">K4160*'Chart of Accounts'!$E$68</f>
        <v>6.8072</v>
      </c>
      <c r="O4160" s="42" t="n">
        <f aca="false">I4160+J4160+L4160</f>
        <v>68.6072</v>
      </c>
    </row>
    <row r="4161" customFormat="false" ht="15" hidden="false" customHeight="false" outlineLevel="0" collapsed="false">
      <c r="B4161" s="7" t="s">
        <v>12794</v>
      </c>
      <c r="C4161" s="39" t="n">
        <v>45917</v>
      </c>
      <c r="D4161" s="7" t="s">
        <v>222</v>
      </c>
      <c r="E4161" s="7" t="s">
        <v>180</v>
      </c>
      <c r="F4161" s="6" t="n">
        <v>4.077</v>
      </c>
      <c r="G4161" s="6" t="n">
        <v>0.153</v>
      </c>
      <c r="H4161" s="41" t="n">
        <v>17.84</v>
      </c>
      <c r="I4161" s="43" t="n">
        <f aca="false">F4161*H4161</f>
        <v>72.73368</v>
      </c>
      <c r="J4161" s="43" t="n">
        <f aca="false">G4161*H4161*1.5</f>
        <v>4.09428</v>
      </c>
      <c r="K4161" s="6" t="n">
        <v>11.1</v>
      </c>
      <c r="L4161" s="43" t="n">
        <f aca="false">K4161*'Chart of Accounts'!$E$68</f>
        <v>7.437</v>
      </c>
      <c r="O4161" s="42" t="n">
        <f aca="false">I4161+J4161+L4161</f>
        <v>84.26496</v>
      </c>
    </row>
    <row r="4162" customFormat="false" ht="15" hidden="false" customHeight="false" outlineLevel="0" collapsed="false">
      <c r="B4162" s="7" t="s">
        <v>12795</v>
      </c>
      <c r="C4162" s="39" t="n">
        <v>45917</v>
      </c>
      <c r="D4162" s="7" t="s">
        <v>203</v>
      </c>
      <c r="E4162" s="7" t="s">
        <v>158</v>
      </c>
      <c r="H4162" s="41" t="n">
        <v>49.43</v>
      </c>
      <c r="M4162" s="6" t="n">
        <v>1</v>
      </c>
      <c r="N4162" s="43" t="n">
        <f aca="false">M4162*H4162</f>
        <v>49.43</v>
      </c>
      <c r="O4162" s="42" t="n">
        <f aca="false">N4162</f>
        <v>49.43</v>
      </c>
    </row>
    <row r="4163" customFormat="false" ht="15" hidden="false" customHeight="false" outlineLevel="0" collapsed="false">
      <c r="B4163" s="7" t="s">
        <v>12796</v>
      </c>
      <c r="C4163" s="39" t="n">
        <v>45918</v>
      </c>
      <c r="D4163" s="7" t="s">
        <v>222</v>
      </c>
      <c r="E4163" s="7" t="s">
        <v>180</v>
      </c>
      <c r="F4163" s="6" t="n">
        <v>10.313</v>
      </c>
      <c r="G4163" s="6" t="n">
        <v>0.387</v>
      </c>
      <c r="H4163" s="41" t="n">
        <v>17.84</v>
      </c>
      <c r="I4163" s="43" t="n">
        <f aca="false">F4163*H4163</f>
        <v>183.98392</v>
      </c>
      <c r="J4163" s="43" t="n">
        <f aca="false">G4163*H4163*1.5</f>
        <v>10.35612</v>
      </c>
      <c r="K4163" s="6" t="n">
        <v>34.5</v>
      </c>
      <c r="L4163" s="43" t="n">
        <f aca="false">K4163*'Chart of Accounts'!$E$68</f>
        <v>23.115</v>
      </c>
      <c r="O4163" s="42" t="n">
        <f aca="false">I4163+J4163+L4163</f>
        <v>217.45504</v>
      </c>
    </row>
    <row r="4164" customFormat="false" ht="15" hidden="false" customHeight="false" outlineLevel="0" collapsed="false">
      <c r="B4164" s="7" t="s">
        <v>12797</v>
      </c>
      <c r="C4164" s="39" t="n">
        <v>45918</v>
      </c>
      <c r="D4164" s="7" t="s">
        <v>201</v>
      </c>
      <c r="E4164" s="7" t="s">
        <v>180</v>
      </c>
      <c r="F4164" s="6" t="n">
        <v>6.19</v>
      </c>
      <c r="G4164" s="6" t="n">
        <v>0</v>
      </c>
      <c r="H4164" s="41" t="n">
        <v>15.19</v>
      </c>
      <c r="I4164" s="43" t="n">
        <f aca="false">F4164*H4164</f>
        <v>94.0261</v>
      </c>
      <c r="J4164" s="43" t="n">
        <f aca="false">G4164*H4164*1.5</f>
        <v>0</v>
      </c>
      <c r="K4164" s="6" t="n">
        <v>16.23</v>
      </c>
      <c r="L4164" s="43" t="n">
        <f aca="false">K4164*'Chart of Accounts'!$E$68</f>
        <v>10.8741</v>
      </c>
      <c r="O4164" s="42" t="n">
        <f aca="false">I4164+J4164+L4164</f>
        <v>104.9002</v>
      </c>
    </row>
    <row r="4165" customFormat="false" ht="15" hidden="false" customHeight="false" outlineLevel="0" collapsed="false">
      <c r="B4165" s="7" t="s">
        <v>12798</v>
      </c>
      <c r="C4165" s="39" t="n">
        <v>45918</v>
      </c>
      <c r="D4165" s="7" t="s">
        <v>196</v>
      </c>
      <c r="E4165" s="7" t="s">
        <v>180</v>
      </c>
      <c r="F4165" s="6" t="n">
        <v>9.415</v>
      </c>
      <c r="G4165" s="6" t="n">
        <v>0.275</v>
      </c>
      <c r="H4165" s="41" t="n">
        <v>15.05</v>
      </c>
      <c r="I4165" s="43" t="n">
        <f aca="false">F4165*H4165</f>
        <v>141.69575</v>
      </c>
      <c r="J4165" s="43" t="n">
        <f aca="false">G4165*H4165*1.5</f>
        <v>6.208125</v>
      </c>
      <c r="K4165" s="6" t="n">
        <v>33.78</v>
      </c>
      <c r="L4165" s="43" t="n">
        <f aca="false">K4165*'Chart of Accounts'!$E$68</f>
        <v>22.6326</v>
      </c>
      <c r="O4165" s="42" t="n">
        <f aca="false">I4165+J4165+L4165</f>
        <v>170.536475</v>
      </c>
    </row>
    <row r="4166" customFormat="false" ht="15" hidden="false" customHeight="false" outlineLevel="0" collapsed="false">
      <c r="B4166" s="7" t="s">
        <v>12799</v>
      </c>
      <c r="C4166" s="39" t="n">
        <v>45918</v>
      </c>
      <c r="D4166" s="7" t="s">
        <v>184</v>
      </c>
      <c r="E4166" s="7" t="s">
        <v>180</v>
      </c>
      <c r="F4166" s="6" t="n">
        <v>4.33</v>
      </c>
      <c r="G4166" s="6" t="n">
        <v>0</v>
      </c>
      <c r="H4166" s="41" t="n">
        <v>17.34</v>
      </c>
      <c r="I4166" s="43" t="n">
        <f aca="false">F4166*H4166</f>
        <v>75.0822</v>
      </c>
      <c r="J4166" s="43" t="n">
        <f aca="false">G4166*H4166*1.5</f>
        <v>0</v>
      </c>
      <c r="K4166" s="6" t="n">
        <v>10.82</v>
      </c>
      <c r="L4166" s="43" t="n">
        <f aca="false">K4166*'Chart of Accounts'!$E$68</f>
        <v>7.2494</v>
      </c>
      <c r="O4166" s="42" t="n">
        <f aca="false">I4166+J4166+L4166</f>
        <v>82.3316</v>
      </c>
    </row>
    <row r="4167" customFormat="false" ht="15" hidden="false" customHeight="false" outlineLevel="0" collapsed="false">
      <c r="B4167" s="7" t="s">
        <v>12800</v>
      </c>
      <c r="C4167" s="39" t="n">
        <v>45918</v>
      </c>
      <c r="D4167" s="7" t="s">
        <v>242</v>
      </c>
      <c r="E4167" s="7" t="s">
        <v>180</v>
      </c>
      <c r="F4167" s="6" t="n">
        <v>6.14</v>
      </c>
      <c r="G4167" s="6" t="n">
        <v>0.57</v>
      </c>
      <c r="H4167" s="41" t="n">
        <v>17.99</v>
      </c>
      <c r="I4167" s="43" t="n">
        <f aca="false">F4167*H4167</f>
        <v>110.4586</v>
      </c>
      <c r="J4167" s="43" t="n">
        <f aca="false">G4167*H4167*1.5</f>
        <v>15.38145</v>
      </c>
      <c r="K4167" s="6" t="n">
        <v>21.64</v>
      </c>
      <c r="L4167" s="43" t="n">
        <f aca="false">K4167*'Chart of Accounts'!$E$68</f>
        <v>14.4988</v>
      </c>
      <c r="O4167" s="42" t="n">
        <f aca="false">I4167+J4167+L4167</f>
        <v>140.33885</v>
      </c>
    </row>
    <row r="4168" customFormat="false" ht="15" hidden="false" customHeight="false" outlineLevel="0" collapsed="false">
      <c r="B4168" s="7" t="s">
        <v>12801</v>
      </c>
      <c r="C4168" s="39" t="n">
        <v>45918</v>
      </c>
      <c r="D4168" s="7" t="s">
        <v>218</v>
      </c>
      <c r="E4168" s="7" t="s">
        <v>180</v>
      </c>
      <c r="F4168" s="6" t="n">
        <v>4.26</v>
      </c>
      <c r="G4168" s="6" t="n">
        <v>0</v>
      </c>
      <c r="H4168" s="41" t="n">
        <v>16.19</v>
      </c>
      <c r="I4168" s="43" t="n">
        <f aca="false">F4168*H4168</f>
        <v>68.9694</v>
      </c>
      <c r="J4168" s="43" t="n">
        <f aca="false">G4168*H4168*1.5</f>
        <v>0</v>
      </c>
      <c r="K4168" s="6" t="n">
        <v>13.96</v>
      </c>
      <c r="L4168" s="43" t="n">
        <f aca="false">K4168*'Chart of Accounts'!$E$68</f>
        <v>9.3532</v>
      </c>
      <c r="O4168" s="42" t="n">
        <f aca="false">I4168+J4168+L4168</f>
        <v>78.3226</v>
      </c>
    </row>
    <row r="4169" customFormat="false" ht="15" hidden="false" customHeight="false" outlineLevel="0" collapsed="false">
      <c r="B4169" s="7" t="s">
        <v>12802</v>
      </c>
      <c r="C4169" s="39" t="n">
        <v>45918</v>
      </c>
      <c r="D4169" s="7" t="s">
        <v>246</v>
      </c>
      <c r="E4169" s="7" t="s">
        <v>180</v>
      </c>
      <c r="F4169" s="6" t="n">
        <v>11.04</v>
      </c>
      <c r="G4169" s="6" t="n">
        <v>0</v>
      </c>
      <c r="H4169" s="41" t="n">
        <v>16.48</v>
      </c>
      <c r="I4169" s="43" t="n">
        <f aca="false">F4169*H4169</f>
        <v>181.9392</v>
      </c>
      <c r="J4169" s="43" t="n">
        <f aca="false">G4169*H4169*1.5</f>
        <v>0</v>
      </c>
      <c r="K4169" s="6" t="n">
        <v>32.27</v>
      </c>
      <c r="L4169" s="43" t="n">
        <f aca="false">K4169*'Chart of Accounts'!$E$68</f>
        <v>21.6209</v>
      </c>
      <c r="O4169" s="42" t="n">
        <f aca="false">I4169+J4169+L4169</f>
        <v>203.5601</v>
      </c>
    </row>
    <row r="4170" customFormat="false" ht="15" hidden="false" customHeight="false" outlineLevel="0" collapsed="false">
      <c r="B4170" s="7" t="s">
        <v>12803</v>
      </c>
      <c r="C4170" s="39" t="n">
        <v>45918</v>
      </c>
      <c r="D4170" s="7" t="s">
        <v>220</v>
      </c>
      <c r="E4170" s="7" t="s">
        <v>180</v>
      </c>
      <c r="F4170" s="6" t="n">
        <v>8.33</v>
      </c>
      <c r="G4170" s="6" t="n">
        <v>0</v>
      </c>
      <c r="H4170" s="41" t="n">
        <v>16.43</v>
      </c>
      <c r="I4170" s="43" t="n">
        <f aca="false">F4170*H4170</f>
        <v>136.8619</v>
      </c>
      <c r="J4170" s="43" t="n">
        <f aca="false">G4170*H4170*1.5</f>
        <v>0</v>
      </c>
      <c r="K4170" s="6" t="n">
        <v>24.7</v>
      </c>
      <c r="L4170" s="43" t="n">
        <f aca="false">K4170*'Chart of Accounts'!$E$68</f>
        <v>16.549</v>
      </c>
      <c r="O4170" s="42" t="n">
        <f aca="false">I4170+J4170+L4170</f>
        <v>153.4109</v>
      </c>
    </row>
    <row r="4171" customFormat="false" ht="15" hidden="false" customHeight="false" outlineLevel="0" collapsed="false">
      <c r="B4171" s="7" t="s">
        <v>12804</v>
      </c>
      <c r="C4171" s="39" t="n">
        <v>45918</v>
      </c>
      <c r="D4171" s="7" t="s">
        <v>224</v>
      </c>
      <c r="E4171" s="7" t="s">
        <v>180</v>
      </c>
      <c r="F4171" s="6" t="n">
        <v>3.77</v>
      </c>
      <c r="G4171" s="6" t="n">
        <v>0</v>
      </c>
      <c r="H4171" s="41" t="n">
        <v>14.93</v>
      </c>
      <c r="I4171" s="43" t="n">
        <f aca="false">F4171*H4171</f>
        <v>56.2861</v>
      </c>
      <c r="J4171" s="43" t="n">
        <f aca="false">G4171*H4171*1.5</f>
        <v>0</v>
      </c>
      <c r="K4171" s="6" t="n">
        <v>11.73</v>
      </c>
      <c r="L4171" s="43" t="n">
        <f aca="false">K4171*'Chart of Accounts'!$E$68</f>
        <v>7.8591</v>
      </c>
      <c r="O4171" s="42" t="n">
        <f aca="false">I4171+J4171+L4171</f>
        <v>64.1452</v>
      </c>
    </row>
    <row r="4172" customFormat="false" ht="15" hidden="false" customHeight="false" outlineLevel="0" collapsed="false">
      <c r="B4172" s="7" t="s">
        <v>12805</v>
      </c>
      <c r="C4172" s="39" t="n">
        <v>45918</v>
      </c>
      <c r="D4172" s="7" t="s">
        <v>244</v>
      </c>
      <c r="E4172" s="7" t="s">
        <v>180</v>
      </c>
      <c r="F4172" s="6" t="n">
        <v>4.12</v>
      </c>
      <c r="G4172" s="6" t="n">
        <v>0</v>
      </c>
      <c r="H4172" s="41" t="n">
        <v>16.39</v>
      </c>
      <c r="I4172" s="43" t="n">
        <f aca="false">F4172*H4172</f>
        <v>67.5268</v>
      </c>
      <c r="J4172" s="43" t="n">
        <f aca="false">G4172*H4172*1.5</f>
        <v>0</v>
      </c>
      <c r="K4172" s="6" t="n">
        <v>11</v>
      </c>
      <c r="L4172" s="43" t="n">
        <f aca="false">K4172*'Chart of Accounts'!$E$68</f>
        <v>7.37</v>
      </c>
      <c r="O4172" s="42" t="n">
        <f aca="false">I4172+J4172+L4172</f>
        <v>74.8968</v>
      </c>
    </row>
    <row r="4173" customFormat="false" ht="15" hidden="false" customHeight="false" outlineLevel="0" collapsed="false">
      <c r="B4173" s="7" t="s">
        <v>12806</v>
      </c>
      <c r="C4173" s="39" t="n">
        <v>45918</v>
      </c>
      <c r="D4173" s="7" t="s">
        <v>177</v>
      </c>
      <c r="E4173" s="7" t="s">
        <v>180</v>
      </c>
      <c r="F4173" s="6" t="n">
        <v>4.12</v>
      </c>
      <c r="G4173" s="6" t="n">
        <v>0</v>
      </c>
      <c r="H4173" s="41" t="n">
        <v>14.56</v>
      </c>
      <c r="I4173" s="43" t="n">
        <f aca="false">F4173*H4173</f>
        <v>59.9872</v>
      </c>
      <c r="J4173" s="43" t="n">
        <f aca="false">G4173*H4173*1.5</f>
        <v>0</v>
      </c>
      <c r="K4173" s="6" t="n">
        <v>13.16</v>
      </c>
      <c r="L4173" s="43" t="n">
        <f aca="false">K4173*'Chart of Accounts'!$E$68</f>
        <v>8.8172</v>
      </c>
      <c r="O4173" s="42" t="n">
        <f aca="false">I4173+J4173+L4173</f>
        <v>68.8044</v>
      </c>
    </row>
    <row r="4174" customFormat="false" ht="15" hidden="false" customHeight="false" outlineLevel="0" collapsed="false">
      <c r="B4174" s="7" t="s">
        <v>12807</v>
      </c>
      <c r="C4174" s="39" t="n">
        <v>45918</v>
      </c>
      <c r="D4174" s="7" t="s">
        <v>194</v>
      </c>
      <c r="E4174" s="7" t="s">
        <v>180</v>
      </c>
      <c r="F4174" s="6" t="n">
        <v>3.72</v>
      </c>
      <c r="G4174" s="6" t="n">
        <v>0</v>
      </c>
      <c r="H4174" s="41" t="n">
        <v>16</v>
      </c>
      <c r="I4174" s="43" t="n">
        <f aca="false">F4174*H4174</f>
        <v>59.52</v>
      </c>
      <c r="J4174" s="43" t="n">
        <f aca="false">G4174*H4174*1.5</f>
        <v>0</v>
      </c>
      <c r="K4174" s="6" t="n">
        <v>9.44</v>
      </c>
      <c r="L4174" s="43" t="n">
        <f aca="false">K4174*'Chart of Accounts'!$E$68</f>
        <v>6.3248</v>
      </c>
      <c r="O4174" s="42" t="n">
        <f aca="false">I4174+J4174+L4174</f>
        <v>65.8448</v>
      </c>
    </row>
    <row r="4175" customFormat="false" ht="15" hidden="false" customHeight="false" outlineLevel="0" collapsed="false">
      <c r="B4175" s="7" t="s">
        <v>12808</v>
      </c>
      <c r="C4175" s="39" t="n">
        <v>45918</v>
      </c>
      <c r="D4175" s="7" t="s">
        <v>214</v>
      </c>
      <c r="E4175" s="7" t="s">
        <v>180</v>
      </c>
      <c r="F4175" s="6" t="n">
        <v>3.93</v>
      </c>
      <c r="G4175" s="6" t="n">
        <v>0</v>
      </c>
      <c r="H4175" s="41" t="n">
        <v>15.67</v>
      </c>
      <c r="I4175" s="43" t="n">
        <f aca="false">F4175*H4175</f>
        <v>61.5831</v>
      </c>
      <c r="J4175" s="43" t="n">
        <f aca="false">G4175*H4175*1.5</f>
        <v>0</v>
      </c>
      <c r="K4175" s="6" t="n">
        <v>14.15</v>
      </c>
      <c r="L4175" s="43" t="n">
        <f aca="false">K4175*'Chart of Accounts'!$E$68</f>
        <v>9.4805</v>
      </c>
      <c r="O4175" s="42" t="n">
        <f aca="false">I4175+J4175+L4175</f>
        <v>71.0636</v>
      </c>
    </row>
    <row r="4176" customFormat="false" ht="15" hidden="false" customHeight="false" outlineLevel="0" collapsed="false">
      <c r="B4176" s="7" t="s">
        <v>12809</v>
      </c>
      <c r="C4176" s="39" t="n">
        <v>45918</v>
      </c>
      <c r="D4176" s="7" t="s">
        <v>254</v>
      </c>
      <c r="E4176" s="7" t="s">
        <v>180</v>
      </c>
      <c r="F4176" s="6" t="n">
        <v>3.895</v>
      </c>
      <c r="G4176" s="6" t="n">
        <v>0.125</v>
      </c>
      <c r="H4176" s="41" t="n">
        <v>17.1</v>
      </c>
      <c r="I4176" s="43" t="n">
        <f aca="false">F4176*H4176</f>
        <v>66.6045</v>
      </c>
      <c r="J4176" s="43" t="n">
        <f aca="false">G4176*H4176*1.5</f>
        <v>3.20625</v>
      </c>
      <c r="K4176" s="6" t="n">
        <v>12.61</v>
      </c>
      <c r="L4176" s="43" t="n">
        <f aca="false">K4176*'Chart of Accounts'!$E$68</f>
        <v>8.4487</v>
      </c>
      <c r="O4176" s="42" t="n">
        <f aca="false">I4176+J4176+L4176</f>
        <v>78.25945</v>
      </c>
    </row>
    <row r="4177" customFormat="false" ht="15" hidden="false" customHeight="false" outlineLevel="0" collapsed="false">
      <c r="B4177" s="7" t="s">
        <v>12810</v>
      </c>
      <c r="C4177" s="39" t="n">
        <v>45919</v>
      </c>
      <c r="D4177" s="7" t="s">
        <v>205</v>
      </c>
      <c r="E4177" s="7" t="s">
        <v>180</v>
      </c>
      <c r="F4177" s="6" t="n">
        <v>8.26</v>
      </c>
      <c r="G4177" s="6" t="n">
        <v>0</v>
      </c>
      <c r="H4177" s="41" t="n">
        <v>16.36</v>
      </c>
      <c r="I4177" s="43" t="n">
        <f aca="false">F4177*H4177</f>
        <v>135.1336</v>
      </c>
      <c r="J4177" s="43" t="n">
        <f aca="false">G4177*H4177*1.5</f>
        <v>0</v>
      </c>
      <c r="K4177" s="6" t="n">
        <v>29.39</v>
      </c>
      <c r="L4177" s="43" t="n">
        <f aca="false">K4177*'Chart of Accounts'!$E$68</f>
        <v>19.6913</v>
      </c>
      <c r="O4177" s="42" t="n">
        <f aca="false">I4177+J4177+L4177</f>
        <v>154.8249</v>
      </c>
    </row>
    <row r="4178" customFormat="false" ht="15" hidden="false" customHeight="false" outlineLevel="0" collapsed="false">
      <c r="B4178" s="7" t="s">
        <v>12811</v>
      </c>
      <c r="C4178" s="39" t="n">
        <v>45919</v>
      </c>
      <c r="D4178" s="7" t="s">
        <v>194</v>
      </c>
      <c r="E4178" s="7" t="s">
        <v>180</v>
      </c>
      <c r="F4178" s="6" t="n">
        <v>4.26</v>
      </c>
      <c r="G4178" s="6" t="n">
        <v>0</v>
      </c>
      <c r="H4178" s="41" t="n">
        <v>16</v>
      </c>
      <c r="I4178" s="43" t="n">
        <f aca="false">F4178*H4178</f>
        <v>68.16</v>
      </c>
      <c r="J4178" s="43" t="n">
        <f aca="false">G4178*H4178*1.5</f>
        <v>0</v>
      </c>
      <c r="K4178" s="6" t="n">
        <v>12.71</v>
      </c>
      <c r="L4178" s="43" t="n">
        <f aca="false">K4178*'Chart of Accounts'!$E$68</f>
        <v>8.5157</v>
      </c>
      <c r="O4178" s="42" t="n">
        <f aca="false">I4178+J4178+L4178</f>
        <v>76.6757</v>
      </c>
    </row>
    <row r="4179" customFormat="false" ht="15" hidden="false" customHeight="false" outlineLevel="0" collapsed="false">
      <c r="B4179" s="7" t="s">
        <v>12812</v>
      </c>
      <c r="C4179" s="39" t="n">
        <v>45919</v>
      </c>
      <c r="D4179" s="7" t="s">
        <v>198</v>
      </c>
      <c r="E4179" s="7" t="s">
        <v>158</v>
      </c>
      <c r="H4179" s="41" t="n">
        <v>48.09</v>
      </c>
      <c r="M4179" s="6" t="n">
        <v>1</v>
      </c>
      <c r="N4179" s="43" t="n">
        <f aca="false">M4179*H4179</f>
        <v>48.09</v>
      </c>
      <c r="O4179" s="42" t="n">
        <f aca="false">N4179</f>
        <v>48.09</v>
      </c>
    </row>
    <row r="4180" customFormat="false" ht="15" hidden="false" customHeight="false" outlineLevel="0" collapsed="false">
      <c r="B4180" s="7" t="s">
        <v>12813</v>
      </c>
      <c r="C4180" s="39" t="n">
        <v>45919</v>
      </c>
      <c r="D4180" s="7" t="s">
        <v>214</v>
      </c>
      <c r="E4180" s="7" t="s">
        <v>180</v>
      </c>
      <c r="F4180" s="6" t="n">
        <v>7.12</v>
      </c>
      <c r="G4180" s="6" t="n">
        <v>0</v>
      </c>
      <c r="H4180" s="41" t="n">
        <v>15.67</v>
      </c>
      <c r="I4180" s="43" t="n">
        <f aca="false">F4180*H4180</f>
        <v>111.5704</v>
      </c>
      <c r="J4180" s="43" t="n">
        <f aca="false">G4180*H4180*1.5</f>
        <v>0</v>
      </c>
      <c r="K4180" s="6" t="n">
        <v>24.02</v>
      </c>
      <c r="L4180" s="43" t="n">
        <f aca="false">K4180*'Chart of Accounts'!$E$68</f>
        <v>16.0934</v>
      </c>
      <c r="O4180" s="42" t="n">
        <f aca="false">I4180+J4180+L4180</f>
        <v>127.6638</v>
      </c>
    </row>
    <row r="4181" customFormat="false" ht="15" hidden="false" customHeight="false" outlineLevel="0" collapsed="false">
      <c r="B4181" s="7" t="s">
        <v>12814</v>
      </c>
      <c r="C4181" s="39" t="n">
        <v>45919</v>
      </c>
      <c r="D4181" s="7" t="s">
        <v>209</v>
      </c>
      <c r="E4181" s="7" t="s">
        <v>158</v>
      </c>
      <c r="H4181" s="41" t="n">
        <v>73.58</v>
      </c>
      <c r="M4181" s="6" t="n">
        <v>2</v>
      </c>
      <c r="N4181" s="43" t="n">
        <f aca="false">M4181*H4181</f>
        <v>147.16</v>
      </c>
      <c r="O4181" s="42" t="n">
        <f aca="false">N4181</f>
        <v>147.16</v>
      </c>
    </row>
    <row r="4182" customFormat="false" ht="15" hidden="false" customHeight="false" outlineLevel="0" collapsed="false">
      <c r="B4182" s="7" t="s">
        <v>12815</v>
      </c>
      <c r="C4182" s="39" t="n">
        <v>45919</v>
      </c>
      <c r="D4182" s="7" t="s">
        <v>264</v>
      </c>
      <c r="E4182" s="7" t="s">
        <v>158</v>
      </c>
      <c r="H4182" s="41" t="n">
        <v>55.55</v>
      </c>
      <c r="M4182" s="6" t="n">
        <v>1</v>
      </c>
      <c r="N4182" s="43" t="n">
        <f aca="false">M4182*H4182</f>
        <v>55.55</v>
      </c>
      <c r="O4182" s="42" t="n">
        <f aca="false">N4182</f>
        <v>55.55</v>
      </c>
    </row>
    <row r="4183" customFormat="false" ht="15" hidden="false" customHeight="false" outlineLevel="0" collapsed="false">
      <c r="B4183" s="7" t="s">
        <v>12816</v>
      </c>
      <c r="C4183" s="39" t="n">
        <v>45919</v>
      </c>
      <c r="D4183" s="7" t="s">
        <v>252</v>
      </c>
      <c r="E4183" s="7" t="s">
        <v>158</v>
      </c>
      <c r="H4183" s="41" t="n">
        <v>57.54</v>
      </c>
      <c r="M4183" s="6" t="n">
        <v>1</v>
      </c>
      <c r="N4183" s="43" t="n">
        <f aca="false">M4183*H4183</f>
        <v>57.54</v>
      </c>
      <c r="O4183" s="42" t="n">
        <f aca="false">N4183</f>
        <v>57.54</v>
      </c>
    </row>
    <row r="4184" customFormat="false" ht="15" hidden="false" customHeight="false" outlineLevel="0" collapsed="false">
      <c r="B4184" s="7" t="s">
        <v>12817</v>
      </c>
      <c r="C4184" s="39" t="n">
        <v>45919</v>
      </c>
      <c r="D4184" s="7" t="s">
        <v>184</v>
      </c>
      <c r="E4184" s="7" t="s">
        <v>180</v>
      </c>
      <c r="F4184" s="6" t="n">
        <v>8.42</v>
      </c>
      <c r="G4184" s="6" t="n">
        <v>0</v>
      </c>
      <c r="H4184" s="41" t="n">
        <v>17.34</v>
      </c>
      <c r="I4184" s="43" t="n">
        <f aca="false">F4184*H4184</f>
        <v>146.0028</v>
      </c>
      <c r="J4184" s="43" t="n">
        <f aca="false">G4184*H4184*1.5</f>
        <v>0</v>
      </c>
      <c r="K4184" s="6" t="n">
        <v>27.11</v>
      </c>
      <c r="L4184" s="43" t="n">
        <f aca="false">K4184*'Chart of Accounts'!$E$68</f>
        <v>18.1637</v>
      </c>
      <c r="O4184" s="42" t="n">
        <f aca="false">I4184+J4184+L4184</f>
        <v>164.1665</v>
      </c>
    </row>
    <row r="4185" customFormat="false" ht="15" hidden="false" customHeight="false" outlineLevel="0" collapsed="false">
      <c r="B4185" s="7" t="s">
        <v>12818</v>
      </c>
      <c r="C4185" s="39" t="n">
        <v>45919</v>
      </c>
      <c r="D4185" s="7" t="s">
        <v>216</v>
      </c>
      <c r="E4185" s="7" t="s">
        <v>158</v>
      </c>
      <c r="H4185" s="41" t="n">
        <v>61.79</v>
      </c>
      <c r="M4185" s="6" t="n">
        <v>1</v>
      </c>
      <c r="N4185" s="43" t="n">
        <f aca="false">M4185*H4185</f>
        <v>61.79</v>
      </c>
      <c r="O4185" s="42" t="n">
        <f aca="false">N4185</f>
        <v>61.79</v>
      </c>
    </row>
    <row r="4186" customFormat="false" ht="15" hidden="false" customHeight="false" outlineLevel="0" collapsed="false">
      <c r="B4186" s="7" t="s">
        <v>12819</v>
      </c>
      <c r="C4186" s="39" t="n">
        <v>45919</v>
      </c>
      <c r="D4186" s="7" t="s">
        <v>234</v>
      </c>
      <c r="E4186" s="7" t="s">
        <v>158</v>
      </c>
      <c r="H4186" s="41" t="n">
        <v>89.53</v>
      </c>
      <c r="M4186" s="6" t="n">
        <v>2</v>
      </c>
      <c r="N4186" s="43" t="n">
        <f aca="false">M4186*H4186</f>
        <v>179.06</v>
      </c>
      <c r="O4186" s="42" t="n">
        <f aca="false">N4186</f>
        <v>179.06</v>
      </c>
    </row>
    <row r="4187" customFormat="false" ht="15" hidden="false" customHeight="false" outlineLevel="0" collapsed="false">
      <c r="B4187" s="7" t="s">
        <v>12820</v>
      </c>
      <c r="C4187" s="39" t="n">
        <v>45919</v>
      </c>
      <c r="D4187" s="7" t="s">
        <v>218</v>
      </c>
      <c r="E4187" s="7" t="s">
        <v>180</v>
      </c>
      <c r="F4187" s="6" t="n">
        <v>3.8</v>
      </c>
      <c r="G4187" s="6" t="n">
        <v>0</v>
      </c>
      <c r="H4187" s="41" t="n">
        <v>16.19</v>
      </c>
      <c r="I4187" s="43" t="n">
        <f aca="false">F4187*H4187</f>
        <v>61.522</v>
      </c>
      <c r="J4187" s="43" t="n">
        <f aca="false">G4187*H4187*1.5</f>
        <v>0</v>
      </c>
      <c r="K4187" s="6" t="n">
        <v>10.8</v>
      </c>
      <c r="L4187" s="43" t="n">
        <f aca="false">K4187*'Chart of Accounts'!$E$68</f>
        <v>7.236</v>
      </c>
      <c r="O4187" s="42" t="n">
        <f aca="false">I4187+J4187+L4187</f>
        <v>68.758</v>
      </c>
    </row>
    <row r="4188" customFormat="false" ht="15" hidden="false" customHeight="false" outlineLevel="0" collapsed="false">
      <c r="B4188" s="7" t="s">
        <v>12821</v>
      </c>
      <c r="C4188" s="39" t="n">
        <v>45919</v>
      </c>
      <c r="D4188" s="7" t="s">
        <v>260</v>
      </c>
      <c r="E4188" s="7" t="s">
        <v>158</v>
      </c>
      <c r="H4188" s="41" t="n">
        <v>79.8</v>
      </c>
      <c r="M4188" s="6" t="n">
        <v>2</v>
      </c>
      <c r="N4188" s="43" t="n">
        <f aca="false">M4188*H4188</f>
        <v>159.6</v>
      </c>
      <c r="O4188" s="42" t="n">
        <f aca="false">N4188</f>
        <v>159.6</v>
      </c>
    </row>
    <row r="4189" customFormat="false" ht="15" hidden="false" customHeight="false" outlineLevel="0" collapsed="false">
      <c r="B4189" s="7" t="s">
        <v>12822</v>
      </c>
      <c r="C4189" s="39" t="n">
        <v>45919</v>
      </c>
      <c r="D4189" s="7" t="s">
        <v>228</v>
      </c>
      <c r="E4189" s="7" t="s">
        <v>158</v>
      </c>
      <c r="H4189" s="41" t="n">
        <v>51.07</v>
      </c>
      <c r="M4189" s="6" t="n">
        <v>1</v>
      </c>
      <c r="N4189" s="43" t="n">
        <f aca="false">M4189*H4189</f>
        <v>51.07</v>
      </c>
      <c r="O4189" s="42" t="n">
        <f aca="false">N4189</f>
        <v>51.07</v>
      </c>
    </row>
    <row r="4190" customFormat="false" ht="15" hidden="false" customHeight="false" outlineLevel="0" collapsed="false">
      <c r="B4190" s="7" t="s">
        <v>12823</v>
      </c>
      <c r="C4190" s="39" t="n">
        <v>45919</v>
      </c>
      <c r="D4190" s="7" t="s">
        <v>220</v>
      </c>
      <c r="E4190" s="7" t="s">
        <v>180</v>
      </c>
      <c r="F4190" s="6" t="n">
        <v>4.15</v>
      </c>
      <c r="G4190" s="6" t="n">
        <v>0</v>
      </c>
      <c r="H4190" s="41" t="n">
        <v>16.43</v>
      </c>
      <c r="I4190" s="43" t="n">
        <f aca="false">F4190*H4190</f>
        <v>68.1845</v>
      </c>
      <c r="J4190" s="43" t="n">
        <f aca="false">G4190*H4190*1.5</f>
        <v>0</v>
      </c>
      <c r="K4190" s="6" t="n">
        <v>9.46</v>
      </c>
      <c r="L4190" s="43" t="n">
        <f aca="false">K4190*'Chart of Accounts'!$E$68</f>
        <v>6.3382</v>
      </c>
      <c r="O4190" s="42" t="n">
        <f aca="false">I4190+J4190+L4190</f>
        <v>74.5227</v>
      </c>
    </row>
    <row r="4191" customFormat="false" ht="15" hidden="false" customHeight="false" outlineLevel="0" collapsed="false">
      <c r="B4191" s="7" t="s">
        <v>12824</v>
      </c>
      <c r="C4191" s="39" t="n">
        <v>45919</v>
      </c>
      <c r="D4191" s="7" t="s">
        <v>177</v>
      </c>
      <c r="E4191" s="7" t="s">
        <v>180</v>
      </c>
      <c r="F4191" s="6" t="n">
        <v>9.22</v>
      </c>
      <c r="G4191" s="6" t="n">
        <v>0</v>
      </c>
      <c r="H4191" s="41" t="n">
        <v>14.56</v>
      </c>
      <c r="I4191" s="43" t="n">
        <f aca="false">F4191*H4191</f>
        <v>134.2432</v>
      </c>
      <c r="J4191" s="43" t="n">
        <f aca="false">G4191*H4191*1.5</f>
        <v>0</v>
      </c>
      <c r="K4191" s="6" t="n">
        <v>27.52</v>
      </c>
      <c r="L4191" s="43" t="n">
        <f aca="false">K4191*'Chart of Accounts'!$E$68</f>
        <v>18.4384</v>
      </c>
      <c r="O4191" s="42" t="n">
        <f aca="false">I4191+J4191+L4191</f>
        <v>152.6816</v>
      </c>
    </row>
    <row r="4192" customFormat="false" ht="15" hidden="false" customHeight="false" outlineLevel="0" collapsed="false">
      <c r="B4192" s="7" t="s">
        <v>12825</v>
      </c>
      <c r="C4192" s="39" t="n">
        <v>45919</v>
      </c>
      <c r="D4192" s="7" t="s">
        <v>242</v>
      </c>
      <c r="E4192" s="7" t="s">
        <v>180</v>
      </c>
      <c r="F4192" s="6" t="n">
        <v>6.259</v>
      </c>
      <c r="G4192" s="6" t="n">
        <v>0.581</v>
      </c>
      <c r="H4192" s="41" t="n">
        <v>17.99</v>
      </c>
      <c r="I4192" s="43" t="n">
        <f aca="false">F4192*H4192</f>
        <v>112.59941</v>
      </c>
      <c r="J4192" s="43" t="n">
        <f aca="false">G4192*H4192*1.5</f>
        <v>15.678285</v>
      </c>
      <c r="K4192" s="6" t="n">
        <v>23.55</v>
      </c>
      <c r="L4192" s="43" t="n">
        <f aca="false">K4192*'Chart of Accounts'!$E$68</f>
        <v>15.7785</v>
      </c>
      <c r="O4192" s="42" t="n">
        <f aca="false">I4192+J4192+L4192</f>
        <v>144.056195</v>
      </c>
    </row>
    <row r="4193" customFormat="false" ht="15" hidden="false" customHeight="false" outlineLevel="0" collapsed="false">
      <c r="B4193" s="7" t="s">
        <v>12826</v>
      </c>
      <c r="C4193" s="39" t="n">
        <v>45919</v>
      </c>
      <c r="D4193" s="7" t="s">
        <v>238</v>
      </c>
      <c r="E4193" s="7" t="s">
        <v>180</v>
      </c>
      <c r="F4193" s="6" t="n">
        <v>9.02</v>
      </c>
      <c r="G4193" s="6" t="n">
        <v>0</v>
      </c>
      <c r="H4193" s="41" t="n">
        <v>15.85</v>
      </c>
      <c r="I4193" s="43" t="n">
        <f aca="false">F4193*H4193</f>
        <v>142.967</v>
      </c>
      <c r="J4193" s="43" t="n">
        <f aca="false">G4193*H4193*1.5</f>
        <v>0</v>
      </c>
      <c r="K4193" s="6" t="n">
        <v>27.83</v>
      </c>
      <c r="L4193" s="43" t="n">
        <f aca="false">K4193*'Chart of Accounts'!$E$68</f>
        <v>18.6461</v>
      </c>
      <c r="O4193" s="42" t="n">
        <f aca="false">I4193+J4193+L4193</f>
        <v>161.6131</v>
      </c>
    </row>
    <row r="4194" customFormat="false" ht="15" hidden="false" customHeight="false" outlineLevel="0" collapsed="false">
      <c r="B4194" s="7" t="s">
        <v>12827</v>
      </c>
      <c r="C4194" s="39" t="n">
        <v>45919</v>
      </c>
      <c r="D4194" s="7" t="s">
        <v>244</v>
      </c>
      <c r="E4194" s="7" t="s">
        <v>180</v>
      </c>
      <c r="F4194" s="6" t="n">
        <v>7.15</v>
      </c>
      <c r="G4194" s="6" t="n">
        <v>0</v>
      </c>
      <c r="H4194" s="41" t="n">
        <v>16.39</v>
      </c>
      <c r="I4194" s="43" t="n">
        <f aca="false">F4194*H4194</f>
        <v>117.1885</v>
      </c>
      <c r="J4194" s="43" t="n">
        <f aca="false">G4194*H4194*1.5</f>
        <v>0</v>
      </c>
      <c r="K4194" s="6" t="n">
        <v>19.14</v>
      </c>
      <c r="L4194" s="43" t="n">
        <f aca="false">K4194*'Chart of Accounts'!$E$68</f>
        <v>12.8238</v>
      </c>
      <c r="O4194" s="42" t="n">
        <f aca="false">I4194+J4194+L4194</f>
        <v>130.0123</v>
      </c>
    </row>
    <row r="4195" customFormat="false" ht="15" hidden="false" customHeight="false" outlineLevel="0" collapsed="false">
      <c r="B4195" s="7" t="s">
        <v>12828</v>
      </c>
      <c r="C4195" s="39" t="n">
        <v>45919</v>
      </c>
      <c r="D4195" s="7" t="s">
        <v>254</v>
      </c>
      <c r="E4195" s="7" t="s">
        <v>180</v>
      </c>
      <c r="F4195" s="6" t="n">
        <v>7.19</v>
      </c>
      <c r="G4195" s="6" t="n">
        <v>0.23</v>
      </c>
      <c r="H4195" s="41" t="n">
        <v>17.1</v>
      </c>
      <c r="I4195" s="43" t="n">
        <f aca="false">F4195*H4195</f>
        <v>122.949</v>
      </c>
      <c r="J4195" s="43" t="n">
        <f aca="false">G4195*H4195*1.5</f>
        <v>5.8995</v>
      </c>
      <c r="K4195" s="6" t="n">
        <v>18.12</v>
      </c>
      <c r="L4195" s="43" t="n">
        <f aca="false">K4195*'Chart of Accounts'!$E$68</f>
        <v>12.1404</v>
      </c>
      <c r="O4195" s="42" t="n">
        <f aca="false">I4195+J4195+L4195</f>
        <v>140.9889</v>
      </c>
    </row>
    <row r="4196" customFormat="false" ht="15" hidden="false" customHeight="false" outlineLevel="0" collapsed="false">
      <c r="B4196" s="7" t="s">
        <v>12829</v>
      </c>
      <c r="C4196" s="39" t="n">
        <v>45919</v>
      </c>
      <c r="D4196" s="7" t="s">
        <v>201</v>
      </c>
      <c r="E4196" s="7" t="s">
        <v>180</v>
      </c>
      <c r="F4196" s="6" t="n">
        <v>3.02</v>
      </c>
      <c r="G4196" s="6" t="n">
        <v>0</v>
      </c>
      <c r="H4196" s="41" t="n">
        <v>15.19</v>
      </c>
      <c r="I4196" s="43" t="n">
        <f aca="false">F4196*H4196</f>
        <v>45.8738</v>
      </c>
      <c r="J4196" s="43" t="n">
        <f aca="false">G4196*H4196*1.5</f>
        <v>0</v>
      </c>
      <c r="K4196" s="6" t="n">
        <v>10.58</v>
      </c>
      <c r="L4196" s="43" t="n">
        <f aca="false">K4196*'Chart of Accounts'!$E$68</f>
        <v>7.0886</v>
      </c>
      <c r="O4196" s="42" t="n">
        <f aca="false">I4196+J4196+L4196</f>
        <v>52.9624</v>
      </c>
    </row>
    <row r="4197" customFormat="false" ht="15" hidden="false" customHeight="false" outlineLevel="0" collapsed="false">
      <c r="B4197" s="7" t="s">
        <v>12830</v>
      </c>
      <c r="C4197" s="39" t="n">
        <v>45919</v>
      </c>
      <c r="D4197" s="7" t="s">
        <v>196</v>
      </c>
      <c r="E4197" s="7" t="s">
        <v>180</v>
      </c>
      <c r="F4197" s="6" t="n">
        <v>8.074</v>
      </c>
      <c r="G4197" s="6" t="n">
        <v>0.236</v>
      </c>
      <c r="H4197" s="41" t="n">
        <v>15.05</v>
      </c>
      <c r="I4197" s="43" t="n">
        <f aca="false">F4197*H4197</f>
        <v>121.5137</v>
      </c>
      <c r="J4197" s="43" t="n">
        <f aca="false">G4197*H4197*1.5</f>
        <v>5.3277</v>
      </c>
      <c r="K4197" s="6" t="n">
        <v>20.11</v>
      </c>
      <c r="L4197" s="43" t="n">
        <f aca="false">K4197*'Chart of Accounts'!$E$68</f>
        <v>13.4737</v>
      </c>
      <c r="O4197" s="42" t="n">
        <f aca="false">I4197+J4197+L4197</f>
        <v>140.3151</v>
      </c>
    </row>
    <row r="4198" customFormat="false" ht="15" hidden="false" customHeight="false" outlineLevel="0" collapsed="false">
      <c r="B4198" s="7" t="s">
        <v>12831</v>
      </c>
      <c r="C4198" s="39" t="n">
        <v>45919</v>
      </c>
      <c r="D4198" s="7" t="s">
        <v>258</v>
      </c>
      <c r="E4198" s="7" t="s">
        <v>158</v>
      </c>
      <c r="H4198" s="41" t="n">
        <v>61.61</v>
      </c>
      <c r="M4198" s="6" t="n">
        <v>1</v>
      </c>
      <c r="N4198" s="43" t="n">
        <f aca="false">M4198*H4198</f>
        <v>61.61</v>
      </c>
      <c r="O4198" s="42" t="n">
        <f aca="false">N4198</f>
        <v>61.61</v>
      </c>
    </row>
    <row r="4199" customFormat="false" ht="15" hidden="false" customHeight="false" outlineLevel="0" collapsed="false">
      <c r="B4199" s="7" t="s">
        <v>12832</v>
      </c>
      <c r="C4199" s="39" t="n">
        <v>45919</v>
      </c>
      <c r="D4199" s="7" t="s">
        <v>232</v>
      </c>
      <c r="E4199" s="7" t="s">
        <v>180</v>
      </c>
      <c r="F4199" s="6" t="n">
        <v>8.28</v>
      </c>
      <c r="G4199" s="6" t="n">
        <v>0</v>
      </c>
      <c r="H4199" s="41" t="n">
        <v>16.17</v>
      </c>
      <c r="I4199" s="43" t="n">
        <f aca="false">F4199*H4199</f>
        <v>133.8876</v>
      </c>
      <c r="J4199" s="43" t="n">
        <f aca="false">G4199*H4199*1.5</f>
        <v>0</v>
      </c>
      <c r="K4199" s="6" t="n">
        <v>26.92</v>
      </c>
      <c r="L4199" s="43" t="n">
        <f aca="false">K4199*'Chart of Accounts'!$E$68</f>
        <v>18.0364</v>
      </c>
      <c r="O4199" s="42" t="n">
        <f aca="false">I4199+J4199+L4199</f>
        <v>151.924</v>
      </c>
    </row>
    <row r="4200" customFormat="false" ht="15" hidden="false" customHeight="false" outlineLevel="0" collapsed="false">
      <c r="B4200" s="7" t="s">
        <v>12833</v>
      </c>
      <c r="C4200" s="39" t="n">
        <v>45919</v>
      </c>
      <c r="D4200" s="7" t="s">
        <v>224</v>
      </c>
      <c r="E4200" s="7" t="s">
        <v>180</v>
      </c>
      <c r="F4200" s="6" t="n">
        <v>5.1</v>
      </c>
      <c r="G4200" s="6" t="n">
        <v>0</v>
      </c>
      <c r="H4200" s="41" t="n">
        <v>14.93</v>
      </c>
      <c r="I4200" s="43" t="n">
        <f aca="false">F4200*H4200</f>
        <v>76.143</v>
      </c>
      <c r="J4200" s="43" t="n">
        <f aca="false">G4200*H4200*1.5</f>
        <v>0</v>
      </c>
      <c r="K4200" s="6" t="n">
        <v>16.41</v>
      </c>
      <c r="L4200" s="43" t="n">
        <f aca="false">K4200*'Chart of Accounts'!$E$68</f>
        <v>10.9947</v>
      </c>
      <c r="O4200" s="42" t="n">
        <f aca="false">I4200+J4200+L4200</f>
        <v>87.1377</v>
      </c>
    </row>
    <row r="4201" customFormat="false" ht="15" hidden="false" customHeight="false" outlineLevel="0" collapsed="false">
      <c r="B4201" s="7" t="s">
        <v>12834</v>
      </c>
      <c r="C4201" s="39" t="n">
        <v>45919</v>
      </c>
      <c r="D4201" s="7" t="s">
        <v>230</v>
      </c>
      <c r="E4201" s="7" t="s">
        <v>158</v>
      </c>
      <c r="H4201" s="41" t="n">
        <v>48.78</v>
      </c>
      <c r="M4201" s="6" t="n">
        <v>1</v>
      </c>
      <c r="N4201" s="43" t="n">
        <f aca="false">M4201*H4201</f>
        <v>48.78</v>
      </c>
      <c r="O4201" s="42" t="n">
        <f aca="false">N4201</f>
        <v>48.78</v>
      </c>
    </row>
    <row r="4202" customFormat="false" ht="15" hidden="false" customHeight="false" outlineLevel="0" collapsed="false">
      <c r="B4202" s="7" t="s">
        <v>12835</v>
      </c>
      <c r="C4202" s="39" t="n">
        <v>45919</v>
      </c>
      <c r="D4202" s="7" t="s">
        <v>246</v>
      </c>
      <c r="E4202" s="7" t="s">
        <v>180</v>
      </c>
      <c r="F4202" s="6" t="n">
        <v>4.2</v>
      </c>
      <c r="G4202" s="6" t="n">
        <v>0</v>
      </c>
      <c r="H4202" s="41" t="n">
        <v>16.48</v>
      </c>
      <c r="I4202" s="43" t="n">
        <f aca="false">F4202*H4202</f>
        <v>69.216</v>
      </c>
      <c r="J4202" s="43" t="n">
        <f aca="false">G4202*H4202*1.5</f>
        <v>0</v>
      </c>
      <c r="K4202" s="6" t="n">
        <v>12.5</v>
      </c>
      <c r="L4202" s="43" t="n">
        <f aca="false">K4202*'Chart of Accounts'!$E$68</f>
        <v>8.375</v>
      </c>
      <c r="O4202" s="42" t="n">
        <f aca="false">I4202+J4202+L4202</f>
        <v>77.591</v>
      </c>
    </row>
    <row r="4203" customFormat="false" ht="15" hidden="false" customHeight="false" outlineLevel="0" collapsed="false">
      <c r="B4203" s="7" t="s">
        <v>12836</v>
      </c>
      <c r="C4203" s="39" t="n">
        <v>45919</v>
      </c>
      <c r="D4203" s="7" t="s">
        <v>222</v>
      </c>
      <c r="E4203" s="7" t="s">
        <v>180</v>
      </c>
      <c r="F4203" s="6" t="n">
        <v>4.222</v>
      </c>
      <c r="G4203" s="6" t="n">
        <v>0.158</v>
      </c>
      <c r="H4203" s="41" t="n">
        <v>17.84</v>
      </c>
      <c r="I4203" s="43" t="n">
        <f aca="false">F4203*H4203</f>
        <v>75.32048</v>
      </c>
      <c r="J4203" s="43" t="n">
        <f aca="false">G4203*H4203*1.5</f>
        <v>4.22808</v>
      </c>
      <c r="K4203" s="6" t="n">
        <v>9.82</v>
      </c>
      <c r="L4203" s="43" t="n">
        <f aca="false">K4203*'Chart of Accounts'!$E$68</f>
        <v>6.5794</v>
      </c>
      <c r="O4203" s="42" t="n">
        <f aca="false">I4203+J4203+L4203</f>
        <v>86.12796</v>
      </c>
    </row>
    <row r="4204" customFormat="false" ht="15" hidden="false" customHeight="false" outlineLevel="0" collapsed="false">
      <c r="B4204" s="7" t="s">
        <v>12837</v>
      </c>
      <c r="C4204" s="39" t="n">
        <v>45919</v>
      </c>
      <c r="D4204" s="7" t="s">
        <v>203</v>
      </c>
      <c r="E4204" s="7" t="s">
        <v>158</v>
      </c>
      <c r="H4204" s="41" t="n">
        <v>49.43</v>
      </c>
      <c r="M4204" s="6" t="n">
        <v>1</v>
      </c>
      <c r="N4204" s="43" t="n">
        <f aca="false">M4204*H4204</f>
        <v>49.43</v>
      </c>
      <c r="O4204" s="42" t="n">
        <f aca="false">N4204</f>
        <v>49.43</v>
      </c>
    </row>
    <row r="4205" customFormat="false" ht="15" hidden="false" customHeight="false" outlineLevel="0" collapsed="false">
      <c r="B4205" s="7" t="s">
        <v>12838</v>
      </c>
      <c r="C4205" s="39" t="n">
        <v>45920</v>
      </c>
      <c r="D4205" s="7" t="s">
        <v>242</v>
      </c>
      <c r="E4205" s="7" t="s">
        <v>180</v>
      </c>
      <c r="F4205" s="6" t="n">
        <v>10.524</v>
      </c>
      <c r="G4205" s="6" t="n">
        <v>0.976</v>
      </c>
      <c r="H4205" s="41" t="n">
        <v>17.99</v>
      </c>
      <c r="I4205" s="43" t="n">
        <f aca="false">F4205*H4205</f>
        <v>189.32676</v>
      </c>
      <c r="J4205" s="43" t="n">
        <f aca="false">G4205*H4205*1.5</f>
        <v>26.33736</v>
      </c>
      <c r="K4205" s="6" t="n">
        <v>40.9</v>
      </c>
      <c r="L4205" s="43" t="n">
        <f aca="false">K4205*'Chart of Accounts'!$E$68</f>
        <v>27.403</v>
      </c>
      <c r="O4205" s="42" t="n">
        <f aca="false">I4205+J4205+L4205</f>
        <v>243.06712</v>
      </c>
    </row>
    <row r="4206" customFormat="false" ht="15" hidden="false" customHeight="false" outlineLevel="0" collapsed="false">
      <c r="B4206" s="7" t="s">
        <v>12839</v>
      </c>
      <c r="C4206" s="39" t="n">
        <v>45920</v>
      </c>
      <c r="D4206" s="7" t="s">
        <v>218</v>
      </c>
      <c r="E4206" s="7" t="s">
        <v>180</v>
      </c>
      <c r="F4206" s="6" t="n">
        <v>3.8</v>
      </c>
      <c r="G4206" s="6" t="n">
        <v>0</v>
      </c>
      <c r="H4206" s="41" t="n">
        <v>16.19</v>
      </c>
      <c r="I4206" s="43" t="n">
        <f aca="false">F4206*H4206</f>
        <v>61.522</v>
      </c>
      <c r="J4206" s="43" t="n">
        <f aca="false">G4206*H4206*1.5</f>
        <v>0</v>
      </c>
      <c r="K4206" s="6" t="n">
        <v>12.38</v>
      </c>
      <c r="L4206" s="43" t="n">
        <f aca="false">K4206*'Chart of Accounts'!$E$68</f>
        <v>8.2946</v>
      </c>
      <c r="O4206" s="42" t="n">
        <f aca="false">I4206+J4206+L4206</f>
        <v>69.8166</v>
      </c>
    </row>
    <row r="4207" customFormat="false" ht="15" hidden="false" customHeight="false" outlineLevel="0" collapsed="false">
      <c r="B4207" s="7" t="s">
        <v>12840</v>
      </c>
      <c r="C4207" s="39" t="n">
        <v>45920</v>
      </c>
      <c r="D4207" s="7" t="s">
        <v>222</v>
      </c>
      <c r="E4207" s="7" t="s">
        <v>180</v>
      </c>
      <c r="F4207" s="6" t="n">
        <v>3.711</v>
      </c>
      <c r="G4207" s="6" t="n">
        <v>0.139</v>
      </c>
      <c r="H4207" s="41" t="n">
        <v>17.84</v>
      </c>
      <c r="I4207" s="43" t="n">
        <f aca="false">F4207*H4207</f>
        <v>66.20424</v>
      </c>
      <c r="J4207" s="43" t="n">
        <f aca="false">G4207*H4207*1.5</f>
        <v>3.71964</v>
      </c>
      <c r="K4207" s="6" t="n">
        <v>10.66</v>
      </c>
      <c r="L4207" s="43" t="n">
        <f aca="false">K4207*'Chart of Accounts'!$E$68</f>
        <v>7.1422</v>
      </c>
      <c r="O4207" s="42" t="n">
        <f aca="false">I4207+J4207+L4207</f>
        <v>77.06608</v>
      </c>
    </row>
    <row r="4208" customFormat="false" ht="15" hidden="false" customHeight="false" outlineLevel="0" collapsed="false">
      <c r="B4208" s="7" t="s">
        <v>12841</v>
      </c>
      <c r="C4208" s="39" t="n">
        <v>45920</v>
      </c>
      <c r="D4208" s="7" t="s">
        <v>254</v>
      </c>
      <c r="E4208" s="7" t="s">
        <v>180</v>
      </c>
      <c r="F4208" s="6" t="n">
        <v>3.498</v>
      </c>
      <c r="G4208" s="6" t="n">
        <v>0.112</v>
      </c>
      <c r="H4208" s="41" t="n">
        <v>17.1</v>
      </c>
      <c r="I4208" s="43" t="n">
        <f aca="false">F4208*H4208</f>
        <v>59.8158</v>
      </c>
      <c r="J4208" s="43" t="n">
        <f aca="false">G4208*H4208*1.5</f>
        <v>2.8728</v>
      </c>
      <c r="K4208" s="6" t="n">
        <v>10.83</v>
      </c>
      <c r="L4208" s="43" t="n">
        <f aca="false">K4208*'Chart of Accounts'!$E$68</f>
        <v>7.2561</v>
      </c>
      <c r="O4208" s="42" t="n">
        <f aca="false">I4208+J4208+L4208</f>
        <v>69.9447</v>
      </c>
    </row>
    <row r="4209" customFormat="false" ht="15" hidden="false" customHeight="false" outlineLevel="0" collapsed="false">
      <c r="B4209" s="7" t="s">
        <v>12842</v>
      </c>
      <c r="C4209" s="39" t="n">
        <v>45921</v>
      </c>
      <c r="D4209" s="7" t="s">
        <v>184</v>
      </c>
      <c r="E4209" s="7" t="s">
        <v>180</v>
      </c>
      <c r="F4209" s="6" t="n">
        <v>3.91</v>
      </c>
      <c r="G4209" s="6" t="n">
        <v>0</v>
      </c>
      <c r="H4209" s="41" t="n">
        <v>17.34</v>
      </c>
      <c r="I4209" s="43" t="n">
        <f aca="false">F4209*H4209</f>
        <v>67.7994</v>
      </c>
      <c r="J4209" s="43" t="n">
        <f aca="false">G4209*H4209*1.5</f>
        <v>0</v>
      </c>
      <c r="K4209" s="6" t="n">
        <v>11.81</v>
      </c>
      <c r="L4209" s="43" t="n">
        <f aca="false">K4209*'Chart of Accounts'!$E$68</f>
        <v>7.9127</v>
      </c>
      <c r="O4209" s="42" t="n">
        <f aca="false">I4209+J4209+L4209</f>
        <v>75.7121</v>
      </c>
    </row>
    <row r="4210" customFormat="false" ht="15" hidden="false" customHeight="false" outlineLevel="0" collapsed="false">
      <c r="B4210" s="7" t="s">
        <v>12843</v>
      </c>
      <c r="C4210" s="39" t="n">
        <v>45921</v>
      </c>
      <c r="D4210" s="7" t="s">
        <v>218</v>
      </c>
      <c r="E4210" s="7" t="s">
        <v>180</v>
      </c>
      <c r="F4210" s="6" t="n">
        <v>3.83</v>
      </c>
      <c r="G4210" s="6" t="n">
        <v>0</v>
      </c>
      <c r="H4210" s="41" t="n">
        <v>16.19</v>
      </c>
      <c r="I4210" s="43" t="n">
        <f aca="false">F4210*H4210</f>
        <v>62.0077</v>
      </c>
      <c r="J4210" s="43" t="n">
        <f aca="false">G4210*H4210*1.5</f>
        <v>0</v>
      </c>
      <c r="K4210" s="6" t="n">
        <v>11.72</v>
      </c>
      <c r="L4210" s="43" t="n">
        <f aca="false">K4210*'Chart of Accounts'!$E$68</f>
        <v>7.8524</v>
      </c>
      <c r="O4210" s="42" t="n">
        <f aca="false">I4210+J4210+L4210</f>
        <v>69.8601</v>
      </c>
    </row>
    <row r="4211" customFormat="false" ht="15" hidden="false" customHeight="false" outlineLevel="0" collapsed="false">
      <c r="B4211" s="7" t="s">
        <v>12844</v>
      </c>
      <c r="C4211" s="39" t="n">
        <v>45921</v>
      </c>
      <c r="D4211" s="7" t="s">
        <v>236</v>
      </c>
      <c r="E4211" s="7" t="s">
        <v>180</v>
      </c>
      <c r="F4211" s="6" t="n">
        <v>4.18</v>
      </c>
      <c r="G4211" s="6" t="n">
        <v>0</v>
      </c>
      <c r="H4211" s="41" t="n">
        <v>15.49</v>
      </c>
      <c r="I4211" s="43" t="n">
        <f aca="false">F4211*H4211</f>
        <v>64.7482</v>
      </c>
      <c r="J4211" s="43" t="n">
        <f aca="false">G4211*H4211*1.5</f>
        <v>0</v>
      </c>
      <c r="K4211" s="6" t="n">
        <v>13.09</v>
      </c>
      <c r="L4211" s="43" t="n">
        <f aca="false">K4211*'Chart of Accounts'!$E$68</f>
        <v>8.7703</v>
      </c>
      <c r="O4211" s="42" t="n">
        <f aca="false">I4211+J4211+L4211</f>
        <v>73.5185</v>
      </c>
    </row>
    <row r="4212" customFormat="false" ht="15" hidden="false" customHeight="false" outlineLevel="0" collapsed="false">
      <c r="B4212" s="7" t="s">
        <v>12845</v>
      </c>
      <c r="C4212" s="39" t="n">
        <v>45921</v>
      </c>
      <c r="D4212" s="7" t="s">
        <v>196</v>
      </c>
      <c r="E4212" s="7" t="s">
        <v>180</v>
      </c>
      <c r="F4212" s="6" t="n">
        <v>4.061</v>
      </c>
      <c r="G4212" s="6" t="n">
        <v>0.119</v>
      </c>
      <c r="H4212" s="41" t="n">
        <v>15.05</v>
      </c>
      <c r="I4212" s="43" t="n">
        <f aca="false">F4212*H4212</f>
        <v>61.11805</v>
      </c>
      <c r="J4212" s="43" t="n">
        <f aca="false">G4212*H4212*1.5</f>
        <v>2.686425</v>
      </c>
      <c r="K4212" s="6" t="n">
        <v>11.61</v>
      </c>
      <c r="L4212" s="43" t="n">
        <f aca="false">K4212*'Chart of Accounts'!$E$68</f>
        <v>7.7787</v>
      </c>
      <c r="O4212" s="42" t="n">
        <f aca="false">I4212+J4212+L4212</f>
        <v>71.583175</v>
      </c>
    </row>
    <row r="4213" customFormat="false" ht="15" hidden="false" customHeight="false" outlineLevel="0" collapsed="false">
      <c r="B4213" s="7" t="s">
        <v>12846</v>
      </c>
      <c r="C4213" s="39" t="n">
        <v>45921</v>
      </c>
      <c r="D4213" s="7" t="s">
        <v>222</v>
      </c>
      <c r="E4213" s="7" t="s">
        <v>180</v>
      </c>
      <c r="F4213" s="6" t="n">
        <v>3.711</v>
      </c>
      <c r="G4213" s="6" t="n">
        <v>0.139</v>
      </c>
      <c r="H4213" s="41" t="n">
        <v>17.84</v>
      </c>
      <c r="I4213" s="43" t="n">
        <f aca="false">F4213*H4213</f>
        <v>66.20424</v>
      </c>
      <c r="J4213" s="43" t="n">
        <f aca="false">G4213*H4213*1.5</f>
        <v>3.71964</v>
      </c>
      <c r="K4213" s="6" t="n">
        <v>8.58</v>
      </c>
      <c r="L4213" s="43" t="n">
        <f aca="false">K4213*'Chart of Accounts'!$E$68</f>
        <v>5.7486</v>
      </c>
      <c r="O4213" s="42" t="n">
        <f aca="false">I4213+J4213+L4213</f>
        <v>75.67248</v>
      </c>
    </row>
    <row r="4214" customFormat="false" ht="15" hidden="false" customHeight="false" outlineLevel="0" collapsed="false">
      <c r="B4214" s="7" t="s">
        <v>12847</v>
      </c>
      <c r="C4214" s="39" t="n">
        <v>45921</v>
      </c>
      <c r="D4214" s="7" t="s">
        <v>242</v>
      </c>
      <c r="E4214" s="7" t="s">
        <v>180</v>
      </c>
      <c r="F4214" s="6" t="n">
        <v>3.981</v>
      </c>
      <c r="G4214" s="6" t="n">
        <v>0.369</v>
      </c>
      <c r="H4214" s="41" t="n">
        <v>17.99</v>
      </c>
      <c r="I4214" s="43" t="n">
        <f aca="false">F4214*H4214</f>
        <v>71.61819</v>
      </c>
      <c r="J4214" s="43" t="n">
        <f aca="false">G4214*H4214*1.5</f>
        <v>9.957465</v>
      </c>
      <c r="K4214" s="6" t="n">
        <v>12.87</v>
      </c>
      <c r="L4214" s="43" t="n">
        <f aca="false">K4214*'Chart of Accounts'!$E$68</f>
        <v>8.6229</v>
      </c>
      <c r="O4214" s="42" t="n">
        <f aca="false">I4214+J4214+L4214</f>
        <v>90.198555</v>
      </c>
    </row>
    <row r="4215" customFormat="false" ht="15" hidden="false" customHeight="false" outlineLevel="0" collapsed="false">
      <c r="B4215" s="7" t="s">
        <v>12848</v>
      </c>
      <c r="C4215" s="39" t="n">
        <v>45921</v>
      </c>
      <c r="D4215" s="7" t="s">
        <v>254</v>
      </c>
      <c r="E4215" s="7" t="s">
        <v>180</v>
      </c>
      <c r="F4215" s="6" t="n">
        <v>3.818</v>
      </c>
      <c r="G4215" s="6" t="n">
        <v>0.122</v>
      </c>
      <c r="H4215" s="41" t="n">
        <v>17.1</v>
      </c>
      <c r="I4215" s="43" t="n">
        <f aca="false">F4215*H4215</f>
        <v>65.2878</v>
      </c>
      <c r="J4215" s="43" t="n">
        <f aca="false">G4215*H4215*1.5</f>
        <v>3.1293</v>
      </c>
      <c r="K4215" s="6" t="n">
        <v>10.66</v>
      </c>
      <c r="L4215" s="43" t="n">
        <f aca="false">K4215*'Chart of Accounts'!$E$68</f>
        <v>7.1422</v>
      </c>
      <c r="O4215" s="42" t="n">
        <f aca="false">I4215+J4215+L4215</f>
        <v>75.5593</v>
      </c>
    </row>
    <row r="4216" customFormat="false" ht="15" hidden="false" customHeight="false" outlineLevel="0" collapsed="false">
      <c r="B4216" s="7" t="s">
        <v>12849</v>
      </c>
      <c r="C4216" s="39" t="n">
        <v>45922</v>
      </c>
      <c r="D4216" s="7" t="s">
        <v>224</v>
      </c>
      <c r="E4216" s="7" t="s">
        <v>180</v>
      </c>
      <c r="F4216" s="6" t="n">
        <v>12.88</v>
      </c>
      <c r="G4216" s="6" t="n">
        <v>0</v>
      </c>
      <c r="H4216" s="41" t="n">
        <v>14.93</v>
      </c>
      <c r="I4216" s="43" t="n">
        <f aca="false">F4216*H4216</f>
        <v>192.2984</v>
      </c>
      <c r="J4216" s="43" t="n">
        <f aca="false">G4216*H4216*1.5</f>
        <v>0</v>
      </c>
      <c r="K4216" s="6" t="n">
        <v>41.3</v>
      </c>
      <c r="L4216" s="43" t="n">
        <f aca="false">K4216*'Chart of Accounts'!$E$68</f>
        <v>27.671</v>
      </c>
      <c r="O4216" s="42" t="n">
        <f aca="false">I4216+J4216+L4216</f>
        <v>219.9694</v>
      </c>
    </row>
    <row r="4217" customFormat="false" ht="15" hidden="false" customHeight="false" outlineLevel="0" collapsed="false">
      <c r="B4217" s="7" t="s">
        <v>12850</v>
      </c>
      <c r="C4217" s="39" t="n">
        <v>45922</v>
      </c>
      <c r="D4217" s="7" t="s">
        <v>194</v>
      </c>
      <c r="E4217" s="7" t="s">
        <v>180</v>
      </c>
      <c r="F4217" s="6" t="n">
        <v>10.75</v>
      </c>
      <c r="G4217" s="6" t="n">
        <v>0</v>
      </c>
      <c r="H4217" s="41" t="n">
        <v>16</v>
      </c>
      <c r="I4217" s="43" t="n">
        <f aca="false">F4217*H4217</f>
        <v>172</v>
      </c>
      <c r="J4217" s="43" t="n">
        <f aca="false">G4217*H4217*1.5</f>
        <v>0</v>
      </c>
      <c r="K4217" s="6" t="n">
        <v>26.71</v>
      </c>
      <c r="L4217" s="43" t="n">
        <f aca="false">K4217*'Chart of Accounts'!$E$68</f>
        <v>17.8957</v>
      </c>
      <c r="O4217" s="42" t="n">
        <f aca="false">I4217+J4217+L4217</f>
        <v>189.8957</v>
      </c>
    </row>
    <row r="4218" customFormat="false" ht="15" hidden="false" customHeight="false" outlineLevel="0" collapsed="false">
      <c r="B4218" s="7" t="s">
        <v>12851</v>
      </c>
      <c r="C4218" s="39" t="n">
        <v>45922</v>
      </c>
      <c r="D4218" s="7" t="s">
        <v>214</v>
      </c>
      <c r="E4218" s="7" t="s">
        <v>180</v>
      </c>
      <c r="F4218" s="6" t="n">
        <v>15.03</v>
      </c>
      <c r="G4218" s="6" t="n">
        <v>0</v>
      </c>
      <c r="H4218" s="41" t="n">
        <v>15.67</v>
      </c>
      <c r="I4218" s="43" t="n">
        <f aca="false">F4218*H4218</f>
        <v>235.5201</v>
      </c>
      <c r="J4218" s="43" t="n">
        <f aca="false">G4218*H4218*1.5</f>
        <v>0</v>
      </c>
      <c r="K4218" s="6" t="n">
        <v>53.96</v>
      </c>
      <c r="L4218" s="43" t="n">
        <f aca="false">K4218*'Chart of Accounts'!$E$68</f>
        <v>36.1532</v>
      </c>
      <c r="O4218" s="42" t="n">
        <f aca="false">I4218+J4218+L4218</f>
        <v>271.6733</v>
      </c>
    </row>
    <row r="4219" customFormat="false" ht="15" hidden="false" customHeight="false" outlineLevel="0" collapsed="false">
      <c r="B4219" s="7" t="s">
        <v>12852</v>
      </c>
      <c r="C4219" s="39" t="n">
        <v>45922</v>
      </c>
      <c r="D4219" s="7" t="s">
        <v>201</v>
      </c>
      <c r="E4219" s="7" t="s">
        <v>180</v>
      </c>
      <c r="F4219" s="6" t="n">
        <v>9.63</v>
      </c>
      <c r="G4219" s="6" t="n">
        <v>0</v>
      </c>
      <c r="H4219" s="41" t="n">
        <v>15.19</v>
      </c>
      <c r="I4219" s="43" t="n">
        <f aca="false">F4219*H4219</f>
        <v>146.2797</v>
      </c>
      <c r="J4219" s="43" t="n">
        <f aca="false">G4219*H4219*1.5</f>
        <v>0</v>
      </c>
      <c r="K4219" s="6" t="n">
        <v>32.36</v>
      </c>
      <c r="L4219" s="43" t="n">
        <f aca="false">K4219*'Chart of Accounts'!$E$68</f>
        <v>21.6812</v>
      </c>
      <c r="O4219" s="42" t="n">
        <f aca="false">I4219+J4219+L4219</f>
        <v>167.9609</v>
      </c>
    </row>
    <row r="4220" customFormat="false" ht="15" hidden="false" customHeight="false" outlineLevel="0" collapsed="false">
      <c r="B4220" s="7" t="s">
        <v>12853</v>
      </c>
      <c r="C4220" s="39" t="n">
        <v>45922</v>
      </c>
      <c r="D4220" s="7" t="s">
        <v>205</v>
      </c>
      <c r="E4220" s="7" t="s">
        <v>180</v>
      </c>
      <c r="F4220" s="6" t="n">
        <v>4.24</v>
      </c>
      <c r="G4220" s="6" t="n">
        <v>0</v>
      </c>
      <c r="H4220" s="41" t="n">
        <v>16.36</v>
      </c>
      <c r="I4220" s="43" t="n">
        <f aca="false">F4220*H4220</f>
        <v>69.3664</v>
      </c>
      <c r="J4220" s="43" t="n">
        <f aca="false">G4220*H4220*1.5</f>
        <v>0</v>
      </c>
      <c r="K4220" s="6" t="n">
        <v>13.17</v>
      </c>
      <c r="L4220" s="43" t="n">
        <f aca="false">K4220*'Chart of Accounts'!$E$68</f>
        <v>8.8239</v>
      </c>
      <c r="O4220" s="42" t="n">
        <f aca="false">I4220+J4220+L4220</f>
        <v>78.1903</v>
      </c>
    </row>
    <row r="4221" customFormat="false" ht="15" hidden="false" customHeight="false" outlineLevel="0" collapsed="false">
      <c r="B4221" s="7" t="s">
        <v>12854</v>
      </c>
      <c r="C4221" s="39" t="n">
        <v>45922</v>
      </c>
      <c r="D4221" s="7" t="s">
        <v>252</v>
      </c>
      <c r="E4221" s="7" t="s">
        <v>158</v>
      </c>
      <c r="H4221" s="41" t="n">
        <v>57.54</v>
      </c>
      <c r="M4221" s="6" t="n">
        <v>1</v>
      </c>
      <c r="N4221" s="43" t="n">
        <f aca="false">M4221*H4221</f>
        <v>57.54</v>
      </c>
      <c r="O4221" s="42" t="n">
        <f aca="false">N4221</f>
        <v>57.54</v>
      </c>
    </row>
    <row r="4222" customFormat="false" ht="15" hidden="false" customHeight="false" outlineLevel="0" collapsed="false">
      <c r="B4222" s="7" t="s">
        <v>12855</v>
      </c>
      <c r="C4222" s="39" t="n">
        <v>45922</v>
      </c>
      <c r="D4222" s="7" t="s">
        <v>196</v>
      </c>
      <c r="E4222" s="7" t="s">
        <v>180</v>
      </c>
      <c r="F4222" s="6" t="n">
        <v>9.684</v>
      </c>
      <c r="G4222" s="6" t="n">
        <v>0.206</v>
      </c>
      <c r="H4222" s="41" t="n">
        <v>15.05</v>
      </c>
      <c r="I4222" s="43" t="n">
        <f aca="false">F4222*H4222</f>
        <v>145.7442</v>
      </c>
      <c r="J4222" s="43" t="n">
        <f aca="false">G4222*H4222*1.5</f>
        <v>4.65045</v>
      </c>
      <c r="K4222" s="6" t="n">
        <v>26.76</v>
      </c>
      <c r="L4222" s="43" t="n">
        <f aca="false">K4222*'Chart of Accounts'!$E$68</f>
        <v>17.9292</v>
      </c>
      <c r="O4222" s="42" t="n">
        <f aca="false">I4222+J4222+L4222</f>
        <v>168.32385</v>
      </c>
    </row>
    <row r="4223" customFormat="false" ht="15" hidden="false" customHeight="false" outlineLevel="0" collapsed="false">
      <c r="B4223" s="7" t="s">
        <v>12856</v>
      </c>
      <c r="C4223" s="39" t="n">
        <v>45922</v>
      </c>
      <c r="D4223" s="7" t="s">
        <v>184</v>
      </c>
      <c r="E4223" s="7" t="s">
        <v>180</v>
      </c>
      <c r="F4223" s="6" t="n">
        <v>7.89</v>
      </c>
      <c r="G4223" s="6" t="n">
        <v>0</v>
      </c>
      <c r="H4223" s="41" t="n">
        <v>17.34</v>
      </c>
      <c r="I4223" s="43" t="n">
        <f aca="false">F4223*H4223</f>
        <v>136.8126</v>
      </c>
      <c r="J4223" s="43" t="n">
        <f aca="false">G4223*H4223*1.5</f>
        <v>0</v>
      </c>
      <c r="K4223" s="6" t="n">
        <v>18.06</v>
      </c>
      <c r="L4223" s="43" t="n">
        <f aca="false">K4223*'Chart of Accounts'!$E$68</f>
        <v>12.1002</v>
      </c>
      <c r="O4223" s="42" t="n">
        <f aca="false">I4223+J4223+L4223</f>
        <v>148.9128</v>
      </c>
    </row>
    <row r="4224" customFormat="false" ht="15" hidden="false" customHeight="false" outlineLevel="0" collapsed="false">
      <c r="B4224" s="7" t="s">
        <v>12857</v>
      </c>
      <c r="C4224" s="39" t="n">
        <v>45922</v>
      </c>
      <c r="D4224" s="7" t="s">
        <v>216</v>
      </c>
      <c r="E4224" s="7" t="s">
        <v>158</v>
      </c>
      <c r="H4224" s="41" t="n">
        <v>61.79</v>
      </c>
      <c r="M4224" s="6" t="n">
        <v>1</v>
      </c>
      <c r="N4224" s="43" t="n">
        <f aca="false">M4224*H4224</f>
        <v>61.79</v>
      </c>
      <c r="O4224" s="42" t="n">
        <f aca="false">N4224</f>
        <v>61.79</v>
      </c>
    </row>
    <row r="4225" customFormat="false" ht="15" hidden="false" customHeight="false" outlineLevel="0" collapsed="false">
      <c r="B4225" s="7" t="s">
        <v>12858</v>
      </c>
      <c r="C4225" s="39" t="n">
        <v>45922</v>
      </c>
      <c r="D4225" s="7" t="s">
        <v>236</v>
      </c>
      <c r="E4225" s="7" t="s">
        <v>180</v>
      </c>
      <c r="F4225" s="6" t="n">
        <v>6.58</v>
      </c>
      <c r="G4225" s="6" t="n">
        <v>0</v>
      </c>
      <c r="H4225" s="41" t="n">
        <v>15.49</v>
      </c>
      <c r="I4225" s="43" t="n">
        <f aca="false">F4225*H4225</f>
        <v>101.9242</v>
      </c>
      <c r="J4225" s="43" t="n">
        <f aca="false">G4225*H4225*1.5</f>
        <v>0</v>
      </c>
      <c r="K4225" s="6" t="n">
        <v>17.31</v>
      </c>
      <c r="L4225" s="43" t="n">
        <f aca="false">K4225*'Chart of Accounts'!$E$68</f>
        <v>11.5977</v>
      </c>
      <c r="O4225" s="42" t="n">
        <f aca="false">I4225+J4225+L4225</f>
        <v>113.5219</v>
      </c>
    </row>
    <row r="4226" customFormat="false" ht="15" hidden="false" customHeight="false" outlineLevel="0" collapsed="false">
      <c r="B4226" s="7" t="s">
        <v>12859</v>
      </c>
      <c r="C4226" s="39" t="n">
        <v>45922</v>
      </c>
      <c r="D4226" s="7" t="s">
        <v>218</v>
      </c>
      <c r="E4226" s="7" t="s">
        <v>180</v>
      </c>
      <c r="F4226" s="6" t="n">
        <v>4.05</v>
      </c>
      <c r="G4226" s="6" t="n">
        <v>0</v>
      </c>
      <c r="H4226" s="41" t="n">
        <v>16.19</v>
      </c>
      <c r="I4226" s="43" t="n">
        <f aca="false">F4226*H4226</f>
        <v>65.5695</v>
      </c>
      <c r="J4226" s="43" t="n">
        <f aca="false">G4226*H4226*1.5</f>
        <v>0</v>
      </c>
      <c r="K4226" s="6" t="n">
        <v>13.21</v>
      </c>
      <c r="L4226" s="43" t="n">
        <f aca="false">K4226*'Chart of Accounts'!$E$68</f>
        <v>8.8507</v>
      </c>
      <c r="O4226" s="42" t="n">
        <f aca="false">I4226+J4226+L4226</f>
        <v>74.4202</v>
      </c>
    </row>
    <row r="4227" customFormat="false" ht="15" hidden="false" customHeight="false" outlineLevel="0" collapsed="false">
      <c r="B4227" s="7" t="s">
        <v>12860</v>
      </c>
      <c r="C4227" s="39" t="n">
        <v>45922</v>
      </c>
      <c r="D4227" s="7" t="s">
        <v>220</v>
      </c>
      <c r="E4227" s="7" t="s">
        <v>180</v>
      </c>
      <c r="F4227" s="6" t="n">
        <v>3.99</v>
      </c>
      <c r="G4227" s="6" t="n">
        <v>0</v>
      </c>
      <c r="H4227" s="41" t="n">
        <v>16.43</v>
      </c>
      <c r="I4227" s="43" t="n">
        <f aca="false">F4227*H4227</f>
        <v>65.5557</v>
      </c>
      <c r="J4227" s="43" t="n">
        <f aca="false">G4227*H4227*1.5</f>
        <v>0</v>
      </c>
      <c r="K4227" s="6" t="n">
        <v>12.51</v>
      </c>
      <c r="L4227" s="43" t="n">
        <f aca="false">K4227*'Chart of Accounts'!$E$68</f>
        <v>8.3817</v>
      </c>
      <c r="O4227" s="42" t="n">
        <f aca="false">I4227+J4227+L4227</f>
        <v>73.9374</v>
      </c>
    </row>
    <row r="4228" customFormat="false" ht="15" hidden="false" customHeight="false" outlineLevel="0" collapsed="false">
      <c r="B4228" s="7" t="s">
        <v>12861</v>
      </c>
      <c r="C4228" s="39" t="n">
        <v>45922</v>
      </c>
      <c r="D4228" s="7" t="s">
        <v>177</v>
      </c>
      <c r="E4228" s="7" t="s">
        <v>180</v>
      </c>
      <c r="F4228" s="6" t="n">
        <v>8.99</v>
      </c>
      <c r="G4228" s="6" t="n">
        <v>0</v>
      </c>
      <c r="H4228" s="41" t="n">
        <v>14.56</v>
      </c>
      <c r="I4228" s="43" t="n">
        <f aca="false">F4228*H4228</f>
        <v>130.8944</v>
      </c>
      <c r="J4228" s="43" t="n">
        <f aca="false">G4228*H4228*1.5</f>
        <v>0</v>
      </c>
      <c r="K4228" s="6" t="n">
        <v>21.46</v>
      </c>
      <c r="L4228" s="43" t="n">
        <f aca="false">K4228*'Chart of Accounts'!$E$68</f>
        <v>14.3782</v>
      </c>
      <c r="O4228" s="42" t="n">
        <f aca="false">I4228+J4228+L4228</f>
        <v>145.2726</v>
      </c>
    </row>
    <row r="4229" customFormat="false" ht="15" hidden="false" customHeight="false" outlineLevel="0" collapsed="false">
      <c r="B4229" s="7" t="s">
        <v>12862</v>
      </c>
      <c r="C4229" s="39" t="n">
        <v>45922</v>
      </c>
      <c r="D4229" s="7" t="s">
        <v>242</v>
      </c>
      <c r="E4229" s="7" t="s">
        <v>180</v>
      </c>
      <c r="F4229" s="6" t="n">
        <v>6.982</v>
      </c>
      <c r="G4229" s="6" t="n">
        <v>0.288</v>
      </c>
      <c r="H4229" s="41" t="n">
        <v>17.99</v>
      </c>
      <c r="I4229" s="43" t="n">
        <f aca="false">F4229*H4229</f>
        <v>125.60618</v>
      </c>
      <c r="J4229" s="43" t="n">
        <f aca="false">G4229*H4229*1.5</f>
        <v>7.77168</v>
      </c>
      <c r="K4229" s="6" t="n">
        <v>17.1</v>
      </c>
      <c r="L4229" s="43" t="n">
        <f aca="false">K4229*'Chart of Accounts'!$E$68</f>
        <v>11.457</v>
      </c>
      <c r="O4229" s="42" t="n">
        <f aca="false">I4229+J4229+L4229</f>
        <v>144.83486</v>
      </c>
    </row>
    <row r="4230" customFormat="false" ht="15" hidden="false" customHeight="false" outlineLevel="0" collapsed="false">
      <c r="B4230" s="7" t="s">
        <v>12863</v>
      </c>
      <c r="C4230" s="39" t="n">
        <v>45922</v>
      </c>
      <c r="D4230" s="7" t="s">
        <v>222</v>
      </c>
      <c r="E4230" s="7" t="s">
        <v>180</v>
      </c>
      <c r="F4230" s="6" t="n">
        <v>6.9</v>
      </c>
      <c r="G4230" s="6" t="n">
        <v>0</v>
      </c>
      <c r="H4230" s="41" t="n">
        <v>17.84</v>
      </c>
      <c r="I4230" s="43" t="n">
        <f aca="false">F4230*H4230</f>
        <v>123.096</v>
      </c>
      <c r="J4230" s="43" t="n">
        <f aca="false">G4230*H4230*1.5</f>
        <v>0</v>
      </c>
      <c r="K4230" s="6" t="n">
        <v>22.11</v>
      </c>
      <c r="L4230" s="43" t="n">
        <f aca="false">K4230*'Chart of Accounts'!$E$68</f>
        <v>14.8137</v>
      </c>
      <c r="O4230" s="42" t="n">
        <f aca="false">I4230+J4230+L4230</f>
        <v>137.9097</v>
      </c>
    </row>
    <row r="4231" customFormat="false" ht="15" hidden="false" customHeight="false" outlineLevel="0" collapsed="false">
      <c r="B4231" s="7" t="s">
        <v>12864</v>
      </c>
      <c r="C4231" s="39" t="n">
        <v>45922</v>
      </c>
      <c r="D4231" s="7" t="s">
        <v>238</v>
      </c>
      <c r="E4231" s="7" t="s">
        <v>180</v>
      </c>
      <c r="F4231" s="6" t="n">
        <v>7.309</v>
      </c>
      <c r="G4231" s="6" t="n">
        <v>1.201</v>
      </c>
      <c r="H4231" s="41" t="n">
        <v>15.85</v>
      </c>
      <c r="I4231" s="43" t="n">
        <f aca="false">F4231*H4231</f>
        <v>115.84765</v>
      </c>
      <c r="J4231" s="43" t="n">
        <f aca="false">G4231*H4231*1.5</f>
        <v>28.553775</v>
      </c>
      <c r="K4231" s="6" t="n">
        <v>28.6</v>
      </c>
      <c r="L4231" s="43" t="n">
        <f aca="false">K4231*'Chart of Accounts'!$E$68</f>
        <v>19.162</v>
      </c>
      <c r="O4231" s="42" t="n">
        <f aca="false">I4231+J4231+L4231</f>
        <v>163.563425</v>
      </c>
    </row>
    <row r="4232" customFormat="false" ht="15" hidden="false" customHeight="false" outlineLevel="0" collapsed="false">
      <c r="B4232" s="7" t="s">
        <v>12865</v>
      </c>
      <c r="C4232" s="39" t="n">
        <v>45922</v>
      </c>
      <c r="D4232" s="7" t="s">
        <v>244</v>
      </c>
      <c r="E4232" s="7" t="s">
        <v>180</v>
      </c>
      <c r="F4232" s="6" t="n">
        <v>3.85</v>
      </c>
      <c r="G4232" s="6" t="n">
        <v>0</v>
      </c>
      <c r="H4232" s="41" t="n">
        <v>16.39</v>
      </c>
      <c r="I4232" s="43" t="n">
        <f aca="false">F4232*H4232</f>
        <v>63.1015</v>
      </c>
      <c r="J4232" s="43" t="n">
        <f aca="false">G4232*H4232*1.5</f>
        <v>0</v>
      </c>
      <c r="K4232" s="6" t="n">
        <v>9.49</v>
      </c>
      <c r="L4232" s="43" t="n">
        <f aca="false">K4232*'Chart of Accounts'!$E$68</f>
        <v>6.3583</v>
      </c>
      <c r="O4232" s="42" t="n">
        <f aca="false">I4232+J4232+L4232</f>
        <v>69.4598</v>
      </c>
    </row>
    <row r="4233" customFormat="false" ht="15" hidden="false" customHeight="false" outlineLevel="0" collapsed="false">
      <c r="B4233" s="7" t="s">
        <v>12866</v>
      </c>
      <c r="C4233" s="39" t="n">
        <v>45922</v>
      </c>
      <c r="D4233" s="7" t="s">
        <v>254</v>
      </c>
      <c r="E4233" s="7" t="s">
        <v>180</v>
      </c>
      <c r="F4233" s="6" t="n">
        <v>7.086</v>
      </c>
      <c r="G4233" s="6" t="n">
        <v>0.244</v>
      </c>
      <c r="H4233" s="41" t="n">
        <v>17.1</v>
      </c>
      <c r="I4233" s="43" t="n">
        <f aca="false">F4233*H4233</f>
        <v>121.1706</v>
      </c>
      <c r="J4233" s="43" t="n">
        <f aca="false">G4233*H4233*1.5</f>
        <v>6.2586</v>
      </c>
      <c r="K4233" s="6" t="n">
        <v>26.32</v>
      </c>
      <c r="L4233" s="43" t="n">
        <f aca="false">K4233*'Chart of Accounts'!$E$68</f>
        <v>17.6344</v>
      </c>
      <c r="O4233" s="42" t="n">
        <f aca="false">I4233+J4233+L4233</f>
        <v>145.0636</v>
      </c>
    </row>
    <row r="4234" customFormat="false" ht="15" hidden="false" customHeight="false" outlineLevel="0" collapsed="false">
      <c r="B4234" s="7" t="s">
        <v>12867</v>
      </c>
      <c r="C4234" s="39" t="n">
        <v>45922</v>
      </c>
      <c r="D4234" s="7" t="s">
        <v>246</v>
      </c>
      <c r="E4234" s="7" t="s">
        <v>180</v>
      </c>
      <c r="F4234" s="6" t="n">
        <v>8.12</v>
      </c>
      <c r="G4234" s="6" t="n">
        <v>0</v>
      </c>
      <c r="H4234" s="41" t="n">
        <v>16.48</v>
      </c>
      <c r="I4234" s="43" t="n">
        <f aca="false">F4234*H4234</f>
        <v>133.8176</v>
      </c>
      <c r="J4234" s="43" t="n">
        <f aca="false">G4234*H4234*1.5</f>
        <v>0</v>
      </c>
      <c r="K4234" s="6" t="n">
        <v>23.23</v>
      </c>
      <c r="L4234" s="43" t="n">
        <f aca="false">K4234*'Chart of Accounts'!$E$68</f>
        <v>15.5641</v>
      </c>
      <c r="O4234" s="42" t="n">
        <f aca="false">I4234+J4234+L4234</f>
        <v>149.3817</v>
      </c>
    </row>
    <row r="4235" customFormat="false" ht="15" hidden="false" customHeight="false" outlineLevel="0" collapsed="false">
      <c r="B4235" s="7" t="s">
        <v>12868</v>
      </c>
      <c r="C4235" s="39" t="n">
        <v>45922</v>
      </c>
      <c r="D4235" s="7" t="s">
        <v>232</v>
      </c>
      <c r="E4235" s="7" t="s">
        <v>180</v>
      </c>
      <c r="F4235" s="6" t="n">
        <v>4.2</v>
      </c>
      <c r="G4235" s="6" t="n">
        <v>0</v>
      </c>
      <c r="H4235" s="41" t="n">
        <v>16.17</v>
      </c>
      <c r="I4235" s="43" t="n">
        <f aca="false">F4235*H4235</f>
        <v>67.914</v>
      </c>
      <c r="J4235" s="43" t="n">
        <f aca="false">G4235*H4235*1.5</f>
        <v>0</v>
      </c>
      <c r="K4235" s="6" t="n">
        <v>14.13</v>
      </c>
      <c r="L4235" s="43" t="n">
        <f aca="false">K4235*'Chart of Accounts'!$E$68</f>
        <v>9.4671</v>
      </c>
      <c r="O4235" s="42" t="n">
        <f aca="false">I4235+J4235+L4235</f>
        <v>77.3811</v>
      </c>
    </row>
    <row r="4236" customFormat="false" ht="15" hidden="false" customHeight="false" outlineLevel="0" collapsed="false">
      <c r="B4236" s="7" t="s">
        <v>12869</v>
      </c>
      <c r="C4236" s="39" t="n">
        <v>45922</v>
      </c>
      <c r="D4236" s="7" t="s">
        <v>240</v>
      </c>
      <c r="E4236" s="7" t="s">
        <v>180</v>
      </c>
      <c r="F4236" s="6" t="n">
        <v>3.38</v>
      </c>
      <c r="G4236" s="6" t="n">
        <v>0</v>
      </c>
      <c r="H4236" s="41" t="n">
        <v>16.96</v>
      </c>
      <c r="I4236" s="43" t="n">
        <f aca="false">F4236*H4236</f>
        <v>57.3248</v>
      </c>
      <c r="J4236" s="43" t="n">
        <f aca="false">G4236*H4236*1.5</f>
        <v>0</v>
      </c>
      <c r="K4236" s="6" t="n">
        <v>10.98</v>
      </c>
      <c r="L4236" s="43" t="n">
        <f aca="false">K4236*'Chart of Accounts'!$E$68</f>
        <v>7.3566</v>
      </c>
      <c r="O4236" s="42" t="n">
        <f aca="false">I4236+J4236+L4236</f>
        <v>64.6814</v>
      </c>
    </row>
    <row r="4237" customFormat="false" ht="15" hidden="false" customHeight="false" outlineLevel="0" collapsed="false">
      <c r="B4237" s="7" t="s">
        <v>12870</v>
      </c>
      <c r="C4237" s="39" t="n">
        <v>45923</v>
      </c>
      <c r="D4237" s="7" t="s">
        <v>238</v>
      </c>
      <c r="E4237" s="7" t="s">
        <v>180</v>
      </c>
      <c r="F4237" s="6" t="n">
        <v>3.204</v>
      </c>
      <c r="G4237" s="6" t="n">
        <v>0.526</v>
      </c>
      <c r="H4237" s="41" t="n">
        <v>15.85</v>
      </c>
      <c r="I4237" s="43" t="n">
        <f aca="false">F4237*H4237</f>
        <v>50.7834</v>
      </c>
      <c r="J4237" s="43" t="n">
        <f aca="false">G4237*H4237*1.5</f>
        <v>12.50565</v>
      </c>
      <c r="K4237" s="6" t="n">
        <v>12.61</v>
      </c>
      <c r="L4237" s="43" t="n">
        <f aca="false">K4237*'Chart of Accounts'!$E$68</f>
        <v>8.4487</v>
      </c>
      <c r="O4237" s="42" t="n">
        <f aca="false">I4237+J4237+L4237</f>
        <v>71.73775</v>
      </c>
    </row>
    <row r="4238" customFormat="false" ht="15" hidden="false" customHeight="false" outlineLevel="0" collapsed="false">
      <c r="B4238" s="7" t="s">
        <v>12871</v>
      </c>
      <c r="C4238" s="39" t="n">
        <v>45923</v>
      </c>
      <c r="D4238" s="7" t="s">
        <v>198</v>
      </c>
      <c r="E4238" s="7" t="s">
        <v>158</v>
      </c>
      <c r="H4238" s="41" t="n">
        <v>48.09</v>
      </c>
      <c r="M4238" s="6" t="n">
        <v>1</v>
      </c>
      <c r="N4238" s="43" t="n">
        <f aca="false">M4238*H4238</f>
        <v>48.09</v>
      </c>
      <c r="O4238" s="42" t="n">
        <f aca="false">N4238</f>
        <v>48.09</v>
      </c>
    </row>
    <row r="4239" customFormat="false" ht="15" hidden="false" customHeight="false" outlineLevel="0" collapsed="false">
      <c r="B4239" s="7" t="s">
        <v>12872</v>
      </c>
      <c r="C4239" s="39" t="n">
        <v>45923</v>
      </c>
      <c r="D4239" s="7" t="s">
        <v>209</v>
      </c>
      <c r="E4239" s="7" t="s">
        <v>158</v>
      </c>
      <c r="H4239" s="41" t="n">
        <v>73.58</v>
      </c>
      <c r="M4239" s="6" t="n">
        <v>2</v>
      </c>
      <c r="N4239" s="43" t="n">
        <f aca="false">M4239*H4239</f>
        <v>147.16</v>
      </c>
      <c r="O4239" s="42" t="n">
        <f aca="false">N4239</f>
        <v>147.16</v>
      </c>
    </row>
    <row r="4240" customFormat="false" ht="15" hidden="false" customHeight="false" outlineLevel="0" collapsed="false">
      <c r="B4240" s="7" t="s">
        <v>12873</v>
      </c>
      <c r="C4240" s="39" t="n">
        <v>45923</v>
      </c>
      <c r="D4240" s="7" t="s">
        <v>184</v>
      </c>
      <c r="E4240" s="7" t="s">
        <v>180</v>
      </c>
      <c r="F4240" s="6" t="n">
        <v>4.28</v>
      </c>
      <c r="G4240" s="6" t="n">
        <v>0</v>
      </c>
      <c r="H4240" s="41" t="n">
        <v>17.34</v>
      </c>
      <c r="I4240" s="43" t="n">
        <f aca="false">F4240*H4240</f>
        <v>74.2152</v>
      </c>
      <c r="J4240" s="43" t="n">
        <f aca="false">G4240*H4240*1.5</f>
        <v>0</v>
      </c>
      <c r="K4240" s="6" t="n">
        <v>9.54</v>
      </c>
      <c r="L4240" s="43" t="n">
        <f aca="false">K4240*'Chart of Accounts'!$E$68</f>
        <v>6.3918</v>
      </c>
      <c r="O4240" s="42" t="n">
        <f aca="false">I4240+J4240+L4240</f>
        <v>80.607</v>
      </c>
    </row>
    <row r="4241" customFormat="false" ht="15" hidden="false" customHeight="false" outlineLevel="0" collapsed="false">
      <c r="B4241" s="7" t="s">
        <v>12874</v>
      </c>
      <c r="C4241" s="39" t="n">
        <v>45923</v>
      </c>
      <c r="D4241" s="7" t="s">
        <v>234</v>
      </c>
      <c r="E4241" s="7" t="s">
        <v>158</v>
      </c>
      <c r="H4241" s="41" t="n">
        <v>89.53</v>
      </c>
      <c r="M4241" s="6" t="n">
        <v>2</v>
      </c>
      <c r="N4241" s="43" t="n">
        <f aca="false">M4241*H4241</f>
        <v>179.06</v>
      </c>
      <c r="O4241" s="42" t="n">
        <f aca="false">N4241</f>
        <v>179.06</v>
      </c>
    </row>
    <row r="4242" customFormat="false" ht="15" hidden="false" customHeight="false" outlineLevel="0" collapsed="false">
      <c r="B4242" s="7" t="s">
        <v>12875</v>
      </c>
      <c r="C4242" s="39" t="n">
        <v>45923</v>
      </c>
      <c r="D4242" s="7" t="s">
        <v>218</v>
      </c>
      <c r="E4242" s="7" t="s">
        <v>180</v>
      </c>
      <c r="F4242" s="6" t="n">
        <v>4.13</v>
      </c>
      <c r="G4242" s="6" t="n">
        <v>0</v>
      </c>
      <c r="H4242" s="41" t="n">
        <v>16.19</v>
      </c>
      <c r="I4242" s="43" t="n">
        <f aca="false">F4242*H4242</f>
        <v>66.8647</v>
      </c>
      <c r="J4242" s="43" t="n">
        <f aca="false">G4242*H4242*1.5</f>
        <v>0</v>
      </c>
      <c r="K4242" s="6" t="n">
        <v>9.36</v>
      </c>
      <c r="L4242" s="43" t="n">
        <f aca="false">K4242*'Chart of Accounts'!$E$68</f>
        <v>6.2712</v>
      </c>
      <c r="O4242" s="42" t="n">
        <f aca="false">I4242+J4242+L4242</f>
        <v>73.1359</v>
      </c>
    </row>
    <row r="4243" customFormat="false" ht="15" hidden="false" customHeight="false" outlineLevel="0" collapsed="false">
      <c r="B4243" s="7" t="s">
        <v>12876</v>
      </c>
      <c r="C4243" s="39" t="n">
        <v>45923</v>
      </c>
      <c r="D4243" s="7" t="s">
        <v>216</v>
      </c>
      <c r="E4243" s="7" t="s">
        <v>158</v>
      </c>
      <c r="H4243" s="41" t="n">
        <v>61.79</v>
      </c>
      <c r="M4243" s="6" t="n">
        <v>1</v>
      </c>
      <c r="N4243" s="43" t="n">
        <f aca="false">M4243*H4243</f>
        <v>61.79</v>
      </c>
      <c r="O4243" s="42" t="n">
        <f aca="false">N4243</f>
        <v>61.79</v>
      </c>
    </row>
    <row r="4244" customFormat="false" ht="15" hidden="false" customHeight="false" outlineLevel="0" collapsed="false">
      <c r="B4244" s="7" t="s">
        <v>12877</v>
      </c>
      <c r="C4244" s="39" t="n">
        <v>45923</v>
      </c>
      <c r="D4244" s="7" t="s">
        <v>228</v>
      </c>
      <c r="E4244" s="7" t="s">
        <v>158</v>
      </c>
      <c r="H4244" s="41" t="n">
        <v>51.07</v>
      </c>
      <c r="M4244" s="6" t="n">
        <v>1</v>
      </c>
      <c r="N4244" s="43" t="n">
        <f aca="false">M4244*H4244</f>
        <v>51.07</v>
      </c>
      <c r="O4244" s="42" t="n">
        <f aca="false">N4244</f>
        <v>51.07</v>
      </c>
    </row>
    <row r="4245" customFormat="false" ht="15" hidden="false" customHeight="false" outlineLevel="0" collapsed="false">
      <c r="B4245" s="7" t="s">
        <v>12878</v>
      </c>
      <c r="C4245" s="39" t="n">
        <v>45923</v>
      </c>
      <c r="D4245" s="7" t="s">
        <v>220</v>
      </c>
      <c r="E4245" s="7" t="s">
        <v>180</v>
      </c>
      <c r="F4245" s="6" t="n">
        <v>8.11</v>
      </c>
      <c r="G4245" s="6" t="n">
        <v>0</v>
      </c>
      <c r="H4245" s="41" t="n">
        <v>16.43</v>
      </c>
      <c r="I4245" s="43" t="n">
        <f aca="false">F4245*H4245</f>
        <v>133.2473</v>
      </c>
      <c r="J4245" s="43" t="n">
        <f aca="false">G4245*H4245*1.5</f>
        <v>0</v>
      </c>
      <c r="K4245" s="6" t="n">
        <v>20.63</v>
      </c>
      <c r="L4245" s="43" t="n">
        <f aca="false">K4245*'Chart of Accounts'!$E$68</f>
        <v>13.8221</v>
      </c>
      <c r="O4245" s="42" t="n">
        <f aca="false">I4245+J4245+L4245</f>
        <v>147.0694</v>
      </c>
    </row>
    <row r="4246" customFormat="false" ht="15" hidden="false" customHeight="false" outlineLevel="0" collapsed="false">
      <c r="B4246" s="7" t="s">
        <v>12879</v>
      </c>
      <c r="C4246" s="39" t="n">
        <v>45923</v>
      </c>
      <c r="D4246" s="7" t="s">
        <v>244</v>
      </c>
      <c r="E4246" s="7" t="s">
        <v>180</v>
      </c>
      <c r="F4246" s="6" t="n">
        <v>4.34</v>
      </c>
      <c r="G4246" s="6" t="n">
        <v>0</v>
      </c>
      <c r="H4246" s="41" t="n">
        <v>16.39</v>
      </c>
      <c r="I4246" s="43" t="n">
        <f aca="false">F4246*H4246</f>
        <v>71.1326</v>
      </c>
      <c r="J4246" s="43" t="n">
        <f aca="false">G4246*H4246*1.5</f>
        <v>0</v>
      </c>
      <c r="K4246" s="6" t="n">
        <v>12.71</v>
      </c>
      <c r="L4246" s="43" t="n">
        <f aca="false">K4246*'Chart of Accounts'!$E$68</f>
        <v>8.5157</v>
      </c>
      <c r="O4246" s="42" t="n">
        <f aca="false">I4246+J4246+L4246</f>
        <v>79.6483</v>
      </c>
    </row>
    <row r="4247" customFormat="false" ht="15" hidden="false" customHeight="false" outlineLevel="0" collapsed="false">
      <c r="B4247" s="7" t="s">
        <v>12880</v>
      </c>
      <c r="C4247" s="39" t="n">
        <v>45923</v>
      </c>
      <c r="D4247" s="7" t="s">
        <v>194</v>
      </c>
      <c r="E4247" s="7" t="s">
        <v>180</v>
      </c>
      <c r="F4247" s="6" t="n">
        <v>4.3</v>
      </c>
      <c r="G4247" s="6" t="n">
        <v>0</v>
      </c>
      <c r="H4247" s="41" t="n">
        <v>16</v>
      </c>
      <c r="I4247" s="43" t="n">
        <f aca="false">F4247*H4247</f>
        <v>68.8</v>
      </c>
      <c r="J4247" s="43" t="n">
        <f aca="false">G4247*H4247*1.5</f>
        <v>0</v>
      </c>
      <c r="K4247" s="6" t="n">
        <v>9.83</v>
      </c>
      <c r="L4247" s="43" t="n">
        <f aca="false">K4247*'Chart of Accounts'!$E$68</f>
        <v>6.5861</v>
      </c>
      <c r="O4247" s="42" t="n">
        <f aca="false">I4247+J4247+L4247</f>
        <v>75.3861</v>
      </c>
    </row>
    <row r="4248" customFormat="false" ht="15" hidden="false" customHeight="false" outlineLevel="0" collapsed="false">
      <c r="B4248" s="7" t="s">
        <v>12881</v>
      </c>
      <c r="C4248" s="39" t="n">
        <v>45923</v>
      </c>
      <c r="D4248" s="7" t="s">
        <v>258</v>
      </c>
      <c r="E4248" s="7" t="s">
        <v>158</v>
      </c>
      <c r="H4248" s="41" t="n">
        <v>61.61</v>
      </c>
      <c r="M4248" s="6" t="n">
        <v>1</v>
      </c>
      <c r="N4248" s="43" t="n">
        <f aca="false">M4248*H4248</f>
        <v>61.61</v>
      </c>
      <c r="O4248" s="42" t="n">
        <f aca="false">N4248</f>
        <v>61.61</v>
      </c>
    </row>
    <row r="4249" customFormat="false" ht="15" hidden="false" customHeight="false" outlineLevel="0" collapsed="false">
      <c r="B4249" s="7" t="s">
        <v>12882</v>
      </c>
      <c r="C4249" s="39" t="n">
        <v>45923</v>
      </c>
      <c r="D4249" s="7" t="s">
        <v>230</v>
      </c>
      <c r="E4249" s="7" t="s">
        <v>158</v>
      </c>
      <c r="H4249" s="41" t="n">
        <v>48.78</v>
      </c>
      <c r="M4249" s="6" t="n">
        <v>1</v>
      </c>
      <c r="N4249" s="43" t="n">
        <f aca="false">M4249*H4249</f>
        <v>48.78</v>
      </c>
      <c r="O4249" s="42" t="n">
        <f aca="false">N4249</f>
        <v>48.78</v>
      </c>
    </row>
    <row r="4250" customFormat="false" ht="15" hidden="false" customHeight="false" outlineLevel="0" collapsed="false">
      <c r="B4250" s="7" t="s">
        <v>12883</v>
      </c>
      <c r="C4250" s="39" t="n">
        <v>45923</v>
      </c>
      <c r="D4250" s="7" t="s">
        <v>196</v>
      </c>
      <c r="E4250" s="7" t="s">
        <v>180</v>
      </c>
      <c r="F4250" s="6" t="n">
        <v>4.259</v>
      </c>
      <c r="G4250" s="6" t="n">
        <v>0.091</v>
      </c>
      <c r="H4250" s="41" t="n">
        <v>15.05</v>
      </c>
      <c r="I4250" s="43" t="n">
        <f aca="false">F4250*H4250</f>
        <v>64.09795</v>
      </c>
      <c r="J4250" s="43" t="n">
        <f aca="false">G4250*H4250*1.5</f>
        <v>2.054325</v>
      </c>
      <c r="K4250" s="6" t="n">
        <v>13.42</v>
      </c>
      <c r="L4250" s="43" t="n">
        <f aca="false">K4250*'Chart of Accounts'!$E$68</f>
        <v>8.9914</v>
      </c>
      <c r="O4250" s="42" t="n">
        <f aca="false">I4250+J4250+L4250</f>
        <v>75.143675</v>
      </c>
    </row>
    <row r="4251" customFormat="false" ht="15" hidden="false" customHeight="false" outlineLevel="0" collapsed="false">
      <c r="B4251" s="7" t="s">
        <v>12884</v>
      </c>
      <c r="C4251" s="39" t="n">
        <v>45923</v>
      </c>
      <c r="D4251" s="7" t="s">
        <v>246</v>
      </c>
      <c r="E4251" s="7" t="s">
        <v>180</v>
      </c>
      <c r="F4251" s="6" t="n">
        <v>4.03</v>
      </c>
      <c r="G4251" s="6" t="n">
        <v>0</v>
      </c>
      <c r="H4251" s="41" t="n">
        <v>16.48</v>
      </c>
      <c r="I4251" s="43" t="n">
        <f aca="false">F4251*H4251</f>
        <v>66.4144</v>
      </c>
      <c r="J4251" s="43" t="n">
        <f aca="false">G4251*H4251*1.5</f>
        <v>0</v>
      </c>
      <c r="K4251" s="6" t="n">
        <v>13.11</v>
      </c>
      <c r="L4251" s="43" t="n">
        <f aca="false">K4251*'Chart of Accounts'!$E$68</f>
        <v>8.7837</v>
      </c>
      <c r="O4251" s="42" t="n">
        <f aca="false">I4251+J4251+L4251</f>
        <v>75.1981</v>
      </c>
    </row>
    <row r="4252" customFormat="false" ht="15" hidden="false" customHeight="false" outlineLevel="0" collapsed="false">
      <c r="B4252" s="7" t="s">
        <v>12885</v>
      </c>
      <c r="C4252" s="39" t="n">
        <v>45923</v>
      </c>
      <c r="D4252" s="7" t="s">
        <v>222</v>
      </c>
      <c r="E4252" s="7" t="s">
        <v>180</v>
      </c>
      <c r="F4252" s="6" t="n">
        <v>4.29</v>
      </c>
      <c r="G4252" s="6" t="n">
        <v>0</v>
      </c>
      <c r="H4252" s="41" t="n">
        <v>17.84</v>
      </c>
      <c r="I4252" s="43" t="n">
        <f aca="false">F4252*H4252</f>
        <v>76.5336</v>
      </c>
      <c r="J4252" s="43" t="n">
        <f aca="false">G4252*H4252*1.5</f>
        <v>0</v>
      </c>
      <c r="K4252" s="6" t="n">
        <v>11.94</v>
      </c>
      <c r="L4252" s="43" t="n">
        <f aca="false">K4252*'Chart of Accounts'!$E$68</f>
        <v>7.9998</v>
      </c>
      <c r="O4252" s="42" t="n">
        <f aca="false">I4252+J4252+L4252</f>
        <v>84.5334</v>
      </c>
    </row>
    <row r="4253" customFormat="false" ht="15" hidden="false" customHeight="false" outlineLevel="0" collapsed="false">
      <c r="B4253" s="7" t="s">
        <v>12886</v>
      </c>
      <c r="C4253" s="39" t="n">
        <v>45923</v>
      </c>
      <c r="D4253" s="7" t="s">
        <v>203</v>
      </c>
      <c r="E4253" s="7" t="s">
        <v>158</v>
      </c>
      <c r="H4253" s="41" t="n">
        <v>49.43</v>
      </c>
      <c r="M4253" s="6" t="n">
        <v>1</v>
      </c>
      <c r="N4253" s="43" t="n">
        <f aca="false">M4253*H4253</f>
        <v>49.43</v>
      </c>
      <c r="O4253" s="42" t="n">
        <f aca="false">N4253</f>
        <v>49.43</v>
      </c>
    </row>
    <row r="4254" customFormat="false" ht="15" hidden="false" customHeight="false" outlineLevel="0" collapsed="false">
      <c r="B4254" s="7" t="s">
        <v>12887</v>
      </c>
      <c r="C4254" s="39" t="n">
        <v>45923</v>
      </c>
      <c r="D4254" s="7" t="s">
        <v>254</v>
      </c>
      <c r="E4254" s="7" t="s">
        <v>180</v>
      </c>
      <c r="F4254" s="6" t="n">
        <v>4.147</v>
      </c>
      <c r="G4254" s="6" t="n">
        <v>0.143</v>
      </c>
      <c r="H4254" s="41" t="n">
        <v>17.1</v>
      </c>
      <c r="I4254" s="43" t="n">
        <f aca="false">F4254*H4254</f>
        <v>70.9137</v>
      </c>
      <c r="J4254" s="43" t="n">
        <f aca="false">G4254*H4254*1.5</f>
        <v>3.66795</v>
      </c>
      <c r="K4254" s="6" t="n">
        <v>13.72</v>
      </c>
      <c r="L4254" s="43" t="n">
        <f aca="false">K4254*'Chart of Accounts'!$E$68</f>
        <v>9.1924</v>
      </c>
      <c r="O4254" s="42" t="n">
        <f aca="false">I4254+J4254+L4254</f>
        <v>83.77405</v>
      </c>
    </row>
    <row r="4255" customFormat="false" ht="15" hidden="false" customHeight="false" outlineLevel="0" collapsed="false">
      <c r="B4255" s="7" t="s">
        <v>12888</v>
      </c>
      <c r="C4255" s="39" t="n">
        <v>45923</v>
      </c>
      <c r="D4255" s="7" t="s">
        <v>260</v>
      </c>
      <c r="E4255" s="7" t="s">
        <v>158</v>
      </c>
      <c r="H4255" s="41" t="n">
        <v>79.8</v>
      </c>
      <c r="M4255" s="6" t="n">
        <v>1</v>
      </c>
      <c r="N4255" s="43" t="n">
        <f aca="false">M4255*H4255</f>
        <v>79.8</v>
      </c>
      <c r="O4255" s="42" t="n">
        <f aca="false">N4255</f>
        <v>79.8</v>
      </c>
    </row>
    <row r="4256" customFormat="false" ht="15" hidden="false" customHeight="false" outlineLevel="0" collapsed="false">
      <c r="B4256" s="7" t="s">
        <v>12889</v>
      </c>
      <c r="C4256" s="39" t="n">
        <v>45924</v>
      </c>
      <c r="D4256" s="7" t="s">
        <v>238</v>
      </c>
      <c r="E4256" s="7" t="s">
        <v>180</v>
      </c>
      <c r="F4256" s="6" t="n">
        <v>11.011</v>
      </c>
      <c r="G4256" s="6" t="n">
        <v>1.809</v>
      </c>
      <c r="H4256" s="41" t="n">
        <v>15.85</v>
      </c>
      <c r="I4256" s="43" t="n">
        <f aca="false">F4256*H4256</f>
        <v>174.52435</v>
      </c>
      <c r="J4256" s="43" t="n">
        <f aca="false">G4256*H4256*1.5</f>
        <v>43.008975</v>
      </c>
      <c r="K4256" s="6" t="n">
        <v>41.91</v>
      </c>
      <c r="L4256" s="43" t="n">
        <f aca="false">K4256*'Chart of Accounts'!$E$68</f>
        <v>28.0797</v>
      </c>
      <c r="O4256" s="42" t="n">
        <f aca="false">I4256+J4256+L4256</f>
        <v>245.613025</v>
      </c>
    </row>
    <row r="4257" customFormat="false" ht="15" hidden="false" customHeight="false" outlineLevel="0" collapsed="false">
      <c r="B4257" s="7" t="s">
        <v>12890</v>
      </c>
      <c r="C4257" s="39" t="n">
        <v>45924</v>
      </c>
      <c r="D4257" s="7" t="s">
        <v>194</v>
      </c>
      <c r="E4257" s="7" t="s">
        <v>180</v>
      </c>
      <c r="F4257" s="6" t="n">
        <v>8.44</v>
      </c>
      <c r="G4257" s="6" t="n">
        <v>0</v>
      </c>
      <c r="H4257" s="41" t="n">
        <v>16</v>
      </c>
      <c r="I4257" s="43" t="n">
        <f aca="false">F4257*H4257</f>
        <v>135.04</v>
      </c>
      <c r="J4257" s="43" t="n">
        <f aca="false">G4257*H4257*1.5</f>
        <v>0</v>
      </c>
      <c r="K4257" s="6" t="n">
        <v>27.45</v>
      </c>
      <c r="L4257" s="43" t="n">
        <f aca="false">K4257*'Chart of Accounts'!$E$68</f>
        <v>18.3915</v>
      </c>
      <c r="O4257" s="42" t="n">
        <f aca="false">I4257+J4257+L4257</f>
        <v>153.4315</v>
      </c>
    </row>
    <row r="4258" customFormat="false" ht="15" hidden="false" customHeight="false" outlineLevel="0" collapsed="false">
      <c r="B4258" s="7" t="s">
        <v>12891</v>
      </c>
      <c r="C4258" s="39" t="n">
        <v>45924</v>
      </c>
      <c r="D4258" s="7" t="s">
        <v>214</v>
      </c>
      <c r="E4258" s="7" t="s">
        <v>180</v>
      </c>
      <c r="F4258" s="6" t="n">
        <v>6.8</v>
      </c>
      <c r="G4258" s="6" t="n">
        <v>0</v>
      </c>
      <c r="H4258" s="41" t="n">
        <v>15.67</v>
      </c>
      <c r="I4258" s="43" t="n">
        <f aca="false">F4258*H4258</f>
        <v>106.556</v>
      </c>
      <c r="J4258" s="43" t="n">
        <f aca="false">G4258*H4258*1.5</f>
        <v>0</v>
      </c>
      <c r="K4258" s="6" t="n">
        <v>23.9</v>
      </c>
      <c r="L4258" s="43" t="n">
        <f aca="false">K4258*'Chart of Accounts'!$E$68</f>
        <v>16.013</v>
      </c>
      <c r="O4258" s="42" t="n">
        <f aca="false">I4258+J4258+L4258</f>
        <v>122.569</v>
      </c>
    </row>
    <row r="4259" customFormat="false" ht="15" hidden="false" customHeight="false" outlineLevel="0" collapsed="false">
      <c r="B4259" s="7" t="s">
        <v>12892</v>
      </c>
      <c r="C4259" s="39" t="n">
        <v>45924</v>
      </c>
      <c r="D4259" s="7" t="s">
        <v>205</v>
      </c>
      <c r="E4259" s="7" t="s">
        <v>180</v>
      </c>
      <c r="F4259" s="6" t="n">
        <v>3.82</v>
      </c>
      <c r="G4259" s="6" t="n">
        <v>0</v>
      </c>
      <c r="H4259" s="41" t="n">
        <v>16.36</v>
      </c>
      <c r="I4259" s="43" t="n">
        <f aca="false">F4259*H4259</f>
        <v>62.4952</v>
      </c>
      <c r="J4259" s="43" t="n">
        <f aca="false">G4259*H4259*1.5</f>
        <v>0</v>
      </c>
      <c r="K4259" s="6" t="n">
        <v>9.61</v>
      </c>
      <c r="L4259" s="43" t="n">
        <f aca="false">K4259*'Chart of Accounts'!$E$68</f>
        <v>6.4387</v>
      </c>
      <c r="O4259" s="42" t="n">
        <f aca="false">I4259+J4259+L4259</f>
        <v>68.9339</v>
      </c>
    </row>
    <row r="4260" customFormat="false" ht="15" hidden="false" customHeight="false" outlineLevel="0" collapsed="false">
      <c r="B4260" s="7" t="s">
        <v>12893</v>
      </c>
      <c r="C4260" s="39" t="n">
        <v>45924</v>
      </c>
      <c r="D4260" s="7" t="s">
        <v>264</v>
      </c>
      <c r="E4260" s="7" t="s">
        <v>158</v>
      </c>
      <c r="H4260" s="41" t="n">
        <v>55.55</v>
      </c>
      <c r="M4260" s="6" t="n">
        <v>1</v>
      </c>
      <c r="N4260" s="43" t="n">
        <f aca="false">M4260*H4260</f>
        <v>55.55</v>
      </c>
      <c r="O4260" s="42" t="n">
        <f aca="false">N4260</f>
        <v>55.55</v>
      </c>
    </row>
    <row r="4261" customFormat="false" ht="15" hidden="false" customHeight="false" outlineLevel="0" collapsed="false">
      <c r="B4261" s="7" t="s">
        <v>12894</v>
      </c>
      <c r="C4261" s="39" t="n">
        <v>45924</v>
      </c>
      <c r="D4261" s="7" t="s">
        <v>252</v>
      </c>
      <c r="E4261" s="7" t="s">
        <v>158</v>
      </c>
      <c r="H4261" s="41" t="n">
        <v>57.54</v>
      </c>
      <c r="M4261" s="6" t="n">
        <v>1</v>
      </c>
      <c r="N4261" s="43" t="n">
        <f aca="false">M4261*H4261</f>
        <v>57.54</v>
      </c>
      <c r="O4261" s="42" t="n">
        <f aca="false">N4261</f>
        <v>57.54</v>
      </c>
    </row>
    <row r="4262" customFormat="false" ht="15" hidden="false" customHeight="false" outlineLevel="0" collapsed="false">
      <c r="B4262" s="7" t="s">
        <v>12895</v>
      </c>
      <c r="C4262" s="39" t="n">
        <v>45924</v>
      </c>
      <c r="D4262" s="7" t="s">
        <v>184</v>
      </c>
      <c r="E4262" s="7" t="s">
        <v>180</v>
      </c>
      <c r="F4262" s="6" t="n">
        <v>7.82</v>
      </c>
      <c r="G4262" s="6" t="n">
        <v>0</v>
      </c>
      <c r="H4262" s="41" t="n">
        <v>17.34</v>
      </c>
      <c r="I4262" s="43" t="n">
        <f aca="false">F4262*H4262</f>
        <v>135.5988</v>
      </c>
      <c r="J4262" s="43" t="n">
        <f aca="false">G4262*H4262*1.5</f>
        <v>0</v>
      </c>
      <c r="K4262" s="6" t="n">
        <v>17.6</v>
      </c>
      <c r="L4262" s="43" t="n">
        <f aca="false">K4262*'Chart of Accounts'!$E$68</f>
        <v>11.792</v>
      </c>
      <c r="O4262" s="42" t="n">
        <f aca="false">I4262+J4262+L4262</f>
        <v>147.3908</v>
      </c>
    </row>
    <row r="4263" customFormat="false" ht="15" hidden="false" customHeight="false" outlineLevel="0" collapsed="false">
      <c r="B4263" s="7" t="s">
        <v>12896</v>
      </c>
      <c r="C4263" s="39" t="n">
        <v>45924</v>
      </c>
      <c r="D4263" s="7" t="s">
        <v>216</v>
      </c>
      <c r="E4263" s="7" t="s">
        <v>158</v>
      </c>
      <c r="H4263" s="41" t="n">
        <v>61.79</v>
      </c>
      <c r="M4263" s="6" t="n">
        <v>1</v>
      </c>
      <c r="N4263" s="43" t="n">
        <f aca="false">M4263*H4263</f>
        <v>61.79</v>
      </c>
      <c r="O4263" s="42" t="n">
        <f aca="false">N4263</f>
        <v>61.79</v>
      </c>
    </row>
    <row r="4264" customFormat="false" ht="15" hidden="false" customHeight="false" outlineLevel="0" collapsed="false">
      <c r="B4264" s="7" t="s">
        <v>12897</v>
      </c>
      <c r="C4264" s="39" t="n">
        <v>45924</v>
      </c>
      <c r="D4264" s="7" t="s">
        <v>218</v>
      </c>
      <c r="E4264" s="7" t="s">
        <v>180</v>
      </c>
      <c r="F4264" s="6" t="n">
        <v>4.29</v>
      </c>
      <c r="G4264" s="6" t="n">
        <v>0</v>
      </c>
      <c r="H4264" s="41" t="n">
        <v>16.19</v>
      </c>
      <c r="I4264" s="43" t="n">
        <f aca="false">F4264*H4264</f>
        <v>69.4551</v>
      </c>
      <c r="J4264" s="43" t="n">
        <f aca="false">G4264*H4264*1.5</f>
        <v>0</v>
      </c>
      <c r="K4264" s="6" t="n">
        <v>14.25</v>
      </c>
      <c r="L4264" s="43" t="n">
        <f aca="false">K4264*'Chart of Accounts'!$E$68</f>
        <v>9.5475</v>
      </c>
      <c r="O4264" s="42" t="n">
        <f aca="false">I4264+J4264+L4264</f>
        <v>79.0026</v>
      </c>
    </row>
    <row r="4265" customFormat="false" ht="15" hidden="false" customHeight="false" outlineLevel="0" collapsed="false">
      <c r="B4265" s="7" t="s">
        <v>12898</v>
      </c>
      <c r="C4265" s="39" t="n">
        <v>45924</v>
      </c>
      <c r="D4265" s="7" t="s">
        <v>220</v>
      </c>
      <c r="E4265" s="7" t="s">
        <v>180</v>
      </c>
      <c r="F4265" s="6" t="n">
        <v>4.08</v>
      </c>
      <c r="G4265" s="6" t="n">
        <v>0</v>
      </c>
      <c r="H4265" s="41" t="n">
        <v>16.43</v>
      </c>
      <c r="I4265" s="43" t="n">
        <f aca="false">F4265*H4265</f>
        <v>67.0344</v>
      </c>
      <c r="J4265" s="43" t="n">
        <f aca="false">G4265*H4265*1.5</f>
        <v>0</v>
      </c>
      <c r="K4265" s="6" t="n">
        <v>13.51</v>
      </c>
      <c r="L4265" s="43" t="n">
        <f aca="false">K4265*'Chart of Accounts'!$E$68</f>
        <v>9.0517</v>
      </c>
      <c r="O4265" s="42" t="n">
        <f aca="false">I4265+J4265+L4265</f>
        <v>76.0861</v>
      </c>
    </row>
    <row r="4266" customFormat="false" ht="15" hidden="false" customHeight="false" outlineLevel="0" collapsed="false">
      <c r="B4266" s="7" t="s">
        <v>12899</v>
      </c>
      <c r="C4266" s="39" t="n">
        <v>45924</v>
      </c>
      <c r="D4266" s="7" t="s">
        <v>177</v>
      </c>
      <c r="E4266" s="7" t="s">
        <v>180</v>
      </c>
      <c r="F4266" s="6" t="n">
        <v>8.64</v>
      </c>
      <c r="G4266" s="6" t="n">
        <v>0</v>
      </c>
      <c r="H4266" s="41" t="n">
        <v>14.56</v>
      </c>
      <c r="I4266" s="43" t="n">
        <f aca="false">F4266*H4266</f>
        <v>125.7984</v>
      </c>
      <c r="J4266" s="43" t="n">
        <f aca="false">G4266*H4266*1.5</f>
        <v>0</v>
      </c>
      <c r="K4266" s="6" t="n">
        <v>27.55</v>
      </c>
      <c r="L4266" s="43" t="n">
        <f aca="false">K4266*'Chart of Accounts'!$E$68</f>
        <v>18.4585</v>
      </c>
      <c r="O4266" s="42" t="n">
        <f aca="false">I4266+J4266+L4266</f>
        <v>144.2569</v>
      </c>
    </row>
    <row r="4267" customFormat="false" ht="15" hidden="false" customHeight="false" outlineLevel="0" collapsed="false">
      <c r="B4267" s="7" t="s">
        <v>12900</v>
      </c>
      <c r="C4267" s="39" t="n">
        <v>45924</v>
      </c>
      <c r="D4267" s="7" t="s">
        <v>242</v>
      </c>
      <c r="E4267" s="7" t="s">
        <v>180</v>
      </c>
      <c r="F4267" s="6" t="n">
        <v>10.449</v>
      </c>
      <c r="G4267" s="6" t="n">
        <v>0.431</v>
      </c>
      <c r="H4267" s="41" t="n">
        <v>17.99</v>
      </c>
      <c r="I4267" s="43" t="n">
        <f aca="false">F4267*H4267</f>
        <v>187.97751</v>
      </c>
      <c r="J4267" s="43" t="n">
        <f aca="false">G4267*H4267*1.5</f>
        <v>11.630535</v>
      </c>
      <c r="K4267" s="6" t="n">
        <v>32.63</v>
      </c>
      <c r="L4267" s="43" t="n">
        <f aca="false">K4267*'Chart of Accounts'!$E$68</f>
        <v>21.8621</v>
      </c>
      <c r="O4267" s="42" t="n">
        <f aca="false">I4267+J4267+L4267</f>
        <v>221.470145</v>
      </c>
    </row>
    <row r="4268" customFormat="false" ht="15" hidden="false" customHeight="false" outlineLevel="0" collapsed="false">
      <c r="B4268" s="7" t="s">
        <v>12901</v>
      </c>
      <c r="C4268" s="39" t="n">
        <v>45924</v>
      </c>
      <c r="D4268" s="7" t="s">
        <v>244</v>
      </c>
      <c r="E4268" s="7" t="s">
        <v>180</v>
      </c>
      <c r="F4268" s="6" t="n">
        <v>3.81</v>
      </c>
      <c r="G4268" s="6" t="n">
        <v>0</v>
      </c>
      <c r="H4268" s="41" t="n">
        <v>16.39</v>
      </c>
      <c r="I4268" s="43" t="n">
        <f aca="false">F4268*H4268</f>
        <v>62.4459</v>
      </c>
      <c r="J4268" s="43" t="n">
        <f aca="false">G4268*H4268*1.5</f>
        <v>0</v>
      </c>
      <c r="K4268" s="6" t="n">
        <v>13.13</v>
      </c>
      <c r="L4268" s="43" t="n">
        <f aca="false">K4268*'Chart of Accounts'!$E$68</f>
        <v>8.7971</v>
      </c>
      <c r="O4268" s="42" t="n">
        <f aca="false">I4268+J4268+L4268</f>
        <v>71.243</v>
      </c>
    </row>
    <row r="4269" customFormat="false" ht="15" hidden="false" customHeight="false" outlineLevel="0" collapsed="false">
      <c r="B4269" s="7" t="s">
        <v>12902</v>
      </c>
      <c r="C4269" s="39" t="n">
        <v>45924</v>
      </c>
      <c r="D4269" s="7" t="s">
        <v>254</v>
      </c>
      <c r="E4269" s="7" t="s">
        <v>180</v>
      </c>
      <c r="F4269" s="6" t="n">
        <v>6.767</v>
      </c>
      <c r="G4269" s="6" t="n">
        <v>0.233</v>
      </c>
      <c r="H4269" s="41" t="n">
        <v>17.1</v>
      </c>
      <c r="I4269" s="43" t="n">
        <f aca="false">F4269*H4269</f>
        <v>115.7157</v>
      </c>
      <c r="J4269" s="43" t="n">
        <f aca="false">G4269*H4269*1.5</f>
        <v>5.97645</v>
      </c>
      <c r="K4269" s="6" t="n">
        <v>20.45</v>
      </c>
      <c r="L4269" s="43" t="n">
        <f aca="false">K4269*'Chart of Accounts'!$E$68</f>
        <v>13.7015</v>
      </c>
      <c r="O4269" s="42" t="n">
        <f aca="false">I4269+J4269+L4269</f>
        <v>135.39365</v>
      </c>
    </row>
    <row r="4270" customFormat="false" ht="15" hidden="false" customHeight="false" outlineLevel="0" collapsed="false">
      <c r="B4270" s="7" t="s">
        <v>12903</v>
      </c>
      <c r="C4270" s="39" t="n">
        <v>45924</v>
      </c>
      <c r="D4270" s="7" t="s">
        <v>201</v>
      </c>
      <c r="E4270" s="7" t="s">
        <v>180</v>
      </c>
      <c r="F4270" s="6" t="n">
        <v>6.81</v>
      </c>
      <c r="G4270" s="6" t="n">
        <v>0</v>
      </c>
      <c r="H4270" s="41" t="n">
        <v>15.19</v>
      </c>
      <c r="I4270" s="43" t="n">
        <f aca="false">F4270*H4270</f>
        <v>103.4439</v>
      </c>
      <c r="J4270" s="43" t="n">
        <f aca="false">G4270*H4270*1.5</f>
        <v>0</v>
      </c>
      <c r="K4270" s="6" t="n">
        <v>17.58</v>
      </c>
      <c r="L4270" s="43" t="n">
        <f aca="false">K4270*'Chart of Accounts'!$E$68</f>
        <v>11.7786</v>
      </c>
      <c r="O4270" s="42" t="n">
        <f aca="false">I4270+J4270+L4270</f>
        <v>115.2225</v>
      </c>
    </row>
    <row r="4271" customFormat="false" ht="15" hidden="false" customHeight="false" outlineLevel="0" collapsed="false">
      <c r="B4271" s="7" t="s">
        <v>12904</v>
      </c>
      <c r="C4271" s="39" t="n">
        <v>45924</v>
      </c>
      <c r="D4271" s="7" t="s">
        <v>222</v>
      </c>
      <c r="E4271" s="7" t="s">
        <v>180</v>
      </c>
      <c r="F4271" s="6" t="n">
        <v>7.61</v>
      </c>
      <c r="G4271" s="6" t="n">
        <v>0</v>
      </c>
      <c r="H4271" s="41" t="n">
        <v>17.84</v>
      </c>
      <c r="I4271" s="43" t="n">
        <f aca="false">F4271*H4271</f>
        <v>135.7624</v>
      </c>
      <c r="J4271" s="43" t="n">
        <f aca="false">G4271*H4271*1.5</f>
        <v>0</v>
      </c>
      <c r="K4271" s="6" t="n">
        <v>19.63</v>
      </c>
      <c r="L4271" s="43" t="n">
        <f aca="false">K4271*'Chart of Accounts'!$E$68</f>
        <v>13.1521</v>
      </c>
      <c r="O4271" s="42" t="n">
        <f aca="false">I4271+J4271+L4271</f>
        <v>148.9145</v>
      </c>
    </row>
    <row r="4272" customFormat="false" ht="15" hidden="false" customHeight="false" outlineLevel="0" collapsed="false">
      <c r="B4272" s="7" t="s">
        <v>12905</v>
      </c>
      <c r="C4272" s="39" t="n">
        <v>45924</v>
      </c>
      <c r="D4272" s="7" t="s">
        <v>232</v>
      </c>
      <c r="E4272" s="7" t="s">
        <v>180</v>
      </c>
      <c r="F4272" s="6" t="n">
        <v>4.45</v>
      </c>
      <c r="G4272" s="6" t="n">
        <v>0</v>
      </c>
      <c r="H4272" s="41" t="n">
        <v>16.17</v>
      </c>
      <c r="I4272" s="43" t="n">
        <f aca="false">F4272*H4272</f>
        <v>71.9565</v>
      </c>
      <c r="J4272" s="43" t="n">
        <f aca="false">G4272*H4272*1.5</f>
        <v>0</v>
      </c>
      <c r="K4272" s="6" t="n">
        <v>10.75</v>
      </c>
      <c r="L4272" s="43" t="n">
        <f aca="false">K4272*'Chart of Accounts'!$E$68</f>
        <v>7.2025</v>
      </c>
      <c r="O4272" s="42" t="n">
        <f aca="false">I4272+J4272+L4272</f>
        <v>79.159</v>
      </c>
    </row>
    <row r="4273" customFormat="false" ht="15" hidden="false" customHeight="false" outlineLevel="0" collapsed="false">
      <c r="B4273" s="7" t="s">
        <v>12906</v>
      </c>
      <c r="C4273" s="39" t="n">
        <v>45924</v>
      </c>
      <c r="D4273" s="7" t="s">
        <v>224</v>
      </c>
      <c r="E4273" s="7" t="s">
        <v>180</v>
      </c>
      <c r="F4273" s="6" t="n">
        <v>4.48</v>
      </c>
      <c r="G4273" s="6" t="n">
        <v>0</v>
      </c>
      <c r="H4273" s="41" t="n">
        <v>14.93</v>
      </c>
      <c r="I4273" s="43" t="n">
        <f aca="false">F4273*H4273</f>
        <v>66.8864</v>
      </c>
      <c r="J4273" s="43" t="n">
        <f aca="false">G4273*H4273*1.5</f>
        <v>0</v>
      </c>
      <c r="K4273" s="6" t="n">
        <v>14.22</v>
      </c>
      <c r="L4273" s="43" t="n">
        <f aca="false">K4273*'Chart of Accounts'!$E$68</f>
        <v>9.5274</v>
      </c>
      <c r="O4273" s="42" t="n">
        <f aca="false">I4273+J4273+L4273</f>
        <v>76.4138</v>
      </c>
    </row>
    <row r="4274" customFormat="false" ht="15" hidden="false" customHeight="false" outlineLevel="0" collapsed="false">
      <c r="B4274" s="7" t="s">
        <v>12907</v>
      </c>
      <c r="C4274" s="39" t="n">
        <v>45924</v>
      </c>
      <c r="D4274" s="7" t="s">
        <v>196</v>
      </c>
      <c r="E4274" s="7" t="s">
        <v>180</v>
      </c>
      <c r="F4274" s="6" t="n">
        <v>4.044</v>
      </c>
      <c r="G4274" s="6" t="n">
        <v>0.086</v>
      </c>
      <c r="H4274" s="41" t="n">
        <v>15.05</v>
      </c>
      <c r="I4274" s="43" t="n">
        <f aca="false">F4274*H4274</f>
        <v>60.8622</v>
      </c>
      <c r="J4274" s="43" t="n">
        <f aca="false">G4274*H4274*1.5</f>
        <v>1.94145</v>
      </c>
      <c r="K4274" s="6" t="n">
        <v>11.6</v>
      </c>
      <c r="L4274" s="43" t="n">
        <f aca="false">K4274*'Chart of Accounts'!$E$68</f>
        <v>7.772</v>
      </c>
      <c r="O4274" s="42" t="n">
        <f aca="false">I4274+J4274+L4274</f>
        <v>70.57565</v>
      </c>
    </row>
    <row r="4275" customFormat="false" ht="15" hidden="false" customHeight="false" outlineLevel="0" collapsed="false">
      <c r="B4275" s="7" t="s">
        <v>12908</v>
      </c>
      <c r="C4275" s="39" t="n">
        <v>45924</v>
      </c>
      <c r="D4275" s="7" t="s">
        <v>246</v>
      </c>
      <c r="E4275" s="7" t="s">
        <v>180</v>
      </c>
      <c r="F4275" s="6" t="n">
        <v>3.62</v>
      </c>
      <c r="G4275" s="6" t="n">
        <v>0</v>
      </c>
      <c r="H4275" s="41" t="n">
        <v>16.48</v>
      </c>
      <c r="I4275" s="43" t="n">
        <f aca="false">F4275*H4275</f>
        <v>59.6576</v>
      </c>
      <c r="J4275" s="43" t="n">
        <f aca="false">G4275*H4275*1.5</f>
        <v>0</v>
      </c>
      <c r="K4275" s="6" t="n">
        <v>11.63</v>
      </c>
      <c r="L4275" s="43" t="n">
        <f aca="false">K4275*'Chart of Accounts'!$E$68</f>
        <v>7.7921</v>
      </c>
      <c r="O4275" s="42" t="n">
        <f aca="false">I4275+J4275+L4275</f>
        <v>67.4497</v>
      </c>
    </row>
    <row r="4276" customFormat="false" ht="15" hidden="false" customHeight="false" outlineLevel="0" collapsed="false">
      <c r="B4276" s="7" t="s">
        <v>12909</v>
      </c>
      <c r="C4276" s="39" t="n">
        <v>45924</v>
      </c>
      <c r="D4276" s="7" t="s">
        <v>203</v>
      </c>
      <c r="E4276" s="7" t="s">
        <v>158</v>
      </c>
      <c r="H4276" s="41" t="n">
        <v>49.43</v>
      </c>
      <c r="M4276" s="6" t="n">
        <v>1</v>
      </c>
      <c r="N4276" s="43" t="n">
        <f aca="false">M4276*H4276</f>
        <v>49.43</v>
      </c>
      <c r="O4276" s="42" t="n">
        <f aca="false">N4276</f>
        <v>49.43</v>
      </c>
    </row>
    <row r="4277" customFormat="false" ht="15" hidden="false" customHeight="false" outlineLevel="0" collapsed="false">
      <c r="B4277" s="7" t="s">
        <v>12910</v>
      </c>
      <c r="C4277" s="39" t="n">
        <v>45925</v>
      </c>
      <c r="D4277" s="7" t="s">
        <v>238</v>
      </c>
      <c r="E4277" s="7" t="s">
        <v>180</v>
      </c>
      <c r="F4277" s="6" t="n">
        <v>3.479</v>
      </c>
      <c r="G4277" s="6" t="n">
        <v>0.571</v>
      </c>
      <c r="H4277" s="41" t="n">
        <v>15.85</v>
      </c>
      <c r="I4277" s="43" t="n">
        <f aca="false">F4277*H4277</f>
        <v>55.14215</v>
      </c>
      <c r="J4277" s="43" t="n">
        <f aca="false">G4277*H4277*1.5</f>
        <v>13.575525</v>
      </c>
      <c r="K4277" s="6" t="n">
        <v>11.98</v>
      </c>
      <c r="L4277" s="43" t="n">
        <f aca="false">K4277*'Chart of Accounts'!$E$68</f>
        <v>8.0266</v>
      </c>
      <c r="O4277" s="42" t="n">
        <f aca="false">I4277+J4277+L4277</f>
        <v>76.744275</v>
      </c>
    </row>
    <row r="4278" customFormat="false" ht="15" hidden="false" customHeight="false" outlineLevel="0" collapsed="false">
      <c r="B4278" s="7" t="s">
        <v>12911</v>
      </c>
      <c r="C4278" s="39" t="n">
        <v>45925</v>
      </c>
      <c r="D4278" s="7" t="s">
        <v>201</v>
      </c>
      <c r="E4278" s="7" t="s">
        <v>180</v>
      </c>
      <c r="F4278" s="6" t="n">
        <v>8.8</v>
      </c>
      <c r="G4278" s="6" t="n">
        <v>0</v>
      </c>
      <c r="H4278" s="41" t="n">
        <v>15.19</v>
      </c>
      <c r="I4278" s="43" t="n">
        <f aca="false">F4278*H4278</f>
        <v>133.672</v>
      </c>
      <c r="J4278" s="43" t="n">
        <f aca="false">G4278*H4278*1.5</f>
        <v>0</v>
      </c>
      <c r="K4278" s="6" t="n">
        <v>30.02</v>
      </c>
      <c r="L4278" s="43" t="n">
        <f aca="false">K4278*'Chart of Accounts'!$E$68</f>
        <v>20.1134</v>
      </c>
      <c r="O4278" s="42" t="n">
        <f aca="false">I4278+J4278+L4278</f>
        <v>153.7854</v>
      </c>
    </row>
    <row r="4279" customFormat="false" ht="15" hidden="false" customHeight="false" outlineLevel="0" collapsed="false">
      <c r="B4279" s="7" t="s">
        <v>12912</v>
      </c>
      <c r="C4279" s="39" t="n">
        <v>45925</v>
      </c>
      <c r="D4279" s="7" t="s">
        <v>196</v>
      </c>
      <c r="E4279" s="7" t="s">
        <v>180</v>
      </c>
      <c r="F4279" s="6" t="n">
        <v>10.438</v>
      </c>
      <c r="G4279" s="6" t="n">
        <v>0.222</v>
      </c>
      <c r="H4279" s="41" t="n">
        <v>15.05</v>
      </c>
      <c r="I4279" s="43" t="n">
        <f aca="false">F4279*H4279</f>
        <v>157.0919</v>
      </c>
      <c r="J4279" s="43" t="n">
        <f aca="false">G4279*H4279*1.5</f>
        <v>5.01165</v>
      </c>
      <c r="K4279" s="6" t="n">
        <v>37.39</v>
      </c>
      <c r="L4279" s="43" t="n">
        <f aca="false">K4279*'Chart of Accounts'!$E$68</f>
        <v>25.0513</v>
      </c>
      <c r="O4279" s="42" t="n">
        <f aca="false">I4279+J4279+L4279</f>
        <v>187.15485</v>
      </c>
    </row>
    <row r="4280" customFormat="false" ht="15" hidden="false" customHeight="false" outlineLevel="0" collapsed="false">
      <c r="B4280" s="7" t="s">
        <v>12913</v>
      </c>
      <c r="C4280" s="39" t="n">
        <v>45925</v>
      </c>
      <c r="D4280" s="7" t="s">
        <v>184</v>
      </c>
      <c r="E4280" s="7" t="s">
        <v>180</v>
      </c>
      <c r="F4280" s="6" t="n">
        <v>3.71</v>
      </c>
      <c r="G4280" s="6" t="n">
        <v>0</v>
      </c>
      <c r="H4280" s="41" t="n">
        <v>17.34</v>
      </c>
      <c r="I4280" s="43" t="n">
        <f aca="false">F4280*H4280</f>
        <v>64.3314</v>
      </c>
      <c r="J4280" s="43" t="n">
        <f aca="false">G4280*H4280*1.5</f>
        <v>0</v>
      </c>
      <c r="K4280" s="6" t="n">
        <v>9.08</v>
      </c>
      <c r="L4280" s="43" t="n">
        <f aca="false">K4280*'Chart of Accounts'!$E$68</f>
        <v>6.0836</v>
      </c>
      <c r="O4280" s="42" t="n">
        <f aca="false">I4280+J4280+L4280</f>
        <v>70.415</v>
      </c>
    </row>
    <row r="4281" customFormat="false" ht="15" hidden="false" customHeight="false" outlineLevel="0" collapsed="false">
      <c r="B4281" s="7" t="s">
        <v>12914</v>
      </c>
      <c r="C4281" s="39" t="n">
        <v>45925</v>
      </c>
      <c r="D4281" s="7" t="s">
        <v>218</v>
      </c>
      <c r="E4281" s="7" t="s">
        <v>180</v>
      </c>
      <c r="F4281" s="6" t="n">
        <v>4.06</v>
      </c>
      <c r="G4281" s="6" t="n">
        <v>0</v>
      </c>
      <c r="H4281" s="41" t="n">
        <v>16.19</v>
      </c>
      <c r="I4281" s="43" t="n">
        <f aca="false">F4281*H4281</f>
        <v>65.7314</v>
      </c>
      <c r="J4281" s="43" t="n">
        <f aca="false">G4281*H4281*1.5</f>
        <v>0</v>
      </c>
      <c r="K4281" s="6" t="n">
        <v>11.26</v>
      </c>
      <c r="L4281" s="43" t="n">
        <f aca="false">K4281*'Chart of Accounts'!$E$68</f>
        <v>7.5442</v>
      </c>
      <c r="O4281" s="42" t="n">
        <f aca="false">I4281+J4281+L4281</f>
        <v>73.2756</v>
      </c>
    </row>
    <row r="4282" customFormat="false" ht="15" hidden="false" customHeight="false" outlineLevel="0" collapsed="false">
      <c r="B4282" s="7" t="s">
        <v>12915</v>
      </c>
      <c r="C4282" s="39" t="n">
        <v>45925</v>
      </c>
      <c r="D4282" s="7" t="s">
        <v>220</v>
      </c>
      <c r="E4282" s="7" t="s">
        <v>180</v>
      </c>
      <c r="F4282" s="6" t="n">
        <v>3.8</v>
      </c>
      <c r="G4282" s="6" t="n">
        <v>0</v>
      </c>
      <c r="H4282" s="41" t="n">
        <v>16.43</v>
      </c>
      <c r="I4282" s="43" t="n">
        <f aca="false">F4282*H4282</f>
        <v>62.434</v>
      </c>
      <c r="J4282" s="43" t="n">
        <f aca="false">G4282*H4282*1.5</f>
        <v>0</v>
      </c>
      <c r="K4282" s="6" t="n">
        <v>8.68</v>
      </c>
      <c r="L4282" s="43" t="n">
        <f aca="false">K4282*'Chart of Accounts'!$E$68</f>
        <v>5.8156</v>
      </c>
      <c r="O4282" s="42" t="n">
        <f aca="false">I4282+J4282+L4282</f>
        <v>68.2496</v>
      </c>
    </row>
    <row r="4283" customFormat="false" ht="15" hidden="false" customHeight="false" outlineLevel="0" collapsed="false">
      <c r="B4283" s="7" t="s">
        <v>12916</v>
      </c>
      <c r="C4283" s="39" t="n">
        <v>45925</v>
      </c>
      <c r="D4283" s="7" t="s">
        <v>224</v>
      </c>
      <c r="E4283" s="7" t="s">
        <v>180</v>
      </c>
      <c r="F4283" s="6" t="n">
        <v>4.15</v>
      </c>
      <c r="G4283" s="6" t="n">
        <v>0</v>
      </c>
      <c r="H4283" s="41" t="n">
        <v>14.93</v>
      </c>
      <c r="I4283" s="43" t="n">
        <f aca="false">F4283*H4283</f>
        <v>61.9595</v>
      </c>
      <c r="J4283" s="43" t="n">
        <f aca="false">G4283*H4283*1.5</f>
        <v>0</v>
      </c>
      <c r="K4283" s="6" t="n">
        <v>11.89</v>
      </c>
      <c r="L4283" s="43" t="n">
        <f aca="false">K4283*'Chart of Accounts'!$E$68</f>
        <v>7.9663</v>
      </c>
      <c r="O4283" s="42" t="n">
        <f aca="false">I4283+J4283+L4283</f>
        <v>69.9258</v>
      </c>
    </row>
    <row r="4284" customFormat="false" ht="15" hidden="false" customHeight="false" outlineLevel="0" collapsed="false">
      <c r="B4284" s="7" t="s">
        <v>12917</v>
      </c>
      <c r="C4284" s="39" t="n">
        <v>45925</v>
      </c>
      <c r="D4284" s="7" t="s">
        <v>222</v>
      </c>
      <c r="E4284" s="7" t="s">
        <v>180</v>
      </c>
      <c r="F4284" s="6" t="n">
        <v>7.14</v>
      </c>
      <c r="G4284" s="6" t="n">
        <v>0</v>
      </c>
      <c r="H4284" s="41" t="n">
        <v>17.84</v>
      </c>
      <c r="I4284" s="43" t="n">
        <f aca="false">F4284*H4284</f>
        <v>127.3776</v>
      </c>
      <c r="J4284" s="43" t="n">
        <f aca="false">G4284*H4284*1.5</f>
        <v>0</v>
      </c>
      <c r="K4284" s="6" t="n">
        <v>18.57</v>
      </c>
      <c r="L4284" s="43" t="n">
        <f aca="false">K4284*'Chart of Accounts'!$E$68</f>
        <v>12.4419</v>
      </c>
      <c r="O4284" s="42" t="n">
        <f aca="false">I4284+J4284+L4284</f>
        <v>139.8195</v>
      </c>
    </row>
    <row r="4285" customFormat="false" ht="15" hidden="false" customHeight="false" outlineLevel="0" collapsed="false">
      <c r="B4285" s="7" t="s">
        <v>12918</v>
      </c>
      <c r="C4285" s="39" t="n">
        <v>45925</v>
      </c>
      <c r="D4285" s="7" t="s">
        <v>242</v>
      </c>
      <c r="E4285" s="7" t="s">
        <v>180</v>
      </c>
      <c r="F4285" s="6" t="n">
        <v>7.673</v>
      </c>
      <c r="G4285" s="6" t="n">
        <v>0.317</v>
      </c>
      <c r="H4285" s="41" t="n">
        <v>17.99</v>
      </c>
      <c r="I4285" s="43" t="n">
        <f aca="false">F4285*H4285</f>
        <v>138.03727</v>
      </c>
      <c r="J4285" s="43" t="n">
        <f aca="false">G4285*H4285*1.5</f>
        <v>8.554245</v>
      </c>
      <c r="K4285" s="6" t="n">
        <v>27.24</v>
      </c>
      <c r="L4285" s="43" t="n">
        <f aca="false">K4285*'Chart of Accounts'!$E$68</f>
        <v>18.2508</v>
      </c>
      <c r="O4285" s="42" t="n">
        <f aca="false">I4285+J4285+L4285</f>
        <v>164.842315</v>
      </c>
    </row>
    <row r="4286" customFormat="false" ht="15" hidden="false" customHeight="false" outlineLevel="0" collapsed="false">
      <c r="B4286" s="7" t="s">
        <v>12919</v>
      </c>
      <c r="C4286" s="39" t="n">
        <v>45925</v>
      </c>
      <c r="D4286" s="7" t="s">
        <v>244</v>
      </c>
      <c r="E4286" s="7" t="s">
        <v>180</v>
      </c>
      <c r="F4286" s="6" t="n">
        <v>3.88</v>
      </c>
      <c r="G4286" s="6" t="n">
        <v>0</v>
      </c>
      <c r="H4286" s="41" t="n">
        <v>16.39</v>
      </c>
      <c r="I4286" s="43" t="n">
        <f aca="false">F4286*H4286</f>
        <v>63.5932</v>
      </c>
      <c r="J4286" s="43" t="n">
        <f aca="false">G4286*H4286*1.5</f>
        <v>0</v>
      </c>
      <c r="K4286" s="6" t="n">
        <v>12.95</v>
      </c>
      <c r="L4286" s="43" t="n">
        <f aca="false">K4286*'Chart of Accounts'!$E$68</f>
        <v>8.6765</v>
      </c>
      <c r="O4286" s="42" t="n">
        <f aca="false">I4286+J4286+L4286</f>
        <v>72.2697</v>
      </c>
    </row>
    <row r="4287" customFormat="false" ht="15" hidden="false" customHeight="false" outlineLevel="0" collapsed="false">
      <c r="B4287" s="7" t="s">
        <v>12920</v>
      </c>
      <c r="C4287" s="39" t="n">
        <v>45925</v>
      </c>
      <c r="D4287" s="7" t="s">
        <v>205</v>
      </c>
      <c r="E4287" s="7" t="s">
        <v>180</v>
      </c>
      <c r="F4287" s="6" t="n">
        <v>3.77</v>
      </c>
      <c r="G4287" s="6" t="n">
        <v>0</v>
      </c>
      <c r="H4287" s="41" t="n">
        <v>16.36</v>
      </c>
      <c r="I4287" s="43" t="n">
        <f aca="false">F4287*H4287</f>
        <v>61.6772</v>
      </c>
      <c r="J4287" s="43" t="n">
        <f aca="false">G4287*H4287*1.5</f>
        <v>0</v>
      </c>
      <c r="K4287" s="6" t="n">
        <v>10.38</v>
      </c>
      <c r="L4287" s="43" t="n">
        <f aca="false">K4287*'Chart of Accounts'!$E$68</f>
        <v>6.9546</v>
      </c>
      <c r="O4287" s="42" t="n">
        <f aca="false">I4287+J4287+L4287</f>
        <v>68.6318</v>
      </c>
    </row>
    <row r="4288" customFormat="false" ht="15" hidden="false" customHeight="false" outlineLevel="0" collapsed="false">
      <c r="B4288" s="7" t="s">
        <v>12921</v>
      </c>
      <c r="C4288" s="39" t="n">
        <v>45925</v>
      </c>
      <c r="D4288" s="7" t="s">
        <v>246</v>
      </c>
      <c r="E4288" s="7" t="s">
        <v>180</v>
      </c>
      <c r="F4288" s="6" t="n">
        <v>8.59</v>
      </c>
      <c r="G4288" s="6" t="n">
        <v>0</v>
      </c>
      <c r="H4288" s="41" t="n">
        <v>16.48</v>
      </c>
      <c r="I4288" s="43" t="n">
        <f aca="false">F4288*H4288</f>
        <v>141.5632</v>
      </c>
      <c r="J4288" s="43" t="n">
        <f aca="false">G4288*H4288*1.5</f>
        <v>0</v>
      </c>
      <c r="K4288" s="6" t="n">
        <v>24.21</v>
      </c>
      <c r="L4288" s="43" t="n">
        <f aca="false">K4288*'Chart of Accounts'!$E$68</f>
        <v>16.2207</v>
      </c>
      <c r="O4288" s="42" t="n">
        <f aca="false">I4288+J4288+L4288</f>
        <v>157.7839</v>
      </c>
    </row>
    <row r="4289" customFormat="false" ht="15" hidden="false" customHeight="false" outlineLevel="0" collapsed="false">
      <c r="B4289" s="7" t="s">
        <v>12922</v>
      </c>
      <c r="C4289" s="39" t="n">
        <v>45925</v>
      </c>
      <c r="D4289" s="7" t="s">
        <v>194</v>
      </c>
      <c r="E4289" s="7" t="s">
        <v>180</v>
      </c>
      <c r="F4289" s="6" t="n">
        <v>3.99</v>
      </c>
      <c r="G4289" s="6" t="n">
        <v>0</v>
      </c>
      <c r="H4289" s="41" t="n">
        <v>16</v>
      </c>
      <c r="I4289" s="43" t="n">
        <f aca="false">F4289*H4289</f>
        <v>63.84</v>
      </c>
      <c r="J4289" s="43" t="n">
        <f aca="false">G4289*H4289*1.5</f>
        <v>0</v>
      </c>
      <c r="K4289" s="6" t="n">
        <v>11.16</v>
      </c>
      <c r="L4289" s="43" t="n">
        <f aca="false">K4289*'Chart of Accounts'!$E$68</f>
        <v>7.4772</v>
      </c>
      <c r="O4289" s="42" t="n">
        <f aca="false">I4289+J4289+L4289</f>
        <v>71.3172</v>
      </c>
    </row>
    <row r="4290" customFormat="false" ht="15" hidden="false" customHeight="false" outlineLevel="0" collapsed="false">
      <c r="B4290" s="7" t="s">
        <v>12923</v>
      </c>
      <c r="C4290" s="39" t="n">
        <v>45925</v>
      </c>
      <c r="D4290" s="7" t="s">
        <v>214</v>
      </c>
      <c r="E4290" s="7" t="s">
        <v>180</v>
      </c>
      <c r="F4290" s="6" t="n">
        <v>3.7</v>
      </c>
      <c r="G4290" s="6" t="n">
        <v>0</v>
      </c>
      <c r="H4290" s="41" t="n">
        <v>15.67</v>
      </c>
      <c r="I4290" s="43" t="n">
        <f aca="false">F4290*H4290</f>
        <v>57.979</v>
      </c>
      <c r="J4290" s="43" t="n">
        <f aca="false">G4290*H4290*1.5</f>
        <v>0</v>
      </c>
      <c r="K4290" s="6" t="n">
        <v>10.19</v>
      </c>
      <c r="L4290" s="43" t="n">
        <f aca="false">K4290*'Chart of Accounts'!$E$68</f>
        <v>6.8273</v>
      </c>
      <c r="O4290" s="42" t="n">
        <f aca="false">I4290+J4290+L4290</f>
        <v>64.8063</v>
      </c>
    </row>
    <row r="4291" customFormat="false" ht="15" hidden="false" customHeight="false" outlineLevel="0" collapsed="false">
      <c r="B4291" s="7" t="s">
        <v>12924</v>
      </c>
      <c r="C4291" s="39" t="n">
        <v>45925</v>
      </c>
      <c r="D4291" s="7" t="s">
        <v>254</v>
      </c>
      <c r="E4291" s="7" t="s">
        <v>180</v>
      </c>
      <c r="F4291" s="6" t="n">
        <v>3.818</v>
      </c>
      <c r="G4291" s="6" t="n">
        <v>0.132</v>
      </c>
      <c r="H4291" s="41" t="n">
        <v>17.1</v>
      </c>
      <c r="I4291" s="43" t="n">
        <f aca="false">F4291*H4291</f>
        <v>65.2878</v>
      </c>
      <c r="J4291" s="43" t="n">
        <f aca="false">G4291*H4291*1.5</f>
        <v>3.3858</v>
      </c>
      <c r="K4291" s="6" t="n">
        <v>12.43</v>
      </c>
      <c r="L4291" s="43" t="n">
        <f aca="false">K4291*'Chart of Accounts'!$E$68</f>
        <v>8.3281</v>
      </c>
      <c r="O4291" s="42" t="n">
        <f aca="false">I4291+J4291+L4291</f>
        <v>77.0017</v>
      </c>
    </row>
    <row r="4292" customFormat="false" ht="15" hidden="false" customHeight="false" outlineLevel="0" collapsed="false">
      <c r="B4292" s="7" t="s">
        <v>12925</v>
      </c>
      <c r="C4292" s="39" t="n">
        <v>45926</v>
      </c>
      <c r="D4292" s="7" t="s">
        <v>246</v>
      </c>
      <c r="E4292" s="7" t="s">
        <v>180</v>
      </c>
      <c r="F4292" s="6" t="n">
        <v>8.52</v>
      </c>
      <c r="G4292" s="6" t="n">
        <v>0</v>
      </c>
      <c r="H4292" s="41" t="n">
        <v>16.48</v>
      </c>
      <c r="I4292" s="43" t="n">
        <f aca="false">F4292*H4292</f>
        <v>140.4096</v>
      </c>
      <c r="J4292" s="43" t="n">
        <f aca="false">G4292*H4292*1.5</f>
        <v>0</v>
      </c>
      <c r="K4292" s="6" t="n">
        <v>19.82</v>
      </c>
      <c r="L4292" s="43" t="n">
        <f aca="false">K4292*'Chart of Accounts'!$E$68</f>
        <v>13.2794</v>
      </c>
      <c r="O4292" s="42" t="n">
        <f aca="false">I4292+J4292+L4292</f>
        <v>153.689</v>
      </c>
    </row>
    <row r="4293" customFormat="false" ht="15" hidden="false" customHeight="false" outlineLevel="0" collapsed="false">
      <c r="B4293" s="7" t="s">
        <v>12926</v>
      </c>
      <c r="C4293" s="39" t="n">
        <v>45926</v>
      </c>
      <c r="D4293" s="7" t="s">
        <v>194</v>
      </c>
      <c r="E4293" s="7" t="s">
        <v>180</v>
      </c>
      <c r="F4293" s="6" t="n">
        <v>9.13</v>
      </c>
      <c r="G4293" s="6" t="n">
        <v>0</v>
      </c>
      <c r="H4293" s="41" t="n">
        <v>16</v>
      </c>
      <c r="I4293" s="43" t="n">
        <f aca="false">F4293*H4293</f>
        <v>146.08</v>
      </c>
      <c r="J4293" s="43" t="n">
        <f aca="false">G4293*H4293*1.5</f>
        <v>0</v>
      </c>
      <c r="K4293" s="6" t="n">
        <v>27.73</v>
      </c>
      <c r="L4293" s="43" t="n">
        <f aca="false">K4293*'Chart of Accounts'!$E$68</f>
        <v>18.5791</v>
      </c>
      <c r="O4293" s="42" t="n">
        <f aca="false">I4293+J4293+L4293</f>
        <v>164.6591</v>
      </c>
    </row>
    <row r="4294" customFormat="false" ht="15" hidden="false" customHeight="false" outlineLevel="0" collapsed="false">
      <c r="B4294" s="7" t="s">
        <v>12927</v>
      </c>
      <c r="C4294" s="39" t="n">
        <v>45926</v>
      </c>
      <c r="D4294" s="7" t="s">
        <v>198</v>
      </c>
      <c r="E4294" s="7" t="s">
        <v>158</v>
      </c>
      <c r="H4294" s="41" t="n">
        <v>48.09</v>
      </c>
      <c r="M4294" s="6" t="n">
        <v>1</v>
      </c>
      <c r="N4294" s="43" t="n">
        <f aca="false">M4294*H4294</f>
        <v>48.09</v>
      </c>
      <c r="O4294" s="42" t="n">
        <f aca="false">N4294</f>
        <v>48.09</v>
      </c>
    </row>
    <row r="4295" customFormat="false" ht="15" hidden="false" customHeight="false" outlineLevel="0" collapsed="false">
      <c r="B4295" s="7" t="s">
        <v>12928</v>
      </c>
      <c r="C4295" s="39" t="n">
        <v>45926</v>
      </c>
      <c r="D4295" s="7" t="s">
        <v>214</v>
      </c>
      <c r="E4295" s="7" t="s">
        <v>180</v>
      </c>
      <c r="F4295" s="6" t="n">
        <v>7.23</v>
      </c>
      <c r="G4295" s="6" t="n">
        <v>0</v>
      </c>
      <c r="H4295" s="41" t="n">
        <v>15.67</v>
      </c>
      <c r="I4295" s="43" t="n">
        <f aca="false">F4295*H4295</f>
        <v>113.2941</v>
      </c>
      <c r="J4295" s="43" t="n">
        <f aca="false">G4295*H4295*1.5</f>
        <v>0</v>
      </c>
      <c r="K4295" s="6" t="n">
        <v>17.53</v>
      </c>
      <c r="L4295" s="43" t="n">
        <f aca="false">K4295*'Chart of Accounts'!$E$68</f>
        <v>11.7451</v>
      </c>
      <c r="O4295" s="42" t="n">
        <f aca="false">I4295+J4295+L4295</f>
        <v>125.0392</v>
      </c>
    </row>
    <row r="4296" customFormat="false" ht="15" hidden="false" customHeight="false" outlineLevel="0" collapsed="false">
      <c r="B4296" s="7" t="s">
        <v>12929</v>
      </c>
      <c r="C4296" s="39" t="n">
        <v>45926</v>
      </c>
      <c r="D4296" s="7" t="s">
        <v>209</v>
      </c>
      <c r="E4296" s="7" t="s">
        <v>158</v>
      </c>
      <c r="H4296" s="41" t="n">
        <v>73.58</v>
      </c>
      <c r="M4296" s="6" t="n">
        <v>2</v>
      </c>
      <c r="N4296" s="43" t="n">
        <f aca="false">M4296*H4296</f>
        <v>147.16</v>
      </c>
      <c r="O4296" s="42" t="n">
        <f aca="false">N4296</f>
        <v>147.16</v>
      </c>
    </row>
    <row r="4297" customFormat="false" ht="15" hidden="false" customHeight="false" outlineLevel="0" collapsed="false">
      <c r="B4297" s="7" t="s">
        <v>12930</v>
      </c>
      <c r="C4297" s="39" t="n">
        <v>45926</v>
      </c>
      <c r="D4297" s="7" t="s">
        <v>205</v>
      </c>
      <c r="E4297" s="7" t="s">
        <v>180</v>
      </c>
      <c r="F4297" s="6" t="n">
        <v>3.64</v>
      </c>
      <c r="G4297" s="6" t="n">
        <v>0</v>
      </c>
      <c r="H4297" s="41" t="n">
        <v>16.36</v>
      </c>
      <c r="I4297" s="43" t="n">
        <f aca="false">F4297*H4297</f>
        <v>59.5504</v>
      </c>
      <c r="J4297" s="43" t="n">
        <f aca="false">G4297*H4297*1.5</f>
        <v>0</v>
      </c>
      <c r="K4297" s="6" t="n">
        <v>8.53</v>
      </c>
      <c r="L4297" s="43" t="n">
        <f aca="false">K4297*'Chart of Accounts'!$E$68</f>
        <v>5.7151</v>
      </c>
      <c r="O4297" s="42" t="n">
        <f aca="false">I4297+J4297+L4297</f>
        <v>65.2655</v>
      </c>
    </row>
    <row r="4298" customFormat="false" ht="15" hidden="false" customHeight="false" outlineLevel="0" collapsed="false">
      <c r="B4298" s="7" t="s">
        <v>12931</v>
      </c>
      <c r="C4298" s="39" t="n">
        <v>45926</v>
      </c>
      <c r="D4298" s="7" t="s">
        <v>264</v>
      </c>
      <c r="E4298" s="7" t="s">
        <v>158</v>
      </c>
      <c r="H4298" s="41" t="n">
        <v>55.55</v>
      </c>
      <c r="M4298" s="6" t="n">
        <v>1</v>
      </c>
      <c r="N4298" s="43" t="n">
        <f aca="false">M4298*H4298</f>
        <v>55.55</v>
      </c>
      <c r="O4298" s="42" t="n">
        <f aca="false">N4298</f>
        <v>55.55</v>
      </c>
    </row>
    <row r="4299" customFormat="false" ht="15" hidden="false" customHeight="false" outlineLevel="0" collapsed="false">
      <c r="B4299" s="7" t="s">
        <v>12932</v>
      </c>
      <c r="C4299" s="39" t="n">
        <v>45926</v>
      </c>
      <c r="D4299" s="7" t="s">
        <v>252</v>
      </c>
      <c r="E4299" s="7" t="s">
        <v>158</v>
      </c>
      <c r="H4299" s="41" t="n">
        <v>57.54</v>
      </c>
      <c r="M4299" s="6" t="n">
        <v>1</v>
      </c>
      <c r="N4299" s="43" t="n">
        <f aca="false">M4299*H4299</f>
        <v>57.54</v>
      </c>
      <c r="O4299" s="42" t="n">
        <f aca="false">N4299</f>
        <v>57.54</v>
      </c>
    </row>
    <row r="4300" customFormat="false" ht="15" hidden="false" customHeight="false" outlineLevel="0" collapsed="false">
      <c r="B4300" s="7" t="s">
        <v>12933</v>
      </c>
      <c r="C4300" s="39" t="n">
        <v>45926</v>
      </c>
      <c r="D4300" s="7" t="s">
        <v>184</v>
      </c>
      <c r="E4300" s="7" t="s">
        <v>180</v>
      </c>
      <c r="F4300" s="6" t="n">
        <v>8.18</v>
      </c>
      <c r="G4300" s="6" t="n">
        <v>0</v>
      </c>
      <c r="H4300" s="41" t="n">
        <v>17.34</v>
      </c>
      <c r="I4300" s="43" t="n">
        <f aca="false">F4300*H4300</f>
        <v>141.8412</v>
      </c>
      <c r="J4300" s="43" t="n">
        <f aca="false">G4300*H4300*1.5</f>
        <v>0</v>
      </c>
      <c r="K4300" s="6" t="n">
        <v>29.42</v>
      </c>
      <c r="L4300" s="43" t="n">
        <f aca="false">K4300*'Chart of Accounts'!$E$68</f>
        <v>19.7114</v>
      </c>
      <c r="O4300" s="42" t="n">
        <f aca="false">I4300+J4300+L4300</f>
        <v>161.5526</v>
      </c>
    </row>
    <row r="4301" customFormat="false" ht="15" hidden="false" customHeight="false" outlineLevel="0" collapsed="false">
      <c r="B4301" s="7" t="s">
        <v>12934</v>
      </c>
      <c r="C4301" s="39" t="n">
        <v>45926</v>
      </c>
      <c r="D4301" s="7" t="s">
        <v>216</v>
      </c>
      <c r="E4301" s="7" t="s">
        <v>158</v>
      </c>
      <c r="H4301" s="41" t="n">
        <v>61.79</v>
      </c>
      <c r="M4301" s="6" t="n">
        <v>1</v>
      </c>
      <c r="N4301" s="43" t="n">
        <f aca="false">M4301*H4301</f>
        <v>61.79</v>
      </c>
      <c r="O4301" s="42" t="n">
        <f aca="false">N4301</f>
        <v>61.79</v>
      </c>
    </row>
    <row r="4302" customFormat="false" ht="15" hidden="false" customHeight="false" outlineLevel="0" collapsed="false">
      <c r="B4302" s="7" t="s">
        <v>12935</v>
      </c>
      <c r="C4302" s="39" t="n">
        <v>45926</v>
      </c>
      <c r="D4302" s="7" t="s">
        <v>234</v>
      </c>
      <c r="E4302" s="7" t="s">
        <v>158</v>
      </c>
      <c r="H4302" s="41" t="n">
        <v>89.53</v>
      </c>
      <c r="M4302" s="6" t="n">
        <v>3</v>
      </c>
      <c r="N4302" s="43" t="n">
        <f aca="false">M4302*H4302</f>
        <v>268.59</v>
      </c>
      <c r="O4302" s="42" t="n">
        <f aca="false">N4302</f>
        <v>268.59</v>
      </c>
    </row>
    <row r="4303" customFormat="false" ht="15" hidden="false" customHeight="false" outlineLevel="0" collapsed="false">
      <c r="B4303" s="7" t="s">
        <v>12936</v>
      </c>
      <c r="C4303" s="39" t="n">
        <v>45926</v>
      </c>
      <c r="D4303" s="7" t="s">
        <v>218</v>
      </c>
      <c r="E4303" s="7" t="s">
        <v>180</v>
      </c>
      <c r="F4303" s="6" t="n">
        <v>3.83</v>
      </c>
      <c r="G4303" s="6" t="n">
        <v>0</v>
      </c>
      <c r="H4303" s="41" t="n">
        <v>16.19</v>
      </c>
      <c r="I4303" s="43" t="n">
        <f aca="false">F4303*H4303</f>
        <v>62.0077</v>
      </c>
      <c r="J4303" s="43" t="n">
        <f aca="false">G4303*H4303*1.5</f>
        <v>0</v>
      </c>
      <c r="K4303" s="6" t="n">
        <v>9.88</v>
      </c>
      <c r="L4303" s="43" t="n">
        <f aca="false">K4303*'Chart of Accounts'!$E$68</f>
        <v>6.6196</v>
      </c>
      <c r="O4303" s="42" t="n">
        <f aca="false">I4303+J4303+L4303</f>
        <v>68.6273</v>
      </c>
    </row>
    <row r="4304" customFormat="false" ht="15" hidden="false" customHeight="false" outlineLevel="0" collapsed="false">
      <c r="B4304" s="7" t="s">
        <v>12937</v>
      </c>
      <c r="C4304" s="39" t="n">
        <v>45926</v>
      </c>
      <c r="D4304" s="7" t="s">
        <v>228</v>
      </c>
      <c r="E4304" s="7" t="s">
        <v>158</v>
      </c>
      <c r="H4304" s="41" t="n">
        <v>51.07</v>
      </c>
      <c r="M4304" s="6" t="n">
        <v>1</v>
      </c>
      <c r="N4304" s="43" t="n">
        <f aca="false">M4304*H4304</f>
        <v>51.07</v>
      </c>
      <c r="O4304" s="42" t="n">
        <f aca="false">N4304</f>
        <v>51.07</v>
      </c>
    </row>
    <row r="4305" customFormat="false" ht="15" hidden="false" customHeight="false" outlineLevel="0" collapsed="false">
      <c r="B4305" s="7" t="s">
        <v>12938</v>
      </c>
      <c r="C4305" s="39" t="n">
        <v>45926</v>
      </c>
      <c r="D4305" s="7" t="s">
        <v>220</v>
      </c>
      <c r="E4305" s="7" t="s">
        <v>180</v>
      </c>
      <c r="F4305" s="6" t="n">
        <v>8.31</v>
      </c>
      <c r="G4305" s="6" t="n">
        <v>0</v>
      </c>
      <c r="H4305" s="41" t="n">
        <v>16.43</v>
      </c>
      <c r="I4305" s="43" t="n">
        <f aca="false">F4305*H4305</f>
        <v>136.5333</v>
      </c>
      <c r="J4305" s="43" t="n">
        <f aca="false">G4305*H4305*1.5</f>
        <v>0</v>
      </c>
      <c r="K4305" s="6" t="n">
        <v>23.83</v>
      </c>
      <c r="L4305" s="43" t="n">
        <f aca="false">K4305*'Chart of Accounts'!$E$68</f>
        <v>15.9661</v>
      </c>
      <c r="O4305" s="42" t="n">
        <f aca="false">I4305+J4305+L4305</f>
        <v>152.4994</v>
      </c>
    </row>
    <row r="4306" customFormat="false" ht="15" hidden="false" customHeight="false" outlineLevel="0" collapsed="false">
      <c r="B4306" s="7" t="s">
        <v>12939</v>
      </c>
      <c r="C4306" s="39" t="n">
        <v>45926</v>
      </c>
      <c r="D4306" s="7" t="s">
        <v>177</v>
      </c>
      <c r="E4306" s="7" t="s">
        <v>180</v>
      </c>
      <c r="F4306" s="6" t="n">
        <v>12.48</v>
      </c>
      <c r="G4306" s="6" t="n">
        <v>0</v>
      </c>
      <c r="H4306" s="41" t="n">
        <v>14.56</v>
      </c>
      <c r="I4306" s="43" t="n">
        <f aca="false">F4306*H4306</f>
        <v>181.7088</v>
      </c>
      <c r="J4306" s="43" t="n">
        <f aca="false">G4306*H4306*1.5</f>
        <v>0</v>
      </c>
      <c r="K4306" s="6" t="n">
        <v>33.57</v>
      </c>
      <c r="L4306" s="43" t="n">
        <f aca="false">K4306*'Chart of Accounts'!$E$68</f>
        <v>22.4919</v>
      </c>
      <c r="O4306" s="42" t="n">
        <f aca="false">I4306+J4306+L4306</f>
        <v>204.2007</v>
      </c>
    </row>
    <row r="4307" customFormat="false" ht="15" hidden="false" customHeight="false" outlineLevel="0" collapsed="false">
      <c r="B4307" s="7" t="s">
        <v>12940</v>
      </c>
      <c r="C4307" s="39" t="n">
        <v>45926</v>
      </c>
      <c r="D4307" s="7" t="s">
        <v>242</v>
      </c>
      <c r="E4307" s="7" t="s">
        <v>180</v>
      </c>
      <c r="F4307" s="6" t="n">
        <v>6.896</v>
      </c>
      <c r="G4307" s="6" t="n">
        <v>0.284</v>
      </c>
      <c r="H4307" s="41" t="n">
        <v>17.99</v>
      </c>
      <c r="I4307" s="43" t="n">
        <f aca="false">F4307*H4307</f>
        <v>124.05904</v>
      </c>
      <c r="J4307" s="43" t="n">
        <f aca="false">G4307*H4307*1.5</f>
        <v>7.66374</v>
      </c>
      <c r="K4307" s="6" t="n">
        <v>24.43</v>
      </c>
      <c r="L4307" s="43" t="n">
        <f aca="false">K4307*'Chart of Accounts'!$E$68</f>
        <v>16.3681</v>
      </c>
      <c r="O4307" s="42" t="n">
        <f aca="false">I4307+J4307+L4307</f>
        <v>148.09088</v>
      </c>
    </row>
    <row r="4308" customFormat="false" ht="15" hidden="false" customHeight="false" outlineLevel="0" collapsed="false">
      <c r="B4308" s="7" t="s">
        <v>12941</v>
      </c>
      <c r="C4308" s="39" t="n">
        <v>45926</v>
      </c>
      <c r="D4308" s="7" t="s">
        <v>238</v>
      </c>
      <c r="E4308" s="7" t="s">
        <v>180</v>
      </c>
      <c r="F4308" s="6" t="n">
        <v>7.696</v>
      </c>
      <c r="G4308" s="6" t="n">
        <v>1.264</v>
      </c>
      <c r="H4308" s="41" t="n">
        <v>15.85</v>
      </c>
      <c r="I4308" s="43" t="n">
        <f aca="false">F4308*H4308</f>
        <v>121.9816</v>
      </c>
      <c r="J4308" s="43" t="n">
        <f aca="false">G4308*H4308*1.5</f>
        <v>30.0516</v>
      </c>
      <c r="K4308" s="6" t="n">
        <v>29.83</v>
      </c>
      <c r="L4308" s="43" t="n">
        <f aca="false">K4308*'Chart of Accounts'!$E$68</f>
        <v>19.9861</v>
      </c>
      <c r="O4308" s="42" t="n">
        <f aca="false">I4308+J4308+L4308</f>
        <v>172.0193</v>
      </c>
    </row>
    <row r="4309" customFormat="false" ht="15" hidden="false" customHeight="false" outlineLevel="0" collapsed="false">
      <c r="B4309" s="7" t="s">
        <v>12942</v>
      </c>
      <c r="C4309" s="39" t="n">
        <v>45926</v>
      </c>
      <c r="D4309" s="7" t="s">
        <v>244</v>
      </c>
      <c r="E4309" s="7" t="s">
        <v>180</v>
      </c>
      <c r="F4309" s="6" t="n">
        <v>4.09</v>
      </c>
      <c r="G4309" s="6" t="n">
        <v>0</v>
      </c>
      <c r="H4309" s="41" t="n">
        <v>16.39</v>
      </c>
      <c r="I4309" s="43" t="n">
        <f aca="false">F4309*H4309</f>
        <v>67.0351</v>
      </c>
      <c r="J4309" s="43" t="n">
        <f aca="false">G4309*H4309*1.5</f>
        <v>0</v>
      </c>
      <c r="K4309" s="6" t="n">
        <v>10.11</v>
      </c>
      <c r="L4309" s="43" t="n">
        <f aca="false">K4309*'Chart of Accounts'!$E$68</f>
        <v>6.7737</v>
      </c>
      <c r="O4309" s="42" t="n">
        <f aca="false">I4309+J4309+L4309</f>
        <v>73.8088</v>
      </c>
    </row>
    <row r="4310" customFormat="false" ht="15" hidden="false" customHeight="false" outlineLevel="0" collapsed="false">
      <c r="B4310" s="7" t="s">
        <v>12943</v>
      </c>
      <c r="C4310" s="39" t="n">
        <v>45926</v>
      </c>
      <c r="D4310" s="7" t="s">
        <v>254</v>
      </c>
      <c r="E4310" s="7" t="s">
        <v>180</v>
      </c>
      <c r="F4310" s="6" t="n">
        <v>7.434</v>
      </c>
      <c r="G4310" s="6" t="n">
        <v>0.256</v>
      </c>
      <c r="H4310" s="41" t="n">
        <v>17.1</v>
      </c>
      <c r="I4310" s="43" t="n">
        <f aca="false">F4310*H4310</f>
        <v>127.1214</v>
      </c>
      <c r="J4310" s="43" t="n">
        <f aca="false">G4310*H4310*1.5</f>
        <v>6.5664</v>
      </c>
      <c r="K4310" s="6" t="n">
        <v>20.51</v>
      </c>
      <c r="L4310" s="43" t="n">
        <f aca="false">K4310*'Chart of Accounts'!$E$68</f>
        <v>13.7417</v>
      </c>
      <c r="O4310" s="42" t="n">
        <f aca="false">I4310+J4310+L4310</f>
        <v>147.4295</v>
      </c>
    </row>
    <row r="4311" customFormat="false" ht="15" hidden="false" customHeight="false" outlineLevel="0" collapsed="false">
      <c r="B4311" s="7" t="s">
        <v>12944</v>
      </c>
      <c r="C4311" s="39" t="n">
        <v>45926</v>
      </c>
      <c r="D4311" s="7" t="s">
        <v>201</v>
      </c>
      <c r="E4311" s="7" t="s">
        <v>180</v>
      </c>
      <c r="F4311" s="6" t="n">
        <v>6.97</v>
      </c>
      <c r="G4311" s="6" t="n">
        <v>0</v>
      </c>
      <c r="H4311" s="41" t="n">
        <v>15.19</v>
      </c>
      <c r="I4311" s="43" t="n">
        <f aca="false">F4311*H4311</f>
        <v>105.8743</v>
      </c>
      <c r="J4311" s="43" t="n">
        <f aca="false">G4311*H4311*1.5</f>
        <v>0</v>
      </c>
      <c r="K4311" s="6" t="n">
        <v>16.63</v>
      </c>
      <c r="L4311" s="43" t="n">
        <f aca="false">K4311*'Chart of Accounts'!$E$68</f>
        <v>11.1421</v>
      </c>
      <c r="O4311" s="42" t="n">
        <f aca="false">I4311+J4311+L4311</f>
        <v>117.0164</v>
      </c>
    </row>
    <row r="4312" customFormat="false" ht="15" hidden="false" customHeight="false" outlineLevel="0" collapsed="false">
      <c r="B4312" s="7" t="s">
        <v>12945</v>
      </c>
      <c r="C4312" s="39" t="n">
        <v>45926</v>
      </c>
      <c r="D4312" s="7" t="s">
        <v>258</v>
      </c>
      <c r="E4312" s="7" t="s">
        <v>158</v>
      </c>
      <c r="H4312" s="41" t="n">
        <v>61.61</v>
      </c>
      <c r="M4312" s="6" t="n">
        <v>1</v>
      </c>
      <c r="N4312" s="43" t="n">
        <f aca="false">M4312*H4312</f>
        <v>61.61</v>
      </c>
      <c r="O4312" s="42" t="n">
        <f aca="false">N4312</f>
        <v>61.61</v>
      </c>
    </row>
    <row r="4313" customFormat="false" ht="15" hidden="false" customHeight="false" outlineLevel="0" collapsed="false">
      <c r="B4313" s="7" t="s">
        <v>12946</v>
      </c>
      <c r="C4313" s="39" t="n">
        <v>45926</v>
      </c>
      <c r="D4313" s="7" t="s">
        <v>232</v>
      </c>
      <c r="E4313" s="7" t="s">
        <v>180</v>
      </c>
      <c r="F4313" s="6" t="n">
        <v>4.44</v>
      </c>
      <c r="G4313" s="6" t="n">
        <v>0</v>
      </c>
      <c r="H4313" s="41" t="n">
        <v>16.17</v>
      </c>
      <c r="I4313" s="43" t="n">
        <f aca="false">F4313*H4313</f>
        <v>71.7948</v>
      </c>
      <c r="J4313" s="43" t="n">
        <f aca="false">G4313*H4313*1.5</f>
        <v>0</v>
      </c>
      <c r="K4313" s="6" t="n">
        <v>10.7</v>
      </c>
      <c r="L4313" s="43" t="n">
        <f aca="false">K4313*'Chart of Accounts'!$E$68</f>
        <v>7.169</v>
      </c>
      <c r="O4313" s="42" t="n">
        <f aca="false">I4313+J4313+L4313</f>
        <v>78.9638</v>
      </c>
    </row>
    <row r="4314" customFormat="false" ht="15" hidden="false" customHeight="false" outlineLevel="0" collapsed="false">
      <c r="B4314" s="7" t="s">
        <v>12947</v>
      </c>
      <c r="C4314" s="39" t="n">
        <v>45926</v>
      </c>
      <c r="D4314" s="7" t="s">
        <v>224</v>
      </c>
      <c r="E4314" s="7" t="s">
        <v>180</v>
      </c>
      <c r="F4314" s="6" t="n">
        <v>4.35</v>
      </c>
      <c r="G4314" s="6" t="n">
        <v>0</v>
      </c>
      <c r="H4314" s="41" t="n">
        <v>14.93</v>
      </c>
      <c r="I4314" s="43" t="n">
        <f aca="false">F4314*H4314</f>
        <v>64.9455</v>
      </c>
      <c r="J4314" s="43" t="n">
        <f aca="false">G4314*H4314*1.5</f>
        <v>0</v>
      </c>
      <c r="K4314" s="6" t="n">
        <v>10.7</v>
      </c>
      <c r="L4314" s="43" t="n">
        <f aca="false">K4314*'Chart of Accounts'!$E$68</f>
        <v>7.169</v>
      </c>
      <c r="O4314" s="42" t="n">
        <f aca="false">I4314+J4314+L4314</f>
        <v>72.1145</v>
      </c>
    </row>
    <row r="4315" customFormat="false" ht="15" hidden="false" customHeight="false" outlineLevel="0" collapsed="false">
      <c r="B4315" s="7" t="s">
        <v>12948</v>
      </c>
      <c r="C4315" s="39" t="n">
        <v>45926</v>
      </c>
      <c r="D4315" s="7" t="s">
        <v>230</v>
      </c>
      <c r="E4315" s="7" t="s">
        <v>158</v>
      </c>
      <c r="H4315" s="41" t="n">
        <v>48.78</v>
      </c>
      <c r="M4315" s="6" t="n">
        <v>1</v>
      </c>
      <c r="N4315" s="43" t="n">
        <f aca="false">M4315*H4315</f>
        <v>48.78</v>
      </c>
      <c r="O4315" s="42" t="n">
        <f aca="false">N4315</f>
        <v>48.78</v>
      </c>
    </row>
    <row r="4316" customFormat="false" ht="15" hidden="false" customHeight="false" outlineLevel="0" collapsed="false">
      <c r="B4316" s="7" t="s">
        <v>12949</v>
      </c>
      <c r="C4316" s="39" t="n">
        <v>45926</v>
      </c>
      <c r="D4316" s="7" t="s">
        <v>196</v>
      </c>
      <c r="E4316" s="7" t="s">
        <v>180</v>
      </c>
      <c r="F4316" s="6" t="n">
        <v>3.682</v>
      </c>
      <c r="G4316" s="6" t="n">
        <v>0.078</v>
      </c>
      <c r="H4316" s="41" t="n">
        <v>15.05</v>
      </c>
      <c r="I4316" s="43" t="n">
        <f aca="false">F4316*H4316</f>
        <v>55.4141</v>
      </c>
      <c r="J4316" s="43" t="n">
        <f aca="false">G4316*H4316*1.5</f>
        <v>1.76085</v>
      </c>
      <c r="K4316" s="6" t="n">
        <v>13.4</v>
      </c>
      <c r="L4316" s="43" t="n">
        <f aca="false">K4316*'Chart of Accounts'!$E$68</f>
        <v>8.978</v>
      </c>
      <c r="O4316" s="42" t="n">
        <f aca="false">I4316+J4316+L4316</f>
        <v>66.15295</v>
      </c>
    </row>
    <row r="4317" customFormat="false" ht="15" hidden="false" customHeight="false" outlineLevel="0" collapsed="false">
      <c r="B4317" s="7" t="s">
        <v>12950</v>
      </c>
      <c r="C4317" s="39" t="n">
        <v>45926</v>
      </c>
      <c r="D4317" s="7" t="s">
        <v>222</v>
      </c>
      <c r="E4317" s="7" t="s">
        <v>180</v>
      </c>
      <c r="F4317" s="6" t="n">
        <v>3.84</v>
      </c>
      <c r="G4317" s="6" t="n">
        <v>0</v>
      </c>
      <c r="H4317" s="41" t="n">
        <v>17.84</v>
      </c>
      <c r="I4317" s="43" t="n">
        <f aca="false">F4317*H4317</f>
        <v>68.5056</v>
      </c>
      <c r="J4317" s="43" t="n">
        <f aca="false">G4317*H4317*1.5</f>
        <v>0</v>
      </c>
      <c r="K4317" s="6" t="n">
        <v>10.58</v>
      </c>
      <c r="L4317" s="43" t="n">
        <f aca="false">K4317*'Chart of Accounts'!$E$68</f>
        <v>7.0886</v>
      </c>
      <c r="O4317" s="42" t="n">
        <f aca="false">I4317+J4317+L4317</f>
        <v>75.5942</v>
      </c>
    </row>
    <row r="4318" customFormat="false" ht="15" hidden="false" customHeight="false" outlineLevel="0" collapsed="false">
      <c r="B4318" s="7" t="s">
        <v>12951</v>
      </c>
      <c r="C4318" s="39" t="n">
        <v>45926</v>
      </c>
      <c r="D4318" s="7" t="s">
        <v>203</v>
      </c>
      <c r="E4318" s="7" t="s">
        <v>158</v>
      </c>
      <c r="H4318" s="41" t="n">
        <v>49.43</v>
      </c>
      <c r="M4318" s="6" t="n">
        <v>1</v>
      </c>
      <c r="N4318" s="43" t="n">
        <f aca="false">M4318*H4318</f>
        <v>49.43</v>
      </c>
      <c r="O4318" s="42" t="n">
        <f aca="false">N4318</f>
        <v>49.43</v>
      </c>
    </row>
    <row r="4319" customFormat="false" ht="15" hidden="false" customHeight="false" outlineLevel="0" collapsed="false">
      <c r="B4319" s="7" t="s">
        <v>12952</v>
      </c>
      <c r="C4319" s="39" t="n">
        <v>45926</v>
      </c>
      <c r="D4319" s="7" t="s">
        <v>260</v>
      </c>
      <c r="E4319" s="7" t="s">
        <v>158</v>
      </c>
      <c r="H4319" s="41" t="n">
        <v>79.8</v>
      </c>
      <c r="M4319" s="6" t="n">
        <v>1</v>
      </c>
      <c r="N4319" s="43" t="n">
        <f aca="false">M4319*H4319</f>
        <v>79.8</v>
      </c>
      <c r="O4319" s="42" t="n">
        <f aca="false">N4319</f>
        <v>79.8</v>
      </c>
    </row>
    <row r="4320" customFormat="false" ht="15" hidden="false" customHeight="false" outlineLevel="0" collapsed="false">
      <c r="B4320" s="7" t="s">
        <v>12953</v>
      </c>
      <c r="C4320" s="39" t="n">
        <v>45927</v>
      </c>
      <c r="D4320" s="7" t="s">
        <v>218</v>
      </c>
      <c r="E4320" s="7" t="s">
        <v>180</v>
      </c>
      <c r="F4320" s="6" t="n">
        <v>8.04</v>
      </c>
      <c r="G4320" s="6" t="n">
        <v>0</v>
      </c>
      <c r="H4320" s="41" t="n">
        <v>16.19</v>
      </c>
      <c r="I4320" s="43" t="n">
        <f aca="false">F4320*H4320</f>
        <v>130.1676</v>
      </c>
      <c r="J4320" s="43" t="n">
        <f aca="false">G4320*H4320*1.5</f>
        <v>0</v>
      </c>
      <c r="K4320" s="6" t="n">
        <v>28.85</v>
      </c>
      <c r="L4320" s="43" t="n">
        <f aca="false">K4320*'Chart of Accounts'!$E$68</f>
        <v>19.3295</v>
      </c>
      <c r="O4320" s="42" t="n">
        <f aca="false">I4320+J4320+L4320</f>
        <v>149.4971</v>
      </c>
    </row>
    <row r="4321" customFormat="false" ht="15" hidden="false" customHeight="false" outlineLevel="0" collapsed="false">
      <c r="B4321" s="7" t="s">
        <v>12954</v>
      </c>
      <c r="C4321" s="39" t="n">
        <v>45927</v>
      </c>
      <c r="D4321" s="7" t="s">
        <v>254</v>
      </c>
      <c r="E4321" s="7" t="s">
        <v>180</v>
      </c>
      <c r="F4321" s="6" t="n">
        <v>7.211</v>
      </c>
      <c r="G4321" s="6" t="n">
        <v>0.249</v>
      </c>
      <c r="H4321" s="41" t="n">
        <v>17.1</v>
      </c>
      <c r="I4321" s="43" t="n">
        <f aca="false">F4321*H4321</f>
        <v>123.3081</v>
      </c>
      <c r="J4321" s="43" t="n">
        <f aca="false">G4321*H4321*1.5</f>
        <v>6.38685</v>
      </c>
      <c r="K4321" s="6" t="n">
        <v>18.77</v>
      </c>
      <c r="L4321" s="43" t="n">
        <f aca="false">K4321*'Chart of Accounts'!$E$68</f>
        <v>12.5759</v>
      </c>
      <c r="O4321" s="42" t="n">
        <f aca="false">I4321+J4321+L4321</f>
        <v>142.27085</v>
      </c>
    </row>
    <row r="4322" customFormat="false" ht="15" hidden="false" customHeight="false" outlineLevel="0" collapsed="false">
      <c r="B4322" s="7" t="s">
        <v>12955</v>
      </c>
      <c r="C4322" s="39" t="n">
        <v>45927</v>
      </c>
      <c r="D4322" s="7" t="s">
        <v>196</v>
      </c>
      <c r="E4322" s="7" t="s">
        <v>180</v>
      </c>
      <c r="F4322" s="6" t="n">
        <v>3.848</v>
      </c>
      <c r="G4322" s="6" t="n">
        <v>0.082</v>
      </c>
      <c r="H4322" s="41" t="n">
        <v>15.05</v>
      </c>
      <c r="I4322" s="43" t="n">
        <f aca="false">F4322*H4322</f>
        <v>57.9124</v>
      </c>
      <c r="J4322" s="43" t="n">
        <f aca="false">G4322*H4322*1.5</f>
        <v>1.85115</v>
      </c>
      <c r="K4322" s="6" t="n">
        <v>9.84</v>
      </c>
      <c r="L4322" s="43" t="n">
        <f aca="false">K4322*'Chart of Accounts'!$E$68</f>
        <v>6.5928</v>
      </c>
      <c r="O4322" s="42" t="n">
        <f aca="false">I4322+J4322+L4322</f>
        <v>66.35635</v>
      </c>
    </row>
    <row r="4323" customFormat="false" ht="15" hidden="false" customHeight="false" outlineLevel="0" collapsed="false">
      <c r="B4323" s="7" t="s">
        <v>12956</v>
      </c>
      <c r="C4323" s="39" t="n">
        <v>45927</v>
      </c>
      <c r="D4323" s="7" t="s">
        <v>222</v>
      </c>
      <c r="E4323" s="7" t="s">
        <v>180</v>
      </c>
      <c r="F4323" s="6" t="n">
        <v>3.67</v>
      </c>
      <c r="G4323" s="6" t="n">
        <v>0</v>
      </c>
      <c r="H4323" s="41" t="n">
        <v>17.84</v>
      </c>
      <c r="I4323" s="43" t="n">
        <f aca="false">F4323*H4323</f>
        <v>65.4728</v>
      </c>
      <c r="J4323" s="43" t="n">
        <f aca="false">G4323*H4323*1.5</f>
        <v>0</v>
      </c>
      <c r="K4323" s="6" t="n">
        <v>12.42</v>
      </c>
      <c r="L4323" s="43" t="n">
        <f aca="false">K4323*'Chart of Accounts'!$E$68</f>
        <v>8.3214</v>
      </c>
      <c r="O4323" s="42" t="n">
        <f aca="false">I4323+J4323+L4323</f>
        <v>73.7942</v>
      </c>
    </row>
    <row r="4324" customFormat="false" ht="15" hidden="false" customHeight="false" outlineLevel="0" collapsed="false">
      <c r="B4324" s="7" t="s">
        <v>12957</v>
      </c>
      <c r="C4324" s="39" t="n">
        <v>45927</v>
      </c>
      <c r="D4324" s="7" t="s">
        <v>242</v>
      </c>
      <c r="E4324" s="7" t="s">
        <v>180</v>
      </c>
      <c r="F4324" s="6" t="n">
        <v>3.957</v>
      </c>
      <c r="G4324" s="6" t="n">
        <v>0.163</v>
      </c>
      <c r="H4324" s="41" t="n">
        <v>17.99</v>
      </c>
      <c r="I4324" s="43" t="n">
        <f aca="false">F4324*H4324</f>
        <v>71.18643</v>
      </c>
      <c r="J4324" s="43" t="n">
        <f aca="false">G4324*H4324*1.5</f>
        <v>4.398555</v>
      </c>
      <c r="K4324" s="6" t="n">
        <v>11.31</v>
      </c>
      <c r="L4324" s="43" t="n">
        <f aca="false">K4324*'Chart of Accounts'!$E$68</f>
        <v>7.5777</v>
      </c>
      <c r="O4324" s="42" t="n">
        <f aca="false">I4324+J4324+L4324</f>
        <v>83.162685</v>
      </c>
    </row>
    <row r="4325" customFormat="false" ht="15" hidden="false" customHeight="false" outlineLevel="0" collapsed="false">
      <c r="B4325" s="7" t="s">
        <v>12958</v>
      </c>
      <c r="C4325" s="39" t="n">
        <v>45928</v>
      </c>
      <c r="D4325" s="7" t="s">
        <v>238</v>
      </c>
      <c r="E4325" s="7" t="s">
        <v>180</v>
      </c>
      <c r="F4325" s="6" t="n">
        <v>7.301</v>
      </c>
      <c r="G4325" s="6" t="n">
        <v>1.199</v>
      </c>
      <c r="H4325" s="41" t="n">
        <v>15.85</v>
      </c>
      <c r="I4325" s="43" t="n">
        <f aca="false">F4325*H4325</f>
        <v>115.72085</v>
      </c>
      <c r="J4325" s="43" t="n">
        <f aca="false">G4325*H4325*1.5</f>
        <v>28.506225</v>
      </c>
      <c r="K4325" s="6" t="n">
        <v>30.03</v>
      </c>
      <c r="L4325" s="43" t="n">
        <f aca="false">K4325*'Chart of Accounts'!$E$68</f>
        <v>20.1201</v>
      </c>
      <c r="O4325" s="42" t="n">
        <f aca="false">I4325+J4325+L4325</f>
        <v>164.347175</v>
      </c>
    </row>
    <row r="4326" customFormat="false" ht="15" hidden="false" customHeight="false" outlineLevel="0" collapsed="false">
      <c r="B4326" s="7" t="s">
        <v>12959</v>
      </c>
      <c r="C4326" s="39" t="n">
        <v>45928</v>
      </c>
      <c r="D4326" s="7" t="s">
        <v>218</v>
      </c>
      <c r="E4326" s="7" t="s">
        <v>180</v>
      </c>
      <c r="F4326" s="6" t="n">
        <v>3.72</v>
      </c>
      <c r="G4326" s="6" t="n">
        <v>0</v>
      </c>
      <c r="H4326" s="41" t="n">
        <v>16.19</v>
      </c>
      <c r="I4326" s="43" t="n">
        <f aca="false">F4326*H4326</f>
        <v>60.2268</v>
      </c>
      <c r="J4326" s="43" t="n">
        <f aca="false">G4326*H4326*1.5</f>
        <v>0</v>
      </c>
      <c r="K4326" s="6" t="n">
        <v>9.52</v>
      </c>
      <c r="L4326" s="43" t="n">
        <f aca="false">K4326*'Chart of Accounts'!$E$68</f>
        <v>6.3784</v>
      </c>
      <c r="O4326" s="42" t="n">
        <f aca="false">I4326+J4326+L4326</f>
        <v>66.6052</v>
      </c>
    </row>
    <row r="4327" customFormat="false" ht="15" hidden="false" customHeight="false" outlineLevel="0" collapsed="false">
      <c r="B4327" s="7" t="s">
        <v>12960</v>
      </c>
      <c r="C4327" s="39" t="n">
        <v>45928</v>
      </c>
      <c r="D4327" s="7" t="s">
        <v>196</v>
      </c>
      <c r="E4327" s="7" t="s">
        <v>180</v>
      </c>
      <c r="F4327" s="6" t="n">
        <v>4.044</v>
      </c>
      <c r="G4327" s="6" t="n">
        <v>0.086</v>
      </c>
      <c r="H4327" s="41" t="n">
        <v>15.05</v>
      </c>
      <c r="I4327" s="43" t="n">
        <f aca="false">F4327*H4327</f>
        <v>60.8622</v>
      </c>
      <c r="J4327" s="43" t="n">
        <f aca="false">G4327*H4327*1.5</f>
        <v>1.94145</v>
      </c>
      <c r="K4327" s="6" t="n">
        <v>10.08</v>
      </c>
      <c r="L4327" s="43" t="n">
        <f aca="false">K4327*'Chart of Accounts'!$E$68</f>
        <v>6.7536</v>
      </c>
      <c r="O4327" s="42" t="n">
        <f aca="false">I4327+J4327+L4327</f>
        <v>69.55725</v>
      </c>
    </row>
    <row r="4328" customFormat="false" ht="15" hidden="false" customHeight="false" outlineLevel="0" collapsed="false">
      <c r="B4328" s="7" t="s">
        <v>12961</v>
      </c>
      <c r="C4328" s="39" t="n">
        <v>45928</v>
      </c>
      <c r="D4328" s="7" t="s">
        <v>222</v>
      </c>
      <c r="E4328" s="7" t="s">
        <v>180</v>
      </c>
      <c r="F4328" s="6" t="n">
        <v>3.74</v>
      </c>
      <c r="G4328" s="6" t="n">
        <v>0</v>
      </c>
      <c r="H4328" s="41" t="n">
        <v>17.84</v>
      </c>
      <c r="I4328" s="43" t="n">
        <f aca="false">F4328*H4328</f>
        <v>66.7216</v>
      </c>
      <c r="J4328" s="43" t="n">
        <f aca="false">G4328*H4328*1.5</f>
        <v>0</v>
      </c>
      <c r="K4328" s="6" t="n">
        <v>13.08</v>
      </c>
      <c r="L4328" s="43" t="n">
        <f aca="false">K4328*'Chart of Accounts'!$E$68</f>
        <v>8.7636</v>
      </c>
      <c r="O4328" s="42" t="n">
        <f aca="false">I4328+J4328+L4328</f>
        <v>75.4852</v>
      </c>
    </row>
    <row r="4329" customFormat="false" ht="15" hidden="false" customHeight="false" outlineLevel="0" collapsed="false">
      <c r="B4329" s="7" t="s">
        <v>12962</v>
      </c>
      <c r="C4329" s="39" t="n">
        <v>45928</v>
      </c>
      <c r="D4329" s="7" t="s">
        <v>242</v>
      </c>
      <c r="E4329" s="7" t="s">
        <v>180</v>
      </c>
      <c r="F4329" s="6" t="n">
        <v>4.043</v>
      </c>
      <c r="G4329" s="6" t="n">
        <v>0.167</v>
      </c>
      <c r="H4329" s="41" t="n">
        <v>17.99</v>
      </c>
      <c r="I4329" s="43" t="n">
        <f aca="false">F4329*H4329</f>
        <v>72.73357</v>
      </c>
      <c r="J4329" s="43" t="n">
        <f aca="false">G4329*H4329*1.5</f>
        <v>4.506495</v>
      </c>
      <c r="K4329" s="6" t="n">
        <v>14.88</v>
      </c>
      <c r="L4329" s="43" t="n">
        <f aca="false">K4329*'Chart of Accounts'!$E$68</f>
        <v>9.9696</v>
      </c>
      <c r="O4329" s="42" t="n">
        <f aca="false">I4329+J4329+L4329</f>
        <v>87.209665</v>
      </c>
    </row>
    <row r="4330" customFormat="false" ht="15" hidden="false" customHeight="false" outlineLevel="0" collapsed="false">
      <c r="B4330" s="7" t="s">
        <v>12963</v>
      </c>
      <c r="C4330" s="39" t="n">
        <v>45928</v>
      </c>
      <c r="D4330" s="7" t="s">
        <v>254</v>
      </c>
      <c r="E4330" s="7" t="s">
        <v>180</v>
      </c>
      <c r="F4330" s="6" t="n">
        <v>3.538</v>
      </c>
      <c r="G4330" s="6" t="n">
        <v>0.122</v>
      </c>
      <c r="H4330" s="41" t="n">
        <v>17.1</v>
      </c>
      <c r="I4330" s="43" t="n">
        <f aca="false">F4330*H4330</f>
        <v>60.4998</v>
      </c>
      <c r="J4330" s="43" t="n">
        <f aca="false">G4330*H4330*1.5</f>
        <v>3.1293</v>
      </c>
      <c r="K4330" s="6" t="n">
        <v>9.19</v>
      </c>
      <c r="L4330" s="43" t="n">
        <f aca="false">K4330*'Chart of Accounts'!$E$68</f>
        <v>6.1573</v>
      </c>
      <c r="O4330" s="42" t="n">
        <f aca="false">I4330+J4330+L4330</f>
        <v>69.7864</v>
      </c>
    </row>
    <row r="4331" customFormat="false" ht="15" hidden="false" customHeight="false" outlineLevel="0" collapsed="false">
      <c r="B4331" s="7" t="s">
        <v>12964</v>
      </c>
      <c r="C4331" s="39" t="n">
        <v>45929</v>
      </c>
      <c r="D4331" s="7" t="s">
        <v>224</v>
      </c>
      <c r="E4331" s="7" t="s">
        <v>180</v>
      </c>
      <c r="F4331" s="6" t="n">
        <v>12.19</v>
      </c>
      <c r="G4331" s="6" t="n">
        <v>0</v>
      </c>
      <c r="H4331" s="41" t="n">
        <v>14.93</v>
      </c>
      <c r="I4331" s="43" t="n">
        <f aca="false">F4331*H4331</f>
        <v>181.9967</v>
      </c>
      <c r="J4331" s="43" t="n">
        <f aca="false">G4331*H4331*1.5</f>
        <v>0</v>
      </c>
      <c r="K4331" s="6" t="n">
        <v>26.99</v>
      </c>
      <c r="L4331" s="43" t="n">
        <f aca="false">K4331*'Chart of Accounts'!$E$68</f>
        <v>18.0833</v>
      </c>
      <c r="O4331" s="42" t="n">
        <f aca="false">I4331+J4331+L4331</f>
        <v>200.08</v>
      </c>
    </row>
    <row r="4332" customFormat="false" ht="15" hidden="false" customHeight="false" outlineLevel="0" collapsed="false">
      <c r="B4332" s="7" t="s">
        <v>12965</v>
      </c>
      <c r="C4332" s="39" t="n">
        <v>45929</v>
      </c>
      <c r="D4332" s="7" t="s">
        <v>194</v>
      </c>
      <c r="E4332" s="7" t="s">
        <v>180</v>
      </c>
      <c r="F4332" s="6" t="n">
        <v>8.48</v>
      </c>
      <c r="G4332" s="6" t="n">
        <v>0</v>
      </c>
      <c r="H4332" s="41" t="n">
        <v>16</v>
      </c>
      <c r="I4332" s="43" t="n">
        <f aca="false">F4332*H4332</f>
        <v>135.68</v>
      </c>
      <c r="J4332" s="43" t="n">
        <f aca="false">G4332*H4332*1.5</f>
        <v>0</v>
      </c>
      <c r="K4332" s="6" t="n">
        <v>29.47</v>
      </c>
      <c r="L4332" s="43" t="n">
        <f aca="false">K4332*'Chart of Accounts'!$E$68</f>
        <v>19.7449</v>
      </c>
      <c r="O4332" s="42" t="n">
        <f aca="false">I4332+J4332+L4332</f>
        <v>155.4249</v>
      </c>
    </row>
    <row r="4333" customFormat="false" ht="15" hidden="false" customHeight="false" outlineLevel="0" collapsed="false">
      <c r="B4333" s="7" t="s">
        <v>12966</v>
      </c>
      <c r="C4333" s="39" t="n">
        <v>45929</v>
      </c>
      <c r="D4333" s="7" t="s">
        <v>214</v>
      </c>
      <c r="E4333" s="7" t="s">
        <v>180</v>
      </c>
      <c r="F4333" s="6" t="n">
        <v>10.9</v>
      </c>
      <c r="G4333" s="6" t="n">
        <v>0</v>
      </c>
      <c r="H4333" s="41" t="n">
        <v>15.67</v>
      </c>
      <c r="I4333" s="43" t="n">
        <f aca="false">F4333*H4333</f>
        <v>170.803</v>
      </c>
      <c r="J4333" s="43" t="n">
        <f aca="false">G4333*H4333*1.5</f>
        <v>0</v>
      </c>
      <c r="K4333" s="6" t="n">
        <v>35.56</v>
      </c>
      <c r="L4333" s="43" t="n">
        <f aca="false">K4333*'Chart of Accounts'!$E$68</f>
        <v>23.8252</v>
      </c>
      <c r="O4333" s="42" t="n">
        <f aca="false">I4333+J4333+L4333</f>
        <v>194.6282</v>
      </c>
    </row>
    <row r="4334" customFormat="false" ht="15" hidden="false" customHeight="false" outlineLevel="0" collapsed="false">
      <c r="B4334" s="7" t="s">
        <v>12967</v>
      </c>
      <c r="C4334" s="39" t="n">
        <v>45929</v>
      </c>
      <c r="D4334" s="7" t="s">
        <v>201</v>
      </c>
      <c r="E4334" s="7" t="s">
        <v>180</v>
      </c>
      <c r="F4334" s="6" t="n">
        <v>10.57</v>
      </c>
      <c r="G4334" s="6" t="n">
        <v>0</v>
      </c>
      <c r="H4334" s="41" t="n">
        <v>15.19</v>
      </c>
      <c r="I4334" s="43" t="n">
        <f aca="false">F4334*H4334</f>
        <v>160.5583</v>
      </c>
      <c r="J4334" s="43" t="n">
        <f aca="false">G4334*H4334*1.5</f>
        <v>0</v>
      </c>
      <c r="K4334" s="6" t="n">
        <v>38.04</v>
      </c>
      <c r="L4334" s="43" t="n">
        <f aca="false">K4334*'Chart of Accounts'!$E$68</f>
        <v>25.4868</v>
      </c>
      <c r="O4334" s="42" t="n">
        <f aca="false">I4334+J4334+L4334</f>
        <v>186.0451</v>
      </c>
    </row>
    <row r="4335" customFormat="false" ht="15" hidden="false" customHeight="false" outlineLevel="0" collapsed="false">
      <c r="B4335" s="7" t="s">
        <v>12968</v>
      </c>
      <c r="C4335" s="39" t="n">
        <v>45929</v>
      </c>
      <c r="D4335" s="7" t="s">
        <v>205</v>
      </c>
      <c r="E4335" s="7" t="s">
        <v>180</v>
      </c>
      <c r="F4335" s="6" t="n">
        <v>3.73</v>
      </c>
      <c r="G4335" s="6" t="n">
        <v>0</v>
      </c>
      <c r="H4335" s="41" t="n">
        <v>16.36</v>
      </c>
      <c r="I4335" s="43" t="n">
        <f aca="false">F4335*H4335</f>
        <v>61.0228</v>
      </c>
      <c r="J4335" s="43" t="n">
        <f aca="false">G4335*H4335*1.5</f>
        <v>0</v>
      </c>
      <c r="K4335" s="6" t="n">
        <v>10.62</v>
      </c>
      <c r="L4335" s="43" t="n">
        <f aca="false">K4335*'Chart of Accounts'!$E$68</f>
        <v>7.1154</v>
      </c>
      <c r="O4335" s="42" t="n">
        <f aca="false">I4335+J4335+L4335</f>
        <v>68.1382</v>
      </c>
    </row>
    <row r="4336" customFormat="false" ht="15" hidden="false" customHeight="false" outlineLevel="0" collapsed="false">
      <c r="B4336" s="7" t="s">
        <v>12969</v>
      </c>
      <c r="C4336" s="39" t="n">
        <v>45929</v>
      </c>
      <c r="D4336" s="7" t="s">
        <v>264</v>
      </c>
      <c r="E4336" s="7" t="s">
        <v>158</v>
      </c>
      <c r="H4336" s="41" t="n">
        <v>55.55</v>
      </c>
      <c r="M4336" s="6" t="n">
        <v>1</v>
      </c>
      <c r="N4336" s="43" t="n">
        <f aca="false">M4336*H4336</f>
        <v>55.55</v>
      </c>
      <c r="O4336" s="42" t="n">
        <f aca="false">N4336</f>
        <v>55.55</v>
      </c>
    </row>
    <row r="4337" customFormat="false" ht="15" hidden="false" customHeight="false" outlineLevel="0" collapsed="false">
      <c r="B4337" s="7" t="s">
        <v>12970</v>
      </c>
      <c r="C4337" s="39" t="n">
        <v>45929</v>
      </c>
      <c r="D4337" s="7" t="s">
        <v>252</v>
      </c>
      <c r="E4337" s="7" t="s">
        <v>158</v>
      </c>
      <c r="H4337" s="41" t="n">
        <v>57.54</v>
      </c>
      <c r="M4337" s="6" t="n">
        <v>1</v>
      </c>
      <c r="N4337" s="43" t="n">
        <f aca="false">M4337*H4337</f>
        <v>57.54</v>
      </c>
      <c r="O4337" s="42" t="n">
        <f aca="false">N4337</f>
        <v>57.54</v>
      </c>
    </row>
    <row r="4338" customFormat="false" ht="15" hidden="false" customHeight="false" outlineLevel="0" collapsed="false">
      <c r="B4338" s="7" t="s">
        <v>12971</v>
      </c>
      <c r="C4338" s="39" t="n">
        <v>45929</v>
      </c>
      <c r="D4338" s="7" t="s">
        <v>196</v>
      </c>
      <c r="E4338" s="7" t="s">
        <v>180</v>
      </c>
      <c r="F4338" s="6" t="n">
        <v>11.297</v>
      </c>
      <c r="G4338" s="6" t="n">
        <v>1.833</v>
      </c>
      <c r="H4338" s="41" t="n">
        <v>15.05</v>
      </c>
      <c r="I4338" s="43" t="n">
        <f aca="false">F4338*H4338</f>
        <v>170.01985</v>
      </c>
      <c r="J4338" s="43" t="n">
        <f aca="false">G4338*H4338*1.5</f>
        <v>41.379975</v>
      </c>
      <c r="K4338" s="6" t="n">
        <v>43.14</v>
      </c>
      <c r="L4338" s="43" t="n">
        <f aca="false">K4338*'Chart of Accounts'!$E$68</f>
        <v>28.9038</v>
      </c>
      <c r="O4338" s="42" t="n">
        <f aca="false">I4338+J4338+L4338</f>
        <v>240.303625</v>
      </c>
    </row>
    <row r="4339" customFormat="false" ht="15" hidden="false" customHeight="false" outlineLevel="0" collapsed="false">
      <c r="B4339" s="7" t="s">
        <v>12972</v>
      </c>
      <c r="C4339" s="39" t="n">
        <v>45929</v>
      </c>
      <c r="D4339" s="7" t="s">
        <v>184</v>
      </c>
      <c r="E4339" s="7" t="s">
        <v>180</v>
      </c>
      <c r="F4339" s="6" t="n">
        <v>8.16</v>
      </c>
      <c r="G4339" s="6" t="n">
        <v>0</v>
      </c>
      <c r="H4339" s="41" t="n">
        <v>17.34</v>
      </c>
      <c r="I4339" s="43" t="n">
        <f aca="false">F4339*H4339</f>
        <v>141.4944</v>
      </c>
      <c r="J4339" s="43" t="n">
        <f aca="false">G4339*H4339*1.5</f>
        <v>0</v>
      </c>
      <c r="K4339" s="6" t="n">
        <v>20.9</v>
      </c>
      <c r="L4339" s="43" t="n">
        <f aca="false">K4339*'Chart of Accounts'!$E$68</f>
        <v>14.003</v>
      </c>
      <c r="O4339" s="42" t="n">
        <f aca="false">I4339+J4339+L4339</f>
        <v>155.4974</v>
      </c>
    </row>
    <row r="4340" customFormat="false" ht="15" hidden="false" customHeight="false" outlineLevel="0" collapsed="false">
      <c r="B4340" s="7" t="s">
        <v>12973</v>
      </c>
      <c r="C4340" s="39" t="n">
        <v>45929</v>
      </c>
      <c r="D4340" s="7" t="s">
        <v>216</v>
      </c>
      <c r="E4340" s="7" t="s">
        <v>158</v>
      </c>
      <c r="H4340" s="41" t="n">
        <v>61.79</v>
      </c>
      <c r="M4340" s="6" t="n">
        <v>1</v>
      </c>
      <c r="N4340" s="43" t="n">
        <f aca="false">M4340*H4340</f>
        <v>61.79</v>
      </c>
      <c r="O4340" s="42" t="n">
        <f aca="false">N4340</f>
        <v>61.79</v>
      </c>
    </row>
    <row r="4341" customFormat="false" ht="15" hidden="false" customHeight="false" outlineLevel="0" collapsed="false">
      <c r="B4341" s="7" t="s">
        <v>12974</v>
      </c>
      <c r="C4341" s="39" t="n">
        <v>45929</v>
      </c>
      <c r="D4341" s="7" t="s">
        <v>218</v>
      </c>
      <c r="E4341" s="7" t="s">
        <v>180</v>
      </c>
      <c r="F4341" s="6" t="n">
        <v>3.81</v>
      </c>
      <c r="G4341" s="6" t="n">
        <v>0</v>
      </c>
      <c r="H4341" s="41" t="n">
        <v>16.19</v>
      </c>
      <c r="I4341" s="43" t="n">
        <f aca="false">F4341*H4341</f>
        <v>61.6839</v>
      </c>
      <c r="J4341" s="43" t="n">
        <f aca="false">G4341*H4341*1.5</f>
        <v>0</v>
      </c>
      <c r="K4341" s="6" t="n">
        <v>12.44</v>
      </c>
      <c r="L4341" s="43" t="n">
        <f aca="false">K4341*'Chart of Accounts'!$E$68</f>
        <v>8.3348</v>
      </c>
      <c r="O4341" s="42" t="n">
        <f aca="false">I4341+J4341+L4341</f>
        <v>70.0187</v>
      </c>
    </row>
    <row r="4342" customFormat="false" ht="15" hidden="false" customHeight="false" outlineLevel="0" collapsed="false">
      <c r="B4342" s="7" t="s">
        <v>12975</v>
      </c>
      <c r="C4342" s="39" t="n">
        <v>45929</v>
      </c>
      <c r="D4342" s="7" t="s">
        <v>177</v>
      </c>
      <c r="E4342" s="7" t="s">
        <v>180</v>
      </c>
      <c r="F4342" s="6" t="n">
        <v>11.44</v>
      </c>
      <c r="G4342" s="6" t="n">
        <v>0</v>
      </c>
      <c r="H4342" s="41" t="n">
        <v>14.56</v>
      </c>
      <c r="I4342" s="43" t="n">
        <f aca="false">F4342*H4342</f>
        <v>166.5664</v>
      </c>
      <c r="J4342" s="43" t="n">
        <f aca="false">G4342*H4342*1.5</f>
        <v>0</v>
      </c>
      <c r="K4342" s="6" t="n">
        <v>36.9</v>
      </c>
      <c r="L4342" s="43" t="n">
        <f aca="false">K4342*'Chart of Accounts'!$E$68</f>
        <v>24.723</v>
      </c>
      <c r="O4342" s="42" t="n">
        <f aca="false">I4342+J4342+L4342</f>
        <v>191.2894</v>
      </c>
    </row>
    <row r="4343" customFormat="false" ht="15" hidden="false" customHeight="false" outlineLevel="0" collapsed="false">
      <c r="B4343" s="7" t="s">
        <v>12976</v>
      </c>
      <c r="C4343" s="39" t="n">
        <v>45929</v>
      </c>
      <c r="D4343" s="7" t="s">
        <v>220</v>
      </c>
      <c r="E4343" s="7" t="s">
        <v>180</v>
      </c>
      <c r="F4343" s="6" t="n">
        <v>3.91</v>
      </c>
      <c r="G4343" s="6" t="n">
        <v>0</v>
      </c>
      <c r="H4343" s="41" t="n">
        <v>16.43</v>
      </c>
      <c r="I4343" s="43" t="n">
        <f aca="false">F4343*H4343</f>
        <v>64.2413</v>
      </c>
      <c r="J4343" s="43" t="n">
        <f aca="false">G4343*H4343*1.5</f>
        <v>0</v>
      </c>
      <c r="K4343" s="6" t="n">
        <v>9.85</v>
      </c>
      <c r="L4343" s="43" t="n">
        <f aca="false">K4343*'Chart of Accounts'!$E$68</f>
        <v>6.5995</v>
      </c>
      <c r="O4343" s="42" t="n">
        <f aca="false">I4343+J4343+L4343</f>
        <v>70.8408</v>
      </c>
    </row>
    <row r="4344" customFormat="false" ht="15" hidden="false" customHeight="false" outlineLevel="0" collapsed="false">
      <c r="B4344" s="7" t="s">
        <v>12977</v>
      </c>
      <c r="C4344" s="39" t="n">
        <v>45929</v>
      </c>
      <c r="D4344" s="7" t="s">
        <v>242</v>
      </c>
      <c r="E4344" s="7" t="s">
        <v>180</v>
      </c>
      <c r="F4344" s="6" t="n">
        <v>10.843</v>
      </c>
      <c r="G4344" s="6" t="n">
        <v>0.607</v>
      </c>
      <c r="H4344" s="41" t="n">
        <v>17.99</v>
      </c>
      <c r="I4344" s="43" t="n">
        <f aca="false">F4344*H4344</f>
        <v>195.06557</v>
      </c>
      <c r="J4344" s="43" t="n">
        <f aca="false">G4344*H4344*1.5</f>
        <v>16.379895</v>
      </c>
      <c r="K4344" s="6" t="n">
        <v>26.58</v>
      </c>
      <c r="L4344" s="43" t="n">
        <f aca="false">K4344*'Chart of Accounts'!$E$68</f>
        <v>17.8086</v>
      </c>
      <c r="O4344" s="42" t="n">
        <f aca="false">I4344+J4344+L4344</f>
        <v>229.254065</v>
      </c>
    </row>
    <row r="4345" customFormat="false" ht="15" hidden="false" customHeight="false" outlineLevel="0" collapsed="false">
      <c r="B4345" s="7" t="s">
        <v>12978</v>
      </c>
      <c r="C4345" s="39" t="n">
        <v>45929</v>
      </c>
      <c r="D4345" s="7" t="s">
        <v>222</v>
      </c>
      <c r="E4345" s="7" t="s">
        <v>180</v>
      </c>
      <c r="F4345" s="6" t="n">
        <v>7.38</v>
      </c>
      <c r="G4345" s="6" t="n">
        <v>0</v>
      </c>
      <c r="H4345" s="41" t="n">
        <v>17.84</v>
      </c>
      <c r="I4345" s="43" t="n">
        <f aca="false">F4345*H4345</f>
        <v>131.6592</v>
      </c>
      <c r="J4345" s="43" t="n">
        <f aca="false">G4345*H4345*1.5</f>
        <v>0</v>
      </c>
      <c r="K4345" s="6" t="n">
        <v>21.56</v>
      </c>
      <c r="L4345" s="43" t="n">
        <f aca="false">K4345*'Chart of Accounts'!$E$68</f>
        <v>14.4452</v>
      </c>
      <c r="O4345" s="42" t="n">
        <f aca="false">I4345+J4345+L4345</f>
        <v>146.1044</v>
      </c>
    </row>
    <row r="4346" customFormat="false" ht="15" hidden="false" customHeight="false" outlineLevel="0" collapsed="false">
      <c r="B4346" s="7" t="s">
        <v>12979</v>
      </c>
      <c r="C4346" s="39" t="n">
        <v>45929</v>
      </c>
      <c r="D4346" s="7" t="s">
        <v>238</v>
      </c>
      <c r="E4346" s="7" t="s">
        <v>180</v>
      </c>
      <c r="F4346" s="6" t="n">
        <v>4.81</v>
      </c>
      <c r="G4346" s="6" t="n">
        <v>0</v>
      </c>
      <c r="H4346" s="41" t="n">
        <v>15.85</v>
      </c>
      <c r="I4346" s="43" t="n">
        <f aca="false">F4346*H4346</f>
        <v>76.2385</v>
      </c>
      <c r="J4346" s="43" t="n">
        <f aca="false">G4346*H4346*1.5</f>
        <v>0</v>
      </c>
      <c r="K4346" s="6" t="n">
        <v>11.57</v>
      </c>
      <c r="L4346" s="43" t="n">
        <f aca="false">K4346*'Chart of Accounts'!$E$68</f>
        <v>7.7519</v>
      </c>
      <c r="O4346" s="42" t="n">
        <f aca="false">I4346+J4346+L4346</f>
        <v>83.9904</v>
      </c>
    </row>
    <row r="4347" customFormat="false" ht="15" hidden="false" customHeight="false" outlineLevel="0" collapsed="false">
      <c r="B4347" s="7" t="s">
        <v>12980</v>
      </c>
      <c r="C4347" s="39" t="n">
        <v>45929</v>
      </c>
      <c r="D4347" s="7" t="s">
        <v>244</v>
      </c>
      <c r="E4347" s="7" t="s">
        <v>180</v>
      </c>
      <c r="F4347" s="6" t="n">
        <v>4.34</v>
      </c>
      <c r="G4347" s="6" t="n">
        <v>0</v>
      </c>
      <c r="H4347" s="41" t="n">
        <v>16.39</v>
      </c>
      <c r="I4347" s="43" t="n">
        <f aca="false">F4347*H4347</f>
        <v>71.1326</v>
      </c>
      <c r="J4347" s="43" t="n">
        <f aca="false">G4347*H4347*1.5</f>
        <v>0</v>
      </c>
      <c r="K4347" s="6" t="n">
        <v>10.45</v>
      </c>
      <c r="L4347" s="43" t="n">
        <f aca="false">K4347*'Chart of Accounts'!$E$68</f>
        <v>7.0015</v>
      </c>
      <c r="O4347" s="42" t="n">
        <f aca="false">I4347+J4347+L4347</f>
        <v>78.1341</v>
      </c>
    </row>
    <row r="4348" customFormat="false" ht="15" hidden="false" customHeight="false" outlineLevel="0" collapsed="false">
      <c r="B4348" s="7" t="s">
        <v>12981</v>
      </c>
      <c r="C4348" s="39" t="n">
        <v>45929</v>
      </c>
      <c r="D4348" s="7" t="s">
        <v>254</v>
      </c>
      <c r="E4348" s="7" t="s">
        <v>180</v>
      </c>
      <c r="F4348" s="6" t="n">
        <v>8.637</v>
      </c>
      <c r="G4348" s="6" t="n">
        <v>2.233</v>
      </c>
      <c r="H4348" s="41" t="n">
        <v>17.1</v>
      </c>
      <c r="I4348" s="43" t="n">
        <f aca="false">F4348*H4348</f>
        <v>147.6927</v>
      </c>
      <c r="J4348" s="43" t="n">
        <f aca="false">G4348*H4348*1.5</f>
        <v>57.27645</v>
      </c>
      <c r="K4348" s="6" t="n">
        <v>30.99</v>
      </c>
      <c r="L4348" s="43" t="n">
        <f aca="false">K4348*'Chart of Accounts'!$E$68</f>
        <v>20.7633</v>
      </c>
      <c r="O4348" s="42" t="n">
        <f aca="false">I4348+J4348+L4348</f>
        <v>225.73245</v>
      </c>
    </row>
    <row r="4349" customFormat="false" ht="15" hidden="false" customHeight="false" outlineLevel="0" collapsed="false">
      <c r="B4349" s="7" t="s">
        <v>12982</v>
      </c>
      <c r="C4349" s="39" t="n">
        <v>45929</v>
      </c>
      <c r="D4349" s="7" t="s">
        <v>246</v>
      </c>
      <c r="E4349" s="7" t="s">
        <v>180</v>
      </c>
      <c r="F4349" s="6" t="n">
        <v>11.35</v>
      </c>
      <c r="G4349" s="6" t="n">
        <v>0</v>
      </c>
      <c r="H4349" s="41" t="n">
        <v>16.48</v>
      </c>
      <c r="I4349" s="43" t="n">
        <f aca="false">F4349*H4349</f>
        <v>187.048</v>
      </c>
      <c r="J4349" s="43" t="n">
        <f aca="false">G4349*H4349*1.5</f>
        <v>0</v>
      </c>
      <c r="K4349" s="6" t="n">
        <v>36.8</v>
      </c>
      <c r="L4349" s="43" t="n">
        <f aca="false">K4349*'Chart of Accounts'!$E$68</f>
        <v>24.656</v>
      </c>
      <c r="O4349" s="42" t="n">
        <f aca="false">I4349+J4349+L4349</f>
        <v>211.704</v>
      </c>
    </row>
    <row r="4350" customFormat="false" ht="15" hidden="false" customHeight="false" outlineLevel="0" collapsed="false">
      <c r="B4350" s="7" t="s">
        <v>12983</v>
      </c>
      <c r="C4350" s="39" t="n">
        <v>45929</v>
      </c>
      <c r="D4350" s="7" t="s">
        <v>232</v>
      </c>
      <c r="E4350" s="7" t="s">
        <v>180</v>
      </c>
      <c r="F4350" s="6" t="n">
        <v>4.84</v>
      </c>
      <c r="G4350" s="6" t="n">
        <v>0</v>
      </c>
      <c r="H4350" s="41" t="n">
        <v>16.17</v>
      </c>
      <c r="I4350" s="43" t="n">
        <f aca="false">F4350*H4350</f>
        <v>78.2628</v>
      </c>
      <c r="J4350" s="43" t="n">
        <f aca="false">G4350*H4350*1.5</f>
        <v>0</v>
      </c>
      <c r="K4350" s="6" t="n">
        <v>13.14</v>
      </c>
      <c r="L4350" s="43" t="n">
        <f aca="false">K4350*'Chart of Accounts'!$E$68</f>
        <v>8.8038</v>
      </c>
      <c r="O4350" s="42" t="n">
        <f aca="false">I4350+J4350+L4350</f>
        <v>87.0666</v>
      </c>
    </row>
    <row r="4351" customFormat="false" ht="15" hidden="false" customHeight="false" outlineLevel="0" collapsed="false">
      <c r="B4351" s="7" t="s">
        <v>12984</v>
      </c>
      <c r="C4351" s="39" t="n">
        <v>45930</v>
      </c>
      <c r="D4351" s="7" t="s">
        <v>246</v>
      </c>
      <c r="E4351" s="7" t="s">
        <v>180</v>
      </c>
      <c r="F4351" s="6" t="n">
        <v>7.98</v>
      </c>
      <c r="G4351" s="6" t="n">
        <v>0</v>
      </c>
      <c r="H4351" s="41" t="n">
        <v>16.48</v>
      </c>
      <c r="I4351" s="43" t="n">
        <f aca="false">F4351*H4351</f>
        <v>131.5104</v>
      </c>
      <c r="J4351" s="43" t="n">
        <f aca="false">G4351*H4351*1.5</f>
        <v>0</v>
      </c>
      <c r="K4351" s="6" t="n">
        <v>18.95</v>
      </c>
      <c r="L4351" s="43" t="n">
        <f aca="false">K4351*'Chart of Accounts'!$E$68</f>
        <v>12.6965</v>
      </c>
      <c r="O4351" s="42" t="n">
        <f aca="false">I4351+J4351+L4351</f>
        <v>144.2069</v>
      </c>
    </row>
    <row r="4352" customFormat="false" ht="15" hidden="false" customHeight="false" outlineLevel="0" collapsed="false">
      <c r="B4352" s="7" t="s">
        <v>12985</v>
      </c>
      <c r="C4352" s="39" t="n">
        <v>45930</v>
      </c>
      <c r="D4352" s="7" t="s">
        <v>198</v>
      </c>
      <c r="E4352" s="7" t="s">
        <v>158</v>
      </c>
      <c r="H4352" s="41" t="n">
        <v>48.09</v>
      </c>
      <c r="M4352" s="6" t="n">
        <v>1</v>
      </c>
      <c r="N4352" s="43" t="n">
        <f aca="false">M4352*H4352</f>
        <v>48.09</v>
      </c>
      <c r="O4352" s="42" t="n">
        <f aca="false">N4352</f>
        <v>48.09</v>
      </c>
    </row>
    <row r="4353" customFormat="false" ht="15" hidden="false" customHeight="false" outlineLevel="0" collapsed="false">
      <c r="B4353" s="7" t="s">
        <v>12986</v>
      </c>
      <c r="C4353" s="39" t="n">
        <v>45930</v>
      </c>
      <c r="D4353" s="7" t="s">
        <v>209</v>
      </c>
      <c r="E4353" s="7" t="s">
        <v>158</v>
      </c>
      <c r="H4353" s="41" t="n">
        <v>73.58</v>
      </c>
      <c r="M4353" s="6" t="n">
        <v>2</v>
      </c>
      <c r="N4353" s="43" t="n">
        <f aca="false">M4353*H4353</f>
        <v>147.16</v>
      </c>
      <c r="O4353" s="42" t="n">
        <f aca="false">N4353</f>
        <v>147.16</v>
      </c>
    </row>
    <row r="4354" customFormat="false" ht="15" hidden="false" customHeight="false" outlineLevel="0" collapsed="false">
      <c r="B4354" s="7" t="s">
        <v>12987</v>
      </c>
      <c r="C4354" s="39" t="n">
        <v>45930</v>
      </c>
      <c r="D4354" s="7" t="s">
        <v>184</v>
      </c>
      <c r="E4354" s="7" t="s">
        <v>180</v>
      </c>
      <c r="F4354" s="6" t="n">
        <v>3.77</v>
      </c>
      <c r="G4354" s="6" t="n">
        <v>0</v>
      </c>
      <c r="H4354" s="41" t="n">
        <v>17.34</v>
      </c>
      <c r="I4354" s="43" t="n">
        <f aca="false">F4354*H4354</f>
        <v>65.3718</v>
      </c>
      <c r="J4354" s="43" t="n">
        <f aca="false">G4354*H4354*1.5</f>
        <v>0</v>
      </c>
      <c r="K4354" s="6" t="n">
        <v>12.03</v>
      </c>
      <c r="L4354" s="43" t="n">
        <f aca="false">K4354*'Chart of Accounts'!$E$68</f>
        <v>8.0601</v>
      </c>
      <c r="O4354" s="42" t="n">
        <f aca="false">I4354+J4354+L4354</f>
        <v>73.4319</v>
      </c>
    </row>
    <row r="4355" customFormat="false" ht="15" hidden="false" customHeight="false" outlineLevel="0" collapsed="false">
      <c r="B4355" s="7" t="s">
        <v>12988</v>
      </c>
      <c r="C4355" s="39" t="n">
        <v>45930</v>
      </c>
      <c r="D4355" s="7" t="s">
        <v>234</v>
      </c>
      <c r="E4355" s="7" t="s">
        <v>158</v>
      </c>
      <c r="H4355" s="41" t="n">
        <v>89.53</v>
      </c>
      <c r="M4355" s="6" t="n">
        <v>2</v>
      </c>
      <c r="N4355" s="43" t="n">
        <f aca="false">M4355*H4355</f>
        <v>179.06</v>
      </c>
      <c r="O4355" s="42" t="n">
        <f aca="false">N4355</f>
        <v>179.06</v>
      </c>
    </row>
    <row r="4356" customFormat="false" ht="15" hidden="false" customHeight="false" outlineLevel="0" collapsed="false">
      <c r="B4356" s="7" t="s">
        <v>12989</v>
      </c>
      <c r="C4356" s="39" t="n">
        <v>45930</v>
      </c>
      <c r="D4356" s="7" t="s">
        <v>218</v>
      </c>
      <c r="E4356" s="7" t="s">
        <v>180</v>
      </c>
      <c r="F4356" s="6" t="n">
        <v>4.1</v>
      </c>
      <c r="G4356" s="6" t="n">
        <v>0</v>
      </c>
      <c r="H4356" s="41" t="n">
        <v>16.19</v>
      </c>
      <c r="I4356" s="43" t="n">
        <f aca="false">F4356*H4356</f>
        <v>66.379</v>
      </c>
      <c r="J4356" s="43" t="n">
        <f aca="false">G4356*H4356*1.5</f>
        <v>0</v>
      </c>
      <c r="K4356" s="6" t="n">
        <v>10.17</v>
      </c>
      <c r="L4356" s="43" t="n">
        <f aca="false">K4356*'Chart of Accounts'!$E$68</f>
        <v>6.8139</v>
      </c>
      <c r="O4356" s="42" t="n">
        <f aca="false">I4356+J4356+L4356</f>
        <v>73.1929</v>
      </c>
    </row>
    <row r="4357" customFormat="false" ht="15" hidden="false" customHeight="false" outlineLevel="0" collapsed="false">
      <c r="B4357" s="7" t="s">
        <v>12990</v>
      </c>
      <c r="C4357" s="39" t="n">
        <v>45930</v>
      </c>
      <c r="D4357" s="7" t="s">
        <v>230</v>
      </c>
      <c r="E4357" s="7" t="s">
        <v>158</v>
      </c>
      <c r="H4357" s="41" t="n">
        <v>48.78</v>
      </c>
      <c r="M4357" s="6" t="n">
        <v>2</v>
      </c>
      <c r="N4357" s="43" t="n">
        <f aca="false">M4357*H4357</f>
        <v>97.56</v>
      </c>
      <c r="O4357" s="42" t="n">
        <f aca="false">N4357</f>
        <v>97.56</v>
      </c>
    </row>
    <row r="4358" customFormat="false" ht="15" hidden="false" customHeight="false" outlineLevel="0" collapsed="false">
      <c r="B4358" s="7" t="s">
        <v>12991</v>
      </c>
      <c r="C4358" s="39" t="n">
        <v>45930</v>
      </c>
      <c r="D4358" s="7" t="s">
        <v>228</v>
      </c>
      <c r="E4358" s="7" t="s">
        <v>158</v>
      </c>
      <c r="H4358" s="41" t="n">
        <v>51.07</v>
      </c>
      <c r="M4358" s="6" t="n">
        <v>1</v>
      </c>
      <c r="N4358" s="43" t="n">
        <f aca="false">M4358*H4358</f>
        <v>51.07</v>
      </c>
      <c r="O4358" s="42" t="n">
        <f aca="false">N4358</f>
        <v>51.07</v>
      </c>
    </row>
    <row r="4359" customFormat="false" ht="15" hidden="false" customHeight="false" outlineLevel="0" collapsed="false">
      <c r="B4359" s="7" t="s">
        <v>12992</v>
      </c>
      <c r="C4359" s="39" t="n">
        <v>45930</v>
      </c>
      <c r="D4359" s="7" t="s">
        <v>220</v>
      </c>
      <c r="E4359" s="7" t="s">
        <v>180</v>
      </c>
      <c r="F4359" s="6" t="n">
        <v>3.69</v>
      </c>
      <c r="G4359" s="6" t="n">
        <v>0</v>
      </c>
      <c r="H4359" s="41" t="n">
        <v>16.43</v>
      </c>
      <c r="I4359" s="43" t="n">
        <f aca="false">F4359*H4359</f>
        <v>60.6267</v>
      </c>
      <c r="J4359" s="43" t="n">
        <f aca="false">G4359*H4359*1.5</f>
        <v>0</v>
      </c>
      <c r="K4359" s="6" t="n">
        <v>12.04</v>
      </c>
      <c r="L4359" s="43" t="n">
        <f aca="false">K4359*'Chart of Accounts'!$E$68</f>
        <v>8.0668</v>
      </c>
      <c r="O4359" s="42" t="n">
        <f aca="false">I4359+J4359+L4359</f>
        <v>68.6935</v>
      </c>
    </row>
    <row r="4360" customFormat="false" ht="15" hidden="false" customHeight="false" outlineLevel="0" collapsed="false">
      <c r="B4360" s="7" t="s">
        <v>12993</v>
      </c>
      <c r="C4360" s="39" t="n">
        <v>45930</v>
      </c>
      <c r="D4360" s="7" t="s">
        <v>244</v>
      </c>
      <c r="E4360" s="7" t="s">
        <v>180</v>
      </c>
      <c r="F4360" s="6" t="n">
        <v>4.13</v>
      </c>
      <c r="G4360" s="6" t="n">
        <v>0</v>
      </c>
      <c r="H4360" s="41" t="n">
        <v>16.39</v>
      </c>
      <c r="I4360" s="43" t="n">
        <f aca="false">F4360*H4360</f>
        <v>67.6907</v>
      </c>
      <c r="J4360" s="43" t="n">
        <f aca="false">G4360*H4360*1.5</f>
        <v>0</v>
      </c>
      <c r="K4360" s="6" t="n">
        <v>12.41</v>
      </c>
      <c r="L4360" s="43" t="n">
        <f aca="false">K4360*'Chart of Accounts'!$E$68</f>
        <v>8.3147</v>
      </c>
      <c r="O4360" s="42" t="n">
        <f aca="false">I4360+J4360+L4360</f>
        <v>76.0054</v>
      </c>
    </row>
    <row r="4361" customFormat="false" ht="15" hidden="false" customHeight="false" outlineLevel="0" collapsed="false">
      <c r="B4361" s="7" t="s">
        <v>12994</v>
      </c>
      <c r="C4361" s="39" t="n">
        <v>45930</v>
      </c>
      <c r="D4361" s="7" t="s">
        <v>196</v>
      </c>
      <c r="E4361" s="7" t="s">
        <v>180</v>
      </c>
      <c r="F4361" s="6" t="n">
        <v>6.419</v>
      </c>
      <c r="G4361" s="6" t="n">
        <v>1.041</v>
      </c>
      <c r="H4361" s="41" t="n">
        <v>15.05</v>
      </c>
      <c r="I4361" s="43" t="n">
        <f aca="false">F4361*H4361</f>
        <v>96.60595</v>
      </c>
      <c r="J4361" s="43" t="n">
        <f aca="false">G4361*H4361*1.5</f>
        <v>23.500575</v>
      </c>
      <c r="K4361" s="6" t="n">
        <v>26.68</v>
      </c>
      <c r="L4361" s="43" t="n">
        <f aca="false">K4361*'Chart of Accounts'!$E$68</f>
        <v>17.8756</v>
      </c>
      <c r="O4361" s="42" t="n">
        <f aca="false">I4361+J4361+L4361</f>
        <v>137.982125</v>
      </c>
    </row>
    <row r="4362" customFormat="false" ht="15" hidden="false" customHeight="false" outlineLevel="0" collapsed="false">
      <c r="B4362" s="7" t="s">
        <v>12995</v>
      </c>
      <c r="C4362" s="39" t="n">
        <v>45930</v>
      </c>
      <c r="D4362" s="7" t="s">
        <v>194</v>
      </c>
      <c r="E4362" s="7" t="s">
        <v>180</v>
      </c>
      <c r="F4362" s="6" t="n">
        <v>4.32</v>
      </c>
      <c r="G4362" s="6" t="n">
        <v>0</v>
      </c>
      <c r="H4362" s="41" t="n">
        <v>16</v>
      </c>
      <c r="I4362" s="43" t="n">
        <f aca="false">F4362*H4362</f>
        <v>69.12</v>
      </c>
      <c r="J4362" s="43" t="n">
        <f aca="false">G4362*H4362*1.5</f>
        <v>0</v>
      </c>
      <c r="K4362" s="6" t="n">
        <v>9.88</v>
      </c>
      <c r="L4362" s="43" t="n">
        <f aca="false">K4362*'Chart of Accounts'!$E$68</f>
        <v>6.6196</v>
      </c>
      <c r="O4362" s="42" t="n">
        <f aca="false">I4362+J4362+L4362</f>
        <v>75.7396</v>
      </c>
    </row>
    <row r="4363" customFormat="false" ht="15" hidden="false" customHeight="false" outlineLevel="0" collapsed="false">
      <c r="B4363" s="7" t="s">
        <v>12996</v>
      </c>
      <c r="C4363" s="39" t="n">
        <v>45930</v>
      </c>
      <c r="D4363" s="7" t="s">
        <v>258</v>
      </c>
      <c r="E4363" s="7" t="s">
        <v>158</v>
      </c>
      <c r="H4363" s="41" t="n">
        <v>61.61</v>
      </c>
      <c r="M4363" s="6" t="n">
        <v>1</v>
      </c>
      <c r="N4363" s="43" t="n">
        <f aca="false">M4363*H4363</f>
        <v>61.61</v>
      </c>
      <c r="O4363" s="42" t="n">
        <f aca="false">N4363</f>
        <v>61.61</v>
      </c>
    </row>
    <row r="4364" customFormat="false" ht="15" hidden="false" customHeight="false" outlineLevel="0" collapsed="false">
      <c r="B4364" s="7" t="s">
        <v>12997</v>
      </c>
      <c r="C4364" s="39" t="n">
        <v>45930</v>
      </c>
      <c r="D4364" s="7" t="s">
        <v>222</v>
      </c>
      <c r="E4364" s="7" t="s">
        <v>180</v>
      </c>
      <c r="F4364" s="6" t="n">
        <v>4.11</v>
      </c>
      <c r="G4364" s="6" t="n">
        <v>0</v>
      </c>
      <c r="H4364" s="41" t="n">
        <v>17.84</v>
      </c>
      <c r="I4364" s="43" t="n">
        <f aca="false">F4364*H4364</f>
        <v>73.3224</v>
      </c>
      <c r="J4364" s="43" t="n">
        <f aca="false">G4364*H4364*1.5</f>
        <v>0</v>
      </c>
      <c r="K4364" s="6" t="n">
        <v>13.64</v>
      </c>
      <c r="L4364" s="43" t="n">
        <f aca="false">K4364*'Chart of Accounts'!$E$68</f>
        <v>9.1388</v>
      </c>
      <c r="O4364" s="42" t="n">
        <f aca="false">I4364+J4364+L4364</f>
        <v>82.4612</v>
      </c>
    </row>
    <row r="4365" customFormat="false" ht="15" hidden="false" customHeight="false" outlineLevel="0" collapsed="false">
      <c r="B4365" s="7" t="s">
        <v>12998</v>
      </c>
      <c r="C4365" s="39" t="n">
        <v>45930</v>
      </c>
      <c r="D4365" s="7" t="s">
        <v>242</v>
      </c>
      <c r="E4365" s="7" t="s">
        <v>180</v>
      </c>
      <c r="F4365" s="6" t="n">
        <v>4.063</v>
      </c>
      <c r="G4365" s="6" t="n">
        <v>0.227</v>
      </c>
      <c r="H4365" s="41" t="n">
        <v>17.99</v>
      </c>
      <c r="I4365" s="43" t="n">
        <f aca="false">F4365*H4365</f>
        <v>73.09337</v>
      </c>
      <c r="J4365" s="43" t="n">
        <f aca="false">G4365*H4365*1.5</f>
        <v>6.125595</v>
      </c>
      <c r="K4365" s="6" t="n">
        <v>14.49</v>
      </c>
      <c r="L4365" s="43" t="n">
        <f aca="false">K4365*'Chart of Accounts'!$E$68</f>
        <v>9.7083</v>
      </c>
      <c r="O4365" s="42" t="n">
        <f aca="false">I4365+J4365+L4365</f>
        <v>88.927265</v>
      </c>
    </row>
    <row r="4366" customFormat="false" ht="15" hidden="false" customHeight="false" outlineLevel="0" collapsed="false">
      <c r="B4366" s="7" t="s">
        <v>12999</v>
      </c>
      <c r="C4366" s="39" t="n">
        <v>45930</v>
      </c>
      <c r="D4366" s="7" t="s">
        <v>203</v>
      </c>
      <c r="E4366" s="7" t="s">
        <v>158</v>
      </c>
      <c r="H4366" s="41" t="n">
        <v>49.43</v>
      </c>
      <c r="M4366" s="6" t="n">
        <v>1</v>
      </c>
      <c r="N4366" s="43" t="n">
        <f aca="false">M4366*H4366</f>
        <v>49.43</v>
      </c>
      <c r="O4366" s="42" t="n">
        <f aca="false">N4366</f>
        <v>49.43</v>
      </c>
    </row>
    <row r="4367" customFormat="false" ht="15" hidden="false" customHeight="false" outlineLevel="0" collapsed="false">
      <c r="B4367" s="7" t="s">
        <v>13000</v>
      </c>
      <c r="C4367" s="39" t="n">
        <v>45930</v>
      </c>
      <c r="D4367" s="7" t="s">
        <v>254</v>
      </c>
      <c r="E4367" s="7" t="s">
        <v>180</v>
      </c>
      <c r="F4367" s="6" t="n">
        <v>3.472</v>
      </c>
      <c r="G4367" s="6" t="n">
        <v>0.898</v>
      </c>
      <c r="H4367" s="41" t="n">
        <v>17.1</v>
      </c>
      <c r="I4367" s="43" t="n">
        <f aca="false">F4367*H4367</f>
        <v>59.3712</v>
      </c>
      <c r="J4367" s="43" t="n">
        <f aca="false">G4367*H4367*1.5</f>
        <v>23.0337</v>
      </c>
      <c r="K4367" s="6" t="n">
        <v>15</v>
      </c>
      <c r="L4367" s="43" t="n">
        <f aca="false">K4367*'Chart of Accounts'!$E$68</f>
        <v>10.05</v>
      </c>
      <c r="O4367" s="42" t="n">
        <f aca="false">I4367+J4367+L4367</f>
        <v>92.4549</v>
      </c>
    </row>
    <row r="4368" customFormat="false" ht="15" hidden="false" customHeight="false" outlineLevel="0" collapsed="false">
      <c r="B4368" s="7" t="s">
        <v>13001</v>
      </c>
      <c r="C4368" s="39" t="n">
        <v>45930</v>
      </c>
      <c r="D4368" s="7" t="s">
        <v>260</v>
      </c>
      <c r="E4368" s="7" t="s">
        <v>158</v>
      </c>
      <c r="H4368" s="41" t="n">
        <v>79.8</v>
      </c>
      <c r="M4368" s="6" t="n">
        <v>1</v>
      </c>
      <c r="N4368" s="43" t="n">
        <f aca="false">M4368*H4368</f>
        <v>79.8</v>
      </c>
      <c r="O4368" s="42" t="n">
        <f aca="false">N4368</f>
        <v>79.8</v>
      </c>
    </row>
    <row r="4369" customFormat="false" ht="15" hidden="false" customHeight="false" outlineLevel="0" collapsed="false">
      <c r="B4369" s="7" t="s">
        <v>13002</v>
      </c>
      <c r="C4369" s="39" t="n">
        <v>45931</v>
      </c>
      <c r="D4369" s="7" t="s">
        <v>218</v>
      </c>
      <c r="E4369" s="7" t="s">
        <v>180</v>
      </c>
      <c r="F4369" s="6" t="n">
        <v>7.79</v>
      </c>
      <c r="G4369" s="6" t="n">
        <v>0</v>
      </c>
      <c r="H4369" s="41" t="n">
        <v>16.19</v>
      </c>
      <c r="I4369" s="43" t="n">
        <f aca="false">F4369*H4369</f>
        <v>126.1201</v>
      </c>
      <c r="J4369" s="43" t="n">
        <f aca="false">G4369*H4369*1.5</f>
        <v>0</v>
      </c>
      <c r="K4369" s="6" t="n">
        <v>21.49</v>
      </c>
      <c r="L4369" s="43" t="n">
        <f aca="false">K4369*'Chart of Accounts'!$E$68</f>
        <v>14.3983</v>
      </c>
      <c r="O4369" s="42" t="n">
        <f aca="false">I4369+J4369+L4369</f>
        <v>140.5184</v>
      </c>
    </row>
    <row r="4370" customFormat="false" ht="15" hidden="false" customHeight="false" outlineLevel="0" collapsed="false">
      <c r="B4370" s="7" t="s">
        <v>13003</v>
      </c>
      <c r="C4370" s="39" t="n">
        <v>45931</v>
      </c>
      <c r="D4370" s="7" t="s">
        <v>194</v>
      </c>
      <c r="E4370" s="7" t="s">
        <v>180</v>
      </c>
      <c r="F4370" s="6" t="n">
        <v>8.72</v>
      </c>
      <c r="G4370" s="6" t="n">
        <v>0</v>
      </c>
      <c r="H4370" s="41" t="n">
        <v>16</v>
      </c>
      <c r="I4370" s="43" t="n">
        <f aca="false">F4370*H4370</f>
        <v>139.52</v>
      </c>
      <c r="J4370" s="43" t="n">
        <f aca="false">G4370*H4370*1.5</f>
        <v>0</v>
      </c>
      <c r="K4370" s="6" t="n">
        <v>30.47</v>
      </c>
      <c r="L4370" s="43" t="n">
        <f aca="false">K4370*'Chart of Accounts'!$E$68</f>
        <v>20.4149</v>
      </c>
      <c r="O4370" s="42" t="n">
        <f aca="false">I4370+J4370+L4370</f>
        <v>159.9349</v>
      </c>
    </row>
    <row r="4371" customFormat="false" ht="15" hidden="false" customHeight="false" outlineLevel="0" collapsed="false">
      <c r="B4371" s="7" t="s">
        <v>13004</v>
      </c>
      <c r="C4371" s="39" t="n">
        <v>45931</v>
      </c>
      <c r="D4371" s="7" t="s">
        <v>214</v>
      </c>
      <c r="E4371" s="7" t="s">
        <v>180</v>
      </c>
      <c r="F4371" s="6" t="n">
        <v>11.2</v>
      </c>
      <c r="G4371" s="6" t="n">
        <v>0</v>
      </c>
      <c r="H4371" s="41" t="n">
        <v>15.67</v>
      </c>
      <c r="I4371" s="43" t="n">
        <f aca="false">F4371*H4371</f>
        <v>175.504</v>
      </c>
      <c r="J4371" s="43" t="n">
        <f aca="false">G4371*H4371*1.5</f>
        <v>0</v>
      </c>
      <c r="K4371" s="6" t="n">
        <v>31.04</v>
      </c>
      <c r="L4371" s="43" t="n">
        <f aca="false">K4371*'Chart of Accounts'!$E$68</f>
        <v>20.7968</v>
      </c>
      <c r="O4371" s="42" t="n">
        <f aca="false">I4371+J4371+L4371</f>
        <v>196.3008</v>
      </c>
    </row>
    <row r="4372" customFormat="false" ht="15" hidden="false" customHeight="false" outlineLevel="0" collapsed="false">
      <c r="B4372" s="7" t="s">
        <v>13005</v>
      </c>
      <c r="C4372" s="39" t="n">
        <v>45931</v>
      </c>
      <c r="D4372" s="7" t="s">
        <v>205</v>
      </c>
      <c r="E4372" s="7" t="s">
        <v>180</v>
      </c>
      <c r="F4372" s="6" t="n">
        <v>3.72</v>
      </c>
      <c r="G4372" s="6" t="n">
        <v>0</v>
      </c>
      <c r="H4372" s="41" t="n">
        <v>16.36</v>
      </c>
      <c r="I4372" s="43" t="n">
        <f aca="false">F4372*H4372</f>
        <v>60.8592</v>
      </c>
      <c r="J4372" s="43" t="n">
        <f aca="false">G4372*H4372*1.5</f>
        <v>0</v>
      </c>
      <c r="K4372" s="6" t="n">
        <v>13.03</v>
      </c>
      <c r="L4372" s="43" t="n">
        <f aca="false">K4372*'Chart of Accounts'!$E$68</f>
        <v>8.7301</v>
      </c>
      <c r="O4372" s="42" t="n">
        <f aca="false">I4372+J4372+L4372</f>
        <v>69.5893</v>
      </c>
    </row>
    <row r="4373" customFormat="false" ht="15" hidden="false" customHeight="false" outlineLevel="0" collapsed="false">
      <c r="B4373" s="7" t="s">
        <v>13006</v>
      </c>
      <c r="C4373" s="39" t="n">
        <v>45931</v>
      </c>
      <c r="D4373" s="7" t="s">
        <v>264</v>
      </c>
      <c r="E4373" s="7" t="s">
        <v>158</v>
      </c>
      <c r="H4373" s="41" t="n">
        <v>55.55</v>
      </c>
      <c r="M4373" s="6" t="n">
        <v>1</v>
      </c>
      <c r="N4373" s="43" t="n">
        <f aca="false">M4373*H4373</f>
        <v>55.55</v>
      </c>
      <c r="O4373" s="42" t="n">
        <f aca="false">N4373</f>
        <v>55.55</v>
      </c>
    </row>
    <row r="4374" customFormat="false" ht="15" hidden="false" customHeight="false" outlineLevel="0" collapsed="false">
      <c r="B4374" s="7" t="s">
        <v>13007</v>
      </c>
      <c r="C4374" s="39" t="n">
        <v>45931</v>
      </c>
      <c r="D4374" s="7" t="s">
        <v>252</v>
      </c>
      <c r="E4374" s="7" t="s">
        <v>158</v>
      </c>
      <c r="H4374" s="41" t="n">
        <v>57.54</v>
      </c>
      <c r="M4374" s="6" t="n">
        <v>1</v>
      </c>
      <c r="N4374" s="43" t="n">
        <f aca="false">M4374*H4374</f>
        <v>57.54</v>
      </c>
      <c r="O4374" s="42" t="n">
        <f aca="false">N4374</f>
        <v>57.54</v>
      </c>
    </row>
    <row r="4375" customFormat="false" ht="15" hidden="false" customHeight="false" outlineLevel="0" collapsed="false">
      <c r="B4375" s="7" t="s">
        <v>13008</v>
      </c>
      <c r="C4375" s="39" t="n">
        <v>45931</v>
      </c>
      <c r="D4375" s="7" t="s">
        <v>184</v>
      </c>
      <c r="E4375" s="7" t="s">
        <v>180</v>
      </c>
      <c r="F4375" s="6" t="n">
        <v>7.72</v>
      </c>
      <c r="G4375" s="6" t="n">
        <v>0</v>
      </c>
      <c r="H4375" s="41" t="n">
        <v>17.34</v>
      </c>
      <c r="I4375" s="43" t="n">
        <f aca="false">F4375*H4375</f>
        <v>133.8648</v>
      </c>
      <c r="J4375" s="43" t="n">
        <f aca="false">G4375*H4375*1.5</f>
        <v>0</v>
      </c>
      <c r="K4375" s="6" t="n">
        <v>19.08</v>
      </c>
      <c r="L4375" s="43" t="n">
        <f aca="false">K4375*'Chart of Accounts'!$E$68</f>
        <v>12.7836</v>
      </c>
      <c r="O4375" s="42" t="n">
        <f aca="false">I4375+J4375+L4375</f>
        <v>146.6484</v>
      </c>
    </row>
    <row r="4376" customFormat="false" ht="15" hidden="false" customHeight="false" outlineLevel="0" collapsed="false">
      <c r="B4376" s="7" t="s">
        <v>13009</v>
      </c>
      <c r="C4376" s="39" t="n">
        <v>45931</v>
      </c>
      <c r="D4376" s="7" t="s">
        <v>216</v>
      </c>
      <c r="E4376" s="7" t="s">
        <v>158</v>
      </c>
      <c r="H4376" s="41" t="n">
        <v>61.79</v>
      </c>
      <c r="M4376" s="6" t="n">
        <v>1</v>
      </c>
      <c r="N4376" s="43" t="n">
        <f aca="false">M4376*H4376</f>
        <v>61.79</v>
      </c>
      <c r="O4376" s="42" t="n">
        <f aca="false">N4376</f>
        <v>61.79</v>
      </c>
    </row>
    <row r="4377" customFormat="false" ht="15" hidden="false" customHeight="false" outlineLevel="0" collapsed="false">
      <c r="B4377" s="7" t="s">
        <v>13010</v>
      </c>
      <c r="C4377" s="39" t="n">
        <v>45931</v>
      </c>
      <c r="D4377" s="7" t="s">
        <v>220</v>
      </c>
      <c r="E4377" s="7" t="s">
        <v>180</v>
      </c>
      <c r="F4377" s="6" t="n">
        <v>4.14</v>
      </c>
      <c r="G4377" s="6" t="n">
        <v>0</v>
      </c>
      <c r="H4377" s="41" t="n">
        <v>16.43</v>
      </c>
      <c r="I4377" s="43" t="n">
        <f aca="false">F4377*H4377</f>
        <v>68.0202</v>
      </c>
      <c r="J4377" s="43" t="n">
        <f aca="false">G4377*H4377*1.5</f>
        <v>0</v>
      </c>
      <c r="K4377" s="6" t="n">
        <v>11.96</v>
      </c>
      <c r="L4377" s="43" t="n">
        <f aca="false">K4377*'Chart of Accounts'!$E$68</f>
        <v>8.0132</v>
      </c>
      <c r="O4377" s="42" t="n">
        <f aca="false">I4377+J4377+L4377</f>
        <v>76.0334</v>
      </c>
    </row>
    <row r="4378" customFormat="false" ht="15" hidden="false" customHeight="false" outlineLevel="0" collapsed="false">
      <c r="B4378" s="7" t="s">
        <v>13011</v>
      </c>
      <c r="C4378" s="39" t="n">
        <v>45931</v>
      </c>
      <c r="D4378" s="7" t="s">
        <v>236</v>
      </c>
      <c r="E4378" s="7" t="s">
        <v>180</v>
      </c>
      <c r="F4378" s="6" t="n">
        <v>6.39</v>
      </c>
      <c r="G4378" s="6" t="n">
        <v>0</v>
      </c>
      <c r="H4378" s="41" t="n">
        <v>15.49</v>
      </c>
      <c r="I4378" s="43" t="n">
        <f aca="false">F4378*H4378</f>
        <v>98.9811</v>
      </c>
      <c r="J4378" s="43" t="n">
        <f aca="false">G4378*H4378*1.5</f>
        <v>0</v>
      </c>
      <c r="K4378" s="6" t="n">
        <v>16.12</v>
      </c>
      <c r="L4378" s="43" t="n">
        <f aca="false">K4378*'Chart of Accounts'!$E$68</f>
        <v>10.8004</v>
      </c>
      <c r="O4378" s="42" t="n">
        <f aca="false">I4378+J4378+L4378</f>
        <v>109.7815</v>
      </c>
    </row>
    <row r="4379" customFormat="false" ht="15" hidden="false" customHeight="false" outlineLevel="0" collapsed="false">
      <c r="B4379" s="7" t="s">
        <v>13012</v>
      </c>
      <c r="C4379" s="39" t="n">
        <v>45931</v>
      </c>
      <c r="D4379" s="7" t="s">
        <v>242</v>
      </c>
      <c r="E4379" s="7" t="s">
        <v>180</v>
      </c>
      <c r="F4379" s="6" t="n">
        <v>7.282</v>
      </c>
      <c r="G4379" s="6" t="n">
        <v>0.408</v>
      </c>
      <c r="H4379" s="41" t="n">
        <v>17.99</v>
      </c>
      <c r="I4379" s="43" t="n">
        <f aca="false">F4379*H4379</f>
        <v>131.00318</v>
      </c>
      <c r="J4379" s="43" t="n">
        <f aca="false">G4379*H4379*1.5</f>
        <v>11.00988</v>
      </c>
      <c r="K4379" s="6" t="n">
        <v>27.61</v>
      </c>
      <c r="L4379" s="43" t="n">
        <f aca="false">K4379*'Chart of Accounts'!$E$68</f>
        <v>18.4987</v>
      </c>
      <c r="O4379" s="42" t="n">
        <f aca="false">I4379+J4379+L4379</f>
        <v>160.51176</v>
      </c>
    </row>
    <row r="4380" customFormat="false" ht="15" hidden="false" customHeight="false" outlineLevel="0" collapsed="false">
      <c r="B4380" s="7" t="s">
        <v>13013</v>
      </c>
      <c r="C4380" s="39" t="n">
        <v>45931</v>
      </c>
      <c r="D4380" s="7" t="s">
        <v>238</v>
      </c>
      <c r="E4380" s="7" t="s">
        <v>180</v>
      </c>
      <c r="F4380" s="6" t="n">
        <v>8.66</v>
      </c>
      <c r="G4380" s="6" t="n">
        <v>0</v>
      </c>
      <c r="H4380" s="41" t="n">
        <v>15.85</v>
      </c>
      <c r="I4380" s="43" t="n">
        <f aca="false">F4380*H4380</f>
        <v>137.261</v>
      </c>
      <c r="J4380" s="43" t="n">
        <f aca="false">G4380*H4380*1.5</f>
        <v>0</v>
      </c>
      <c r="K4380" s="6" t="n">
        <v>20.62</v>
      </c>
      <c r="L4380" s="43" t="n">
        <f aca="false">K4380*'Chart of Accounts'!$E$68</f>
        <v>13.8154</v>
      </c>
      <c r="O4380" s="42" t="n">
        <f aca="false">I4380+J4380+L4380</f>
        <v>151.0764</v>
      </c>
    </row>
    <row r="4381" customFormat="false" ht="15" hidden="false" customHeight="false" outlineLevel="0" collapsed="false">
      <c r="B4381" s="7" t="s">
        <v>13014</v>
      </c>
      <c r="C4381" s="39" t="n">
        <v>45931</v>
      </c>
      <c r="D4381" s="7" t="s">
        <v>244</v>
      </c>
      <c r="E4381" s="7" t="s">
        <v>180</v>
      </c>
      <c r="F4381" s="6" t="n">
        <v>4.21</v>
      </c>
      <c r="G4381" s="6" t="n">
        <v>0</v>
      </c>
      <c r="H4381" s="41" t="n">
        <v>16.39</v>
      </c>
      <c r="I4381" s="43" t="n">
        <f aca="false">F4381*H4381</f>
        <v>69.0019</v>
      </c>
      <c r="J4381" s="43" t="n">
        <f aca="false">G4381*H4381*1.5</f>
        <v>0</v>
      </c>
      <c r="K4381" s="6" t="n">
        <v>12.4</v>
      </c>
      <c r="L4381" s="43" t="n">
        <f aca="false">K4381*'Chart of Accounts'!$E$68</f>
        <v>8.308</v>
      </c>
      <c r="O4381" s="42" t="n">
        <f aca="false">I4381+J4381+L4381</f>
        <v>77.3099</v>
      </c>
    </row>
    <row r="4382" customFormat="false" ht="15" hidden="false" customHeight="false" outlineLevel="0" collapsed="false">
      <c r="B4382" s="7" t="s">
        <v>13015</v>
      </c>
      <c r="C4382" s="39" t="n">
        <v>45931</v>
      </c>
      <c r="D4382" s="7" t="s">
        <v>201</v>
      </c>
      <c r="E4382" s="7" t="s">
        <v>180</v>
      </c>
      <c r="F4382" s="6" t="n">
        <v>3.3</v>
      </c>
      <c r="G4382" s="6" t="n">
        <v>0</v>
      </c>
      <c r="H4382" s="41" t="n">
        <v>15.19</v>
      </c>
      <c r="I4382" s="43" t="n">
        <f aca="false">F4382*H4382</f>
        <v>50.127</v>
      </c>
      <c r="J4382" s="43" t="n">
        <f aca="false">G4382*H4382*1.5</f>
        <v>0</v>
      </c>
      <c r="K4382" s="6" t="n">
        <v>8.9</v>
      </c>
      <c r="L4382" s="43" t="n">
        <f aca="false">K4382*'Chart of Accounts'!$E$68</f>
        <v>5.963</v>
      </c>
      <c r="O4382" s="42" t="n">
        <f aca="false">I4382+J4382+L4382</f>
        <v>56.09</v>
      </c>
    </row>
    <row r="4383" customFormat="false" ht="15" hidden="false" customHeight="false" outlineLevel="0" collapsed="false">
      <c r="B4383" s="7" t="s">
        <v>13016</v>
      </c>
      <c r="C4383" s="39" t="n">
        <v>45931</v>
      </c>
      <c r="D4383" s="7" t="s">
        <v>254</v>
      </c>
      <c r="E4383" s="7" t="s">
        <v>180</v>
      </c>
      <c r="F4383" s="6" t="n">
        <v>5.888</v>
      </c>
      <c r="G4383" s="6" t="n">
        <v>1.522</v>
      </c>
      <c r="H4383" s="41" t="n">
        <v>17.1</v>
      </c>
      <c r="I4383" s="43" t="n">
        <f aca="false">F4383*H4383</f>
        <v>100.6848</v>
      </c>
      <c r="J4383" s="43" t="n">
        <f aca="false">G4383*H4383*1.5</f>
        <v>39.0393</v>
      </c>
      <c r="K4383" s="6" t="n">
        <v>20.45</v>
      </c>
      <c r="L4383" s="43" t="n">
        <f aca="false">K4383*'Chart of Accounts'!$E$68</f>
        <v>13.7015</v>
      </c>
      <c r="O4383" s="42" t="n">
        <f aca="false">I4383+J4383+L4383</f>
        <v>153.4256</v>
      </c>
    </row>
    <row r="4384" customFormat="false" ht="15" hidden="false" customHeight="false" outlineLevel="0" collapsed="false">
      <c r="B4384" s="7" t="s">
        <v>13017</v>
      </c>
      <c r="C4384" s="39" t="n">
        <v>45931</v>
      </c>
      <c r="D4384" s="7" t="s">
        <v>232</v>
      </c>
      <c r="E4384" s="7" t="s">
        <v>180</v>
      </c>
      <c r="F4384" s="6" t="n">
        <v>4.63</v>
      </c>
      <c r="G4384" s="6" t="n">
        <v>0</v>
      </c>
      <c r="H4384" s="41" t="n">
        <v>16.17</v>
      </c>
      <c r="I4384" s="43" t="n">
        <f aca="false">F4384*H4384</f>
        <v>74.8671</v>
      </c>
      <c r="J4384" s="43" t="n">
        <f aca="false">G4384*H4384*1.5</f>
        <v>0</v>
      </c>
      <c r="K4384" s="6" t="n">
        <v>15.2</v>
      </c>
      <c r="L4384" s="43" t="n">
        <f aca="false">K4384*'Chart of Accounts'!$E$68</f>
        <v>10.184</v>
      </c>
      <c r="O4384" s="42" t="n">
        <f aca="false">I4384+J4384+L4384</f>
        <v>85.0511</v>
      </c>
    </row>
    <row r="4385" customFormat="false" ht="15" hidden="false" customHeight="false" outlineLevel="0" collapsed="false">
      <c r="B4385" s="7" t="s">
        <v>13018</v>
      </c>
      <c r="C4385" s="39" t="n">
        <v>45931</v>
      </c>
      <c r="D4385" s="7" t="s">
        <v>224</v>
      </c>
      <c r="E4385" s="7" t="s">
        <v>180</v>
      </c>
      <c r="F4385" s="6" t="n">
        <v>5.08</v>
      </c>
      <c r="G4385" s="6" t="n">
        <v>0</v>
      </c>
      <c r="H4385" s="41" t="n">
        <v>14.93</v>
      </c>
      <c r="I4385" s="43" t="n">
        <f aca="false">F4385*H4385</f>
        <v>75.8444</v>
      </c>
      <c r="J4385" s="43" t="n">
        <f aca="false">G4385*H4385*1.5</f>
        <v>0</v>
      </c>
      <c r="K4385" s="6" t="n">
        <v>16.66</v>
      </c>
      <c r="L4385" s="43" t="n">
        <f aca="false">K4385*'Chart of Accounts'!$E$68</f>
        <v>11.1622</v>
      </c>
      <c r="O4385" s="42" t="n">
        <f aca="false">I4385+J4385+L4385</f>
        <v>87.0066</v>
      </c>
    </row>
    <row r="4386" customFormat="false" ht="15" hidden="false" customHeight="false" outlineLevel="0" collapsed="false">
      <c r="B4386" s="7" t="s">
        <v>13019</v>
      </c>
      <c r="C4386" s="39" t="n">
        <v>45931</v>
      </c>
      <c r="D4386" s="7" t="s">
        <v>196</v>
      </c>
      <c r="E4386" s="7" t="s">
        <v>180</v>
      </c>
      <c r="F4386" s="6" t="n">
        <v>3.356</v>
      </c>
      <c r="G4386" s="6" t="n">
        <v>0.544</v>
      </c>
      <c r="H4386" s="41" t="n">
        <v>15.05</v>
      </c>
      <c r="I4386" s="43" t="n">
        <f aca="false">F4386*H4386</f>
        <v>50.5078</v>
      </c>
      <c r="J4386" s="43" t="n">
        <f aca="false">G4386*H4386*1.5</f>
        <v>12.2808</v>
      </c>
      <c r="K4386" s="6" t="n">
        <v>9.84</v>
      </c>
      <c r="L4386" s="43" t="n">
        <f aca="false">K4386*'Chart of Accounts'!$E$68</f>
        <v>6.5928</v>
      </c>
      <c r="O4386" s="42" t="n">
        <f aca="false">I4386+J4386+L4386</f>
        <v>69.3814</v>
      </c>
    </row>
    <row r="4387" customFormat="false" ht="15" hidden="false" customHeight="false" outlineLevel="0" collapsed="false">
      <c r="B4387" s="7" t="s">
        <v>13020</v>
      </c>
      <c r="C4387" s="39" t="n">
        <v>45931</v>
      </c>
      <c r="D4387" s="7" t="s">
        <v>246</v>
      </c>
      <c r="E4387" s="7" t="s">
        <v>180</v>
      </c>
      <c r="F4387" s="6" t="n">
        <v>3.81</v>
      </c>
      <c r="G4387" s="6" t="n">
        <v>0</v>
      </c>
      <c r="H4387" s="41" t="n">
        <v>16.48</v>
      </c>
      <c r="I4387" s="43" t="n">
        <f aca="false">F4387*H4387</f>
        <v>62.7888</v>
      </c>
      <c r="J4387" s="43" t="n">
        <f aca="false">G4387*H4387*1.5</f>
        <v>0</v>
      </c>
      <c r="K4387" s="6" t="n">
        <v>9.13</v>
      </c>
      <c r="L4387" s="43" t="n">
        <f aca="false">K4387*'Chart of Accounts'!$E$68</f>
        <v>6.1171</v>
      </c>
      <c r="O4387" s="42" t="n">
        <f aca="false">I4387+J4387+L4387</f>
        <v>68.9059</v>
      </c>
    </row>
    <row r="4388" customFormat="false" ht="15" hidden="false" customHeight="false" outlineLevel="0" collapsed="false">
      <c r="B4388" s="7" t="s">
        <v>13021</v>
      </c>
      <c r="C4388" s="39" t="n">
        <v>45931</v>
      </c>
      <c r="D4388" s="7" t="s">
        <v>222</v>
      </c>
      <c r="E4388" s="7" t="s">
        <v>180</v>
      </c>
      <c r="F4388" s="6" t="n">
        <v>3.73</v>
      </c>
      <c r="G4388" s="6" t="n">
        <v>0</v>
      </c>
      <c r="H4388" s="41" t="n">
        <v>17.84</v>
      </c>
      <c r="I4388" s="43" t="n">
        <f aca="false">F4388*H4388</f>
        <v>66.5432</v>
      </c>
      <c r="J4388" s="43" t="n">
        <f aca="false">G4388*H4388*1.5</f>
        <v>0</v>
      </c>
      <c r="K4388" s="6" t="n">
        <v>12.31</v>
      </c>
      <c r="L4388" s="43" t="n">
        <f aca="false">K4388*'Chart of Accounts'!$E$68</f>
        <v>8.2477</v>
      </c>
      <c r="O4388" s="42" t="n">
        <f aca="false">I4388+J4388+L4388</f>
        <v>74.7909</v>
      </c>
    </row>
    <row r="4389" customFormat="false" ht="15" hidden="false" customHeight="false" outlineLevel="0" collapsed="false">
      <c r="B4389" s="7" t="s">
        <v>13022</v>
      </c>
      <c r="C4389" s="39" t="n">
        <v>45931</v>
      </c>
      <c r="D4389" s="7" t="s">
        <v>203</v>
      </c>
      <c r="E4389" s="7" t="s">
        <v>158</v>
      </c>
      <c r="H4389" s="41" t="n">
        <v>49.43</v>
      </c>
      <c r="M4389" s="6" t="n">
        <v>1</v>
      </c>
      <c r="N4389" s="43" t="n">
        <f aca="false">M4389*H4389</f>
        <v>49.43</v>
      </c>
      <c r="O4389" s="42" t="n">
        <f aca="false">N4389</f>
        <v>49.43</v>
      </c>
    </row>
    <row r="4390" customFormat="false" ht="15" hidden="false" customHeight="false" outlineLevel="0" collapsed="false">
      <c r="B4390" s="7" t="s">
        <v>13023</v>
      </c>
      <c r="C4390" s="39" t="n">
        <v>45931</v>
      </c>
      <c r="D4390" s="7" t="s">
        <v>177</v>
      </c>
      <c r="E4390" s="7" t="s">
        <v>180</v>
      </c>
      <c r="F4390" s="6" t="n">
        <v>4.72</v>
      </c>
      <c r="G4390" s="6" t="n">
        <v>0</v>
      </c>
      <c r="H4390" s="41" t="n">
        <v>14.56</v>
      </c>
      <c r="I4390" s="43" t="n">
        <f aca="false">F4390*H4390</f>
        <v>68.7232</v>
      </c>
      <c r="J4390" s="43" t="n">
        <f aca="false">G4390*H4390*1.5</f>
        <v>0</v>
      </c>
      <c r="K4390" s="6" t="n">
        <v>16.03</v>
      </c>
      <c r="L4390" s="43" t="n">
        <f aca="false">K4390*'Chart of Accounts'!$E$68</f>
        <v>10.7401</v>
      </c>
      <c r="O4390" s="42" t="n">
        <f aca="false">I4390+J4390+L4390</f>
        <v>79.4633</v>
      </c>
    </row>
    <row r="4391" customFormat="false" ht="15" hidden="false" customHeight="false" outlineLevel="0" collapsed="false">
      <c r="B4391" s="7" t="s">
        <v>13024</v>
      </c>
      <c r="C4391" s="39" t="n">
        <v>45932</v>
      </c>
      <c r="D4391" s="7" t="s">
        <v>224</v>
      </c>
      <c r="E4391" s="7" t="s">
        <v>180</v>
      </c>
      <c r="F4391" s="6" t="n">
        <v>8.6</v>
      </c>
      <c r="G4391" s="6" t="n">
        <v>0</v>
      </c>
      <c r="H4391" s="41" t="n">
        <v>14.93</v>
      </c>
      <c r="I4391" s="43" t="n">
        <f aca="false">F4391*H4391</f>
        <v>128.398</v>
      </c>
      <c r="J4391" s="43" t="n">
        <f aca="false">G4391*H4391*1.5</f>
        <v>0</v>
      </c>
      <c r="K4391" s="6" t="n">
        <v>21.56</v>
      </c>
      <c r="L4391" s="43" t="n">
        <f aca="false">K4391*'Chart of Accounts'!$E$68</f>
        <v>14.4452</v>
      </c>
      <c r="O4391" s="42" t="n">
        <f aca="false">I4391+J4391+L4391</f>
        <v>142.8432</v>
      </c>
    </row>
    <row r="4392" customFormat="false" ht="15" hidden="false" customHeight="false" outlineLevel="0" collapsed="false">
      <c r="B4392" s="7" t="s">
        <v>13025</v>
      </c>
      <c r="C4392" s="39" t="n">
        <v>45932</v>
      </c>
      <c r="D4392" s="7" t="s">
        <v>201</v>
      </c>
      <c r="E4392" s="7" t="s">
        <v>180</v>
      </c>
      <c r="F4392" s="6" t="n">
        <v>9.68</v>
      </c>
      <c r="G4392" s="6" t="n">
        <v>0</v>
      </c>
      <c r="H4392" s="41" t="n">
        <v>15.19</v>
      </c>
      <c r="I4392" s="43" t="n">
        <f aca="false">F4392*H4392</f>
        <v>147.0392</v>
      </c>
      <c r="J4392" s="43" t="n">
        <f aca="false">G4392*H4392*1.5</f>
        <v>0</v>
      </c>
      <c r="K4392" s="6" t="n">
        <v>30.43</v>
      </c>
      <c r="L4392" s="43" t="n">
        <f aca="false">K4392*'Chart of Accounts'!$E$68</f>
        <v>20.3881</v>
      </c>
      <c r="O4392" s="42" t="n">
        <f aca="false">I4392+J4392+L4392</f>
        <v>167.4273</v>
      </c>
    </row>
    <row r="4393" customFormat="false" ht="15" hidden="false" customHeight="false" outlineLevel="0" collapsed="false">
      <c r="B4393" s="7" t="s">
        <v>13026</v>
      </c>
      <c r="C4393" s="39" t="n">
        <v>45932</v>
      </c>
      <c r="D4393" s="7" t="s">
        <v>196</v>
      </c>
      <c r="E4393" s="7" t="s">
        <v>180</v>
      </c>
      <c r="F4393" s="6" t="n">
        <v>8.81</v>
      </c>
      <c r="G4393" s="6" t="n">
        <v>1.43</v>
      </c>
      <c r="H4393" s="41" t="n">
        <v>15.05</v>
      </c>
      <c r="I4393" s="43" t="n">
        <f aca="false">F4393*H4393</f>
        <v>132.5905</v>
      </c>
      <c r="J4393" s="43" t="n">
        <f aca="false">G4393*H4393*1.5</f>
        <v>32.28225</v>
      </c>
      <c r="K4393" s="6" t="n">
        <v>25.2</v>
      </c>
      <c r="L4393" s="43" t="n">
        <f aca="false">K4393*'Chart of Accounts'!$E$68</f>
        <v>16.884</v>
      </c>
      <c r="O4393" s="42" t="n">
        <f aca="false">I4393+J4393+L4393</f>
        <v>181.75675</v>
      </c>
    </row>
    <row r="4394" customFormat="false" ht="15" hidden="false" customHeight="false" outlineLevel="0" collapsed="false">
      <c r="B4394" s="7" t="s">
        <v>13027</v>
      </c>
      <c r="C4394" s="39" t="n">
        <v>45932</v>
      </c>
      <c r="D4394" s="7" t="s">
        <v>184</v>
      </c>
      <c r="E4394" s="7" t="s">
        <v>180</v>
      </c>
      <c r="F4394" s="6" t="n">
        <v>4.19</v>
      </c>
      <c r="G4394" s="6" t="n">
        <v>0</v>
      </c>
      <c r="H4394" s="41" t="n">
        <v>17.34</v>
      </c>
      <c r="I4394" s="43" t="n">
        <f aca="false">F4394*H4394</f>
        <v>72.6546</v>
      </c>
      <c r="J4394" s="43" t="n">
        <f aca="false">G4394*H4394*1.5</f>
        <v>0</v>
      </c>
      <c r="K4394" s="6" t="n">
        <v>13.62</v>
      </c>
      <c r="L4394" s="43" t="n">
        <f aca="false">K4394*'Chart of Accounts'!$E$68</f>
        <v>9.1254</v>
      </c>
      <c r="O4394" s="42" t="n">
        <f aca="false">I4394+J4394+L4394</f>
        <v>81.78</v>
      </c>
    </row>
    <row r="4395" customFormat="false" ht="15" hidden="false" customHeight="false" outlineLevel="0" collapsed="false">
      <c r="B4395" s="7" t="s">
        <v>13028</v>
      </c>
      <c r="C4395" s="39" t="n">
        <v>45932</v>
      </c>
      <c r="D4395" s="7" t="s">
        <v>218</v>
      </c>
      <c r="E4395" s="7" t="s">
        <v>180</v>
      </c>
      <c r="F4395" s="6" t="n">
        <v>3.96</v>
      </c>
      <c r="G4395" s="6" t="n">
        <v>0</v>
      </c>
      <c r="H4395" s="41" t="n">
        <v>16.19</v>
      </c>
      <c r="I4395" s="43" t="n">
        <f aca="false">F4395*H4395</f>
        <v>64.1124</v>
      </c>
      <c r="J4395" s="43" t="n">
        <f aca="false">G4395*H4395*1.5</f>
        <v>0</v>
      </c>
      <c r="K4395" s="6" t="n">
        <v>9.86</v>
      </c>
      <c r="L4395" s="43" t="n">
        <f aca="false">K4395*'Chart of Accounts'!$E$68</f>
        <v>6.6062</v>
      </c>
      <c r="O4395" s="42" t="n">
        <f aca="false">I4395+J4395+L4395</f>
        <v>70.7186</v>
      </c>
    </row>
    <row r="4396" customFormat="false" ht="15" hidden="false" customHeight="false" outlineLevel="0" collapsed="false">
      <c r="B4396" s="7" t="s">
        <v>13029</v>
      </c>
      <c r="C4396" s="39" t="n">
        <v>45932</v>
      </c>
      <c r="D4396" s="7" t="s">
        <v>232</v>
      </c>
      <c r="E4396" s="7" t="s">
        <v>180</v>
      </c>
      <c r="F4396" s="6" t="n">
        <v>2.7</v>
      </c>
      <c r="G4396" s="6" t="n">
        <v>0</v>
      </c>
      <c r="H4396" s="41" t="n">
        <v>16.17</v>
      </c>
      <c r="I4396" s="43" t="n">
        <f aca="false">F4396*H4396</f>
        <v>43.659</v>
      </c>
      <c r="J4396" s="43" t="n">
        <f aca="false">G4396*H4396*1.5</f>
        <v>0</v>
      </c>
      <c r="K4396" s="6" t="n">
        <v>6.07</v>
      </c>
      <c r="L4396" s="43" t="n">
        <f aca="false">K4396*'Chart of Accounts'!$E$68</f>
        <v>4.0669</v>
      </c>
      <c r="O4396" s="42" t="n">
        <f aca="false">I4396+J4396+L4396</f>
        <v>47.7259</v>
      </c>
    </row>
    <row r="4397" customFormat="false" ht="15" hidden="false" customHeight="false" outlineLevel="0" collapsed="false">
      <c r="B4397" s="7" t="s">
        <v>13030</v>
      </c>
      <c r="C4397" s="39" t="n">
        <v>45932</v>
      </c>
      <c r="D4397" s="7" t="s">
        <v>220</v>
      </c>
      <c r="E4397" s="7" t="s">
        <v>180</v>
      </c>
      <c r="F4397" s="6" t="n">
        <v>4.21</v>
      </c>
      <c r="G4397" s="6" t="n">
        <v>0</v>
      </c>
      <c r="H4397" s="41" t="n">
        <v>16.43</v>
      </c>
      <c r="I4397" s="43" t="n">
        <f aca="false">F4397*H4397</f>
        <v>69.1703</v>
      </c>
      <c r="J4397" s="43" t="n">
        <f aca="false">G4397*H4397*1.5</f>
        <v>0</v>
      </c>
      <c r="K4397" s="6" t="n">
        <v>14.04</v>
      </c>
      <c r="L4397" s="43" t="n">
        <f aca="false">K4397*'Chart of Accounts'!$E$68</f>
        <v>9.4068</v>
      </c>
      <c r="O4397" s="42" t="n">
        <f aca="false">I4397+J4397+L4397</f>
        <v>78.5771</v>
      </c>
    </row>
    <row r="4398" customFormat="false" ht="15" hidden="false" customHeight="false" outlineLevel="0" collapsed="false">
      <c r="B4398" s="7" t="s">
        <v>13031</v>
      </c>
      <c r="C4398" s="39" t="n">
        <v>45932</v>
      </c>
      <c r="D4398" s="7" t="s">
        <v>222</v>
      </c>
      <c r="E4398" s="7" t="s">
        <v>180</v>
      </c>
      <c r="F4398" s="6" t="n">
        <v>6.58</v>
      </c>
      <c r="G4398" s="6" t="n">
        <v>0</v>
      </c>
      <c r="H4398" s="41" t="n">
        <v>17.84</v>
      </c>
      <c r="I4398" s="43" t="n">
        <f aca="false">F4398*H4398</f>
        <v>117.3872</v>
      </c>
      <c r="J4398" s="43" t="n">
        <f aca="false">G4398*H4398*1.5</f>
        <v>0</v>
      </c>
      <c r="K4398" s="6" t="n">
        <v>21.09</v>
      </c>
      <c r="L4398" s="43" t="n">
        <f aca="false">K4398*'Chart of Accounts'!$E$68</f>
        <v>14.1303</v>
      </c>
      <c r="O4398" s="42" t="n">
        <f aca="false">I4398+J4398+L4398</f>
        <v>131.5175</v>
      </c>
    </row>
    <row r="4399" customFormat="false" ht="15" hidden="false" customHeight="false" outlineLevel="0" collapsed="false">
      <c r="B4399" s="7" t="s">
        <v>13032</v>
      </c>
      <c r="C4399" s="39" t="n">
        <v>45932</v>
      </c>
      <c r="D4399" s="7" t="s">
        <v>254</v>
      </c>
      <c r="E4399" s="7" t="s">
        <v>180</v>
      </c>
      <c r="F4399" s="6" t="n">
        <v>6.5</v>
      </c>
      <c r="G4399" s="6" t="n">
        <v>1.68</v>
      </c>
      <c r="H4399" s="41" t="n">
        <v>17.1</v>
      </c>
      <c r="I4399" s="43" t="n">
        <f aca="false">F4399*H4399</f>
        <v>111.15</v>
      </c>
      <c r="J4399" s="43" t="n">
        <f aca="false">G4399*H4399*1.5</f>
        <v>43.092</v>
      </c>
      <c r="K4399" s="6" t="n">
        <v>27.44</v>
      </c>
      <c r="L4399" s="43" t="n">
        <f aca="false">K4399*'Chart of Accounts'!$E$68</f>
        <v>18.3848</v>
      </c>
      <c r="O4399" s="42" t="n">
        <f aca="false">I4399+J4399+L4399</f>
        <v>172.6268</v>
      </c>
    </row>
    <row r="4400" customFormat="false" ht="15" hidden="false" customHeight="false" outlineLevel="0" collapsed="false">
      <c r="B4400" s="7" t="s">
        <v>13033</v>
      </c>
      <c r="C4400" s="39" t="n">
        <v>45932</v>
      </c>
      <c r="D4400" s="7" t="s">
        <v>244</v>
      </c>
      <c r="E4400" s="7" t="s">
        <v>180</v>
      </c>
      <c r="F4400" s="6" t="n">
        <v>3.95</v>
      </c>
      <c r="G4400" s="6" t="n">
        <v>0</v>
      </c>
      <c r="H4400" s="41" t="n">
        <v>16.39</v>
      </c>
      <c r="I4400" s="43" t="n">
        <f aca="false">F4400*H4400</f>
        <v>64.7405</v>
      </c>
      <c r="J4400" s="43" t="n">
        <f aca="false">G4400*H4400*1.5</f>
        <v>0</v>
      </c>
      <c r="K4400" s="6" t="n">
        <v>12.75</v>
      </c>
      <c r="L4400" s="43" t="n">
        <f aca="false">K4400*'Chart of Accounts'!$E$68</f>
        <v>8.5425</v>
      </c>
      <c r="O4400" s="42" t="n">
        <f aca="false">I4400+J4400+L4400</f>
        <v>73.283</v>
      </c>
    </row>
    <row r="4401" customFormat="false" ht="15" hidden="false" customHeight="false" outlineLevel="0" collapsed="false">
      <c r="B4401" s="7" t="s">
        <v>13034</v>
      </c>
      <c r="C4401" s="39" t="n">
        <v>45932</v>
      </c>
      <c r="D4401" s="7" t="s">
        <v>177</v>
      </c>
      <c r="E4401" s="7" t="s">
        <v>180</v>
      </c>
      <c r="F4401" s="6" t="n">
        <v>4</v>
      </c>
      <c r="G4401" s="6" t="n">
        <v>0</v>
      </c>
      <c r="H4401" s="41" t="n">
        <v>14.56</v>
      </c>
      <c r="I4401" s="43" t="n">
        <f aca="false">F4401*H4401</f>
        <v>58.24</v>
      </c>
      <c r="J4401" s="43" t="n">
        <f aca="false">G4401*H4401*1.5</f>
        <v>0</v>
      </c>
      <c r="K4401" s="6" t="n">
        <v>12.8</v>
      </c>
      <c r="L4401" s="43" t="n">
        <f aca="false">K4401*'Chart of Accounts'!$E$68</f>
        <v>8.576</v>
      </c>
      <c r="O4401" s="42" t="n">
        <f aca="false">I4401+J4401+L4401</f>
        <v>66.816</v>
      </c>
    </row>
    <row r="4402" customFormat="false" ht="15" hidden="false" customHeight="false" outlineLevel="0" collapsed="false">
      <c r="B4402" s="7" t="s">
        <v>13035</v>
      </c>
      <c r="C4402" s="39" t="n">
        <v>45932</v>
      </c>
      <c r="D4402" s="7" t="s">
        <v>246</v>
      </c>
      <c r="E4402" s="7" t="s">
        <v>180</v>
      </c>
      <c r="F4402" s="6" t="n">
        <v>8.37</v>
      </c>
      <c r="G4402" s="6" t="n">
        <v>0</v>
      </c>
      <c r="H4402" s="41" t="n">
        <v>16.48</v>
      </c>
      <c r="I4402" s="43" t="n">
        <f aca="false">F4402*H4402</f>
        <v>137.9376</v>
      </c>
      <c r="J4402" s="43" t="n">
        <f aca="false">G4402*H4402*1.5</f>
        <v>0</v>
      </c>
      <c r="K4402" s="6" t="n">
        <v>19.04</v>
      </c>
      <c r="L4402" s="43" t="n">
        <f aca="false">K4402*'Chart of Accounts'!$E$68</f>
        <v>12.7568</v>
      </c>
      <c r="O4402" s="42" t="n">
        <f aca="false">I4402+J4402+L4402</f>
        <v>150.6944</v>
      </c>
    </row>
    <row r="4403" customFormat="false" ht="15" hidden="false" customHeight="false" outlineLevel="0" collapsed="false">
      <c r="B4403" s="7" t="s">
        <v>13036</v>
      </c>
      <c r="C4403" s="39" t="n">
        <v>45932</v>
      </c>
      <c r="D4403" s="7" t="s">
        <v>194</v>
      </c>
      <c r="E4403" s="7" t="s">
        <v>180</v>
      </c>
      <c r="F4403" s="6" t="n">
        <v>4.24</v>
      </c>
      <c r="G4403" s="6" t="n">
        <v>0</v>
      </c>
      <c r="H4403" s="41" t="n">
        <v>16</v>
      </c>
      <c r="I4403" s="43" t="n">
        <f aca="false">F4403*H4403</f>
        <v>67.84</v>
      </c>
      <c r="J4403" s="43" t="n">
        <f aca="false">G4403*H4403*1.5</f>
        <v>0</v>
      </c>
      <c r="K4403" s="6" t="n">
        <v>12.55</v>
      </c>
      <c r="L4403" s="43" t="n">
        <f aca="false">K4403*'Chart of Accounts'!$E$68</f>
        <v>8.4085</v>
      </c>
      <c r="O4403" s="42" t="n">
        <f aca="false">I4403+J4403+L4403</f>
        <v>76.2485</v>
      </c>
    </row>
    <row r="4404" customFormat="false" ht="15" hidden="false" customHeight="false" outlineLevel="0" collapsed="false">
      <c r="B4404" s="7" t="s">
        <v>13037</v>
      </c>
      <c r="C4404" s="39" t="n">
        <v>45932</v>
      </c>
      <c r="D4404" s="7" t="s">
        <v>214</v>
      </c>
      <c r="E4404" s="7" t="s">
        <v>180</v>
      </c>
      <c r="F4404" s="6" t="n">
        <v>3.64</v>
      </c>
      <c r="G4404" s="6" t="n">
        <v>0</v>
      </c>
      <c r="H4404" s="41" t="n">
        <v>15.67</v>
      </c>
      <c r="I4404" s="43" t="n">
        <f aca="false">F4404*H4404</f>
        <v>57.0388</v>
      </c>
      <c r="J4404" s="43" t="n">
        <f aca="false">G4404*H4404*1.5</f>
        <v>0</v>
      </c>
      <c r="K4404" s="6" t="n">
        <v>10.98</v>
      </c>
      <c r="L4404" s="43" t="n">
        <f aca="false">K4404*'Chart of Accounts'!$E$68</f>
        <v>7.3566</v>
      </c>
      <c r="O4404" s="42" t="n">
        <f aca="false">I4404+J4404+L4404</f>
        <v>64.3954</v>
      </c>
    </row>
    <row r="4405" customFormat="false" ht="15" hidden="false" customHeight="false" outlineLevel="0" collapsed="false">
      <c r="B4405" s="7" t="s">
        <v>13038</v>
      </c>
      <c r="C4405" s="39" t="n">
        <v>45932</v>
      </c>
      <c r="D4405" s="7" t="s">
        <v>242</v>
      </c>
      <c r="E4405" s="7" t="s">
        <v>180</v>
      </c>
      <c r="F4405" s="6" t="n">
        <v>3.712</v>
      </c>
      <c r="G4405" s="6" t="n">
        <v>0.208</v>
      </c>
      <c r="H4405" s="41" t="n">
        <v>17.99</v>
      </c>
      <c r="I4405" s="43" t="n">
        <f aca="false">F4405*H4405</f>
        <v>66.77888</v>
      </c>
      <c r="J4405" s="43" t="n">
        <f aca="false">G4405*H4405*1.5</f>
        <v>5.61288</v>
      </c>
      <c r="K4405" s="6" t="n">
        <v>9.41</v>
      </c>
      <c r="L4405" s="43" t="n">
        <f aca="false">K4405*'Chart of Accounts'!$E$68</f>
        <v>6.3047</v>
      </c>
      <c r="O4405" s="42" t="n">
        <f aca="false">I4405+J4405+L4405</f>
        <v>78.69646</v>
      </c>
    </row>
    <row r="4406" customFormat="false" ht="15" hidden="false" customHeight="false" outlineLevel="0" collapsed="false">
      <c r="B4406" s="7" t="s">
        <v>13039</v>
      </c>
      <c r="C4406" s="39" t="n">
        <v>45933</v>
      </c>
      <c r="D4406" s="7" t="s">
        <v>232</v>
      </c>
      <c r="E4406" s="7" t="s">
        <v>180</v>
      </c>
      <c r="F4406" s="6" t="n">
        <v>8.24</v>
      </c>
      <c r="G4406" s="6" t="n">
        <v>0</v>
      </c>
      <c r="H4406" s="41" t="n">
        <v>16.17</v>
      </c>
      <c r="I4406" s="43" t="n">
        <f aca="false">F4406*H4406</f>
        <v>133.2408</v>
      </c>
      <c r="J4406" s="43" t="n">
        <f aca="false">G4406*H4406*1.5</f>
        <v>0</v>
      </c>
      <c r="K4406" s="6" t="n">
        <v>20.52</v>
      </c>
      <c r="L4406" s="43" t="n">
        <f aca="false">K4406*'Chart of Accounts'!$E$68</f>
        <v>13.7484</v>
      </c>
      <c r="O4406" s="42" t="n">
        <f aca="false">I4406+J4406+L4406</f>
        <v>146.9892</v>
      </c>
    </row>
    <row r="4407" customFormat="false" ht="15" hidden="false" customHeight="false" outlineLevel="0" collapsed="false">
      <c r="B4407" s="7" t="s">
        <v>13040</v>
      </c>
      <c r="C4407" s="39" t="n">
        <v>45933</v>
      </c>
      <c r="D4407" s="7" t="s">
        <v>194</v>
      </c>
      <c r="E4407" s="7" t="s">
        <v>180</v>
      </c>
      <c r="F4407" s="6" t="n">
        <v>12.39</v>
      </c>
      <c r="G4407" s="6" t="n">
        <v>0</v>
      </c>
      <c r="H4407" s="41" t="n">
        <v>16</v>
      </c>
      <c r="I4407" s="43" t="n">
        <f aca="false">F4407*H4407</f>
        <v>198.24</v>
      </c>
      <c r="J4407" s="43" t="n">
        <f aca="false">G4407*H4407*1.5</f>
        <v>0</v>
      </c>
      <c r="K4407" s="6" t="n">
        <v>43.49</v>
      </c>
      <c r="L4407" s="43" t="n">
        <f aca="false">K4407*'Chart of Accounts'!$E$68</f>
        <v>29.1383</v>
      </c>
      <c r="O4407" s="42" t="n">
        <f aca="false">I4407+J4407+L4407</f>
        <v>227.3783</v>
      </c>
    </row>
    <row r="4408" customFormat="false" ht="15" hidden="false" customHeight="false" outlineLevel="0" collapsed="false">
      <c r="B4408" s="7" t="s">
        <v>13041</v>
      </c>
      <c r="C4408" s="39" t="n">
        <v>45933</v>
      </c>
      <c r="D4408" s="7" t="s">
        <v>198</v>
      </c>
      <c r="E4408" s="7" t="s">
        <v>158</v>
      </c>
      <c r="H4408" s="41" t="n">
        <v>48.09</v>
      </c>
      <c r="M4408" s="6" t="n">
        <v>1</v>
      </c>
      <c r="N4408" s="43" t="n">
        <f aca="false">M4408*H4408</f>
        <v>48.09</v>
      </c>
      <c r="O4408" s="42" t="n">
        <f aca="false">N4408</f>
        <v>48.09</v>
      </c>
    </row>
    <row r="4409" customFormat="false" ht="15" hidden="false" customHeight="false" outlineLevel="0" collapsed="false">
      <c r="B4409" s="7" t="s">
        <v>13042</v>
      </c>
      <c r="C4409" s="39" t="n">
        <v>45933</v>
      </c>
      <c r="D4409" s="7" t="s">
        <v>214</v>
      </c>
      <c r="E4409" s="7" t="s">
        <v>180</v>
      </c>
      <c r="F4409" s="6" t="n">
        <v>7.11</v>
      </c>
      <c r="G4409" s="6" t="n">
        <v>0</v>
      </c>
      <c r="H4409" s="41" t="n">
        <v>15.67</v>
      </c>
      <c r="I4409" s="43" t="n">
        <f aca="false">F4409*H4409</f>
        <v>111.4137</v>
      </c>
      <c r="J4409" s="43" t="n">
        <f aca="false">G4409*H4409*1.5</f>
        <v>0</v>
      </c>
      <c r="K4409" s="6" t="n">
        <v>15.98</v>
      </c>
      <c r="L4409" s="43" t="n">
        <f aca="false">K4409*'Chart of Accounts'!$E$68</f>
        <v>10.7066</v>
      </c>
      <c r="O4409" s="42" t="n">
        <f aca="false">I4409+J4409+L4409</f>
        <v>122.1203</v>
      </c>
    </row>
    <row r="4410" customFormat="false" ht="15" hidden="false" customHeight="false" outlineLevel="0" collapsed="false">
      <c r="B4410" s="7" t="s">
        <v>13043</v>
      </c>
      <c r="C4410" s="39" t="n">
        <v>45933</v>
      </c>
      <c r="D4410" s="7" t="s">
        <v>209</v>
      </c>
      <c r="E4410" s="7" t="s">
        <v>158</v>
      </c>
      <c r="H4410" s="41" t="n">
        <v>73.58</v>
      </c>
      <c r="M4410" s="6" t="n">
        <v>2</v>
      </c>
      <c r="N4410" s="43" t="n">
        <f aca="false">M4410*H4410</f>
        <v>147.16</v>
      </c>
      <c r="O4410" s="42" t="n">
        <f aca="false">N4410</f>
        <v>147.16</v>
      </c>
    </row>
    <row r="4411" customFormat="false" ht="15" hidden="false" customHeight="false" outlineLevel="0" collapsed="false">
      <c r="B4411" s="7" t="s">
        <v>13044</v>
      </c>
      <c r="C4411" s="39" t="n">
        <v>45933</v>
      </c>
      <c r="D4411" s="7" t="s">
        <v>205</v>
      </c>
      <c r="E4411" s="7" t="s">
        <v>180</v>
      </c>
      <c r="F4411" s="6" t="n">
        <v>3.95</v>
      </c>
      <c r="G4411" s="6" t="n">
        <v>0</v>
      </c>
      <c r="H4411" s="41" t="n">
        <v>16.36</v>
      </c>
      <c r="I4411" s="43" t="n">
        <f aca="false">F4411*H4411</f>
        <v>64.622</v>
      </c>
      <c r="J4411" s="43" t="n">
        <f aca="false">G4411*H4411*1.5</f>
        <v>0</v>
      </c>
      <c r="K4411" s="6" t="n">
        <v>12.8</v>
      </c>
      <c r="L4411" s="43" t="n">
        <f aca="false">K4411*'Chart of Accounts'!$E$68</f>
        <v>8.576</v>
      </c>
      <c r="O4411" s="42" t="n">
        <f aca="false">I4411+J4411+L4411</f>
        <v>73.198</v>
      </c>
    </row>
    <row r="4412" customFormat="false" ht="15" hidden="false" customHeight="false" outlineLevel="0" collapsed="false">
      <c r="B4412" s="7" t="s">
        <v>13045</v>
      </c>
      <c r="C4412" s="39" t="n">
        <v>45933</v>
      </c>
      <c r="D4412" s="7" t="s">
        <v>264</v>
      </c>
      <c r="E4412" s="7" t="s">
        <v>158</v>
      </c>
      <c r="H4412" s="41" t="n">
        <v>55.55</v>
      </c>
      <c r="M4412" s="6" t="n">
        <v>1</v>
      </c>
      <c r="N4412" s="43" t="n">
        <f aca="false">M4412*H4412</f>
        <v>55.55</v>
      </c>
      <c r="O4412" s="42" t="n">
        <f aca="false">N4412</f>
        <v>55.55</v>
      </c>
    </row>
    <row r="4413" customFormat="false" ht="15" hidden="false" customHeight="false" outlineLevel="0" collapsed="false">
      <c r="B4413" s="7" t="s">
        <v>13046</v>
      </c>
      <c r="C4413" s="39" t="n">
        <v>45933</v>
      </c>
      <c r="D4413" s="7" t="s">
        <v>252</v>
      </c>
      <c r="E4413" s="7" t="s">
        <v>158</v>
      </c>
      <c r="H4413" s="41" t="n">
        <v>57.54</v>
      </c>
      <c r="M4413" s="6" t="n">
        <v>1</v>
      </c>
      <c r="N4413" s="43" t="n">
        <f aca="false">M4413*H4413</f>
        <v>57.54</v>
      </c>
      <c r="O4413" s="42" t="n">
        <f aca="false">N4413</f>
        <v>57.54</v>
      </c>
    </row>
    <row r="4414" customFormat="false" ht="15" hidden="false" customHeight="false" outlineLevel="0" collapsed="false">
      <c r="B4414" s="7" t="s">
        <v>13047</v>
      </c>
      <c r="C4414" s="39" t="n">
        <v>45933</v>
      </c>
      <c r="D4414" s="7" t="s">
        <v>184</v>
      </c>
      <c r="E4414" s="7" t="s">
        <v>180</v>
      </c>
      <c r="F4414" s="6" t="n">
        <v>11.53</v>
      </c>
      <c r="G4414" s="6" t="n">
        <v>0</v>
      </c>
      <c r="H4414" s="41" t="n">
        <v>17.34</v>
      </c>
      <c r="I4414" s="43" t="n">
        <f aca="false">F4414*H4414</f>
        <v>199.9302</v>
      </c>
      <c r="J4414" s="43" t="n">
        <f aca="false">G4414*H4414*1.5</f>
        <v>0</v>
      </c>
      <c r="K4414" s="6" t="n">
        <v>25.55</v>
      </c>
      <c r="L4414" s="43" t="n">
        <f aca="false">K4414*'Chart of Accounts'!$E$68</f>
        <v>17.1185</v>
      </c>
      <c r="O4414" s="42" t="n">
        <f aca="false">I4414+J4414+L4414</f>
        <v>217.0487</v>
      </c>
    </row>
    <row r="4415" customFormat="false" ht="15" hidden="false" customHeight="false" outlineLevel="0" collapsed="false">
      <c r="B4415" s="7" t="s">
        <v>13048</v>
      </c>
      <c r="C4415" s="39" t="n">
        <v>45933</v>
      </c>
      <c r="D4415" s="7" t="s">
        <v>216</v>
      </c>
      <c r="E4415" s="7" t="s">
        <v>158</v>
      </c>
      <c r="H4415" s="41" t="n">
        <v>61.79</v>
      </c>
      <c r="M4415" s="6" t="n">
        <v>1</v>
      </c>
      <c r="N4415" s="43" t="n">
        <f aca="false">M4415*H4415</f>
        <v>61.79</v>
      </c>
      <c r="O4415" s="42" t="n">
        <f aca="false">N4415</f>
        <v>61.79</v>
      </c>
    </row>
    <row r="4416" customFormat="false" ht="15" hidden="false" customHeight="false" outlineLevel="0" collapsed="false">
      <c r="B4416" s="7" t="s">
        <v>13049</v>
      </c>
      <c r="C4416" s="39" t="n">
        <v>45933</v>
      </c>
      <c r="D4416" s="7" t="s">
        <v>234</v>
      </c>
      <c r="E4416" s="7" t="s">
        <v>158</v>
      </c>
      <c r="H4416" s="41" t="n">
        <v>89.53</v>
      </c>
      <c r="M4416" s="6" t="n">
        <v>2</v>
      </c>
      <c r="N4416" s="43" t="n">
        <f aca="false">M4416*H4416</f>
        <v>179.06</v>
      </c>
      <c r="O4416" s="42" t="n">
        <f aca="false">N4416</f>
        <v>179.06</v>
      </c>
    </row>
    <row r="4417" customFormat="false" ht="15" hidden="false" customHeight="false" outlineLevel="0" collapsed="false">
      <c r="B4417" s="7" t="s">
        <v>13050</v>
      </c>
      <c r="C4417" s="39" t="n">
        <v>45933</v>
      </c>
      <c r="D4417" s="7" t="s">
        <v>218</v>
      </c>
      <c r="E4417" s="7" t="s">
        <v>180</v>
      </c>
      <c r="F4417" s="6" t="n">
        <v>3.83</v>
      </c>
      <c r="G4417" s="6" t="n">
        <v>0</v>
      </c>
      <c r="H4417" s="41" t="n">
        <v>16.19</v>
      </c>
      <c r="I4417" s="43" t="n">
        <f aca="false">F4417*H4417</f>
        <v>62.0077</v>
      </c>
      <c r="J4417" s="43" t="n">
        <f aca="false">G4417*H4417*1.5</f>
        <v>0</v>
      </c>
      <c r="K4417" s="6" t="n">
        <v>9.49</v>
      </c>
      <c r="L4417" s="43" t="n">
        <f aca="false">K4417*'Chart of Accounts'!$E$68</f>
        <v>6.3583</v>
      </c>
      <c r="O4417" s="42" t="n">
        <f aca="false">I4417+J4417+L4417</f>
        <v>68.366</v>
      </c>
    </row>
    <row r="4418" customFormat="false" ht="15" hidden="false" customHeight="false" outlineLevel="0" collapsed="false">
      <c r="B4418" s="7" t="s">
        <v>13051</v>
      </c>
      <c r="C4418" s="39" t="n">
        <v>45933</v>
      </c>
      <c r="D4418" s="7" t="s">
        <v>258</v>
      </c>
      <c r="E4418" s="7" t="s">
        <v>158</v>
      </c>
      <c r="H4418" s="41" t="n">
        <v>61.61</v>
      </c>
      <c r="M4418" s="6" t="n">
        <v>2</v>
      </c>
      <c r="N4418" s="43" t="n">
        <f aca="false">M4418*H4418</f>
        <v>123.22</v>
      </c>
      <c r="O4418" s="42" t="n">
        <f aca="false">N4418</f>
        <v>123.22</v>
      </c>
    </row>
    <row r="4419" customFormat="false" ht="15" hidden="false" customHeight="false" outlineLevel="0" collapsed="false">
      <c r="B4419" s="7" t="s">
        <v>13052</v>
      </c>
      <c r="C4419" s="39" t="n">
        <v>45933</v>
      </c>
      <c r="D4419" s="7" t="s">
        <v>228</v>
      </c>
      <c r="E4419" s="7" t="s">
        <v>158</v>
      </c>
      <c r="H4419" s="41" t="n">
        <v>51.07</v>
      </c>
      <c r="M4419" s="6" t="n">
        <v>1</v>
      </c>
      <c r="N4419" s="43" t="n">
        <f aca="false">M4419*H4419</f>
        <v>51.07</v>
      </c>
      <c r="O4419" s="42" t="n">
        <f aca="false">N4419</f>
        <v>51.07</v>
      </c>
    </row>
    <row r="4420" customFormat="false" ht="15" hidden="false" customHeight="false" outlineLevel="0" collapsed="false">
      <c r="B4420" s="7" t="s">
        <v>13053</v>
      </c>
      <c r="C4420" s="39" t="n">
        <v>45933</v>
      </c>
      <c r="D4420" s="7" t="s">
        <v>220</v>
      </c>
      <c r="E4420" s="7" t="s">
        <v>180</v>
      </c>
      <c r="F4420" s="6" t="n">
        <v>4.36</v>
      </c>
      <c r="G4420" s="6" t="n">
        <v>0</v>
      </c>
      <c r="H4420" s="41" t="n">
        <v>16.43</v>
      </c>
      <c r="I4420" s="43" t="n">
        <f aca="false">F4420*H4420</f>
        <v>71.6348</v>
      </c>
      <c r="J4420" s="43" t="n">
        <f aca="false">G4420*H4420*1.5</f>
        <v>0</v>
      </c>
      <c r="K4420" s="6" t="n">
        <v>11.02</v>
      </c>
      <c r="L4420" s="43" t="n">
        <f aca="false">K4420*'Chart of Accounts'!$E$68</f>
        <v>7.3834</v>
      </c>
      <c r="O4420" s="42" t="n">
        <f aca="false">I4420+J4420+L4420</f>
        <v>79.0182</v>
      </c>
    </row>
    <row r="4421" customFormat="false" ht="15" hidden="false" customHeight="false" outlineLevel="0" collapsed="false">
      <c r="B4421" s="7" t="s">
        <v>13054</v>
      </c>
      <c r="C4421" s="39" t="n">
        <v>45933</v>
      </c>
      <c r="D4421" s="7" t="s">
        <v>236</v>
      </c>
      <c r="E4421" s="7" t="s">
        <v>180</v>
      </c>
      <c r="F4421" s="6" t="n">
        <v>3.48</v>
      </c>
      <c r="G4421" s="6" t="n">
        <v>0</v>
      </c>
      <c r="H4421" s="41" t="n">
        <v>15.49</v>
      </c>
      <c r="I4421" s="43" t="n">
        <f aca="false">F4421*H4421</f>
        <v>53.9052</v>
      </c>
      <c r="J4421" s="43" t="n">
        <f aca="false">G4421*H4421*1.5</f>
        <v>0</v>
      </c>
      <c r="K4421" s="6" t="n">
        <v>11.37</v>
      </c>
      <c r="L4421" s="43" t="n">
        <f aca="false">K4421*'Chart of Accounts'!$E$68</f>
        <v>7.6179</v>
      </c>
      <c r="O4421" s="42" t="n">
        <f aca="false">I4421+J4421+L4421</f>
        <v>61.5231</v>
      </c>
    </row>
    <row r="4422" customFormat="false" ht="15" hidden="false" customHeight="false" outlineLevel="0" collapsed="false">
      <c r="B4422" s="7" t="s">
        <v>13055</v>
      </c>
      <c r="C4422" s="39" t="n">
        <v>45933</v>
      </c>
      <c r="D4422" s="7" t="s">
        <v>177</v>
      </c>
      <c r="E4422" s="7" t="s">
        <v>180</v>
      </c>
      <c r="F4422" s="6" t="n">
        <v>8.6</v>
      </c>
      <c r="G4422" s="6" t="n">
        <v>0</v>
      </c>
      <c r="H4422" s="41" t="n">
        <v>14.56</v>
      </c>
      <c r="I4422" s="43" t="n">
        <f aca="false">F4422*H4422</f>
        <v>125.216</v>
      </c>
      <c r="J4422" s="43" t="n">
        <f aca="false">G4422*H4422*1.5</f>
        <v>0</v>
      </c>
      <c r="K4422" s="6" t="n">
        <v>27.14</v>
      </c>
      <c r="L4422" s="43" t="n">
        <f aca="false">K4422*'Chart of Accounts'!$E$68</f>
        <v>18.1838</v>
      </c>
      <c r="O4422" s="42" t="n">
        <f aca="false">I4422+J4422+L4422</f>
        <v>143.3998</v>
      </c>
    </row>
    <row r="4423" customFormat="false" ht="15" hidden="false" customHeight="false" outlineLevel="0" collapsed="false">
      <c r="B4423" s="7" t="s">
        <v>13056</v>
      </c>
      <c r="C4423" s="39" t="n">
        <v>45933</v>
      </c>
      <c r="D4423" s="7" t="s">
        <v>242</v>
      </c>
      <c r="E4423" s="7" t="s">
        <v>180</v>
      </c>
      <c r="F4423" s="6" t="n">
        <v>6.667</v>
      </c>
      <c r="G4423" s="6" t="n">
        <v>0.373</v>
      </c>
      <c r="H4423" s="41" t="n">
        <v>17.99</v>
      </c>
      <c r="I4423" s="43" t="n">
        <f aca="false">F4423*H4423</f>
        <v>119.93933</v>
      </c>
      <c r="J4423" s="43" t="n">
        <f aca="false">G4423*H4423*1.5</f>
        <v>10.065405</v>
      </c>
      <c r="K4423" s="6" t="n">
        <v>21.72</v>
      </c>
      <c r="L4423" s="43" t="n">
        <f aca="false">K4423*'Chart of Accounts'!$E$68</f>
        <v>14.5524</v>
      </c>
      <c r="O4423" s="42" t="n">
        <f aca="false">I4423+J4423+L4423</f>
        <v>144.557135</v>
      </c>
    </row>
    <row r="4424" customFormat="false" ht="15" hidden="false" customHeight="false" outlineLevel="0" collapsed="false">
      <c r="B4424" s="7" t="s">
        <v>13057</v>
      </c>
      <c r="C4424" s="39" t="n">
        <v>45933</v>
      </c>
      <c r="D4424" s="7" t="s">
        <v>238</v>
      </c>
      <c r="E4424" s="7" t="s">
        <v>180</v>
      </c>
      <c r="F4424" s="6" t="n">
        <v>8.87</v>
      </c>
      <c r="G4424" s="6" t="n">
        <v>0</v>
      </c>
      <c r="H4424" s="41" t="n">
        <v>15.85</v>
      </c>
      <c r="I4424" s="43" t="n">
        <f aca="false">F4424*H4424</f>
        <v>140.5895</v>
      </c>
      <c r="J4424" s="43" t="n">
        <f aca="false">G4424*H4424*1.5</f>
        <v>0</v>
      </c>
      <c r="K4424" s="6" t="n">
        <v>26.19</v>
      </c>
      <c r="L4424" s="43" t="n">
        <f aca="false">K4424*'Chart of Accounts'!$E$68</f>
        <v>17.5473</v>
      </c>
      <c r="O4424" s="42" t="n">
        <f aca="false">I4424+J4424+L4424</f>
        <v>158.1368</v>
      </c>
    </row>
    <row r="4425" customFormat="false" ht="15" hidden="false" customHeight="false" outlineLevel="0" collapsed="false">
      <c r="B4425" s="7" t="s">
        <v>13058</v>
      </c>
      <c r="C4425" s="39" t="n">
        <v>45933</v>
      </c>
      <c r="D4425" s="7" t="s">
        <v>244</v>
      </c>
      <c r="E4425" s="7" t="s">
        <v>180</v>
      </c>
      <c r="F4425" s="6" t="n">
        <v>7.07</v>
      </c>
      <c r="G4425" s="6" t="n">
        <v>0</v>
      </c>
      <c r="H4425" s="41" t="n">
        <v>16.39</v>
      </c>
      <c r="I4425" s="43" t="n">
        <f aca="false">F4425*H4425</f>
        <v>115.8773</v>
      </c>
      <c r="J4425" s="43" t="n">
        <f aca="false">G4425*H4425*1.5</f>
        <v>0</v>
      </c>
      <c r="K4425" s="6" t="n">
        <v>23.58</v>
      </c>
      <c r="L4425" s="43" t="n">
        <f aca="false">K4425*'Chart of Accounts'!$E$68</f>
        <v>15.7986</v>
      </c>
      <c r="O4425" s="42" t="n">
        <f aca="false">I4425+J4425+L4425</f>
        <v>131.6759</v>
      </c>
    </row>
    <row r="4426" customFormat="false" ht="15" hidden="false" customHeight="false" outlineLevel="0" collapsed="false">
      <c r="B4426" s="7" t="s">
        <v>13059</v>
      </c>
      <c r="C4426" s="39" t="n">
        <v>45933</v>
      </c>
      <c r="D4426" s="7" t="s">
        <v>254</v>
      </c>
      <c r="E4426" s="7" t="s">
        <v>180</v>
      </c>
      <c r="F4426" s="6" t="n">
        <v>5.65</v>
      </c>
      <c r="G4426" s="6" t="n">
        <v>1.46</v>
      </c>
      <c r="H4426" s="41" t="n">
        <v>17.1</v>
      </c>
      <c r="I4426" s="43" t="n">
        <f aca="false">F4426*H4426</f>
        <v>96.615</v>
      </c>
      <c r="J4426" s="43" t="n">
        <f aca="false">G4426*H4426*1.5</f>
        <v>37.449</v>
      </c>
      <c r="K4426" s="6" t="n">
        <v>17.74</v>
      </c>
      <c r="L4426" s="43" t="n">
        <f aca="false">K4426*'Chart of Accounts'!$E$68</f>
        <v>11.8858</v>
      </c>
      <c r="O4426" s="42" t="n">
        <f aca="false">I4426+J4426+L4426</f>
        <v>145.9498</v>
      </c>
    </row>
    <row r="4427" customFormat="false" ht="15" hidden="false" customHeight="false" outlineLevel="0" collapsed="false">
      <c r="B4427" s="7" t="s">
        <v>13060</v>
      </c>
      <c r="C4427" s="39" t="n">
        <v>45933</v>
      </c>
      <c r="D4427" s="7" t="s">
        <v>201</v>
      </c>
      <c r="E4427" s="7" t="s">
        <v>180</v>
      </c>
      <c r="F4427" s="6" t="n">
        <v>3.45</v>
      </c>
      <c r="G4427" s="6" t="n">
        <v>0</v>
      </c>
      <c r="H4427" s="41" t="n">
        <v>15.19</v>
      </c>
      <c r="I4427" s="43" t="n">
        <f aca="false">F4427*H4427</f>
        <v>52.4055</v>
      </c>
      <c r="J4427" s="43" t="n">
        <f aca="false">G4427*H4427*1.5</f>
        <v>0</v>
      </c>
      <c r="K4427" s="6" t="n">
        <v>8.95</v>
      </c>
      <c r="L4427" s="43" t="n">
        <f aca="false">K4427*'Chart of Accounts'!$E$68</f>
        <v>5.9965</v>
      </c>
      <c r="O4427" s="42" t="n">
        <f aca="false">I4427+J4427+L4427</f>
        <v>58.402</v>
      </c>
    </row>
    <row r="4428" customFormat="false" ht="15" hidden="false" customHeight="false" outlineLevel="0" collapsed="false">
      <c r="B4428" s="7" t="s">
        <v>13061</v>
      </c>
      <c r="C4428" s="39" t="n">
        <v>45933</v>
      </c>
      <c r="D4428" s="7" t="s">
        <v>224</v>
      </c>
      <c r="E4428" s="7" t="s">
        <v>180</v>
      </c>
      <c r="F4428" s="6" t="n">
        <v>4.48</v>
      </c>
      <c r="G4428" s="6" t="n">
        <v>0</v>
      </c>
      <c r="H4428" s="41" t="n">
        <v>14.93</v>
      </c>
      <c r="I4428" s="43" t="n">
        <f aca="false">F4428*H4428</f>
        <v>66.8864</v>
      </c>
      <c r="J4428" s="43" t="n">
        <f aca="false">G4428*H4428*1.5</f>
        <v>0</v>
      </c>
      <c r="K4428" s="6" t="n">
        <v>12.36</v>
      </c>
      <c r="L4428" s="43" t="n">
        <f aca="false">K4428*'Chart of Accounts'!$E$68</f>
        <v>8.2812</v>
      </c>
      <c r="O4428" s="42" t="n">
        <f aca="false">I4428+J4428+L4428</f>
        <v>75.1676</v>
      </c>
    </row>
    <row r="4429" customFormat="false" ht="15" hidden="false" customHeight="false" outlineLevel="0" collapsed="false">
      <c r="B4429" s="7" t="s">
        <v>13062</v>
      </c>
      <c r="C4429" s="39" t="n">
        <v>45933</v>
      </c>
      <c r="D4429" s="7" t="s">
        <v>230</v>
      </c>
      <c r="E4429" s="7" t="s">
        <v>158</v>
      </c>
      <c r="H4429" s="41" t="n">
        <v>48.78</v>
      </c>
      <c r="M4429" s="6" t="n">
        <v>1</v>
      </c>
      <c r="N4429" s="43" t="n">
        <f aca="false">M4429*H4429</f>
        <v>48.78</v>
      </c>
      <c r="O4429" s="42" t="n">
        <f aca="false">N4429</f>
        <v>48.78</v>
      </c>
    </row>
    <row r="4430" customFormat="false" ht="15" hidden="false" customHeight="false" outlineLevel="0" collapsed="false">
      <c r="B4430" s="7" t="s">
        <v>13063</v>
      </c>
      <c r="C4430" s="39" t="n">
        <v>45933</v>
      </c>
      <c r="D4430" s="7" t="s">
        <v>196</v>
      </c>
      <c r="E4430" s="7" t="s">
        <v>180</v>
      </c>
      <c r="F4430" s="6" t="n">
        <v>3.278</v>
      </c>
      <c r="G4430" s="6" t="n">
        <v>0.532</v>
      </c>
      <c r="H4430" s="41" t="n">
        <v>15.05</v>
      </c>
      <c r="I4430" s="43" t="n">
        <f aca="false">F4430*H4430</f>
        <v>49.3339</v>
      </c>
      <c r="J4430" s="43" t="n">
        <f aca="false">G4430*H4430*1.5</f>
        <v>12.0099</v>
      </c>
      <c r="K4430" s="6" t="n">
        <v>12.47</v>
      </c>
      <c r="L4430" s="43" t="n">
        <f aca="false">K4430*'Chart of Accounts'!$E$68</f>
        <v>8.3549</v>
      </c>
      <c r="O4430" s="42" t="n">
        <f aca="false">I4430+J4430+L4430</f>
        <v>69.6987</v>
      </c>
    </row>
    <row r="4431" customFormat="false" ht="15" hidden="false" customHeight="false" outlineLevel="0" collapsed="false">
      <c r="B4431" s="7" t="s">
        <v>13064</v>
      </c>
      <c r="C4431" s="39" t="n">
        <v>45933</v>
      </c>
      <c r="D4431" s="7" t="s">
        <v>246</v>
      </c>
      <c r="E4431" s="7" t="s">
        <v>180</v>
      </c>
      <c r="F4431" s="6" t="n">
        <v>3.63</v>
      </c>
      <c r="G4431" s="6" t="n">
        <v>0</v>
      </c>
      <c r="H4431" s="41" t="n">
        <v>16.48</v>
      </c>
      <c r="I4431" s="43" t="n">
        <f aca="false">F4431*H4431</f>
        <v>59.8224</v>
      </c>
      <c r="J4431" s="43" t="n">
        <f aca="false">G4431*H4431*1.5</f>
        <v>0</v>
      </c>
      <c r="K4431" s="6" t="n">
        <v>8.41</v>
      </c>
      <c r="L4431" s="43" t="n">
        <f aca="false">K4431*'Chart of Accounts'!$E$68</f>
        <v>5.6347</v>
      </c>
      <c r="O4431" s="42" t="n">
        <f aca="false">I4431+J4431+L4431</f>
        <v>65.4571</v>
      </c>
    </row>
    <row r="4432" customFormat="false" ht="15" hidden="false" customHeight="false" outlineLevel="0" collapsed="false">
      <c r="B4432" s="7" t="s">
        <v>13065</v>
      </c>
      <c r="C4432" s="39" t="n">
        <v>45933</v>
      </c>
      <c r="D4432" s="7" t="s">
        <v>222</v>
      </c>
      <c r="E4432" s="7" t="s">
        <v>180</v>
      </c>
      <c r="F4432" s="6" t="n">
        <v>3.62</v>
      </c>
      <c r="G4432" s="6" t="n">
        <v>0</v>
      </c>
      <c r="H4432" s="41" t="n">
        <v>17.84</v>
      </c>
      <c r="I4432" s="43" t="n">
        <f aca="false">F4432*H4432</f>
        <v>64.5808</v>
      </c>
      <c r="J4432" s="43" t="n">
        <f aca="false">G4432*H4432*1.5</f>
        <v>0</v>
      </c>
      <c r="K4432" s="6" t="n">
        <v>9.79</v>
      </c>
      <c r="L4432" s="43" t="n">
        <f aca="false">K4432*'Chart of Accounts'!$E$68</f>
        <v>6.5593</v>
      </c>
      <c r="O4432" s="42" t="n">
        <f aca="false">I4432+J4432+L4432</f>
        <v>71.1401</v>
      </c>
    </row>
    <row r="4433" customFormat="false" ht="15" hidden="false" customHeight="false" outlineLevel="0" collapsed="false">
      <c r="B4433" s="7" t="s">
        <v>13066</v>
      </c>
      <c r="C4433" s="39" t="n">
        <v>45933</v>
      </c>
      <c r="D4433" s="7" t="s">
        <v>203</v>
      </c>
      <c r="E4433" s="7" t="s">
        <v>158</v>
      </c>
      <c r="H4433" s="41" t="n">
        <v>49.43</v>
      </c>
      <c r="M4433" s="6" t="n">
        <v>1</v>
      </c>
      <c r="N4433" s="43" t="n">
        <f aca="false">M4433*H4433</f>
        <v>49.43</v>
      </c>
      <c r="O4433" s="42" t="n">
        <f aca="false">N4433</f>
        <v>49.43</v>
      </c>
    </row>
    <row r="4434" customFormat="false" ht="15" hidden="false" customHeight="false" outlineLevel="0" collapsed="false">
      <c r="B4434" s="7" t="s">
        <v>13067</v>
      </c>
      <c r="C4434" s="39" t="n">
        <v>45933</v>
      </c>
      <c r="D4434" s="7" t="s">
        <v>260</v>
      </c>
      <c r="E4434" s="7" t="s">
        <v>158</v>
      </c>
      <c r="H4434" s="41" t="n">
        <v>79.8</v>
      </c>
      <c r="M4434" s="6" t="n">
        <v>1</v>
      </c>
      <c r="N4434" s="43" t="n">
        <f aca="false">M4434*H4434</f>
        <v>79.8</v>
      </c>
      <c r="O4434" s="42" t="n">
        <f aca="false">N4434</f>
        <v>79.8</v>
      </c>
    </row>
    <row r="4435" customFormat="false" ht="15" hidden="false" customHeight="false" outlineLevel="0" collapsed="false">
      <c r="B4435" s="7" t="s">
        <v>13068</v>
      </c>
      <c r="C4435" s="39" t="n">
        <v>45934</v>
      </c>
      <c r="D4435" s="7" t="s">
        <v>214</v>
      </c>
      <c r="E4435" s="7" t="s">
        <v>180</v>
      </c>
      <c r="F4435" s="6" t="n">
        <v>3.93</v>
      </c>
      <c r="G4435" s="6" t="n">
        <v>0</v>
      </c>
      <c r="H4435" s="41" t="n">
        <v>15.67</v>
      </c>
      <c r="I4435" s="43" t="n">
        <f aca="false">F4435*H4435</f>
        <v>61.5831</v>
      </c>
      <c r="J4435" s="43" t="n">
        <f aca="false">G4435*H4435*1.5</f>
        <v>0</v>
      </c>
      <c r="K4435" s="6" t="n">
        <v>11.32</v>
      </c>
      <c r="L4435" s="43" t="n">
        <f aca="false">K4435*'Chart of Accounts'!$E$68</f>
        <v>7.5844</v>
      </c>
      <c r="O4435" s="42" t="n">
        <f aca="false">I4435+J4435+L4435</f>
        <v>69.1675</v>
      </c>
    </row>
    <row r="4436" customFormat="false" ht="15" hidden="false" customHeight="false" outlineLevel="0" collapsed="false">
      <c r="B4436" s="7" t="s">
        <v>13069</v>
      </c>
      <c r="C4436" s="39" t="n">
        <v>45934</v>
      </c>
      <c r="D4436" s="7" t="s">
        <v>218</v>
      </c>
      <c r="E4436" s="7" t="s">
        <v>180</v>
      </c>
      <c r="F4436" s="6" t="n">
        <v>4.18</v>
      </c>
      <c r="G4436" s="6" t="n">
        <v>0</v>
      </c>
      <c r="H4436" s="41" t="n">
        <v>16.19</v>
      </c>
      <c r="I4436" s="43" t="n">
        <f aca="false">F4436*H4436</f>
        <v>67.6742</v>
      </c>
      <c r="J4436" s="43" t="n">
        <f aca="false">G4436*H4436*1.5</f>
        <v>0</v>
      </c>
      <c r="K4436" s="6" t="n">
        <v>12.4</v>
      </c>
      <c r="L4436" s="43" t="n">
        <f aca="false">K4436*'Chart of Accounts'!$E$68</f>
        <v>8.308</v>
      </c>
      <c r="O4436" s="42" t="n">
        <f aca="false">I4436+J4436+L4436</f>
        <v>75.9822</v>
      </c>
    </row>
    <row r="4437" customFormat="false" ht="15" hidden="false" customHeight="false" outlineLevel="0" collapsed="false">
      <c r="B4437" s="7" t="s">
        <v>13070</v>
      </c>
      <c r="C4437" s="39" t="n">
        <v>45934</v>
      </c>
      <c r="D4437" s="7" t="s">
        <v>254</v>
      </c>
      <c r="E4437" s="7" t="s">
        <v>180</v>
      </c>
      <c r="F4437" s="6" t="n">
        <v>6.42</v>
      </c>
      <c r="G4437" s="6" t="n">
        <v>1.66</v>
      </c>
      <c r="H4437" s="41" t="n">
        <v>17.1</v>
      </c>
      <c r="I4437" s="43" t="n">
        <f aca="false">F4437*H4437</f>
        <v>109.782</v>
      </c>
      <c r="J4437" s="43" t="n">
        <f aca="false">G4437*H4437*1.5</f>
        <v>42.579</v>
      </c>
      <c r="K4437" s="6" t="n">
        <v>28.2</v>
      </c>
      <c r="L4437" s="43" t="n">
        <f aca="false">K4437*'Chart of Accounts'!$E$68</f>
        <v>18.894</v>
      </c>
      <c r="O4437" s="42" t="n">
        <f aca="false">I4437+J4437+L4437</f>
        <v>171.255</v>
      </c>
    </row>
    <row r="4438" customFormat="false" ht="15" hidden="false" customHeight="false" outlineLevel="0" collapsed="false">
      <c r="B4438" s="7" t="s">
        <v>13071</v>
      </c>
      <c r="C4438" s="39" t="n">
        <v>45934</v>
      </c>
      <c r="D4438" s="7" t="s">
        <v>196</v>
      </c>
      <c r="E4438" s="7" t="s">
        <v>180</v>
      </c>
      <c r="F4438" s="6" t="n">
        <v>3.338</v>
      </c>
      <c r="G4438" s="6" t="n">
        <v>0.542</v>
      </c>
      <c r="H4438" s="41" t="n">
        <v>15.05</v>
      </c>
      <c r="I4438" s="43" t="n">
        <f aca="false">F4438*H4438</f>
        <v>50.2369</v>
      </c>
      <c r="J4438" s="43" t="n">
        <f aca="false">G4438*H4438*1.5</f>
        <v>12.23565</v>
      </c>
      <c r="K4438" s="6" t="n">
        <v>10</v>
      </c>
      <c r="L4438" s="43" t="n">
        <f aca="false">K4438*'Chart of Accounts'!$E$68</f>
        <v>6.7</v>
      </c>
      <c r="O4438" s="42" t="n">
        <f aca="false">I4438+J4438+L4438</f>
        <v>69.17255</v>
      </c>
    </row>
    <row r="4439" customFormat="false" ht="15" hidden="false" customHeight="false" outlineLevel="0" collapsed="false">
      <c r="B4439" s="7" t="s">
        <v>13072</v>
      </c>
      <c r="C4439" s="39" t="n">
        <v>45934</v>
      </c>
      <c r="D4439" s="7" t="s">
        <v>222</v>
      </c>
      <c r="E4439" s="7" t="s">
        <v>180</v>
      </c>
      <c r="F4439" s="6" t="n">
        <v>3.82</v>
      </c>
      <c r="G4439" s="6" t="n">
        <v>0</v>
      </c>
      <c r="H4439" s="41" t="n">
        <v>17.84</v>
      </c>
      <c r="I4439" s="43" t="n">
        <f aca="false">F4439*H4439</f>
        <v>68.1488</v>
      </c>
      <c r="J4439" s="43" t="n">
        <f aca="false">G4439*H4439*1.5</f>
        <v>0</v>
      </c>
      <c r="K4439" s="6" t="n">
        <v>9.58</v>
      </c>
      <c r="L4439" s="43" t="n">
        <f aca="false">K4439*'Chart of Accounts'!$E$68</f>
        <v>6.4186</v>
      </c>
      <c r="O4439" s="42" t="n">
        <f aca="false">I4439+J4439+L4439</f>
        <v>74.5674</v>
      </c>
    </row>
    <row r="4440" customFormat="false" ht="15" hidden="false" customHeight="false" outlineLevel="0" collapsed="false">
      <c r="B4440" s="7" t="s">
        <v>13073</v>
      </c>
      <c r="C4440" s="39" t="n">
        <v>45934</v>
      </c>
      <c r="D4440" s="7" t="s">
        <v>242</v>
      </c>
      <c r="E4440" s="7" t="s">
        <v>180</v>
      </c>
      <c r="F4440" s="6" t="n">
        <v>3.769</v>
      </c>
      <c r="G4440" s="6" t="n">
        <v>0.211</v>
      </c>
      <c r="H4440" s="41" t="n">
        <v>17.99</v>
      </c>
      <c r="I4440" s="43" t="n">
        <f aca="false">F4440*H4440</f>
        <v>67.80431</v>
      </c>
      <c r="J4440" s="43" t="n">
        <f aca="false">G4440*H4440*1.5</f>
        <v>5.693835</v>
      </c>
      <c r="K4440" s="6" t="n">
        <v>9.32</v>
      </c>
      <c r="L4440" s="43" t="n">
        <f aca="false">K4440*'Chart of Accounts'!$E$68</f>
        <v>6.2444</v>
      </c>
      <c r="O4440" s="42" t="n">
        <f aca="false">I4440+J4440+L4440</f>
        <v>79.742545</v>
      </c>
    </row>
    <row r="4441" customFormat="false" ht="15" hidden="false" customHeight="false" outlineLevel="0" collapsed="false">
      <c r="B4441" s="7" t="s">
        <v>13074</v>
      </c>
      <c r="C4441" s="39" t="n">
        <v>45935</v>
      </c>
      <c r="D4441" s="7" t="s">
        <v>236</v>
      </c>
      <c r="E4441" s="7" t="s">
        <v>180</v>
      </c>
      <c r="F4441" s="6" t="n">
        <v>4.39</v>
      </c>
      <c r="G4441" s="6" t="n">
        <v>0</v>
      </c>
      <c r="H4441" s="41" t="n">
        <v>15.49</v>
      </c>
      <c r="I4441" s="43" t="n">
        <f aca="false">F4441*H4441</f>
        <v>68.0011</v>
      </c>
      <c r="J4441" s="43" t="n">
        <f aca="false">G4441*H4441*1.5</f>
        <v>0</v>
      </c>
      <c r="K4441" s="6" t="n">
        <v>12.88</v>
      </c>
      <c r="L4441" s="43" t="n">
        <f aca="false">K4441*'Chart of Accounts'!$E$68</f>
        <v>8.6296</v>
      </c>
      <c r="O4441" s="42" t="n">
        <f aca="false">I4441+J4441+L4441</f>
        <v>76.6307</v>
      </c>
    </row>
    <row r="4442" customFormat="false" ht="15" hidden="false" customHeight="false" outlineLevel="0" collapsed="false">
      <c r="B4442" s="7" t="s">
        <v>13075</v>
      </c>
      <c r="C4442" s="39" t="n">
        <v>45935</v>
      </c>
      <c r="D4442" s="7" t="s">
        <v>218</v>
      </c>
      <c r="E4442" s="7" t="s">
        <v>180</v>
      </c>
      <c r="F4442" s="6" t="n">
        <v>4.08</v>
      </c>
      <c r="G4442" s="6" t="n">
        <v>0</v>
      </c>
      <c r="H4442" s="41" t="n">
        <v>16.19</v>
      </c>
      <c r="I4442" s="43" t="n">
        <f aca="false">F4442*H4442</f>
        <v>66.0552</v>
      </c>
      <c r="J4442" s="43" t="n">
        <f aca="false">G4442*H4442*1.5</f>
        <v>0</v>
      </c>
      <c r="K4442" s="6" t="n">
        <v>13.04</v>
      </c>
      <c r="L4442" s="43" t="n">
        <f aca="false">K4442*'Chart of Accounts'!$E$68</f>
        <v>8.7368</v>
      </c>
      <c r="O4442" s="42" t="n">
        <f aca="false">I4442+J4442+L4442</f>
        <v>74.792</v>
      </c>
    </row>
    <row r="4443" customFormat="false" ht="15" hidden="false" customHeight="false" outlineLevel="0" collapsed="false">
      <c r="B4443" s="7" t="s">
        <v>13076</v>
      </c>
      <c r="C4443" s="39" t="n">
        <v>45935</v>
      </c>
      <c r="D4443" s="7" t="s">
        <v>224</v>
      </c>
      <c r="E4443" s="7" t="s">
        <v>180</v>
      </c>
      <c r="F4443" s="6" t="n">
        <v>4.24</v>
      </c>
      <c r="G4443" s="6" t="n">
        <v>0</v>
      </c>
      <c r="H4443" s="41" t="n">
        <v>14.93</v>
      </c>
      <c r="I4443" s="43" t="n">
        <f aca="false">F4443*H4443</f>
        <v>63.3032</v>
      </c>
      <c r="J4443" s="43" t="n">
        <f aca="false">G4443*H4443*1.5</f>
        <v>0</v>
      </c>
      <c r="K4443" s="6" t="n">
        <v>13.05</v>
      </c>
      <c r="L4443" s="43" t="n">
        <f aca="false">K4443*'Chart of Accounts'!$E$68</f>
        <v>8.7435</v>
      </c>
      <c r="O4443" s="42" t="n">
        <f aca="false">I4443+J4443+L4443</f>
        <v>72.0467</v>
      </c>
    </row>
    <row r="4444" customFormat="false" ht="15" hidden="false" customHeight="false" outlineLevel="0" collapsed="false">
      <c r="B4444" s="7" t="s">
        <v>13077</v>
      </c>
      <c r="C4444" s="39" t="n">
        <v>45935</v>
      </c>
      <c r="D4444" s="7" t="s">
        <v>196</v>
      </c>
      <c r="E4444" s="7" t="s">
        <v>180</v>
      </c>
      <c r="F4444" s="6" t="n">
        <v>3.502</v>
      </c>
      <c r="G4444" s="6" t="n">
        <v>0.568</v>
      </c>
      <c r="H4444" s="41" t="n">
        <v>15.05</v>
      </c>
      <c r="I4444" s="43" t="n">
        <f aca="false">F4444*H4444</f>
        <v>52.7051</v>
      </c>
      <c r="J4444" s="43" t="n">
        <f aca="false">G4444*H4444*1.5</f>
        <v>12.8226</v>
      </c>
      <c r="K4444" s="6" t="n">
        <v>13.24</v>
      </c>
      <c r="L4444" s="43" t="n">
        <f aca="false">K4444*'Chart of Accounts'!$E$68</f>
        <v>8.8708</v>
      </c>
      <c r="O4444" s="42" t="n">
        <f aca="false">I4444+J4444+L4444</f>
        <v>74.3985</v>
      </c>
    </row>
    <row r="4445" customFormat="false" ht="15" hidden="false" customHeight="false" outlineLevel="0" collapsed="false">
      <c r="B4445" s="7" t="s">
        <v>13078</v>
      </c>
      <c r="C4445" s="39" t="n">
        <v>45935</v>
      </c>
      <c r="D4445" s="7" t="s">
        <v>222</v>
      </c>
      <c r="E4445" s="7" t="s">
        <v>180</v>
      </c>
      <c r="F4445" s="6" t="n">
        <v>3.63</v>
      </c>
      <c r="G4445" s="6" t="n">
        <v>0</v>
      </c>
      <c r="H4445" s="41" t="n">
        <v>17.84</v>
      </c>
      <c r="I4445" s="43" t="n">
        <f aca="false">F4445*H4445</f>
        <v>64.7592</v>
      </c>
      <c r="J4445" s="43" t="n">
        <f aca="false">G4445*H4445*1.5</f>
        <v>0</v>
      </c>
      <c r="K4445" s="6" t="n">
        <v>11.48</v>
      </c>
      <c r="L4445" s="43" t="n">
        <f aca="false">K4445*'Chart of Accounts'!$E$68</f>
        <v>7.6916</v>
      </c>
      <c r="O4445" s="42" t="n">
        <f aca="false">I4445+J4445+L4445</f>
        <v>72.4508</v>
      </c>
    </row>
    <row r="4446" customFormat="false" ht="15" hidden="false" customHeight="false" outlineLevel="0" collapsed="false">
      <c r="B4446" s="7" t="s">
        <v>13079</v>
      </c>
      <c r="C4446" s="39" t="n">
        <v>45935</v>
      </c>
      <c r="D4446" s="7" t="s">
        <v>242</v>
      </c>
      <c r="E4446" s="7" t="s">
        <v>180</v>
      </c>
      <c r="F4446" s="6" t="n">
        <v>3.665</v>
      </c>
      <c r="G4446" s="6" t="n">
        <v>0.205</v>
      </c>
      <c r="H4446" s="41" t="n">
        <v>17.99</v>
      </c>
      <c r="I4446" s="43" t="n">
        <f aca="false">F4446*H4446</f>
        <v>65.93335</v>
      </c>
      <c r="J4446" s="43" t="n">
        <f aca="false">G4446*H4446*1.5</f>
        <v>5.531925</v>
      </c>
      <c r="K4446" s="6" t="n">
        <v>9.13</v>
      </c>
      <c r="L4446" s="43" t="n">
        <f aca="false">K4446*'Chart of Accounts'!$E$68</f>
        <v>6.1171</v>
      </c>
      <c r="O4446" s="42" t="n">
        <f aca="false">I4446+J4446+L4446</f>
        <v>77.582375</v>
      </c>
    </row>
    <row r="4447" customFormat="false" ht="15" hidden="false" customHeight="false" outlineLevel="0" collapsed="false">
      <c r="B4447" s="7" t="s">
        <v>13080</v>
      </c>
      <c r="C4447" s="39" t="n">
        <v>45935</v>
      </c>
      <c r="D4447" s="7" t="s">
        <v>254</v>
      </c>
      <c r="E4447" s="7" t="s">
        <v>180</v>
      </c>
      <c r="F4447" s="6" t="n">
        <v>3.433</v>
      </c>
      <c r="G4447" s="6" t="n">
        <v>0.887</v>
      </c>
      <c r="H4447" s="41" t="n">
        <v>17.1</v>
      </c>
      <c r="I4447" s="43" t="n">
        <f aca="false">F4447*H4447</f>
        <v>58.7043</v>
      </c>
      <c r="J4447" s="43" t="n">
        <f aca="false">G4447*H4447*1.5</f>
        <v>22.75155</v>
      </c>
      <c r="K4447" s="6" t="n">
        <v>15.25</v>
      </c>
      <c r="L4447" s="43" t="n">
        <f aca="false">K4447*'Chart of Accounts'!$E$68</f>
        <v>10.2175</v>
      </c>
      <c r="O4447" s="42" t="n">
        <f aca="false">I4447+J4447+L4447</f>
        <v>91.67335</v>
      </c>
    </row>
    <row r="4448" customFormat="false" ht="15" hidden="false" customHeight="false" outlineLevel="0" collapsed="false">
      <c r="B4448" s="7" t="s">
        <v>13081</v>
      </c>
      <c r="C4448" s="39" t="n">
        <v>45936</v>
      </c>
      <c r="D4448" s="7" t="s">
        <v>194</v>
      </c>
      <c r="E4448" s="7" t="s">
        <v>180</v>
      </c>
      <c r="F4448" s="6" t="n">
        <v>19.09</v>
      </c>
      <c r="G4448" s="6" t="n">
        <v>0</v>
      </c>
      <c r="H4448" s="41" t="n">
        <v>16</v>
      </c>
      <c r="I4448" s="43" t="n">
        <f aca="false">F4448*H4448</f>
        <v>305.44</v>
      </c>
      <c r="J4448" s="43" t="n">
        <f aca="false">G4448*H4448*1.5</f>
        <v>0</v>
      </c>
      <c r="K4448" s="6" t="n">
        <v>57.27</v>
      </c>
      <c r="L4448" s="43" t="n">
        <f aca="false">K4448*'Chart of Accounts'!$E$68</f>
        <v>38.3709</v>
      </c>
      <c r="O4448" s="42" t="n">
        <f aca="false">I4448+J4448+L4448</f>
        <v>343.8109</v>
      </c>
    </row>
    <row r="4449" customFormat="false" ht="15" hidden="false" customHeight="false" outlineLevel="0" collapsed="false">
      <c r="B4449" s="7" t="s">
        <v>13082</v>
      </c>
      <c r="C4449" s="39" t="n">
        <v>45936</v>
      </c>
      <c r="D4449" s="7" t="s">
        <v>214</v>
      </c>
      <c r="E4449" s="7" t="s">
        <v>180</v>
      </c>
      <c r="F4449" s="6" t="n">
        <v>10.83</v>
      </c>
      <c r="G4449" s="6" t="n">
        <v>0</v>
      </c>
      <c r="H4449" s="41" t="n">
        <v>15.67</v>
      </c>
      <c r="I4449" s="43" t="n">
        <f aca="false">F4449*H4449</f>
        <v>169.7061</v>
      </c>
      <c r="J4449" s="43" t="n">
        <f aca="false">G4449*H4449*1.5</f>
        <v>0</v>
      </c>
      <c r="K4449" s="6" t="n">
        <v>29.67</v>
      </c>
      <c r="L4449" s="43" t="n">
        <f aca="false">K4449*'Chart of Accounts'!$E$68</f>
        <v>19.8789</v>
      </c>
      <c r="O4449" s="42" t="n">
        <f aca="false">I4449+J4449+L4449</f>
        <v>189.585</v>
      </c>
    </row>
    <row r="4450" customFormat="false" ht="15" hidden="false" customHeight="false" outlineLevel="0" collapsed="false">
      <c r="B4450" s="7" t="s">
        <v>13083</v>
      </c>
      <c r="C4450" s="39" t="n">
        <v>45936</v>
      </c>
      <c r="D4450" s="7" t="s">
        <v>201</v>
      </c>
      <c r="E4450" s="7" t="s">
        <v>180</v>
      </c>
      <c r="F4450" s="6" t="n">
        <v>13.63</v>
      </c>
      <c r="G4450" s="6" t="n">
        <v>0</v>
      </c>
      <c r="H4450" s="41" t="n">
        <v>15.19</v>
      </c>
      <c r="I4450" s="43" t="n">
        <f aca="false">F4450*H4450</f>
        <v>207.0397</v>
      </c>
      <c r="J4450" s="43" t="n">
        <f aca="false">G4450*H4450*1.5</f>
        <v>0</v>
      </c>
      <c r="K4450" s="6" t="n">
        <v>30.3</v>
      </c>
      <c r="L4450" s="43" t="n">
        <f aca="false">K4450*'Chart of Accounts'!$E$68</f>
        <v>20.301</v>
      </c>
      <c r="O4450" s="42" t="n">
        <f aca="false">I4450+J4450+L4450</f>
        <v>227.3407</v>
      </c>
    </row>
    <row r="4451" customFormat="false" ht="15" hidden="false" customHeight="false" outlineLevel="0" collapsed="false">
      <c r="B4451" s="7" t="s">
        <v>13084</v>
      </c>
      <c r="C4451" s="39" t="n">
        <v>45936</v>
      </c>
      <c r="D4451" s="7" t="s">
        <v>240</v>
      </c>
      <c r="E4451" s="7" t="s">
        <v>180</v>
      </c>
      <c r="F4451" s="6" t="n">
        <v>4.2</v>
      </c>
      <c r="G4451" s="6" t="n">
        <v>0</v>
      </c>
      <c r="H4451" s="41" t="n">
        <v>16.96</v>
      </c>
      <c r="I4451" s="43" t="n">
        <f aca="false">F4451*H4451</f>
        <v>71.232</v>
      </c>
      <c r="J4451" s="43" t="n">
        <f aca="false">G4451*H4451*1.5</f>
        <v>0</v>
      </c>
      <c r="K4451" s="6" t="n">
        <v>14.99</v>
      </c>
      <c r="L4451" s="43" t="n">
        <f aca="false">K4451*'Chart of Accounts'!$E$68</f>
        <v>10.0433</v>
      </c>
      <c r="O4451" s="42" t="n">
        <f aca="false">I4451+J4451+L4451</f>
        <v>81.2753</v>
      </c>
    </row>
    <row r="4452" customFormat="false" ht="15" hidden="false" customHeight="false" outlineLevel="0" collapsed="false">
      <c r="B4452" s="7" t="s">
        <v>13085</v>
      </c>
      <c r="C4452" s="39" t="n">
        <v>45936</v>
      </c>
      <c r="D4452" s="7" t="s">
        <v>205</v>
      </c>
      <c r="E4452" s="7" t="s">
        <v>180</v>
      </c>
      <c r="F4452" s="6" t="n">
        <v>4.18</v>
      </c>
      <c r="G4452" s="6" t="n">
        <v>0</v>
      </c>
      <c r="H4452" s="41" t="n">
        <v>16.36</v>
      </c>
      <c r="I4452" s="43" t="n">
        <f aca="false">F4452*H4452</f>
        <v>68.3848</v>
      </c>
      <c r="J4452" s="43" t="n">
        <f aca="false">G4452*H4452*1.5</f>
        <v>0</v>
      </c>
      <c r="K4452" s="6" t="n">
        <v>12.87</v>
      </c>
      <c r="L4452" s="43" t="n">
        <f aca="false">K4452*'Chart of Accounts'!$E$68</f>
        <v>8.6229</v>
      </c>
      <c r="O4452" s="42" t="n">
        <f aca="false">I4452+J4452+L4452</f>
        <v>77.0077</v>
      </c>
    </row>
    <row r="4453" customFormat="false" ht="15" hidden="false" customHeight="false" outlineLevel="0" collapsed="false">
      <c r="B4453" s="7" t="s">
        <v>13086</v>
      </c>
      <c r="C4453" s="39" t="n">
        <v>45936</v>
      </c>
      <c r="D4453" s="7" t="s">
        <v>264</v>
      </c>
      <c r="E4453" s="7" t="s">
        <v>158</v>
      </c>
      <c r="H4453" s="41" t="n">
        <v>55.55</v>
      </c>
      <c r="M4453" s="6" t="n">
        <v>1</v>
      </c>
      <c r="N4453" s="43" t="n">
        <f aca="false">M4453*H4453</f>
        <v>55.55</v>
      </c>
      <c r="O4453" s="42" t="n">
        <f aca="false">N4453</f>
        <v>55.55</v>
      </c>
    </row>
    <row r="4454" customFormat="false" ht="15" hidden="false" customHeight="false" outlineLevel="0" collapsed="false">
      <c r="B4454" s="7" t="s">
        <v>13087</v>
      </c>
      <c r="C4454" s="39" t="n">
        <v>45936</v>
      </c>
      <c r="D4454" s="7" t="s">
        <v>252</v>
      </c>
      <c r="E4454" s="7" t="s">
        <v>158</v>
      </c>
      <c r="H4454" s="41" t="n">
        <v>57.54</v>
      </c>
      <c r="M4454" s="6" t="n">
        <v>1</v>
      </c>
      <c r="N4454" s="43" t="n">
        <f aca="false">M4454*H4454</f>
        <v>57.54</v>
      </c>
      <c r="O4454" s="42" t="n">
        <f aca="false">N4454</f>
        <v>57.54</v>
      </c>
    </row>
    <row r="4455" customFormat="false" ht="15" hidden="false" customHeight="false" outlineLevel="0" collapsed="false">
      <c r="B4455" s="7" t="s">
        <v>13088</v>
      </c>
      <c r="C4455" s="39" t="n">
        <v>45936</v>
      </c>
      <c r="D4455" s="7" t="s">
        <v>196</v>
      </c>
      <c r="E4455" s="7" t="s">
        <v>180</v>
      </c>
      <c r="F4455" s="6" t="n">
        <v>12.581</v>
      </c>
      <c r="G4455" s="6" t="n">
        <v>0.079</v>
      </c>
      <c r="H4455" s="41" t="n">
        <v>15.05</v>
      </c>
      <c r="I4455" s="43" t="n">
        <f aca="false">F4455*H4455</f>
        <v>189.34405</v>
      </c>
      <c r="J4455" s="43" t="n">
        <f aca="false">G4455*H4455*1.5</f>
        <v>1.783425</v>
      </c>
      <c r="K4455" s="6" t="n">
        <v>33.09</v>
      </c>
      <c r="L4455" s="43" t="n">
        <f aca="false">K4455*'Chart of Accounts'!$E$68</f>
        <v>22.1703</v>
      </c>
      <c r="O4455" s="42" t="n">
        <f aca="false">I4455+J4455+L4455</f>
        <v>213.297775</v>
      </c>
    </row>
    <row r="4456" customFormat="false" ht="15" hidden="false" customHeight="false" outlineLevel="0" collapsed="false">
      <c r="B4456" s="7" t="s">
        <v>13089</v>
      </c>
      <c r="C4456" s="39" t="n">
        <v>45936</v>
      </c>
      <c r="D4456" s="7" t="s">
        <v>184</v>
      </c>
      <c r="E4456" s="7" t="s">
        <v>180</v>
      </c>
      <c r="F4456" s="6" t="n">
        <v>8.05</v>
      </c>
      <c r="G4456" s="6" t="n">
        <v>0</v>
      </c>
      <c r="H4456" s="41" t="n">
        <v>17.34</v>
      </c>
      <c r="I4456" s="43" t="n">
        <f aca="false">F4456*H4456</f>
        <v>139.587</v>
      </c>
      <c r="J4456" s="43" t="n">
        <f aca="false">G4456*H4456*1.5</f>
        <v>0</v>
      </c>
      <c r="K4456" s="6" t="n">
        <v>27.22</v>
      </c>
      <c r="L4456" s="43" t="n">
        <f aca="false">K4456*'Chart of Accounts'!$E$68</f>
        <v>18.2374</v>
      </c>
      <c r="O4456" s="42" t="n">
        <f aca="false">I4456+J4456+L4456</f>
        <v>157.8244</v>
      </c>
    </row>
    <row r="4457" customFormat="false" ht="15" hidden="false" customHeight="false" outlineLevel="0" collapsed="false">
      <c r="B4457" s="7" t="s">
        <v>13090</v>
      </c>
      <c r="C4457" s="39" t="n">
        <v>45936</v>
      </c>
      <c r="D4457" s="7" t="s">
        <v>216</v>
      </c>
      <c r="E4457" s="7" t="s">
        <v>158</v>
      </c>
      <c r="H4457" s="41" t="n">
        <v>61.79</v>
      </c>
      <c r="M4457" s="6" t="n">
        <v>1</v>
      </c>
      <c r="N4457" s="43" t="n">
        <f aca="false">M4457*H4457</f>
        <v>61.79</v>
      </c>
      <c r="O4457" s="42" t="n">
        <f aca="false">N4457</f>
        <v>61.79</v>
      </c>
    </row>
    <row r="4458" customFormat="false" ht="15" hidden="false" customHeight="false" outlineLevel="0" collapsed="false">
      <c r="B4458" s="7" t="s">
        <v>13091</v>
      </c>
      <c r="C4458" s="39" t="n">
        <v>45936</v>
      </c>
      <c r="D4458" s="7" t="s">
        <v>218</v>
      </c>
      <c r="E4458" s="7" t="s">
        <v>180</v>
      </c>
      <c r="F4458" s="6" t="n">
        <v>3.84</v>
      </c>
      <c r="G4458" s="6" t="n">
        <v>0</v>
      </c>
      <c r="H4458" s="41" t="n">
        <v>16.19</v>
      </c>
      <c r="I4458" s="43" t="n">
        <f aca="false">F4458*H4458</f>
        <v>62.1696</v>
      </c>
      <c r="J4458" s="43" t="n">
        <f aca="false">G4458*H4458*1.5</f>
        <v>0</v>
      </c>
      <c r="K4458" s="6" t="n">
        <v>10.36</v>
      </c>
      <c r="L4458" s="43" t="n">
        <f aca="false">K4458*'Chart of Accounts'!$E$68</f>
        <v>6.9412</v>
      </c>
      <c r="O4458" s="42" t="n">
        <f aca="false">I4458+J4458+L4458</f>
        <v>69.1108</v>
      </c>
    </row>
    <row r="4459" customFormat="false" ht="15" hidden="false" customHeight="false" outlineLevel="0" collapsed="false">
      <c r="B4459" s="7" t="s">
        <v>13092</v>
      </c>
      <c r="C4459" s="39" t="n">
        <v>45936</v>
      </c>
      <c r="D4459" s="7" t="s">
        <v>220</v>
      </c>
      <c r="E4459" s="7" t="s">
        <v>180</v>
      </c>
      <c r="F4459" s="6" t="n">
        <v>4.34</v>
      </c>
      <c r="G4459" s="6" t="n">
        <v>0</v>
      </c>
      <c r="H4459" s="41" t="n">
        <v>16.43</v>
      </c>
      <c r="I4459" s="43" t="n">
        <f aca="false">F4459*H4459</f>
        <v>71.3062</v>
      </c>
      <c r="J4459" s="43" t="n">
        <f aca="false">G4459*H4459*1.5</f>
        <v>0</v>
      </c>
      <c r="K4459" s="6" t="n">
        <v>11.39</v>
      </c>
      <c r="L4459" s="43" t="n">
        <f aca="false">K4459*'Chart of Accounts'!$E$68</f>
        <v>7.6313</v>
      </c>
      <c r="O4459" s="42" t="n">
        <f aca="false">I4459+J4459+L4459</f>
        <v>78.9375</v>
      </c>
    </row>
    <row r="4460" customFormat="false" ht="15" hidden="false" customHeight="false" outlineLevel="0" collapsed="false">
      <c r="B4460" s="7" t="s">
        <v>13093</v>
      </c>
      <c r="C4460" s="39" t="n">
        <v>45936</v>
      </c>
      <c r="D4460" s="7" t="s">
        <v>224</v>
      </c>
      <c r="E4460" s="7" t="s">
        <v>180</v>
      </c>
      <c r="F4460" s="6" t="n">
        <v>8.65</v>
      </c>
      <c r="G4460" s="6" t="n">
        <v>0</v>
      </c>
      <c r="H4460" s="41" t="n">
        <v>14.93</v>
      </c>
      <c r="I4460" s="43" t="n">
        <f aca="false">F4460*H4460</f>
        <v>129.1445</v>
      </c>
      <c r="J4460" s="43" t="n">
        <f aca="false">G4460*H4460*1.5</f>
        <v>0</v>
      </c>
      <c r="K4460" s="6" t="n">
        <v>29.11</v>
      </c>
      <c r="L4460" s="43" t="n">
        <f aca="false">K4460*'Chart of Accounts'!$E$68</f>
        <v>19.5037</v>
      </c>
      <c r="O4460" s="42" t="n">
        <f aca="false">I4460+J4460+L4460</f>
        <v>148.6482</v>
      </c>
    </row>
    <row r="4461" customFormat="false" ht="15" hidden="false" customHeight="false" outlineLevel="0" collapsed="false">
      <c r="B4461" s="7" t="s">
        <v>13094</v>
      </c>
      <c r="C4461" s="39" t="n">
        <v>45936</v>
      </c>
      <c r="D4461" s="7" t="s">
        <v>236</v>
      </c>
      <c r="E4461" s="7" t="s">
        <v>180</v>
      </c>
      <c r="F4461" s="6" t="n">
        <v>3.07</v>
      </c>
      <c r="G4461" s="6" t="n">
        <v>0</v>
      </c>
      <c r="H4461" s="41" t="n">
        <v>15.49</v>
      </c>
      <c r="I4461" s="43" t="n">
        <f aca="false">F4461*H4461</f>
        <v>47.5543</v>
      </c>
      <c r="J4461" s="43" t="n">
        <f aca="false">G4461*H4461*1.5</f>
        <v>0</v>
      </c>
      <c r="K4461" s="6" t="n">
        <v>7.37</v>
      </c>
      <c r="L4461" s="43" t="n">
        <f aca="false">K4461*'Chart of Accounts'!$E$68</f>
        <v>4.9379</v>
      </c>
      <c r="O4461" s="42" t="n">
        <f aca="false">I4461+J4461+L4461</f>
        <v>52.4922</v>
      </c>
    </row>
    <row r="4462" customFormat="false" ht="15" hidden="false" customHeight="false" outlineLevel="0" collapsed="false">
      <c r="B4462" s="7" t="s">
        <v>13095</v>
      </c>
      <c r="C4462" s="39" t="n">
        <v>45936</v>
      </c>
      <c r="D4462" s="7" t="s">
        <v>177</v>
      </c>
      <c r="E4462" s="7" t="s">
        <v>180</v>
      </c>
      <c r="F4462" s="6" t="n">
        <v>8.46</v>
      </c>
      <c r="G4462" s="6" t="n">
        <v>0</v>
      </c>
      <c r="H4462" s="41" t="n">
        <v>14.56</v>
      </c>
      <c r="I4462" s="43" t="n">
        <f aca="false">F4462*H4462</f>
        <v>123.1776</v>
      </c>
      <c r="J4462" s="43" t="n">
        <f aca="false">G4462*H4462*1.5</f>
        <v>0</v>
      </c>
      <c r="K4462" s="6" t="n">
        <v>22.97</v>
      </c>
      <c r="L4462" s="43" t="n">
        <f aca="false">K4462*'Chart of Accounts'!$E$68</f>
        <v>15.3899</v>
      </c>
      <c r="O4462" s="42" t="n">
        <f aca="false">I4462+J4462+L4462</f>
        <v>138.5675</v>
      </c>
    </row>
    <row r="4463" customFormat="false" ht="15" hidden="false" customHeight="false" outlineLevel="0" collapsed="false">
      <c r="B4463" s="7" t="s">
        <v>13096</v>
      </c>
      <c r="C4463" s="39" t="n">
        <v>45936</v>
      </c>
      <c r="D4463" s="7" t="s">
        <v>242</v>
      </c>
      <c r="E4463" s="7" t="s">
        <v>180</v>
      </c>
      <c r="F4463" s="6" t="n">
        <v>7.45</v>
      </c>
      <c r="G4463" s="6" t="n">
        <v>0</v>
      </c>
      <c r="H4463" s="41" t="n">
        <v>17.99</v>
      </c>
      <c r="I4463" s="43" t="n">
        <f aca="false">F4463*H4463</f>
        <v>134.0255</v>
      </c>
      <c r="J4463" s="43" t="n">
        <f aca="false">G4463*H4463*1.5</f>
        <v>0</v>
      </c>
      <c r="K4463" s="6" t="n">
        <v>23.33</v>
      </c>
      <c r="L4463" s="43" t="n">
        <f aca="false">K4463*'Chart of Accounts'!$E$68</f>
        <v>15.6311</v>
      </c>
      <c r="O4463" s="42" t="n">
        <f aca="false">I4463+J4463+L4463</f>
        <v>149.6566</v>
      </c>
    </row>
    <row r="4464" customFormat="false" ht="15" hidden="false" customHeight="false" outlineLevel="0" collapsed="false">
      <c r="B4464" s="7" t="s">
        <v>13097</v>
      </c>
      <c r="C4464" s="39" t="n">
        <v>45936</v>
      </c>
      <c r="D4464" s="7" t="s">
        <v>222</v>
      </c>
      <c r="E4464" s="7" t="s">
        <v>180</v>
      </c>
      <c r="F4464" s="6" t="n">
        <v>6.52</v>
      </c>
      <c r="G4464" s="6" t="n">
        <v>0</v>
      </c>
      <c r="H4464" s="41" t="n">
        <v>17.84</v>
      </c>
      <c r="I4464" s="43" t="n">
        <f aca="false">F4464*H4464</f>
        <v>116.3168</v>
      </c>
      <c r="J4464" s="43" t="n">
        <f aca="false">G4464*H4464*1.5</f>
        <v>0</v>
      </c>
      <c r="K4464" s="6" t="n">
        <v>19.27</v>
      </c>
      <c r="L4464" s="43" t="n">
        <f aca="false">K4464*'Chart of Accounts'!$E$68</f>
        <v>12.9109</v>
      </c>
      <c r="O4464" s="42" t="n">
        <f aca="false">I4464+J4464+L4464</f>
        <v>129.2277</v>
      </c>
    </row>
    <row r="4465" customFormat="false" ht="15" hidden="false" customHeight="false" outlineLevel="0" collapsed="false">
      <c r="B4465" s="7" t="s">
        <v>13098</v>
      </c>
      <c r="C4465" s="39" t="n">
        <v>45936</v>
      </c>
      <c r="D4465" s="7" t="s">
        <v>238</v>
      </c>
      <c r="E4465" s="7" t="s">
        <v>180</v>
      </c>
      <c r="F4465" s="6" t="n">
        <v>12.03</v>
      </c>
      <c r="G4465" s="6" t="n">
        <v>0</v>
      </c>
      <c r="H4465" s="41" t="n">
        <v>15.85</v>
      </c>
      <c r="I4465" s="43" t="n">
        <f aca="false">F4465*H4465</f>
        <v>190.6755</v>
      </c>
      <c r="J4465" s="43" t="n">
        <f aca="false">G4465*H4465*1.5</f>
        <v>0</v>
      </c>
      <c r="K4465" s="6" t="n">
        <v>30.21</v>
      </c>
      <c r="L4465" s="43" t="n">
        <f aca="false">K4465*'Chart of Accounts'!$E$68</f>
        <v>20.2407</v>
      </c>
      <c r="O4465" s="42" t="n">
        <f aca="false">I4465+J4465+L4465</f>
        <v>210.9162</v>
      </c>
    </row>
    <row r="4466" customFormat="false" ht="15" hidden="false" customHeight="false" outlineLevel="0" collapsed="false">
      <c r="B4466" s="7" t="s">
        <v>13099</v>
      </c>
      <c r="C4466" s="39" t="n">
        <v>45936</v>
      </c>
      <c r="D4466" s="7" t="s">
        <v>244</v>
      </c>
      <c r="E4466" s="7" t="s">
        <v>180</v>
      </c>
      <c r="F4466" s="6" t="n">
        <v>4.39</v>
      </c>
      <c r="G4466" s="6" t="n">
        <v>0</v>
      </c>
      <c r="H4466" s="41" t="n">
        <v>16.39</v>
      </c>
      <c r="I4466" s="43" t="n">
        <f aca="false">F4466*H4466</f>
        <v>71.9521</v>
      </c>
      <c r="J4466" s="43" t="n">
        <f aca="false">G4466*H4466*1.5</f>
        <v>0</v>
      </c>
      <c r="K4466" s="6" t="n">
        <v>13.47</v>
      </c>
      <c r="L4466" s="43" t="n">
        <f aca="false">K4466*'Chart of Accounts'!$E$68</f>
        <v>9.0249</v>
      </c>
      <c r="O4466" s="42" t="n">
        <f aca="false">I4466+J4466+L4466</f>
        <v>80.977</v>
      </c>
    </row>
    <row r="4467" customFormat="false" ht="15" hidden="false" customHeight="false" outlineLevel="0" collapsed="false">
      <c r="B4467" s="7" t="s">
        <v>13100</v>
      </c>
      <c r="C4467" s="39" t="n">
        <v>45936</v>
      </c>
      <c r="D4467" s="7" t="s">
        <v>246</v>
      </c>
      <c r="E4467" s="7" t="s">
        <v>180</v>
      </c>
      <c r="F4467" s="6" t="n">
        <v>11.1</v>
      </c>
      <c r="G4467" s="6" t="n">
        <v>0</v>
      </c>
      <c r="H4467" s="41" t="n">
        <v>16.48</v>
      </c>
      <c r="I4467" s="43" t="n">
        <f aca="false">F4467*H4467</f>
        <v>182.928</v>
      </c>
      <c r="J4467" s="43" t="n">
        <f aca="false">G4467*H4467*1.5</f>
        <v>0</v>
      </c>
      <c r="K4467" s="6" t="n">
        <v>26.87</v>
      </c>
      <c r="L4467" s="43" t="n">
        <f aca="false">K4467*'Chart of Accounts'!$E$68</f>
        <v>18.0029</v>
      </c>
      <c r="O4467" s="42" t="n">
        <f aca="false">I4467+J4467+L4467</f>
        <v>200.9309</v>
      </c>
    </row>
    <row r="4468" customFormat="false" ht="15" hidden="false" customHeight="false" outlineLevel="0" collapsed="false">
      <c r="B4468" s="7" t="s">
        <v>13101</v>
      </c>
      <c r="C4468" s="39" t="n">
        <v>45936</v>
      </c>
      <c r="D4468" s="7" t="s">
        <v>232</v>
      </c>
      <c r="E4468" s="7" t="s">
        <v>180</v>
      </c>
      <c r="F4468" s="6" t="n">
        <v>4.81</v>
      </c>
      <c r="G4468" s="6" t="n">
        <v>0</v>
      </c>
      <c r="H4468" s="41" t="n">
        <v>16.17</v>
      </c>
      <c r="I4468" s="43" t="n">
        <f aca="false">F4468*H4468</f>
        <v>77.7777</v>
      </c>
      <c r="J4468" s="43" t="n">
        <f aca="false">G4468*H4468*1.5</f>
        <v>0</v>
      </c>
      <c r="K4468" s="6" t="n">
        <v>12.53</v>
      </c>
      <c r="L4468" s="43" t="n">
        <f aca="false">K4468*'Chart of Accounts'!$E$68</f>
        <v>8.3951</v>
      </c>
      <c r="O4468" s="42" t="n">
        <f aca="false">I4468+J4468+L4468</f>
        <v>86.1728</v>
      </c>
    </row>
    <row r="4469" customFormat="false" ht="15" hidden="false" customHeight="false" outlineLevel="0" collapsed="false">
      <c r="B4469" s="7" t="s">
        <v>13102</v>
      </c>
      <c r="C4469" s="39" t="n">
        <v>45936</v>
      </c>
      <c r="D4469" s="7" t="s">
        <v>254</v>
      </c>
      <c r="E4469" s="7" t="s">
        <v>180</v>
      </c>
      <c r="F4469" s="6" t="n">
        <v>4.28</v>
      </c>
      <c r="G4469" s="6" t="n">
        <v>0</v>
      </c>
      <c r="H4469" s="41" t="n">
        <v>17.1</v>
      </c>
      <c r="I4469" s="43" t="n">
        <f aca="false">F4469*H4469</f>
        <v>73.188</v>
      </c>
      <c r="J4469" s="43" t="n">
        <f aca="false">G4469*H4469*1.5</f>
        <v>0</v>
      </c>
      <c r="K4469" s="6" t="n">
        <v>11.35</v>
      </c>
      <c r="L4469" s="43" t="n">
        <f aca="false">K4469*'Chart of Accounts'!$E$68</f>
        <v>7.6045</v>
      </c>
      <c r="O4469" s="42" t="n">
        <f aca="false">I4469+J4469+L4469</f>
        <v>80.7925</v>
      </c>
    </row>
    <row r="4470" customFormat="false" ht="15" hidden="false" customHeight="false" outlineLevel="0" collapsed="false">
      <c r="B4470" s="7" t="s">
        <v>13103</v>
      </c>
      <c r="C4470" s="39" t="n">
        <v>45937</v>
      </c>
      <c r="D4470" s="7" t="s">
        <v>236</v>
      </c>
      <c r="E4470" s="7" t="s">
        <v>180</v>
      </c>
      <c r="F4470" s="6" t="n">
        <v>7.68</v>
      </c>
      <c r="G4470" s="6" t="n">
        <v>0</v>
      </c>
      <c r="H4470" s="41" t="n">
        <v>15.49</v>
      </c>
      <c r="I4470" s="43" t="n">
        <f aca="false">F4470*H4470</f>
        <v>118.9632</v>
      </c>
      <c r="J4470" s="43" t="n">
        <f aca="false">G4470*H4470*1.5</f>
        <v>0</v>
      </c>
      <c r="K4470" s="6" t="n">
        <v>24.57</v>
      </c>
      <c r="L4470" s="43" t="n">
        <f aca="false">K4470*'Chart of Accounts'!$E$68</f>
        <v>16.4619</v>
      </c>
      <c r="O4470" s="42" t="n">
        <f aca="false">I4470+J4470+L4470</f>
        <v>135.4251</v>
      </c>
    </row>
    <row r="4471" customFormat="false" ht="15" hidden="false" customHeight="false" outlineLevel="0" collapsed="false">
      <c r="B4471" s="7" t="s">
        <v>13104</v>
      </c>
      <c r="C4471" s="39" t="n">
        <v>45937</v>
      </c>
      <c r="D4471" s="7" t="s">
        <v>198</v>
      </c>
      <c r="E4471" s="7" t="s">
        <v>158</v>
      </c>
      <c r="H4471" s="41" t="n">
        <v>48.09</v>
      </c>
      <c r="M4471" s="6" t="n">
        <v>1</v>
      </c>
      <c r="N4471" s="43" t="n">
        <f aca="false">M4471*H4471</f>
        <v>48.09</v>
      </c>
      <c r="O4471" s="42" t="n">
        <f aca="false">N4471</f>
        <v>48.09</v>
      </c>
    </row>
    <row r="4472" customFormat="false" ht="15" hidden="false" customHeight="false" outlineLevel="0" collapsed="false">
      <c r="B4472" s="7" t="s">
        <v>13105</v>
      </c>
      <c r="C4472" s="39" t="n">
        <v>45937</v>
      </c>
      <c r="D4472" s="7" t="s">
        <v>209</v>
      </c>
      <c r="E4472" s="7" t="s">
        <v>158</v>
      </c>
      <c r="H4472" s="41" t="n">
        <v>73.58</v>
      </c>
      <c r="M4472" s="6" t="n">
        <v>2</v>
      </c>
      <c r="N4472" s="43" t="n">
        <f aca="false">M4472*H4472</f>
        <v>147.16</v>
      </c>
      <c r="O4472" s="42" t="n">
        <f aca="false">N4472</f>
        <v>147.16</v>
      </c>
    </row>
    <row r="4473" customFormat="false" ht="15" hidden="false" customHeight="false" outlineLevel="0" collapsed="false">
      <c r="B4473" s="7" t="s">
        <v>13106</v>
      </c>
      <c r="C4473" s="39" t="n">
        <v>45937</v>
      </c>
      <c r="D4473" s="7" t="s">
        <v>184</v>
      </c>
      <c r="E4473" s="7" t="s">
        <v>180</v>
      </c>
      <c r="F4473" s="6" t="n">
        <v>3.88</v>
      </c>
      <c r="G4473" s="6" t="n">
        <v>0</v>
      </c>
      <c r="H4473" s="41" t="n">
        <v>17.34</v>
      </c>
      <c r="I4473" s="43" t="n">
        <f aca="false">F4473*H4473</f>
        <v>67.2792</v>
      </c>
      <c r="J4473" s="43" t="n">
        <f aca="false">G4473*H4473*1.5</f>
        <v>0</v>
      </c>
      <c r="K4473" s="6" t="n">
        <v>11.95</v>
      </c>
      <c r="L4473" s="43" t="n">
        <f aca="false">K4473*'Chart of Accounts'!$E$68</f>
        <v>8.0065</v>
      </c>
      <c r="O4473" s="42" t="n">
        <f aca="false">I4473+J4473+L4473</f>
        <v>75.2857</v>
      </c>
    </row>
    <row r="4474" customFormat="false" ht="15" hidden="false" customHeight="false" outlineLevel="0" collapsed="false">
      <c r="B4474" s="7" t="s">
        <v>13107</v>
      </c>
      <c r="C4474" s="39" t="n">
        <v>45937</v>
      </c>
      <c r="D4474" s="7" t="s">
        <v>234</v>
      </c>
      <c r="E4474" s="7" t="s">
        <v>158</v>
      </c>
      <c r="H4474" s="41" t="n">
        <v>89.53</v>
      </c>
      <c r="M4474" s="6" t="n">
        <v>2</v>
      </c>
      <c r="N4474" s="43" t="n">
        <f aca="false">M4474*H4474</f>
        <v>179.06</v>
      </c>
      <c r="O4474" s="42" t="n">
        <f aca="false">N4474</f>
        <v>179.06</v>
      </c>
    </row>
    <row r="4475" customFormat="false" ht="15" hidden="false" customHeight="false" outlineLevel="0" collapsed="false">
      <c r="B4475" s="7" t="s">
        <v>13108</v>
      </c>
      <c r="C4475" s="39" t="n">
        <v>45937</v>
      </c>
      <c r="D4475" s="7" t="s">
        <v>218</v>
      </c>
      <c r="E4475" s="7" t="s">
        <v>180</v>
      </c>
      <c r="F4475" s="6" t="n">
        <v>4.3</v>
      </c>
      <c r="G4475" s="6" t="n">
        <v>0</v>
      </c>
      <c r="H4475" s="41" t="n">
        <v>16.19</v>
      </c>
      <c r="I4475" s="43" t="n">
        <f aca="false">F4475*H4475</f>
        <v>69.617</v>
      </c>
      <c r="J4475" s="43" t="n">
        <f aca="false">G4475*H4475*1.5</f>
        <v>0</v>
      </c>
      <c r="K4475" s="6" t="n">
        <v>12.17</v>
      </c>
      <c r="L4475" s="43" t="n">
        <f aca="false">K4475*'Chart of Accounts'!$E$68</f>
        <v>8.1539</v>
      </c>
      <c r="O4475" s="42" t="n">
        <f aca="false">I4475+J4475+L4475</f>
        <v>77.7709</v>
      </c>
    </row>
    <row r="4476" customFormat="false" ht="15" hidden="false" customHeight="false" outlineLevel="0" collapsed="false">
      <c r="B4476" s="7" t="s">
        <v>13109</v>
      </c>
      <c r="C4476" s="39" t="n">
        <v>45937</v>
      </c>
      <c r="D4476" s="7" t="s">
        <v>216</v>
      </c>
      <c r="E4476" s="7" t="s">
        <v>158</v>
      </c>
      <c r="H4476" s="41" t="n">
        <v>61.79</v>
      </c>
      <c r="M4476" s="6" t="n">
        <v>1</v>
      </c>
      <c r="N4476" s="43" t="n">
        <f aca="false">M4476*H4476</f>
        <v>61.79</v>
      </c>
      <c r="O4476" s="42" t="n">
        <f aca="false">N4476</f>
        <v>61.79</v>
      </c>
    </row>
    <row r="4477" customFormat="false" ht="15" hidden="false" customHeight="false" outlineLevel="0" collapsed="false">
      <c r="B4477" s="7" t="s">
        <v>13110</v>
      </c>
      <c r="C4477" s="39" t="n">
        <v>45937</v>
      </c>
      <c r="D4477" s="7" t="s">
        <v>228</v>
      </c>
      <c r="E4477" s="7" t="s">
        <v>158</v>
      </c>
      <c r="H4477" s="41" t="n">
        <v>51.07</v>
      </c>
      <c r="M4477" s="6" t="n">
        <v>1</v>
      </c>
      <c r="N4477" s="43" t="n">
        <f aca="false">M4477*H4477</f>
        <v>51.07</v>
      </c>
      <c r="O4477" s="42" t="n">
        <f aca="false">N4477</f>
        <v>51.07</v>
      </c>
    </row>
    <row r="4478" customFormat="false" ht="15" hidden="false" customHeight="false" outlineLevel="0" collapsed="false">
      <c r="B4478" s="7" t="s">
        <v>13111</v>
      </c>
      <c r="C4478" s="39" t="n">
        <v>45937</v>
      </c>
      <c r="D4478" s="7" t="s">
        <v>220</v>
      </c>
      <c r="E4478" s="7" t="s">
        <v>180</v>
      </c>
      <c r="F4478" s="6" t="n">
        <v>4.26</v>
      </c>
      <c r="G4478" s="6" t="n">
        <v>0</v>
      </c>
      <c r="H4478" s="41" t="n">
        <v>16.43</v>
      </c>
      <c r="I4478" s="43" t="n">
        <f aca="false">F4478*H4478</f>
        <v>69.9918</v>
      </c>
      <c r="J4478" s="43" t="n">
        <f aca="false">G4478*H4478*1.5</f>
        <v>0</v>
      </c>
      <c r="K4478" s="6" t="n">
        <v>13.23</v>
      </c>
      <c r="L4478" s="43" t="n">
        <f aca="false">K4478*'Chart of Accounts'!$E$68</f>
        <v>8.8641</v>
      </c>
      <c r="O4478" s="42" t="n">
        <f aca="false">I4478+J4478+L4478</f>
        <v>78.8559</v>
      </c>
    </row>
    <row r="4479" customFormat="false" ht="15" hidden="false" customHeight="false" outlineLevel="0" collapsed="false">
      <c r="B4479" s="7" t="s">
        <v>13112</v>
      </c>
      <c r="C4479" s="39" t="n">
        <v>45937</v>
      </c>
      <c r="D4479" s="7" t="s">
        <v>244</v>
      </c>
      <c r="E4479" s="7" t="s">
        <v>180</v>
      </c>
      <c r="F4479" s="6" t="n">
        <v>3.75</v>
      </c>
      <c r="G4479" s="6" t="n">
        <v>0</v>
      </c>
      <c r="H4479" s="41" t="n">
        <v>16.39</v>
      </c>
      <c r="I4479" s="43" t="n">
        <f aca="false">F4479*H4479</f>
        <v>61.4625</v>
      </c>
      <c r="J4479" s="43" t="n">
        <f aca="false">G4479*H4479*1.5</f>
        <v>0</v>
      </c>
      <c r="K4479" s="6" t="n">
        <v>13.45</v>
      </c>
      <c r="L4479" s="43" t="n">
        <f aca="false">K4479*'Chart of Accounts'!$E$68</f>
        <v>9.0115</v>
      </c>
      <c r="O4479" s="42" t="n">
        <f aca="false">I4479+J4479+L4479</f>
        <v>70.474</v>
      </c>
    </row>
    <row r="4480" customFormat="false" ht="15" hidden="false" customHeight="false" outlineLevel="0" collapsed="false">
      <c r="B4480" s="7" t="s">
        <v>13113</v>
      </c>
      <c r="C4480" s="39" t="n">
        <v>45937</v>
      </c>
      <c r="D4480" s="7" t="s">
        <v>194</v>
      </c>
      <c r="E4480" s="7" t="s">
        <v>180</v>
      </c>
      <c r="F4480" s="6" t="n">
        <v>4.33</v>
      </c>
      <c r="G4480" s="6" t="n">
        <v>0</v>
      </c>
      <c r="H4480" s="41" t="n">
        <v>16</v>
      </c>
      <c r="I4480" s="43" t="n">
        <f aca="false">F4480*H4480</f>
        <v>69.28</v>
      </c>
      <c r="J4480" s="43" t="n">
        <f aca="false">G4480*H4480*1.5</f>
        <v>0</v>
      </c>
      <c r="K4480" s="6" t="n">
        <v>13.18</v>
      </c>
      <c r="L4480" s="43" t="n">
        <f aca="false">K4480*'Chart of Accounts'!$E$68</f>
        <v>8.8306</v>
      </c>
      <c r="O4480" s="42" t="n">
        <f aca="false">I4480+J4480+L4480</f>
        <v>78.1106</v>
      </c>
    </row>
    <row r="4481" customFormat="false" ht="15" hidden="false" customHeight="false" outlineLevel="0" collapsed="false">
      <c r="B4481" s="7" t="s">
        <v>13114</v>
      </c>
      <c r="C4481" s="39" t="n">
        <v>45937</v>
      </c>
      <c r="D4481" s="7" t="s">
        <v>258</v>
      </c>
      <c r="E4481" s="7" t="s">
        <v>158</v>
      </c>
      <c r="H4481" s="41" t="n">
        <v>61.61</v>
      </c>
      <c r="M4481" s="6" t="n">
        <v>1</v>
      </c>
      <c r="N4481" s="43" t="n">
        <f aca="false">M4481*H4481</f>
        <v>61.61</v>
      </c>
      <c r="O4481" s="42" t="n">
        <f aca="false">N4481</f>
        <v>61.61</v>
      </c>
    </row>
    <row r="4482" customFormat="false" ht="15" hidden="false" customHeight="false" outlineLevel="0" collapsed="false">
      <c r="B4482" s="7" t="s">
        <v>13115</v>
      </c>
      <c r="C4482" s="39" t="n">
        <v>45937</v>
      </c>
      <c r="D4482" s="7" t="s">
        <v>230</v>
      </c>
      <c r="E4482" s="7" t="s">
        <v>158</v>
      </c>
      <c r="H4482" s="41" t="n">
        <v>48.78</v>
      </c>
      <c r="M4482" s="6" t="n">
        <v>1</v>
      </c>
      <c r="N4482" s="43" t="n">
        <f aca="false">M4482*H4482</f>
        <v>48.78</v>
      </c>
      <c r="O4482" s="42" t="n">
        <f aca="false">N4482</f>
        <v>48.78</v>
      </c>
    </row>
    <row r="4483" customFormat="false" ht="15" hidden="false" customHeight="false" outlineLevel="0" collapsed="false">
      <c r="B4483" s="7" t="s">
        <v>13116</v>
      </c>
      <c r="C4483" s="39" t="n">
        <v>45937</v>
      </c>
      <c r="D4483" s="7" t="s">
        <v>196</v>
      </c>
      <c r="E4483" s="7" t="s">
        <v>180</v>
      </c>
      <c r="F4483" s="6" t="n">
        <v>3.647</v>
      </c>
      <c r="G4483" s="6" t="n">
        <v>0.023</v>
      </c>
      <c r="H4483" s="41" t="n">
        <v>15.05</v>
      </c>
      <c r="I4483" s="43" t="n">
        <f aca="false">F4483*H4483</f>
        <v>54.88735</v>
      </c>
      <c r="J4483" s="43" t="n">
        <f aca="false">G4483*H4483*1.5</f>
        <v>0.519225</v>
      </c>
      <c r="K4483" s="6" t="n">
        <v>10.76</v>
      </c>
      <c r="L4483" s="43" t="n">
        <f aca="false">K4483*'Chart of Accounts'!$E$68</f>
        <v>7.2092</v>
      </c>
      <c r="O4483" s="42" t="n">
        <f aca="false">I4483+J4483+L4483</f>
        <v>62.615775</v>
      </c>
    </row>
    <row r="4484" customFormat="false" ht="15" hidden="false" customHeight="false" outlineLevel="0" collapsed="false">
      <c r="B4484" s="7" t="s">
        <v>13117</v>
      </c>
      <c r="C4484" s="39" t="n">
        <v>45937</v>
      </c>
      <c r="D4484" s="7" t="s">
        <v>246</v>
      </c>
      <c r="E4484" s="7" t="s">
        <v>180</v>
      </c>
      <c r="F4484" s="6" t="n">
        <v>4.25</v>
      </c>
      <c r="G4484" s="6" t="n">
        <v>0</v>
      </c>
      <c r="H4484" s="41" t="n">
        <v>16.48</v>
      </c>
      <c r="I4484" s="43" t="n">
        <f aca="false">F4484*H4484</f>
        <v>70.04</v>
      </c>
      <c r="J4484" s="43" t="n">
        <f aca="false">G4484*H4484*1.5</f>
        <v>0</v>
      </c>
      <c r="K4484" s="6" t="n">
        <v>11.51</v>
      </c>
      <c r="L4484" s="43" t="n">
        <f aca="false">K4484*'Chart of Accounts'!$E$68</f>
        <v>7.7117</v>
      </c>
      <c r="O4484" s="42" t="n">
        <f aca="false">I4484+J4484+L4484</f>
        <v>77.7517</v>
      </c>
    </row>
    <row r="4485" customFormat="false" ht="15" hidden="false" customHeight="false" outlineLevel="0" collapsed="false">
      <c r="B4485" s="7" t="s">
        <v>13118</v>
      </c>
      <c r="C4485" s="39" t="n">
        <v>45937</v>
      </c>
      <c r="D4485" s="7" t="s">
        <v>222</v>
      </c>
      <c r="E4485" s="7" t="s">
        <v>180</v>
      </c>
      <c r="F4485" s="6" t="n">
        <v>4.31</v>
      </c>
      <c r="G4485" s="6" t="n">
        <v>0</v>
      </c>
      <c r="H4485" s="41" t="n">
        <v>17.84</v>
      </c>
      <c r="I4485" s="43" t="n">
        <f aca="false">F4485*H4485</f>
        <v>76.8904</v>
      </c>
      <c r="J4485" s="43" t="n">
        <f aca="false">G4485*H4485*1.5</f>
        <v>0</v>
      </c>
      <c r="K4485" s="6" t="n">
        <v>10.71</v>
      </c>
      <c r="L4485" s="43" t="n">
        <f aca="false">K4485*'Chart of Accounts'!$E$68</f>
        <v>7.1757</v>
      </c>
      <c r="O4485" s="42" t="n">
        <f aca="false">I4485+J4485+L4485</f>
        <v>84.0661</v>
      </c>
    </row>
    <row r="4486" customFormat="false" ht="15" hidden="false" customHeight="false" outlineLevel="0" collapsed="false">
      <c r="B4486" s="7" t="s">
        <v>13119</v>
      </c>
      <c r="C4486" s="39" t="n">
        <v>45937</v>
      </c>
      <c r="D4486" s="7" t="s">
        <v>242</v>
      </c>
      <c r="E4486" s="7" t="s">
        <v>180</v>
      </c>
      <c r="F4486" s="6" t="n">
        <v>4.37</v>
      </c>
      <c r="G4486" s="6" t="n">
        <v>0</v>
      </c>
      <c r="H4486" s="41" t="n">
        <v>17.99</v>
      </c>
      <c r="I4486" s="43" t="n">
        <f aca="false">F4486*H4486</f>
        <v>78.6163</v>
      </c>
      <c r="J4486" s="43" t="n">
        <f aca="false">G4486*H4486*1.5</f>
        <v>0</v>
      </c>
      <c r="K4486" s="6" t="n">
        <v>14.05</v>
      </c>
      <c r="L4486" s="43" t="n">
        <f aca="false">K4486*'Chart of Accounts'!$E$68</f>
        <v>9.4135</v>
      </c>
      <c r="O4486" s="42" t="n">
        <f aca="false">I4486+J4486+L4486</f>
        <v>88.0298</v>
      </c>
    </row>
    <row r="4487" customFormat="false" ht="15" hidden="false" customHeight="false" outlineLevel="0" collapsed="false">
      <c r="B4487" s="7" t="s">
        <v>13120</v>
      </c>
      <c r="C4487" s="39" t="n">
        <v>45937</v>
      </c>
      <c r="D4487" s="7" t="s">
        <v>203</v>
      </c>
      <c r="E4487" s="7" t="s">
        <v>158</v>
      </c>
      <c r="H4487" s="41" t="n">
        <v>49.43</v>
      </c>
      <c r="M4487" s="6" t="n">
        <v>1</v>
      </c>
      <c r="N4487" s="43" t="n">
        <f aca="false">M4487*H4487</f>
        <v>49.43</v>
      </c>
      <c r="O4487" s="42" t="n">
        <f aca="false">N4487</f>
        <v>49.43</v>
      </c>
    </row>
    <row r="4488" customFormat="false" ht="15" hidden="false" customHeight="false" outlineLevel="0" collapsed="false">
      <c r="B4488" s="7" t="s">
        <v>13121</v>
      </c>
      <c r="C4488" s="39" t="n">
        <v>45937</v>
      </c>
      <c r="D4488" s="7" t="s">
        <v>254</v>
      </c>
      <c r="E4488" s="7" t="s">
        <v>180</v>
      </c>
      <c r="F4488" s="6" t="n">
        <v>3.84</v>
      </c>
      <c r="G4488" s="6" t="n">
        <v>0</v>
      </c>
      <c r="H4488" s="41" t="n">
        <v>17.1</v>
      </c>
      <c r="I4488" s="43" t="n">
        <f aca="false">F4488*H4488</f>
        <v>65.664</v>
      </c>
      <c r="J4488" s="43" t="n">
        <f aca="false">G4488*H4488*1.5</f>
        <v>0</v>
      </c>
      <c r="K4488" s="6" t="n">
        <v>9.16</v>
      </c>
      <c r="L4488" s="43" t="n">
        <f aca="false">K4488*'Chart of Accounts'!$E$68</f>
        <v>6.1372</v>
      </c>
      <c r="O4488" s="42" t="n">
        <f aca="false">I4488+J4488+L4488</f>
        <v>71.8012</v>
      </c>
    </row>
    <row r="4489" customFormat="false" ht="15" hidden="false" customHeight="false" outlineLevel="0" collapsed="false">
      <c r="B4489" s="7" t="s">
        <v>13122</v>
      </c>
      <c r="C4489" s="39" t="n">
        <v>45937</v>
      </c>
      <c r="D4489" s="7" t="s">
        <v>260</v>
      </c>
      <c r="E4489" s="7" t="s">
        <v>158</v>
      </c>
      <c r="H4489" s="41" t="n">
        <v>79.8</v>
      </c>
      <c r="M4489" s="6" t="n">
        <v>1</v>
      </c>
      <c r="N4489" s="43" t="n">
        <f aca="false">M4489*H4489</f>
        <v>79.8</v>
      </c>
      <c r="O4489" s="42" t="n">
        <f aca="false">N4489</f>
        <v>79.8</v>
      </c>
    </row>
    <row r="4490" customFormat="false" ht="15" hidden="false" customHeight="false" outlineLevel="0" collapsed="false">
      <c r="B4490" s="7" t="s">
        <v>13123</v>
      </c>
      <c r="C4490" s="39" t="n">
        <v>45938</v>
      </c>
      <c r="D4490" s="7" t="s">
        <v>214</v>
      </c>
      <c r="E4490" s="7" t="s">
        <v>180</v>
      </c>
      <c r="F4490" s="6" t="n">
        <v>7.56</v>
      </c>
      <c r="G4490" s="6" t="n">
        <v>0</v>
      </c>
      <c r="H4490" s="41" t="n">
        <v>15.67</v>
      </c>
      <c r="I4490" s="43" t="n">
        <f aca="false">F4490*H4490</f>
        <v>118.4652</v>
      </c>
      <c r="J4490" s="43" t="n">
        <f aca="false">G4490*H4490*1.5</f>
        <v>0</v>
      </c>
      <c r="K4490" s="6" t="n">
        <v>27.13</v>
      </c>
      <c r="L4490" s="43" t="n">
        <f aca="false">K4490*'Chart of Accounts'!$E$68</f>
        <v>18.1771</v>
      </c>
      <c r="O4490" s="42" t="n">
        <f aca="false">I4490+J4490+L4490</f>
        <v>136.6423</v>
      </c>
    </row>
    <row r="4491" customFormat="false" ht="15" hidden="false" customHeight="false" outlineLevel="0" collapsed="false">
      <c r="B4491" s="7" t="s">
        <v>13124</v>
      </c>
      <c r="C4491" s="39" t="n">
        <v>45938</v>
      </c>
      <c r="D4491" s="7" t="s">
        <v>205</v>
      </c>
      <c r="E4491" s="7" t="s">
        <v>180</v>
      </c>
      <c r="F4491" s="6" t="n">
        <v>4.29</v>
      </c>
      <c r="G4491" s="6" t="n">
        <v>0</v>
      </c>
      <c r="H4491" s="41" t="n">
        <v>16.36</v>
      </c>
      <c r="I4491" s="43" t="n">
        <f aca="false">F4491*H4491</f>
        <v>70.1844</v>
      </c>
      <c r="J4491" s="43" t="n">
        <f aca="false">G4491*H4491*1.5</f>
        <v>0</v>
      </c>
      <c r="K4491" s="6" t="n">
        <v>10.72</v>
      </c>
      <c r="L4491" s="43" t="n">
        <f aca="false">K4491*'Chart of Accounts'!$E$68</f>
        <v>7.1824</v>
      </c>
      <c r="O4491" s="42" t="n">
        <f aca="false">I4491+J4491+L4491</f>
        <v>77.3668</v>
      </c>
    </row>
    <row r="4492" customFormat="false" ht="15" hidden="false" customHeight="false" outlineLevel="0" collapsed="false">
      <c r="B4492" s="7" t="s">
        <v>13125</v>
      </c>
      <c r="C4492" s="39" t="n">
        <v>45938</v>
      </c>
      <c r="D4492" s="7" t="s">
        <v>264</v>
      </c>
      <c r="E4492" s="7" t="s">
        <v>158</v>
      </c>
      <c r="H4492" s="41" t="n">
        <v>55.55</v>
      </c>
      <c r="M4492" s="6" t="n">
        <v>1</v>
      </c>
      <c r="N4492" s="43" t="n">
        <f aca="false">M4492*H4492</f>
        <v>55.55</v>
      </c>
      <c r="O4492" s="42" t="n">
        <f aca="false">N4492</f>
        <v>55.55</v>
      </c>
    </row>
    <row r="4493" customFormat="false" ht="15" hidden="false" customHeight="false" outlineLevel="0" collapsed="false">
      <c r="B4493" s="7" t="s">
        <v>13126</v>
      </c>
      <c r="C4493" s="39" t="n">
        <v>45938</v>
      </c>
      <c r="D4493" s="7" t="s">
        <v>252</v>
      </c>
      <c r="E4493" s="7" t="s">
        <v>158</v>
      </c>
      <c r="H4493" s="41" t="n">
        <v>57.54</v>
      </c>
      <c r="M4493" s="6" t="n">
        <v>1</v>
      </c>
      <c r="N4493" s="43" t="n">
        <f aca="false">M4493*H4493</f>
        <v>57.54</v>
      </c>
      <c r="O4493" s="42" t="n">
        <f aca="false">N4493</f>
        <v>57.54</v>
      </c>
    </row>
    <row r="4494" customFormat="false" ht="15" hidden="false" customHeight="false" outlineLevel="0" collapsed="false">
      <c r="B4494" s="7" t="s">
        <v>13127</v>
      </c>
      <c r="C4494" s="39" t="n">
        <v>45938</v>
      </c>
      <c r="D4494" s="7" t="s">
        <v>216</v>
      </c>
      <c r="E4494" s="7" t="s">
        <v>158</v>
      </c>
      <c r="H4494" s="41" t="n">
        <v>61.79</v>
      </c>
      <c r="M4494" s="6" t="n">
        <v>1</v>
      </c>
      <c r="N4494" s="43" t="n">
        <f aca="false">M4494*H4494</f>
        <v>61.79</v>
      </c>
      <c r="O4494" s="42" t="n">
        <f aca="false">N4494</f>
        <v>61.79</v>
      </c>
    </row>
    <row r="4495" customFormat="false" ht="15" hidden="false" customHeight="false" outlineLevel="0" collapsed="false">
      <c r="B4495" s="7" t="s">
        <v>13128</v>
      </c>
      <c r="C4495" s="39" t="n">
        <v>45938</v>
      </c>
      <c r="D4495" s="7" t="s">
        <v>218</v>
      </c>
      <c r="E4495" s="7" t="s">
        <v>180</v>
      </c>
      <c r="F4495" s="6" t="n">
        <v>3.81</v>
      </c>
      <c r="G4495" s="6" t="n">
        <v>0</v>
      </c>
      <c r="H4495" s="41" t="n">
        <v>16.19</v>
      </c>
      <c r="I4495" s="43" t="n">
        <f aca="false">F4495*H4495</f>
        <v>61.6839</v>
      </c>
      <c r="J4495" s="43" t="n">
        <f aca="false">G4495*H4495*1.5</f>
        <v>0</v>
      </c>
      <c r="K4495" s="6" t="n">
        <v>12.66</v>
      </c>
      <c r="L4495" s="43" t="n">
        <f aca="false">K4495*'Chart of Accounts'!$E$68</f>
        <v>8.4822</v>
      </c>
      <c r="O4495" s="42" t="n">
        <f aca="false">I4495+J4495+L4495</f>
        <v>70.1661</v>
      </c>
    </row>
    <row r="4496" customFormat="false" ht="15" hidden="false" customHeight="false" outlineLevel="0" collapsed="false">
      <c r="B4496" s="7" t="s">
        <v>13129</v>
      </c>
      <c r="C4496" s="39" t="n">
        <v>45938</v>
      </c>
      <c r="D4496" s="7" t="s">
        <v>220</v>
      </c>
      <c r="E4496" s="7" t="s">
        <v>180</v>
      </c>
      <c r="F4496" s="6" t="n">
        <v>8.52</v>
      </c>
      <c r="G4496" s="6" t="n">
        <v>0</v>
      </c>
      <c r="H4496" s="41" t="n">
        <v>16.43</v>
      </c>
      <c r="I4496" s="43" t="n">
        <f aca="false">F4496*H4496</f>
        <v>139.9836</v>
      </c>
      <c r="J4496" s="43" t="n">
        <f aca="false">G4496*H4496*1.5</f>
        <v>0</v>
      </c>
      <c r="K4496" s="6" t="n">
        <v>19.2</v>
      </c>
      <c r="L4496" s="43" t="n">
        <f aca="false">K4496*'Chart of Accounts'!$E$68</f>
        <v>12.864</v>
      </c>
      <c r="O4496" s="42" t="n">
        <f aca="false">I4496+J4496+L4496</f>
        <v>152.8476</v>
      </c>
    </row>
    <row r="4497" customFormat="false" ht="15" hidden="false" customHeight="false" outlineLevel="0" collapsed="false">
      <c r="B4497" s="7" t="s">
        <v>13130</v>
      </c>
      <c r="C4497" s="39" t="n">
        <v>45938</v>
      </c>
      <c r="D4497" s="7" t="s">
        <v>236</v>
      </c>
      <c r="E4497" s="7" t="s">
        <v>180</v>
      </c>
      <c r="F4497" s="6" t="n">
        <v>3</v>
      </c>
      <c r="G4497" s="6" t="n">
        <v>0</v>
      </c>
      <c r="H4497" s="41" t="n">
        <v>15.49</v>
      </c>
      <c r="I4497" s="43" t="n">
        <f aca="false">F4497*H4497</f>
        <v>46.47</v>
      </c>
      <c r="J4497" s="43" t="n">
        <f aca="false">G4497*H4497*1.5</f>
        <v>0</v>
      </c>
      <c r="K4497" s="6" t="n">
        <v>9.13</v>
      </c>
      <c r="L4497" s="43" t="n">
        <f aca="false">K4497*'Chart of Accounts'!$E$68</f>
        <v>6.1171</v>
      </c>
      <c r="O4497" s="42" t="n">
        <f aca="false">I4497+J4497+L4497</f>
        <v>52.5871</v>
      </c>
    </row>
    <row r="4498" customFormat="false" ht="15" hidden="false" customHeight="false" outlineLevel="0" collapsed="false">
      <c r="B4498" s="7" t="s">
        <v>13131</v>
      </c>
      <c r="C4498" s="39" t="n">
        <v>45938</v>
      </c>
      <c r="D4498" s="7" t="s">
        <v>177</v>
      </c>
      <c r="E4498" s="7" t="s">
        <v>180</v>
      </c>
      <c r="F4498" s="6" t="n">
        <v>8.44</v>
      </c>
      <c r="G4498" s="6" t="n">
        <v>0</v>
      </c>
      <c r="H4498" s="41" t="n">
        <v>14.56</v>
      </c>
      <c r="I4498" s="43" t="n">
        <f aca="false">F4498*H4498</f>
        <v>122.8864</v>
      </c>
      <c r="J4498" s="43" t="n">
        <f aca="false">G4498*H4498*1.5</f>
        <v>0</v>
      </c>
      <c r="K4498" s="6" t="n">
        <v>25.82</v>
      </c>
      <c r="L4498" s="43" t="n">
        <f aca="false">K4498*'Chart of Accounts'!$E$68</f>
        <v>17.2994</v>
      </c>
      <c r="O4498" s="42" t="n">
        <f aca="false">I4498+J4498+L4498</f>
        <v>140.1858</v>
      </c>
    </row>
    <row r="4499" customFormat="false" ht="15" hidden="false" customHeight="false" outlineLevel="0" collapsed="false">
      <c r="B4499" s="7" t="s">
        <v>13132</v>
      </c>
      <c r="C4499" s="39" t="n">
        <v>45938</v>
      </c>
      <c r="D4499" s="7" t="s">
        <v>242</v>
      </c>
      <c r="E4499" s="7" t="s">
        <v>180</v>
      </c>
      <c r="F4499" s="6" t="n">
        <v>7.05</v>
      </c>
      <c r="G4499" s="6" t="n">
        <v>0</v>
      </c>
      <c r="H4499" s="41" t="n">
        <v>17.99</v>
      </c>
      <c r="I4499" s="43" t="n">
        <f aca="false">F4499*H4499</f>
        <v>126.8295</v>
      </c>
      <c r="J4499" s="43" t="n">
        <f aca="false">G4499*H4499*1.5</f>
        <v>0</v>
      </c>
      <c r="K4499" s="6" t="n">
        <v>21.5</v>
      </c>
      <c r="L4499" s="43" t="n">
        <f aca="false">K4499*'Chart of Accounts'!$E$68</f>
        <v>14.405</v>
      </c>
      <c r="O4499" s="42" t="n">
        <f aca="false">I4499+J4499+L4499</f>
        <v>141.2345</v>
      </c>
    </row>
    <row r="4500" customFormat="false" ht="15" hidden="false" customHeight="false" outlineLevel="0" collapsed="false">
      <c r="B4500" s="7" t="s">
        <v>13133</v>
      </c>
      <c r="C4500" s="39" t="n">
        <v>45938</v>
      </c>
      <c r="D4500" s="7" t="s">
        <v>238</v>
      </c>
      <c r="E4500" s="7" t="s">
        <v>180</v>
      </c>
      <c r="F4500" s="6" t="n">
        <v>9.05</v>
      </c>
      <c r="G4500" s="6" t="n">
        <v>0</v>
      </c>
      <c r="H4500" s="41" t="n">
        <v>15.85</v>
      </c>
      <c r="I4500" s="43" t="n">
        <f aca="false">F4500*H4500</f>
        <v>143.4425</v>
      </c>
      <c r="J4500" s="43" t="n">
        <f aca="false">G4500*H4500*1.5</f>
        <v>0</v>
      </c>
      <c r="K4500" s="6" t="n">
        <v>31.49</v>
      </c>
      <c r="L4500" s="43" t="n">
        <f aca="false">K4500*'Chart of Accounts'!$E$68</f>
        <v>21.0983</v>
      </c>
      <c r="O4500" s="42" t="n">
        <f aca="false">I4500+J4500+L4500</f>
        <v>164.5408</v>
      </c>
    </row>
    <row r="4501" customFormat="false" ht="15" hidden="false" customHeight="false" outlineLevel="0" collapsed="false">
      <c r="B4501" s="7" t="s">
        <v>13134</v>
      </c>
      <c r="C4501" s="39" t="n">
        <v>45938</v>
      </c>
      <c r="D4501" s="7" t="s">
        <v>244</v>
      </c>
      <c r="E4501" s="7" t="s">
        <v>180</v>
      </c>
      <c r="F4501" s="6" t="n">
        <v>4.26</v>
      </c>
      <c r="G4501" s="6" t="n">
        <v>0</v>
      </c>
      <c r="H4501" s="41" t="n">
        <v>16.39</v>
      </c>
      <c r="I4501" s="43" t="n">
        <f aca="false">F4501*H4501</f>
        <v>69.8214</v>
      </c>
      <c r="J4501" s="43" t="n">
        <f aca="false">G4501*H4501*1.5</f>
        <v>0</v>
      </c>
      <c r="K4501" s="6" t="n">
        <v>13.41</v>
      </c>
      <c r="L4501" s="43" t="n">
        <f aca="false">K4501*'Chart of Accounts'!$E$68</f>
        <v>8.9847</v>
      </c>
      <c r="O4501" s="42" t="n">
        <f aca="false">I4501+J4501+L4501</f>
        <v>78.8061</v>
      </c>
    </row>
    <row r="4502" customFormat="false" ht="15" hidden="false" customHeight="false" outlineLevel="0" collapsed="false">
      <c r="B4502" s="7" t="s">
        <v>13135</v>
      </c>
      <c r="C4502" s="39" t="n">
        <v>45938</v>
      </c>
      <c r="D4502" s="7" t="s">
        <v>254</v>
      </c>
      <c r="E4502" s="7" t="s">
        <v>180</v>
      </c>
      <c r="F4502" s="6" t="n">
        <v>7.48</v>
      </c>
      <c r="G4502" s="6" t="n">
        <v>0</v>
      </c>
      <c r="H4502" s="41" t="n">
        <v>17.1</v>
      </c>
      <c r="I4502" s="43" t="n">
        <f aca="false">F4502*H4502</f>
        <v>127.908</v>
      </c>
      <c r="J4502" s="43" t="n">
        <f aca="false">G4502*H4502*1.5</f>
        <v>0</v>
      </c>
      <c r="K4502" s="6" t="n">
        <v>21.88</v>
      </c>
      <c r="L4502" s="43" t="n">
        <f aca="false">K4502*'Chart of Accounts'!$E$68</f>
        <v>14.6596</v>
      </c>
      <c r="O4502" s="42" t="n">
        <f aca="false">I4502+J4502+L4502</f>
        <v>142.5676</v>
      </c>
    </row>
    <row r="4503" customFormat="false" ht="15" hidden="false" customHeight="false" outlineLevel="0" collapsed="false">
      <c r="B4503" s="7" t="s">
        <v>13136</v>
      </c>
      <c r="C4503" s="39" t="n">
        <v>45938</v>
      </c>
      <c r="D4503" s="7" t="s">
        <v>201</v>
      </c>
      <c r="E4503" s="7" t="s">
        <v>180</v>
      </c>
      <c r="F4503" s="6" t="n">
        <v>6.95</v>
      </c>
      <c r="G4503" s="6" t="n">
        <v>0</v>
      </c>
      <c r="H4503" s="41" t="n">
        <v>15.19</v>
      </c>
      <c r="I4503" s="43" t="n">
        <f aca="false">F4503*H4503</f>
        <v>105.5705</v>
      </c>
      <c r="J4503" s="43" t="n">
        <f aca="false">G4503*H4503*1.5</f>
        <v>0</v>
      </c>
      <c r="K4503" s="6" t="n">
        <v>17.41</v>
      </c>
      <c r="L4503" s="43" t="n">
        <f aca="false">K4503*'Chart of Accounts'!$E$68</f>
        <v>11.6647</v>
      </c>
      <c r="O4503" s="42" t="n">
        <f aca="false">I4503+J4503+L4503</f>
        <v>117.2352</v>
      </c>
    </row>
    <row r="4504" customFormat="false" ht="15" hidden="false" customHeight="false" outlineLevel="0" collapsed="false">
      <c r="B4504" s="7" t="s">
        <v>13137</v>
      </c>
      <c r="C4504" s="39" t="n">
        <v>45938</v>
      </c>
      <c r="D4504" s="7" t="s">
        <v>246</v>
      </c>
      <c r="E4504" s="7" t="s">
        <v>180</v>
      </c>
      <c r="F4504" s="6" t="n">
        <v>7.86</v>
      </c>
      <c r="G4504" s="6" t="n">
        <v>0</v>
      </c>
      <c r="H4504" s="41" t="n">
        <v>16.48</v>
      </c>
      <c r="I4504" s="43" t="n">
        <f aca="false">F4504*H4504</f>
        <v>129.5328</v>
      </c>
      <c r="J4504" s="43" t="n">
        <f aca="false">G4504*H4504*1.5</f>
        <v>0</v>
      </c>
      <c r="K4504" s="6" t="n">
        <v>19.62</v>
      </c>
      <c r="L4504" s="43" t="n">
        <f aca="false">K4504*'Chart of Accounts'!$E$68</f>
        <v>13.1454</v>
      </c>
      <c r="O4504" s="42" t="n">
        <f aca="false">I4504+J4504+L4504</f>
        <v>142.6782</v>
      </c>
    </row>
    <row r="4505" customFormat="false" ht="15" hidden="false" customHeight="false" outlineLevel="0" collapsed="false">
      <c r="B4505" s="7" t="s">
        <v>13138</v>
      </c>
      <c r="C4505" s="39" t="n">
        <v>45938</v>
      </c>
      <c r="D4505" s="7" t="s">
        <v>194</v>
      </c>
      <c r="E4505" s="7" t="s">
        <v>180</v>
      </c>
      <c r="F4505" s="6" t="n">
        <v>4.21</v>
      </c>
      <c r="G4505" s="6" t="n">
        <v>0</v>
      </c>
      <c r="H4505" s="41" t="n">
        <v>16</v>
      </c>
      <c r="I4505" s="43" t="n">
        <f aca="false">F4505*H4505</f>
        <v>67.36</v>
      </c>
      <c r="J4505" s="43" t="n">
        <f aca="false">G4505*H4505*1.5</f>
        <v>0</v>
      </c>
      <c r="K4505" s="6" t="n">
        <v>13.35</v>
      </c>
      <c r="L4505" s="43" t="n">
        <f aca="false">K4505*'Chart of Accounts'!$E$68</f>
        <v>8.9445</v>
      </c>
      <c r="O4505" s="42" t="n">
        <f aca="false">I4505+J4505+L4505</f>
        <v>76.3045</v>
      </c>
    </row>
    <row r="4506" customFormat="false" ht="15" hidden="false" customHeight="false" outlineLevel="0" collapsed="false">
      <c r="B4506" s="7" t="s">
        <v>13139</v>
      </c>
      <c r="C4506" s="39" t="n">
        <v>45938</v>
      </c>
      <c r="D4506" s="7" t="s">
        <v>232</v>
      </c>
      <c r="E4506" s="7" t="s">
        <v>180</v>
      </c>
      <c r="F4506" s="6" t="n">
        <v>4.39</v>
      </c>
      <c r="G4506" s="6" t="n">
        <v>0</v>
      </c>
      <c r="H4506" s="41" t="n">
        <v>16.17</v>
      </c>
      <c r="I4506" s="43" t="n">
        <f aca="false">F4506*H4506</f>
        <v>70.9863</v>
      </c>
      <c r="J4506" s="43" t="n">
        <f aca="false">G4506*H4506*1.5</f>
        <v>0</v>
      </c>
      <c r="K4506" s="6" t="n">
        <v>9.8</v>
      </c>
      <c r="L4506" s="43" t="n">
        <f aca="false">K4506*'Chart of Accounts'!$E$68</f>
        <v>6.566</v>
      </c>
      <c r="O4506" s="42" t="n">
        <f aca="false">I4506+J4506+L4506</f>
        <v>77.5523</v>
      </c>
    </row>
    <row r="4507" customFormat="false" ht="15" hidden="false" customHeight="false" outlineLevel="0" collapsed="false">
      <c r="B4507" s="7" t="s">
        <v>13140</v>
      </c>
      <c r="C4507" s="39" t="n">
        <v>45938</v>
      </c>
      <c r="D4507" s="7" t="s">
        <v>224</v>
      </c>
      <c r="E4507" s="7" t="s">
        <v>180</v>
      </c>
      <c r="F4507" s="6" t="n">
        <v>4.26</v>
      </c>
      <c r="G4507" s="6" t="n">
        <v>0</v>
      </c>
      <c r="H4507" s="41" t="n">
        <v>14.93</v>
      </c>
      <c r="I4507" s="43" t="n">
        <f aca="false">F4507*H4507</f>
        <v>63.6018</v>
      </c>
      <c r="J4507" s="43" t="n">
        <f aca="false">G4507*H4507*1.5</f>
        <v>0</v>
      </c>
      <c r="K4507" s="6" t="n">
        <v>10.36</v>
      </c>
      <c r="L4507" s="43" t="n">
        <f aca="false">K4507*'Chart of Accounts'!$E$68</f>
        <v>6.9412</v>
      </c>
      <c r="O4507" s="42" t="n">
        <f aca="false">I4507+J4507+L4507</f>
        <v>70.543</v>
      </c>
    </row>
    <row r="4508" customFormat="false" ht="15" hidden="false" customHeight="false" outlineLevel="0" collapsed="false">
      <c r="B4508" s="7" t="s">
        <v>13141</v>
      </c>
      <c r="C4508" s="39" t="n">
        <v>45938</v>
      </c>
      <c r="D4508" s="7" t="s">
        <v>196</v>
      </c>
      <c r="E4508" s="7" t="s">
        <v>180</v>
      </c>
      <c r="F4508" s="6" t="n">
        <v>3.757</v>
      </c>
      <c r="G4508" s="6" t="n">
        <v>0.023</v>
      </c>
      <c r="H4508" s="41" t="n">
        <v>15.05</v>
      </c>
      <c r="I4508" s="43" t="n">
        <f aca="false">F4508*H4508</f>
        <v>56.54285</v>
      </c>
      <c r="J4508" s="43" t="n">
        <f aca="false">G4508*H4508*1.5</f>
        <v>0.519225</v>
      </c>
      <c r="K4508" s="6" t="n">
        <v>11.46</v>
      </c>
      <c r="L4508" s="43" t="n">
        <f aca="false">K4508*'Chart of Accounts'!$E$68</f>
        <v>7.6782</v>
      </c>
      <c r="O4508" s="42" t="n">
        <f aca="false">I4508+J4508+L4508</f>
        <v>64.740275</v>
      </c>
    </row>
    <row r="4509" customFormat="false" ht="15" hidden="false" customHeight="false" outlineLevel="0" collapsed="false">
      <c r="B4509" s="7" t="s">
        <v>13142</v>
      </c>
      <c r="C4509" s="39" t="n">
        <v>45938</v>
      </c>
      <c r="D4509" s="7" t="s">
        <v>222</v>
      </c>
      <c r="E4509" s="7" t="s">
        <v>180</v>
      </c>
      <c r="F4509" s="6" t="n">
        <v>3.68</v>
      </c>
      <c r="G4509" s="6" t="n">
        <v>0</v>
      </c>
      <c r="H4509" s="41" t="n">
        <v>17.84</v>
      </c>
      <c r="I4509" s="43" t="n">
        <f aca="false">F4509*H4509</f>
        <v>65.6512</v>
      </c>
      <c r="J4509" s="43" t="n">
        <f aca="false">G4509*H4509*1.5</f>
        <v>0</v>
      </c>
      <c r="K4509" s="6" t="n">
        <v>10.02</v>
      </c>
      <c r="L4509" s="43" t="n">
        <f aca="false">K4509*'Chart of Accounts'!$E$68</f>
        <v>6.7134</v>
      </c>
      <c r="O4509" s="42" t="n">
        <f aca="false">I4509+J4509+L4509</f>
        <v>72.3646</v>
      </c>
    </row>
    <row r="4510" customFormat="false" ht="15" hidden="false" customHeight="false" outlineLevel="0" collapsed="false">
      <c r="B4510" s="7" t="s">
        <v>13143</v>
      </c>
      <c r="C4510" s="39" t="n">
        <v>45938</v>
      </c>
      <c r="D4510" s="7" t="s">
        <v>203</v>
      </c>
      <c r="E4510" s="7" t="s">
        <v>158</v>
      </c>
      <c r="H4510" s="41" t="n">
        <v>49.43</v>
      </c>
      <c r="M4510" s="6" t="n">
        <v>1</v>
      </c>
      <c r="N4510" s="43" t="n">
        <f aca="false">M4510*H4510</f>
        <v>49.43</v>
      </c>
      <c r="O4510" s="42" t="n">
        <f aca="false">N4510</f>
        <v>49.43</v>
      </c>
    </row>
    <row r="4511" customFormat="false" ht="15" hidden="false" customHeight="false" outlineLevel="0" collapsed="false">
      <c r="B4511" s="7" t="s">
        <v>13144</v>
      </c>
      <c r="C4511" s="39" t="n">
        <v>45938</v>
      </c>
      <c r="D4511" s="7" t="s">
        <v>184</v>
      </c>
      <c r="E4511" s="7" t="s">
        <v>180</v>
      </c>
      <c r="F4511" s="6" t="n">
        <v>4.34</v>
      </c>
      <c r="G4511" s="6" t="n">
        <v>0</v>
      </c>
      <c r="H4511" s="41" t="n">
        <v>17.34</v>
      </c>
      <c r="I4511" s="43" t="n">
        <f aca="false">F4511*H4511</f>
        <v>75.2556</v>
      </c>
      <c r="J4511" s="43" t="n">
        <f aca="false">G4511*H4511*1.5</f>
        <v>0</v>
      </c>
      <c r="K4511" s="6" t="n">
        <v>13.08</v>
      </c>
      <c r="L4511" s="43" t="n">
        <f aca="false">K4511*'Chart of Accounts'!$E$68</f>
        <v>8.7636</v>
      </c>
      <c r="O4511" s="42" t="n">
        <f aca="false">I4511+J4511+L4511</f>
        <v>84.0192</v>
      </c>
    </row>
    <row r="4512" customFormat="false" ht="15" hidden="false" customHeight="false" outlineLevel="0" collapsed="false">
      <c r="B4512" s="7" t="s">
        <v>13145</v>
      </c>
      <c r="C4512" s="39" t="n">
        <v>45939</v>
      </c>
      <c r="D4512" s="7" t="s">
        <v>220</v>
      </c>
      <c r="E4512" s="7" t="s">
        <v>180</v>
      </c>
      <c r="F4512" s="6" t="n">
        <v>11.63</v>
      </c>
      <c r="G4512" s="6" t="n">
        <v>0</v>
      </c>
      <c r="H4512" s="41" t="n">
        <v>16.43</v>
      </c>
      <c r="I4512" s="43" t="n">
        <f aca="false">F4512*H4512</f>
        <v>191.0809</v>
      </c>
      <c r="J4512" s="43" t="n">
        <f aca="false">G4512*H4512*1.5</f>
        <v>0</v>
      </c>
      <c r="K4512" s="6" t="n">
        <v>36.56</v>
      </c>
      <c r="L4512" s="43" t="n">
        <f aca="false">K4512*'Chart of Accounts'!$E$68</f>
        <v>24.4952</v>
      </c>
      <c r="O4512" s="42" t="n">
        <f aca="false">I4512+J4512+L4512</f>
        <v>215.5761</v>
      </c>
    </row>
    <row r="4513" customFormat="false" ht="15" hidden="false" customHeight="false" outlineLevel="0" collapsed="false">
      <c r="B4513" s="7" t="s">
        <v>13146</v>
      </c>
      <c r="C4513" s="39" t="n">
        <v>45939</v>
      </c>
      <c r="D4513" s="7" t="s">
        <v>201</v>
      </c>
      <c r="E4513" s="7" t="s">
        <v>180</v>
      </c>
      <c r="F4513" s="6" t="n">
        <v>5.49</v>
      </c>
      <c r="G4513" s="6" t="n">
        <v>0</v>
      </c>
      <c r="H4513" s="41" t="n">
        <v>15.19</v>
      </c>
      <c r="I4513" s="43" t="n">
        <f aca="false">F4513*H4513</f>
        <v>83.3931</v>
      </c>
      <c r="J4513" s="43" t="n">
        <f aca="false">G4513*H4513*1.5</f>
        <v>0</v>
      </c>
      <c r="K4513" s="6" t="n">
        <v>19.49</v>
      </c>
      <c r="L4513" s="43" t="n">
        <f aca="false">K4513*'Chart of Accounts'!$E$68</f>
        <v>13.0583</v>
      </c>
      <c r="O4513" s="42" t="n">
        <f aca="false">I4513+J4513+L4513</f>
        <v>96.4514</v>
      </c>
    </row>
    <row r="4514" customFormat="false" ht="15" hidden="false" customHeight="false" outlineLevel="0" collapsed="false">
      <c r="B4514" s="7" t="s">
        <v>13147</v>
      </c>
      <c r="C4514" s="39" t="n">
        <v>45939</v>
      </c>
      <c r="D4514" s="7" t="s">
        <v>240</v>
      </c>
      <c r="E4514" s="7" t="s">
        <v>180</v>
      </c>
      <c r="F4514" s="6" t="n">
        <v>4.27</v>
      </c>
      <c r="G4514" s="6" t="n">
        <v>0</v>
      </c>
      <c r="H4514" s="41" t="n">
        <v>16.96</v>
      </c>
      <c r="I4514" s="43" t="n">
        <f aca="false">F4514*H4514</f>
        <v>72.4192</v>
      </c>
      <c r="J4514" s="43" t="n">
        <f aca="false">G4514*H4514*1.5</f>
        <v>0</v>
      </c>
      <c r="K4514" s="6" t="n">
        <v>14.16</v>
      </c>
      <c r="L4514" s="43" t="n">
        <f aca="false">K4514*'Chart of Accounts'!$E$68</f>
        <v>9.4872</v>
      </c>
      <c r="O4514" s="42" t="n">
        <f aca="false">I4514+J4514+L4514</f>
        <v>81.9064</v>
      </c>
    </row>
    <row r="4515" customFormat="false" ht="15" hidden="false" customHeight="false" outlineLevel="0" collapsed="false">
      <c r="B4515" s="7" t="s">
        <v>13148</v>
      </c>
      <c r="C4515" s="39" t="n">
        <v>45939</v>
      </c>
      <c r="D4515" s="7" t="s">
        <v>196</v>
      </c>
      <c r="E4515" s="7" t="s">
        <v>180</v>
      </c>
      <c r="F4515" s="6" t="n">
        <v>12.303</v>
      </c>
      <c r="G4515" s="6" t="n">
        <v>0.077</v>
      </c>
      <c r="H4515" s="41" t="n">
        <v>15.05</v>
      </c>
      <c r="I4515" s="43" t="n">
        <f aca="false">F4515*H4515</f>
        <v>185.16015</v>
      </c>
      <c r="J4515" s="43" t="n">
        <f aca="false">G4515*H4515*1.5</f>
        <v>1.738275</v>
      </c>
      <c r="K4515" s="6" t="n">
        <v>40.74</v>
      </c>
      <c r="L4515" s="43" t="n">
        <f aca="false">K4515*'Chart of Accounts'!$E$68</f>
        <v>27.2958</v>
      </c>
      <c r="O4515" s="42" t="n">
        <f aca="false">I4515+J4515+L4515</f>
        <v>214.194225</v>
      </c>
    </row>
    <row r="4516" customFormat="false" ht="15" hidden="false" customHeight="false" outlineLevel="0" collapsed="false">
      <c r="B4516" s="7" t="s">
        <v>13149</v>
      </c>
      <c r="C4516" s="39" t="n">
        <v>45939</v>
      </c>
      <c r="D4516" s="7" t="s">
        <v>184</v>
      </c>
      <c r="E4516" s="7" t="s">
        <v>180</v>
      </c>
      <c r="F4516" s="6" t="n">
        <v>4.27</v>
      </c>
      <c r="G4516" s="6" t="n">
        <v>0</v>
      </c>
      <c r="H4516" s="41" t="n">
        <v>17.34</v>
      </c>
      <c r="I4516" s="43" t="n">
        <f aca="false">F4516*H4516</f>
        <v>74.0418</v>
      </c>
      <c r="J4516" s="43" t="n">
        <f aca="false">G4516*H4516*1.5</f>
        <v>0</v>
      </c>
      <c r="K4516" s="6" t="n">
        <v>13.46</v>
      </c>
      <c r="L4516" s="43" t="n">
        <f aca="false">K4516*'Chart of Accounts'!$E$68</f>
        <v>9.0182</v>
      </c>
      <c r="O4516" s="42" t="n">
        <f aca="false">I4516+J4516+L4516</f>
        <v>83.06</v>
      </c>
    </row>
    <row r="4517" customFormat="false" ht="15" hidden="false" customHeight="false" outlineLevel="0" collapsed="false">
      <c r="B4517" s="7" t="s">
        <v>13150</v>
      </c>
      <c r="C4517" s="39" t="n">
        <v>45939</v>
      </c>
      <c r="D4517" s="7" t="s">
        <v>218</v>
      </c>
      <c r="E4517" s="7" t="s">
        <v>180</v>
      </c>
      <c r="F4517" s="6" t="n">
        <v>4.34</v>
      </c>
      <c r="G4517" s="6" t="n">
        <v>0</v>
      </c>
      <c r="H4517" s="41" t="n">
        <v>16.19</v>
      </c>
      <c r="I4517" s="43" t="n">
        <f aca="false">F4517*H4517</f>
        <v>70.2646</v>
      </c>
      <c r="J4517" s="43" t="n">
        <f aca="false">G4517*H4517*1.5</f>
        <v>0</v>
      </c>
      <c r="K4517" s="6" t="n">
        <v>13.97</v>
      </c>
      <c r="L4517" s="43" t="n">
        <f aca="false">K4517*'Chart of Accounts'!$E$68</f>
        <v>9.3599</v>
      </c>
      <c r="O4517" s="42" t="n">
        <f aca="false">I4517+J4517+L4517</f>
        <v>79.6245</v>
      </c>
    </row>
    <row r="4518" customFormat="false" ht="15" hidden="false" customHeight="false" outlineLevel="0" collapsed="false">
      <c r="B4518" s="7" t="s">
        <v>13151</v>
      </c>
      <c r="C4518" s="39" t="n">
        <v>45939</v>
      </c>
      <c r="D4518" s="7" t="s">
        <v>246</v>
      </c>
      <c r="E4518" s="7" t="s">
        <v>180</v>
      </c>
      <c r="F4518" s="6" t="n">
        <v>11.13</v>
      </c>
      <c r="G4518" s="6" t="n">
        <v>0</v>
      </c>
      <c r="H4518" s="41" t="n">
        <v>16.48</v>
      </c>
      <c r="I4518" s="43" t="n">
        <f aca="false">F4518*H4518</f>
        <v>183.4224</v>
      </c>
      <c r="J4518" s="43" t="n">
        <f aca="false">G4518*H4518*1.5</f>
        <v>0</v>
      </c>
      <c r="K4518" s="6" t="n">
        <v>26.48</v>
      </c>
      <c r="L4518" s="43" t="n">
        <f aca="false">K4518*'Chart of Accounts'!$E$68</f>
        <v>17.7416</v>
      </c>
      <c r="O4518" s="42" t="n">
        <f aca="false">I4518+J4518+L4518</f>
        <v>201.164</v>
      </c>
    </row>
    <row r="4519" customFormat="false" ht="15" hidden="false" customHeight="false" outlineLevel="0" collapsed="false">
      <c r="B4519" s="7" t="s">
        <v>13152</v>
      </c>
      <c r="C4519" s="39" t="n">
        <v>45939</v>
      </c>
      <c r="D4519" s="7" t="s">
        <v>224</v>
      </c>
      <c r="E4519" s="7" t="s">
        <v>180</v>
      </c>
      <c r="F4519" s="6" t="n">
        <v>4.06</v>
      </c>
      <c r="G4519" s="6" t="n">
        <v>0</v>
      </c>
      <c r="H4519" s="41" t="n">
        <v>14.93</v>
      </c>
      <c r="I4519" s="43" t="n">
        <f aca="false">F4519*H4519</f>
        <v>60.6158</v>
      </c>
      <c r="J4519" s="43" t="n">
        <f aca="false">G4519*H4519*1.5</f>
        <v>0</v>
      </c>
      <c r="K4519" s="6" t="n">
        <v>9</v>
      </c>
      <c r="L4519" s="43" t="n">
        <f aca="false">K4519*'Chart of Accounts'!$E$68</f>
        <v>6.03</v>
      </c>
      <c r="O4519" s="42" t="n">
        <f aca="false">I4519+J4519+L4519</f>
        <v>66.6458</v>
      </c>
    </row>
    <row r="4520" customFormat="false" ht="15" hidden="false" customHeight="false" outlineLevel="0" collapsed="false">
      <c r="B4520" s="7" t="s">
        <v>13153</v>
      </c>
      <c r="C4520" s="39" t="n">
        <v>45939</v>
      </c>
      <c r="D4520" s="7" t="s">
        <v>222</v>
      </c>
      <c r="E4520" s="7" t="s">
        <v>180</v>
      </c>
      <c r="F4520" s="6" t="n">
        <v>7.12</v>
      </c>
      <c r="G4520" s="6" t="n">
        <v>0</v>
      </c>
      <c r="H4520" s="41" t="n">
        <v>17.84</v>
      </c>
      <c r="I4520" s="43" t="n">
        <f aca="false">F4520*H4520</f>
        <v>127.0208</v>
      </c>
      <c r="J4520" s="43" t="n">
        <f aca="false">G4520*H4520*1.5</f>
        <v>0</v>
      </c>
      <c r="K4520" s="6" t="n">
        <v>20.01</v>
      </c>
      <c r="L4520" s="43" t="n">
        <f aca="false">K4520*'Chart of Accounts'!$E$68</f>
        <v>13.4067</v>
      </c>
      <c r="O4520" s="42" t="n">
        <f aca="false">I4520+J4520+L4520</f>
        <v>140.4275</v>
      </c>
    </row>
    <row r="4521" customFormat="false" ht="15" hidden="false" customHeight="false" outlineLevel="0" collapsed="false">
      <c r="B4521" s="7" t="s">
        <v>13154</v>
      </c>
      <c r="C4521" s="39" t="n">
        <v>45939</v>
      </c>
      <c r="D4521" s="7" t="s">
        <v>244</v>
      </c>
      <c r="E4521" s="7" t="s">
        <v>180</v>
      </c>
      <c r="F4521" s="6" t="n">
        <v>7.79</v>
      </c>
      <c r="G4521" s="6" t="n">
        <v>0</v>
      </c>
      <c r="H4521" s="41" t="n">
        <v>16.39</v>
      </c>
      <c r="I4521" s="43" t="n">
        <f aca="false">F4521*H4521</f>
        <v>127.6781</v>
      </c>
      <c r="J4521" s="43" t="n">
        <f aca="false">G4521*H4521*1.5</f>
        <v>0</v>
      </c>
      <c r="K4521" s="6" t="n">
        <v>26.7</v>
      </c>
      <c r="L4521" s="43" t="n">
        <f aca="false">K4521*'Chart of Accounts'!$E$68</f>
        <v>17.889</v>
      </c>
      <c r="O4521" s="42" t="n">
        <f aca="false">I4521+J4521+L4521</f>
        <v>145.5671</v>
      </c>
    </row>
    <row r="4522" customFormat="false" ht="15" hidden="false" customHeight="false" outlineLevel="0" collapsed="false">
      <c r="B4522" s="7" t="s">
        <v>13155</v>
      </c>
      <c r="C4522" s="39" t="n">
        <v>45939</v>
      </c>
      <c r="D4522" s="7" t="s">
        <v>194</v>
      </c>
      <c r="E4522" s="7" t="s">
        <v>180</v>
      </c>
      <c r="F4522" s="6" t="n">
        <v>3.72</v>
      </c>
      <c r="G4522" s="6" t="n">
        <v>0</v>
      </c>
      <c r="H4522" s="41" t="n">
        <v>16</v>
      </c>
      <c r="I4522" s="43" t="n">
        <f aca="false">F4522*H4522</f>
        <v>59.52</v>
      </c>
      <c r="J4522" s="43" t="n">
        <f aca="false">G4522*H4522*1.5</f>
        <v>0</v>
      </c>
      <c r="K4522" s="6" t="n">
        <v>12.02</v>
      </c>
      <c r="L4522" s="43" t="n">
        <f aca="false">K4522*'Chart of Accounts'!$E$68</f>
        <v>8.0534</v>
      </c>
      <c r="O4522" s="42" t="n">
        <f aca="false">I4522+J4522+L4522</f>
        <v>67.5734</v>
      </c>
    </row>
    <row r="4523" customFormat="false" ht="15" hidden="false" customHeight="false" outlineLevel="0" collapsed="false">
      <c r="B4523" s="7" t="s">
        <v>13156</v>
      </c>
      <c r="C4523" s="39" t="n">
        <v>45939</v>
      </c>
      <c r="D4523" s="7" t="s">
        <v>214</v>
      </c>
      <c r="E4523" s="7" t="s">
        <v>180</v>
      </c>
      <c r="F4523" s="6" t="n">
        <v>3.63</v>
      </c>
      <c r="G4523" s="6" t="n">
        <v>0</v>
      </c>
      <c r="H4523" s="41" t="n">
        <v>15.67</v>
      </c>
      <c r="I4523" s="43" t="n">
        <f aca="false">F4523*H4523</f>
        <v>56.8821</v>
      </c>
      <c r="J4523" s="43" t="n">
        <f aca="false">G4523*H4523*1.5</f>
        <v>0</v>
      </c>
      <c r="K4523" s="6" t="n">
        <v>10.65</v>
      </c>
      <c r="L4523" s="43" t="n">
        <f aca="false">K4523*'Chart of Accounts'!$E$68</f>
        <v>7.1355</v>
      </c>
      <c r="O4523" s="42" t="n">
        <f aca="false">I4523+J4523+L4523</f>
        <v>64.0176</v>
      </c>
    </row>
    <row r="4524" customFormat="false" ht="15" hidden="false" customHeight="false" outlineLevel="0" collapsed="false">
      <c r="B4524" s="7" t="s">
        <v>13157</v>
      </c>
      <c r="C4524" s="39" t="n">
        <v>45939</v>
      </c>
      <c r="D4524" s="7" t="s">
        <v>242</v>
      </c>
      <c r="E4524" s="7" t="s">
        <v>180</v>
      </c>
      <c r="F4524" s="6" t="n">
        <v>3.97</v>
      </c>
      <c r="G4524" s="6" t="n">
        <v>0</v>
      </c>
      <c r="H4524" s="41" t="n">
        <v>17.99</v>
      </c>
      <c r="I4524" s="43" t="n">
        <f aca="false">F4524*H4524</f>
        <v>71.4203</v>
      </c>
      <c r="J4524" s="43" t="n">
        <f aca="false">G4524*H4524*1.5</f>
        <v>0</v>
      </c>
      <c r="K4524" s="6" t="n">
        <v>12.28</v>
      </c>
      <c r="L4524" s="43" t="n">
        <f aca="false">K4524*'Chart of Accounts'!$E$68</f>
        <v>8.2276</v>
      </c>
      <c r="O4524" s="42" t="n">
        <f aca="false">I4524+J4524+L4524</f>
        <v>79.6479</v>
      </c>
    </row>
    <row r="4525" customFormat="false" ht="15" hidden="false" customHeight="false" outlineLevel="0" collapsed="false">
      <c r="B4525" s="7" t="s">
        <v>13158</v>
      </c>
      <c r="C4525" s="39" t="n">
        <v>45939</v>
      </c>
      <c r="D4525" s="7" t="s">
        <v>254</v>
      </c>
      <c r="E4525" s="7" t="s">
        <v>180</v>
      </c>
      <c r="F4525" s="6" t="n">
        <v>3.68</v>
      </c>
      <c r="G4525" s="6" t="n">
        <v>0</v>
      </c>
      <c r="H4525" s="41" t="n">
        <v>17.1</v>
      </c>
      <c r="I4525" s="43" t="n">
        <f aca="false">F4525*H4525</f>
        <v>62.928</v>
      </c>
      <c r="J4525" s="43" t="n">
        <f aca="false">G4525*H4525*1.5</f>
        <v>0</v>
      </c>
      <c r="K4525" s="6" t="n">
        <v>12.05</v>
      </c>
      <c r="L4525" s="43" t="n">
        <f aca="false">K4525*'Chart of Accounts'!$E$68</f>
        <v>8.0735</v>
      </c>
      <c r="O4525" s="42" t="n">
        <f aca="false">I4525+J4525+L4525</f>
        <v>71.0015</v>
      </c>
    </row>
    <row r="4526" customFormat="false" ht="15" hidden="false" customHeight="false" outlineLevel="0" collapsed="false">
      <c r="B4526" s="7" t="s">
        <v>13159</v>
      </c>
      <c r="C4526" s="39" t="n">
        <v>45940</v>
      </c>
      <c r="D4526" s="7" t="s">
        <v>177</v>
      </c>
      <c r="E4526" s="7" t="s">
        <v>180</v>
      </c>
      <c r="F4526" s="6" t="n">
        <v>12.82</v>
      </c>
      <c r="G4526" s="6" t="n">
        <v>0</v>
      </c>
      <c r="H4526" s="41" t="n">
        <v>14.56</v>
      </c>
      <c r="I4526" s="43" t="n">
        <f aca="false">F4526*H4526</f>
        <v>186.6592</v>
      </c>
      <c r="J4526" s="43" t="n">
        <f aca="false">G4526*H4526*1.5</f>
        <v>0</v>
      </c>
      <c r="K4526" s="6" t="n">
        <v>35.44</v>
      </c>
      <c r="L4526" s="43" t="n">
        <f aca="false">K4526*'Chart of Accounts'!$E$68</f>
        <v>23.7448</v>
      </c>
      <c r="O4526" s="42" t="n">
        <f aca="false">I4526+J4526+L4526</f>
        <v>210.404</v>
      </c>
    </row>
    <row r="4527" customFormat="false" ht="15" hidden="false" customHeight="false" outlineLevel="0" collapsed="false">
      <c r="B4527" s="7" t="s">
        <v>13160</v>
      </c>
      <c r="C4527" s="39" t="n">
        <v>45940</v>
      </c>
      <c r="D4527" s="7" t="s">
        <v>194</v>
      </c>
      <c r="E4527" s="7" t="s">
        <v>180</v>
      </c>
      <c r="F4527" s="6" t="n">
        <v>8.28</v>
      </c>
      <c r="G4527" s="6" t="n">
        <v>0</v>
      </c>
      <c r="H4527" s="41" t="n">
        <v>16</v>
      </c>
      <c r="I4527" s="43" t="n">
        <f aca="false">F4527*H4527</f>
        <v>132.48</v>
      </c>
      <c r="J4527" s="43" t="n">
        <f aca="false">G4527*H4527*1.5</f>
        <v>0</v>
      </c>
      <c r="K4527" s="6" t="n">
        <v>23.52</v>
      </c>
      <c r="L4527" s="43" t="n">
        <f aca="false">K4527*'Chart of Accounts'!$E$68</f>
        <v>15.7584</v>
      </c>
      <c r="O4527" s="42" t="n">
        <f aca="false">I4527+J4527+L4527</f>
        <v>148.2384</v>
      </c>
    </row>
    <row r="4528" customFormat="false" ht="15" hidden="false" customHeight="false" outlineLevel="0" collapsed="false">
      <c r="B4528" s="7" t="s">
        <v>13161</v>
      </c>
      <c r="C4528" s="39" t="n">
        <v>45940</v>
      </c>
      <c r="D4528" s="7" t="s">
        <v>198</v>
      </c>
      <c r="E4528" s="7" t="s">
        <v>158</v>
      </c>
      <c r="H4528" s="41" t="n">
        <v>48.09</v>
      </c>
      <c r="M4528" s="6" t="n">
        <v>1</v>
      </c>
      <c r="N4528" s="43" t="n">
        <f aca="false">M4528*H4528</f>
        <v>48.09</v>
      </c>
      <c r="O4528" s="42" t="n">
        <f aca="false">N4528</f>
        <v>48.09</v>
      </c>
    </row>
    <row r="4529" customFormat="false" ht="15" hidden="false" customHeight="false" outlineLevel="0" collapsed="false">
      <c r="B4529" s="7" t="s">
        <v>13162</v>
      </c>
      <c r="C4529" s="39" t="n">
        <v>45940</v>
      </c>
      <c r="D4529" s="7" t="s">
        <v>214</v>
      </c>
      <c r="E4529" s="7" t="s">
        <v>180</v>
      </c>
      <c r="F4529" s="6" t="n">
        <v>7.08</v>
      </c>
      <c r="G4529" s="6" t="n">
        <v>0</v>
      </c>
      <c r="H4529" s="41" t="n">
        <v>15.67</v>
      </c>
      <c r="I4529" s="43" t="n">
        <f aca="false">F4529*H4529</f>
        <v>110.9436</v>
      </c>
      <c r="J4529" s="43" t="n">
        <f aca="false">G4529*H4529*1.5</f>
        <v>0</v>
      </c>
      <c r="K4529" s="6" t="n">
        <v>25.39</v>
      </c>
      <c r="L4529" s="43" t="n">
        <f aca="false">K4529*'Chart of Accounts'!$E$68</f>
        <v>17.0113</v>
      </c>
      <c r="O4529" s="42" t="n">
        <f aca="false">I4529+J4529+L4529</f>
        <v>127.9549</v>
      </c>
    </row>
    <row r="4530" customFormat="false" ht="15" hidden="false" customHeight="false" outlineLevel="0" collapsed="false">
      <c r="B4530" s="7" t="s">
        <v>13163</v>
      </c>
      <c r="C4530" s="39" t="n">
        <v>45940</v>
      </c>
      <c r="D4530" s="7" t="s">
        <v>209</v>
      </c>
      <c r="E4530" s="7" t="s">
        <v>158</v>
      </c>
      <c r="H4530" s="41" t="n">
        <v>73.58</v>
      </c>
      <c r="M4530" s="6" t="n">
        <v>2</v>
      </c>
      <c r="N4530" s="43" t="n">
        <f aca="false">M4530*H4530</f>
        <v>147.16</v>
      </c>
      <c r="O4530" s="42" t="n">
        <f aca="false">N4530</f>
        <v>147.16</v>
      </c>
    </row>
    <row r="4531" customFormat="false" ht="15" hidden="false" customHeight="false" outlineLevel="0" collapsed="false">
      <c r="B4531" s="7" t="s">
        <v>13164</v>
      </c>
      <c r="C4531" s="39" t="n">
        <v>45940</v>
      </c>
      <c r="D4531" s="7" t="s">
        <v>205</v>
      </c>
      <c r="E4531" s="7" t="s">
        <v>180</v>
      </c>
      <c r="F4531" s="6" t="n">
        <v>3.66</v>
      </c>
      <c r="G4531" s="6" t="n">
        <v>0</v>
      </c>
      <c r="H4531" s="41" t="n">
        <v>16.36</v>
      </c>
      <c r="I4531" s="43" t="n">
        <f aca="false">F4531*H4531</f>
        <v>59.8776</v>
      </c>
      <c r="J4531" s="43" t="n">
        <f aca="false">G4531*H4531*1.5</f>
        <v>0</v>
      </c>
      <c r="K4531" s="6" t="n">
        <v>10.58</v>
      </c>
      <c r="L4531" s="43" t="n">
        <f aca="false">K4531*'Chart of Accounts'!$E$68</f>
        <v>7.0886</v>
      </c>
      <c r="O4531" s="42" t="n">
        <f aca="false">I4531+J4531+L4531</f>
        <v>66.9662</v>
      </c>
    </row>
    <row r="4532" customFormat="false" ht="15" hidden="false" customHeight="false" outlineLevel="0" collapsed="false">
      <c r="B4532" s="7" t="s">
        <v>13165</v>
      </c>
      <c r="C4532" s="39" t="n">
        <v>45940</v>
      </c>
      <c r="D4532" s="7" t="s">
        <v>264</v>
      </c>
      <c r="E4532" s="7" t="s">
        <v>158</v>
      </c>
      <c r="H4532" s="41" t="n">
        <v>55.55</v>
      </c>
      <c r="M4532" s="6" t="n">
        <v>1</v>
      </c>
      <c r="N4532" s="43" t="n">
        <f aca="false">M4532*H4532</f>
        <v>55.55</v>
      </c>
      <c r="O4532" s="42" t="n">
        <f aca="false">N4532</f>
        <v>55.55</v>
      </c>
    </row>
    <row r="4533" customFormat="false" ht="15" hidden="false" customHeight="false" outlineLevel="0" collapsed="false">
      <c r="B4533" s="7" t="s">
        <v>13166</v>
      </c>
      <c r="C4533" s="39" t="n">
        <v>45940</v>
      </c>
      <c r="D4533" s="7" t="s">
        <v>252</v>
      </c>
      <c r="E4533" s="7" t="s">
        <v>158</v>
      </c>
      <c r="H4533" s="41" t="n">
        <v>57.54</v>
      </c>
      <c r="M4533" s="6" t="n">
        <v>1</v>
      </c>
      <c r="N4533" s="43" t="n">
        <f aca="false">M4533*H4533</f>
        <v>57.54</v>
      </c>
      <c r="O4533" s="42" t="n">
        <f aca="false">N4533</f>
        <v>57.54</v>
      </c>
    </row>
    <row r="4534" customFormat="false" ht="15" hidden="false" customHeight="false" outlineLevel="0" collapsed="false">
      <c r="B4534" s="7" t="s">
        <v>13167</v>
      </c>
      <c r="C4534" s="39" t="n">
        <v>45940</v>
      </c>
      <c r="D4534" s="7" t="s">
        <v>184</v>
      </c>
      <c r="E4534" s="7" t="s">
        <v>180</v>
      </c>
      <c r="F4534" s="6" t="n">
        <v>8.12</v>
      </c>
      <c r="G4534" s="6" t="n">
        <v>0</v>
      </c>
      <c r="H4534" s="41" t="n">
        <v>17.34</v>
      </c>
      <c r="I4534" s="43" t="n">
        <f aca="false">F4534*H4534</f>
        <v>140.8008</v>
      </c>
      <c r="J4534" s="43" t="n">
        <f aca="false">G4534*H4534*1.5</f>
        <v>0</v>
      </c>
      <c r="K4534" s="6" t="n">
        <v>23.22</v>
      </c>
      <c r="L4534" s="43" t="n">
        <f aca="false">K4534*'Chart of Accounts'!$E$68</f>
        <v>15.5574</v>
      </c>
      <c r="O4534" s="42" t="n">
        <f aca="false">I4534+J4534+L4534</f>
        <v>156.3582</v>
      </c>
    </row>
    <row r="4535" customFormat="false" ht="15" hidden="false" customHeight="false" outlineLevel="0" collapsed="false">
      <c r="B4535" s="7" t="s">
        <v>13168</v>
      </c>
      <c r="C4535" s="39" t="n">
        <v>45940</v>
      </c>
      <c r="D4535" s="7" t="s">
        <v>216</v>
      </c>
      <c r="E4535" s="7" t="s">
        <v>158</v>
      </c>
      <c r="H4535" s="41" t="n">
        <v>61.79</v>
      </c>
      <c r="M4535" s="6" t="n">
        <v>2</v>
      </c>
      <c r="N4535" s="43" t="n">
        <f aca="false">M4535*H4535</f>
        <v>123.58</v>
      </c>
      <c r="O4535" s="42" t="n">
        <f aca="false">N4535</f>
        <v>123.58</v>
      </c>
    </row>
    <row r="4536" customFormat="false" ht="15" hidden="false" customHeight="false" outlineLevel="0" collapsed="false">
      <c r="B4536" s="7" t="s">
        <v>13169</v>
      </c>
      <c r="C4536" s="39" t="n">
        <v>45940</v>
      </c>
      <c r="D4536" s="7" t="s">
        <v>234</v>
      </c>
      <c r="E4536" s="7" t="s">
        <v>158</v>
      </c>
      <c r="H4536" s="41" t="n">
        <v>89.53</v>
      </c>
      <c r="M4536" s="6" t="n">
        <v>2</v>
      </c>
      <c r="N4536" s="43" t="n">
        <f aca="false">M4536*H4536</f>
        <v>179.06</v>
      </c>
      <c r="O4536" s="42" t="n">
        <f aca="false">N4536</f>
        <v>179.06</v>
      </c>
    </row>
    <row r="4537" customFormat="false" ht="15" hidden="false" customHeight="false" outlineLevel="0" collapsed="false">
      <c r="B4537" s="7" t="s">
        <v>13170</v>
      </c>
      <c r="C4537" s="39" t="n">
        <v>45940</v>
      </c>
      <c r="D4537" s="7" t="s">
        <v>218</v>
      </c>
      <c r="E4537" s="7" t="s">
        <v>180</v>
      </c>
      <c r="F4537" s="6" t="n">
        <v>3.85</v>
      </c>
      <c r="G4537" s="6" t="n">
        <v>0</v>
      </c>
      <c r="H4537" s="41" t="n">
        <v>16.19</v>
      </c>
      <c r="I4537" s="43" t="n">
        <f aca="false">F4537*H4537</f>
        <v>62.3315</v>
      </c>
      <c r="J4537" s="43" t="n">
        <f aca="false">G4537*H4537*1.5</f>
        <v>0</v>
      </c>
      <c r="K4537" s="6" t="n">
        <v>13.16</v>
      </c>
      <c r="L4537" s="43" t="n">
        <f aca="false">K4537*'Chart of Accounts'!$E$68</f>
        <v>8.8172</v>
      </c>
      <c r="O4537" s="42" t="n">
        <f aca="false">I4537+J4537+L4537</f>
        <v>71.1487</v>
      </c>
    </row>
    <row r="4538" customFormat="false" ht="15" hidden="false" customHeight="false" outlineLevel="0" collapsed="false">
      <c r="B4538" s="7" t="s">
        <v>13171</v>
      </c>
      <c r="C4538" s="39" t="n">
        <v>45940</v>
      </c>
      <c r="D4538" s="7" t="s">
        <v>228</v>
      </c>
      <c r="E4538" s="7" t="s">
        <v>158</v>
      </c>
      <c r="H4538" s="41" t="n">
        <v>51.07</v>
      </c>
      <c r="M4538" s="6" t="n">
        <v>1</v>
      </c>
      <c r="N4538" s="43" t="n">
        <f aca="false">M4538*H4538</f>
        <v>51.07</v>
      </c>
      <c r="O4538" s="42" t="n">
        <f aca="false">N4538</f>
        <v>51.07</v>
      </c>
    </row>
    <row r="4539" customFormat="false" ht="15" hidden="false" customHeight="false" outlineLevel="0" collapsed="false">
      <c r="B4539" s="7" t="s">
        <v>13172</v>
      </c>
      <c r="C4539" s="39" t="n">
        <v>45940</v>
      </c>
      <c r="D4539" s="7" t="s">
        <v>220</v>
      </c>
      <c r="E4539" s="7" t="s">
        <v>180</v>
      </c>
      <c r="F4539" s="6" t="n">
        <v>3.72</v>
      </c>
      <c r="G4539" s="6" t="n">
        <v>0</v>
      </c>
      <c r="H4539" s="41" t="n">
        <v>16.43</v>
      </c>
      <c r="I4539" s="43" t="n">
        <f aca="false">F4539*H4539</f>
        <v>61.1196</v>
      </c>
      <c r="J4539" s="43" t="n">
        <f aca="false">G4539*H4539*1.5</f>
        <v>0</v>
      </c>
      <c r="K4539" s="6" t="n">
        <v>12.5</v>
      </c>
      <c r="L4539" s="43" t="n">
        <f aca="false">K4539*'Chart of Accounts'!$E$68</f>
        <v>8.375</v>
      </c>
      <c r="O4539" s="42" t="n">
        <f aca="false">I4539+J4539+L4539</f>
        <v>69.4946</v>
      </c>
    </row>
    <row r="4540" customFormat="false" ht="15" hidden="false" customHeight="false" outlineLevel="0" collapsed="false">
      <c r="B4540" s="7" t="s">
        <v>13173</v>
      </c>
      <c r="C4540" s="39" t="n">
        <v>45940</v>
      </c>
      <c r="D4540" s="7" t="s">
        <v>236</v>
      </c>
      <c r="E4540" s="7" t="s">
        <v>180</v>
      </c>
      <c r="F4540" s="6" t="n">
        <v>3.23</v>
      </c>
      <c r="G4540" s="6" t="n">
        <v>0</v>
      </c>
      <c r="H4540" s="41" t="n">
        <v>15.49</v>
      </c>
      <c r="I4540" s="43" t="n">
        <f aca="false">F4540*H4540</f>
        <v>50.0327</v>
      </c>
      <c r="J4540" s="43" t="n">
        <f aca="false">G4540*H4540*1.5</f>
        <v>0</v>
      </c>
      <c r="K4540" s="6" t="n">
        <v>9.72</v>
      </c>
      <c r="L4540" s="43" t="n">
        <f aca="false">K4540*'Chart of Accounts'!$E$68</f>
        <v>6.5124</v>
      </c>
      <c r="O4540" s="42" t="n">
        <f aca="false">I4540+J4540+L4540</f>
        <v>56.5451</v>
      </c>
    </row>
    <row r="4541" customFormat="false" ht="15" hidden="false" customHeight="false" outlineLevel="0" collapsed="false">
      <c r="B4541" s="7" t="s">
        <v>13174</v>
      </c>
      <c r="C4541" s="39" t="n">
        <v>45940</v>
      </c>
      <c r="D4541" s="7" t="s">
        <v>242</v>
      </c>
      <c r="E4541" s="7" t="s">
        <v>180</v>
      </c>
      <c r="F4541" s="6" t="n">
        <v>7.63</v>
      </c>
      <c r="G4541" s="6" t="n">
        <v>0</v>
      </c>
      <c r="H4541" s="41" t="n">
        <v>17.99</v>
      </c>
      <c r="I4541" s="43" t="n">
        <f aca="false">F4541*H4541</f>
        <v>137.2637</v>
      </c>
      <c r="J4541" s="43" t="n">
        <f aca="false">G4541*H4541*1.5</f>
        <v>0</v>
      </c>
      <c r="K4541" s="6" t="n">
        <v>22.47</v>
      </c>
      <c r="L4541" s="43" t="n">
        <f aca="false">K4541*'Chart of Accounts'!$E$68</f>
        <v>15.0549</v>
      </c>
      <c r="O4541" s="42" t="n">
        <f aca="false">I4541+J4541+L4541</f>
        <v>152.3186</v>
      </c>
    </row>
    <row r="4542" customFormat="false" ht="15" hidden="false" customHeight="false" outlineLevel="0" collapsed="false">
      <c r="B4542" s="7" t="s">
        <v>13175</v>
      </c>
      <c r="C4542" s="39" t="n">
        <v>45940</v>
      </c>
      <c r="D4542" s="7" t="s">
        <v>238</v>
      </c>
      <c r="E4542" s="7" t="s">
        <v>180</v>
      </c>
      <c r="F4542" s="6" t="n">
        <v>8.52</v>
      </c>
      <c r="G4542" s="6" t="n">
        <v>0</v>
      </c>
      <c r="H4542" s="41" t="n">
        <v>15.85</v>
      </c>
      <c r="I4542" s="43" t="n">
        <f aca="false">F4542*H4542</f>
        <v>135.042</v>
      </c>
      <c r="J4542" s="43" t="n">
        <f aca="false">G4542*H4542*1.5</f>
        <v>0</v>
      </c>
      <c r="K4542" s="6" t="n">
        <v>21.69</v>
      </c>
      <c r="L4542" s="43" t="n">
        <f aca="false">K4542*'Chart of Accounts'!$E$68</f>
        <v>14.5323</v>
      </c>
      <c r="O4542" s="42" t="n">
        <f aca="false">I4542+J4542+L4542</f>
        <v>149.5743</v>
      </c>
    </row>
    <row r="4543" customFormat="false" ht="15" hidden="false" customHeight="false" outlineLevel="0" collapsed="false">
      <c r="B4543" s="7" t="s">
        <v>13176</v>
      </c>
      <c r="C4543" s="39" t="n">
        <v>45940</v>
      </c>
      <c r="D4543" s="7" t="s">
        <v>244</v>
      </c>
      <c r="E4543" s="7" t="s">
        <v>180</v>
      </c>
      <c r="F4543" s="6" t="n">
        <v>3.98</v>
      </c>
      <c r="G4543" s="6" t="n">
        <v>0</v>
      </c>
      <c r="H4543" s="41" t="n">
        <v>16.39</v>
      </c>
      <c r="I4543" s="43" t="n">
        <f aca="false">F4543*H4543</f>
        <v>65.2322</v>
      </c>
      <c r="J4543" s="43" t="n">
        <f aca="false">G4543*H4543*1.5</f>
        <v>0</v>
      </c>
      <c r="K4543" s="6" t="n">
        <v>11.87</v>
      </c>
      <c r="L4543" s="43" t="n">
        <f aca="false">K4543*'Chart of Accounts'!$E$68</f>
        <v>7.9529</v>
      </c>
      <c r="O4543" s="42" t="n">
        <f aca="false">I4543+J4543+L4543</f>
        <v>73.1851</v>
      </c>
    </row>
    <row r="4544" customFormat="false" ht="15" hidden="false" customHeight="false" outlineLevel="0" collapsed="false">
      <c r="B4544" s="7" t="s">
        <v>13177</v>
      </c>
      <c r="C4544" s="39" t="n">
        <v>45940</v>
      </c>
      <c r="D4544" s="7" t="s">
        <v>254</v>
      </c>
      <c r="E4544" s="7" t="s">
        <v>180</v>
      </c>
      <c r="F4544" s="6" t="n">
        <v>10.47</v>
      </c>
      <c r="G4544" s="6" t="n">
        <v>0</v>
      </c>
      <c r="H4544" s="41" t="n">
        <v>17.1</v>
      </c>
      <c r="I4544" s="43" t="n">
        <f aca="false">F4544*H4544</f>
        <v>179.037</v>
      </c>
      <c r="J4544" s="43" t="n">
        <f aca="false">G4544*H4544*1.5</f>
        <v>0</v>
      </c>
      <c r="K4544" s="6" t="n">
        <v>28.29</v>
      </c>
      <c r="L4544" s="43" t="n">
        <f aca="false">K4544*'Chart of Accounts'!$E$68</f>
        <v>18.9543</v>
      </c>
      <c r="O4544" s="42" t="n">
        <f aca="false">I4544+J4544+L4544</f>
        <v>197.9913</v>
      </c>
    </row>
    <row r="4545" customFormat="false" ht="15" hidden="false" customHeight="false" outlineLevel="0" collapsed="false">
      <c r="B4545" s="7" t="s">
        <v>13178</v>
      </c>
      <c r="C4545" s="39" t="n">
        <v>45940</v>
      </c>
      <c r="D4545" s="7" t="s">
        <v>201</v>
      </c>
      <c r="E4545" s="7" t="s">
        <v>180</v>
      </c>
      <c r="F4545" s="6" t="n">
        <v>7.08</v>
      </c>
      <c r="G4545" s="6" t="n">
        <v>0</v>
      </c>
      <c r="H4545" s="41" t="n">
        <v>15.19</v>
      </c>
      <c r="I4545" s="43" t="n">
        <f aca="false">F4545*H4545</f>
        <v>107.5452</v>
      </c>
      <c r="J4545" s="43" t="n">
        <f aca="false">G4545*H4545*1.5</f>
        <v>0</v>
      </c>
      <c r="K4545" s="6" t="n">
        <v>21.68</v>
      </c>
      <c r="L4545" s="43" t="n">
        <f aca="false">K4545*'Chart of Accounts'!$E$68</f>
        <v>14.5256</v>
      </c>
      <c r="O4545" s="42" t="n">
        <f aca="false">I4545+J4545+L4545</f>
        <v>122.0708</v>
      </c>
    </row>
    <row r="4546" customFormat="false" ht="15" hidden="false" customHeight="false" outlineLevel="0" collapsed="false">
      <c r="B4546" s="7" t="s">
        <v>13179</v>
      </c>
      <c r="C4546" s="39" t="n">
        <v>45940</v>
      </c>
      <c r="D4546" s="7" t="s">
        <v>240</v>
      </c>
      <c r="E4546" s="7" t="s">
        <v>180</v>
      </c>
      <c r="F4546" s="6" t="n">
        <v>3.31</v>
      </c>
      <c r="G4546" s="6" t="n">
        <v>0</v>
      </c>
      <c r="H4546" s="41" t="n">
        <v>16.96</v>
      </c>
      <c r="I4546" s="43" t="n">
        <f aca="false">F4546*H4546</f>
        <v>56.1376</v>
      </c>
      <c r="J4546" s="43" t="n">
        <f aca="false">G4546*H4546*1.5</f>
        <v>0</v>
      </c>
      <c r="K4546" s="6" t="n">
        <v>11.41</v>
      </c>
      <c r="L4546" s="43" t="n">
        <f aca="false">K4546*'Chart of Accounts'!$E$68</f>
        <v>7.6447</v>
      </c>
      <c r="O4546" s="42" t="n">
        <f aca="false">I4546+J4546+L4546</f>
        <v>63.7823</v>
      </c>
    </row>
    <row r="4547" customFormat="false" ht="15" hidden="false" customHeight="false" outlineLevel="0" collapsed="false">
      <c r="B4547" s="7" t="s">
        <v>13180</v>
      </c>
      <c r="C4547" s="39" t="n">
        <v>45940</v>
      </c>
      <c r="D4547" s="7" t="s">
        <v>258</v>
      </c>
      <c r="E4547" s="7" t="s">
        <v>158</v>
      </c>
      <c r="H4547" s="41" t="n">
        <v>61.61</v>
      </c>
      <c r="M4547" s="6" t="n">
        <v>1</v>
      </c>
      <c r="N4547" s="43" t="n">
        <f aca="false">M4547*H4547</f>
        <v>61.61</v>
      </c>
      <c r="O4547" s="42" t="n">
        <f aca="false">N4547</f>
        <v>61.61</v>
      </c>
    </row>
    <row r="4548" customFormat="false" ht="15" hidden="false" customHeight="false" outlineLevel="0" collapsed="false">
      <c r="B4548" s="7" t="s">
        <v>13181</v>
      </c>
      <c r="C4548" s="39" t="n">
        <v>45940</v>
      </c>
      <c r="D4548" s="7" t="s">
        <v>232</v>
      </c>
      <c r="E4548" s="7" t="s">
        <v>180</v>
      </c>
      <c r="F4548" s="6" t="n">
        <v>5.07</v>
      </c>
      <c r="G4548" s="6" t="n">
        <v>0</v>
      </c>
      <c r="H4548" s="41" t="n">
        <v>16.17</v>
      </c>
      <c r="I4548" s="43" t="n">
        <f aca="false">F4548*H4548</f>
        <v>81.9819</v>
      </c>
      <c r="J4548" s="43" t="n">
        <f aca="false">G4548*H4548*1.5</f>
        <v>0</v>
      </c>
      <c r="K4548" s="6" t="n">
        <v>11.16</v>
      </c>
      <c r="L4548" s="43" t="n">
        <f aca="false">K4548*'Chart of Accounts'!$E$68</f>
        <v>7.4772</v>
      </c>
      <c r="O4548" s="42" t="n">
        <f aca="false">I4548+J4548+L4548</f>
        <v>89.4591</v>
      </c>
    </row>
    <row r="4549" customFormat="false" ht="15" hidden="false" customHeight="false" outlineLevel="0" collapsed="false">
      <c r="B4549" s="7" t="s">
        <v>13182</v>
      </c>
      <c r="C4549" s="39" t="n">
        <v>45940</v>
      </c>
      <c r="D4549" s="7" t="s">
        <v>224</v>
      </c>
      <c r="E4549" s="7" t="s">
        <v>180</v>
      </c>
      <c r="F4549" s="6" t="n">
        <v>4.36</v>
      </c>
      <c r="G4549" s="6" t="n">
        <v>0</v>
      </c>
      <c r="H4549" s="41" t="n">
        <v>14.93</v>
      </c>
      <c r="I4549" s="43" t="n">
        <f aca="false">F4549*H4549</f>
        <v>65.0948</v>
      </c>
      <c r="J4549" s="43" t="n">
        <f aca="false">G4549*H4549*1.5</f>
        <v>0</v>
      </c>
      <c r="K4549" s="6" t="n">
        <v>12.81</v>
      </c>
      <c r="L4549" s="43" t="n">
        <f aca="false">K4549*'Chart of Accounts'!$E$68</f>
        <v>8.5827</v>
      </c>
      <c r="O4549" s="42" t="n">
        <f aca="false">I4549+J4549+L4549</f>
        <v>73.6775</v>
      </c>
    </row>
    <row r="4550" customFormat="false" ht="15" hidden="false" customHeight="false" outlineLevel="0" collapsed="false">
      <c r="B4550" s="7" t="s">
        <v>13183</v>
      </c>
      <c r="C4550" s="39" t="n">
        <v>45940</v>
      </c>
      <c r="D4550" s="7" t="s">
        <v>230</v>
      </c>
      <c r="E4550" s="7" t="s">
        <v>158</v>
      </c>
      <c r="H4550" s="41" t="n">
        <v>48.78</v>
      </c>
      <c r="M4550" s="6" t="n">
        <v>1</v>
      </c>
      <c r="N4550" s="43" t="n">
        <f aca="false">M4550*H4550</f>
        <v>48.78</v>
      </c>
      <c r="O4550" s="42" t="n">
        <f aca="false">N4550</f>
        <v>48.78</v>
      </c>
    </row>
    <row r="4551" customFormat="false" ht="15" hidden="false" customHeight="false" outlineLevel="0" collapsed="false">
      <c r="B4551" s="7" t="s">
        <v>13184</v>
      </c>
      <c r="C4551" s="39" t="n">
        <v>45940</v>
      </c>
      <c r="D4551" s="7" t="s">
        <v>196</v>
      </c>
      <c r="E4551" s="7" t="s">
        <v>180</v>
      </c>
      <c r="F4551" s="6" t="n">
        <v>3.985</v>
      </c>
      <c r="G4551" s="6" t="n">
        <v>0.025</v>
      </c>
      <c r="H4551" s="41" t="n">
        <v>15.05</v>
      </c>
      <c r="I4551" s="43" t="n">
        <f aca="false">F4551*H4551</f>
        <v>59.97425</v>
      </c>
      <c r="J4551" s="43" t="n">
        <f aca="false">G4551*H4551*1.5</f>
        <v>0.564375</v>
      </c>
      <c r="K4551" s="6" t="n">
        <v>9.86</v>
      </c>
      <c r="L4551" s="43" t="n">
        <f aca="false">K4551*'Chart of Accounts'!$E$68</f>
        <v>6.6062</v>
      </c>
      <c r="O4551" s="42" t="n">
        <f aca="false">I4551+J4551+L4551</f>
        <v>67.144825</v>
      </c>
    </row>
    <row r="4552" customFormat="false" ht="15" hidden="false" customHeight="false" outlineLevel="0" collapsed="false">
      <c r="B4552" s="7" t="s">
        <v>13185</v>
      </c>
      <c r="C4552" s="39" t="n">
        <v>45940</v>
      </c>
      <c r="D4552" s="7" t="s">
        <v>246</v>
      </c>
      <c r="E4552" s="7" t="s">
        <v>180</v>
      </c>
      <c r="F4552" s="6" t="n">
        <v>3.9</v>
      </c>
      <c r="G4552" s="6" t="n">
        <v>0</v>
      </c>
      <c r="H4552" s="41" t="n">
        <v>16.48</v>
      </c>
      <c r="I4552" s="43" t="n">
        <f aca="false">F4552*H4552</f>
        <v>64.272</v>
      </c>
      <c r="J4552" s="43" t="n">
        <f aca="false">G4552*H4552*1.5</f>
        <v>0</v>
      </c>
      <c r="K4552" s="6" t="n">
        <v>9.38</v>
      </c>
      <c r="L4552" s="43" t="n">
        <f aca="false">K4552*'Chart of Accounts'!$E$68</f>
        <v>6.2846</v>
      </c>
      <c r="O4552" s="42" t="n">
        <f aca="false">I4552+J4552+L4552</f>
        <v>70.5566</v>
      </c>
    </row>
    <row r="4553" customFormat="false" ht="15" hidden="false" customHeight="false" outlineLevel="0" collapsed="false">
      <c r="B4553" s="7" t="s">
        <v>13186</v>
      </c>
      <c r="C4553" s="39" t="n">
        <v>45940</v>
      </c>
      <c r="D4553" s="7" t="s">
        <v>222</v>
      </c>
      <c r="E4553" s="7" t="s">
        <v>180</v>
      </c>
      <c r="F4553" s="6" t="n">
        <v>4.02</v>
      </c>
      <c r="G4553" s="6" t="n">
        <v>0</v>
      </c>
      <c r="H4553" s="41" t="n">
        <v>17.84</v>
      </c>
      <c r="I4553" s="43" t="n">
        <f aca="false">F4553*H4553</f>
        <v>71.7168</v>
      </c>
      <c r="J4553" s="43" t="n">
        <f aca="false">G4553*H4553*1.5</f>
        <v>0</v>
      </c>
      <c r="K4553" s="6" t="n">
        <v>11.49</v>
      </c>
      <c r="L4553" s="43" t="n">
        <f aca="false">K4553*'Chart of Accounts'!$E$68</f>
        <v>7.6983</v>
      </c>
      <c r="O4553" s="42" t="n">
        <f aca="false">I4553+J4553+L4553</f>
        <v>79.4151</v>
      </c>
    </row>
    <row r="4554" customFormat="false" ht="15" hidden="false" customHeight="false" outlineLevel="0" collapsed="false">
      <c r="B4554" s="7" t="s">
        <v>13187</v>
      </c>
      <c r="C4554" s="39" t="n">
        <v>45940</v>
      </c>
      <c r="D4554" s="7" t="s">
        <v>203</v>
      </c>
      <c r="E4554" s="7" t="s">
        <v>158</v>
      </c>
      <c r="H4554" s="41" t="n">
        <v>49.43</v>
      </c>
      <c r="M4554" s="6" t="n">
        <v>1</v>
      </c>
      <c r="N4554" s="43" t="n">
        <f aca="false">M4554*H4554</f>
        <v>49.43</v>
      </c>
      <c r="O4554" s="42" t="n">
        <f aca="false">N4554</f>
        <v>49.43</v>
      </c>
    </row>
    <row r="4555" customFormat="false" ht="15" hidden="false" customHeight="false" outlineLevel="0" collapsed="false">
      <c r="B4555" s="7" t="s">
        <v>13188</v>
      </c>
      <c r="C4555" s="39" t="n">
        <v>45940</v>
      </c>
      <c r="D4555" s="7" t="s">
        <v>260</v>
      </c>
      <c r="E4555" s="7" t="s">
        <v>158</v>
      </c>
      <c r="H4555" s="41" t="n">
        <v>79.8</v>
      </c>
      <c r="M4555" s="6" t="n">
        <v>1</v>
      </c>
      <c r="N4555" s="43" t="n">
        <f aca="false">M4555*H4555</f>
        <v>79.8</v>
      </c>
      <c r="O4555" s="42" t="n">
        <f aca="false">N4555</f>
        <v>79.8</v>
      </c>
    </row>
    <row r="4556" customFormat="false" ht="15" hidden="false" customHeight="false" outlineLevel="0" collapsed="false">
      <c r="B4556" s="7" t="s">
        <v>13189</v>
      </c>
      <c r="C4556" s="39" t="n">
        <v>45941</v>
      </c>
      <c r="D4556" s="7" t="s">
        <v>220</v>
      </c>
      <c r="E4556" s="7" t="s">
        <v>180</v>
      </c>
      <c r="F4556" s="6" t="n">
        <v>4.03</v>
      </c>
      <c r="G4556" s="6" t="n">
        <v>0</v>
      </c>
      <c r="H4556" s="41" t="n">
        <v>16.43</v>
      </c>
      <c r="I4556" s="43" t="n">
        <f aca="false">F4556*H4556</f>
        <v>66.2129</v>
      </c>
      <c r="J4556" s="43" t="n">
        <f aca="false">G4556*H4556*1.5</f>
        <v>0</v>
      </c>
      <c r="K4556" s="6" t="n">
        <v>9.82</v>
      </c>
      <c r="L4556" s="43" t="n">
        <f aca="false">K4556*'Chart of Accounts'!$E$68</f>
        <v>6.5794</v>
      </c>
      <c r="O4556" s="42" t="n">
        <f aca="false">I4556+J4556+L4556</f>
        <v>72.7923</v>
      </c>
    </row>
    <row r="4557" customFormat="false" ht="15" hidden="false" customHeight="false" outlineLevel="0" collapsed="false">
      <c r="B4557" s="7" t="s">
        <v>13190</v>
      </c>
      <c r="C4557" s="39" t="n">
        <v>45941</v>
      </c>
      <c r="D4557" s="7" t="s">
        <v>218</v>
      </c>
      <c r="E4557" s="7" t="s">
        <v>180</v>
      </c>
      <c r="F4557" s="6" t="n">
        <v>4.36</v>
      </c>
      <c r="G4557" s="6" t="n">
        <v>0</v>
      </c>
      <c r="H4557" s="41" t="n">
        <v>16.19</v>
      </c>
      <c r="I4557" s="43" t="n">
        <f aca="false">F4557*H4557</f>
        <v>70.5884</v>
      </c>
      <c r="J4557" s="43" t="n">
        <f aca="false">G4557*H4557*1.5</f>
        <v>0</v>
      </c>
      <c r="K4557" s="6" t="n">
        <v>10.22</v>
      </c>
      <c r="L4557" s="43" t="n">
        <f aca="false">K4557*'Chart of Accounts'!$E$68</f>
        <v>6.8474</v>
      </c>
      <c r="O4557" s="42" t="n">
        <f aca="false">I4557+J4557+L4557</f>
        <v>77.4358</v>
      </c>
    </row>
    <row r="4558" customFormat="false" ht="15" hidden="false" customHeight="false" outlineLevel="0" collapsed="false">
      <c r="B4558" s="7" t="s">
        <v>13191</v>
      </c>
      <c r="C4558" s="39" t="n">
        <v>45941</v>
      </c>
      <c r="D4558" s="7" t="s">
        <v>224</v>
      </c>
      <c r="E4558" s="7" t="s">
        <v>180</v>
      </c>
      <c r="F4558" s="6" t="n">
        <v>4.06</v>
      </c>
      <c r="G4558" s="6" t="n">
        <v>0</v>
      </c>
      <c r="H4558" s="41" t="n">
        <v>14.93</v>
      </c>
      <c r="I4558" s="43" t="n">
        <f aca="false">F4558*H4558</f>
        <v>60.6158</v>
      </c>
      <c r="J4558" s="43" t="n">
        <f aca="false">G4558*H4558*1.5</f>
        <v>0</v>
      </c>
      <c r="K4558" s="6" t="n">
        <v>10.94</v>
      </c>
      <c r="L4558" s="43" t="n">
        <f aca="false">K4558*'Chart of Accounts'!$E$68</f>
        <v>7.3298</v>
      </c>
      <c r="O4558" s="42" t="n">
        <f aca="false">I4558+J4558+L4558</f>
        <v>67.9456</v>
      </c>
    </row>
    <row r="4559" customFormat="false" ht="15" hidden="false" customHeight="false" outlineLevel="0" collapsed="false">
      <c r="B4559" s="7" t="s">
        <v>13192</v>
      </c>
      <c r="C4559" s="39" t="n">
        <v>45941</v>
      </c>
      <c r="D4559" s="7" t="s">
        <v>196</v>
      </c>
      <c r="E4559" s="7" t="s">
        <v>180</v>
      </c>
      <c r="F4559" s="6" t="n">
        <v>3.727</v>
      </c>
      <c r="G4559" s="6" t="n">
        <v>0.023</v>
      </c>
      <c r="H4559" s="41" t="n">
        <v>15.05</v>
      </c>
      <c r="I4559" s="43" t="n">
        <f aca="false">F4559*H4559</f>
        <v>56.09135</v>
      </c>
      <c r="J4559" s="43" t="n">
        <f aca="false">G4559*H4559*1.5</f>
        <v>0.519225</v>
      </c>
      <c r="K4559" s="6" t="n">
        <v>12.24</v>
      </c>
      <c r="L4559" s="43" t="n">
        <f aca="false">K4559*'Chart of Accounts'!$E$68</f>
        <v>8.2008</v>
      </c>
      <c r="O4559" s="42" t="n">
        <f aca="false">I4559+J4559+L4559</f>
        <v>64.811375</v>
      </c>
    </row>
    <row r="4560" customFormat="false" ht="15" hidden="false" customHeight="false" outlineLevel="0" collapsed="false">
      <c r="B4560" s="7" t="s">
        <v>13193</v>
      </c>
      <c r="C4560" s="39" t="n">
        <v>45941</v>
      </c>
      <c r="D4560" s="7" t="s">
        <v>222</v>
      </c>
      <c r="E4560" s="7" t="s">
        <v>180</v>
      </c>
      <c r="F4560" s="6" t="n">
        <v>3.65</v>
      </c>
      <c r="G4560" s="6" t="n">
        <v>0</v>
      </c>
      <c r="H4560" s="41" t="n">
        <v>17.84</v>
      </c>
      <c r="I4560" s="43" t="n">
        <f aca="false">F4560*H4560</f>
        <v>65.116</v>
      </c>
      <c r="J4560" s="43" t="n">
        <f aca="false">G4560*H4560*1.5</f>
        <v>0</v>
      </c>
      <c r="K4560" s="6" t="n">
        <v>9.27</v>
      </c>
      <c r="L4560" s="43" t="n">
        <f aca="false">K4560*'Chart of Accounts'!$E$68</f>
        <v>6.2109</v>
      </c>
      <c r="O4560" s="42" t="n">
        <f aca="false">I4560+J4560+L4560</f>
        <v>71.3269</v>
      </c>
    </row>
    <row r="4561" customFormat="false" ht="15" hidden="false" customHeight="false" outlineLevel="0" collapsed="false">
      <c r="B4561" s="7" t="s">
        <v>13194</v>
      </c>
      <c r="C4561" s="39" t="n">
        <v>45941</v>
      </c>
      <c r="D4561" s="7" t="s">
        <v>242</v>
      </c>
      <c r="E4561" s="7" t="s">
        <v>180</v>
      </c>
      <c r="F4561" s="6" t="n">
        <v>3.99</v>
      </c>
      <c r="G4561" s="6" t="n">
        <v>0</v>
      </c>
      <c r="H4561" s="41" t="n">
        <v>17.99</v>
      </c>
      <c r="I4561" s="43" t="n">
        <f aca="false">F4561*H4561</f>
        <v>71.7801</v>
      </c>
      <c r="J4561" s="43" t="n">
        <f aca="false">G4561*H4561*1.5</f>
        <v>0</v>
      </c>
      <c r="K4561" s="6" t="n">
        <v>12.56</v>
      </c>
      <c r="L4561" s="43" t="n">
        <f aca="false">K4561*'Chart of Accounts'!$E$68</f>
        <v>8.4152</v>
      </c>
      <c r="O4561" s="42" t="n">
        <f aca="false">I4561+J4561+L4561</f>
        <v>80.1953</v>
      </c>
    </row>
    <row r="4562" customFormat="false" ht="15" hidden="false" customHeight="false" outlineLevel="0" collapsed="false">
      <c r="B4562" s="7" t="s">
        <v>13195</v>
      </c>
      <c r="C4562" s="39" t="n">
        <v>45941</v>
      </c>
      <c r="D4562" s="7" t="s">
        <v>254</v>
      </c>
      <c r="E4562" s="7" t="s">
        <v>180</v>
      </c>
      <c r="F4562" s="6" t="n">
        <v>3.61</v>
      </c>
      <c r="G4562" s="6" t="n">
        <v>0</v>
      </c>
      <c r="H4562" s="41" t="n">
        <v>17.1</v>
      </c>
      <c r="I4562" s="43" t="n">
        <f aca="false">F4562*H4562</f>
        <v>61.731</v>
      </c>
      <c r="J4562" s="43" t="n">
        <f aca="false">G4562*H4562*1.5</f>
        <v>0</v>
      </c>
      <c r="K4562" s="6" t="n">
        <v>9.43</v>
      </c>
      <c r="L4562" s="43" t="n">
        <f aca="false">K4562*'Chart of Accounts'!$E$68</f>
        <v>6.3181</v>
      </c>
      <c r="O4562" s="42" t="n">
        <f aca="false">I4562+J4562+L4562</f>
        <v>68.0491</v>
      </c>
    </row>
    <row r="4563" customFormat="false" ht="15" hidden="false" customHeight="false" outlineLevel="0" collapsed="false">
      <c r="B4563" s="7" t="s">
        <v>13196</v>
      </c>
      <c r="C4563" s="39" t="n">
        <v>45942</v>
      </c>
      <c r="D4563" s="7" t="s">
        <v>184</v>
      </c>
      <c r="E4563" s="7" t="s">
        <v>180</v>
      </c>
      <c r="F4563" s="6" t="n">
        <v>3.77</v>
      </c>
      <c r="G4563" s="6" t="n">
        <v>0</v>
      </c>
      <c r="H4563" s="41" t="n">
        <v>17.34</v>
      </c>
      <c r="I4563" s="43" t="n">
        <f aca="false">F4563*H4563</f>
        <v>65.3718</v>
      </c>
      <c r="J4563" s="43" t="n">
        <f aca="false">G4563*H4563*1.5</f>
        <v>0</v>
      </c>
      <c r="K4563" s="6" t="n">
        <v>11.32</v>
      </c>
      <c r="L4563" s="43" t="n">
        <f aca="false">K4563*'Chart of Accounts'!$E$68</f>
        <v>7.5844</v>
      </c>
      <c r="O4563" s="42" t="n">
        <f aca="false">I4563+J4563+L4563</f>
        <v>72.9562</v>
      </c>
    </row>
    <row r="4564" customFormat="false" ht="15" hidden="false" customHeight="false" outlineLevel="0" collapsed="false">
      <c r="B4564" s="7" t="s">
        <v>13197</v>
      </c>
      <c r="C4564" s="39" t="n">
        <v>45942</v>
      </c>
      <c r="D4564" s="7" t="s">
        <v>218</v>
      </c>
      <c r="E4564" s="7" t="s">
        <v>180</v>
      </c>
      <c r="F4564" s="6" t="n">
        <v>4.04</v>
      </c>
      <c r="G4564" s="6" t="n">
        <v>0</v>
      </c>
      <c r="H4564" s="41" t="n">
        <v>16.19</v>
      </c>
      <c r="I4564" s="43" t="n">
        <f aca="false">F4564*H4564</f>
        <v>65.4076</v>
      </c>
      <c r="J4564" s="43" t="n">
        <f aca="false">G4564*H4564*1.5</f>
        <v>0</v>
      </c>
      <c r="K4564" s="6" t="n">
        <v>14.46</v>
      </c>
      <c r="L4564" s="43" t="n">
        <f aca="false">K4564*'Chart of Accounts'!$E$68</f>
        <v>9.6882</v>
      </c>
      <c r="O4564" s="42" t="n">
        <f aca="false">I4564+J4564+L4564</f>
        <v>75.0958</v>
      </c>
    </row>
    <row r="4565" customFormat="false" ht="15" hidden="false" customHeight="false" outlineLevel="0" collapsed="false">
      <c r="B4565" s="7" t="s">
        <v>13198</v>
      </c>
      <c r="C4565" s="39" t="n">
        <v>45942</v>
      </c>
      <c r="D4565" s="7" t="s">
        <v>240</v>
      </c>
      <c r="E4565" s="7" t="s">
        <v>180</v>
      </c>
      <c r="F4565" s="6" t="n">
        <v>4.2</v>
      </c>
      <c r="G4565" s="6" t="n">
        <v>0</v>
      </c>
      <c r="H4565" s="41" t="n">
        <v>16.96</v>
      </c>
      <c r="I4565" s="43" t="n">
        <f aca="false">F4565*H4565</f>
        <v>71.232</v>
      </c>
      <c r="J4565" s="43" t="n">
        <f aca="false">G4565*H4565*1.5</f>
        <v>0</v>
      </c>
      <c r="K4565" s="6" t="n">
        <v>10.58</v>
      </c>
      <c r="L4565" s="43" t="n">
        <f aca="false">K4565*'Chart of Accounts'!$E$68</f>
        <v>7.0886</v>
      </c>
      <c r="O4565" s="42" t="n">
        <f aca="false">I4565+J4565+L4565</f>
        <v>78.3206</v>
      </c>
    </row>
    <row r="4566" customFormat="false" ht="15" hidden="false" customHeight="false" outlineLevel="0" collapsed="false">
      <c r="B4566" s="7" t="s">
        <v>13199</v>
      </c>
      <c r="C4566" s="39" t="n">
        <v>45942</v>
      </c>
      <c r="D4566" s="7" t="s">
        <v>222</v>
      </c>
      <c r="E4566" s="7" t="s">
        <v>180</v>
      </c>
      <c r="F4566" s="6" t="n">
        <v>4.02</v>
      </c>
      <c r="G4566" s="6" t="n">
        <v>0</v>
      </c>
      <c r="H4566" s="41" t="n">
        <v>17.84</v>
      </c>
      <c r="I4566" s="43" t="n">
        <f aca="false">F4566*H4566</f>
        <v>71.7168</v>
      </c>
      <c r="J4566" s="43" t="n">
        <f aca="false">G4566*H4566*1.5</f>
        <v>0</v>
      </c>
      <c r="K4566" s="6" t="n">
        <v>12.24</v>
      </c>
      <c r="L4566" s="43" t="n">
        <f aca="false">K4566*'Chart of Accounts'!$E$68</f>
        <v>8.2008</v>
      </c>
      <c r="O4566" s="42" t="n">
        <f aca="false">I4566+J4566+L4566</f>
        <v>79.9176</v>
      </c>
    </row>
    <row r="4567" customFormat="false" ht="15" hidden="false" customHeight="false" outlineLevel="0" collapsed="false">
      <c r="B4567" s="7" t="s">
        <v>13200</v>
      </c>
      <c r="C4567" s="39" t="n">
        <v>45942</v>
      </c>
      <c r="D4567" s="7" t="s">
        <v>242</v>
      </c>
      <c r="E4567" s="7" t="s">
        <v>180</v>
      </c>
      <c r="F4567" s="6" t="n">
        <v>3.67</v>
      </c>
      <c r="G4567" s="6" t="n">
        <v>0</v>
      </c>
      <c r="H4567" s="41" t="n">
        <v>17.99</v>
      </c>
      <c r="I4567" s="43" t="n">
        <f aca="false">F4567*H4567</f>
        <v>66.0233</v>
      </c>
      <c r="J4567" s="43" t="n">
        <f aca="false">G4567*H4567*1.5</f>
        <v>0</v>
      </c>
      <c r="K4567" s="6" t="n">
        <v>11.23</v>
      </c>
      <c r="L4567" s="43" t="n">
        <f aca="false">K4567*'Chart of Accounts'!$E$68</f>
        <v>7.5241</v>
      </c>
      <c r="O4567" s="42" t="n">
        <f aca="false">I4567+J4567+L4567</f>
        <v>73.5474</v>
      </c>
    </row>
    <row r="4568" customFormat="false" ht="15" hidden="false" customHeight="false" outlineLevel="0" collapsed="false">
      <c r="B4568" s="7" t="s">
        <v>13201</v>
      </c>
      <c r="C4568" s="39" t="n">
        <v>45942</v>
      </c>
      <c r="D4568" s="7" t="s">
        <v>254</v>
      </c>
      <c r="E4568" s="7" t="s">
        <v>180</v>
      </c>
      <c r="F4568" s="6" t="n">
        <v>3.6</v>
      </c>
      <c r="G4568" s="6" t="n">
        <v>0</v>
      </c>
      <c r="H4568" s="41" t="n">
        <v>17.1</v>
      </c>
      <c r="I4568" s="43" t="n">
        <f aca="false">F4568*H4568</f>
        <v>61.56</v>
      </c>
      <c r="J4568" s="43" t="n">
        <f aca="false">G4568*H4568*1.5</f>
        <v>0</v>
      </c>
      <c r="K4568" s="6" t="n">
        <v>12.54</v>
      </c>
      <c r="L4568" s="43" t="n">
        <f aca="false">K4568*'Chart of Accounts'!$E$68</f>
        <v>8.4018</v>
      </c>
      <c r="O4568" s="42" t="n">
        <f aca="false">I4568+J4568+L4568</f>
        <v>69.9618</v>
      </c>
    </row>
    <row r="4569" customFormat="false" ht="15" hidden="false" customHeight="false" outlineLevel="0" collapsed="false">
      <c r="B4569" s="7" t="s">
        <v>13202</v>
      </c>
      <c r="C4569" s="39" t="n">
        <v>45943</v>
      </c>
      <c r="D4569" s="7" t="s">
        <v>201</v>
      </c>
      <c r="E4569" s="7" t="s">
        <v>180</v>
      </c>
      <c r="F4569" s="6" t="n">
        <v>13.57</v>
      </c>
      <c r="G4569" s="6" t="n">
        <v>0</v>
      </c>
      <c r="H4569" s="41" t="n">
        <v>15.19</v>
      </c>
      <c r="I4569" s="43" t="n">
        <f aca="false">F4569*H4569</f>
        <v>206.1283</v>
      </c>
      <c r="J4569" s="43" t="n">
        <f aca="false">G4569*H4569*1.5</f>
        <v>0</v>
      </c>
      <c r="K4569" s="6" t="n">
        <v>35.34</v>
      </c>
      <c r="L4569" s="43" t="n">
        <f aca="false">K4569*'Chart of Accounts'!$E$68</f>
        <v>23.6778</v>
      </c>
      <c r="O4569" s="42" t="n">
        <f aca="false">I4569+J4569+L4569</f>
        <v>229.8061</v>
      </c>
    </row>
    <row r="4570" customFormat="false" ht="15" hidden="false" customHeight="false" outlineLevel="0" collapsed="false">
      <c r="B4570" s="7" t="s">
        <v>13203</v>
      </c>
      <c r="C4570" s="39" t="n">
        <v>45943</v>
      </c>
      <c r="D4570" s="7" t="s">
        <v>194</v>
      </c>
      <c r="E4570" s="7" t="s">
        <v>180</v>
      </c>
      <c r="F4570" s="6" t="n">
        <v>8.65</v>
      </c>
      <c r="G4570" s="6" t="n">
        <v>0</v>
      </c>
      <c r="H4570" s="41" t="n">
        <v>16</v>
      </c>
      <c r="I4570" s="43" t="n">
        <f aca="false">F4570*H4570</f>
        <v>138.4</v>
      </c>
      <c r="J4570" s="43" t="n">
        <f aca="false">G4570*H4570*1.5</f>
        <v>0</v>
      </c>
      <c r="K4570" s="6" t="n">
        <v>21.46</v>
      </c>
      <c r="L4570" s="43" t="n">
        <f aca="false">K4570*'Chart of Accounts'!$E$68</f>
        <v>14.3782</v>
      </c>
      <c r="O4570" s="42" t="n">
        <f aca="false">I4570+J4570+L4570</f>
        <v>152.7782</v>
      </c>
    </row>
    <row r="4571" customFormat="false" ht="15" hidden="false" customHeight="false" outlineLevel="0" collapsed="false">
      <c r="B4571" s="7" t="s">
        <v>13204</v>
      </c>
      <c r="C4571" s="39" t="n">
        <v>45943</v>
      </c>
      <c r="D4571" s="7" t="s">
        <v>214</v>
      </c>
      <c r="E4571" s="7" t="s">
        <v>180</v>
      </c>
      <c r="F4571" s="6" t="n">
        <v>7.25</v>
      </c>
      <c r="G4571" s="6" t="n">
        <v>0</v>
      </c>
      <c r="H4571" s="41" t="n">
        <v>15.67</v>
      </c>
      <c r="I4571" s="43" t="n">
        <f aca="false">F4571*H4571</f>
        <v>113.6075</v>
      </c>
      <c r="J4571" s="43" t="n">
        <f aca="false">G4571*H4571*1.5</f>
        <v>0</v>
      </c>
      <c r="K4571" s="6" t="n">
        <v>21.66</v>
      </c>
      <c r="L4571" s="43" t="n">
        <f aca="false">K4571*'Chart of Accounts'!$E$68</f>
        <v>14.5122</v>
      </c>
      <c r="O4571" s="42" t="n">
        <f aca="false">I4571+J4571+L4571</f>
        <v>128.1197</v>
      </c>
    </row>
    <row r="4572" customFormat="false" ht="15" hidden="false" customHeight="false" outlineLevel="0" collapsed="false">
      <c r="B4572" s="7" t="s">
        <v>13205</v>
      </c>
      <c r="C4572" s="39" t="n">
        <v>45943</v>
      </c>
      <c r="D4572" s="7" t="s">
        <v>240</v>
      </c>
      <c r="E4572" s="7" t="s">
        <v>180</v>
      </c>
      <c r="F4572" s="6" t="n">
        <v>6.85</v>
      </c>
      <c r="G4572" s="6" t="n">
        <v>0</v>
      </c>
      <c r="H4572" s="41" t="n">
        <v>16.96</v>
      </c>
      <c r="I4572" s="43" t="n">
        <f aca="false">F4572*H4572</f>
        <v>116.176</v>
      </c>
      <c r="J4572" s="43" t="n">
        <f aca="false">G4572*H4572*1.5</f>
        <v>0</v>
      </c>
      <c r="K4572" s="6" t="n">
        <v>18.14</v>
      </c>
      <c r="L4572" s="43" t="n">
        <f aca="false">K4572*'Chart of Accounts'!$E$68</f>
        <v>12.1538</v>
      </c>
      <c r="O4572" s="42" t="n">
        <f aca="false">I4572+J4572+L4572</f>
        <v>128.3298</v>
      </c>
    </row>
    <row r="4573" customFormat="false" ht="15" hidden="false" customHeight="false" outlineLevel="0" collapsed="false">
      <c r="B4573" s="7" t="s">
        <v>13206</v>
      </c>
      <c r="C4573" s="39" t="n">
        <v>45943</v>
      </c>
      <c r="D4573" s="7" t="s">
        <v>205</v>
      </c>
      <c r="E4573" s="7" t="s">
        <v>180</v>
      </c>
      <c r="F4573" s="6" t="n">
        <v>4.19</v>
      </c>
      <c r="G4573" s="6" t="n">
        <v>0</v>
      </c>
      <c r="H4573" s="41" t="n">
        <v>16.36</v>
      </c>
      <c r="I4573" s="43" t="n">
        <f aca="false">F4573*H4573</f>
        <v>68.5484</v>
      </c>
      <c r="J4573" s="43" t="n">
        <f aca="false">G4573*H4573*1.5</f>
        <v>0</v>
      </c>
      <c r="K4573" s="6" t="n">
        <v>13.58</v>
      </c>
      <c r="L4573" s="43" t="n">
        <f aca="false">K4573*'Chart of Accounts'!$E$68</f>
        <v>9.0986</v>
      </c>
      <c r="O4573" s="42" t="n">
        <f aca="false">I4573+J4573+L4573</f>
        <v>77.647</v>
      </c>
    </row>
    <row r="4574" customFormat="false" ht="15" hidden="false" customHeight="false" outlineLevel="0" collapsed="false">
      <c r="B4574" s="7" t="s">
        <v>13207</v>
      </c>
      <c r="C4574" s="39" t="n">
        <v>45943</v>
      </c>
      <c r="D4574" s="7" t="s">
        <v>264</v>
      </c>
      <c r="E4574" s="7" t="s">
        <v>158</v>
      </c>
      <c r="H4574" s="41" t="n">
        <v>55.55</v>
      </c>
      <c r="M4574" s="6" t="n">
        <v>1</v>
      </c>
      <c r="N4574" s="43" t="n">
        <f aca="false">M4574*H4574</f>
        <v>55.55</v>
      </c>
      <c r="O4574" s="42" t="n">
        <f aca="false">N4574</f>
        <v>55.55</v>
      </c>
    </row>
    <row r="4575" customFormat="false" ht="15" hidden="false" customHeight="false" outlineLevel="0" collapsed="false">
      <c r="B4575" s="7" t="s">
        <v>13208</v>
      </c>
      <c r="C4575" s="39" t="n">
        <v>45943</v>
      </c>
      <c r="D4575" s="7" t="s">
        <v>252</v>
      </c>
      <c r="E4575" s="7" t="s">
        <v>158</v>
      </c>
      <c r="H4575" s="41" t="n">
        <v>57.54</v>
      </c>
      <c r="M4575" s="6" t="n">
        <v>1</v>
      </c>
      <c r="N4575" s="43" t="n">
        <f aca="false">M4575*H4575</f>
        <v>57.54</v>
      </c>
      <c r="O4575" s="42" t="n">
        <f aca="false">N4575</f>
        <v>57.54</v>
      </c>
    </row>
    <row r="4576" customFormat="false" ht="15" hidden="false" customHeight="false" outlineLevel="0" collapsed="false">
      <c r="B4576" s="7" t="s">
        <v>13209</v>
      </c>
      <c r="C4576" s="39" t="n">
        <v>45943</v>
      </c>
      <c r="D4576" s="7" t="s">
        <v>196</v>
      </c>
      <c r="E4576" s="7" t="s">
        <v>180</v>
      </c>
      <c r="F4576" s="6" t="n">
        <v>9.69</v>
      </c>
      <c r="G4576" s="6" t="n">
        <v>0</v>
      </c>
      <c r="H4576" s="41" t="n">
        <v>15.05</v>
      </c>
      <c r="I4576" s="43" t="n">
        <f aca="false">F4576*H4576</f>
        <v>145.8345</v>
      </c>
      <c r="J4576" s="43" t="n">
        <f aca="false">G4576*H4576*1.5</f>
        <v>0</v>
      </c>
      <c r="K4576" s="6" t="n">
        <v>26.94</v>
      </c>
      <c r="L4576" s="43" t="n">
        <f aca="false">K4576*'Chart of Accounts'!$E$68</f>
        <v>18.0498</v>
      </c>
      <c r="O4576" s="42" t="n">
        <f aca="false">I4576+J4576+L4576</f>
        <v>163.8843</v>
      </c>
    </row>
    <row r="4577" customFormat="false" ht="15" hidden="false" customHeight="false" outlineLevel="0" collapsed="false">
      <c r="B4577" s="7" t="s">
        <v>13210</v>
      </c>
      <c r="C4577" s="39" t="n">
        <v>45943</v>
      </c>
      <c r="D4577" s="7" t="s">
        <v>184</v>
      </c>
      <c r="E4577" s="7" t="s">
        <v>180</v>
      </c>
      <c r="F4577" s="6" t="n">
        <v>7.95</v>
      </c>
      <c r="G4577" s="6" t="n">
        <v>0</v>
      </c>
      <c r="H4577" s="41" t="n">
        <v>17.34</v>
      </c>
      <c r="I4577" s="43" t="n">
        <f aca="false">F4577*H4577</f>
        <v>137.853</v>
      </c>
      <c r="J4577" s="43" t="n">
        <f aca="false">G4577*H4577*1.5</f>
        <v>0</v>
      </c>
      <c r="K4577" s="6" t="n">
        <v>22.34</v>
      </c>
      <c r="L4577" s="43" t="n">
        <f aca="false">K4577*'Chart of Accounts'!$E$68</f>
        <v>14.9678</v>
      </c>
      <c r="O4577" s="42" t="n">
        <f aca="false">I4577+J4577+L4577</f>
        <v>152.8208</v>
      </c>
    </row>
    <row r="4578" customFormat="false" ht="15" hidden="false" customHeight="false" outlineLevel="0" collapsed="false">
      <c r="B4578" s="7" t="s">
        <v>13211</v>
      </c>
      <c r="C4578" s="39" t="n">
        <v>45943</v>
      </c>
      <c r="D4578" s="7" t="s">
        <v>216</v>
      </c>
      <c r="E4578" s="7" t="s">
        <v>158</v>
      </c>
      <c r="H4578" s="41" t="n">
        <v>61.79</v>
      </c>
      <c r="M4578" s="6" t="n">
        <v>1</v>
      </c>
      <c r="N4578" s="43" t="n">
        <f aca="false">M4578*H4578</f>
        <v>61.79</v>
      </c>
      <c r="O4578" s="42" t="n">
        <f aca="false">N4578</f>
        <v>61.79</v>
      </c>
    </row>
    <row r="4579" customFormat="false" ht="15" hidden="false" customHeight="false" outlineLevel="0" collapsed="false">
      <c r="B4579" s="7" t="s">
        <v>13212</v>
      </c>
      <c r="C4579" s="39" t="n">
        <v>45943</v>
      </c>
      <c r="D4579" s="7" t="s">
        <v>218</v>
      </c>
      <c r="E4579" s="7" t="s">
        <v>180</v>
      </c>
      <c r="F4579" s="6" t="n">
        <v>6.72</v>
      </c>
      <c r="G4579" s="6" t="n">
        <v>0</v>
      </c>
      <c r="H4579" s="41" t="n">
        <v>16.19</v>
      </c>
      <c r="I4579" s="43" t="n">
        <f aca="false">F4579*H4579</f>
        <v>108.7968</v>
      </c>
      <c r="J4579" s="43" t="n">
        <f aca="false">G4579*H4579*1.5</f>
        <v>0</v>
      </c>
      <c r="K4579" s="6" t="n">
        <v>21.02</v>
      </c>
      <c r="L4579" s="43" t="n">
        <f aca="false">K4579*'Chart of Accounts'!$E$68</f>
        <v>14.0834</v>
      </c>
      <c r="O4579" s="42" t="n">
        <f aca="false">I4579+J4579+L4579</f>
        <v>122.8802</v>
      </c>
    </row>
    <row r="4580" customFormat="false" ht="15" hidden="false" customHeight="false" outlineLevel="0" collapsed="false">
      <c r="B4580" s="7" t="s">
        <v>13213</v>
      </c>
      <c r="C4580" s="39" t="n">
        <v>45943</v>
      </c>
      <c r="D4580" s="7" t="s">
        <v>232</v>
      </c>
      <c r="E4580" s="7" t="s">
        <v>180</v>
      </c>
      <c r="F4580" s="6" t="n">
        <v>7.63</v>
      </c>
      <c r="G4580" s="6" t="n">
        <v>0</v>
      </c>
      <c r="H4580" s="41" t="n">
        <v>16.17</v>
      </c>
      <c r="I4580" s="43" t="n">
        <f aca="false">F4580*H4580</f>
        <v>123.3771</v>
      </c>
      <c r="J4580" s="43" t="n">
        <f aca="false">G4580*H4580*1.5</f>
        <v>0</v>
      </c>
      <c r="K4580" s="6" t="n">
        <v>20.72</v>
      </c>
      <c r="L4580" s="43" t="n">
        <f aca="false">K4580*'Chart of Accounts'!$E$68</f>
        <v>13.8824</v>
      </c>
      <c r="O4580" s="42" t="n">
        <f aca="false">I4580+J4580+L4580</f>
        <v>137.2595</v>
      </c>
    </row>
    <row r="4581" customFormat="false" ht="15" hidden="false" customHeight="false" outlineLevel="0" collapsed="false">
      <c r="B4581" s="7" t="s">
        <v>13214</v>
      </c>
      <c r="C4581" s="39" t="n">
        <v>45943</v>
      </c>
      <c r="D4581" s="7" t="s">
        <v>220</v>
      </c>
      <c r="E4581" s="7" t="s">
        <v>180</v>
      </c>
      <c r="F4581" s="6" t="n">
        <v>7.69</v>
      </c>
      <c r="G4581" s="6" t="n">
        <v>0</v>
      </c>
      <c r="H4581" s="41" t="n">
        <v>16.43</v>
      </c>
      <c r="I4581" s="43" t="n">
        <f aca="false">F4581*H4581</f>
        <v>126.3467</v>
      </c>
      <c r="J4581" s="43" t="n">
        <f aca="false">G4581*H4581*1.5</f>
        <v>0</v>
      </c>
      <c r="K4581" s="6" t="n">
        <v>17.72</v>
      </c>
      <c r="L4581" s="43" t="n">
        <f aca="false">K4581*'Chart of Accounts'!$E$68</f>
        <v>11.8724</v>
      </c>
      <c r="O4581" s="42" t="n">
        <f aca="false">I4581+J4581+L4581</f>
        <v>138.2191</v>
      </c>
    </row>
    <row r="4582" customFormat="false" ht="15" hidden="false" customHeight="false" outlineLevel="0" collapsed="false">
      <c r="B4582" s="7" t="s">
        <v>13215</v>
      </c>
      <c r="C4582" s="39" t="n">
        <v>45943</v>
      </c>
      <c r="D4582" s="7" t="s">
        <v>224</v>
      </c>
      <c r="E4582" s="7" t="s">
        <v>180</v>
      </c>
      <c r="F4582" s="6" t="n">
        <v>8.59</v>
      </c>
      <c r="G4582" s="6" t="n">
        <v>0</v>
      </c>
      <c r="H4582" s="41" t="n">
        <v>14.93</v>
      </c>
      <c r="I4582" s="43" t="n">
        <f aca="false">F4582*H4582</f>
        <v>128.2487</v>
      </c>
      <c r="J4582" s="43" t="n">
        <f aca="false">G4582*H4582*1.5</f>
        <v>0</v>
      </c>
      <c r="K4582" s="6" t="n">
        <v>19.6</v>
      </c>
      <c r="L4582" s="43" t="n">
        <f aca="false">K4582*'Chart of Accounts'!$E$68</f>
        <v>13.132</v>
      </c>
      <c r="O4582" s="42" t="n">
        <f aca="false">I4582+J4582+L4582</f>
        <v>141.3807</v>
      </c>
    </row>
    <row r="4583" customFormat="false" ht="15" hidden="false" customHeight="false" outlineLevel="0" collapsed="false">
      <c r="B4583" s="7" t="s">
        <v>13216</v>
      </c>
      <c r="C4583" s="39" t="n">
        <v>45943</v>
      </c>
      <c r="D4583" s="7" t="s">
        <v>236</v>
      </c>
      <c r="E4583" s="7" t="s">
        <v>180</v>
      </c>
      <c r="F4583" s="6" t="n">
        <v>3.42</v>
      </c>
      <c r="G4583" s="6" t="n">
        <v>0</v>
      </c>
      <c r="H4583" s="41" t="n">
        <v>15.49</v>
      </c>
      <c r="I4583" s="43" t="n">
        <f aca="false">F4583*H4583</f>
        <v>52.9758</v>
      </c>
      <c r="J4583" s="43" t="n">
        <f aca="false">G4583*H4583*1.5</f>
        <v>0</v>
      </c>
      <c r="K4583" s="6" t="n">
        <v>9.87</v>
      </c>
      <c r="L4583" s="43" t="n">
        <f aca="false">K4583*'Chart of Accounts'!$E$68</f>
        <v>6.6129</v>
      </c>
      <c r="O4583" s="42" t="n">
        <f aca="false">I4583+J4583+L4583</f>
        <v>59.5887</v>
      </c>
    </row>
    <row r="4584" customFormat="false" ht="15" hidden="false" customHeight="false" outlineLevel="0" collapsed="false">
      <c r="B4584" s="7" t="s">
        <v>13217</v>
      </c>
      <c r="C4584" s="39" t="n">
        <v>45943</v>
      </c>
      <c r="D4584" s="7" t="s">
        <v>177</v>
      </c>
      <c r="E4584" s="7" t="s">
        <v>180</v>
      </c>
      <c r="F4584" s="6" t="n">
        <v>12.1</v>
      </c>
      <c r="G4584" s="6" t="n">
        <v>0</v>
      </c>
      <c r="H4584" s="41" t="n">
        <v>14.56</v>
      </c>
      <c r="I4584" s="43" t="n">
        <f aca="false">F4584*H4584</f>
        <v>176.176</v>
      </c>
      <c r="J4584" s="43" t="n">
        <f aca="false">G4584*H4584*1.5</f>
        <v>0</v>
      </c>
      <c r="K4584" s="6" t="n">
        <v>27.15</v>
      </c>
      <c r="L4584" s="43" t="n">
        <f aca="false">K4584*'Chart of Accounts'!$E$68</f>
        <v>18.1905</v>
      </c>
      <c r="O4584" s="42" t="n">
        <f aca="false">I4584+J4584+L4584</f>
        <v>194.3665</v>
      </c>
    </row>
    <row r="4585" customFormat="false" ht="15" hidden="false" customHeight="false" outlineLevel="0" collapsed="false">
      <c r="B4585" s="7" t="s">
        <v>13218</v>
      </c>
      <c r="C4585" s="39" t="n">
        <v>45943</v>
      </c>
      <c r="D4585" s="7" t="s">
        <v>242</v>
      </c>
      <c r="E4585" s="7" t="s">
        <v>180</v>
      </c>
      <c r="F4585" s="6" t="n">
        <v>7.192</v>
      </c>
      <c r="G4585" s="6" t="n">
        <v>0.288</v>
      </c>
      <c r="H4585" s="41" t="n">
        <v>17.99</v>
      </c>
      <c r="I4585" s="43" t="n">
        <f aca="false">F4585*H4585</f>
        <v>129.38408</v>
      </c>
      <c r="J4585" s="43" t="n">
        <f aca="false">G4585*H4585*1.5</f>
        <v>7.77168</v>
      </c>
      <c r="K4585" s="6" t="n">
        <v>18.02</v>
      </c>
      <c r="L4585" s="43" t="n">
        <f aca="false">K4585*'Chart of Accounts'!$E$68</f>
        <v>12.0734</v>
      </c>
      <c r="O4585" s="42" t="n">
        <f aca="false">I4585+J4585+L4585</f>
        <v>149.22916</v>
      </c>
    </row>
    <row r="4586" customFormat="false" ht="15" hidden="false" customHeight="false" outlineLevel="0" collapsed="false">
      <c r="B4586" s="7" t="s">
        <v>13219</v>
      </c>
      <c r="C4586" s="39" t="n">
        <v>45943</v>
      </c>
      <c r="D4586" s="7" t="s">
        <v>222</v>
      </c>
      <c r="E4586" s="7" t="s">
        <v>180</v>
      </c>
      <c r="F4586" s="6" t="n">
        <v>2.93</v>
      </c>
      <c r="G4586" s="6" t="n">
        <v>0</v>
      </c>
      <c r="H4586" s="41" t="n">
        <v>17.84</v>
      </c>
      <c r="I4586" s="43" t="n">
        <f aca="false">F4586*H4586</f>
        <v>52.2712</v>
      </c>
      <c r="J4586" s="43" t="n">
        <f aca="false">G4586*H4586*1.5</f>
        <v>0</v>
      </c>
      <c r="K4586" s="6" t="n">
        <v>9.94</v>
      </c>
      <c r="L4586" s="43" t="n">
        <f aca="false">K4586*'Chart of Accounts'!$E$68</f>
        <v>6.6598</v>
      </c>
      <c r="O4586" s="42" t="n">
        <f aca="false">I4586+J4586+L4586</f>
        <v>58.931</v>
      </c>
    </row>
    <row r="4587" customFormat="false" ht="15" hidden="false" customHeight="false" outlineLevel="0" collapsed="false">
      <c r="B4587" s="7" t="s">
        <v>13220</v>
      </c>
      <c r="C4587" s="39" t="n">
        <v>45943</v>
      </c>
      <c r="D4587" s="7" t="s">
        <v>238</v>
      </c>
      <c r="E4587" s="7" t="s">
        <v>180</v>
      </c>
      <c r="F4587" s="6" t="n">
        <v>8.96</v>
      </c>
      <c r="G4587" s="6" t="n">
        <v>0</v>
      </c>
      <c r="H4587" s="41" t="n">
        <v>15.85</v>
      </c>
      <c r="I4587" s="43" t="n">
        <f aca="false">F4587*H4587</f>
        <v>142.016</v>
      </c>
      <c r="J4587" s="43" t="n">
        <f aca="false">G4587*H4587*1.5</f>
        <v>0</v>
      </c>
      <c r="K4587" s="6" t="n">
        <v>19.91</v>
      </c>
      <c r="L4587" s="43" t="n">
        <f aca="false">K4587*'Chart of Accounts'!$E$68</f>
        <v>13.3397</v>
      </c>
      <c r="O4587" s="42" t="n">
        <f aca="false">I4587+J4587+L4587</f>
        <v>155.3557</v>
      </c>
    </row>
    <row r="4588" customFormat="false" ht="15" hidden="false" customHeight="false" outlineLevel="0" collapsed="false">
      <c r="B4588" s="7" t="s">
        <v>13221</v>
      </c>
      <c r="C4588" s="39" t="n">
        <v>45943</v>
      </c>
      <c r="D4588" s="7" t="s">
        <v>244</v>
      </c>
      <c r="E4588" s="7" t="s">
        <v>180</v>
      </c>
      <c r="F4588" s="6" t="n">
        <v>7.96</v>
      </c>
      <c r="G4588" s="6" t="n">
        <v>0</v>
      </c>
      <c r="H4588" s="41" t="n">
        <v>16.39</v>
      </c>
      <c r="I4588" s="43" t="n">
        <f aca="false">F4588*H4588</f>
        <v>130.4644</v>
      </c>
      <c r="J4588" s="43" t="n">
        <f aca="false">G4588*H4588*1.5</f>
        <v>0</v>
      </c>
      <c r="K4588" s="6" t="n">
        <v>19.14</v>
      </c>
      <c r="L4588" s="43" t="n">
        <f aca="false">K4588*'Chart of Accounts'!$E$68</f>
        <v>12.8238</v>
      </c>
      <c r="O4588" s="42" t="n">
        <f aca="false">I4588+J4588+L4588</f>
        <v>143.2882</v>
      </c>
    </row>
    <row r="4589" customFormat="false" ht="15" hidden="false" customHeight="false" outlineLevel="0" collapsed="false">
      <c r="B4589" s="7" t="s">
        <v>13222</v>
      </c>
      <c r="C4589" s="39" t="n">
        <v>45943</v>
      </c>
      <c r="D4589" s="7" t="s">
        <v>254</v>
      </c>
      <c r="E4589" s="7" t="s">
        <v>180</v>
      </c>
      <c r="F4589" s="6" t="n">
        <v>3.36</v>
      </c>
      <c r="G4589" s="6" t="n">
        <v>0</v>
      </c>
      <c r="H4589" s="41" t="n">
        <v>17.1</v>
      </c>
      <c r="I4589" s="43" t="n">
        <f aca="false">F4589*H4589</f>
        <v>57.456</v>
      </c>
      <c r="J4589" s="43" t="n">
        <f aca="false">G4589*H4589*1.5</f>
        <v>0</v>
      </c>
      <c r="K4589" s="6" t="n">
        <v>11.19</v>
      </c>
      <c r="L4589" s="43" t="n">
        <f aca="false">K4589*'Chart of Accounts'!$E$68</f>
        <v>7.4973</v>
      </c>
      <c r="O4589" s="42" t="n">
        <f aca="false">I4589+J4589+L4589</f>
        <v>64.9533</v>
      </c>
    </row>
    <row r="4590" customFormat="false" ht="15" hidden="false" customHeight="false" outlineLevel="0" collapsed="false">
      <c r="B4590" s="7" t="s">
        <v>13223</v>
      </c>
      <c r="C4590" s="39" t="n">
        <v>45943</v>
      </c>
      <c r="D4590" s="7" t="s">
        <v>246</v>
      </c>
      <c r="E4590" s="7" t="s">
        <v>180</v>
      </c>
      <c r="F4590" s="6" t="n">
        <v>8.41</v>
      </c>
      <c r="G4590" s="6" t="n">
        <v>0</v>
      </c>
      <c r="H4590" s="41" t="n">
        <v>16.48</v>
      </c>
      <c r="I4590" s="43" t="n">
        <f aca="false">F4590*H4590</f>
        <v>138.5968</v>
      </c>
      <c r="J4590" s="43" t="n">
        <f aca="false">G4590*H4590*1.5</f>
        <v>0</v>
      </c>
      <c r="K4590" s="6" t="n">
        <v>24.01</v>
      </c>
      <c r="L4590" s="43" t="n">
        <f aca="false">K4590*'Chart of Accounts'!$E$68</f>
        <v>16.0867</v>
      </c>
      <c r="O4590" s="42" t="n">
        <f aca="false">I4590+J4590+L4590</f>
        <v>154.6835</v>
      </c>
    </row>
    <row r="4591" customFormat="false" ht="15" hidden="false" customHeight="false" outlineLevel="0" collapsed="false">
      <c r="B4591" s="7" t="s">
        <v>13224</v>
      </c>
      <c r="C4591" s="39" t="n">
        <v>45944</v>
      </c>
      <c r="D4591" s="7" t="s">
        <v>238</v>
      </c>
      <c r="E4591" s="7" t="s">
        <v>180</v>
      </c>
      <c r="F4591" s="6" t="n">
        <v>4.05</v>
      </c>
      <c r="G4591" s="6" t="n">
        <v>0</v>
      </c>
      <c r="H4591" s="41" t="n">
        <v>15.85</v>
      </c>
      <c r="I4591" s="43" t="n">
        <f aca="false">F4591*H4591</f>
        <v>64.1925</v>
      </c>
      <c r="J4591" s="43" t="n">
        <f aca="false">G4591*H4591*1.5</f>
        <v>0</v>
      </c>
      <c r="K4591" s="6" t="n">
        <v>10.07</v>
      </c>
      <c r="L4591" s="43" t="n">
        <f aca="false">K4591*'Chart of Accounts'!$E$68</f>
        <v>6.7469</v>
      </c>
      <c r="O4591" s="42" t="n">
        <f aca="false">I4591+J4591+L4591</f>
        <v>70.9394</v>
      </c>
    </row>
    <row r="4592" customFormat="false" ht="15" hidden="false" customHeight="false" outlineLevel="0" collapsed="false">
      <c r="B4592" s="7" t="s">
        <v>13225</v>
      </c>
      <c r="C4592" s="39" t="n">
        <v>45944</v>
      </c>
      <c r="D4592" s="7" t="s">
        <v>198</v>
      </c>
      <c r="E4592" s="7" t="s">
        <v>158</v>
      </c>
      <c r="H4592" s="41" t="n">
        <v>48.09</v>
      </c>
      <c r="M4592" s="6" t="n">
        <v>1</v>
      </c>
      <c r="N4592" s="43" t="n">
        <f aca="false">M4592*H4592</f>
        <v>48.09</v>
      </c>
      <c r="O4592" s="42" t="n">
        <f aca="false">N4592</f>
        <v>48.09</v>
      </c>
    </row>
    <row r="4593" customFormat="false" ht="15" hidden="false" customHeight="false" outlineLevel="0" collapsed="false">
      <c r="B4593" s="7" t="s">
        <v>13226</v>
      </c>
      <c r="C4593" s="39" t="n">
        <v>45944</v>
      </c>
      <c r="D4593" s="7" t="s">
        <v>209</v>
      </c>
      <c r="E4593" s="7" t="s">
        <v>158</v>
      </c>
      <c r="H4593" s="41" t="n">
        <v>73.58</v>
      </c>
      <c r="M4593" s="6" t="n">
        <v>2</v>
      </c>
      <c r="N4593" s="43" t="n">
        <f aca="false">M4593*H4593</f>
        <v>147.16</v>
      </c>
      <c r="O4593" s="42" t="n">
        <f aca="false">N4593</f>
        <v>147.16</v>
      </c>
    </row>
    <row r="4594" customFormat="false" ht="15" hidden="false" customHeight="false" outlineLevel="0" collapsed="false">
      <c r="B4594" s="7" t="s">
        <v>13227</v>
      </c>
      <c r="C4594" s="39" t="n">
        <v>45944</v>
      </c>
      <c r="D4594" s="7" t="s">
        <v>184</v>
      </c>
      <c r="E4594" s="7" t="s">
        <v>180</v>
      </c>
      <c r="F4594" s="6" t="n">
        <v>4.19</v>
      </c>
      <c r="G4594" s="6" t="n">
        <v>0</v>
      </c>
      <c r="H4594" s="41" t="n">
        <v>17.34</v>
      </c>
      <c r="I4594" s="43" t="n">
        <f aca="false">F4594*H4594</f>
        <v>72.6546</v>
      </c>
      <c r="J4594" s="43" t="n">
        <f aca="false">G4594*H4594*1.5</f>
        <v>0</v>
      </c>
      <c r="K4594" s="6" t="n">
        <v>13.16</v>
      </c>
      <c r="L4594" s="43" t="n">
        <f aca="false">K4594*'Chart of Accounts'!$E$68</f>
        <v>8.8172</v>
      </c>
      <c r="O4594" s="42" t="n">
        <f aca="false">I4594+J4594+L4594</f>
        <v>81.4718</v>
      </c>
    </row>
    <row r="4595" customFormat="false" ht="15" hidden="false" customHeight="false" outlineLevel="0" collapsed="false">
      <c r="B4595" s="7" t="s">
        <v>13228</v>
      </c>
      <c r="C4595" s="39" t="n">
        <v>45944</v>
      </c>
      <c r="D4595" s="7" t="s">
        <v>234</v>
      </c>
      <c r="E4595" s="7" t="s">
        <v>158</v>
      </c>
      <c r="H4595" s="41" t="n">
        <v>89.53</v>
      </c>
      <c r="M4595" s="6" t="n">
        <v>2</v>
      </c>
      <c r="N4595" s="43" t="n">
        <f aca="false">M4595*H4595</f>
        <v>179.06</v>
      </c>
      <c r="O4595" s="42" t="n">
        <f aca="false">N4595</f>
        <v>179.06</v>
      </c>
    </row>
    <row r="4596" customFormat="false" ht="15" hidden="false" customHeight="false" outlineLevel="0" collapsed="false">
      <c r="B4596" s="7" t="s">
        <v>13229</v>
      </c>
      <c r="C4596" s="39" t="n">
        <v>45944</v>
      </c>
      <c r="D4596" s="7" t="s">
        <v>218</v>
      </c>
      <c r="E4596" s="7" t="s">
        <v>180</v>
      </c>
      <c r="F4596" s="6" t="n">
        <v>4.38</v>
      </c>
      <c r="G4596" s="6" t="n">
        <v>0</v>
      </c>
      <c r="H4596" s="41" t="n">
        <v>16.19</v>
      </c>
      <c r="I4596" s="43" t="n">
        <f aca="false">F4596*H4596</f>
        <v>70.9122</v>
      </c>
      <c r="J4596" s="43" t="n">
        <f aca="false">G4596*H4596*1.5</f>
        <v>0</v>
      </c>
      <c r="K4596" s="6" t="n">
        <v>10.99</v>
      </c>
      <c r="L4596" s="43" t="n">
        <f aca="false">K4596*'Chart of Accounts'!$E$68</f>
        <v>7.3633</v>
      </c>
      <c r="O4596" s="42" t="n">
        <f aca="false">I4596+J4596+L4596</f>
        <v>78.2755</v>
      </c>
    </row>
    <row r="4597" customFormat="false" ht="15" hidden="false" customHeight="false" outlineLevel="0" collapsed="false">
      <c r="B4597" s="7" t="s">
        <v>13230</v>
      </c>
      <c r="C4597" s="39" t="n">
        <v>45944</v>
      </c>
      <c r="D4597" s="7" t="s">
        <v>260</v>
      </c>
      <c r="E4597" s="7" t="s">
        <v>158</v>
      </c>
      <c r="H4597" s="41" t="n">
        <v>79.8</v>
      </c>
      <c r="M4597" s="6" t="n">
        <v>2</v>
      </c>
      <c r="N4597" s="43" t="n">
        <f aca="false">M4597*H4597</f>
        <v>159.6</v>
      </c>
      <c r="O4597" s="42" t="n">
        <f aca="false">N4597</f>
        <v>159.6</v>
      </c>
    </row>
    <row r="4598" customFormat="false" ht="15" hidden="false" customHeight="false" outlineLevel="0" collapsed="false">
      <c r="B4598" s="7" t="s">
        <v>13231</v>
      </c>
      <c r="C4598" s="39" t="n">
        <v>45944</v>
      </c>
      <c r="D4598" s="7" t="s">
        <v>228</v>
      </c>
      <c r="E4598" s="7" t="s">
        <v>158</v>
      </c>
      <c r="H4598" s="41" t="n">
        <v>51.07</v>
      </c>
      <c r="M4598" s="6" t="n">
        <v>1</v>
      </c>
      <c r="N4598" s="43" t="n">
        <f aca="false">M4598*H4598</f>
        <v>51.07</v>
      </c>
      <c r="O4598" s="42" t="n">
        <f aca="false">N4598</f>
        <v>51.07</v>
      </c>
    </row>
    <row r="4599" customFormat="false" ht="15" hidden="false" customHeight="false" outlineLevel="0" collapsed="false">
      <c r="B4599" s="7" t="s">
        <v>13232</v>
      </c>
      <c r="C4599" s="39" t="n">
        <v>45944</v>
      </c>
      <c r="D4599" s="7" t="s">
        <v>220</v>
      </c>
      <c r="E4599" s="7" t="s">
        <v>180</v>
      </c>
      <c r="F4599" s="6" t="n">
        <v>4.28</v>
      </c>
      <c r="G4599" s="6" t="n">
        <v>0</v>
      </c>
      <c r="H4599" s="41" t="n">
        <v>16.43</v>
      </c>
      <c r="I4599" s="43" t="n">
        <f aca="false">F4599*H4599</f>
        <v>70.3204</v>
      </c>
      <c r="J4599" s="43" t="n">
        <f aca="false">G4599*H4599*1.5</f>
        <v>0</v>
      </c>
      <c r="K4599" s="6" t="n">
        <v>13.87</v>
      </c>
      <c r="L4599" s="43" t="n">
        <f aca="false">K4599*'Chart of Accounts'!$E$68</f>
        <v>9.2929</v>
      </c>
      <c r="O4599" s="42" t="n">
        <f aca="false">I4599+J4599+L4599</f>
        <v>79.6133</v>
      </c>
    </row>
    <row r="4600" customFormat="false" ht="15" hidden="false" customHeight="false" outlineLevel="0" collapsed="false">
      <c r="B4600" s="7" t="s">
        <v>13233</v>
      </c>
      <c r="C4600" s="39" t="n">
        <v>45944</v>
      </c>
      <c r="D4600" s="7" t="s">
        <v>244</v>
      </c>
      <c r="E4600" s="7" t="s">
        <v>180</v>
      </c>
      <c r="F4600" s="6" t="n">
        <v>3.62</v>
      </c>
      <c r="G4600" s="6" t="n">
        <v>0</v>
      </c>
      <c r="H4600" s="41" t="n">
        <v>16.39</v>
      </c>
      <c r="I4600" s="43" t="n">
        <f aca="false">F4600*H4600</f>
        <v>59.3318</v>
      </c>
      <c r="J4600" s="43" t="n">
        <f aca="false">G4600*H4600*1.5</f>
        <v>0</v>
      </c>
      <c r="K4600" s="6" t="n">
        <v>8.81</v>
      </c>
      <c r="L4600" s="43" t="n">
        <f aca="false">K4600*'Chart of Accounts'!$E$68</f>
        <v>5.9027</v>
      </c>
      <c r="O4600" s="42" t="n">
        <f aca="false">I4600+J4600+L4600</f>
        <v>65.2345</v>
      </c>
    </row>
    <row r="4601" customFormat="false" ht="15" hidden="false" customHeight="false" outlineLevel="0" collapsed="false">
      <c r="B4601" s="7" t="s">
        <v>13234</v>
      </c>
      <c r="C4601" s="39" t="n">
        <v>45944</v>
      </c>
      <c r="D4601" s="7" t="s">
        <v>214</v>
      </c>
      <c r="E4601" s="7" t="s">
        <v>180</v>
      </c>
      <c r="F4601" s="6" t="n">
        <v>3.61</v>
      </c>
      <c r="G4601" s="6" t="n">
        <v>0</v>
      </c>
      <c r="H4601" s="41" t="n">
        <v>15.67</v>
      </c>
      <c r="I4601" s="43" t="n">
        <f aca="false">F4601*H4601</f>
        <v>56.5687</v>
      </c>
      <c r="J4601" s="43" t="n">
        <f aca="false">G4601*H4601*1.5</f>
        <v>0</v>
      </c>
      <c r="K4601" s="6" t="n">
        <v>11.66</v>
      </c>
      <c r="L4601" s="43" t="n">
        <f aca="false">K4601*'Chart of Accounts'!$E$68</f>
        <v>7.8122</v>
      </c>
      <c r="O4601" s="42" t="n">
        <f aca="false">I4601+J4601+L4601</f>
        <v>64.3809</v>
      </c>
    </row>
    <row r="4602" customFormat="false" ht="15" hidden="false" customHeight="false" outlineLevel="0" collapsed="false">
      <c r="B4602" s="7" t="s">
        <v>13235</v>
      </c>
      <c r="C4602" s="39" t="n">
        <v>45944</v>
      </c>
      <c r="D4602" s="7" t="s">
        <v>194</v>
      </c>
      <c r="E4602" s="7" t="s">
        <v>180</v>
      </c>
      <c r="F4602" s="6" t="n">
        <v>3.88</v>
      </c>
      <c r="G4602" s="6" t="n">
        <v>0</v>
      </c>
      <c r="H4602" s="41" t="n">
        <v>16</v>
      </c>
      <c r="I4602" s="43" t="n">
        <f aca="false">F4602*H4602</f>
        <v>62.08</v>
      </c>
      <c r="J4602" s="43" t="n">
        <f aca="false">G4602*H4602*1.5</f>
        <v>0</v>
      </c>
      <c r="K4602" s="6" t="n">
        <v>12.1</v>
      </c>
      <c r="L4602" s="43" t="n">
        <f aca="false">K4602*'Chart of Accounts'!$E$68</f>
        <v>8.107</v>
      </c>
      <c r="O4602" s="42" t="n">
        <f aca="false">I4602+J4602+L4602</f>
        <v>70.187</v>
      </c>
    </row>
    <row r="4603" customFormat="false" ht="15" hidden="false" customHeight="false" outlineLevel="0" collapsed="false">
      <c r="B4603" s="7" t="s">
        <v>13236</v>
      </c>
      <c r="C4603" s="39" t="n">
        <v>45944</v>
      </c>
      <c r="D4603" s="7" t="s">
        <v>258</v>
      </c>
      <c r="E4603" s="7" t="s">
        <v>158</v>
      </c>
      <c r="H4603" s="41" t="n">
        <v>61.61</v>
      </c>
      <c r="M4603" s="6" t="n">
        <v>1</v>
      </c>
      <c r="N4603" s="43" t="n">
        <f aca="false">M4603*H4603</f>
        <v>61.61</v>
      </c>
      <c r="O4603" s="42" t="n">
        <f aca="false">N4603</f>
        <v>61.61</v>
      </c>
    </row>
    <row r="4604" customFormat="false" ht="15" hidden="false" customHeight="false" outlineLevel="0" collapsed="false">
      <c r="B4604" s="7" t="s">
        <v>13237</v>
      </c>
      <c r="C4604" s="39" t="n">
        <v>45944</v>
      </c>
      <c r="D4604" s="7" t="s">
        <v>230</v>
      </c>
      <c r="E4604" s="7" t="s">
        <v>158</v>
      </c>
      <c r="H4604" s="41" t="n">
        <v>48.78</v>
      </c>
      <c r="M4604" s="6" t="n">
        <v>1</v>
      </c>
      <c r="N4604" s="43" t="n">
        <f aca="false">M4604*H4604</f>
        <v>48.78</v>
      </c>
      <c r="O4604" s="42" t="n">
        <f aca="false">N4604</f>
        <v>48.78</v>
      </c>
    </row>
    <row r="4605" customFormat="false" ht="15" hidden="false" customHeight="false" outlineLevel="0" collapsed="false">
      <c r="B4605" s="7" t="s">
        <v>13238</v>
      </c>
      <c r="C4605" s="39" t="n">
        <v>45944</v>
      </c>
      <c r="D4605" s="7" t="s">
        <v>246</v>
      </c>
      <c r="E4605" s="7" t="s">
        <v>180</v>
      </c>
      <c r="F4605" s="6" t="n">
        <v>4.28</v>
      </c>
      <c r="G4605" s="6" t="n">
        <v>0</v>
      </c>
      <c r="H4605" s="41" t="n">
        <v>16.48</v>
      </c>
      <c r="I4605" s="43" t="n">
        <f aca="false">F4605*H4605</f>
        <v>70.5344</v>
      </c>
      <c r="J4605" s="43" t="n">
        <f aca="false">G4605*H4605*1.5</f>
        <v>0</v>
      </c>
      <c r="K4605" s="6" t="n">
        <v>12.18</v>
      </c>
      <c r="L4605" s="43" t="n">
        <f aca="false">K4605*'Chart of Accounts'!$E$68</f>
        <v>8.1606</v>
      </c>
      <c r="O4605" s="42" t="n">
        <f aca="false">I4605+J4605+L4605</f>
        <v>78.695</v>
      </c>
    </row>
    <row r="4606" customFormat="false" ht="15" hidden="false" customHeight="false" outlineLevel="0" collapsed="false">
      <c r="B4606" s="7" t="s">
        <v>13239</v>
      </c>
      <c r="C4606" s="39" t="n">
        <v>45944</v>
      </c>
      <c r="D4606" s="7" t="s">
        <v>222</v>
      </c>
      <c r="E4606" s="7" t="s">
        <v>180</v>
      </c>
      <c r="F4606" s="6" t="n">
        <v>3.88</v>
      </c>
      <c r="G4606" s="6" t="n">
        <v>0</v>
      </c>
      <c r="H4606" s="41" t="n">
        <v>17.84</v>
      </c>
      <c r="I4606" s="43" t="n">
        <f aca="false">F4606*H4606</f>
        <v>69.2192</v>
      </c>
      <c r="J4606" s="43" t="n">
        <f aca="false">G4606*H4606*1.5</f>
        <v>0</v>
      </c>
      <c r="K4606" s="6" t="n">
        <v>12.45</v>
      </c>
      <c r="L4606" s="43" t="n">
        <f aca="false">K4606*'Chart of Accounts'!$E$68</f>
        <v>8.3415</v>
      </c>
      <c r="O4606" s="42" t="n">
        <f aca="false">I4606+J4606+L4606</f>
        <v>77.5607</v>
      </c>
    </row>
    <row r="4607" customFormat="false" ht="15" hidden="false" customHeight="false" outlineLevel="0" collapsed="false">
      <c r="B4607" s="7" t="s">
        <v>13240</v>
      </c>
      <c r="C4607" s="39" t="n">
        <v>45944</v>
      </c>
      <c r="D4607" s="7" t="s">
        <v>242</v>
      </c>
      <c r="E4607" s="7" t="s">
        <v>180</v>
      </c>
      <c r="F4607" s="6" t="n">
        <v>3.577</v>
      </c>
      <c r="G4607" s="6" t="n">
        <v>0.143</v>
      </c>
      <c r="H4607" s="41" t="n">
        <v>17.99</v>
      </c>
      <c r="I4607" s="43" t="n">
        <f aca="false">F4607*H4607</f>
        <v>64.35023</v>
      </c>
      <c r="J4607" s="43" t="n">
        <f aca="false">G4607*H4607*1.5</f>
        <v>3.858855</v>
      </c>
      <c r="K4607" s="6" t="n">
        <v>12.49</v>
      </c>
      <c r="L4607" s="43" t="n">
        <f aca="false">K4607*'Chart of Accounts'!$E$68</f>
        <v>8.3683</v>
      </c>
      <c r="O4607" s="42" t="n">
        <f aca="false">I4607+J4607+L4607</f>
        <v>76.577385</v>
      </c>
    </row>
    <row r="4608" customFormat="false" ht="15" hidden="false" customHeight="false" outlineLevel="0" collapsed="false">
      <c r="B4608" s="7" t="s">
        <v>13241</v>
      </c>
      <c r="C4608" s="39" t="n">
        <v>45944</v>
      </c>
      <c r="D4608" s="7" t="s">
        <v>203</v>
      </c>
      <c r="E4608" s="7" t="s">
        <v>158</v>
      </c>
      <c r="H4608" s="41" t="n">
        <v>49.43</v>
      </c>
      <c r="M4608" s="6" t="n">
        <v>1</v>
      </c>
      <c r="N4608" s="43" t="n">
        <f aca="false">M4608*H4608</f>
        <v>49.43</v>
      </c>
      <c r="O4608" s="42" t="n">
        <f aca="false">N4608</f>
        <v>49.43</v>
      </c>
    </row>
    <row r="4609" customFormat="false" ht="15" hidden="false" customHeight="false" outlineLevel="0" collapsed="false">
      <c r="B4609" s="7" t="s">
        <v>13242</v>
      </c>
      <c r="C4609" s="39" t="n">
        <v>45944</v>
      </c>
      <c r="D4609" s="7" t="s">
        <v>254</v>
      </c>
      <c r="E4609" s="7" t="s">
        <v>180</v>
      </c>
      <c r="F4609" s="6" t="n">
        <v>4.4</v>
      </c>
      <c r="G4609" s="6" t="n">
        <v>0</v>
      </c>
      <c r="H4609" s="41" t="n">
        <v>17.1</v>
      </c>
      <c r="I4609" s="43" t="n">
        <f aca="false">F4609*H4609</f>
        <v>75.24</v>
      </c>
      <c r="J4609" s="43" t="n">
        <f aca="false">G4609*H4609*1.5</f>
        <v>0</v>
      </c>
      <c r="K4609" s="6" t="n">
        <v>10.73</v>
      </c>
      <c r="L4609" s="43" t="n">
        <f aca="false">K4609*'Chart of Accounts'!$E$68</f>
        <v>7.1891</v>
      </c>
      <c r="O4609" s="42" t="n">
        <f aca="false">I4609+J4609+L4609</f>
        <v>82.4291</v>
      </c>
    </row>
    <row r="4610" customFormat="false" ht="15" hidden="false" customHeight="false" outlineLevel="0" collapsed="false">
      <c r="B4610" s="7" t="s">
        <v>13243</v>
      </c>
      <c r="C4610" s="39" t="n">
        <v>45945</v>
      </c>
      <c r="D4610" s="7" t="s">
        <v>205</v>
      </c>
      <c r="E4610" s="7" t="s">
        <v>180</v>
      </c>
      <c r="F4610" s="6" t="n">
        <v>11.31</v>
      </c>
      <c r="G4610" s="6" t="n">
        <v>0</v>
      </c>
      <c r="H4610" s="41" t="n">
        <v>16.36</v>
      </c>
      <c r="I4610" s="43" t="n">
        <f aca="false">F4610*H4610</f>
        <v>185.0316</v>
      </c>
      <c r="J4610" s="43" t="n">
        <f aca="false">G4610*H4610*1.5</f>
        <v>0</v>
      </c>
      <c r="K4610" s="6" t="n">
        <v>36.44</v>
      </c>
      <c r="L4610" s="43" t="n">
        <f aca="false">K4610*'Chart of Accounts'!$E$68</f>
        <v>24.4148</v>
      </c>
      <c r="O4610" s="42" t="n">
        <f aca="false">I4610+J4610+L4610</f>
        <v>209.4464</v>
      </c>
    </row>
    <row r="4611" customFormat="false" ht="15" hidden="false" customHeight="false" outlineLevel="0" collapsed="false">
      <c r="B4611" s="7" t="s">
        <v>13244</v>
      </c>
      <c r="C4611" s="39" t="n">
        <v>45945</v>
      </c>
      <c r="D4611" s="7" t="s">
        <v>194</v>
      </c>
      <c r="E4611" s="7" t="s">
        <v>180</v>
      </c>
      <c r="F4611" s="6" t="n">
        <v>9.19</v>
      </c>
      <c r="G4611" s="6" t="n">
        <v>0</v>
      </c>
      <c r="H4611" s="41" t="n">
        <v>16</v>
      </c>
      <c r="I4611" s="43" t="n">
        <f aca="false">F4611*H4611</f>
        <v>147.04</v>
      </c>
      <c r="J4611" s="43" t="n">
        <f aca="false">G4611*H4611*1.5</f>
        <v>0</v>
      </c>
      <c r="K4611" s="6" t="n">
        <v>23.89</v>
      </c>
      <c r="L4611" s="43" t="n">
        <f aca="false">K4611*'Chart of Accounts'!$E$68</f>
        <v>16.0063</v>
      </c>
      <c r="O4611" s="42" t="n">
        <f aca="false">I4611+J4611+L4611</f>
        <v>163.0463</v>
      </c>
    </row>
    <row r="4612" customFormat="false" ht="15" hidden="false" customHeight="false" outlineLevel="0" collapsed="false">
      <c r="B4612" s="7" t="s">
        <v>13245</v>
      </c>
      <c r="C4612" s="39" t="n">
        <v>45945</v>
      </c>
      <c r="D4612" s="7" t="s">
        <v>214</v>
      </c>
      <c r="E4612" s="7" t="s">
        <v>180</v>
      </c>
      <c r="F4612" s="6" t="n">
        <v>11.28</v>
      </c>
      <c r="G4612" s="6" t="n">
        <v>0</v>
      </c>
      <c r="H4612" s="41" t="n">
        <v>15.67</v>
      </c>
      <c r="I4612" s="43" t="n">
        <f aca="false">F4612*H4612</f>
        <v>176.7576</v>
      </c>
      <c r="J4612" s="43" t="n">
        <f aca="false">G4612*H4612*1.5</f>
        <v>0</v>
      </c>
      <c r="K4612" s="6" t="n">
        <v>32.79</v>
      </c>
      <c r="L4612" s="43" t="n">
        <f aca="false">K4612*'Chart of Accounts'!$E$68</f>
        <v>21.9693</v>
      </c>
      <c r="O4612" s="42" t="n">
        <f aca="false">I4612+J4612+L4612</f>
        <v>198.7269</v>
      </c>
    </row>
    <row r="4613" customFormat="false" ht="15" hidden="false" customHeight="false" outlineLevel="0" collapsed="false">
      <c r="B4613" s="7" t="s">
        <v>13246</v>
      </c>
      <c r="C4613" s="39" t="n">
        <v>45945</v>
      </c>
      <c r="D4613" s="7" t="s">
        <v>264</v>
      </c>
      <c r="E4613" s="7" t="s">
        <v>158</v>
      </c>
      <c r="H4613" s="41" t="n">
        <v>55.55</v>
      </c>
      <c r="M4613" s="6" t="n">
        <v>1</v>
      </c>
      <c r="N4613" s="43" t="n">
        <f aca="false">M4613*H4613</f>
        <v>55.55</v>
      </c>
      <c r="O4613" s="42" t="n">
        <f aca="false">N4613</f>
        <v>55.55</v>
      </c>
    </row>
    <row r="4614" customFormat="false" ht="15" hidden="false" customHeight="false" outlineLevel="0" collapsed="false">
      <c r="B4614" s="7" t="s">
        <v>13247</v>
      </c>
      <c r="C4614" s="39" t="n">
        <v>45945</v>
      </c>
      <c r="D4614" s="7" t="s">
        <v>252</v>
      </c>
      <c r="E4614" s="7" t="s">
        <v>158</v>
      </c>
      <c r="H4614" s="41" t="n">
        <v>57.54</v>
      </c>
      <c r="M4614" s="6" t="n">
        <v>1</v>
      </c>
      <c r="N4614" s="43" t="n">
        <f aca="false">M4614*H4614</f>
        <v>57.54</v>
      </c>
      <c r="O4614" s="42" t="n">
        <f aca="false">N4614</f>
        <v>57.54</v>
      </c>
    </row>
    <row r="4615" customFormat="false" ht="15" hidden="false" customHeight="false" outlineLevel="0" collapsed="false">
      <c r="B4615" s="7" t="s">
        <v>13248</v>
      </c>
      <c r="C4615" s="39" t="n">
        <v>45945</v>
      </c>
      <c r="D4615" s="7" t="s">
        <v>184</v>
      </c>
      <c r="E4615" s="7" t="s">
        <v>180</v>
      </c>
      <c r="F4615" s="6" t="n">
        <v>7.98</v>
      </c>
      <c r="G4615" s="6" t="n">
        <v>0</v>
      </c>
      <c r="H4615" s="41" t="n">
        <v>17.34</v>
      </c>
      <c r="I4615" s="43" t="n">
        <f aca="false">F4615*H4615</f>
        <v>138.3732</v>
      </c>
      <c r="J4615" s="43" t="n">
        <f aca="false">G4615*H4615*1.5</f>
        <v>0</v>
      </c>
      <c r="K4615" s="6" t="n">
        <v>20.55</v>
      </c>
      <c r="L4615" s="43" t="n">
        <f aca="false">K4615*'Chart of Accounts'!$E$68</f>
        <v>13.7685</v>
      </c>
      <c r="O4615" s="42" t="n">
        <f aca="false">I4615+J4615+L4615</f>
        <v>152.1417</v>
      </c>
    </row>
    <row r="4616" customFormat="false" ht="15" hidden="false" customHeight="false" outlineLevel="0" collapsed="false">
      <c r="B4616" s="7" t="s">
        <v>13249</v>
      </c>
      <c r="C4616" s="39" t="n">
        <v>45945</v>
      </c>
      <c r="D4616" s="7" t="s">
        <v>216</v>
      </c>
      <c r="E4616" s="7" t="s">
        <v>158</v>
      </c>
      <c r="H4616" s="41" t="n">
        <v>61.79</v>
      </c>
      <c r="M4616" s="6" t="n">
        <v>1</v>
      </c>
      <c r="N4616" s="43" t="n">
        <f aca="false">M4616*H4616</f>
        <v>61.79</v>
      </c>
      <c r="O4616" s="42" t="n">
        <f aca="false">N4616</f>
        <v>61.79</v>
      </c>
    </row>
    <row r="4617" customFormat="false" ht="15" hidden="false" customHeight="false" outlineLevel="0" collapsed="false">
      <c r="B4617" s="7" t="s">
        <v>13250</v>
      </c>
      <c r="C4617" s="39" t="n">
        <v>45945</v>
      </c>
      <c r="D4617" s="7" t="s">
        <v>218</v>
      </c>
      <c r="E4617" s="7" t="s">
        <v>180</v>
      </c>
      <c r="F4617" s="6" t="n">
        <v>4.23</v>
      </c>
      <c r="G4617" s="6" t="n">
        <v>0</v>
      </c>
      <c r="H4617" s="41" t="n">
        <v>16.19</v>
      </c>
      <c r="I4617" s="43" t="n">
        <f aca="false">F4617*H4617</f>
        <v>68.4837</v>
      </c>
      <c r="J4617" s="43" t="n">
        <f aca="false">G4617*H4617*1.5</f>
        <v>0</v>
      </c>
      <c r="K4617" s="6" t="n">
        <v>10.57</v>
      </c>
      <c r="L4617" s="43" t="n">
        <f aca="false">K4617*'Chart of Accounts'!$E$68</f>
        <v>7.0819</v>
      </c>
      <c r="O4617" s="42" t="n">
        <f aca="false">I4617+J4617+L4617</f>
        <v>75.5656</v>
      </c>
    </row>
    <row r="4618" customFormat="false" ht="15" hidden="false" customHeight="false" outlineLevel="0" collapsed="false">
      <c r="B4618" s="7" t="s">
        <v>13251</v>
      </c>
      <c r="C4618" s="39" t="n">
        <v>45945</v>
      </c>
      <c r="D4618" s="7" t="s">
        <v>220</v>
      </c>
      <c r="E4618" s="7" t="s">
        <v>180</v>
      </c>
      <c r="F4618" s="6" t="n">
        <v>4.19</v>
      </c>
      <c r="G4618" s="6" t="n">
        <v>0</v>
      </c>
      <c r="H4618" s="41" t="n">
        <v>16.43</v>
      </c>
      <c r="I4618" s="43" t="n">
        <f aca="false">F4618*H4618</f>
        <v>68.8417</v>
      </c>
      <c r="J4618" s="43" t="n">
        <f aca="false">G4618*H4618*1.5</f>
        <v>0</v>
      </c>
      <c r="K4618" s="6" t="n">
        <v>14.96</v>
      </c>
      <c r="L4618" s="43" t="n">
        <f aca="false">K4618*'Chart of Accounts'!$E$68</f>
        <v>10.0232</v>
      </c>
      <c r="O4618" s="42" t="n">
        <f aca="false">I4618+J4618+L4618</f>
        <v>78.8649</v>
      </c>
    </row>
    <row r="4619" customFormat="false" ht="15" hidden="false" customHeight="false" outlineLevel="0" collapsed="false">
      <c r="B4619" s="7" t="s">
        <v>13252</v>
      </c>
      <c r="C4619" s="39" t="n">
        <v>45945</v>
      </c>
      <c r="D4619" s="7" t="s">
        <v>236</v>
      </c>
      <c r="E4619" s="7" t="s">
        <v>180</v>
      </c>
      <c r="F4619" s="6" t="n">
        <v>3.38</v>
      </c>
      <c r="G4619" s="6" t="n">
        <v>0</v>
      </c>
      <c r="H4619" s="41" t="n">
        <v>15.49</v>
      </c>
      <c r="I4619" s="43" t="n">
        <f aca="false">F4619*H4619</f>
        <v>52.3562</v>
      </c>
      <c r="J4619" s="43" t="n">
        <f aca="false">G4619*H4619*1.5</f>
        <v>0</v>
      </c>
      <c r="K4619" s="6" t="n">
        <v>9.45</v>
      </c>
      <c r="L4619" s="43" t="n">
        <f aca="false">K4619*'Chart of Accounts'!$E$68</f>
        <v>6.3315</v>
      </c>
      <c r="O4619" s="42" t="n">
        <f aca="false">I4619+J4619+L4619</f>
        <v>58.6877</v>
      </c>
    </row>
    <row r="4620" customFormat="false" ht="15" hidden="false" customHeight="false" outlineLevel="0" collapsed="false">
      <c r="B4620" s="7" t="s">
        <v>13253</v>
      </c>
      <c r="C4620" s="39" t="n">
        <v>45945</v>
      </c>
      <c r="D4620" s="7" t="s">
        <v>177</v>
      </c>
      <c r="E4620" s="7" t="s">
        <v>180</v>
      </c>
      <c r="F4620" s="6" t="n">
        <v>4.13</v>
      </c>
      <c r="G4620" s="6" t="n">
        <v>0</v>
      </c>
      <c r="H4620" s="41" t="n">
        <v>14.56</v>
      </c>
      <c r="I4620" s="43" t="n">
        <f aca="false">F4620*H4620</f>
        <v>60.1328</v>
      </c>
      <c r="J4620" s="43" t="n">
        <f aca="false">G4620*H4620*1.5</f>
        <v>0</v>
      </c>
      <c r="K4620" s="6" t="n">
        <v>11.35</v>
      </c>
      <c r="L4620" s="43" t="n">
        <f aca="false">K4620*'Chart of Accounts'!$E$68</f>
        <v>7.6045</v>
      </c>
      <c r="O4620" s="42" t="n">
        <f aca="false">I4620+J4620+L4620</f>
        <v>67.7373</v>
      </c>
    </row>
    <row r="4621" customFormat="false" ht="15" hidden="false" customHeight="false" outlineLevel="0" collapsed="false">
      <c r="B4621" s="7" t="s">
        <v>13254</v>
      </c>
      <c r="C4621" s="39" t="n">
        <v>45945</v>
      </c>
      <c r="D4621" s="7" t="s">
        <v>242</v>
      </c>
      <c r="E4621" s="7" t="s">
        <v>180</v>
      </c>
      <c r="F4621" s="6" t="n">
        <v>6.952</v>
      </c>
      <c r="G4621" s="6" t="n">
        <v>0.278</v>
      </c>
      <c r="H4621" s="41" t="n">
        <v>17.99</v>
      </c>
      <c r="I4621" s="43" t="n">
        <f aca="false">F4621*H4621</f>
        <v>125.06648</v>
      </c>
      <c r="J4621" s="43" t="n">
        <f aca="false">G4621*H4621*1.5</f>
        <v>7.50183</v>
      </c>
      <c r="K4621" s="6" t="n">
        <v>23.97</v>
      </c>
      <c r="L4621" s="43" t="n">
        <f aca="false">K4621*'Chart of Accounts'!$E$68</f>
        <v>16.0599</v>
      </c>
      <c r="O4621" s="42" t="n">
        <f aca="false">I4621+J4621+L4621</f>
        <v>148.62821</v>
      </c>
    </row>
    <row r="4622" customFormat="false" ht="15" hidden="false" customHeight="false" outlineLevel="0" collapsed="false">
      <c r="B4622" s="7" t="s">
        <v>13255</v>
      </c>
      <c r="C4622" s="39" t="n">
        <v>45945</v>
      </c>
      <c r="D4622" s="7" t="s">
        <v>238</v>
      </c>
      <c r="E4622" s="7" t="s">
        <v>180</v>
      </c>
      <c r="F4622" s="6" t="n">
        <v>13.18</v>
      </c>
      <c r="G4622" s="6" t="n">
        <v>0</v>
      </c>
      <c r="H4622" s="41" t="n">
        <v>15.85</v>
      </c>
      <c r="I4622" s="43" t="n">
        <f aca="false">F4622*H4622</f>
        <v>208.903</v>
      </c>
      <c r="J4622" s="43" t="n">
        <f aca="false">G4622*H4622*1.5</f>
        <v>0</v>
      </c>
      <c r="K4622" s="6" t="n">
        <v>39.7</v>
      </c>
      <c r="L4622" s="43" t="n">
        <f aca="false">K4622*'Chart of Accounts'!$E$68</f>
        <v>26.599</v>
      </c>
      <c r="O4622" s="42" t="n">
        <f aca="false">I4622+J4622+L4622</f>
        <v>235.502</v>
      </c>
    </row>
    <row r="4623" customFormat="false" ht="15" hidden="false" customHeight="false" outlineLevel="0" collapsed="false">
      <c r="B4623" s="7" t="s">
        <v>13256</v>
      </c>
      <c r="C4623" s="39" t="n">
        <v>45945</v>
      </c>
      <c r="D4623" s="7" t="s">
        <v>244</v>
      </c>
      <c r="E4623" s="7" t="s">
        <v>180</v>
      </c>
      <c r="F4623" s="6" t="n">
        <v>4.04</v>
      </c>
      <c r="G4623" s="6" t="n">
        <v>0</v>
      </c>
      <c r="H4623" s="41" t="n">
        <v>16.39</v>
      </c>
      <c r="I4623" s="43" t="n">
        <f aca="false">F4623*H4623</f>
        <v>66.2156</v>
      </c>
      <c r="J4623" s="43" t="n">
        <f aca="false">G4623*H4623*1.5</f>
        <v>0</v>
      </c>
      <c r="K4623" s="6" t="n">
        <v>9.08</v>
      </c>
      <c r="L4623" s="43" t="n">
        <f aca="false">K4623*'Chart of Accounts'!$E$68</f>
        <v>6.0836</v>
      </c>
      <c r="O4623" s="42" t="n">
        <f aca="false">I4623+J4623+L4623</f>
        <v>72.2992</v>
      </c>
    </row>
    <row r="4624" customFormat="false" ht="15" hidden="false" customHeight="false" outlineLevel="0" collapsed="false">
      <c r="B4624" s="7" t="s">
        <v>13257</v>
      </c>
      <c r="C4624" s="39" t="n">
        <v>45945</v>
      </c>
      <c r="D4624" s="7" t="s">
        <v>254</v>
      </c>
      <c r="E4624" s="7" t="s">
        <v>180</v>
      </c>
      <c r="F4624" s="6" t="n">
        <v>7.4</v>
      </c>
      <c r="G4624" s="6" t="n">
        <v>0</v>
      </c>
      <c r="H4624" s="41" t="n">
        <v>17.1</v>
      </c>
      <c r="I4624" s="43" t="n">
        <f aca="false">F4624*H4624</f>
        <v>126.54</v>
      </c>
      <c r="J4624" s="43" t="n">
        <f aca="false">G4624*H4624*1.5</f>
        <v>0</v>
      </c>
      <c r="K4624" s="6" t="n">
        <v>16.39</v>
      </c>
      <c r="L4624" s="43" t="n">
        <f aca="false">K4624*'Chart of Accounts'!$E$68</f>
        <v>10.9813</v>
      </c>
      <c r="O4624" s="42" t="n">
        <f aca="false">I4624+J4624+L4624</f>
        <v>137.5213</v>
      </c>
    </row>
    <row r="4625" customFormat="false" ht="15" hidden="false" customHeight="false" outlineLevel="0" collapsed="false">
      <c r="B4625" s="7" t="s">
        <v>13258</v>
      </c>
      <c r="C4625" s="39" t="n">
        <v>45945</v>
      </c>
      <c r="D4625" s="7" t="s">
        <v>201</v>
      </c>
      <c r="E4625" s="7" t="s">
        <v>180</v>
      </c>
      <c r="F4625" s="6" t="n">
        <v>3.15</v>
      </c>
      <c r="G4625" s="6" t="n">
        <v>0</v>
      </c>
      <c r="H4625" s="41" t="n">
        <v>15.19</v>
      </c>
      <c r="I4625" s="43" t="n">
        <f aca="false">F4625*H4625</f>
        <v>47.8485</v>
      </c>
      <c r="J4625" s="43" t="n">
        <f aca="false">G4625*H4625*1.5</f>
        <v>0</v>
      </c>
      <c r="K4625" s="6" t="n">
        <v>9.35</v>
      </c>
      <c r="L4625" s="43" t="n">
        <f aca="false">K4625*'Chart of Accounts'!$E$68</f>
        <v>6.2645</v>
      </c>
      <c r="O4625" s="42" t="n">
        <f aca="false">I4625+J4625+L4625</f>
        <v>54.113</v>
      </c>
    </row>
    <row r="4626" customFormat="false" ht="15" hidden="false" customHeight="false" outlineLevel="0" collapsed="false">
      <c r="B4626" s="7" t="s">
        <v>13259</v>
      </c>
      <c r="C4626" s="39" t="n">
        <v>45945</v>
      </c>
      <c r="D4626" s="7" t="s">
        <v>232</v>
      </c>
      <c r="E4626" s="7" t="s">
        <v>180</v>
      </c>
      <c r="F4626" s="6" t="n">
        <v>4.22</v>
      </c>
      <c r="G4626" s="6" t="n">
        <v>0</v>
      </c>
      <c r="H4626" s="41" t="n">
        <v>16.17</v>
      </c>
      <c r="I4626" s="43" t="n">
        <f aca="false">F4626*H4626</f>
        <v>68.2374</v>
      </c>
      <c r="J4626" s="43" t="n">
        <f aca="false">G4626*H4626*1.5</f>
        <v>0</v>
      </c>
      <c r="K4626" s="6" t="n">
        <v>11.83</v>
      </c>
      <c r="L4626" s="43" t="n">
        <f aca="false">K4626*'Chart of Accounts'!$E$68</f>
        <v>7.9261</v>
      </c>
      <c r="O4626" s="42" t="n">
        <f aca="false">I4626+J4626+L4626</f>
        <v>76.1635</v>
      </c>
    </row>
    <row r="4627" customFormat="false" ht="15" hidden="false" customHeight="false" outlineLevel="0" collapsed="false">
      <c r="B4627" s="7" t="s">
        <v>13260</v>
      </c>
      <c r="C4627" s="39" t="n">
        <v>45945</v>
      </c>
      <c r="D4627" s="7" t="s">
        <v>224</v>
      </c>
      <c r="E4627" s="7" t="s">
        <v>180</v>
      </c>
      <c r="F4627" s="6" t="n">
        <v>5.13</v>
      </c>
      <c r="G4627" s="6" t="n">
        <v>0</v>
      </c>
      <c r="H4627" s="41" t="n">
        <v>14.93</v>
      </c>
      <c r="I4627" s="43" t="n">
        <f aca="false">F4627*H4627</f>
        <v>76.5909</v>
      </c>
      <c r="J4627" s="43" t="n">
        <f aca="false">G4627*H4627*1.5</f>
        <v>0</v>
      </c>
      <c r="K4627" s="6" t="n">
        <v>16.46</v>
      </c>
      <c r="L4627" s="43" t="n">
        <f aca="false">K4627*'Chart of Accounts'!$E$68</f>
        <v>11.0282</v>
      </c>
      <c r="O4627" s="42" t="n">
        <f aca="false">I4627+J4627+L4627</f>
        <v>87.6191</v>
      </c>
    </row>
    <row r="4628" customFormat="false" ht="15" hidden="false" customHeight="false" outlineLevel="0" collapsed="false">
      <c r="B4628" s="7" t="s">
        <v>13261</v>
      </c>
      <c r="C4628" s="39" t="n">
        <v>45945</v>
      </c>
      <c r="D4628" s="7" t="s">
        <v>196</v>
      </c>
      <c r="E4628" s="7" t="s">
        <v>180</v>
      </c>
      <c r="F4628" s="6" t="n">
        <v>3.82</v>
      </c>
      <c r="G4628" s="6" t="n">
        <v>0</v>
      </c>
      <c r="H4628" s="41" t="n">
        <v>15.05</v>
      </c>
      <c r="I4628" s="43" t="n">
        <f aca="false">F4628*H4628</f>
        <v>57.491</v>
      </c>
      <c r="J4628" s="43" t="n">
        <f aca="false">G4628*H4628*1.5</f>
        <v>0</v>
      </c>
      <c r="K4628" s="6" t="n">
        <v>12.29</v>
      </c>
      <c r="L4628" s="43" t="n">
        <f aca="false">K4628*'Chart of Accounts'!$E$68</f>
        <v>8.2343</v>
      </c>
      <c r="O4628" s="42" t="n">
        <f aca="false">I4628+J4628+L4628</f>
        <v>65.7253</v>
      </c>
    </row>
    <row r="4629" customFormat="false" ht="15" hidden="false" customHeight="false" outlineLevel="0" collapsed="false">
      <c r="B4629" s="7" t="s">
        <v>13262</v>
      </c>
      <c r="C4629" s="39" t="n">
        <v>45945</v>
      </c>
      <c r="D4629" s="7" t="s">
        <v>246</v>
      </c>
      <c r="E4629" s="7" t="s">
        <v>180</v>
      </c>
      <c r="F4629" s="6" t="n">
        <v>4.29</v>
      </c>
      <c r="G4629" s="6" t="n">
        <v>0</v>
      </c>
      <c r="H4629" s="41" t="n">
        <v>16.48</v>
      </c>
      <c r="I4629" s="43" t="n">
        <f aca="false">F4629*H4629</f>
        <v>70.6992</v>
      </c>
      <c r="J4629" s="43" t="n">
        <f aca="false">G4629*H4629*1.5</f>
        <v>0</v>
      </c>
      <c r="K4629" s="6" t="n">
        <v>13.93</v>
      </c>
      <c r="L4629" s="43" t="n">
        <f aca="false">K4629*'Chart of Accounts'!$E$68</f>
        <v>9.3331</v>
      </c>
      <c r="O4629" s="42" t="n">
        <f aca="false">I4629+J4629+L4629</f>
        <v>80.0323</v>
      </c>
    </row>
    <row r="4630" customFormat="false" ht="15" hidden="false" customHeight="false" outlineLevel="0" collapsed="false">
      <c r="B4630" s="7" t="s">
        <v>13263</v>
      </c>
      <c r="C4630" s="39" t="n">
        <v>45945</v>
      </c>
      <c r="D4630" s="7" t="s">
        <v>222</v>
      </c>
      <c r="E4630" s="7" t="s">
        <v>180</v>
      </c>
      <c r="F4630" s="6" t="n">
        <v>3.85</v>
      </c>
      <c r="G4630" s="6" t="n">
        <v>0</v>
      </c>
      <c r="H4630" s="41" t="n">
        <v>17.84</v>
      </c>
      <c r="I4630" s="43" t="n">
        <f aca="false">F4630*H4630</f>
        <v>68.684</v>
      </c>
      <c r="J4630" s="43" t="n">
        <f aca="false">G4630*H4630*1.5</f>
        <v>0</v>
      </c>
      <c r="K4630" s="6" t="n">
        <v>9.59</v>
      </c>
      <c r="L4630" s="43" t="n">
        <f aca="false">K4630*'Chart of Accounts'!$E$68</f>
        <v>6.4253</v>
      </c>
      <c r="O4630" s="42" t="n">
        <f aca="false">I4630+J4630+L4630</f>
        <v>75.1093</v>
      </c>
    </row>
    <row r="4631" customFormat="false" ht="15" hidden="false" customHeight="false" outlineLevel="0" collapsed="false">
      <c r="B4631" s="7" t="s">
        <v>13264</v>
      </c>
      <c r="C4631" s="39" t="n">
        <v>45945</v>
      </c>
      <c r="D4631" s="7" t="s">
        <v>203</v>
      </c>
      <c r="E4631" s="7" t="s">
        <v>158</v>
      </c>
      <c r="H4631" s="41" t="n">
        <v>49.43</v>
      </c>
      <c r="M4631" s="6" t="n">
        <v>1</v>
      </c>
      <c r="N4631" s="43" t="n">
        <f aca="false">M4631*H4631</f>
        <v>49.43</v>
      </c>
      <c r="O4631" s="42" t="n">
        <f aca="false">N4631</f>
        <v>49.43</v>
      </c>
    </row>
    <row r="4632" customFormat="false" ht="15" hidden="false" customHeight="false" outlineLevel="0" collapsed="false">
      <c r="B4632" s="7" t="s">
        <v>13265</v>
      </c>
      <c r="C4632" s="39" t="n">
        <v>45946</v>
      </c>
      <c r="D4632" s="7" t="s">
        <v>196</v>
      </c>
      <c r="E4632" s="7" t="s">
        <v>180</v>
      </c>
      <c r="F4632" s="6" t="n">
        <v>14.3</v>
      </c>
      <c r="G4632" s="6" t="n">
        <v>0</v>
      </c>
      <c r="H4632" s="41" t="n">
        <v>15.05</v>
      </c>
      <c r="I4632" s="43" t="n">
        <f aca="false">F4632*H4632</f>
        <v>215.215</v>
      </c>
      <c r="J4632" s="43" t="n">
        <f aca="false">G4632*H4632*1.5</f>
        <v>0</v>
      </c>
      <c r="K4632" s="6" t="n">
        <v>48.65</v>
      </c>
      <c r="L4632" s="43" t="n">
        <f aca="false">K4632*'Chart of Accounts'!$E$68</f>
        <v>32.5955</v>
      </c>
      <c r="O4632" s="42" t="n">
        <f aca="false">I4632+J4632+L4632</f>
        <v>247.8105</v>
      </c>
    </row>
    <row r="4633" customFormat="false" ht="15" hidden="false" customHeight="false" outlineLevel="0" collapsed="false">
      <c r="B4633" s="7" t="s">
        <v>13266</v>
      </c>
      <c r="C4633" s="39" t="n">
        <v>45946</v>
      </c>
      <c r="D4633" s="7" t="s">
        <v>201</v>
      </c>
      <c r="E4633" s="7" t="s">
        <v>180</v>
      </c>
      <c r="F4633" s="6" t="n">
        <v>5.93</v>
      </c>
      <c r="G4633" s="6" t="n">
        <v>0</v>
      </c>
      <c r="H4633" s="41" t="n">
        <v>15.19</v>
      </c>
      <c r="I4633" s="43" t="n">
        <f aca="false">F4633*H4633</f>
        <v>90.0767</v>
      </c>
      <c r="J4633" s="43" t="n">
        <f aca="false">G4633*H4633*1.5</f>
        <v>0</v>
      </c>
      <c r="K4633" s="6" t="n">
        <v>14.33</v>
      </c>
      <c r="L4633" s="43" t="n">
        <f aca="false">K4633*'Chart of Accounts'!$E$68</f>
        <v>9.6011</v>
      </c>
      <c r="O4633" s="42" t="n">
        <f aca="false">I4633+J4633+L4633</f>
        <v>99.6778</v>
      </c>
    </row>
    <row r="4634" customFormat="false" ht="15" hidden="false" customHeight="false" outlineLevel="0" collapsed="false">
      <c r="B4634" s="7" t="s">
        <v>13267</v>
      </c>
      <c r="C4634" s="39" t="n">
        <v>45946</v>
      </c>
      <c r="D4634" s="7" t="s">
        <v>240</v>
      </c>
      <c r="E4634" s="7" t="s">
        <v>180</v>
      </c>
      <c r="F4634" s="6" t="n">
        <v>4.26</v>
      </c>
      <c r="G4634" s="6" t="n">
        <v>0</v>
      </c>
      <c r="H4634" s="41" t="n">
        <v>16.96</v>
      </c>
      <c r="I4634" s="43" t="n">
        <f aca="false">F4634*H4634</f>
        <v>72.2496</v>
      </c>
      <c r="J4634" s="43" t="n">
        <f aca="false">G4634*H4634*1.5</f>
        <v>0</v>
      </c>
      <c r="K4634" s="6" t="n">
        <v>11.22</v>
      </c>
      <c r="L4634" s="43" t="n">
        <f aca="false">K4634*'Chart of Accounts'!$E$68</f>
        <v>7.5174</v>
      </c>
      <c r="O4634" s="42" t="n">
        <f aca="false">I4634+J4634+L4634</f>
        <v>79.767</v>
      </c>
    </row>
    <row r="4635" customFormat="false" ht="15" hidden="false" customHeight="false" outlineLevel="0" collapsed="false">
      <c r="B4635" s="7" t="s">
        <v>13268</v>
      </c>
      <c r="C4635" s="39" t="n">
        <v>45946</v>
      </c>
      <c r="D4635" s="7" t="s">
        <v>184</v>
      </c>
      <c r="E4635" s="7" t="s">
        <v>180</v>
      </c>
      <c r="F4635" s="6" t="n">
        <v>7.5</v>
      </c>
      <c r="G4635" s="6" t="n">
        <v>0</v>
      </c>
      <c r="H4635" s="41" t="n">
        <v>17.34</v>
      </c>
      <c r="I4635" s="43" t="n">
        <f aca="false">F4635*H4635</f>
        <v>130.05</v>
      </c>
      <c r="J4635" s="43" t="n">
        <f aca="false">G4635*H4635*1.5</f>
        <v>0</v>
      </c>
      <c r="K4635" s="6" t="n">
        <v>26.2</v>
      </c>
      <c r="L4635" s="43" t="n">
        <f aca="false">K4635*'Chart of Accounts'!$E$68</f>
        <v>17.554</v>
      </c>
      <c r="O4635" s="42" t="n">
        <f aca="false">I4635+J4635+L4635</f>
        <v>147.604</v>
      </c>
    </row>
    <row r="4636" customFormat="false" ht="15" hidden="false" customHeight="false" outlineLevel="0" collapsed="false">
      <c r="B4636" s="7" t="s">
        <v>13269</v>
      </c>
      <c r="C4636" s="39" t="n">
        <v>45946</v>
      </c>
      <c r="D4636" s="7" t="s">
        <v>218</v>
      </c>
      <c r="E4636" s="7" t="s">
        <v>180</v>
      </c>
      <c r="F4636" s="6" t="n">
        <v>3.81</v>
      </c>
      <c r="G4636" s="6" t="n">
        <v>0</v>
      </c>
      <c r="H4636" s="41" t="n">
        <v>16.19</v>
      </c>
      <c r="I4636" s="43" t="n">
        <f aca="false">F4636*H4636</f>
        <v>61.6839</v>
      </c>
      <c r="J4636" s="43" t="n">
        <f aca="false">G4636*H4636*1.5</f>
        <v>0</v>
      </c>
      <c r="K4636" s="6" t="n">
        <v>10.77</v>
      </c>
      <c r="L4636" s="43" t="n">
        <f aca="false">K4636*'Chart of Accounts'!$E$68</f>
        <v>7.2159</v>
      </c>
      <c r="O4636" s="42" t="n">
        <f aca="false">I4636+J4636+L4636</f>
        <v>68.8998</v>
      </c>
    </row>
    <row r="4637" customFormat="false" ht="15" hidden="false" customHeight="false" outlineLevel="0" collapsed="false">
      <c r="B4637" s="7" t="s">
        <v>13270</v>
      </c>
      <c r="C4637" s="39" t="n">
        <v>45946</v>
      </c>
      <c r="D4637" s="7" t="s">
        <v>244</v>
      </c>
      <c r="E4637" s="7" t="s">
        <v>180</v>
      </c>
      <c r="F4637" s="6" t="n">
        <v>11.54</v>
      </c>
      <c r="G4637" s="6" t="n">
        <v>0</v>
      </c>
      <c r="H4637" s="41" t="n">
        <v>16.39</v>
      </c>
      <c r="I4637" s="43" t="n">
        <f aca="false">F4637*H4637</f>
        <v>189.1406</v>
      </c>
      <c r="J4637" s="43" t="n">
        <f aca="false">G4637*H4637*1.5</f>
        <v>0</v>
      </c>
      <c r="K4637" s="6" t="n">
        <v>37.81</v>
      </c>
      <c r="L4637" s="43" t="n">
        <f aca="false">K4637*'Chart of Accounts'!$E$68</f>
        <v>25.3327</v>
      </c>
      <c r="O4637" s="42" t="n">
        <f aca="false">I4637+J4637+L4637</f>
        <v>214.4733</v>
      </c>
    </row>
    <row r="4638" customFormat="false" ht="15" hidden="false" customHeight="false" outlineLevel="0" collapsed="false">
      <c r="B4638" s="7" t="s">
        <v>13271</v>
      </c>
      <c r="C4638" s="39" t="n">
        <v>45946</v>
      </c>
      <c r="D4638" s="7" t="s">
        <v>224</v>
      </c>
      <c r="E4638" s="7" t="s">
        <v>180</v>
      </c>
      <c r="F4638" s="6" t="n">
        <v>3.66</v>
      </c>
      <c r="G4638" s="6" t="n">
        <v>0</v>
      </c>
      <c r="H4638" s="41" t="n">
        <v>14.93</v>
      </c>
      <c r="I4638" s="43" t="n">
        <f aca="false">F4638*H4638</f>
        <v>54.6438</v>
      </c>
      <c r="J4638" s="43" t="n">
        <f aca="false">G4638*H4638*1.5</f>
        <v>0</v>
      </c>
      <c r="K4638" s="6" t="n">
        <v>12.59</v>
      </c>
      <c r="L4638" s="43" t="n">
        <f aca="false">K4638*'Chart of Accounts'!$E$68</f>
        <v>8.4353</v>
      </c>
      <c r="O4638" s="42" t="n">
        <f aca="false">I4638+J4638+L4638</f>
        <v>63.0791</v>
      </c>
    </row>
    <row r="4639" customFormat="false" ht="15" hidden="false" customHeight="false" outlineLevel="0" collapsed="false">
      <c r="B4639" s="7" t="s">
        <v>13272</v>
      </c>
      <c r="C4639" s="39" t="n">
        <v>45946</v>
      </c>
      <c r="D4639" s="7" t="s">
        <v>222</v>
      </c>
      <c r="E4639" s="7" t="s">
        <v>180</v>
      </c>
      <c r="F4639" s="6" t="n">
        <v>6.84</v>
      </c>
      <c r="G4639" s="6" t="n">
        <v>0</v>
      </c>
      <c r="H4639" s="41" t="n">
        <v>17.84</v>
      </c>
      <c r="I4639" s="43" t="n">
        <f aca="false">F4639*H4639</f>
        <v>122.0256</v>
      </c>
      <c r="J4639" s="43" t="n">
        <f aca="false">G4639*H4639*1.5</f>
        <v>0</v>
      </c>
      <c r="K4639" s="6" t="n">
        <v>21.06</v>
      </c>
      <c r="L4639" s="43" t="n">
        <f aca="false">K4639*'Chart of Accounts'!$E$68</f>
        <v>14.1102</v>
      </c>
      <c r="O4639" s="42" t="n">
        <f aca="false">I4639+J4639+L4639</f>
        <v>136.1358</v>
      </c>
    </row>
    <row r="4640" customFormat="false" ht="15" hidden="false" customHeight="false" outlineLevel="0" collapsed="false">
      <c r="B4640" s="7" t="s">
        <v>13273</v>
      </c>
      <c r="C4640" s="39" t="n">
        <v>45946</v>
      </c>
      <c r="D4640" s="7" t="s">
        <v>238</v>
      </c>
      <c r="E4640" s="7" t="s">
        <v>180</v>
      </c>
      <c r="F4640" s="6" t="n">
        <v>4.17</v>
      </c>
      <c r="G4640" s="6" t="n">
        <v>0</v>
      </c>
      <c r="H4640" s="41" t="n">
        <v>15.85</v>
      </c>
      <c r="I4640" s="43" t="n">
        <f aca="false">F4640*H4640</f>
        <v>66.0945</v>
      </c>
      <c r="J4640" s="43" t="n">
        <f aca="false">G4640*H4640*1.5</f>
        <v>0</v>
      </c>
      <c r="K4640" s="6" t="n">
        <v>10.33</v>
      </c>
      <c r="L4640" s="43" t="n">
        <f aca="false">K4640*'Chart of Accounts'!$E$68</f>
        <v>6.9211</v>
      </c>
      <c r="O4640" s="42" t="n">
        <f aca="false">I4640+J4640+L4640</f>
        <v>73.0156</v>
      </c>
    </row>
    <row r="4641" customFormat="false" ht="15" hidden="false" customHeight="false" outlineLevel="0" collapsed="false">
      <c r="B4641" s="7" t="s">
        <v>13274</v>
      </c>
      <c r="C4641" s="39" t="n">
        <v>45946</v>
      </c>
      <c r="D4641" s="7" t="s">
        <v>246</v>
      </c>
      <c r="E4641" s="7" t="s">
        <v>180</v>
      </c>
      <c r="F4641" s="6" t="n">
        <v>7.49</v>
      </c>
      <c r="G4641" s="6" t="n">
        <v>0</v>
      </c>
      <c r="H4641" s="41" t="n">
        <v>16.48</v>
      </c>
      <c r="I4641" s="43" t="n">
        <f aca="false">F4641*H4641</f>
        <v>123.4352</v>
      </c>
      <c r="J4641" s="43" t="n">
        <f aca="false">G4641*H4641*1.5</f>
        <v>0</v>
      </c>
      <c r="K4641" s="6" t="n">
        <v>21.4</v>
      </c>
      <c r="L4641" s="43" t="n">
        <f aca="false">K4641*'Chart of Accounts'!$E$68</f>
        <v>14.338</v>
      </c>
      <c r="O4641" s="42" t="n">
        <f aca="false">I4641+J4641+L4641</f>
        <v>137.7732</v>
      </c>
    </row>
    <row r="4642" customFormat="false" ht="15" hidden="false" customHeight="false" outlineLevel="0" collapsed="false">
      <c r="B4642" s="7" t="s">
        <v>13275</v>
      </c>
      <c r="C4642" s="39" t="n">
        <v>45946</v>
      </c>
      <c r="D4642" s="7" t="s">
        <v>194</v>
      </c>
      <c r="E4642" s="7" t="s">
        <v>180</v>
      </c>
      <c r="F4642" s="6" t="n">
        <v>4.09</v>
      </c>
      <c r="G4642" s="6" t="n">
        <v>0</v>
      </c>
      <c r="H4642" s="41" t="n">
        <v>16</v>
      </c>
      <c r="I4642" s="43" t="n">
        <f aca="false">F4642*H4642</f>
        <v>65.44</v>
      </c>
      <c r="J4642" s="43" t="n">
        <f aca="false">G4642*H4642*1.5</f>
        <v>0</v>
      </c>
      <c r="K4642" s="6" t="n">
        <v>11.04</v>
      </c>
      <c r="L4642" s="43" t="n">
        <f aca="false">K4642*'Chart of Accounts'!$E$68</f>
        <v>7.3968</v>
      </c>
      <c r="O4642" s="42" t="n">
        <f aca="false">I4642+J4642+L4642</f>
        <v>72.8368</v>
      </c>
    </row>
    <row r="4643" customFormat="false" ht="15" hidden="false" customHeight="false" outlineLevel="0" collapsed="false">
      <c r="B4643" s="7" t="s">
        <v>13276</v>
      </c>
      <c r="C4643" s="39" t="n">
        <v>45946</v>
      </c>
      <c r="D4643" s="7" t="s">
        <v>214</v>
      </c>
      <c r="E4643" s="7" t="s">
        <v>180</v>
      </c>
      <c r="F4643" s="6" t="n">
        <v>4.07</v>
      </c>
      <c r="G4643" s="6" t="n">
        <v>0</v>
      </c>
      <c r="H4643" s="41" t="n">
        <v>15.67</v>
      </c>
      <c r="I4643" s="43" t="n">
        <f aca="false">F4643*H4643</f>
        <v>63.7769</v>
      </c>
      <c r="J4643" s="43" t="n">
        <f aca="false">G4643*H4643*1.5</f>
        <v>0</v>
      </c>
      <c r="K4643" s="6" t="n">
        <v>11.02</v>
      </c>
      <c r="L4643" s="43" t="n">
        <f aca="false">K4643*'Chart of Accounts'!$E$68</f>
        <v>7.3834</v>
      </c>
      <c r="O4643" s="42" t="n">
        <f aca="false">I4643+J4643+L4643</f>
        <v>71.1603</v>
      </c>
    </row>
    <row r="4644" customFormat="false" ht="15" hidden="false" customHeight="false" outlineLevel="0" collapsed="false">
      <c r="B4644" s="7" t="s">
        <v>13277</v>
      </c>
      <c r="C4644" s="39" t="n">
        <v>45946</v>
      </c>
      <c r="D4644" s="7" t="s">
        <v>242</v>
      </c>
      <c r="E4644" s="7" t="s">
        <v>180</v>
      </c>
      <c r="F4644" s="6" t="n">
        <v>3.471</v>
      </c>
      <c r="G4644" s="6" t="n">
        <v>0.139</v>
      </c>
      <c r="H4644" s="41" t="n">
        <v>17.99</v>
      </c>
      <c r="I4644" s="43" t="n">
        <f aca="false">F4644*H4644</f>
        <v>62.44329</v>
      </c>
      <c r="J4644" s="43" t="n">
        <f aca="false">G4644*H4644*1.5</f>
        <v>3.750915</v>
      </c>
      <c r="K4644" s="6" t="n">
        <v>12.69</v>
      </c>
      <c r="L4644" s="43" t="n">
        <f aca="false">K4644*'Chart of Accounts'!$E$68</f>
        <v>8.5023</v>
      </c>
      <c r="O4644" s="42" t="n">
        <f aca="false">I4644+J4644+L4644</f>
        <v>74.696505</v>
      </c>
    </row>
    <row r="4645" customFormat="false" ht="15" hidden="false" customHeight="false" outlineLevel="0" collapsed="false">
      <c r="B4645" s="7" t="s">
        <v>13278</v>
      </c>
      <c r="C4645" s="39" t="n">
        <v>45946</v>
      </c>
      <c r="D4645" s="7" t="s">
        <v>254</v>
      </c>
      <c r="E4645" s="7" t="s">
        <v>180</v>
      </c>
      <c r="F4645" s="6" t="n">
        <v>4.14</v>
      </c>
      <c r="G4645" s="6" t="n">
        <v>0</v>
      </c>
      <c r="H4645" s="41" t="n">
        <v>17.1</v>
      </c>
      <c r="I4645" s="43" t="n">
        <f aca="false">F4645*H4645</f>
        <v>70.794</v>
      </c>
      <c r="J4645" s="43" t="n">
        <f aca="false">G4645*H4645*1.5</f>
        <v>0</v>
      </c>
      <c r="K4645" s="6" t="n">
        <v>9.64</v>
      </c>
      <c r="L4645" s="43" t="n">
        <f aca="false">K4645*'Chart of Accounts'!$E$68</f>
        <v>6.4588</v>
      </c>
      <c r="O4645" s="42" t="n">
        <f aca="false">I4645+J4645+L4645</f>
        <v>77.2528</v>
      </c>
    </row>
    <row r="4646" customFormat="false" ht="15" hidden="false" customHeight="false" outlineLevel="0" collapsed="false">
      <c r="B4646" s="7" t="s">
        <v>13279</v>
      </c>
      <c r="C4646" s="39" t="n">
        <v>45947</v>
      </c>
      <c r="D4646" s="7" t="s">
        <v>244</v>
      </c>
      <c r="E4646" s="7" t="s">
        <v>180</v>
      </c>
      <c r="F4646" s="6" t="n">
        <v>8.16</v>
      </c>
      <c r="G4646" s="6" t="n">
        <v>0</v>
      </c>
      <c r="H4646" s="41" t="n">
        <v>16.39</v>
      </c>
      <c r="I4646" s="43" t="n">
        <f aca="false">F4646*H4646</f>
        <v>133.7424</v>
      </c>
      <c r="J4646" s="43" t="n">
        <f aca="false">G4646*H4646*1.5</f>
        <v>0</v>
      </c>
      <c r="K4646" s="6" t="n">
        <v>29.28</v>
      </c>
      <c r="L4646" s="43" t="n">
        <f aca="false">K4646*'Chart of Accounts'!$E$68</f>
        <v>19.6176</v>
      </c>
      <c r="O4646" s="42" t="n">
        <f aca="false">I4646+J4646+L4646</f>
        <v>153.36</v>
      </c>
    </row>
    <row r="4647" customFormat="false" ht="15" hidden="false" customHeight="false" outlineLevel="0" collapsed="false">
      <c r="B4647" s="7" t="s">
        <v>13280</v>
      </c>
      <c r="C4647" s="39" t="n">
        <v>45947</v>
      </c>
      <c r="D4647" s="7" t="s">
        <v>194</v>
      </c>
      <c r="E4647" s="7" t="s">
        <v>180</v>
      </c>
      <c r="F4647" s="6" t="n">
        <v>8.28</v>
      </c>
      <c r="G4647" s="6" t="n">
        <v>0</v>
      </c>
      <c r="H4647" s="41" t="n">
        <v>16</v>
      </c>
      <c r="I4647" s="43" t="n">
        <f aca="false">F4647*H4647</f>
        <v>132.48</v>
      </c>
      <c r="J4647" s="43" t="n">
        <f aca="false">G4647*H4647*1.5</f>
        <v>0</v>
      </c>
      <c r="K4647" s="6" t="n">
        <v>27.43</v>
      </c>
      <c r="L4647" s="43" t="n">
        <f aca="false">K4647*'Chart of Accounts'!$E$68</f>
        <v>18.3781</v>
      </c>
      <c r="O4647" s="42" t="n">
        <f aca="false">I4647+J4647+L4647</f>
        <v>150.8581</v>
      </c>
    </row>
    <row r="4648" customFormat="false" ht="15" hidden="false" customHeight="false" outlineLevel="0" collapsed="false">
      <c r="B4648" s="7" t="s">
        <v>13281</v>
      </c>
      <c r="C4648" s="39" t="n">
        <v>45947</v>
      </c>
      <c r="D4648" s="7" t="s">
        <v>198</v>
      </c>
      <c r="E4648" s="7" t="s">
        <v>158</v>
      </c>
      <c r="H4648" s="41" t="n">
        <v>48.09</v>
      </c>
      <c r="M4648" s="6" t="n">
        <v>1</v>
      </c>
      <c r="N4648" s="43" t="n">
        <f aca="false">M4648*H4648</f>
        <v>48.09</v>
      </c>
      <c r="O4648" s="42" t="n">
        <f aca="false">N4648</f>
        <v>48.09</v>
      </c>
    </row>
    <row r="4649" customFormat="false" ht="15" hidden="false" customHeight="false" outlineLevel="0" collapsed="false">
      <c r="B4649" s="7" t="s">
        <v>13282</v>
      </c>
      <c r="C4649" s="39" t="n">
        <v>45947</v>
      </c>
      <c r="D4649" s="7" t="s">
        <v>214</v>
      </c>
      <c r="E4649" s="7" t="s">
        <v>180</v>
      </c>
      <c r="F4649" s="6" t="n">
        <v>7.41</v>
      </c>
      <c r="G4649" s="6" t="n">
        <v>0</v>
      </c>
      <c r="H4649" s="41" t="n">
        <v>15.67</v>
      </c>
      <c r="I4649" s="43" t="n">
        <f aca="false">F4649*H4649</f>
        <v>116.1147</v>
      </c>
      <c r="J4649" s="43" t="n">
        <f aca="false">G4649*H4649*1.5</f>
        <v>0</v>
      </c>
      <c r="K4649" s="6" t="n">
        <v>24.47</v>
      </c>
      <c r="L4649" s="43" t="n">
        <f aca="false">K4649*'Chart of Accounts'!$E$68</f>
        <v>16.3949</v>
      </c>
      <c r="O4649" s="42" t="n">
        <f aca="false">I4649+J4649+L4649</f>
        <v>132.5096</v>
      </c>
    </row>
    <row r="4650" customFormat="false" ht="15" hidden="false" customHeight="false" outlineLevel="0" collapsed="false">
      <c r="B4650" s="7" t="s">
        <v>13283</v>
      </c>
      <c r="C4650" s="39" t="n">
        <v>45947</v>
      </c>
      <c r="D4650" s="7" t="s">
        <v>209</v>
      </c>
      <c r="E4650" s="7" t="s">
        <v>158</v>
      </c>
      <c r="H4650" s="41" t="n">
        <v>73.58</v>
      </c>
      <c r="M4650" s="6" t="n">
        <v>2</v>
      </c>
      <c r="N4650" s="43" t="n">
        <f aca="false">M4650*H4650</f>
        <v>147.16</v>
      </c>
      <c r="O4650" s="42" t="n">
        <f aca="false">N4650</f>
        <v>147.16</v>
      </c>
    </row>
    <row r="4651" customFormat="false" ht="15" hidden="false" customHeight="false" outlineLevel="0" collapsed="false">
      <c r="B4651" s="7" t="s">
        <v>13284</v>
      </c>
      <c r="C4651" s="39" t="n">
        <v>45947</v>
      </c>
      <c r="D4651" s="7" t="s">
        <v>205</v>
      </c>
      <c r="E4651" s="7" t="s">
        <v>180</v>
      </c>
      <c r="F4651" s="6" t="n">
        <v>3.91</v>
      </c>
      <c r="G4651" s="6" t="n">
        <v>0</v>
      </c>
      <c r="H4651" s="41" t="n">
        <v>16.36</v>
      </c>
      <c r="I4651" s="43" t="n">
        <f aca="false">F4651*H4651</f>
        <v>63.9676</v>
      </c>
      <c r="J4651" s="43" t="n">
        <f aca="false">G4651*H4651*1.5</f>
        <v>0</v>
      </c>
      <c r="K4651" s="6" t="n">
        <v>11.98</v>
      </c>
      <c r="L4651" s="43" t="n">
        <f aca="false">K4651*'Chart of Accounts'!$E$68</f>
        <v>8.0266</v>
      </c>
      <c r="O4651" s="42" t="n">
        <f aca="false">I4651+J4651+L4651</f>
        <v>71.9942</v>
      </c>
    </row>
    <row r="4652" customFormat="false" ht="15" hidden="false" customHeight="false" outlineLevel="0" collapsed="false">
      <c r="B4652" s="7" t="s">
        <v>13285</v>
      </c>
      <c r="C4652" s="39" t="n">
        <v>45947</v>
      </c>
      <c r="D4652" s="7" t="s">
        <v>264</v>
      </c>
      <c r="E4652" s="7" t="s">
        <v>158</v>
      </c>
      <c r="H4652" s="41" t="n">
        <v>55.55</v>
      </c>
      <c r="M4652" s="6" t="n">
        <v>1</v>
      </c>
      <c r="N4652" s="43" t="n">
        <f aca="false">M4652*H4652</f>
        <v>55.55</v>
      </c>
      <c r="O4652" s="42" t="n">
        <f aca="false">N4652</f>
        <v>55.55</v>
      </c>
    </row>
    <row r="4653" customFormat="false" ht="15" hidden="false" customHeight="false" outlineLevel="0" collapsed="false">
      <c r="B4653" s="7" t="s">
        <v>13286</v>
      </c>
      <c r="C4653" s="39" t="n">
        <v>45947</v>
      </c>
      <c r="D4653" s="7" t="s">
        <v>252</v>
      </c>
      <c r="E4653" s="7" t="s">
        <v>158</v>
      </c>
      <c r="H4653" s="41" t="n">
        <v>57.54</v>
      </c>
      <c r="M4653" s="6" t="n">
        <v>1</v>
      </c>
      <c r="N4653" s="43" t="n">
        <f aca="false">M4653*H4653</f>
        <v>57.54</v>
      </c>
      <c r="O4653" s="42" t="n">
        <f aca="false">N4653</f>
        <v>57.54</v>
      </c>
    </row>
    <row r="4654" customFormat="false" ht="15" hidden="false" customHeight="false" outlineLevel="0" collapsed="false">
      <c r="B4654" s="7" t="s">
        <v>13287</v>
      </c>
      <c r="C4654" s="39" t="n">
        <v>45947</v>
      </c>
      <c r="D4654" s="7" t="s">
        <v>184</v>
      </c>
      <c r="E4654" s="7" t="s">
        <v>180</v>
      </c>
      <c r="F4654" s="6" t="n">
        <v>8.12</v>
      </c>
      <c r="G4654" s="6" t="n">
        <v>0</v>
      </c>
      <c r="H4654" s="41" t="n">
        <v>17.34</v>
      </c>
      <c r="I4654" s="43" t="n">
        <f aca="false">F4654*H4654</f>
        <v>140.8008</v>
      </c>
      <c r="J4654" s="43" t="n">
        <f aca="false">G4654*H4654*1.5</f>
        <v>0</v>
      </c>
      <c r="K4654" s="6" t="n">
        <v>18.13</v>
      </c>
      <c r="L4654" s="43" t="n">
        <f aca="false">K4654*'Chart of Accounts'!$E$68</f>
        <v>12.1471</v>
      </c>
      <c r="O4654" s="42" t="n">
        <f aca="false">I4654+J4654+L4654</f>
        <v>152.9479</v>
      </c>
    </row>
    <row r="4655" customFormat="false" ht="15" hidden="false" customHeight="false" outlineLevel="0" collapsed="false">
      <c r="B4655" s="7" t="s">
        <v>13288</v>
      </c>
      <c r="C4655" s="39" t="n">
        <v>45947</v>
      </c>
      <c r="D4655" s="7" t="s">
        <v>216</v>
      </c>
      <c r="E4655" s="7" t="s">
        <v>158</v>
      </c>
      <c r="H4655" s="41" t="n">
        <v>61.79</v>
      </c>
      <c r="M4655" s="6" t="n">
        <v>2</v>
      </c>
      <c r="N4655" s="43" t="n">
        <f aca="false">M4655*H4655</f>
        <v>123.58</v>
      </c>
      <c r="O4655" s="42" t="n">
        <f aca="false">N4655</f>
        <v>123.58</v>
      </c>
    </row>
    <row r="4656" customFormat="false" ht="15" hidden="false" customHeight="false" outlineLevel="0" collapsed="false">
      <c r="B4656" s="7" t="s">
        <v>13289</v>
      </c>
      <c r="C4656" s="39" t="n">
        <v>45947</v>
      </c>
      <c r="D4656" s="7" t="s">
        <v>234</v>
      </c>
      <c r="E4656" s="7" t="s">
        <v>158</v>
      </c>
      <c r="H4656" s="41" t="n">
        <v>89.53</v>
      </c>
      <c r="M4656" s="6" t="n">
        <v>2</v>
      </c>
      <c r="N4656" s="43" t="n">
        <f aca="false">M4656*H4656</f>
        <v>179.06</v>
      </c>
      <c r="O4656" s="42" t="n">
        <f aca="false">N4656</f>
        <v>179.06</v>
      </c>
    </row>
    <row r="4657" customFormat="false" ht="15" hidden="false" customHeight="false" outlineLevel="0" collapsed="false">
      <c r="B4657" s="7" t="s">
        <v>13290</v>
      </c>
      <c r="C4657" s="39" t="n">
        <v>45947</v>
      </c>
      <c r="D4657" s="7" t="s">
        <v>218</v>
      </c>
      <c r="E4657" s="7" t="s">
        <v>180</v>
      </c>
      <c r="F4657" s="6" t="n">
        <v>4.35</v>
      </c>
      <c r="G4657" s="6" t="n">
        <v>0</v>
      </c>
      <c r="H4657" s="41" t="n">
        <v>16.19</v>
      </c>
      <c r="I4657" s="43" t="n">
        <f aca="false">F4657*H4657</f>
        <v>70.4265</v>
      </c>
      <c r="J4657" s="43" t="n">
        <f aca="false">G4657*H4657*1.5</f>
        <v>0</v>
      </c>
      <c r="K4657" s="6" t="n">
        <v>10.77</v>
      </c>
      <c r="L4657" s="43" t="n">
        <f aca="false">K4657*'Chart of Accounts'!$E$68</f>
        <v>7.2159</v>
      </c>
      <c r="O4657" s="42" t="n">
        <f aca="false">I4657+J4657+L4657</f>
        <v>77.6424</v>
      </c>
    </row>
    <row r="4658" customFormat="false" ht="15" hidden="false" customHeight="false" outlineLevel="0" collapsed="false">
      <c r="B4658" s="7" t="s">
        <v>13291</v>
      </c>
      <c r="C4658" s="39" t="n">
        <v>45947</v>
      </c>
      <c r="D4658" s="7" t="s">
        <v>220</v>
      </c>
      <c r="E4658" s="7" t="s">
        <v>180</v>
      </c>
      <c r="F4658" s="6" t="n">
        <v>3.77</v>
      </c>
      <c r="G4658" s="6" t="n">
        <v>0</v>
      </c>
      <c r="H4658" s="41" t="n">
        <v>16.43</v>
      </c>
      <c r="I4658" s="43" t="n">
        <f aca="false">F4658*H4658</f>
        <v>61.9411</v>
      </c>
      <c r="J4658" s="43" t="n">
        <f aca="false">G4658*H4658*1.5</f>
        <v>0</v>
      </c>
      <c r="K4658" s="6" t="n">
        <v>8.8</v>
      </c>
      <c r="L4658" s="43" t="n">
        <f aca="false">K4658*'Chart of Accounts'!$E$68</f>
        <v>5.896</v>
      </c>
      <c r="O4658" s="42" t="n">
        <f aca="false">I4658+J4658+L4658</f>
        <v>67.8371</v>
      </c>
    </row>
    <row r="4659" customFormat="false" ht="15" hidden="false" customHeight="false" outlineLevel="0" collapsed="false">
      <c r="B4659" s="7" t="s">
        <v>13292</v>
      </c>
      <c r="C4659" s="39" t="n">
        <v>45947</v>
      </c>
      <c r="D4659" s="7" t="s">
        <v>236</v>
      </c>
      <c r="E4659" s="7" t="s">
        <v>180</v>
      </c>
      <c r="F4659" s="6" t="n">
        <v>6.87</v>
      </c>
      <c r="G4659" s="6" t="n">
        <v>0</v>
      </c>
      <c r="H4659" s="41" t="n">
        <v>15.49</v>
      </c>
      <c r="I4659" s="43" t="n">
        <f aca="false">F4659*H4659</f>
        <v>106.4163</v>
      </c>
      <c r="J4659" s="43" t="n">
        <f aca="false">G4659*H4659*1.5</f>
        <v>0</v>
      </c>
      <c r="K4659" s="6" t="n">
        <v>19.1</v>
      </c>
      <c r="L4659" s="43" t="n">
        <f aca="false">K4659*'Chart of Accounts'!$E$68</f>
        <v>12.797</v>
      </c>
      <c r="O4659" s="42" t="n">
        <f aca="false">I4659+J4659+L4659</f>
        <v>119.2133</v>
      </c>
    </row>
    <row r="4660" customFormat="false" ht="15" hidden="false" customHeight="false" outlineLevel="0" collapsed="false">
      <c r="B4660" s="7" t="s">
        <v>13293</v>
      </c>
      <c r="C4660" s="39" t="n">
        <v>45947</v>
      </c>
      <c r="D4660" s="7" t="s">
        <v>177</v>
      </c>
      <c r="E4660" s="7" t="s">
        <v>180</v>
      </c>
      <c r="F4660" s="6" t="n">
        <v>8.9</v>
      </c>
      <c r="G4660" s="6" t="n">
        <v>0</v>
      </c>
      <c r="H4660" s="41" t="n">
        <v>14.56</v>
      </c>
      <c r="I4660" s="43" t="n">
        <f aca="false">F4660*H4660</f>
        <v>129.584</v>
      </c>
      <c r="J4660" s="43" t="n">
        <f aca="false">G4660*H4660*1.5</f>
        <v>0</v>
      </c>
      <c r="K4660" s="6" t="n">
        <v>30.98</v>
      </c>
      <c r="L4660" s="43" t="n">
        <f aca="false">K4660*'Chart of Accounts'!$E$68</f>
        <v>20.7566</v>
      </c>
      <c r="O4660" s="42" t="n">
        <f aca="false">I4660+J4660+L4660</f>
        <v>150.3406</v>
      </c>
    </row>
    <row r="4661" customFormat="false" ht="15" hidden="false" customHeight="false" outlineLevel="0" collapsed="false">
      <c r="B4661" s="7" t="s">
        <v>13294</v>
      </c>
      <c r="C4661" s="39" t="n">
        <v>45947</v>
      </c>
      <c r="D4661" s="7" t="s">
        <v>242</v>
      </c>
      <c r="E4661" s="7" t="s">
        <v>180</v>
      </c>
      <c r="F4661" s="6" t="n">
        <v>7.048</v>
      </c>
      <c r="G4661" s="6" t="n">
        <v>0.282</v>
      </c>
      <c r="H4661" s="41" t="n">
        <v>17.99</v>
      </c>
      <c r="I4661" s="43" t="n">
        <f aca="false">F4661*H4661</f>
        <v>126.79352</v>
      </c>
      <c r="J4661" s="43" t="n">
        <f aca="false">G4661*H4661*1.5</f>
        <v>7.60977</v>
      </c>
      <c r="K4661" s="6" t="n">
        <v>24.04</v>
      </c>
      <c r="L4661" s="43" t="n">
        <f aca="false">K4661*'Chart of Accounts'!$E$68</f>
        <v>16.1068</v>
      </c>
      <c r="O4661" s="42" t="n">
        <f aca="false">I4661+J4661+L4661</f>
        <v>150.51009</v>
      </c>
    </row>
    <row r="4662" customFormat="false" ht="15" hidden="false" customHeight="false" outlineLevel="0" collapsed="false">
      <c r="B4662" s="7" t="s">
        <v>13295</v>
      </c>
      <c r="C4662" s="39" t="n">
        <v>45947</v>
      </c>
      <c r="D4662" s="7" t="s">
        <v>238</v>
      </c>
      <c r="E4662" s="7" t="s">
        <v>180</v>
      </c>
      <c r="F4662" s="6" t="n">
        <v>9.24</v>
      </c>
      <c r="G4662" s="6" t="n">
        <v>0</v>
      </c>
      <c r="H4662" s="41" t="n">
        <v>15.85</v>
      </c>
      <c r="I4662" s="43" t="n">
        <f aca="false">F4662*H4662</f>
        <v>146.454</v>
      </c>
      <c r="J4662" s="43" t="n">
        <f aca="false">G4662*H4662*1.5</f>
        <v>0</v>
      </c>
      <c r="K4662" s="6" t="n">
        <v>28.83</v>
      </c>
      <c r="L4662" s="43" t="n">
        <f aca="false">K4662*'Chart of Accounts'!$E$68</f>
        <v>19.3161</v>
      </c>
      <c r="O4662" s="42" t="n">
        <f aca="false">I4662+J4662+L4662</f>
        <v>165.7701</v>
      </c>
    </row>
    <row r="4663" customFormat="false" ht="15" hidden="false" customHeight="false" outlineLevel="0" collapsed="false">
      <c r="B4663" s="7" t="s">
        <v>13296</v>
      </c>
      <c r="C4663" s="39" t="n">
        <v>45947</v>
      </c>
      <c r="D4663" s="7" t="s">
        <v>254</v>
      </c>
      <c r="E4663" s="7" t="s">
        <v>180</v>
      </c>
      <c r="F4663" s="6" t="n">
        <v>7.12</v>
      </c>
      <c r="G4663" s="6" t="n">
        <v>0</v>
      </c>
      <c r="H4663" s="41" t="n">
        <v>17.1</v>
      </c>
      <c r="I4663" s="43" t="n">
        <f aca="false">F4663*H4663</f>
        <v>121.752</v>
      </c>
      <c r="J4663" s="43" t="n">
        <f aca="false">G4663*H4663*1.5</f>
        <v>0</v>
      </c>
      <c r="K4663" s="6" t="n">
        <v>19.31</v>
      </c>
      <c r="L4663" s="43" t="n">
        <f aca="false">K4663*'Chart of Accounts'!$E$68</f>
        <v>12.9377</v>
      </c>
      <c r="O4663" s="42" t="n">
        <f aca="false">I4663+J4663+L4663</f>
        <v>134.6897</v>
      </c>
    </row>
    <row r="4664" customFormat="false" ht="15" hidden="false" customHeight="false" outlineLevel="0" collapsed="false">
      <c r="B4664" s="7" t="s">
        <v>13297</v>
      </c>
      <c r="C4664" s="39" t="n">
        <v>45947</v>
      </c>
      <c r="D4664" s="7" t="s">
        <v>201</v>
      </c>
      <c r="E4664" s="7" t="s">
        <v>180</v>
      </c>
      <c r="F4664" s="6" t="n">
        <v>6.61</v>
      </c>
      <c r="G4664" s="6" t="n">
        <v>0</v>
      </c>
      <c r="H4664" s="41" t="n">
        <v>15.19</v>
      </c>
      <c r="I4664" s="43" t="n">
        <f aca="false">F4664*H4664</f>
        <v>100.4059</v>
      </c>
      <c r="J4664" s="43" t="n">
        <f aca="false">G4664*H4664*1.5</f>
        <v>0</v>
      </c>
      <c r="K4664" s="6" t="n">
        <v>23.33</v>
      </c>
      <c r="L4664" s="43" t="n">
        <f aca="false">K4664*'Chart of Accounts'!$E$68</f>
        <v>15.6311</v>
      </c>
      <c r="O4664" s="42" t="n">
        <f aca="false">I4664+J4664+L4664</f>
        <v>116.037</v>
      </c>
    </row>
    <row r="4665" customFormat="false" ht="15" hidden="false" customHeight="false" outlineLevel="0" collapsed="false">
      <c r="B4665" s="7" t="s">
        <v>13298</v>
      </c>
      <c r="C4665" s="39" t="n">
        <v>45947</v>
      </c>
      <c r="D4665" s="7" t="s">
        <v>232</v>
      </c>
      <c r="E4665" s="7" t="s">
        <v>180</v>
      </c>
      <c r="F4665" s="6" t="n">
        <v>8.82</v>
      </c>
      <c r="G4665" s="6" t="n">
        <v>0</v>
      </c>
      <c r="H4665" s="41" t="n">
        <v>16.17</v>
      </c>
      <c r="I4665" s="43" t="n">
        <f aca="false">F4665*H4665</f>
        <v>142.6194</v>
      </c>
      <c r="J4665" s="43" t="n">
        <f aca="false">G4665*H4665*1.5</f>
        <v>0</v>
      </c>
      <c r="K4665" s="6" t="n">
        <v>20.73</v>
      </c>
      <c r="L4665" s="43" t="n">
        <f aca="false">K4665*'Chart of Accounts'!$E$68</f>
        <v>13.8891</v>
      </c>
      <c r="O4665" s="42" t="n">
        <f aca="false">I4665+J4665+L4665</f>
        <v>156.5085</v>
      </c>
    </row>
    <row r="4666" customFormat="false" ht="15" hidden="false" customHeight="false" outlineLevel="0" collapsed="false">
      <c r="B4666" s="7" t="s">
        <v>13299</v>
      </c>
      <c r="C4666" s="39" t="n">
        <v>45947</v>
      </c>
      <c r="D4666" s="7" t="s">
        <v>258</v>
      </c>
      <c r="E4666" s="7" t="s">
        <v>158</v>
      </c>
      <c r="H4666" s="41" t="n">
        <v>61.61</v>
      </c>
      <c r="M4666" s="6" t="n">
        <v>1</v>
      </c>
      <c r="N4666" s="43" t="n">
        <f aca="false">M4666*H4666</f>
        <v>61.61</v>
      </c>
      <c r="O4666" s="42" t="n">
        <f aca="false">N4666</f>
        <v>61.61</v>
      </c>
    </row>
    <row r="4667" customFormat="false" ht="15" hidden="false" customHeight="false" outlineLevel="0" collapsed="false">
      <c r="B4667" s="7" t="s">
        <v>13300</v>
      </c>
      <c r="C4667" s="39" t="n">
        <v>45947</v>
      </c>
      <c r="D4667" s="7" t="s">
        <v>224</v>
      </c>
      <c r="E4667" s="7" t="s">
        <v>180</v>
      </c>
      <c r="F4667" s="6" t="n">
        <v>4.22</v>
      </c>
      <c r="G4667" s="6" t="n">
        <v>0</v>
      </c>
      <c r="H4667" s="41" t="n">
        <v>14.93</v>
      </c>
      <c r="I4667" s="43" t="n">
        <f aca="false">F4667*H4667</f>
        <v>63.0046</v>
      </c>
      <c r="J4667" s="43" t="n">
        <f aca="false">G4667*H4667*1.5</f>
        <v>0</v>
      </c>
      <c r="K4667" s="6" t="n">
        <v>10.97</v>
      </c>
      <c r="L4667" s="43" t="n">
        <f aca="false">K4667*'Chart of Accounts'!$E$68</f>
        <v>7.3499</v>
      </c>
      <c r="O4667" s="42" t="n">
        <f aca="false">I4667+J4667+L4667</f>
        <v>70.3545</v>
      </c>
    </row>
    <row r="4668" customFormat="false" ht="15" hidden="false" customHeight="false" outlineLevel="0" collapsed="false">
      <c r="B4668" s="7" t="s">
        <v>13301</v>
      </c>
      <c r="C4668" s="39" t="n">
        <v>45947</v>
      </c>
      <c r="D4668" s="7" t="s">
        <v>230</v>
      </c>
      <c r="E4668" s="7" t="s">
        <v>158</v>
      </c>
      <c r="H4668" s="41" t="n">
        <v>48.78</v>
      </c>
      <c r="M4668" s="6" t="n">
        <v>1</v>
      </c>
      <c r="N4668" s="43" t="n">
        <f aca="false">M4668*H4668</f>
        <v>48.78</v>
      </c>
      <c r="O4668" s="42" t="n">
        <f aca="false">N4668</f>
        <v>48.78</v>
      </c>
    </row>
    <row r="4669" customFormat="false" ht="15" hidden="false" customHeight="false" outlineLevel="0" collapsed="false">
      <c r="B4669" s="7" t="s">
        <v>13302</v>
      </c>
      <c r="C4669" s="39" t="n">
        <v>45947</v>
      </c>
      <c r="D4669" s="7" t="s">
        <v>196</v>
      </c>
      <c r="E4669" s="7" t="s">
        <v>180</v>
      </c>
      <c r="F4669" s="6" t="n">
        <v>3.98</v>
      </c>
      <c r="G4669" s="6" t="n">
        <v>0</v>
      </c>
      <c r="H4669" s="41" t="n">
        <v>15.05</v>
      </c>
      <c r="I4669" s="43" t="n">
        <f aca="false">F4669*H4669</f>
        <v>59.899</v>
      </c>
      <c r="J4669" s="43" t="n">
        <f aca="false">G4669*H4669*1.5</f>
        <v>0</v>
      </c>
      <c r="K4669" s="6" t="n">
        <v>12.94</v>
      </c>
      <c r="L4669" s="43" t="n">
        <f aca="false">K4669*'Chart of Accounts'!$E$68</f>
        <v>8.6698</v>
      </c>
      <c r="O4669" s="42" t="n">
        <f aca="false">I4669+J4669+L4669</f>
        <v>68.5688</v>
      </c>
    </row>
    <row r="4670" customFormat="false" ht="15" hidden="false" customHeight="false" outlineLevel="0" collapsed="false">
      <c r="B4670" s="7" t="s">
        <v>13303</v>
      </c>
      <c r="C4670" s="39" t="n">
        <v>45947</v>
      </c>
      <c r="D4670" s="7" t="s">
        <v>246</v>
      </c>
      <c r="E4670" s="7" t="s">
        <v>180</v>
      </c>
      <c r="F4670" s="6" t="n">
        <v>4.21</v>
      </c>
      <c r="G4670" s="6" t="n">
        <v>0</v>
      </c>
      <c r="H4670" s="41" t="n">
        <v>16.48</v>
      </c>
      <c r="I4670" s="43" t="n">
        <f aca="false">F4670*H4670</f>
        <v>69.3808</v>
      </c>
      <c r="J4670" s="43" t="n">
        <f aca="false">G4670*H4670*1.5</f>
        <v>0</v>
      </c>
      <c r="K4670" s="6" t="n">
        <v>14.06</v>
      </c>
      <c r="L4670" s="43" t="n">
        <f aca="false">K4670*'Chart of Accounts'!$E$68</f>
        <v>9.4202</v>
      </c>
      <c r="O4670" s="42" t="n">
        <f aca="false">I4670+J4670+L4670</f>
        <v>78.801</v>
      </c>
    </row>
    <row r="4671" customFormat="false" ht="15" hidden="false" customHeight="false" outlineLevel="0" collapsed="false">
      <c r="B4671" s="7" t="s">
        <v>13304</v>
      </c>
      <c r="C4671" s="39" t="n">
        <v>45947</v>
      </c>
      <c r="D4671" s="7" t="s">
        <v>222</v>
      </c>
      <c r="E4671" s="7" t="s">
        <v>180</v>
      </c>
      <c r="F4671" s="6" t="n">
        <v>4.22</v>
      </c>
      <c r="G4671" s="6" t="n">
        <v>0</v>
      </c>
      <c r="H4671" s="41" t="n">
        <v>17.84</v>
      </c>
      <c r="I4671" s="43" t="n">
        <f aca="false">F4671*H4671</f>
        <v>75.2848</v>
      </c>
      <c r="J4671" s="43" t="n">
        <f aca="false">G4671*H4671*1.5</f>
        <v>0</v>
      </c>
      <c r="K4671" s="6" t="n">
        <v>13.51</v>
      </c>
      <c r="L4671" s="43" t="n">
        <f aca="false">K4671*'Chart of Accounts'!$E$68</f>
        <v>9.0517</v>
      </c>
      <c r="O4671" s="42" t="n">
        <f aca="false">I4671+J4671+L4671</f>
        <v>84.3365</v>
      </c>
    </row>
    <row r="4672" customFormat="false" ht="15" hidden="false" customHeight="false" outlineLevel="0" collapsed="false">
      <c r="B4672" s="7" t="s">
        <v>13305</v>
      </c>
      <c r="C4672" s="39" t="n">
        <v>45947</v>
      </c>
      <c r="D4672" s="7" t="s">
        <v>203</v>
      </c>
      <c r="E4672" s="7" t="s">
        <v>158</v>
      </c>
      <c r="H4672" s="41" t="n">
        <v>49.43</v>
      </c>
      <c r="M4672" s="6" t="n">
        <v>1</v>
      </c>
      <c r="N4672" s="43" t="n">
        <f aca="false">M4672*H4672</f>
        <v>49.43</v>
      </c>
      <c r="O4672" s="42" t="n">
        <f aca="false">N4672</f>
        <v>49.43</v>
      </c>
    </row>
    <row r="4673" customFormat="false" ht="15" hidden="false" customHeight="false" outlineLevel="0" collapsed="false">
      <c r="B4673" s="7" t="s">
        <v>13306</v>
      </c>
      <c r="C4673" s="39" t="n">
        <v>45947</v>
      </c>
      <c r="D4673" s="7" t="s">
        <v>260</v>
      </c>
      <c r="E4673" s="7" t="s">
        <v>158</v>
      </c>
      <c r="H4673" s="41" t="n">
        <v>79.8</v>
      </c>
      <c r="M4673" s="6" t="n">
        <v>1</v>
      </c>
      <c r="N4673" s="43" t="n">
        <f aca="false">M4673*H4673</f>
        <v>79.8</v>
      </c>
      <c r="O4673" s="42" t="n">
        <f aca="false">N4673</f>
        <v>79.8</v>
      </c>
    </row>
    <row r="4674" customFormat="false" ht="15" hidden="false" customHeight="false" outlineLevel="0" collapsed="false">
      <c r="B4674" s="7" t="s">
        <v>13307</v>
      </c>
      <c r="C4674" s="39" t="n">
        <v>45948</v>
      </c>
      <c r="D4674" s="7" t="s">
        <v>177</v>
      </c>
      <c r="E4674" s="7" t="s">
        <v>180</v>
      </c>
      <c r="F4674" s="6" t="n">
        <v>3.89</v>
      </c>
      <c r="G4674" s="6" t="n">
        <v>0</v>
      </c>
      <c r="H4674" s="41" t="n">
        <v>14.56</v>
      </c>
      <c r="I4674" s="43" t="n">
        <f aca="false">F4674*H4674</f>
        <v>56.6384</v>
      </c>
      <c r="J4674" s="43" t="n">
        <f aca="false">G4674*H4674*1.5</f>
        <v>0</v>
      </c>
      <c r="K4674" s="6" t="n">
        <v>10.84</v>
      </c>
      <c r="L4674" s="43" t="n">
        <f aca="false">K4674*'Chart of Accounts'!$E$68</f>
        <v>7.2628</v>
      </c>
      <c r="O4674" s="42" t="n">
        <f aca="false">I4674+J4674+L4674</f>
        <v>63.9012</v>
      </c>
    </row>
    <row r="4675" customFormat="false" ht="15" hidden="false" customHeight="false" outlineLevel="0" collapsed="false">
      <c r="B4675" s="7" t="s">
        <v>13308</v>
      </c>
      <c r="C4675" s="39" t="n">
        <v>45948</v>
      </c>
      <c r="D4675" s="7" t="s">
        <v>218</v>
      </c>
      <c r="E4675" s="7" t="s">
        <v>180</v>
      </c>
      <c r="F4675" s="6" t="n">
        <v>3.65</v>
      </c>
      <c r="G4675" s="6" t="n">
        <v>0</v>
      </c>
      <c r="H4675" s="41" t="n">
        <v>16.19</v>
      </c>
      <c r="I4675" s="43" t="n">
        <f aca="false">F4675*H4675</f>
        <v>59.0935</v>
      </c>
      <c r="J4675" s="43" t="n">
        <f aca="false">G4675*H4675*1.5</f>
        <v>0</v>
      </c>
      <c r="K4675" s="6" t="n">
        <v>12.94</v>
      </c>
      <c r="L4675" s="43" t="n">
        <f aca="false">K4675*'Chart of Accounts'!$E$68</f>
        <v>8.6698</v>
      </c>
      <c r="O4675" s="42" t="n">
        <f aca="false">I4675+J4675+L4675</f>
        <v>67.7633</v>
      </c>
    </row>
    <row r="4676" customFormat="false" ht="15" hidden="false" customHeight="false" outlineLevel="0" collapsed="false">
      <c r="B4676" s="7" t="s">
        <v>13309</v>
      </c>
      <c r="C4676" s="39" t="n">
        <v>45948</v>
      </c>
      <c r="D4676" s="7" t="s">
        <v>242</v>
      </c>
      <c r="E4676" s="7" t="s">
        <v>180</v>
      </c>
      <c r="F4676" s="6" t="n">
        <v>7.971</v>
      </c>
      <c r="G4676" s="6" t="n">
        <v>0.319</v>
      </c>
      <c r="H4676" s="41" t="n">
        <v>17.99</v>
      </c>
      <c r="I4676" s="43" t="n">
        <f aca="false">F4676*H4676</f>
        <v>143.39829</v>
      </c>
      <c r="J4676" s="43" t="n">
        <f aca="false">G4676*H4676*1.5</f>
        <v>8.608215</v>
      </c>
      <c r="K4676" s="6" t="n">
        <v>27.93</v>
      </c>
      <c r="L4676" s="43" t="n">
        <f aca="false">K4676*'Chart of Accounts'!$E$68</f>
        <v>18.7131</v>
      </c>
      <c r="O4676" s="42" t="n">
        <f aca="false">I4676+J4676+L4676</f>
        <v>170.719605</v>
      </c>
    </row>
    <row r="4677" customFormat="false" ht="15" hidden="false" customHeight="false" outlineLevel="0" collapsed="false">
      <c r="B4677" s="7" t="s">
        <v>13310</v>
      </c>
      <c r="C4677" s="39" t="n">
        <v>45948</v>
      </c>
      <c r="D4677" s="7" t="s">
        <v>196</v>
      </c>
      <c r="E4677" s="7" t="s">
        <v>180</v>
      </c>
      <c r="F4677" s="6" t="n">
        <v>4.11</v>
      </c>
      <c r="G4677" s="6" t="n">
        <v>0</v>
      </c>
      <c r="H4677" s="41" t="n">
        <v>15.05</v>
      </c>
      <c r="I4677" s="43" t="n">
        <f aca="false">F4677*H4677</f>
        <v>61.8555</v>
      </c>
      <c r="J4677" s="43" t="n">
        <f aca="false">G4677*H4677*1.5</f>
        <v>0</v>
      </c>
      <c r="K4677" s="6" t="n">
        <v>10.51</v>
      </c>
      <c r="L4677" s="43" t="n">
        <f aca="false">K4677*'Chart of Accounts'!$E$68</f>
        <v>7.0417</v>
      </c>
      <c r="O4677" s="42" t="n">
        <f aca="false">I4677+J4677+L4677</f>
        <v>68.8972</v>
      </c>
    </row>
    <row r="4678" customFormat="false" ht="15" hidden="false" customHeight="false" outlineLevel="0" collapsed="false">
      <c r="B4678" s="7" t="s">
        <v>13311</v>
      </c>
      <c r="C4678" s="39" t="n">
        <v>45948</v>
      </c>
      <c r="D4678" s="7" t="s">
        <v>222</v>
      </c>
      <c r="E4678" s="7" t="s">
        <v>180</v>
      </c>
      <c r="F4678" s="6" t="n">
        <v>3.65</v>
      </c>
      <c r="G4678" s="6" t="n">
        <v>0</v>
      </c>
      <c r="H4678" s="41" t="n">
        <v>17.84</v>
      </c>
      <c r="I4678" s="43" t="n">
        <f aca="false">F4678*H4678</f>
        <v>65.116</v>
      </c>
      <c r="J4678" s="43" t="n">
        <f aca="false">G4678*H4678*1.5</f>
        <v>0</v>
      </c>
      <c r="K4678" s="6" t="n">
        <v>10.55</v>
      </c>
      <c r="L4678" s="43" t="n">
        <f aca="false">K4678*'Chart of Accounts'!$E$68</f>
        <v>7.0685</v>
      </c>
      <c r="O4678" s="42" t="n">
        <f aca="false">I4678+J4678+L4678</f>
        <v>72.1845</v>
      </c>
    </row>
    <row r="4679" customFormat="false" ht="15" hidden="false" customHeight="false" outlineLevel="0" collapsed="false">
      <c r="B4679" s="7" t="s">
        <v>13312</v>
      </c>
      <c r="C4679" s="39" t="n">
        <v>45948</v>
      </c>
      <c r="D4679" s="7" t="s">
        <v>254</v>
      </c>
      <c r="E4679" s="7" t="s">
        <v>180</v>
      </c>
      <c r="F4679" s="6" t="n">
        <v>4.31</v>
      </c>
      <c r="G4679" s="6" t="n">
        <v>0</v>
      </c>
      <c r="H4679" s="41" t="n">
        <v>17.1</v>
      </c>
      <c r="I4679" s="43" t="n">
        <f aca="false">F4679*H4679</f>
        <v>73.701</v>
      </c>
      <c r="J4679" s="43" t="n">
        <f aca="false">G4679*H4679*1.5</f>
        <v>0</v>
      </c>
      <c r="K4679" s="6" t="n">
        <v>10.77</v>
      </c>
      <c r="L4679" s="43" t="n">
        <f aca="false">K4679*'Chart of Accounts'!$E$68</f>
        <v>7.2159</v>
      </c>
      <c r="O4679" s="42" t="n">
        <f aca="false">I4679+J4679+L4679</f>
        <v>80.9169</v>
      </c>
    </row>
    <row r="4680" customFormat="false" ht="15" hidden="false" customHeight="false" outlineLevel="0" collapsed="false">
      <c r="B4680" s="7" t="s">
        <v>13313</v>
      </c>
      <c r="C4680" s="39" t="n">
        <v>45949</v>
      </c>
      <c r="D4680" s="7" t="s">
        <v>240</v>
      </c>
      <c r="E4680" s="7" t="s">
        <v>180</v>
      </c>
      <c r="F4680" s="6" t="n">
        <v>3.84</v>
      </c>
      <c r="G4680" s="6" t="n">
        <v>0</v>
      </c>
      <c r="H4680" s="41" t="n">
        <v>16.96</v>
      </c>
      <c r="I4680" s="43" t="n">
        <f aca="false">F4680*H4680</f>
        <v>65.1264</v>
      </c>
      <c r="J4680" s="43" t="n">
        <f aca="false">G4680*H4680*1.5</f>
        <v>0</v>
      </c>
      <c r="K4680" s="6" t="n">
        <v>13.61</v>
      </c>
      <c r="L4680" s="43" t="n">
        <f aca="false">K4680*'Chart of Accounts'!$E$68</f>
        <v>9.1187</v>
      </c>
      <c r="O4680" s="42" t="n">
        <f aca="false">I4680+J4680+L4680</f>
        <v>74.2451</v>
      </c>
    </row>
    <row r="4681" customFormat="false" ht="15" hidden="false" customHeight="false" outlineLevel="0" collapsed="false">
      <c r="B4681" s="7" t="s">
        <v>13314</v>
      </c>
      <c r="C4681" s="39" t="n">
        <v>45949</v>
      </c>
      <c r="D4681" s="7" t="s">
        <v>218</v>
      </c>
      <c r="E4681" s="7" t="s">
        <v>180</v>
      </c>
      <c r="F4681" s="6" t="n">
        <v>3.91</v>
      </c>
      <c r="G4681" s="6" t="n">
        <v>0</v>
      </c>
      <c r="H4681" s="41" t="n">
        <v>16.19</v>
      </c>
      <c r="I4681" s="43" t="n">
        <f aca="false">F4681*H4681</f>
        <v>63.3029</v>
      </c>
      <c r="J4681" s="43" t="n">
        <f aca="false">G4681*H4681*1.5</f>
        <v>0</v>
      </c>
      <c r="K4681" s="6" t="n">
        <v>9.88</v>
      </c>
      <c r="L4681" s="43" t="n">
        <f aca="false">K4681*'Chart of Accounts'!$E$68</f>
        <v>6.6196</v>
      </c>
      <c r="O4681" s="42" t="n">
        <f aca="false">I4681+J4681+L4681</f>
        <v>69.9225</v>
      </c>
    </row>
    <row r="4682" customFormat="false" ht="15" hidden="false" customHeight="false" outlineLevel="0" collapsed="false">
      <c r="B4682" s="7" t="s">
        <v>13315</v>
      </c>
      <c r="C4682" s="39" t="n">
        <v>45949</v>
      </c>
      <c r="D4682" s="7" t="s">
        <v>244</v>
      </c>
      <c r="E4682" s="7" t="s">
        <v>180</v>
      </c>
      <c r="F4682" s="6" t="n">
        <v>3.81</v>
      </c>
      <c r="G4682" s="6" t="n">
        <v>0</v>
      </c>
      <c r="H4682" s="41" t="n">
        <v>16.39</v>
      </c>
      <c r="I4682" s="43" t="n">
        <f aca="false">F4682*H4682</f>
        <v>62.4459</v>
      </c>
      <c r="J4682" s="43" t="n">
        <f aca="false">G4682*H4682*1.5</f>
        <v>0</v>
      </c>
      <c r="K4682" s="6" t="n">
        <v>10.73</v>
      </c>
      <c r="L4682" s="43" t="n">
        <f aca="false">K4682*'Chart of Accounts'!$E$68</f>
        <v>7.1891</v>
      </c>
      <c r="O4682" s="42" t="n">
        <f aca="false">I4682+J4682+L4682</f>
        <v>69.635</v>
      </c>
    </row>
    <row r="4683" customFormat="false" ht="15" hidden="false" customHeight="false" outlineLevel="0" collapsed="false">
      <c r="B4683" s="7" t="s">
        <v>13316</v>
      </c>
      <c r="C4683" s="39" t="n">
        <v>45949</v>
      </c>
      <c r="D4683" s="7" t="s">
        <v>196</v>
      </c>
      <c r="E4683" s="7" t="s">
        <v>180</v>
      </c>
      <c r="F4683" s="6" t="n">
        <v>3.72</v>
      </c>
      <c r="G4683" s="6" t="n">
        <v>0</v>
      </c>
      <c r="H4683" s="41" t="n">
        <v>15.05</v>
      </c>
      <c r="I4683" s="43" t="n">
        <f aca="false">F4683*H4683</f>
        <v>55.986</v>
      </c>
      <c r="J4683" s="43" t="n">
        <f aca="false">G4683*H4683*1.5</f>
        <v>0</v>
      </c>
      <c r="K4683" s="6" t="n">
        <v>11.04</v>
      </c>
      <c r="L4683" s="43" t="n">
        <f aca="false">K4683*'Chart of Accounts'!$E$68</f>
        <v>7.3968</v>
      </c>
      <c r="O4683" s="42" t="n">
        <f aca="false">I4683+J4683+L4683</f>
        <v>63.3828</v>
      </c>
    </row>
    <row r="4684" customFormat="false" ht="15" hidden="false" customHeight="false" outlineLevel="0" collapsed="false">
      <c r="B4684" s="7" t="s">
        <v>13317</v>
      </c>
      <c r="C4684" s="39" t="n">
        <v>45949</v>
      </c>
      <c r="D4684" s="7" t="s">
        <v>222</v>
      </c>
      <c r="E4684" s="7" t="s">
        <v>180</v>
      </c>
      <c r="F4684" s="6" t="n">
        <v>4.27</v>
      </c>
      <c r="G4684" s="6" t="n">
        <v>0</v>
      </c>
      <c r="H4684" s="41" t="n">
        <v>17.84</v>
      </c>
      <c r="I4684" s="43" t="n">
        <f aca="false">F4684*H4684</f>
        <v>76.1768</v>
      </c>
      <c r="J4684" s="43" t="n">
        <f aca="false">G4684*H4684*1.5</f>
        <v>0</v>
      </c>
      <c r="K4684" s="6" t="n">
        <v>9.73</v>
      </c>
      <c r="L4684" s="43" t="n">
        <f aca="false">K4684*'Chart of Accounts'!$E$68</f>
        <v>6.5191</v>
      </c>
      <c r="O4684" s="42" t="n">
        <f aca="false">I4684+J4684+L4684</f>
        <v>82.6959</v>
      </c>
    </row>
    <row r="4685" customFormat="false" ht="15" hidden="false" customHeight="false" outlineLevel="0" collapsed="false">
      <c r="B4685" s="7" t="s">
        <v>13318</v>
      </c>
      <c r="C4685" s="39" t="n">
        <v>45949</v>
      </c>
      <c r="D4685" s="7" t="s">
        <v>242</v>
      </c>
      <c r="E4685" s="7" t="s">
        <v>180</v>
      </c>
      <c r="F4685" s="6" t="n">
        <v>3.788</v>
      </c>
      <c r="G4685" s="6" t="n">
        <v>0.152</v>
      </c>
      <c r="H4685" s="41" t="n">
        <v>17.99</v>
      </c>
      <c r="I4685" s="43" t="n">
        <f aca="false">F4685*H4685</f>
        <v>68.14612</v>
      </c>
      <c r="J4685" s="43" t="n">
        <f aca="false">G4685*H4685*1.5</f>
        <v>4.10172</v>
      </c>
      <c r="K4685" s="6" t="n">
        <v>12.92</v>
      </c>
      <c r="L4685" s="43" t="n">
        <f aca="false">K4685*'Chart of Accounts'!$E$68</f>
        <v>8.6564</v>
      </c>
      <c r="O4685" s="42" t="n">
        <f aca="false">I4685+J4685+L4685</f>
        <v>80.90424</v>
      </c>
    </row>
    <row r="4686" customFormat="false" ht="15" hidden="false" customHeight="false" outlineLevel="0" collapsed="false">
      <c r="B4686" s="7" t="s">
        <v>13319</v>
      </c>
      <c r="C4686" s="39" t="n">
        <v>45949</v>
      </c>
      <c r="D4686" s="7" t="s">
        <v>254</v>
      </c>
      <c r="E4686" s="7" t="s">
        <v>180</v>
      </c>
      <c r="F4686" s="6" t="n">
        <v>4.31</v>
      </c>
      <c r="G4686" s="6" t="n">
        <v>0</v>
      </c>
      <c r="H4686" s="41" t="n">
        <v>17.1</v>
      </c>
      <c r="I4686" s="43" t="n">
        <f aca="false">F4686*H4686</f>
        <v>73.701</v>
      </c>
      <c r="J4686" s="43" t="n">
        <f aca="false">G4686*H4686*1.5</f>
        <v>0</v>
      </c>
      <c r="K4686" s="6" t="n">
        <v>14.86</v>
      </c>
      <c r="L4686" s="43" t="n">
        <f aca="false">K4686*'Chart of Accounts'!$E$68</f>
        <v>9.9562</v>
      </c>
      <c r="O4686" s="42" t="n">
        <f aca="false">I4686+J4686+L4686</f>
        <v>83.6572</v>
      </c>
    </row>
    <row r="4687" customFormat="false" ht="15" hidden="false" customHeight="false" outlineLevel="0" collapsed="false">
      <c r="B4687" s="7" t="s">
        <v>13320</v>
      </c>
      <c r="C4687" s="39" t="n">
        <v>45950</v>
      </c>
      <c r="D4687" s="7" t="s">
        <v>214</v>
      </c>
      <c r="E4687" s="7" t="s">
        <v>180</v>
      </c>
      <c r="F4687" s="6" t="n">
        <v>15.98</v>
      </c>
      <c r="G4687" s="6" t="n">
        <v>0</v>
      </c>
      <c r="H4687" s="41" t="n">
        <v>15.67</v>
      </c>
      <c r="I4687" s="43" t="n">
        <f aca="false">F4687*H4687</f>
        <v>250.4066</v>
      </c>
      <c r="J4687" s="43" t="n">
        <f aca="false">G4687*H4687*1.5</f>
        <v>0</v>
      </c>
      <c r="K4687" s="6" t="n">
        <v>51.07</v>
      </c>
      <c r="L4687" s="43" t="n">
        <f aca="false">K4687*'Chart of Accounts'!$E$68</f>
        <v>34.2169</v>
      </c>
      <c r="O4687" s="42" t="n">
        <f aca="false">I4687+J4687+L4687</f>
        <v>284.6235</v>
      </c>
    </row>
    <row r="4688" customFormat="false" ht="15" hidden="false" customHeight="false" outlineLevel="0" collapsed="false">
      <c r="B4688" s="7" t="s">
        <v>13321</v>
      </c>
      <c r="C4688" s="39" t="n">
        <v>45950</v>
      </c>
      <c r="D4688" s="7" t="s">
        <v>194</v>
      </c>
      <c r="E4688" s="7" t="s">
        <v>180</v>
      </c>
      <c r="F4688" s="6" t="n">
        <v>11.48</v>
      </c>
      <c r="G4688" s="6" t="n">
        <v>0</v>
      </c>
      <c r="H4688" s="41" t="n">
        <v>16</v>
      </c>
      <c r="I4688" s="43" t="n">
        <f aca="false">F4688*H4688</f>
        <v>183.68</v>
      </c>
      <c r="J4688" s="43" t="n">
        <f aca="false">G4688*H4688*1.5</f>
        <v>0</v>
      </c>
      <c r="K4688" s="6" t="n">
        <v>27.36</v>
      </c>
      <c r="L4688" s="43" t="n">
        <f aca="false">K4688*'Chart of Accounts'!$E$68</f>
        <v>18.3312</v>
      </c>
      <c r="O4688" s="42" t="n">
        <f aca="false">I4688+J4688+L4688</f>
        <v>202.0112</v>
      </c>
    </row>
    <row r="4689" customFormat="false" ht="15" hidden="false" customHeight="false" outlineLevel="0" collapsed="false">
      <c r="B4689" s="7" t="s">
        <v>13322</v>
      </c>
      <c r="C4689" s="39" t="n">
        <v>45950</v>
      </c>
      <c r="D4689" s="7" t="s">
        <v>201</v>
      </c>
      <c r="E4689" s="7" t="s">
        <v>180</v>
      </c>
      <c r="F4689" s="6" t="n">
        <v>13.88</v>
      </c>
      <c r="G4689" s="6" t="n">
        <v>0</v>
      </c>
      <c r="H4689" s="41" t="n">
        <v>15.19</v>
      </c>
      <c r="I4689" s="43" t="n">
        <f aca="false">F4689*H4689</f>
        <v>210.8372</v>
      </c>
      <c r="J4689" s="43" t="n">
        <f aca="false">G4689*H4689*1.5</f>
        <v>0</v>
      </c>
      <c r="K4689" s="6" t="n">
        <v>48.87</v>
      </c>
      <c r="L4689" s="43" t="n">
        <f aca="false">K4689*'Chart of Accounts'!$E$68</f>
        <v>32.7429</v>
      </c>
      <c r="O4689" s="42" t="n">
        <f aca="false">I4689+J4689+L4689</f>
        <v>243.5801</v>
      </c>
    </row>
    <row r="4690" customFormat="false" ht="15" hidden="false" customHeight="false" outlineLevel="0" collapsed="false">
      <c r="B4690" s="7" t="s">
        <v>13323</v>
      </c>
      <c r="C4690" s="39" t="n">
        <v>45950</v>
      </c>
      <c r="D4690" s="7" t="s">
        <v>240</v>
      </c>
      <c r="E4690" s="7" t="s">
        <v>180</v>
      </c>
      <c r="F4690" s="6" t="n">
        <v>4</v>
      </c>
      <c r="G4690" s="6" t="n">
        <v>0</v>
      </c>
      <c r="H4690" s="41" t="n">
        <v>16.96</v>
      </c>
      <c r="I4690" s="43" t="n">
        <f aca="false">F4690*H4690</f>
        <v>67.84</v>
      </c>
      <c r="J4690" s="43" t="n">
        <f aca="false">G4690*H4690*1.5</f>
        <v>0</v>
      </c>
      <c r="K4690" s="6" t="n">
        <v>8.97</v>
      </c>
      <c r="L4690" s="43" t="n">
        <f aca="false">K4690*'Chart of Accounts'!$E$68</f>
        <v>6.0099</v>
      </c>
      <c r="O4690" s="42" t="n">
        <f aca="false">I4690+J4690+L4690</f>
        <v>73.8499</v>
      </c>
    </row>
    <row r="4691" customFormat="false" ht="15" hidden="false" customHeight="false" outlineLevel="0" collapsed="false">
      <c r="B4691" s="7" t="s">
        <v>13324</v>
      </c>
      <c r="C4691" s="39" t="n">
        <v>45950</v>
      </c>
      <c r="D4691" s="7" t="s">
        <v>205</v>
      </c>
      <c r="E4691" s="7" t="s">
        <v>180</v>
      </c>
      <c r="F4691" s="6" t="n">
        <v>4.32</v>
      </c>
      <c r="G4691" s="6" t="n">
        <v>0</v>
      </c>
      <c r="H4691" s="41" t="n">
        <v>16.36</v>
      </c>
      <c r="I4691" s="43" t="n">
        <f aca="false">F4691*H4691</f>
        <v>70.6752</v>
      </c>
      <c r="J4691" s="43" t="n">
        <f aca="false">G4691*H4691*1.5</f>
        <v>0</v>
      </c>
      <c r="K4691" s="6" t="n">
        <v>11.51</v>
      </c>
      <c r="L4691" s="43" t="n">
        <f aca="false">K4691*'Chart of Accounts'!$E$68</f>
        <v>7.7117</v>
      </c>
      <c r="O4691" s="42" t="n">
        <f aca="false">I4691+J4691+L4691</f>
        <v>78.3869</v>
      </c>
    </row>
    <row r="4692" customFormat="false" ht="15" hidden="false" customHeight="false" outlineLevel="0" collapsed="false">
      <c r="B4692" s="7" t="s">
        <v>13325</v>
      </c>
      <c r="C4692" s="39" t="n">
        <v>45950</v>
      </c>
      <c r="D4692" s="7" t="s">
        <v>264</v>
      </c>
      <c r="E4692" s="7" t="s">
        <v>158</v>
      </c>
      <c r="H4692" s="41" t="n">
        <v>55.55</v>
      </c>
      <c r="M4692" s="6" t="n">
        <v>1</v>
      </c>
      <c r="N4692" s="43" t="n">
        <f aca="false">M4692*H4692</f>
        <v>55.55</v>
      </c>
      <c r="O4692" s="42" t="n">
        <f aca="false">N4692</f>
        <v>55.55</v>
      </c>
    </row>
    <row r="4693" customFormat="false" ht="15" hidden="false" customHeight="false" outlineLevel="0" collapsed="false">
      <c r="B4693" s="7" t="s">
        <v>13326</v>
      </c>
      <c r="C4693" s="39" t="n">
        <v>45950</v>
      </c>
      <c r="D4693" s="7" t="s">
        <v>252</v>
      </c>
      <c r="E4693" s="7" t="s">
        <v>158</v>
      </c>
      <c r="H4693" s="41" t="n">
        <v>57.54</v>
      </c>
      <c r="M4693" s="6" t="n">
        <v>1</v>
      </c>
      <c r="N4693" s="43" t="n">
        <f aca="false">M4693*H4693</f>
        <v>57.54</v>
      </c>
      <c r="O4693" s="42" t="n">
        <f aca="false">N4693</f>
        <v>57.54</v>
      </c>
    </row>
    <row r="4694" customFormat="false" ht="15" hidden="false" customHeight="false" outlineLevel="0" collapsed="false">
      <c r="B4694" s="7" t="s">
        <v>13327</v>
      </c>
      <c r="C4694" s="39" t="n">
        <v>45950</v>
      </c>
      <c r="D4694" s="7" t="s">
        <v>196</v>
      </c>
      <c r="E4694" s="7" t="s">
        <v>180</v>
      </c>
      <c r="F4694" s="6" t="n">
        <v>9.122</v>
      </c>
      <c r="G4694" s="6" t="n">
        <v>0.958</v>
      </c>
      <c r="H4694" s="41" t="n">
        <v>15.05</v>
      </c>
      <c r="I4694" s="43" t="n">
        <f aca="false">F4694*H4694</f>
        <v>137.2861</v>
      </c>
      <c r="J4694" s="43" t="n">
        <f aca="false">G4694*H4694*1.5</f>
        <v>21.62685</v>
      </c>
      <c r="K4694" s="6" t="n">
        <v>28.34</v>
      </c>
      <c r="L4694" s="43" t="n">
        <f aca="false">K4694*'Chart of Accounts'!$E$68</f>
        <v>18.9878</v>
      </c>
      <c r="O4694" s="42" t="n">
        <f aca="false">I4694+J4694+L4694</f>
        <v>177.90075</v>
      </c>
    </row>
    <row r="4695" customFormat="false" ht="15" hidden="false" customHeight="false" outlineLevel="0" collapsed="false">
      <c r="B4695" s="7" t="s">
        <v>13328</v>
      </c>
      <c r="C4695" s="39" t="n">
        <v>45950</v>
      </c>
      <c r="D4695" s="7" t="s">
        <v>184</v>
      </c>
      <c r="E4695" s="7" t="s">
        <v>180</v>
      </c>
      <c r="F4695" s="6" t="n">
        <v>7.87</v>
      </c>
      <c r="G4695" s="6" t="n">
        <v>0</v>
      </c>
      <c r="H4695" s="41" t="n">
        <v>17.34</v>
      </c>
      <c r="I4695" s="43" t="n">
        <f aca="false">F4695*H4695</f>
        <v>136.4658</v>
      </c>
      <c r="J4695" s="43" t="n">
        <f aca="false">G4695*H4695*1.5</f>
        <v>0</v>
      </c>
      <c r="K4695" s="6" t="n">
        <v>27.43</v>
      </c>
      <c r="L4695" s="43" t="n">
        <f aca="false">K4695*'Chart of Accounts'!$E$68</f>
        <v>18.3781</v>
      </c>
      <c r="O4695" s="42" t="n">
        <f aca="false">I4695+J4695+L4695</f>
        <v>154.8439</v>
      </c>
    </row>
    <row r="4696" customFormat="false" ht="15" hidden="false" customHeight="false" outlineLevel="0" collapsed="false">
      <c r="B4696" s="7" t="s">
        <v>13329</v>
      </c>
      <c r="C4696" s="39" t="n">
        <v>45950</v>
      </c>
      <c r="D4696" s="7" t="s">
        <v>216</v>
      </c>
      <c r="E4696" s="7" t="s">
        <v>158</v>
      </c>
      <c r="H4696" s="41" t="n">
        <v>61.79</v>
      </c>
      <c r="M4696" s="6" t="n">
        <v>1</v>
      </c>
      <c r="N4696" s="43" t="n">
        <f aca="false">M4696*H4696</f>
        <v>61.79</v>
      </c>
      <c r="O4696" s="42" t="n">
        <f aca="false">N4696</f>
        <v>61.79</v>
      </c>
    </row>
    <row r="4697" customFormat="false" ht="15" hidden="false" customHeight="false" outlineLevel="0" collapsed="false">
      <c r="B4697" s="7" t="s">
        <v>13330</v>
      </c>
      <c r="C4697" s="39" t="n">
        <v>45950</v>
      </c>
      <c r="D4697" s="7" t="s">
        <v>218</v>
      </c>
      <c r="E4697" s="7" t="s">
        <v>180</v>
      </c>
      <c r="F4697" s="6" t="n">
        <v>3.86</v>
      </c>
      <c r="G4697" s="6" t="n">
        <v>0</v>
      </c>
      <c r="H4697" s="41" t="n">
        <v>16.19</v>
      </c>
      <c r="I4697" s="43" t="n">
        <f aca="false">F4697*H4697</f>
        <v>62.4934</v>
      </c>
      <c r="J4697" s="43" t="n">
        <f aca="false">G4697*H4697*1.5</f>
        <v>0</v>
      </c>
      <c r="K4697" s="6" t="n">
        <v>8.97</v>
      </c>
      <c r="L4697" s="43" t="n">
        <f aca="false">K4697*'Chart of Accounts'!$E$68</f>
        <v>6.0099</v>
      </c>
      <c r="O4697" s="42" t="n">
        <f aca="false">I4697+J4697+L4697</f>
        <v>68.5033</v>
      </c>
    </row>
    <row r="4698" customFormat="false" ht="15" hidden="false" customHeight="false" outlineLevel="0" collapsed="false">
      <c r="B4698" s="7" t="s">
        <v>13331</v>
      </c>
      <c r="C4698" s="39" t="n">
        <v>45950</v>
      </c>
      <c r="D4698" s="7" t="s">
        <v>220</v>
      </c>
      <c r="E4698" s="7" t="s">
        <v>180</v>
      </c>
      <c r="F4698" s="6" t="n">
        <v>4.15</v>
      </c>
      <c r="G4698" s="6" t="n">
        <v>0</v>
      </c>
      <c r="H4698" s="41" t="n">
        <v>16.43</v>
      </c>
      <c r="I4698" s="43" t="n">
        <f aca="false">F4698*H4698</f>
        <v>68.1845</v>
      </c>
      <c r="J4698" s="43" t="n">
        <f aca="false">G4698*H4698*1.5</f>
        <v>0</v>
      </c>
      <c r="K4698" s="6" t="n">
        <v>10.24</v>
      </c>
      <c r="L4698" s="43" t="n">
        <f aca="false">K4698*'Chart of Accounts'!$E$68</f>
        <v>6.8608</v>
      </c>
      <c r="O4698" s="42" t="n">
        <f aca="false">I4698+J4698+L4698</f>
        <v>75.0453</v>
      </c>
    </row>
    <row r="4699" customFormat="false" ht="15" hidden="false" customHeight="false" outlineLevel="0" collapsed="false">
      <c r="B4699" s="7" t="s">
        <v>13332</v>
      </c>
      <c r="C4699" s="39" t="n">
        <v>45950</v>
      </c>
      <c r="D4699" s="7" t="s">
        <v>224</v>
      </c>
      <c r="E4699" s="7" t="s">
        <v>180</v>
      </c>
      <c r="F4699" s="6" t="n">
        <v>8.78</v>
      </c>
      <c r="G4699" s="6" t="n">
        <v>0</v>
      </c>
      <c r="H4699" s="41" t="n">
        <v>14.93</v>
      </c>
      <c r="I4699" s="43" t="n">
        <f aca="false">F4699*H4699</f>
        <v>131.0854</v>
      </c>
      <c r="J4699" s="43" t="n">
        <f aca="false">G4699*H4699*1.5</f>
        <v>0</v>
      </c>
      <c r="K4699" s="6" t="n">
        <v>25.98</v>
      </c>
      <c r="L4699" s="43" t="n">
        <f aca="false">K4699*'Chart of Accounts'!$E$68</f>
        <v>17.4066</v>
      </c>
      <c r="O4699" s="42" t="n">
        <f aca="false">I4699+J4699+L4699</f>
        <v>148.492</v>
      </c>
    </row>
    <row r="4700" customFormat="false" ht="15" hidden="false" customHeight="false" outlineLevel="0" collapsed="false">
      <c r="B4700" s="7" t="s">
        <v>13333</v>
      </c>
      <c r="C4700" s="39" t="n">
        <v>45950</v>
      </c>
      <c r="D4700" s="7" t="s">
        <v>236</v>
      </c>
      <c r="E4700" s="7" t="s">
        <v>180</v>
      </c>
      <c r="F4700" s="6" t="n">
        <v>7.14</v>
      </c>
      <c r="G4700" s="6" t="n">
        <v>0</v>
      </c>
      <c r="H4700" s="41" t="n">
        <v>15.49</v>
      </c>
      <c r="I4700" s="43" t="n">
        <f aca="false">F4700*H4700</f>
        <v>110.5986</v>
      </c>
      <c r="J4700" s="43" t="n">
        <f aca="false">G4700*H4700*1.5</f>
        <v>0</v>
      </c>
      <c r="K4700" s="6" t="n">
        <v>24.64</v>
      </c>
      <c r="L4700" s="43" t="n">
        <f aca="false">K4700*'Chart of Accounts'!$E$68</f>
        <v>16.5088</v>
      </c>
      <c r="O4700" s="42" t="n">
        <f aca="false">I4700+J4700+L4700</f>
        <v>127.1074</v>
      </c>
    </row>
    <row r="4701" customFormat="false" ht="15" hidden="false" customHeight="false" outlineLevel="0" collapsed="false">
      <c r="B4701" s="7" t="s">
        <v>13334</v>
      </c>
      <c r="C4701" s="39" t="n">
        <v>45950</v>
      </c>
      <c r="D4701" s="7" t="s">
        <v>177</v>
      </c>
      <c r="E4701" s="7" t="s">
        <v>180</v>
      </c>
      <c r="F4701" s="6" t="n">
        <v>8.68</v>
      </c>
      <c r="G4701" s="6" t="n">
        <v>0</v>
      </c>
      <c r="H4701" s="41" t="n">
        <v>14.56</v>
      </c>
      <c r="I4701" s="43" t="n">
        <f aca="false">F4701*H4701</f>
        <v>126.3808</v>
      </c>
      <c r="J4701" s="43" t="n">
        <f aca="false">G4701*H4701*1.5</f>
        <v>0</v>
      </c>
      <c r="K4701" s="6" t="n">
        <v>28.09</v>
      </c>
      <c r="L4701" s="43" t="n">
        <f aca="false">K4701*'Chart of Accounts'!$E$68</f>
        <v>18.8203</v>
      </c>
      <c r="O4701" s="42" t="n">
        <f aca="false">I4701+J4701+L4701</f>
        <v>145.2011</v>
      </c>
    </row>
    <row r="4702" customFormat="false" ht="15" hidden="false" customHeight="false" outlineLevel="0" collapsed="false">
      <c r="B4702" s="7" t="s">
        <v>13335</v>
      </c>
      <c r="C4702" s="39" t="n">
        <v>45950</v>
      </c>
      <c r="D4702" s="7" t="s">
        <v>242</v>
      </c>
      <c r="E4702" s="7" t="s">
        <v>180</v>
      </c>
      <c r="F4702" s="6" t="n">
        <v>7.34</v>
      </c>
      <c r="G4702" s="6" t="n">
        <v>0</v>
      </c>
      <c r="H4702" s="41" t="n">
        <v>17.99</v>
      </c>
      <c r="I4702" s="43" t="n">
        <f aca="false">F4702*H4702</f>
        <v>132.0466</v>
      </c>
      <c r="J4702" s="43" t="n">
        <f aca="false">G4702*H4702*1.5</f>
        <v>0</v>
      </c>
      <c r="K4702" s="6" t="n">
        <v>20.7</v>
      </c>
      <c r="L4702" s="43" t="n">
        <f aca="false">K4702*'Chart of Accounts'!$E$68</f>
        <v>13.869</v>
      </c>
      <c r="O4702" s="42" t="n">
        <f aca="false">I4702+J4702+L4702</f>
        <v>145.9156</v>
      </c>
    </row>
    <row r="4703" customFormat="false" ht="15" hidden="false" customHeight="false" outlineLevel="0" collapsed="false">
      <c r="B4703" s="7" t="s">
        <v>13336</v>
      </c>
      <c r="C4703" s="39" t="n">
        <v>45950</v>
      </c>
      <c r="D4703" s="7" t="s">
        <v>222</v>
      </c>
      <c r="E4703" s="7" t="s">
        <v>180</v>
      </c>
      <c r="F4703" s="6" t="n">
        <v>6.63</v>
      </c>
      <c r="G4703" s="6" t="n">
        <v>0</v>
      </c>
      <c r="H4703" s="41" t="n">
        <v>17.84</v>
      </c>
      <c r="I4703" s="43" t="n">
        <f aca="false">F4703*H4703</f>
        <v>118.2792</v>
      </c>
      <c r="J4703" s="43" t="n">
        <f aca="false">G4703*H4703*1.5</f>
        <v>0</v>
      </c>
      <c r="K4703" s="6" t="n">
        <v>20.09</v>
      </c>
      <c r="L4703" s="43" t="n">
        <f aca="false">K4703*'Chart of Accounts'!$E$68</f>
        <v>13.4603</v>
      </c>
      <c r="O4703" s="42" t="n">
        <f aca="false">I4703+J4703+L4703</f>
        <v>131.7395</v>
      </c>
    </row>
    <row r="4704" customFormat="false" ht="15" hidden="false" customHeight="false" outlineLevel="0" collapsed="false">
      <c r="B4704" s="7" t="s">
        <v>13337</v>
      </c>
      <c r="C4704" s="39" t="n">
        <v>45950</v>
      </c>
      <c r="D4704" s="7" t="s">
        <v>238</v>
      </c>
      <c r="E4704" s="7" t="s">
        <v>180</v>
      </c>
      <c r="F4704" s="6" t="n">
        <v>8.31</v>
      </c>
      <c r="G4704" s="6" t="n">
        <v>0</v>
      </c>
      <c r="H4704" s="41" t="n">
        <v>15.85</v>
      </c>
      <c r="I4704" s="43" t="n">
        <f aca="false">F4704*H4704</f>
        <v>131.7135</v>
      </c>
      <c r="J4704" s="43" t="n">
        <f aca="false">G4704*H4704*1.5</f>
        <v>0</v>
      </c>
      <c r="K4704" s="6" t="n">
        <v>29.01</v>
      </c>
      <c r="L4704" s="43" t="n">
        <f aca="false">K4704*'Chart of Accounts'!$E$68</f>
        <v>19.4367</v>
      </c>
      <c r="O4704" s="42" t="n">
        <f aca="false">I4704+J4704+L4704</f>
        <v>151.1502</v>
      </c>
    </row>
    <row r="4705" customFormat="false" ht="15" hidden="false" customHeight="false" outlineLevel="0" collapsed="false">
      <c r="B4705" s="7" t="s">
        <v>13338</v>
      </c>
      <c r="C4705" s="39" t="n">
        <v>45950</v>
      </c>
      <c r="D4705" s="7" t="s">
        <v>244</v>
      </c>
      <c r="E4705" s="7" t="s">
        <v>180</v>
      </c>
      <c r="F4705" s="6" t="n">
        <v>4.35</v>
      </c>
      <c r="G4705" s="6" t="n">
        <v>0</v>
      </c>
      <c r="H4705" s="41" t="n">
        <v>16.39</v>
      </c>
      <c r="I4705" s="43" t="n">
        <f aca="false">F4705*H4705</f>
        <v>71.2965</v>
      </c>
      <c r="J4705" s="43" t="n">
        <f aca="false">G4705*H4705*1.5</f>
        <v>0</v>
      </c>
      <c r="K4705" s="6" t="n">
        <v>12.86</v>
      </c>
      <c r="L4705" s="43" t="n">
        <f aca="false">K4705*'Chart of Accounts'!$E$68</f>
        <v>8.6162</v>
      </c>
      <c r="O4705" s="42" t="n">
        <f aca="false">I4705+J4705+L4705</f>
        <v>79.9127</v>
      </c>
    </row>
    <row r="4706" customFormat="false" ht="15" hidden="false" customHeight="false" outlineLevel="0" collapsed="false">
      <c r="B4706" s="7" t="s">
        <v>13339</v>
      </c>
      <c r="C4706" s="39" t="n">
        <v>45950</v>
      </c>
      <c r="D4706" s="7" t="s">
        <v>254</v>
      </c>
      <c r="E4706" s="7" t="s">
        <v>180</v>
      </c>
      <c r="F4706" s="6" t="n">
        <v>6.566</v>
      </c>
      <c r="G4706" s="6" t="n">
        <v>0.694</v>
      </c>
      <c r="H4706" s="41" t="n">
        <v>17.1</v>
      </c>
      <c r="I4706" s="43" t="n">
        <f aca="false">F4706*H4706</f>
        <v>112.2786</v>
      </c>
      <c r="J4706" s="43" t="n">
        <f aca="false">G4706*H4706*1.5</f>
        <v>17.8011</v>
      </c>
      <c r="K4706" s="6" t="n">
        <v>18.37</v>
      </c>
      <c r="L4706" s="43" t="n">
        <f aca="false">K4706*'Chart of Accounts'!$E$68</f>
        <v>12.3079</v>
      </c>
      <c r="O4706" s="42" t="n">
        <f aca="false">I4706+J4706+L4706</f>
        <v>142.3876</v>
      </c>
    </row>
    <row r="4707" customFormat="false" ht="15" hidden="false" customHeight="false" outlineLevel="0" collapsed="false">
      <c r="B4707" s="7" t="s">
        <v>13340</v>
      </c>
      <c r="C4707" s="39" t="n">
        <v>45950</v>
      </c>
      <c r="D4707" s="7" t="s">
        <v>246</v>
      </c>
      <c r="E4707" s="7" t="s">
        <v>180</v>
      </c>
      <c r="F4707" s="6" t="n">
        <v>9.691</v>
      </c>
      <c r="G4707" s="6" t="n">
        <v>1.589</v>
      </c>
      <c r="H4707" s="41" t="n">
        <v>16.48</v>
      </c>
      <c r="I4707" s="43" t="n">
        <f aca="false">F4707*H4707</f>
        <v>159.70768</v>
      </c>
      <c r="J4707" s="43" t="n">
        <f aca="false">G4707*H4707*1.5</f>
        <v>39.28008</v>
      </c>
      <c r="K4707" s="6" t="n">
        <v>31.84</v>
      </c>
      <c r="L4707" s="43" t="n">
        <f aca="false">K4707*'Chart of Accounts'!$E$68</f>
        <v>21.3328</v>
      </c>
      <c r="O4707" s="42" t="n">
        <f aca="false">I4707+J4707+L4707</f>
        <v>220.32056</v>
      </c>
    </row>
    <row r="4708" customFormat="false" ht="15" hidden="false" customHeight="false" outlineLevel="0" collapsed="false">
      <c r="B4708" s="7" t="s">
        <v>13341</v>
      </c>
      <c r="C4708" s="39" t="n">
        <v>45950</v>
      </c>
      <c r="D4708" s="7" t="s">
        <v>232</v>
      </c>
      <c r="E4708" s="7" t="s">
        <v>180</v>
      </c>
      <c r="F4708" s="6" t="n">
        <v>4.75</v>
      </c>
      <c r="G4708" s="6" t="n">
        <v>0</v>
      </c>
      <c r="H4708" s="41" t="n">
        <v>16.17</v>
      </c>
      <c r="I4708" s="43" t="n">
        <f aca="false">F4708*H4708</f>
        <v>76.8075</v>
      </c>
      <c r="J4708" s="43" t="n">
        <f aca="false">G4708*H4708*1.5</f>
        <v>0</v>
      </c>
      <c r="K4708" s="6" t="n">
        <v>12.08</v>
      </c>
      <c r="L4708" s="43" t="n">
        <f aca="false">K4708*'Chart of Accounts'!$E$68</f>
        <v>8.0936</v>
      </c>
      <c r="O4708" s="42" t="n">
        <f aca="false">I4708+J4708+L4708</f>
        <v>84.9011</v>
      </c>
    </row>
    <row r="4709" customFormat="false" ht="15" hidden="false" customHeight="false" outlineLevel="0" collapsed="false">
      <c r="B4709" s="7" t="s">
        <v>13342</v>
      </c>
      <c r="C4709" s="39" t="n">
        <v>45951</v>
      </c>
      <c r="D4709" s="7" t="s">
        <v>246</v>
      </c>
      <c r="E4709" s="7" t="s">
        <v>180</v>
      </c>
      <c r="F4709" s="6" t="n">
        <v>6.735</v>
      </c>
      <c r="G4709" s="6" t="n">
        <v>1.105</v>
      </c>
      <c r="H4709" s="41" t="n">
        <v>16.48</v>
      </c>
      <c r="I4709" s="43" t="n">
        <f aca="false">F4709*H4709</f>
        <v>110.9928</v>
      </c>
      <c r="J4709" s="43" t="n">
        <f aca="false">G4709*H4709*1.5</f>
        <v>27.3156</v>
      </c>
      <c r="K4709" s="6" t="n">
        <v>20.15</v>
      </c>
      <c r="L4709" s="43" t="n">
        <f aca="false">K4709*'Chart of Accounts'!$E$68</f>
        <v>13.5005</v>
      </c>
      <c r="O4709" s="42" t="n">
        <f aca="false">I4709+J4709+L4709</f>
        <v>151.8089</v>
      </c>
    </row>
    <row r="4710" customFormat="false" ht="15" hidden="false" customHeight="false" outlineLevel="0" collapsed="false">
      <c r="B4710" s="7" t="s">
        <v>13343</v>
      </c>
      <c r="C4710" s="39" t="n">
        <v>45951</v>
      </c>
      <c r="D4710" s="7" t="s">
        <v>198</v>
      </c>
      <c r="E4710" s="7" t="s">
        <v>158</v>
      </c>
      <c r="H4710" s="41" t="n">
        <v>48.09</v>
      </c>
      <c r="M4710" s="6" t="n">
        <v>1</v>
      </c>
      <c r="N4710" s="43" t="n">
        <f aca="false">M4710*H4710</f>
        <v>48.09</v>
      </c>
      <c r="O4710" s="42" t="n">
        <f aca="false">N4710</f>
        <v>48.09</v>
      </c>
    </row>
    <row r="4711" customFormat="false" ht="15" hidden="false" customHeight="false" outlineLevel="0" collapsed="false">
      <c r="B4711" s="7" t="s">
        <v>13344</v>
      </c>
      <c r="C4711" s="39" t="n">
        <v>45951</v>
      </c>
      <c r="D4711" s="7" t="s">
        <v>209</v>
      </c>
      <c r="E4711" s="7" t="s">
        <v>158</v>
      </c>
      <c r="H4711" s="41" t="n">
        <v>73.58</v>
      </c>
      <c r="M4711" s="6" t="n">
        <v>2</v>
      </c>
      <c r="N4711" s="43" t="n">
        <f aca="false">M4711*H4711</f>
        <v>147.16</v>
      </c>
      <c r="O4711" s="42" t="n">
        <f aca="false">N4711</f>
        <v>147.16</v>
      </c>
    </row>
    <row r="4712" customFormat="false" ht="15" hidden="false" customHeight="false" outlineLevel="0" collapsed="false">
      <c r="B4712" s="7" t="s">
        <v>13345</v>
      </c>
      <c r="C4712" s="39" t="n">
        <v>45951</v>
      </c>
      <c r="D4712" s="7" t="s">
        <v>184</v>
      </c>
      <c r="E4712" s="7" t="s">
        <v>180</v>
      </c>
      <c r="F4712" s="6" t="n">
        <v>4.3</v>
      </c>
      <c r="G4712" s="6" t="n">
        <v>0</v>
      </c>
      <c r="H4712" s="41" t="n">
        <v>17.34</v>
      </c>
      <c r="I4712" s="43" t="n">
        <f aca="false">F4712*H4712</f>
        <v>74.562</v>
      </c>
      <c r="J4712" s="43" t="n">
        <f aca="false">G4712*H4712*1.5</f>
        <v>0</v>
      </c>
      <c r="K4712" s="6" t="n">
        <v>9.72</v>
      </c>
      <c r="L4712" s="43" t="n">
        <f aca="false">K4712*'Chart of Accounts'!$E$68</f>
        <v>6.5124</v>
      </c>
      <c r="O4712" s="42" t="n">
        <f aca="false">I4712+J4712+L4712</f>
        <v>81.0744</v>
      </c>
    </row>
    <row r="4713" customFormat="false" ht="15" hidden="false" customHeight="false" outlineLevel="0" collapsed="false">
      <c r="B4713" s="7" t="s">
        <v>13346</v>
      </c>
      <c r="C4713" s="39" t="n">
        <v>45951</v>
      </c>
      <c r="D4713" s="7" t="s">
        <v>234</v>
      </c>
      <c r="E4713" s="7" t="s">
        <v>158</v>
      </c>
      <c r="H4713" s="41" t="n">
        <v>89.53</v>
      </c>
      <c r="M4713" s="6" t="n">
        <v>3</v>
      </c>
      <c r="N4713" s="43" t="n">
        <f aca="false">M4713*H4713</f>
        <v>268.59</v>
      </c>
      <c r="O4713" s="42" t="n">
        <f aca="false">N4713</f>
        <v>268.59</v>
      </c>
    </row>
    <row r="4714" customFormat="false" ht="15" hidden="false" customHeight="false" outlineLevel="0" collapsed="false">
      <c r="B4714" s="7" t="s">
        <v>13347</v>
      </c>
      <c r="C4714" s="39" t="n">
        <v>45951</v>
      </c>
      <c r="D4714" s="7" t="s">
        <v>218</v>
      </c>
      <c r="E4714" s="7" t="s">
        <v>180</v>
      </c>
      <c r="F4714" s="6" t="n">
        <v>3.78</v>
      </c>
      <c r="G4714" s="6" t="n">
        <v>0</v>
      </c>
      <c r="H4714" s="41" t="n">
        <v>16.19</v>
      </c>
      <c r="I4714" s="43" t="n">
        <f aca="false">F4714*H4714</f>
        <v>61.1982</v>
      </c>
      <c r="J4714" s="43" t="n">
        <f aca="false">G4714*H4714*1.5</f>
        <v>0</v>
      </c>
      <c r="K4714" s="6" t="n">
        <v>12.65</v>
      </c>
      <c r="L4714" s="43" t="n">
        <f aca="false">K4714*'Chart of Accounts'!$E$68</f>
        <v>8.4755</v>
      </c>
      <c r="O4714" s="42" t="n">
        <f aca="false">I4714+J4714+L4714</f>
        <v>69.6737</v>
      </c>
    </row>
    <row r="4715" customFormat="false" ht="15" hidden="false" customHeight="false" outlineLevel="0" collapsed="false">
      <c r="B4715" s="7" t="s">
        <v>13348</v>
      </c>
      <c r="C4715" s="39" t="n">
        <v>45951</v>
      </c>
      <c r="D4715" s="7" t="s">
        <v>228</v>
      </c>
      <c r="E4715" s="7" t="s">
        <v>158</v>
      </c>
      <c r="H4715" s="41" t="n">
        <v>51.07</v>
      </c>
      <c r="M4715" s="6" t="n">
        <v>1</v>
      </c>
      <c r="N4715" s="43" t="n">
        <f aca="false">M4715*H4715</f>
        <v>51.07</v>
      </c>
      <c r="O4715" s="42" t="n">
        <f aca="false">N4715</f>
        <v>51.07</v>
      </c>
    </row>
    <row r="4716" customFormat="false" ht="15" hidden="false" customHeight="false" outlineLevel="0" collapsed="false">
      <c r="B4716" s="7" t="s">
        <v>13349</v>
      </c>
      <c r="C4716" s="39" t="n">
        <v>45951</v>
      </c>
      <c r="D4716" s="7" t="s">
        <v>220</v>
      </c>
      <c r="E4716" s="7" t="s">
        <v>180</v>
      </c>
      <c r="F4716" s="6" t="n">
        <v>4.26</v>
      </c>
      <c r="G4716" s="6" t="n">
        <v>0</v>
      </c>
      <c r="H4716" s="41" t="n">
        <v>16.43</v>
      </c>
      <c r="I4716" s="43" t="n">
        <f aca="false">F4716*H4716</f>
        <v>69.9918</v>
      </c>
      <c r="J4716" s="43" t="n">
        <f aca="false">G4716*H4716*1.5</f>
        <v>0</v>
      </c>
      <c r="K4716" s="6" t="n">
        <v>12.4</v>
      </c>
      <c r="L4716" s="43" t="n">
        <f aca="false">K4716*'Chart of Accounts'!$E$68</f>
        <v>8.308</v>
      </c>
      <c r="O4716" s="42" t="n">
        <f aca="false">I4716+J4716+L4716</f>
        <v>78.2998</v>
      </c>
    </row>
    <row r="4717" customFormat="false" ht="15" hidden="false" customHeight="false" outlineLevel="0" collapsed="false">
      <c r="B4717" s="7" t="s">
        <v>13350</v>
      </c>
      <c r="C4717" s="39" t="n">
        <v>45951</v>
      </c>
      <c r="D4717" s="7" t="s">
        <v>244</v>
      </c>
      <c r="E4717" s="7" t="s">
        <v>180</v>
      </c>
      <c r="F4717" s="6" t="n">
        <v>3.84</v>
      </c>
      <c r="G4717" s="6" t="n">
        <v>0</v>
      </c>
      <c r="H4717" s="41" t="n">
        <v>16.39</v>
      </c>
      <c r="I4717" s="43" t="n">
        <f aca="false">F4717*H4717</f>
        <v>62.9376</v>
      </c>
      <c r="J4717" s="43" t="n">
        <f aca="false">G4717*H4717*1.5</f>
        <v>0</v>
      </c>
      <c r="K4717" s="6" t="n">
        <v>11.78</v>
      </c>
      <c r="L4717" s="43" t="n">
        <f aca="false">K4717*'Chart of Accounts'!$E$68</f>
        <v>7.8926</v>
      </c>
      <c r="O4717" s="42" t="n">
        <f aca="false">I4717+J4717+L4717</f>
        <v>70.8302</v>
      </c>
    </row>
    <row r="4718" customFormat="false" ht="15" hidden="false" customHeight="false" outlineLevel="0" collapsed="false">
      <c r="B4718" s="7" t="s">
        <v>13351</v>
      </c>
      <c r="C4718" s="39" t="n">
        <v>45951</v>
      </c>
      <c r="D4718" s="7" t="s">
        <v>238</v>
      </c>
      <c r="E4718" s="7" t="s">
        <v>180</v>
      </c>
      <c r="F4718" s="6" t="n">
        <v>3.65</v>
      </c>
      <c r="G4718" s="6" t="n">
        <v>0</v>
      </c>
      <c r="H4718" s="41" t="n">
        <v>15.85</v>
      </c>
      <c r="I4718" s="43" t="n">
        <f aca="false">F4718*H4718</f>
        <v>57.8525</v>
      </c>
      <c r="J4718" s="43" t="n">
        <f aca="false">G4718*H4718*1.5</f>
        <v>0</v>
      </c>
      <c r="K4718" s="6" t="n">
        <v>10.6</v>
      </c>
      <c r="L4718" s="43" t="n">
        <f aca="false">K4718*'Chart of Accounts'!$E$68</f>
        <v>7.102</v>
      </c>
      <c r="O4718" s="42" t="n">
        <f aca="false">I4718+J4718+L4718</f>
        <v>64.9545</v>
      </c>
    </row>
    <row r="4719" customFormat="false" ht="15" hidden="false" customHeight="false" outlineLevel="0" collapsed="false">
      <c r="B4719" s="7" t="s">
        <v>13352</v>
      </c>
      <c r="C4719" s="39" t="n">
        <v>45951</v>
      </c>
      <c r="D4719" s="7" t="s">
        <v>194</v>
      </c>
      <c r="E4719" s="7" t="s">
        <v>180</v>
      </c>
      <c r="F4719" s="6" t="n">
        <v>3.73</v>
      </c>
      <c r="G4719" s="6" t="n">
        <v>0</v>
      </c>
      <c r="H4719" s="41" t="n">
        <v>16</v>
      </c>
      <c r="I4719" s="43" t="n">
        <f aca="false">F4719*H4719</f>
        <v>59.68</v>
      </c>
      <c r="J4719" s="43" t="n">
        <f aca="false">G4719*H4719*1.5</f>
        <v>0</v>
      </c>
      <c r="K4719" s="6" t="n">
        <v>10.27</v>
      </c>
      <c r="L4719" s="43" t="n">
        <f aca="false">K4719*'Chart of Accounts'!$E$68</f>
        <v>6.8809</v>
      </c>
      <c r="O4719" s="42" t="n">
        <f aca="false">I4719+J4719+L4719</f>
        <v>66.5609</v>
      </c>
    </row>
    <row r="4720" customFormat="false" ht="15" hidden="false" customHeight="false" outlineLevel="0" collapsed="false">
      <c r="B4720" s="7" t="s">
        <v>13353</v>
      </c>
      <c r="C4720" s="39" t="n">
        <v>45951</v>
      </c>
      <c r="D4720" s="7" t="s">
        <v>258</v>
      </c>
      <c r="E4720" s="7" t="s">
        <v>158</v>
      </c>
      <c r="H4720" s="41" t="n">
        <v>61.61</v>
      </c>
      <c r="M4720" s="6" t="n">
        <v>1</v>
      </c>
      <c r="N4720" s="43" t="n">
        <f aca="false">M4720*H4720</f>
        <v>61.61</v>
      </c>
      <c r="O4720" s="42" t="n">
        <f aca="false">N4720</f>
        <v>61.61</v>
      </c>
    </row>
    <row r="4721" customFormat="false" ht="15" hidden="false" customHeight="false" outlineLevel="0" collapsed="false">
      <c r="B4721" s="7" t="s">
        <v>13354</v>
      </c>
      <c r="C4721" s="39" t="n">
        <v>45951</v>
      </c>
      <c r="D4721" s="7" t="s">
        <v>230</v>
      </c>
      <c r="E4721" s="7" t="s">
        <v>158</v>
      </c>
      <c r="H4721" s="41" t="n">
        <v>48.78</v>
      </c>
      <c r="M4721" s="6" t="n">
        <v>1</v>
      </c>
      <c r="N4721" s="43" t="n">
        <f aca="false">M4721*H4721</f>
        <v>48.78</v>
      </c>
      <c r="O4721" s="42" t="n">
        <f aca="false">N4721</f>
        <v>48.78</v>
      </c>
    </row>
    <row r="4722" customFormat="false" ht="15" hidden="false" customHeight="false" outlineLevel="0" collapsed="false">
      <c r="B4722" s="7" t="s">
        <v>13355</v>
      </c>
      <c r="C4722" s="39" t="n">
        <v>45951</v>
      </c>
      <c r="D4722" s="7" t="s">
        <v>196</v>
      </c>
      <c r="E4722" s="7" t="s">
        <v>180</v>
      </c>
      <c r="F4722" s="6" t="n">
        <v>3.846</v>
      </c>
      <c r="G4722" s="6" t="n">
        <v>0.404</v>
      </c>
      <c r="H4722" s="41" t="n">
        <v>15.05</v>
      </c>
      <c r="I4722" s="43" t="n">
        <f aca="false">F4722*H4722</f>
        <v>57.8823</v>
      </c>
      <c r="J4722" s="43" t="n">
        <f aca="false">G4722*H4722*1.5</f>
        <v>9.1203</v>
      </c>
      <c r="K4722" s="6" t="n">
        <v>13.79</v>
      </c>
      <c r="L4722" s="43" t="n">
        <f aca="false">K4722*'Chart of Accounts'!$E$68</f>
        <v>9.2393</v>
      </c>
      <c r="O4722" s="42" t="n">
        <f aca="false">I4722+J4722+L4722</f>
        <v>76.2419</v>
      </c>
    </row>
    <row r="4723" customFormat="false" ht="15" hidden="false" customHeight="false" outlineLevel="0" collapsed="false">
      <c r="B4723" s="7" t="s">
        <v>13356</v>
      </c>
      <c r="C4723" s="39" t="n">
        <v>45951</v>
      </c>
      <c r="D4723" s="7" t="s">
        <v>222</v>
      </c>
      <c r="E4723" s="7" t="s">
        <v>180</v>
      </c>
      <c r="F4723" s="6" t="n">
        <v>3.74</v>
      </c>
      <c r="G4723" s="6" t="n">
        <v>0</v>
      </c>
      <c r="H4723" s="41" t="n">
        <v>17.84</v>
      </c>
      <c r="I4723" s="43" t="n">
        <f aca="false">F4723*H4723</f>
        <v>66.7216</v>
      </c>
      <c r="J4723" s="43" t="n">
        <f aca="false">G4723*H4723*1.5</f>
        <v>0</v>
      </c>
      <c r="K4723" s="6" t="n">
        <v>8.53</v>
      </c>
      <c r="L4723" s="43" t="n">
        <f aca="false">K4723*'Chart of Accounts'!$E$68</f>
        <v>5.7151</v>
      </c>
      <c r="O4723" s="42" t="n">
        <f aca="false">I4723+J4723+L4723</f>
        <v>72.4367</v>
      </c>
    </row>
    <row r="4724" customFormat="false" ht="15" hidden="false" customHeight="false" outlineLevel="0" collapsed="false">
      <c r="B4724" s="7" t="s">
        <v>13357</v>
      </c>
      <c r="C4724" s="39" t="n">
        <v>45951</v>
      </c>
      <c r="D4724" s="7" t="s">
        <v>242</v>
      </c>
      <c r="E4724" s="7" t="s">
        <v>180</v>
      </c>
      <c r="F4724" s="6" t="n">
        <v>4.34</v>
      </c>
      <c r="G4724" s="6" t="n">
        <v>0</v>
      </c>
      <c r="H4724" s="41" t="n">
        <v>17.99</v>
      </c>
      <c r="I4724" s="43" t="n">
        <f aca="false">F4724*H4724</f>
        <v>78.0766</v>
      </c>
      <c r="J4724" s="43" t="n">
        <f aca="false">G4724*H4724*1.5</f>
        <v>0</v>
      </c>
      <c r="K4724" s="6" t="n">
        <v>11</v>
      </c>
      <c r="L4724" s="43" t="n">
        <f aca="false">K4724*'Chart of Accounts'!$E$68</f>
        <v>7.37</v>
      </c>
      <c r="O4724" s="42" t="n">
        <f aca="false">I4724+J4724+L4724</f>
        <v>85.4466</v>
      </c>
    </row>
    <row r="4725" customFormat="false" ht="15" hidden="false" customHeight="false" outlineLevel="0" collapsed="false">
      <c r="B4725" s="7" t="s">
        <v>13358</v>
      </c>
      <c r="C4725" s="39" t="n">
        <v>45951</v>
      </c>
      <c r="D4725" s="7" t="s">
        <v>203</v>
      </c>
      <c r="E4725" s="7" t="s">
        <v>158</v>
      </c>
      <c r="H4725" s="41" t="n">
        <v>49.43</v>
      </c>
      <c r="M4725" s="6" t="n">
        <v>1</v>
      </c>
      <c r="N4725" s="43" t="n">
        <f aca="false">M4725*H4725</f>
        <v>49.43</v>
      </c>
      <c r="O4725" s="42" t="n">
        <f aca="false">N4725</f>
        <v>49.43</v>
      </c>
    </row>
    <row r="4726" customFormat="false" ht="15" hidden="false" customHeight="false" outlineLevel="0" collapsed="false">
      <c r="B4726" s="7" t="s">
        <v>13359</v>
      </c>
      <c r="C4726" s="39" t="n">
        <v>45951</v>
      </c>
      <c r="D4726" s="7" t="s">
        <v>254</v>
      </c>
      <c r="E4726" s="7" t="s">
        <v>180</v>
      </c>
      <c r="F4726" s="6" t="n">
        <v>3.31</v>
      </c>
      <c r="G4726" s="6" t="n">
        <v>0.35</v>
      </c>
      <c r="H4726" s="41" t="n">
        <v>17.1</v>
      </c>
      <c r="I4726" s="43" t="n">
        <f aca="false">F4726*H4726</f>
        <v>56.601</v>
      </c>
      <c r="J4726" s="43" t="n">
        <f aca="false">G4726*H4726*1.5</f>
        <v>8.9775</v>
      </c>
      <c r="K4726" s="6" t="n">
        <v>10.67</v>
      </c>
      <c r="L4726" s="43" t="n">
        <f aca="false">K4726*'Chart of Accounts'!$E$68</f>
        <v>7.1489</v>
      </c>
      <c r="O4726" s="42" t="n">
        <f aca="false">I4726+J4726+L4726</f>
        <v>72.7274</v>
      </c>
    </row>
    <row r="4727" customFormat="false" ht="15" hidden="false" customHeight="false" outlineLevel="0" collapsed="false">
      <c r="B4727" s="7" t="s">
        <v>13360</v>
      </c>
      <c r="C4727" s="39" t="n">
        <v>45951</v>
      </c>
      <c r="D4727" s="7" t="s">
        <v>260</v>
      </c>
      <c r="E4727" s="7" t="s">
        <v>158</v>
      </c>
      <c r="H4727" s="41" t="n">
        <v>79.8</v>
      </c>
      <c r="M4727" s="6" t="n">
        <v>1</v>
      </c>
      <c r="N4727" s="43" t="n">
        <f aca="false">M4727*H4727</f>
        <v>79.8</v>
      </c>
      <c r="O4727" s="42" t="n">
        <f aca="false">N4727</f>
        <v>79.8</v>
      </c>
    </row>
    <row r="4728" customFormat="false" ht="15" hidden="false" customHeight="false" outlineLevel="0" collapsed="false">
      <c r="B4728" s="7" t="s">
        <v>13361</v>
      </c>
      <c r="C4728" s="39" t="n">
        <v>45952</v>
      </c>
      <c r="D4728" s="7" t="s">
        <v>184</v>
      </c>
      <c r="E4728" s="7" t="s">
        <v>180</v>
      </c>
      <c r="F4728" s="6" t="n">
        <v>11.68</v>
      </c>
      <c r="G4728" s="6" t="n">
        <v>0</v>
      </c>
      <c r="H4728" s="41" t="n">
        <v>17.34</v>
      </c>
      <c r="I4728" s="43" t="n">
        <f aca="false">F4728*H4728</f>
        <v>202.5312</v>
      </c>
      <c r="J4728" s="43" t="n">
        <f aca="false">G4728*H4728*1.5</f>
        <v>0</v>
      </c>
      <c r="K4728" s="6" t="n">
        <v>35.03</v>
      </c>
      <c r="L4728" s="43" t="n">
        <f aca="false">K4728*'Chart of Accounts'!$E$68</f>
        <v>23.4701</v>
      </c>
      <c r="O4728" s="42" t="n">
        <f aca="false">I4728+J4728+L4728</f>
        <v>226.0013</v>
      </c>
    </row>
    <row r="4729" customFormat="false" ht="15" hidden="false" customHeight="false" outlineLevel="0" collapsed="false">
      <c r="B4729" s="7" t="s">
        <v>13362</v>
      </c>
      <c r="C4729" s="39" t="n">
        <v>45952</v>
      </c>
      <c r="D4729" s="7" t="s">
        <v>194</v>
      </c>
      <c r="E4729" s="7" t="s">
        <v>180</v>
      </c>
      <c r="F4729" s="6" t="n">
        <v>8.01</v>
      </c>
      <c r="G4729" s="6" t="n">
        <v>0</v>
      </c>
      <c r="H4729" s="41" t="n">
        <v>16</v>
      </c>
      <c r="I4729" s="43" t="n">
        <f aca="false">F4729*H4729</f>
        <v>128.16</v>
      </c>
      <c r="J4729" s="43" t="n">
        <f aca="false">G4729*H4729*1.5</f>
        <v>0</v>
      </c>
      <c r="K4729" s="6" t="n">
        <v>24.26</v>
      </c>
      <c r="L4729" s="43" t="n">
        <f aca="false">K4729*'Chart of Accounts'!$E$68</f>
        <v>16.2542</v>
      </c>
      <c r="O4729" s="42" t="n">
        <f aca="false">I4729+J4729+L4729</f>
        <v>144.4142</v>
      </c>
    </row>
    <row r="4730" customFormat="false" ht="15" hidden="false" customHeight="false" outlineLevel="0" collapsed="false">
      <c r="B4730" s="7" t="s">
        <v>13363</v>
      </c>
      <c r="C4730" s="39" t="n">
        <v>45952</v>
      </c>
      <c r="D4730" s="7" t="s">
        <v>214</v>
      </c>
      <c r="E4730" s="7" t="s">
        <v>180</v>
      </c>
      <c r="F4730" s="6" t="n">
        <v>7.39</v>
      </c>
      <c r="G4730" s="6" t="n">
        <v>0</v>
      </c>
      <c r="H4730" s="41" t="n">
        <v>15.67</v>
      </c>
      <c r="I4730" s="43" t="n">
        <f aca="false">F4730*H4730</f>
        <v>115.8013</v>
      </c>
      <c r="J4730" s="43" t="n">
        <f aca="false">G4730*H4730*1.5</f>
        <v>0</v>
      </c>
      <c r="K4730" s="6" t="n">
        <v>23.22</v>
      </c>
      <c r="L4730" s="43" t="n">
        <f aca="false">K4730*'Chart of Accounts'!$E$68</f>
        <v>15.5574</v>
      </c>
      <c r="O4730" s="42" t="n">
        <f aca="false">I4730+J4730+L4730</f>
        <v>131.3587</v>
      </c>
    </row>
    <row r="4731" customFormat="false" ht="15" hidden="false" customHeight="false" outlineLevel="0" collapsed="false">
      <c r="B4731" s="7" t="s">
        <v>13364</v>
      </c>
      <c r="C4731" s="39" t="n">
        <v>45952</v>
      </c>
      <c r="D4731" s="7" t="s">
        <v>205</v>
      </c>
      <c r="E4731" s="7" t="s">
        <v>180</v>
      </c>
      <c r="F4731" s="6" t="n">
        <v>3.8</v>
      </c>
      <c r="G4731" s="6" t="n">
        <v>0</v>
      </c>
      <c r="H4731" s="41" t="n">
        <v>16.36</v>
      </c>
      <c r="I4731" s="43" t="n">
        <f aca="false">F4731*H4731</f>
        <v>62.168</v>
      </c>
      <c r="J4731" s="43" t="n">
        <f aca="false">G4731*H4731*1.5</f>
        <v>0</v>
      </c>
      <c r="K4731" s="6" t="n">
        <v>9.85</v>
      </c>
      <c r="L4731" s="43" t="n">
        <f aca="false">K4731*'Chart of Accounts'!$E$68</f>
        <v>6.5995</v>
      </c>
      <c r="O4731" s="42" t="n">
        <f aca="false">I4731+J4731+L4731</f>
        <v>68.7675</v>
      </c>
    </row>
    <row r="4732" customFormat="false" ht="15" hidden="false" customHeight="false" outlineLevel="0" collapsed="false">
      <c r="B4732" s="7" t="s">
        <v>13365</v>
      </c>
      <c r="C4732" s="39" t="n">
        <v>45952</v>
      </c>
      <c r="D4732" s="7" t="s">
        <v>264</v>
      </c>
      <c r="E4732" s="7" t="s">
        <v>158</v>
      </c>
      <c r="H4732" s="41" t="n">
        <v>55.55</v>
      </c>
      <c r="M4732" s="6" t="n">
        <v>1</v>
      </c>
      <c r="N4732" s="43" t="n">
        <f aca="false">M4732*H4732</f>
        <v>55.55</v>
      </c>
      <c r="O4732" s="42" t="n">
        <f aca="false">N4732</f>
        <v>55.55</v>
      </c>
    </row>
    <row r="4733" customFormat="false" ht="15" hidden="false" customHeight="false" outlineLevel="0" collapsed="false">
      <c r="B4733" s="7" t="s">
        <v>13366</v>
      </c>
      <c r="C4733" s="39" t="n">
        <v>45952</v>
      </c>
      <c r="D4733" s="7" t="s">
        <v>252</v>
      </c>
      <c r="E4733" s="7" t="s">
        <v>158</v>
      </c>
      <c r="H4733" s="41" t="n">
        <v>57.54</v>
      </c>
      <c r="M4733" s="6" t="n">
        <v>1</v>
      </c>
      <c r="N4733" s="43" t="n">
        <f aca="false">M4733*H4733</f>
        <v>57.54</v>
      </c>
      <c r="O4733" s="42" t="n">
        <f aca="false">N4733</f>
        <v>57.54</v>
      </c>
    </row>
    <row r="4734" customFormat="false" ht="15" hidden="false" customHeight="false" outlineLevel="0" collapsed="false">
      <c r="B4734" s="7" t="s">
        <v>13367</v>
      </c>
      <c r="C4734" s="39" t="n">
        <v>45952</v>
      </c>
      <c r="D4734" s="7" t="s">
        <v>216</v>
      </c>
      <c r="E4734" s="7" t="s">
        <v>158</v>
      </c>
      <c r="H4734" s="41" t="n">
        <v>61.79</v>
      </c>
      <c r="M4734" s="6" t="n">
        <v>1</v>
      </c>
      <c r="N4734" s="43" t="n">
        <f aca="false">M4734*H4734</f>
        <v>61.79</v>
      </c>
      <c r="O4734" s="42" t="n">
        <f aca="false">N4734</f>
        <v>61.79</v>
      </c>
    </row>
    <row r="4735" customFormat="false" ht="15" hidden="false" customHeight="false" outlineLevel="0" collapsed="false">
      <c r="B4735" s="7" t="s">
        <v>13368</v>
      </c>
      <c r="C4735" s="39" t="n">
        <v>45952</v>
      </c>
      <c r="D4735" s="7" t="s">
        <v>218</v>
      </c>
      <c r="E4735" s="7" t="s">
        <v>180</v>
      </c>
      <c r="F4735" s="6" t="n">
        <v>4.28</v>
      </c>
      <c r="G4735" s="6" t="n">
        <v>0</v>
      </c>
      <c r="H4735" s="41" t="n">
        <v>16.19</v>
      </c>
      <c r="I4735" s="43" t="n">
        <f aca="false">F4735*H4735</f>
        <v>69.2932</v>
      </c>
      <c r="J4735" s="43" t="n">
        <f aca="false">G4735*H4735*1.5</f>
        <v>0</v>
      </c>
      <c r="K4735" s="6" t="n">
        <v>14.22</v>
      </c>
      <c r="L4735" s="43" t="n">
        <f aca="false">K4735*'Chart of Accounts'!$E$68</f>
        <v>9.5274</v>
      </c>
      <c r="O4735" s="42" t="n">
        <f aca="false">I4735+J4735+L4735</f>
        <v>78.8206</v>
      </c>
    </row>
    <row r="4736" customFormat="false" ht="15" hidden="false" customHeight="false" outlineLevel="0" collapsed="false">
      <c r="B4736" s="7" t="s">
        <v>13369</v>
      </c>
      <c r="C4736" s="39" t="n">
        <v>45952</v>
      </c>
      <c r="D4736" s="7" t="s">
        <v>220</v>
      </c>
      <c r="E4736" s="7" t="s">
        <v>180</v>
      </c>
      <c r="F4736" s="6" t="n">
        <v>4.25</v>
      </c>
      <c r="G4736" s="6" t="n">
        <v>0</v>
      </c>
      <c r="H4736" s="41" t="n">
        <v>16.43</v>
      </c>
      <c r="I4736" s="43" t="n">
        <f aca="false">F4736*H4736</f>
        <v>69.8275</v>
      </c>
      <c r="J4736" s="43" t="n">
        <f aca="false">G4736*H4736*1.5</f>
        <v>0</v>
      </c>
      <c r="K4736" s="6" t="n">
        <v>15.02</v>
      </c>
      <c r="L4736" s="43" t="n">
        <f aca="false">K4736*'Chart of Accounts'!$E$68</f>
        <v>10.0634</v>
      </c>
      <c r="O4736" s="42" t="n">
        <f aca="false">I4736+J4736+L4736</f>
        <v>79.8909</v>
      </c>
    </row>
    <row r="4737" customFormat="false" ht="15" hidden="false" customHeight="false" outlineLevel="0" collapsed="false">
      <c r="B4737" s="7" t="s">
        <v>13370</v>
      </c>
      <c r="C4737" s="39" t="n">
        <v>45952</v>
      </c>
      <c r="D4737" s="7" t="s">
        <v>236</v>
      </c>
      <c r="E4737" s="7" t="s">
        <v>180</v>
      </c>
      <c r="F4737" s="6" t="n">
        <v>3.42</v>
      </c>
      <c r="G4737" s="6" t="n">
        <v>0</v>
      </c>
      <c r="H4737" s="41" t="n">
        <v>15.49</v>
      </c>
      <c r="I4737" s="43" t="n">
        <f aca="false">F4737*H4737</f>
        <v>52.9758</v>
      </c>
      <c r="J4737" s="43" t="n">
        <f aca="false">G4737*H4737*1.5</f>
        <v>0</v>
      </c>
      <c r="K4737" s="6" t="n">
        <v>8.32</v>
      </c>
      <c r="L4737" s="43" t="n">
        <f aca="false">K4737*'Chart of Accounts'!$E$68</f>
        <v>5.5744</v>
      </c>
      <c r="O4737" s="42" t="n">
        <f aca="false">I4737+J4737+L4737</f>
        <v>58.5502</v>
      </c>
    </row>
    <row r="4738" customFormat="false" ht="15" hidden="false" customHeight="false" outlineLevel="0" collapsed="false">
      <c r="B4738" s="7" t="s">
        <v>13371</v>
      </c>
      <c r="C4738" s="39" t="n">
        <v>45952</v>
      </c>
      <c r="D4738" s="7" t="s">
        <v>177</v>
      </c>
      <c r="E4738" s="7" t="s">
        <v>180</v>
      </c>
      <c r="F4738" s="6" t="n">
        <v>9.22</v>
      </c>
      <c r="G4738" s="6" t="n">
        <v>0</v>
      </c>
      <c r="H4738" s="41" t="n">
        <v>14.56</v>
      </c>
      <c r="I4738" s="43" t="n">
        <f aca="false">F4738*H4738</f>
        <v>134.2432</v>
      </c>
      <c r="J4738" s="43" t="n">
        <f aca="false">G4738*H4738*1.5</f>
        <v>0</v>
      </c>
      <c r="K4738" s="6" t="n">
        <v>32.29</v>
      </c>
      <c r="L4738" s="43" t="n">
        <f aca="false">K4738*'Chart of Accounts'!$E$68</f>
        <v>21.6343</v>
      </c>
      <c r="O4738" s="42" t="n">
        <f aca="false">I4738+J4738+L4738</f>
        <v>155.8775</v>
      </c>
    </row>
    <row r="4739" customFormat="false" ht="15" hidden="false" customHeight="false" outlineLevel="0" collapsed="false">
      <c r="B4739" s="7" t="s">
        <v>13372</v>
      </c>
      <c r="C4739" s="39" t="n">
        <v>45952</v>
      </c>
      <c r="D4739" s="7" t="s">
        <v>242</v>
      </c>
      <c r="E4739" s="7" t="s">
        <v>180</v>
      </c>
      <c r="F4739" s="6" t="n">
        <v>7.79</v>
      </c>
      <c r="G4739" s="6" t="n">
        <v>0</v>
      </c>
      <c r="H4739" s="41" t="n">
        <v>17.99</v>
      </c>
      <c r="I4739" s="43" t="n">
        <f aca="false">F4739*H4739</f>
        <v>140.1421</v>
      </c>
      <c r="J4739" s="43" t="n">
        <f aca="false">G4739*H4739*1.5</f>
        <v>0</v>
      </c>
      <c r="K4739" s="6" t="n">
        <v>20.39</v>
      </c>
      <c r="L4739" s="43" t="n">
        <f aca="false">K4739*'Chart of Accounts'!$E$68</f>
        <v>13.6613</v>
      </c>
      <c r="O4739" s="42" t="n">
        <f aca="false">I4739+J4739+L4739</f>
        <v>153.8034</v>
      </c>
    </row>
    <row r="4740" customFormat="false" ht="15" hidden="false" customHeight="false" outlineLevel="0" collapsed="false">
      <c r="B4740" s="7" t="s">
        <v>13373</v>
      </c>
      <c r="C4740" s="39" t="n">
        <v>45952</v>
      </c>
      <c r="D4740" s="7" t="s">
        <v>238</v>
      </c>
      <c r="E4740" s="7" t="s">
        <v>180</v>
      </c>
      <c r="F4740" s="6" t="n">
        <v>8.57</v>
      </c>
      <c r="G4740" s="6" t="n">
        <v>0</v>
      </c>
      <c r="H4740" s="41" t="n">
        <v>15.85</v>
      </c>
      <c r="I4740" s="43" t="n">
        <f aca="false">F4740*H4740</f>
        <v>135.8345</v>
      </c>
      <c r="J4740" s="43" t="n">
        <f aca="false">G4740*H4740*1.5</f>
        <v>0</v>
      </c>
      <c r="K4740" s="6" t="n">
        <v>29.35</v>
      </c>
      <c r="L4740" s="43" t="n">
        <f aca="false">K4740*'Chart of Accounts'!$E$68</f>
        <v>19.6645</v>
      </c>
      <c r="O4740" s="42" t="n">
        <f aca="false">I4740+J4740+L4740</f>
        <v>155.499</v>
      </c>
    </row>
    <row r="4741" customFormat="false" ht="15" hidden="false" customHeight="false" outlineLevel="0" collapsed="false">
      <c r="B4741" s="7" t="s">
        <v>13374</v>
      </c>
      <c r="C4741" s="39" t="n">
        <v>45952</v>
      </c>
      <c r="D4741" s="7" t="s">
        <v>244</v>
      </c>
      <c r="E4741" s="7" t="s">
        <v>180</v>
      </c>
      <c r="F4741" s="6" t="n">
        <v>4.19</v>
      </c>
      <c r="G4741" s="6" t="n">
        <v>0</v>
      </c>
      <c r="H4741" s="41" t="n">
        <v>16.39</v>
      </c>
      <c r="I4741" s="43" t="n">
        <f aca="false">F4741*H4741</f>
        <v>68.6741</v>
      </c>
      <c r="J4741" s="43" t="n">
        <f aca="false">G4741*H4741*1.5</f>
        <v>0</v>
      </c>
      <c r="K4741" s="6" t="n">
        <v>11.32</v>
      </c>
      <c r="L4741" s="43" t="n">
        <f aca="false">K4741*'Chart of Accounts'!$E$68</f>
        <v>7.5844</v>
      </c>
      <c r="O4741" s="42" t="n">
        <f aca="false">I4741+J4741+L4741</f>
        <v>76.2585</v>
      </c>
    </row>
    <row r="4742" customFormat="false" ht="15" hidden="false" customHeight="false" outlineLevel="0" collapsed="false">
      <c r="B4742" s="7" t="s">
        <v>13375</v>
      </c>
      <c r="C4742" s="39" t="n">
        <v>45952</v>
      </c>
      <c r="D4742" s="7" t="s">
        <v>254</v>
      </c>
      <c r="E4742" s="7" t="s">
        <v>180</v>
      </c>
      <c r="F4742" s="6" t="n">
        <v>13.312</v>
      </c>
      <c r="G4742" s="6" t="n">
        <v>1.408</v>
      </c>
      <c r="H4742" s="41" t="n">
        <v>17.1</v>
      </c>
      <c r="I4742" s="43" t="n">
        <f aca="false">F4742*H4742</f>
        <v>227.6352</v>
      </c>
      <c r="J4742" s="43" t="n">
        <f aca="false">G4742*H4742*1.5</f>
        <v>36.1152</v>
      </c>
      <c r="K4742" s="6" t="n">
        <v>43.27</v>
      </c>
      <c r="L4742" s="43" t="n">
        <f aca="false">K4742*'Chart of Accounts'!$E$68</f>
        <v>28.9909</v>
      </c>
      <c r="O4742" s="42" t="n">
        <f aca="false">I4742+J4742+L4742</f>
        <v>292.7413</v>
      </c>
    </row>
    <row r="4743" customFormat="false" ht="15" hidden="false" customHeight="false" outlineLevel="0" collapsed="false">
      <c r="B4743" s="7" t="s">
        <v>13376</v>
      </c>
      <c r="C4743" s="39" t="n">
        <v>45952</v>
      </c>
      <c r="D4743" s="7" t="s">
        <v>201</v>
      </c>
      <c r="E4743" s="7" t="s">
        <v>180</v>
      </c>
      <c r="F4743" s="6" t="n">
        <v>6.81</v>
      </c>
      <c r="G4743" s="6" t="n">
        <v>0</v>
      </c>
      <c r="H4743" s="41" t="n">
        <v>15.19</v>
      </c>
      <c r="I4743" s="43" t="n">
        <f aca="false">F4743*H4743</f>
        <v>103.4439</v>
      </c>
      <c r="J4743" s="43" t="n">
        <f aca="false">G4743*H4743*1.5</f>
        <v>0</v>
      </c>
      <c r="K4743" s="6" t="n">
        <v>20.65</v>
      </c>
      <c r="L4743" s="43" t="n">
        <f aca="false">K4743*'Chart of Accounts'!$E$68</f>
        <v>13.8355</v>
      </c>
      <c r="O4743" s="42" t="n">
        <f aca="false">I4743+J4743+L4743</f>
        <v>117.2794</v>
      </c>
    </row>
    <row r="4744" customFormat="false" ht="15" hidden="false" customHeight="false" outlineLevel="0" collapsed="false">
      <c r="B4744" s="7" t="s">
        <v>13377</v>
      </c>
      <c r="C4744" s="39" t="n">
        <v>45952</v>
      </c>
      <c r="D4744" s="7" t="s">
        <v>232</v>
      </c>
      <c r="E4744" s="7" t="s">
        <v>180</v>
      </c>
      <c r="F4744" s="6" t="n">
        <v>4.57</v>
      </c>
      <c r="G4744" s="6" t="n">
        <v>0</v>
      </c>
      <c r="H4744" s="41" t="n">
        <v>16.17</v>
      </c>
      <c r="I4744" s="43" t="n">
        <f aca="false">F4744*H4744</f>
        <v>73.8969</v>
      </c>
      <c r="J4744" s="43" t="n">
        <f aca="false">G4744*H4744*1.5</f>
        <v>0</v>
      </c>
      <c r="K4744" s="6" t="n">
        <v>11.19</v>
      </c>
      <c r="L4744" s="43" t="n">
        <f aca="false">K4744*'Chart of Accounts'!$E$68</f>
        <v>7.4973</v>
      </c>
      <c r="O4744" s="42" t="n">
        <f aca="false">I4744+J4744+L4744</f>
        <v>81.3942</v>
      </c>
    </row>
    <row r="4745" customFormat="false" ht="15" hidden="false" customHeight="false" outlineLevel="0" collapsed="false">
      <c r="B4745" s="7" t="s">
        <v>13378</v>
      </c>
      <c r="C4745" s="39" t="n">
        <v>45952</v>
      </c>
      <c r="D4745" s="7" t="s">
        <v>224</v>
      </c>
      <c r="E4745" s="7" t="s">
        <v>180</v>
      </c>
      <c r="F4745" s="6" t="n">
        <v>4.75</v>
      </c>
      <c r="G4745" s="6" t="n">
        <v>0</v>
      </c>
      <c r="H4745" s="41" t="n">
        <v>14.93</v>
      </c>
      <c r="I4745" s="43" t="n">
        <f aca="false">F4745*H4745</f>
        <v>70.9175</v>
      </c>
      <c r="J4745" s="43" t="n">
        <f aca="false">G4745*H4745*1.5</f>
        <v>0</v>
      </c>
      <c r="K4745" s="6" t="n">
        <v>11.2</v>
      </c>
      <c r="L4745" s="43" t="n">
        <f aca="false">K4745*'Chart of Accounts'!$E$68</f>
        <v>7.504</v>
      </c>
      <c r="O4745" s="42" t="n">
        <f aca="false">I4745+J4745+L4745</f>
        <v>78.4215</v>
      </c>
    </row>
    <row r="4746" customFormat="false" ht="15" hidden="false" customHeight="false" outlineLevel="0" collapsed="false">
      <c r="B4746" s="7" t="s">
        <v>13379</v>
      </c>
      <c r="C4746" s="39" t="n">
        <v>45952</v>
      </c>
      <c r="D4746" s="7" t="s">
        <v>196</v>
      </c>
      <c r="E4746" s="7" t="s">
        <v>180</v>
      </c>
      <c r="F4746" s="6" t="n">
        <v>3.448</v>
      </c>
      <c r="G4746" s="6" t="n">
        <v>0.362</v>
      </c>
      <c r="H4746" s="41" t="n">
        <v>15.05</v>
      </c>
      <c r="I4746" s="43" t="n">
        <f aca="false">F4746*H4746</f>
        <v>51.8924</v>
      </c>
      <c r="J4746" s="43" t="n">
        <f aca="false">G4746*H4746*1.5</f>
        <v>8.17215</v>
      </c>
      <c r="K4746" s="6" t="n">
        <v>12.76</v>
      </c>
      <c r="L4746" s="43" t="n">
        <f aca="false">K4746*'Chart of Accounts'!$E$68</f>
        <v>8.5492</v>
      </c>
      <c r="O4746" s="42" t="n">
        <f aca="false">I4746+J4746+L4746</f>
        <v>68.61375</v>
      </c>
    </row>
    <row r="4747" customFormat="false" ht="15" hidden="false" customHeight="false" outlineLevel="0" collapsed="false">
      <c r="B4747" s="7" t="s">
        <v>13380</v>
      </c>
      <c r="C4747" s="39" t="n">
        <v>45952</v>
      </c>
      <c r="D4747" s="7" t="s">
        <v>246</v>
      </c>
      <c r="E4747" s="7" t="s">
        <v>180</v>
      </c>
      <c r="F4747" s="6" t="n">
        <v>3.402</v>
      </c>
      <c r="G4747" s="6" t="n">
        <v>0.558</v>
      </c>
      <c r="H4747" s="41" t="n">
        <v>16.48</v>
      </c>
      <c r="I4747" s="43" t="n">
        <f aca="false">F4747*H4747</f>
        <v>56.06496</v>
      </c>
      <c r="J4747" s="43" t="n">
        <f aca="false">G4747*H4747*1.5</f>
        <v>13.79376</v>
      </c>
      <c r="K4747" s="6" t="n">
        <v>12.52</v>
      </c>
      <c r="L4747" s="43" t="n">
        <f aca="false">K4747*'Chart of Accounts'!$E$68</f>
        <v>8.3884</v>
      </c>
      <c r="O4747" s="42" t="n">
        <f aca="false">I4747+J4747+L4747</f>
        <v>78.24712</v>
      </c>
    </row>
    <row r="4748" customFormat="false" ht="15" hidden="false" customHeight="false" outlineLevel="0" collapsed="false">
      <c r="B4748" s="7" t="s">
        <v>13381</v>
      </c>
      <c r="C4748" s="39" t="n">
        <v>45952</v>
      </c>
      <c r="D4748" s="7" t="s">
        <v>222</v>
      </c>
      <c r="E4748" s="7" t="s">
        <v>180</v>
      </c>
      <c r="F4748" s="6" t="n">
        <v>4.07</v>
      </c>
      <c r="G4748" s="6" t="n">
        <v>0</v>
      </c>
      <c r="H4748" s="41" t="n">
        <v>17.84</v>
      </c>
      <c r="I4748" s="43" t="n">
        <f aca="false">F4748*H4748</f>
        <v>72.6088</v>
      </c>
      <c r="J4748" s="43" t="n">
        <f aca="false">G4748*H4748*1.5</f>
        <v>0</v>
      </c>
      <c r="K4748" s="6" t="n">
        <v>11.17</v>
      </c>
      <c r="L4748" s="43" t="n">
        <f aca="false">K4748*'Chart of Accounts'!$E$68</f>
        <v>7.4839</v>
      </c>
      <c r="O4748" s="42" t="n">
        <f aca="false">I4748+J4748+L4748</f>
        <v>80.0927</v>
      </c>
    </row>
    <row r="4749" customFormat="false" ht="15" hidden="false" customHeight="false" outlineLevel="0" collapsed="false">
      <c r="B4749" s="7" t="s">
        <v>13382</v>
      </c>
      <c r="C4749" s="39" t="n">
        <v>45952</v>
      </c>
      <c r="D4749" s="7" t="s">
        <v>203</v>
      </c>
      <c r="E4749" s="7" t="s">
        <v>158</v>
      </c>
      <c r="H4749" s="41" t="n">
        <v>49.43</v>
      </c>
      <c r="M4749" s="6" t="n">
        <v>1</v>
      </c>
      <c r="N4749" s="43" t="n">
        <f aca="false">M4749*H4749</f>
        <v>49.43</v>
      </c>
      <c r="O4749" s="42" t="n">
        <f aca="false">N4749</f>
        <v>49.43</v>
      </c>
    </row>
    <row r="4750" customFormat="false" ht="15" hidden="false" customHeight="false" outlineLevel="0" collapsed="false">
      <c r="B4750" s="7" t="s">
        <v>13383</v>
      </c>
      <c r="C4750" s="39" t="n">
        <v>45953</v>
      </c>
      <c r="D4750" s="7" t="s">
        <v>246</v>
      </c>
      <c r="E4750" s="7" t="s">
        <v>180</v>
      </c>
      <c r="F4750" s="6" t="n">
        <v>13.29</v>
      </c>
      <c r="G4750" s="6" t="n">
        <v>2.18</v>
      </c>
      <c r="H4750" s="41" t="n">
        <v>16.48</v>
      </c>
      <c r="I4750" s="43" t="n">
        <f aca="false">F4750*H4750</f>
        <v>219.0192</v>
      </c>
      <c r="J4750" s="43" t="n">
        <f aca="false">G4750*H4750*1.5</f>
        <v>53.8896</v>
      </c>
      <c r="K4750" s="6" t="n">
        <v>51.85</v>
      </c>
      <c r="L4750" s="43" t="n">
        <f aca="false">K4750*'Chart of Accounts'!$E$68</f>
        <v>34.7395</v>
      </c>
      <c r="O4750" s="42" t="n">
        <f aca="false">I4750+J4750+L4750</f>
        <v>307.6483</v>
      </c>
    </row>
    <row r="4751" customFormat="false" ht="15" hidden="false" customHeight="false" outlineLevel="0" collapsed="false">
      <c r="B4751" s="7" t="s">
        <v>13384</v>
      </c>
      <c r="C4751" s="39" t="n">
        <v>45953</v>
      </c>
      <c r="D4751" s="7" t="s">
        <v>201</v>
      </c>
      <c r="E4751" s="7" t="s">
        <v>180</v>
      </c>
      <c r="F4751" s="6" t="n">
        <v>9.02</v>
      </c>
      <c r="G4751" s="6" t="n">
        <v>0</v>
      </c>
      <c r="H4751" s="41" t="n">
        <v>15.19</v>
      </c>
      <c r="I4751" s="43" t="n">
        <f aca="false">F4751*H4751</f>
        <v>137.0138</v>
      </c>
      <c r="J4751" s="43" t="n">
        <f aca="false">G4751*H4751*1.5</f>
        <v>0</v>
      </c>
      <c r="K4751" s="6" t="n">
        <v>26.21</v>
      </c>
      <c r="L4751" s="43" t="n">
        <f aca="false">K4751*'Chart of Accounts'!$E$68</f>
        <v>17.5607</v>
      </c>
      <c r="O4751" s="42" t="n">
        <f aca="false">I4751+J4751+L4751</f>
        <v>154.5745</v>
      </c>
    </row>
    <row r="4752" customFormat="false" ht="15" hidden="false" customHeight="false" outlineLevel="0" collapsed="false">
      <c r="B4752" s="7" t="s">
        <v>13385</v>
      </c>
      <c r="C4752" s="39" t="n">
        <v>45953</v>
      </c>
      <c r="D4752" s="7" t="s">
        <v>240</v>
      </c>
      <c r="E4752" s="7" t="s">
        <v>180</v>
      </c>
      <c r="F4752" s="6" t="n">
        <v>3.73</v>
      </c>
      <c r="G4752" s="6" t="n">
        <v>0</v>
      </c>
      <c r="H4752" s="41" t="n">
        <v>16.96</v>
      </c>
      <c r="I4752" s="43" t="n">
        <f aca="false">F4752*H4752</f>
        <v>63.2608</v>
      </c>
      <c r="J4752" s="43" t="n">
        <f aca="false">G4752*H4752*1.5</f>
        <v>0</v>
      </c>
      <c r="K4752" s="6" t="n">
        <v>8.54</v>
      </c>
      <c r="L4752" s="43" t="n">
        <f aca="false">K4752*'Chart of Accounts'!$E$68</f>
        <v>5.7218</v>
      </c>
      <c r="O4752" s="42" t="n">
        <f aca="false">I4752+J4752+L4752</f>
        <v>68.9826</v>
      </c>
    </row>
    <row r="4753" customFormat="false" ht="15" hidden="false" customHeight="false" outlineLevel="0" collapsed="false">
      <c r="B4753" s="7" t="s">
        <v>13386</v>
      </c>
      <c r="C4753" s="39" t="n">
        <v>45953</v>
      </c>
      <c r="D4753" s="7" t="s">
        <v>196</v>
      </c>
      <c r="E4753" s="7" t="s">
        <v>180</v>
      </c>
      <c r="F4753" s="6" t="n">
        <v>9.158</v>
      </c>
      <c r="G4753" s="6" t="n">
        <v>0.962</v>
      </c>
      <c r="H4753" s="41" t="n">
        <v>15.05</v>
      </c>
      <c r="I4753" s="43" t="n">
        <f aca="false">F4753*H4753</f>
        <v>137.8279</v>
      </c>
      <c r="J4753" s="43" t="n">
        <f aca="false">G4753*H4753*1.5</f>
        <v>21.71715</v>
      </c>
      <c r="K4753" s="6" t="n">
        <v>29.65</v>
      </c>
      <c r="L4753" s="43" t="n">
        <f aca="false">K4753*'Chart of Accounts'!$E$68</f>
        <v>19.8655</v>
      </c>
      <c r="O4753" s="42" t="n">
        <f aca="false">I4753+J4753+L4753</f>
        <v>179.41055</v>
      </c>
    </row>
    <row r="4754" customFormat="false" ht="15" hidden="false" customHeight="false" outlineLevel="0" collapsed="false">
      <c r="B4754" s="7" t="s">
        <v>13387</v>
      </c>
      <c r="C4754" s="39" t="n">
        <v>45953</v>
      </c>
      <c r="D4754" s="7" t="s">
        <v>184</v>
      </c>
      <c r="E4754" s="7" t="s">
        <v>180</v>
      </c>
      <c r="F4754" s="6" t="n">
        <v>3.68</v>
      </c>
      <c r="G4754" s="6" t="n">
        <v>0</v>
      </c>
      <c r="H4754" s="41" t="n">
        <v>17.34</v>
      </c>
      <c r="I4754" s="43" t="n">
        <f aca="false">F4754*H4754</f>
        <v>63.8112</v>
      </c>
      <c r="J4754" s="43" t="n">
        <f aca="false">G4754*H4754*1.5</f>
        <v>0</v>
      </c>
      <c r="K4754" s="6" t="n">
        <v>8.33</v>
      </c>
      <c r="L4754" s="43" t="n">
        <f aca="false">K4754*'Chart of Accounts'!$E$68</f>
        <v>5.5811</v>
      </c>
      <c r="O4754" s="42" t="n">
        <f aca="false">I4754+J4754+L4754</f>
        <v>69.3923</v>
      </c>
    </row>
    <row r="4755" customFormat="false" ht="15" hidden="false" customHeight="false" outlineLevel="0" collapsed="false">
      <c r="B4755" s="7" t="s">
        <v>13388</v>
      </c>
      <c r="C4755" s="39" t="n">
        <v>45953</v>
      </c>
      <c r="D4755" s="7" t="s">
        <v>222</v>
      </c>
      <c r="E4755" s="7" t="s">
        <v>180</v>
      </c>
      <c r="F4755" s="6" t="n">
        <v>9.95</v>
      </c>
      <c r="G4755" s="6" t="n">
        <v>0</v>
      </c>
      <c r="H4755" s="41" t="n">
        <v>17.84</v>
      </c>
      <c r="I4755" s="43" t="n">
        <f aca="false">F4755*H4755</f>
        <v>177.508</v>
      </c>
      <c r="J4755" s="43" t="n">
        <f aca="false">G4755*H4755*1.5</f>
        <v>0</v>
      </c>
      <c r="K4755" s="6" t="n">
        <v>26.49</v>
      </c>
      <c r="L4755" s="43" t="n">
        <f aca="false">K4755*'Chart of Accounts'!$E$68</f>
        <v>17.7483</v>
      </c>
      <c r="O4755" s="42" t="n">
        <f aca="false">I4755+J4755+L4755</f>
        <v>195.2563</v>
      </c>
    </row>
    <row r="4756" customFormat="false" ht="15" hidden="false" customHeight="false" outlineLevel="0" collapsed="false">
      <c r="B4756" s="7" t="s">
        <v>13389</v>
      </c>
      <c r="C4756" s="39" t="n">
        <v>45953</v>
      </c>
      <c r="D4756" s="7" t="s">
        <v>218</v>
      </c>
      <c r="E4756" s="7" t="s">
        <v>180</v>
      </c>
      <c r="F4756" s="6" t="n">
        <v>4.27</v>
      </c>
      <c r="G4756" s="6" t="n">
        <v>0</v>
      </c>
      <c r="H4756" s="41" t="n">
        <v>16.19</v>
      </c>
      <c r="I4756" s="43" t="n">
        <f aca="false">F4756*H4756</f>
        <v>69.1313</v>
      </c>
      <c r="J4756" s="43" t="n">
        <f aca="false">G4756*H4756*1.5</f>
        <v>0</v>
      </c>
      <c r="K4756" s="6" t="n">
        <v>11.25</v>
      </c>
      <c r="L4756" s="43" t="n">
        <f aca="false">K4756*'Chart of Accounts'!$E$68</f>
        <v>7.5375</v>
      </c>
      <c r="O4756" s="42" t="n">
        <f aca="false">I4756+J4756+L4756</f>
        <v>76.6688</v>
      </c>
    </row>
    <row r="4757" customFormat="false" ht="15" hidden="false" customHeight="false" outlineLevel="0" collapsed="false">
      <c r="B4757" s="7" t="s">
        <v>13390</v>
      </c>
      <c r="C4757" s="39" t="n">
        <v>45953</v>
      </c>
      <c r="D4757" s="7" t="s">
        <v>220</v>
      </c>
      <c r="E4757" s="7" t="s">
        <v>180</v>
      </c>
      <c r="F4757" s="6" t="n">
        <v>4.08</v>
      </c>
      <c r="G4757" s="6" t="n">
        <v>0</v>
      </c>
      <c r="H4757" s="41" t="n">
        <v>16.43</v>
      </c>
      <c r="I4757" s="43" t="n">
        <f aca="false">F4757*H4757</f>
        <v>67.0344</v>
      </c>
      <c r="J4757" s="43" t="n">
        <f aca="false">G4757*H4757*1.5</f>
        <v>0</v>
      </c>
      <c r="K4757" s="6" t="n">
        <v>12.53</v>
      </c>
      <c r="L4757" s="43" t="n">
        <f aca="false">K4757*'Chart of Accounts'!$E$68</f>
        <v>8.3951</v>
      </c>
      <c r="O4757" s="42" t="n">
        <f aca="false">I4757+J4757+L4757</f>
        <v>75.4295</v>
      </c>
    </row>
    <row r="4758" customFormat="false" ht="15" hidden="false" customHeight="false" outlineLevel="0" collapsed="false">
      <c r="B4758" s="7" t="s">
        <v>13391</v>
      </c>
      <c r="C4758" s="39" t="n">
        <v>45953</v>
      </c>
      <c r="D4758" s="7" t="s">
        <v>224</v>
      </c>
      <c r="E4758" s="7" t="s">
        <v>180</v>
      </c>
      <c r="F4758" s="6" t="n">
        <v>3.8</v>
      </c>
      <c r="G4758" s="6" t="n">
        <v>0</v>
      </c>
      <c r="H4758" s="41" t="n">
        <v>14.93</v>
      </c>
      <c r="I4758" s="43" t="n">
        <f aca="false">F4758*H4758</f>
        <v>56.734</v>
      </c>
      <c r="J4758" s="43" t="n">
        <f aca="false">G4758*H4758*1.5</f>
        <v>0</v>
      </c>
      <c r="K4758" s="6" t="n">
        <v>10.39</v>
      </c>
      <c r="L4758" s="43" t="n">
        <f aca="false">K4758*'Chart of Accounts'!$E$68</f>
        <v>6.9613</v>
      </c>
      <c r="O4758" s="42" t="n">
        <f aca="false">I4758+J4758+L4758</f>
        <v>63.6953</v>
      </c>
    </row>
    <row r="4759" customFormat="false" ht="15" hidden="false" customHeight="false" outlineLevel="0" collapsed="false">
      <c r="B4759" s="7" t="s">
        <v>13392</v>
      </c>
      <c r="C4759" s="39" t="n">
        <v>45953</v>
      </c>
      <c r="D4759" s="7" t="s">
        <v>244</v>
      </c>
      <c r="E4759" s="7" t="s">
        <v>180</v>
      </c>
      <c r="F4759" s="6" t="n">
        <v>4.07</v>
      </c>
      <c r="G4759" s="6" t="n">
        <v>0</v>
      </c>
      <c r="H4759" s="41" t="n">
        <v>16.39</v>
      </c>
      <c r="I4759" s="43" t="n">
        <f aca="false">F4759*H4759</f>
        <v>66.7073</v>
      </c>
      <c r="J4759" s="43" t="n">
        <f aca="false">G4759*H4759*1.5</f>
        <v>0</v>
      </c>
      <c r="K4759" s="6" t="n">
        <v>8.96</v>
      </c>
      <c r="L4759" s="43" t="n">
        <f aca="false">K4759*'Chart of Accounts'!$E$68</f>
        <v>6.0032</v>
      </c>
      <c r="O4759" s="42" t="n">
        <f aca="false">I4759+J4759+L4759</f>
        <v>72.7105</v>
      </c>
    </row>
    <row r="4760" customFormat="false" ht="15" hidden="false" customHeight="false" outlineLevel="0" collapsed="false">
      <c r="B4760" s="7" t="s">
        <v>13393</v>
      </c>
      <c r="C4760" s="39" t="n">
        <v>45953</v>
      </c>
      <c r="D4760" s="7" t="s">
        <v>250</v>
      </c>
      <c r="E4760" s="7" t="s">
        <v>180</v>
      </c>
      <c r="F4760" s="6" t="n">
        <v>3.95</v>
      </c>
      <c r="G4760" s="6" t="n">
        <v>0</v>
      </c>
      <c r="H4760" s="41" t="n">
        <v>16.88</v>
      </c>
      <c r="I4760" s="43" t="n">
        <f aca="false">F4760*H4760</f>
        <v>66.676</v>
      </c>
      <c r="J4760" s="43" t="n">
        <f aca="false">G4760*H4760*1.5</f>
        <v>0</v>
      </c>
      <c r="K4760" s="6" t="n">
        <v>10.35</v>
      </c>
      <c r="L4760" s="43" t="n">
        <f aca="false">K4760*'Chart of Accounts'!$E$68</f>
        <v>6.9345</v>
      </c>
      <c r="O4760" s="42" t="n">
        <f aca="false">I4760+J4760+L4760</f>
        <v>73.6105</v>
      </c>
    </row>
    <row r="4761" customFormat="false" ht="15" hidden="false" customHeight="false" outlineLevel="0" collapsed="false">
      <c r="B4761" s="7" t="s">
        <v>13394</v>
      </c>
      <c r="C4761" s="39" t="n">
        <v>45953</v>
      </c>
      <c r="D4761" s="7" t="s">
        <v>194</v>
      </c>
      <c r="E4761" s="7" t="s">
        <v>180</v>
      </c>
      <c r="F4761" s="6" t="n">
        <v>4.07</v>
      </c>
      <c r="G4761" s="6" t="n">
        <v>0</v>
      </c>
      <c r="H4761" s="41" t="n">
        <v>16</v>
      </c>
      <c r="I4761" s="43" t="n">
        <f aca="false">F4761*H4761</f>
        <v>65.12</v>
      </c>
      <c r="J4761" s="43" t="n">
        <f aca="false">G4761*H4761*1.5</f>
        <v>0</v>
      </c>
      <c r="K4761" s="6" t="n">
        <v>13.53</v>
      </c>
      <c r="L4761" s="43" t="n">
        <f aca="false">K4761*'Chart of Accounts'!$E$68</f>
        <v>9.0651</v>
      </c>
      <c r="O4761" s="42" t="n">
        <f aca="false">I4761+J4761+L4761</f>
        <v>74.1851</v>
      </c>
    </row>
    <row r="4762" customFormat="false" ht="15" hidden="false" customHeight="false" outlineLevel="0" collapsed="false">
      <c r="B4762" s="7" t="s">
        <v>13395</v>
      </c>
      <c r="C4762" s="39" t="n">
        <v>45953</v>
      </c>
      <c r="D4762" s="7" t="s">
        <v>214</v>
      </c>
      <c r="E4762" s="7" t="s">
        <v>180</v>
      </c>
      <c r="F4762" s="6" t="n">
        <v>3.87</v>
      </c>
      <c r="G4762" s="6" t="n">
        <v>0</v>
      </c>
      <c r="H4762" s="41" t="n">
        <v>15.67</v>
      </c>
      <c r="I4762" s="43" t="n">
        <f aca="false">F4762*H4762</f>
        <v>60.6429</v>
      </c>
      <c r="J4762" s="43" t="n">
        <f aca="false">G4762*H4762*1.5</f>
        <v>0</v>
      </c>
      <c r="K4762" s="6" t="n">
        <v>9.66</v>
      </c>
      <c r="L4762" s="43" t="n">
        <f aca="false">K4762*'Chart of Accounts'!$E$68</f>
        <v>6.4722</v>
      </c>
      <c r="O4762" s="42" t="n">
        <f aca="false">I4762+J4762+L4762</f>
        <v>67.1151</v>
      </c>
    </row>
    <row r="4763" customFormat="false" ht="15" hidden="false" customHeight="false" outlineLevel="0" collapsed="false">
      <c r="B4763" s="7" t="s">
        <v>13396</v>
      </c>
      <c r="C4763" s="39" t="n">
        <v>45953</v>
      </c>
      <c r="D4763" s="7" t="s">
        <v>242</v>
      </c>
      <c r="E4763" s="7" t="s">
        <v>180</v>
      </c>
      <c r="F4763" s="6" t="n">
        <v>4.03</v>
      </c>
      <c r="G4763" s="6" t="n">
        <v>0</v>
      </c>
      <c r="H4763" s="41" t="n">
        <v>17.99</v>
      </c>
      <c r="I4763" s="43" t="n">
        <f aca="false">F4763*H4763</f>
        <v>72.4997</v>
      </c>
      <c r="J4763" s="43" t="n">
        <f aca="false">G4763*H4763*1.5</f>
        <v>0</v>
      </c>
      <c r="K4763" s="6" t="n">
        <v>11.14</v>
      </c>
      <c r="L4763" s="43" t="n">
        <f aca="false">K4763*'Chart of Accounts'!$E$68</f>
        <v>7.4638</v>
      </c>
      <c r="O4763" s="42" t="n">
        <f aca="false">I4763+J4763+L4763</f>
        <v>79.9635</v>
      </c>
    </row>
    <row r="4764" customFormat="false" ht="15" hidden="false" customHeight="false" outlineLevel="0" collapsed="false">
      <c r="B4764" s="7" t="s">
        <v>13397</v>
      </c>
      <c r="C4764" s="39" t="n">
        <v>45953</v>
      </c>
      <c r="D4764" s="7" t="s">
        <v>254</v>
      </c>
      <c r="E4764" s="7" t="s">
        <v>180</v>
      </c>
      <c r="F4764" s="6" t="n">
        <v>3.572</v>
      </c>
      <c r="G4764" s="6" t="n">
        <v>0.378</v>
      </c>
      <c r="H4764" s="41" t="n">
        <v>17.1</v>
      </c>
      <c r="I4764" s="43" t="n">
        <f aca="false">F4764*H4764</f>
        <v>61.0812</v>
      </c>
      <c r="J4764" s="43" t="n">
        <f aca="false">G4764*H4764*1.5</f>
        <v>9.6957</v>
      </c>
      <c r="K4764" s="6" t="n">
        <v>11.13</v>
      </c>
      <c r="L4764" s="43" t="n">
        <f aca="false">K4764*'Chart of Accounts'!$E$68</f>
        <v>7.4571</v>
      </c>
      <c r="O4764" s="42" t="n">
        <f aca="false">I4764+J4764+L4764</f>
        <v>78.234</v>
      </c>
    </row>
    <row r="4765" customFormat="false" ht="15" hidden="false" customHeight="false" outlineLevel="0" collapsed="false">
      <c r="B4765" s="7" t="s">
        <v>13398</v>
      </c>
      <c r="C4765" s="39" t="n">
        <v>45954</v>
      </c>
      <c r="D4765" s="7" t="s">
        <v>194</v>
      </c>
      <c r="E4765" s="7" t="s">
        <v>180</v>
      </c>
      <c r="F4765" s="6" t="n">
        <v>8.07</v>
      </c>
      <c r="G4765" s="6" t="n">
        <v>0</v>
      </c>
      <c r="H4765" s="41" t="n">
        <v>16</v>
      </c>
      <c r="I4765" s="43" t="n">
        <f aca="false">F4765*H4765</f>
        <v>129.12</v>
      </c>
      <c r="J4765" s="43" t="n">
        <f aca="false">G4765*H4765*1.5</f>
        <v>0</v>
      </c>
      <c r="K4765" s="6" t="n">
        <v>22.95</v>
      </c>
      <c r="L4765" s="43" t="n">
        <f aca="false">K4765*'Chart of Accounts'!$E$68</f>
        <v>15.3765</v>
      </c>
      <c r="O4765" s="42" t="n">
        <f aca="false">I4765+J4765+L4765</f>
        <v>144.4965</v>
      </c>
    </row>
    <row r="4766" customFormat="false" ht="15" hidden="false" customHeight="false" outlineLevel="0" collapsed="false">
      <c r="B4766" s="7" t="s">
        <v>13399</v>
      </c>
      <c r="C4766" s="39" t="n">
        <v>45954</v>
      </c>
      <c r="D4766" s="7" t="s">
        <v>198</v>
      </c>
      <c r="E4766" s="7" t="s">
        <v>158</v>
      </c>
      <c r="H4766" s="41" t="n">
        <v>48.09</v>
      </c>
      <c r="M4766" s="6" t="n">
        <v>1</v>
      </c>
      <c r="N4766" s="43" t="n">
        <f aca="false">M4766*H4766</f>
        <v>48.09</v>
      </c>
      <c r="O4766" s="42" t="n">
        <f aca="false">N4766</f>
        <v>48.09</v>
      </c>
    </row>
    <row r="4767" customFormat="false" ht="15" hidden="false" customHeight="false" outlineLevel="0" collapsed="false">
      <c r="B4767" s="7" t="s">
        <v>13400</v>
      </c>
      <c r="C4767" s="39" t="n">
        <v>45954</v>
      </c>
      <c r="D4767" s="7" t="s">
        <v>214</v>
      </c>
      <c r="E4767" s="7" t="s">
        <v>180</v>
      </c>
      <c r="F4767" s="6" t="n">
        <v>7.92</v>
      </c>
      <c r="G4767" s="6" t="n">
        <v>0</v>
      </c>
      <c r="H4767" s="41" t="n">
        <v>15.67</v>
      </c>
      <c r="I4767" s="43" t="n">
        <f aca="false">F4767*H4767</f>
        <v>124.1064</v>
      </c>
      <c r="J4767" s="43" t="n">
        <f aca="false">G4767*H4767*1.5</f>
        <v>0</v>
      </c>
      <c r="K4767" s="6" t="n">
        <v>25.57</v>
      </c>
      <c r="L4767" s="43" t="n">
        <f aca="false">K4767*'Chart of Accounts'!$E$68</f>
        <v>17.1319</v>
      </c>
      <c r="O4767" s="42" t="n">
        <f aca="false">I4767+J4767+L4767</f>
        <v>141.2383</v>
      </c>
    </row>
    <row r="4768" customFormat="false" ht="15" hidden="false" customHeight="false" outlineLevel="0" collapsed="false">
      <c r="B4768" s="7" t="s">
        <v>13401</v>
      </c>
      <c r="C4768" s="39" t="n">
        <v>45954</v>
      </c>
      <c r="D4768" s="7" t="s">
        <v>209</v>
      </c>
      <c r="E4768" s="7" t="s">
        <v>158</v>
      </c>
      <c r="H4768" s="41" t="n">
        <v>73.58</v>
      </c>
      <c r="M4768" s="6" t="n">
        <v>2</v>
      </c>
      <c r="N4768" s="43" t="n">
        <f aca="false">M4768*H4768</f>
        <v>147.16</v>
      </c>
      <c r="O4768" s="42" t="n">
        <f aca="false">N4768</f>
        <v>147.16</v>
      </c>
    </row>
    <row r="4769" customFormat="false" ht="15" hidden="false" customHeight="false" outlineLevel="0" collapsed="false">
      <c r="B4769" s="7" t="s">
        <v>13402</v>
      </c>
      <c r="C4769" s="39" t="n">
        <v>45954</v>
      </c>
      <c r="D4769" s="7" t="s">
        <v>205</v>
      </c>
      <c r="E4769" s="7" t="s">
        <v>180</v>
      </c>
      <c r="F4769" s="6" t="n">
        <v>7.4</v>
      </c>
      <c r="G4769" s="6" t="n">
        <v>0</v>
      </c>
      <c r="H4769" s="41" t="n">
        <v>16.36</v>
      </c>
      <c r="I4769" s="43" t="n">
        <f aca="false">F4769*H4769</f>
        <v>121.064</v>
      </c>
      <c r="J4769" s="43" t="n">
        <f aca="false">G4769*H4769*1.5</f>
        <v>0</v>
      </c>
      <c r="K4769" s="6" t="n">
        <v>22.32</v>
      </c>
      <c r="L4769" s="43" t="n">
        <f aca="false">K4769*'Chart of Accounts'!$E$68</f>
        <v>14.9544</v>
      </c>
      <c r="O4769" s="42" t="n">
        <f aca="false">I4769+J4769+L4769</f>
        <v>136.0184</v>
      </c>
    </row>
    <row r="4770" customFormat="false" ht="15" hidden="false" customHeight="false" outlineLevel="0" collapsed="false">
      <c r="B4770" s="7" t="s">
        <v>13403</v>
      </c>
      <c r="C4770" s="39" t="n">
        <v>45954</v>
      </c>
      <c r="D4770" s="7" t="s">
        <v>264</v>
      </c>
      <c r="E4770" s="7" t="s">
        <v>158</v>
      </c>
      <c r="H4770" s="41" t="n">
        <v>55.55</v>
      </c>
      <c r="M4770" s="6" t="n">
        <v>1</v>
      </c>
      <c r="N4770" s="43" t="n">
        <f aca="false">M4770*H4770</f>
        <v>55.55</v>
      </c>
      <c r="O4770" s="42" t="n">
        <f aca="false">N4770</f>
        <v>55.55</v>
      </c>
    </row>
    <row r="4771" customFormat="false" ht="15" hidden="false" customHeight="false" outlineLevel="0" collapsed="false">
      <c r="B4771" s="7" t="s">
        <v>13404</v>
      </c>
      <c r="C4771" s="39" t="n">
        <v>45954</v>
      </c>
      <c r="D4771" s="7" t="s">
        <v>252</v>
      </c>
      <c r="E4771" s="7" t="s">
        <v>158</v>
      </c>
      <c r="H4771" s="41" t="n">
        <v>57.54</v>
      </c>
      <c r="M4771" s="6" t="n">
        <v>1</v>
      </c>
      <c r="N4771" s="43" t="n">
        <f aca="false">M4771*H4771</f>
        <v>57.54</v>
      </c>
      <c r="O4771" s="42" t="n">
        <f aca="false">N4771</f>
        <v>57.54</v>
      </c>
    </row>
    <row r="4772" customFormat="false" ht="15" hidden="false" customHeight="false" outlineLevel="0" collapsed="false">
      <c r="B4772" s="7" t="s">
        <v>13405</v>
      </c>
      <c r="C4772" s="39" t="n">
        <v>45954</v>
      </c>
      <c r="D4772" s="7" t="s">
        <v>184</v>
      </c>
      <c r="E4772" s="7" t="s">
        <v>180</v>
      </c>
      <c r="F4772" s="6" t="n">
        <v>7.93</v>
      </c>
      <c r="G4772" s="6" t="n">
        <v>0</v>
      </c>
      <c r="H4772" s="41" t="n">
        <v>17.34</v>
      </c>
      <c r="I4772" s="43" t="n">
        <f aca="false">F4772*H4772</f>
        <v>137.5062</v>
      </c>
      <c r="J4772" s="43" t="n">
        <f aca="false">G4772*H4772*1.5</f>
        <v>0</v>
      </c>
      <c r="K4772" s="6" t="n">
        <v>24.74</v>
      </c>
      <c r="L4772" s="43" t="n">
        <f aca="false">K4772*'Chart of Accounts'!$E$68</f>
        <v>16.5758</v>
      </c>
      <c r="O4772" s="42" t="n">
        <f aca="false">I4772+J4772+L4772</f>
        <v>154.082</v>
      </c>
    </row>
    <row r="4773" customFormat="false" ht="15" hidden="false" customHeight="false" outlineLevel="0" collapsed="false">
      <c r="B4773" s="7" t="s">
        <v>13406</v>
      </c>
      <c r="C4773" s="39" t="n">
        <v>45954</v>
      </c>
      <c r="D4773" s="7" t="s">
        <v>216</v>
      </c>
      <c r="E4773" s="7" t="s">
        <v>158</v>
      </c>
      <c r="H4773" s="41" t="n">
        <v>61.79</v>
      </c>
      <c r="M4773" s="6" t="n">
        <v>1</v>
      </c>
      <c r="N4773" s="43" t="n">
        <f aca="false">M4773*H4773</f>
        <v>61.79</v>
      </c>
      <c r="O4773" s="42" t="n">
        <f aca="false">N4773</f>
        <v>61.79</v>
      </c>
    </row>
    <row r="4774" customFormat="false" ht="15" hidden="false" customHeight="false" outlineLevel="0" collapsed="false">
      <c r="B4774" s="7" t="s">
        <v>13407</v>
      </c>
      <c r="C4774" s="39" t="n">
        <v>45954</v>
      </c>
      <c r="D4774" s="7" t="s">
        <v>234</v>
      </c>
      <c r="E4774" s="7" t="s">
        <v>158</v>
      </c>
      <c r="H4774" s="41" t="n">
        <v>89.53</v>
      </c>
      <c r="M4774" s="6" t="n">
        <v>2</v>
      </c>
      <c r="N4774" s="43" t="n">
        <f aca="false">M4774*H4774</f>
        <v>179.06</v>
      </c>
      <c r="O4774" s="42" t="n">
        <f aca="false">N4774</f>
        <v>179.06</v>
      </c>
    </row>
    <row r="4775" customFormat="false" ht="15" hidden="false" customHeight="false" outlineLevel="0" collapsed="false">
      <c r="B4775" s="7" t="s">
        <v>13408</v>
      </c>
      <c r="C4775" s="39" t="n">
        <v>45954</v>
      </c>
      <c r="D4775" s="7" t="s">
        <v>218</v>
      </c>
      <c r="E4775" s="7" t="s">
        <v>180</v>
      </c>
      <c r="F4775" s="6" t="n">
        <v>4.28</v>
      </c>
      <c r="G4775" s="6" t="n">
        <v>0</v>
      </c>
      <c r="H4775" s="41" t="n">
        <v>16.19</v>
      </c>
      <c r="I4775" s="43" t="n">
        <f aca="false">F4775*H4775</f>
        <v>69.2932</v>
      </c>
      <c r="J4775" s="43" t="n">
        <f aca="false">G4775*H4775*1.5</f>
        <v>0</v>
      </c>
      <c r="K4775" s="6" t="n">
        <v>14.7</v>
      </c>
      <c r="L4775" s="43" t="n">
        <f aca="false">K4775*'Chart of Accounts'!$E$68</f>
        <v>9.849</v>
      </c>
      <c r="O4775" s="42" t="n">
        <f aca="false">I4775+J4775+L4775</f>
        <v>79.1422</v>
      </c>
    </row>
    <row r="4776" customFormat="false" ht="15" hidden="false" customHeight="false" outlineLevel="0" collapsed="false">
      <c r="B4776" s="7" t="s">
        <v>13409</v>
      </c>
      <c r="C4776" s="39" t="n">
        <v>45954</v>
      </c>
      <c r="D4776" s="7" t="s">
        <v>258</v>
      </c>
      <c r="E4776" s="7" t="s">
        <v>158</v>
      </c>
      <c r="H4776" s="41" t="n">
        <v>61.61</v>
      </c>
      <c r="M4776" s="6" t="n">
        <v>2</v>
      </c>
      <c r="N4776" s="43" t="n">
        <f aca="false">M4776*H4776</f>
        <v>123.22</v>
      </c>
      <c r="O4776" s="42" t="n">
        <f aca="false">N4776</f>
        <v>123.22</v>
      </c>
    </row>
    <row r="4777" customFormat="false" ht="15" hidden="false" customHeight="false" outlineLevel="0" collapsed="false">
      <c r="B4777" s="7" t="s">
        <v>13410</v>
      </c>
      <c r="C4777" s="39" t="n">
        <v>45954</v>
      </c>
      <c r="D4777" s="7" t="s">
        <v>228</v>
      </c>
      <c r="E4777" s="7" t="s">
        <v>158</v>
      </c>
      <c r="H4777" s="41" t="n">
        <v>51.07</v>
      </c>
      <c r="M4777" s="6" t="n">
        <v>1</v>
      </c>
      <c r="N4777" s="43" t="n">
        <f aca="false">M4777*H4777</f>
        <v>51.07</v>
      </c>
      <c r="O4777" s="42" t="n">
        <f aca="false">N4777</f>
        <v>51.07</v>
      </c>
    </row>
    <row r="4778" customFormat="false" ht="15" hidden="false" customHeight="false" outlineLevel="0" collapsed="false">
      <c r="B4778" s="7" t="s">
        <v>13411</v>
      </c>
      <c r="C4778" s="39" t="n">
        <v>45954</v>
      </c>
      <c r="D4778" s="7" t="s">
        <v>220</v>
      </c>
      <c r="E4778" s="7" t="s">
        <v>180</v>
      </c>
      <c r="F4778" s="6" t="n">
        <v>4.12</v>
      </c>
      <c r="G4778" s="6" t="n">
        <v>0</v>
      </c>
      <c r="H4778" s="41" t="n">
        <v>16.43</v>
      </c>
      <c r="I4778" s="43" t="n">
        <f aca="false">F4778*H4778</f>
        <v>67.6916</v>
      </c>
      <c r="J4778" s="43" t="n">
        <f aca="false">G4778*H4778*1.5</f>
        <v>0</v>
      </c>
      <c r="K4778" s="6" t="n">
        <v>11.52</v>
      </c>
      <c r="L4778" s="43" t="n">
        <f aca="false">K4778*'Chart of Accounts'!$E$68</f>
        <v>7.7184</v>
      </c>
      <c r="O4778" s="42" t="n">
        <f aca="false">I4778+J4778+L4778</f>
        <v>75.41</v>
      </c>
    </row>
    <row r="4779" customFormat="false" ht="15" hidden="false" customHeight="false" outlineLevel="0" collapsed="false">
      <c r="B4779" s="7" t="s">
        <v>13412</v>
      </c>
      <c r="C4779" s="39" t="n">
        <v>45954</v>
      </c>
      <c r="D4779" s="7" t="s">
        <v>236</v>
      </c>
      <c r="E4779" s="7" t="s">
        <v>180</v>
      </c>
      <c r="F4779" s="6" t="n">
        <v>3.3</v>
      </c>
      <c r="G4779" s="6" t="n">
        <v>0</v>
      </c>
      <c r="H4779" s="41" t="n">
        <v>15.49</v>
      </c>
      <c r="I4779" s="43" t="n">
        <f aca="false">F4779*H4779</f>
        <v>51.117</v>
      </c>
      <c r="J4779" s="43" t="n">
        <f aca="false">G4779*H4779*1.5</f>
        <v>0</v>
      </c>
      <c r="K4779" s="6" t="n">
        <v>8.12</v>
      </c>
      <c r="L4779" s="43" t="n">
        <f aca="false">K4779*'Chart of Accounts'!$E$68</f>
        <v>5.4404</v>
      </c>
      <c r="O4779" s="42" t="n">
        <f aca="false">I4779+J4779+L4779</f>
        <v>56.5574</v>
      </c>
    </row>
    <row r="4780" customFormat="false" ht="15" hidden="false" customHeight="false" outlineLevel="0" collapsed="false">
      <c r="B4780" s="7" t="s">
        <v>13413</v>
      </c>
      <c r="C4780" s="39" t="n">
        <v>45954</v>
      </c>
      <c r="D4780" s="7" t="s">
        <v>177</v>
      </c>
      <c r="E4780" s="7" t="s">
        <v>180</v>
      </c>
      <c r="F4780" s="6" t="n">
        <v>8.4</v>
      </c>
      <c r="G4780" s="6" t="n">
        <v>0</v>
      </c>
      <c r="H4780" s="41" t="n">
        <v>14.56</v>
      </c>
      <c r="I4780" s="43" t="n">
        <f aca="false">F4780*H4780</f>
        <v>122.304</v>
      </c>
      <c r="J4780" s="43" t="n">
        <f aca="false">G4780*H4780*1.5</f>
        <v>0</v>
      </c>
      <c r="K4780" s="6" t="n">
        <v>19.84</v>
      </c>
      <c r="L4780" s="43" t="n">
        <f aca="false">K4780*'Chart of Accounts'!$E$68</f>
        <v>13.2928</v>
      </c>
      <c r="O4780" s="42" t="n">
        <f aca="false">I4780+J4780+L4780</f>
        <v>135.5968</v>
      </c>
    </row>
    <row r="4781" customFormat="false" ht="15" hidden="false" customHeight="false" outlineLevel="0" collapsed="false">
      <c r="B4781" s="7" t="s">
        <v>13414</v>
      </c>
      <c r="C4781" s="39" t="n">
        <v>45954</v>
      </c>
      <c r="D4781" s="7" t="s">
        <v>242</v>
      </c>
      <c r="E4781" s="7" t="s">
        <v>180</v>
      </c>
      <c r="F4781" s="6" t="n">
        <v>7.25</v>
      </c>
      <c r="G4781" s="6" t="n">
        <v>0</v>
      </c>
      <c r="H4781" s="41" t="n">
        <v>17.99</v>
      </c>
      <c r="I4781" s="43" t="n">
        <f aca="false">F4781*H4781</f>
        <v>130.4275</v>
      </c>
      <c r="J4781" s="43" t="n">
        <f aca="false">G4781*H4781*1.5</f>
        <v>0</v>
      </c>
      <c r="K4781" s="6" t="n">
        <v>19.38</v>
      </c>
      <c r="L4781" s="43" t="n">
        <f aca="false">K4781*'Chart of Accounts'!$E$68</f>
        <v>12.9846</v>
      </c>
      <c r="O4781" s="42" t="n">
        <f aca="false">I4781+J4781+L4781</f>
        <v>143.4121</v>
      </c>
    </row>
    <row r="4782" customFormat="false" ht="15" hidden="false" customHeight="false" outlineLevel="0" collapsed="false">
      <c r="B4782" s="7" t="s">
        <v>13415</v>
      </c>
      <c r="C4782" s="39" t="n">
        <v>45954</v>
      </c>
      <c r="D4782" s="7" t="s">
        <v>238</v>
      </c>
      <c r="E4782" s="7" t="s">
        <v>180</v>
      </c>
      <c r="F4782" s="6" t="n">
        <v>8.24</v>
      </c>
      <c r="G4782" s="6" t="n">
        <v>0</v>
      </c>
      <c r="H4782" s="41" t="n">
        <v>15.85</v>
      </c>
      <c r="I4782" s="43" t="n">
        <f aca="false">F4782*H4782</f>
        <v>130.604</v>
      </c>
      <c r="J4782" s="43" t="n">
        <f aca="false">G4782*H4782*1.5</f>
        <v>0</v>
      </c>
      <c r="K4782" s="6" t="n">
        <v>29.49</v>
      </c>
      <c r="L4782" s="43" t="n">
        <f aca="false">K4782*'Chart of Accounts'!$E$68</f>
        <v>19.7583</v>
      </c>
      <c r="O4782" s="42" t="n">
        <f aca="false">I4782+J4782+L4782</f>
        <v>150.3623</v>
      </c>
    </row>
    <row r="4783" customFormat="false" ht="15" hidden="false" customHeight="false" outlineLevel="0" collapsed="false">
      <c r="B4783" s="7" t="s">
        <v>13416</v>
      </c>
      <c r="C4783" s="39" t="n">
        <v>45954</v>
      </c>
      <c r="D4783" s="7" t="s">
        <v>254</v>
      </c>
      <c r="E4783" s="7" t="s">
        <v>180</v>
      </c>
      <c r="F4783" s="6" t="n">
        <v>6.539</v>
      </c>
      <c r="G4783" s="6" t="n">
        <v>0.691</v>
      </c>
      <c r="H4783" s="41" t="n">
        <v>17.1</v>
      </c>
      <c r="I4783" s="43" t="n">
        <f aca="false">F4783*H4783</f>
        <v>111.8169</v>
      </c>
      <c r="J4783" s="43" t="n">
        <f aca="false">G4783*H4783*1.5</f>
        <v>17.72415</v>
      </c>
      <c r="K4783" s="6" t="n">
        <v>18.31</v>
      </c>
      <c r="L4783" s="43" t="n">
        <f aca="false">K4783*'Chart of Accounts'!$E$68</f>
        <v>12.2677</v>
      </c>
      <c r="O4783" s="42" t="n">
        <f aca="false">I4783+J4783+L4783</f>
        <v>141.80875</v>
      </c>
    </row>
    <row r="4784" customFormat="false" ht="15" hidden="false" customHeight="false" outlineLevel="0" collapsed="false">
      <c r="B4784" s="7" t="s">
        <v>13417</v>
      </c>
      <c r="C4784" s="39" t="n">
        <v>45954</v>
      </c>
      <c r="D4784" s="7" t="s">
        <v>201</v>
      </c>
      <c r="E4784" s="7" t="s">
        <v>180</v>
      </c>
      <c r="F4784" s="6" t="n">
        <v>3.38</v>
      </c>
      <c r="G4784" s="6" t="n">
        <v>0</v>
      </c>
      <c r="H4784" s="41" t="n">
        <v>15.19</v>
      </c>
      <c r="I4784" s="43" t="n">
        <f aca="false">F4784*H4784</f>
        <v>51.3422</v>
      </c>
      <c r="J4784" s="43" t="n">
        <f aca="false">G4784*H4784*1.5</f>
        <v>0</v>
      </c>
      <c r="K4784" s="6" t="n">
        <v>10.15</v>
      </c>
      <c r="L4784" s="43" t="n">
        <f aca="false">K4784*'Chart of Accounts'!$E$68</f>
        <v>6.8005</v>
      </c>
      <c r="O4784" s="42" t="n">
        <f aca="false">I4784+J4784+L4784</f>
        <v>58.1427</v>
      </c>
    </row>
    <row r="4785" customFormat="false" ht="15" hidden="false" customHeight="false" outlineLevel="0" collapsed="false">
      <c r="B4785" s="7" t="s">
        <v>13418</v>
      </c>
      <c r="C4785" s="39" t="n">
        <v>45954</v>
      </c>
      <c r="D4785" s="7" t="s">
        <v>250</v>
      </c>
      <c r="E4785" s="7" t="s">
        <v>180</v>
      </c>
      <c r="F4785" s="6" t="n">
        <v>3.97</v>
      </c>
      <c r="G4785" s="6" t="n">
        <v>0</v>
      </c>
      <c r="H4785" s="41" t="n">
        <v>16.88</v>
      </c>
      <c r="I4785" s="43" t="n">
        <f aca="false">F4785*H4785</f>
        <v>67.0136</v>
      </c>
      <c r="J4785" s="43" t="n">
        <f aca="false">G4785*H4785*1.5</f>
        <v>0</v>
      </c>
      <c r="K4785" s="6" t="n">
        <v>12.52</v>
      </c>
      <c r="L4785" s="43" t="n">
        <f aca="false">K4785*'Chart of Accounts'!$E$68</f>
        <v>8.3884</v>
      </c>
      <c r="O4785" s="42" t="n">
        <f aca="false">I4785+J4785+L4785</f>
        <v>75.402</v>
      </c>
    </row>
    <row r="4786" customFormat="false" ht="15" hidden="false" customHeight="false" outlineLevel="0" collapsed="false">
      <c r="B4786" s="7" t="s">
        <v>13419</v>
      </c>
      <c r="C4786" s="39" t="n">
        <v>45954</v>
      </c>
      <c r="D4786" s="7" t="s">
        <v>232</v>
      </c>
      <c r="E4786" s="7" t="s">
        <v>180</v>
      </c>
      <c r="F4786" s="6" t="n">
        <v>4.3</v>
      </c>
      <c r="G4786" s="6" t="n">
        <v>0</v>
      </c>
      <c r="H4786" s="41" t="n">
        <v>16.17</v>
      </c>
      <c r="I4786" s="43" t="n">
        <f aca="false">F4786*H4786</f>
        <v>69.531</v>
      </c>
      <c r="J4786" s="43" t="n">
        <f aca="false">G4786*H4786*1.5</f>
        <v>0</v>
      </c>
      <c r="K4786" s="6" t="n">
        <v>13.67</v>
      </c>
      <c r="L4786" s="43" t="n">
        <f aca="false">K4786*'Chart of Accounts'!$E$68</f>
        <v>9.1589</v>
      </c>
      <c r="O4786" s="42" t="n">
        <f aca="false">I4786+J4786+L4786</f>
        <v>78.6899</v>
      </c>
    </row>
    <row r="4787" customFormat="false" ht="15" hidden="false" customHeight="false" outlineLevel="0" collapsed="false">
      <c r="B4787" s="7" t="s">
        <v>13420</v>
      </c>
      <c r="C4787" s="39" t="n">
        <v>45954</v>
      </c>
      <c r="D4787" s="7" t="s">
        <v>224</v>
      </c>
      <c r="E4787" s="7" t="s">
        <v>180</v>
      </c>
      <c r="F4787" s="6" t="n">
        <v>4.98</v>
      </c>
      <c r="G4787" s="6" t="n">
        <v>0</v>
      </c>
      <c r="H4787" s="41" t="n">
        <v>14.93</v>
      </c>
      <c r="I4787" s="43" t="n">
        <f aca="false">F4787*H4787</f>
        <v>74.3514</v>
      </c>
      <c r="J4787" s="43" t="n">
        <f aca="false">G4787*H4787*1.5</f>
        <v>0</v>
      </c>
      <c r="K4787" s="6" t="n">
        <v>17.78</v>
      </c>
      <c r="L4787" s="43" t="n">
        <f aca="false">K4787*'Chart of Accounts'!$E$68</f>
        <v>11.9126</v>
      </c>
      <c r="O4787" s="42" t="n">
        <f aca="false">I4787+J4787+L4787</f>
        <v>86.264</v>
      </c>
    </row>
    <row r="4788" customFormat="false" ht="15" hidden="false" customHeight="false" outlineLevel="0" collapsed="false">
      <c r="B4788" s="7" t="s">
        <v>13421</v>
      </c>
      <c r="C4788" s="39" t="n">
        <v>45954</v>
      </c>
      <c r="D4788" s="7" t="s">
        <v>230</v>
      </c>
      <c r="E4788" s="7" t="s">
        <v>158</v>
      </c>
      <c r="H4788" s="41" t="n">
        <v>48.78</v>
      </c>
      <c r="M4788" s="6" t="n">
        <v>1</v>
      </c>
      <c r="N4788" s="43" t="n">
        <f aca="false">M4788*H4788</f>
        <v>48.78</v>
      </c>
      <c r="O4788" s="42" t="n">
        <f aca="false">N4788</f>
        <v>48.78</v>
      </c>
    </row>
    <row r="4789" customFormat="false" ht="15" hidden="false" customHeight="false" outlineLevel="0" collapsed="false">
      <c r="B4789" s="7" t="s">
        <v>13422</v>
      </c>
      <c r="C4789" s="39" t="n">
        <v>45954</v>
      </c>
      <c r="D4789" s="7" t="s">
        <v>196</v>
      </c>
      <c r="E4789" s="7" t="s">
        <v>180</v>
      </c>
      <c r="F4789" s="6" t="n">
        <v>6.462</v>
      </c>
      <c r="G4789" s="6" t="n">
        <v>0.678</v>
      </c>
      <c r="H4789" s="41" t="n">
        <v>15.05</v>
      </c>
      <c r="I4789" s="43" t="n">
        <f aca="false">F4789*H4789</f>
        <v>97.2531</v>
      </c>
      <c r="J4789" s="43" t="n">
        <f aca="false">G4789*H4789*1.5</f>
        <v>15.30585</v>
      </c>
      <c r="K4789" s="6" t="n">
        <v>21.22</v>
      </c>
      <c r="L4789" s="43" t="n">
        <f aca="false">K4789*'Chart of Accounts'!$E$68</f>
        <v>14.2174</v>
      </c>
      <c r="O4789" s="42" t="n">
        <f aca="false">I4789+J4789+L4789</f>
        <v>126.77635</v>
      </c>
    </row>
    <row r="4790" customFormat="false" ht="15" hidden="false" customHeight="false" outlineLevel="0" collapsed="false">
      <c r="B4790" s="7" t="s">
        <v>13423</v>
      </c>
      <c r="C4790" s="39" t="n">
        <v>45954</v>
      </c>
      <c r="D4790" s="7" t="s">
        <v>246</v>
      </c>
      <c r="E4790" s="7" t="s">
        <v>180</v>
      </c>
      <c r="F4790" s="6" t="n">
        <v>3.196</v>
      </c>
      <c r="G4790" s="6" t="n">
        <v>0.524</v>
      </c>
      <c r="H4790" s="41" t="n">
        <v>16.48</v>
      </c>
      <c r="I4790" s="43" t="n">
        <f aca="false">F4790*H4790</f>
        <v>52.67008</v>
      </c>
      <c r="J4790" s="43" t="n">
        <f aca="false">G4790*H4790*1.5</f>
        <v>12.95328</v>
      </c>
      <c r="K4790" s="6" t="n">
        <v>10.31</v>
      </c>
      <c r="L4790" s="43" t="n">
        <f aca="false">K4790*'Chart of Accounts'!$E$68</f>
        <v>6.9077</v>
      </c>
      <c r="O4790" s="42" t="n">
        <f aca="false">I4790+J4790+L4790</f>
        <v>72.53106</v>
      </c>
    </row>
    <row r="4791" customFormat="false" ht="15" hidden="false" customHeight="false" outlineLevel="0" collapsed="false">
      <c r="B4791" s="7" t="s">
        <v>13424</v>
      </c>
      <c r="C4791" s="39" t="n">
        <v>45954</v>
      </c>
      <c r="D4791" s="7" t="s">
        <v>222</v>
      </c>
      <c r="E4791" s="7" t="s">
        <v>180</v>
      </c>
      <c r="F4791" s="6" t="n">
        <v>4.39</v>
      </c>
      <c r="G4791" s="6" t="n">
        <v>0</v>
      </c>
      <c r="H4791" s="41" t="n">
        <v>17.84</v>
      </c>
      <c r="I4791" s="43" t="n">
        <f aca="false">F4791*H4791</f>
        <v>78.3176</v>
      </c>
      <c r="J4791" s="43" t="n">
        <f aca="false">G4791*H4791*1.5</f>
        <v>0</v>
      </c>
      <c r="K4791" s="6" t="n">
        <v>12.75</v>
      </c>
      <c r="L4791" s="43" t="n">
        <f aca="false">K4791*'Chart of Accounts'!$E$68</f>
        <v>8.5425</v>
      </c>
      <c r="O4791" s="42" t="n">
        <f aca="false">I4791+J4791+L4791</f>
        <v>86.8601</v>
      </c>
    </row>
    <row r="4792" customFormat="false" ht="15" hidden="false" customHeight="false" outlineLevel="0" collapsed="false">
      <c r="B4792" s="7" t="s">
        <v>13425</v>
      </c>
      <c r="C4792" s="39" t="n">
        <v>45954</v>
      </c>
      <c r="D4792" s="7" t="s">
        <v>203</v>
      </c>
      <c r="E4792" s="7" t="s">
        <v>158</v>
      </c>
      <c r="H4792" s="41" t="n">
        <v>49.43</v>
      </c>
      <c r="M4792" s="6" t="n">
        <v>1</v>
      </c>
      <c r="N4792" s="43" t="n">
        <f aca="false">M4792*H4792</f>
        <v>49.43</v>
      </c>
      <c r="O4792" s="42" t="n">
        <f aca="false">N4792</f>
        <v>49.43</v>
      </c>
    </row>
    <row r="4793" customFormat="false" ht="15" hidden="false" customHeight="false" outlineLevel="0" collapsed="false">
      <c r="B4793" s="7" t="s">
        <v>13426</v>
      </c>
      <c r="C4793" s="39" t="n">
        <v>45954</v>
      </c>
      <c r="D4793" s="7" t="s">
        <v>260</v>
      </c>
      <c r="E4793" s="7" t="s">
        <v>158</v>
      </c>
      <c r="H4793" s="41" t="n">
        <v>79.8</v>
      </c>
      <c r="M4793" s="6" t="n">
        <v>1</v>
      </c>
      <c r="N4793" s="43" t="n">
        <f aca="false">M4793*H4793</f>
        <v>79.8</v>
      </c>
      <c r="O4793" s="42" t="n">
        <f aca="false">N4793</f>
        <v>79.8</v>
      </c>
    </row>
    <row r="4794" customFormat="false" ht="15" hidden="false" customHeight="false" outlineLevel="0" collapsed="false">
      <c r="B4794" s="7" t="s">
        <v>13427</v>
      </c>
      <c r="C4794" s="39" t="n">
        <v>45955</v>
      </c>
      <c r="D4794" s="7" t="s">
        <v>184</v>
      </c>
      <c r="E4794" s="7" t="s">
        <v>180</v>
      </c>
      <c r="F4794" s="6" t="n">
        <v>4.08</v>
      </c>
      <c r="G4794" s="6" t="n">
        <v>0</v>
      </c>
      <c r="H4794" s="41" t="n">
        <v>17.34</v>
      </c>
      <c r="I4794" s="43" t="n">
        <f aca="false">F4794*H4794</f>
        <v>70.7472</v>
      </c>
      <c r="J4794" s="43" t="n">
        <f aca="false">G4794*H4794*1.5</f>
        <v>0</v>
      </c>
      <c r="K4794" s="6" t="n">
        <v>14.27</v>
      </c>
      <c r="L4794" s="43" t="n">
        <f aca="false">K4794*'Chart of Accounts'!$E$68</f>
        <v>9.5609</v>
      </c>
      <c r="O4794" s="42" t="n">
        <f aca="false">I4794+J4794+L4794</f>
        <v>80.3081</v>
      </c>
    </row>
    <row r="4795" customFormat="false" ht="15" hidden="false" customHeight="false" outlineLevel="0" collapsed="false">
      <c r="B4795" s="7" t="s">
        <v>13428</v>
      </c>
      <c r="C4795" s="39" t="n">
        <v>45955</v>
      </c>
      <c r="D4795" s="7" t="s">
        <v>218</v>
      </c>
      <c r="E4795" s="7" t="s">
        <v>180</v>
      </c>
      <c r="F4795" s="6" t="n">
        <v>4.3</v>
      </c>
      <c r="G4795" s="6" t="n">
        <v>0</v>
      </c>
      <c r="H4795" s="41" t="n">
        <v>16.19</v>
      </c>
      <c r="I4795" s="43" t="n">
        <f aca="false">F4795*H4795</f>
        <v>69.617</v>
      </c>
      <c r="J4795" s="43" t="n">
        <f aca="false">G4795*H4795*1.5</f>
        <v>0</v>
      </c>
      <c r="K4795" s="6" t="n">
        <v>9.88</v>
      </c>
      <c r="L4795" s="43" t="n">
        <f aca="false">K4795*'Chart of Accounts'!$E$68</f>
        <v>6.6196</v>
      </c>
      <c r="O4795" s="42" t="n">
        <f aca="false">I4795+J4795+L4795</f>
        <v>76.2366</v>
      </c>
    </row>
    <row r="4796" customFormat="false" ht="15" hidden="false" customHeight="false" outlineLevel="0" collapsed="false">
      <c r="B4796" s="7" t="s">
        <v>13429</v>
      </c>
      <c r="C4796" s="39" t="n">
        <v>45955</v>
      </c>
      <c r="D4796" s="7" t="s">
        <v>246</v>
      </c>
      <c r="E4796" s="7" t="s">
        <v>180</v>
      </c>
      <c r="F4796" s="6" t="n">
        <v>3.686</v>
      </c>
      <c r="G4796" s="6" t="n">
        <v>0.604</v>
      </c>
      <c r="H4796" s="41" t="n">
        <v>16.48</v>
      </c>
      <c r="I4796" s="43" t="n">
        <f aca="false">F4796*H4796</f>
        <v>60.74528</v>
      </c>
      <c r="J4796" s="43" t="n">
        <f aca="false">G4796*H4796*1.5</f>
        <v>14.93088</v>
      </c>
      <c r="K4796" s="6" t="n">
        <v>12.82</v>
      </c>
      <c r="L4796" s="43" t="n">
        <f aca="false">K4796*'Chart of Accounts'!$E$68</f>
        <v>8.5894</v>
      </c>
      <c r="O4796" s="42" t="n">
        <f aca="false">I4796+J4796+L4796</f>
        <v>84.26556</v>
      </c>
    </row>
    <row r="4797" customFormat="false" ht="15" hidden="false" customHeight="false" outlineLevel="0" collapsed="false">
      <c r="B4797" s="7" t="s">
        <v>13430</v>
      </c>
      <c r="C4797" s="39" t="n">
        <v>45955</v>
      </c>
      <c r="D4797" s="7" t="s">
        <v>196</v>
      </c>
      <c r="E4797" s="7" t="s">
        <v>180</v>
      </c>
      <c r="F4797" s="6" t="n">
        <v>3.982</v>
      </c>
      <c r="G4797" s="6" t="n">
        <v>0.418</v>
      </c>
      <c r="H4797" s="41" t="n">
        <v>15.05</v>
      </c>
      <c r="I4797" s="43" t="n">
        <f aca="false">F4797*H4797</f>
        <v>59.9291</v>
      </c>
      <c r="J4797" s="43" t="n">
        <f aca="false">G4797*H4797*1.5</f>
        <v>9.43635</v>
      </c>
      <c r="K4797" s="6" t="n">
        <v>13.62</v>
      </c>
      <c r="L4797" s="43" t="n">
        <f aca="false">K4797*'Chart of Accounts'!$E$68</f>
        <v>9.1254</v>
      </c>
      <c r="O4797" s="42" t="n">
        <f aca="false">I4797+J4797+L4797</f>
        <v>78.49085</v>
      </c>
    </row>
    <row r="4798" customFormat="false" ht="15" hidden="false" customHeight="false" outlineLevel="0" collapsed="false">
      <c r="B4798" s="7" t="s">
        <v>13431</v>
      </c>
      <c r="C4798" s="39" t="n">
        <v>45955</v>
      </c>
      <c r="D4798" s="7" t="s">
        <v>222</v>
      </c>
      <c r="E4798" s="7" t="s">
        <v>180</v>
      </c>
      <c r="F4798" s="6" t="n">
        <v>4.09</v>
      </c>
      <c r="G4798" s="6" t="n">
        <v>0</v>
      </c>
      <c r="H4798" s="41" t="n">
        <v>17.84</v>
      </c>
      <c r="I4798" s="43" t="n">
        <f aca="false">F4798*H4798</f>
        <v>72.9656</v>
      </c>
      <c r="J4798" s="43" t="n">
        <f aca="false">G4798*H4798*1.5</f>
        <v>0</v>
      </c>
      <c r="K4798" s="6" t="n">
        <v>9.24</v>
      </c>
      <c r="L4798" s="43" t="n">
        <f aca="false">K4798*'Chart of Accounts'!$E$68</f>
        <v>6.1908</v>
      </c>
      <c r="O4798" s="42" t="n">
        <f aca="false">I4798+J4798+L4798</f>
        <v>79.1564</v>
      </c>
    </row>
    <row r="4799" customFormat="false" ht="15" hidden="false" customHeight="false" outlineLevel="0" collapsed="false">
      <c r="B4799" s="7" t="s">
        <v>13432</v>
      </c>
      <c r="C4799" s="39" t="n">
        <v>45955</v>
      </c>
      <c r="D4799" s="7" t="s">
        <v>242</v>
      </c>
      <c r="E4799" s="7" t="s">
        <v>180</v>
      </c>
      <c r="F4799" s="6" t="n">
        <v>3.75</v>
      </c>
      <c r="G4799" s="6" t="n">
        <v>0</v>
      </c>
      <c r="H4799" s="41" t="n">
        <v>17.99</v>
      </c>
      <c r="I4799" s="43" t="n">
        <f aca="false">F4799*H4799</f>
        <v>67.4625</v>
      </c>
      <c r="J4799" s="43" t="n">
        <f aca="false">G4799*H4799*1.5</f>
        <v>0</v>
      </c>
      <c r="K4799" s="6" t="n">
        <v>12.6</v>
      </c>
      <c r="L4799" s="43" t="n">
        <f aca="false">K4799*'Chart of Accounts'!$E$68</f>
        <v>8.442</v>
      </c>
      <c r="O4799" s="42" t="n">
        <f aca="false">I4799+J4799+L4799</f>
        <v>75.9045</v>
      </c>
    </row>
    <row r="4800" customFormat="false" ht="15" hidden="false" customHeight="false" outlineLevel="0" collapsed="false">
      <c r="B4800" s="7" t="s">
        <v>13433</v>
      </c>
      <c r="C4800" s="39" t="n">
        <v>45955</v>
      </c>
      <c r="D4800" s="7" t="s">
        <v>254</v>
      </c>
      <c r="E4800" s="7" t="s">
        <v>180</v>
      </c>
      <c r="F4800" s="6" t="n">
        <v>3.418</v>
      </c>
      <c r="G4800" s="6" t="n">
        <v>0.362</v>
      </c>
      <c r="H4800" s="41" t="n">
        <v>17.1</v>
      </c>
      <c r="I4800" s="43" t="n">
        <f aca="false">F4800*H4800</f>
        <v>58.4478</v>
      </c>
      <c r="J4800" s="43" t="n">
        <f aca="false">G4800*H4800*1.5</f>
        <v>9.2853</v>
      </c>
      <c r="K4800" s="6" t="n">
        <v>8.96</v>
      </c>
      <c r="L4800" s="43" t="n">
        <f aca="false">K4800*'Chart of Accounts'!$E$68</f>
        <v>6.0032</v>
      </c>
      <c r="O4800" s="42" t="n">
        <f aca="false">I4800+J4800+L4800</f>
        <v>73.7363</v>
      </c>
    </row>
    <row r="4801" customFormat="false" ht="15" hidden="false" customHeight="false" outlineLevel="0" collapsed="false">
      <c r="B4801" s="7" t="s">
        <v>13434</v>
      </c>
      <c r="C4801" s="39" t="n">
        <v>45956</v>
      </c>
      <c r="D4801" s="7" t="s">
        <v>218</v>
      </c>
      <c r="E4801" s="7" t="s">
        <v>180</v>
      </c>
      <c r="F4801" s="6" t="n">
        <v>7.6</v>
      </c>
      <c r="G4801" s="6" t="n">
        <v>0</v>
      </c>
      <c r="H4801" s="41" t="n">
        <v>16.19</v>
      </c>
      <c r="I4801" s="43" t="n">
        <f aca="false">F4801*H4801</f>
        <v>123.044</v>
      </c>
      <c r="J4801" s="43" t="n">
        <f aca="false">G4801*H4801*1.5</f>
        <v>0</v>
      </c>
      <c r="K4801" s="6" t="n">
        <v>22.26</v>
      </c>
      <c r="L4801" s="43" t="n">
        <f aca="false">K4801*'Chart of Accounts'!$E$68</f>
        <v>14.9142</v>
      </c>
      <c r="O4801" s="42" t="n">
        <f aca="false">I4801+J4801+L4801</f>
        <v>137.9582</v>
      </c>
    </row>
    <row r="4802" customFormat="false" ht="15" hidden="false" customHeight="false" outlineLevel="0" collapsed="false">
      <c r="B4802" s="7" t="s">
        <v>13435</v>
      </c>
      <c r="C4802" s="39" t="n">
        <v>45956</v>
      </c>
      <c r="D4802" s="7" t="s">
        <v>240</v>
      </c>
      <c r="E4802" s="7" t="s">
        <v>180</v>
      </c>
      <c r="F4802" s="6" t="n">
        <v>4.26</v>
      </c>
      <c r="G4802" s="6" t="n">
        <v>0</v>
      </c>
      <c r="H4802" s="41" t="n">
        <v>16.96</v>
      </c>
      <c r="I4802" s="43" t="n">
        <f aca="false">F4802*H4802</f>
        <v>72.2496</v>
      </c>
      <c r="J4802" s="43" t="n">
        <f aca="false">G4802*H4802*1.5</f>
        <v>0</v>
      </c>
      <c r="K4802" s="6" t="n">
        <v>10.69</v>
      </c>
      <c r="L4802" s="43" t="n">
        <f aca="false">K4802*'Chart of Accounts'!$E$68</f>
        <v>7.1623</v>
      </c>
      <c r="O4802" s="42" t="n">
        <f aca="false">I4802+J4802+L4802</f>
        <v>79.4119</v>
      </c>
    </row>
    <row r="4803" customFormat="false" ht="15" hidden="false" customHeight="false" outlineLevel="0" collapsed="false">
      <c r="B4803" s="7" t="s">
        <v>13436</v>
      </c>
      <c r="C4803" s="39" t="n">
        <v>45956</v>
      </c>
      <c r="D4803" s="7" t="s">
        <v>196</v>
      </c>
      <c r="E4803" s="7" t="s">
        <v>180</v>
      </c>
      <c r="F4803" s="6" t="n">
        <v>3.982</v>
      </c>
      <c r="G4803" s="6" t="n">
        <v>0.418</v>
      </c>
      <c r="H4803" s="41" t="n">
        <v>15.05</v>
      </c>
      <c r="I4803" s="43" t="n">
        <f aca="false">F4803*H4803</f>
        <v>59.9291</v>
      </c>
      <c r="J4803" s="43" t="n">
        <f aca="false">G4803*H4803*1.5</f>
        <v>9.43635</v>
      </c>
      <c r="K4803" s="6" t="n">
        <v>11.01</v>
      </c>
      <c r="L4803" s="43" t="n">
        <f aca="false">K4803*'Chart of Accounts'!$E$68</f>
        <v>7.3767</v>
      </c>
      <c r="O4803" s="42" t="n">
        <f aca="false">I4803+J4803+L4803</f>
        <v>76.74215</v>
      </c>
    </row>
    <row r="4804" customFormat="false" ht="15" hidden="false" customHeight="false" outlineLevel="0" collapsed="false">
      <c r="B4804" s="7" t="s">
        <v>13437</v>
      </c>
      <c r="C4804" s="39" t="n">
        <v>45956</v>
      </c>
      <c r="D4804" s="7" t="s">
        <v>222</v>
      </c>
      <c r="E4804" s="7" t="s">
        <v>180</v>
      </c>
      <c r="F4804" s="6" t="n">
        <v>4.22</v>
      </c>
      <c r="G4804" s="6" t="n">
        <v>0</v>
      </c>
      <c r="H4804" s="41" t="n">
        <v>17.84</v>
      </c>
      <c r="I4804" s="43" t="n">
        <f aca="false">F4804*H4804</f>
        <v>75.2848</v>
      </c>
      <c r="J4804" s="43" t="n">
        <f aca="false">G4804*H4804*1.5</f>
        <v>0</v>
      </c>
      <c r="K4804" s="6" t="n">
        <v>10.06</v>
      </c>
      <c r="L4804" s="43" t="n">
        <f aca="false">K4804*'Chart of Accounts'!$E$68</f>
        <v>6.7402</v>
      </c>
      <c r="O4804" s="42" t="n">
        <f aca="false">I4804+J4804+L4804</f>
        <v>82.025</v>
      </c>
    </row>
    <row r="4805" customFormat="false" ht="15" hidden="false" customHeight="false" outlineLevel="0" collapsed="false">
      <c r="B4805" s="7" t="s">
        <v>13438</v>
      </c>
      <c r="C4805" s="39" t="n">
        <v>45956</v>
      </c>
      <c r="D4805" s="7" t="s">
        <v>242</v>
      </c>
      <c r="E4805" s="7" t="s">
        <v>180</v>
      </c>
      <c r="F4805" s="6" t="n">
        <v>4.27</v>
      </c>
      <c r="G4805" s="6" t="n">
        <v>0</v>
      </c>
      <c r="H4805" s="41" t="n">
        <v>17.99</v>
      </c>
      <c r="I4805" s="43" t="n">
        <f aca="false">F4805*H4805</f>
        <v>76.8173</v>
      </c>
      <c r="J4805" s="43" t="n">
        <f aca="false">G4805*H4805*1.5</f>
        <v>0</v>
      </c>
      <c r="K4805" s="6" t="n">
        <v>12.64</v>
      </c>
      <c r="L4805" s="43" t="n">
        <f aca="false">K4805*'Chart of Accounts'!$E$68</f>
        <v>8.4688</v>
      </c>
      <c r="O4805" s="42" t="n">
        <f aca="false">I4805+J4805+L4805</f>
        <v>85.2861</v>
      </c>
    </row>
    <row r="4806" customFormat="false" ht="15" hidden="false" customHeight="false" outlineLevel="0" collapsed="false">
      <c r="B4806" s="7" t="s">
        <v>13439</v>
      </c>
      <c r="C4806" s="39" t="n">
        <v>45956</v>
      </c>
      <c r="D4806" s="7" t="s">
        <v>254</v>
      </c>
      <c r="E4806" s="7" t="s">
        <v>180</v>
      </c>
      <c r="F4806" s="6" t="n">
        <v>3.283</v>
      </c>
      <c r="G4806" s="6" t="n">
        <v>0.347</v>
      </c>
      <c r="H4806" s="41" t="n">
        <v>17.1</v>
      </c>
      <c r="I4806" s="43" t="n">
        <f aca="false">F4806*H4806</f>
        <v>56.1393</v>
      </c>
      <c r="J4806" s="43" t="n">
        <f aca="false">G4806*H4806*1.5</f>
        <v>8.90055</v>
      </c>
      <c r="K4806" s="6" t="n">
        <v>11.62</v>
      </c>
      <c r="L4806" s="43" t="n">
        <f aca="false">K4806*'Chart of Accounts'!$E$68</f>
        <v>7.7854</v>
      </c>
      <c r="O4806" s="42" t="n">
        <f aca="false">I4806+J4806+L4806</f>
        <v>72.82525</v>
      </c>
    </row>
    <row r="4807" customFormat="false" ht="15" hidden="false" customHeight="false" outlineLevel="0" collapsed="false">
      <c r="B4807" s="7" t="s">
        <v>13440</v>
      </c>
      <c r="C4807" s="39" t="n">
        <v>45957</v>
      </c>
      <c r="D4807" s="7" t="s">
        <v>220</v>
      </c>
      <c r="E4807" s="7" t="s">
        <v>180</v>
      </c>
      <c r="F4807" s="6" t="n">
        <v>7.72</v>
      </c>
      <c r="G4807" s="6" t="n">
        <v>0</v>
      </c>
      <c r="H4807" s="41" t="n">
        <v>16.43</v>
      </c>
      <c r="I4807" s="43" t="n">
        <f aca="false">F4807*H4807</f>
        <v>126.8396</v>
      </c>
      <c r="J4807" s="43" t="n">
        <f aca="false">G4807*H4807*1.5</f>
        <v>0</v>
      </c>
      <c r="K4807" s="6" t="n">
        <v>24.13</v>
      </c>
      <c r="L4807" s="43" t="n">
        <f aca="false">K4807*'Chart of Accounts'!$E$68</f>
        <v>16.1671</v>
      </c>
      <c r="O4807" s="42" t="n">
        <f aca="false">I4807+J4807+L4807</f>
        <v>143.0067</v>
      </c>
    </row>
    <row r="4808" customFormat="false" ht="15" hidden="false" customHeight="false" outlineLevel="0" collapsed="false">
      <c r="B4808" s="7" t="s">
        <v>13441</v>
      </c>
      <c r="C4808" s="39" t="n">
        <v>45957</v>
      </c>
      <c r="D4808" s="7" t="s">
        <v>194</v>
      </c>
      <c r="E4808" s="7" t="s">
        <v>180</v>
      </c>
      <c r="F4808" s="6" t="n">
        <v>10.98</v>
      </c>
      <c r="G4808" s="6" t="n">
        <v>0</v>
      </c>
      <c r="H4808" s="41" t="n">
        <v>16</v>
      </c>
      <c r="I4808" s="43" t="n">
        <f aca="false">F4808*H4808</f>
        <v>175.68</v>
      </c>
      <c r="J4808" s="43" t="n">
        <f aca="false">G4808*H4808*1.5</f>
        <v>0</v>
      </c>
      <c r="K4808" s="6" t="n">
        <v>24.18</v>
      </c>
      <c r="L4808" s="43" t="n">
        <f aca="false">K4808*'Chart of Accounts'!$E$68</f>
        <v>16.2006</v>
      </c>
      <c r="O4808" s="42" t="n">
        <f aca="false">I4808+J4808+L4808</f>
        <v>191.8806</v>
      </c>
    </row>
    <row r="4809" customFormat="false" ht="15" hidden="false" customHeight="false" outlineLevel="0" collapsed="false">
      <c r="B4809" s="7" t="s">
        <v>13442</v>
      </c>
      <c r="C4809" s="39" t="n">
        <v>45957</v>
      </c>
      <c r="D4809" s="7" t="s">
        <v>214</v>
      </c>
      <c r="E4809" s="7" t="s">
        <v>180</v>
      </c>
      <c r="F4809" s="6" t="n">
        <v>10.56</v>
      </c>
      <c r="G4809" s="6" t="n">
        <v>0</v>
      </c>
      <c r="H4809" s="41" t="n">
        <v>15.67</v>
      </c>
      <c r="I4809" s="43" t="n">
        <f aca="false">F4809*H4809</f>
        <v>165.4752</v>
      </c>
      <c r="J4809" s="43" t="n">
        <f aca="false">G4809*H4809*1.5</f>
        <v>0</v>
      </c>
      <c r="K4809" s="6" t="n">
        <v>35.28</v>
      </c>
      <c r="L4809" s="43" t="n">
        <f aca="false">K4809*'Chart of Accounts'!$E$68</f>
        <v>23.6376</v>
      </c>
      <c r="O4809" s="42" t="n">
        <f aca="false">I4809+J4809+L4809</f>
        <v>189.1128</v>
      </c>
    </row>
    <row r="4810" customFormat="false" ht="15" hidden="false" customHeight="false" outlineLevel="0" collapsed="false">
      <c r="B4810" s="7" t="s">
        <v>13443</v>
      </c>
      <c r="C4810" s="39" t="n">
        <v>45957</v>
      </c>
      <c r="D4810" s="7" t="s">
        <v>201</v>
      </c>
      <c r="E4810" s="7" t="s">
        <v>180</v>
      </c>
      <c r="F4810" s="6" t="n">
        <v>9.11</v>
      </c>
      <c r="G4810" s="6" t="n">
        <v>0</v>
      </c>
      <c r="H4810" s="41" t="n">
        <v>15.19</v>
      </c>
      <c r="I4810" s="43" t="n">
        <f aca="false">F4810*H4810</f>
        <v>138.3809</v>
      </c>
      <c r="J4810" s="43" t="n">
        <f aca="false">G4810*H4810*1.5</f>
        <v>0</v>
      </c>
      <c r="K4810" s="6" t="n">
        <v>26.62</v>
      </c>
      <c r="L4810" s="43" t="n">
        <f aca="false">K4810*'Chart of Accounts'!$E$68</f>
        <v>17.8354</v>
      </c>
      <c r="O4810" s="42" t="n">
        <f aca="false">I4810+J4810+L4810</f>
        <v>156.2163</v>
      </c>
    </row>
    <row r="4811" customFormat="false" ht="15" hidden="false" customHeight="false" outlineLevel="0" collapsed="false">
      <c r="B4811" s="7" t="s">
        <v>13444</v>
      </c>
      <c r="C4811" s="39" t="n">
        <v>45957</v>
      </c>
      <c r="D4811" s="7" t="s">
        <v>240</v>
      </c>
      <c r="E4811" s="7" t="s">
        <v>180</v>
      </c>
      <c r="F4811" s="6" t="n">
        <v>3.67</v>
      </c>
      <c r="G4811" s="6" t="n">
        <v>0</v>
      </c>
      <c r="H4811" s="41" t="n">
        <v>16.96</v>
      </c>
      <c r="I4811" s="43" t="n">
        <f aca="false">F4811*H4811</f>
        <v>62.2432</v>
      </c>
      <c r="J4811" s="43" t="n">
        <f aca="false">G4811*H4811*1.5</f>
        <v>0</v>
      </c>
      <c r="K4811" s="6" t="n">
        <v>9.7</v>
      </c>
      <c r="L4811" s="43" t="n">
        <f aca="false">K4811*'Chart of Accounts'!$E$68</f>
        <v>6.499</v>
      </c>
      <c r="O4811" s="42" t="n">
        <f aca="false">I4811+J4811+L4811</f>
        <v>68.7422</v>
      </c>
    </row>
    <row r="4812" customFormat="false" ht="15" hidden="false" customHeight="false" outlineLevel="0" collapsed="false">
      <c r="B4812" s="7" t="s">
        <v>13445</v>
      </c>
      <c r="C4812" s="39" t="n">
        <v>45957</v>
      </c>
      <c r="D4812" s="7" t="s">
        <v>205</v>
      </c>
      <c r="E4812" s="7" t="s">
        <v>180</v>
      </c>
      <c r="F4812" s="6" t="n">
        <v>4.22</v>
      </c>
      <c r="G4812" s="6" t="n">
        <v>0</v>
      </c>
      <c r="H4812" s="41" t="n">
        <v>16.36</v>
      </c>
      <c r="I4812" s="43" t="n">
        <f aca="false">F4812*H4812</f>
        <v>69.0392</v>
      </c>
      <c r="J4812" s="43" t="n">
        <f aca="false">G4812*H4812*1.5</f>
        <v>0</v>
      </c>
      <c r="K4812" s="6" t="n">
        <v>9.29</v>
      </c>
      <c r="L4812" s="43" t="n">
        <f aca="false">K4812*'Chart of Accounts'!$E$68</f>
        <v>6.2243</v>
      </c>
      <c r="O4812" s="42" t="n">
        <f aca="false">I4812+J4812+L4812</f>
        <v>75.2635</v>
      </c>
    </row>
    <row r="4813" customFormat="false" ht="15" hidden="false" customHeight="false" outlineLevel="0" collapsed="false">
      <c r="B4813" s="7" t="s">
        <v>13446</v>
      </c>
      <c r="C4813" s="39" t="n">
        <v>45957</v>
      </c>
      <c r="D4813" s="7" t="s">
        <v>264</v>
      </c>
      <c r="E4813" s="7" t="s">
        <v>158</v>
      </c>
      <c r="H4813" s="41" t="n">
        <v>55.55</v>
      </c>
      <c r="M4813" s="6" t="n">
        <v>1</v>
      </c>
      <c r="N4813" s="43" t="n">
        <f aca="false">M4813*H4813</f>
        <v>55.55</v>
      </c>
      <c r="O4813" s="42" t="n">
        <f aca="false">N4813</f>
        <v>55.55</v>
      </c>
    </row>
    <row r="4814" customFormat="false" ht="15" hidden="false" customHeight="false" outlineLevel="0" collapsed="false">
      <c r="B4814" s="7" t="s">
        <v>13447</v>
      </c>
      <c r="C4814" s="39" t="n">
        <v>45957</v>
      </c>
      <c r="D4814" s="7" t="s">
        <v>252</v>
      </c>
      <c r="E4814" s="7" t="s">
        <v>158</v>
      </c>
      <c r="H4814" s="41" t="n">
        <v>57.54</v>
      </c>
      <c r="M4814" s="6" t="n">
        <v>1</v>
      </c>
      <c r="N4814" s="43" t="n">
        <f aca="false">M4814*H4814</f>
        <v>57.54</v>
      </c>
      <c r="O4814" s="42" t="n">
        <f aca="false">N4814</f>
        <v>57.54</v>
      </c>
    </row>
    <row r="4815" customFormat="false" ht="15" hidden="false" customHeight="false" outlineLevel="0" collapsed="false">
      <c r="B4815" s="7" t="s">
        <v>13448</v>
      </c>
      <c r="C4815" s="39" t="n">
        <v>45957</v>
      </c>
      <c r="D4815" s="7" t="s">
        <v>196</v>
      </c>
      <c r="E4815" s="7" t="s">
        <v>180</v>
      </c>
      <c r="F4815" s="6" t="n">
        <v>9.94</v>
      </c>
      <c r="G4815" s="6" t="n">
        <v>0</v>
      </c>
      <c r="H4815" s="41" t="n">
        <v>15.05</v>
      </c>
      <c r="I4815" s="43" t="n">
        <f aca="false">F4815*H4815</f>
        <v>149.597</v>
      </c>
      <c r="J4815" s="43" t="n">
        <f aca="false">G4815*H4815*1.5</f>
        <v>0</v>
      </c>
      <c r="K4815" s="6" t="n">
        <v>33.87</v>
      </c>
      <c r="L4815" s="43" t="n">
        <f aca="false">K4815*'Chart of Accounts'!$E$68</f>
        <v>22.6929</v>
      </c>
      <c r="O4815" s="42" t="n">
        <f aca="false">I4815+J4815+L4815</f>
        <v>172.2899</v>
      </c>
    </row>
    <row r="4816" customFormat="false" ht="15" hidden="false" customHeight="false" outlineLevel="0" collapsed="false">
      <c r="B4816" s="7" t="s">
        <v>13449</v>
      </c>
      <c r="C4816" s="39" t="n">
        <v>45957</v>
      </c>
      <c r="D4816" s="7" t="s">
        <v>184</v>
      </c>
      <c r="E4816" s="7" t="s">
        <v>180</v>
      </c>
      <c r="F4816" s="6" t="n">
        <v>7.39</v>
      </c>
      <c r="G4816" s="6" t="n">
        <v>0</v>
      </c>
      <c r="H4816" s="41" t="n">
        <v>17.34</v>
      </c>
      <c r="I4816" s="43" t="n">
        <f aca="false">F4816*H4816</f>
        <v>128.1426</v>
      </c>
      <c r="J4816" s="43" t="n">
        <f aca="false">G4816*H4816*1.5</f>
        <v>0</v>
      </c>
      <c r="K4816" s="6" t="n">
        <v>17.99</v>
      </c>
      <c r="L4816" s="43" t="n">
        <f aca="false">K4816*'Chart of Accounts'!$E$68</f>
        <v>12.0533</v>
      </c>
      <c r="O4816" s="42" t="n">
        <f aca="false">I4816+J4816+L4816</f>
        <v>140.1959</v>
      </c>
    </row>
    <row r="4817" customFormat="false" ht="15" hidden="false" customHeight="false" outlineLevel="0" collapsed="false">
      <c r="B4817" s="7" t="s">
        <v>13450</v>
      </c>
      <c r="C4817" s="39" t="n">
        <v>45957</v>
      </c>
      <c r="D4817" s="7" t="s">
        <v>216</v>
      </c>
      <c r="E4817" s="7" t="s">
        <v>158</v>
      </c>
      <c r="H4817" s="41" t="n">
        <v>61.79</v>
      </c>
      <c r="M4817" s="6" t="n">
        <v>1</v>
      </c>
      <c r="N4817" s="43" t="n">
        <f aca="false">M4817*H4817</f>
        <v>61.79</v>
      </c>
      <c r="O4817" s="42" t="n">
        <f aca="false">N4817</f>
        <v>61.79</v>
      </c>
    </row>
    <row r="4818" customFormat="false" ht="15" hidden="false" customHeight="false" outlineLevel="0" collapsed="false">
      <c r="B4818" s="7" t="s">
        <v>13451</v>
      </c>
      <c r="C4818" s="39" t="n">
        <v>45957</v>
      </c>
      <c r="D4818" s="7" t="s">
        <v>218</v>
      </c>
      <c r="E4818" s="7" t="s">
        <v>180</v>
      </c>
      <c r="F4818" s="6" t="n">
        <v>3.96</v>
      </c>
      <c r="G4818" s="6" t="n">
        <v>0</v>
      </c>
      <c r="H4818" s="41" t="n">
        <v>16.19</v>
      </c>
      <c r="I4818" s="43" t="n">
        <f aca="false">F4818*H4818</f>
        <v>64.1124</v>
      </c>
      <c r="J4818" s="43" t="n">
        <f aca="false">G4818*H4818*1.5</f>
        <v>0</v>
      </c>
      <c r="K4818" s="6" t="n">
        <v>10.59</v>
      </c>
      <c r="L4818" s="43" t="n">
        <f aca="false">K4818*'Chart of Accounts'!$E$68</f>
        <v>7.0953</v>
      </c>
      <c r="O4818" s="42" t="n">
        <f aca="false">I4818+J4818+L4818</f>
        <v>71.2077</v>
      </c>
    </row>
    <row r="4819" customFormat="false" ht="15" hidden="false" customHeight="false" outlineLevel="0" collapsed="false">
      <c r="B4819" s="7" t="s">
        <v>13452</v>
      </c>
      <c r="C4819" s="39" t="n">
        <v>45957</v>
      </c>
      <c r="D4819" s="7" t="s">
        <v>238</v>
      </c>
      <c r="E4819" s="7" t="s">
        <v>180</v>
      </c>
      <c r="F4819" s="6" t="n">
        <v>11.33</v>
      </c>
      <c r="G4819" s="6" t="n">
        <v>0</v>
      </c>
      <c r="H4819" s="41" t="n">
        <v>15.85</v>
      </c>
      <c r="I4819" s="43" t="n">
        <f aca="false">F4819*H4819</f>
        <v>179.5805</v>
      </c>
      <c r="J4819" s="43" t="n">
        <f aca="false">G4819*H4819*1.5</f>
        <v>0</v>
      </c>
      <c r="K4819" s="6" t="n">
        <v>38.48</v>
      </c>
      <c r="L4819" s="43" t="n">
        <f aca="false">K4819*'Chart of Accounts'!$E$68</f>
        <v>25.7816</v>
      </c>
      <c r="O4819" s="42" t="n">
        <f aca="false">I4819+J4819+L4819</f>
        <v>205.3621</v>
      </c>
    </row>
    <row r="4820" customFormat="false" ht="15" hidden="false" customHeight="false" outlineLevel="0" collapsed="false">
      <c r="B4820" s="7" t="s">
        <v>13453</v>
      </c>
      <c r="C4820" s="39" t="n">
        <v>45957</v>
      </c>
      <c r="D4820" s="7" t="s">
        <v>224</v>
      </c>
      <c r="E4820" s="7" t="s">
        <v>180</v>
      </c>
      <c r="F4820" s="6" t="n">
        <v>12.15</v>
      </c>
      <c r="G4820" s="6" t="n">
        <v>0</v>
      </c>
      <c r="H4820" s="41" t="n">
        <v>14.93</v>
      </c>
      <c r="I4820" s="43" t="n">
        <f aca="false">F4820*H4820</f>
        <v>181.3995</v>
      </c>
      <c r="J4820" s="43" t="n">
        <f aca="false">G4820*H4820*1.5</f>
        <v>0</v>
      </c>
      <c r="K4820" s="6" t="n">
        <v>30.01</v>
      </c>
      <c r="L4820" s="43" t="n">
        <f aca="false">K4820*'Chart of Accounts'!$E$68</f>
        <v>20.1067</v>
      </c>
      <c r="O4820" s="42" t="n">
        <f aca="false">I4820+J4820+L4820</f>
        <v>201.5062</v>
      </c>
    </row>
    <row r="4821" customFormat="false" ht="15" hidden="false" customHeight="false" outlineLevel="0" collapsed="false">
      <c r="B4821" s="7" t="s">
        <v>13454</v>
      </c>
      <c r="C4821" s="39" t="n">
        <v>45957</v>
      </c>
      <c r="D4821" s="7" t="s">
        <v>236</v>
      </c>
      <c r="E4821" s="7" t="s">
        <v>180</v>
      </c>
      <c r="F4821" s="6" t="n">
        <v>3.52</v>
      </c>
      <c r="G4821" s="6" t="n">
        <v>0</v>
      </c>
      <c r="H4821" s="41" t="n">
        <v>15.49</v>
      </c>
      <c r="I4821" s="43" t="n">
        <f aca="false">F4821*H4821</f>
        <v>54.5248</v>
      </c>
      <c r="J4821" s="43" t="n">
        <f aca="false">G4821*H4821*1.5</f>
        <v>0</v>
      </c>
      <c r="K4821" s="6" t="n">
        <v>10.3</v>
      </c>
      <c r="L4821" s="43" t="n">
        <f aca="false">K4821*'Chart of Accounts'!$E$68</f>
        <v>6.901</v>
      </c>
      <c r="O4821" s="42" t="n">
        <f aca="false">I4821+J4821+L4821</f>
        <v>61.4258</v>
      </c>
    </row>
    <row r="4822" customFormat="false" ht="15" hidden="false" customHeight="false" outlineLevel="0" collapsed="false">
      <c r="B4822" s="7" t="s">
        <v>13455</v>
      </c>
      <c r="C4822" s="39" t="n">
        <v>45957</v>
      </c>
      <c r="D4822" s="7" t="s">
        <v>177</v>
      </c>
      <c r="E4822" s="7" t="s">
        <v>180</v>
      </c>
      <c r="F4822" s="6" t="n">
        <v>9.01</v>
      </c>
      <c r="G4822" s="6" t="n">
        <v>0</v>
      </c>
      <c r="H4822" s="41" t="n">
        <v>14.56</v>
      </c>
      <c r="I4822" s="43" t="n">
        <f aca="false">F4822*H4822</f>
        <v>131.1856</v>
      </c>
      <c r="J4822" s="43" t="n">
        <f aca="false">G4822*H4822*1.5</f>
        <v>0</v>
      </c>
      <c r="K4822" s="6" t="n">
        <v>21.16</v>
      </c>
      <c r="L4822" s="43" t="n">
        <f aca="false">K4822*'Chart of Accounts'!$E$68</f>
        <v>14.1772</v>
      </c>
      <c r="O4822" s="42" t="n">
        <f aca="false">I4822+J4822+L4822</f>
        <v>145.3628</v>
      </c>
    </row>
    <row r="4823" customFormat="false" ht="15" hidden="false" customHeight="false" outlineLevel="0" collapsed="false">
      <c r="B4823" s="7" t="s">
        <v>13456</v>
      </c>
      <c r="C4823" s="39" t="n">
        <v>45957</v>
      </c>
      <c r="D4823" s="7" t="s">
        <v>242</v>
      </c>
      <c r="E4823" s="7" t="s">
        <v>180</v>
      </c>
      <c r="F4823" s="6" t="n">
        <v>10.671</v>
      </c>
      <c r="G4823" s="6" t="n">
        <v>0.189</v>
      </c>
      <c r="H4823" s="41" t="n">
        <v>17.99</v>
      </c>
      <c r="I4823" s="43" t="n">
        <f aca="false">F4823*H4823</f>
        <v>191.97129</v>
      </c>
      <c r="J4823" s="43" t="n">
        <f aca="false">G4823*H4823*1.5</f>
        <v>5.100165</v>
      </c>
      <c r="K4823" s="6" t="n">
        <v>37.21</v>
      </c>
      <c r="L4823" s="43" t="n">
        <f aca="false">K4823*'Chart of Accounts'!$E$68</f>
        <v>24.9307</v>
      </c>
      <c r="O4823" s="42" t="n">
        <f aca="false">I4823+J4823+L4823</f>
        <v>222.002155</v>
      </c>
    </row>
    <row r="4824" customFormat="false" ht="15" hidden="false" customHeight="false" outlineLevel="0" collapsed="false">
      <c r="B4824" s="7" t="s">
        <v>13457</v>
      </c>
      <c r="C4824" s="39" t="n">
        <v>45957</v>
      </c>
      <c r="D4824" s="7" t="s">
        <v>222</v>
      </c>
      <c r="E4824" s="7" t="s">
        <v>180</v>
      </c>
      <c r="F4824" s="6" t="n">
        <v>6.8</v>
      </c>
      <c r="G4824" s="6" t="n">
        <v>0</v>
      </c>
      <c r="H4824" s="41" t="n">
        <v>17.84</v>
      </c>
      <c r="I4824" s="43" t="n">
        <f aca="false">F4824*H4824</f>
        <v>121.312</v>
      </c>
      <c r="J4824" s="43" t="n">
        <f aca="false">G4824*H4824*1.5</f>
        <v>0</v>
      </c>
      <c r="K4824" s="6" t="n">
        <v>15.26</v>
      </c>
      <c r="L4824" s="43" t="n">
        <f aca="false">K4824*'Chart of Accounts'!$E$68</f>
        <v>10.2242</v>
      </c>
      <c r="O4824" s="42" t="n">
        <f aca="false">I4824+J4824+L4824</f>
        <v>131.5362</v>
      </c>
    </row>
    <row r="4825" customFormat="false" ht="15" hidden="false" customHeight="false" outlineLevel="0" collapsed="false">
      <c r="B4825" s="7" t="s">
        <v>13458</v>
      </c>
      <c r="C4825" s="39" t="n">
        <v>45957</v>
      </c>
      <c r="D4825" s="7" t="s">
        <v>244</v>
      </c>
      <c r="E4825" s="7" t="s">
        <v>180</v>
      </c>
      <c r="F4825" s="6" t="n">
        <v>4.06</v>
      </c>
      <c r="G4825" s="6" t="n">
        <v>0</v>
      </c>
      <c r="H4825" s="41" t="n">
        <v>16.39</v>
      </c>
      <c r="I4825" s="43" t="n">
        <f aca="false">F4825*H4825</f>
        <v>66.5434</v>
      </c>
      <c r="J4825" s="43" t="n">
        <f aca="false">G4825*H4825*1.5</f>
        <v>0</v>
      </c>
      <c r="K4825" s="6" t="n">
        <v>9.98</v>
      </c>
      <c r="L4825" s="43" t="n">
        <f aca="false">K4825*'Chart of Accounts'!$E$68</f>
        <v>6.6866</v>
      </c>
      <c r="O4825" s="42" t="n">
        <f aca="false">I4825+J4825+L4825</f>
        <v>73.23</v>
      </c>
    </row>
    <row r="4826" customFormat="false" ht="15" hidden="false" customHeight="false" outlineLevel="0" collapsed="false">
      <c r="B4826" s="7" t="s">
        <v>13459</v>
      </c>
      <c r="C4826" s="39" t="n">
        <v>45957</v>
      </c>
      <c r="D4826" s="7" t="s">
        <v>254</v>
      </c>
      <c r="E4826" s="7" t="s">
        <v>180</v>
      </c>
      <c r="F4826" s="6" t="n">
        <v>7.5</v>
      </c>
      <c r="G4826" s="6" t="n">
        <v>0</v>
      </c>
      <c r="H4826" s="41" t="n">
        <v>17.1</v>
      </c>
      <c r="I4826" s="43" t="n">
        <f aca="false">F4826*H4826</f>
        <v>128.25</v>
      </c>
      <c r="J4826" s="43" t="n">
        <f aca="false">G4826*H4826*1.5</f>
        <v>0</v>
      </c>
      <c r="K4826" s="6" t="n">
        <v>19.59</v>
      </c>
      <c r="L4826" s="43" t="n">
        <f aca="false">K4826*'Chart of Accounts'!$E$68</f>
        <v>13.1253</v>
      </c>
      <c r="O4826" s="42" t="n">
        <f aca="false">I4826+J4826+L4826</f>
        <v>141.3753</v>
      </c>
    </row>
    <row r="4827" customFormat="false" ht="15" hidden="false" customHeight="false" outlineLevel="0" collapsed="false">
      <c r="B4827" s="7" t="s">
        <v>13460</v>
      </c>
      <c r="C4827" s="39" t="n">
        <v>45957</v>
      </c>
      <c r="D4827" s="7" t="s">
        <v>246</v>
      </c>
      <c r="E4827" s="7" t="s">
        <v>180</v>
      </c>
      <c r="F4827" s="6" t="n">
        <v>7.74</v>
      </c>
      <c r="G4827" s="6" t="n">
        <v>0</v>
      </c>
      <c r="H4827" s="41" t="n">
        <v>16.48</v>
      </c>
      <c r="I4827" s="43" t="n">
        <f aca="false">F4827*H4827</f>
        <v>127.5552</v>
      </c>
      <c r="J4827" s="43" t="n">
        <f aca="false">G4827*H4827*1.5</f>
        <v>0</v>
      </c>
      <c r="K4827" s="6" t="n">
        <v>20.86</v>
      </c>
      <c r="L4827" s="43" t="n">
        <f aca="false">K4827*'Chart of Accounts'!$E$68</f>
        <v>13.9762</v>
      </c>
      <c r="O4827" s="42" t="n">
        <f aca="false">I4827+J4827+L4827</f>
        <v>141.5314</v>
      </c>
    </row>
    <row r="4828" customFormat="false" ht="15" hidden="false" customHeight="false" outlineLevel="0" collapsed="false">
      <c r="B4828" s="7" t="s">
        <v>13461</v>
      </c>
      <c r="C4828" s="39" t="n">
        <v>45957</v>
      </c>
      <c r="D4828" s="7" t="s">
        <v>232</v>
      </c>
      <c r="E4828" s="7" t="s">
        <v>180</v>
      </c>
      <c r="F4828" s="6" t="n">
        <v>4.59</v>
      </c>
      <c r="G4828" s="6" t="n">
        <v>0</v>
      </c>
      <c r="H4828" s="41" t="n">
        <v>16.17</v>
      </c>
      <c r="I4828" s="43" t="n">
        <f aca="false">F4828*H4828</f>
        <v>74.2203</v>
      </c>
      <c r="J4828" s="43" t="n">
        <f aca="false">G4828*H4828*1.5</f>
        <v>0</v>
      </c>
      <c r="K4828" s="6" t="n">
        <v>13.09</v>
      </c>
      <c r="L4828" s="43" t="n">
        <f aca="false">K4828*'Chart of Accounts'!$E$68</f>
        <v>8.7703</v>
      </c>
      <c r="O4828" s="42" t="n">
        <f aca="false">I4828+J4828+L4828</f>
        <v>82.9906</v>
      </c>
    </row>
    <row r="4829" customFormat="false" ht="15" hidden="false" customHeight="false" outlineLevel="0" collapsed="false">
      <c r="B4829" s="7" t="s">
        <v>13462</v>
      </c>
      <c r="C4829" s="39" t="n">
        <v>45958</v>
      </c>
      <c r="D4829" s="7" t="s">
        <v>238</v>
      </c>
      <c r="E4829" s="7" t="s">
        <v>180</v>
      </c>
      <c r="F4829" s="6" t="n">
        <v>4.15</v>
      </c>
      <c r="G4829" s="6" t="n">
        <v>0</v>
      </c>
      <c r="H4829" s="41" t="n">
        <v>15.85</v>
      </c>
      <c r="I4829" s="43" t="n">
        <f aca="false">F4829*H4829</f>
        <v>65.7775</v>
      </c>
      <c r="J4829" s="43" t="n">
        <f aca="false">G4829*H4829*1.5</f>
        <v>0</v>
      </c>
      <c r="K4829" s="6" t="n">
        <v>14.73</v>
      </c>
      <c r="L4829" s="43" t="n">
        <f aca="false">K4829*'Chart of Accounts'!$E$68</f>
        <v>9.8691</v>
      </c>
      <c r="O4829" s="42" t="n">
        <f aca="false">I4829+J4829+L4829</f>
        <v>75.6466</v>
      </c>
    </row>
    <row r="4830" customFormat="false" ht="15" hidden="false" customHeight="false" outlineLevel="0" collapsed="false">
      <c r="B4830" s="7" t="s">
        <v>13463</v>
      </c>
      <c r="C4830" s="39" t="n">
        <v>45958</v>
      </c>
      <c r="D4830" s="7" t="s">
        <v>198</v>
      </c>
      <c r="E4830" s="7" t="s">
        <v>158</v>
      </c>
      <c r="H4830" s="41" t="n">
        <v>48.09</v>
      </c>
      <c r="M4830" s="6" t="n">
        <v>1</v>
      </c>
      <c r="N4830" s="43" t="n">
        <f aca="false">M4830*H4830</f>
        <v>48.09</v>
      </c>
      <c r="O4830" s="42" t="n">
        <f aca="false">N4830</f>
        <v>48.09</v>
      </c>
    </row>
    <row r="4831" customFormat="false" ht="15" hidden="false" customHeight="false" outlineLevel="0" collapsed="false">
      <c r="B4831" s="7" t="s">
        <v>13464</v>
      </c>
      <c r="C4831" s="39" t="n">
        <v>45958</v>
      </c>
      <c r="D4831" s="7" t="s">
        <v>209</v>
      </c>
      <c r="E4831" s="7" t="s">
        <v>158</v>
      </c>
      <c r="H4831" s="41" t="n">
        <v>73.58</v>
      </c>
      <c r="M4831" s="6" t="n">
        <v>2</v>
      </c>
      <c r="N4831" s="43" t="n">
        <f aca="false">M4831*H4831</f>
        <v>147.16</v>
      </c>
      <c r="O4831" s="42" t="n">
        <f aca="false">N4831</f>
        <v>147.16</v>
      </c>
    </row>
    <row r="4832" customFormat="false" ht="15" hidden="false" customHeight="false" outlineLevel="0" collapsed="false">
      <c r="B4832" s="7" t="s">
        <v>13465</v>
      </c>
      <c r="C4832" s="39" t="n">
        <v>45958</v>
      </c>
      <c r="D4832" s="7" t="s">
        <v>234</v>
      </c>
      <c r="E4832" s="7" t="s">
        <v>158</v>
      </c>
      <c r="H4832" s="41" t="n">
        <v>89.53</v>
      </c>
      <c r="M4832" s="6" t="n">
        <v>2</v>
      </c>
      <c r="N4832" s="43" t="n">
        <f aca="false">M4832*H4832</f>
        <v>179.06</v>
      </c>
      <c r="O4832" s="42" t="n">
        <f aca="false">N4832</f>
        <v>179.06</v>
      </c>
    </row>
    <row r="4833" customFormat="false" ht="15" hidden="false" customHeight="false" outlineLevel="0" collapsed="false">
      <c r="B4833" s="7" t="s">
        <v>13466</v>
      </c>
      <c r="C4833" s="39" t="n">
        <v>45958</v>
      </c>
      <c r="D4833" s="7" t="s">
        <v>218</v>
      </c>
      <c r="E4833" s="7" t="s">
        <v>180</v>
      </c>
      <c r="F4833" s="6" t="n">
        <v>4.27</v>
      </c>
      <c r="G4833" s="6" t="n">
        <v>0</v>
      </c>
      <c r="H4833" s="41" t="n">
        <v>16.19</v>
      </c>
      <c r="I4833" s="43" t="n">
        <f aca="false">F4833*H4833</f>
        <v>69.1313</v>
      </c>
      <c r="J4833" s="43" t="n">
        <f aca="false">G4833*H4833*1.5</f>
        <v>0</v>
      </c>
      <c r="K4833" s="6" t="n">
        <v>9.95</v>
      </c>
      <c r="L4833" s="43" t="n">
        <f aca="false">K4833*'Chart of Accounts'!$E$68</f>
        <v>6.6665</v>
      </c>
      <c r="O4833" s="42" t="n">
        <f aca="false">I4833+J4833+L4833</f>
        <v>75.7978</v>
      </c>
    </row>
    <row r="4834" customFormat="false" ht="15" hidden="false" customHeight="false" outlineLevel="0" collapsed="false">
      <c r="B4834" s="7" t="s">
        <v>13467</v>
      </c>
      <c r="C4834" s="39" t="n">
        <v>45958</v>
      </c>
      <c r="D4834" s="7" t="s">
        <v>203</v>
      </c>
      <c r="E4834" s="7" t="s">
        <v>158</v>
      </c>
      <c r="H4834" s="41" t="n">
        <v>49.43</v>
      </c>
      <c r="M4834" s="6" t="n">
        <v>2</v>
      </c>
      <c r="N4834" s="43" t="n">
        <f aca="false">M4834*H4834</f>
        <v>98.86</v>
      </c>
      <c r="O4834" s="42" t="n">
        <f aca="false">N4834</f>
        <v>98.86</v>
      </c>
    </row>
    <row r="4835" customFormat="false" ht="15" hidden="false" customHeight="false" outlineLevel="0" collapsed="false">
      <c r="B4835" s="7" t="s">
        <v>13468</v>
      </c>
      <c r="C4835" s="39" t="n">
        <v>45958</v>
      </c>
      <c r="D4835" s="7" t="s">
        <v>228</v>
      </c>
      <c r="E4835" s="7" t="s">
        <v>158</v>
      </c>
      <c r="H4835" s="41" t="n">
        <v>51.07</v>
      </c>
      <c r="M4835" s="6" t="n">
        <v>1</v>
      </c>
      <c r="N4835" s="43" t="n">
        <f aca="false">M4835*H4835</f>
        <v>51.07</v>
      </c>
      <c r="O4835" s="42" t="n">
        <f aca="false">N4835</f>
        <v>51.07</v>
      </c>
    </row>
    <row r="4836" customFormat="false" ht="15" hidden="false" customHeight="false" outlineLevel="0" collapsed="false">
      <c r="B4836" s="7" t="s">
        <v>13469</v>
      </c>
      <c r="C4836" s="39" t="n">
        <v>45958</v>
      </c>
      <c r="D4836" s="7" t="s">
        <v>220</v>
      </c>
      <c r="E4836" s="7" t="s">
        <v>180</v>
      </c>
      <c r="F4836" s="6" t="n">
        <v>4.31</v>
      </c>
      <c r="G4836" s="6" t="n">
        <v>0</v>
      </c>
      <c r="H4836" s="41" t="n">
        <v>16.43</v>
      </c>
      <c r="I4836" s="43" t="n">
        <f aca="false">F4836*H4836</f>
        <v>70.8133</v>
      </c>
      <c r="J4836" s="43" t="n">
        <f aca="false">G4836*H4836*1.5</f>
        <v>0</v>
      </c>
      <c r="K4836" s="6" t="n">
        <v>11.74</v>
      </c>
      <c r="L4836" s="43" t="n">
        <f aca="false">K4836*'Chart of Accounts'!$E$68</f>
        <v>7.8658</v>
      </c>
      <c r="O4836" s="42" t="n">
        <f aca="false">I4836+J4836+L4836</f>
        <v>78.6791</v>
      </c>
    </row>
    <row r="4837" customFormat="false" ht="15" hidden="false" customHeight="false" outlineLevel="0" collapsed="false">
      <c r="B4837" s="7" t="s">
        <v>13470</v>
      </c>
      <c r="C4837" s="39" t="n">
        <v>45958</v>
      </c>
      <c r="D4837" s="7" t="s">
        <v>244</v>
      </c>
      <c r="E4837" s="7" t="s">
        <v>180</v>
      </c>
      <c r="F4837" s="6" t="n">
        <v>3.97</v>
      </c>
      <c r="G4837" s="6" t="n">
        <v>0</v>
      </c>
      <c r="H4837" s="41" t="n">
        <v>16.39</v>
      </c>
      <c r="I4837" s="43" t="n">
        <f aca="false">F4837*H4837</f>
        <v>65.0683</v>
      </c>
      <c r="J4837" s="43" t="n">
        <f aca="false">G4837*H4837*1.5</f>
        <v>0</v>
      </c>
      <c r="K4837" s="6" t="n">
        <v>9.04</v>
      </c>
      <c r="L4837" s="43" t="n">
        <f aca="false">K4837*'Chart of Accounts'!$E$68</f>
        <v>6.0568</v>
      </c>
      <c r="O4837" s="42" t="n">
        <f aca="false">I4837+J4837+L4837</f>
        <v>71.1251</v>
      </c>
    </row>
    <row r="4838" customFormat="false" ht="15" hidden="false" customHeight="false" outlineLevel="0" collapsed="false">
      <c r="B4838" s="7" t="s">
        <v>13471</v>
      </c>
      <c r="C4838" s="39" t="n">
        <v>45958</v>
      </c>
      <c r="D4838" s="7" t="s">
        <v>222</v>
      </c>
      <c r="E4838" s="7" t="s">
        <v>180</v>
      </c>
      <c r="F4838" s="6" t="n">
        <v>7.68</v>
      </c>
      <c r="G4838" s="6" t="n">
        <v>0</v>
      </c>
      <c r="H4838" s="41" t="n">
        <v>17.84</v>
      </c>
      <c r="I4838" s="43" t="n">
        <f aca="false">F4838*H4838</f>
        <v>137.0112</v>
      </c>
      <c r="J4838" s="43" t="n">
        <f aca="false">G4838*H4838*1.5</f>
        <v>0</v>
      </c>
      <c r="K4838" s="6" t="n">
        <v>24.93</v>
      </c>
      <c r="L4838" s="43" t="n">
        <f aca="false">K4838*'Chart of Accounts'!$E$68</f>
        <v>16.7031</v>
      </c>
      <c r="O4838" s="42" t="n">
        <f aca="false">I4838+J4838+L4838</f>
        <v>153.7143</v>
      </c>
    </row>
    <row r="4839" customFormat="false" ht="15" hidden="false" customHeight="false" outlineLevel="0" collapsed="false">
      <c r="B4839" s="7" t="s">
        <v>13472</v>
      </c>
      <c r="C4839" s="39" t="n">
        <v>45958</v>
      </c>
      <c r="D4839" s="7" t="s">
        <v>194</v>
      </c>
      <c r="E4839" s="7" t="s">
        <v>180</v>
      </c>
      <c r="F4839" s="6" t="n">
        <v>3.76</v>
      </c>
      <c r="G4839" s="6" t="n">
        <v>0</v>
      </c>
      <c r="H4839" s="41" t="n">
        <v>16</v>
      </c>
      <c r="I4839" s="43" t="n">
        <f aca="false">F4839*H4839</f>
        <v>60.16</v>
      </c>
      <c r="J4839" s="43" t="n">
        <f aca="false">G4839*H4839*1.5</f>
        <v>0</v>
      </c>
      <c r="K4839" s="6" t="n">
        <v>11.72</v>
      </c>
      <c r="L4839" s="43" t="n">
        <f aca="false">K4839*'Chart of Accounts'!$E$68</f>
        <v>7.8524</v>
      </c>
      <c r="O4839" s="42" t="n">
        <f aca="false">I4839+J4839+L4839</f>
        <v>68.0124</v>
      </c>
    </row>
    <row r="4840" customFormat="false" ht="15" hidden="false" customHeight="false" outlineLevel="0" collapsed="false">
      <c r="B4840" s="7" t="s">
        <v>13473</v>
      </c>
      <c r="C4840" s="39" t="n">
        <v>45958</v>
      </c>
      <c r="D4840" s="7" t="s">
        <v>258</v>
      </c>
      <c r="E4840" s="7" t="s">
        <v>158</v>
      </c>
      <c r="H4840" s="41" t="n">
        <v>61.61</v>
      </c>
      <c r="M4840" s="6" t="n">
        <v>1</v>
      </c>
      <c r="N4840" s="43" t="n">
        <f aca="false">M4840*H4840</f>
        <v>61.61</v>
      </c>
      <c r="O4840" s="42" t="n">
        <f aca="false">N4840</f>
        <v>61.61</v>
      </c>
    </row>
    <row r="4841" customFormat="false" ht="15" hidden="false" customHeight="false" outlineLevel="0" collapsed="false">
      <c r="B4841" s="7" t="s">
        <v>13474</v>
      </c>
      <c r="C4841" s="39" t="n">
        <v>45958</v>
      </c>
      <c r="D4841" s="7" t="s">
        <v>230</v>
      </c>
      <c r="E4841" s="7" t="s">
        <v>158</v>
      </c>
      <c r="H4841" s="41" t="n">
        <v>48.78</v>
      </c>
      <c r="M4841" s="6" t="n">
        <v>1</v>
      </c>
      <c r="N4841" s="43" t="n">
        <f aca="false">M4841*H4841</f>
        <v>48.78</v>
      </c>
      <c r="O4841" s="42" t="n">
        <f aca="false">N4841</f>
        <v>48.78</v>
      </c>
    </row>
    <row r="4842" customFormat="false" ht="15" hidden="false" customHeight="false" outlineLevel="0" collapsed="false">
      <c r="B4842" s="7" t="s">
        <v>13475</v>
      </c>
      <c r="C4842" s="39" t="n">
        <v>45958</v>
      </c>
      <c r="D4842" s="7" t="s">
        <v>196</v>
      </c>
      <c r="E4842" s="7" t="s">
        <v>180</v>
      </c>
      <c r="F4842" s="6" t="n">
        <v>3.69</v>
      </c>
      <c r="G4842" s="6" t="n">
        <v>0</v>
      </c>
      <c r="H4842" s="41" t="n">
        <v>15.05</v>
      </c>
      <c r="I4842" s="43" t="n">
        <f aca="false">F4842*H4842</f>
        <v>55.5345</v>
      </c>
      <c r="J4842" s="43" t="n">
        <f aca="false">G4842*H4842*1.5</f>
        <v>0</v>
      </c>
      <c r="K4842" s="6" t="n">
        <v>8.59</v>
      </c>
      <c r="L4842" s="43" t="n">
        <f aca="false">K4842*'Chart of Accounts'!$E$68</f>
        <v>5.7553</v>
      </c>
      <c r="O4842" s="42" t="n">
        <f aca="false">I4842+J4842+L4842</f>
        <v>61.2898</v>
      </c>
    </row>
    <row r="4843" customFormat="false" ht="15" hidden="false" customHeight="false" outlineLevel="0" collapsed="false">
      <c r="B4843" s="7" t="s">
        <v>13476</v>
      </c>
      <c r="C4843" s="39" t="n">
        <v>45958</v>
      </c>
      <c r="D4843" s="7" t="s">
        <v>246</v>
      </c>
      <c r="E4843" s="7" t="s">
        <v>180</v>
      </c>
      <c r="F4843" s="6" t="n">
        <v>4.38</v>
      </c>
      <c r="G4843" s="6" t="n">
        <v>0</v>
      </c>
      <c r="H4843" s="41" t="n">
        <v>16.48</v>
      </c>
      <c r="I4843" s="43" t="n">
        <f aca="false">F4843*H4843</f>
        <v>72.1824</v>
      </c>
      <c r="J4843" s="43" t="n">
        <f aca="false">G4843*H4843*1.5</f>
        <v>0</v>
      </c>
      <c r="K4843" s="6" t="n">
        <v>11.45</v>
      </c>
      <c r="L4843" s="43" t="n">
        <f aca="false">K4843*'Chart of Accounts'!$E$68</f>
        <v>7.6715</v>
      </c>
      <c r="O4843" s="42" t="n">
        <f aca="false">I4843+J4843+L4843</f>
        <v>79.8539</v>
      </c>
    </row>
    <row r="4844" customFormat="false" ht="15" hidden="false" customHeight="false" outlineLevel="0" collapsed="false">
      <c r="B4844" s="7" t="s">
        <v>13477</v>
      </c>
      <c r="C4844" s="39" t="n">
        <v>45958</v>
      </c>
      <c r="D4844" s="7" t="s">
        <v>242</v>
      </c>
      <c r="E4844" s="7" t="s">
        <v>180</v>
      </c>
      <c r="F4844" s="6" t="n">
        <v>3.96</v>
      </c>
      <c r="G4844" s="6" t="n">
        <v>0.07</v>
      </c>
      <c r="H4844" s="41" t="n">
        <v>17.99</v>
      </c>
      <c r="I4844" s="43" t="n">
        <f aca="false">F4844*H4844</f>
        <v>71.2404</v>
      </c>
      <c r="J4844" s="43" t="n">
        <f aca="false">G4844*H4844*1.5</f>
        <v>1.88895</v>
      </c>
      <c r="K4844" s="6" t="n">
        <v>12.07</v>
      </c>
      <c r="L4844" s="43" t="n">
        <f aca="false">K4844*'Chart of Accounts'!$E$68</f>
        <v>8.0869</v>
      </c>
      <c r="O4844" s="42" t="n">
        <f aca="false">I4844+J4844+L4844</f>
        <v>81.21625</v>
      </c>
    </row>
    <row r="4845" customFormat="false" ht="15" hidden="false" customHeight="false" outlineLevel="0" collapsed="false">
      <c r="B4845" s="7" t="s">
        <v>13478</v>
      </c>
      <c r="C4845" s="39" t="n">
        <v>45958</v>
      </c>
      <c r="D4845" s="7" t="s">
        <v>254</v>
      </c>
      <c r="E4845" s="7" t="s">
        <v>180</v>
      </c>
      <c r="F4845" s="6" t="n">
        <v>3.82</v>
      </c>
      <c r="G4845" s="6" t="n">
        <v>0</v>
      </c>
      <c r="H4845" s="41" t="n">
        <v>17.1</v>
      </c>
      <c r="I4845" s="43" t="n">
        <f aca="false">F4845*H4845</f>
        <v>65.322</v>
      </c>
      <c r="J4845" s="43" t="n">
        <f aca="false">G4845*H4845*1.5</f>
        <v>0</v>
      </c>
      <c r="K4845" s="6" t="n">
        <v>11.5</v>
      </c>
      <c r="L4845" s="43" t="n">
        <f aca="false">K4845*'Chart of Accounts'!$E$68</f>
        <v>7.705</v>
      </c>
      <c r="O4845" s="42" t="n">
        <f aca="false">I4845+J4845+L4845</f>
        <v>73.027</v>
      </c>
    </row>
    <row r="4846" customFormat="false" ht="15" hidden="false" customHeight="false" outlineLevel="0" collapsed="false">
      <c r="B4846" s="7" t="s">
        <v>13479</v>
      </c>
      <c r="C4846" s="39" t="n">
        <v>45958</v>
      </c>
      <c r="D4846" s="7" t="s">
        <v>260</v>
      </c>
      <c r="E4846" s="7" t="s">
        <v>158</v>
      </c>
      <c r="H4846" s="41" t="n">
        <v>79.8</v>
      </c>
      <c r="M4846" s="6" t="n">
        <v>1</v>
      </c>
      <c r="N4846" s="43" t="n">
        <f aca="false">M4846*H4846</f>
        <v>79.8</v>
      </c>
      <c r="O4846" s="42" t="n">
        <f aca="false">N4846</f>
        <v>79.8</v>
      </c>
    </row>
    <row r="4847" customFormat="false" ht="15" hidden="false" customHeight="false" outlineLevel="0" collapsed="false">
      <c r="B4847" s="7" t="s">
        <v>13480</v>
      </c>
      <c r="C4847" s="39" t="n">
        <v>45959</v>
      </c>
      <c r="D4847" s="7" t="s">
        <v>194</v>
      </c>
      <c r="E4847" s="7" t="s">
        <v>180</v>
      </c>
      <c r="F4847" s="6" t="n">
        <v>12.71</v>
      </c>
      <c r="G4847" s="6" t="n">
        <v>0</v>
      </c>
      <c r="H4847" s="41" t="n">
        <v>16</v>
      </c>
      <c r="I4847" s="43" t="n">
        <f aca="false">F4847*H4847</f>
        <v>203.36</v>
      </c>
      <c r="J4847" s="43" t="n">
        <f aca="false">G4847*H4847*1.5</f>
        <v>0</v>
      </c>
      <c r="K4847" s="6" t="n">
        <v>31.34</v>
      </c>
      <c r="L4847" s="43" t="n">
        <f aca="false">K4847*'Chart of Accounts'!$E$68</f>
        <v>20.9978</v>
      </c>
      <c r="O4847" s="42" t="n">
        <f aca="false">I4847+J4847+L4847</f>
        <v>224.3578</v>
      </c>
    </row>
    <row r="4848" customFormat="false" ht="15" hidden="false" customHeight="false" outlineLevel="0" collapsed="false">
      <c r="B4848" s="7" t="s">
        <v>13481</v>
      </c>
      <c r="C4848" s="39" t="n">
        <v>45959</v>
      </c>
      <c r="D4848" s="7" t="s">
        <v>214</v>
      </c>
      <c r="E4848" s="7" t="s">
        <v>180</v>
      </c>
      <c r="F4848" s="6" t="n">
        <v>7.46</v>
      </c>
      <c r="G4848" s="6" t="n">
        <v>0</v>
      </c>
      <c r="H4848" s="41" t="n">
        <v>15.67</v>
      </c>
      <c r="I4848" s="43" t="n">
        <f aca="false">F4848*H4848</f>
        <v>116.8982</v>
      </c>
      <c r="J4848" s="43" t="n">
        <f aca="false">G4848*H4848*1.5</f>
        <v>0</v>
      </c>
      <c r="K4848" s="6" t="n">
        <v>20.6</v>
      </c>
      <c r="L4848" s="43" t="n">
        <f aca="false">K4848*'Chart of Accounts'!$E$68</f>
        <v>13.802</v>
      </c>
      <c r="O4848" s="42" t="n">
        <f aca="false">I4848+J4848+L4848</f>
        <v>130.7002</v>
      </c>
    </row>
    <row r="4849" customFormat="false" ht="15" hidden="false" customHeight="false" outlineLevel="0" collapsed="false">
      <c r="B4849" s="7" t="s">
        <v>13482</v>
      </c>
      <c r="C4849" s="39" t="n">
        <v>45959</v>
      </c>
      <c r="D4849" s="7" t="s">
        <v>205</v>
      </c>
      <c r="E4849" s="7" t="s">
        <v>180</v>
      </c>
      <c r="F4849" s="6" t="n">
        <v>4.11</v>
      </c>
      <c r="G4849" s="6" t="n">
        <v>0</v>
      </c>
      <c r="H4849" s="41" t="n">
        <v>16.36</v>
      </c>
      <c r="I4849" s="43" t="n">
        <f aca="false">F4849*H4849</f>
        <v>67.2396</v>
      </c>
      <c r="J4849" s="43" t="n">
        <f aca="false">G4849*H4849*1.5</f>
        <v>0</v>
      </c>
      <c r="K4849" s="6" t="n">
        <v>13.56</v>
      </c>
      <c r="L4849" s="43" t="n">
        <f aca="false">K4849*'Chart of Accounts'!$E$68</f>
        <v>9.0852</v>
      </c>
      <c r="O4849" s="42" t="n">
        <f aca="false">I4849+J4849+L4849</f>
        <v>76.3248</v>
      </c>
    </row>
    <row r="4850" customFormat="false" ht="15" hidden="false" customHeight="false" outlineLevel="0" collapsed="false">
      <c r="B4850" s="7" t="s">
        <v>13483</v>
      </c>
      <c r="C4850" s="39" t="n">
        <v>45959</v>
      </c>
      <c r="D4850" s="7" t="s">
        <v>264</v>
      </c>
      <c r="E4850" s="7" t="s">
        <v>158</v>
      </c>
      <c r="H4850" s="41" t="n">
        <v>55.55</v>
      </c>
      <c r="M4850" s="6" t="n">
        <v>1</v>
      </c>
      <c r="N4850" s="43" t="n">
        <f aca="false">M4850*H4850</f>
        <v>55.55</v>
      </c>
      <c r="O4850" s="42" t="n">
        <f aca="false">N4850</f>
        <v>55.55</v>
      </c>
    </row>
    <row r="4851" customFormat="false" ht="15" hidden="false" customHeight="false" outlineLevel="0" collapsed="false">
      <c r="B4851" s="7" t="s">
        <v>13484</v>
      </c>
      <c r="C4851" s="39" t="n">
        <v>45959</v>
      </c>
      <c r="D4851" s="7" t="s">
        <v>252</v>
      </c>
      <c r="E4851" s="7" t="s">
        <v>158</v>
      </c>
      <c r="H4851" s="41" t="n">
        <v>57.54</v>
      </c>
      <c r="M4851" s="6" t="n">
        <v>1</v>
      </c>
      <c r="N4851" s="43" t="n">
        <f aca="false">M4851*H4851</f>
        <v>57.54</v>
      </c>
      <c r="O4851" s="42" t="n">
        <f aca="false">N4851</f>
        <v>57.54</v>
      </c>
    </row>
    <row r="4852" customFormat="false" ht="15" hidden="false" customHeight="false" outlineLevel="0" collapsed="false">
      <c r="B4852" s="7" t="s">
        <v>13485</v>
      </c>
      <c r="C4852" s="39" t="n">
        <v>45959</v>
      </c>
      <c r="D4852" s="7" t="s">
        <v>184</v>
      </c>
      <c r="E4852" s="7" t="s">
        <v>180</v>
      </c>
      <c r="F4852" s="6" t="n">
        <v>8.16</v>
      </c>
      <c r="G4852" s="6" t="n">
        <v>0</v>
      </c>
      <c r="H4852" s="41" t="n">
        <v>17.34</v>
      </c>
      <c r="I4852" s="43" t="n">
        <f aca="false">F4852*H4852</f>
        <v>141.4944</v>
      </c>
      <c r="J4852" s="43" t="n">
        <f aca="false">G4852*H4852*1.5</f>
        <v>0</v>
      </c>
      <c r="K4852" s="6" t="n">
        <v>22.22</v>
      </c>
      <c r="L4852" s="43" t="n">
        <f aca="false">K4852*'Chart of Accounts'!$E$68</f>
        <v>14.8874</v>
      </c>
      <c r="O4852" s="42" t="n">
        <f aca="false">I4852+J4852+L4852</f>
        <v>156.3818</v>
      </c>
    </row>
    <row r="4853" customFormat="false" ht="15" hidden="false" customHeight="false" outlineLevel="0" collapsed="false">
      <c r="B4853" s="7" t="s">
        <v>13486</v>
      </c>
      <c r="C4853" s="39" t="n">
        <v>45959</v>
      </c>
      <c r="D4853" s="7" t="s">
        <v>216</v>
      </c>
      <c r="E4853" s="7" t="s">
        <v>158</v>
      </c>
      <c r="H4853" s="41" t="n">
        <v>61.79</v>
      </c>
      <c r="M4853" s="6" t="n">
        <v>1</v>
      </c>
      <c r="N4853" s="43" t="n">
        <f aca="false">M4853*H4853</f>
        <v>61.79</v>
      </c>
      <c r="O4853" s="42" t="n">
        <f aca="false">N4853</f>
        <v>61.79</v>
      </c>
    </row>
    <row r="4854" customFormat="false" ht="15" hidden="false" customHeight="false" outlineLevel="0" collapsed="false">
      <c r="B4854" s="7" t="s">
        <v>13487</v>
      </c>
      <c r="C4854" s="39" t="n">
        <v>45959</v>
      </c>
      <c r="D4854" s="7" t="s">
        <v>218</v>
      </c>
      <c r="E4854" s="7" t="s">
        <v>180</v>
      </c>
      <c r="F4854" s="6" t="n">
        <v>4.28</v>
      </c>
      <c r="G4854" s="6" t="n">
        <v>0</v>
      </c>
      <c r="H4854" s="41" t="n">
        <v>16.19</v>
      </c>
      <c r="I4854" s="43" t="n">
        <f aca="false">F4854*H4854</f>
        <v>69.2932</v>
      </c>
      <c r="J4854" s="43" t="n">
        <f aca="false">G4854*H4854*1.5</f>
        <v>0</v>
      </c>
      <c r="K4854" s="6" t="n">
        <v>14.67</v>
      </c>
      <c r="L4854" s="43" t="n">
        <f aca="false">K4854*'Chart of Accounts'!$E$68</f>
        <v>9.8289</v>
      </c>
      <c r="O4854" s="42" t="n">
        <f aca="false">I4854+J4854+L4854</f>
        <v>79.1221</v>
      </c>
    </row>
    <row r="4855" customFormat="false" ht="15" hidden="false" customHeight="false" outlineLevel="0" collapsed="false">
      <c r="B4855" s="7" t="s">
        <v>13488</v>
      </c>
      <c r="C4855" s="39" t="n">
        <v>45959</v>
      </c>
      <c r="D4855" s="7" t="s">
        <v>220</v>
      </c>
      <c r="E4855" s="7" t="s">
        <v>180</v>
      </c>
      <c r="F4855" s="6" t="n">
        <v>3.76</v>
      </c>
      <c r="G4855" s="6" t="n">
        <v>0</v>
      </c>
      <c r="H4855" s="41" t="n">
        <v>16.43</v>
      </c>
      <c r="I4855" s="43" t="n">
        <f aca="false">F4855*H4855</f>
        <v>61.7768</v>
      </c>
      <c r="J4855" s="43" t="n">
        <f aca="false">G4855*H4855*1.5</f>
        <v>0</v>
      </c>
      <c r="K4855" s="6" t="n">
        <v>10.04</v>
      </c>
      <c r="L4855" s="43" t="n">
        <f aca="false">K4855*'Chart of Accounts'!$E$68</f>
        <v>6.7268</v>
      </c>
      <c r="O4855" s="42" t="n">
        <f aca="false">I4855+J4855+L4855</f>
        <v>68.5036</v>
      </c>
    </row>
    <row r="4856" customFormat="false" ht="15" hidden="false" customHeight="false" outlineLevel="0" collapsed="false">
      <c r="B4856" s="7" t="s">
        <v>13489</v>
      </c>
      <c r="C4856" s="39" t="n">
        <v>45959</v>
      </c>
      <c r="D4856" s="7" t="s">
        <v>236</v>
      </c>
      <c r="E4856" s="7" t="s">
        <v>180</v>
      </c>
      <c r="F4856" s="6" t="n">
        <v>3.32</v>
      </c>
      <c r="G4856" s="6" t="n">
        <v>0</v>
      </c>
      <c r="H4856" s="41" t="n">
        <v>15.49</v>
      </c>
      <c r="I4856" s="43" t="n">
        <f aca="false">F4856*H4856</f>
        <v>51.4268</v>
      </c>
      <c r="J4856" s="43" t="n">
        <f aca="false">G4856*H4856*1.5</f>
        <v>0</v>
      </c>
      <c r="K4856" s="6" t="n">
        <v>9.98</v>
      </c>
      <c r="L4856" s="43" t="n">
        <f aca="false">K4856*'Chart of Accounts'!$E$68</f>
        <v>6.6866</v>
      </c>
      <c r="O4856" s="42" t="n">
        <f aca="false">I4856+J4856+L4856</f>
        <v>58.1134</v>
      </c>
    </row>
    <row r="4857" customFormat="false" ht="15" hidden="false" customHeight="false" outlineLevel="0" collapsed="false">
      <c r="B4857" s="7" t="s">
        <v>13490</v>
      </c>
      <c r="C4857" s="39" t="n">
        <v>45959</v>
      </c>
      <c r="D4857" s="7" t="s">
        <v>177</v>
      </c>
      <c r="E4857" s="7" t="s">
        <v>180</v>
      </c>
      <c r="F4857" s="6" t="n">
        <v>11.95</v>
      </c>
      <c r="G4857" s="6" t="n">
        <v>0</v>
      </c>
      <c r="H4857" s="41" t="n">
        <v>14.56</v>
      </c>
      <c r="I4857" s="43" t="n">
        <f aca="false">F4857*H4857</f>
        <v>173.992</v>
      </c>
      <c r="J4857" s="43" t="n">
        <f aca="false">G4857*H4857*1.5</f>
        <v>0</v>
      </c>
      <c r="K4857" s="6" t="n">
        <v>37.53</v>
      </c>
      <c r="L4857" s="43" t="n">
        <f aca="false">K4857*'Chart of Accounts'!$E$68</f>
        <v>25.1451</v>
      </c>
      <c r="O4857" s="42" t="n">
        <f aca="false">I4857+J4857+L4857</f>
        <v>199.1371</v>
      </c>
    </row>
    <row r="4858" customFormat="false" ht="15" hidden="false" customHeight="false" outlineLevel="0" collapsed="false">
      <c r="B4858" s="7" t="s">
        <v>13491</v>
      </c>
      <c r="C4858" s="39" t="n">
        <v>45959</v>
      </c>
      <c r="D4858" s="7" t="s">
        <v>242</v>
      </c>
      <c r="E4858" s="7" t="s">
        <v>180</v>
      </c>
      <c r="F4858" s="6" t="n">
        <v>7.222</v>
      </c>
      <c r="G4858" s="6" t="n">
        <v>0.128</v>
      </c>
      <c r="H4858" s="41" t="n">
        <v>17.99</v>
      </c>
      <c r="I4858" s="43" t="n">
        <f aca="false">F4858*H4858</f>
        <v>129.92378</v>
      </c>
      <c r="J4858" s="43" t="n">
        <f aca="false">G4858*H4858*1.5</f>
        <v>3.45408</v>
      </c>
      <c r="K4858" s="6" t="n">
        <v>23.78</v>
      </c>
      <c r="L4858" s="43" t="n">
        <f aca="false">K4858*'Chart of Accounts'!$E$68</f>
        <v>15.9326</v>
      </c>
      <c r="O4858" s="42" t="n">
        <f aca="false">I4858+J4858+L4858</f>
        <v>149.31046</v>
      </c>
    </row>
    <row r="4859" customFormat="false" ht="15" hidden="false" customHeight="false" outlineLevel="0" collapsed="false">
      <c r="B4859" s="7" t="s">
        <v>13492</v>
      </c>
      <c r="C4859" s="39" t="n">
        <v>45959</v>
      </c>
      <c r="D4859" s="7" t="s">
        <v>238</v>
      </c>
      <c r="E4859" s="7" t="s">
        <v>180</v>
      </c>
      <c r="F4859" s="6" t="n">
        <v>8.14</v>
      </c>
      <c r="G4859" s="6" t="n">
        <v>0</v>
      </c>
      <c r="H4859" s="41" t="n">
        <v>15.85</v>
      </c>
      <c r="I4859" s="43" t="n">
        <f aca="false">F4859*H4859</f>
        <v>129.019</v>
      </c>
      <c r="J4859" s="43" t="n">
        <f aca="false">G4859*H4859*1.5</f>
        <v>0</v>
      </c>
      <c r="K4859" s="6" t="n">
        <v>24.67</v>
      </c>
      <c r="L4859" s="43" t="n">
        <f aca="false">K4859*'Chart of Accounts'!$E$68</f>
        <v>16.5289</v>
      </c>
      <c r="O4859" s="42" t="n">
        <f aca="false">I4859+J4859+L4859</f>
        <v>145.5479</v>
      </c>
    </row>
    <row r="4860" customFormat="false" ht="15" hidden="false" customHeight="false" outlineLevel="0" collapsed="false">
      <c r="B4860" s="7" t="s">
        <v>13493</v>
      </c>
      <c r="C4860" s="39" t="n">
        <v>45959</v>
      </c>
      <c r="D4860" s="7" t="s">
        <v>244</v>
      </c>
      <c r="E4860" s="7" t="s">
        <v>180</v>
      </c>
      <c r="F4860" s="6" t="n">
        <v>7.91</v>
      </c>
      <c r="G4860" s="6" t="n">
        <v>0</v>
      </c>
      <c r="H4860" s="41" t="n">
        <v>16.39</v>
      </c>
      <c r="I4860" s="43" t="n">
        <f aca="false">F4860*H4860</f>
        <v>129.6449</v>
      </c>
      <c r="J4860" s="43" t="n">
        <f aca="false">G4860*H4860*1.5</f>
        <v>0</v>
      </c>
      <c r="K4860" s="6" t="n">
        <v>26.63</v>
      </c>
      <c r="L4860" s="43" t="n">
        <f aca="false">K4860*'Chart of Accounts'!$E$68</f>
        <v>17.8421</v>
      </c>
      <c r="O4860" s="42" t="n">
        <f aca="false">I4860+J4860+L4860</f>
        <v>147.487</v>
      </c>
    </row>
    <row r="4861" customFormat="false" ht="15" hidden="false" customHeight="false" outlineLevel="0" collapsed="false">
      <c r="B4861" s="7" t="s">
        <v>13494</v>
      </c>
      <c r="C4861" s="39" t="n">
        <v>45959</v>
      </c>
      <c r="D4861" s="7" t="s">
        <v>254</v>
      </c>
      <c r="E4861" s="7" t="s">
        <v>180</v>
      </c>
      <c r="F4861" s="6" t="n">
        <v>7.46</v>
      </c>
      <c r="G4861" s="6" t="n">
        <v>0</v>
      </c>
      <c r="H4861" s="41" t="n">
        <v>17.1</v>
      </c>
      <c r="I4861" s="43" t="n">
        <f aca="false">F4861*H4861</f>
        <v>127.566</v>
      </c>
      <c r="J4861" s="43" t="n">
        <f aca="false">G4861*H4861*1.5</f>
        <v>0</v>
      </c>
      <c r="K4861" s="6" t="n">
        <v>22.43</v>
      </c>
      <c r="L4861" s="43" t="n">
        <f aca="false">K4861*'Chart of Accounts'!$E$68</f>
        <v>15.0281</v>
      </c>
      <c r="O4861" s="42" t="n">
        <f aca="false">I4861+J4861+L4861</f>
        <v>142.5941</v>
      </c>
    </row>
    <row r="4862" customFormat="false" ht="15" hidden="false" customHeight="false" outlineLevel="0" collapsed="false">
      <c r="B4862" s="7" t="s">
        <v>13495</v>
      </c>
      <c r="C4862" s="39" t="n">
        <v>45959</v>
      </c>
      <c r="D4862" s="7" t="s">
        <v>201</v>
      </c>
      <c r="E4862" s="7" t="s">
        <v>180</v>
      </c>
      <c r="F4862" s="6" t="n">
        <v>3.12</v>
      </c>
      <c r="G4862" s="6" t="n">
        <v>0</v>
      </c>
      <c r="H4862" s="41" t="n">
        <v>15.19</v>
      </c>
      <c r="I4862" s="43" t="n">
        <f aca="false">F4862*H4862</f>
        <v>47.3928</v>
      </c>
      <c r="J4862" s="43" t="n">
        <f aca="false">G4862*H4862*1.5</f>
        <v>0</v>
      </c>
      <c r="K4862" s="6" t="n">
        <v>9.19</v>
      </c>
      <c r="L4862" s="43" t="n">
        <f aca="false">K4862*'Chart of Accounts'!$E$68</f>
        <v>6.1573</v>
      </c>
      <c r="O4862" s="42" t="n">
        <f aca="false">I4862+J4862+L4862</f>
        <v>53.5501</v>
      </c>
    </row>
    <row r="4863" customFormat="false" ht="15" hidden="false" customHeight="false" outlineLevel="0" collapsed="false">
      <c r="B4863" s="7" t="s">
        <v>13496</v>
      </c>
      <c r="C4863" s="39" t="n">
        <v>45959</v>
      </c>
      <c r="D4863" s="7" t="s">
        <v>232</v>
      </c>
      <c r="E4863" s="7" t="s">
        <v>180</v>
      </c>
      <c r="F4863" s="6" t="n">
        <v>4.8</v>
      </c>
      <c r="G4863" s="6" t="n">
        <v>0</v>
      </c>
      <c r="H4863" s="41" t="n">
        <v>16.17</v>
      </c>
      <c r="I4863" s="43" t="n">
        <f aca="false">F4863*H4863</f>
        <v>77.616</v>
      </c>
      <c r="J4863" s="43" t="n">
        <f aca="false">G4863*H4863*1.5</f>
        <v>0</v>
      </c>
      <c r="K4863" s="6" t="n">
        <v>11.11</v>
      </c>
      <c r="L4863" s="43" t="n">
        <f aca="false">K4863*'Chart of Accounts'!$E$68</f>
        <v>7.4437</v>
      </c>
      <c r="O4863" s="42" t="n">
        <f aca="false">I4863+J4863+L4863</f>
        <v>85.0597</v>
      </c>
    </row>
    <row r="4864" customFormat="false" ht="15" hidden="false" customHeight="false" outlineLevel="0" collapsed="false">
      <c r="B4864" s="7" t="s">
        <v>13497</v>
      </c>
      <c r="C4864" s="39" t="n">
        <v>45959</v>
      </c>
      <c r="D4864" s="7" t="s">
        <v>224</v>
      </c>
      <c r="E4864" s="7" t="s">
        <v>180</v>
      </c>
      <c r="F4864" s="6" t="n">
        <v>4.84</v>
      </c>
      <c r="G4864" s="6" t="n">
        <v>0</v>
      </c>
      <c r="H4864" s="41" t="n">
        <v>14.93</v>
      </c>
      <c r="I4864" s="43" t="n">
        <f aca="false">F4864*H4864</f>
        <v>72.2612</v>
      </c>
      <c r="J4864" s="43" t="n">
        <f aca="false">G4864*H4864*1.5</f>
        <v>0</v>
      </c>
      <c r="K4864" s="6" t="n">
        <v>13.58</v>
      </c>
      <c r="L4864" s="43" t="n">
        <f aca="false">K4864*'Chart of Accounts'!$E$68</f>
        <v>9.0986</v>
      </c>
      <c r="O4864" s="42" t="n">
        <f aca="false">I4864+J4864+L4864</f>
        <v>81.3598</v>
      </c>
    </row>
    <row r="4865" customFormat="false" ht="15" hidden="false" customHeight="false" outlineLevel="0" collapsed="false">
      <c r="B4865" s="7" t="s">
        <v>13498</v>
      </c>
      <c r="C4865" s="39" t="n">
        <v>45959</v>
      </c>
      <c r="D4865" s="7" t="s">
        <v>196</v>
      </c>
      <c r="E4865" s="7" t="s">
        <v>180</v>
      </c>
      <c r="F4865" s="6" t="n">
        <v>3.92</v>
      </c>
      <c r="G4865" s="6" t="n">
        <v>0</v>
      </c>
      <c r="H4865" s="41" t="n">
        <v>15.05</v>
      </c>
      <c r="I4865" s="43" t="n">
        <f aca="false">F4865*H4865</f>
        <v>58.996</v>
      </c>
      <c r="J4865" s="43" t="n">
        <f aca="false">G4865*H4865*1.5</f>
        <v>0</v>
      </c>
      <c r="K4865" s="6" t="n">
        <v>12.25</v>
      </c>
      <c r="L4865" s="43" t="n">
        <f aca="false">K4865*'Chart of Accounts'!$E$68</f>
        <v>8.2075</v>
      </c>
      <c r="O4865" s="42" t="n">
        <f aca="false">I4865+J4865+L4865</f>
        <v>67.2035</v>
      </c>
    </row>
    <row r="4866" customFormat="false" ht="15" hidden="false" customHeight="false" outlineLevel="0" collapsed="false">
      <c r="B4866" s="7" t="s">
        <v>13499</v>
      </c>
      <c r="C4866" s="39" t="n">
        <v>45959</v>
      </c>
      <c r="D4866" s="7" t="s">
        <v>246</v>
      </c>
      <c r="E4866" s="7" t="s">
        <v>180</v>
      </c>
      <c r="F4866" s="6" t="n">
        <v>4.02</v>
      </c>
      <c r="G4866" s="6" t="n">
        <v>0</v>
      </c>
      <c r="H4866" s="41" t="n">
        <v>16.48</v>
      </c>
      <c r="I4866" s="43" t="n">
        <f aca="false">F4866*H4866</f>
        <v>66.2496</v>
      </c>
      <c r="J4866" s="43" t="n">
        <f aca="false">G4866*H4866*1.5</f>
        <v>0</v>
      </c>
      <c r="K4866" s="6" t="n">
        <v>9.28</v>
      </c>
      <c r="L4866" s="43" t="n">
        <f aca="false">K4866*'Chart of Accounts'!$E$68</f>
        <v>6.2176</v>
      </c>
      <c r="O4866" s="42" t="n">
        <f aca="false">I4866+J4866+L4866</f>
        <v>72.4672</v>
      </c>
    </row>
    <row r="4867" customFormat="false" ht="15" hidden="false" customHeight="false" outlineLevel="0" collapsed="false">
      <c r="B4867" s="7" t="s">
        <v>13500</v>
      </c>
      <c r="C4867" s="39" t="n">
        <v>45959</v>
      </c>
      <c r="D4867" s="7" t="s">
        <v>222</v>
      </c>
      <c r="E4867" s="7" t="s">
        <v>180</v>
      </c>
      <c r="F4867" s="6" t="n">
        <v>3.7</v>
      </c>
      <c r="G4867" s="6" t="n">
        <v>0</v>
      </c>
      <c r="H4867" s="41" t="n">
        <v>17.84</v>
      </c>
      <c r="I4867" s="43" t="n">
        <f aca="false">F4867*H4867</f>
        <v>66.008</v>
      </c>
      <c r="J4867" s="43" t="n">
        <f aca="false">G4867*H4867*1.5</f>
        <v>0</v>
      </c>
      <c r="K4867" s="6" t="n">
        <v>8.18</v>
      </c>
      <c r="L4867" s="43" t="n">
        <f aca="false">K4867*'Chart of Accounts'!$E$68</f>
        <v>5.4806</v>
      </c>
      <c r="O4867" s="42" t="n">
        <f aca="false">I4867+J4867+L4867</f>
        <v>71.4886</v>
      </c>
    </row>
    <row r="4868" customFormat="false" ht="15" hidden="false" customHeight="false" outlineLevel="0" collapsed="false">
      <c r="B4868" s="7" t="s">
        <v>13501</v>
      </c>
      <c r="C4868" s="39" t="n">
        <v>45959</v>
      </c>
      <c r="D4868" s="7" t="s">
        <v>203</v>
      </c>
      <c r="E4868" s="7" t="s">
        <v>158</v>
      </c>
      <c r="H4868" s="41" t="n">
        <v>49.43</v>
      </c>
      <c r="M4868" s="6" t="n">
        <v>1</v>
      </c>
      <c r="N4868" s="43" t="n">
        <f aca="false">M4868*H4868</f>
        <v>49.43</v>
      </c>
      <c r="O4868" s="42" t="n">
        <f aca="false">N4868</f>
        <v>49.43</v>
      </c>
    </row>
    <row r="4869" customFormat="false" ht="15" hidden="false" customHeight="false" outlineLevel="0" collapsed="false">
      <c r="B4869" s="7" t="s">
        <v>13502</v>
      </c>
      <c r="C4869" s="39" t="n">
        <v>45959</v>
      </c>
      <c r="D4869" s="7" t="s">
        <v>256</v>
      </c>
      <c r="E4869" s="7" t="s">
        <v>180</v>
      </c>
      <c r="F4869" s="6" t="n">
        <v>3.22</v>
      </c>
      <c r="G4869" s="6" t="n">
        <v>0</v>
      </c>
      <c r="H4869" s="41" t="n">
        <v>15.63</v>
      </c>
      <c r="I4869" s="43" t="n">
        <f aca="false">F4869*H4869</f>
        <v>50.3286</v>
      </c>
      <c r="J4869" s="43" t="n">
        <f aca="false">G4869*H4869*1.5</f>
        <v>0</v>
      </c>
      <c r="K4869" s="6" t="n">
        <v>7.14</v>
      </c>
      <c r="L4869" s="43" t="n">
        <f aca="false">K4869*'Chart of Accounts'!$E$68</f>
        <v>4.7838</v>
      </c>
      <c r="O4869" s="42" t="n">
        <f aca="false">I4869+J4869+L4869</f>
        <v>55.1124</v>
      </c>
    </row>
    <row r="4870" customFormat="false" ht="15" hidden="false" customHeight="false" outlineLevel="0" collapsed="false">
      <c r="B4870" s="7" t="s">
        <v>13503</v>
      </c>
      <c r="C4870" s="39" t="n">
        <v>45960</v>
      </c>
      <c r="D4870" s="7" t="s">
        <v>238</v>
      </c>
      <c r="E4870" s="7" t="s">
        <v>180</v>
      </c>
      <c r="F4870" s="6" t="n">
        <v>6.86</v>
      </c>
      <c r="G4870" s="6" t="n">
        <v>0</v>
      </c>
      <c r="H4870" s="41" t="n">
        <v>15.85</v>
      </c>
      <c r="I4870" s="43" t="n">
        <f aca="false">F4870*H4870</f>
        <v>108.731</v>
      </c>
      <c r="J4870" s="43" t="n">
        <f aca="false">G4870*H4870*1.5</f>
        <v>0</v>
      </c>
      <c r="K4870" s="6" t="n">
        <v>18.08</v>
      </c>
      <c r="L4870" s="43" t="n">
        <f aca="false">K4870*'Chart of Accounts'!$E$68</f>
        <v>12.1136</v>
      </c>
      <c r="O4870" s="42" t="n">
        <f aca="false">I4870+J4870+L4870</f>
        <v>120.8446</v>
      </c>
    </row>
    <row r="4871" customFormat="false" ht="15" hidden="false" customHeight="false" outlineLevel="0" collapsed="false">
      <c r="B4871" s="7" t="s">
        <v>13504</v>
      </c>
      <c r="C4871" s="39" t="n">
        <v>45960</v>
      </c>
      <c r="D4871" s="7" t="s">
        <v>201</v>
      </c>
      <c r="E4871" s="7" t="s">
        <v>180</v>
      </c>
      <c r="F4871" s="6" t="n">
        <v>10.7</v>
      </c>
      <c r="G4871" s="6" t="n">
        <v>0</v>
      </c>
      <c r="H4871" s="41" t="n">
        <v>15.19</v>
      </c>
      <c r="I4871" s="43" t="n">
        <f aca="false">F4871*H4871</f>
        <v>162.533</v>
      </c>
      <c r="J4871" s="43" t="n">
        <f aca="false">G4871*H4871*1.5</f>
        <v>0</v>
      </c>
      <c r="K4871" s="6" t="n">
        <v>37.74</v>
      </c>
      <c r="L4871" s="43" t="n">
        <f aca="false">K4871*'Chart of Accounts'!$E$68</f>
        <v>25.2858</v>
      </c>
      <c r="O4871" s="42" t="n">
        <f aca="false">I4871+J4871+L4871</f>
        <v>187.8188</v>
      </c>
    </row>
    <row r="4872" customFormat="false" ht="15" hidden="false" customHeight="false" outlineLevel="0" collapsed="false">
      <c r="B4872" s="7" t="s">
        <v>13505</v>
      </c>
      <c r="C4872" s="39" t="n">
        <v>45960</v>
      </c>
      <c r="D4872" s="7" t="s">
        <v>205</v>
      </c>
      <c r="E4872" s="7" t="s">
        <v>180</v>
      </c>
      <c r="F4872" s="6" t="n">
        <v>2.83</v>
      </c>
      <c r="G4872" s="6" t="n">
        <v>0</v>
      </c>
      <c r="H4872" s="41" t="n">
        <v>16.36</v>
      </c>
      <c r="I4872" s="43" t="n">
        <f aca="false">F4872*H4872</f>
        <v>46.2988</v>
      </c>
      <c r="J4872" s="43" t="n">
        <f aca="false">G4872*H4872*1.5</f>
        <v>0</v>
      </c>
      <c r="K4872" s="6" t="n">
        <v>8.59</v>
      </c>
      <c r="L4872" s="43" t="n">
        <f aca="false">K4872*'Chart of Accounts'!$E$68</f>
        <v>5.7553</v>
      </c>
      <c r="O4872" s="42" t="n">
        <f aca="false">I4872+J4872+L4872</f>
        <v>52.0541</v>
      </c>
    </row>
    <row r="4873" customFormat="false" ht="15" hidden="false" customHeight="false" outlineLevel="0" collapsed="false">
      <c r="B4873" s="7" t="s">
        <v>13506</v>
      </c>
      <c r="C4873" s="39" t="n">
        <v>45960</v>
      </c>
      <c r="D4873" s="7" t="s">
        <v>240</v>
      </c>
      <c r="E4873" s="7" t="s">
        <v>180</v>
      </c>
      <c r="F4873" s="6" t="n">
        <v>4.04</v>
      </c>
      <c r="G4873" s="6" t="n">
        <v>0</v>
      </c>
      <c r="H4873" s="41" t="n">
        <v>16.96</v>
      </c>
      <c r="I4873" s="43" t="n">
        <f aca="false">F4873*H4873</f>
        <v>68.5184</v>
      </c>
      <c r="J4873" s="43" t="n">
        <f aca="false">G4873*H4873*1.5</f>
        <v>0</v>
      </c>
      <c r="K4873" s="6" t="n">
        <v>10.04</v>
      </c>
      <c r="L4873" s="43" t="n">
        <f aca="false">K4873*'Chart of Accounts'!$E$68</f>
        <v>6.7268</v>
      </c>
      <c r="O4873" s="42" t="n">
        <f aca="false">I4873+J4873+L4873</f>
        <v>75.2452</v>
      </c>
    </row>
    <row r="4874" customFormat="false" ht="15" hidden="false" customHeight="false" outlineLevel="0" collapsed="false">
      <c r="B4874" s="7" t="s">
        <v>13507</v>
      </c>
      <c r="C4874" s="39" t="n">
        <v>45960</v>
      </c>
      <c r="D4874" s="7" t="s">
        <v>196</v>
      </c>
      <c r="E4874" s="7" t="s">
        <v>180</v>
      </c>
      <c r="F4874" s="6" t="n">
        <v>10.46</v>
      </c>
      <c r="G4874" s="6" t="n">
        <v>0</v>
      </c>
      <c r="H4874" s="41" t="n">
        <v>15.05</v>
      </c>
      <c r="I4874" s="43" t="n">
        <f aca="false">F4874*H4874</f>
        <v>157.423</v>
      </c>
      <c r="J4874" s="43" t="n">
        <f aca="false">G4874*H4874*1.5</f>
        <v>0</v>
      </c>
      <c r="K4874" s="6" t="n">
        <v>25.4</v>
      </c>
      <c r="L4874" s="43" t="n">
        <f aca="false">K4874*'Chart of Accounts'!$E$68</f>
        <v>17.018</v>
      </c>
      <c r="O4874" s="42" t="n">
        <f aca="false">I4874+J4874+L4874</f>
        <v>174.441</v>
      </c>
    </row>
    <row r="4875" customFormat="false" ht="15" hidden="false" customHeight="false" outlineLevel="0" collapsed="false">
      <c r="B4875" s="7" t="s">
        <v>13508</v>
      </c>
      <c r="C4875" s="39" t="n">
        <v>45960</v>
      </c>
      <c r="D4875" s="7" t="s">
        <v>184</v>
      </c>
      <c r="E4875" s="7" t="s">
        <v>180</v>
      </c>
      <c r="F4875" s="6" t="n">
        <v>4.09</v>
      </c>
      <c r="G4875" s="6" t="n">
        <v>0</v>
      </c>
      <c r="H4875" s="41" t="n">
        <v>17.34</v>
      </c>
      <c r="I4875" s="43" t="n">
        <f aca="false">F4875*H4875</f>
        <v>70.9206</v>
      </c>
      <c r="J4875" s="43" t="n">
        <f aca="false">G4875*H4875*1.5</f>
        <v>0</v>
      </c>
      <c r="K4875" s="6" t="n">
        <v>13.78</v>
      </c>
      <c r="L4875" s="43" t="n">
        <f aca="false">K4875*'Chart of Accounts'!$E$68</f>
        <v>9.2326</v>
      </c>
      <c r="O4875" s="42" t="n">
        <f aca="false">I4875+J4875+L4875</f>
        <v>80.1532</v>
      </c>
    </row>
    <row r="4876" customFormat="false" ht="15" hidden="false" customHeight="false" outlineLevel="0" collapsed="false">
      <c r="B4876" s="7" t="s">
        <v>13509</v>
      </c>
      <c r="C4876" s="39" t="n">
        <v>45960</v>
      </c>
      <c r="D4876" s="7" t="s">
        <v>218</v>
      </c>
      <c r="E4876" s="7" t="s">
        <v>180</v>
      </c>
      <c r="F4876" s="6" t="n">
        <v>6.49</v>
      </c>
      <c r="G4876" s="6" t="n">
        <v>0</v>
      </c>
      <c r="H4876" s="41" t="n">
        <v>16.19</v>
      </c>
      <c r="I4876" s="43" t="n">
        <f aca="false">F4876*H4876</f>
        <v>105.0731</v>
      </c>
      <c r="J4876" s="43" t="n">
        <f aca="false">G4876*H4876*1.5</f>
        <v>0</v>
      </c>
      <c r="K4876" s="6" t="n">
        <v>22.98</v>
      </c>
      <c r="L4876" s="43" t="n">
        <f aca="false">K4876*'Chart of Accounts'!$E$68</f>
        <v>15.3966</v>
      </c>
      <c r="O4876" s="42" t="n">
        <f aca="false">I4876+J4876+L4876</f>
        <v>120.4697</v>
      </c>
    </row>
    <row r="4877" customFormat="false" ht="15" hidden="false" customHeight="false" outlineLevel="0" collapsed="false">
      <c r="B4877" s="7" t="s">
        <v>13510</v>
      </c>
      <c r="C4877" s="39" t="n">
        <v>45960</v>
      </c>
      <c r="D4877" s="7" t="s">
        <v>220</v>
      </c>
      <c r="E4877" s="7" t="s">
        <v>180</v>
      </c>
      <c r="F4877" s="6" t="n">
        <v>4.2</v>
      </c>
      <c r="G4877" s="6" t="n">
        <v>0</v>
      </c>
      <c r="H4877" s="41" t="n">
        <v>16.43</v>
      </c>
      <c r="I4877" s="43" t="n">
        <f aca="false">F4877*H4877</f>
        <v>69.006</v>
      </c>
      <c r="J4877" s="43" t="n">
        <f aca="false">G4877*H4877*1.5</f>
        <v>0</v>
      </c>
      <c r="K4877" s="6" t="n">
        <v>12.52</v>
      </c>
      <c r="L4877" s="43" t="n">
        <f aca="false">K4877*'Chart of Accounts'!$E$68</f>
        <v>8.3884</v>
      </c>
      <c r="O4877" s="42" t="n">
        <f aca="false">I4877+J4877+L4877</f>
        <v>77.3944</v>
      </c>
    </row>
    <row r="4878" customFormat="false" ht="15" hidden="false" customHeight="false" outlineLevel="0" collapsed="false">
      <c r="B4878" s="7" t="s">
        <v>13511</v>
      </c>
      <c r="C4878" s="39" t="n">
        <v>45960</v>
      </c>
      <c r="D4878" s="7" t="s">
        <v>224</v>
      </c>
      <c r="E4878" s="7" t="s">
        <v>180</v>
      </c>
      <c r="F4878" s="6" t="n">
        <v>4.23</v>
      </c>
      <c r="G4878" s="6" t="n">
        <v>0</v>
      </c>
      <c r="H4878" s="41" t="n">
        <v>14.93</v>
      </c>
      <c r="I4878" s="43" t="n">
        <f aca="false">F4878*H4878</f>
        <v>63.1539</v>
      </c>
      <c r="J4878" s="43" t="n">
        <f aca="false">G4878*H4878*1.5</f>
        <v>0</v>
      </c>
      <c r="K4878" s="6" t="n">
        <v>13.54</v>
      </c>
      <c r="L4878" s="43" t="n">
        <f aca="false">K4878*'Chart of Accounts'!$E$68</f>
        <v>9.0718</v>
      </c>
      <c r="O4878" s="42" t="n">
        <f aca="false">I4878+J4878+L4878</f>
        <v>72.2257</v>
      </c>
    </row>
    <row r="4879" customFormat="false" ht="15" hidden="false" customHeight="false" outlineLevel="0" collapsed="false">
      <c r="B4879" s="7" t="s">
        <v>13512</v>
      </c>
      <c r="C4879" s="39" t="n">
        <v>45960</v>
      </c>
      <c r="D4879" s="7" t="s">
        <v>222</v>
      </c>
      <c r="E4879" s="7" t="s">
        <v>180</v>
      </c>
      <c r="F4879" s="6" t="n">
        <v>6.52</v>
      </c>
      <c r="G4879" s="6" t="n">
        <v>0</v>
      </c>
      <c r="H4879" s="41" t="n">
        <v>17.84</v>
      </c>
      <c r="I4879" s="43" t="n">
        <f aca="false">F4879*H4879</f>
        <v>116.3168</v>
      </c>
      <c r="J4879" s="43" t="n">
        <f aca="false">G4879*H4879*1.5</f>
        <v>0</v>
      </c>
      <c r="K4879" s="6" t="n">
        <v>21.48</v>
      </c>
      <c r="L4879" s="43" t="n">
        <f aca="false">K4879*'Chart of Accounts'!$E$68</f>
        <v>14.3916</v>
      </c>
      <c r="O4879" s="42" t="n">
        <f aca="false">I4879+J4879+L4879</f>
        <v>130.7084</v>
      </c>
    </row>
    <row r="4880" customFormat="false" ht="15" hidden="false" customHeight="false" outlineLevel="0" collapsed="false">
      <c r="B4880" s="7" t="s">
        <v>13513</v>
      </c>
      <c r="C4880" s="39" t="n">
        <v>45960</v>
      </c>
      <c r="D4880" s="7" t="s">
        <v>244</v>
      </c>
      <c r="E4880" s="7" t="s">
        <v>180</v>
      </c>
      <c r="F4880" s="6" t="n">
        <v>7.86</v>
      </c>
      <c r="G4880" s="6" t="n">
        <v>0</v>
      </c>
      <c r="H4880" s="41" t="n">
        <v>16.39</v>
      </c>
      <c r="I4880" s="43" t="n">
        <f aca="false">F4880*H4880</f>
        <v>128.8254</v>
      </c>
      <c r="J4880" s="43" t="n">
        <f aca="false">G4880*H4880*1.5</f>
        <v>0</v>
      </c>
      <c r="K4880" s="6" t="n">
        <v>27.59</v>
      </c>
      <c r="L4880" s="43" t="n">
        <f aca="false">K4880*'Chart of Accounts'!$E$68</f>
        <v>18.4853</v>
      </c>
      <c r="O4880" s="42" t="n">
        <f aca="false">I4880+J4880+L4880</f>
        <v>147.3107</v>
      </c>
    </row>
    <row r="4881" customFormat="false" ht="15" hidden="false" customHeight="false" outlineLevel="0" collapsed="false">
      <c r="B4881" s="7" t="s">
        <v>13514</v>
      </c>
      <c r="C4881" s="39" t="n">
        <v>45960</v>
      </c>
      <c r="D4881" s="7" t="s">
        <v>246</v>
      </c>
      <c r="E4881" s="7" t="s">
        <v>180</v>
      </c>
      <c r="F4881" s="6" t="n">
        <v>8.69</v>
      </c>
      <c r="G4881" s="6" t="n">
        <v>0</v>
      </c>
      <c r="H4881" s="41" t="n">
        <v>16.48</v>
      </c>
      <c r="I4881" s="43" t="n">
        <f aca="false">F4881*H4881</f>
        <v>143.2112</v>
      </c>
      <c r="J4881" s="43" t="n">
        <f aca="false">G4881*H4881*1.5</f>
        <v>0</v>
      </c>
      <c r="K4881" s="6" t="n">
        <v>23.57</v>
      </c>
      <c r="L4881" s="43" t="n">
        <f aca="false">K4881*'Chart of Accounts'!$E$68</f>
        <v>15.7919</v>
      </c>
      <c r="O4881" s="42" t="n">
        <f aca="false">I4881+J4881+L4881</f>
        <v>159.0031</v>
      </c>
    </row>
    <row r="4882" customFormat="false" ht="15" hidden="false" customHeight="false" outlineLevel="0" collapsed="false">
      <c r="B4882" s="7" t="s">
        <v>13515</v>
      </c>
      <c r="C4882" s="39" t="n">
        <v>45960</v>
      </c>
      <c r="D4882" s="7" t="s">
        <v>194</v>
      </c>
      <c r="E4882" s="7" t="s">
        <v>180</v>
      </c>
      <c r="F4882" s="6" t="n">
        <v>3.92</v>
      </c>
      <c r="G4882" s="6" t="n">
        <v>0</v>
      </c>
      <c r="H4882" s="41" t="n">
        <v>16</v>
      </c>
      <c r="I4882" s="43" t="n">
        <f aca="false">F4882*H4882</f>
        <v>62.72</v>
      </c>
      <c r="J4882" s="43" t="n">
        <f aca="false">G4882*H4882*1.5</f>
        <v>0</v>
      </c>
      <c r="K4882" s="6" t="n">
        <v>11.32</v>
      </c>
      <c r="L4882" s="43" t="n">
        <f aca="false">K4882*'Chart of Accounts'!$E$68</f>
        <v>7.5844</v>
      </c>
      <c r="O4882" s="42" t="n">
        <f aca="false">I4882+J4882+L4882</f>
        <v>70.3044</v>
      </c>
    </row>
    <row r="4883" customFormat="false" ht="15" hidden="false" customHeight="false" outlineLevel="0" collapsed="false">
      <c r="B4883" s="7" t="s">
        <v>13516</v>
      </c>
      <c r="C4883" s="39" t="n">
        <v>45960</v>
      </c>
      <c r="D4883" s="7" t="s">
        <v>214</v>
      </c>
      <c r="E4883" s="7" t="s">
        <v>180</v>
      </c>
      <c r="F4883" s="6" t="n">
        <v>3.7</v>
      </c>
      <c r="G4883" s="6" t="n">
        <v>0</v>
      </c>
      <c r="H4883" s="41" t="n">
        <v>15.67</v>
      </c>
      <c r="I4883" s="43" t="n">
        <f aca="false">F4883*H4883</f>
        <v>57.979</v>
      </c>
      <c r="J4883" s="43" t="n">
        <f aca="false">G4883*H4883*1.5</f>
        <v>0</v>
      </c>
      <c r="K4883" s="6" t="n">
        <v>12.86</v>
      </c>
      <c r="L4883" s="43" t="n">
        <f aca="false">K4883*'Chart of Accounts'!$E$68</f>
        <v>8.6162</v>
      </c>
      <c r="O4883" s="42" t="n">
        <f aca="false">I4883+J4883+L4883</f>
        <v>66.5952</v>
      </c>
    </row>
    <row r="4884" customFormat="false" ht="15" hidden="false" customHeight="false" outlineLevel="0" collapsed="false">
      <c r="B4884" s="7" t="s">
        <v>13517</v>
      </c>
      <c r="C4884" s="39" t="n">
        <v>45960</v>
      </c>
      <c r="D4884" s="7" t="s">
        <v>242</v>
      </c>
      <c r="E4884" s="7" t="s">
        <v>180</v>
      </c>
      <c r="F4884" s="6" t="n">
        <v>3.665</v>
      </c>
      <c r="G4884" s="6" t="n">
        <v>0.065</v>
      </c>
      <c r="H4884" s="41" t="n">
        <v>17.99</v>
      </c>
      <c r="I4884" s="43" t="n">
        <f aca="false">F4884*H4884</f>
        <v>65.93335</v>
      </c>
      <c r="J4884" s="43" t="n">
        <f aca="false">G4884*H4884*1.5</f>
        <v>1.754025</v>
      </c>
      <c r="K4884" s="6" t="n">
        <v>8.74</v>
      </c>
      <c r="L4884" s="43" t="n">
        <f aca="false">K4884*'Chart of Accounts'!$E$68</f>
        <v>5.8558</v>
      </c>
      <c r="O4884" s="42" t="n">
        <f aca="false">I4884+J4884+L4884</f>
        <v>73.543175</v>
      </c>
    </row>
    <row r="4885" customFormat="false" ht="15" hidden="false" customHeight="false" outlineLevel="0" collapsed="false">
      <c r="B4885" s="7" t="s">
        <v>13518</v>
      </c>
      <c r="C4885" s="39" t="n">
        <v>45960</v>
      </c>
      <c r="D4885" s="7" t="s">
        <v>254</v>
      </c>
      <c r="E4885" s="7" t="s">
        <v>180</v>
      </c>
      <c r="F4885" s="6" t="n">
        <v>3.61</v>
      </c>
      <c r="G4885" s="6" t="n">
        <v>0</v>
      </c>
      <c r="H4885" s="41" t="n">
        <v>17.1</v>
      </c>
      <c r="I4885" s="43" t="n">
        <f aca="false">F4885*H4885</f>
        <v>61.731</v>
      </c>
      <c r="J4885" s="43" t="n">
        <f aca="false">G4885*H4885*1.5</f>
        <v>0</v>
      </c>
      <c r="K4885" s="6" t="n">
        <v>10.08</v>
      </c>
      <c r="L4885" s="43" t="n">
        <f aca="false">K4885*'Chart of Accounts'!$E$68</f>
        <v>6.7536</v>
      </c>
      <c r="O4885" s="42" t="n">
        <f aca="false">I4885+J4885+L4885</f>
        <v>68.4846</v>
      </c>
    </row>
    <row r="4886" customFormat="false" ht="15" hidden="false" customHeight="false" outlineLevel="0" collapsed="false">
      <c r="B4886" s="7" t="s">
        <v>13519</v>
      </c>
      <c r="C4886" s="39" t="n">
        <v>45961</v>
      </c>
      <c r="D4886" s="7" t="s">
        <v>250</v>
      </c>
      <c r="E4886" s="7" t="s">
        <v>180</v>
      </c>
      <c r="F4886" s="6" t="n">
        <v>7.32</v>
      </c>
      <c r="G4886" s="6" t="n">
        <v>0</v>
      </c>
      <c r="H4886" s="41" t="n">
        <v>16.88</v>
      </c>
      <c r="I4886" s="43" t="n">
        <f aca="false">F4886*H4886</f>
        <v>123.5616</v>
      </c>
      <c r="J4886" s="43" t="n">
        <f aca="false">G4886*H4886*1.5</f>
        <v>0</v>
      </c>
      <c r="K4886" s="6" t="n">
        <v>17.68</v>
      </c>
      <c r="L4886" s="43" t="n">
        <f aca="false">K4886*'Chart of Accounts'!$E$68</f>
        <v>11.8456</v>
      </c>
      <c r="O4886" s="42" t="n">
        <f aca="false">I4886+J4886+L4886</f>
        <v>135.4072</v>
      </c>
    </row>
    <row r="4887" customFormat="false" ht="15" hidden="false" customHeight="false" outlineLevel="0" collapsed="false">
      <c r="B4887" s="7" t="s">
        <v>13520</v>
      </c>
      <c r="C4887" s="39" t="n">
        <v>45961</v>
      </c>
      <c r="D4887" s="7" t="s">
        <v>194</v>
      </c>
      <c r="E4887" s="7" t="s">
        <v>180</v>
      </c>
      <c r="F4887" s="6" t="n">
        <v>4.38</v>
      </c>
      <c r="G4887" s="6" t="n">
        <v>0</v>
      </c>
      <c r="H4887" s="41" t="n">
        <v>16</v>
      </c>
      <c r="I4887" s="43" t="n">
        <f aca="false">F4887*H4887</f>
        <v>70.08</v>
      </c>
      <c r="J4887" s="43" t="n">
        <f aca="false">G4887*H4887*1.5</f>
        <v>0</v>
      </c>
      <c r="K4887" s="6" t="n">
        <v>13.26</v>
      </c>
      <c r="L4887" s="43" t="n">
        <f aca="false">K4887*'Chart of Accounts'!$E$68</f>
        <v>8.8842</v>
      </c>
      <c r="O4887" s="42" t="n">
        <f aca="false">I4887+J4887+L4887</f>
        <v>78.9642</v>
      </c>
    </row>
    <row r="4888" customFormat="false" ht="15" hidden="false" customHeight="false" outlineLevel="0" collapsed="false">
      <c r="B4888" s="7" t="s">
        <v>13521</v>
      </c>
      <c r="C4888" s="39" t="n">
        <v>45961</v>
      </c>
      <c r="D4888" s="7" t="s">
        <v>198</v>
      </c>
      <c r="E4888" s="7" t="s">
        <v>158</v>
      </c>
      <c r="H4888" s="41" t="n">
        <v>48.09</v>
      </c>
      <c r="M4888" s="6" t="n">
        <v>1</v>
      </c>
      <c r="N4888" s="43" t="n">
        <f aca="false">M4888*H4888</f>
        <v>48.09</v>
      </c>
      <c r="O4888" s="42" t="n">
        <f aca="false">N4888</f>
        <v>48.09</v>
      </c>
    </row>
    <row r="4889" customFormat="false" ht="15" hidden="false" customHeight="false" outlineLevel="0" collapsed="false">
      <c r="B4889" s="7" t="s">
        <v>13522</v>
      </c>
      <c r="C4889" s="39" t="n">
        <v>45961</v>
      </c>
      <c r="D4889" s="7" t="s">
        <v>214</v>
      </c>
      <c r="E4889" s="7" t="s">
        <v>180</v>
      </c>
      <c r="F4889" s="6" t="n">
        <v>7.7</v>
      </c>
      <c r="G4889" s="6" t="n">
        <v>0</v>
      </c>
      <c r="H4889" s="41" t="n">
        <v>15.67</v>
      </c>
      <c r="I4889" s="43" t="n">
        <f aca="false">F4889*H4889</f>
        <v>120.659</v>
      </c>
      <c r="J4889" s="43" t="n">
        <f aca="false">G4889*H4889*1.5</f>
        <v>0</v>
      </c>
      <c r="K4889" s="6" t="n">
        <v>19.18</v>
      </c>
      <c r="L4889" s="43" t="n">
        <f aca="false">K4889*'Chart of Accounts'!$E$68</f>
        <v>12.8506</v>
      </c>
      <c r="O4889" s="42" t="n">
        <f aca="false">I4889+J4889+L4889</f>
        <v>133.5096</v>
      </c>
    </row>
    <row r="4890" customFormat="false" ht="15" hidden="false" customHeight="false" outlineLevel="0" collapsed="false">
      <c r="B4890" s="7" t="s">
        <v>13523</v>
      </c>
      <c r="C4890" s="39" t="n">
        <v>45961</v>
      </c>
      <c r="D4890" s="7" t="s">
        <v>209</v>
      </c>
      <c r="E4890" s="7" t="s">
        <v>158</v>
      </c>
      <c r="H4890" s="41" t="n">
        <v>73.58</v>
      </c>
      <c r="M4890" s="6" t="n">
        <v>2</v>
      </c>
      <c r="N4890" s="43" t="n">
        <f aca="false">M4890*H4890</f>
        <v>147.16</v>
      </c>
      <c r="O4890" s="42" t="n">
        <f aca="false">N4890</f>
        <v>147.16</v>
      </c>
    </row>
    <row r="4891" customFormat="false" ht="15" hidden="false" customHeight="false" outlineLevel="0" collapsed="false">
      <c r="B4891" s="7" t="s">
        <v>13524</v>
      </c>
      <c r="C4891" s="39" t="n">
        <v>45961</v>
      </c>
      <c r="D4891" s="7" t="s">
        <v>205</v>
      </c>
      <c r="E4891" s="7" t="s">
        <v>180</v>
      </c>
      <c r="F4891" s="6" t="n">
        <v>3.86</v>
      </c>
      <c r="G4891" s="6" t="n">
        <v>0</v>
      </c>
      <c r="H4891" s="41" t="n">
        <v>16.36</v>
      </c>
      <c r="I4891" s="43" t="n">
        <f aca="false">F4891*H4891</f>
        <v>63.1496</v>
      </c>
      <c r="J4891" s="43" t="n">
        <f aca="false">G4891*H4891*1.5</f>
        <v>0</v>
      </c>
      <c r="K4891" s="6" t="n">
        <v>9.25</v>
      </c>
      <c r="L4891" s="43" t="n">
        <f aca="false">K4891*'Chart of Accounts'!$E$68</f>
        <v>6.1975</v>
      </c>
      <c r="O4891" s="42" t="n">
        <f aca="false">I4891+J4891+L4891</f>
        <v>69.3471</v>
      </c>
    </row>
    <row r="4892" customFormat="false" ht="15" hidden="false" customHeight="false" outlineLevel="0" collapsed="false">
      <c r="B4892" s="7" t="s">
        <v>13525</v>
      </c>
      <c r="C4892" s="39" t="n">
        <v>45961</v>
      </c>
      <c r="D4892" s="7" t="s">
        <v>264</v>
      </c>
      <c r="E4892" s="7" t="s">
        <v>158</v>
      </c>
      <c r="H4892" s="41" t="n">
        <v>55.55</v>
      </c>
      <c r="M4892" s="6" t="n">
        <v>1</v>
      </c>
      <c r="N4892" s="43" t="n">
        <f aca="false">M4892*H4892</f>
        <v>55.55</v>
      </c>
      <c r="O4892" s="42" t="n">
        <f aca="false">N4892</f>
        <v>55.55</v>
      </c>
    </row>
    <row r="4893" customFormat="false" ht="15" hidden="false" customHeight="false" outlineLevel="0" collapsed="false">
      <c r="B4893" s="7" t="s">
        <v>13526</v>
      </c>
      <c r="C4893" s="39" t="n">
        <v>45961</v>
      </c>
      <c r="D4893" s="7" t="s">
        <v>252</v>
      </c>
      <c r="E4893" s="7" t="s">
        <v>158</v>
      </c>
      <c r="H4893" s="41" t="n">
        <v>57.54</v>
      </c>
      <c r="M4893" s="6" t="n">
        <v>1</v>
      </c>
      <c r="N4893" s="43" t="n">
        <f aca="false">M4893*H4893</f>
        <v>57.54</v>
      </c>
      <c r="O4893" s="42" t="n">
        <f aca="false">N4893</f>
        <v>57.54</v>
      </c>
    </row>
    <row r="4894" customFormat="false" ht="15" hidden="false" customHeight="false" outlineLevel="0" collapsed="false">
      <c r="B4894" s="7" t="s">
        <v>13527</v>
      </c>
      <c r="C4894" s="39" t="n">
        <v>45961</v>
      </c>
      <c r="D4894" s="7" t="s">
        <v>216</v>
      </c>
      <c r="E4894" s="7" t="s">
        <v>158</v>
      </c>
      <c r="H4894" s="41" t="n">
        <v>61.79</v>
      </c>
      <c r="M4894" s="6" t="n">
        <v>1</v>
      </c>
      <c r="N4894" s="43" t="n">
        <f aca="false">M4894*H4894</f>
        <v>61.79</v>
      </c>
      <c r="O4894" s="42" t="n">
        <f aca="false">N4894</f>
        <v>61.79</v>
      </c>
    </row>
    <row r="4895" customFormat="false" ht="15" hidden="false" customHeight="false" outlineLevel="0" collapsed="false">
      <c r="B4895" s="7" t="s">
        <v>13528</v>
      </c>
      <c r="C4895" s="39" t="n">
        <v>45961</v>
      </c>
      <c r="D4895" s="7" t="s">
        <v>234</v>
      </c>
      <c r="E4895" s="7" t="s">
        <v>158</v>
      </c>
      <c r="H4895" s="41" t="n">
        <v>89.53</v>
      </c>
      <c r="M4895" s="6" t="n">
        <v>2</v>
      </c>
      <c r="N4895" s="43" t="n">
        <f aca="false">M4895*H4895</f>
        <v>179.06</v>
      </c>
      <c r="O4895" s="42" t="n">
        <f aca="false">N4895</f>
        <v>179.06</v>
      </c>
    </row>
    <row r="4896" customFormat="false" ht="15" hidden="false" customHeight="false" outlineLevel="0" collapsed="false">
      <c r="B4896" s="7" t="s">
        <v>13529</v>
      </c>
      <c r="C4896" s="39" t="n">
        <v>45961</v>
      </c>
      <c r="D4896" s="7" t="s">
        <v>218</v>
      </c>
      <c r="E4896" s="7" t="s">
        <v>180</v>
      </c>
      <c r="F4896" s="6" t="n">
        <v>4.25</v>
      </c>
      <c r="G4896" s="6" t="n">
        <v>0</v>
      </c>
      <c r="H4896" s="41" t="n">
        <v>16.19</v>
      </c>
      <c r="I4896" s="43" t="n">
        <f aca="false">F4896*H4896</f>
        <v>68.8075</v>
      </c>
      <c r="J4896" s="43" t="n">
        <f aca="false">G4896*H4896*1.5</f>
        <v>0</v>
      </c>
      <c r="K4896" s="6" t="n">
        <v>13.89</v>
      </c>
      <c r="L4896" s="43" t="n">
        <f aca="false">K4896*'Chart of Accounts'!$E$68</f>
        <v>9.3063</v>
      </c>
      <c r="O4896" s="42" t="n">
        <f aca="false">I4896+J4896+L4896</f>
        <v>78.1138</v>
      </c>
    </row>
    <row r="4897" customFormat="false" ht="15" hidden="false" customHeight="false" outlineLevel="0" collapsed="false">
      <c r="B4897" s="7" t="s">
        <v>13530</v>
      </c>
      <c r="C4897" s="39" t="n">
        <v>45961</v>
      </c>
      <c r="D4897" s="7" t="s">
        <v>258</v>
      </c>
      <c r="E4897" s="7" t="s">
        <v>158</v>
      </c>
      <c r="H4897" s="41" t="n">
        <v>61.61</v>
      </c>
      <c r="M4897" s="6" t="n">
        <v>2</v>
      </c>
      <c r="N4897" s="43" t="n">
        <f aca="false">M4897*H4897</f>
        <v>123.22</v>
      </c>
      <c r="O4897" s="42" t="n">
        <f aca="false">N4897</f>
        <v>123.22</v>
      </c>
    </row>
    <row r="4898" customFormat="false" ht="15" hidden="false" customHeight="false" outlineLevel="0" collapsed="false">
      <c r="B4898" s="7" t="s">
        <v>13531</v>
      </c>
      <c r="C4898" s="39" t="n">
        <v>45961</v>
      </c>
      <c r="D4898" s="7" t="s">
        <v>228</v>
      </c>
      <c r="E4898" s="7" t="s">
        <v>158</v>
      </c>
      <c r="H4898" s="41" t="n">
        <v>51.07</v>
      </c>
      <c r="M4898" s="6" t="n">
        <v>1</v>
      </c>
      <c r="N4898" s="43" t="n">
        <f aca="false">M4898*H4898</f>
        <v>51.07</v>
      </c>
      <c r="O4898" s="42" t="n">
        <f aca="false">N4898</f>
        <v>51.07</v>
      </c>
    </row>
    <row r="4899" customFormat="false" ht="15" hidden="false" customHeight="false" outlineLevel="0" collapsed="false">
      <c r="B4899" s="7" t="s">
        <v>13532</v>
      </c>
      <c r="C4899" s="39" t="n">
        <v>45961</v>
      </c>
      <c r="D4899" s="7" t="s">
        <v>220</v>
      </c>
      <c r="E4899" s="7" t="s">
        <v>180</v>
      </c>
      <c r="F4899" s="6" t="n">
        <v>4.32</v>
      </c>
      <c r="G4899" s="6" t="n">
        <v>0</v>
      </c>
      <c r="H4899" s="41" t="n">
        <v>16.43</v>
      </c>
      <c r="I4899" s="43" t="n">
        <f aca="false">F4899*H4899</f>
        <v>70.9776</v>
      </c>
      <c r="J4899" s="43" t="n">
        <f aca="false">G4899*H4899*1.5</f>
        <v>0</v>
      </c>
      <c r="K4899" s="6" t="n">
        <v>11.19</v>
      </c>
      <c r="L4899" s="43" t="n">
        <f aca="false">K4899*'Chart of Accounts'!$E$68</f>
        <v>7.4973</v>
      </c>
      <c r="O4899" s="42" t="n">
        <f aca="false">I4899+J4899+L4899</f>
        <v>78.4749</v>
      </c>
    </row>
    <row r="4900" customFormat="false" ht="15" hidden="false" customHeight="false" outlineLevel="0" collapsed="false">
      <c r="B4900" s="7" t="s">
        <v>13533</v>
      </c>
      <c r="C4900" s="39" t="n">
        <v>45961</v>
      </c>
      <c r="D4900" s="7" t="s">
        <v>236</v>
      </c>
      <c r="E4900" s="7" t="s">
        <v>180</v>
      </c>
      <c r="F4900" s="6" t="n">
        <v>7.6</v>
      </c>
      <c r="G4900" s="6" t="n">
        <v>0</v>
      </c>
      <c r="H4900" s="41" t="n">
        <v>15.49</v>
      </c>
      <c r="I4900" s="43" t="n">
        <f aca="false">F4900*H4900</f>
        <v>117.724</v>
      </c>
      <c r="J4900" s="43" t="n">
        <f aca="false">G4900*H4900*1.5</f>
        <v>0</v>
      </c>
      <c r="K4900" s="6" t="n">
        <v>20.48</v>
      </c>
      <c r="L4900" s="43" t="n">
        <f aca="false">K4900*'Chart of Accounts'!$E$68</f>
        <v>13.7216</v>
      </c>
      <c r="O4900" s="42" t="n">
        <f aca="false">I4900+J4900+L4900</f>
        <v>131.4456</v>
      </c>
    </row>
    <row r="4901" customFormat="false" ht="15" hidden="false" customHeight="false" outlineLevel="0" collapsed="false">
      <c r="B4901" s="7" t="s">
        <v>13534</v>
      </c>
      <c r="C4901" s="39" t="n">
        <v>45961</v>
      </c>
      <c r="D4901" s="7" t="s">
        <v>177</v>
      </c>
      <c r="E4901" s="7" t="s">
        <v>180</v>
      </c>
      <c r="F4901" s="6" t="n">
        <v>8.71</v>
      </c>
      <c r="G4901" s="6" t="n">
        <v>0</v>
      </c>
      <c r="H4901" s="41" t="n">
        <v>14.56</v>
      </c>
      <c r="I4901" s="43" t="n">
        <f aca="false">F4901*H4901</f>
        <v>126.8176</v>
      </c>
      <c r="J4901" s="43" t="n">
        <f aca="false">G4901*H4901*1.5</f>
        <v>0</v>
      </c>
      <c r="K4901" s="6" t="n">
        <v>30.89</v>
      </c>
      <c r="L4901" s="43" t="n">
        <f aca="false">K4901*'Chart of Accounts'!$E$68</f>
        <v>20.6963</v>
      </c>
      <c r="O4901" s="42" t="n">
        <f aca="false">I4901+J4901+L4901</f>
        <v>147.5139</v>
      </c>
    </row>
    <row r="4902" customFormat="false" ht="15" hidden="false" customHeight="false" outlineLevel="0" collapsed="false">
      <c r="B4902" s="7" t="s">
        <v>13535</v>
      </c>
      <c r="C4902" s="39" t="n">
        <v>45961</v>
      </c>
      <c r="D4902" s="7" t="s">
        <v>242</v>
      </c>
      <c r="E4902" s="7" t="s">
        <v>180</v>
      </c>
      <c r="F4902" s="6" t="n">
        <v>6.878</v>
      </c>
      <c r="G4902" s="6" t="n">
        <v>0.122</v>
      </c>
      <c r="H4902" s="41" t="n">
        <v>17.99</v>
      </c>
      <c r="I4902" s="43" t="n">
        <f aca="false">F4902*H4902</f>
        <v>123.73522</v>
      </c>
      <c r="J4902" s="43" t="n">
        <f aca="false">G4902*H4902*1.5</f>
        <v>3.29217</v>
      </c>
      <c r="K4902" s="6" t="n">
        <v>15.81</v>
      </c>
      <c r="L4902" s="43" t="n">
        <f aca="false">K4902*'Chart of Accounts'!$E$68</f>
        <v>10.5927</v>
      </c>
      <c r="O4902" s="42" t="n">
        <f aca="false">I4902+J4902+L4902</f>
        <v>137.62009</v>
      </c>
    </row>
    <row r="4903" customFormat="false" ht="15" hidden="false" customHeight="false" outlineLevel="0" collapsed="false">
      <c r="B4903" s="7" t="s">
        <v>13536</v>
      </c>
      <c r="C4903" s="39" t="n">
        <v>45961</v>
      </c>
      <c r="D4903" s="7" t="s">
        <v>238</v>
      </c>
      <c r="E4903" s="7" t="s">
        <v>180</v>
      </c>
      <c r="F4903" s="6" t="n">
        <v>9.04</v>
      </c>
      <c r="G4903" s="6" t="n">
        <v>0</v>
      </c>
      <c r="H4903" s="41" t="n">
        <v>15.85</v>
      </c>
      <c r="I4903" s="43" t="n">
        <f aca="false">F4903*H4903</f>
        <v>143.284</v>
      </c>
      <c r="J4903" s="43" t="n">
        <f aca="false">G4903*H4903*1.5</f>
        <v>0</v>
      </c>
      <c r="K4903" s="6" t="n">
        <v>30.92</v>
      </c>
      <c r="L4903" s="43" t="n">
        <f aca="false">K4903*'Chart of Accounts'!$E$68</f>
        <v>20.7164</v>
      </c>
      <c r="O4903" s="42" t="n">
        <f aca="false">I4903+J4903+L4903</f>
        <v>164.0004</v>
      </c>
    </row>
    <row r="4904" customFormat="false" ht="15" hidden="false" customHeight="false" outlineLevel="0" collapsed="false">
      <c r="B4904" s="7" t="s">
        <v>13537</v>
      </c>
      <c r="C4904" s="39" t="n">
        <v>45961</v>
      </c>
      <c r="D4904" s="7" t="s">
        <v>244</v>
      </c>
      <c r="E4904" s="7" t="s">
        <v>180</v>
      </c>
      <c r="F4904" s="6" t="n">
        <v>4.18</v>
      </c>
      <c r="G4904" s="6" t="n">
        <v>0</v>
      </c>
      <c r="H4904" s="41" t="n">
        <v>16.39</v>
      </c>
      <c r="I4904" s="43" t="n">
        <f aca="false">F4904*H4904</f>
        <v>68.5102</v>
      </c>
      <c r="J4904" s="43" t="n">
        <f aca="false">G4904*H4904*1.5</f>
        <v>0</v>
      </c>
      <c r="K4904" s="6" t="n">
        <v>14.23</v>
      </c>
      <c r="L4904" s="43" t="n">
        <f aca="false">K4904*'Chart of Accounts'!$E$68</f>
        <v>9.5341</v>
      </c>
      <c r="O4904" s="42" t="n">
        <f aca="false">I4904+J4904+L4904</f>
        <v>78.0443</v>
      </c>
    </row>
    <row r="4905" customFormat="false" ht="15" hidden="false" customHeight="false" outlineLevel="0" collapsed="false">
      <c r="B4905" s="7" t="s">
        <v>13538</v>
      </c>
      <c r="C4905" s="39" t="n">
        <v>45961</v>
      </c>
      <c r="D4905" s="7" t="s">
        <v>254</v>
      </c>
      <c r="E4905" s="7" t="s">
        <v>180</v>
      </c>
      <c r="F4905" s="6" t="n">
        <v>6.91</v>
      </c>
      <c r="G4905" s="6" t="n">
        <v>0</v>
      </c>
      <c r="H4905" s="41" t="n">
        <v>17.1</v>
      </c>
      <c r="I4905" s="43" t="n">
        <f aca="false">F4905*H4905</f>
        <v>118.161</v>
      </c>
      <c r="J4905" s="43" t="n">
        <f aca="false">G4905*H4905*1.5</f>
        <v>0</v>
      </c>
      <c r="K4905" s="6" t="n">
        <v>23.02</v>
      </c>
      <c r="L4905" s="43" t="n">
        <f aca="false">K4905*'Chart of Accounts'!$E$68</f>
        <v>15.4234</v>
      </c>
      <c r="O4905" s="42" t="n">
        <f aca="false">I4905+J4905+L4905</f>
        <v>133.5844</v>
      </c>
    </row>
    <row r="4906" customFormat="false" ht="15" hidden="false" customHeight="false" outlineLevel="0" collapsed="false">
      <c r="B4906" s="7" t="s">
        <v>13539</v>
      </c>
      <c r="C4906" s="39" t="n">
        <v>45961</v>
      </c>
      <c r="D4906" s="7" t="s">
        <v>201</v>
      </c>
      <c r="E4906" s="7" t="s">
        <v>180</v>
      </c>
      <c r="F4906" s="6" t="n">
        <v>3.33</v>
      </c>
      <c r="G4906" s="6" t="n">
        <v>0</v>
      </c>
      <c r="H4906" s="41" t="n">
        <v>15.19</v>
      </c>
      <c r="I4906" s="43" t="n">
        <f aca="false">F4906*H4906</f>
        <v>50.5827</v>
      </c>
      <c r="J4906" s="43" t="n">
        <f aca="false">G4906*H4906*1.5</f>
        <v>0</v>
      </c>
      <c r="K4906" s="6" t="n">
        <v>7.52</v>
      </c>
      <c r="L4906" s="43" t="n">
        <f aca="false">K4906*'Chart of Accounts'!$E$68</f>
        <v>5.0384</v>
      </c>
      <c r="O4906" s="42" t="n">
        <f aca="false">I4906+J4906+L4906</f>
        <v>55.6211</v>
      </c>
    </row>
    <row r="4907" customFormat="false" ht="15" hidden="false" customHeight="false" outlineLevel="0" collapsed="false">
      <c r="B4907" s="7" t="s">
        <v>13540</v>
      </c>
      <c r="C4907" s="39" t="n">
        <v>45961</v>
      </c>
      <c r="D4907" s="7" t="s">
        <v>232</v>
      </c>
      <c r="E4907" s="7" t="s">
        <v>180</v>
      </c>
      <c r="F4907" s="6" t="n">
        <v>4.37</v>
      </c>
      <c r="G4907" s="6" t="n">
        <v>0</v>
      </c>
      <c r="H4907" s="41" t="n">
        <v>16.17</v>
      </c>
      <c r="I4907" s="43" t="n">
        <f aca="false">F4907*H4907</f>
        <v>70.6629</v>
      </c>
      <c r="J4907" s="43" t="n">
        <f aca="false">G4907*H4907*1.5</f>
        <v>0</v>
      </c>
      <c r="K4907" s="6" t="n">
        <v>9.93</v>
      </c>
      <c r="L4907" s="43" t="n">
        <f aca="false">K4907*'Chart of Accounts'!$E$68</f>
        <v>6.6531</v>
      </c>
      <c r="O4907" s="42" t="n">
        <f aca="false">I4907+J4907+L4907</f>
        <v>77.316</v>
      </c>
    </row>
    <row r="4908" customFormat="false" ht="15" hidden="false" customHeight="false" outlineLevel="0" collapsed="false">
      <c r="B4908" s="7" t="s">
        <v>13541</v>
      </c>
      <c r="C4908" s="39" t="n">
        <v>45961</v>
      </c>
      <c r="D4908" s="7" t="s">
        <v>240</v>
      </c>
      <c r="E4908" s="7" t="s">
        <v>180</v>
      </c>
      <c r="F4908" s="6" t="n">
        <v>3.38</v>
      </c>
      <c r="G4908" s="6" t="n">
        <v>0</v>
      </c>
      <c r="H4908" s="41" t="n">
        <v>16.96</v>
      </c>
      <c r="I4908" s="43" t="n">
        <f aca="false">F4908*H4908</f>
        <v>57.3248</v>
      </c>
      <c r="J4908" s="43" t="n">
        <f aca="false">G4908*H4908*1.5</f>
        <v>0</v>
      </c>
      <c r="K4908" s="6" t="n">
        <v>12.13</v>
      </c>
      <c r="L4908" s="43" t="n">
        <f aca="false">K4908*'Chart of Accounts'!$E$68</f>
        <v>8.1271</v>
      </c>
      <c r="O4908" s="42" t="n">
        <f aca="false">I4908+J4908+L4908</f>
        <v>65.4519</v>
      </c>
    </row>
    <row r="4909" customFormat="false" ht="15" hidden="false" customHeight="false" outlineLevel="0" collapsed="false">
      <c r="B4909" s="7" t="s">
        <v>13542</v>
      </c>
      <c r="C4909" s="39" t="n">
        <v>45961</v>
      </c>
      <c r="D4909" s="7" t="s">
        <v>224</v>
      </c>
      <c r="E4909" s="7" t="s">
        <v>180</v>
      </c>
      <c r="F4909" s="6" t="n">
        <v>4.77</v>
      </c>
      <c r="G4909" s="6" t="n">
        <v>0</v>
      </c>
      <c r="H4909" s="41" t="n">
        <v>14.93</v>
      </c>
      <c r="I4909" s="43" t="n">
        <f aca="false">F4909*H4909</f>
        <v>71.2161</v>
      </c>
      <c r="J4909" s="43" t="n">
        <f aca="false">G4909*H4909*1.5</f>
        <v>0</v>
      </c>
      <c r="K4909" s="6" t="n">
        <v>11.92</v>
      </c>
      <c r="L4909" s="43" t="n">
        <f aca="false">K4909*'Chart of Accounts'!$E$68</f>
        <v>7.9864</v>
      </c>
      <c r="O4909" s="42" t="n">
        <f aca="false">I4909+J4909+L4909</f>
        <v>79.2025</v>
      </c>
    </row>
    <row r="4910" customFormat="false" ht="15" hidden="false" customHeight="false" outlineLevel="0" collapsed="false">
      <c r="B4910" s="7" t="s">
        <v>13543</v>
      </c>
      <c r="C4910" s="39" t="n">
        <v>45961</v>
      </c>
      <c r="D4910" s="7" t="s">
        <v>230</v>
      </c>
      <c r="E4910" s="7" t="s">
        <v>158</v>
      </c>
      <c r="H4910" s="41" t="n">
        <v>48.78</v>
      </c>
      <c r="M4910" s="6" t="n">
        <v>1</v>
      </c>
      <c r="N4910" s="43" t="n">
        <f aca="false">M4910*H4910</f>
        <v>48.78</v>
      </c>
      <c r="O4910" s="42" t="n">
        <f aca="false">N4910</f>
        <v>48.78</v>
      </c>
    </row>
    <row r="4911" customFormat="false" ht="15" hidden="false" customHeight="false" outlineLevel="0" collapsed="false">
      <c r="B4911" s="7" t="s">
        <v>13544</v>
      </c>
      <c r="C4911" s="39" t="n">
        <v>45961</v>
      </c>
      <c r="D4911" s="7" t="s">
        <v>196</v>
      </c>
      <c r="E4911" s="7" t="s">
        <v>180</v>
      </c>
      <c r="F4911" s="6" t="n">
        <v>3.63</v>
      </c>
      <c r="G4911" s="6" t="n">
        <v>0</v>
      </c>
      <c r="H4911" s="41" t="n">
        <v>15.05</v>
      </c>
      <c r="I4911" s="43" t="n">
        <f aca="false">F4911*H4911</f>
        <v>54.6315</v>
      </c>
      <c r="J4911" s="43" t="n">
        <f aca="false">G4911*H4911*1.5</f>
        <v>0</v>
      </c>
      <c r="K4911" s="6" t="n">
        <v>12.42</v>
      </c>
      <c r="L4911" s="43" t="n">
        <f aca="false">K4911*'Chart of Accounts'!$E$68</f>
        <v>8.3214</v>
      </c>
      <c r="O4911" s="42" t="n">
        <f aca="false">I4911+J4911+L4911</f>
        <v>62.9529</v>
      </c>
    </row>
    <row r="4912" customFormat="false" ht="15" hidden="false" customHeight="false" outlineLevel="0" collapsed="false">
      <c r="B4912" s="7" t="s">
        <v>13545</v>
      </c>
      <c r="C4912" s="39" t="n">
        <v>45961</v>
      </c>
      <c r="D4912" s="7" t="s">
        <v>246</v>
      </c>
      <c r="E4912" s="7" t="s">
        <v>180</v>
      </c>
      <c r="F4912" s="6" t="n">
        <v>4.03</v>
      </c>
      <c r="G4912" s="6" t="n">
        <v>0</v>
      </c>
      <c r="H4912" s="41" t="n">
        <v>16.48</v>
      </c>
      <c r="I4912" s="43" t="n">
        <f aca="false">F4912*H4912</f>
        <v>66.4144</v>
      </c>
      <c r="J4912" s="43" t="n">
        <f aca="false">G4912*H4912*1.5</f>
        <v>0</v>
      </c>
      <c r="K4912" s="6" t="n">
        <v>9.28</v>
      </c>
      <c r="L4912" s="43" t="n">
        <f aca="false">K4912*'Chart of Accounts'!$E$68</f>
        <v>6.2176</v>
      </c>
      <c r="O4912" s="42" t="n">
        <f aca="false">I4912+J4912+L4912</f>
        <v>72.632</v>
      </c>
    </row>
    <row r="4913" customFormat="false" ht="15" hidden="false" customHeight="false" outlineLevel="0" collapsed="false">
      <c r="B4913" s="7" t="s">
        <v>13546</v>
      </c>
      <c r="C4913" s="39" t="n">
        <v>45961</v>
      </c>
      <c r="D4913" s="7" t="s">
        <v>222</v>
      </c>
      <c r="E4913" s="7" t="s">
        <v>180</v>
      </c>
      <c r="F4913" s="6" t="n">
        <v>4.13</v>
      </c>
      <c r="G4913" s="6" t="n">
        <v>0</v>
      </c>
      <c r="H4913" s="41" t="n">
        <v>17.84</v>
      </c>
      <c r="I4913" s="43" t="n">
        <f aca="false">F4913*H4913</f>
        <v>73.6792</v>
      </c>
      <c r="J4913" s="43" t="n">
        <f aca="false">G4913*H4913*1.5</f>
        <v>0</v>
      </c>
      <c r="K4913" s="6" t="n">
        <v>14.46</v>
      </c>
      <c r="L4913" s="43" t="n">
        <f aca="false">K4913*'Chart of Accounts'!$E$68</f>
        <v>9.6882</v>
      </c>
      <c r="O4913" s="42" t="n">
        <f aca="false">I4913+J4913+L4913</f>
        <v>83.3674</v>
      </c>
    </row>
    <row r="4914" customFormat="false" ht="15" hidden="false" customHeight="false" outlineLevel="0" collapsed="false">
      <c r="B4914" s="7" t="s">
        <v>13547</v>
      </c>
      <c r="C4914" s="39" t="n">
        <v>45961</v>
      </c>
      <c r="D4914" s="7" t="s">
        <v>203</v>
      </c>
      <c r="E4914" s="7" t="s">
        <v>158</v>
      </c>
      <c r="H4914" s="41" t="n">
        <v>49.43</v>
      </c>
      <c r="M4914" s="6" t="n">
        <v>1</v>
      </c>
      <c r="N4914" s="43" t="n">
        <f aca="false">M4914*H4914</f>
        <v>49.43</v>
      </c>
      <c r="O4914" s="42" t="n">
        <f aca="false">N4914</f>
        <v>49.43</v>
      </c>
    </row>
    <row r="4915" customFormat="false" ht="15" hidden="false" customHeight="false" outlineLevel="0" collapsed="false">
      <c r="B4915" s="7" t="s">
        <v>13548</v>
      </c>
      <c r="C4915" s="39" t="n">
        <v>45961</v>
      </c>
      <c r="D4915" s="7" t="s">
        <v>256</v>
      </c>
      <c r="E4915" s="7" t="s">
        <v>180</v>
      </c>
      <c r="F4915" s="6" t="n">
        <v>3.1</v>
      </c>
      <c r="G4915" s="6" t="n">
        <v>0</v>
      </c>
      <c r="H4915" s="41" t="n">
        <v>15.63</v>
      </c>
      <c r="I4915" s="43" t="n">
        <f aca="false">F4915*H4915</f>
        <v>48.453</v>
      </c>
      <c r="J4915" s="43" t="n">
        <f aca="false">G4915*H4915*1.5</f>
        <v>0</v>
      </c>
      <c r="K4915" s="6" t="n">
        <v>8.97</v>
      </c>
      <c r="L4915" s="43" t="n">
        <f aca="false">K4915*'Chart of Accounts'!$E$68</f>
        <v>6.0099</v>
      </c>
      <c r="O4915" s="42" t="n">
        <f aca="false">I4915+J4915+L4915</f>
        <v>54.4629</v>
      </c>
    </row>
    <row r="4916" customFormat="false" ht="15" hidden="false" customHeight="false" outlineLevel="0" collapsed="false">
      <c r="B4916" s="7" t="s">
        <v>13549</v>
      </c>
      <c r="C4916" s="39" t="n">
        <v>45961</v>
      </c>
      <c r="D4916" s="7" t="s">
        <v>184</v>
      </c>
      <c r="E4916" s="7" t="s">
        <v>180</v>
      </c>
      <c r="F4916" s="6" t="n">
        <v>4.24</v>
      </c>
      <c r="G4916" s="6" t="n">
        <v>0</v>
      </c>
      <c r="H4916" s="41" t="n">
        <v>17.34</v>
      </c>
      <c r="I4916" s="43" t="n">
        <f aca="false">F4916*H4916</f>
        <v>73.5216</v>
      </c>
      <c r="J4916" s="43" t="n">
        <f aca="false">G4916*H4916*1.5</f>
        <v>0</v>
      </c>
      <c r="K4916" s="6" t="n">
        <v>12.43</v>
      </c>
      <c r="L4916" s="43" t="n">
        <f aca="false">K4916*'Chart of Accounts'!$E$68</f>
        <v>8.3281</v>
      </c>
      <c r="O4916" s="42" t="n">
        <f aca="false">I4916+J4916+L4916</f>
        <v>81.8497</v>
      </c>
    </row>
    <row r="4917" customFormat="false" ht="15" hidden="false" customHeight="false" outlineLevel="0" collapsed="false">
      <c r="B4917" s="7" t="s">
        <v>13550</v>
      </c>
      <c r="C4917" s="39" t="n">
        <v>45961</v>
      </c>
      <c r="D4917" s="7" t="s">
        <v>260</v>
      </c>
      <c r="E4917" s="7" t="s">
        <v>158</v>
      </c>
      <c r="H4917" s="41" t="n">
        <v>79.8</v>
      </c>
      <c r="M4917" s="6" t="n">
        <v>1</v>
      </c>
      <c r="N4917" s="43" t="n">
        <f aca="false">M4917*H4917</f>
        <v>79.8</v>
      </c>
      <c r="O4917" s="42" t="n">
        <f aca="false">N4917</f>
        <v>79.8</v>
      </c>
    </row>
    <row r="4918" customFormat="false" ht="15" hidden="false" customHeight="false" outlineLevel="0" collapsed="false">
      <c r="B4918" s="7" t="s">
        <v>13551</v>
      </c>
      <c r="C4918" s="39" t="n">
        <v>45962</v>
      </c>
      <c r="D4918" s="7" t="s">
        <v>205</v>
      </c>
      <c r="E4918" s="7" t="s">
        <v>180</v>
      </c>
      <c r="F4918" s="6" t="n">
        <v>7.66</v>
      </c>
      <c r="G4918" s="6" t="n">
        <v>0</v>
      </c>
      <c r="H4918" s="41" t="n">
        <v>16.36</v>
      </c>
      <c r="I4918" s="43" t="n">
        <f aca="false">F4918*H4918</f>
        <v>125.3176</v>
      </c>
      <c r="J4918" s="43" t="n">
        <f aca="false">G4918*H4918*1.5</f>
        <v>0</v>
      </c>
      <c r="K4918" s="6" t="n">
        <v>20.59</v>
      </c>
      <c r="L4918" s="43" t="n">
        <f aca="false">K4918*'Chart of Accounts'!$E$68</f>
        <v>13.7953</v>
      </c>
      <c r="O4918" s="42" t="n">
        <f aca="false">I4918+J4918+L4918</f>
        <v>139.1129</v>
      </c>
    </row>
    <row r="4919" customFormat="false" ht="15" hidden="false" customHeight="false" outlineLevel="0" collapsed="false">
      <c r="B4919" s="7" t="s">
        <v>13552</v>
      </c>
      <c r="C4919" s="39" t="n">
        <v>45962</v>
      </c>
      <c r="D4919" s="7" t="s">
        <v>218</v>
      </c>
      <c r="E4919" s="7" t="s">
        <v>180</v>
      </c>
      <c r="F4919" s="6" t="n">
        <v>4.39</v>
      </c>
      <c r="G4919" s="6" t="n">
        <v>0</v>
      </c>
      <c r="H4919" s="41" t="n">
        <v>16.19</v>
      </c>
      <c r="I4919" s="43" t="n">
        <f aca="false">F4919*H4919</f>
        <v>71.0741</v>
      </c>
      <c r="J4919" s="43" t="n">
        <f aca="false">G4919*H4919*1.5</f>
        <v>0</v>
      </c>
      <c r="K4919" s="6" t="n">
        <v>10.61</v>
      </c>
      <c r="L4919" s="43" t="n">
        <f aca="false">K4919*'Chart of Accounts'!$E$68</f>
        <v>7.1087</v>
      </c>
      <c r="O4919" s="42" t="n">
        <f aca="false">I4919+J4919+L4919</f>
        <v>78.1828</v>
      </c>
    </row>
    <row r="4920" customFormat="false" ht="15" hidden="false" customHeight="false" outlineLevel="0" collapsed="false">
      <c r="B4920" s="7" t="s">
        <v>13553</v>
      </c>
      <c r="C4920" s="39" t="n">
        <v>45962</v>
      </c>
      <c r="D4920" s="7" t="s">
        <v>196</v>
      </c>
      <c r="E4920" s="7" t="s">
        <v>180</v>
      </c>
      <c r="F4920" s="6" t="n">
        <v>3.72</v>
      </c>
      <c r="G4920" s="6" t="n">
        <v>0</v>
      </c>
      <c r="H4920" s="41" t="n">
        <v>15.05</v>
      </c>
      <c r="I4920" s="43" t="n">
        <f aca="false">F4920*H4920</f>
        <v>55.986</v>
      </c>
      <c r="J4920" s="43" t="n">
        <f aca="false">G4920*H4920*1.5</f>
        <v>0</v>
      </c>
      <c r="K4920" s="6" t="n">
        <v>10.52</v>
      </c>
      <c r="L4920" s="43" t="n">
        <f aca="false">K4920*'Chart of Accounts'!$E$68</f>
        <v>7.0484</v>
      </c>
      <c r="O4920" s="42" t="n">
        <f aca="false">I4920+J4920+L4920</f>
        <v>63.0344</v>
      </c>
    </row>
    <row r="4921" customFormat="false" ht="15" hidden="false" customHeight="false" outlineLevel="0" collapsed="false">
      <c r="B4921" s="7" t="s">
        <v>13554</v>
      </c>
      <c r="C4921" s="39" t="n">
        <v>45962</v>
      </c>
      <c r="D4921" s="7" t="s">
        <v>222</v>
      </c>
      <c r="E4921" s="7" t="s">
        <v>180</v>
      </c>
      <c r="F4921" s="6" t="n">
        <v>4.27</v>
      </c>
      <c r="G4921" s="6" t="n">
        <v>0</v>
      </c>
      <c r="H4921" s="41" t="n">
        <v>17.84</v>
      </c>
      <c r="I4921" s="43" t="n">
        <f aca="false">F4921*H4921</f>
        <v>76.1768</v>
      </c>
      <c r="J4921" s="43" t="n">
        <f aca="false">G4921*H4921*1.5</f>
        <v>0</v>
      </c>
      <c r="K4921" s="6" t="n">
        <v>12.63</v>
      </c>
      <c r="L4921" s="43" t="n">
        <f aca="false">K4921*'Chart of Accounts'!$E$68</f>
        <v>8.4621</v>
      </c>
      <c r="O4921" s="42" t="n">
        <f aca="false">I4921+J4921+L4921</f>
        <v>84.6389</v>
      </c>
    </row>
    <row r="4922" customFormat="false" ht="15" hidden="false" customHeight="false" outlineLevel="0" collapsed="false">
      <c r="B4922" s="7" t="s">
        <v>13555</v>
      </c>
      <c r="C4922" s="39" t="n">
        <v>45962</v>
      </c>
      <c r="D4922" s="7" t="s">
        <v>242</v>
      </c>
      <c r="E4922" s="7" t="s">
        <v>180</v>
      </c>
      <c r="F4922" s="6" t="n">
        <v>3.694</v>
      </c>
      <c r="G4922" s="6" t="n">
        <v>0.066</v>
      </c>
      <c r="H4922" s="41" t="n">
        <v>17.99</v>
      </c>
      <c r="I4922" s="43" t="n">
        <f aca="false">F4922*H4922</f>
        <v>66.45506</v>
      </c>
      <c r="J4922" s="43" t="n">
        <f aca="false">G4922*H4922*1.5</f>
        <v>1.78101</v>
      </c>
      <c r="K4922" s="6" t="n">
        <v>10.32</v>
      </c>
      <c r="L4922" s="43" t="n">
        <f aca="false">K4922*'Chart of Accounts'!$E$68</f>
        <v>6.9144</v>
      </c>
      <c r="O4922" s="42" t="n">
        <f aca="false">I4922+J4922+L4922</f>
        <v>75.15047</v>
      </c>
    </row>
    <row r="4923" customFormat="false" ht="15" hidden="false" customHeight="false" outlineLevel="0" collapsed="false">
      <c r="B4923" s="7" t="s">
        <v>13556</v>
      </c>
      <c r="C4923" s="39" t="n">
        <v>45962</v>
      </c>
      <c r="D4923" s="7" t="s">
        <v>254</v>
      </c>
      <c r="E4923" s="7" t="s">
        <v>180</v>
      </c>
      <c r="F4923" s="6" t="n">
        <v>3.63</v>
      </c>
      <c r="G4923" s="6" t="n">
        <v>0</v>
      </c>
      <c r="H4923" s="41" t="n">
        <v>17.1</v>
      </c>
      <c r="I4923" s="43" t="n">
        <f aca="false">F4923*H4923</f>
        <v>62.073</v>
      </c>
      <c r="J4923" s="43" t="n">
        <f aca="false">G4923*H4923*1.5</f>
        <v>0</v>
      </c>
      <c r="K4923" s="6" t="n">
        <v>8.53</v>
      </c>
      <c r="L4923" s="43" t="n">
        <f aca="false">K4923*'Chart of Accounts'!$E$68</f>
        <v>5.7151</v>
      </c>
      <c r="O4923" s="42" t="n">
        <f aca="false">I4923+J4923+L4923</f>
        <v>67.7881</v>
      </c>
    </row>
    <row r="4924" customFormat="false" ht="15" hidden="false" customHeight="false" outlineLevel="0" collapsed="false">
      <c r="B4924" s="7" t="s">
        <v>13557</v>
      </c>
      <c r="C4924" s="39" t="n">
        <v>45963</v>
      </c>
      <c r="D4924" s="7" t="s">
        <v>220</v>
      </c>
      <c r="E4924" s="7" t="s">
        <v>180</v>
      </c>
      <c r="F4924" s="6" t="n">
        <v>3.84</v>
      </c>
      <c r="G4924" s="6" t="n">
        <v>0</v>
      </c>
      <c r="H4924" s="41" t="n">
        <v>16.43</v>
      </c>
      <c r="I4924" s="43" t="n">
        <f aca="false">F4924*H4924</f>
        <v>63.0912</v>
      </c>
      <c r="J4924" s="43" t="n">
        <f aca="false">G4924*H4924*1.5</f>
        <v>0</v>
      </c>
      <c r="K4924" s="6" t="n">
        <v>12.16</v>
      </c>
      <c r="L4924" s="43" t="n">
        <f aca="false">K4924*'Chart of Accounts'!$E$68</f>
        <v>8.1472</v>
      </c>
      <c r="O4924" s="42" t="n">
        <f aca="false">I4924+J4924+L4924</f>
        <v>71.2384</v>
      </c>
    </row>
    <row r="4925" customFormat="false" ht="15" hidden="false" customHeight="false" outlineLevel="0" collapsed="false">
      <c r="B4925" s="7" t="s">
        <v>13558</v>
      </c>
      <c r="C4925" s="39" t="n">
        <v>45963</v>
      </c>
      <c r="D4925" s="7" t="s">
        <v>218</v>
      </c>
      <c r="E4925" s="7" t="s">
        <v>180</v>
      </c>
      <c r="F4925" s="6" t="n">
        <v>3.83</v>
      </c>
      <c r="G4925" s="6" t="n">
        <v>0</v>
      </c>
      <c r="H4925" s="41" t="n">
        <v>16.19</v>
      </c>
      <c r="I4925" s="43" t="n">
        <f aca="false">F4925*H4925</f>
        <v>62.0077</v>
      </c>
      <c r="J4925" s="43" t="n">
        <f aca="false">G4925*H4925*1.5</f>
        <v>0</v>
      </c>
      <c r="K4925" s="6" t="n">
        <v>13.23</v>
      </c>
      <c r="L4925" s="43" t="n">
        <f aca="false">K4925*'Chart of Accounts'!$E$68</f>
        <v>8.8641</v>
      </c>
      <c r="O4925" s="42" t="n">
        <f aca="false">I4925+J4925+L4925</f>
        <v>70.8718</v>
      </c>
    </row>
    <row r="4926" customFormat="false" ht="15" hidden="false" customHeight="false" outlineLevel="0" collapsed="false">
      <c r="B4926" s="7" t="s">
        <v>13559</v>
      </c>
      <c r="C4926" s="39" t="n">
        <v>45963</v>
      </c>
      <c r="D4926" s="7" t="s">
        <v>246</v>
      </c>
      <c r="E4926" s="7" t="s">
        <v>180</v>
      </c>
      <c r="F4926" s="6" t="n">
        <v>3.99</v>
      </c>
      <c r="G4926" s="6" t="n">
        <v>0</v>
      </c>
      <c r="H4926" s="41" t="n">
        <v>16.48</v>
      </c>
      <c r="I4926" s="43" t="n">
        <f aca="false">F4926*H4926</f>
        <v>65.7552</v>
      </c>
      <c r="J4926" s="43" t="n">
        <f aca="false">G4926*H4926*1.5</f>
        <v>0</v>
      </c>
      <c r="K4926" s="6" t="n">
        <v>14.26</v>
      </c>
      <c r="L4926" s="43" t="n">
        <f aca="false">K4926*'Chart of Accounts'!$E$68</f>
        <v>9.5542</v>
      </c>
      <c r="O4926" s="42" t="n">
        <f aca="false">I4926+J4926+L4926</f>
        <v>75.3094</v>
      </c>
    </row>
    <row r="4927" customFormat="false" ht="15" hidden="false" customHeight="false" outlineLevel="0" collapsed="false">
      <c r="B4927" s="7" t="s">
        <v>13560</v>
      </c>
      <c r="C4927" s="39" t="n">
        <v>45963</v>
      </c>
      <c r="D4927" s="7" t="s">
        <v>196</v>
      </c>
      <c r="E4927" s="7" t="s">
        <v>180</v>
      </c>
      <c r="F4927" s="6" t="n">
        <v>3.7</v>
      </c>
      <c r="G4927" s="6" t="n">
        <v>0</v>
      </c>
      <c r="H4927" s="41" t="n">
        <v>15.05</v>
      </c>
      <c r="I4927" s="43" t="n">
        <f aca="false">F4927*H4927</f>
        <v>55.685</v>
      </c>
      <c r="J4927" s="43" t="n">
        <f aca="false">G4927*H4927*1.5</f>
        <v>0</v>
      </c>
      <c r="K4927" s="6" t="n">
        <v>12.83</v>
      </c>
      <c r="L4927" s="43" t="n">
        <f aca="false">K4927*'Chart of Accounts'!$E$68</f>
        <v>8.5961</v>
      </c>
      <c r="O4927" s="42" t="n">
        <f aca="false">I4927+J4927+L4927</f>
        <v>64.2811</v>
      </c>
    </row>
    <row r="4928" customFormat="false" ht="15" hidden="false" customHeight="false" outlineLevel="0" collapsed="false">
      <c r="B4928" s="7" t="s">
        <v>13561</v>
      </c>
      <c r="C4928" s="39" t="n">
        <v>45963</v>
      </c>
      <c r="D4928" s="7" t="s">
        <v>222</v>
      </c>
      <c r="E4928" s="7" t="s">
        <v>180</v>
      </c>
      <c r="F4928" s="6" t="n">
        <v>4.34</v>
      </c>
      <c r="G4928" s="6" t="n">
        <v>0</v>
      </c>
      <c r="H4928" s="41" t="n">
        <v>17.84</v>
      </c>
      <c r="I4928" s="43" t="n">
        <f aca="false">F4928*H4928</f>
        <v>77.4256</v>
      </c>
      <c r="J4928" s="43" t="n">
        <f aca="false">G4928*H4928*1.5</f>
        <v>0</v>
      </c>
      <c r="K4928" s="6" t="n">
        <v>14.34</v>
      </c>
      <c r="L4928" s="43" t="n">
        <f aca="false">K4928*'Chart of Accounts'!$E$68</f>
        <v>9.6078</v>
      </c>
      <c r="O4928" s="42" t="n">
        <f aca="false">I4928+J4928+L4928</f>
        <v>87.0334</v>
      </c>
    </row>
    <row r="4929" customFormat="false" ht="15" hidden="false" customHeight="false" outlineLevel="0" collapsed="false">
      <c r="B4929" s="7" t="s">
        <v>13562</v>
      </c>
      <c r="C4929" s="39" t="n">
        <v>45963</v>
      </c>
      <c r="D4929" s="7" t="s">
        <v>242</v>
      </c>
      <c r="E4929" s="7" t="s">
        <v>180</v>
      </c>
      <c r="F4929" s="6" t="n">
        <v>3.911</v>
      </c>
      <c r="G4929" s="6" t="n">
        <v>0.069</v>
      </c>
      <c r="H4929" s="41" t="n">
        <v>17.99</v>
      </c>
      <c r="I4929" s="43" t="n">
        <f aca="false">F4929*H4929</f>
        <v>70.35889</v>
      </c>
      <c r="J4929" s="43" t="n">
        <f aca="false">G4929*H4929*1.5</f>
        <v>1.861965</v>
      </c>
      <c r="K4929" s="6" t="n">
        <v>12.88</v>
      </c>
      <c r="L4929" s="43" t="n">
        <f aca="false">K4929*'Chart of Accounts'!$E$68</f>
        <v>8.6296</v>
      </c>
      <c r="O4929" s="42" t="n">
        <f aca="false">I4929+J4929+L4929</f>
        <v>80.850455</v>
      </c>
    </row>
    <row r="4930" customFormat="false" ht="15" hidden="false" customHeight="false" outlineLevel="0" collapsed="false">
      <c r="B4930" s="7" t="s">
        <v>13563</v>
      </c>
      <c r="C4930" s="39" t="n">
        <v>45963</v>
      </c>
      <c r="D4930" s="7" t="s">
        <v>254</v>
      </c>
      <c r="E4930" s="7" t="s">
        <v>180</v>
      </c>
      <c r="F4930" s="6" t="n">
        <v>4.09</v>
      </c>
      <c r="G4930" s="6" t="n">
        <v>0</v>
      </c>
      <c r="H4930" s="41" t="n">
        <v>17.1</v>
      </c>
      <c r="I4930" s="43" t="n">
        <f aca="false">F4930*H4930</f>
        <v>69.939</v>
      </c>
      <c r="J4930" s="43" t="n">
        <f aca="false">G4930*H4930*1.5</f>
        <v>0</v>
      </c>
      <c r="K4930" s="6" t="n">
        <v>13.13</v>
      </c>
      <c r="L4930" s="43" t="n">
        <f aca="false">K4930*'Chart of Accounts'!$E$68</f>
        <v>8.7971</v>
      </c>
      <c r="O4930" s="42" t="n">
        <f aca="false">I4930+J4930+L4930</f>
        <v>78.7361</v>
      </c>
    </row>
    <row r="4931" customFormat="false" ht="15" hidden="false" customHeight="false" outlineLevel="0" collapsed="false">
      <c r="B4931" s="7" t="s">
        <v>13564</v>
      </c>
      <c r="C4931" s="39" t="n">
        <v>45964</v>
      </c>
      <c r="D4931" s="7" t="s">
        <v>232</v>
      </c>
      <c r="E4931" s="7" t="s">
        <v>180</v>
      </c>
      <c r="F4931" s="6" t="n">
        <v>8.69</v>
      </c>
      <c r="G4931" s="6" t="n">
        <v>0</v>
      </c>
      <c r="H4931" s="41" t="n">
        <v>16.17</v>
      </c>
      <c r="I4931" s="43" t="n">
        <f aca="false">F4931*H4931</f>
        <v>140.5173</v>
      </c>
      <c r="J4931" s="43" t="n">
        <f aca="false">G4931*H4931*1.5</f>
        <v>0</v>
      </c>
      <c r="K4931" s="6" t="n">
        <v>27.02</v>
      </c>
      <c r="L4931" s="43" t="n">
        <f aca="false">K4931*'Chart of Accounts'!$E$68</f>
        <v>18.1034</v>
      </c>
      <c r="O4931" s="42" t="n">
        <f aca="false">I4931+J4931+L4931</f>
        <v>158.6207</v>
      </c>
    </row>
    <row r="4932" customFormat="false" ht="15" hidden="false" customHeight="false" outlineLevel="0" collapsed="false">
      <c r="B4932" s="7" t="s">
        <v>13565</v>
      </c>
      <c r="C4932" s="39" t="n">
        <v>45964</v>
      </c>
      <c r="D4932" s="7" t="s">
        <v>194</v>
      </c>
      <c r="E4932" s="7" t="s">
        <v>180</v>
      </c>
      <c r="F4932" s="6" t="n">
        <v>8.93</v>
      </c>
      <c r="G4932" s="6" t="n">
        <v>0</v>
      </c>
      <c r="H4932" s="41" t="n">
        <v>16</v>
      </c>
      <c r="I4932" s="43" t="n">
        <f aca="false">F4932*H4932</f>
        <v>142.88</v>
      </c>
      <c r="J4932" s="43" t="n">
        <f aca="false">G4932*H4932*1.5</f>
        <v>0</v>
      </c>
      <c r="K4932" s="6" t="n">
        <v>31.11</v>
      </c>
      <c r="L4932" s="43" t="n">
        <f aca="false">K4932*'Chart of Accounts'!$E$68</f>
        <v>20.8437</v>
      </c>
      <c r="O4932" s="42" t="n">
        <f aca="false">I4932+J4932+L4932</f>
        <v>163.7237</v>
      </c>
    </row>
    <row r="4933" customFormat="false" ht="15" hidden="false" customHeight="false" outlineLevel="0" collapsed="false">
      <c r="B4933" s="7" t="s">
        <v>13566</v>
      </c>
      <c r="C4933" s="39" t="n">
        <v>45964</v>
      </c>
      <c r="D4933" s="7" t="s">
        <v>214</v>
      </c>
      <c r="E4933" s="7" t="s">
        <v>180</v>
      </c>
      <c r="F4933" s="6" t="n">
        <v>11.37</v>
      </c>
      <c r="G4933" s="6" t="n">
        <v>0</v>
      </c>
      <c r="H4933" s="41" t="n">
        <v>15.67</v>
      </c>
      <c r="I4933" s="43" t="n">
        <f aca="false">F4933*H4933</f>
        <v>178.1679</v>
      </c>
      <c r="J4933" s="43" t="n">
        <f aca="false">G4933*H4933*1.5</f>
        <v>0</v>
      </c>
      <c r="K4933" s="6" t="n">
        <v>40.85</v>
      </c>
      <c r="L4933" s="43" t="n">
        <f aca="false">K4933*'Chart of Accounts'!$E$68</f>
        <v>27.3695</v>
      </c>
      <c r="O4933" s="42" t="n">
        <f aca="false">I4933+J4933+L4933</f>
        <v>205.5374</v>
      </c>
    </row>
    <row r="4934" customFormat="false" ht="15" hidden="false" customHeight="false" outlineLevel="0" collapsed="false">
      <c r="B4934" s="7" t="s">
        <v>13567</v>
      </c>
      <c r="C4934" s="39" t="n">
        <v>45964</v>
      </c>
      <c r="D4934" s="7" t="s">
        <v>201</v>
      </c>
      <c r="E4934" s="7" t="s">
        <v>180</v>
      </c>
      <c r="F4934" s="6" t="n">
        <v>9.41</v>
      </c>
      <c r="G4934" s="6" t="n">
        <v>0</v>
      </c>
      <c r="H4934" s="41" t="n">
        <v>15.19</v>
      </c>
      <c r="I4934" s="43" t="n">
        <f aca="false">F4934*H4934</f>
        <v>142.9379</v>
      </c>
      <c r="J4934" s="43" t="n">
        <f aca="false">G4934*H4934*1.5</f>
        <v>0</v>
      </c>
      <c r="K4934" s="6" t="n">
        <v>28.5</v>
      </c>
      <c r="L4934" s="43" t="n">
        <f aca="false">K4934*'Chart of Accounts'!$E$68</f>
        <v>19.095</v>
      </c>
      <c r="O4934" s="42" t="n">
        <f aca="false">I4934+J4934+L4934</f>
        <v>162.0329</v>
      </c>
    </row>
    <row r="4935" customFormat="false" ht="15" hidden="false" customHeight="false" outlineLevel="0" collapsed="false">
      <c r="B4935" s="7" t="s">
        <v>13568</v>
      </c>
      <c r="C4935" s="39" t="n">
        <v>45964</v>
      </c>
      <c r="D4935" s="7" t="s">
        <v>205</v>
      </c>
      <c r="E4935" s="7" t="s">
        <v>180</v>
      </c>
      <c r="F4935" s="6" t="n">
        <v>10.98</v>
      </c>
      <c r="G4935" s="6" t="n">
        <v>0</v>
      </c>
      <c r="H4935" s="41" t="n">
        <v>16.36</v>
      </c>
      <c r="I4935" s="43" t="n">
        <f aca="false">F4935*H4935</f>
        <v>179.6328</v>
      </c>
      <c r="J4935" s="43" t="n">
        <f aca="false">G4935*H4935*1.5</f>
        <v>0</v>
      </c>
      <c r="K4935" s="6" t="n">
        <v>36.92</v>
      </c>
      <c r="L4935" s="43" t="n">
        <f aca="false">K4935*'Chart of Accounts'!$E$68</f>
        <v>24.7364</v>
      </c>
      <c r="O4935" s="42" t="n">
        <f aca="false">I4935+J4935+L4935</f>
        <v>204.3692</v>
      </c>
    </row>
    <row r="4936" customFormat="false" ht="15" hidden="false" customHeight="false" outlineLevel="0" collapsed="false">
      <c r="B4936" s="7" t="s">
        <v>13569</v>
      </c>
      <c r="C4936" s="39" t="n">
        <v>45964</v>
      </c>
      <c r="D4936" s="7" t="s">
        <v>240</v>
      </c>
      <c r="E4936" s="7" t="s">
        <v>180</v>
      </c>
      <c r="F4936" s="6" t="n">
        <v>7.16</v>
      </c>
      <c r="G4936" s="6" t="n">
        <v>0</v>
      </c>
      <c r="H4936" s="41" t="n">
        <v>16.96</v>
      </c>
      <c r="I4936" s="43" t="n">
        <f aca="false">F4936*H4936</f>
        <v>121.4336</v>
      </c>
      <c r="J4936" s="43" t="n">
        <f aca="false">G4936*H4936*1.5</f>
        <v>0</v>
      </c>
      <c r="K4936" s="6" t="n">
        <v>25.21</v>
      </c>
      <c r="L4936" s="43" t="n">
        <f aca="false">K4936*'Chart of Accounts'!$E$68</f>
        <v>16.8907</v>
      </c>
      <c r="O4936" s="42" t="n">
        <f aca="false">I4936+J4936+L4936</f>
        <v>138.3243</v>
      </c>
    </row>
    <row r="4937" customFormat="false" ht="15" hidden="false" customHeight="false" outlineLevel="0" collapsed="false">
      <c r="B4937" s="7" t="s">
        <v>13570</v>
      </c>
      <c r="C4937" s="39" t="n">
        <v>45964</v>
      </c>
      <c r="D4937" s="7" t="s">
        <v>264</v>
      </c>
      <c r="E4937" s="7" t="s">
        <v>158</v>
      </c>
      <c r="H4937" s="41" t="n">
        <v>55.55</v>
      </c>
      <c r="M4937" s="6" t="n">
        <v>1</v>
      </c>
      <c r="N4937" s="43" t="n">
        <f aca="false">M4937*H4937</f>
        <v>55.55</v>
      </c>
      <c r="O4937" s="42" t="n">
        <f aca="false">N4937</f>
        <v>55.55</v>
      </c>
    </row>
    <row r="4938" customFormat="false" ht="15" hidden="false" customHeight="false" outlineLevel="0" collapsed="false">
      <c r="B4938" s="7" t="s">
        <v>13571</v>
      </c>
      <c r="C4938" s="39" t="n">
        <v>45964</v>
      </c>
      <c r="D4938" s="7" t="s">
        <v>252</v>
      </c>
      <c r="E4938" s="7" t="s">
        <v>158</v>
      </c>
      <c r="H4938" s="41" t="n">
        <v>57.54</v>
      </c>
      <c r="M4938" s="6" t="n">
        <v>1</v>
      </c>
      <c r="N4938" s="43" t="n">
        <f aca="false">M4938*H4938</f>
        <v>57.54</v>
      </c>
      <c r="O4938" s="42" t="n">
        <f aca="false">N4938</f>
        <v>57.54</v>
      </c>
    </row>
    <row r="4939" customFormat="false" ht="15" hidden="false" customHeight="false" outlineLevel="0" collapsed="false">
      <c r="B4939" s="7" t="s">
        <v>13572</v>
      </c>
      <c r="C4939" s="39" t="n">
        <v>45964</v>
      </c>
      <c r="D4939" s="7" t="s">
        <v>196</v>
      </c>
      <c r="E4939" s="7" t="s">
        <v>180</v>
      </c>
      <c r="F4939" s="6" t="n">
        <v>9.329</v>
      </c>
      <c r="G4939" s="6" t="n">
        <v>0.791</v>
      </c>
      <c r="H4939" s="41" t="n">
        <v>15.05</v>
      </c>
      <c r="I4939" s="43" t="n">
        <f aca="false">F4939*H4939</f>
        <v>140.40145</v>
      </c>
      <c r="J4939" s="43" t="n">
        <f aca="false">G4939*H4939*1.5</f>
        <v>17.856825</v>
      </c>
      <c r="K4939" s="6" t="n">
        <v>28.35</v>
      </c>
      <c r="L4939" s="43" t="n">
        <f aca="false">K4939*'Chart of Accounts'!$E$68</f>
        <v>18.9945</v>
      </c>
      <c r="O4939" s="42" t="n">
        <f aca="false">I4939+J4939+L4939</f>
        <v>177.252775</v>
      </c>
    </row>
    <row r="4940" customFormat="false" ht="15" hidden="false" customHeight="false" outlineLevel="0" collapsed="false">
      <c r="B4940" s="7" t="s">
        <v>13573</v>
      </c>
      <c r="C4940" s="39" t="n">
        <v>45964</v>
      </c>
      <c r="D4940" s="7" t="s">
        <v>184</v>
      </c>
      <c r="E4940" s="7" t="s">
        <v>180</v>
      </c>
      <c r="F4940" s="6" t="n">
        <v>11.31</v>
      </c>
      <c r="G4940" s="6" t="n">
        <v>0</v>
      </c>
      <c r="H4940" s="41" t="n">
        <v>17.34</v>
      </c>
      <c r="I4940" s="43" t="n">
        <f aca="false">F4940*H4940</f>
        <v>196.1154</v>
      </c>
      <c r="J4940" s="43" t="n">
        <f aca="false">G4940*H4940*1.5</f>
        <v>0</v>
      </c>
      <c r="K4940" s="6" t="n">
        <v>32.65</v>
      </c>
      <c r="L4940" s="43" t="n">
        <f aca="false">K4940*'Chart of Accounts'!$E$68</f>
        <v>21.8755</v>
      </c>
      <c r="O4940" s="42" t="n">
        <f aca="false">I4940+J4940+L4940</f>
        <v>217.9909</v>
      </c>
    </row>
    <row r="4941" customFormat="false" ht="15" hidden="false" customHeight="false" outlineLevel="0" collapsed="false">
      <c r="B4941" s="7" t="s">
        <v>13574</v>
      </c>
      <c r="C4941" s="39" t="n">
        <v>45964</v>
      </c>
      <c r="D4941" s="7" t="s">
        <v>216</v>
      </c>
      <c r="E4941" s="7" t="s">
        <v>158</v>
      </c>
      <c r="H4941" s="41" t="n">
        <v>61.79</v>
      </c>
      <c r="M4941" s="6" t="n">
        <v>1</v>
      </c>
      <c r="N4941" s="43" t="n">
        <f aca="false">M4941*H4941</f>
        <v>61.79</v>
      </c>
      <c r="O4941" s="42" t="n">
        <f aca="false">N4941</f>
        <v>61.79</v>
      </c>
    </row>
    <row r="4942" customFormat="false" ht="15" hidden="false" customHeight="false" outlineLevel="0" collapsed="false">
      <c r="B4942" s="7" t="s">
        <v>13575</v>
      </c>
      <c r="C4942" s="39" t="n">
        <v>45964</v>
      </c>
      <c r="D4942" s="7" t="s">
        <v>222</v>
      </c>
      <c r="E4942" s="7" t="s">
        <v>180</v>
      </c>
      <c r="F4942" s="6" t="n">
        <v>9.64</v>
      </c>
      <c r="G4942" s="6" t="n">
        <v>0.06</v>
      </c>
      <c r="H4942" s="41" t="n">
        <v>17.84</v>
      </c>
      <c r="I4942" s="43" t="n">
        <f aca="false">F4942*H4942</f>
        <v>171.9776</v>
      </c>
      <c r="J4942" s="43" t="n">
        <f aca="false">G4942*H4942*1.5</f>
        <v>1.6056</v>
      </c>
      <c r="K4942" s="6" t="n">
        <v>22.61</v>
      </c>
      <c r="L4942" s="43" t="n">
        <f aca="false">K4942*'Chart of Accounts'!$E$68</f>
        <v>15.1487</v>
      </c>
      <c r="O4942" s="42" t="n">
        <f aca="false">I4942+J4942+L4942</f>
        <v>188.7319</v>
      </c>
    </row>
    <row r="4943" customFormat="false" ht="15" hidden="false" customHeight="false" outlineLevel="0" collapsed="false">
      <c r="B4943" s="7" t="s">
        <v>13576</v>
      </c>
      <c r="C4943" s="39" t="n">
        <v>45964</v>
      </c>
      <c r="D4943" s="7" t="s">
        <v>246</v>
      </c>
      <c r="E4943" s="7" t="s">
        <v>180</v>
      </c>
      <c r="F4943" s="6" t="n">
        <v>10.84</v>
      </c>
      <c r="G4943" s="6" t="n">
        <v>0</v>
      </c>
      <c r="H4943" s="41" t="n">
        <v>16.48</v>
      </c>
      <c r="I4943" s="43" t="n">
        <f aca="false">F4943*H4943</f>
        <v>178.6432</v>
      </c>
      <c r="J4943" s="43" t="n">
        <f aca="false">G4943*H4943*1.5</f>
        <v>0</v>
      </c>
      <c r="K4943" s="6" t="n">
        <v>25.52</v>
      </c>
      <c r="L4943" s="43" t="n">
        <f aca="false">K4943*'Chart of Accounts'!$E$68</f>
        <v>17.0984</v>
      </c>
      <c r="O4943" s="42" t="n">
        <f aca="false">I4943+J4943+L4943</f>
        <v>195.7416</v>
      </c>
    </row>
    <row r="4944" customFormat="false" ht="15" hidden="false" customHeight="false" outlineLevel="0" collapsed="false">
      <c r="B4944" s="7" t="s">
        <v>13577</v>
      </c>
      <c r="C4944" s="39" t="n">
        <v>45964</v>
      </c>
      <c r="D4944" s="7" t="s">
        <v>220</v>
      </c>
      <c r="E4944" s="7" t="s">
        <v>180</v>
      </c>
      <c r="F4944" s="6" t="n">
        <v>3.67</v>
      </c>
      <c r="G4944" s="6" t="n">
        <v>0</v>
      </c>
      <c r="H4944" s="41" t="n">
        <v>16.43</v>
      </c>
      <c r="I4944" s="43" t="n">
        <f aca="false">F4944*H4944</f>
        <v>60.2981</v>
      </c>
      <c r="J4944" s="43" t="n">
        <f aca="false">G4944*H4944*1.5</f>
        <v>0</v>
      </c>
      <c r="K4944" s="6" t="n">
        <v>10.92</v>
      </c>
      <c r="L4944" s="43" t="n">
        <f aca="false">K4944*'Chart of Accounts'!$E$68</f>
        <v>7.3164</v>
      </c>
      <c r="O4944" s="42" t="n">
        <f aca="false">I4944+J4944+L4944</f>
        <v>67.6145</v>
      </c>
    </row>
    <row r="4945" customFormat="false" ht="15" hidden="false" customHeight="false" outlineLevel="0" collapsed="false">
      <c r="B4945" s="7" t="s">
        <v>13578</v>
      </c>
      <c r="C4945" s="39" t="n">
        <v>45964</v>
      </c>
      <c r="D4945" s="7" t="s">
        <v>224</v>
      </c>
      <c r="E4945" s="7" t="s">
        <v>180</v>
      </c>
      <c r="F4945" s="6" t="n">
        <v>8.63</v>
      </c>
      <c r="G4945" s="6" t="n">
        <v>0</v>
      </c>
      <c r="H4945" s="41" t="n">
        <v>14.93</v>
      </c>
      <c r="I4945" s="43" t="n">
        <f aca="false">F4945*H4945</f>
        <v>128.8459</v>
      </c>
      <c r="J4945" s="43" t="n">
        <f aca="false">G4945*H4945*1.5</f>
        <v>0</v>
      </c>
      <c r="K4945" s="6" t="n">
        <v>19.57</v>
      </c>
      <c r="L4945" s="43" t="n">
        <f aca="false">K4945*'Chart of Accounts'!$E$68</f>
        <v>13.1119</v>
      </c>
      <c r="O4945" s="42" t="n">
        <f aca="false">I4945+J4945+L4945</f>
        <v>141.9578</v>
      </c>
    </row>
    <row r="4946" customFormat="false" ht="15" hidden="false" customHeight="false" outlineLevel="0" collapsed="false">
      <c r="B4946" s="7" t="s">
        <v>13579</v>
      </c>
      <c r="C4946" s="39" t="n">
        <v>45964</v>
      </c>
      <c r="D4946" s="7" t="s">
        <v>236</v>
      </c>
      <c r="E4946" s="7" t="s">
        <v>180</v>
      </c>
      <c r="F4946" s="6" t="n">
        <v>3.63</v>
      </c>
      <c r="G4946" s="6" t="n">
        <v>0</v>
      </c>
      <c r="H4946" s="41" t="n">
        <v>15.49</v>
      </c>
      <c r="I4946" s="43" t="n">
        <f aca="false">F4946*H4946</f>
        <v>56.2287</v>
      </c>
      <c r="J4946" s="43" t="n">
        <f aca="false">G4946*H4946*1.5</f>
        <v>0</v>
      </c>
      <c r="K4946" s="6" t="n">
        <v>11.25</v>
      </c>
      <c r="L4946" s="43" t="n">
        <f aca="false">K4946*'Chart of Accounts'!$E$68</f>
        <v>7.5375</v>
      </c>
      <c r="O4946" s="42" t="n">
        <f aca="false">I4946+J4946+L4946</f>
        <v>63.7662</v>
      </c>
    </row>
    <row r="4947" customFormat="false" ht="15" hidden="false" customHeight="false" outlineLevel="0" collapsed="false">
      <c r="B4947" s="7" t="s">
        <v>13580</v>
      </c>
      <c r="C4947" s="39" t="n">
        <v>45964</v>
      </c>
      <c r="D4947" s="7" t="s">
        <v>177</v>
      </c>
      <c r="E4947" s="7" t="s">
        <v>180</v>
      </c>
      <c r="F4947" s="6" t="n">
        <v>11.63</v>
      </c>
      <c r="G4947" s="6" t="n">
        <v>0</v>
      </c>
      <c r="H4947" s="41" t="n">
        <v>14.56</v>
      </c>
      <c r="I4947" s="43" t="n">
        <f aca="false">F4947*H4947</f>
        <v>169.3328</v>
      </c>
      <c r="J4947" s="43" t="n">
        <f aca="false">G4947*H4947*1.5</f>
        <v>0</v>
      </c>
      <c r="K4947" s="6" t="n">
        <v>34.41</v>
      </c>
      <c r="L4947" s="43" t="n">
        <f aca="false">K4947*'Chart of Accounts'!$E$68</f>
        <v>23.0547</v>
      </c>
      <c r="O4947" s="42" t="n">
        <f aca="false">I4947+J4947+L4947</f>
        <v>192.3875</v>
      </c>
    </row>
    <row r="4948" customFormat="false" ht="15" hidden="false" customHeight="false" outlineLevel="0" collapsed="false">
      <c r="B4948" s="7" t="s">
        <v>13581</v>
      </c>
      <c r="C4948" s="39" t="n">
        <v>45964</v>
      </c>
      <c r="D4948" s="7" t="s">
        <v>242</v>
      </c>
      <c r="E4948" s="7" t="s">
        <v>180</v>
      </c>
      <c r="F4948" s="6" t="n">
        <v>7.453</v>
      </c>
      <c r="G4948" s="6" t="n">
        <v>0.397</v>
      </c>
      <c r="H4948" s="41" t="n">
        <v>17.99</v>
      </c>
      <c r="I4948" s="43" t="n">
        <f aca="false">F4948*H4948</f>
        <v>134.07947</v>
      </c>
      <c r="J4948" s="43" t="n">
        <f aca="false">G4948*H4948*1.5</f>
        <v>10.713045</v>
      </c>
      <c r="K4948" s="6" t="n">
        <v>27.15</v>
      </c>
      <c r="L4948" s="43" t="n">
        <f aca="false">K4948*'Chart of Accounts'!$E$68</f>
        <v>18.1905</v>
      </c>
      <c r="O4948" s="42" t="n">
        <f aca="false">I4948+J4948+L4948</f>
        <v>162.983015</v>
      </c>
    </row>
    <row r="4949" customFormat="false" ht="15" hidden="false" customHeight="false" outlineLevel="0" collapsed="false">
      <c r="B4949" s="7" t="s">
        <v>13582</v>
      </c>
      <c r="C4949" s="39" t="n">
        <v>45964</v>
      </c>
      <c r="D4949" s="7" t="s">
        <v>238</v>
      </c>
      <c r="E4949" s="7" t="s">
        <v>180</v>
      </c>
      <c r="F4949" s="6" t="n">
        <v>8.34</v>
      </c>
      <c r="G4949" s="6" t="n">
        <v>0</v>
      </c>
      <c r="H4949" s="41" t="n">
        <v>15.85</v>
      </c>
      <c r="I4949" s="43" t="n">
        <f aca="false">F4949*H4949</f>
        <v>132.189</v>
      </c>
      <c r="J4949" s="43" t="n">
        <f aca="false">G4949*H4949*1.5</f>
        <v>0</v>
      </c>
      <c r="K4949" s="6" t="n">
        <v>26.14</v>
      </c>
      <c r="L4949" s="43" t="n">
        <f aca="false">K4949*'Chart of Accounts'!$E$68</f>
        <v>17.5138</v>
      </c>
      <c r="O4949" s="42" t="n">
        <f aca="false">I4949+J4949+L4949</f>
        <v>149.7028</v>
      </c>
    </row>
    <row r="4950" customFormat="false" ht="15" hidden="false" customHeight="false" outlineLevel="0" collapsed="false">
      <c r="B4950" s="7" t="s">
        <v>13583</v>
      </c>
      <c r="C4950" s="39" t="n">
        <v>45964</v>
      </c>
      <c r="D4950" s="7" t="s">
        <v>244</v>
      </c>
      <c r="E4950" s="7" t="s">
        <v>180</v>
      </c>
      <c r="F4950" s="6" t="n">
        <v>8.42</v>
      </c>
      <c r="G4950" s="6" t="n">
        <v>0</v>
      </c>
      <c r="H4950" s="41" t="n">
        <v>16.39</v>
      </c>
      <c r="I4950" s="43" t="n">
        <f aca="false">F4950*H4950</f>
        <v>138.0038</v>
      </c>
      <c r="J4950" s="43" t="n">
        <f aca="false">G4950*H4950*1.5</f>
        <v>0</v>
      </c>
      <c r="K4950" s="6" t="n">
        <v>20.08</v>
      </c>
      <c r="L4950" s="43" t="n">
        <f aca="false">K4950*'Chart of Accounts'!$E$68</f>
        <v>13.4536</v>
      </c>
      <c r="O4950" s="42" t="n">
        <f aca="false">I4950+J4950+L4950</f>
        <v>151.4574</v>
      </c>
    </row>
    <row r="4951" customFormat="false" ht="15" hidden="false" customHeight="false" outlineLevel="0" collapsed="false">
      <c r="B4951" s="7" t="s">
        <v>13584</v>
      </c>
      <c r="C4951" s="39" t="n">
        <v>45964</v>
      </c>
      <c r="D4951" s="7" t="s">
        <v>254</v>
      </c>
      <c r="E4951" s="7" t="s">
        <v>180</v>
      </c>
      <c r="F4951" s="6" t="n">
        <v>7.45</v>
      </c>
      <c r="G4951" s="6" t="n">
        <v>0</v>
      </c>
      <c r="H4951" s="41" t="n">
        <v>17.1</v>
      </c>
      <c r="I4951" s="43" t="n">
        <f aca="false">F4951*H4951</f>
        <v>127.395</v>
      </c>
      <c r="J4951" s="43" t="n">
        <f aca="false">G4951*H4951*1.5</f>
        <v>0</v>
      </c>
      <c r="K4951" s="6" t="n">
        <v>23.36</v>
      </c>
      <c r="L4951" s="43" t="n">
        <f aca="false">K4951*'Chart of Accounts'!$E$68</f>
        <v>15.6512</v>
      </c>
      <c r="O4951" s="42" t="n">
        <f aca="false">I4951+J4951+L4951</f>
        <v>143.0462</v>
      </c>
    </row>
    <row r="4952" customFormat="false" ht="15" hidden="false" customHeight="false" outlineLevel="0" collapsed="false">
      <c r="B4952" s="7" t="s">
        <v>13585</v>
      </c>
      <c r="C4952" s="39" t="n">
        <v>45965</v>
      </c>
      <c r="D4952" s="7" t="s">
        <v>236</v>
      </c>
      <c r="E4952" s="7" t="s">
        <v>180</v>
      </c>
      <c r="F4952" s="6" t="n">
        <v>7.82</v>
      </c>
      <c r="G4952" s="6" t="n">
        <v>0</v>
      </c>
      <c r="H4952" s="41" t="n">
        <v>15.49</v>
      </c>
      <c r="I4952" s="43" t="n">
        <f aca="false">F4952*H4952</f>
        <v>121.1318</v>
      </c>
      <c r="J4952" s="43" t="n">
        <f aca="false">G4952*H4952*1.5</f>
        <v>0</v>
      </c>
      <c r="K4952" s="6" t="n">
        <v>24.27</v>
      </c>
      <c r="L4952" s="43" t="n">
        <f aca="false">K4952*'Chart of Accounts'!$E$68</f>
        <v>16.2609</v>
      </c>
      <c r="O4952" s="42" t="n">
        <f aca="false">I4952+J4952+L4952</f>
        <v>137.3927</v>
      </c>
    </row>
    <row r="4953" customFormat="false" ht="15" hidden="false" customHeight="false" outlineLevel="0" collapsed="false">
      <c r="B4953" s="7" t="s">
        <v>13586</v>
      </c>
      <c r="C4953" s="39" t="n">
        <v>45965</v>
      </c>
      <c r="D4953" s="7" t="s">
        <v>198</v>
      </c>
      <c r="E4953" s="7" t="s">
        <v>158</v>
      </c>
      <c r="H4953" s="41" t="n">
        <v>48.09</v>
      </c>
      <c r="M4953" s="6" t="n">
        <v>1</v>
      </c>
      <c r="N4953" s="43" t="n">
        <f aca="false">M4953*H4953</f>
        <v>48.09</v>
      </c>
      <c r="O4953" s="42" t="n">
        <f aca="false">N4953</f>
        <v>48.09</v>
      </c>
    </row>
    <row r="4954" customFormat="false" ht="15" hidden="false" customHeight="false" outlineLevel="0" collapsed="false">
      <c r="B4954" s="7" t="s">
        <v>13587</v>
      </c>
      <c r="C4954" s="39" t="n">
        <v>45965</v>
      </c>
      <c r="D4954" s="7" t="s">
        <v>209</v>
      </c>
      <c r="E4954" s="7" t="s">
        <v>158</v>
      </c>
      <c r="H4954" s="41" t="n">
        <v>73.58</v>
      </c>
      <c r="M4954" s="6" t="n">
        <v>2</v>
      </c>
      <c r="N4954" s="43" t="n">
        <f aca="false">M4954*H4954</f>
        <v>147.16</v>
      </c>
      <c r="O4954" s="42" t="n">
        <f aca="false">N4954</f>
        <v>147.16</v>
      </c>
    </row>
    <row r="4955" customFormat="false" ht="15" hidden="false" customHeight="false" outlineLevel="0" collapsed="false">
      <c r="B4955" s="7" t="s">
        <v>13588</v>
      </c>
      <c r="C4955" s="39" t="n">
        <v>45965</v>
      </c>
      <c r="D4955" s="7" t="s">
        <v>184</v>
      </c>
      <c r="E4955" s="7" t="s">
        <v>180</v>
      </c>
      <c r="F4955" s="6" t="n">
        <v>4.24</v>
      </c>
      <c r="G4955" s="6" t="n">
        <v>0</v>
      </c>
      <c r="H4955" s="41" t="n">
        <v>17.34</v>
      </c>
      <c r="I4955" s="43" t="n">
        <f aca="false">F4955*H4955</f>
        <v>73.5216</v>
      </c>
      <c r="J4955" s="43" t="n">
        <f aca="false">G4955*H4955*1.5</f>
        <v>0</v>
      </c>
      <c r="K4955" s="6" t="n">
        <v>10.69</v>
      </c>
      <c r="L4955" s="43" t="n">
        <f aca="false">K4955*'Chart of Accounts'!$E$68</f>
        <v>7.1623</v>
      </c>
      <c r="O4955" s="42" t="n">
        <f aca="false">I4955+J4955+L4955</f>
        <v>80.6839</v>
      </c>
    </row>
    <row r="4956" customFormat="false" ht="15" hidden="false" customHeight="false" outlineLevel="0" collapsed="false">
      <c r="B4956" s="7" t="s">
        <v>13589</v>
      </c>
      <c r="C4956" s="39" t="n">
        <v>45965</v>
      </c>
      <c r="D4956" s="7" t="s">
        <v>234</v>
      </c>
      <c r="E4956" s="7" t="s">
        <v>158</v>
      </c>
      <c r="H4956" s="41" t="n">
        <v>89.53</v>
      </c>
      <c r="M4956" s="6" t="n">
        <v>2</v>
      </c>
      <c r="N4956" s="43" t="n">
        <f aca="false">M4956*H4956</f>
        <v>179.06</v>
      </c>
      <c r="O4956" s="42" t="n">
        <f aca="false">N4956</f>
        <v>179.06</v>
      </c>
    </row>
    <row r="4957" customFormat="false" ht="15" hidden="false" customHeight="false" outlineLevel="0" collapsed="false">
      <c r="B4957" s="7" t="s">
        <v>13590</v>
      </c>
      <c r="C4957" s="39" t="n">
        <v>45965</v>
      </c>
      <c r="D4957" s="7" t="s">
        <v>218</v>
      </c>
      <c r="E4957" s="7" t="s">
        <v>180</v>
      </c>
      <c r="F4957" s="6" t="n">
        <v>4.06</v>
      </c>
      <c r="G4957" s="6" t="n">
        <v>0</v>
      </c>
      <c r="H4957" s="41" t="n">
        <v>16.19</v>
      </c>
      <c r="I4957" s="43" t="n">
        <f aca="false">F4957*H4957</f>
        <v>65.7314</v>
      </c>
      <c r="J4957" s="43" t="n">
        <f aca="false">G4957*H4957*1.5</f>
        <v>0</v>
      </c>
      <c r="K4957" s="6" t="n">
        <v>12.79</v>
      </c>
      <c r="L4957" s="43" t="n">
        <f aca="false">K4957*'Chart of Accounts'!$E$68</f>
        <v>8.5693</v>
      </c>
      <c r="O4957" s="42" t="n">
        <f aca="false">I4957+J4957+L4957</f>
        <v>74.3007</v>
      </c>
    </row>
    <row r="4958" customFormat="false" ht="15" hidden="false" customHeight="false" outlineLevel="0" collapsed="false">
      <c r="B4958" s="7" t="s">
        <v>13591</v>
      </c>
      <c r="C4958" s="39" t="n">
        <v>45965</v>
      </c>
      <c r="D4958" s="7" t="s">
        <v>230</v>
      </c>
      <c r="E4958" s="7" t="s">
        <v>158</v>
      </c>
      <c r="H4958" s="41" t="n">
        <v>48.78</v>
      </c>
      <c r="M4958" s="6" t="n">
        <v>2</v>
      </c>
      <c r="N4958" s="43" t="n">
        <f aca="false">M4958*H4958</f>
        <v>97.56</v>
      </c>
      <c r="O4958" s="42" t="n">
        <f aca="false">N4958</f>
        <v>97.56</v>
      </c>
    </row>
    <row r="4959" customFormat="false" ht="15" hidden="false" customHeight="false" outlineLevel="0" collapsed="false">
      <c r="B4959" s="7" t="s">
        <v>13592</v>
      </c>
      <c r="C4959" s="39" t="n">
        <v>45965</v>
      </c>
      <c r="D4959" s="7" t="s">
        <v>220</v>
      </c>
      <c r="E4959" s="7" t="s">
        <v>180</v>
      </c>
      <c r="F4959" s="6" t="n">
        <v>3.99</v>
      </c>
      <c r="G4959" s="6" t="n">
        <v>0</v>
      </c>
      <c r="H4959" s="41" t="n">
        <v>16.43</v>
      </c>
      <c r="I4959" s="43" t="n">
        <f aca="false">F4959*H4959</f>
        <v>65.5557</v>
      </c>
      <c r="J4959" s="43" t="n">
        <f aca="false">G4959*H4959*1.5</f>
        <v>0</v>
      </c>
      <c r="K4959" s="6" t="n">
        <v>13.49</v>
      </c>
      <c r="L4959" s="43" t="n">
        <f aca="false">K4959*'Chart of Accounts'!$E$68</f>
        <v>9.0383</v>
      </c>
      <c r="O4959" s="42" t="n">
        <f aca="false">I4959+J4959+L4959</f>
        <v>74.594</v>
      </c>
    </row>
    <row r="4960" customFormat="false" ht="15" hidden="false" customHeight="false" outlineLevel="0" collapsed="false">
      <c r="B4960" s="7" t="s">
        <v>13593</v>
      </c>
      <c r="C4960" s="39" t="n">
        <v>45965</v>
      </c>
      <c r="D4960" s="7" t="s">
        <v>244</v>
      </c>
      <c r="E4960" s="7" t="s">
        <v>180</v>
      </c>
      <c r="F4960" s="6" t="n">
        <v>3.77</v>
      </c>
      <c r="G4960" s="6" t="n">
        <v>0</v>
      </c>
      <c r="H4960" s="41" t="n">
        <v>16.39</v>
      </c>
      <c r="I4960" s="43" t="n">
        <f aca="false">F4960*H4960</f>
        <v>61.7903</v>
      </c>
      <c r="J4960" s="43" t="n">
        <f aca="false">G4960*H4960*1.5</f>
        <v>0</v>
      </c>
      <c r="K4960" s="6" t="n">
        <v>13.18</v>
      </c>
      <c r="L4960" s="43" t="n">
        <f aca="false">K4960*'Chart of Accounts'!$E$68</f>
        <v>8.8306</v>
      </c>
      <c r="O4960" s="42" t="n">
        <f aca="false">I4960+J4960+L4960</f>
        <v>70.6209</v>
      </c>
    </row>
    <row r="4961" customFormat="false" ht="15" hidden="false" customHeight="false" outlineLevel="0" collapsed="false">
      <c r="B4961" s="7" t="s">
        <v>13594</v>
      </c>
      <c r="C4961" s="39" t="n">
        <v>45965</v>
      </c>
      <c r="D4961" s="7" t="s">
        <v>194</v>
      </c>
      <c r="E4961" s="7" t="s">
        <v>180</v>
      </c>
      <c r="F4961" s="6" t="n">
        <v>3.9</v>
      </c>
      <c r="G4961" s="6" t="n">
        <v>0</v>
      </c>
      <c r="H4961" s="41" t="n">
        <v>16</v>
      </c>
      <c r="I4961" s="43" t="n">
        <f aca="false">F4961*H4961</f>
        <v>62.4</v>
      </c>
      <c r="J4961" s="43" t="n">
        <f aca="false">G4961*H4961*1.5</f>
        <v>0</v>
      </c>
      <c r="K4961" s="6" t="n">
        <v>9.65</v>
      </c>
      <c r="L4961" s="43" t="n">
        <f aca="false">K4961*'Chart of Accounts'!$E$68</f>
        <v>6.4655</v>
      </c>
      <c r="O4961" s="42" t="n">
        <f aca="false">I4961+J4961+L4961</f>
        <v>68.8655</v>
      </c>
    </row>
    <row r="4962" customFormat="false" ht="15" hidden="false" customHeight="false" outlineLevel="0" collapsed="false">
      <c r="B4962" s="7" t="s">
        <v>13595</v>
      </c>
      <c r="C4962" s="39" t="n">
        <v>45965</v>
      </c>
      <c r="D4962" s="7" t="s">
        <v>258</v>
      </c>
      <c r="E4962" s="7" t="s">
        <v>158</v>
      </c>
      <c r="H4962" s="41" t="n">
        <v>61.61</v>
      </c>
      <c r="M4962" s="6" t="n">
        <v>1</v>
      </c>
      <c r="N4962" s="43" t="n">
        <f aca="false">M4962*H4962</f>
        <v>61.61</v>
      </c>
      <c r="O4962" s="42" t="n">
        <f aca="false">N4962</f>
        <v>61.61</v>
      </c>
    </row>
    <row r="4963" customFormat="false" ht="15" hidden="false" customHeight="false" outlineLevel="0" collapsed="false">
      <c r="B4963" s="7" t="s">
        <v>13596</v>
      </c>
      <c r="C4963" s="39" t="n">
        <v>45965</v>
      </c>
      <c r="D4963" s="7" t="s">
        <v>196</v>
      </c>
      <c r="E4963" s="7" t="s">
        <v>180</v>
      </c>
      <c r="F4963" s="6" t="n">
        <v>3.402</v>
      </c>
      <c r="G4963" s="6" t="n">
        <v>0.288</v>
      </c>
      <c r="H4963" s="41" t="n">
        <v>15.05</v>
      </c>
      <c r="I4963" s="43" t="n">
        <f aca="false">F4963*H4963</f>
        <v>51.2001</v>
      </c>
      <c r="J4963" s="43" t="n">
        <f aca="false">G4963*H4963*1.5</f>
        <v>6.5016</v>
      </c>
      <c r="K4963" s="6" t="n">
        <v>9.06</v>
      </c>
      <c r="L4963" s="43" t="n">
        <f aca="false">K4963*'Chart of Accounts'!$E$68</f>
        <v>6.0702</v>
      </c>
      <c r="O4963" s="42" t="n">
        <f aca="false">I4963+J4963+L4963</f>
        <v>63.7719</v>
      </c>
    </row>
    <row r="4964" customFormat="false" ht="15" hidden="false" customHeight="false" outlineLevel="0" collapsed="false">
      <c r="B4964" s="7" t="s">
        <v>13597</v>
      </c>
      <c r="C4964" s="39" t="n">
        <v>45965</v>
      </c>
      <c r="D4964" s="7" t="s">
        <v>246</v>
      </c>
      <c r="E4964" s="7" t="s">
        <v>180</v>
      </c>
      <c r="F4964" s="6" t="n">
        <v>3.79</v>
      </c>
      <c r="G4964" s="6" t="n">
        <v>0</v>
      </c>
      <c r="H4964" s="41" t="n">
        <v>16.48</v>
      </c>
      <c r="I4964" s="43" t="n">
        <f aca="false">F4964*H4964</f>
        <v>62.4592</v>
      </c>
      <c r="J4964" s="43" t="n">
        <f aca="false">G4964*H4964*1.5</f>
        <v>0</v>
      </c>
      <c r="K4964" s="6" t="n">
        <v>10.23</v>
      </c>
      <c r="L4964" s="43" t="n">
        <f aca="false">K4964*'Chart of Accounts'!$E$68</f>
        <v>6.8541</v>
      </c>
      <c r="O4964" s="42" t="n">
        <f aca="false">I4964+J4964+L4964</f>
        <v>69.3133</v>
      </c>
    </row>
    <row r="4965" customFormat="false" ht="15" hidden="false" customHeight="false" outlineLevel="0" collapsed="false">
      <c r="B4965" s="7" t="s">
        <v>13598</v>
      </c>
      <c r="C4965" s="39" t="n">
        <v>45965</v>
      </c>
      <c r="D4965" s="7" t="s">
        <v>222</v>
      </c>
      <c r="E4965" s="7" t="s">
        <v>180</v>
      </c>
      <c r="F4965" s="6" t="n">
        <v>3.598</v>
      </c>
      <c r="G4965" s="6" t="n">
        <v>0.022</v>
      </c>
      <c r="H4965" s="41" t="n">
        <v>17.84</v>
      </c>
      <c r="I4965" s="43" t="n">
        <f aca="false">F4965*H4965</f>
        <v>64.18832</v>
      </c>
      <c r="J4965" s="43" t="n">
        <f aca="false">G4965*H4965*1.5</f>
        <v>0.58872</v>
      </c>
      <c r="K4965" s="6" t="n">
        <v>12.4</v>
      </c>
      <c r="L4965" s="43" t="n">
        <f aca="false">K4965*'Chart of Accounts'!$E$68</f>
        <v>8.308</v>
      </c>
      <c r="O4965" s="42" t="n">
        <f aca="false">I4965+J4965+L4965</f>
        <v>73.08504</v>
      </c>
    </row>
    <row r="4966" customFormat="false" ht="15" hidden="false" customHeight="false" outlineLevel="0" collapsed="false">
      <c r="B4966" s="7" t="s">
        <v>13599</v>
      </c>
      <c r="C4966" s="39" t="n">
        <v>45965</v>
      </c>
      <c r="D4966" s="7" t="s">
        <v>242</v>
      </c>
      <c r="E4966" s="7" t="s">
        <v>180</v>
      </c>
      <c r="F4966" s="6" t="n">
        <v>3.57</v>
      </c>
      <c r="G4966" s="6" t="n">
        <v>0.19</v>
      </c>
      <c r="H4966" s="41" t="n">
        <v>17.99</v>
      </c>
      <c r="I4966" s="43" t="n">
        <f aca="false">F4966*H4966</f>
        <v>64.2243</v>
      </c>
      <c r="J4966" s="43" t="n">
        <f aca="false">G4966*H4966*1.5</f>
        <v>5.12715</v>
      </c>
      <c r="K4966" s="6" t="n">
        <v>10.95</v>
      </c>
      <c r="L4966" s="43" t="n">
        <f aca="false">K4966*'Chart of Accounts'!$E$68</f>
        <v>7.3365</v>
      </c>
      <c r="O4966" s="42" t="n">
        <f aca="false">I4966+J4966+L4966</f>
        <v>76.68795</v>
      </c>
    </row>
    <row r="4967" customFormat="false" ht="15" hidden="false" customHeight="false" outlineLevel="0" collapsed="false">
      <c r="B4967" s="7" t="s">
        <v>13600</v>
      </c>
      <c r="C4967" s="39" t="n">
        <v>45965</v>
      </c>
      <c r="D4967" s="7" t="s">
        <v>203</v>
      </c>
      <c r="E4967" s="7" t="s">
        <v>158</v>
      </c>
      <c r="H4967" s="41" t="n">
        <v>49.43</v>
      </c>
      <c r="M4967" s="6" t="n">
        <v>1</v>
      </c>
      <c r="N4967" s="43" t="n">
        <f aca="false">M4967*H4967</f>
        <v>49.43</v>
      </c>
      <c r="O4967" s="42" t="n">
        <f aca="false">N4967</f>
        <v>49.43</v>
      </c>
    </row>
    <row r="4968" customFormat="false" ht="15" hidden="false" customHeight="false" outlineLevel="0" collapsed="false">
      <c r="B4968" s="7" t="s">
        <v>13601</v>
      </c>
      <c r="C4968" s="39" t="n">
        <v>45965</v>
      </c>
      <c r="D4968" s="7" t="s">
        <v>254</v>
      </c>
      <c r="E4968" s="7" t="s">
        <v>180</v>
      </c>
      <c r="F4968" s="6" t="n">
        <v>4.29</v>
      </c>
      <c r="G4968" s="6" t="n">
        <v>0</v>
      </c>
      <c r="H4968" s="41" t="n">
        <v>17.1</v>
      </c>
      <c r="I4968" s="43" t="n">
        <f aca="false">F4968*H4968</f>
        <v>73.359</v>
      </c>
      <c r="J4968" s="43" t="n">
        <f aca="false">G4968*H4968*1.5</f>
        <v>0</v>
      </c>
      <c r="K4968" s="6" t="n">
        <v>12.41</v>
      </c>
      <c r="L4968" s="43" t="n">
        <f aca="false">K4968*'Chart of Accounts'!$E$68</f>
        <v>8.3147</v>
      </c>
      <c r="O4968" s="42" t="n">
        <f aca="false">I4968+J4968+L4968</f>
        <v>81.6737</v>
      </c>
    </row>
    <row r="4969" customFormat="false" ht="15" hidden="false" customHeight="false" outlineLevel="0" collapsed="false">
      <c r="B4969" s="7" t="s">
        <v>13602</v>
      </c>
      <c r="C4969" s="39" t="n">
        <v>45965</v>
      </c>
      <c r="D4969" s="7" t="s">
        <v>260</v>
      </c>
      <c r="E4969" s="7" t="s">
        <v>158</v>
      </c>
      <c r="H4969" s="41" t="n">
        <v>79.8</v>
      </c>
      <c r="M4969" s="6" t="n">
        <v>1</v>
      </c>
      <c r="N4969" s="43" t="n">
        <f aca="false">M4969*H4969</f>
        <v>79.8</v>
      </c>
      <c r="O4969" s="42" t="n">
        <f aca="false">N4969</f>
        <v>79.8</v>
      </c>
    </row>
    <row r="4970" customFormat="false" ht="15" hidden="false" customHeight="false" outlineLevel="0" collapsed="false">
      <c r="B4970" s="7" t="s">
        <v>13603</v>
      </c>
      <c r="C4970" s="39" t="n">
        <v>45966</v>
      </c>
      <c r="D4970" s="7" t="s">
        <v>240</v>
      </c>
      <c r="E4970" s="7" t="s">
        <v>180</v>
      </c>
      <c r="F4970" s="6" t="n">
        <v>4.03</v>
      </c>
      <c r="G4970" s="6" t="n">
        <v>0</v>
      </c>
      <c r="H4970" s="41" t="n">
        <v>16.96</v>
      </c>
      <c r="I4970" s="43" t="n">
        <f aca="false">F4970*H4970</f>
        <v>68.3488</v>
      </c>
      <c r="J4970" s="43" t="n">
        <f aca="false">G4970*H4970*1.5</f>
        <v>0</v>
      </c>
      <c r="K4970" s="6" t="n">
        <v>12.93</v>
      </c>
      <c r="L4970" s="43" t="n">
        <f aca="false">K4970*'Chart of Accounts'!$E$68</f>
        <v>8.6631</v>
      </c>
      <c r="O4970" s="42" t="n">
        <f aca="false">I4970+J4970+L4970</f>
        <v>77.0119</v>
      </c>
    </row>
    <row r="4971" customFormat="false" ht="15" hidden="false" customHeight="false" outlineLevel="0" collapsed="false">
      <c r="B4971" s="7" t="s">
        <v>13604</v>
      </c>
      <c r="C4971" s="39" t="n">
        <v>45966</v>
      </c>
      <c r="D4971" s="7" t="s">
        <v>194</v>
      </c>
      <c r="E4971" s="7" t="s">
        <v>180</v>
      </c>
      <c r="F4971" s="6" t="n">
        <v>8.62</v>
      </c>
      <c r="G4971" s="6" t="n">
        <v>0</v>
      </c>
      <c r="H4971" s="41" t="n">
        <v>16</v>
      </c>
      <c r="I4971" s="43" t="n">
        <f aca="false">F4971*H4971</f>
        <v>137.92</v>
      </c>
      <c r="J4971" s="43" t="n">
        <f aca="false">G4971*H4971*1.5</f>
        <v>0</v>
      </c>
      <c r="K4971" s="6" t="n">
        <v>20.6</v>
      </c>
      <c r="L4971" s="43" t="n">
        <f aca="false">K4971*'Chart of Accounts'!$E$68</f>
        <v>13.802</v>
      </c>
      <c r="O4971" s="42" t="n">
        <f aca="false">I4971+J4971+L4971</f>
        <v>151.722</v>
      </c>
    </row>
    <row r="4972" customFormat="false" ht="15" hidden="false" customHeight="false" outlineLevel="0" collapsed="false">
      <c r="B4972" s="7" t="s">
        <v>13605</v>
      </c>
      <c r="C4972" s="39" t="n">
        <v>45966</v>
      </c>
      <c r="D4972" s="7" t="s">
        <v>214</v>
      </c>
      <c r="E4972" s="7" t="s">
        <v>180</v>
      </c>
      <c r="F4972" s="6" t="n">
        <v>7.24</v>
      </c>
      <c r="G4972" s="6" t="n">
        <v>0</v>
      </c>
      <c r="H4972" s="41" t="n">
        <v>15.67</v>
      </c>
      <c r="I4972" s="43" t="n">
        <f aca="false">F4972*H4972</f>
        <v>113.4508</v>
      </c>
      <c r="J4972" s="43" t="n">
        <f aca="false">G4972*H4972*1.5</f>
        <v>0</v>
      </c>
      <c r="K4972" s="6" t="n">
        <v>20.28</v>
      </c>
      <c r="L4972" s="43" t="n">
        <f aca="false">K4972*'Chart of Accounts'!$E$68</f>
        <v>13.5876</v>
      </c>
      <c r="O4972" s="42" t="n">
        <f aca="false">I4972+J4972+L4972</f>
        <v>127.0384</v>
      </c>
    </row>
    <row r="4973" customFormat="false" ht="15" hidden="false" customHeight="false" outlineLevel="0" collapsed="false">
      <c r="B4973" s="7" t="s">
        <v>13606</v>
      </c>
      <c r="C4973" s="39" t="n">
        <v>45966</v>
      </c>
      <c r="D4973" s="7" t="s">
        <v>205</v>
      </c>
      <c r="E4973" s="7" t="s">
        <v>180</v>
      </c>
      <c r="F4973" s="6" t="n">
        <v>4.07</v>
      </c>
      <c r="G4973" s="6" t="n">
        <v>0</v>
      </c>
      <c r="H4973" s="41" t="n">
        <v>16.36</v>
      </c>
      <c r="I4973" s="43" t="n">
        <f aca="false">F4973*H4973</f>
        <v>66.5852</v>
      </c>
      <c r="J4973" s="43" t="n">
        <f aca="false">G4973*H4973*1.5</f>
        <v>0</v>
      </c>
      <c r="K4973" s="6" t="n">
        <v>9.81</v>
      </c>
      <c r="L4973" s="43" t="n">
        <f aca="false">K4973*'Chart of Accounts'!$E$68</f>
        <v>6.5727</v>
      </c>
      <c r="O4973" s="42" t="n">
        <f aca="false">I4973+J4973+L4973</f>
        <v>73.1579</v>
      </c>
    </row>
    <row r="4974" customFormat="false" ht="15" hidden="false" customHeight="false" outlineLevel="0" collapsed="false">
      <c r="B4974" s="7" t="s">
        <v>13607</v>
      </c>
      <c r="C4974" s="39" t="n">
        <v>45966</v>
      </c>
      <c r="D4974" s="7" t="s">
        <v>264</v>
      </c>
      <c r="E4974" s="7" t="s">
        <v>158</v>
      </c>
      <c r="H4974" s="41" t="n">
        <v>55.55</v>
      </c>
      <c r="M4974" s="6" t="n">
        <v>1</v>
      </c>
      <c r="N4974" s="43" t="n">
        <f aca="false">M4974*H4974</f>
        <v>55.55</v>
      </c>
      <c r="O4974" s="42" t="n">
        <f aca="false">N4974</f>
        <v>55.55</v>
      </c>
    </row>
    <row r="4975" customFormat="false" ht="15" hidden="false" customHeight="false" outlineLevel="0" collapsed="false">
      <c r="B4975" s="7" t="s">
        <v>13608</v>
      </c>
      <c r="C4975" s="39" t="n">
        <v>45966</v>
      </c>
      <c r="D4975" s="7" t="s">
        <v>252</v>
      </c>
      <c r="E4975" s="7" t="s">
        <v>158</v>
      </c>
      <c r="H4975" s="41" t="n">
        <v>57.54</v>
      </c>
      <c r="M4975" s="6" t="n">
        <v>1</v>
      </c>
      <c r="N4975" s="43" t="n">
        <f aca="false">M4975*H4975</f>
        <v>57.54</v>
      </c>
      <c r="O4975" s="42" t="n">
        <f aca="false">N4975</f>
        <v>57.54</v>
      </c>
    </row>
    <row r="4976" customFormat="false" ht="15" hidden="false" customHeight="false" outlineLevel="0" collapsed="false">
      <c r="B4976" s="7" t="s">
        <v>13609</v>
      </c>
      <c r="C4976" s="39" t="n">
        <v>45966</v>
      </c>
      <c r="D4976" s="7" t="s">
        <v>216</v>
      </c>
      <c r="E4976" s="7" t="s">
        <v>158</v>
      </c>
      <c r="H4976" s="41" t="n">
        <v>61.79</v>
      </c>
      <c r="M4976" s="6" t="n">
        <v>1</v>
      </c>
      <c r="N4976" s="43" t="n">
        <f aca="false">M4976*H4976</f>
        <v>61.79</v>
      </c>
      <c r="O4976" s="42" t="n">
        <f aca="false">N4976</f>
        <v>61.79</v>
      </c>
    </row>
    <row r="4977" customFormat="false" ht="15" hidden="false" customHeight="false" outlineLevel="0" collapsed="false">
      <c r="B4977" s="7" t="s">
        <v>13610</v>
      </c>
      <c r="C4977" s="39" t="n">
        <v>45966</v>
      </c>
      <c r="D4977" s="7" t="s">
        <v>218</v>
      </c>
      <c r="E4977" s="7" t="s">
        <v>180</v>
      </c>
      <c r="F4977" s="6" t="n">
        <v>4.1</v>
      </c>
      <c r="G4977" s="6" t="n">
        <v>0</v>
      </c>
      <c r="H4977" s="41" t="n">
        <v>16.19</v>
      </c>
      <c r="I4977" s="43" t="n">
        <f aca="false">F4977*H4977</f>
        <v>66.379</v>
      </c>
      <c r="J4977" s="43" t="n">
        <f aca="false">G4977*H4977*1.5</f>
        <v>0</v>
      </c>
      <c r="K4977" s="6" t="n">
        <v>9.68</v>
      </c>
      <c r="L4977" s="43" t="n">
        <f aca="false">K4977*'Chart of Accounts'!$E$68</f>
        <v>6.4856</v>
      </c>
      <c r="O4977" s="42" t="n">
        <f aca="false">I4977+J4977+L4977</f>
        <v>72.8646</v>
      </c>
    </row>
    <row r="4978" customFormat="false" ht="15" hidden="false" customHeight="false" outlineLevel="0" collapsed="false">
      <c r="B4978" s="7" t="s">
        <v>13611</v>
      </c>
      <c r="C4978" s="39" t="n">
        <v>45966</v>
      </c>
      <c r="D4978" s="7" t="s">
        <v>220</v>
      </c>
      <c r="E4978" s="7" t="s">
        <v>180</v>
      </c>
      <c r="F4978" s="6" t="n">
        <v>4.27</v>
      </c>
      <c r="G4978" s="6" t="n">
        <v>0</v>
      </c>
      <c r="H4978" s="41" t="n">
        <v>16.43</v>
      </c>
      <c r="I4978" s="43" t="n">
        <f aca="false">F4978*H4978</f>
        <v>70.1561</v>
      </c>
      <c r="J4978" s="43" t="n">
        <f aca="false">G4978*H4978*1.5</f>
        <v>0</v>
      </c>
      <c r="K4978" s="6" t="n">
        <v>11.09</v>
      </c>
      <c r="L4978" s="43" t="n">
        <f aca="false">K4978*'Chart of Accounts'!$E$68</f>
        <v>7.4303</v>
      </c>
      <c r="O4978" s="42" t="n">
        <f aca="false">I4978+J4978+L4978</f>
        <v>77.5864</v>
      </c>
    </row>
    <row r="4979" customFormat="false" ht="15" hidden="false" customHeight="false" outlineLevel="0" collapsed="false">
      <c r="B4979" s="7" t="s">
        <v>13612</v>
      </c>
      <c r="C4979" s="39" t="n">
        <v>45966</v>
      </c>
      <c r="D4979" s="7" t="s">
        <v>236</v>
      </c>
      <c r="E4979" s="7" t="s">
        <v>180</v>
      </c>
      <c r="F4979" s="6" t="n">
        <v>3.65</v>
      </c>
      <c r="G4979" s="6" t="n">
        <v>0</v>
      </c>
      <c r="H4979" s="41" t="n">
        <v>15.49</v>
      </c>
      <c r="I4979" s="43" t="n">
        <f aca="false">F4979*H4979</f>
        <v>56.5385</v>
      </c>
      <c r="J4979" s="43" t="n">
        <f aca="false">G4979*H4979*1.5</f>
        <v>0</v>
      </c>
      <c r="K4979" s="6" t="n">
        <v>11.42</v>
      </c>
      <c r="L4979" s="43" t="n">
        <f aca="false">K4979*'Chart of Accounts'!$E$68</f>
        <v>7.6514</v>
      </c>
      <c r="O4979" s="42" t="n">
        <f aca="false">I4979+J4979+L4979</f>
        <v>64.1899</v>
      </c>
    </row>
    <row r="4980" customFormat="false" ht="15" hidden="false" customHeight="false" outlineLevel="0" collapsed="false">
      <c r="B4980" s="7" t="s">
        <v>13613</v>
      </c>
      <c r="C4980" s="39" t="n">
        <v>45966</v>
      </c>
      <c r="D4980" s="7" t="s">
        <v>177</v>
      </c>
      <c r="E4980" s="7" t="s">
        <v>180</v>
      </c>
      <c r="F4980" s="6" t="n">
        <v>9.31</v>
      </c>
      <c r="G4980" s="6" t="n">
        <v>0</v>
      </c>
      <c r="H4980" s="41" t="n">
        <v>14.56</v>
      </c>
      <c r="I4980" s="43" t="n">
        <f aca="false">F4980*H4980</f>
        <v>135.5536</v>
      </c>
      <c r="J4980" s="43" t="n">
        <f aca="false">G4980*H4980*1.5</f>
        <v>0</v>
      </c>
      <c r="K4980" s="6" t="n">
        <v>28.3</v>
      </c>
      <c r="L4980" s="43" t="n">
        <f aca="false">K4980*'Chart of Accounts'!$E$68</f>
        <v>18.961</v>
      </c>
      <c r="O4980" s="42" t="n">
        <f aca="false">I4980+J4980+L4980</f>
        <v>154.5146</v>
      </c>
    </row>
    <row r="4981" customFormat="false" ht="15" hidden="false" customHeight="false" outlineLevel="0" collapsed="false">
      <c r="B4981" s="7" t="s">
        <v>13614</v>
      </c>
      <c r="C4981" s="39" t="n">
        <v>45966</v>
      </c>
      <c r="D4981" s="7" t="s">
        <v>242</v>
      </c>
      <c r="E4981" s="7" t="s">
        <v>180</v>
      </c>
      <c r="F4981" s="6" t="n">
        <v>6.817</v>
      </c>
      <c r="G4981" s="6" t="n">
        <v>0.363</v>
      </c>
      <c r="H4981" s="41" t="n">
        <v>17.99</v>
      </c>
      <c r="I4981" s="43" t="n">
        <f aca="false">F4981*H4981</f>
        <v>122.63783</v>
      </c>
      <c r="J4981" s="43" t="n">
        <f aca="false">G4981*H4981*1.5</f>
        <v>9.795555</v>
      </c>
      <c r="K4981" s="6" t="n">
        <v>21.37</v>
      </c>
      <c r="L4981" s="43" t="n">
        <f aca="false">K4981*'Chart of Accounts'!$E$68</f>
        <v>14.3179</v>
      </c>
      <c r="O4981" s="42" t="n">
        <f aca="false">I4981+J4981+L4981</f>
        <v>146.751285</v>
      </c>
    </row>
    <row r="4982" customFormat="false" ht="15" hidden="false" customHeight="false" outlineLevel="0" collapsed="false">
      <c r="B4982" s="7" t="s">
        <v>13615</v>
      </c>
      <c r="C4982" s="39" t="n">
        <v>45966</v>
      </c>
      <c r="D4982" s="7" t="s">
        <v>238</v>
      </c>
      <c r="E4982" s="7" t="s">
        <v>180</v>
      </c>
      <c r="F4982" s="6" t="n">
        <v>8.4</v>
      </c>
      <c r="G4982" s="6" t="n">
        <v>0</v>
      </c>
      <c r="H4982" s="41" t="n">
        <v>15.85</v>
      </c>
      <c r="I4982" s="43" t="n">
        <f aca="false">F4982*H4982</f>
        <v>133.14</v>
      </c>
      <c r="J4982" s="43" t="n">
        <f aca="false">G4982*H4982*1.5</f>
        <v>0</v>
      </c>
      <c r="K4982" s="6" t="n">
        <v>26.57</v>
      </c>
      <c r="L4982" s="43" t="n">
        <f aca="false">K4982*'Chart of Accounts'!$E$68</f>
        <v>17.8019</v>
      </c>
      <c r="O4982" s="42" t="n">
        <f aca="false">I4982+J4982+L4982</f>
        <v>150.9419</v>
      </c>
    </row>
    <row r="4983" customFormat="false" ht="15" hidden="false" customHeight="false" outlineLevel="0" collapsed="false">
      <c r="B4983" s="7" t="s">
        <v>13616</v>
      </c>
      <c r="C4983" s="39" t="n">
        <v>45966</v>
      </c>
      <c r="D4983" s="7" t="s">
        <v>244</v>
      </c>
      <c r="E4983" s="7" t="s">
        <v>180</v>
      </c>
      <c r="F4983" s="6" t="n">
        <v>7.92</v>
      </c>
      <c r="G4983" s="6" t="n">
        <v>0</v>
      </c>
      <c r="H4983" s="41" t="n">
        <v>16.39</v>
      </c>
      <c r="I4983" s="43" t="n">
        <f aca="false">F4983*H4983</f>
        <v>129.8088</v>
      </c>
      <c r="J4983" s="43" t="n">
        <f aca="false">G4983*H4983*1.5</f>
        <v>0</v>
      </c>
      <c r="K4983" s="6" t="n">
        <v>25.2</v>
      </c>
      <c r="L4983" s="43" t="n">
        <f aca="false">K4983*'Chart of Accounts'!$E$68</f>
        <v>16.884</v>
      </c>
      <c r="O4983" s="42" t="n">
        <f aca="false">I4983+J4983+L4983</f>
        <v>146.6928</v>
      </c>
    </row>
    <row r="4984" customFormat="false" ht="15" hidden="false" customHeight="false" outlineLevel="0" collapsed="false">
      <c r="B4984" s="7" t="s">
        <v>13617</v>
      </c>
      <c r="C4984" s="39" t="n">
        <v>45966</v>
      </c>
      <c r="D4984" s="7" t="s">
        <v>254</v>
      </c>
      <c r="E4984" s="7" t="s">
        <v>180</v>
      </c>
      <c r="F4984" s="6" t="n">
        <v>7.54</v>
      </c>
      <c r="G4984" s="6" t="n">
        <v>0</v>
      </c>
      <c r="H4984" s="41" t="n">
        <v>17.1</v>
      </c>
      <c r="I4984" s="43" t="n">
        <f aca="false">F4984*H4984</f>
        <v>128.934</v>
      </c>
      <c r="J4984" s="43" t="n">
        <f aca="false">G4984*H4984*1.5</f>
        <v>0</v>
      </c>
      <c r="K4984" s="6" t="n">
        <v>27.11</v>
      </c>
      <c r="L4984" s="43" t="n">
        <f aca="false">K4984*'Chart of Accounts'!$E$68</f>
        <v>18.1637</v>
      </c>
      <c r="O4984" s="42" t="n">
        <f aca="false">I4984+J4984+L4984</f>
        <v>147.0977</v>
      </c>
    </row>
    <row r="4985" customFormat="false" ht="15" hidden="false" customHeight="false" outlineLevel="0" collapsed="false">
      <c r="B4985" s="7" t="s">
        <v>13618</v>
      </c>
      <c r="C4985" s="39" t="n">
        <v>45966</v>
      </c>
      <c r="D4985" s="7" t="s">
        <v>201</v>
      </c>
      <c r="E4985" s="7" t="s">
        <v>180</v>
      </c>
      <c r="F4985" s="6" t="n">
        <v>6.9</v>
      </c>
      <c r="G4985" s="6" t="n">
        <v>0</v>
      </c>
      <c r="H4985" s="41" t="n">
        <v>15.19</v>
      </c>
      <c r="I4985" s="43" t="n">
        <f aca="false">F4985*H4985</f>
        <v>104.811</v>
      </c>
      <c r="J4985" s="43" t="n">
        <f aca="false">G4985*H4985*1.5</f>
        <v>0</v>
      </c>
      <c r="K4985" s="6" t="n">
        <v>23.06</v>
      </c>
      <c r="L4985" s="43" t="n">
        <f aca="false">K4985*'Chart of Accounts'!$E$68</f>
        <v>15.4502</v>
      </c>
      <c r="O4985" s="42" t="n">
        <f aca="false">I4985+J4985+L4985</f>
        <v>120.2612</v>
      </c>
    </row>
    <row r="4986" customFormat="false" ht="15" hidden="false" customHeight="false" outlineLevel="0" collapsed="false">
      <c r="B4986" s="7" t="s">
        <v>13619</v>
      </c>
      <c r="C4986" s="39" t="n">
        <v>45966</v>
      </c>
      <c r="D4986" s="7" t="s">
        <v>232</v>
      </c>
      <c r="E4986" s="7" t="s">
        <v>180</v>
      </c>
      <c r="F4986" s="6" t="n">
        <v>4.26</v>
      </c>
      <c r="G4986" s="6" t="n">
        <v>0</v>
      </c>
      <c r="H4986" s="41" t="n">
        <v>16.17</v>
      </c>
      <c r="I4986" s="43" t="n">
        <f aca="false">F4986*H4986</f>
        <v>68.8842</v>
      </c>
      <c r="J4986" s="43" t="n">
        <f aca="false">G4986*H4986*1.5</f>
        <v>0</v>
      </c>
      <c r="K4986" s="6" t="n">
        <v>14.42</v>
      </c>
      <c r="L4986" s="43" t="n">
        <f aca="false">K4986*'Chart of Accounts'!$E$68</f>
        <v>9.6614</v>
      </c>
      <c r="O4986" s="42" t="n">
        <f aca="false">I4986+J4986+L4986</f>
        <v>78.5456</v>
      </c>
    </row>
    <row r="4987" customFormat="false" ht="15" hidden="false" customHeight="false" outlineLevel="0" collapsed="false">
      <c r="B4987" s="7" t="s">
        <v>13620</v>
      </c>
      <c r="C4987" s="39" t="n">
        <v>45966</v>
      </c>
      <c r="D4987" s="7" t="s">
        <v>224</v>
      </c>
      <c r="E4987" s="7" t="s">
        <v>180</v>
      </c>
      <c r="F4987" s="6" t="n">
        <v>5.09</v>
      </c>
      <c r="G4987" s="6" t="n">
        <v>0</v>
      </c>
      <c r="H4987" s="41" t="n">
        <v>14.93</v>
      </c>
      <c r="I4987" s="43" t="n">
        <f aca="false">F4987*H4987</f>
        <v>75.9937</v>
      </c>
      <c r="J4987" s="43" t="n">
        <f aca="false">G4987*H4987*1.5</f>
        <v>0</v>
      </c>
      <c r="K4987" s="6" t="n">
        <v>17.48</v>
      </c>
      <c r="L4987" s="43" t="n">
        <f aca="false">K4987*'Chart of Accounts'!$E$68</f>
        <v>11.7116</v>
      </c>
      <c r="O4987" s="42" t="n">
        <f aca="false">I4987+J4987+L4987</f>
        <v>87.7053</v>
      </c>
    </row>
    <row r="4988" customFormat="false" ht="15" hidden="false" customHeight="false" outlineLevel="0" collapsed="false">
      <c r="B4988" s="7" t="s">
        <v>13621</v>
      </c>
      <c r="C4988" s="39" t="n">
        <v>45966</v>
      </c>
      <c r="D4988" s="7" t="s">
        <v>196</v>
      </c>
      <c r="E4988" s="7" t="s">
        <v>180</v>
      </c>
      <c r="F4988" s="6" t="n">
        <v>3.743</v>
      </c>
      <c r="G4988" s="6" t="n">
        <v>0.317</v>
      </c>
      <c r="H4988" s="41" t="n">
        <v>15.05</v>
      </c>
      <c r="I4988" s="43" t="n">
        <f aca="false">F4988*H4988</f>
        <v>56.33215</v>
      </c>
      <c r="J4988" s="43" t="n">
        <f aca="false">G4988*H4988*1.5</f>
        <v>7.156275</v>
      </c>
      <c r="K4988" s="6" t="n">
        <v>12.93</v>
      </c>
      <c r="L4988" s="43" t="n">
        <f aca="false">K4988*'Chart of Accounts'!$E$68</f>
        <v>8.6631</v>
      </c>
      <c r="O4988" s="42" t="n">
        <f aca="false">I4988+J4988+L4988</f>
        <v>72.151525</v>
      </c>
    </row>
    <row r="4989" customFormat="false" ht="15" hidden="false" customHeight="false" outlineLevel="0" collapsed="false">
      <c r="B4989" s="7" t="s">
        <v>13622</v>
      </c>
      <c r="C4989" s="39" t="n">
        <v>45966</v>
      </c>
      <c r="D4989" s="7" t="s">
        <v>246</v>
      </c>
      <c r="E4989" s="7" t="s">
        <v>180</v>
      </c>
      <c r="F4989" s="6" t="n">
        <v>3.84</v>
      </c>
      <c r="G4989" s="6" t="n">
        <v>0</v>
      </c>
      <c r="H4989" s="41" t="n">
        <v>16.48</v>
      </c>
      <c r="I4989" s="43" t="n">
        <f aca="false">F4989*H4989</f>
        <v>63.2832</v>
      </c>
      <c r="J4989" s="43" t="n">
        <f aca="false">G4989*H4989*1.5</f>
        <v>0</v>
      </c>
      <c r="K4989" s="6" t="n">
        <v>11.85</v>
      </c>
      <c r="L4989" s="43" t="n">
        <f aca="false">K4989*'Chart of Accounts'!$E$68</f>
        <v>7.9395</v>
      </c>
      <c r="O4989" s="42" t="n">
        <f aca="false">I4989+J4989+L4989</f>
        <v>71.2227</v>
      </c>
    </row>
    <row r="4990" customFormat="false" ht="15" hidden="false" customHeight="false" outlineLevel="0" collapsed="false">
      <c r="B4990" s="7" t="s">
        <v>13623</v>
      </c>
      <c r="C4990" s="39" t="n">
        <v>45966</v>
      </c>
      <c r="D4990" s="7" t="s">
        <v>222</v>
      </c>
      <c r="E4990" s="7" t="s">
        <v>180</v>
      </c>
      <c r="F4990" s="6" t="n">
        <v>3.826</v>
      </c>
      <c r="G4990" s="6" t="n">
        <v>0.024</v>
      </c>
      <c r="H4990" s="41" t="n">
        <v>17.84</v>
      </c>
      <c r="I4990" s="43" t="n">
        <f aca="false">F4990*H4990</f>
        <v>68.25584</v>
      </c>
      <c r="J4990" s="43" t="n">
        <f aca="false">G4990*H4990*1.5</f>
        <v>0.64224</v>
      </c>
      <c r="K4990" s="6" t="n">
        <v>11.55</v>
      </c>
      <c r="L4990" s="43" t="n">
        <f aca="false">K4990*'Chart of Accounts'!$E$68</f>
        <v>7.7385</v>
      </c>
      <c r="O4990" s="42" t="n">
        <f aca="false">I4990+J4990+L4990</f>
        <v>76.63658</v>
      </c>
    </row>
    <row r="4991" customFormat="false" ht="15" hidden="false" customHeight="false" outlineLevel="0" collapsed="false">
      <c r="B4991" s="7" t="s">
        <v>13624</v>
      </c>
      <c r="C4991" s="39" t="n">
        <v>45966</v>
      </c>
      <c r="D4991" s="7" t="s">
        <v>203</v>
      </c>
      <c r="E4991" s="7" t="s">
        <v>158</v>
      </c>
      <c r="H4991" s="41" t="n">
        <v>49.43</v>
      </c>
      <c r="M4991" s="6" t="n">
        <v>1</v>
      </c>
      <c r="N4991" s="43" t="n">
        <f aca="false">M4991*H4991</f>
        <v>49.43</v>
      </c>
      <c r="O4991" s="42" t="n">
        <f aca="false">N4991</f>
        <v>49.43</v>
      </c>
    </row>
    <row r="4992" customFormat="false" ht="15" hidden="false" customHeight="false" outlineLevel="0" collapsed="false">
      <c r="B4992" s="7" t="s">
        <v>13625</v>
      </c>
      <c r="C4992" s="39" t="n">
        <v>45966</v>
      </c>
      <c r="D4992" s="7" t="s">
        <v>250</v>
      </c>
      <c r="E4992" s="7" t="s">
        <v>180</v>
      </c>
      <c r="F4992" s="6" t="n">
        <v>3.63</v>
      </c>
      <c r="G4992" s="6" t="n">
        <v>0</v>
      </c>
      <c r="H4992" s="41" t="n">
        <v>16.88</v>
      </c>
      <c r="I4992" s="43" t="n">
        <f aca="false">F4992*H4992</f>
        <v>61.2744</v>
      </c>
      <c r="J4992" s="43" t="n">
        <f aca="false">G4992*H4992*1.5</f>
        <v>0</v>
      </c>
      <c r="K4992" s="6" t="n">
        <v>10.04</v>
      </c>
      <c r="L4992" s="43" t="n">
        <f aca="false">K4992*'Chart of Accounts'!$E$68</f>
        <v>6.7268</v>
      </c>
      <c r="O4992" s="42" t="n">
        <f aca="false">I4992+J4992+L4992</f>
        <v>68.0012</v>
      </c>
    </row>
    <row r="4993" customFormat="false" ht="15" hidden="false" customHeight="false" outlineLevel="0" collapsed="false">
      <c r="B4993" s="7" t="s">
        <v>13626</v>
      </c>
      <c r="C4993" s="39" t="n">
        <v>45966</v>
      </c>
      <c r="D4993" s="7" t="s">
        <v>184</v>
      </c>
      <c r="E4993" s="7" t="s">
        <v>180</v>
      </c>
      <c r="F4993" s="6" t="n">
        <v>3.66</v>
      </c>
      <c r="G4993" s="6" t="n">
        <v>0</v>
      </c>
      <c r="H4993" s="41" t="n">
        <v>17.34</v>
      </c>
      <c r="I4993" s="43" t="n">
        <f aca="false">F4993*H4993</f>
        <v>63.4644</v>
      </c>
      <c r="J4993" s="43" t="n">
        <f aca="false">G4993*H4993*1.5</f>
        <v>0</v>
      </c>
      <c r="K4993" s="6" t="n">
        <v>10.86</v>
      </c>
      <c r="L4993" s="43" t="n">
        <f aca="false">K4993*'Chart of Accounts'!$E$68</f>
        <v>7.2762</v>
      </c>
      <c r="O4993" s="42" t="n">
        <f aca="false">I4993+J4993+L4993</f>
        <v>70.7406</v>
      </c>
    </row>
    <row r="4994" customFormat="false" ht="15" hidden="false" customHeight="false" outlineLevel="0" collapsed="false">
      <c r="B4994" s="7" t="s">
        <v>13627</v>
      </c>
      <c r="C4994" s="39" t="n">
        <v>45967</v>
      </c>
      <c r="D4994" s="7" t="s">
        <v>196</v>
      </c>
      <c r="E4994" s="7" t="s">
        <v>180</v>
      </c>
      <c r="F4994" s="6" t="n">
        <v>12.399</v>
      </c>
      <c r="G4994" s="6" t="n">
        <v>1.051</v>
      </c>
      <c r="H4994" s="41" t="n">
        <v>15.05</v>
      </c>
      <c r="I4994" s="43" t="n">
        <f aca="false">F4994*H4994</f>
        <v>186.60495</v>
      </c>
      <c r="J4994" s="43" t="n">
        <f aca="false">G4994*H4994*1.5</f>
        <v>23.726325</v>
      </c>
      <c r="K4994" s="6" t="n">
        <v>47.8</v>
      </c>
      <c r="L4994" s="43" t="n">
        <f aca="false">K4994*'Chart of Accounts'!$E$68</f>
        <v>32.026</v>
      </c>
      <c r="O4994" s="42" t="n">
        <f aca="false">I4994+J4994+L4994</f>
        <v>242.357275</v>
      </c>
    </row>
    <row r="4995" customFormat="false" ht="15" hidden="false" customHeight="false" outlineLevel="0" collapsed="false">
      <c r="B4995" s="7" t="s">
        <v>13628</v>
      </c>
      <c r="C4995" s="39" t="n">
        <v>45967</v>
      </c>
      <c r="D4995" s="7" t="s">
        <v>201</v>
      </c>
      <c r="E4995" s="7" t="s">
        <v>180</v>
      </c>
      <c r="F4995" s="6" t="n">
        <v>6.01</v>
      </c>
      <c r="G4995" s="6" t="n">
        <v>0</v>
      </c>
      <c r="H4995" s="41" t="n">
        <v>15.19</v>
      </c>
      <c r="I4995" s="43" t="n">
        <f aca="false">F4995*H4995</f>
        <v>91.2919</v>
      </c>
      <c r="J4995" s="43" t="n">
        <f aca="false">G4995*H4995*1.5</f>
        <v>0</v>
      </c>
      <c r="K4995" s="6" t="n">
        <v>16.25</v>
      </c>
      <c r="L4995" s="43" t="n">
        <f aca="false">K4995*'Chart of Accounts'!$E$68</f>
        <v>10.8875</v>
      </c>
      <c r="O4995" s="42" t="n">
        <f aca="false">I4995+J4995+L4995</f>
        <v>102.1794</v>
      </c>
    </row>
    <row r="4996" customFormat="false" ht="15" hidden="false" customHeight="false" outlineLevel="0" collapsed="false">
      <c r="B4996" s="7" t="s">
        <v>13629</v>
      </c>
      <c r="C4996" s="39" t="n">
        <v>45967</v>
      </c>
      <c r="D4996" s="7" t="s">
        <v>205</v>
      </c>
      <c r="E4996" s="7" t="s">
        <v>180</v>
      </c>
      <c r="F4996" s="6" t="n">
        <v>6.78</v>
      </c>
      <c r="G4996" s="6" t="n">
        <v>0</v>
      </c>
      <c r="H4996" s="41" t="n">
        <v>16.36</v>
      </c>
      <c r="I4996" s="43" t="n">
        <f aca="false">F4996*H4996</f>
        <v>110.9208</v>
      </c>
      <c r="J4996" s="43" t="n">
        <f aca="false">G4996*H4996*1.5</f>
        <v>0</v>
      </c>
      <c r="K4996" s="6" t="n">
        <v>18.18</v>
      </c>
      <c r="L4996" s="43" t="n">
        <f aca="false">K4996*'Chart of Accounts'!$E$68</f>
        <v>12.1806</v>
      </c>
      <c r="O4996" s="42" t="n">
        <f aca="false">I4996+J4996+L4996</f>
        <v>123.1014</v>
      </c>
    </row>
    <row r="4997" customFormat="false" ht="15" hidden="false" customHeight="false" outlineLevel="0" collapsed="false">
      <c r="B4997" s="7" t="s">
        <v>13630</v>
      </c>
      <c r="C4997" s="39" t="n">
        <v>45967</v>
      </c>
      <c r="D4997" s="7" t="s">
        <v>184</v>
      </c>
      <c r="E4997" s="7" t="s">
        <v>180</v>
      </c>
      <c r="F4997" s="6" t="n">
        <v>4.4</v>
      </c>
      <c r="G4997" s="6" t="n">
        <v>0</v>
      </c>
      <c r="H4997" s="41" t="n">
        <v>17.34</v>
      </c>
      <c r="I4997" s="43" t="n">
        <f aca="false">F4997*H4997</f>
        <v>76.296</v>
      </c>
      <c r="J4997" s="43" t="n">
        <f aca="false">G4997*H4997*1.5</f>
        <v>0</v>
      </c>
      <c r="K4997" s="6" t="n">
        <v>10.23</v>
      </c>
      <c r="L4997" s="43" t="n">
        <f aca="false">K4997*'Chart of Accounts'!$E$68</f>
        <v>6.8541</v>
      </c>
      <c r="O4997" s="42" t="n">
        <f aca="false">I4997+J4997+L4997</f>
        <v>83.1501</v>
      </c>
    </row>
    <row r="4998" customFormat="false" ht="15" hidden="false" customHeight="false" outlineLevel="0" collapsed="false">
      <c r="B4998" s="7" t="s">
        <v>13631</v>
      </c>
      <c r="C4998" s="39" t="n">
        <v>45967</v>
      </c>
      <c r="D4998" s="7" t="s">
        <v>220</v>
      </c>
      <c r="E4998" s="7" t="s">
        <v>180</v>
      </c>
      <c r="F4998" s="6" t="n">
        <v>6.95</v>
      </c>
      <c r="G4998" s="6" t="n">
        <v>0</v>
      </c>
      <c r="H4998" s="41" t="n">
        <v>16.43</v>
      </c>
      <c r="I4998" s="43" t="n">
        <f aca="false">F4998*H4998</f>
        <v>114.1885</v>
      </c>
      <c r="J4998" s="43" t="n">
        <f aca="false">G4998*H4998*1.5</f>
        <v>0</v>
      </c>
      <c r="K4998" s="6" t="n">
        <v>16.66</v>
      </c>
      <c r="L4998" s="43" t="n">
        <f aca="false">K4998*'Chart of Accounts'!$E$68</f>
        <v>11.1622</v>
      </c>
      <c r="O4998" s="42" t="n">
        <f aca="false">I4998+J4998+L4998</f>
        <v>125.3507</v>
      </c>
    </row>
    <row r="4999" customFormat="false" ht="15" hidden="false" customHeight="false" outlineLevel="0" collapsed="false">
      <c r="B4999" s="7" t="s">
        <v>13632</v>
      </c>
      <c r="C4999" s="39" t="n">
        <v>45967</v>
      </c>
      <c r="D4999" s="7" t="s">
        <v>218</v>
      </c>
      <c r="E4999" s="7" t="s">
        <v>180</v>
      </c>
      <c r="F4999" s="6" t="n">
        <v>3.6</v>
      </c>
      <c r="G4999" s="6" t="n">
        <v>0</v>
      </c>
      <c r="H4999" s="41" t="n">
        <v>16.19</v>
      </c>
      <c r="I4999" s="43" t="n">
        <f aca="false">F4999*H4999</f>
        <v>58.284</v>
      </c>
      <c r="J4999" s="43" t="n">
        <f aca="false">G4999*H4999*1.5</f>
        <v>0</v>
      </c>
      <c r="K4999" s="6" t="n">
        <v>8.17</v>
      </c>
      <c r="L4999" s="43" t="n">
        <f aca="false">K4999*'Chart of Accounts'!$E$68</f>
        <v>5.4739</v>
      </c>
      <c r="O4999" s="42" t="n">
        <f aca="false">I4999+J4999+L4999</f>
        <v>63.7579</v>
      </c>
    </row>
    <row r="5000" customFormat="false" ht="15" hidden="false" customHeight="false" outlineLevel="0" collapsed="false">
      <c r="B5000" s="7" t="s">
        <v>13633</v>
      </c>
      <c r="C5000" s="39" t="n">
        <v>45967</v>
      </c>
      <c r="D5000" s="7" t="s">
        <v>238</v>
      </c>
      <c r="E5000" s="7" t="s">
        <v>180</v>
      </c>
      <c r="F5000" s="6" t="n">
        <v>2.8</v>
      </c>
      <c r="G5000" s="6" t="n">
        <v>0</v>
      </c>
      <c r="H5000" s="41" t="n">
        <v>15.85</v>
      </c>
      <c r="I5000" s="43" t="n">
        <f aca="false">F5000*H5000</f>
        <v>44.38</v>
      </c>
      <c r="J5000" s="43" t="n">
        <f aca="false">G5000*H5000*1.5</f>
        <v>0</v>
      </c>
      <c r="K5000" s="6" t="n">
        <v>7.01</v>
      </c>
      <c r="L5000" s="43" t="n">
        <f aca="false">K5000*'Chart of Accounts'!$E$68</f>
        <v>4.6967</v>
      </c>
      <c r="O5000" s="42" t="n">
        <f aca="false">I5000+J5000+L5000</f>
        <v>49.0767</v>
      </c>
    </row>
    <row r="5001" customFormat="false" ht="15" hidden="false" customHeight="false" outlineLevel="0" collapsed="false">
      <c r="B5001" s="7" t="s">
        <v>13634</v>
      </c>
      <c r="C5001" s="39" t="n">
        <v>45967</v>
      </c>
      <c r="D5001" s="7" t="s">
        <v>224</v>
      </c>
      <c r="E5001" s="7" t="s">
        <v>180</v>
      </c>
      <c r="F5001" s="6" t="n">
        <v>4.17</v>
      </c>
      <c r="G5001" s="6" t="n">
        <v>0</v>
      </c>
      <c r="H5001" s="41" t="n">
        <v>14.93</v>
      </c>
      <c r="I5001" s="43" t="n">
        <f aca="false">F5001*H5001</f>
        <v>62.2581</v>
      </c>
      <c r="J5001" s="43" t="n">
        <f aca="false">G5001*H5001*1.5</f>
        <v>0</v>
      </c>
      <c r="K5001" s="6" t="n">
        <v>11.64</v>
      </c>
      <c r="L5001" s="43" t="n">
        <f aca="false">K5001*'Chart of Accounts'!$E$68</f>
        <v>7.7988</v>
      </c>
      <c r="O5001" s="42" t="n">
        <f aca="false">I5001+J5001+L5001</f>
        <v>70.0569</v>
      </c>
    </row>
    <row r="5002" customFormat="false" ht="15" hidden="false" customHeight="false" outlineLevel="0" collapsed="false">
      <c r="B5002" s="7" t="s">
        <v>13635</v>
      </c>
      <c r="C5002" s="39" t="n">
        <v>45967</v>
      </c>
      <c r="D5002" s="7" t="s">
        <v>222</v>
      </c>
      <c r="E5002" s="7" t="s">
        <v>180</v>
      </c>
      <c r="F5002" s="6" t="n">
        <v>6.807</v>
      </c>
      <c r="G5002" s="6" t="n">
        <v>0.043</v>
      </c>
      <c r="H5002" s="41" t="n">
        <v>17.84</v>
      </c>
      <c r="I5002" s="43" t="n">
        <f aca="false">F5002*H5002</f>
        <v>121.43688</v>
      </c>
      <c r="J5002" s="43" t="n">
        <f aca="false">G5002*H5002*1.5</f>
        <v>1.15068</v>
      </c>
      <c r="K5002" s="6" t="n">
        <v>20.05</v>
      </c>
      <c r="L5002" s="43" t="n">
        <f aca="false">K5002*'Chart of Accounts'!$E$68</f>
        <v>13.4335</v>
      </c>
      <c r="O5002" s="42" t="n">
        <f aca="false">I5002+J5002+L5002</f>
        <v>136.02106</v>
      </c>
    </row>
    <row r="5003" customFormat="false" ht="15" hidden="false" customHeight="false" outlineLevel="0" collapsed="false">
      <c r="B5003" s="7" t="s">
        <v>13636</v>
      </c>
      <c r="C5003" s="39" t="n">
        <v>45967</v>
      </c>
      <c r="D5003" s="7" t="s">
        <v>244</v>
      </c>
      <c r="E5003" s="7" t="s">
        <v>180</v>
      </c>
      <c r="F5003" s="6" t="n">
        <v>4.34</v>
      </c>
      <c r="G5003" s="6" t="n">
        <v>0</v>
      </c>
      <c r="H5003" s="41" t="n">
        <v>16.39</v>
      </c>
      <c r="I5003" s="43" t="n">
        <f aca="false">F5003*H5003</f>
        <v>71.1326</v>
      </c>
      <c r="J5003" s="43" t="n">
        <f aca="false">G5003*H5003*1.5</f>
        <v>0</v>
      </c>
      <c r="K5003" s="6" t="n">
        <v>12.01</v>
      </c>
      <c r="L5003" s="43" t="n">
        <f aca="false">K5003*'Chart of Accounts'!$E$68</f>
        <v>8.0467</v>
      </c>
      <c r="O5003" s="42" t="n">
        <f aca="false">I5003+J5003+L5003</f>
        <v>79.1793</v>
      </c>
    </row>
    <row r="5004" customFormat="false" ht="15" hidden="false" customHeight="false" outlineLevel="0" collapsed="false">
      <c r="B5004" s="7" t="s">
        <v>13637</v>
      </c>
      <c r="C5004" s="39" t="n">
        <v>45967</v>
      </c>
      <c r="D5004" s="7" t="s">
        <v>250</v>
      </c>
      <c r="E5004" s="7" t="s">
        <v>180</v>
      </c>
      <c r="F5004" s="6" t="n">
        <v>3.97</v>
      </c>
      <c r="G5004" s="6" t="n">
        <v>0</v>
      </c>
      <c r="H5004" s="41" t="n">
        <v>16.88</v>
      </c>
      <c r="I5004" s="43" t="n">
        <f aca="false">F5004*H5004</f>
        <v>67.0136</v>
      </c>
      <c r="J5004" s="43" t="n">
        <f aca="false">G5004*H5004*1.5</f>
        <v>0</v>
      </c>
      <c r="K5004" s="6" t="n">
        <v>10.26</v>
      </c>
      <c r="L5004" s="43" t="n">
        <f aca="false">K5004*'Chart of Accounts'!$E$68</f>
        <v>6.8742</v>
      </c>
      <c r="O5004" s="42" t="n">
        <f aca="false">I5004+J5004+L5004</f>
        <v>73.8878</v>
      </c>
    </row>
    <row r="5005" customFormat="false" ht="15" hidden="false" customHeight="false" outlineLevel="0" collapsed="false">
      <c r="B5005" s="7" t="s">
        <v>13638</v>
      </c>
      <c r="C5005" s="39" t="n">
        <v>45967</v>
      </c>
      <c r="D5005" s="7" t="s">
        <v>246</v>
      </c>
      <c r="E5005" s="7" t="s">
        <v>180</v>
      </c>
      <c r="F5005" s="6" t="n">
        <v>7.75</v>
      </c>
      <c r="G5005" s="6" t="n">
        <v>0</v>
      </c>
      <c r="H5005" s="41" t="n">
        <v>16.48</v>
      </c>
      <c r="I5005" s="43" t="n">
        <f aca="false">F5005*H5005</f>
        <v>127.72</v>
      </c>
      <c r="J5005" s="43" t="n">
        <f aca="false">G5005*H5005*1.5</f>
        <v>0</v>
      </c>
      <c r="K5005" s="6" t="n">
        <v>18.17</v>
      </c>
      <c r="L5005" s="43" t="n">
        <f aca="false">K5005*'Chart of Accounts'!$E$68</f>
        <v>12.1739</v>
      </c>
      <c r="O5005" s="42" t="n">
        <f aca="false">I5005+J5005+L5005</f>
        <v>139.8939</v>
      </c>
    </row>
    <row r="5006" customFormat="false" ht="15" hidden="false" customHeight="false" outlineLevel="0" collapsed="false">
      <c r="B5006" s="7" t="s">
        <v>13639</v>
      </c>
      <c r="C5006" s="39" t="n">
        <v>45967</v>
      </c>
      <c r="D5006" s="7" t="s">
        <v>194</v>
      </c>
      <c r="E5006" s="7" t="s">
        <v>180</v>
      </c>
      <c r="F5006" s="6" t="n">
        <v>4.1</v>
      </c>
      <c r="G5006" s="6" t="n">
        <v>0</v>
      </c>
      <c r="H5006" s="41" t="n">
        <v>16</v>
      </c>
      <c r="I5006" s="43" t="n">
        <f aca="false">F5006*H5006</f>
        <v>65.6</v>
      </c>
      <c r="J5006" s="43" t="n">
        <f aca="false">G5006*H5006*1.5</f>
        <v>0</v>
      </c>
      <c r="K5006" s="6" t="n">
        <v>12.98</v>
      </c>
      <c r="L5006" s="43" t="n">
        <f aca="false">K5006*'Chart of Accounts'!$E$68</f>
        <v>8.6966</v>
      </c>
      <c r="O5006" s="42" t="n">
        <f aca="false">I5006+J5006+L5006</f>
        <v>74.2966</v>
      </c>
    </row>
    <row r="5007" customFormat="false" ht="15" hidden="false" customHeight="false" outlineLevel="0" collapsed="false">
      <c r="B5007" s="7" t="s">
        <v>13640</v>
      </c>
      <c r="C5007" s="39" t="n">
        <v>45967</v>
      </c>
      <c r="D5007" s="7" t="s">
        <v>214</v>
      </c>
      <c r="E5007" s="7" t="s">
        <v>180</v>
      </c>
      <c r="F5007" s="6" t="n">
        <v>3.71</v>
      </c>
      <c r="G5007" s="6" t="n">
        <v>0</v>
      </c>
      <c r="H5007" s="41" t="n">
        <v>15.67</v>
      </c>
      <c r="I5007" s="43" t="n">
        <f aca="false">F5007*H5007</f>
        <v>58.1357</v>
      </c>
      <c r="J5007" s="43" t="n">
        <f aca="false">G5007*H5007*1.5</f>
        <v>0</v>
      </c>
      <c r="K5007" s="6" t="n">
        <v>11.05</v>
      </c>
      <c r="L5007" s="43" t="n">
        <f aca="false">K5007*'Chart of Accounts'!$E$68</f>
        <v>7.4035</v>
      </c>
      <c r="O5007" s="42" t="n">
        <f aca="false">I5007+J5007+L5007</f>
        <v>65.5392</v>
      </c>
    </row>
    <row r="5008" customFormat="false" ht="15" hidden="false" customHeight="false" outlineLevel="0" collapsed="false">
      <c r="B5008" s="7" t="s">
        <v>13641</v>
      </c>
      <c r="C5008" s="39" t="n">
        <v>45967</v>
      </c>
      <c r="D5008" s="7" t="s">
        <v>242</v>
      </c>
      <c r="E5008" s="7" t="s">
        <v>180</v>
      </c>
      <c r="F5008" s="6" t="n">
        <v>4.149</v>
      </c>
      <c r="G5008" s="6" t="n">
        <v>0.221</v>
      </c>
      <c r="H5008" s="41" t="n">
        <v>17.99</v>
      </c>
      <c r="I5008" s="43" t="n">
        <f aca="false">F5008*H5008</f>
        <v>74.64051</v>
      </c>
      <c r="J5008" s="43" t="n">
        <f aca="false">G5008*H5008*1.5</f>
        <v>5.963685</v>
      </c>
      <c r="K5008" s="6" t="n">
        <v>9.7</v>
      </c>
      <c r="L5008" s="43" t="n">
        <f aca="false">K5008*'Chart of Accounts'!$E$68</f>
        <v>6.499</v>
      </c>
      <c r="O5008" s="42" t="n">
        <f aca="false">I5008+J5008+L5008</f>
        <v>87.103195</v>
      </c>
    </row>
    <row r="5009" customFormat="false" ht="15" hidden="false" customHeight="false" outlineLevel="0" collapsed="false">
      <c r="B5009" s="7" t="s">
        <v>13642</v>
      </c>
      <c r="C5009" s="39" t="n">
        <v>45967</v>
      </c>
      <c r="D5009" s="7" t="s">
        <v>254</v>
      </c>
      <c r="E5009" s="7" t="s">
        <v>180</v>
      </c>
      <c r="F5009" s="6" t="n">
        <v>4.07</v>
      </c>
      <c r="G5009" s="6" t="n">
        <v>0</v>
      </c>
      <c r="H5009" s="41" t="n">
        <v>17.1</v>
      </c>
      <c r="I5009" s="43" t="n">
        <f aca="false">F5009*H5009</f>
        <v>69.597</v>
      </c>
      <c r="J5009" s="43" t="n">
        <f aca="false">G5009*H5009*1.5</f>
        <v>0</v>
      </c>
      <c r="K5009" s="6" t="n">
        <v>10.41</v>
      </c>
      <c r="L5009" s="43" t="n">
        <f aca="false">K5009*'Chart of Accounts'!$E$68</f>
        <v>6.9747</v>
      </c>
      <c r="O5009" s="42" t="n">
        <f aca="false">I5009+J5009+L5009</f>
        <v>76.5717</v>
      </c>
    </row>
    <row r="5010" customFormat="false" ht="15" hidden="false" customHeight="false" outlineLevel="0" collapsed="false">
      <c r="B5010" s="7" t="s">
        <v>13643</v>
      </c>
      <c r="C5010" s="39" t="n">
        <v>45968</v>
      </c>
      <c r="D5010" s="7" t="s">
        <v>224</v>
      </c>
      <c r="E5010" s="7" t="s">
        <v>180</v>
      </c>
      <c r="F5010" s="6" t="n">
        <v>9.3</v>
      </c>
      <c r="G5010" s="6" t="n">
        <v>0</v>
      </c>
      <c r="H5010" s="41" t="n">
        <v>14.93</v>
      </c>
      <c r="I5010" s="43" t="n">
        <f aca="false">F5010*H5010</f>
        <v>138.849</v>
      </c>
      <c r="J5010" s="43" t="n">
        <f aca="false">G5010*H5010*1.5</f>
        <v>0</v>
      </c>
      <c r="K5010" s="6" t="n">
        <v>30.83</v>
      </c>
      <c r="L5010" s="43" t="n">
        <f aca="false">K5010*'Chart of Accounts'!$E$68</f>
        <v>20.6561</v>
      </c>
      <c r="O5010" s="42" t="n">
        <f aca="false">I5010+J5010+L5010</f>
        <v>159.5051</v>
      </c>
    </row>
    <row r="5011" customFormat="false" ht="15" hidden="false" customHeight="false" outlineLevel="0" collapsed="false">
      <c r="B5011" s="7" t="s">
        <v>13644</v>
      </c>
      <c r="C5011" s="39" t="n">
        <v>45968</v>
      </c>
      <c r="D5011" s="7" t="s">
        <v>194</v>
      </c>
      <c r="E5011" s="7" t="s">
        <v>180</v>
      </c>
      <c r="F5011" s="6" t="n">
        <v>8.75</v>
      </c>
      <c r="G5011" s="6" t="n">
        <v>0</v>
      </c>
      <c r="H5011" s="41" t="n">
        <v>16</v>
      </c>
      <c r="I5011" s="43" t="n">
        <f aca="false">F5011*H5011</f>
        <v>140</v>
      </c>
      <c r="J5011" s="43" t="n">
        <f aca="false">G5011*H5011*1.5</f>
        <v>0</v>
      </c>
      <c r="K5011" s="6" t="n">
        <v>24.24</v>
      </c>
      <c r="L5011" s="43" t="n">
        <f aca="false">K5011*'Chart of Accounts'!$E$68</f>
        <v>16.2408</v>
      </c>
      <c r="O5011" s="42" t="n">
        <f aca="false">I5011+J5011+L5011</f>
        <v>156.2408</v>
      </c>
    </row>
    <row r="5012" customFormat="false" ht="15" hidden="false" customHeight="false" outlineLevel="0" collapsed="false">
      <c r="B5012" s="7" t="s">
        <v>13645</v>
      </c>
      <c r="C5012" s="39" t="n">
        <v>45968</v>
      </c>
      <c r="D5012" s="7" t="s">
        <v>198</v>
      </c>
      <c r="E5012" s="7" t="s">
        <v>158</v>
      </c>
      <c r="H5012" s="41" t="n">
        <v>48.09</v>
      </c>
      <c r="M5012" s="6" t="n">
        <v>1</v>
      </c>
      <c r="N5012" s="43" t="n">
        <f aca="false">M5012*H5012</f>
        <v>48.09</v>
      </c>
      <c r="O5012" s="42" t="n">
        <f aca="false">N5012</f>
        <v>48.09</v>
      </c>
    </row>
    <row r="5013" customFormat="false" ht="15" hidden="false" customHeight="false" outlineLevel="0" collapsed="false">
      <c r="B5013" s="7" t="s">
        <v>13646</v>
      </c>
      <c r="C5013" s="39" t="n">
        <v>45968</v>
      </c>
      <c r="D5013" s="7" t="s">
        <v>214</v>
      </c>
      <c r="E5013" s="7" t="s">
        <v>180</v>
      </c>
      <c r="F5013" s="6" t="n">
        <v>7.05</v>
      </c>
      <c r="G5013" s="6" t="n">
        <v>0</v>
      </c>
      <c r="H5013" s="41" t="n">
        <v>15.67</v>
      </c>
      <c r="I5013" s="43" t="n">
        <f aca="false">F5013*H5013</f>
        <v>110.4735</v>
      </c>
      <c r="J5013" s="43" t="n">
        <f aca="false">G5013*H5013*1.5</f>
        <v>0</v>
      </c>
      <c r="K5013" s="6" t="n">
        <v>15.93</v>
      </c>
      <c r="L5013" s="43" t="n">
        <f aca="false">K5013*'Chart of Accounts'!$E$68</f>
        <v>10.6731</v>
      </c>
      <c r="O5013" s="42" t="n">
        <f aca="false">I5013+J5013+L5013</f>
        <v>121.1466</v>
      </c>
    </row>
    <row r="5014" customFormat="false" ht="15" hidden="false" customHeight="false" outlineLevel="0" collapsed="false">
      <c r="B5014" s="7" t="s">
        <v>13647</v>
      </c>
      <c r="C5014" s="39" t="n">
        <v>45968</v>
      </c>
      <c r="D5014" s="7" t="s">
        <v>209</v>
      </c>
      <c r="E5014" s="7" t="s">
        <v>158</v>
      </c>
      <c r="H5014" s="41" t="n">
        <v>73.58</v>
      </c>
      <c r="M5014" s="6" t="n">
        <v>2</v>
      </c>
      <c r="N5014" s="43" t="n">
        <f aca="false">M5014*H5014</f>
        <v>147.16</v>
      </c>
      <c r="O5014" s="42" t="n">
        <f aca="false">N5014</f>
        <v>147.16</v>
      </c>
    </row>
    <row r="5015" customFormat="false" ht="15" hidden="false" customHeight="false" outlineLevel="0" collapsed="false">
      <c r="B5015" s="7" t="s">
        <v>13648</v>
      </c>
      <c r="C5015" s="39" t="n">
        <v>45968</v>
      </c>
      <c r="D5015" s="7" t="s">
        <v>205</v>
      </c>
      <c r="E5015" s="7" t="s">
        <v>180</v>
      </c>
      <c r="F5015" s="6" t="n">
        <v>3.62</v>
      </c>
      <c r="G5015" s="6" t="n">
        <v>0</v>
      </c>
      <c r="H5015" s="41" t="n">
        <v>16.36</v>
      </c>
      <c r="I5015" s="43" t="n">
        <f aca="false">F5015*H5015</f>
        <v>59.2232</v>
      </c>
      <c r="J5015" s="43" t="n">
        <f aca="false">G5015*H5015*1.5</f>
        <v>0</v>
      </c>
      <c r="K5015" s="6" t="n">
        <v>10.71</v>
      </c>
      <c r="L5015" s="43" t="n">
        <f aca="false">K5015*'Chart of Accounts'!$E$68</f>
        <v>7.1757</v>
      </c>
      <c r="O5015" s="42" t="n">
        <f aca="false">I5015+J5015+L5015</f>
        <v>66.3989</v>
      </c>
    </row>
    <row r="5016" customFormat="false" ht="15" hidden="false" customHeight="false" outlineLevel="0" collapsed="false">
      <c r="B5016" s="7" t="s">
        <v>13649</v>
      </c>
      <c r="C5016" s="39" t="n">
        <v>45968</v>
      </c>
      <c r="D5016" s="7" t="s">
        <v>264</v>
      </c>
      <c r="E5016" s="7" t="s">
        <v>158</v>
      </c>
      <c r="H5016" s="41" t="n">
        <v>55.55</v>
      </c>
      <c r="M5016" s="6" t="n">
        <v>1</v>
      </c>
      <c r="N5016" s="43" t="n">
        <f aca="false">M5016*H5016</f>
        <v>55.55</v>
      </c>
      <c r="O5016" s="42" t="n">
        <f aca="false">N5016</f>
        <v>55.55</v>
      </c>
    </row>
    <row r="5017" customFormat="false" ht="15" hidden="false" customHeight="false" outlineLevel="0" collapsed="false">
      <c r="B5017" s="7" t="s">
        <v>13650</v>
      </c>
      <c r="C5017" s="39" t="n">
        <v>45968</v>
      </c>
      <c r="D5017" s="7" t="s">
        <v>252</v>
      </c>
      <c r="E5017" s="7" t="s">
        <v>158</v>
      </c>
      <c r="H5017" s="41" t="n">
        <v>57.54</v>
      </c>
      <c r="M5017" s="6" t="n">
        <v>1</v>
      </c>
      <c r="N5017" s="43" t="n">
        <f aca="false">M5017*H5017</f>
        <v>57.54</v>
      </c>
      <c r="O5017" s="42" t="n">
        <f aca="false">N5017</f>
        <v>57.54</v>
      </c>
    </row>
    <row r="5018" customFormat="false" ht="15" hidden="false" customHeight="false" outlineLevel="0" collapsed="false">
      <c r="B5018" s="7" t="s">
        <v>13651</v>
      </c>
      <c r="C5018" s="39" t="n">
        <v>45968</v>
      </c>
      <c r="D5018" s="7" t="s">
        <v>184</v>
      </c>
      <c r="E5018" s="7" t="s">
        <v>180</v>
      </c>
      <c r="F5018" s="6" t="n">
        <v>11.82</v>
      </c>
      <c r="G5018" s="6" t="n">
        <v>0</v>
      </c>
      <c r="H5018" s="41" t="n">
        <v>17.34</v>
      </c>
      <c r="I5018" s="43" t="n">
        <f aca="false">F5018*H5018</f>
        <v>204.9588</v>
      </c>
      <c r="J5018" s="43" t="n">
        <f aca="false">G5018*H5018*1.5</f>
        <v>0</v>
      </c>
      <c r="K5018" s="6" t="n">
        <v>27.25</v>
      </c>
      <c r="L5018" s="43" t="n">
        <f aca="false">K5018*'Chart of Accounts'!$E$68</f>
        <v>18.2575</v>
      </c>
      <c r="O5018" s="42" t="n">
        <f aca="false">I5018+J5018+L5018</f>
        <v>223.2163</v>
      </c>
    </row>
    <row r="5019" customFormat="false" ht="15" hidden="false" customHeight="false" outlineLevel="0" collapsed="false">
      <c r="B5019" s="7" t="s">
        <v>13652</v>
      </c>
      <c r="C5019" s="39" t="n">
        <v>45968</v>
      </c>
      <c r="D5019" s="7" t="s">
        <v>216</v>
      </c>
      <c r="E5019" s="7" t="s">
        <v>158</v>
      </c>
      <c r="H5019" s="41" t="n">
        <v>61.79</v>
      </c>
      <c r="M5019" s="6" t="n">
        <v>1</v>
      </c>
      <c r="N5019" s="43" t="n">
        <f aca="false">M5019*H5019</f>
        <v>61.79</v>
      </c>
      <c r="O5019" s="42" t="n">
        <f aca="false">N5019</f>
        <v>61.79</v>
      </c>
    </row>
    <row r="5020" customFormat="false" ht="15" hidden="false" customHeight="false" outlineLevel="0" collapsed="false">
      <c r="B5020" s="7" t="s">
        <v>13653</v>
      </c>
      <c r="C5020" s="39" t="n">
        <v>45968</v>
      </c>
      <c r="D5020" s="7" t="s">
        <v>234</v>
      </c>
      <c r="E5020" s="7" t="s">
        <v>158</v>
      </c>
      <c r="H5020" s="41" t="n">
        <v>89.53</v>
      </c>
      <c r="M5020" s="6" t="n">
        <v>3</v>
      </c>
      <c r="N5020" s="43" t="n">
        <f aca="false">M5020*H5020</f>
        <v>268.59</v>
      </c>
      <c r="O5020" s="42" t="n">
        <f aca="false">N5020</f>
        <v>268.59</v>
      </c>
    </row>
    <row r="5021" customFormat="false" ht="15" hidden="false" customHeight="false" outlineLevel="0" collapsed="false">
      <c r="B5021" s="7" t="s">
        <v>13654</v>
      </c>
      <c r="C5021" s="39" t="n">
        <v>45968</v>
      </c>
      <c r="D5021" s="7" t="s">
        <v>218</v>
      </c>
      <c r="E5021" s="7" t="s">
        <v>180</v>
      </c>
      <c r="F5021" s="6" t="n">
        <v>4.37</v>
      </c>
      <c r="G5021" s="6" t="n">
        <v>0</v>
      </c>
      <c r="H5021" s="41" t="n">
        <v>16.19</v>
      </c>
      <c r="I5021" s="43" t="n">
        <f aca="false">F5021*H5021</f>
        <v>70.7503</v>
      </c>
      <c r="J5021" s="43" t="n">
        <f aca="false">G5021*H5021*1.5</f>
        <v>0</v>
      </c>
      <c r="K5021" s="6" t="n">
        <v>13.35</v>
      </c>
      <c r="L5021" s="43" t="n">
        <f aca="false">K5021*'Chart of Accounts'!$E$68</f>
        <v>8.9445</v>
      </c>
      <c r="O5021" s="42" t="n">
        <f aca="false">I5021+J5021+L5021</f>
        <v>79.6948</v>
      </c>
    </row>
    <row r="5022" customFormat="false" ht="15" hidden="false" customHeight="false" outlineLevel="0" collapsed="false">
      <c r="B5022" s="7" t="s">
        <v>13655</v>
      </c>
      <c r="C5022" s="39" t="n">
        <v>45968</v>
      </c>
      <c r="D5022" s="7" t="s">
        <v>228</v>
      </c>
      <c r="E5022" s="7" t="s">
        <v>158</v>
      </c>
      <c r="H5022" s="41" t="n">
        <v>51.07</v>
      </c>
      <c r="M5022" s="6" t="n">
        <v>1</v>
      </c>
      <c r="N5022" s="43" t="n">
        <f aca="false">M5022*H5022</f>
        <v>51.07</v>
      </c>
      <c r="O5022" s="42" t="n">
        <f aca="false">N5022</f>
        <v>51.07</v>
      </c>
    </row>
    <row r="5023" customFormat="false" ht="15" hidden="false" customHeight="false" outlineLevel="0" collapsed="false">
      <c r="B5023" s="7" t="s">
        <v>13656</v>
      </c>
      <c r="C5023" s="39" t="n">
        <v>45968</v>
      </c>
      <c r="D5023" s="7" t="s">
        <v>220</v>
      </c>
      <c r="E5023" s="7" t="s">
        <v>180</v>
      </c>
      <c r="F5023" s="6" t="n">
        <v>3.63</v>
      </c>
      <c r="G5023" s="6" t="n">
        <v>0</v>
      </c>
      <c r="H5023" s="41" t="n">
        <v>16.43</v>
      </c>
      <c r="I5023" s="43" t="n">
        <f aca="false">F5023*H5023</f>
        <v>59.6409</v>
      </c>
      <c r="J5023" s="43" t="n">
        <f aca="false">G5023*H5023*1.5</f>
        <v>0</v>
      </c>
      <c r="K5023" s="6" t="n">
        <v>12.6</v>
      </c>
      <c r="L5023" s="43" t="n">
        <f aca="false">K5023*'Chart of Accounts'!$E$68</f>
        <v>8.442</v>
      </c>
      <c r="O5023" s="42" t="n">
        <f aca="false">I5023+J5023+L5023</f>
        <v>68.0829</v>
      </c>
    </row>
    <row r="5024" customFormat="false" ht="15" hidden="false" customHeight="false" outlineLevel="0" collapsed="false">
      <c r="B5024" s="7" t="s">
        <v>13657</v>
      </c>
      <c r="C5024" s="39" t="n">
        <v>45968</v>
      </c>
      <c r="D5024" s="7" t="s">
        <v>236</v>
      </c>
      <c r="E5024" s="7" t="s">
        <v>180</v>
      </c>
      <c r="F5024" s="6" t="n">
        <v>6.99</v>
      </c>
      <c r="G5024" s="6" t="n">
        <v>0</v>
      </c>
      <c r="H5024" s="41" t="n">
        <v>15.49</v>
      </c>
      <c r="I5024" s="43" t="n">
        <f aca="false">F5024*H5024</f>
        <v>108.2751</v>
      </c>
      <c r="J5024" s="43" t="n">
        <f aca="false">G5024*H5024*1.5</f>
        <v>0</v>
      </c>
      <c r="K5024" s="6" t="n">
        <v>17.89</v>
      </c>
      <c r="L5024" s="43" t="n">
        <f aca="false">K5024*'Chart of Accounts'!$E$68</f>
        <v>11.9863</v>
      </c>
      <c r="O5024" s="42" t="n">
        <f aca="false">I5024+J5024+L5024</f>
        <v>120.2614</v>
      </c>
    </row>
    <row r="5025" customFormat="false" ht="15" hidden="false" customHeight="false" outlineLevel="0" collapsed="false">
      <c r="B5025" s="7" t="s">
        <v>13658</v>
      </c>
      <c r="C5025" s="39" t="n">
        <v>45968</v>
      </c>
      <c r="D5025" s="7" t="s">
        <v>177</v>
      </c>
      <c r="E5025" s="7" t="s">
        <v>180</v>
      </c>
      <c r="F5025" s="6" t="n">
        <v>7.89</v>
      </c>
      <c r="G5025" s="6" t="n">
        <v>0</v>
      </c>
      <c r="H5025" s="41" t="n">
        <v>14.56</v>
      </c>
      <c r="I5025" s="43" t="n">
        <f aca="false">F5025*H5025</f>
        <v>114.8784</v>
      </c>
      <c r="J5025" s="43" t="n">
        <f aca="false">G5025*H5025*1.5</f>
        <v>0</v>
      </c>
      <c r="K5025" s="6" t="n">
        <v>26.24</v>
      </c>
      <c r="L5025" s="43" t="n">
        <f aca="false">K5025*'Chart of Accounts'!$E$68</f>
        <v>17.5808</v>
      </c>
      <c r="O5025" s="42" t="n">
        <f aca="false">I5025+J5025+L5025</f>
        <v>132.4592</v>
      </c>
    </row>
    <row r="5026" customFormat="false" ht="15" hidden="false" customHeight="false" outlineLevel="0" collapsed="false">
      <c r="B5026" s="7" t="s">
        <v>13659</v>
      </c>
      <c r="C5026" s="39" t="n">
        <v>45968</v>
      </c>
      <c r="D5026" s="7" t="s">
        <v>242</v>
      </c>
      <c r="E5026" s="7" t="s">
        <v>180</v>
      </c>
      <c r="F5026" s="6" t="n">
        <v>6.874</v>
      </c>
      <c r="G5026" s="6" t="n">
        <v>0.366</v>
      </c>
      <c r="H5026" s="41" t="n">
        <v>17.99</v>
      </c>
      <c r="I5026" s="43" t="n">
        <f aca="false">F5026*H5026</f>
        <v>123.66326</v>
      </c>
      <c r="J5026" s="43" t="n">
        <f aca="false">G5026*H5026*1.5</f>
        <v>9.87651</v>
      </c>
      <c r="K5026" s="6" t="n">
        <v>21.52</v>
      </c>
      <c r="L5026" s="43" t="n">
        <f aca="false">K5026*'Chart of Accounts'!$E$68</f>
        <v>14.4184</v>
      </c>
      <c r="O5026" s="42" t="n">
        <f aca="false">I5026+J5026+L5026</f>
        <v>147.95817</v>
      </c>
    </row>
    <row r="5027" customFormat="false" ht="15" hidden="false" customHeight="false" outlineLevel="0" collapsed="false">
      <c r="B5027" s="7" t="s">
        <v>13660</v>
      </c>
      <c r="C5027" s="39" t="n">
        <v>45968</v>
      </c>
      <c r="D5027" s="7" t="s">
        <v>238</v>
      </c>
      <c r="E5027" s="7" t="s">
        <v>180</v>
      </c>
      <c r="F5027" s="6" t="n">
        <v>9.27</v>
      </c>
      <c r="G5027" s="6" t="n">
        <v>0</v>
      </c>
      <c r="H5027" s="41" t="n">
        <v>15.85</v>
      </c>
      <c r="I5027" s="43" t="n">
        <f aca="false">F5027*H5027</f>
        <v>146.9295</v>
      </c>
      <c r="J5027" s="43" t="n">
        <f aca="false">G5027*H5027*1.5</f>
        <v>0</v>
      </c>
      <c r="K5027" s="6" t="n">
        <v>23.46</v>
      </c>
      <c r="L5027" s="43" t="n">
        <f aca="false">K5027*'Chart of Accounts'!$E$68</f>
        <v>15.7182</v>
      </c>
      <c r="O5027" s="42" t="n">
        <f aca="false">I5027+J5027+L5027</f>
        <v>162.6477</v>
      </c>
    </row>
    <row r="5028" customFormat="false" ht="15" hidden="false" customHeight="false" outlineLevel="0" collapsed="false">
      <c r="B5028" s="7" t="s">
        <v>13661</v>
      </c>
      <c r="C5028" s="39" t="n">
        <v>45968</v>
      </c>
      <c r="D5028" s="7" t="s">
        <v>244</v>
      </c>
      <c r="E5028" s="7" t="s">
        <v>180</v>
      </c>
      <c r="F5028" s="6" t="n">
        <v>4.29</v>
      </c>
      <c r="G5028" s="6" t="n">
        <v>0</v>
      </c>
      <c r="H5028" s="41" t="n">
        <v>16.39</v>
      </c>
      <c r="I5028" s="43" t="n">
        <f aca="false">F5028*H5028</f>
        <v>70.3131</v>
      </c>
      <c r="J5028" s="43" t="n">
        <f aca="false">G5028*H5028*1.5</f>
        <v>0</v>
      </c>
      <c r="K5028" s="6" t="n">
        <v>11.99</v>
      </c>
      <c r="L5028" s="43" t="n">
        <f aca="false">K5028*'Chart of Accounts'!$E$68</f>
        <v>8.0333</v>
      </c>
      <c r="O5028" s="42" t="n">
        <f aca="false">I5028+J5028+L5028</f>
        <v>78.3464</v>
      </c>
    </row>
    <row r="5029" customFormat="false" ht="15" hidden="false" customHeight="false" outlineLevel="0" collapsed="false">
      <c r="B5029" s="7" t="s">
        <v>13662</v>
      </c>
      <c r="C5029" s="39" t="n">
        <v>45968</v>
      </c>
      <c r="D5029" s="7" t="s">
        <v>254</v>
      </c>
      <c r="E5029" s="7" t="s">
        <v>180</v>
      </c>
      <c r="F5029" s="6" t="n">
        <v>7.02</v>
      </c>
      <c r="G5029" s="6" t="n">
        <v>0</v>
      </c>
      <c r="H5029" s="41" t="n">
        <v>17.1</v>
      </c>
      <c r="I5029" s="43" t="n">
        <f aca="false">F5029*H5029</f>
        <v>120.042</v>
      </c>
      <c r="J5029" s="43" t="n">
        <f aca="false">G5029*H5029*1.5</f>
        <v>0</v>
      </c>
      <c r="K5029" s="6" t="n">
        <v>18.64</v>
      </c>
      <c r="L5029" s="43" t="n">
        <f aca="false">K5029*'Chart of Accounts'!$E$68</f>
        <v>12.4888</v>
      </c>
      <c r="O5029" s="42" t="n">
        <f aca="false">I5029+J5029+L5029</f>
        <v>132.5308</v>
      </c>
    </row>
    <row r="5030" customFormat="false" ht="15" hidden="false" customHeight="false" outlineLevel="0" collapsed="false">
      <c r="B5030" s="7" t="s">
        <v>13663</v>
      </c>
      <c r="C5030" s="39" t="n">
        <v>45968</v>
      </c>
      <c r="D5030" s="7" t="s">
        <v>201</v>
      </c>
      <c r="E5030" s="7" t="s">
        <v>180</v>
      </c>
      <c r="F5030" s="6" t="n">
        <v>3.25</v>
      </c>
      <c r="G5030" s="6" t="n">
        <v>0</v>
      </c>
      <c r="H5030" s="41" t="n">
        <v>15.19</v>
      </c>
      <c r="I5030" s="43" t="n">
        <f aca="false">F5030*H5030</f>
        <v>49.3675</v>
      </c>
      <c r="J5030" s="43" t="n">
        <f aca="false">G5030*H5030*1.5</f>
        <v>0</v>
      </c>
      <c r="K5030" s="6" t="n">
        <v>8.43</v>
      </c>
      <c r="L5030" s="43" t="n">
        <f aca="false">K5030*'Chart of Accounts'!$E$68</f>
        <v>5.6481</v>
      </c>
      <c r="O5030" s="42" t="n">
        <f aca="false">I5030+J5030+L5030</f>
        <v>55.0156</v>
      </c>
    </row>
    <row r="5031" customFormat="false" ht="15" hidden="false" customHeight="false" outlineLevel="0" collapsed="false">
      <c r="B5031" s="7" t="s">
        <v>13664</v>
      </c>
      <c r="C5031" s="39" t="n">
        <v>45968</v>
      </c>
      <c r="D5031" s="7" t="s">
        <v>232</v>
      </c>
      <c r="E5031" s="7" t="s">
        <v>180</v>
      </c>
      <c r="F5031" s="6" t="n">
        <v>8.57</v>
      </c>
      <c r="G5031" s="6" t="n">
        <v>0</v>
      </c>
      <c r="H5031" s="41" t="n">
        <v>16.17</v>
      </c>
      <c r="I5031" s="43" t="n">
        <f aca="false">F5031*H5031</f>
        <v>138.5769</v>
      </c>
      <c r="J5031" s="43" t="n">
        <f aca="false">G5031*H5031*1.5</f>
        <v>0</v>
      </c>
      <c r="K5031" s="6" t="n">
        <v>29.36</v>
      </c>
      <c r="L5031" s="43" t="n">
        <f aca="false">K5031*'Chart of Accounts'!$E$68</f>
        <v>19.6712</v>
      </c>
      <c r="O5031" s="42" t="n">
        <f aca="false">I5031+J5031+L5031</f>
        <v>158.2481</v>
      </c>
    </row>
    <row r="5032" customFormat="false" ht="15" hidden="false" customHeight="false" outlineLevel="0" collapsed="false">
      <c r="B5032" s="7" t="s">
        <v>13665</v>
      </c>
      <c r="C5032" s="39" t="n">
        <v>45968</v>
      </c>
      <c r="D5032" s="7" t="s">
        <v>258</v>
      </c>
      <c r="E5032" s="7" t="s">
        <v>158</v>
      </c>
      <c r="H5032" s="41" t="n">
        <v>61.61</v>
      </c>
      <c r="M5032" s="6" t="n">
        <v>1</v>
      </c>
      <c r="N5032" s="43" t="n">
        <f aca="false">M5032*H5032</f>
        <v>61.61</v>
      </c>
      <c r="O5032" s="42" t="n">
        <f aca="false">N5032</f>
        <v>61.61</v>
      </c>
    </row>
    <row r="5033" customFormat="false" ht="15" hidden="false" customHeight="false" outlineLevel="0" collapsed="false">
      <c r="B5033" s="7" t="s">
        <v>13666</v>
      </c>
      <c r="C5033" s="39" t="n">
        <v>45968</v>
      </c>
      <c r="D5033" s="7" t="s">
        <v>230</v>
      </c>
      <c r="E5033" s="7" t="s">
        <v>158</v>
      </c>
      <c r="H5033" s="41" t="n">
        <v>48.78</v>
      </c>
      <c r="M5033" s="6" t="n">
        <v>1</v>
      </c>
      <c r="N5033" s="43" t="n">
        <f aca="false">M5033*H5033</f>
        <v>48.78</v>
      </c>
      <c r="O5033" s="42" t="n">
        <f aca="false">N5033</f>
        <v>48.78</v>
      </c>
    </row>
    <row r="5034" customFormat="false" ht="15" hidden="false" customHeight="false" outlineLevel="0" collapsed="false">
      <c r="B5034" s="7" t="s">
        <v>13667</v>
      </c>
      <c r="C5034" s="39" t="n">
        <v>45968</v>
      </c>
      <c r="D5034" s="7" t="s">
        <v>196</v>
      </c>
      <c r="E5034" s="7" t="s">
        <v>180</v>
      </c>
      <c r="F5034" s="6" t="n">
        <v>3.687</v>
      </c>
      <c r="G5034" s="6" t="n">
        <v>0.313</v>
      </c>
      <c r="H5034" s="41" t="n">
        <v>15.05</v>
      </c>
      <c r="I5034" s="43" t="n">
        <f aca="false">F5034*H5034</f>
        <v>55.48935</v>
      </c>
      <c r="J5034" s="43" t="n">
        <f aca="false">G5034*H5034*1.5</f>
        <v>7.065975</v>
      </c>
      <c r="K5034" s="6" t="n">
        <v>8.97</v>
      </c>
      <c r="L5034" s="43" t="n">
        <f aca="false">K5034*'Chart of Accounts'!$E$68</f>
        <v>6.0099</v>
      </c>
      <c r="O5034" s="42" t="n">
        <f aca="false">I5034+J5034+L5034</f>
        <v>68.565225</v>
      </c>
    </row>
    <row r="5035" customFormat="false" ht="15" hidden="false" customHeight="false" outlineLevel="0" collapsed="false">
      <c r="B5035" s="7" t="s">
        <v>13668</v>
      </c>
      <c r="C5035" s="39" t="n">
        <v>45968</v>
      </c>
      <c r="D5035" s="7" t="s">
        <v>246</v>
      </c>
      <c r="E5035" s="7" t="s">
        <v>180</v>
      </c>
      <c r="F5035" s="6" t="n">
        <v>4.31</v>
      </c>
      <c r="G5035" s="6" t="n">
        <v>0</v>
      </c>
      <c r="H5035" s="41" t="n">
        <v>16.48</v>
      </c>
      <c r="I5035" s="43" t="n">
        <f aca="false">F5035*H5035</f>
        <v>71.0288</v>
      </c>
      <c r="J5035" s="43" t="n">
        <f aca="false">G5035*H5035*1.5</f>
        <v>0</v>
      </c>
      <c r="K5035" s="6" t="n">
        <v>11.92</v>
      </c>
      <c r="L5035" s="43" t="n">
        <f aca="false">K5035*'Chart of Accounts'!$E$68</f>
        <v>7.9864</v>
      </c>
      <c r="O5035" s="42" t="n">
        <f aca="false">I5035+J5035+L5035</f>
        <v>79.0152</v>
      </c>
    </row>
    <row r="5036" customFormat="false" ht="15" hidden="false" customHeight="false" outlineLevel="0" collapsed="false">
      <c r="B5036" s="7" t="s">
        <v>13669</v>
      </c>
      <c r="C5036" s="39" t="n">
        <v>45968</v>
      </c>
      <c r="D5036" s="7" t="s">
        <v>222</v>
      </c>
      <c r="E5036" s="7" t="s">
        <v>180</v>
      </c>
      <c r="F5036" s="6" t="n">
        <v>3.806</v>
      </c>
      <c r="G5036" s="6" t="n">
        <v>0.024</v>
      </c>
      <c r="H5036" s="41" t="n">
        <v>17.84</v>
      </c>
      <c r="I5036" s="43" t="n">
        <f aca="false">F5036*H5036</f>
        <v>67.89904</v>
      </c>
      <c r="J5036" s="43" t="n">
        <f aca="false">G5036*H5036*1.5</f>
        <v>0.64224</v>
      </c>
      <c r="K5036" s="6" t="n">
        <v>11.59</v>
      </c>
      <c r="L5036" s="43" t="n">
        <f aca="false">K5036*'Chart of Accounts'!$E$68</f>
        <v>7.7653</v>
      </c>
      <c r="O5036" s="42" t="n">
        <f aca="false">I5036+J5036+L5036</f>
        <v>76.30658</v>
      </c>
    </row>
    <row r="5037" customFormat="false" ht="15" hidden="false" customHeight="false" outlineLevel="0" collapsed="false">
      <c r="B5037" s="7" t="s">
        <v>13670</v>
      </c>
      <c r="C5037" s="39" t="n">
        <v>45968</v>
      </c>
      <c r="D5037" s="7" t="s">
        <v>203</v>
      </c>
      <c r="E5037" s="7" t="s">
        <v>158</v>
      </c>
      <c r="H5037" s="41" t="n">
        <v>49.43</v>
      </c>
      <c r="M5037" s="6" t="n">
        <v>1</v>
      </c>
      <c r="N5037" s="43" t="n">
        <f aca="false">M5037*H5037</f>
        <v>49.43</v>
      </c>
      <c r="O5037" s="42" t="n">
        <f aca="false">N5037</f>
        <v>49.43</v>
      </c>
    </row>
    <row r="5038" customFormat="false" ht="15" hidden="false" customHeight="false" outlineLevel="0" collapsed="false">
      <c r="B5038" s="7" t="s">
        <v>13671</v>
      </c>
      <c r="C5038" s="39" t="n">
        <v>45968</v>
      </c>
      <c r="D5038" s="7" t="s">
        <v>260</v>
      </c>
      <c r="E5038" s="7" t="s">
        <v>158</v>
      </c>
      <c r="H5038" s="41" t="n">
        <v>79.8</v>
      </c>
      <c r="M5038" s="6" t="n">
        <v>1</v>
      </c>
      <c r="N5038" s="43" t="n">
        <f aca="false">M5038*H5038</f>
        <v>79.8</v>
      </c>
      <c r="O5038" s="42" t="n">
        <f aca="false">N5038</f>
        <v>79.8</v>
      </c>
    </row>
    <row r="5039" customFormat="false" ht="15" hidden="false" customHeight="false" outlineLevel="0" collapsed="false">
      <c r="B5039" s="7" t="s">
        <v>13672</v>
      </c>
      <c r="C5039" s="39" t="n">
        <v>45969</v>
      </c>
      <c r="D5039" s="7" t="s">
        <v>205</v>
      </c>
      <c r="E5039" s="7" t="s">
        <v>180</v>
      </c>
      <c r="F5039" s="6" t="n">
        <v>3.96</v>
      </c>
      <c r="G5039" s="6" t="n">
        <v>0</v>
      </c>
      <c r="H5039" s="41" t="n">
        <v>16.36</v>
      </c>
      <c r="I5039" s="43" t="n">
        <f aca="false">F5039*H5039</f>
        <v>64.7856</v>
      </c>
      <c r="J5039" s="43" t="n">
        <f aca="false">G5039*H5039*1.5</f>
        <v>0</v>
      </c>
      <c r="K5039" s="6" t="n">
        <v>13.21</v>
      </c>
      <c r="L5039" s="43" t="n">
        <f aca="false">K5039*'Chart of Accounts'!$E$68</f>
        <v>8.8507</v>
      </c>
      <c r="O5039" s="42" t="n">
        <f aca="false">I5039+J5039+L5039</f>
        <v>73.6363</v>
      </c>
    </row>
    <row r="5040" customFormat="false" ht="15" hidden="false" customHeight="false" outlineLevel="0" collapsed="false">
      <c r="B5040" s="7" t="s">
        <v>13673</v>
      </c>
      <c r="C5040" s="39" t="n">
        <v>45969</v>
      </c>
      <c r="D5040" s="7" t="s">
        <v>218</v>
      </c>
      <c r="E5040" s="7" t="s">
        <v>180</v>
      </c>
      <c r="F5040" s="6" t="n">
        <v>3.75</v>
      </c>
      <c r="G5040" s="6" t="n">
        <v>0</v>
      </c>
      <c r="H5040" s="41" t="n">
        <v>16.19</v>
      </c>
      <c r="I5040" s="43" t="n">
        <f aca="false">F5040*H5040</f>
        <v>60.7125</v>
      </c>
      <c r="J5040" s="43" t="n">
        <f aca="false">G5040*H5040*1.5</f>
        <v>0</v>
      </c>
      <c r="K5040" s="6" t="n">
        <v>12.14</v>
      </c>
      <c r="L5040" s="43" t="n">
        <f aca="false">K5040*'Chart of Accounts'!$E$68</f>
        <v>8.1338</v>
      </c>
      <c r="O5040" s="42" t="n">
        <f aca="false">I5040+J5040+L5040</f>
        <v>68.8463</v>
      </c>
    </row>
    <row r="5041" customFormat="false" ht="15" hidden="false" customHeight="false" outlineLevel="0" collapsed="false">
      <c r="B5041" s="7" t="s">
        <v>13674</v>
      </c>
      <c r="C5041" s="39" t="n">
        <v>45969</v>
      </c>
      <c r="D5041" s="7" t="s">
        <v>222</v>
      </c>
      <c r="E5041" s="7" t="s">
        <v>180</v>
      </c>
      <c r="F5041" s="6" t="n">
        <v>8.447</v>
      </c>
      <c r="G5041" s="6" t="n">
        <v>0.053</v>
      </c>
      <c r="H5041" s="41" t="n">
        <v>17.84</v>
      </c>
      <c r="I5041" s="43" t="n">
        <f aca="false">F5041*H5041</f>
        <v>150.69448</v>
      </c>
      <c r="J5041" s="43" t="n">
        <f aca="false">G5041*H5041*1.5</f>
        <v>1.41828</v>
      </c>
      <c r="K5041" s="6" t="n">
        <v>28.56</v>
      </c>
      <c r="L5041" s="43" t="n">
        <f aca="false">K5041*'Chart of Accounts'!$E$68</f>
        <v>19.1352</v>
      </c>
      <c r="O5041" s="42" t="n">
        <f aca="false">I5041+J5041+L5041</f>
        <v>171.24796</v>
      </c>
    </row>
    <row r="5042" customFormat="false" ht="15" hidden="false" customHeight="false" outlineLevel="0" collapsed="false">
      <c r="B5042" s="7" t="s">
        <v>13675</v>
      </c>
      <c r="C5042" s="39" t="n">
        <v>45969</v>
      </c>
      <c r="D5042" s="7" t="s">
        <v>196</v>
      </c>
      <c r="E5042" s="7" t="s">
        <v>180</v>
      </c>
      <c r="F5042" s="6" t="n">
        <v>3.973</v>
      </c>
      <c r="G5042" s="6" t="n">
        <v>0.337</v>
      </c>
      <c r="H5042" s="41" t="n">
        <v>15.05</v>
      </c>
      <c r="I5042" s="43" t="n">
        <f aca="false">F5042*H5042</f>
        <v>59.79365</v>
      </c>
      <c r="J5042" s="43" t="n">
        <f aca="false">G5042*H5042*1.5</f>
        <v>7.607775</v>
      </c>
      <c r="K5042" s="6" t="n">
        <v>14.98</v>
      </c>
      <c r="L5042" s="43" t="n">
        <f aca="false">K5042*'Chart of Accounts'!$E$68</f>
        <v>10.0366</v>
      </c>
      <c r="O5042" s="42" t="n">
        <f aca="false">I5042+J5042+L5042</f>
        <v>77.438025</v>
      </c>
    </row>
    <row r="5043" customFormat="false" ht="15" hidden="false" customHeight="false" outlineLevel="0" collapsed="false">
      <c r="B5043" s="7" t="s">
        <v>13676</v>
      </c>
      <c r="C5043" s="39" t="n">
        <v>45969</v>
      </c>
      <c r="D5043" s="7" t="s">
        <v>242</v>
      </c>
      <c r="E5043" s="7" t="s">
        <v>180</v>
      </c>
      <c r="F5043" s="6" t="n">
        <v>3.465</v>
      </c>
      <c r="G5043" s="6" t="n">
        <v>0.185</v>
      </c>
      <c r="H5043" s="41" t="n">
        <v>17.99</v>
      </c>
      <c r="I5043" s="43" t="n">
        <f aca="false">F5043*H5043</f>
        <v>62.33535</v>
      </c>
      <c r="J5043" s="43" t="n">
        <f aca="false">G5043*H5043*1.5</f>
        <v>4.992225</v>
      </c>
      <c r="K5043" s="6" t="n">
        <v>8.21</v>
      </c>
      <c r="L5043" s="43" t="n">
        <f aca="false">K5043*'Chart of Accounts'!$E$68</f>
        <v>5.5007</v>
      </c>
      <c r="O5043" s="42" t="n">
        <f aca="false">I5043+J5043+L5043</f>
        <v>72.828275</v>
      </c>
    </row>
    <row r="5044" customFormat="false" ht="15" hidden="false" customHeight="false" outlineLevel="0" collapsed="false">
      <c r="B5044" s="7" t="s">
        <v>13677</v>
      </c>
      <c r="C5044" s="39" t="n">
        <v>45969</v>
      </c>
      <c r="D5044" s="7" t="s">
        <v>254</v>
      </c>
      <c r="E5044" s="7" t="s">
        <v>180</v>
      </c>
      <c r="F5044" s="6" t="n">
        <v>3.71</v>
      </c>
      <c r="G5044" s="6" t="n">
        <v>0</v>
      </c>
      <c r="H5044" s="41" t="n">
        <v>17.1</v>
      </c>
      <c r="I5044" s="43" t="n">
        <f aca="false">F5044*H5044</f>
        <v>63.441</v>
      </c>
      <c r="J5044" s="43" t="n">
        <f aca="false">G5044*H5044*1.5</f>
        <v>0</v>
      </c>
      <c r="K5044" s="6" t="n">
        <v>12.46</v>
      </c>
      <c r="L5044" s="43" t="n">
        <f aca="false">K5044*'Chart of Accounts'!$E$68</f>
        <v>8.3482</v>
      </c>
      <c r="O5044" s="42" t="n">
        <f aca="false">I5044+J5044+L5044</f>
        <v>71.7892</v>
      </c>
    </row>
    <row r="5045" customFormat="false" ht="15" hidden="false" customHeight="false" outlineLevel="0" collapsed="false">
      <c r="B5045" s="7" t="s">
        <v>13678</v>
      </c>
      <c r="C5045" s="39" t="n">
        <v>45970</v>
      </c>
      <c r="D5045" s="7" t="s">
        <v>242</v>
      </c>
      <c r="E5045" s="7" t="s">
        <v>180</v>
      </c>
      <c r="F5045" s="6" t="n">
        <v>7.671</v>
      </c>
      <c r="G5045" s="6" t="n">
        <v>0.409</v>
      </c>
      <c r="H5045" s="41" t="n">
        <v>17.99</v>
      </c>
      <c r="I5045" s="43" t="n">
        <f aca="false">F5045*H5045</f>
        <v>138.00129</v>
      </c>
      <c r="J5045" s="43" t="n">
        <f aca="false">G5045*H5045*1.5</f>
        <v>11.036865</v>
      </c>
      <c r="K5045" s="6" t="n">
        <v>25.61</v>
      </c>
      <c r="L5045" s="43" t="n">
        <f aca="false">K5045*'Chart of Accounts'!$E$68</f>
        <v>17.1587</v>
      </c>
      <c r="O5045" s="42" t="n">
        <f aca="false">I5045+J5045+L5045</f>
        <v>166.196855</v>
      </c>
    </row>
    <row r="5046" customFormat="false" ht="15" hidden="false" customHeight="false" outlineLevel="0" collapsed="false">
      <c r="B5046" s="7" t="s">
        <v>13679</v>
      </c>
      <c r="C5046" s="39" t="n">
        <v>45970</v>
      </c>
      <c r="D5046" s="7" t="s">
        <v>218</v>
      </c>
      <c r="E5046" s="7" t="s">
        <v>180</v>
      </c>
      <c r="F5046" s="6" t="n">
        <v>4.13</v>
      </c>
      <c r="G5046" s="6" t="n">
        <v>0</v>
      </c>
      <c r="H5046" s="41" t="n">
        <v>16.19</v>
      </c>
      <c r="I5046" s="43" t="n">
        <f aca="false">F5046*H5046</f>
        <v>66.8647</v>
      </c>
      <c r="J5046" s="43" t="n">
        <f aca="false">G5046*H5046*1.5</f>
        <v>0</v>
      </c>
      <c r="K5046" s="6" t="n">
        <v>11.73</v>
      </c>
      <c r="L5046" s="43" t="n">
        <f aca="false">K5046*'Chart of Accounts'!$E$68</f>
        <v>7.8591</v>
      </c>
      <c r="O5046" s="42" t="n">
        <f aca="false">I5046+J5046+L5046</f>
        <v>74.7238</v>
      </c>
    </row>
    <row r="5047" customFormat="false" ht="15" hidden="false" customHeight="false" outlineLevel="0" collapsed="false">
      <c r="B5047" s="7" t="s">
        <v>13680</v>
      </c>
      <c r="C5047" s="39" t="n">
        <v>45970</v>
      </c>
      <c r="D5047" s="7" t="s">
        <v>194</v>
      </c>
      <c r="E5047" s="7" t="s">
        <v>180</v>
      </c>
      <c r="F5047" s="6" t="n">
        <v>3.91</v>
      </c>
      <c r="G5047" s="6" t="n">
        <v>0</v>
      </c>
      <c r="H5047" s="41" t="n">
        <v>16</v>
      </c>
      <c r="I5047" s="43" t="n">
        <f aca="false">F5047*H5047</f>
        <v>62.56</v>
      </c>
      <c r="J5047" s="43" t="n">
        <f aca="false">G5047*H5047*1.5</f>
        <v>0</v>
      </c>
      <c r="K5047" s="6" t="n">
        <v>10.47</v>
      </c>
      <c r="L5047" s="43" t="n">
        <f aca="false">K5047*'Chart of Accounts'!$E$68</f>
        <v>7.0149</v>
      </c>
      <c r="O5047" s="42" t="n">
        <f aca="false">I5047+J5047+L5047</f>
        <v>69.5749</v>
      </c>
    </row>
    <row r="5048" customFormat="false" ht="15" hidden="false" customHeight="false" outlineLevel="0" collapsed="false">
      <c r="B5048" s="7" t="s">
        <v>13681</v>
      </c>
      <c r="C5048" s="39" t="n">
        <v>45970</v>
      </c>
      <c r="D5048" s="7" t="s">
        <v>196</v>
      </c>
      <c r="E5048" s="7" t="s">
        <v>180</v>
      </c>
      <c r="F5048" s="6" t="n">
        <v>3.466</v>
      </c>
      <c r="G5048" s="6" t="n">
        <v>0.294</v>
      </c>
      <c r="H5048" s="41" t="n">
        <v>15.05</v>
      </c>
      <c r="I5048" s="43" t="n">
        <f aca="false">F5048*H5048</f>
        <v>52.1633</v>
      </c>
      <c r="J5048" s="43" t="n">
        <f aca="false">G5048*H5048*1.5</f>
        <v>6.63705</v>
      </c>
      <c r="K5048" s="6" t="n">
        <v>10.55</v>
      </c>
      <c r="L5048" s="43" t="n">
        <f aca="false">K5048*'Chart of Accounts'!$E$68</f>
        <v>7.0685</v>
      </c>
      <c r="O5048" s="42" t="n">
        <f aca="false">I5048+J5048+L5048</f>
        <v>65.86885</v>
      </c>
    </row>
    <row r="5049" customFormat="false" ht="15" hidden="false" customHeight="false" outlineLevel="0" collapsed="false">
      <c r="B5049" s="7" t="s">
        <v>13682</v>
      </c>
      <c r="C5049" s="39" t="n">
        <v>45970</v>
      </c>
      <c r="D5049" s="7" t="s">
        <v>222</v>
      </c>
      <c r="E5049" s="7" t="s">
        <v>180</v>
      </c>
      <c r="F5049" s="6" t="n">
        <v>3.876</v>
      </c>
      <c r="G5049" s="6" t="n">
        <v>0.024</v>
      </c>
      <c r="H5049" s="41" t="n">
        <v>17.84</v>
      </c>
      <c r="I5049" s="43" t="n">
        <f aca="false">F5049*H5049</f>
        <v>69.14784</v>
      </c>
      <c r="J5049" s="43" t="n">
        <f aca="false">G5049*H5049*1.5</f>
        <v>0.64224</v>
      </c>
      <c r="K5049" s="6" t="n">
        <v>11.62</v>
      </c>
      <c r="L5049" s="43" t="n">
        <f aca="false">K5049*'Chart of Accounts'!$E$68</f>
        <v>7.7854</v>
      </c>
      <c r="O5049" s="42" t="n">
        <f aca="false">I5049+J5049+L5049</f>
        <v>77.57548</v>
      </c>
    </row>
    <row r="5050" customFormat="false" ht="15" hidden="false" customHeight="false" outlineLevel="0" collapsed="false">
      <c r="B5050" s="7" t="s">
        <v>13683</v>
      </c>
      <c r="C5050" s="39" t="n">
        <v>45971</v>
      </c>
      <c r="D5050" s="7" t="s">
        <v>240</v>
      </c>
      <c r="E5050" s="7" t="s">
        <v>180</v>
      </c>
      <c r="F5050" s="6" t="n">
        <v>7.51</v>
      </c>
      <c r="G5050" s="6" t="n">
        <v>0</v>
      </c>
      <c r="H5050" s="41" t="n">
        <v>16.96</v>
      </c>
      <c r="I5050" s="43" t="n">
        <f aca="false">F5050*H5050</f>
        <v>127.3696</v>
      </c>
      <c r="J5050" s="43" t="n">
        <f aca="false">G5050*H5050*1.5</f>
        <v>0</v>
      </c>
      <c r="K5050" s="6" t="n">
        <v>23.72</v>
      </c>
      <c r="L5050" s="43" t="n">
        <f aca="false">K5050*'Chart of Accounts'!$E$68</f>
        <v>15.8924</v>
      </c>
      <c r="O5050" s="42" t="n">
        <f aca="false">I5050+J5050+L5050</f>
        <v>143.262</v>
      </c>
    </row>
    <row r="5051" customFormat="false" ht="15" hidden="false" customHeight="false" outlineLevel="0" collapsed="false">
      <c r="B5051" s="7" t="s">
        <v>13684</v>
      </c>
      <c r="C5051" s="39" t="n">
        <v>45971</v>
      </c>
      <c r="D5051" s="7" t="s">
        <v>194</v>
      </c>
      <c r="E5051" s="7" t="s">
        <v>180</v>
      </c>
      <c r="F5051" s="6" t="n">
        <v>8.95</v>
      </c>
      <c r="G5051" s="6" t="n">
        <v>0</v>
      </c>
      <c r="H5051" s="41" t="n">
        <v>16</v>
      </c>
      <c r="I5051" s="43" t="n">
        <f aca="false">F5051*H5051</f>
        <v>143.2</v>
      </c>
      <c r="J5051" s="43" t="n">
        <f aca="false">G5051*H5051*1.5</f>
        <v>0</v>
      </c>
      <c r="K5051" s="6" t="n">
        <v>27.68</v>
      </c>
      <c r="L5051" s="43" t="n">
        <f aca="false">K5051*'Chart of Accounts'!$E$68</f>
        <v>18.5456</v>
      </c>
      <c r="O5051" s="42" t="n">
        <f aca="false">I5051+J5051+L5051</f>
        <v>161.7456</v>
      </c>
    </row>
    <row r="5052" customFormat="false" ht="15" hidden="false" customHeight="false" outlineLevel="0" collapsed="false">
      <c r="B5052" s="7" t="s">
        <v>13685</v>
      </c>
      <c r="C5052" s="39" t="n">
        <v>45971</v>
      </c>
      <c r="D5052" s="7" t="s">
        <v>214</v>
      </c>
      <c r="E5052" s="7" t="s">
        <v>180</v>
      </c>
      <c r="F5052" s="6" t="n">
        <v>11.82</v>
      </c>
      <c r="G5052" s="6" t="n">
        <v>0</v>
      </c>
      <c r="H5052" s="41" t="n">
        <v>15.67</v>
      </c>
      <c r="I5052" s="43" t="n">
        <f aca="false">F5052*H5052</f>
        <v>185.2194</v>
      </c>
      <c r="J5052" s="43" t="n">
        <f aca="false">G5052*H5052*1.5</f>
        <v>0</v>
      </c>
      <c r="K5052" s="6" t="n">
        <v>41.14</v>
      </c>
      <c r="L5052" s="43" t="n">
        <f aca="false">K5052*'Chart of Accounts'!$E$68</f>
        <v>27.5638</v>
      </c>
      <c r="O5052" s="42" t="n">
        <f aca="false">I5052+J5052+L5052</f>
        <v>212.7832</v>
      </c>
    </row>
    <row r="5053" customFormat="false" ht="15" hidden="false" customHeight="false" outlineLevel="0" collapsed="false">
      <c r="B5053" s="7" t="s">
        <v>13686</v>
      </c>
      <c r="C5053" s="39" t="n">
        <v>45971</v>
      </c>
      <c r="D5053" s="7" t="s">
        <v>201</v>
      </c>
      <c r="E5053" s="7" t="s">
        <v>180</v>
      </c>
      <c r="F5053" s="6" t="n">
        <v>12.26</v>
      </c>
      <c r="G5053" s="6" t="n">
        <v>0</v>
      </c>
      <c r="H5053" s="41" t="n">
        <v>15.19</v>
      </c>
      <c r="I5053" s="43" t="n">
        <f aca="false">F5053*H5053</f>
        <v>186.2294</v>
      </c>
      <c r="J5053" s="43" t="n">
        <f aca="false">G5053*H5053*1.5</f>
        <v>0</v>
      </c>
      <c r="K5053" s="6" t="n">
        <v>32.95</v>
      </c>
      <c r="L5053" s="43" t="n">
        <f aca="false">K5053*'Chart of Accounts'!$E$68</f>
        <v>22.0765</v>
      </c>
      <c r="O5053" s="42" t="n">
        <f aca="false">I5053+J5053+L5053</f>
        <v>208.3059</v>
      </c>
    </row>
    <row r="5054" customFormat="false" ht="15" hidden="false" customHeight="false" outlineLevel="0" collapsed="false">
      <c r="B5054" s="7" t="s">
        <v>13687</v>
      </c>
      <c r="C5054" s="39" t="n">
        <v>45971</v>
      </c>
      <c r="D5054" s="7" t="s">
        <v>205</v>
      </c>
      <c r="E5054" s="7" t="s">
        <v>180</v>
      </c>
      <c r="F5054" s="6" t="n">
        <v>6.85</v>
      </c>
      <c r="G5054" s="6" t="n">
        <v>0</v>
      </c>
      <c r="H5054" s="41" t="n">
        <v>16.36</v>
      </c>
      <c r="I5054" s="43" t="n">
        <f aca="false">F5054*H5054</f>
        <v>112.066</v>
      </c>
      <c r="J5054" s="43" t="n">
        <f aca="false">G5054*H5054*1.5</f>
        <v>0</v>
      </c>
      <c r="K5054" s="6" t="n">
        <v>21.34</v>
      </c>
      <c r="L5054" s="43" t="n">
        <f aca="false">K5054*'Chart of Accounts'!$E$68</f>
        <v>14.2978</v>
      </c>
      <c r="O5054" s="42" t="n">
        <f aca="false">I5054+J5054+L5054</f>
        <v>126.3638</v>
      </c>
    </row>
    <row r="5055" customFormat="false" ht="15" hidden="false" customHeight="false" outlineLevel="0" collapsed="false">
      <c r="B5055" s="7" t="s">
        <v>13688</v>
      </c>
      <c r="C5055" s="39" t="n">
        <v>45971</v>
      </c>
      <c r="D5055" s="7" t="s">
        <v>264</v>
      </c>
      <c r="E5055" s="7" t="s">
        <v>158</v>
      </c>
      <c r="H5055" s="41" t="n">
        <v>55.55</v>
      </c>
      <c r="M5055" s="6" t="n">
        <v>1</v>
      </c>
      <c r="N5055" s="43" t="n">
        <f aca="false">M5055*H5055</f>
        <v>55.55</v>
      </c>
      <c r="O5055" s="42" t="n">
        <f aca="false">N5055</f>
        <v>55.55</v>
      </c>
    </row>
    <row r="5056" customFormat="false" ht="15" hidden="false" customHeight="false" outlineLevel="0" collapsed="false">
      <c r="B5056" s="7" t="s">
        <v>13689</v>
      </c>
      <c r="C5056" s="39" t="n">
        <v>45971</v>
      </c>
      <c r="D5056" s="7" t="s">
        <v>252</v>
      </c>
      <c r="E5056" s="7" t="s">
        <v>158</v>
      </c>
      <c r="H5056" s="41" t="n">
        <v>57.54</v>
      </c>
      <c r="M5056" s="6" t="n">
        <v>1</v>
      </c>
      <c r="N5056" s="43" t="n">
        <f aca="false">M5056*H5056</f>
        <v>57.54</v>
      </c>
      <c r="O5056" s="42" t="n">
        <f aca="false">N5056</f>
        <v>57.54</v>
      </c>
    </row>
    <row r="5057" customFormat="false" ht="15" hidden="false" customHeight="false" outlineLevel="0" collapsed="false">
      <c r="B5057" s="7" t="s">
        <v>13690</v>
      </c>
      <c r="C5057" s="39" t="n">
        <v>45971</v>
      </c>
      <c r="D5057" s="7" t="s">
        <v>196</v>
      </c>
      <c r="E5057" s="7" t="s">
        <v>180</v>
      </c>
      <c r="F5057" s="6" t="n">
        <v>9.051</v>
      </c>
      <c r="G5057" s="6" t="n">
        <v>1.469</v>
      </c>
      <c r="H5057" s="41" t="n">
        <v>15.05</v>
      </c>
      <c r="I5057" s="43" t="n">
        <f aca="false">F5057*H5057</f>
        <v>136.21755</v>
      </c>
      <c r="J5057" s="43" t="n">
        <f aca="false">G5057*H5057*1.5</f>
        <v>33.162675</v>
      </c>
      <c r="K5057" s="6" t="n">
        <v>30.32</v>
      </c>
      <c r="L5057" s="43" t="n">
        <f aca="false">K5057*'Chart of Accounts'!$E$68</f>
        <v>20.3144</v>
      </c>
      <c r="O5057" s="42" t="n">
        <f aca="false">I5057+J5057+L5057</f>
        <v>189.694625</v>
      </c>
    </row>
    <row r="5058" customFormat="false" ht="15" hidden="false" customHeight="false" outlineLevel="0" collapsed="false">
      <c r="B5058" s="7" t="s">
        <v>13691</v>
      </c>
      <c r="C5058" s="39" t="n">
        <v>45971</v>
      </c>
      <c r="D5058" s="7" t="s">
        <v>184</v>
      </c>
      <c r="E5058" s="7" t="s">
        <v>180</v>
      </c>
      <c r="F5058" s="6" t="n">
        <v>3.86</v>
      </c>
      <c r="G5058" s="6" t="n">
        <v>0</v>
      </c>
      <c r="H5058" s="41" t="n">
        <v>17.34</v>
      </c>
      <c r="I5058" s="43" t="n">
        <f aca="false">F5058*H5058</f>
        <v>66.9324</v>
      </c>
      <c r="J5058" s="43" t="n">
        <f aca="false">G5058*H5058*1.5</f>
        <v>0</v>
      </c>
      <c r="K5058" s="6" t="n">
        <v>9.26</v>
      </c>
      <c r="L5058" s="43" t="n">
        <f aca="false">K5058*'Chart of Accounts'!$E$68</f>
        <v>6.2042</v>
      </c>
      <c r="O5058" s="42" t="n">
        <f aca="false">I5058+J5058+L5058</f>
        <v>73.1366</v>
      </c>
    </row>
    <row r="5059" customFormat="false" ht="15" hidden="false" customHeight="false" outlineLevel="0" collapsed="false">
      <c r="B5059" s="7" t="s">
        <v>13692</v>
      </c>
      <c r="C5059" s="39" t="n">
        <v>45971</v>
      </c>
      <c r="D5059" s="7" t="s">
        <v>216</v>
      </c>
      <c r="E5059" s="7" t="s">
        <v>158</v>
      </c>
      <c r="H5059" s="41" t="n">
        <v>61.79</v>
      </c>
      <c r="M5059" s="6" t="n">
        <v>1</v>
      </c>
      <c r="N5059" s="43" t="n">
        <f aca="false">M5059*H5059</f>
        <v>61.79</v>
      </c>
      <c r="O5059" s="42" t="n">
        <f aca="false">N5059</f>
        <v>61.79</v>
      </c>
    </row>
    <row r="5060" customFormat="false" ht="15" hidden="false" customHeight="false" outlineLevel="0" collapsed="false">
      <c r="B5060" s="7" t="s">
        <v>13693</v>
      </c>
      <c r="C5060" s="39" t="n">
        <v>45971</v>
      </c>
      <c r="D5060" s="7" t="s">
        <v>177</v>
      </c>
      <c r="E5060" s="7" t="s">
        <v>180</v>
      </c>
      <c r="F5060" s="6" t="n">
        <v>11.81</v>
      </c>
      <c r="G5060" s="6" t="n">
        <v>0</v>
      </c>
      <c r="H5060" s="41" t="n">
        <v>14.56</v>
      </c>
      <c r="I5060" s="43" t="n">
        <f aca="false">F5060*H5060</f>
        <v>171.9536</v>
      </c>
      <c r="J5060" s="43" t="n">
        <f aca="false">G5060*H5060*1.5</f>
        <v>0</v>
      </c>
      <c r="K5060" s="6" t="n">
        <v>42.23</v>
      </c>
      <c r="L5060" s="43" t="n">
        <f aca="false">K5060*'Chart of Accounts'!$E$68</f>
        <v>28.2941</v>
      </c>
      <c r="O5060" s="42" t="n">
        <f aca="false">I5060+J5060+L5060</f>
        <v>200.2477</v>
      </c>
    </row>
    <row r="5061" customFormat="false" ht="15" hidden="false" customHeight="false" outlineLevel="0" collapsed="false">
      <c r="B5061" s="7" t="s">
        <v>13694</v>
      </c>
      <c r="C5061" s="39" t="n">
        <v>45971</v>
      </c>
      <c r="D5061" s="7" t="s">
        <v>218</v>
      </c>
      <c r="E5061" s="7" t="s">
        <v>180</v>
      </c>
      <c r="F5061" s="6" t="n">
        <v>7.85</v>
      </c>
      <c r="G5061" s="6" t="n">
        <v>0</v>
      </c>
      <c r="H5061" s="41" t="n">
        <v>16.19</v>
      </c>
      <c r="I5061" s="43" t="n">
        <f aca="false">F5061*H5061</f>
        <v>127.0915</v>
      </c>
      <c r="J5061" s="43" t="n">
        <f aca="false">G5061*H5061*1.5</f>
        <v>0</v>
      </c>
      <c r="K5061" s="6" t="n">
        <v>18.13</v>
      </c>
      <c r="L5061" s="43" t="n">
        <f aca="false">K5061*'Chart of Accounts'!$E$68</f>
        <v>12.1471</v>
      </c>
      <c r="O5061" s="42" t="n">
        <f aca="false">I5061+J5061+L5061</f>
        <v>139.2386</v>
      </c>
    </row>
    <row r="5062" customFormat="false" ht="15" hidden="false" customHeight="false" outlineLevel="0" collapsed="false">
      <c r="B5062" s="7" t="s">
        <v>13695</v>
      </c>
      <c r="C5062" s="39" t="n">
        <v>45971</v>
      </c>
      <c r="D5062" s="7" t="s">
        <v>220</v>
      </c>
      <c r="E5062" s="7" t="s">
        <v>180</v>
      </c>
      <c r="F5062" s="6" t="n">
        <v>7.43</v>
      </c>
      <c r="G5062" s="6" t="n">
        <v>0</v>
      </c>
      <c r="H5062" s="41" t="n">
        <v>16.43</v>
      </c>
      <c r="I5062" s="43" t="n">
        <f aca="false">F5062*H5062</f>
        <v>122.0749</v>
      </c>
      <c r="J5062" s="43" t="n">
        <f aca="false">G5062*H5062*1.5</f>
        <v>0</v>
      </c>
      <c r="K5062" s="6" t="n">
        <v>17.83</v>
      </c>
      <c r="L5062" s="43" t="n">
        <f aca="false">K5062*'Chart of Accounts'!$E$68</f>
        <v>11.9461</v>
      </c>
      <c r="O5062" s="42" t="n">
        <f aca="false">I5062+J5062+L5062</f>
        <v>134.021</v>
      </c>
    </row>
    <row r="5063" customFormat="false" ht="15" hidden="false" customHeight="false" outlineLevel="0" collapsed="false">
      <c r="B5063" s="7" t="s">
        <v>13696</v>
      </c>
      <c r="C5063" s="39" t="n">
        <v>45971</v>
      </c>
      <c r="D5063" s="7" t="s">
        <v>224</v>
      </c>
      <c r="E5063" s="7" t="s">
        <v>180</v>
      </c>
      <c r="F5063" s="6" t="n">
        <v>11.63</v>
      </c>
      <c r="G5063" s="6" t="n">
        <v>0</v>
      </c>
      <c r="H5063" s="41" t="n">
        <v>14.93</v>
      </c>
      <c r="I5063" s="43" t="n">
        <f aca="false">F5063*H5063</f>
        <v>173.6359</v>
      </c>
      <c r="J5063" s="43" t="n">
        <f aca="false">G5063*H5063*1.5</f>
        <v>0</v>
      </c>
      <c r="K5063" s="6" t="n">
        <v>35.66</v>
      </c>
      <c r="L5063" s="43" t="n">
        <f aca="false">K5063*'Chart of Accounts'!$E$68</f>
        <v>23.8922</v>
      </c>
      <c r="O5063" s="42" t="n">
        <f aca="false">I5063+J5063+L5063</f>
        <v>197.5281</v>
      </c>
    </row>
    <row r="5064" customFormat="false" ht="15" hidden="false" customHeight="false" outlineLevel="0" collapsed="false">
      <c r="B5064" s="7" t="s">
        <v>13697</v>
      </c>
      <c r="C5064" s="39" t="n">
        <v>45971</v>
      </c>
      <c r="D5064" s="7" t="s">
        <v>236</v>
      </c>
      <c r="E5064" s="7" t="s">
        <v>180</v>
      </c>
      <c r="F5064" s="6" t="n">
        <v>3.17</v>
      </c>
      <c r="G5064" s="6" t="n">
        <v>0</v>
      </c>
      <c r="H5064" s="41" t="n">
        <v>15.49</v>
      </c>
      <c r="I5064" s="43" t="n">
        <f aca="false">F5064*H5064</f>
        <v>49.1033</v>
      </c>
      <c r="J5064" s="43" t="n">
        <f aca="false">G5064*H5064*1.5</f>
        <v>0</v>
      </c>
      <c r="K5064" s="6" t="n">
        <v>7.05</v>
      </c>
      <c r="L5064" s="43" t="n">
        <f aca="false">K5064*'Chart of Accounts'!$E$68</f>
        <v>4.7235</v>
      </c>
      <c r="O5064" s="42" t="n">
        <f aca="false">I5064+J5064+L5064</f>
        <v>53.8268</v>
      </c>
    </row>
    <row r="5065" customFormat="false" ht="15" hidden="false" customHeight="false" outlineLevel="0" collapsed="false">
      <c r="B5065" s="7" t="s">
        <v>13698</v>
      </c>
      <c r="C5065" s="39" t="n">
        <v>45971</v>
      </c>
      <c r="D5065" s="7" t="s">
        <v>242</v>
      </c>
      <c r="E5065" s="7" t="s">
        <v>180</v>
      </c>
      <c r="F5065" s="6" t="n">
        <v>6.86</v>
      </c>
      <c r="G5065" s="6" t="n">
        <v>0</v>
      </c>
      <c r="H5065" s="41" t="n">
        <v>17.99</v>
      </c>
      <c r="I5065" s="43" t="n">
        <f aca="false">F5065*H5065</f>
        <v>123.4114</v>
      </c>
      <c r="J5065" s="43" t="n">
        <f aca="false">G5065*H5065*1.5</f>
        <v>0</v>
      </c>
      <c r="K5065" s="6" t="n">
        <v>21.05</v>
      </c>
      <c r="L5065" s="43" t="n">
        <f aca="false">K5065*'Chart of Accounts'!$E$68</f>
        <v>14.1035</v>
      </c>
      <c r="O5065" s="42" t="n">
        <f aca="false">I5065+J5065+L5065</f>
        <v>137.5149</v>
      </c>
    </row>
    <row r="5066" customFormat="false" ht="15" hidden="false" customHeight="false" outlineLevel="0" collapsed="false">
      <c r="B5066" s="7" t="s">
        <v>13699</v>
      </c>
      <c r="C5066" s="39" t="n">
        <v>45971</v>
      </c>
      <c r="D5066" s="7" t="s">
        <v>222</v>
      </c>
      <c r="E5066" s="7" t="s">
        <v>180</v>
      </c>
      <c r="F5066" s="6" t="n">
        <v>6.854</v>
      </c>
      <c r="G5066" s="6" t="n">
        <v>0.356</v>
      </c>
      <c r="H5066" s="41" t="n">
        <v>17.84</v>
      </c>
      <c r="I5066" s="43" t="n">
        <f aca="false">F5066*H5066</f>
        <v>122.27536</v>
      </c>
      <c r="J5066" s="43" t="n">
        <f aca="false">G5066*H5066*1.5</f>
        <v>9.52656</v>
      </c>
      <c r="K5066" s="6" t="n">
        <v>20.45</v>
      </c>
      <c r="L5066" s="43" t="n">
        <f aca="false">K5066*'Chart of Accounts'!$E$68</f>
        <v>13.7015</v>
      </c>
      <c r="O5066" s="42" t="n">
        <f aca="false">I5066+J5066+L5066</f>
        <v>145.50342</v>
      </c>
    </row>
    <row r="5067" customFormat="false" ht="15" hidden="false" customHeight="false" outlineLevel="0" collapsed="false">
      <c r="B5067" s="7" t="s">
        <v>13700</v>
      </c>
      <c r="C5067" s="39" t="n">
        <v>45971</v>
      </c>
      <c r="D5067" s="7" t="s">
        <v>238</v>
      </c>
      <c r="E5067" s="7" t="s">
        <v>180</v>
      </c>
      <c r="F5067" s="6" t="n">
        <v>4.97</v>
      </c>
      <c r="G5067" s="6" t="n">
        <v>0</v>
      </c>
      <c r="H5067" s="41" t="n">
        <v>15.85</v>
      </c>
      <c r="I5067" s="43" t="n">
        <f aca="false">F5067*H5067</f>
        <v>78.7745</v>
      </c>
      <c r="J5067" s="43" t="n">
        <f aca="false">G5067*H5067*1.5</f>
        <v>0</v>
      </c>
      <c r="K5067" s="6" t="n">
        <v>16.91</v>
      </c>
      <c r="L5067" s="43" t="n">
        <f aca="false">K5067*'Chart of Accounts'!$E$68</f>
        <v>11.3297</v>
      </c>
      <c r="O5067" s="42" t="n">
        <f aca="false">I5067+J5067+L5067</f>
        <v>90.1042</v>
      </c>
    </row>
    <row r="5068" customFormat="false" ht="15" hidden="false" customHeight="false" outlineLevel="0" collapsed="false">
      <c r="B5068" s="7" t="s">
        <v>13701</v>
      </c>
      <c r="C5068" s="39" t="n">
        <v>45971</v>
      </c>
      <c r="D5068" s="7" t="s">
        <v>244</v>
      </c>
      <c r="E5068" s="7" t="s">
        <v>180</v>
      </c>
      <c r="F5068" s="6" t="n">
        <v>3.96</v>
      </c>
      <c r="G5068" s="6" t="n">
        <v>0</v>
      </c>
      <c r="H5068" s="41" t="n">
        <v>16.39</v>
      </c>
      <c r="I5068" s="43" t="n">
        <f aca="false">F5068*H5068</f>
        <v>64.9044</v>
      </c>
      <c r="J5068" s="43" t="n">
        <f aca="false">G5068*H5068*1.5</f>
        <v>0</v>
      </c>
      <c r="K5068" s="6" t="n">
        <v>12.32</v>
      </c>
      <c r="L5068" s="43" t="n">
        <f aca="false">K5068*'Chart of Accounts'!$E$68</f>
        <v>8.2544</v>
      </c>
      <c r="O5068" s="42" t="n">
        <f aca="false">I5068+J5068+L5068</f>
        <v>73.1588</v>
      </c>
    </row>
    <row r="5069" customFormat="false" ht="15" hidden="false" customHeight="false" outlineLevel="0" collapsed="false">
      <c r="B5069" s="7" t="s">
        <v>13702</v>
      </c>
      <c r="C5069" s="39" t="n">
        <v>45971</v>
      </c>
      <c r="D5069" s="7" t="s">
        <v>254</v>
      </c>
      <c r="E5069" s="7" t="s">
        <v>180</v>
      </c>
      <c r="F5069" s="6" t="n">
        <v>8.492</v>
      </c>
      <c r="G5069" s="6" t="n">
        <v>2.008</v>
      </c>
      <c r="H5069" s="41" t="n">
        <v>17.1</v>
      </c>
      <c r="I5069" s="43" t="n">
        <f aca="false">F5069*H5069</f>
        <v>145.2132</v>
      </c>
      <c r="J5069" s="43" t="n">
        <f aca="false">G5069*H5069*1.5</f>
        <v>51.5052</v>
      </c>
      <c r="K5069" s="6" t="n">
        <v>36.44</v>
      </c>
      <c r="L5069" s="43" t="n">
        <f aca="false">K5069*'Chart of Accounts'!$E$68</f>
        <v>24.4148</v>
      </c>
      <c r="O5069" s="42" t="n">
        <f aca="false">I5069+J5069+L5069</f>
        <v>221.1332</v>
      </c>
    </row>
    <row r="5070" customFormat="false" ht="15" hidden="false" customHeight="false" outlineLevel="0" collapsed="false">
      <c r="B5070" s="7" t="s">
        <v>13703</v>
      </c>
      <c r="C5070" s="39" t="n">
        <v>45971</v>
      </c>
      <c r="D5070" s="7" t="s">
        <v>246</v>
      </c>
      <c r="E5070" s="7" t="s">
        <v>180</v>
      </c>
      <c r="F5070" s="6" t="n">
        <v>7.99</v>
      </c>
      <c r="G5070" s="6" t="n">
        <v>0</v>
      </c>
      <c r="H5070" s="41" t="n">
        <v>16.48</v>
      </c>
      <c r="I5070" s="43" t="n">
        <f aca="false">F5070*H5070</f>
        <v>131.6752</v>
      </c>
      <c r="J5070" s="43" t="n">
        <f aca="false">G5070*H5070*1.5</f>
        <v>0</v>
      </c>
      <c r="K5070" s="6" t="n">
        <v>19.58</v>
      </c>
      <c r="L5070" s="43" t="n">
        <f aca="false">K5070*'Chart of Accounts'!$E$68</f>
        <v>13.1186</v>
      </c>
      <c r="O5070" s="42" t="n">
        <f aca="false">I5070+J5070+L5070</f>
        <v>144.7938</v>
      </c>
    </row>
    <row r="5071" customFormat="false" ht="15" hidden="false" customHeight="false" outlineLevel="0" collapsed="false">
      <c r="B5071" s="7" t="s">
        <v>13704</v>
      </c>
      <c r="C5071" s="39" t="n">
        <v>45971</v>
      </c>
      <c r="D5071" s="7" t="s">
        <v>232</v>
      </c>
      <c r="E5071" s="7" t="s">
        <v>180</v>
      </c>
      <c r="F5071" s="6" t="n">
        <v>4.64</v>
      </c>
      <c r="G5071" s="6" t="n">
        <v>0</v>
      </c>
      <c r="H5071" s="41" t="n">
        <v>16.17</v>
      </c>
      <c r="I5071" s="43" t="n">
        <f aca="false">F5071*H5071</f>
        <v>75.0288</v>
      </c>
      <c r="J5071" s="43" t="n">
        <f aca="false">G5071*H5071*1.5</f>
        <v>0</v>
      </c>
      <c r="K5071" s="6" t="n">
        <v>15.72</v>
      </c>
      <c r="L5071" s="43" t="n">
        <f aca="false">K5071*'Chart of Accounts'!$E$68</f>
        <v>10.5324</v>
      </c>
      <c r="O5071" s="42" t="n">
        <f aca="false">I5071+J5071+L5071</f>
        <v>85.5612</v>
      </c>
    </row>
    <row r="5072" customFormat="false" ht="15" hidden="false" customHeight="false" outlineLevel="0" collapsed="false">
      <c r="B5072" s="7" t="s">
        <v>13705</v>
      </c>
      <c r="C5072" s="39" t="n">
        <v>45972</v>
      </c>
      <c r="D5072" s="7" t="s">
        <v>254</v>
      </c>
      <c r="E5072" s="7" t="s">
        <v>180</v>
      </c>
      <c r="F5072" s="6" t="n">
        <v>6.454</v>
      </c>
      <c r="G5072" s="6" t="n">
        <v>1.526</v>
      </c>
      <c r="H5072" s="41" t="n">
        <v>17.1</v>
      </c>
      <c r="I5072" s="43" t="n">
        <f aca="false">F5072*H5072</f>
        <v>110.3634</v>
      </c>
      <c r="J5072" s="43" t="n">
        <f aca="false">G5072*H5072*1.5</f>
        <v>39.1419</v>
      </c>
      <c r="K5072" s="6" t="n">
        <v>25.09</v>
      </c>
      <c r="L5072" s="43" t="n">
        <f aca="false">K5072*'Chart of Accounts'!$E$68</f>
        <v>16.8103</v>
      </c>
      <c r="O5072" s="42" t="n">
        <f aca="false">I5072+J5072+L5072</f>
        <v>166.3156</v>
      </c>
    </row>
    <row r="5073" customFormat="false" ht="15" hidden="false" customHeight="false" outlineLevel="0" collapsed="false">
      <c r="B5073" s="7" t="s">
        <v>13706</v>
      </c>
      <c r="C5073" s="39" t="n">
        <v>45972</v>
      </c>
      <c r="D5073" s="7" t="s">
        <v>198</v>
      </c>
      <c r="E5073" s="7" t="s">
        <v>158</v>
      </c>
      <c r="H5073" s="41" t="n">
        <v>48.09</v>
      </c>
      <c r="M5073" s="6" t="n">
        <v>2</v>
      </c>
      <c r="N5073" s="43" t="n">
        <f aca="false">M5073*H5073</f>
        <v>96.18</v>
      </c>
      <c r="O5073" s="42" t="n">
        <f aca="false">N5073</f>
        <v>96.18</v>
      </c>
    </row>
    <row r="5074" customFormat="false" ht="15" hidden="false" customHeight="false" outlineLevel="0" collapsed="false">
      <c r="B5074" s="7" t="s">
        <v>13707</v>
      </c>
      <c r="C5074" s="39" t="n">
        <v>45972</v>
      </c>
      <c r="D5074" s="7" t="s">
        <v>209</v>
      </c>
      <c r="E5074" s="7" t="s">
        <v>158</v>
      </c>
      <c r="H5074" s="41" t="n">
        <v>73.58</v>
      </c>
      <c r="M5074" s="6" t="n">
        <v>2</v>
      </c>
      <c r="N5074" s="43" t="n">
        <f aca="false">M5074*H5074</f>
        <v>147.16</v>
      </c>
      <c r="O5074" s="42" t="n">
        <f aca="false">N5074</f>
        <v>147.16</v>
      </c>
    </row>
    <row r="5075" customFormat="false" ht="15" hidden="false" customHeight="false" outlineLevel="0" collapsed="false">
      <c r="B5075" s="7" t="s">
        <v>13708</v>
      </c>
      <c r="C5075" s="39" t="n">
        <v>45972</v>
      </c>
      <c r="D5075" s="7" t="s">
        <v>184</v>
      </c>
      <c r="E5075" s="7" t="s">
        <v>180</v>
      </c>
      <c r="F5075" s="6" t="n">
        <v>3.72</v>
      </c>
      <c r="G5075" s="6" t="n">
        <v>0</v>
      </c>
      <c r="H5075" s="41" t="n">
        <v>17.34</v>
      </c>
      <c r="I5075" s="43" t="n">
        <f aca="false">F5075*H5075</f>
        <v>64.5048</v>
      </c>
      <c r="J5075" s="43" t="n">
        <f aca="false">G5075*H5075*1.5</f>
        <v>0</v>
      </c>
      <c r="K5075" s="6" t="n">
        <v>11.45</v>
      </c>
      <c r="L5075" s="43" t="n">
        <f aca="false">K5075*'Chart of Accounts'!$E$68</f>
        <v>7.6715</v>
      </c>
      <c r="O5075" s="42" t="n">
        <f aca="false">I5075+J5075+L5075</f>
        <v>72.1763</v>
      </c>
    </row>
    <row r="5076" customFormat="false" ht="15" hidden="false" customHeight="false" outlineLevel="0" collapsed="false">
      <c r="B5076" s="7" t="s">
        <v>13709</v>
      </c>
      <c r="C5076" s="39" t="n">
        <v>45972</v>
      </c>
      <c r="D5076" s="7" t="s">
        <v>234</v>
      </c>
      <c r="E5076" s="7" t="s">
        <v>158</v>
      </c>
      <c r="H5076" s="41" t="n">
        <v>89.53</v>
      </c>
      <c r="M5076" s="6" t="n">
        <v>2</v>
      </c>
      <c r="N5076" s="43" t="n">
        <f aca="false">M5076*H5076</f>
        <v>179.06</v>
      </c>
      <c r="O5076" s="42" t="n">
        <f aca="false">N5076</f>
        <v>179.06</v>
      </c>
    </row>
    <row r="5077" customFormat="false" ht="15" hidden="false" customHeight="false" outlineLevel="0" collapsed="false">
      <c r="B5077" s="7" t="s">
        <v>13710</v>
      </c>
      <c r="C5077" s="39" t="n">
        <v>45972</v>
      </c>
      <c r="D5077" s="7" t="s">
        <v>218</v>
      </c>
      <c r="E5077" s="7" t="s">
        <v>180</v>
      </c>
      <c r="F5077" s="6" t="n">
        <v>3.95</v>
      </c>
      <c r="G5077" s="6" t="n">
        <v>0</v>
      </c>
      <c r="H5077" s="41" t="n">
        <v>16.19</v>
      </c>
      <c r="I5077" s="43" t="n">
        <f aca="false">F5077*H5077</f>
        <v>63.9505</v>
      </c>
      <c r="J5077" s="43" t="n">
        <f aca="false">G5077*H5077*1.5</f>
        <v>0</v>
      </c>
      <c r="K5077" s="6" t="n">
        <v>10.28</v>
      </c>
      <c r="L5077" s="43" t="n">
        <f aca="false">K5077*'Chart of Accounts'!$E$68</f>
        <v>6.8876</v>
      </c>
      <c r="O5077" s="42" t="n">
        <f aca="false">I5077+J5077+L5077</f>
        <v>70.8381</v>
      </c>
    </row>
    <row r="5078" customFormat="false" ht="15" hidden="false" customHeight="false" outlineLevel="0" collapsed="false">
      <c r="B5078" s="7" t="s">
        <v>13711</v>
      </c>
      <c r="C5078" s="39" t="n">
        <v>45972</v>
      </c>
      <c r="D5078" s="7" t="s">
        <v>228</v>
      </c>
      <c r="E5078" s="7" t="s">
        <v>158</v>
      </c>
      <c r="H5078" s="41" t="n">
        <v>51.07</v>
      </c>
      <c r="M5078" s="6" t="n">
        <v>1</v>
      </c>
      <c r="N5078" s="43" t="n">
        <f aca="false">M5078*H5078</f>
        <v>51.07</v>
      </c>
      <c r="O5078" s="42" t="n">
        <f aca="false">N5078</f>
        <v>51.07</v>
      </c>
    </row>
    <row r="5079" customFormat="false" ht="15" hidden="false" customHeight="false" outlineLevel="0" collapsed="false">
      <c r="B5079" s="7" t="s">
        <v>13712</v>
      </c>
      <c r="C5079" s="39" t="n">
        <v>45972</v>
      </c>
      <c r="D5079" s="7" t="s">
        <v>220</v>
      </c>
      <c r="E5079" s="7" t="s">
        <v>180</v>
      </c>
      <c r="F5079" s="6" t="n">
        <v>4.02</v>
      </c>
      <c r="G5079" s="6" t="n">
        <v>0</v>
      </c>
      <c r="H5079" s="41" t="n">
        <v>16.43</v>
      </c>
      <c r="I5079" s="43" t="n">
        <f aca="false">F5079*H5079</f>
        <v>66.0486</v>
      </c>
      <c r="J5079" s="43" t="n">
        <f aca="false">G5079*H5079*1.5</f>
        <v>0</v>
      </c>
      <c r="K5079" s="6" t="n">
        <v>11.13</v>
      </c>
      <c r="L5079" s="43" t="n">
        <f aca="false">K5079*'Chart of Accounts'!$E$68</f>
        <v>7.4571</v>
      </c>
      <c r="O5079" s="42" t="n">
        <f aca="false">I5079+J5079+L5079</f>
        <v>73.5057</v>
      </c>
    </row>
    <row r="5080" customFormat="false" ht="15" hidden="false" customHeight="false" outlineLevel="0" collapsed="false">
      <c r="B5080" s="7" t="s">
        <v>13713</v>
      </c>
      <c r="C5080" s="39" t="n">
        <v>45972</v>
      </c>
      <c r="D5080" s="7" t="s">
        <v>244</v>
      </c>
      <c r="E5080" s="7" t="s">
        <v>180</v>
      </c>
      <c r="F5080" s="6" t="n">
        <v>4.02</v>
      </c>
      <c r="G5080" s="6" t="n">
        <v>0</v>
      </c>
      <c r="H5080" s="41" t="n">
        <v>16.39</v>
      </c>
      <c r="I5080" s="43" t="n">
        <f aca="false">F5080*H5080</f>
        <v>65.8878</v>
      </c>
      <c r="J5080" s="43" t="n">
        <f aca="false">G5080*H5080*1.5</f>
        <v>0</v>
      </c>
      <c r="K5080" s="6" t="n">
        <v>11.04</v>
      </c>
      <c r="L5080" s="43" t="n">
        <f aca="false">K5080*'Chart of Accounts'!$E$68</f>
        <v>7.3968</v>
      </c>
      <c r="O5080" s="42" t="n">
        <f aca="false">I5080+J5080+L5080</f>
        <v>73.2846</v>
      </c>
    </row>
    <row r="5081" customFormat="false" ht="15" hidden="false" customHeight="false" outlineLevel="0" collapsed="false">
      <c r="B5081" s="7" t="s">
        <v>13714</v>
      </c>
      <c r="C5081" s="39" t="n">
        <v>45972</v>
      </c>
      <c r="D5081" s="7" t="s">
        <v>236</v>
      </c>
      <c r="E5081" s="7" t="s">
        <v>180</v>
      </c>
      <c r="F5081" s="6" t="n">
        <v>3.86</v>
      </c>
      <c r="G5081" s="6" t="n">
        <v>0</v>
      </c>
      <c r="H5081" s="41" t="n">
        <v>15.49</v>
      </c>
      <c r="I5081" s="43" t="n">
        <f aca="false">F5081*H5081</f>
        <v>59.7914</v>
      </c>
      <c r="J5081" s="43" t="n">
        <f aca="false">G5081*H5081*1.5</f>
        <v>0</v>
      </c>
      <c r="K5081" s="6" t="n">
        <v>8.95</v>
      </c>
      <c r="L5081" s="43" t="n">
        <f aca="false">K5081*'Chart of Accounts'!$E$68</f>
        <v>5.9965</v>
      </c>
      <c r="O5081" s="42" t="n">
        <f aca="false">I5081+J5081+L5081</f>
        <v>65.7879</v>
      </c>
    </row>
    <row r="5082" customFormat="false" ht="15" hidden="false" customHeight="false" outlineLevel="0" collapsed="false">
      <c r="B5082" s="7" t="s">
        <v>13715</v>
      </c>
      <c r="C5082" s="39" t="n">
        <v>45972</v>
      </c>
      <c r="D5082" s="7" t="s">
        <v>194</v>
      </c>
      <c r="E5082" s="7" t="s">
        <v>180</v>
      </c>
      <c r="F5082" s="6" t="n">
        <v>3.73</v>
      </c>
      <c r="G5082" s="6" t="n">
        <v>0</v>
      </c>
      <c r="H5082" s="41" t="n">
        <v>16</v>
      </c>
      <c r="I5082" s="43" t="n">
        <f aca="false">F5082*H5082</f>
        <v>59.68</v>
      </c>
      <c r="J5082" s="43" t="n">
        <f aca="false">G5082*H5082*1.5</f>
        <v>0</v>
      </c>
      <c r="K5082" s="6" t="n">
        <v>11.34</v>
      </c>
      <c r="L5082" s="43" t="n">
        <f aca="false">K5082*'Chart of Accounts'!$E$68</f>
        <v>7.5978</v>
      </c>
      <c r="O5082" s="42" t="n">
        <f aca="false">I5082+J5082+L5082</f>
        <v>67.2778</v>
      </c>
    </row>
    <row r="5083" customFormat="false" ht="15" hidden="false" customHeight="false" outlineLevel="0" collapsed="false">
      <c r="B5083" s="7" t="s">
        <v>13716</v>
      </c>
      <c r="C5083" s="39" t="n">
        <v>45972</v>
      </c>
      <c r="D5083" s="7" t="s">
        <v>258</v>
      </c>
      <c r="E5083" s="7" t="s">
        <v>158</v>
      </c>
      <c r="H5083" s="41" t="n">
        <v>61.61</v>
      </c>
      <c r="M5083" s="6" t="n">
        <v>1</v>
      </c>
      <c r="N5083" s="43" t="n">
        <f aca="false">M5083*H5083</f>
        <v>61.61</v>
      </c>
      <c r="O5083" s="42" t="n">
        <f aca="false">N5083</f>
        <v>61.61</v>
      </c>
    </row>
    <row r="5084" customFormat="false" ht="15" hidden="false" customHeight="false" outlineLevel="0" collapsed="false">
      <c r="B5084" s="7" t="s">
        <v>13717</v>
      </c>
      <c r="C5084" s="39" t="n">
        <v>45972</v>
      </c>
      <c r="D5084" s="7" t="s">
        <v>230</v>
      </c>
      <c r="E5084" s="7" t="s">
        <v>158</v>
      </c>
      <c r="H5084" s="41" t="n">
        <v>48.78</v>
      </c>
      <c r="M5084" s="6" t="n">
        <v>1</v>
      </c>
      <c r="N5084" s="43" t="n">
        <f aca="false">M5084*H5084</f>
        <v>48.78</v>
      </c>
      <c r="O5084" s="42" t="n">
        <f aca="false">N5084</f>
        <v>48.78</v>
      </c>
    </row>
    <row r="5085" customFormat="false" ht="15" hidden="false" customHeight="false" outlineLevel="0" collapsed="false">
      <c r="B5085" s="7" t="s">
        <v>13718</v>
      </c>
      <c r="C5085" s="39" t="n">
        <v>45972</v>
      </c>
      <c r="D5085" s="7" t="s">
        <v>196</v>
      </c>
      <c r="E5085" s="7" t="s">
        <v>180</v>
      </c>
      <c r="F5085" s="6" t="n">
        <v>3.424</v>
      </c>
      <c r="G5085" s="6" t="n">
        <v>0.556</v>
      </c>
      <c r="H5085" s="41" t="n">
        <v>15.05</v>
      </c>
      <c r="I5085" s="43" t="n">
        <f aca="false">F5085*H5085</f>
        <v>51.5312</v>
      </c>
      <c r="J5085" s="43" t="n">
        <f aca="false">G5085*H5085*1.5</f>
        <v>12.5517</v>
      </c>
      <c r="K5085" s="6" t="n">
        <v>10.68</v>
      </c>
      <c r="L5085" s="43" t="n">
        <f aca="false">K5085*'Chart of Accounts'!$E$68</f>
        <v>7.1556</v>
      </c>
      <c r="O5085" s="42" t="n">
        <f aca="false">I5085+J5085+L5085</f>
        <v>71.2385</v>
      </c>
    </row>
    <row r="5086" customFormat="false" ht="15" hidden="false" customHeight="false" outlineLevel="0" collapsed="false">
      <c r="B5086" s="7" t="s">
        <v>13719</v>
      </c>
      <c r="C5086" s="39" t="n">
        <v>45972</v>
      </c>
      <c r="D5086" s="7" t="s">
        <v>246</v>
      </c>
      <c r="E5086" s="7" t="s">
        <v>180</v>
      </c>
      <c r="F5086" s="6" t="n">
        <v>4.28</v>
      </c>
      <c r="G5086" s="6" t="n">
        <v>0</v>
      </c>
      <c r="H5086" s="41" t="n">
        <v>16.48</v>
      </c>
      <c r="I5086" s="43" t="n">
        <f aca="false">F5086*H5086</f>
        <v>70.5344</v>
      </c>
      <c r="J5086" s="43" t="n">
        <f aca="false">G5086*H5086*1.5</f>
        <v>0</v>
      </c>
      <c r="K5086" s="6" t="n">
        <v>9.69</v>
      </c>
      <c r="L5086" s="43" t="n">
        <f aca="false">K5086*'Chart of Accounts'!$E$68</f>
        <v>6.4923</v>
      </c>
      <c r="O5086" s="42" t="n">
        <f aca="false">I5086+J5086+L5086</f>
        <v>77.0267</v>
      </c>
    </row>
    <row r="5087" customFormat="false" ht="15" hidden="false" customHeight="false" outlineLevel="0" collapsed="false">
      <c r="B5087" s="7" t="s">
        <v>13720</v>
      </c>
      <c r="C5087" s="39" t="n">
        <v>45972</v>
      </c>
      <c r="D5087" s="7" t="s">
        <v>222</v>
      </c>
      <c r="E5087" s="7" t="s">
        <v>180</v>
      </c>
      <c r="F5087" s="6" t="n">
        <v>3.717</v>
      </c>
      <c r="G5087" s="6" t="n">
        <v>0.193</v>
      </c>
      <c r="H5087" s="41" t="n">
        <v>17.84</v>
      </c>
      <c r="I5087" s="43" t="n">
        <f aca="false">F5087*H5087</f>
        <v>66.31128</v>
      </c>
      <c r="J5087" s="43" t="n">
        <f aca="false">G5087*H5087*1.5</f>
        <v>5.16468</v>
      </c>
      <c r="K5087" s="6" t="n">
        <v>10.74</v>
      </c>
      <c r="L5087" s="43" t="n">
        <f aca="false">K5087*'Chart of Accounts'!$E$68</f>
        <v>7.1958</v>
      </c>
      <c r="O5087" s="42" t="n">
        <f aca="false">I5087+J5087+L5087</f>
        <v>78.67176</v>
      </c>
    </row>
    <row r="5088" customFormat="false" ht="15" hidden="false" customHeight="false" outlineLevel="0" collapsed="false">
      <c r="B5088" s="7" t="s">
        <v>13721</v>
      </c>
      <c r="C5088" s="39" t="n">
        <v>45972</v>
      </c>
      <c r="D5088" s="7" t="s">
        <v>242</v>
      </c>
      <c r="E5088" s="7" t="s">
        <v>180</v>
      </c>
      <c r="F5088" s="6" t="n">
        <v>4.13</v>
      </c>
      <c r="G5088" s="6" t="n">
        <v>0</v>
      </c>
      <c r="H5088" s="41" t="n">
        <v>17.99</v>
      </c>
      <c r="I5088" s="43" t="n">
        <f aca="false">F5088*H5088</f>
        <v>74.2987</v>
      </c>
      <c r="J5088" s="43" t="n">
        <f aca="false">G5088*H5088*1.5</f>
        <v>0</v>
      </c>
      <c r="K5088" s="6" t="n">
        <v>14.04</v>
      </c>
      <c r="L5088" s="43" t="n">
        <f aca="false">K5088*'Chart of Accounts'!$E$68</f>
        <v>9.4068</v>
      </c>
      <c r="O5088" s="42" t="n">
        <f aca="false">I5088+J5088+L5088</f>
        <v>83.7055</v>
      </c>
    </row>
    <row r="5089" customFormat="false" ht="15" hidden="false" customHeight="false" outlineLevel="0" collapsed="false">
      <c r="B5089" s="7" t="s">
        <v>13722</v>
      </c>
      <c r="C5089" s="39" t="n">
        <v>45972</v>
      </c>
      <c r="D5089" s="7" t="s">
        <v>203</v>
      </c>
      <c r="E5089" s="7" t="s">
        <v>158</v>
      </c>
      <c r="H5089" s="41" t="n">
        <v>49.43</v>
      </c>
      <c r="M5089" s="6" t="n">
        <v>1</v>
      </c>
      <c r="N5089" s="43" t="n">
        <f aca="false">M5089*H5089</f>
        <v>49.43</v>
      </c>
      <c r="O5089" s="42" t="n">
        <f aca="false">N5089</f>
        <v>49.43</v>
      </c>
    </row>
    <row r="5090" customFormat="false" ht="15" hidden="false" customHeight="false" outlineLevel="0" collapsed="false">
      <c r="B5090" s="7" t="s">
        <v>13723</v>
      </c>
      <c r="C5090" s="39" t="n">
        <v>45972</v>
      </c>
      <c r="D5090" s="7" t="s">
        <v>260</v>
      </c>
      <c r="E5090" s="7" t="s">
        <v>158</v>
      </c>
      <c r="H5090" s="41" t="n">
        <v>79.8</v>
      </c>
      <c r="M5090" s="6" t="n">
        <v>1</v>
      </c>
      <c r="N5090" s="43" t="n">
        <f aca="false">M5090*H5090</f>
        <v>79.8</v>
      </c>
      <c r="O5090" s="42" t="n">
        <f aca="false">N5090</f>
        <v>79.8</v>
      </c>
    </row>
    <row r="5091" customFormat="false" ht="15" hidden="false" customHeight="false" outlineLevel="0" collapsed="false">
      <c r="B5091" s="7" t="s">
        <v>13724</v>
      </c>
      <c r="C5091" s="39" t="n">
        <v>45973</v>
      </c>
      <c r="D5091" s="7" t="s">
        <v>224</v>
      </c>
      <c r="E5091" s="7" t="s">
        <v>180</v>
      </c>
      <c r="F5091" s="6" t="n">
        <v>8.13</v>
      </c>
      <c r="G5091" s="6" t="n">
        <v>0</v>
      </c>
      <c r="H5091" s="41" t="n">
        <v>14.93</v>
      </c>
      <c r="I5091" s="43" t="n">
        <f aca="false">F5091*H5091</f>
        <v>121.3809</v>
      </c>
      <c r="J5091" s="43" t="n">
        <f aca="false">G5091*H5091*1.5</f>
        <v>0</v>
      </c>
      <c r="K5091" s="6" t="n">
        <v>21.14</v>
      </c>
      <c r="L5091" s="43" t="n">
        <f aca="false">K5091*'Chart of Accounts'!$E$68</f>
        <v>14.1638</v>
      </c>
      <c r="O5091" s="42" t="n">
        <f aca="false">I5091+J5091+L5091</f>
        <v>135.5447</v>
      </c>
    </row>
    <row r="5092" customFormat="false" ht="15" hidden="false" customHeight="false" outlineLevel="0" collapsed="false">
      <c r="B5092" s="7" t="s">
        <v>13725</v>
      </c>
      <c r="C5092" s="39" t="n">
        <v>45973</v>
      </c>
      <c r="D5092" s="7" t="s">
        <v>194</v>
      </c>
      <c r="E5092" s="7" t="s">
        <v>180</v>
      </c>
      <c r="F5092" s="6" t="n">
        <v>8.51</v>
      </c>
      <c r="G5092" s="6" t="n">
        <v>0</v>
      </c>
      <c r="H5092" s="41" t="n">
        <v>16</v>
      </c>
      <c r="I5092" s="43" t="n">
        <f aca="false">F5092*H5092</f>
        <v>136.16</v>
      </c>
      <c r="J5092" s="43" t="n">
        <f aca="false">G5092*H5092*1.5</f>
        <v>0</v>
      </c>
      <c r="K5092" s="6" t="n">
        <v>20.38</v>
      </c>
      <c r="L5092" s="43" t="n">
        <f aca="false">K5092*'Chart of Accounts'!$E$68</f>
        <v>13.6546</v>
      </c>
      <c r="O5092" s="42" t="n">
        <f aca="false">I5092+J5092+L5092</f>
        <v>149.8146</v>
      </c>
    </row>
    <row r="5093" customFormat="false" ht="15" hidden="false" customHeight="false" outlineLevel="0" collapsed="false">
      <c r="B5093" s="7" t="s">
        <v>13726</v>
      </c>
      <c r="C5093" s="39" t="n">
        <v>45973</v>
      </c>
      <c r="D5093" s="7" t="s">
        <v>214</v>
      </c>
      <c r="E5093" s="7" t="s">
        <v>180</v>
      </c>
      <c r="F5093" s="6" t="n">
        <v>7.86</v>
      </c>
      <c r="G5093" s="6" t="n">
        <v>0</v>
      </c>
      <c r="H5093" s="41" t="n">
        <v>15.67</v>
      </c>
      <c r="I5093" s="43" t="n">
        <f aca="false">F5093*H5093</f>
        <v>123.1662</v>
      </c>
      <c r="J5093" s="43" t="n">
        <f aca="false">G5093*H5093*1.5</f>
        <v>0</v>
      </c>
      <c r="K5093" s="6" t="n">
        <v>28.08</v>
      </c>
      <c r="L5093" s="43" t="n">
        <f aca="false">K5093*'Chart of Accounts'!$E$68</f>
        <v>18.8136</v>
      </c>
      <c r="O5093" s="42" t="n">
        <f aca="false">I5093+J5093+L5093</f>
        <v>141.9798</v>
      </c>
    </row>
    <row r="5094" customFormat="false" ht="15" hidden="false" customHeight="false" outlineLevel="0" collapsed="false">
      <c r="B5094" s="7" t="s">
        <v>13727</v>
      </c>
      <c r="C5094" s="39" t="n">
        <v>45973</v>
      </c>
      <c r="D5094" s="7" t="s">
        <v>205</v>
      </c>
      <c r="E5094" s="7" t="s">
        <v>180</v>
      </c>
      <c r="F5094" s="6" t="n">
        <v>3.97</v>
      </c>
      <c r="G5094" s="6" t="n">
        <v>0</v>
      </c>
      <c r="H5094" s="41" t="n">
        <v>16.36</v>
      </c>
      <c r="I5094" s="43" t="n">
        <f aca="false">F5094*H5094</f>
        <v>64.9492</v>
      </c>
      <c r="J5094" s="43" t="n">
        <f aca="false">G5094*H5094*1.5</f>
        <v>0</v>
      </c>
      <c r="K5094" s="6" t="n">
        <v>10.96</v>
      </c>
      <c r="L5094" s="43" t="n">
        <f aca="false">K5094*'Chart of Accounts'!$E$68</f>
        <v>7.3432</v>
      </c>
      <c r="O5094" s="42" t="n">
        <f aca="false">I5094+J5094+L5094</f>
        <v>72.2924</v>
      </c>
    </row>
    <row r="5095" customFormat="false" ht="15" hidden="false" customHeight="false" outlineLevel="0" collapsed="false">
      <c r="B5095" s="7" t="s">
        <v>13728</v>
      </c>
      <c r="C5095" s="39" t="n">
        <v>45973</v>
      </c>
      <c r="D5095" s="7" t="s">
        <v>264</v>
      </c>
      <c r="E5095" s="7" t="s">
        <v>158</v>
      </c>
      <c r="H5095" s="41" t="n">
        <v>55.55</v>
      </c>
      <c r="M5095" s="6" t="n">
        <v>1</v>
      </c>
      <c r="N5095" s="43" t="n">
        <f aca="false">M5095*H5095</f>
        <v>55.55</v>
      </c>
      <c r="O5095" s="42" t="n">
        <f aca="false">N5095</f>
        <v>55.55</v>
      </c>
    </row>
    <row r="5096" customFormat="false" ht="15" hidden="false" customHeight="false" outlineLevel="0" collapsed="false">
      <c r="B5096" s="7" t="s">
        <v>13729</v>
      </c>
      <c r="C5096" s="39" t="n">
        <v>45973</v>
      </c>
      <c r="D5096" s="7" t="s">
        <v>252</v>
      </c>
      <c r="E5096" s="7" t="s">
        <v>158</v>
      </c>
      <c r="H5096" s="41" t="n">
        <v>57.54</v>
      </c>
      <c r="M5096" s="6" t="n">
        <v>1</v>
      </c>
      <c r="N5096" s="43" t="n">
        <f aca="false">M5096*H5096</f>
        <v>57.54</v>
      </c>
      <c r="O5096" s="42" t="n">
        <f aca="false">N5096</f>
        <v>57.54</v>
      </c>
    </row>
    <row r="5097" customFormat="false" ht="15" hidden="false" customHeight="false" outlineLevel="0" collapsed="false">
      <c r="B5097" s="7" t="s">
        <v>13730</v>
      </c>
      <c r="C5097" s="39" t="n">
        <v>45973</v>
      </c>
      <c r="D5097" s="7" t="s">
        <v>184</v>
      </c>
      <c r="E5097" s="7" t="s">
        <v>180</v>
      </c>
      <c r="F5097" s="6" t="n">
        <v>7.97</v>
      </c>
      <c r="G5097" s="6" t="n">
        <v>0</v>
      </c>
      <c r="H5097" s="41" t="n">
        <v>17.34</v>
      </c>
      <c r="I5097" s="43" t="n">
        <f aca="false">F5097*H5097</f>
        <v>138.1998</v>
      </c>
      <c r="J5097" s="43" t="n">
        <f aca="false">G5097*H5097*1.5</f>
        <v>0</v>
      </c>
      <c r="K5097" s="6" t="n">
        <v>22.77</v>
      </c>
      <c r="L5097" s="43" t="n">
        <f aca="false">K5097*'Chart of Accounts'!$E$68</f>
        <v>15.2559</v>
      </c>
      <c r="O5097" s="42" t="n">
        <f aca="false">I5097+J5097+L5097</f>
        <v>153.4557</v>
      </c>
    </row>
    <row r="5098" customFormat="false" ht="15" hidden="false" customHeight="false" outlineLevel="0" collapsed="false">
      <c r="B5098" s="7" t="s">
        <v>13731</v>
      </c>
      <c r="C5098" s="39" t="n">
        <v>45973</v>
      </c>
      <c r="D5098" s="7" t="s">
        <v>216</v>
      </c>
      <c r="E5098" s="7" t="s">
        <v>158</v>
      </c>
      <c r="H5098" s="41" t="n">
        <v>61.79</v>
      </c>
      <c r="M5098" s="6" t="n">
        <v>1</v>
      </c>
      <c r="N5098" s="43" t="n">
        <f aca="false">M5098*H5098</f>
        <v>61.79</v>
      </c>
      <c r="O5098" s="42" t="n">
        <f aca="false">N5098</f>
        <v>61.79</v>
      </c>
    </row>
    <row r="5099" customFormat="false" ht="15" hidden="false" customHeight="false" outlineLevel="0" collapsed="false">
      <c r="B5099" s="7" t="s">
        <v>13732</v>
      </c>
      <c r="C5099" s="39" t="n">
        <v>45973</v>
      </c>
      <c r="D5099" s="7" t="s">
        <v>218</v>
      </c>
      <c r="E5099" s="7" t="s">
        <v>180</v>
      </c>
      <c r="F5099" s="6" t="n">
        <v>3.85</v>
      </c>
      <c r="G5099" s="6" t="n">
        <v>0</v>
      </c>
      <c r="H5099" s="41" t="n">
        <v>16.19</v>
      </c>
      <c r="I5099" s="43" t="n">
        <f aca="false">F5099*H5099</f>
        <v>62.3315</v>
      </c>
      <c r="J5099" s="43" t="n">
        <f aca="false">G5099*H5099*1.5</f>
        <v>0</v>
      </c>
      <c r="K5099" s="6" t="n">
        <v>10.05</v>
      </c>
      <c r="L5099" s="43" t="n">
        <f aca="false">K5099*'Chart of Accounts'!$E$68</f>
        <v>6.7335</v>
      </c>
      <c r="O5099" s="42" t="n">
        <f aca="false">I5099+J5099+L5099</f>
        <v>69.065</v>
      </c>
    </row>
    <row r="5100" customFormat="false" ht="15" hidden="false" customHeight="false" outlineLevel="0" collapsed="false">
      <c r="B5100" s="7" t="s">
        <v>13733</v>
      </c>
      <c r="C5100" s="39" t="n">
        <v>45973</v>
      </c>
      <c r="D5100" s="7" t="s">
        <v>220</v>
      </c>
      <c r="E5100" s="7" t="s">
        <v>180</v>
      </c>
      <c r="F5100" s="6" t="n">
        <v>4.03</v>
      </c>
      <c r="G5100" s="6" t="n">
        <v>0</v>
      </c>
      <c r="H5100" s="41" t="n">
        <v>16.43</v>
      </c>
      <c r="I5100" s="43" t="n">
        <f aca="false">F5100*H5100</f>
        <v>66.2129</v>
      </c>
      <c r="J5100" s="43" t="n">
        <f aca="false">G5100*H5100*1.5</f>
        <v>0</v>
      </c>
      <c r="K5100" s="6" t="n">
        <v>12.88</v>
      </c>
      <c r="L5100" s="43" t="n">
        <f aca="false">K5100*'Chart of Accounts'!$E$68</f>
        <v>8.6296</v>
      </c>
      <c r="O5100" s="42" t="n">
        <f aca="false">I5100+J5100+L5100</f>
        <v>74.8425</v>
      </c>
    </row>
    <row r="5101" customFormat="false" ht="15" hidden="false" customHeight="false" outlineLevel="0" collapsed="false">
      <c r="B5101" s="7" t="s">
        <v>13734</v>
      </c>
      <c r="C5101" s="39" t="n">
        <v>45973</v>
      </c>
      <c r="D5101" s="7" t="s">
        <v>236</v>
      </c>
      <c r="E5101" s="7" t="s">
        <v>180</v>
      </c>
      <c r="F5101" s="6" t="n">
        <v>3.59</v>
      </c>
      <c r="G5101" s="6" t="n">
        <v>0</v>
      </c>
      <c r="H5101" s="41" t="n">
        <v>15.49</v>
      </c>
      <c r="I5101" s="43" t="n">
        <f aca="false">F5101*H5101</f>
        <v>55.6091</v>
      </c>
      <c r="J5101" s="43" t="n">
        <f aca="false">G5101*H5101*1.5</f>
        <v>0</v>
      </c>
      <c r="K5101" s="6" t="n">
        <v>12.37</v>
      </c>
      <c r="L5101" s="43" t="n">
        <f aca="false">K5101*'Chart of Accounts'!$E$68</f>
        <v>8.2879</v>
      </c>
      <c r="O5101" s="42" t="n">
        <f aca="false">I5101+J5101+L5101</f>
        <v>63.897</v>
      </c>
    </row>
    <row r="5102" customFormat="false" ht="15" hidden="false" customHeight="false" outlineLevel="0" collapsed="false">
      <c r="B5102" s="7" t="s">
        <v>13735</v>
      </c>
      <c r="C5102" s="39" t="n">
        <v>45973</v>
      </c>
      <c r="D5102" s="7" t="s">
        <v>177</v>
      </c>
      <c r="E5102" s="7" t="s">
        <v>180</v>
      </c>
      <c r="F5102" s="6" t="n">
        <v>8.27</v>
      </c>
      <c r="G5102" s="6" t="n">
        <v>0</v>
      </c>
      <c r="H5102" s="41" t="n">
        <v>14.56</v>
      </c>
      <c r="I5102" s="43" t="n">
        <f aca="false">F5102*H5102</f>
        <v>120.4112</v>
      </c>
      <c r="J5102" s="43" t="n">
        <f aca="false">G5102*H5102*1.5</f>
        <v>0</v>
      </c>
      <c r="K5102" s="6" t="n">
        <v>21.9</v>
      </c>
      <c r="L5102" s="43" t="n">
        <f aca="false">K5102*'Chart of Accounts'!$E$68</f>
        <v>14.673</v>
      </c>
      <c r="O5102" s="42" t="n">
        <f aca="false">I5102+J5102+L5102</f>
        <v>135.0842</v>
      </c>
    </row>
    <row r="5103" customFormat="false" ht="15" hidden="false" customHeight="false" outlineLevel="0" collapsed="false">
      <c r="B5103" s="7" t="s">
        <v>13736</v>
      </c>
      <c r="C5103" s="39" t="n">
        <v>45973</v>
      </c>
      <c r="D5103" s="7" t="s">
        <v>242</v>
      </c>
      <c r="E5103" s="7" t="s">
        <v>180</v>
      </c>
      <c r="F5103" s="6" t="n">
        <v>7.54</v>
      </c>
      <c r="G5103" s="6" t="n">
        <v>0</v>
      </c>
      <c r="H5103" s="41" t="n">
        <v>17.99</v>
      </c>
      <c r="I5103" s="43" t="n">
        <f aca="false">F5103*H5103</f>
        <v>135.6446</v>
      </c>
      <c r="J5103" s="43" t="n">
        <f aca="false">G5103*H5103*1.5</f>
        <v>0</v>
      </c>
      <c r="K5103" s="6" t="n">
        <v>26.16</v>
      </c>
      <c r="L5103" s="43" t="n">
        <f aca="false">K5103*'Chart of Accounts'!$E$68</f>
        <v>17.5272</v>
      </c>
      <c r="O5103" s="42" t="n">
        <f aca="false">I5103+J5103+L5103</f>
        <v>153.1718</v>
      </c>
    </row>
    <row r="5104" customFormat="false" ht="15" hidden="false" customHeight="false" outlineLevel="0" collapsed="false">
      <c r="B5104" s="7" t="s">
        <v>13737</v>
      </c>
      <c r="C5104" s="39" t="n">
        <v>45973</v>
      </c>
      <c r="D5104" s="7" t="s">
        <v>238</v>
      </c>
      <c r="E5104" s="7" t="s">
        <v>180</v>
      </c>
      <c r="F5104" s="6" t="n">
        <v>8.47</v>
      </c>
      <c r="G5104" s="6" t="n">
        <v>0</v>
      </c>
      <c r="H5104" s="41" t="n">
        <v>15.85</v>
      </c>
      <c r="I5104" s="43" t="n">
        <f aca="false">F5104*H5104</f>
        <v>134.2495</v>
      </c>
      <c r="J5104" s="43" t="n">
        <f aca="false">G5104*H5104*1.5</f>
        <v>0</v>
      </c>
      <c r="K5104" s="6" t="n">
        <v>20.23</v>
      </c>
      <c r="L5104" s="43" t="n">
        <f aca="false">K5104*'Chart of Accounts'!$E$68</f>
        <v>13.5541</v>
      </c>
      <c r="O5104" s="42" t="n">
        <f aca="false">I5104+J5104+L5104</f>
        <v>147.8036</v>
      </c>
    </row>
    <row r="5105" customFormat="false" ht="15" hidden="false" customHeight="false" outlineLevel="0" collapsed="false">
      <c r="B5105" s="7" t="s">
        <v>13738</v>
      </c>
      <c r="C5105" s="39" t="n">
        <v>45973</v>
      </c>
      <c r="D5105" s="7" t="s">
        <v>244</v>
      </c>
      <c r="E5105" s="7" t="s">
        <v>180</v>
      </c>
      <c r="F5105" s="6" t="n">
        <v>4.25</v>
      </c>
      <c r="G5105" s="6" t="n">
        <v>0</v>
      </c>
      <c r="H5105" s="41" t="n">
        <v>16.39</v>
      </c>
      <c r="I5105" s="43" t="n">
        <f aca="false">F5105*H5105</f>
        <v>69.6575</v>
      </c>
      <c r="J5105" s="43" t="n">
        <f aca="false">G5105*H5105*1.5</f>
        <v>0</v>
      </c>
      <c r="K5105" s="6" t="n">
        <v>14</v>
      </c>
      <c r="L5105" s="43" t="n">
        <f aca="false">K5105*'Chart of Accounts'!$E$68</f>
        <v>9.38</v>
      </c>
      <c r="O5105" s="42" t="n">
        <f aca="false">I5105+J5105+L5105</f>
        <v>79.0375</v>
      </c>
    </row>
    <row r="5106" customFormat="false" ht="15" hidden="false" customHeight="false" outlineLevel="0" collapsed="false">
      <c r="B5106" s="7" t="s">
        <v>13739</v>
      </c>
      <c r="C5106" s="39" t="n">
        <v>45973</v>
      </c>
      <c r="D5106" s="7" t="s">
        <v>254</v>
      </c>
      <c r="E5106" s="7" t="s">
        <v>180</v>
      </c>
      <c r="F5106" s="6" t="n">
        <v>5.799</v>
      </c>
      <c r="G5106" s="6" t="n">
        <v>1.371</v>
      </c>
      <c r="H5106" s="41" t="n">
        <v>17.1</v>
      </c>
      <c r="I5106" s="43" t="n">
        <f aca="false">F5106*H5106</f>
        <v>99.1629</v>
      </c>
      <c r="J5106" s="43" t="n">
        <f aca="false">G5106*H5106*1.5</f>
        <v>35.16615</v>
      </c>
      <c r="K5106" s="6" t="n">
        <v>22.66</v>
      </c>
      <c r="L5106" s="43" t="n">
        <f aca="false">K5106*'Chart of Accounts'!$E$68</f>
        <v>15.1822</v>
      </c>
      <c r="O5106" s="42" t="n">
        <f aca="false">I5106+J5106+L5106</f>
        <v>149.51125</v>
      </c>
    </row>
    <row r="5107" customFormat="false" ht="15" hidden="false" customHeight="false" outlineLevel="0" collapsed="false">
      <c r="B5107" s="7" t="s">
        <v>13740</v>
      </c>
      <c r="C5107" s="39" t="n">
        <v>45973</v>
      </c>
      <c r="D5107" s="7" t="s">
        <v>201</v>
      </c>
      <c r="E5107" s="7" t="s">
        <v>180</v>
      </c>
      <c r="F5107" s="6" t="n">
        <v>3.31</v>
      </c>
      <c r="G5107" s="6" t="n">
        <v>0</v>
      </c>
      <c r="H5107" s="41" t="n">
        <v>15.19</v>
      </c>
      <c r="I5107" s="43" t="n">
        <f aca="false">F5107*H5107</f>
        <v>50.2789</v>
      </c>
      <c r="J5107" s="43" t="n">
        <f aca="false">G5107*H5107*1.5</f>
        <v>0</v>
      </c>
      <c r="K5107" s="6" t="n">
        <v>7.88</v>
      </c>
      <c r="L5107" s="43" t="n">
        <f aca="false">K5107*'Chart of Accounts'!$E$68</f>
        <v>5.2796</v>
      </c>
      <c r="O5107" s="42" t="n">
        <f aca="false">I5107+J5107+L5107</f>
        <v>55.5585</v>
      </c>
    </row>
    <row r="5108" customFormat="false" ht="15" hidden="false" customHeight="false" outlineLevel="0" collapsed="false">
      <c r="B5108" s="7" t="s">
        <v>13741</v>
      </c>
      <c r="C5108" s="39" t="n">
        <v>45973</v>
      </c>
      <c r="D5108" s="7" t="s">
        <v>246</v>
      </c>
      <c r="E5108" s="7" t="s">
        <v>180</v>
      </c>
      <c r="F5108" s="6" t="n">
        <v>7.32</v>
      </c>
      <c r="G5108" s="6" t="n">
        <v>0</v>
      </c>
      <c r="H5108" s="41" t="n">
        <v>16.48</v>
      </c>
      <c r="I5108" s="43" t="n">
        <f aca="false">F5108*H5108</f>
        <v>120.6336</v>
      </c>
      <c r="J5108" s="43" t="n">
        <f aca="false">G5108*H5108*1.5</f>
        <v>0</v>
      </c>
      <c r="K5108" s="6" t="n">
        <v>24.37</v>
      </c>
      <c r="L5108" s="43" t="n">
        <f aca="false">K5108*'Chart of Accounts'!$E$68</f>
        <v>16.3279</v>
      </c>
      <c r="O5108" s="42" t="n">
        <f aca="false">I5108+J5108+L5108</f>
        <v>136.9615</v>
      </c>
    </row>
    <row r="5109" customFormat="false" ht="15" hidden="false" customHeight="false" outlineLevel="0" collapsed="false">
      <c r="B5109" s="7" t="s">
        <v>13742</v>
      </c>
      <c r="C5109" s="39" t="n">
        <v>45973</v>
      </c>
      <c r="D5109" s="7" t="s">
        <v>256</v>
      </c>
      <c r="E5109" s="7" t="s">
        <v>180</v>
      </c>
      <c r="F5109" s="6" t="n">
        <v>3.9</v>
      </c>
      <c r="G5109" s="6" t="n">
        <v>0</v>
      </c>
      <c r="H5109" s="41" t="n">
        <v>15.63</v>
      </c>
      <c r="I5109" s="43" t="n">
        <f aca="false">F5109*H5109</f>
        <v>60.957</v>
      </c>
      <c r="J5109" s="43" t="n">
        <f aca="false">G5109*H5109*1.5</f>
        <v>0</v>
      </c>
      <c r="K5109" s="6" t="n">
        <v>13.81</v>
      </c>
      <c r="L5109" s="43" t="n">
        <f aca="false">K5109*'Chart of Accounts'!$E$68</f>
        <v>9.2527</v>
      </c>
      <c r="O5109" s="42" t="n">
        <f aca="false">I5109+J5109+L5109</f>
        <v>70.2097</v>
      </c>
    </row>
    <row r="5110" customFormat="false" ht="15" hidden="false" customHeight="false" outlineLevel="0" collapsed="false">
      <c r="B5110" s="7" t="s">
        <v>13743</v>
      </c>
      <c r="C5110" s="39" t="n">
        <v>45973</v>
      </c>
      <c r="D5110" s="7" t="s">
        <v>232</v>
      </c>
      <c r="E5110" s="7" t="s">
        <v>180</v>
      </c>
      <c r="F5110" s="6" t="n">
        <v>4.71</v>
      </c>
      <c r="G5110" s="6" t="n">
        <v>0</v>
      </c>
      <c r="H5110" s="41" t="n">
        <v>16.17</v>
      </c>
      <c r="I5110" s="43" t="n">
        <f aca="false">F5110*H5110</f>
        <v>76.1607</v>
      </c>
      <c r="J5110" s="43" t="n">
        <f aca="false">G5110*H5110*1.5</f>
        <v>0</v>
      </c>
      <c r="K5110" s="6" t="n">
        <v>10.92</v>
      </c>
      <c r="L5110" s="43" t="n">
        <f aca="false">K5110*'Chart of Accounts'!$E$68</f>
        <v>7.3164</v>
      </c>
      <c r="O5110" s="42" t="n">
        <f aca="false">I5110+J5110+L5110</f>
        <v>83.4771</v>
      </c>
    </row>
    <row r="5111" customFormat="false" ht="15" hidden="false" customHeight="false" outlineLevel="0" collapsed="false">
      <c r="B5111" s="7" t="s">
        <v>13744</v>
      </c>
      <c r="C5111" s="39" t="n">
        <v>45973</v>
      </c>
      <c r="D5111" s="7" t="s">
        <v>196</v>
      </c>
      <c r="E5111" s="7" t="s">
        <v>180</v>
      </c>
      <c r="F5111" s="6" t="n">
        <v>6.436</v>
      </c>
      <c r="G5111" s="6" t="n">
        <v>1.044</v>
      </c>
      <c r="H5111" s="41" t="n">
        <v>15.05</v>
      </c>
      <c r="I5111" s="43" t="n">
        <f aca="false">F5111*H5111</f>
        <v>96.8618</v>
      </c>
      <c r="J5111" s="43" t="n">
        <f aca="false">G5111*H5111*1.5</f>
        <v>23.5683</v>
      </c>
      <c r="K5111" s="6" t="n">
        <v>24.4</v>
      </c>
      <c r="L5111" s="43" t="n">
        <f aca="false">K5111*'Chart of Accounts'!$E$68</f>
        <v>16.348</v>
      </c>
      <c r="O5111" s="42" t="n">
        <f aca="false">I5111+J5111+L5111</f>
        <v>136.7781</v>
      </c>
    </row>
    <row r="5112" customFormat="false" ht="15" hidden="false" customHeight="false" outlineLevel="0" collapsed="false">
      <c r="B5112" s="7" t="s">
        <v>13745</v>
      </c>
      <c r="C5112" s="39" t="n">
        <v>45973</v>
      </c>
      <c r="D5112" s="7" t="s">
        <v>222</v>
      </c>
      <c r="E5112" s="7" t="s">
        <v>180</v>
      </c>
      <c r="F5112" s="6" t="n">
        <v>4.068</v>
      </c>
      <c r="G5112" s="6" t="n">
        <v>0.212</v>
      </c>
      <c r="H5112" s="41" t="n">
        <v>17.84</v>
      </c>
      <c r="I5112" s="43" t="n">
        <f aca="false">F5112*H5112</f>
        <v>72.57312</v>
      </c>
      <c r="J5112" s="43" t="n">
        <f aca="false">G5112*H5112*1.5</f>
        <v>5.67312</v>
      </c>
      <c r="K5112" s="6" t="n">
        <v>11.73</v>
      </c>
      <c r="L5112" s="43" t="n">
        <f aca="false">K5112*'Chart of Accounts'!$E$68</f>
        <v>7.8591</v>
      </c>
      <c r="O5112" s="42" t="n">
        <f aca="false">I5112+J5112+L5112</f>
        <v>86.10534</v>
      </c>
    </row>
    <row r="5113" customFormat="false" ht="15" hidden="false" customHeight="false" outlineLevel="0" collapsed="false">
      <c r="B5113" s="7" t="s">
        <v>13746</v>
      </c>
      <c r="C5113" s="39" t="n">
        <v>45973</v>
      </c>
      <c r="D5113" s="7" t="s">
        <v>203</v>
      </c>
      <c r="E5113" s="7" t="s">
        <v>158</v>
      </c>
      <c r="H5113" s="41" t="n">
        <v>49.43</v>
      </c>
      <c r="M5113" s="6" t="n">
        <v>1</v>
      </c>
      <c r="N5113" s="43" t="n">
        <f aca="false">M5113*H5113</f>
        <v>49.43</v>
      </c>
      <c r="O5113" s="42" t="n">
        <f aca="false">N5113</f>
        <v>49.43</v>
      </c>
    </row>
    <row r="5114" customFormat="false" ht="15" hidden="false" customHeight="false" outlineLevel="0" collapsed="false">
      <c r="B5114" s="7" t="s">
        <v>13747</v>
      </c>
      <c r="C5114" s="39" t="n">
        <v>45974</v>
      </c>
      <c r="D5114" s="7" t="s">
        <v>246</v>
      </c>
      <c r="E5114" s="7" t="s">
        <v>180</v>
      </c>
      <c r="F5114" s="6" t="n">
        <v>11.52</v>
      </c>
      <c r="G5114" s="6" t="n">
        <v>0</v>
      </c>
      <c r="H5114" s="41" t="n">
        <v>16.48</v>
      </c>
      <c r="I5114" s="43" t="n">
        <f aca="false">F5114*H5114</f>
        <v>189.8496</v>
      </c>
      <c r="J5114" s="43" t="n">
        <f aca="false">G5114*H5114*1.5</f>
        <v>0</v>
      </c>
      <c r="K5114" s="6" t="n">
        <v>37.74</v>
      </c>
      <c r="L5114" s="43" t="n">
        <f aca="false">K5114*'Chart of Accounts'!$E$68</f>
        <v>25.2858</v>
      </c>
      <c r="O5114" s="42" t="n">
        <f aca="false">I5114+J5114+L5114</f>
        <v>215.1354</v>
      </c>
    </row>
    <row r="5115" customFormat="false" ht="15" hidden="false" customHeight="false" outlineLevel="0" collapsed="false">
      <c r="B5115" s="7" t="s">
        <v>13748</v>
      </c>
      <c r="C5115" s="39" t="n">
        <v>45974</v>
      </c>
      <c r="D5115" s="7" t="s">
        <v>201</v>
      </c>
      <c r="E5115" s="7" t="s">
        <v>180</v>
      </c>
      <c r="F5115" s="6" t="n">
        <v>5.86</v>
      </c>
      <c r="G5115" s="6" t="n">
        <v>0</v>
      </c>
      <c r="H5115" s="41" t="n">
        <v>15.19</v>
      </c>
      <c r="I5115" s="43" t="n">
        <f aca="false">F5115*H5115</f>
        <v>89.0134</v>
      </c>
      <c r="J5115" s="43" t="n">
        <f aca="false">G5115*H5115*1.5</f>
        <v>0</v>
      </c>
      <c r="K5115" s="6" t="n">
        <v>17.32</v>
      </c>
      <c r="L5115" s="43" t="n">
        <f aca="false">K5115*'Chart of Accounts'!$E$68</f>
        <v>11.6044</v>
      </c>
      <c r="O5115" s="42" t="n">
        <f aca="false">I5115+J5115+L5115</f>
        <v>100.6178</v>
      </c>
    </row>
    <row r="5116" customFormat="false" ht="15" hidden="false" customHeight="false" outlineLevel="0" collapsed="false">
      <c r="B5116" s="7" t="s">
        <v>13749</v>
      </c>
      <c r="C5116" s="39" t="n">
        <v>45974</v>
      </c>
      <c r="D5116" s="7" t="s">
        <v>205</v>
      </c>
      <c r="E5116" s="7" t="s">
        <v>180</v>
      </c>
      <c r="F5116" s="6" t="n">
        <v>3.24</v>
      </c>
      <c r="G5116" s="6" t="n">
        <v>0</v>
      </c>
      <c r="H5116" s="41" t="n">
        <v>16.36</v>
      </c>
      <c r="I5116" s="43" t="n">
        <f aca="false">F5116*H5116</f>
        <v>53.0064</v>
      </c>
      <c r="J5116" s="43" t="n">
        <f aca="false">G5116*H5116*1.5</f>
        <v>0</v>
      </c>
      <c r="K5116" s="6" t="n">
        <v>9.1</v>
      </c>
      <c r="L5116" s="43" t="n">
        <f aca="false">K5116*'Chart of Accounts'!$E$68</f>
        <v>6.097</v>
      </c>
      <c r="O5116" s="42" t="n">
        <f aca="false">I5116+J5116+L5116</f>
        <v>59.1034</v>
      </c>
    </row>
    <row r="5117" customFormat="false" ht="15" hidden="false" customHeight="false" outlineLevel="0" collapsed="false">
      <c r="B5117" s="7" t="s">
        <v>13750</v>
      </c>
      <c r="C5117" s="39" t="n">
        <v>45974</v>
      </c>
      <c r="D5117" s="7" t="s">
        <v>240</v>
      </c>
      <c r="E5117" s="7" t="s">
        <v>180</v>
      </c>
      <c r="F5117" s="6" t="n">
        <v>3.95</v>
      </c>
      <c r="G5117" s="6" t="n">
        <v>0</v>
      </c>
      <c r="H5117" s="41" t="n">
        <v>16.96</v>
      </c>
      <c r="I5117" s="43" t="n">
        <f aca="false">F5117*H5117</f>
        <v>66.992</v>
      </c>
      <c r="J5117" s="43" t="n">
        <f aca="false">G5117*H5117*1.5</f>
        <v>0</v>
      </c>
      <c r="K5117" s="6" t="n">
        <v>12.94</v>
      </c>
      <c r="L5117" s="43" t="n">
        <f aca="false">K5117*'Chart of Accounts'!$E$68</f>
        <v>8.6698</v>
      </c>
      <c r="O5117" s="42" t="n">
        <f aca="false">I5117+J5117+L5117</f>
        <v>75.6618</v>
      </c>
    </row>
    <row r="5118" customFormat="false" ht="15" hidden="false" customHeight="false" outlineLevel="0" collapsed="false">
      <c r="B5118" s="7" t="s">
        <v>13751</v>
      </c>
      <c r="C5118" s="39" t="n">
        <v>45974</v>
      </c>
      <c r="D5118" s="7" t="s">
        <v>196</v>
      </c>
      <c r="E5118" s="7" t="s">
        <v>180</v>
      </c>
      <c r="F5118" s="6" t="n">
        <v>11.452</v>
      </c>
      <c r="G5118" s="6" t="n">
        <v>1.858</v>
      </c>
      <c r="H5118" s="41" t="n">
        <v>15.05</v>
      </c>
      <c r="I5118" s="43" t="n">
        <f aca="false">F5118*H5118</f>
        <v>172.3526</v>
      </c>
      <c r="J5118" s="43" t="n">
        <f aca="false">G5118*H5118*1.5</f>
        <v>41.94435</v>
      </c>
      <c r="K5118" s="6" t="n">
        <v>35.03</v>
      </c>
      <c r="L5118" s="43" t="n">
        <f aca="false">K5118*'Chart of Accounts'!$E$68</f>
        <v>23.4701</v>
      </c>
      <c r="O5118" s="42" t="n">
        <f aca="false">I5118+J5118+L5118</f>
        <v>237.76705</v>
      </c>
    </row>
    <row r="5119" customFormat="false" ht="15" hidden="false" customHeight="false" outlineLevel="0" collapsed="false">
      <c r="B5119" s="7" t="s">
        <v>13752</v>
      </c>
      <c r="C5119" s="39" t="n">
        <v>45974</v>
      </c>
      <c r="D5119" s="7" t="s">
        <v>184</v>
      </c>
      <c r="E5119" s="7" t="s">
        <v>180</v>
      </c>
      <c r="F5119" s="6" t="n">
        <v>3.94</v>
      </c>
      <c r="G5119" s="6" t="n">
        <v>0</v>
      </c>
      <c r="H5119" s="41" t="n">
        <v>17.34</v>
      </c>
      <c r="I5119" s="43" t="n">
        <f aca="false">F5119*H5119</f>
        <v>68.3196</v>
      </c>
      <c r="J5119" s="43" t="n">
        <f aca="false">G5119*H5119*1.5</f>
        <v>0</v>
      </c>
      <c r="K5119" s="6" t="n">
        <v>11.55</v>
      </c>
      <c r="L5119" s="43" t="n">
        <f aca="false">K5119*'Chart of Accounts'!$E$68</f>
        <v>7.7385</v>
      </c>
      <c r="O5119" s="42" t="n">
        <f aca="false">I5119+J5119+L5119</f>
        <v>76.0581</v>
      </c>
    </row>
    <row r="5120" customFormat="false" ht="15" hidden="false" customHeight="false" outlineLevel="0" collapsed="false">
      <c r="B5120" s="7" t="s">
        <v>13753</v>
      </c>
      <c r="C5120" s="39" t="n">
        <v>45974</v>
      </c>
      <c r="D5120" s="7" t="s">
        <v>218</v>
      </c>
      <c r="E5120" s="7" t="s">
        <v>180</v>
      </c>
      <c r="F5120" s="6" t="n">
        <v>6.7</v>
      </c>
      <c r="G5120" s="6" t="n">
        <v>0</v>
      </c>
      <c r="H5120" s="41" t="n">
        <v>16.19</v>
      </c>
      <c r="I5120" s="43" t="n">
        <f aca="false">F5120*H5120</f>
        <v>108.473</v>
      </c>
      <c r="J5120" s="43" t="n">
        <f aca="false">G5120*H5120*1.5</f>
        <v>0</v>
      </c>
      <c r="K5120" s="6" t="n">
        <v>17.27</v>
      </c>
      <c r="L5120" s="43" t="n">
        <f aca="false">K5120*'Chart of Accounts'!$E$68</f>
        <v>11.5709</v>
      </c>
      <c r="O5120" s="42" t="n">
        <f aca="false">I5120+J5120+L5120</f>
        <v>120.0439</v>
      </c>
    </row>
    <row r="5121" customFormat="false" ht="15" hidden="false" customHeight="false" outlineLevel="0" collapsed="false">
      <c r="B5121" s="7" t="s">
        <v>13754</v>
      </c>
      <c r="C5121" s="39" t="n">
        <v>45974</v>
      </c>
      <c r="D5121" s="7" t="s">
        <v>220</v>
      </c>
      <c r="E5121" s="7" t="s">
        <v>180</v>
      </c>
      <c r="F5121" s="6" t="n">
        <v>4.27</v>
      </c>
      <c r="G5121" s="6" t="n">
        <v>0</v>
      </c>
      <c r="H5121" s="41" t="n">
        <v>16.43</v>
      </c>
      <c r="I5121" s="43" t="n">
        <f aca="false">F5121*H5121</f>
        <v>70.1561</v>
      </c>
      <c r="J5121" s="43" t="n">
        <f aca="false">G5121*H5121*1.5</f>
        <v>0</v>
      </c>
      <c r="K5121" s="6" t="n">
        <v>15.02</v>
      </c>
      <c r="L5121" s="43" t="n">
        <f aca="false">K5121*'Chart of Accounts'!$E$68</f>
        <v>10.0634</v>
      </c>
      <c r="O5121" s="42" t="n">
        <f aca="false">I5121+J5121+L5121</f>
        <v>80.2195</v>
      </c>
    </row>
    <row r="5122" customFormat="false" ht="15" hidden="false" customHeight="false" outlineLevel="0" collapsed="false">
      <c r="B5122" s="7" t="s">
        <v>13755</v>
      </c>
      <c r="C5122" s="39" t="n">
        <v>45974</v>
      </c>
      <c r="D5122" s="7" t="s">
        <v>224</v>
      </c>
      <c r="E5122" s="7" t="s">
        <v>180</v>
      </c>
      <c r="F5122" s="6" t="n">
        <v>3.68</v>
      </c>
      <c r="G5122" s="6" t="n">
        <v>0</v>
      </c>
      <c r="H5122" s="41" t="n">
        <v>14.93</v>
      </c>
      <c r="I5122" s="43" t="n">
        <f aca="false">F5122*H5122</f>
        <v>54.9424</v>
      </c>
      <c r="J5122" s="43" t="n">
        <f aca="false">G5122*H5122*1.5</f>
        <v>0</v>
      </c>
      <c r="K5122" s="6" t="n">
        <v>12.61</v>
      </c>
      <c r="L5122" s="43" t="n">
        <f aca="false">K5122*'Chart of Accounts'!$E$68</f>
        <v>8.4487</v>
      </c>
      <c r="O5122" s="42" t="n">
        <f aca="false">I5122+J5122+L5122</f>
        <v>63.3911</v>
      </c>
    </row>
    <row r="5123" customFormat="false" ht="15" hidden="false" customHeight="false" outlineLevel="0" collapsed="false">
      <c r="B5123" s="7" t="s">
        <v>13756</v>
      </c>
      <c r="C5123" s="39" t="n">
        <v>45974</v>
      </c>
      <c r="D5123" s="7" t="s">
        <v>222</v>
      </c>
      <c r="E5123" s="7" t="s">
        <v>180</v>
      </c>
      <c r="F5123" s="6" t="n">
        <v>6.968</v>
      </c>
      <c r="G5123" s="6" t="n">
        <v>0.362</v>
      </c>
      <c r="H5123" s="41" t="n">
        <v>17.84</v>
      </c>
      <c r="I5123" s="43" t="n">
        <f aca="false">F5123*H5123</f>
        <v>124.30912</v>
      </c>
      <c r="J5123" s="43" t="n">
        <f aca="false">G5123*H5123*1.5</f>
        <v>9.68712</v>
      </c>
      <c r="K5123" s="6" t="n">
        <v>22.23</v>
      </c>
      <c r="L5123" s="43" t="n">
        <f aca="false">K5123*'Chart of Accounts'!$E$68</f>
        <v>14.8941</v>
      </c>
      <c r="O5123" s="42" t="n">
        <f aca="false">I5123+J5123+L5123</f>
        <v>148.89034</v>
      </c>
    </row>
    <row r="5124" customFormat="false" ht="15" hidden="false" customHeight="false" outlineLevel="0" collapsed="false">
      <c r="B5124" s="7" t="s">
        <v>13757</v>
      </c>
      <c r="C5124" s="39" t="n">
        <v>45974</v>
      </c>
      <c r="D5124" s="7" t="s">
        <v>256</v>
      </c>
      <c r="E5124" s="7" t="s">
        <v>180</v>
      </c>
      <c r="F5124" s="6" t="n">
        <v>4.32</v>
      </c>
      <c r="G5124" s="6" t="n">
        <v>0</v>
      </c>
      <c r="H5124" s="41" t="n">
        <v>15.63</v>
      </c>
      <c r="I5124" s="43" t="n">
        <f aca="false">F5124*H5124</f>
        <v>67.5216</v>
      </c>
      <c r="J5124" s="43" t="n">
        <f aca="false">G5124*H5124*1.5</f>
        <v>0</v>
      </c>
      <c r="K5124" s="6" t="n">
        <v>13.32</v>
      </c>
      <c r="L5124" s="43" t="n">
        <f aca="false">K5124*'Chart of Accounts'!$E$68</f>
        <v>8.9244</v>
      </c>
      <c r="O5124" s="42" t="n">
        <f aca="false">I5124+J5124+L5124</f>
        <v>76.446</v>
      </c>
    </row>
    <row r="5125" customFormat="false" ht="15" hidden="false" customHeight="false" outlineLevel="0" collapsed="false">
      <c r="B5125" s="7" t="s">
        <v>13758</v>
      </c>
      <c r="C5125" s="39" t="n">
        <v>45974</v>
      </c>
      <c r="D5125" s="7" t="s">
        <v>244</v>
      </c>
      <c r="E5125" s="7" t="s">
        <v>180</v>
      </c>
      <c r="F5125" s="6" t="n">
        <v>7.79</v>
      </c>
      <c r="G5125" s="6" t="n">
        <v>0</v>
      </c>
      <c r="H5125" s="41" t="n">
        <v>16.39</v>
      </c>
      <c r="I5125" s="43" t="n">
        <f aca="false">F5125*H5125</f>
        <v>127.6781</v>
      </c>
      <c r="J5125" s="43" t="n">
        <f aca="false">G5125*H5125*1.5</f>
        <v>0</v>
      </c>
      <c r="K5125" s="6" t="n">
        <v>25.71</v>
      </c>
      <c r="L5125" s="43" t="n">
        <f aca="false">K5125*'Chart of Accounts'!$E$68</f>
        <v>17.2257</v>
      </c>
      <c r="O5125" s="42" t="n">
        <f aca="false">I5125+J5125+L5125</f>
        <v>144.9038</v>
      </c>
    </row>
    <row r="5126" customFormat="false" ht="15" hidden="false" customHeight="false" outlineLevel="0" collapsed="false">
      <c r="B5126" s="7" t="s">
        <v>13759</v>
      </c>
      <c r="C5126" s="39" t="n">
        <v>45974</v>
      </c>
      <c r="D5126" s="7" t="s">
        <v>194</v>
      </c>
      <c r="E5126" s="7" t="s">
        <v>180</v>
      </c>
      <c r="F5126" s="6" t="n">
        <v>4.31</v>
      </c>
      <c r="G5126" s="6" t="n">
        <v>0</v>
      </c>
      <c r="H5126" s="41" t="n">
        <v>16</v>
      </c>
      <c r="I5126" s="43" t="n">
        <f aca="false">F5126*H5126</f>
        <v>68.96</v>
      </c>
      <c r="J5126" s="43" t="n">
        <f aca="false">G5126*H5126*1.5</f>
        <v>0</v>
      </c>
      <c r="K5126" s="6" t="n">
        <v>11.97</v>
      </c>
      <c r="L5126" s="43" t="n">
        <f aca="false">K5126*'Chart of Accounts'!$E$68</f>
        <v>8.0199</v>
      </c>
      <c r="O5126" s="42" t="n">
        <f aca="false">I5126+J5126+L5126</f>
        <v>76.9799</v>
      </c>
    </row>
    <row r="5127" customFormat="false" ht="15" hidden="false" customHeight="false" outlineLevel="0" collapsed="false">
      <c r="B5127" s="7" t="s">
        <v>13760</v>
      </c>
      <c r="C5127" s="39" t="n">
        <v>45974</v>
      </c>
      <c r="D5127" s="7" t="s">
        <v>214</v>
      </c>
      <c r="E5127" s="7" t="s">
        <v>180</v>
      </c>
      <c r="F5127" s="6" t="n">
        <v>4.38</v>
      </c>
      <c r="G5127" s="6" t="n">
        <v>0</v>
      </c>
      <c r="H5127" s="41" t="n">
        <v>15.67</v>
      </c>
      <c r="I5127" s="43" t="n">
        <f aca="false">F5127*H5127</f>
        <v>68.6346</v>
      </c>
      <c r="J5127" s="43" t="n">
        <f aca="false">G5127*H5127*1.5</f>
        <v>0</v>
      </c>
      <c r="K5127" s="6" t="n">
        <v>13.62</v>
      </c>
      <c r="L5127" s="43" t="n">
        <f aca="false">K5127*'Chart of Accounts'!$E$68</f>
        <v>9.1254</v>
      </c>
      <c r="O5127" s="42" t="n">
        <f aca="false">I5127+J5127+L5127</f>
        <v>77.76</v>
      </c>
    </row>
    <row r="5128" customFormat="false" ht="15" hidden="false" customHeight="false" outlineLevel="0" collapsed="false">
      <c r="B5128" s="7" t="s">
        <v>13761</v>
      </c>
      <c r="C5128" s="39" t="n">
        <v>45974</v>
      </c>
      <c r="D5128" s="7" t="s">
        <v>242</v>
      </c>
      <c r="E5128" s="7" t="s">
        <v>180</v>
      </c>
      <c r="F5128" s="6" t="n">
        <v>4.07</v>
      </c>
      <c r="G5128" s="6" t="n">
        <v>0</v>
      </c>
      <c r="H5128" s="41" t="n">
        <v>17.99</v>
      </c>
      <c r="I5128" s="43" t="n">
        <f aca="false">F5128*H5128</f>
        <v>73.2193</v>
      </c>
      <c r="J5128" s="43" t="n">
        <f aca="false">G5128*H5128*1.5</f>
        <v>0</v>
      </c>
      <c r="K5128" s="6" t="n">
        <v>9.67</v>
      </c>
      <c r="L5128" s="43" t="n">
        <f aca="false">K5128*'Chart of Accounts'!$E$68</f>
        <v>6.4789</v>
      </c>
      <c r="O5128" s="42" t="n">
        <f aca="false">I5128+J5128+L5128</f>
        <v>79.6982</v>
      </c>
    </row>
    <row r="5129" customFormat="false" ht="15" hidden="false" customHeight="false" outlineLevel="0" collapsed="false">
      <c r="B5129" s="7" t="s">
        <v>13762</v>
      </c>
      <c r="C5129" s="39" t="n">
        <v>45974</v>
      </c>
      <c r="D5129" s="7" t="s">
        <v>254</v>
      </c>
      <c r="E5129" s="7" t="s">
        <v>180</v>
      </c>
      <c r="F5129" s="6" t="n">
        <v>3.308</v>
      </c>
      <c r="G5129" s="6" t="n">
        <v>0.782</v>
      </c>
      <c r="H5129" s="41" t="n">
        <v>17.1</v>
      </c>
      <c r="I5129" s="43" t="n">
        <f aca="false">F5129*H5129</f>
        <v>56.5668</v>
      </c>
      <c r="J5129" s="43" t="n">
        <f aca="false">G5129*H5129*1.5</f>
        <v>20.0583</v>
      </c>
      <c r="K5129" s="6" t="n">
        <v>11.11</v>
      </c>
      <c r="L5129" s="43" t="n">
        <f aca="false">K5129*'Chart of Accounts'!$E$68</f>
        <v>7.4437</v>
      </c>
      <c r="O5129" s="42" t="n">
        <f aca="false">I5129+J5129+L5129</f>
        <v>84.0688</v>
      </c>
    </row>
    <row r="5130" customFormat="false" ht="15" hidden="false" customHeight="false" outlineLevel="0" collapsed="false">
      <c r="B5130" s="7" t="s">
        <v>13763</v>
      </c>
      <c r="C5130" s="39" t="n">
        <v>45975</v>
      </c>
      <c r="D5130" s="7" t="s">
        <v>222</v>
      </c>
      <c r="E5130" s="7" t="s">
        <v>180</v>
      </c>
      <c r="F5130" s="6" t="n">
        <v>10.703</v>
      </c>
      <c r="G5130" s="6" t="n">
        <v>0.557</v>
      </c>
      <c r="H5130" s="41" t="n">
        <v>17.84</v>
      </c>
      <c r="I5130" s="43" t="n">
        <f aca="false">F5130*H5130</f>
        <v>190.94152</v>
      </c>
      <c r="J5130" s="43" t="n">
        <f aca="false">G5130*H5130*1.5</f>
        <v>14.90532</v>
      </c>
      <c r="K5130" s="6" t="n">
        <v>27.25</v>
      </c>
      <c r="L5130" s="43" t="n">
        <f aca="false">K5130*'Chart of Accounts'!$E$68</f>
        <v>18.2575</v>
      </c>
      <c r="O5130" s="42" t="n">
        <f aca="false">I5130+J5130+L5130</f>
        <v>224.10434</v>
      </c>
    </row>
    <row r="5131" customFormat="false" ht="15" hidden="false" customHeight="false" outlineLevel="0" collapsed="false">
      <c r="B5131" s="7" t="s">
        <v>13764</v>
      </c>
      <c r="C5131" s="39" t="n">
        <v>45975</v>
      </c>
      <c r="D5131" s="7" t="s">
        <v>194</v>
      </c>
      <c r="E5131" s="7" t="s">
        <v>180</v>
      </c>
      <c r="F5131" s="6" t="n">
        <v>9.15</v>
      </c>
      <c r="G5131" s="6" t="n">
        <v>0</v>
      </c>
      <c r="H5131" s="41" t="n">
        <v>16</v>
      </c>
      <c r="I5131" s="43" t="n">
        <f aca="false">F5131*H5131</f>
        <v>146.4</v>
      </c>
      <c r="J5131" s="43" t="n">
        <f aca="false">G5131*H5131*1.5</f>
        <v>0</v>
      </c>
      <c r="K5131" s="6" t="n">
        <v>26.5</v>
      </c>
      <c r="L5131" s="43" t="n">
        <f aca="false">K5131*'Chart of Accounts'!$E$68</f>
        <v>17.755</v>
      </c>
      <c r="O5131" s="42" t="n">
        <f aca="false">I5131+J5131+L5131</f>
        <v>164.155</v>
      </c>
    </row>
    <row r="5132" customFormat="false" ht="15" hidden="false" customHeight="false" outlineLevel="0" collapsed="false">
      <c r="B5132" s="7" t="s">
        <v>13765</v>
      </c>
      <c r="C5132" s="39" t="n">
        <v>45975</v>
      </c>
      <c r="D5132" s="7" t="s">
        <v>198</v>
      </c>
      <c r="E5132" s="7" t="s">
        <v>158</v>
      </c>
      <c r="H5132" s="41" t="n">
        <v>48.09</v>
      </c>
      <c r="M5132" s="6" t="n">
        <v>1</v>
      </c>
      <c r="N5132" s="43" t="n">
        <f aca="false">M5132*H5132</f>
        <v>48.09</v>
      </c>
      <c r="O5132" s="42" t="n">
        <f aca="false">N5132</f>
        <v>48.09</v>
      </c>
    </row>
    <row r="5133" customFormat="false" ht="15" hidden="false" customHeight="false" outlineLevel="0" collapsed="false">
      <c r="B5133" s="7" t="s">
        <v>13766</v>
      </c>
      <c r="C5133" s="39" t="n">
        <v>45975</v>
      </c>
      <c r="D5133" s="7" t="s">
        <v>214</v>
      </c>
      <c r="E5133" s="7" t="s">
        <v>180</v>
      </c>
      <c r="F5133" s="6" t="n">
        <v>7.12</v>
      </c>
      <c r="G5133" s="6" t="n">
        <v>0</v>
      </c>
      <c r="H5133" s="41" t="n">
        <v>15.67</v>
      </c>
      <c r="I5133" s="43" t="n">
        <f aca="false">F5133*H5133</f>
        <v>111.5704</v>
      </c>
      <c r="J5133" s="43" t="n">
        <f aca="false">G5133*H5133*1.5</f>
        <v>0</v>
      </c>
      <c r="K5133" s="6" t="n">
        <v>20.56</v>
      </c>
      <c r="L5133" s="43" t="n">
        <f aca="false">K5133*'Chart of Accounts'!$E$68</f>
        <v>13.7752</v>
      </c>
      <c r="O5133" s="42" t="n">
        <f aca="false">I5133+J5133+L5133</f>
        <v>125.3456</v>
      </c>
    </row>
    <row r="5134" customFormat="false" ht="15" hidden="false" customHeight="false" outlineLevel="0" collapsed="false">
      <c r="B5134" s="7" t="s">
        <v>13767</v>
      </c>
      <c r="C5134" s="39" t="n">
        <v>45975</v>
      </c>
      <c r="D5134" s="7" t="s">
        <v>209</v>
      </c>
      <c r="E5134" s="7" t="s">
        <v>158</v>
      </c>
      <c r="H5134" s="41" t="n">
        <v>73.58</v>
      </c>
      <c r="M5134" s="6" t="n">
        <v>1</v>
      </c>
      <c r="N5134" s="43" t="n">
        <f aca="false">M5134*H5134</f>
        <v>73.58</v>
      </c>
      <c r="O5134" s="42" t="n">
        <f aca="false">N5134</f>
        <v>73.58</v>
      </c>
    </row>
    <row r="5135" customFormat="false" ht="15" hidden="false" customHeight="false" outlineLevel="0" collapsed="false">
      <c r="B5135" s="7" t="s">
        <v>13768</v>
      </c>
      <c r="C5135" s="39" t="n">
        <v>45975</v>
      </c>
      <c r="D5135" s="7" t="s">
        <v>205</v>
      </c>
      <c r="E5135" s="7" t="s">
        <v>180</v>
      </c>
      <c r="F5135" s="6" t="n">
        <v>4.36</v>
      </c>
      <c r="G5135" s="6" t="n">
        <v>0</v>
      </c>
      <c r="H5135" s="41" t="n">
        <v>16.36</v>
      </c>
      <c r="I5135" s="43" t="n">
        <f aca="false">F5135*H5135</f>
        <v>71.3296</v>
      </c>
      <c r="J5135" s="43" t="n">
        <f aca="false">G5135*H5135*1.5</f>
        <v>0</v>
      </c>
      <c r="K5135" s="6" t="n">
        <v>13.77</v>
      </c>
      <c r="L5135" s="43" t="n">
        <f aca="false">K5135*'Chart of Accounts'!$E$68</f>
        <v>9.2259</v>
      </c>
      <c r="O5135" s="42" t="n">
        <f aca="false">I5135+J5135+L5135</f>
        <v>80.5555</v>
      </c>
    </row>
    <row r="5136" customFormat="false" ht="15" hidden="false" customHeight="false" outlineLevel="0" collapsed="false">
      <c r="B5136" s="7" t="s">
        <v>13769</v>
      </c>
      <c r="C5136" s="39" t="n">
        <v>45975</v>
      </c>
      <c r="D5136" s="7" t="s">
        <v>264</v>
      </c>
      <c r="E5136" s="7" t="s">
        <v>158</v>
      </c>
      <c r="H5136" s="41" t="n">
        <v>55.55</v>
      </c>
      <c r="M5136" s="6" t="n">
        <v>1</v>
      </c>
      <c r="N5136" s="43" t="n">
        <f aca="false">M5136*H5136</f>
        <v>55.55</v>
      </c>
      <c r="O5136" s="42" t="n">
        <f aca="false">N5136</f>
        <v>55.55</v>
      </c>
    </row>
    <row r="5137" customFormat="false" ht="15" hidden="false" customHeight="false" outlineLevel="0" collapsed="false">
      <c r="B5137" s="7" t="s">
        <v>13770</v>
      </c>
      <c r="C5137" s="39" t="n">
        <v>45975</v>
      </c>
      <c r="D5137" s="7" t="s">
        <v>252</v>
      </c>
      <c r="E5137" s="7" t="s">
        <v>158</v>
      </c>
      <c r="H5137" s="41" t="n">
        <v>57.54</v>
      </c>
      <c r="M5137" s="6" t="n">
        <v>1</v>
      </c>
      <c r="N5137" s="43" t="n">
        <f aca="false">M5137*H5137</f>
        <v>57.54</v>
      </c>
      <c r="O5137" s="42" t="n">
        <f aca="false">N5137</f>
        <v>57.54</v>
      </c>
    </row>
    <row r="5138" customFormat="false" ht="15" hidden="false" customHeight="false" outlineLevel="0" collapsed="false">
      <c r="B5138" s="7" t="s">
        <v>13771</v>
      </c>
      <c r="C5138" s="39" t="n">
        <v>45975</v>
      </c>
      <c r="D5138" s="7" t="s">
        <v>184</v>
      </c>
      <c r="E5138" s="7" t="s">
        <v>180</v>
      </c>
      <c r="F5138" s="6" t="n">
        <v>8.04</v>
      </c>
      <c r="G5138" s="6" t="n">
        <v>0</v>
      </c>
      <c r="H5138" s="41" t="n">
        <v>17.34</v>
      </c>
      <c r="I5138" s="43" t="n">
        <f aca="false">F5138*H5138</f>
        <v>139.4136</v>
      </c>
      <c r="J5138" s="43" t="n">
        <f aca="false">G5138*H5138*1.5</f>
        <v>0</v>
      </c>
      <c r="K5138" s="6" t="n">
        <v>18.19</v>
      </c>
      <c r="L5138" s="43" t="n">
        <f aca="false">K5138*'Chart of Accounts'!$E$68</f>
        <v>12.1873</v>
      </c>
      <c r="O5138" s="42" t="n">
        <f aca="false">I5138+J5138+L5138</f>
        <v>151.6009</v>
      </c>
    </row>
    <row r="5139" customFormat="false" ht="15" hidden="false" customHeight="false" outlineLevel="0" collapsed="false">
      <c r="B5139" s="7" t="s">
        <v>13772</v>
      </c>
      <c r="C5139" s="39" t="n">
        <v>45975</v>
      </c>
      <c r="D5139" s="7" t="s">
        <v>216</v>
      </c>
      <c r="E5139" s="7" t="s">
        <v>158</v>
      </c>
      <c r="H5139" s="41" t="n">
        <v>61.79</v>
      </c>
      <c r="M5139" s="6" t="n">
        <v>1</v>
      </c>
      <c r="N5139" s="43" t="n">
        <f aca="false">M5139*H5139</f>
        <v>61.79</v>
      </c>
      <c r="O5139" s="42" t="n">
        <f aca="false">N5139</f>
        <v>61.79</v>
      </c>
    </row>
    <row r="5140" customFormat="false" ht="15" hidden="false" customHeight="false" outlineLevel="0" collapsed="false">
      <c r="B5140" s="7" t="s">
        <v>13773</v>
      </c>
      <c r="C5140" s="39" t="n">
        <v>45975</v>
      </c>
      <c r="D5140" s="7" t="s">
        <v>234</v>
      </c>
      <c r="E5140" s="7" t="s">
        <v>158</v>
      </c>
      <c r="H5140" s="41" t="n">
        <v>89.53</v>
      </c>
      <c r="M5140" s="6" t="n">
        <v>2</v>
      </c>
      <c r="N5140" s="43" t="n">
        <f aca="false">M5140*H5140</f>
        <v>179.06</v>
      </c>
      <c r="O5140" s="42" t="n">
        <f aca="false">N5140</f>
        <v>179.06</v>
      </c>
    </row>
    <row r="5141" customFormat="false" ht="15" hidden="false" customHeight="false" outlineLevel="0" collapsed="false">
      <c r="B5141" s="7" t="s">
        <v>13774</v>
      </c>
      <c r="C5141" s="39" t="n">
        <v>45975</v>
      </c>
      <c r="D5141" s="7" t="s">
        <v>218</v>
      </c>
      <c r="E5141" s="7" t="s">
        <v>180</v>
      </c>
      <c r="F5141" s="6" t="n">
        <v>3.79</v>
      </c>
      <c r="G5141" s="6" t="n">
        <v>0</v>
      </c>
      <c r="H5141" s="41" t="n">
        <v>16.19</v>
      </c>
      <c r="I5141" s="43" t="n">
        <f aca="false">F5141*H5141</f>
        <v>61.3601</v>
      </c>
      <c r="J5141" s="43" t="n">
        <f aca="false">G5141*H5141*1.5</f>
        <v>0</v>
      </c>
      <c r="K5141" s="6" t="n">
        <v>8.67</v>
      </c>
      <c r="L5141" s="43" t="n">
        <f aca="false">K5141*'Chart of Accounts'!$E$68</f>
        <v>5.8089</v>
      </c>
      <c r="O5141" s="42" t="n">
        <f aca="false">I5141+J5141+L5141</f>
        <v>67.169</v>
      </c>
    </row>
    <row r="5142" customFormat="false" ht="15" hidden="false" customHeight="false" outlineLevel="0" collapsed="false">
      <c r="B5142" s="7" t="s">
        <v>13775</v>
      </c>
      <c r="C5142" s="39" t="n">
        <v>45975</v>
      </c>
      <c r="D5142" s="7" t="s">
        <v>187</v>
      </c>
      <c r="E5142" s="7" t="s">
        <v>158</v>
      </c>
      <c r="H5142" s="41" t="n">
        <v>66.48</v>
      </c>
      <c r="M5142" s="6" t="n">
        <v>1</v>
      </c>
      <c r="N5142" s="43" t="n">
        <f aca="false">M5142*H5142</f>
        <v>66.48</v>
      </c>
      <c r="O5142" s="42" t="n">
        <f aca="false">N5142</f>
        <v>66.48</v>
      </c>
    </row>
    <row r="5143" customFormat="false" ht="15" hidden="false" customHeight="false" outlineLevel="0" collapsed="false">
      <c r="B5143" s="7" t="s">
        <v>13776</v>
      </c>
      <c r="C5143" s="39" t="n">
        <v>45975</v>
      </c>
      <c r="D5143" s="7" t="s">
        <v>228</v>
      </c>
      <c r="E5143" s="7" t="s">
        <v>158</v>
      </c>
      <c r="H5143" s="41" t="n">
        <v>51.07</v>
      </c>
      <c r="M5143" s="6" t="n">
        <v>1</v>
      </c>
      <c r="N5143" s="43" t="n">
        <f aca="false">M5143*H5143</f>
        <v>51.07</v>
      </c>
      <c r="O5143" s="42" t="n">
        <f aca="false">N5143</f>
        <v>51.07</v>
      </c>
    </row>
    <row r="5144" customFormat="false" ht="15" hidden="false" customHeight="false" outlineLevel="0" collapsed="false">
      <c r="B5144" s="7" t="s">
        <v>13777</v>
      </c>
      <c r="C5144" s="39" t="n">
        <v>45975</v>
      </c>
      <c r="D5144" s="7" t="s">
        <v>220</v>
      </c>
      <c r="E5144" s="7" t="s">
        <v>180</v>
      </c>
      <c r="F5144" s="6" t="n">
        <v>4.16</v>
      </c>
      <c r="G5144" s="6" t="n">
        <v>0</v>
      </c>
      <c r="H5144" s="41" t="n">
        <v>16.43</v>
      </c>
      <c r="I5144" s="43" t="n">
        <f aca="false">F5144*H5144</f>
        <v>68.3488</v>
      </c>
      <c r="J5144" s="43" t="n">
        <f aca="false">G5144*H5144*1.5</f>
        <v>0</v>
      </c>
      <c r="K5144" s="6" t="n">
        <v>11.27</v>
      </c>
      <c r="L5144" s="43" t="n">
        <f aca="false">K5144*'Chart of Accounts'!$E$68</f>
        <v>7.5509</v>
      </c>
      <c r="O5144" s="42" t="n">
        <f aca="false">I5144+J5144+L5144</f>
        <v>75.8997</v>
      </c>
    </row>
    <row r="5145" customFormat="false" ht="15" hidden="false" customHeight="false" outlineLevel="0" collapsed="false">
      <c r="B5145" s="7" t="s">
        <v>13778</v>
      </c>
      <c r="C5145" s="39" t="n">
        <v>45975</v>
      </c>
      <c r="D5145" s="7" t="s">
        <v>236</v>
      </c>
      <c r="E5145" s="7" t="s">
        <v>180</v>
      </c>
      <c r="F5145" s="6" t="n">
        <v>3.55</v>
      </c>
      <c r="G5145" s="6" t="n">
        <v>0</v>
      </c>
      <c r="H5145" s="41" t="n">
        <v>15.49</v>
      </c>
      <c r="I5145" s="43" t="n">
        <f aca="false">F5145*H5145</f>
        <v>54.9895</v>
      </c>
      <c r="J5145" s="43" t="n">
        <f aca="false">G5145*H5145*1.5</f>
        <v>0</v>
      </c>
      <c r="K5145" s="6" t="n">
        <v>12.46</v>
      </c>
      <c r="L5145" s="43" t="n">
        <f aca="false">K5145*'Chart of Accounts'!$E$68</f>
        <v>8.3482</v>
      </c>
      <c r="O5145" s="42" t="n">
        <f aca="false">I5145+J5145+L5145</f>
        <v>63.3377</v>
      </c>
    </row>
    <row r="5146" customFormat="false" ht="15" hidden="false" customHeight="false" outlineLevel="0" collapsed="false">
      <c r="B5146" s="7" t="s">
        <v>13779</v>
      </c>
      <c r="C5146" s="39" t="n">
        <v>45975</v>
      </c>
      <c r="D5146" s="7" t="s">
        <v>177</v>
      </c>
      <c r="E5146" s="7" t="s">
        <v>180</v>
      </c>
      <c r="F5146" s="6" t="n">
        <v>8.39</v>
      </c>
      <c r="G5146" s="6" t="n">
        <v>0</v>
      </c>
      <c r="H5146" s="41" t="n">
        <v>14.56</v>
      </c>
      <c r="I5146" s="43" t="n">
        <f aca="false">F5146*H5146</f>
        <v>122.1584</v>
      </c>
      <c r="J5146" s="43" t="n">
        <f aca="false">G5146*H5146*1.5</f>
        <v>0</v>
      </c>
      <c r="K5146" s="6" t="n">
        <v>29.64</v>
      </c>
      <c r="L5146" s="43" t="n">
        <f aca="false">K5146*'Chart of Accounts'!$E$68</f>
        <v>19.8588</v>
      </c>
      <c r="O5146" s="42" t="n">
        <f aca="false">I5146+J5146+L5146</f>
        <v>142.0172</v>
      </c>
    </row>
    <row r="5147" customFormat="false" ht="15" hidden="false" customHeight="false" outlineLevel="0" collapsed="false">
      <c r="B5147" s="7" t="s">
        <v>13780</v>
      </c>
      <c r="C5147" s="39" t="n">
        <v>45975</v>
      </c>
      <c r="D5147" s="7" t="s">
        <v>242</v>
      </c>
      <c r="E5147" s="7" t="s">
        <v>180</v>
      </c>
      <c r="F5147" s="6" t="n">
        <v>7.59</v>
      </c>
      <c r="G5147" s="6" t="n">
        <v>0</v>
      </c>
      <c r="H5147" s="41" t="n">
        <v>17.99</v>
      </c>
      <c r="I5147" s="43" t="n">
        <f aca="false">F5147*H5147</f>
        <v>136.5441</v>
      </c>
      <c r="J5147" s="43" t="n">
        <f aca="false">G5147*H5147*1.5</f>
        <v>0</v>
      </c>
      <c r="K5147" s="6" t="n">
        <v>18.89</v>
      </c>
      <c r="L5147" s="43" t="n">
        <f aca="false">K5147*'Chart of Accounts'!$E$68</f>
        <v>12.6563</v>
      </c>
      <c r="O5147" s="42" t="n">
        <f aca="false">I5147+J5147+L5147</f>
        <v>149.2004</v>
      </c>
    </row>
    <row r="5148" customFormat="false" ht="15" hidden="false" customHeight="false" outlineLevel="0" collapsed="false">
      <c r="B5148" s="7" t="s">
        <v>13781</v>
      </c>
      <c r="C5148" s="39" t="n">
        <v>45975</v>
      </c>
      <c r="D5148" s="7" t="s">
        <v>238</v>
      </c>
      <c r="E5148" s="7" t="s">
        <v>180</v>
      </c>
      <c r="F5148" s="6" t="n">
        <v>8.19</v>
      </c>
      <c r="G5148" s="6" t="n">
        <v>0</v>
      </c>
      <c r="H5148" s="41" t="n">
        <v>15.85</v>
      </c>
      <c r="I5148" s="43" t="n">
        <f aca="false">F5148*H5148</f>
        <v>129.8115</v>
      </c>
      <c r="J5148" s="43" t="n">
        <f aca="false">G5148*H5148*1.5</f>
        <v>0</v>
      </c>
      <c r="K5148" s="6" t="n">
        <v>26.24</v>
      </c>
      <c r="L5148" s="43" t="n">
        <f aca="false">K5148*'Chart of Accounts'!$E$68</f>
        <v>17.5808</v>
      </c>
      <c r="O5148" s="42" t="n">
        <f aca="false">I5148+J5148+L5148</f>
        <v>147.3923</v>
      </c>
    </row>
    <row r="5149" customFormat="false" ht="15" hidden="false" customHeight="false" outlineLevel="0" collapsed="false">
      <c r="B5149" s="7" t="s">
        <v>13782</v>
      </c>
      <c r="C5149" s="39" t="n">
        <v>45975</v>
      </c>
      <c r="D5149" s="7" t="s">
        <v>244</v>
      </c>
      <c r="E5149" s="7" t="s">
        <v>180</v>
      </c>
      <c r="F5149" s="6" t="n">
        <v>4.36</v>
      </c>
      <c r="G5149" s="6" t="n">
        <v>0</v>
      </c>
      <c r="H5149" s="41" t="n">
        <v>16.39</v>
      </c>
      <c r="I5149" s="43" t="n">
        <f aca="false">F5149*H5149</f>
        <v>71.4604</v>
      </c>
      <c r="J5149" s="43" t="n">
        <f aca="false">G5149*H5149*1.5</f>
        <v>0</v>
      </c>
      <c r="K5149" s="6" t="n">
        <v>10.49</v>
      </c>
      <c r="L5149" s="43" t="n">
        <f aca="false">K5149*'Chart of Accounts'!$E$68</f>
        <v>7.0283</v>
      </c>
      <c r="O5149" s="42" t="n">
        <f aca="false">I5149+J5149+L5149</f>
        <v>78.4887</v>
      </c>
    </row>
    <row r="5150" customFormat="false" ht="15" hidden="false" customHeight="false" outlineLevel="0" collapsed="false">
      <c r="B5150" s="7" t="s">
        <v>13783</v>
      </c>
      <c r="C5150" s="39" t="n">
        <v>45975</v>
      </c>
      <c r="D5150" s="7" t="s">
        <v>254</v>
      </c>
      <c r="E5150" s="7" t="s">
        <v>180</v>
      </c>
      <c r="F5150" s="6" t="n">
        <v>9.737</v>
      </c>
      <c r="G5150" s="6" t="n">
        <v>2.303</v>
      </c>
      <c r="H5150" s="41" t="n">
        <v>17.1</v>
      </c>
      <c r="I5150" s="43" t="n">
        <f aca="false">F5150*H5150</f>
        <v>166.5027</v>
      </c>
      <c r="J5150" s="43" t="n">
        <f aca="false">G5150*H5150*1.5</f>
        <v>59.07195</v>
      </c>
      <c r="K5150" s="6" t="n">
        <v>28.98</v>
      </c>
      <c r="L5150" s="43" t="n">
        <f aca="false">K5150*'Chart of Accounts'!$E$68</f>
        <v>19.4166</v>
      </c>
      <c r="O5150" s="42" t="n">
        <f aca="false">I5150+J5150+L5150</f>
        <v>244.99125</v>
      </c>
    </row>
    <row r="5151" customFormat="false" ht="15" hidden="false" customHeight="false" outlineLevel="0" collapsed="false">
      <c r="B5151" s="7" t="s">
        <v>13784</v>
      </c>
      <c r="C5151" s="39" t="n">
        <v>45975</v>
      </c>
      <c r="D5151" s="7" t="s">
        <v>201</v>
      </c>
      <c r="E5151" s="7" t="s">
        <v>180</v>
      </c>
      <c r="F5151" s="6" t="n">
        <v>3.26</v>
      </c>
      <c r="G5151" s="6" t="n">
        <v>0</v>
      </c>
      <c r="H5151" s="41" t="n">
        <v>15.19</v>
      </c>
      <c r="I5151" s="43" t="n">
        <f aca="false">F5151*H5151</f>
        <v>49.5194</v>
      </c>
      <c r="J5151" s="43" t="n">
        <f aca="false">G5151*H5151*1.5</f>
        <v>0</v>
      </c>
      <c r="K5151" s="6" t="n">
        <v>7.99</v>
      </c>
      <c r="L5151" s="43" t="n">
        <f aca="false">K5151*'Chart of Accounts'!$E$68</f>
        <v>5.3533</v>
      </c>
      <c r="O5151" s="42" t="n">
        <f aca="false">I5151+J5151+L5151</f>
        <v>54.8727</v>
      </c>
    </row>
    <row r="5152" customFormat="false" ht="15" hidden="false" customHeight="false" outlineLevel="0" collapsed="false">
      <c r="B5152" s="7" t="s">
        <v>13785</v>
      </c>
      <c r="C5152" s="39" t="n">
        <v>45975</v>
      </c>
      <c r="D5152" s="7" t="s">
        <v>258</v>
      </c>
      <c r="E5152" s="7" t="s">
        <v>158</v>
      </c>
      <c r="H5152" s="41" t="n">
        <v>61.61</v>
      </c>
      <c r="M5152" s="6" t="n">
        <v>1</v>
      </c>
      <c r="N5152" s="43" t="n">
        <f aca="false">M5152*H5152</f>
        <v>61.61</v>
      </c>
      <c r="O5152" s="42" t="n">
        <f aca="false">N5152</f>
        <v>61.61</v>
      </c>
    </row>
    <row r="5153" customFormat="false" ht="15" hidden="false" customHeight="false" outlineLevel="0" collapsed="false">
      <c r="B5153" s="7" t="s">
        <v>13786</v>
      </c>
      <c r="C5153" s="39" t="n">
        <v>45975</v>
      </c>
      <c r="D5153" s="7" t="s">
        <v>232</v>
      </c>
      <c r="E5153" s="7" t="s">
        <v>180</v>
      </c>
      <c r="F5153" s="6" t="n">
        <v>4.8</v>
      </c>
      <c r="G5153" s="6" t="n">
        <v>0</v>
      </c>
      <c r="H5153" s="41" t="n">
        <v>16.17</v>
      </c>
      <c r="I5153" s="43" t="n">
        <f aca="false">F5153*H5153</f>
        <v>77.616</v>
      </c>
      <c r="J5153" s="43" t="n">
        <f aca="false">G5153*H5153*1.5</f>
        <v>0</v>
      </c>
      <c r="K5153" s="6" t="n">
        <v>11.92</v>
      </c>
      <c r="L5153" s="43" t="n">
        <f aca="false">K5153*'Chart of Accounts'!$E$68</f>
        <v>7.9864</v>
      </c>
      <c r="O5153" s="42" t="n">
        <f aca="false">I5153+J5153+L5153</f>
        <v>85.6024</v>
      </c>
    </row>
    <row r="5154" customFormat="false" ht="15" hidden="false" customHeight="false" outlineLevel="0" collapsed="false">
      <c r="B5154" s="7" t="s">
        <v>13787</v>
      </c>
      <c r="C5154" s="39" t="n">
        <v>45975</v>
      </c>
      <c r="D5154" s="7" t="s">
        <v>224</v>
      </c>
      <c r="E5154" s="7" t="s">
        <v>180</v>
      </c>
      <c r="F5154" s="6" t="n">
        <v>4.29</v>
      </c>
      <c r="G5154" s="6" t="n">
        <v>0</v>
      </c>
      <c r="H5154" s="41" t="n">
        <v>14.93</v>
      </c>
      <c r="I5154" s="43" t="n">
        <f aca="false">F5154*H5154</f>
        <v>64.0497</v>
      </c>
      <c r="J5154" s="43" t="n">
        <f aca="false">G5154*H5154*1.5</f>
        <v>0</v>
      </c>
      <c r="K5154" s="6" t="n">
        <v>10.35</v>
      </c>
      <c r="L5154" s="43" t="n">
        <f aca="false">K5154*'Chart of Accounts'!$E$68</f>
        <v>6.9345</v>
      </c>
      <c r="O5154" s="42" t="n">
        <f aca="false">I5154+J5154+L5154</f>
        <v>70.9842</v>
      </c>
    </row>
    <row r="5155" customFormat="false" ht="15" hidden="false" customHeight="false" outlineLevel="0" collapsed="false">
      <c r="B5155" s="7" t="s">
        <v>13788</v>
      </c>
      <c r="C5155" s="39" t="n">
        <v>45975</v>
      </c>
      <c r="D5155" s="7" t="s">
        <v>230</v>
      </c>
      <c r="E5155" s="7" t="s">
        <v>158</v>
      </c>
      <c r="H5155" s="41" t="n">
        <v>48.78</v>
      </c>
      <c r="M5155" s="6" t="n">
        <v>1</v>
      </c>
      <c r="N5155" s="43" t="n">
        <f aca="false">M5155*H5155</f>
        <v>48.78</v>
      </c>
      <c r="O5155" s="42" t="n">
        <f aca="false">N5155</f>
        <v>48.78</v>
      </c>
    </row>
    <row r="5156" customFormat="false" ht="15" hidden="false" customHeight="false" outlineLevel="0" collapsed="false">
      <c r="B5156" s="7" t="s">
        <v>13789</v>
      </c>
      <c r="C5156" s="39" t="n">
        <v>45975</v>
      </c>
      <c r="D5156" s="7" t="s">
        <v>196</v>
      </c>
      <c r="E5156" s="7" t="s">
        <v>180</v>
      </c>
      <c r="F5156" s="6" t="n">
        <v>3.115</v>
      </c>
      <c r="G5156" s="6" t="n">
        <v>0.505</v>
      </c>
      <c r="H5156" s="41" t="n">
        <v>15.05</v>
      </c>
      <c r="I5156" s="43" t="n">
        <f aca="false">F5156*H5156</f>
        <v>46.88075</v>
      </c>
      <c r="J5156" s="43" t="n">
        <f aca="false">G5156*H5156*1.5</f>
        <v>11.400375</v>
      </c>
      <c r="K5156" s="6" t="n">
        <v>12.16</v>
      </c>
      <c r="L5156" s="43" t="n">
        <f aca="false">K5156*'Chart of Accounts'!$E$68</f>
        <v>8.1472</v>
      </c>
      <c r="O5156" s="42" t="n">
        <f aca="false">I5156+J5156+L5156</f>
        <v>66.428325</v>
      </c>
    </row>
    <row r="5157" customFormat="false" ht="15" hidden="false" customHeight="false" outlineLevel="0" collapsed="false">
      <c r="B5157" s="7" t="s">
        <v>13790</v>
      </c>
      <c r="C5157" s="39" t="n">
        <v>45975</v>
      </c>
      <c r="D5157" s="7" t="s">
        <v>246</v>
      </c>
      <c r="E5157" s="7" t="s">
        <v>180</v>
      </c>
      <c r="F5157" s="6" t="n">
        <v>4.18</v>
      </c>
      <c r="G5157" s="6" t="n">
        <v>0</v>
      </c>
      <c r="H5157" s="41" t="n">
        <v>16.48</v>
      </c>
      <c r="I5157" s="43" t="n">
        <f aca="false">F5157*H5157</f>
        <v>68.8864</v>
      </c>
      <c r="J5157" s="43" t="n">
        <f aca="false">G5157*H5157*1.5</f>
        <v>0</v>
      </c>
      <c r="K5157" s="6" t="n">
        <v>11.48</v>
      </c>
      <c r="L5157" s="43" t="n">
        <f aca="false">K5157*'Chart of Accounts'!$E$68</f>
        <v>7.6916</v>
      </c>
      <c r="O5157" s="42" t="n">
        <f aca="false">I5157+J5157+L5157</f>
        <v>76.578</v>
      </c>
    </row>
    <row r="5158" customFormat="false" ht="15" hidden="false" customHeight="false" outlineLevel="0" collapsed="false">
      <c r="B5158" s="7" t="s">
        <v>13791</v>
      </c>
      <c r="C5158" s="39" t="n">
        <v>45975</v>
      </c>
      <c r="D5158" s="7" t="s">
        <v>203</v>
      </c>
      <c r="E5158" s="7" t="s">
        <v>158</v>
      </c>
      <c r="H5158" s="41" t="n">
        <v>49.43</v>
      </c>
      <c r="M5158" s="6" t="n">
        <v>1</v>
      </c>
      <c r="N5158" s="43" t="n">
        <f aca="false">M5158*H5158</f>
        <v>49.43</v>
      </c>
      <c r="O5158" s="42" t="n">
        <f aca="false">N5158</f>
        <v>49.43</v>
      </c>
    </row>
    <row r="5159" customFormat="false" ht="15" hidden="false" customHeight="false" outlineLevel="0" collapsed="false">
      <c r="B5159" s="7" t="s">
        <v>13792</v>
      </c>
      <c r="C5159" s="39" t="n">
        <v>45975</v>
      </c>
      <c r="D5159" s="7" t="s">
        <v>256</v>
      </c>
      <c r="E5159" s="7" t="s">
        <v>180</v>
      </c>
      <c r="F5159" s="6" t="n">
        <v>3.5</v>
      </c>
      <c r="G5159" s="6" t="n">
        <v>0</v>
      </c>
      <c r="H5159" s="41" t="n">
        <v>15.63</v>
      </c>
      <c r="I5159" s="43" t="n">
        <f aca="false">F5159*H5159</f>
        <v>54.705</v>
      </c>
      <c r="J5159" s="43" t="n">
        <f aca="false">G5159*H5159*1.5</f>
        <v>0</v>
      </c>
      <c r="K5159" s="6" t="n">
        <v>7.87</v>
      </c>
      <c r="L5159" s="43" t="n">
        <f aca="false">K5159*'Chart of Accounts'!$E$68</f>
        <v>5.2729</v>
      </c>
      <c r="O5159" s="42" t="n">
        <f aca="false">I5159+J5159+L5159</f>
        <v>59.9779</v>
      </c>
    </row>
    <row r="5160" customFormat="false" ht="15" hidden="false" customHeight="false" outlineLevel="0" collapsed="false">
      <c r="B5160" s="7" t="s">
        <v>13793</v>
      </c>
      <c r="C5160" s="39" t="n">
        <v>45975</v>
      </c>
      <c r="D5160" s="7" t="s">
        <v>260</v>
      </c>
      <c r="E5160" s="7" t="s">
        <v>158</v>
      </c>
      <c r="H5160" s="41" t="n">
        <v>79.8</v>
      </c>
      <c r="M5160" s="6" t="n">
        <v>1</v>
      </c>
      <c r="N5160" s="43" t="n">
        <f aca="false">M5160*H5160</f>
        <v>79.8</v>
      </c>
      <c r="O5160" s="42" t="n">
        <f aca="false">N5160</f>
        <v>79.8</v>
      </c>
    </row>
    <row r="5161" customFormat="false" ht="15" hidden="false" customHeight="false" outlineLevel="0" collapsed="false">
      <c r="B5161" s="7" t="s">
        <v>13794</v>
      </c>
      <c r="C5161" s="39" t="n">
        <v>45976</v>
      </c>
      <c r="D5161" s="7" t="s">
        <v>184</v>
      </c>
      <c r="E5161" s="7" t="s">
        <v>180</v>
      </c>
      <c r="F5161" s="6" t="n">
        <v>3.74</v>
      </c>
      <c r="G5161" s="6" t="n">
        <v>0</v>
      </c>
      <c r="H5161" s="41" t="n">
        <v>17.34</v>
      </c>
      <c r="I5161" s="43" t="n">
        <f aca="false">F5161*H5161</f>
        <v>64.8516</v>
      </c>
      <c r="J5161" s="43" t="n">
        <f aca="false">G5161*H5161*1.5</f>
        <v>0</v>
      </c>
      <c r="K5161" s="6" t="n">
        <v>10.96</v>
      </c>
      <c r="L5161" s="43" t="n">
        <f aca="false">K5161*'Chart of Accounts'!$E$68</f>
        <v>7.3432</v>
      </c>
      <c r="O5161" s="42" t="n">
        <f aca="false">I5161+J5161+L5161</f>
        <v>72.1948</v>
      </c>
    </row>
    <row r="5162" customFormat="false" ht="15" hidden="false" customHeight="false" outlineLevel="0" collapsed="false">
      <c r="B5162" s="7" t="s">
        <v>13795</v>
      </c>
      <c r="C5162" s="39" t="n">
        <v>45976</v>
      </c>
      <c r="D5162" s="7" t="s">
        <v>218</v>
      </c>
      <c r="E5162" s="7" t="s">
        <v>180</v>
      </c>
      <c r="F5162" s="6" t="n">
        <v>4.28</v>
      </c>
      <c r="G5162" s="6" t="n">
        <v>0</v>
      </c>
      <c r="H5162" s="41" t="n">
        <v>16.19</v>
      </c>
      <c r="I5162" s="43" t="n">
        <f aca="false">F5162*H5162</f>
        <v>69.2932</v>
      </c>
      <c r="J5162" s="43" t="n">
        <f aca="false">G5162*H5162*1.5</f>
        <v>0</v>
      </c>
      <c r="K5162" s="6" t="n">
        <v>13.88</v>
      </c>
      <c r="L5162" s="43" t="n">
        <f aca="false">K5162*'Chart of Accounts'!$E$68</f>
        <v>9.2996</v>
      </c>
      <c r="O5162" s="42" t="n">
        <f aca="false">I5162+J5162+L5162</f>
        <v>78.5928</v>
      </c>
    </row>
    <row r="5163" customFormat="false" ht="15" hidden="false" customHeight="false" outlineLevel="0" collapsed="false">
      <c r="B5163" s="7" t="s">
        <v>13796</v>
      </c>
      <c r="C5163" s="39" t="n">
        <v>45976</v>
      </c>
      <c r="D5163" s="7" t="s">
        <v>250</v>
      </c>
      <c r="E5163" s="7" t="s">
        <v>180</v>
      </c>
      <c r="F5163" s="6" t="n">
        <v>4.38</v>
      </c>
      <c r="G5163" s="6" t="n">
        <v>0</v>
      </c>
      <c r="H5163" s="41" t="n">
        <v>16.88</v>
      </c>
      <c r="I5163" s="43" t="n">
        <f aca="false">F5163*H5163</f>
        <v>73.9344</v>
      </c>
      <c r="J5163" s="43" t="n">
        <f aca="false">G5163*H5163*1.5</f>
        <v>0</v>
      </c>
      <c r="K5163" s="6" t="n">
        <v>12.84</v>
      </c>
      <c r="L5163" s="43" t="n">
        <f aca="false">K5163*'Chart of Accounts'!$E$68</f>
        <v>8.6028</v>
      </c>
      <c r="O5163" s="42" t="n">
        <f aca="false">I5163+J5163+L5163</f>
        <v>82.5372</v>
      </c>
    </row>
    <row r="5164" customFormat="false" ht="15" hidden="false" customHeight="false" outlineLevel="0" collapsed="false">
      <c r="B5164" s="7" t="s">
        <v>13797</v>
      </c>
      <c r="C5164" s="39" t="n">
        <v>45976</v>
      </c>
      <c r="D5164" s="7" t="s">
        <v>196</v>
      </c>
      <c r="E5164" s="7" t="s">
        <v>180</v>
      </c>
      <c r="F5164" s="6" t="n">
        <v>3.149</v>
      </c>
      <c r="G5164" s="6" t="n">
        <v>0.511</v>
      </c>
      <c r="H5164" s="41" t="n">
        <v>15.05</v>
      </c>
      <c r="I5164" s="43" t="n">
        <f aca="false">F5164*H5164</f>
        <v>47.39245</v>
      </c>
      <c r="J5164" s="43" t="n">
        <f aca="false">G5164*H5164*1.5</f>
        <v>11.535825</v>
      </c>
      <c r="K5164" s="6" t="n">
        <v>11.23</v>
      </c>
      <c r="L5164" s="43" t="n">
        <f aca="false">K5164*'Chart of Accounts'!$E$68</f>
        <v>7.5241</v>
      </c>
      <c r="O5164" s="42" t="n">
        <f aca="false">I5164+J5164+L5164</f>
        <v>66.452375</v>
      </c>
    </row>
    <row r="5165" customFormat="false" ht="15" hidden="false" customHeight="false" outlineLevel="0" collapsed="false">
      <c r="B5165" s="7" t="s">
        <v>13798</v>
      </c>
      <c r="C5165" s="39" t="n">
        <v>45976</v>
      </c>
      <c r="D5165" s="7" t="s">
        <v>222</v>
      </c>
      <c r="E5165" s="7" t="s">
        <v>180</v>
      </c>
      <c r="F5165" s="6" t="n">
        <v>4.163</v>
      </c>
      <c r="G5165" s="6" t="n">
        <v>0.217</v>
      </c>
      <c r="H5165" s="41" t="n">
        <v>17.84</v>
      </c>
      <c r="I5165" s="43" t="n">
        <f aca="false">F5165*H5165</f>
        <v>74.26792</v>
      </c>
      <c r="J5165" s="43" t="n">
        <f aca="false">G5165*H5165*1.5</f>
        <v>5.80692</v>
      </c>
      <c r="K5165" s="6" t="n">
        <v>13.32</v>
      </c>
      <c r="L5165" s="43" t="n">
        <f aca="false">K5165*'Chart of Accounts'!$E$68</f>
        <v>8.9244</v>
      </c>
      <c r="O5165" s="42" t="n">
        <f aca="false">I5165+J5165+L5165</f>
        <v>88.99924</v>
      </c>
    </row>
    <row r="5166" customFormat="false" ht="15" hidden="false" customHeight="false" outlineLevel="0" collapsed="false">
      <c r="B5166" s="7" t="s">
        <v>13799</v>
      </c>
      <c r="C5166" s="39" t="n">
        <v>45976</v>
      </c>
      <c r="D5166" s="7" t="s">
        <v>242</v>
      </c>
      <c r="E5166" s="7" t="s">
        <v>180</v>
      </c>
      <c r="F5166" s="6" t="n">
        <v>3.99</v>
      </c>
      <c r="G5166" s="6" t="n">
        <v>0</v>
      </c>
      <c r="H5166" s="41" t="n">
        <v>17.99</v>
      </c>
      <c r="I5166" s="43" t="n">
        <f aca="false">F5166*H5166</f>
        <v>71.7801</v>
      </c>
      <c r="J5166" s="43" t="n">
        <f aca="false">G5166*H5166*1.5</f>
        <v>0</v>
      </c>
      <c r="K5166" s="6" t="n">
        <v>13.69</v>
      </c>
      <c r="L5166" s="43" t="n">
        <f aca="false">K5166*'Chart of Accounts'!$E$68</f>
        <v>9.1723</v>
      </c>
      <c r="O5166" s="42" t="n">
        <f aca="false">I5166+J5166+L5166</f>
        <v>80.9524</v>
      </c>
    </row>
    <row r="5167" customFormat="false" ht="15" hidden="false" customHeight="false" outlineLevel="0" collapsed="false">
      <c r="B5167" s="7" t="s">
        <v>13800</v>
      </c>
      <c r="C5167" s="39" t="n">
        <v>45976</v>
      </c>
      <c r="D5167" s="7" t="s">
        <v>254</v>
      </c>
      <c r="E5167" s="7" t="s">
        <v>180</v>
      </c>
      <c r="F5167" s="6" t="n">
        <v>3.219</v>
      </c>
      <c r="G5167" s="6" t="n">
        <v>0.761</v>
      </c>
      <c r="H5167" s="41" t="n">
        <v>17.1</v>
      </c>
      <c r="I5167" s="43" t="n">
        <f aca="false">F5167*H5167</f>
        <v>55.0449</v>
      </c>
      <c r="J5167" s="43" t="n">
        <f aca="false">G5167*H5167*1.5</f>
        <v>19.51965</v>
      </c>
      <c r="K5167" s="6" t="n">
        <v>11.28</v>
      </c>
      <c r="L5167" s="43" t="n">
        <f aca="false">K5167*'Chart of Accounts'!$E$68</f>
        <v>7.5576</v>
      </c>
      <c r="O5167" s="42" t="n">
        <f aca="false">I5167+J5167+L5167</f>
        <v>82.12215</v>
      </c>
    </row>
    <row r="5168" customFormat="false" ht="15" hidden="false" customHeight="false" outlineLevel="0" collapsed="false">
      <c r="B5168" s="7" t="s">
        <v>13801</v>
      </c>
      <c r="C5168" s="39" t="n">
        <v>45977</v>
      </c>
      <c r="D5168" s="7" t="s">
        <v>236</v>
      </c>
      <c r="E5168" s="7" t="s">
        <v>180</v>
      </c>
      <c r="F5168" s="6" t="n">
        <v>3.72</v>
      </c>
      <c r="G5168" s="6" t="n">
        <v>0</v>
      </c>
      <c r="H5168" s="41" t="n">
        <v>15.49</v>
      </c>
      <c r="I5168" s="43" t="n">
        <f aca="false">F5168*H5168</f>
        <v>57.6228</v>
      </c>
      <c r="J5168" s="43" t="n">
        <f aca="false">G5168*H5168*1.5</f>
        <v>0</v>
      </c>
      <c r="K5168" s="6" t="n">
        <v>8.75</v>
      </c>
      <c r="L5168" s="43" t="n">
        <f aca="false">K5168*'Chart of Accounts'!$E$68</f>
        <v>5.8625</v>
      </c>
      <c r="O5168" s="42" t="n">
        <f aca="false">I5168+J5168+L5168</f>
        <v>63.4853</v>
      </c>
    </row>
    <row r="5169" customFormat="false" ht="15" hidden="false" customHeight="false" outlineLevel="0" collapsed="false">
      <c r="B5169" s="7" t="s">
        <v>13802</v>
      </c>
      <c r="C5169" s="39" t="n">
        <v>45977</v>
      </c>
      <c r="D5169" s="7" t="s">
        <v>218</v>
      </c>
      <c r="E5169" s="7" t="s">
        <v>180</v>
      </c>
      <c r="F5169" s="6" t="n">
        <v>3.84</v>
      </c>
      <c r="G5169" s="6" t="n">
        <v>0</v>
      </c>
      <c r="H5169" s="41" t="n">
        <v>16.19</v>
      </c>
      <c r="I5169" s="43" t="n">
        <f aca="false">F5169*H5169</f>
        <v>62.1696</v>
      </c>
      <c r="J5169" s="43" t="n">
        <f aca="false">G5169*H5169*1.5</f>
        <v>0</v>
      </c>
      <c r="K5169" s="6" t="n">
        <v>13.59</v>
      </c>
      <c r="L5169" s="43" t="n">
        <f aca="false">K5169*'Chart of Accounts'!$E$68</f>
        <v>9.1053</v>
      </c>
      <c r="O5169" s="42" t="n">
        <f aca="false">I5169+J5169+L5169</f>
        <v>71.2749</v>
      </c>
    </row>
    <row r="5170" customFormat="false" ht="15" hidden="false" customHeight="false" outlineLevel="0" collapsed="false">
      <c r="B5170" s="7" t="s">
        <v>13803</v>
      </c>
      <c r="C5170" s="39" t="n">
        <v>45977</v>
      </c>
      <c r="D5170" s="7" t="s">
        <v>240</v>
      </c>
      <c r="E5170" s="7" t="s">
        <v>180</v>
      </c>
      <c r="F5170" s="6" t="n">
        <v>4.22</v>
      </c>
      <c r="G5170" s="6" t="n">
        <v>0</v>
      </c>
      <c r="H5170" s="41" t="n">
        <v>16.96</v>
      </c>
      <c r="I5170" s="43" t="n">
        <f aca="false">F5170*H5170</f>
        <v>71.5712</v>
      </c>
      <c r="J5170" s="43" t="n">
        <f aca="false">G5170*H5170*1.5</f>
        <v>0</v>
      </c>
      <c r="K5170" s="6" t="n">
        <v>9.62</v>
      </c>
      <c r="L5170" s="43" t="n">
        <f aca="false">K5170*'Chart of Accounts'!$E$68</f>
        <v>6.4454</v>
      </c>
      <c r="O5170" s="42" t="n">
        <f aca="false">I5170+J5170+L5170</f>
        <v>78.0166</v>
      </c>
    </row>
    <row r="5171" customFormat="false" ht="15" hidden="false" customHeight="false" outlineLevel="0" collapsed="false">
      <c r="B5171" s="7" t="s">
        <v>13804</v>
      </c>
      <c r="C5171" s="39" t="n">
        <v>45977</v>
      </c>
      <c r="D5171" s="7" t="s">
        <v>196</v>
      </c>
      <c r="E5171" s="7" t="s">
        <v>180</v>
      </c>
      <c r="F5171" s="6" t="n">
        <v>3.373</v>
      </c>
      <c r="G5171" s="6" t="n">
        <v>0.547</v>
      </c>
      <c r="H5171" s="41" t="n">
        <v>15.05</v>
      </c>
      <c r="I5171" s="43" t="n">
        <f aca="false">F5171*H5171</f>
        <v>50.76365</v>
      </c>
      <c r="J5171" s="43" t="n">
        <f aca="false">G5171*H5171*1.5</f>
        <v>12.348525</v>
      </c>
      <c r="K5171" s="6" t="n">
        <v>12.86</v>
      </c>
      <c r="L5171" s="43" t="n">
        <f aca="false">K5171*'Chart of Accounts'!$E$68</f>
        <v>8.6162</v>
      </c>
      <c r="O5171" s="42" t="n">
        <f aca="false">I5171+J5171+L5171</f>
        <v>71.728375</v>
      </c>
    </row>
    <row r="5172" customFormat="false" ht="15" hidden="false" customHeight="false" outlineLevel="0" collapsed="false">
      <c r="B5172" s="7" t="s">
        <v>13805</v>
      </c>
      <c r="C5172" s="39" t="n">
        <v>45977</v>
      </c>
      <c r="D5172" s="7" t="s">
        <v>222</v>
      </c>
      <c r="E5172" s="7" t="s">
        <v>180</v>
      </c>
      <c r="F5172" s="6" t="n">
        <v>3.527</v>
      </c>
      <c r="G5172" s="6" t="n">
        <v>0.183</v>
      </c>
      <c r="H5172" s="41" t="n">
        <v>17.84</v>
      </c>
      <c r="I5172" s="43" t="n">
        <f aca="false">F5172*H5172</f>
        <v>62.92168</v>
      </c>
      <c r="J5172" s="43" t="n">
        <f aca="false">G5172*H5172*1.5</f>
        <v>4.89708</v>
      </c>
      <c r="K5172" s="6" t="n">
        <v>8.2</v>
      </c>
      <c r="L5172" s="43" t="n">
        <f aca="false">K5172*'Chart of Accounts'!$E$68</f>
        <v>5.494</v>
      </c>
      <c r="O5172" s="42" t="n">
        <f aca="false">I5172+J5172+L5172</f>
        <v>73.31276</v>
      </c>
    </row>
    <row r="5173" customFormat="false" ht="15" hidden="false" customHeight="false" outlineLevel="0" collapsed="false">
      <c r="B5173" s="7" t="s">
        <v>13806</v>
      </c>
      <c r="C5173" s="39" t="n">
        <v>45977</v>
      </c>
      <c r="D5173" s="7" t="s">
        <v>242</v>
      </c>
      <c r="E5173" s="7" t="s">
        <v>180</v>
      </c>
      <c r="F5173" s="6" t="n">
        <v>3.69</v>
      </c>
      <c r="G5173" s="6" t="n">
        <v>0</v>
      </c>
      <c r="H5173" s="41" t="n">
        <v>17.99</v>
      </c>
      <c r="I5173" s="43" t="n">
        <f aca="false">F5173*H5173</f>
        <v>66.3831</v>
      </c>
      <c r="J5173" s="43" t="n">
        <f aca="false">G5173*H5173*1.5</f>
        <v>0</v>
      </c>
      <c r="K5173" s="6" t="n">
        <v>9.98</v>
      </c>
      <c r="L5173" s="43" t="n">
        <f aca="false">K5173*'Chart of Accounts'!$E$68</f>
        <v>6.6866</v>
      </c>
      <c r="O5173" s="42" t="n">
        <f aca="false">I5173+J5173+L5173</f>
        <v>73.0697</v>
      </c>
    </row>
    <row r="5174" customFormat="false" ht="15" hidden="false" customHeight="false" outlineLevel="0" collapsed="false">
      <c r="B5174" s="7" t="s">
        <v>13807</v>
      </c>
      <c r="C5174" s="39" t="n">
        <v>45977</v>
      </c>
      <c r="D5174" s="7" t="s">
        <v>254</v>
      </c>
      <c r="E5174" s="7" t="s">
        <v>180</v>
      </c>
      <c r="F5174" s="6" t="n">
        <v>2.992</v>
      </c>
      <c r="G5174" s="6" t="n">
        <v>0.708</v>
      </c>
      <c r="H5174" s="41" t="n">
        <v>17.1</v>
      </c>
      <c r="I5174" s="43" t="n">
        <f aca="false">F5174*H5174</f>
        <v>51.1632</v>
      </c>
      <c r="J5174" s="43" t="n">
        <f aca="false">G5174*H5174*1.5</f>
        <v>18.1602</v>
      </c>
      <c r="K5174" s="6" t="n">
        <v>11.93</v>
      </c>
      <c r="L5174" s="43" t="n">
        <f aca="false">K5174*'Chart of Accounts'!$E$68</f>
        <v>7.9931</v>
      </c>
      <c r="O5174" s="42" t="n">
        <f aca="false">I5174+J5174+L5174</f>
        <v>77.3165</v>
      </c>
    </row>
    <row r="5175" customFormat="false" ht="15" hidden="false" customHeight="false" outlineLevel="0" collapsed="false">
      <c r="B5175" s="7" t="s">
        <v>13808</v>
      </c>
      <c r="C5175" s="39" t="n">
        <v>45978</v>
      </c>
      <c r="D5175" s="7" t="s">
        <v>256</v>
      </c>
      <c r="E5175" s="7" t="s">
        <v>180</v>
      </c>
      <c r="F5175" s="6" t="n">
        <v>4.23</v>
      </c>
      <c r="G5175" s="6" t="n">
        <v>0</v>
      </c>
      <c r="H5175" s="41" t="n">
        <v>15.63</v>
      </c>
      <c r="I5175" s="43" t="n">
        <f aca="false">F5175*H5175</f>
        <v>66.1149</v>
      </c>
      <c r="J5175" s="43" t="n">
        <f aca="false">G5175*H5175*1.5</f>
        <v>0</v>
      </c>
      <c r="K5175" s="6" t="n">
        <v>10.65</v>
      </c>
      <c r="L5175" s="43" t="n">
        <f aca="false">K5175*'Chart of Accounts'!$E$68</f>
        <v>7.1355</v>
      </c>
      <c r="O5175" s="42" t="n">
        <f aca="false">I5175+J5175+L5175</f>
        <v>73.2504</v>
      </c>
    </row>
    <row r="5176" customFormat="false" ht="15" hidden="false" customHeight="false" outlineLevel="0" collapsed="false">
      <c r="B5176" s="7" t="s">
        <v>13809</v>
      </c>
      <c r="C5176" s="39" t="n">
        <v>45978</v>
      </c>
      <c r="D5176" s="7" t="s">
        <v>194</v>
      </c>
      <c r="E5176" s="7" t="s">
        <v>180</v>
      </c>
      <c r="F5176" s="6" t="n">
        <v>8.41</v>
      </c>
      <c r="G5176" s="6" t="n">
        <v>0</v>
      </c>
      <c r="H5176" s="41" t="n">
        <v>16</v>
      </c>
      <c r="I5176" s="43" t="n">
        <f aca="false">F5176*H5176</f>
        <v>134.56</v>
      </c>
      <c r="J5176" s="43" t="n">
        <f aca="false">G5176*H5176*1.5</f>
        <v>0</v>
      </c>
      <c r="K5176" s="6" t="n">
        <v>20.85</v>
      </c>
      <c r="L5176" s="43" t="n">
        <f aca="false">K5176*'Chart of Accounts'!$E$68</f>
        <v>13.9695</v>
      </c>
      <c r="O5176" s="42" t="n">
        <f aca="false">I5176+J5176+L5176</f>
        <v>148.5295</v>
      </c>
    </row>
    <row r="5177" customFormat="false" ht="15" hidden="false" customHeight="false" outlineLevel="0" collapsed="false">
      <c r="B5177" s="7" t="s">
        <v>13810</v>
      </c>
      <c r="C5177" s="39" t="n">
        <v>45978</v>
      </c>
      <c r="D5177" s="7" t="s">
        <v>214</v>
      </c>
      <c r="E5177" s="7" t="s">
        <v>180</v>
      </c>
      <c r="F5177" s="6" t="n">
        <v>10.67</v>
      </c>
      <c r="G5177" s="6" t="n">
        <v>0</v>
      </c>
      <c r="H5177" s="41" t="n">
        <v>15.67</v>
      </c>
      <c r="I5177" s="43" t="n">
        <f aca="false">F5177*H5177</f>
        <v>167.1989</v>
      </c>
      <c r="J5177" s="43" t="n">
        <f aca="false">G5177*H5177*1.5</f>
        <v>0</v>
      </c>
      <c r="K5177" s="6" t="n">
        <v>24.78</v>
      </c>
      <c r="L5177" s="43" t="n">
        <f aca="false">K5177*'Chart of Accounts'!$E$68</f>
        <v>16.6026</v>
      </c>
      <c r="O5177" s="42" t="n">
        <f aca="false">I5177+J5177+L5177</f>
        <v>183.8015</v>
      </c>
    </row>
    <row r="5178" customFormat="false" ht="15" hidden="false" customHeight="false" outlineLevel="0" collapsed="false">
      <c r="B5178" s="7" t="s">
        <v>13811</v>
      </c>
      <c r="C5178" s="39" t="n">
        <v>45978</v>
      </c>
      <c r="D5178" s="7" t="s">
        <v>201</v>
      </c>
      <c r="E5178" s="7" t="s">
        <v>180</v>
      </c>
      <c r="F5178" s="6" t="n">
        <v>9.1</v>
      </c>
      <c r="G5178" s="6" t="n">
        <v>0</v>
      </c>
      <c r="H5178" s="41" t="n">
        <v>15.19</v>
      </c>
      <c r="I5178" s="43" t="n">
        <f aca="false">F5178*H5178</f>
        <v>138.229</v>
      </c>
      <c r="J5178" s="43" t="n">
        <f aca="false">G5178*H5178*1.5</f>
        <v>0</v>
      </c>
      <c r="K5178" s="6" t="n">
        <v>29.18</v>
      </c>
      <c r="L5178" s="43" t="n">
        <f aca="false">K5178*'Chart of Accounts'!$E$68</f>
        <v>19.5506</v>
      </c>
      <c r="O5178" s="42" t="n">
        <f aca="false">I5178+J5178+L5178</f>
        <v>157.7796</v>
      </c>
    </row>
    <row r="5179" customFormat="false" ht="15" hidden="false" customHeight="false" outlineLevel="0" collapsed="false">
      <c r="B5179" s="7" t="s">
        <v>13812</v>
      </c>
      <c r="C5179" s="39" t="n">
        <v>45978</v>
      </c>
      <c r="D5179" s="7" t="s">
        <v>205</v>
      </c>
      <c r="E5179" s="7" t="s">
        <v>180</v>
      </c>
      <c r="F5179" s="6" t="n">
        <v>6.74</v>
      </c>
      <c r="G5179" s="6" t="n">
        <v>0</v>
      </c>
      <c r="H5179" s="41" t="n">
        <v>16.36</v>
      </c>
      <c r="I5179" s="43" t="n">
        <f aca="false">F5179*H5179</f>
        <v>110.2664</v>
      </c>
      <c r="J5179" s="43" t="n">
        <f aca="false">G5179*H5179*1.5</f>
        <v>0</v>
      </c>
      <c r="K5179" s="6" t="n">
        <v>19.69</v>
      </c>
      <c r="L5179" s="43" t="n">
        <f aca="false">K5179*'Chart of Accounts'!$E$68</f>
        <v>13.1923</v>
      </c>
      <c r="O5179" s="42" t="n">
        <f aca="false">I5179+J5179+L5179</f>
        <v>123.4587</v>
      </c>
    </row>
    <row r="5180" customFormat="false" ht="15" hidden="false" customHeight="false" outlineLevel="0" collapsed="false">
      <c r="B5180" s="7" t="s">
        <v>13813</v>
      </c>
      <c r="C5180" s="39" t="n">
        <v>45978</v>
      </c>
      <c r="D5180" s="7" t="s">
        <v>240</v>
      </c>
      <c r="E5180" s="7" t="s">
        <v>180</v>
      </c>
      <c r="F5180" s="6" t="n">
        <v>7.82</v>
      </c>
      <c r="G5180" s="6" t="n">
        <v>0</v>
      </c>
      <c r="H5180" s="41" t="n">
        <v>16.96</v>
      </c>
      <c r="I5180" s="43" t="n">
        <f aca="false">F5180*H5180</f>
        <v>132.6272</v>
      </c>
      <c r="J5180" s="43" t="n">
        <f aca="false">G5180*H5180*1.5</f>
        <v>0</v>
      </c>
      <c r="K5180" s="6" t="n">
        <v>21.27</v>
      </c>
      <c r="L5180" s="43" t="n">
        <f aca="false">K5180*'Chart of Accounts'!$E$68</f>
        <v>14.2509</v>
      </c>
      <c r="O5180" s="42" t="n">
        <f aca="false">I5180+J5180+L5180</f>
        <v>146.8781</v>
      </c>
    </row>
    <row r="5181" customFormat="false" ht="15" hidden="false" customHeight="false" outlineLevel="0" collapsed="false">
      <c r="B5181" s="7" t="s">
        <v>13814</v>
      </c>
      <c r="C5181" s="39" t="n">
        <v>45978</v>
      </c>
      <c r="D5181" s="7" t="s">
        <v>264</v>
      </c>
      <c r="E5181" s="7" t="s">
        <v>158</v>
      </c>
      <c r="H5181" s="41" t="n">
        <v>55.55</v>
      </c>
      <c r="M5181" s="6" t="n">
        <v>1</v>
      </c>
      <c r="N5181" s="43" t="n">
        <f aca="false">M5181*H5181</f>
        <v>55.55</v>
      </c>
      <c r="O5181" s="42" t="n">
        <f aca="false">N5181</f>
        <v>55.55</v>
      </c>
    </row>
    <row r="5182" customFormat="false" ht="15" hidden="false" customHeight="false" outlineLevel="0" collapsed="false">
      <c r="B5182" s="7" t="s">
        <v>13815</v>
      </c>
      <c r="C5182" s="39" t="n">
        <v>45978</v>
      </c>
      <c r="D5182" s="7" t="s">
        <v>252</v>
      </c>
      <c r="E5182" s="7" t="s">
        <v>158</v>
      </c>
      <c r="H5182" s="41" t="n">
        <v>57.54</v>
      </c>
      <c r="M5182" s="6" t="n">
        <v>1</v>
      </c>
      <c r="N5182" s="43" t="n">
        <f aca="false">M5182*H5182</f>
        <v>57.54</v>
      </c>
      <c r="O5182" s="42" t="n">
        <f aca="false">N5182</f>
        <v>57.54</v>
      </c>
    </row>
    <row r="5183" customFormat="false" ht="15" hidden="false" customHeight="false" outlineLevel="0" collapsed="false">
      <c r="B5183" s="7" t="s">
        <v>13816</v>
      </c>
      <c r="C5183" s="39" t="n">
        <v>45978</v>
      </c>
      <c r="D5183" s="7" t="s">
        <v>196</v>
      </c>
      <c r="E5183" s="7" t="s">
        <v>180</v>
      </c>
      <c r="F5183" s="6" t="n">
        <v>9.469</v>
      </c>
      <c r="G5183" s="6" t="n">
        <v>0.791</v>
      </c>
      <c r="H5183" s="41" t="n">
        <v>15.05</v>
      </c>
      <c r="I5183" s="43" t="n">
        <f aca="false">F5183*H5183</f>
        <v>142.50845</v>
      </c>
      <c r="J5183" s="43" t="n">
        <f aca="false">G5183*H5183*1.5</f>
        <v>17.856825</v>
      </c>
      <c r="K5183" s="6" t="n">
        <v>28.51</v>
      </c>
      <c r="L5183" s="43" t="n">
        <f aca="false">K5183*'Chart of Accounts'!$E$68</f>
        <v>19.1017</v>
      </c>
      <c r="O5183" s="42" t="n">
        <f aca="false">I5183+J5183+L5183</f>
        <v>179.466975</v>
      </c>
    </row>
    <row r="5184" customFormat="false" ht="15" hidden="false" customHeight="false" outlineLevel="0" collapsed="false">
      <c r="B5184" s="7" t="s">
        <v>13817</v>
      </c>
      <c r="C5184" s="39" t="n">
        <v>45978</v>
      </c>
      <c r="D5184" s="7" t="s">
        <v>184</v>
      </c>
      <c r="E5184" s="7" t="s">
        <v>180</v>
      </c>
      <c r="F5184" s="6" t="n">
        <v>4.04</v>
      </c>
      <c r="G5184" s="6" t="n">
        <v>0</v>
      </c>
      <c r="H5184" s="41" t="n">
        <v>17.34</v>
      </c>
      <c r="I5184" s="43" t="n">
        <f aca="false">F5184*H5184</f>
        <v>70.0536</v>
      </c>
      <c r="J5184" s="43" t="n">
        <f aca="false">G5184*H5184*1.5</f>
        <v>0</v>
      </c>
      <c r="K5184" s="6" t="n">
        <v>10.75</v>
      </c>
      <c r="L5184" s="43" t="n">
        <f aca="false">K5184*'Chart of Accounts'!$E$68</f>
        <v>7.2025</v>
      </c>
      <c r="O5184" s="42" t="n">
        <f aca="false">I5184+J5184+L5184</f>
        <v>77.2561</v>
      </c>
    </row>
    <row r="5185" customFormat="false" ht="15" hidden="false" customHeight="false" outlineLevel="0" collapsed="false">
      <c r="B5185" s="7" t="s">
        <v>13818</v>
      </c>
      <c r="C5185" s="39" t="n">
        <v>45978</v>
      </c>
      <c r="D5185" s="7" t="s">
        <v>216</v>
      </c>
      <c r="E5185" s="7" t="s">
        <v>158</v>
      </c>
      <c r="H5185" s="41" t="n">
        <v>61.79</v>
      </c>
      <c r="M5185" s="6" t="n">
        <v>1</v>
      </c>
      <c r="N5185" s="43" t="n">
        <f aca="false">M5185*H5185</f>
        <v>61.79</v>
      </c>
      <c r="O5185" s="42" t="n">
        <f aca="false">N5185</f>
        <v>61.79</v>
      </c>
    </row>
    <row r="5186" customFormat="false" ht="15" hidden="false" customHeight="false" outlineLevel="0" collapsed="false">
      <c r="B5186" s="7" t="s">
        <v>13819</v>
      </c>
      <c r="C5186" s="39" t="n">
        <v>45978</v>
      </c>
      <c r="D5186" s="7" t="s">
        <v>218</v>
      </c>
      <c r="E5186" s="7" t="s">
        <v>180</v>
      </c>
      <c r="F5186" s="6" t="n">
        <v>7.32</v>
      </c>
      <c r="G5186" s="6" t="n">
        <v>0</v>
      </c>
      <c r="H5186" s="41" t="n">
        <v>16.19</v>
      </c>
      <c r="I5186" s="43" t="n">
        <f aca="false">F5186*H5186</f>
        <v>118.5108</v>
      </c>
      <c r="J5186" s="43" t="n">
        <f aca="false">G5186*H5186*1.5</f>
        <v>0</v>
      </c>
      <c r="K5186" s="6" t="n">
        <v>25.95</v>
      </c>
      <c r="L5186" s="43" t="n">
        <f aca="false">K5186*'Chart of Accounts'!$E$68</f>
        <v>17.3865</v>
      </c>
      <c r="O5186" s="42" t="n">
        <f aca="false">I5186+J5186+L5186</f>
        <v>135.8973</v>
      </c>
    </row>
    <row r="5187" customFormat="false" ht="15" hidden="false" customHeight="false" outlineLevel="0" collapsed="false">
      <c r="B5187" s="7" t="s">
        <v>13820</v>
      </c>
      <c r="C5187" s="39" t="n">
        <v>45978</v>
      </c>
      <c r="D5187" s="7" t="s">
        <v>242</v>
      </c>
      <c r="E5187" s="7" t="s">
        <v>180</v>
      </c>
      <c r="F5187" s="6" t="n">
        <v>11.886</v>
      </c>
      <c r="G5187" s="6" t="n">
        <v>1.174</v>
      </c>
      <c r="H5187" s="41" t="n">
        <v>17.99</v>
      </c>
      <c r="I5187" s="43" t="n">
        <f aca="false">F5187*H5187</f>
        <v>213.82914</v>
      </c>
      <c r="J5187" s="43" t="n">
        <f aca="false">G5187*H5187*1.5</f>
        <v>31.68039</v>
      </c>
      <c r="K5187" s="6" t="n">
        <v>40.14</v>
      </c>
      <c r="L5187" s="43" t="n">
        <f aca="false">K5187*'Chart of Accounts'!$E$68</f>
        <v>26.8938</v>
      </c>
      <c r="O5187" s="42" t="n">
        <f aca="false">I5187+J5187+L5187</f>
        <v>272.40333</v>
      </c>
    </row>
    <row r="5188" customFormat="false" ht="15" hidden="false" customHeight="false" outlineLevel="0" collapsed="false">
      <c r="B5188" s="7" t="s">
        <v>13821</v>
      </c>
      <c r="C5188" s="39" t="n">
        <v>45978</v>
      </c>
      <c r="D5188" s="7" t="s">
        <v>220</v>
      </c>
      <c r="E5188" s="7" t="s">
        <v>180</v>
      </c>
      <c r="F5188" s="6" t="n">
        <v>4.26</v>
      </c>
      <c r="G5188" s="6" t="n">
        <v>0</v>
      </c>
      <c r="H5188" s="41" t="n">
        <v>16.43</v>
      </c>
      <c r="I5188" s="43" t="n">
        <f aca="false">F5188*H5188</f>
        <v>69.9918</v>
      </c>
      <c r="J5188" s="43" t="n">
        <f aca="false">G5188*H5188*1.5</f>
        <v>0</v>
      </c>
      <c r="K5188" s="6" t="n">
        <v>11.09</v>
      </c>
      <c r="L5188" s="43" t="n">
        <f aca="false">K5188*'Chart of Accounts'!$E$68</f>
        <v>7.4303</v>
      </c>
      <c r="O5188" s="42" t="n">
        <f aca="false">I5188+J5188+L5188</f>
        <v>77.4221</v>
      </c>
    </row>
    <row r="5189" customFormat="false" ht="15" hidden="false" customHeight="false" outlineLevel="0" collapsed="false">
      <c r="B5189" s="7" t="s">
        <v>13822</v>
      </c>
      <c r="C5189" s="39" t="n">
        <v>45978</v>
      </c>
      <c r="D5189" s="7" t="s">
        <v>224</v>
      </c>
      <c r="E5189" s="7" t="s">
        <v>180</v>
      </c>
      <c r="F5189" s="6" t="n">
        <v>3.81</v>
      </c>
      <c r="G5189" s="6" t="n">
        <v>0</v>
      </c>
      <c r="H5189" s="41" t="n">
        <v>14.93</v>
      </c>
      <c r="I5189" s="43" t="n">
        <f aca="false">F5189*H5189</f>
        <v>56.8833</v>
      </c>
      <c r="J5189" s="43" t="n">
        <f aca="false">G5189*H5189*1.5</f>
        <v>0</v>
      </c>
      <c r="K5189" s="6" t="n">
        <v>9.18</v>
      </c>
      <c r="L5189" s="43" t="n">
        <f aca="false">K5189*'Chart of Accounts'!$E$68</f>
        <v>6.1506</v>
      </c>
      <c r="O5189" s="42" t="n">
        <f aca="false">I5189+J5189+L5189</f>
        <v>63.0339</v>
      </c>
    </row>
    <row r="5190" customFormat="false" ht="15" hidden="false" customHeight="false" outlineLevel="0" collapsed="false">
      <c r="B5190" s="7" t="s">
        <v>13823</v>
      </c>
      <c r="C5190" s="39" t="n">
        <v>45978</v>
      </c>
      <c r="D5190" s="7" t="s">
        <v>236</v>
      </c>
      <c r="E5190" s="7" t="s">
        <v>180</v>
      </c>
      <c r="F5190" s="6" t="n">
        <v>3.34</v>
      </c>
      <c r="G5190" s="6" t="n">
        <v>0</v>
      </c>
      <c r="H5190" s="41" t="n">
        <v>15.49</v>
      </c>
      <c r="I5190" s="43" t="n">
        <f aca="false">F5190*H5190</f>
        <v>51.7366</v>
      </c>
      <c r="J5190" s="43" t="n">
        <f aca="false">G5190*H5190*1.5</f>
        <v>0</v>
      </c>
      <c r="K5190" s="6" t="n">
        <v>8.05</v>
      </c>
      <c r="L5190" s="43" t="n">
        <f aca="false">K5190*'Chart of Accounts'!$E$68</f>
        <v>5.3935</v>
      </c>
      <c r="O5190" s="42" t="n">
        <f aca="false">I5190+J5190+L5190</f>
        <v>57.1301</v>
      </c>
    </row>
    <row r="5191" customFormat="false" ht="15" hidden="false" customHeight="false" outlineLevel="0" collapsed="false">
      <c r="B5191" s="7" t="s">
        <v>13824</v>
      </c>
      <c r="C5191" s="39" t="n">
        <v>45978</v>
      </c>
      <c r="D5191" s="7" t="s">
        <v>177</v>
      </c>
      <c r="E5191" s="7" t="s">
        <v>180</v>
      </c>
      <c r="F5191" s="6" t="n">
        <v>8.33</v>
      </c>
      <c r="G5191" s="6" t="n">
        <v>0</v>
      </c>
      <c r="H5191" s="41" t="n">
        <v>14.56</v>
      </c>
      <c r="I5191" s="43" t="n">
        <f aca="false">F5191*H5191</f>
        <v>121.2848</v>
      </c>
      <c r="J5191" s="43" t="n">
        <f aca="false">G5191*H5191*1.5</f>
        <v>0</v>
      </c>
      <c r="K5191" s="6" t="n">
        <v>26.79</v>
      </c>
      <c r="L5191" s="43" t="n">
        <f aca="false">K5191*'Chart of Accounts'!$E$68</f>
        <v>17.9493</v>
      </c>
      <c r="O5191" s="42" t="n">
        <f aca="false">I5191+J5191+L5191</f>
        <v>139.2341</v>
      </c>
    </row>
    <row r="5192" customFormat="false" ht="15" hidden="false" customHeight="false" outlineLevel="0" collapsed="false">
      <c r="B5192" s="7" t="s">
        <v>13825</v>
      </c>
      <c r="C5192" s="39" t="n">
        <v>45978</v>
      </c>
      <c r="D5192" s="7" t="s">
        <v>222</v>
      </c>
      <c r="E5192" s="7" t="s">
        <v>180</v>
      </c>
      <c r="F5192" s="6" t="n">
        <v>7.14</v>
      </c>
      <c r="G5192" s="6" t="n">
        <v>0</v>
      </c>
      <c r="H5192" s="41" t="n">
        <v>17.84</v>
      </c>
      <c r="I5192" s="43" t="n">
        <f aca="false">F5192*H5192</f>
        <v>127.3776</v>
      </c>
      <c r="J5192" s="43" t="n">
        <f aca="false">G5192*H5192*1.5</f>
        <v>0</v>
      </c>
      <c r="K5192" s="6" t="n">
        <v>22.82</v>
      </c>
      <c r="L5192" s="43" t="n">
        <f aca="false">K5192*'Chart of Accounts'!$E$68</f>
        <v>15.2894</v>
      </c>
      <c r="O5192" s="42" t="n">
        <f aca="false">I5192+J5192+L5192</f>
        <v>142.667</v>
      </c>
    </row>
    <row r="5193" customFormat="false" ht="15" hidden="false" customHeight="false" outlineLevel="0" collapsed="false">
      <c r="B5193" s="7" t="s">
        <v>13826</v>
      </c>
      <c r="C5193" s="39" t="n">
        <v>45978</v>
      </c>
      <c r="D5193" s="7" t="s">
        <v>232</v>
      </c>
      <c r="E5193" s="7" t="s">
        <v>180</v>
      </c>
      <c r="F5193" s="6" t="n">
        <v>7.96</v>
      </c>
      <c r="G5193" s="6" t="n">
        <v>0</v>
      </c>
      <c r="H5193" s="41" t="n">
        <v>16.17</v>
      </c>
      <c r="I5193" s="43" t="n">
        <f aca="false">F5193*H5193</f>
        <v>128.7132</v>
      </c>
      <c r="J5193" s="43" t="n">
        <f aca="false">G5193*H5193*1.5</f>
        <v>0</v>
      </c>
      <c r="K5193" s="6" t="n">
        <v>17.59</v>
      </c>
      <c r="L5193" s="43" t="n">
        <f aca="false">K5193*'Chart of Accounts'!$E$68</f>
        <v>11.7853</v>
      </c>
      <c r="O5193" s="42" t="n">
        <f aca="false">I5193+J5193+L5193</f>
        <v>140.4985</v>
      </c>
    </row>
    <row r="5194" customFormat="false" ht="15" hidden="false" customHeight="false" outlineLevel="0" collapsed="false">
      <c r="B5194" s="7" t="s">
        <v>13827</v>
      </c>
      <c r="C5194" s="39" t="n">
        <v>45978</v>
      </c>
      <c r="D5194" s="7" t="s">
        <v>238</v>
      </c>
      <c r="E5194" s="7" t="s">
        <v>180</v>
      </c>
      <c r="F5194" s="6" t="n">
        <v>7.9</v>
      </c>
      <c r="G5194" s="6" t="n">
        <v>0</v>
      </c>
      <c r="H5194" s="41" t="n">
        <v>15.85</v>
      </c>
      <c r="I5194" s="43" t="n">
        <f aca="false">F5194*H5194</f>
        <v>125.215</v>
      </c>
      <c r="J5194" s="43" t="n">
        <f aca="false">G5194*H5194*1.5</f>
        <v>0</v>
      </c>
      <c r="K5194" s="6" t="n">
        <v>18.32</v>
      </c>
      <c r="L5194" s="43" t="n">
        <f aca="false">K5194*'Chart of Accounts'!$E$68</f>
        <v>12.2744</v>
      </c>
      <c r="O5194" s="42" t="n">
        <f aca="false">I5194+J5194+L5194</f>
        <v>137.4894</v>
      </c>
    </row>
    <row r="5195" customFormat="false" ht="15" hidden="false" customHeight="false" outlineLevel="0" collapsed="false">
      <c r="B5195" s="7" t="s">
        <v>13828</v>
      </c>
      <c r="C5195" s="39" t="n">
        <v>45978</v>
      </c>
      <c r="D5195" s="7" t="s">
        <v>244</v>
      </c>
      <c r="E5195" s="7" t="s">
        <v>180</v>
      </c>
      <c r="F5195" s="6" t="n">
        <v>8.46</v>
      </c>
      <c r="G5195" s="6" t="n">
        <v>0</v>
      </c>
      <c r="H5195" s="41" t="n">
        <v>16.39</v>
      </c>
      <c r="I5195" s="43" t="n">
        <f aca="false">F5195*H5195</f>
        <v>138.6594</v>
      </c>
      <c r="J5195" s="43" t="n">
        <f aca="false">G5195*H5195*1.5</f>
        <v>0</v>
      </c>
      <c r="K5195" s="6" t="n">
        <v>20.35</v>
      </c>
      <c r="L5195" s="43" t="n">
        <f aca="false">K5195*'Chart of Accounts'!$E$68</f>
        <v>13.6345</v>
      </c>
      <c r="O5195" s="42" t="n">
        <f aca="false">I5195+J5195+L5195</f>
        <v>152.2939</v>
      </c>
    </row>
    <row r="5196" customFormat="false" ht="15" hidden="false" customHeight="false" outlineLevel="0" collapsed="false">
      <c r="B5196" s="7" t="s">
        <v>13829</v>
      </c>
      <c r="C5196" s="39" t="n">
        <v>45978</v>
      </c>
      <c r="D5196" s="7" t="s">
        <v>254</v>
      </c>
      <c r="E5196" s="7" t="s">
        <v>180</v>
      </c>
      <c r="F5196" s="6" t="n">
        <v>7</v>
      </c>
      <c r="G5196" s="6" t="n">
        <v>0</v>
      </c>
      <c r="H5196" s="41" t="n">
        <v>17.1</v>
      </c>
      <c r="I5196" s="43" t="n">
        <f aca="false">F5196*H5196</f>
        <v>119.7</v>
      </c>
      <c r="J5196" s="43" t="n">
        <f aca="false">G5196*H5196*1.5</f>
        <v>0</v>
      </c>
      <c r="K5196" s="6" t="n">
        <v>24.01</v>
      </c>
      <c r="L5196" s="43" t="n">
        <f aca="false">K5196*'Chart of Accounts'!$E$68</f>
        <v>16.0867</v>
      </c>
      <c r="O5196" s="42" t="n">
        <f aca="false">I5196+J5196+L5196</f>
        <v>135.7867</v>
      </c>
    </row>
    <row r="5197" customFormat="false" ht="15" hidden="false" customHeight="false" outlineLevel="0" collapsed="false">
      <c r="B5197" s="7" t="s">
        <v>13830</v>
      </c>
      <c r="C5197" s="39" t="n">
        <v>45978</v>
      </c>
      <c r="D5197" s="7" t="s">
        <v>246</v>
      </c>
      <c r="E5197" s="7" t="s">
        <v>180</v>
      </c>
      <c r="F5197" s="6" t="n">
        <v>7.99</v>
      </c>
      <c r="G5197" s="6" t="n">
        <v>0</v>
      </c>
      <c r="H5197" s="41" t="n">
        <v>16.48</v>
      </c>
      <c r="I5197" s="43" t="n">
        <f aca="false">F5197*H5197</f>
        <v>131.6752</v>
      </c>
      <c r="J5197" s="43" t="n">
        <f aca="false">G5197*H5197*1.5</f>
        <v>0</v>
      </c>
      <c r="K5197" s="6" t="n">
        <v>20.61</v>
      </c>
      <c r="L5197" s="43" t="n">
        <f aca="false">K5197*'Chart of Accounts'!$E$68</f>
        <v>13.8087</v>
      </c>
      <c r="O5197" s="42" t="n">
        <f aca="false">I5197+J5197+L5197</f>
        <v>145.4839</v>
      </c>
    </row>
    <row r="5198" customFormat="false" ht="15" hidden="false" customHeight="false" outlineLevel="0" collapsed="false">
      <c r="B5198" s="7" t="s">
        <v>13831</v>
      </c>
      <c r="C5198" s="39" t="n">
        <v>45979</v>
      </c>
      <c r="D5198" s="7" t="s">
        <v>224</v>
      </c>
      <c r="E5198" s="7" t="s">
        <v>180</v>
      </c>
      <c r="F5198" s="6" t="n">
        <v>3.82</v>
      </c>
      <c r="G5198" s="6" t="n">
        <v>0</v>
      </c>
      <c r="H5198" s="41" t="n">
        <v>14.93</v>
      </c>
      <c r="I5198" s="43" t="n">
        <f aca="false">F5198*H5198</f>
        <v>57.0326</v>
      </c>
      <c r="J5198" s="43" t="n">
        <f aca="false">G5198*H5198*1.5</f>
        <v>0</v>
      </c>
      <c r="K5198" s="6" t="n">
        <v>9.78</v>
      </c>
      <c r="L5198" s="43" t="n">
        <f aca="false">K5198*'Chart of Accounts'!$E$68</f>
        <v>6.5526</v>
      </c>
      <c r="O5198" s="42" t="n">
        <f aca="false">I5198+J5198+L5198</f>
        <v>63.5852</v>
      </c>
    </row>
    <row r="5199" customFormat="false" ht="15" hidden="false" customHeight="false" outlineLevel="0" collapsed="false">
      <c r="B5199" s="7" t="s">
        <v>13832</v>
      </c>
      <c r="C5199" s="39" t="n">
        <v>45979</v>
      </c>
      <c r="D5199" s="7" t="s">
        <v>198</v>
      </c>
      <c r="E5199" s="7" t="s">
        <v>158</v>
      </c>
      <c r="H5199" s="41" t="n">
        <v>48.09</v>
      </c>
      <c r="M5199" s="6" t="n">
        <v>1</v>
      </c>
      <c r="N5199" s="43" t="n">
        <f aca="false">M5199*H5199</f>
        <v>48.09</v>
      </c>
      <c r="O5199" s="42" t="n">
        <f aca="false">N5199</f>
        <v>48.09</v>
      </c>
    </row>
    <row r="5200" customFormat="false" ht="15" hidden="false" customHeight="false" outlineLevel="0" collapsed="false">
      <c r="B5200" s="7" t="s">
        <v>13833</v>
      </c>
      <c r="C5200" s="39" t="n">
        <v>45979</v>
      </c>
      <c r="D5200" s="7" t="s">
        <v>209</v>
      </c>
      <c r="E5200" s="7" t="s">
        <v>158</v>
      </c>
      <c r="H5200" s="41" t="n">
        <v>73.58</v>
      </c>
      <c r="M5200" s="6" t="n">
        <v>2</v>
      </c>
      <c r="N5200" s="43" t="n">
        <f aca="false">M5200*H5200</f>
        <v>147.16</v>
      </c>
      <c r="O5200" s="42" t="n">
        <f aca="false">N5200</f>
        <v>147.16</v>
      </c>
    </row>
    <row r="5201" customFormat="false" ht="15" hidden="false" customHeight="false" outlineLevel="0" collapsed="false">
      <c r="B5201" s="7" t="s">
        <v>13834</v>
      </c>
      <c r="C5201" s="39" t="n">
        <v>45979</v>
      </c>
      <c r="D5201" s="7" t="s">
        <v>184</v>
      </c>
      <c r="E5201" s="7" t="s">
        <v>180</v>
      </c>
      <c r="F5201" s="6" t="n">
        <v>3.68</v>
      </c>
      <c r="G5201" s="6" t="n">
        <v>0</v>
      </c>
      <c r="H5201" s="41" t="n">
        <v>17.34</v>
      </c>
      <c r="I5201" s="43" t="n">
        <f aca="false">F5201*H5201</f>
        <v>63.8112</v>
      </c>
      <c r="J5201" s="43" t="n">
        <f aca="false">G5201*H5201*1.5</f>
        <v>0</v>
      </c>
      <c r="K5201" s="6" t="n">
        <v>11.93</v>
      </c>
      <c r="L5201" s="43" t="n">
        <f aca="false">K5201*'Chart of Accounts'!$E$68</f>
        <v>7.9931</v>
      </c>
      <c r="O5201" s="42" t="n">
        <f aca="false">I5201+J5201+L5201</f>
        <v>71.8043</v>
      </c>
    </row>
    <row r="5202" customFormat="false" ht="15" hidden="false" customHeight="false" outlineLevel="0" collapsed="false">
      <c r="B5202" s="7" t="s">
        <v>13835</v>
      </c>
      <c r="C5202" s="39" t="n">
        <v>45979</v>
      </c>
      <c r="D5202" s="7" t="s">
        <v>234</v>
      </c>
      <c r="E5202" s="7" t="s">
        <v>158</v>
      </c>
      <c r="H5202" s="41" t="n">
        <v>89.53</v>
      </c>
      <c r="M5202" s="6" t="n">
        <v>2</v>
      </c>
      <c r="N5202" s="43" t="n">
        <f aca="false">M5202*H5202</f>
        <v>179.06</v>
      </c>
      <c r="O5202" s="42" t="n">
        <f aca="false">N5202</f>
        <v>179.06</v>
      </c>
    </row>
    <row r="5203" customFormat="false" ht="15" hidden="false" customHeight="false" outlineLevel="0" collapsed="false">
      <c r="B5203" s="7" t="s">
        <v>13836</v>
      </c>
      <c r="C5203" s="39" t="n">
        <v>45979</v>
      </c>
      <c r="D5203" s="7" t="s">
        <v>218</v>
      </c>
      <c r="E5203" s="7" t="s">
        <v>180</v>
      </c>
      <c r="F5203" s="6" t="n">
        <v>3.8</v>
      </c>
      <c r="G5203" s="6" t="n">
        <v>0</v>
      </c>
      <c r="H5203" s="41" t="n">
        <v>16.19</v>
      </c>
      <c r="I5203" s="43" t="n">
        <f aca="false">F5203*H5203</f>
        <v>61.522</v>
      </c>
      <c r="J5203" s="43" t="n">
        <f aca="false">G5203*H5203*1.5</f>
        <v>0</v>
      </c>
      <c r="K5203" s="6" t="n">
        <v>12.22</v>
      </c>
      <c r="L5203" s="43" t="n">
        <f aca="false">K5203*'Chart of Accounts'!$E$68</f>
        <v>8.1874</v>
      </c>
      <c r="O5203" s="42" t="n">
        <f aca="false">I5203+J5203+L5203</f>
        <v>69.7094</v>
      </c>
    </row>
    <row r="5204" customFormat="false" ht="15" hidden="false" customHeight="false" outlineLevel="0" collapsed="false">
      <c r="B5204" s="7" t="s">
        <v>13837</v>
      </c>
      <c r="C5204" s="39" t="n">
        <v>45979</v>
      </c>
      <c r="D5204" s="7" t="s">
        <v>203</v>
      </c>
      <c r="E5204" s="7" t="s">
        <v>158</v>
      </c>
      <c r="H5204" s="41" t="n">
        <v>49.43</v>
      </c>
      <c r="M5204" s="6" t="n">
        <v>2</v>
      </c>
      <c r="N5204" s="43" t="n">
        <f aca="false">M5204*H5204</f>
        <v>98.86</v>
      </c>
      <c r="O5204" s="42" t="n">
        <f aca="false">N5204</f>
        <v>98.86</v>
      </c>
    </row>
    <row r="5205" customFormat="false" ht="15" hidden="false" customHeight="false" outlineLevel="0" collapsed="false">
      <c r="B5205" s="7" t="s">
        <v>13838</v>
      </c>
      <c r="C5205" s="39" t="n">
        <v>45979</v>
      </c>
      <c r="D5205" s="7" t="s">
        <v>228</v>
      </c>
      <c r="E5205" s="7" t="s">
        <v>158</v>
      </c>
      <c r="H5205" s="41" t="n">
        <v>51.07</v>
      </c>
      <c r="M5205" s="6" t="n">
        <v>1</v>
      </c>
      <c r="N5205" s="43" t="n">
        <f aca="false">M5205*H5205</f>
        <v>51.07</v>
      </c>
      <c r="O5205" s="42" t="n">
        <f aca="false">N5205</f>
        <v>51.07</v>
      </c>
    </row>
    <row r="5206" customFormat="false" ht="15" hidden="false" customHeight="false" outlineLevel="0" collapsed="false">
      <c r="B5206" s="7" t="s">
        <v>13839</v>
      </c>
      <c r="C5206" s="39" t="n">
        <v>45979</v>
      </c>
      <c r="D5206" s="7" t="s">
        <v>220</v>
      </c>
      <c r="E5206" s="7" t="s">
        <v>180</v>
      </c>
      <c r="F5206" s="6" t="n">
        <v>3.77</v>
      </c>
      <c r="G5206" s="6" t="n">
        <v>0</v>
      </c>
      <c r="H5206" s="41" t="n">
        <v>16.43</v>
      </c>
      <c r="I5206" s="43" t="n">
        <f aca="false">F5206*H5206</f>
        <v>61.9411</v>
      </c>
      <c r="J5206" s="43" t="n">
        <f aca="false">G5206*H5206*1.5</f>
        <v>0</v>
      </c>
      <c r="K5206" s="6" t="n">
        <v>12.48</v>
      </c>
      <c r="L5206" s="43" t="n">
        <f aca="false">K5206*'Chart of Accounts'!$E$68</f>
        <v>8.3616</v>
      </c>
      <c r="O5206" s="42" t="n">
        <f aca="false">I5206+J5206+L5206</f>
        <v>70.3027</v>
      </c>
    </row>
    <row r="5207" customFormat="false" ht="15" hidden="false" customHeight="false" outlineLevel="0" collapsed="false">
      <c r="B5207" s="7" t="s">
        <v>13840</v>
      </c>
      <c r="C5207" s="39" t="n">
        <v>45979</v>
      </c>
      <c r="D5207" s="7" t="s">
        <v>244</v>
      </c>
      <c r="E5207" s="7" t="s">
        <v>180</v>
      </c>
      <c r="F5207" s="6" t="n">
        <v>3.87</v>
      </c>
      <c r="G5207" s="6" t="n">
        <v>0</v>
      </c>
      <c r="H5207" s="41" t="n">
        <v>16.39</v>
      </c>
      <c r="I5207" s="43" t="n">
        <f aca="false">F5207*H5207</f>
        <v>63.4293</v>
      </c>
      <c r="J5207" s="43" t="n">
        <f aca="false">G5207*H5207*1.5</f>
        <v>0</v>
      </c>
      <c r="K5207" s="6" t="n">
        <v>10.02</v>
      </c>
      <c r="L5207" s="43" t="n">
        <f aca="false">K5207*'Chart of Accounts'!$E$68</f>
        <v>6.7134</v>
      </c>
      <c r="O5207" s="42" t="n">
        <f aca="false">I5207+J5207+L5207</f>
        <v>70.1427</v>
      </c>
    </row>
    <row r="5208" customFormat="false" ht="15" hidden="false" customHeight="false" outlineLevel="0" collapsed="false">
      <c r="B5208" s="7" t="s">
        <v>13841</v>
      </c>
      <c r="C5208" s="39" t="n">
        <v>45979</v>
      </c>
      <c r="D5208" s="7" t="s">
        <v>205</v>
      </c>
      <c r="E5208" s="7" t="s">
        <v>180</v>
      </c>
      <c r="F5208" s="6" t="n">
        <v>3.87</v>
      </c>
      <c r="G5208" s="6" t="n">
        <v>0</v>
      </c>
      <c r="H5208" s="41" t="n">
        <v>16.36</v>
      </c>
      <c r="I5208" s="43" t="n">
        <f aca="false">F5208*H5208</f>
        <v>63.3132</v>
      </c>
      <c r="J5208" s="43" t="n">
        <f aca="false">G5208*H5208*1.5</f>
        <v>0</v>
      </c>
      <c r="K5208" s="6" t="n">
        <v>12.3</v>
      </c>
      <c r="L5208" s="43" t="n">
        <f aca="false">K5208*'Chart of Accounts'!$E$68</f>
        <v>8.241</v>
      </c>
      <c r="O5208" s="42" t="n">
        <f aca="false">I5208+J5208+L5208</f>
        <v>71.5542</v>
      </c>
    </row>
    <row r="5209" customFormat="false" ht="15" hidden="false" customHeight="false" outlineLevel="0" collapsed="false">
      <c r="B5209" s="7" t="s">
        <v>13842</v>
      </c>
      <c r="C5209" s="39" t="n">
        <v>45979</v>
      </c>
      <c r="D5209" s="7" t="s">
        <v>258</v>
      </c>
      <c r="E5209" s="7" t="s">
        <v>158</v>
      </c>
      <c r="H5209" s="41" t="n">
        <v>61.61</v>
      </c>
      <c r="M5209" s="6" t="n">
        <v>1</v>
      </c>
      <c r="N5209" s="43" t="n">
        <f aca="false">M5209*H5209</f>
        <v>61.61</v>
      </c>
      <c r="O5209" s="42" t="n">
        <f aca="false">N5209</f>
        <v>61.61</v>
      </c>
    </row>
    <row r="5210" customFormat="false" ht="15" hidden="false" customHeight="false" outlineLevel="0" collapsed="false">
      <c r="B5210" s="7" t="s">
        <v>13843</v>
      </c>
      <c r="C5210" s="39" t="n">
        <v>45979</v>
      </c>
      <c r="D5210" s="7" t="s">
        <v>230</v>
      </c>
      <c r="E5210" s="7" t="s">
        <v>158</v>
      </c>
      <c r="H5210" s="41" t="n">
        <v>48.78</v>
      </c>
      <c r="M5210" s="6" t="n">
        <v>1</v>
      </c>
      <c r="N5210" s="43" t="n">
        <f aca="false">M5210*H5210</f>
        <v>48.78</v>
      </c>
      <c r="O5210" s="42" t="n">
        <f aca="false">N5210</f>
        <v>48.78</v>
      </c>
    </row>
    <row r="5211" customFormat="false" ht="15" hidden="false" customHeight="false" outlineLevel="0" collapsed="false">
      <c r="B5211" s="7" t="s">
        <v>13844</v>
      </c>
      <c r="C5211" s="39" t="n">
        <v>45979</v>
      </c>
      <c r="D5211" s="7" t="s">
        <v>196</v>
      </c>
      <c r="E5211" s="7" t="s">
        <v>180</v>
      </c>
      <c r="F5211" s="6" t="n">
        <v>3.793</v>
      </c>
      <c r="G5211" s="6" t="n">
        <v>0.317</v>
      </c>
      <c r="H5211" s="41" t="n">
        <v>15.05</v>
      </c>
      <c r="I5211" s="43" t="n">
        <f aca="false">F5211*H5211</f>
        <v>57.08465</v>
      </c>
      <c r="J5211" s="43" t="n">
        <f aca="false">G5211*H5211*1.5</f>
        <v>7.156275</v>
      </c>
      <c r="K5211" s="6" t="n">
        <v>13.64</v>
      </c>
      <c r="L5211" s="43" t="n">
        <f aca="false">K5211*'Chart of Accounts'!$E$68</f>
        <v>9.1388</v>
      </c>
      <c r="O5211" s="42" t="n">
        <f aca="false">I5211+J5211+L5211</f>
        <v>73.379725</v>
      </c>
    </row>
    <row r="5212" customFormat="false" ht="15" hidden="false" customHeight="false" outlineLevel="0" collapsed="false">
      <c r="B5212" s="7" t="s">
        <v>13845</v>
      </c>
      <c r="C5212" s="39" t="n">
        <v>45979</v>
      </c>
      <c r="D5212" s="7" t="s">
        <v>246</v>
      </c>
      <c r="E5212" s="7" t="s">
        <v>180</v>
      </c>
      <c r="F5212" s="6" t="n">
        <v>4.26</v>
      </c>
      <c r="G5212" s="6" t="n">
        <v>0</v>
      </c>
      <c r="H5212" s="41" t="n">
        <v>16.48</v>
      </c>
      <c r="I5212" s="43" t="n">
        <f aca="false">F5212*H5212</f>
        <v>70.2048</v>
      </c>
      <c r="J5212" s="43" t="n">
        <f aca="false">G5212*H5212*1.5</f>
        <v>0</v>
      </c>
      <c r="K5212" s="6" t="n">
        <v>11.05</v>
      </c>
      <c r="L5212" s="43" t="n">
        <f aca="false">K5212*'Chart of Accounts'!$E$68</f>
        <v>7.4035</v>
      </c>
      <c r="O5212" s="42" t="n">
        <f aca="false">I5212+J5212+L5212</f>
        <v>77.6083</v>
      </c>
    </row>
    <row r="5213" customFormat="false" ht="15" hidden="false" customHeight="false" outlineLevel="0" collapsed="false">
      <c r="B5213" s="7" t="s">
        <v>13846</v>
      </c>
      <c r="C5213" s="39" t="n">
        <v>45979</v>
      </c>
      <c r="D5213" s="7" t="s">
        <v>222</v>
      </c>
      <c r="E5213" s="7" t="s">
        <v>180</v>
      </c>
      <c r="F5213" s="6" t="n">
        <v>4.11</v>
      </c>
      <c r="G5213" s="6" t="n">
        <v>0</v>
      </c>
      <c r="H5213" s="41" t="n">
        <v>17.84</v>
      </c>
      <c r="I5213" s="43" t="n">
        <f aca="false">F5213*H5213</f>
        <v>73.3224</v>
      </c>
      <c r="J5213" s="43" t="n">
        <f aca="false">G5213*H5213*1.5</f>
        <v>0</v>
      </c>
      <c r="K5213" s="6" t="n">
        <v>9.22</v>
      </c>
      <c r="L5213" s="43" t="n">
        <f aca="false">K5213*'Chart of Accounts'!$E$68</f>
        <v>6.1774</v>
      </c>
      <c r="O5213" s="42" t="n">
        <f aca="false">I5213+J5213+L5213</f>
        <v>79.4998</v>
      </c>
    </row>
    <row r="5214" customFormat="false" ht="15" hidden="false" customHeight="false" outlineLevel="0" collapsed="false">
      <c r="B5214" s="7" t="s">
        <v>13847</v>
      </c>
      <c r="C5214" s="39" t="n">
        <v>45979</v>
      </c>
      <c r="D5214" s="7" t="s">
        <v>242</v>
      </c>
      <c r="E5214" s="7" t="s">
        <v>180</v>
      </c>
      <c r="F5214" s="6" t="n">
        <v>3.877</v>
      </c>
      <c r="G5214" s="6" t="n">
        <v>0.383</v>
      </c>
      <c r="H5214" s="41" t="n">
        <v>17.99</v>
      </c>
      <c r="I5214" s="43" t="n">
        <f aca="false">F5214*H5214</f>
        <v>69.74723</v>
      </c>
      <c r="J5214" s="43" t="n">
        <f aca="false">G5214*H5214*1.5</f>
        <v>10.335255</v>
      </c>
      <c r="K5214" s="6" t="n">
        <v>14.76</v>
      </c>
      <c r="L5214" s="43" t="n">
        <f aca="false">K5214*'Chart of Accounts'!$E$68</f>
        <v>9.8892</v>
      </c>
      <c r="O5214" s="42" t="n">
        <f aca="false">I5214+J5214+L5214</f>
        <v>89.971685</v>
      </c>
    </row>
    <row r="5215" customFormat="false" ht="15" hidden="false" customHeight="false" outlineLevel="0" collapsed="false">
      <c r="B5215" s="7" t="s">
        <v>13848</v>
      </c>
      <c r="C5215" s="39" t="n">
        <v>45979</v>
      </c>
      <c r="D5215" s="7" t="s">
        <v>254</v>
      </c>
      <c r="E5215" s="7" t="s">
        <v>180</v>
      </c>
      <c r="F5215" s="6" t="n">
        <v>4.39</v>
      </c>
      <c r="G5215" s="6" t="n">
        <v>0</v>
      </c>
      <c r="H5215" s="41" t="n">
        <v>17.1</v>
      </c>
      <c r="I5215" s="43" t="n">
        <f aca="false">F5215*H5215</f>
        <v>75.069</v>
      </c>
      <c r="J5215" s="43" t="n">
        <f aca="false">G5215*H5215*1.5</f>
        <v>0</v>
      </c>
      <c r="K5215" s="6" t="n">
        <v>15.35</v>
      </c>
      <c r="L5215" s="43" t="n">
        <f aca="false">K5215*'Chart of Accounts'!$E$68</f>
        <v>10.2845</v>
      </c>
      <c r="O5215" s="42" t="n">
        <f aca="false">I5215+J5215+L5215</f>
        <v>85.3535</v>
      </c>
    </row>
    <row r="5216" customFormat="false" ht="15" hidden="false" customHeight="false" outlineLevel="0" collapsed="false">
      <c r="B5216" s="7" t="s">
        <v>13849</v>
      </c>
      <c r="C5216" s="39" t="n">
        <v>45979</v>
      </c>
      <c r="D5216" s="7" t="s">
        <v>260</v>
      </c>
      <c r="E5216" s="7" t="s">
        <v>158</v>
      </c>
      <c r="H5216" s="41" t="n">
        <v>79.8</v>
      </c>
      <c r="M5216" s="6" t="n">
        <v>1</v>
      </c>
      <c r="N5216" s="43" t="n">
        <f aca="false">M5216*H5216</f>
        <v>79.8</v>
      </c>
      <c r="O5216" s="42" t="n">
        <f aca="false">N5216</f>
        <v>79.8</v>
      </c>
    </row>
    <row r="5217" customFormat="false" ht="15" hidden="false" customHeight="false" outlineLevel="0" collapsed="false">
      <c r="B5217" s="7" t="s">
        <v>13850</v>
      </c>
      <c r="C5217" s="39" t="n">
        <v>45980</v>
      </c>
      <c r="D5217" s="7" t="s">
        <v>232</v>
      </c>
      <c r="E5217" s="7" t="s">
        <v>180</v>
      </c>
      <c r="F5217" s="6" t="n">
        <v>8.96</v>
      </c>
      <c r="G5217" s="6" t="n">
        <v>0</v>
      </c>
      <c r="H5217" s="41" t="n">
        <v>16.17</v>
      </c>
      <c r="I5217" s="43" t="n">
        <f aca="false">F5217*H5217</f>
        <v>144.8832</v>
      </c>
      <c r="J5217" s="43" t="n">
        <f aca="false">G5217*H5217*1.5</f>
        <v>0</v>
      </c>
      <c r="K5217" s="6" t="n">
        <v>25.8</v>
      </c>
      <c r="L5217" s="43" t="n">
        <f aca="false">K5217*'Chart of Accounts'!$E$68</f>
        <v>17.286</v>
      </c>
      <c r="O5217" s="42" t="n">
        <f aca="false">I5217+J5217+L5217</f>
        <v>162.1692</v>
      </c>
    </row>
    <row r="5218" customFormat="false" ht="15" hidden="false" customHeight="false" outlineLevel="0" collapsed="false">
      <c r="B5218" s="7" t="s">
        <v>13851</v>
      </c>
      <c r="C5218" s="39" t="n">
        <v>45980</v>
      </c>
      <c r="D5218" s="7" t="s">
        <v>194</v>
      </c>
      <c r="E5218" s="7" t="s">
        <v>180</v>
      </c>
      <c r="F5218" s="6" t="n">
        <v>8.92</v>
      </c>
      <c r="G5218" s="6" t="n">
        <v>0</v>
      </c>
      <c r="H5218" s="41" t="n">
        <v>16</v>
      </c>
      <c r="I5218" s="43" t="n">
        <f aca="false">F5218*H5218</f>
        <v>142.72</v>
      </c>
      <c r="J5218" s="43" t="n">
        <f aca="false">G5218*H5218*1.5</f>
        <v>0</v>
      </c>
      <c r="K5218" s="6" t="n">
        <v>22.4</v>
      </c>
      <c r="L5218" s="43" t="n">
        <f aca="false">K5218*'Chart of Accounts'!$E$68</f>
        <v>15.008</v>
      </c>
      <c r="O5218" s="42" t="n">
        <f aca="false">I5218+J5218+L5218</f>
        <v>157.728</v>
      </c>
    </row>
    <row r="5219" customFormat="false" ht="15" hidden="false" customHeight="false" outlineLevel="0" collapsed="false">
      <c r="B5219" s="7" t="s">
        <v>13852</v>
      </c>
      <c r="C5219" s="39" t="n">
        <v>45980</v>
      </c>
      <c r="D5219" s="7" t="s">
        <v>214</v>
      </c>
      <c r="E5219" s="7" t="s">
        <v>180</v>
      </c>
      <c r="F5219" s="6" t="n">
        <v>7.11</v>
      </c>
      <c r="G5219" s="6" t="n">
        <v>0</v>
      </c>
      <c r="H5219" s="41" t="n">
        <v>15.67</v>
      </c>
      <c r="I5219" s="43" t="n">
        <f aca="false">F5219*H5219</f>
        <v>111.4137</v>
      </c>
      <c r="J5219" s="43" t="n">
        <f aca="false">G5219*H5219*1.5</f>
        <v>0</v>
      </c>
      <c r="K5219" s="6" t="n">
        <v>22.56</v>
      </c>
      <c r="L5219" s="43" t="n">
        <f aca="false">K5219*'Chart of Accounts'!$E$68</f>
        <v>15.1152</v>
      </c>
      <c r="O5219" s="42" t="n">
        <f aca="false">I5219+J5219+L5219</f>
        <v>126.5289</v>
      </c>
    </row>
    <row r="5220" customFormat="false" ht="15" hidden="false" customHeight="false" outlineLevel="0" collapsed="false">
      <c r="B5220" s="7" t="s">
        <v>13853</v>
      </c>
      <c r="C5220" s="39" t="n">
        <v>45980</v>
      </c>
      <c r="D5220" s="7" t="s">
        <v>205</v>
      </c>
      <c r="E5220" s="7" t="s">
        <v>180</v>
      </c>
      <c r="F5220" s="6" t="n">
        <v>4.23</v>
      </c>
      <c r="G5220" s="6" t="n">
        <v>0</v>
      </c>
      <c r="H5220" s="41" t="n">
        <v>16.36</v>
      </c>
      <c r="I5220" s="43" t="n">
        <f aca="false">F5220*H5220</f>
        <v>69.2028</v>
      </c>
      <c r="J5220" s="43" t="n">
        <f aca="false">G5220*H5220*1.5</f>
        <v>0</v>
      </c>
      <c r="K5220" s="6" t="n">
        <v>14.05</v>
      </c>
      <c r="L5220" s="43" t="n">
        <f aca="false">K5220*'Chart of Accounts'!$E$68</f>
        <v>9.4135</v>
      </c>
      <c r="O5220" s="42" t="n">
        <f aca="false">I5220+J5220+L5220</f>
        <v>78.6163</v>
      </c>
    </row>
    <row r="5221" customFormat="false" ht="15" hidden="false" customHeight="false" outlineLevel="0" collapsed="false">
      <c r="B5221" s="7" t="s">
        <v>13854</v>
      </c>
      <c r="C5221" s="39" t="n">
        <v>45980</v>
      </c>
      <c r="D5221" s="7" t="s">
        <v>264</v>
      </c>
      <c r="E5221" s="7" t="s">
        <v>158</v>
      </c>
      <c r="H5221" s="41" t="n">
        <v>55.55</v>
      </c>
      <c r="M5221" s="6" t="n">
        <v>1</v>
      </c>
      <c r="N5221" s="43" t="n">
        <f aca="false">M5221*H5221</f>
        <v>55.55</v>
      </c>
      <c r="O5221" s="42" t="n">
        <f aca="false">N5221</f>
        <v>55.55</v>
      </c>
    </row>
    <row r="5222" customFormat="false" ht="15" hidden="false" customHeight="false" outlineLevel="0" collapsed="false">
      <c r="B5222" s="7" t="s">
        <v>13855</v>
      </c>
      <c r="C5222" s="39" t="n">
        <v>45980</v>
      </c>
      <c r="D5222" s="7" t="s">
        <v>252</v>
      </c>
      <c r="E5222" s="7" t="s">
        <v>158</v>
      </c>
      <c r="H5222" s="41" t="n">
        <v>57.54</v>
      </c>
      <c r="M5222" s="6" t="n">
        <v>1</v>
      </c>
      <c r="N5222" s="43" t="n">
        <f aca="false">M5222*H5222</f>
        <v>57.54</v>
      </c>
      <c r="O5222" s="42" t="n">
        <f aca="false">N5222</f>
        <v>57.54</v>
      </c>
    </row>
    <row r="5223" customFormat="false" ht="15" hidden="false" customHeight="false" outlineLevel="0" collapsed="false">
      <c r="B5223" s="7" t="s">
        <v>13856</v>
      </c>
      <c r="C5223" s="39" t="n">
        <v>45980</v>
      </c>
      <c r="D5223" s="7" t="s">
        <v>184</v>
      </c>
      <c r="E5223" s="7" t="s">
        <v>180</v>
      </c>
      <c r="F5223" s="6" t="n">
        <v>7.96</v>
      </c>
      <c r="G5223" s="6" t="n">
        <v>0</v>
      </c>
      <c r="H5223" s="41" t="n">
        <v>17.34</v>
      </c>
      <c r="I5223" s="43" t="n">
        <f aca="false">F5223*H5223</f>
        <v>138.0264</v>
      </c>
      <c r="J5223" s="43" t="n">
        <f aca="false">G5223*H5223*1.5</f>
        <v>0</v>
      </c>
      <c r="K5223" s="6" t="n">
        <v>19.71</v>
      </c>
      <c r="L5223" s="43" t="n">
        <f aca="false">K5223*'Chart of Accounts'!$E$68</f>
        <v>13.2057</v>
      </c>
      <c r="O5223" s="42" t="n">
        <f aca="false">I5223+J5223+L5223</f>
        <v>151.2321</v>
      </c>
    </row>
    <row r="5224" customFormat="false" ht="15" hidden="false" customHeight="false" outlineLevel="0" collapsed="false">
      <c r="B5224" s="7" t="s">
        <v>13857</v>
      </c>
      <c r="C5224" s="39" t="n">
        <v>45980</v>
      </c>
      <c r="D5224" s="7" t="s">
        <v>216</v>
      </c>
      <c r="E5224" s="7" t="s">
        <v>158</v>
      </c>
      <c r="H5224" s="41" t="n">
        <v>61.79</v>
      </c>
      <c r="M5224" s="6" t="n">
        <v>1</v>
      </c>
      <c r="N5224" s="43" t="n">
        <f aca="false">M5224*H5224</f>
        <v>61.79</v>
      </c>
      <c r="O5224" s="42" t="n">
        <f aca="false">N5224</f>
        <v>61.79</v>
      </c>
    </row>
    <row r="5225" customFormat="false" ht="15" hidden="false" customHeight="false" outlineLevel="0" collapsed="false">
      <c r="B5225" s="7" t="s">
        <v>13858</v>
      </c>
      <c r="C5225" s="39" t="n">
        <v>45980</v>
      </c>
      <c r="D5225" s="7" t="s">
        <v>218</v>
      </c>
      <c r="E5225" s="7" t="s">
        <v>180</v>
      </c>
      <c r="F5225" s="6" t="n">
        <v>4.16</v>
      </c>
      <c r="G5225" s="6" t="n">
        <v>0</v>
      </c>
      <c r="H5225" s="41" t="n">
        <v>16.19</v>
      </c>
      <c r="I5225" s="43" t="n">
        <f aca="false">F5225*H5225</f>
        <v>67.3504</v>
      </c>
      <c r="J5225" s="43" t="n">
        <f aca="false">G5225*H5225*1.5</f>
        <v>0</v>
      </c>
      <c r="K5225" s="6" t="n">
        <v>14.06</v>
      </c>
      <c r="L5225" s="43" t="n">
        <f aca="false">K5225*'Chart of Accounts'!$E$68</f>
        <v>9.4202</v>
      </c>
      <c r="O5225" s="42" t="n">
        <f aca="false">I5225+J5225+L5225</f>
        <v>76.7706</v>
      </c>
    </row>
    <row r="5226" customFormat="false" ht="15" hidden="false" customHeight="false" outlineLevel="0" collapsed="false">
      <c r="B5226" s="7" t="s">
        <v>13859</v>
      </c>
      <c r="C5226" s="39" t="n">
        <v>45980</v>
      </c>
      <c r="D5226" s="7" t="s">
        <v>220</v>
      </c>
      <c r="E5226" s="7" t="s">
        <v>180</v>
      </c>
      <c r="F5226" s="6" t="n">
        <v>4.21</v>
      </c>
      <c r="G5226" s="6" t="n">
        <v>0</v>
      </c>
      <c r="H5226" s="41" t="n">
        <v>16.43</v>
      </c>
      <c r="I5226" s="43" t="n">
        <f aca="false">F5226*H5226</f>
        <v>69.1703</v>
      </c>
      <c r="J5226" s="43" t="n">
        <f aca="false">G5226*H5226*1.5</f>
        <v>0</v>
      </c>
      <c r="K5226" s="6" t="n">
        <v>12.01</v>
      </c>
      <c r="L5226" s="43" t="n">
        <f aca="false">K5226*'Chart of Accounts'!$E$68</f>
        <v>8.0467</v>
      </c>
      <c r="O5226" s="42" t="n">
        <f aca="false">I5226+J5226+L5226</f>
        <v>77.217</v>
      </c>
    </row>
    <row r="5227" customFormat="false" ht="15" hidden="false" customHeight="false" outlineLevel="0" collapsed="false">
      <c r="B5227" s="7" t="s">
        <v>13860</v>
      </c>
      <c r="C5227" s="39" t="n">
        <v>45980</v>
      </c>
      <c r="D5227" s="7" t="s">
        <v>236</v>
      </c>
      <c r="E5227" s="7" t="s">
        <v>180</v>
      </c>
      <c r="F5227" s="6" t="n">
        <v>3.59</v>
      </c>
      <c r="G5227" s="6" t="n">
        <v>0</v>
      </c>
      <c r="H5227" s="41" t="n">
        <v>15.49</v>
      </c>
      <c r="I5227" s="43" t="n">
        <f aca="false">F5227*H5227</f>
        <v>55.6091</v>
      </c>
      <c r="J5227" s="43" t="n">
        <f aca="false">G5227*H5227*1.5</f>
        <v>0</v>
      </c>
      <c r="K5227" s="6" t="n">
        <v>12.09</v>
      </c>
      <c r="L5227" s="43" t="n">
        <f aca="false">K5227*'Chart of Accounts'!$E$68</f>
        <v>8.1003</v>
      </c>
      <c r="O5227" s="42" t="n">
        <f aca="false">I5227+J5227+L5227</f>
        <v>63.7094</v>
      </c>
    </row>
    <row r="5228" customFormat="false" ht="15" hidden="false" customHeight="false" outlineLevel="0" collapsed="false">
      <c r="B5228" s="7" t="s">
        <v>13861</v>
      </c>
      <c r="C5228" s="39" t="n">
        <v>45980</v>
      </c>
      <c r="D5228" s="7" t="s">
        <v>177</v>
      </c>
      <c r="E5228" s="7" t="s">
        <v>180</v>
      </c>
      <c r="F5228" s="6" t="n">
        <v>8.07</v>
      </c>
      <c r="G5228" s="6" t="n">
        <v>0</v>
      </c>
      <c r="H5228" s="41" t="n">
        <v>14.56</v>
      </c>
      <c r="I5228" s="43" t="n">
        <f aca="false">F5228*H5228</f>
        <v>117.4992</v>
      </c>
      <c r="J5228" s="43" t="n">
        <f aca="false">G5228*H5228*1.5</f>
        <v>0</v>
      </c>
      <c r="K5228" s="6" t="n">
        <v>24.44</v>
      </c>
      <c r="L5228" s="43" t="n">
        <f aca="false">K5228*'Chart of Accounts'!$E$68</f>
        <v>16.3748</v>
      </c>
      <c r="O5228" s="42" t="n">
        <f aca="false">I5228+J5228+L5228</f>
        <v>133.874</v>
      </c>
    </row>
    <row r="5229" customFormat="false" ht="15" hidden="false" customHeight="false" outlineLevel="0" collapsed="false">
      <c r="B5229" s="7" t="s">
        <v>13862</v>
      </c>
      <c r="C5229" s="39" t="n">
        <v>45980</v>
      </c>
      <c r="D5229" s="7" t="s">
        <v>242</v>
      </c>
      <c r="E5229" s="7" t="s">
        <v>180</v>
      </c>
      <c r="F5229" s="6" t="n">
        <v>6.589</v>
      </c>
      <c r="G5229" s="6" t="n">
        <v>0.651</v>
      </c>
      <c r="H5229" s="41" t="n">
        <v>17.99</v>
      </c>
      <c r="I5229" s="43" t="n">
        <f aca="false">F5229*H5229</f>
        <v>118.53611</v>
      </c>
      <c r="J5229" s="43" t="n">
        <f aca="false">G5229*H5229*1.5</f>
        <v>17.567235</v>
      </c>
      <c r="K5229" s="6" t="n">
        <v>21.44</v>
      </c>
      <c r="L5229" s="43" t="n">
        <f aca="false">K5229*'Chart of Accounts'!$E$68</f>
        <v>14.3648</v>
      </c>
      <c r="O5229" s="42" t="n">
        <f aca="false">I5229+J5229+L5229</f>
        <v>150.468145</v>
      </c>
    </row>
    <row r="5230" customFormat="false" ht="15" hidden="false" customHeight="false" outlineLevel="0" collapsed="false">
      <c r="B5230" s="7" t="s">
        <v>13863</v>
      </c>
      <c r="C5230" s="39" t="n">
        <v>45980</v>
      </c>
      <c r="D5230" s="7" t="s">
        <v>238</v>
      </c>
      <c r="E5230" s="7" t="s">
        <v>180</v>
      </c>
      <c r="F5230" s="6" t="n">
        <v>11.76</v>
      </c>
      <c r="G5230" s="6" t="n">
        <v>0</v>
      </c>
      <c r="H5230" s="41" t="n">
        <v>15.85</v>
      </c>
      <c r="I5230" s="43" t="n">
        <f aca="false">F5230*H5230</f>
        <v>186.396</v>
      </c>
      <c r="J5230" s="43" t="n">
        <f aca="false">G5230*H5230*1.5</f>
        <v>0</v>
      </c>
      <c r="K5230" s="6" t="n">
        <v>37.22</v>
      </c>
      <c r="L5230" s="43" t="n">
        <f aca="false">K5230*'Chart of Accounts'!$E$68</f>
        <v>24.9374</v>
      </c>
      <c r="O5230" s="42" t="n">
        <f aca="false">I5230+J5230+L5230</f>
        <v>211.3334</v>
      </c>
    </row>
    <row r="5231" customFormat="false" ht="15" hidden="false" customHeight="false" outlineLevel="0" collapsed="false">
      <c r="B5231" s="7" t="s">
        <v>13864</v>
      </c>
      <c r="C5231" s="39" t="n">
        <v>45980</v>
      </c>
      <c r="D5231" s="7" t="s">
        <v>244</v>
      </c>
      <c r="E5231" s="7" t="s">
        <v>180</v>
      </c>
      <c r="F5231" s="6" t="n">
        <v>7.16</v>
      </c>
      <c r="G5231" s="6" t="n">
        <v>0</v>
      </c>
      <c r="H5231" s="41" t="n">
        <v>16.39</v>
      </c>
      <c r="I5231" s="43" t="n">
        <f aca="false">F5231*H5231</f>
        <v>117.3524</v>
      </c>
      <c r="J5231" s="43" t="n">
        <f aca="false">G5231*H5231*1.5</f>
        <v>0</v>
      </c>
      <c r="K5231" s="6" t="n">
        <v>18.8</v>
      </c>
      <c r="L5231" s="43" t="n">
        <f aca="false">K5231*'Chart of Accounts'!$E$68</f>
        <v>12.596</v>
      </c>
      <c r="O5231" s="42" t="n">
        <f aca="false">I5231+J5231+L5231</f>
        <v>129.9484</v>
      </c>
    </row>
    <row r="5232" customFormat="false" ht="15" hidden="false" customHeight="false" outlineLevel="0" collapsed="false">
      <c r="B5232" s="7" t="s">
        <v>13865</v>
      </c>
      <c r="C5232" s="39" t="n">
        <v>45980</v>
      </c>
      <c r="D5232" s="7" t="s">
        <v>254</v>
      </c>
      <c r="E5232" s="7" t="s">
        <v>180</v>
      </c>
      <c r="F5232" s="6" t="n">
        <v>7.88</v>
      </c>
      <c r="G5232" s="6" t="n">
        <v>0</v>
      </c>
      <c r="H5232" s="41" t="n">
        <v>17.1</v>
      </c>
      <c r="I5232" s="43" t="n">
        <f aca="false">F5232*H5232</f>
        <v>134.748</v>
      </c>
      <c r="J5232" s="43" t="n">
        <f aca="false">G5232*H5232*1.5</f>
        <v>0</v>
      </c>
      <c r="K5232" s="6" t="n">
        <v>25.68</v>
      </c>
      <c r="L5232" s="43" t="n">
        <f aca="false">K5232*'Chart of Accounts'!$E$68</f>
        <v>17.2056</v>
      </c>
      <c r="O5232" s="42" t="n">
        <f aca="false">I5232+J5232+L5232</f>
        <v>151.9536</v>
      </c>
    </row>
    <row r="5233" customFormat="false" ht="15" hidden="false" customHeight="false" outlineLevel="0" collapsed="false">
      <c r="B5233" s="7" t="s">
        <v>13866</v>
      </c>
      <c r="C5233" s="39" t="n">
        <v>45980</v>
      </c>
      <c r="D5233" s="7" t="s">
        <v>201</v>
      </c>
      <c r="E5233" s="7" t="s">
        <v>180</v>
      </c>
      <c r="F5233" s="6" t="n">
        <v>3.15</v>
      </c>
      <c r="G5233" s="6" t="n">
        <v>0</v>
      </c>
      <c r="H5233" s="41" t="n">
        <v>15.19</v>
      </c>
      <c r="I5233" s="43" t="n">
        <f aca="false">F5233*H5233</f>
        <v>47.8485</v>
      </c>
      <c r="J5233" s="43" t="n">
        <f aca="false">G5233*H5233*1.5</f>
        <v>0</v>
      </c>
      <c r="K5233" s="6" t="n">
        <v>7.36</v>
      </c>
      <c r="L5233" s="43" t="n">
        <f aca="false">K5233*'Chart of Accounts'!$E$68</f>
        <v>4.9312</v>
      </c>
      <c r="O5233" s="42" t="n">
        <f aca="false">I5233+J5233+L5233</f>
        <v>52.7797</v>
      </c>
    </row>
    <row r="5234" customFormat="false" ht="15" hidden="false" customHeight="false" outlineLevel="0" collapsed="false">
      <c r="B5234" s="7" t="s">
        <v>13867</v>
      </c>
      <c r="C5234" s="39" t="n">
        <v>45980</v>
      </c>
      <c r="D5234" s="7" t="s">
        <v>224</v>
      </c>
      <c r="E5234" s="7" t="s">
        <v>180</v>
      </c>
      <c r="F5234" s="6" t="n">
        <v>4.9</v>
      </c>
      <c r="G5234" s="6" t="n">
        <v>0</v>
      </c>
      <c r="H5234" s="41" t="n">
        <v>14.93</v>
      </c>
      <c r="I5234" s="43" t="n">
        <f aca="false">F5234*H5234</f>
        <v>73.157</v>
      </c>
      <c r="J5234" s="43" t="n">
        <f aca="false">G5234*H5234*1.5</f>
        <v>0</v>
      </c>
      <c r="K5234" s="6" t="n">
        <v>11.57</v>
      </c>
      <c r="L5234" s="43" t="n">
        <f aca="false">K5234*'Chart of Accounts'!$E$68</f>
        <v>7.7519</v>
      </c>
      <c r="O5234" s="42" t="n">
        <f aca="false">I5234+J5234+L5234</f>
        <v>80.9089</v>
      </c>
    </row>
    <row r="5235" customFormat="false" ht="15" hidden="false" customHeight="false" outlineLevel="0" collapsed="false">
      <c r="B5235" s="7" t="s">
        <v>13868</v>
      </c>
      <c r="C5235" s="39" t="n">
        <v>45980</v>
      </c>
      <c r="D5235" s="7" t="s">
        <v>196</v>
      </c>
      <c r="E5235" s="7" t="s">
        <v>180</v>
      </c>
      <c r="F5235" s="6" t="n">
        <v>3.821</v>
      </c>
      <c r="G5235" s="6" t="n">
        <v>0.319</v>
      </c>
      <c r="H5235" s="41" t="n">
        <v>15.05</v>
      </c>
      <c r="I5235" s="43" t="n">
        <f aca="false">F5235*H5235</f>
        <v>57.50605</v>
      </c>
      <c r="J5235" s="43" t="n">
        <f aca="false">G5235*H5235*1.5</f>
        <v>7.201425</v>
      </c>
      <c r="K5235" s="6" t="n">
        <v>14.5</v>
      </c>
      <c r="L5235" s="43" t="n">
        <f aca="false">K5235*'Chart of Accounts'!$E$68</f>
        <v>9.715</v>
      </c>
      <c r="O5235" s="42" t="n">
        <f aca="false">I5235+J5235+L5235</f>
        <v>74.422475</v>
      </c>
    </row>
    <row r="5236" customFormat="false" ht="15" hidden="false" customHeight="false" outlineLevel="0" collapsed="false">
      <c r="B5236" s="7" t="s">
        <v>13869</v>
      </c>
      <c r="C5236" s="39" t="n">
        <v>45980</v>
      </c>
      <c r="D5236" s="7" t="s">
        <v>246</v>
      </c>
      <c r="E5236" s="7" t="s">
        <v>180</v>
      </c>
      <c r="F5236" s="6" t="n">
        <v>7.32</v>
      </c>
      <c r="G5236" s="6" t="n">
        <v>0</v>
      </c>
      <c r="H5236" s="41" t="n">
        <v>16.48</v>
      </c>
      <c r="I5236" s="43" t="n">
        <f aca="false">F5236*H5236</f>
        <v>120.6336</v>
      </c>
      <c r="J5236" s="43" t="n">
        <f aca="false">G5236*H5236*1.5</f>
        <v>0</v>
      </c>
      <c r="K5236" s="6" t="n">
        <v>17.61</v>
      </c>
      <c r="L5236" s="43" t="n">
        <f aca="false">K5236*'Chart of Accounts'!$E$68</f>
        <v>11.7987</v>
      </c>
      <c r="O5236" s="42" t="n">
        <f aca="false">I5236+J5236+L5236</f>
        <v>132.4323</v>
      </c>
    </row>
    <row r="5237" customFormat="false" ht="15" hidden="false" customHeight="false" outlineLevel="0" collapsed="false">
      <c r="B5237" s="7" t="s">
        <v>13870</v>
      </c>
      <c r="C5237" s="39" t="n">
        <v>45980</v>
      </c>
      <c r="D5237" s="7" t="s">
        <v>222</v>
      </c>
      <c r="E5237" s="7" t="s">
        <v>180</v>
      </c>
      <c r="F5237" s="6" t="n">
        <v>3.97</v>
      </c>
      <c r="G5237" s="6" t="n">
        <v>0</v>
      </c>
      <c r="H5237" s="41" t="n">
        <v>17.84</v>
      </c>
      <c r="I5237" s="43" t="n">
        <f aca="false">F5237*H5237</f>
        <v>70.8248</v>
      </c>
      <c r="J5237" s="43" t="n">
        <f aca="false">G5237*H5237*1.5</f>
        <v>0</v>
      </c>
      <c r="K5237" s="6" t="n">
        <v>9.25</v>
      </c>
      <c r="L5237" s="43" t="n">
        <f aca="false">K5237*'Chart of Accounts'!$E$68</f>
        <v>6.1975</v>
      </c>
      <c r="O5237" s="42" t="n">
        <f aca="false">I5237+J5237+L5237</f>
        <v>77.0223</v>
      </c>
    </row>
    <row r="5238" customFormat="false" ht="15" hidden="false" customHeight="false" outlineLevel="0" collapsed="false">
      <c r="B5238" s="7" t="s">
        <v>13871</v>
      </c>
      <c r="C5238" s="39" t="n">
        <v>45980</v>
      </c>
      <c r="D5238" s="7" t="s">
        <v>203</v>
      </c>
      <c r="E5238" s="7" t="s">
        <v>158</v>
      </c>
      <c r="H5238" s="41" t="n">
        <v>49.43</v>
      </c>
      <c r="M5238" s="6" t="n">
        <v>1</v>
      </c>
      <c r="N5238" s="43" t="n">
        <f aca="false">M5238*H5238</f>
        <v>49.43</v>
      </c>
      <c r="O5238" s="42" t="n">
        <f aca="false">N5238</f>
        <v>49.43</v>
      </c>
    </row>
    <row r="5239" customFormat="false" ht="15" hidden="false" customHeight="false" outlineLevel="0" collapsed="false">
      <c r="B5239" s="7" t="s">
        <v>13872</v>
      </c>
      <c r="C5239" s="39" t="n">
        <v>45981</v>
      </c>
      <c r="D5239" s="7" t="s">
        <v>240</v>
      </c>
      <c r="E5239" s="7" t="s">
        <v>180</v>
      </c>
      <c r="F5239" s="6" t="n">
        <v>8.34</v>
      </c>
      <c r="G5239" s="6" t="n">
        <v>0</v>
      </c>
      <c r="H5239" s="41" t="n">
        <v>16.96</v>
      </c>
      <c r="I5239" s="43" t="n">
        <f aca="false">F5239*H5239</f>
        <v>141.4464</v>
      </c>
      <c r="J5239" s="43" t="n">
        <f aca="false">G5239*H5239*1.5</f>
        <v>0</v>
      </c>
      <c r="K5239" s="6" t="n">
        <v>24.09</v>
      </c>
      <c r="L5239" s="43" t="n">
        <f aca="false">K5239*'Chart of Accounts'!$E$68</f>
        <v>16.1403</v>
      </c>
      <c r="O5239" s="42" t="n">
        <f aca="false">I5239+J5239+L5239</f>
        <v>157.5867</v>
      </c>
    </row>
    <row r="5240" customFormat="false" ht="15" hidden="false" customHeight="false" outlineLevel="0" collapsed="false">
      <c r="B5240" s="7" t="s">
        <v>13873</v>
      </c>
      <c r="C5240" s="39" t="n">
        <v>45981</v>
      </c>
      <c r="D5240" s="7" t="s">
        <v>201</v>
      </c>
      <c r="E5240" s="7" t="s">
        <v>180</v>
      </c>
      <c r="F5240" s="6" t="n">
        <v>5.8</v>
      </c>
      <c r="G5240" s="6" t="n">
        <v>0</v>
      </c>
      <c r="H5240" s="41" t="n">
        <v>15.19</v>
      </c>
      <c r="I5240" s="43" t="n">
        <f aca="false">F5240*H5240</f>
        <v>88.102</v>
      </c>
      <c r="J5240" s="43" t="n">
        <f aca="false">G5240*H5240*1.5</f>
        <v>0</v>
      </c>
      <c r="K5240" s="6" t="n">
        <v>20.4</v>
      </c>
      <c r="L5240" s="43" t="n">
        <f aca="false">K5240*'Chart of Accounts'!$E$68</f>
        <v>13.668</v>
      </c>
      <c r="O5240" s="42" t="n">
        <f aca="false">I5240+J5240+L5240</f>
        <v>101.77</v>
      </c>
    </row>
    <row r="5241" customFormat="false" ht="15" hidden="false" customHeight="false" outlineLevel="0" collapsed="false">
      <c r="B5241" s="7" t="s">
        <v>13874</v>
      </c>
      <c r="C5241" s="39" t="n">
        <v>45981</v>
      </c>
      <c r="D5241" s="7" t="s">
        <v>205</v>
      </c>
      <c r="E5241" s="7" t="s">
        <v>180</v>
      </c>
      <c r="F5241" s="6" t="n">
        <v>3.05</v>
      </c>
      <c r="G5241" s="6" t="n">
        <v>0</v>
      </c>
      <c r="H5241" s="41" t="n">
        <v>16.36</v>
      </c>
      <c r="I5241" s="43" t="n">
        <f aca="false">F5241*H5241</f>
        <v>49.898</v>
      </c>
      <c r="J5241" s="43" t="n">
        <f aca="false">G5241*H5241*1.5</f>
        <v>0</v>
      </c>
      <c r="K5241" s="6" t="n">
        <v>10.41</v>
      </c>
      <c r="L5241" s="43" t="n">
        <f aca="false">K5241*'Chart of Accounts'!$E$68</f>
        <v>6.9747</v>
      </c>
      <c r="O5241" s="42" t="n">
        <f aca="false">I5241+J5241+L5241</f>
        <v>56.8727</v>
      </c>
    </row>
    <row r="5242" customFormat="false" ht="15" hidden="false" customHeight="false" outlineLevel="0" collapsed="false">
      <c r="B5242" s="7" t="s">
        <v>13875</v>
      </c>
      <c r="C5242" s="39" t="n">
        <v>45981</v>
      </c>
      <c r="D5242" s="7" t="s">
        <v>196</v>
      </c>
      <c r="E5242" s="7" t="s">
        <v>180</v>
      </c>
      <c r="F5242" s="6" t="n">
        <v>11.601</v>
      </c>
      <c r="G5242" s="6" t="n">
        <v>0.969</v>
      </c>
      <c r="H5242" s="41" t="n">
        <v>15.05</v>
      </c>
      <c r="I5242" s="43" t="n">
        <f aca="false">F5242*H5242</f>
        <v>174.59505</v>
      </c>
      <c r="J5242" s="43" t="n">
        <f aca="false">G5242*H5242*1.5</f>
        <v>21.875175</v>
      </c>
      <c r="K5242" s="6" t="n">
        <v>43.51</v>
      </c>
      <c r="L5242" s="43" t="n">
        <f aca="false">K5242*'Chart of Accounts'!$E$68</f>
        <v>29.1517</v>
      </c>
      <c r="O5242" s="42" t="n">
        <f aca="false">I5242+J5242+L5242</f>
        <v>225.621925</v>
      </c>
    </row>
    <row r="5243" customFormat="false" ht="15" hidden="false" customHeight="false" outlineLevel="0" collapsed="false">
      <c r="B5243" s="7" t="s">
        <v>13876</v>
      </c>
      <c r="C5243" s="39" t="n">
        <v>45981</v>
      </c>
      <c r="D5243" s="7" t="s">
        <v>184</v>
      </c>
      <c r="E5243" s="7" t="s">
        <v>180</v>
      </c>
      <c r="F5243" s="6" t="n">
        <v>3.97</v>
      </c>
      <c r="G5243" s="6" t="n">
        <v>0</v>
      </c>
      <c r="H5243" s="41" t="n">
        <v>17.34</v>
      </c>
      <c r="I5243" s="43" t="n">
        <f aca="false">F5243*H5243</f>
        <v>68.8398</v>
      </c>
      <c r="J5243" s="43" t="n">
        <f aca="false">G5243*H5243*1.5</f>
        <v>0</v>
      </c>
      <c r="K5243" s="6" t="n">
        <v>11.61</v>
      </c>
      <c r="L5243" s="43" t="n">
        <f aca="false">K5243*'Chart of Accounts'!$E$68</f>
        <v>7.7787</v>
      </c>
      <c r="O5243" s="42" t="n">
        <f aca="false">I5243+J5243+L5243</f>
        <v>76.6185</v>
      </c>
    </row>
    <row r="5244" customFormat="false" ht="15" hidden="false" customHeight="false" outlineLevel="0" collapsed="false">
      <c r="B5244" s="7" t="s">
        <v>13877</v>
      </c>
      <c r="C5244" s="39" t="n">
        <v>45981</v>
      </c>
      <c r="D5244" s="7" t="s">
        <v>222</v>
      </c>
      <c r="E5244" s="7" t="s">
        <v>180</v>
      </c>
      <c r="F5244" s="6" t="n">
        <v>10.14</v>
      </c>
      <c r="G5244" s="6" t="n">
        <v>0</v>
      </c>
      <c r="H5244" s="41" t="n">
        <v>17.84</v>
      </c>
      <c r="I5244" s="43" t="n">
        <f aca="false">F5244*H5244</f>
        <v>180.8976</v>
      </c>
      <c r="J5244" s="43" t="n">
        <f aca="false">G5244*H5244*1.5</f>
        <v>0</v>
      </c>
      <c r="K5244" s="6" t="n">
        <v>29.44</v>
      </c>
      <c r="L5244" s="43" t="n">
        <f aca="false">K5244*'Chart of Accounts'!$E$68</f>
        <v>19.7248</v>
      </c>
      <c r="O5244" s="42" t="n">
        <f aca="false">I5244+J5244+L5244</f>
        <v>200.6224</v>
      </c>
    </row>
    <row r="5245" customFormat="false" ht="15" hidden="false" customHeight="false" outlineLevel="0" collapsed="false">
      <c r="B5245" s="7" t="s">
        <v>13878</v>
      </c>
      <c r="C5245" s="39" t="n">
        <v>45981</v>
      </c>
      <c r="D5245" s="7" t="s">
        <v>218</v>
      </c>
      <c r="E5245" s="7" t="s">
        <v>180</v>
      </c>
      <c r="F5245" s="6" t="n">
        <v>7.96</v>
      </c>
      <c r="G5245" s="6" t="n">
        <v>0</v>
      </c>
      <c r="H5245" s="41" t="n">
        <v>16.19</v>
      </c>
      <c r="I5245" s="43" t="n">
        <f aca="false">F5245*H5245</f>
        <v>128.8724</v>
      </c>
      <c r="J5245" s="43" t="n">
        <f aca="false">G5245*H5245*1.5</f>
        <v>0</v>
      </c>
      <c r="K5245" s="6" t="n">
        <v>24.79</v>
      </c>
      <c r="L5245" s="43" t="n">
        <f aca="false">K5245*'Chart of Accounts'!$E$68</f>
        <v>16.6093</v>
      </c>
      <c r="O5245" s="42" t="n">
        <f aca="false">I5245+J5245+L5245</f>
        <v>145.4817</v>
      </c>
    </row>
    <row r="5246" customFormat="false" ht="15" hidden="false" customHeight="false" outlineLevel="0" collapsed="false">
      <c r="B5246" s="7" t="s">
        <v>13879</v>
      </c>
      <c r="C5246" s="39" t="n">
        <v>45981</v>
      </c>
      <c r="D5246" s="7" t="s">
        <v>220</v>
      </c>
      <c r="E5246" s="7" t="s">
        <v>180</v>
      </c>
      <c r="F5246" s="6" t="n">
        <v>3.93</v>
      </c>
      <c r="G5246" s="6" t="n">
        <v>0</v>
      </c>
      <c r="H5246" s="41" t="n">
        <v>16.43</v>
      </c>
      <c r="I5246" s="43" t="n">
        <f aca="false">F5246*H5246</f>
        <v>64.5699</v>
      </c>
      <c r="J5246" s="43" t="n">
        <f aca="false">G5246*H5246*1.5</f>
        <v>0</v>
      </c>
      <c r="K5246" s="6" t="n">
        <v>13.93</v>
      </c>
      <c r="L5246" s="43" t="n">
        <f aca="false">K5246*'Chart of Accounts'!$E$68</f>
        <v>9.3331</v>
      </c>
      <c r="O5246" s="42" t="n">
        <f aca="false">I5246+J5246+L5246</f>
        <v>73.903</v>
      </c>
    </row>
    <row r="5247" customFormat="false" ht="15" hidden="false" customHeight="false" outlineLevel="0" collapsed="false">
      <c r="B5247" s="7" t="s">
        <v>13880</v>
      </c>
      <c r="C5247" s="39" t="n">
        <v>45981</v>
      </c>
      <c r="D5247" s="7" t="s">
        <v>224</v>
      </c>
      <c r="E5247" s="7" t="s">
        <v>180</v>
      </c>
      <c r="F5247" s="6" t="n">
        <v>4.05</v>
      </c>
      <c r="G5247" s="6" t="n">
        <v>0</v>
      </c>
      <c r="H5247" s="41" t="n">
        <v>14.93</v>
      </c>
      <c r="I5247" s="43" t="n">
        <f aca="false">F5247*H5247</f>
        <v>60.4665</v>
      </c>
      <c r="J5247" s="43" t="n">
        <f aca="false">G5247*H5247*1.5</f>
        <v>0</v>
      </c>
      <c r="K5247" s="6" t="n">
        <v>13.47</v>
      </c>
      <c r="L5247" s="43" t="n">
        <f aca="false">K5247*'Chart of Accounts'!$E$68</f>
        <v>9.0249</v>
      </c>
      <c r="O5247" s="42" t="n">
        <f aca="false">I5247+J5247+L5247</f>
        <v>69.4914</v>
      </c>
    </row>
    <row r="5248" customFormat="false" ht="15" hidden="false" customHeight="false" outlineLevel="0" collapsed="false">
      <c r="B5248" s="7" t="s">
        <v>13881</v>
      </c>
      <c r="C5248" s="39" t="n">
        <v>45981</v>
      </c>
      <c r="D5248" s="7" t="s">
        <v>244</v>
      </c>
      <c r="E5248" s="7" t="s">
        <v>180</v>
      </c>
      <c r="F5248" s="6" t="n">
        <v>3.63</v>
      </c>
      <c r="G5248" s="6" t="n">
        <v>0</v>
      </c>
      <c r="H5248" s="41" t="n">
        <v>16.39</v>
      </c>
      <c r="I5248" s="43" t="n">
        <f aca="false">F5248*H5248</f>
        <v>59.4957</v>
      </c>
      <c r="J5248" s="43" t="n">
        <f aca="false">G5248*H5248*1.5</f>
        <v>0</v>
      </c>
      <c r="K5248" s="6" t="n">
        <v>10.87</v>
      </c>
      <c r="L5248" s="43" t="n">
        <f aca="false">K5248*'Chart of Accounts'!$E$68</f>
        <v>7.2829</v>
      </c>
      <c r="O5248" s="42" t="n">
        <f aca="false">I5248+J5248+L5248</f>
        <v>66.7786</v>
      </c>
    </row>
    <row r="5249" customFormat="false" ht="15" hidden="false" customHeight="false" outlineLevel="0" collapsed="false">
      <c r="B5249" s="7" t="s">
        <v>13882</v>
      </c>
      <c r="C5249" s="39" t="n">
        <v>45981</v>
      </c>
      <c r="D5249" s="7" t="s">
        <v>250</v>
      </c>
      <c r="E5249" s="7" t="s">
        <v>180</v>
      </c>
      <c r="F5249" s="6" t="n">
        <v>3.92</v>
      </c>
      <c r="G5249" s="6" t="n">
        <v>0</v>
      </c>
      <c r="H5249" s="41" t="n">
        <v>16.88</v>
      </c>
      <c r="I5249" s="43" t="n">
        <f aca="false">F5249*H5249</f>
        <v>66.1696</v>
      </c>
      <c r="J5249" s="43" t="n">
        <f aca="false">G5249*H5249*1.5</f>
        <v>0</v>
      </c>
      <c r="K5249" s="6" t="n">
        <v>9.45</v>
      </c>
      <c r="L5249" s="43" t="n">
        <f aca="false">K5249*'Chart of Accounts'!$E$68</f>
        <v>6.3315</v>
      </c>
      <c r="O5249" s="42" t="n">
        <f aca="false">I5249+J5249+L5249</f>
        <v>72.5011</v>
      </c>
    </row>
    <row r="5250" customFormat="false" ht="15" hidden="false" customHeight="false" outlineLevel="0" collapsed="false">
      <c r="B5250" s="7" t="s">
        <v>13883</v>
      </c>
      <c r="C5250" s="39" t="n">
        <v>45981</v>
      </c>
      <c r="D5250" s="7" t="s">
        <v>246</v>
      </c>
      <c r="E5250" s="7" t="s">
        <v>180</v>
      </c>
      <c r="F5250" s="6" t="n">
        <v>8.45</v>
      </c>
      <c r="G5250" s="6" t="n">
        <v>0</v>
      </c>
      <c r="H5250" s="41" t="n">
        <v>16.48</v>
      </c>
      <c r="I5250" s="43" t="n">
        <f aca="false">F5250*H5250</f>
        <v>139.256</v>
      </c>
      <c r="J5250" s="43" t="n">
        <f aca="false">G5250*H5250*1.5</f>
        <v>0</v>
      </c>
      <c r="K5250" s="6" t="n">
        <v>22.27</v>
      </c>
      <c r="L5250" s="43" t="n">
        <f aca="false">K5250*'Chart of Accounts'!$E$68</f>
        <v>14.9209</v>
      </c>
      <c r="O5250" s="42" t="n">
        <f aca="false">I5250+J5250+L5250</f>
        <v>154.1769</v>
      </c>
    </row>
    <row r="5251" customFormat="false" ht="15" hidden="false" customHeight="false" outlineLevel="0" collapsed="false">
      <c r="B5251" s="7" t="s">
        <v>13884</v>
      </c>
      <c r="C5251" s="39" t="n">
        <v>45981</v>
      </c>
      <c r="D5251" s="7" t="s">
        <v>194</v>
      </c>
      <c r="E5251" s="7" t="s">
        <v>180</v>
      </c>
      <c r="F5251" s="6" t="n">
        <v>3.76</v>
      </c>
      <c r="G5251" s="6" t="n">
        <v>0</v>
      </c>
      <c r="H5251" s="41" t="n">
        <v>16</v>
      </c>
      <c r="I5251" s="43" t="n">
        <f aca="false">F5251*H5251</f>
        <v>60.16</v>
      </c>
      <c r="J5251" s="43" t="n">
        <f aca="false">G5251*H5251*1.5</f>
        <v>0</v>
      </c>
      <c r="K5251" s="6" t="n">
        <v>13.4</v>
      </c>
      <c r="L5251" s="43" t="n">
        <f aca="false">K5251*'Chart of Accounts'!$E$68</f>
        <v>8.978</v>
      </c>
      <c r="O5251" s="42" t="n">
        <f aca="false">I5251+J5251+L5251</f>
        <v>69.138</v>
      </c>
    </row>
    <row r="5252" customFormat="false" ht="15" hidden="false" customHeight="false" outlineLevel="0" collapsed="false">
      <c r="B5252" s="7" t="s">
        <v>13885</v>
      </c>
      <c r="C5252" s="39" t="n">
        <v>45981</v>
      </c>
      <c r="D5252" s="7" t="s">
        <v>214</v>
      </c>
      <c r="E5252" s="7" t="s">
        <v>180</v>
      </c>
      <c r="F5252" s="6" t="n">
        <v>3.99</v>
      </c>
      <c r="G5252" s="6" t="n">
        <v>0</v>
      </c>
      <c r="H5252" s="41" t="n">
        <v>15.67</v>
      </c>
      <c r="I5252" s="43" t="n">
        <f aca="false">F5252*H5252</f>
        <v>62.5233</v>
      </c>
      <c r="J5252" s="43" t="n">
        <f aca="false">G5252*H5252*1.5</f>
        <v>0</v>
      </c>
      <c r="K5252" s="6" t="n">
        <v>10.7</v>
      </c>
      <c r="L5252" s="43" t="n">
        <f aca="false">K5252*'Chart of Accounts'!$E$68</f>
        <v>7.169</v>
      </c>
      <c r="O5252" s="42" t="n">
        <f aca="false">I5252+J5252+L5252</f>
        <v>69.6923</v>
      </c>
    </row>
    <row r="5253" customFormat="false" ht="15" hidden="false" customHeight="false" outlineLevel="0" collapsed="false">
      <c r="B5253" s="7" t="s">
        <v>13886</v>
      </c>
      <c r="C5253" s="39" t="n">
        <v>45981</v>
      </c>
      <c r="D5253" s="7" t="s">
        <v>242</v>
      </c>
      <c r="E5253" s="7" t="s">
        <v>180</v>
      </c>
      <c r="F5253" s="6" t="n">
        <v>3.595</v>
      </c>
      <c r="G5253" s="6" t="n">
        <v>0.355</v>
      </c>
      <c r="H5253" s="41" t="n">
        <v>17.99</v>
      </c>
      <c r="I5253" s="43" t="n">
        <f aca="false">F5253*H5253</f>
        <v>64.67405</v>
      </c>
      <c r="J5253" s="43" t="n">
        <f aca="false">G5253*H5253*1.5</f>
        <v>9.579675</v>
      </c>
      <c r="K5253" s="6" t="n">
        <v>11.25</v>
      </c>
      <c r="L5253" s="43" t="n">
        <f aca="false">K5253*'Chart of Accounts'!$E$68</f>
        <v>7.5375</v>
      </c>
      <c r="O5253" s="42" t="n">
        <f aca="false">I5253+J5253+L5253</f>
        <v>81.791225</v>
      </c>
    </row>
    <row r="5254" customFormat="false" ht="15" hidden="false" customHeight="false" outlineLevel="0" collapsed="false">
      <c r="B5254" s="7" t="s">
        <v>13887</v>
      </c>
      <c r="C5254" s="39" t="n">
        <v>45981</v>
      </c>
      <c r="D5254" s="7" t="s">
        <v>254</v>
      </c>
      <c r="E5254" s="7" t="s">
        <v>180</v>
      </c>
      <c r="F5254" s="6" t="n">
        <v>4.4</v>
      </c>
      <c r="G5254" s="6" t="n">
        <v>0</v>
      </c>
      <c r="H5254" s="41" t="n">
        <v>17.1</v>
      </c>
      <c r="I5254" s="43" t="n">
        <f aca="false">F5254*H5254</f>
        <v>75.24</v>
      </c>
      <c r="J5254" s="43" t="n">
        <f aca="false">G5254*H5254*1.5</f>
        <v>0</v>
      </c>
      <c r="K5254" s="6" t="n">
        <v>14.44</v>
      </c>
      <c r="L5254" s="43" t="n">
        <f aca="false">K5254*'Chart of Accounts'!$E$68</f>
        <v>9.6748</v>
      </c>
      <c r="O5254" s="42" t="n">
        <f aca="false">I5254+J5254+L5254</f>
        <v>84.9148</v>
      </c>
    </row>
    <row r="5255" customFormat="false" ht="15" hidden="false" customHeight="false" outlineLevel="0" collapsed="false">
      <c r="B5255" s="7" t="s">
        <v>13888</v>
      </c>
      <c r="C5255" s="39" t="n">
        <v>45982</v>
      </c>
      <c r="D5255" s="7" t="s">
        <v>250</v>
      </c>
      <c r="E5255" s="7" t="s">
        <v>180</v>
      </c>
      <c r="F5255" s="6" t="n">
        <v>3.92</v>
      </c>
      <c r="G5255" s="6" t="n">
        <v>0</v>
      </c>
      <c r="H5255" s="41" t="n">
        <v>16.88</v>
      </c>
      <c r="I5255" s="43" t="n">
        <f aca="false">F5255*H5255</f>
        <v>66.1696</v>
      </c>
      <c r="J5255" s="43" t="n">
        <f aca="false">G5255*H5255*1.5</f>
        <v>0</v>
      </c>
      <c r="K5255" s="6" t="n">
        <v>12.77</v>
      </c>
      <c r="L5255" s="43" t="n">
        <f aca="false">K5255*'Chart of Accounts'!$E$68</f>
        <v>8.5559</v>
      </c>
      <c r="O5255" s="42" t="n">
        <f aca="false">I5255+J5255+L5255</f>
        <v>74.7255</v>
      </c>
    </row>
    <row r="5256" customFormat="false" ht="15" hidden="false" customHeight="false" outlineLevel="0" collapsed="false">
      <c r="B5256" s="7" t="s">
        <v>13889</v>
      </c>
      <c r="C5256" s="39" t="n">
        <v>45982</v>
      </c>
      <c r="D5256" s="7" t="s">
        <v>194</v>
      </c>
      <c r="E5256" s="7" t="s">
        <v>180</v>
      </c>
      <c r="F5256" s="6" t="n">
        <v>12.47</v>
      </c>
      <c r="G5256" s="6" t="n">
        <v>0</v>
      </c>
      <c r="H5256" s="41" t="n">
        <v>16</v>
      </c>
      <c r="I5256" s="43" t="n">
        <f aca="false">F5256*H5256</f>
        <v>199.52</v>
      </c>
      <c r="J5256" s="43" t="n">
        <f aca="false">G5256*H5256*1.5</f>
        <v>0</v>
      </c>
      <c r="K5256" s="6" t="n">
        <v>35.03</v>
      </c>
      <c r="L5256" s="43" t="n">
        <f aca="false">K5256*'Chart of Accounts'!$E$68</f>
        <v>23.4701</v>
      </c>
      <c r="O5256" s="42" t="n">
        <f aca="false">I5256+J5256+L5256</f>
        <v>222.9901</v>
      </c>
    </row>
    <row r="5257" customFormat="false" ht="15" hidden="false" customHeight="false" outlineLevel="0" collapsed="false">
      <c r="B5257" s="7" t="s">
        <v>13890</v>
      </c>
      <c r="C5257" s="39" t="n">
        <v>45982</v>
      </c>
      <c r="D5257" s="7" t="s">
        <v>198</v>
      </c>
      <c r="E5257" s="7" t="s">
        <v>158</v>
      </c>
      <c r="H5257" s="41" t="n">
        <v>48.09</v>
      </c>
      <c r="M5257" s="6" t="n">
        <v>2</v>
      </c>
      <c r="N5257" s="43" t="n">
        <f aca="false">M5257*H5257</f>
        <v>96.18</v>
      </c>
      <c r="O5257" s="42" t="n">
        <f aca="false">N5257</f>
        <v>96.18</v>
      </c>
    </row>
    <row r="5258" customFormat="false" ht="15" hidden="false" customHeight="false" outlineLevel="0" collapsed="false">
      <c r="B5258" s="7" t="s">
        <v>13891</v>
      </c>
      <c r="C5258" s="39" t="n">
        <v>45982</v>
      </c>
      <c r="D5258" s="7" t="s">
        <v>214</v>
      </c>
      <c r="E5258" s="7" t="s">
        <v>180</v>
      </c>
      <c r="F5258" s="6" t="n">
        <v>6.97</v>
      </c>
      <c r="G5258" s="6" t="n">
        <v>0</v>
      </c>
      <c r="H5258" s="41" t="n">
        <v>15.67</v>
      </c>
      <c r="I5258" s="43" t="n">
        <f aca="false">F5258*H5258</f>
        <v>109.2199</v>
      </c>
      <c r="J5258" s="43" t="n">
        <f aca="false">G5258*H5258*1.5</f>
        <v>0</v>
      </c>
      <c r="K5258" s="6" t="n">
        <v>17.45</v>
      </c>
      <c r="L5258" s="43" t="n">
        <f aca="false">K5258*'Chart of Accounts'!$E$68</f>
        <v>11.6915</v>
      </c>
      <c r="O5258" s="42" t="n">
        <f aca="false">I5258+J5258+L5258</f>
        <v>120.9114</v>
      </c>
    </row>
    <row r="5259" customFormat="false" ht="15" hidden="false" customHeight="false" outlineLevel="0" collapsed="false">
      <c r="B5259" s="7" t="s">
        <v>13892</v>
      </c>
      <c r="C5259" s="39" t="n">
        <v>45982</v>
      </c>
      <c r="D5259" s="7" t="s">
        <v>209</v>
      </c>
      <c r="E5259" s="7" t="s">
        <v>158</v>
      </c>
      <c r="H5259" s="41" t="n">
        <v>73.58</v>
      </c>
      <c r="M5259" s="6" t="n">
        <v>2</v>
      </c>
      <c r="N5259" s="43" t="n">
        <f aca="false">M5259*H5259</f>
        <v>147.16</v>
      </c>
      <c r="O5259" s="42" t="n">
        <f aca="false">N5259</f>
        <v>147.16</v>
      </c>
    </row>
    <row r="5260" customFormat="false" ht="15" hidden="false" customHeight="false" outlineLevel="0" collapsed="false">
      <c r="B5260" s="7" t="s">
        <v>13893</v>
      </c>
      <c r="C5260" s="39" t="n">
        <v>45982</v>
      </c>
      <c r="D5260" s="7" t="s">
        <v>205</v>
      </c>
      <c r="E5260" s="7" t="s">
        <v>180</v>
      </c>
      <c r="F5260" s="6" t="n">
        <v>4.34</v>
      </c>
      <c r="G5260" s="6" t="n">
        <v>0</v>
      </c>
      <c r="H5260" s="41" t="n">
        <v>16.36</v>
      </c>
      <c r="I5260" s="43" t="n">
        <f aca="false">F5260*H5260</f>
        <v>71.0024</v>
      </c>
      <c r="J5260" s="43" t="n">
        <f aca="false">G5260*H5260*1.5</f>
        <v>0</v>
      </c>
      <c r="K5260" s="6" t="n">
        <v>11.57</v>
      </c>
      <c r="L5260" s="43" t="n">
        <f aca="false">K5260*'Chart of Accounts'!$E$68</f>
        <v>7.7519</v>
      </c>
      <c r="O5260" s="42" t="n">
        <f aca="false">I5260+J5260+L5260</f>
        <v>78.7543</v>
      </c>
    </row>
    <row r="5261" customFormat="false" ht="15" hidden="false" customHeight="false" outlineLevel="0" collapsed="false">
      <c r="B5261" s="7" t="s">
        <v>13894</v>
      </c>
      <c r="C5261" s="39" t="n">
        <v>45982</v>
      </c>
      <c r="D5261" s="7" t="s">
        <v>264</v>
      </c>
      <c r="E5261" s="7" t="s">
        <v>158</v>
      </c>
      <c r="H5261" s="41" t="n">
        <v>55.55</v>
      </c>
      <c r="M5261" s="6" t="n">
        <v>1</v>
      </c>
      <c r="N5261" s="43" t="n">
        <f aca="false">M5261*H5261</f>
        <v>55.55</v>
      </c>
      <c r="O5261" s="42" t="n">
        <f aca="false">N5261</f>
        <v>55.55</v>
      </c>
    </row>
    <row r="5262" customFormat="false" ht="15" hidden="false" customHeight="false" outlineLevel="0" collapsed="false">
      <c r="B5262" s="7" t="s">
        <v>13895</v>
      </c>
      <c r="C5262" s="39" t="n">
        <v>45982</v>
      </c>
      <c r="D5262" s="7" t="s">
        <v>252</v>
      </c>
      <c r="E5262" s="7" t="s">
        <v>158</v>
      </c>
      <c r="H5262" s="41" t="n">
        <v>57.54</v>
      </c>
      <c r="M5262" s="6" t="n">
        <v>1</v>
      </c>
      <c r="N5262" s="43" t="n">
        <f aca="false">M5262*H5262</f>
        <v>57.54</v>
      </c>
      <c r="O5262" s="42" t="n">
        <f aca="false">N5262</f>
        <v>57.54</v>
      </c>
    </row>
    <row r="5263" customFormat="false" ht="15" hidden="false" customHeight="false" outlineLevel="0" collapsed="false">
      <c r="B5263" s="7" t="s">
        <v>13896</v>
      </c>
      <c r="C5263" s="39" t="n">
        <v>45982</v>
      </c>
      <c r="D5263" s="7" t="s">
        <v>184</v>
      </c>
      <c r="E5263" s="7" t="s">
        <v>180</v>
      </c>
      <c r="F5263" s="6" t="n">
        <v>8.53</v>
      </c>
      <c r="G5263" s="6" t="n">
        <v>0</v>
      </c>
      <c r="H5263" s="41" t="n">
        <v>17.34</v>
      </c>
      <c r="I5263" s="43" t="n">
        <f aca="false">F5263*H5263</f>
        <v>147.9102</v>
      </c>
      <c r="J5263" s="43" t="n">
        <f aca="false">G5263*H5263*1.5</f>
        <v>0</v>
      </c>
      <c r="K5263" s="6" t="n">
        <v>24.78</v>
      </c>
      <c r="L5263" s="43" t="n">
        <f aca="false">K5263*'Chart of Accounts'!$E$68</f>
        <v>16.6026</v>
      </c>
      <c r="O5263" s="42" t="n">
        <f aca="false">I5263+J5263+L5263</f>
        <v>164.5128</v>
      </c>
    </row>
    <row r="5264" customFormat="false" ht="15" hidden="false" customHeight="false" outlineLevel="0" collapsed="false">
      <c r="B5264" s="7" t="s">
        <v>13897</v>
      </c>
      <c r="C5264" s="39" t="n">
        <v>45982</v>
      </c>
      <c r="D5264" s="7" t="s">
        <v>216</v>
      </c>
      <c r="E5264" s="7" t="s">
        <v>158</v>
      </c>
      <c r="H5264" s="41" t="n">
        <v>61.79</v>
      </c>
      <c r="M5264" s="6" t="n">
        <v>1</v>
      </c>
      <c r="N5264" s="43" t="n">
        <f aca="false">M5264*H5264</f>
        <v>61.79</v>
      </c>
      <c r="O5264" s="42" t="n">
        <f aca="false">N5264</f>
        <v>61.79</v>
      </c>
    </row>
    <row r="5265" customFormat="false" ht="15" hidden="false" customHeight="false" outlineLevel="0" collapsed="false">
      <c r="B5265" s="7" t="s">
        <v>13898</v>
      </c>
      <c r="C5265" s="39" t="n">
        <v>45982</v>
      </c>
      <c r="D5265" s="7" t="s">
        <v>234</v>
      </c>
      <c r="E5265" s="7" t="s">
        <v>158</v>
      </c>
      <c r="H5265" s="41" t="n">
        <v>89.53</v>
      </c>
      <c r="M5265" s="6" t="n">
        <v>2</v>
      </c>
      <c r="N5265" s="43" t="n">
        <f aca="false">M5265*H5265</f>
        <v>179.06</v>
      </c>
      <c r="O5265" s="42" t="n">
        <f aca="false">N5265</f>
        <v>179.06</v>
      </c>
    </row>
    <row r="5266" customFormat="false" ht="15" hidden="false" customHeight="false" outlineLevel="0" collapsed="false">
      <c r="B5266" s="7" t="s">
        <v>13899</v>
      </c>
      <c r="C5266" s="39" t="n">
        <v>45982</v>
      </c>
      <c r="D5266" s="7" t="s">
        <v>218</v>
      </c>
      <c r="E5266" s="7" t="s">
        <v>180</v>
      </c>
      <c r="F5266" s="6" t="n">
        <v>3.86</v>
      </c>
      <c r="G5266" s="6" t="n">
        <v>0</v>
      </c>
      <c r="H5266" s="41" t="n">
        <v>16.19</v>
      </c>
      <c r="I5266" s="43" t="n">
        <f aca="false">F5266*H5266</f>
        <v>62.4934</v>
      </c>
      <c r="J5266" s="43" t="n">
        <f aca="false">G5266*H5266*1.5</f>
        <v>0</v>
      </c>
      <c r="K5266" s="6" t="n">
        <v>10.93</v>
      </c>
      <c r="L5266" s="43" t="n">
        <f aca="false">K5266*'Chart of Accounts'!$E$68</f>
        <v>7.3231</v>
      </c>
      <c r="O5266" s="42" t="n">
        <f aca="false">I5266+J5266+L5266</f>
        <v>69.8165</v>
      </c>
    </row>
    <row r="5267" customFormat="false" ht="15" hidden="false" customHeight="false" outlineLevel="0" collapsed="false">
      <c r="B5267" s="7" t="s">
        <v>13900</v>
      </c>
      <c r="C5267" s="39" t="n">
        <v>45982</v>
      </c>
      <c r="D5267" s="7" t="s">
        <v>228</v>
      </c>
      <c r="E5267" s="7" t="s">
        <v>158</v>
      </c>
      <c r="H5267" s="41" t="n">
        <v>51.07</v>
      </c>
      <c r="M5267" s="6" t="n">
        <v>1</v>
      </c>
      <c r="N5267" s="43" t="n">
        <f aca="false">M5267*H5267</f>
        <v>51.07</v>
      </c>
      <c r="O5267" s="42" t="n">
        <f aca="false">N5267</f>
        <v>51.07</v>
      </c>
    </row>
    <row r="5268" customFormat="false" ht="15" hidden="false" customHeight="false" outlineLevel="0" collapsed="false">
      <c r="B5268" s="7" t="s">
        <v>13901</v>
      </c>
      <c r="C5268" s="39" t="n">
        <v>45982</v>
      </c>
      <c r="D5268" s="7" t="s">
        <v>220</v>
      </c>
      <c r="E5268" s="7" t="s">
        <v>180</v>
      </c>
      <c r="F5268" s="6" t="n">
        <v>4.03</v>
      </c>
      <c r="G5268" s="6" t="n">
        <v>0</v>
      </c>
      <c r="H5268" s="41" t="n">
        <v>16.43</v>
      </c>
      <c r="I5268" s="43" t="n">
        <f aca="false">F5268*H5268</f>
        <v>66.2129</v>
      </c>
      <c r="J5268" s="43" t="n">
        <f aca="false">G5268*H5268*1.5</f>
        <v>0</v>
      </c>
      <c r="K5268" s="6" t="n">
        <v>10.46</v>
      </c>
      <c r="L5268" s="43" t="n">
        <f aca="false">K5268*'Chart of Accounts'!$E$68</f>
        <v>7.0082</v>
      </c>
      <c r="O5268" s="42" t="n">
        <f aca="false">I5268+J5268+L5268</f>
        <v>73.2211</v>
      </c>
    </row>
    <row r="5269" customFormat="false" ht="15" hidden="false" customHeight="false" outlineLevel="0" collapsed="false">
      <c r="B5269" s="7" t="s">
        <v>13902</v>
      </c>
      <c r="C5269" s="39" t="n">
        <v>45982</v>
      </c>
      <c r="D5269" s="7" t="s">
        <v>236</v>
      </c>
      <c r="E5269" s="7" t="s">
        <v>180</v>
      </c>
      <c r="F5269" s="6" t="n">
        <v>3.32</v>
      </c>
      <c r="G5269" s="6" t="n">
        <v>0</v>
      </c>
      <c r="H5269" s="41" t="n">
        <v>15.49</v>
      </c>
      <c r="I5269" s="43" t="n">
        <f aca="false">F5269*H5269</f>
        <v>51.4268</v>
      </c>
      <c r="J5269" s="43" t="n">
        <f aca="false">G5269*H5269*1.5</f>
        <v>0</v>
      </c>
      <c r="K5269" s="6" t="n">
        <v>11.69</v>
      </c>
      <c r="L5269" s="43" t="n">
        <f aca="false">K5269*'Chart of Accounts'!$E$68</f>
        <v>7.8323</v>
      </c>
      <c r="O5269" s="42" t="n">
        <f aca="false">I5269+J5269+L5269</f>
        <v>59.2591</v>
      </c>
    </row>
    <row r="5270" customFormat="false" ht="15" hidden="false" customHeight="false" outlineLevel="0" collapsed="false">
      <c r="B5270" s="7" t="s">
        <v>13903</v>
      </c>
      <c r="C5270" s="39" t="n">
        <v>45982</v>
      </c>
      <c r="D5270" s="7" t="s">
        <v>177</v>
      </c>
      <c r="E5270" s="7" t="s">
        <v>180</v>
      </c>
      <c r="F5270" s="6" t="n">
        <v>8.96</v>
      </c>
      <c r="G5270" s="6" t="n">
        <v>0</v>
      </c>
      <c r="H5270" s="41" t="n">
        <v>14.56</v>
      </c>
      <c r="I5270" s="43" t="n">
        <f aca="false">F5270*H5270</f>
        <v>130.4576</v>
      </c>
      <c r="J5270" s="43" t="n">
        <f aca="false">G5270*H5270*1.5</f>
        <v>0</v>
      </c>
      <c r="K5270" s="6" t="n">
        <v>24.06</v>
      </c>
      <c r="L5270" s="43" t="n">
        <f aca="false">K5270*'Chart of Accounts'!$E$68</f>
        <v>16.1202</v>
      </c>
      <c r="O5270" s="42" t="n">
        <f aca="false">I5270+J5270+L5270</f>
        <v>146.5778</v>
      </c>
    </row>
    <row r="5271" customFormat="false" ht="15" hidden="false" customHeight="false" outlineLevel="0" collapsed="false">
      <c r="B5271" s="7" t="s">
        <v>13904</v>
      </c>
      <c r="C5271" s="39" t="n">
        <v>45982</v>
      </c>
      <c r="D5271" s="7" t="s">
        <v>242</v>
      </c>
      <c r="E5271" s="7" t="s">
        <v>180</v>
      </c>
      <c r="F5271" s="6" t="n">
        <v>6.662</v>
      </c>
      <c r="G5271" s="6" t="n">
        <v>0.658</v>
      </c>
      <c r="H5271" s="41" t="n">
        <v>17.99</v>
      </c>
      <c r="I5271" s="43" t="n">
        <f aca="false">F5271*H5271</f>
        <v>119.84938</v>
      </c>
      <c r="J5271" s="43" t="n">
        <f aca="false">G5271*H5271*1.5</f>
        <v>17.75613</v>
      </c>
      <c r="K5271" s="6" t="n">
        <v>17.41</v>
      </c>
      <c r="L5271" s="43" t="n">
        <f aca="false">K5271*'Chart of Accounts'!$E$68</f>
        <v>11.6647</v>
      </c>
      <c r="O5271" s="42" t="n">
        <f aca="false">I5271+J5271+L5271</f>
        <v>149.27021</v>
      </c>
    </row>
    <row r="5272" customFormat="false" ht="15" hidden="false" customHeight="false" outlineLevel="0" collapsed="false">
      <c r="B5272" s="7" t="s">
        <v>13905</v>
      </c>
      <c r="C5272" s="39" t="n">
        <v>45982</v>
      </c>
      <c r="D5272" s="7" t="s">
        <v>238</v>
      </c>
      <c r="E5272" s="7" t="s">
        <v>180</v>
      </c>
      <c r="F5272" s="6" t="n">
        <v>8.94</v>
      </c>
      <c r="G5272" s="6" t="n">
        <v>0</v>
      </c>
      <c r="H5272" s="41" t="n">
        <v>15.85</v>
      </c>
      <c r="I5272" s="43" t="n">
        <f aca="false">F5272*H5272</f>
        <v>141.699</v>
      </c>
      <c r="J5272" s="43" t="n">
        <f aca="false">G5272*H5272*1.5</f>
        <v>0</v>
      </c>
      <c r="K5272" s="6" t="n">
        <v>22.34</v>
      </c>
      <c r="L5272" s="43" t="n">
        <f aca="false">K5272*'Chart of Accounts'!$E$68</f>
        <v>14.9678</v>
      </c>
      <c r="O5272" s="42" t="n">
        <f aca="false">I5272+J5272+L5272</f>
        <v>156.6668</v>
      </c>
    </row>
    <row r="5273" customFormat="false" ht="15" hidden="false" customHeight="false" outlineLevel="0" collapsed="false">
      <c r="B5273" s="7" t="s">
        <v>13906</v>
      </c>
      <c r="C5273" s="39" t="n">
        <v>45982</v>
      </c>
      <c r="D5273" s="7" t="s">
        <v>244</v>
      </c>
      <c r="E5273" s="7" t="s">
        <v>180</v>
      </c>
      <c r="F5273" s="6" t="n">
        <v>3.84</v>
      </c>
      <c r="G5273" s="6" t="n">
        <v>0</v>
      </c>
      <c r="H5273" s="41" t="n">
        <v>16.39</v>
      </c>
      <c r="I5273" s="43" t="n">
        <f aca="false">F5273*H5273</f>
        <v>62.9376</v>
      </c>
      <c r="J5273" s="43" t="n">
        <f aca="false">G5273*H5273*1.5</f>
        <v>0</v>
      </c>
      <c r="K5273" s="6" t="n">
        <v>12.22</v>
      </c>
      <c r="L5273" s="43" t="n">
        <f aca="false">K5273*'Chart of Accounts'!$E$68</f>
        <v>8.1874</v>
      </c>
      <c r="O5273" s="42" t="n">
        <f aca="false">I5273+J5273+L5273</f>
        <v>71.125</v>
      </c>
    </row>
    <row r="5274" customFormat="false" ht="15" hidden="false" customHeight="false" outlineLevel="0" collapsed="false">
      <c r="B5274" s="7" t="s">
        <v>13907</v>
      </c>
      <c r="C5274" s="39" t="n">
        <v>45982</v>
      </c>
      <c r="D5274" s="7" t="s">
        <v>254</v>
      </c>
      <c r="E5274" s="7" t="s">
        <v>180</v>
      </c>
      <c r="F5274" s="6" t="n">
        <v>6.94</v>
      </c>
      <c r="G5274" s="6" t="n">
        <v>0</v>
      </c>
      <c r="H5274" s="41" t="n">
        <v>17.1</v>
      </c>
      <c r="I5274" s="43" t="n">
        <f aca="false">F5274*H5274</f>
        <v>118.674</v>
      </c>
      <c r="J5274" s="43" t="n">
        <f aca="false">G5274*H5274*1.5</f>
        <v>0</v>
      </c>
      <c r="K5274" s="6" t="n">
        <v>20.15</v>
      </c>
      <c r="L5274" s="43" t="n">
        <f aca="false">K5274*'Chart of Accounts'!$E$68</f>
        <v>13.5005</v>
      </c>
      <c r="O5274" s="42" t="n">
        <f aca="false">I5274+J5274+L5274</f>
        <v>132.1745</v>
      </c>
    </row>
    <row r="5275" customFormat="false" ht="15" hidden="false" customHeight="false" outlineLevel="0" collapsed="false">
      <c r="B5275" s="7" t="s">
        <v>13908</v>
      </c>
      <c r="C5275" s="39" t="n">
        <v>45982</v>
      </c>
      <c r="D5275" s="7" t="s">
        <v>201</v>
      </c>
      <c r="E5275" s="7" t="s">
        <v>180</v>
      </c>
      <c r="F5275" s="6" t="n">
        <v>6.65</v>
      </c>
      <c r="G5275" s="6" t="n">
        <v>0</v>
      </c>
      <c r="H5275" s="41" t="n">
        <v>15.19</v>
      </c>
      <c r="I5275" s="43" t="n">
        <f aca="false">F5275*H5275</f>
        <v>101.0135</v>
      </c>
      <c r="J5275" s="43" t="n">
        <f aca="false">G5275*H5275*1.5</f>
        <v>0</v>
      </c>
      <c r="K5275" s="6" t="n">
        <v>23.48</v>
      </c>
      <c r="L5275" s="43" t="n">
        <f aca="false">K5275*'Chart of Accounts'!$E$68</f>
        <v>15.7316</v>
      </c>
      <c r="O5275" s="42" t="n">
        <f aca="false">I5275+J5275+L5275</f>
        <v>116.7451</v>
      </c>
    </row>
    <row r="5276" customFormat="false" ht="15" hidden="false" customHeight="false" outlineLevel="0" collapsed="false">
      <c r="B5276" s="7" t="s">
        <v>13909</v>
      </c>
      <c r="C5276" s="39" t="n">
        <v>45982</v>
      </c>
      <c r="D5276" s="7" t="s">
        <v>256</v>
      </c>
      <c r="E5276" s="7" t="s">
        <v>180</v>
      </c>
      <c r="F5276" s="6" t="n">
        <v>3.56</v>
      </c>
      <c r="G5276" s="6" t="n">
        <v>0</v>
      </c>
      <c r="H5276" s="41" t="n">
        <v>15.63</v>
      </c>
      <c r="I5276" s="43" t="n">
        <f aca="false">F5276*H5276</f>
        <v>55.6428</v>
      </c>
      <c r="J5276" s="43" t="n">
        <f aca="false">G5276*H5276*1.5</f>
        <v>0</v>
      </c>
      <c r="K5276" s="6" t="n">
        <v>8.55</v>
      </c>
      <c r="L5276" s="43" t="n">
        <f aca="false">K5276*'Chart of Accounts'!$E$68</f>
        <v>5.7285</v>
      </c>
      <c r="O5276" s="42" t="n">
        <f aca="false">I5276+J5276+L5276</f>
        <v>61.3713</v>
      </c>
    </row>
    <row r="5277" customFormat="false" ht="15" hidden="false" customHeight="false" outlineLevel="0" collapsed="false">
      <c r="B5277" s="7" t="s">
        <v>13910</v>
      </c>
      <c r="C5277" s="39" t="n">
        <v>45982</v>
      </c>
      <c r="D5277" s="7" t="s">
        <v>258</v>
      </c>
      <c r="E5277" s="7" t="s">
        <v>158</v>
      </c>
      <c r="H5277" s="41" t="n">
        <v>61.61</v>
      </c>
      <c r="M5277" s="6" t="n">
        <v>1</v>
      </c>
      <c r="N5277" s="43" t="n">
        <f aca="false">M5277*H5277</f>
        <v>61.61</v>
      </c>
      <c r="O5277" s="42" t="n">
        <f aca="false">N5277</f>
        <v>61.61</v>
      </c>
    </row>
    <row r="5278" customFormat="false" ht="15" hidden="false" customHeight="false" outlineLevel="0" collapsed="false">
      <c r="B5278" s="7" t="s">
        <v>13911</v>
      </c>
      <c r="C5278" s="39" t="n">
        <v>45982</v>
      </c>
      <c r="D5278" s="7" t="s">
        <v>232</v>
      </c>
      <c r="E5278" s="7" t="s">
        <v>180</v>
      </c>
      <c r="F5278" s="6" t="n">
        <v>4.94</v>
      </c>
      <c r="G5278" s="6" t="n">
        <v>0</v>
      </c>
      <c r="H5278" s="41" t="n">
        <v>16.17</v>
      </c>
      <c r="I5278" s="43" t="n">
        <f aca="false">F5278*H5278</f>
        <v>79.8798</v>
      </c>
      <c r="J5278" s="43" t="n">
        <f aca="false">G5278*H5278*1.5</f>
        <v>0</v>
      </c>
      <c r="K5278" s="6" t="n">
        <v>16.05</v>
      </c>
      <c r="L5278" s="43" t="n">
        <f aca="false">K5278*'Chart of Accounts'!$E$68</f>
        <v>10.7535</v>
      </c>
      <c r="O5278" s="42" t="n">
        <f aca="false">I5278+J5278+L5278</f>
        <v>90.6333</v>
      </c>
    </row>
    <row r="5279" customFormat="false" ht="15" hidden="false" customHeight="false" outlineLevel="0" collapsed="false">
      <c r="B5279" s="7" t="s">
        <v>13912</v>
      </c>
      <c r="C5279" s="39" t="n">
        <v>45982</v>
      </c>
      <c r="D5279" s="7" t="s">
        <v>224</v>
      </c>
      <c r="E5279" s="7" t="s">
        <v>180</v>
      </c>
      <c r="F5279" s="6" t="n">
        <v>4.67</v>
      </c>
      <c r="G5279" s="6" t="n">
        <v>0</v>
      </c>
      <c r="H5279" s="41" t="n">
        <v>14.93</v>
      </c>
      <c r="I5279" s="43" t="n">
        <f aca="false">F5279*H5279</f>
        <v>69.7231</v>
      </c>
      <c r="J5279" s="43" t="n">
        <f aca="false">G5279*H5279*1.5</f>
        <v>0</v>
      </c>
      <c r="K5279" s="6" t="n">
        <v>16.76</v>
      </c>
      <c r="L5279" s="43" t="n">
        <f aca="false">K5279*'Chart of Accounts'!$E$68</f>
        <v>11.2292</v>
      </c>
      <c r="O5279" s="42" t="n">
        <f aca="false">I5279+J5279+L5279</f>
        <v>80.9523</v>
      </c>
    </row>
    <row r="5280" customFormat="false" ht="15" hidden="false" customHeight="false" outlineLevel="0" collapsed="false">
      <c r="B5280" s="7" t="s">
        <v>13913</v>
      </c>
      <c r="C5280" s="39" t="n">
        <v>45982</v>
      </c>
      <c r="D5280" s="7" t="s">
        <v>230</v>
      </c>
      <c r="E5280" s="7" t="s">
        <v>158</v>
      </c>
      <c r="H5280" s="41" t="n">
        <v>48.78</v>
      </c>
      <c r="M5280" s="6" t="n">
        <v>1</v>
      </c>
      <c r="N5280" s="43" t="n">
        <f aca="false">M5280*H5280</f>
        <v>48.78</v>
      </c>
      <c r="O5280" s="42" t="n">
        <f aca="false">N5280</f>
        <v>48.78</v>
      </c>
    </row>
    <row r="5281" customFormat="false" ht="15" hidden="false" customHeight="false" outlineLevel="0" collapsed="false">
      <c r="B5281" s="7" t="s">
        <v>13914</v>
      </c>
      <c r="C5281" s="39" t="n">
        <v>45982</v>
      </c>
      <c r="D5281" s="7" t="s">
        <v>196</v>
      </c>
      <c r="E5281" s="7" t="s">
        <v>180</v>
      </c>
      <c r="F5281" s="6" t="n">
        <v>3.498</v>
      </c>
      <c r="G5281" s="6" t="n">
        <v>0.292</v>
      </c>
      <c r="H5281" s="41" t="n">
        <v>15.05</v>
      </c>
      <c r="I5281" s="43" t="n">
        <f aca="false">F5281*H5281</f>
        <v>52.6449</v>
      </c>
      <c r="J5281" s="43" t="n">
        <f aca="false">G5281*H5281*1.5</f>
        <v>6.5919</v>
      </c>
      <c r="K5281" s="6" t="n">
        <v>12.71</v>
      </c>
      <c r="L5281" s="43" t="n">
        <f aca="false">K5281*'Chart of Accounts'!$E$68</f>
        <v>8.5157</v>
      </c>
      <c r="O5281" s="42" t="n">
        <f aca="false">I5281+J5281+L5281</f>
        <v>67.7525</v>
      </c>
    </row>
    <row r="5282" customFormat="false" ht="15" hidden="false" customHeight="false" outlineLevel="0" collapsed="false">
      <c r="B5282" s="7" t="s">
        <v>13915</v>
      </c>
      <c r="C5282" s="39" t="n">
        <v>45982</v>
      </c>
      <c r="D5282" s="7" t="s">
        <v>246</v>
      </c>
      <c r="E5282" s="7" t="s">
        <v>180</v>
      </c>
      <c r="F5282" s="6" t="n">
        <v>3.64</v>
      </c>
      <c r="G5282" s="6" t="n">
        <v>0</v>
      </c>
      <c r="H5282" s="41" t="n">
        <v>16.48</v>
      </c>
      <c r="I5282" s="43" t="n">
        <f aca="false">F5282*H5282</f>
        <v>59.9872</v>
      </c>
      <c r="J5282" s="43" t="n">
        <f aca="false">G5282*H5282*1.5</f>
        <v>0</v>
      </c>
      <c r="K5282" s="6" t="n">
        <v>8.77</v>
      </c>
      <c r="L5282" s="43" t="n">
        <f aca="false">K5282*'Chart of Accounts'!$E$68</f>
        <v>5.8759</v>
      </c>
      <c r="O5282" s="42" t="n">
        <f aca="false">I5282+J5282+L5282</f>
        <v>65.8631</v>
      </c>
    </row>
    <row r="5283" customFormat="false" ht="15" hidden="false" customHeight="false" outlineLevel="0" collapsed="false">
      <c r="B5283" s="7" t="s">
        <v>13916</v>
      </c>
      <c r="C5283" s="39" t="n">
        <v>45982</v>
      </c>
      <c r="D5283" s="7" t="s">
        <v>222</v>
      </c>
      <c r="E5283" s="7" t="s">
        <v>180</v>
      </c>
      <c r="F5283" s="6" t="n">
        <v>4.13</v>
      </c>
      <c r="G5283" s="6" t="n">
        <v>0</v>
      </c>
      <c r="H5283" s="41" t="n">
        <v>17.84</v>
      </c>
      <c r="I5283" s="43" t="n">
        <f aca="false">F5283*H5283</f>
        <v>73.6792</v>
      </c>
      <c r="J5283" s="43" t="n">
        <f aca="false">G5283*H5283*1.5</f>
        <v>0</v>
      </c>
      <c r="K5283" s="6" t="n">
        <v>10.88</v>
      </c>
      <c r="L5283" s="43" t="n">
        <f aca="false">K5283*'Chart of Accounts'!$E$68</f>
        <v>7.2896</v>
      </c>
      <c r="O5283" s="42" t="n">
        <f aca="false">I5283+J5283+L5283</f>
        <v>80.9688</v>
      </c>
    </row>
    <row r="5284" customFormat="false" ht="15" hidden="false" customHeight="false" outlineLevel="0" collapsed="false">
      <c r="B5284" s="7" t="s">
        <v>13917</v>
      </c>
      <c r="C5284" s="39" t="n">
        <v>45982</v>
      </c>
      <c r="D5284" s="7" t="s">
        <v>203</v>
      </c>
      <c r="E5284" s="7" t="s">
        <v>158</v>
      </c>
      <c r="H5284" s="41" t="n">
        <v>49.43</v>
      </c>
      <c r="M5284" s="6" t="n">
        <v>1</v>
      </c>
      <c r="N5284" s="43" t="n">
        <f aca="false">M5284*H5284</f>
        <v>49.43</v>
      </c>
      <c r="O5284" s="42" t="n">
        <f aca="false">N5284</f>
        <v>49.43</v>
      </c>
    </row>
    <row r="5285" customFormat="false" ht="15" hidden="false" customHeight="false" outlineLevel="0" collapsed="false">
      <c r="B5285" s="7" t="s">
        <v>13918</v>
      </c>
      <c r="C5285" s="39" t="n">
        <v>45982</v>
      </c>
      <c r="D5285" s="7" t="s">
        <v>260</v>
      </c>
      <c r="E5285" s="7" t="s">
        <v>158</v>
      </c>
      <c r="H5285" s="41" t="n">
        <v>79.8</v>
      </c>
      <c r="M5285" s="6" t="n">
        <v>1</v>
      </c>
      <c r="N5285" s="43" t="n">
        <f aca="false">M5285*H5285</f>
        <v>79.8</v>
      </c>
      <c r="O5285" s="42" t="n">
        <f aca="false">N5285</f>
        <v>79.8</v>
      </c>
    </row>
    <row r="5286" customFormat="false" ht="15" hidden="false" customHeight="false" outlineLevel="0" collapsed="false">
      <c r="B5286" s="7" t="s">
        <v>13919</v>
      </c>
      <c r="C5286" s="39" t="n">
        <v>45983</v>
      </c>
      <c r="D5286" s="7" t="s">
        <v>250</v>
      </c>
      <c r="E5286" s="7" t="s">
        <v>180</v>
      </c>
      <c r="F5286" s="6" t="n">
        <v>3.65</v>
      </c>
      <c r="G5286" s="6" t="n">
        <v>0</v>
      </c>
      <c r="H5286" s="41" t="n">
        <v>16.88</v>
      </c>
      <c r="I5286" s="43" t="n">
        <f aca="false">F5286*H5286</f>
        <v>61.612</v>
      </c>
      <c r="J5286" s="43" t="n">
        <f aca="false">G5286*H5286*1.5</f>
        <v>0</v>
      </c>
      <c r="K5286" s="6" t="n">
        <v>11.85</v>
      </c>
      <c r="L5286" s="43" t="n">
        <f aca="false">K5286*'Chart of Accounts'!$E$68</f>
        <v>7.9395</v>
      </c>
      <c r="O5286" s="42" t="n">
        <f aca="false">I5286+J5286+L5286</f>
        <v>69.5515</v>
      </c>
    </row>
    <row r="5287" customFormat="false" ht="15" hidden="false" customHeight="false" outlineLevel="0" collapsed="false">
      <c r="B5287" s="7" t="s">
        <v>13920</v>
      </c>
      <c r="C5287" s="39" t="n">
        <v>45983</v>
      </c>
      <c r="D5287" s="7" t="s">
        <v>218</v>
      </c>
      <c r="E5287" s="7" t="s">
        <v>180</v>
      </c>
      <c r="F5287" s="6" t="n">
        <v>4.16</v>
      </c>
      <c r="G5287" s="6" t="n">
        <v>0</v>
      </c>
      <c r="H5287" s="41" t="n">
        <v>16.19</v>
      </c>
      <c r="I5287" s="43" t="n">
        <f aca="false">F5287*H5287</f>
        <v>67.3504</v>
      </c>
      <c r="J5287" s="43" t="n">
        <f aca="false">G5287*H5287*1.5</f>
        <v>0</v>
      </c>
      <c r="K5287" s="6" t="n">
        <v>9.9</v>
      </c>
      <c r="L5287" s="43" t="n">
        <f aca="false">K5287*'Chart of Accounts'!$E$68</f>
        <v>6.633</v>
      </c>
      <c r="O5287" s="42" t="n">
        <f aca="false">I5287+J5287+L5287</f>
        <v>73.9834</v>
      </c>
    </row>
    <row r="5288" customFormat="false" ht="15" hidden="false" customHeight="false" outlineLevel="0" collapsed="false">
      <c r="B5288" s="7" t="s">
        <v>13921</v>
      </c>
      <c r="C5288" s="39" t="n">
        <v>45983</v>
      </c>
      <c r="D5288" s="7" t="s">
        <v>214</v>
      </c>
      <c r="E5288" s="7" t="s">
        <v>180</v>
      </c>
      <c r="F5288" s="6" t="n">
        <v>4.35</v>
      </c>
      <c r="G5288" s="6" t="n">
        <v>0</v>
      </c>
      <c r="H5288" s="41" t="n">
        <v>15.67</v>
      </c>
      <c r="I5288" s="43" t="n">
        <f aca="false">F5288*H5288</f>
        <v>68.1645</v>
      </c>
      <c r="J5288" s="43" t="n">
        <f aca="false">G5288*H5288*1.5</f>
        <v>0</v>
      </c>
      <c r="K5288" s="6" t="n">
        <v>11.53</v>
      </c>
      <c r="L5288" s="43" t="n">
        <f aca="false">K5288*'Chart of Accounts'!$E$68</f>
        <v>7.7251</v>
      </c>
      <c r="O5288" s="42" t="n">
        <f aca="false">I5288+J5288+L5288</f>
        <v>75.8896</v>
      </c>
    </row>
    <row r="5289" customFormat="false" ht="15" hidden="false" customHeight="false" outlineLevel="0" collapsed="false">
      <c r="B5289" s="7" t="s">
        <v>13922</v>
      </c>
      <c r="C5289" s="39" t="n">
        <v>45983</v>
      </c>
      <c r="D5289" s="7" t="s">
        <v>196</v>
      </c>
      <c r="E5289" s="7" t="s">
        <v>180</v>
      </c>
      <c r="F5289" s="6" t="n">
        <v>3.895</v>
      </c>
      <c r="G5289" s="6" t="n">
        <v>0.325</v>
      </c>
      <c r="H5289" s="41" t="n">
        <v>15.05</v>
      </c>
      <c r="I5289" s="43" t="n">
        <f aca="false">F5289*H5289</f>
        <v>58.61975</v>
      </c>
      <c r="J5289" s="43" t="n">
        <f aca="false">G5289*H5289*1.5</f>
        <v>7.336875</v>
      </c>
      <c r="K5289" s="6" t="n">
        <v>11.22</v>
      </c>
      <c r="L5289" s="43" t="n">
        <f aca="false">K5289*'Chart of Accounts'!$E$68</f>
        <v>7.5174</v>
      </c>
      <c r="O5289" s="42" t="n">
        <f aca="false">I5289+J5289+L5289</f>
        <v>73.474025</v>
      </c>
    </row>
    <row r="5290" customFormat="false" ht="15" hidden="false" customHeight="false" outlineLevel="0" collapsed="false">
      <c r="B5290" s="7" t="s">
        <v>13923</v>
      </c>
      <c r="C5290" s="39" t="n">
        <v>45983</v>
      </c>
      <c r="D5290" s="7" t="s">
        <v>222</v>
      </c>
      <c r="E5290" s="7" t="s">
        <v>180</v>
      </c>
      <c r="F5290" s="6" t="n">
        <v>4.39</v>
      </c>
      <c r="G5290" s="6" t="n">
        <v>0</v>
      </c>
      <c r="H5290" s="41" t="n">
        <v>17.84</v>
      </c>
      <c r="I5290" s="43" t="n">
        <f aca="false">F5290*H5290</f>
        <v>78.3176</v>
      </c>
      <c r="J5290" s="43" t="n">
        <f aca="false">G5290*H5290*1.5</f>
        <v>0</v>
      </c>
      <c r="K5290" s="6" t="n">
        <v>10.07</v>
      </c>
      <c r="L5290" s="43" t="n">
        <f aca="false">K5290*'Chart of Accounts'!$E$68</f>
        <v>6.7469</v>
      </c>
      <c r="O5290" s="42" t="n">
        <f aca="false">I5290+J5290+L5290</f>
        <v>85.0645</v>
      </c>
    </row>
    <row r="5291" customFormat="false" ht="15" hidden="false" customHeight="false" outlineLevel="0" collapsed="false">
      <c r="B5291" s="7" t="s">
        <v>13924</v>
      </c>
      <c r="C5291" s="39" t="n">
        <v>45983</v>
      </c>
      <c r="D5291" s="7" t="s">
        <v>242</v>
      </c>
      <c r="E5291" s="7" t="s">
        <v>180</v>
      </c>
      <c r="F5291" s="6" t="n">
        <v>3.604</v>
      </c>
      <c r="G5291" s="6" t="n">
        <v>0.356</v>
      </c>
      <c r="H5291" s="41" t="n">
        <v>17.99</v>
      </c>
      <c r="I5291" s="43" t="n">
        <f aca="false">F5291*H5291</f>
        <v>64.83596</v>
      </c>
      <c r="J5291" s="43" t="n">
        <f aca="false">G5291*H5291*1.5</f>
        <v>9.60666</v>
      </c>
      <c r="K5291" s="6" t="n">
        <v>11.3</v>
      </c>
      <c r="L5291" s="43" t="n">
        <f aca="false">K5291*'Chart of Accounts'!$E$68</f>
        <v>7.571</v>
      </c>
      <c r="O5291" s="42" t="n">
        <f aca="false">I5291+J5291+L5291</f>
        <v>82.01362</v>
      </c>
    </row>
    <row r="5292" customFormat="false" ht="15" hidden="false" customHeight="false" outlineLevel="0" collapsed="false">
      <c r="B5292" s="7" t="s">
        <v>13925</v>
      </c>
      <c r="C5292" s="39" t="n">
        <v>45983</v>
      </c>
      <c r="D5292" s="7" t="s">
        <v>254</v>
      </c>
      <c r="E5292" s="7" t="s">
        <v>180</v>
      </c>
      <c r="F5292" s="6" t="n">
        <v>4.12</v>
      </c>
      <c r="G5292" s="6" t="n">
        <v>0</v>
      </c>
      <c r="H5292" s="41" t="n">
        <v>17.1</v>
      </c>
      <c r="I5292" s="43" t="n">
        <f aca="false">F5292*H5292</f>
        <v>70.452</v>
      </c>
      <c r="J5292" s="43" t="n">
        <f aca="false">G5292*H5292*1.5</f>
        <v>0</v>
      </c>
      <c r="K5292" s="6" t="n">
        <v>12.1</v>
      </c>
      <c r="L5292" s="43" t="n">
        <f aca="false">K5292*'Chart of Accounts'!$E$68</f>
        <v>8.107</v>
      </c>
      <c r="O5292" s="42" t="n">
        <f aca="false">I5292+J5292+L5292</f>
        <v>78.559</v>
      </c>
    </row>
    <row r="5293" customFormat="false" ht="15" hidden="false" customHeight="false" outlineLevel="0" collapsed="false">
      <c r="B5293" s="7" t="s">
        <v>13926</v>
      </c>
      <c r="C5293" s="39" t="n">
        <v>45984</v>
      </c>
      <c r="D5293" s="7" t="s">
        <v>218</v>
      </c>
      <c r="E5293" s="7" t="s">
        <v>180</v>
      </c>
      <c r="F5293" s="6" t="n">
        <v>8.25</v>
      </c>
      <c r="G5293" s="6" t="n">
        <v>0</v>
      </c>
      <c r="H5293" s="41" t="n">
        <v>16.19</v>
      </c>
      <c r="I5293" s="43" t="n">
        <f aca="false">F5293*H5293</f>
        <v>133.5675</v>
      </c>
      <c r="J5293" s="43" t="n">
        <f aca="false">G5293*H5293*1.5</f>
        <v>0</v>
      </c>
      <c r="K5293" s="6" t="n">
        <v>24.58</v>
      </c>
      <c r="L5293" s="43" t="n">
        <f aca="false">K5293*'Chart of Accounts'!$E$68</f>
        <v>16.4686</v>
      </c>
      <c r="O5293" s="42" t="n">
        <f aca="false">I5293+J5293+L5293</f>
        <v>150.0361</v>
      </c>
    </row>
    <row r="5294" customFormat="false" ht="15" hidden="false" customHeight="false" outlineLevel="0" collapsed="false">
      <c r="B5294" s="7" t="s">
        <v>13927</v>
      </c>
      <c r="C5294" s="39" t="n">
        <v>45984</v>
      </c>
      <c r="D5294" s="7" t="s">
        <v>196</v>
      </c>
      <c r="E5294" s="7" t="s">
        <v>180</v>
      </c>
      <c r="F5294" s="6" t="n">
        <v>3.922</v>
      </c>
      <c r="G5294" s="6" t="n">
        <v>0.328</v>
      </c>
      <c r="H5294" s="41" t="n">
        <v>15.05</v>
      </c>
      <c r="I5294" s="43" t="n">
        <f aca="false">F5294*H5294</f>
        <v>59.0261</v>
      </c>
      <c r="J5294" s="43" t="n">
        <f aca="false">G5294*H5294*1.5</f>
        <v>7.4046</v>
      </c>
      <c r="K5294" s="6" t="n">
        <v>10.46</v>
      </c>
      <c r="L5294" s="43" t="n">
        <f aca="false">K5294*'Chart of Accounts'!$E$68</f>
        <v>7.0082</v>
      </c>
      <c r="O5294" s="42" t="n">
        <f aca="false">I5294+J5294+L5294</f>
        <v>73.4389</v>
      </c>
    </row>
    <row r="5295" customFormat="false" ht="15" hidden="false" customHeight="false" outlineLevel="0" collapsed="false">
      <c r="B5295" s="7" t="s">
        <v>13928</v>
      </c>
      <c r="C5295" s="39" t="n">
        <v>45984</v>
      </c>
      <c r="D5295" s="7" t="s">
        <v>222</v>
      </c>
      <c r="E5295" s="7" t="s">
        <v>180</v>
      </c>
      <c r="F5295" s="6" t="n">
        <v>3.94</v>
      </c>
      <c r="G5295" s="6" t="n">
        <v>0</v>
      </c>
      <c r="H5295" s="41" t="n">
        <v>17.84</v>
      </c>
      <c r="I5295" s="43" t="n">
        <f aca="false">F5295*H5295</f>
        <v>70.2896</v>
      </c>
      <c r="J5295" s="43" t="n">
        <f aca="false">G5295*H5295*1.5</f>
        <v>0</v>
      </c>
      <c r="K5295" s="6" t="n">
        <v>8.81</v>
      </c>
      <c r="L5295" s="43" t="n">
        <f aca="false">K5295*'Chart of Accounts'!$E$68</f>
        <v>5.9027</v>
      </c>
      <c r="O5295" s="42" t="n">
        <f aca="false">I5295+J5295+L5295</f>
        <v>76.1923</v>
      </c>
    </row>
    <row r="5296" customFormat="false" ht="15" hidden="false" customHeight="false" outlineLevel="0" collapsed="false">
      <c r="B5296" s="7" t="s">
        <v>13929</v>
      </c>
      <c r="C5296" s="39" t="n">
        <v>45984</v>
      </c>
      <c r="D5296" s="7" t="s">
        <v>242</v>
      </c>
      <c r="E5296" s="7" t="s">
        <v>180</v>
      </c>
      <c r="F5296" s="6" t="n">
        <v>3.786</v>
      </c>
      <c r="G5296" s="6" t="n">
        <v>0.374</v>
      </c>
      <c r="H5296" s="41" t="n">
        <v>17.99</v>
      </c>
      <c r="I5296" s="43" t="n">
        <f aca="false">F5296*H5296</f>
        <v>68.11014</v>
      </c>
      <c r="J5296" s="43" t="n">
        <f aca="false">G5296*H5296*1.5</f>
        <v>10.09239</v>
      </c>
      <c r="K5296" s="6" t="n">
        <v>9.42</v>
      </c>
      <c r="L5296" s="43" t="n">
        <f aca="false">K5296*'Chart of Accounts'!$E$68</f>
        <v>6.3114</v>
      </c>
      <c r="O5296" s="42" t="n">
        <f aca="false">I5296+J5296+L5296</f>
        <v>84.51393</v>
      </c>
    </row>
    <row r="5297" customFormat="false" ht="15" hidden="false" customHeight="false" outlineLevel="0" collapsed="false">
      <c r="B5297" s="7" t="s">
        <v>13930</v>
      </c>
      <c r="C5297" s="39" t="n">
        <v>45985</v>
      </c>
      <c r="D5297" s="7" t="s">
        <v>246</v>
      </c>
      <c r="E5297" s="7" t="s">
        <v>180</v>
      </c>
      <c r="F5297" s="6" t="n">
        <v>12.71</v>
      </c>
      <c r="G5297" s="6" t="n">
        <v>0</v>
      </c>
      <c r="H5297" s="41" t="n">
        <v>16.48</v>
      </c>
      <c r="I5297" s="43" t="n">
        <f aca="false">F5297*H5297</f>
        <v>209.4608</v>
      </c>
      <c r="J5297" s="43" t="n">
        <f aca="false">G5297*H5297*1.5</f>
        <v>0</v>
      </c>
      <c r="K5297" s="6" t="n">
        <v>32.4</v>
      </c>
      <c r="L5297" s="43" t="n">
        <f aca="false">K5297*'Chart of Accounts'!$E$68</f>
        <v>21.708</v>
      </c>
      <c r="O5297" s="42" t="n">
        <f aca="false">I5297+J5297+L5297</f>
        <v>231.1688</v>
      </c>
    </row>
    <row r="5298" customFormat="false" ht="15" hidden="false" customHeight="false" outlineLevel="0" collapsed="false">
      <c r="B5298" s="7" t="s">
        <v>13931</v>
      </c>
      <c r="C5298" s="39" t="n">
        <v>45985</v>
      </c>
      <c r="D5298" s="7" t="s">
        <v>194</v>
      </c>
      <c r="E5298" s="7" t="s">
        <v>180</v>
      </c>
      <c r="F5298" s="6" t="n">
        <v>9.03</v>
      </c>
      <c r="G5298" s="6" t="n">
        <v>0</v>
      </c>
      <c r="H5298" s="41" t="n">
        <v>16</v>
      </c>
      <c r="I5298" s="43" t="n">
        <f aca="false">F5298*H5298</f>
        <v>144.48</v>
      </c>
      <c r="J5298" s="43" t="n">
        <f aca="false">G5298*H5298*1.5</f>
        <v>0</v>
      </c>
      <c r="K5298" s="6" t="n">
        <v>24.12</v>
      </c>
      <c r="L5298" s="43" t="n">
        <f aca="false">K5298*'Chart of Accounts'!$E$68</f>
        <v>16.1604</v>
      </c>
      <c r="O5298" s="42" t="n">
        <f aca="false">I5298+J5298+L5298</f>
        <v>160.6404</v>
      </c>
    </row>
    <row r="5299" customFormat="false" ht="15" hidden="false" customHeight="false" outlineLevel="0" collapsed="false">
      <c r="B5299" s="7" t="s">
        <v>13932</v>
      </c>
      <c r="C5299" s="39" t="n">
        <v>45985</v>
      </c>
      <c r="D5299" s="7" t="s">
        <v>214</v>
      </c>
      <c r="E5299" s="7" t="s">
        <v>180</v>
      </c>
      <c r="F5299" s="6" t="n">
        <v>10.82</v>
      </c>
      <c r="G5299" s="6" t="n">
        <v>0</v>
      </c>
      <c r="H5299" s="41" t="n">
        <v>15.67</v>
      </c>
      <c r="I5299" s="43" t="n">
        <f aca="false">F5299*H5299</f>
        <v>169.5494</v>
      </c>
      <c r="J5299" s="43" t="n">
        <f aca="false">G5299*H5299*1.5</f>
        <v>0</v>
      </c>
      <c r="K5299" s="6" t="n">
        <v>27.29</v>
      </c>
      <c r="L5299" s="43" t="n">
        <f aca="false">K5299*'Chart of Accounts'!$E$68</f>
        <v>18.2843</v>
      </c>
      <c r="O5299" s="42" t="n">
        <f aca="false">I5299+J5299+L5299</f>
        <v>187.8337</v>
      </c>
    </row>
    <row r="5300" customFormat="false" ht="15" hidden="false" customHeight="false" outlineLevel="0" collapsed="false">
      <c r="B5300" s="7" t="s">
        <v>13933</v>
      </c>
      <c r="C5300" s="39" t="n">
        <v>45985</v>
      </c>
      <c r="D5300" s="7" t="s">
        <v>201</v>
      </c>
      <c r="E5300" s="7" t="s">
        <v>180</v>
      </c>
      <c r="F5300" s="6" t="n">
        <v>9.35</v>
      </c>
      <c r="G5300" s="6" t="n">
        <v>0</v>
      </c>
      <c r="H5300" s="41" t="n">
        <v>15.19</v>
      </c>
      <c r="I5300" s="43" t="n">
        <f aca="false">F5300*H5300</f>
        <v>142.0265</v>
      </c>
      <c r="J5300" s="43" t="n">
        <f aca="false">G5300*H5300*1.5</f>
        <v>0</v>
      </c>
      <c r="K5300" s="6" t="n">
        <v>30.21</v>
      </c>
      <c r="L5300" s="43" t="n">
        <f aca="false">K5300*'Chart of Accounts'!$E$68</f>
        <v>20.2407</v>
      </c>
      <c r="O5300" s="42" t="n">
        <f aca="false">I5300+J5300+L5300</f>
        <v>162.2672</v>
      </c>
    </row>
    <row r="5301" customFormat="false" ht="15" hidden="false" customHeight="false" outlineLevel="0" collapsed="false">
      <c r="B5301" s="7" t="s">
        <v>13934</v>
      </c>
      <c r="C5301" s="39" t="n">
        <v>45985</v>
      </c>
      <c r="D5301" s="7" t="s">
        <v>205</v>
      </c>
      <c r="E5301" s="7" t="s">
        <v>180</v>
      </c>
      <c r="F5301" s="6" t="n">
        <v>6.51</v>
      </c>
      <c r="G5301" s="6" t="n">
        <v>0</v>
      </c>
      <c r="H5301" s="41" t="n">
        <v>16.36</v>
      </c>
      <c r="I5301" s="43" t="n">
        <f aca="false">F5301*H5301</f>
        <v>106.5036</v>
      </c>
      <c r="J5301" s="43" t="n">
        <f aca="false">G5301*H5301*1.5</f>
        <v>0</v>
      </c>
      <c r="K5301" s="6" t="n">
        <v>16.02</v>
      </c>
      <c r="L5301" s="43" t="n">
        <f aca="false">K5301*'Chart of Accounts'!$E$68</f>
        <v>10.7334</v>
      </c>
      <c r="O5301" s="42" t="n">
        <f aca="false">I5301+J5301+L5301</f>
        <v>117.237</v>
      </c>
    </row>
    <row r="5302" customFormat="false" ht="15" hidden="false" customHeight="false" outlineLevel="0" collapsed="false">
      <c r="B5302" s="7" t="s">
        <v>13935</v>
      </c>
      <c r="C5302" s="39" t="n">
        <v>45985</v>
      </c>
      <c r="D5302" s="7" t="s">
        <v>240</v>
      </c>
      <c r="E5302" s="7" t="s">
        <v>180</v>
      </c>
      <c r="F5302" s="6" t="n">
        <v>6.55</v>
      </c>
      <c r="G5302" s="6" t="n">
        <v>0</v>
      </c>
      <c r="H5302" s="41" t="n">
        <v>16.96</v>
      </c>
      <c r="I5302" s="43" t="n">
        <f aca="false">F5302*H5302</f>
        <v>111.088</v>
      </c>
      <c r="J5302" s="43" t="n">
        <f aca="false">G5302*H5302*1.5</f>
        <v>0</v>
      </c>
      <c r="K5302" s="6" t="n">
        <v>23.23</v>
      </c>
      <c r="L5302" s="43" t="n">
        <f aca="false">K5302*'Chart of Accounts'!$E$68</f>
        <v>15.5641</v>
      </c>
      <c r="O5302" s="42" t="n">
        <f aca="false">I5302+J5302+L5302</f>
        <v>126.6521</v>
      </c>
    </row>
    <row r="5303" customFormat="false" ht="15" hidden="false" customHeight="false" outlineLevel="0" collapsed="false">
      <c r="B5303" s="7" t="s">
        <v>13936</v>
      </c>
      <c r="C5303" s="39" t="n">
        <v>45985</v>
      </c>
      <c r="D5303" s="7" t="s">
        <v>264</v>
      </c>
      <c r="E5303" s="7" t="s">
        <v>158</v>
      </c>
      <c r="H5303" s="41" t="n">
        <v>55.55</v>
      </c>
      <c r="M5303" s="6" t="n">
        <v>1</v>
      </c>
      <c r="N5303" s="43" t="n">
        <f aca="false">M5303*H5303</f>
        <v>55.55</v>
      </c>
      <c r="O5303" s="42" t="n">
        <f aca="false">N5303</f>
        <v>55.55</v>
      </c>
    </row>
    <row r="5304" customFormat="false" ht="15" hidden="false" customHeight="false" outlineLevel="0" collapsed="false">
      <c r="B5304" s="7" t="s">
        <v>13937</v>
      </c>
      <c r="C5304" s="39" t="n">
        <v>45985</v>
      </c>
      <c r="D5304" s="7" t="s">
        <v>252</v>
      </c>
      <c r="E5304" s="7" t="s">
        <v>158</v>
      </c>
      <c r="H5304" s="41" t="n">
        <v>57.54</v>
      </c>
      <c r="M5304" s="6" t="n">
        <v>1</v>
      </c>
      <c r="N5304" s="43" t="n">
        <f aca="false">M5304*H5304</f>
        <v>57.54</v>
      </c>
      <c r="O5304" s="42" t="n">
        <f aca="false">N5304</f>
        <v>57.54</v>
      </c>
    </row>
    <row r="5305" customFormat="false" ht="15" hidden="false" customHeight="false" outlineLevel="0" collapsed="false">
      <c r="B5305" s="7" t="s">
        <v>13938</v>
      </c>
      <c r="C5305" s="39" t="n">
        <v>45985</v>
      </c>
      <c r="D5305" s="7" t="s">
        <v>196</v>
      </c>
      <c r="E5305" s="7" t="s">
        <v>180</v>
      </c>
      <c r="F5305" s="6" t="n">
        <v>9.3</v>
      </c>
      <c r="G5305" s="6" t="n">
        <v>0.73</v>
      </c>
      <c r="H5305" s="41" t="n">
        <v>15.05</v>
      </c>
      <c r="I5305" s="43" t="n">
        <f aca="false">F5305*H5305</f>
        <v>139.965</v>
      </c>
      <c r="J5305" s="43" t="n">
        <f aca="false">G5305*H5305*1.5</f>
        <v>16.47975</v>
      </c>
      <c r="K5305" s="6" t="n">
        <v>24.3</v>
      </c>
      <c r="L5305" s="43" t="n">
        <f aca="false">K5305*'Chart of Accounts'!$E$68</f>
        <v>16.281</v>
      </c>
      <c r="O5305" s="42" t="n">
        <f aca="false">I5305+J5305+L5305</f>
        <v>172.72575</v>
      </c>
    </row>
    <row r="5306" customFormat="false" ht="15" hidden="false" customHeight="false" outlineLevel="0" collapsed="false">
      <c r="B5306" s="7" t="s">
        <v>13939</v>
      </c>
      <c r="C5306" s="39" t="n">
        <v>45985</v>
      </c>
      <c r="D5306" s="7" t="s">
        <v>184</v>
      </c>
      <c r="E5306" s="7" t="s">
        <v>180</v>
      </c>
      <c r="F5306" s="6" t="n">
        <v>7.72</v>
      </c>
      <c r="G5306" s="6" t="n">
        <v>0</v>
      </c>
      <c r="H5306" s="41" t="n">
        <v>17.34</v>
      </c>
      <c r="I5306" s="43" t="n">
        <f aca="false">F5306*H5306</f>
        <v>133.8648</v>
      </c>
      <c r="J5306" s="43" t="n">
        <f aca="false">G5306*H5306*1.5</f>
        <v>0</v>
      </c>
      <c r="K5306" s="6" t="n">
        <v>27.65</v>
      </c>
      <c r="L5306" s="43" t="n">
        <f aca="false">K5306*'Chart of Accounts'!$E$68</f>
        <v>18.5255</v>
      </c>
      <c r="O5306" s="42" t="n">
        <f aca="false">I5306+J5306+L5306</f>
        <v>152.3903</v>
      </c>
    </row>
    <row r="5307" customFormat="false" ht="15" hidden="false" customHeight="false" outlineLevel="0" collapsed="false">
      <c r="B5307" s="7" t="s">
        <v>13940</v>
      </c>
      <c r="C5307" s="39" t="n">
        <v>45985</v>
      </c>
      <c r="D5307" s="7" t="s">
        <v>216</v>
      </c>
      <c r="E5307" s="7" t="s">
        <v>158</v>
      </c>
      <c r="H5307" s="41" t="n">
        <v>61.79</v>
      </c>
      <c r="M5307" s="6" t="n">
        <v>1</v>
      </c>
      <c r="N5307" s="43" t="n">
        <f aca="false">M5307*H5307</f>
        <v>61.79</v>
      </c>
      <c r="O5307" s="42" t="n">
        <f aca="false">N5307</f>
        <v>61.79</v>
      </c>
    </row>
    <row r="5308" customFormat="false" ht="15" hidden="false" customHeight="false" outlineLevel="0" collapsed="false">
      <c r="B5308" s="7" t="s">
        <v>13941</v>
      </c>
      <c r="C5308" s="39" t="n">
        <v>45985</v>
      </c>
      <c r="D5308" s="7" t="s">
        <v>218</v>
      </c>
      <c r="E5308" s="7" t="s">
        <v>180</v>
      </c>
      <c r="F5308" s="6" t="n">
        <v>6.79</v>
      </c>
      <c r="G5308" s="6" t="n">
        <v>0</v>
      </c>
      <c r="H5308" s="41" t="n">
        <v>16.19</v>
      </c>
      <c r="I5308" s="43" t="n">
        <f aca="false">F5308*H5308</f>
        <v>109.9301</v>
      </c>
      <c r="J5308" s="43" t="n">
        <f aca="false">G5308*H5308*1.5</f>
        <v>0</v>
      </c>
      <c r="K5308" s="6" t="n">
        <v>19.13</v>
      </c>
      <c r="L5308" s="43" t="n">
        <f aca="false">K5308*'Chart of Accounts'!$E$68</f>
        <v>12.8171</v>
      </c>
      <c r="O5308" s="42" t="n">
        <f aca="false">I5308+J5308+L5308</f>
        <v>122.7472</v>
      </c>
    </row>
    <row r="5309" customFormat="false" ht="15" hidden="false" customHeight="false" outlineLevel="0" collapsed="false">
      <c r="B5309" s="7" t="s">
        <v>13942</v>
      </c>
      <c r="C5309" s="39" t="n">
        <v>45985</v>
      </c>
      <c r="D5309" s="7" t="s">
        <v>220</v>
      </c>
      <c r="E5309" s="7" t="s">
        <v>180</v>
      </c>
      <c r="F5309" s="6" t="n">
        <v>3.73</v>
      </c>
      <c r="G5309" s="6" t="n">
        <v>0</v>
      </c>
      <c r="H5309" s="41" t="n">
        <v>16.43</v>
      </c>
      <c r="I5309" s="43" t="n">
        <f aca="false">F5309*H5309</f>
        <v>61.2839</v>
      </c>
      <c r="J5309" s="43" t="n">
        <f aca="false">G5309*H5309*1.5</f>
        <v>0</v>
      </c>
      <c r="K5309" s="6" t="n">
        <v>10.68</v>
      </c>
      <c r="L5309" s="43" t="n">
        <f aca="false">K5309*'Chart of Accounts'!$E$68</f>
        <v>7.1556</v>
      </c>
      <c r="O5309" s="42" t="n">
        <f aca="false">I5309+J5309+L5309</f>
        <v>68.4395</v>
      </c>
    </row>
    <row r="5310" customFormat="false" ht="15" hidden="false" customHeight="false" outlineLevel="0" collapsed="false">
      <c r="B5310" s="7" t="s">
        <v>13943</v>
      </c>
      <c r="C5310" s="39" t="n">
        <v>45985</v>
      </c>
      <c r="D5310" s="7" t="s">
        <v>236</v>
      </c>
      <c r="E5310" s="7" t="s">
        <v>180</v>
      </c>
      <c r="F5310" s="6" t="n">
        <v>3.19</v>
      </c>
      <c r="G5310" s="6" t="n">
        <v>0</v>
      </c>
      <c r="H5310" s="41" t="n">
        <v>15.49</v>
      </c>
      <c r="I5310" s="43" t="n">
        <f aca="false">F5310*H5310</f>
        <v>49.4131</v>
      </c>
      <c r="J5310" s="43" t="n">
        <f aca="false">G5310*H5310*1.5</f>
        <v>0</v>
      </c>
      <c r="K5310" s="6" t="n">
        <v>8.71</v>
      </c>
      <c r="L5310" s="43" t="n">
        <f aca="false">K5310*'Chart of Accounts'!$E$68</f>
        <v>5.8357</v>
      </c>
      <c r="O5310" s="42" t="n">
        <f aca="false">I5310+J5310+L5310</f>
        <v>55.2488</v>
      </c>
    </row>
    <row r="5311" customFormat="false" ht="15" hidden="false" customHeight="false" outlineLevel="0" collapsed="false">
      <c r="B5311" s="7" t="s">
        <v>13944</v>
      </c>
      <c r="C5311" s="39" t="n">
        <v>45985</v>
      </c>
      <c r="D5311" s="7" t="s">
        <v>177</v>
      </c>
      <c r="E5311" s="7" t="s">
        <v>180</v>
      </c>
      <c r="F5311" s="6" t="n">
        <v>8.52</v>
      </c>
      <c r="G5311" s="6" t="n">
        <v>0</v>
      </c>
      <c r="H5311" s="41" t="n">
        <v>14.56</v>
      </c>
      <c r="I5311" s="43" t="n">
        <f aca="false">F5311*H5311</f>
        <v>124.0512</v>
      </c>
      <c r="J5311" s="43" t="n">
        <f aca="false">G5311*H5311*1.5</f>
        <v>0</v>
      </c>
      <c r="K5311" s="6" t="n">
        <v>23.26</v>
      </c>
      <c r="L5311" s="43" t="n">
        <f aca="false">K5311*'Chart of Accounts'!$E$68</f>
        <v>15.5842</v>
      </c>
      <c r="O5311" s="42" t="n">
        <f aca="false">I5311+J5311+L5311</f>
        <v>139.6354</v>
      </c>
    </row>
    <row r="5312" customFormat="false" ht="15" hidden="false" customHeight="false" outlineLevel="0" collapsed="false">
      <c r="B5312" s="7" t="s">
        <v>13945</v>
      </c>
      <c r="C5312" s="39" t="n">
        <v>45985</v>
      </c>
      <c r="D5312" s="7" t="s">
        <v>242</v>
      </c>
      <c r="E5312" s="7" t="s">
        <v>180</v>
      </c>
      <c r="F5312" s="6" t="n">
        <v>7.15</v>
      </c>
      <c r="G5312" s="6" t="n">
        <v>0</v>
      </c>
      <c r="H5312" s="41" t="n">
        <v>17.99</v>
      </c>
      <c r="I5312" s="43" t="n">
        <f aca="false">F5312*H5312</f>
        <v>128.6285</v>
      </c>
      <c r="J5312" s="43" t="n">
        <f aca="false">G5312*H5312*1.5</f>
        <v>0</v>
      </c>
      <c r="K5312" s="6" t="n">
        <v>16.17</v>
      </c>
      <c r="L5312" s="43" t="n">
        <f aca="false">K5312*'Chart of Accounts'!$E$68</f>
        <v>10.8339</v>
      </c>
      <c r="O5312" s="42" t="n">
        <f aca="false">I5312+J5312+L5312</f>
        <v>139.4624</v>
      </c>
    </row>
    <row r="5313" customFormat="false" ht="15" hidden="false" customHeight="false" outlineLevel="0" collapsed="false">
      <c r="B5313" s="7" t="s">
        <v>13946</v>
      </c>
      <c r="C5313" s="39" t="n">
        <v>45985</v>
      </c>
      <c r="D5313" s="7" t="s">
        <v>222</v>
      </c>
      <c r="E5313" s="7" t="s">
        <v>180</v>
      </c>
      <c r="F5313" s="6" t="n">
        <v>2.773</v>
      </c>
      <c r="G5313" s="6" t="n">
        <v>0.007</v>
      </c>
      <c r="H5313" s="41" t="n">
        <v>17.84</v>
      </c>
      <c r="I5313" s="43" t="n">
        <f aca="false">F5313*H5313</f>
        <v>49.47032</v>
      </c>
      <c r="J5313" s="43" t="n">
        <f aca="false">G5313*H5313*1.5</f>
        <v>0.18732</v>
      </c>
      <c r="K5313" s="6" t="n">
        <v>6.62</v>
      </c>
      <c r="L5313" s="43" t="n">
        <f aca="false">K5313*'Chart of Accounts'!$E$68</f>
        <v>4.4354</v>
      </c>
      <c r="O5313" s="42" t="n">
        <f aca="false">I5313+J5313+L5313</f>
        <v>54.09304</v>
      </c>
    </row>
    <row r="5314" customFormat="false" ht="15" hidden="false" customHeight="false" outlineLevel="0" collapsed="false">
      <c r="B5314" s="7" t="s">
        <v>13947</v>
      </c>
      <c r="C5314" s="39" t="n">
        <v>45985</v>
      </c>
      <c r="D5314" s="7" t="s">
        <v>254</v>
      </c>
      <c r="E5314" s="7" t="s">
        <v>180</v>
      </c>
      <c r="F5314" s="6" t="n">
        <v>10.921</v>
      </c>
      <c r="G5314" s="6" t="n">
        <v>0.369</v>
      </c>
      <c r="H5314" s="41" t="n">
        <v>17.1</v>
      </c>
      <c r="I5314" s="43" t="n">
        <f aca="false">F5314*H5314</f>
        <v>186.7491</v>
      </c>
      <c r="J5314" s="43" t="n">
        <f aca="false">G5314*H5314*1.5</f>
        <v>9.46485</v>
      </c>
      <c r="K5314" s="6" t="n">
        <v>33.47</v>
      </c>
      <c r="L5314" s="43" t="n">
        <f aca="false">K5314*'Chart of Accounts'!$E$68</f>
        <v>22.4249</v>
      </c>
      <c r="O5314" s="42" t="n">
        <f aca="false">I5314+J5314+L5314</f>
        <v>218.63885</v>
      </c>
    </row>
    <row r="5315" customFormat="false" ht="15" hidden="false" customHeight="false" outlineLevel="0" collapsed="false">
      <c r="B5315" s="7" t="s">
        <v>13948</v>
      </c>
      <c r="C5315" s="39" t="n">
        <v>45985</v>
      </c>
      <c r="D5315" s="7" t="s">
        <v>244</v>
      </c>
      <c r="E5315" s="7" t="s">
        <v>180</v>
      </c>
      <c r="F5315" s="6" t="n">
        <v>7.92</v>
      </c>
      <c r="G5315" s="6" t="n">
        <v>0</v>
      </c>
      <c r="H5315" s="41" t="n">
        <v>16.39</v>
      </c>
      <c r="I5315" s="43" t="n">
        <f aca="false">F5315*H5315</f>
        <v>129.8088</v>
      </c>
      <c r="J5315" s="43" t="n">
        <f aca="false">G5315*H5315*1.5</f>
        <v>0</v>
      </c>
      <c r="K5315" s="6" t="n">
        <v>22.91</v>
      </c>
      <c r="L5315" s="43" t="n">
        <f aca="false">K5315*'Chart of Accounts'!$E$68</f>
        <v>15.3497</v>
      </c>
      <c r="O5315" s="42" t="n">
        <f aca="false">I5315+J5315+L5315</f>
        <v>145.1585</v>
      </c>
    </row>
    <row r="5316" customFormat="false" ht="15" hidden="false" customHeight="false" outlineLevel="0" collapsed="false">
      <c r="B5316" s="7" t="s">
        <v>13949</v>
      </c>
      <c r="C5316" s="39" t="n">
        <v>45985</v>
      </c>
      <c r="D5316" s="7" t="s">
        <v>256</v>
      </c>
      <c r="E5316" s="7" t="s">
        <v>180</v>
      </c>
      <c r="F5316" s="6" t="n">
        <v>6.36</v>
      </c>
      <c r="G5316" s="6" t="n">
        <v>0</v>
      </c>
      <c r="H5316" s="41" t="n">
        <v>15.63</v>
      </c>
      <c r="I5316" s="43" t="n">
        <f aca="false">F5316*H5316</f>
        <v>99.4068</v>
      </c>
      <c r="J5316" s="43" t="n">
        <f aca="false">G5316*H5316*1.5</f>
        <v>0</v>
      </c>
      <c r="K5316" s="6" t="n">
        <v>16.85</v>
      </c>
      <c r="L5316" s="43" t="n">
        <f aca="false">K5316*'Chart of Accounts'!$E$68</f>
        <v>11.2895</v>
      </c>
      <c r="O5316" s="42" t="n">
        <f aca="false">I5316+J5316+L5316</f>
        <v>110.6963</v>
      </c>
    </row>
    <row r="5317" customFormat="false" ht="15" hidden="false" customHeight="false" outlineLevel="0" collapsed="false">
      <c r="B5317" s="7" t="s">
        <v>13950</v>
      </c>
      <c r="C5317" s="39" t="n">
        <v>45985</v>
      </c>
      <c r="D5317" s="7" t="s">
        <v>232</v>
      </c>
      <c r="E5317" s="7" t="s">
        <v>180</v>
      </c>
      <c r="F5317" s="6" t="n">
        <v>4.41</v>
      </c>
      <c r="G5317" s="6" t="n">
        <v>0</v>
      </c>
      <c r="H5317" s="41" t="n">
        <v>16.17</v>
      </c>
      <c r="I5317" s="43" t="n">
        <f aca="false">F5317*H5317</f>
        <v>71.3097</v>
      </c>
      <c r="J5317" s="43" t="n">
        <f aca="false">G5317*H5317*1.5</f>
        <v>0</v>
      </c>
      <c r="K5317" s="6" t="n">
        <v>14</v>
      </c>
      <c r="L5317" s="43" t="n">
        <f aca="false">K5317*'Chart of Accounts'!$E$68</f>
        <v>9.38</v>
      </c>
      <c r="O5317" s="42" t="n">
        <f aca="false">I5317+J5317+L5317</f>
        <v>80.6897</v>
      </c>
    </row>
    <row r="5318" customFormat="false" ht="15" hidden="false" customHeight="false" outlineLevel="0" collapsed="false">
      <c r="B5318" s="7" t="s">
        <v>13951</v>
      </c>
      <c r="C5318" s="39" t="n">
        <v>45985</v>
      </c>
      <c r="D5318" s="7" t="s">
        <v>224</v>
      </c>
      <c r="E5318" s="7" t="s">
        <v>180</v>
      </c>
      <c r="F5318" s="6" t="n">
        <v>5.07</v>
      </c>
      <c r="G5318" s="6" t="n">
        <v>0</v>
      </c>
      <c r="H5318" s="41" t="n">
        <v>14.93</v>
      </c>
      <c r="I5318" s="43" t="n">
        <f aca="false">F5318*H5318</f>
        <v>75.6951</v>
      </c>
      <c r="J5318" s="43" t="n">
        <f aca="false">G5318*H5318*1.5</f>
        <v>0</v>
      </c>
      <c r="K5318" s="6" t="n">
        <v>14.71</v>
      </c>
      <c r="L5318" s="43" t="n">
        <f aca="false">K5318*'Chart of Accounts'!$E$68</f>
        <v>9.8557</v>
      </c>
      <c r="O5318" s="42" t="n">
        <f aca="false">I5318+J5318+L5318</f>
        <v>85.5508</v>
      </c>
    </row>
    <row r="5319" customFormat="false" ht="15" hidden="false" customHeight="false" outlineLevel="0" collapsed="false">
      <c r="B5319" s="7" t="s">
        <v>13952</v>
      </c>
      <c r="C5319" s="39" t="n">
        <v>45985</v>
      </c>
      <c r="D5319" s="7" t="s">
        <v>238</v>
      </c>
      <c r="E5319" s="7" t="s">
        <v>180</v>
      </c>
      <c r="F5319" s="6" t="n">
        <v>3.92</v>
      </c>
      <c r="G5319" s="6" t="n">
        <v>0</v>
      </c>
      <c r="H5319" s="41" t="n">
        <v>15.85</v>
      </c>
      <c r="I5319" s="43" t="n">
        <f aca="false">F5319*H5319</f>
        <v>62.132</v>
      </c>
      <c r="J5319" s="43" t="n">
        <f aca="false">G5319*H5319*1.5</f>
        <v>0</v>
      </c>
      <c r="K5319" s="6" t="n">
        <v>9.06</v>
      </c>
      <c r="L5319" s="43" t="n">
        <f aca="false">K5319*'Chart of Accounts'!$E$68</f>
        <v>6.0702</v>
      </c>
      <c r="O5319" s="42" t="n">
        <f aca="false">I5319+J5319+L5319</f>
        <v>68.2022</v>
      </c>
    </row>
    <row r="5320" customFormat="false" ht="15" hidden="false" customHeight="false" outlineLevel="0" collapsed="false">
      <c r="B5320" s="7" t="s">
        <v>13953</v>
      </c>
      <c r="C5320" s="39" t="n">
        <v>45985</v>
      </c>
      <c r="D5320" s="7" t="s">
        <v>250</v>
      </c>
      <c r="E5320" s="7" t="s">
        <v>180</v>
      </c>
      <c r="F5320" s="6" t="n">
        <v>3.28</v>
      </c>
      <c r="G5320" s="6" t="n">
        <v>0</v>
      </c>
      <c r="H5320" s="41" t="n">
        <v>16.88</v>
      </c>
      <c r="I5320" s="43" t="n">
        <f aca="false">F5320*H5320</f>
        <v>55.3664</v>
      </c>
      <c r="J5320" s="43" t="n">
        <f aca="false">G5320*H5320*1.5</f>
        <v>0</v>
      </c>
      <c r="K5320" s="6" t="n">
        <v>10.27</v>
      </c>
      <c r="L5320" s="43" t="n">
        <f aca="false">K5320*'Chart of Accounts'!$E$68</f>
        <v>6.8809</v>
      </c>
      <c r="O5320" s="42" t="n">
        <f aca="false">I5320+J5320+L5320</f>
        <v>62.2473</v>
      </c>
    </row>
    <row r="5321" customFormat="false" ht="15" hidden="false" customHeight="false" outlineLevel="0" collapsed="false">
      <c r="B5321" s="7" t="s">
        <v>13954</v>
      </c>
      <c r="C5321" s="39" t="n">
        <v>45986</v>
      </c>
      <c r="D5321" s="7" t="s">
        <v>194</v>
      </c>
      <c r="E5321" s="7" t="s">
        <v>180</v>
      </c>
      <c r="F5321" s="6" t="n">
        <v>7.6</v>
      </c>
      <c r="G5321" s="6" t="n">
        <v>0</v>
      </c>
      <c r="H5321" s="41" t="n">
        <v>16</v>
      </c>
      <c r="I5321" s="43" t="n">
        <f aca="false">F5321*H5321</f>
        <v>121.6</v>
      </c>
      <c r="J5321" s="43" t="n">
        <f aca="false">G5321*H5321*1.5</f>
        <v>0</v>
      </c>
      <c r="K5321" s="6" t="n">
        <v>17.31</v>
      </c>
      <c r="L5321" s="43" t="n">
        <f aca="false">K5321*'Chart of Accounts'!$E$68</f>
        <v>11.5977</v>
      </c>
      <c r="O5321" s="42" t="n">
        <f aca="false">I5321+J5321+L5321</f>
        <v>133.1977</v>
      </c>
    </row>
    <row r="5322" customFormat="false" ht="15" hidden="false" customHeight="false" outlineLevel="0" collapsed="false">
      <c r="B5322" s="7" t="s">
        <v>13955</v>
      </c>
      <c r="C5322" s="39" t="n">
        <v>45986</v>
      </c>
      <c r="D5322" s="7" t="s">
        <v>198</v>
      </c>
      <c r="E5322" s="7" t="s">
        <v>158</v>
      </c>
      <c r="H5322" s="41" t="n">
        <v>48.09</v>
      </c>
      <c r="M5322" s="6" t="n">
        <v>1</v>
      </c>
      <c r="N5322" s="43" t="n">
        <f aca="false">M5322*H5322</f>
        <v>48.09</v>
      </c>
      <c r="O5322" s="42" t="n">
        <f aca="false">N5322</f>
        <v>48.09</v>
      </c>
    </row>
    <row r="5323" customFormat="false" ht="15" hidden="false" customHeight="false" outlineLevel="0" collapsed="false">
      <c r="B5323" s="7" t="s">
        <v>13956</v>
      </c>
      <c r="C5323" s="39" t="n">
        <v>45986</v>
      </c>
      <c r="D5323" s="7" t="s">
        <v>209</v>
      </c>
      <c r="E5323" s="7" t="s">
        <v>158</v>
      </c>
      <c r="H5323" s="41" t="n">
        <v>73.58</v>
      </c>
      <c r="M5323" s="6" t="n">
        <v>2</v>
      </c>
      <c r="N5323" s="43" t="n">
        <f aca="false">M5323*H5323</f>
        <v>147.16</v>
      </c>
      <c r="O5323" s="42" t="n">
        <f aca="false">N5323</f>
        <v>147.16</v>
      </c>
    </row>
    <row r="5324" customFormat="false" ht="15" hidden="false" customHeight="false" outlineLevel="0" collapsed="false">
      <c r="B5324" s="7" t="s">
        <v>13957</v>
      </c>
      <c r="C5324" s="39" t="n">
        <v>45986</v>
      </c>
      <c r="D5324" s="7" t="s">
        <v>184</v>
      </c>
      <c r="E5324" s="7" t="s">
        <v>180</v>
      </c>
      <c r="F5324" s="6" t="n">
        <v>4.32</v>
      </c>
      <c r="G5324" s="6" t="n">
        <v>0</v>
      </c>
      <c r="H5324" s="41" t="n">
        <v>17.34</v>
      </c>
      <c r="I5324" s="43" t="n">
        <f aca="false">F5324*H5324</f>
        <v>74.9088</v>
      </c>
      <c r="J5324" s="43" t="n">
        <f aca="false">G5324*H5324*1.5</f>
        <v>0</v>
      </c>
      <c r="K5324" s="6" t="n">
        <v>12.36</v>
      </c>
      <c r="L5324" s="43" t="n">
        <f aca="false">K5324*'Chart of Accounts'!$E$68</f>
        <v>8.2812</v>
      </c>
      <c r="O5324" s="42" t="n">
        <f aca="false">I5324+J5324+L5324</f>
        <v>83.19</v>
      </c>
    </row>
    <row r="5325" customFormat="false" ht="15" hidden="false" customHeight="false" outlineLevel="0" collapsed="false">
      <c r="B5325" s="7" t="s">
        <v>13958</v>
      </c>
      <c r="C5325" s="39" t="n">
        <v>45986</v>
      </c>
      <c r="D5325" s="7" t="s">
        <v>234</v>
      </c>
      <c r="E5325" s="7" t="s">
        <v>158</v>
      </c>
      <c r="H5325" s="41" t="n">
        <v>89.53</v>
      </c>
      <c r="M5325" s="6" t="n">
        <v>2</v>
      </c>
      <c r="N5325" s="43" t="n">
        <f aca="false">M5325*H5325</f>
        <v>179.06</v>
      </c>
      <c r="O5325" s="42" t="n">
        <f aca="false">N5325</f>
        <v>179.06</v>
      </c>
    </row>
    <row r="5326" customFormat="false" ht="15" hidden="false" customHeight="false" outlineLevel="0" collapsed="false">
      <c r="B5326" s="7" t="s">
        <v>13959</v>
      </c>
      <c r="C5326" s="39" t="n">
        <v>45986</v>
      </c>
      <c r="D5326" s="7" t="s">
        <v>218</v>
      </c>
      <c r="E5326" s="7" t="s">
        <v>180</v>
      </c>
      <c r="F5326" s="6" t="n">
        <v>4.18</v>
      </c>
      <c r="G5326" s="6" t="n">
        <v>0</v>
      </c>
      <c r="H5326" s="41" t="n">
        <v>16.19</v>
      </c>
      <c r="I5326" s="43" t="n">
        <f aca="false">F5326*H5326</f>
        <v>67.6742</v>
      </c>
      <c r="J5326" s="43" t="n">
        <f aca="false">G5326*H5326*1.5</f>
        <v>0</v>
      </c>
      <c r="K5326" s="6" t="n">
        <v>10.41</v>
      </c>
      <c r="L5326" s="43" t="n">
        <f aca="false">K5326*'Chart of Accounts'!$E$68</f>
        <v>6.9747</v>
      </c>
      <c r="O5326" s="42" t="n">
        <f aca="false">I5326+J5326+L5326</f>
        <v>74.6489</v>
      </c>
    </row>
    <row r="5327" customFormat="false" ht="15" hidden="false" customHeight="false" outlineLevel="0" collapsed="false">
      <c r="B5327" s="7" t="s">
        <v>13960</v>
      </c>
      <c r="C5327" s="39" t="n">
        <v>45986</v>
      </c>
      <c r="D5327" s="7" t="s">
        <v>216</v>
      </c>
      <c r="E5327" s="7" t="s">
        <v>158</v>
      </c>
      <c r="H5327" s="41" t="n">
        <v>61.79</v>
      </c>
      <c r="M5327" s="6" t="n">
        <v>1</v>
      </c>
      <c r="N5327" s="43" t="n">
        <f aca="false">M5327*H5327</f>
        <v>61.79</v>
      </c>
      <c r="O5327" s="42" t="n">
        <f aca="false">N5327</f>
        <v>61.79</v>
      </c>
    </row>
    <row r="5328" customFormat="false" ht="15" hidden="false" customHeight="false" outlineLevel="0" collapsed="false">
      <c r="B5328" s="7" t="s">
        <v>13961</v>
      </c>
      <c r="C5328" s="39" t="n">
        <v>45986</v>
      </c>
      <c r="D5328" s="7" t="s">
        <v>228</v>
      </c>
      <c r="E5328" s="7" t="s">
        <v>158</v>
      </c>
      <c r="H5328" s="41" t="n">
        <v>51.07</v>
      </c>
      <c r="M5328" s="6" t="n">
        <v>1</v>
      </c>
      <c r="N5328" s="43" t="n">
        <f aca="false">M5328*H5328</f>
        <v>51.07</v>
      </c>
      <c r="O5328" s="42" t="n">
        <f aca="false">N5328</f>
        <v>51.07</v>
      </c>
    </row>
    <row r="5329" customFormat="false" ht="15" hidden="false" customHeight="false" outlineLevel="0" collapsed="false">
      <c r="B5329" s="7" t="s">
        <v>13962</v>
      </c>
      <c r="C5329" s="39" t="n">
        <v>45986</v>
      </c>
      <c r="D5329" s="7" t="s">
        <v>220</v>
      </c>
      <c r="E5329" s="7" t="s">
        <v>180</v>
      </c>
      <c r="F5329" s="6" t="n">
        <v>3.86</v>
      </c>
      <c r="G5329" s="6" t="n">
        <v>0</v>
      </c>
      <c r="H5329" s="41" t="n">
        <v>16.43</v>
      </c>
      <c r="I5329" s="43" t="n">
        <f aca="false">F5329*H5329</f>
        <v>63.4198</v>
      </c>
      <c r="J5329" s="43" t="n">
        <f aca="false">G5329*H5329*1.5</f>
        <v>0</v>
      </c>
      <c r="K5329" s="6" t="n">
        <v>12.19</v>
      </c>
      <c r="L5329" s="43" t="n">
        <f aca="false">K5329*'Chart of Accounts'!$E$68</f>
        <v>8.1673</v>
      </c>
      <c r="O5329" s="42" t="n">
        <f aca="false">I5329+J5329+L5329</f>
        <v>71.5871</v>
      </c>
    </row>
    <row r="5330" customFormat="false" ht="15" hidden="false" customHeight="false" outlineLevel="0" collapsed="false">
      <c r="B5330" s="7" t="s">
        <v>13963</v>
      </c>
      <c r="C5330" s="39" t="n">
        <v>45986</v>
      </c>
      <c r="D5330" s="7" t="s">
        <v>244</v>
      </c>
      <c r="E5330" s="7" t="s">
        <v>180</v>
      </c>
      <c r="F5330" s="6" t="n">
        <v>3.83</v>
      </c>
      <c r="G5330" s="6" t="n">
        <v>0</v>
      </c>
      <c r="H5330" s="41" t="n">
        <v>16.39</v>
      </c>
      <c r="I5330" s="43" t="n">
        <f aca="false">F5330*H5330</f>
        <v>62.7737</v>
      </c>
      <c r="J5330" s="43" t="n">
        <f aca="false">G5330*H5330*1.5</f>
        <v>0</v>
      </c>
      <c r="K5330" s="6" t="n">
        <v>12.83</v>
      </c>
      <c r="L5330" s="43" t="n">
        <f aca="false">K5330*'Chart of Accounts'!$E$68</f>
        <v>8.5961</v>
      </c>
      <c r="O5330" s="42" t="n">
        <f aca="false">I5330+J5330+L5330</f>
        <v>71.3698</v>
      </c>
    </row>
    <row r="5331" customFormat="false" ht="15" hidden="false" customHeight="false" outlineLevel="0" collapsed="false">
      <c r="B5331" s="7" t="s">
        <v>13964</v>
      </c>
      <c r="C5331" s="39" t="n">
        <v>45986</v>
      </c>
      <c r="D5331" s="7" t="s">
        <v>222</v>
      </c>
      <c r="E5331" s="7" t="s">
        <v>180</v>
      </c>
      <c r="F5331" s="6" t="n">
        <v>7.95</v>
      </c>
      <c r="G5331" s="6" t="n">
        <v>0.02</v>
      </c>
      <c r="H5331" s="41" t="n">
        <v>17.84</v>
      </c>
      <c r="I5331" s="43" t="n">
        <f aca="false">F5331*H5331</f>
        <v>141.828</v>
      </c>
      <c r="J5331" s="43" t="n">
        <f aca="false">G5331*H5331*1.5</f>
        <v>0.5352</v>
      </c>
      <c r="K5331" s="6" t="n">
        <v>25.53</v>
      </c>
      <c r="L5331" s="43" t="n">
        <f aca="false">K5331*'Chart of Accounts'!$E$68</f>
        <v>17.1051</v>
      </c>
      <c r="O5331" s="42" t="n">
        <f aca="false">I5331+J5331+L5331</f>
        <v>159.4683</v>
      </c>
    </row>
    <row r="5332" customFormat="false" ht="15" hidden="false" customHeight="false" outlineLevel="0" collapsed="false">
      <c r="B5332" s="7" t="s">
        <v>13965</v>
      </c>
      <c r="C5332" s="39" t="n">
        <v>45986</v>
      </c>
      <c r="D5332" s="7" t="s">
        <v>258</v>
      </c>
      <c r="E5332" s="7" t="s">
        <v>158</v>
      </c>
      <c r="H5332" s="41" t="n">
        <v>61.61</v>
      </c>
      <c r="M5332" s="6" t="n">
        <v>1</v>
      </c>
      <c r="N5332" s="43" t="n">
        <f aca="false">M5332*H5332</f>
        <v>61.61</v>
      </c>
      <c r="O5332" s="42" t="n">
        <f aca="false">N5332</f>
        <v>61.61</v>
      </c>
    </row>
    <row r="5333" customFormat="false" ht="15" hidden="false" customHeight="false" outlineLevel="0" collapsed="false">
      <c r="B5333" s="7" t="s">
        <v>13966</v>
      </c>
      <c r="C5333" s="39" t="n">
        <v>45986</v>
      </c>
      <c r="D5333" s="7" t="s">
        <v>230</v>
      </c>
      <c r="E5333" s="7" t="s">
        <v>158</v>
      </c>
      <c r="H5333" s="41" t="n">
        <v>48.78</v>
      </c>
      <c r="M5333" s="6" t="n">
        <v>1</v>
      </c>
      <c r="N5333" s="43" t="n">
        <f aca="false">M5333*H5333</f>
        <v>48.78</v>
      </c>
      <c r="O5333" s="42" t="n">
        <f aca="false">N5333</f>
        <v>48.78</v>
      </c>
    </row>
    <row r="5334" customFormat="false" ht="15" hidden="false" customHeight="false" outlineLevel="0" collapsed="false">
      <c r="B5334" s="7" t="s">
        <v>13967</v>
      </c>
      <c r="C5334" s="39" t="n">
        <v>45986</v>
      </c>
      <c r="D5334" s="7" t="s">
        <v>196</v>
      </c>
      <c r="E5334" s="7" t="s">
        <v>180</v>
      </c>
      <c r="F5334" s="6" t="n">
        <v>3.468</v>
      </c>
      <c r="G5334" s="6" t="n">
        <v>0.272</v>
      </c>
      <c r="H5334" s="41" t="n">
        <v>15.05</v>
      </c>
      <c r="I5334" s="43" t="n">
        <f aca="false">F5334*H5334</f>
        <v>52.1934</v>
      </c>
      <c r="J5334" s="43" t="n">
        <f aca="false">G5334*H5334*1.5</f>
        <v>6.1404</v>
      </c>
      <c r="K5334" s="6" t="n">
        <v>10.27</v>
      </c>
      <c r="L5334" s="43" t="n">
        <f aca="false">K5334*'Chart of Accounts'!$E$68</f>
        <v>6.8809</v>
      </c>
      <c r="O5334" s="42" t="n">
        <f aca="false">I5334+J5334+L5334</f>
        <v>65.2147</v>
      </c>
    </row>
    <row r="5335" customFormat="false" ht="15" hidden="false" customHeight="false" outlineLevel="0" collapsed="false">
      <c r="B5335" s="7" t="s">
        <v>13968</v>
      </c>
      <c r="C5335" s="39" t="n">
        <v>45986</v>
      </c>
      <c r="D5335" s="7" t="s">
        <v>246</v>
      </c>
      <c r="E5335" s="7" t="s">
        <v>180</v>
      </c>
      <c r="F5335" s="6" t="n">
        <v>3.61</v>
      </c>
      <c r="G5335" s="6" t="n">
        <v>0</v>
      </c>
      <c r="H5335" s="41" t="n">
        <v>16.48</v>
      </c>
      <c r="I5335" s="43" t="n">
        <f aca="false">F5335*H5335</f>
        <v>59.4928</v>
      </c>
      <c r="J5335" s="43" t="n">
        <f aca="false">G5335*H5335*1.5</f>
        <v>0</v>
      </c>
      <c r="K5335" s="6" t="n">
        <v>9.76</v>
      </c>
      <c r="L5335" s="43" t="n">
        <f aca="false">K5335*'Chart of Accounts'!$E$68</f>
        <v>6.5392</v>
      </c>
      <c r="O5335" s="42" t="n">
        <f aca="false">I5335+J5335+L5335</f>
        <v>66.032</v>
      </c>
    </row>
    <row r="5336" customFormat="false" ht="15" hidden="false" customHeight="false" outlineLevel="0" collapsed="false">
      <c r="B5336" s="7" t="s">
        <v>13969</v>
      </c>
      <c r="C5336" s="39" t="n">
        <v>45986</v>
      </c>
      <c r="D5336" s="7" t="s">
        <v>242</v>
      </c>
      <c r="E5336" s="7" t="s">
        <v>180</v>
      </c>
      <c r="F5336" s="6" t="n">
        <v>4.13</v>
      </c>
      <c r="G5336" s="6" t="n">
        <v>0</v>
      </c>
      <c r="H5336" s="41" t="n">
        <v>17.99</v>
      </c>
      <c r="I5336" s="43" t="n">
        <f aca="false">F5336*H5336</f>
        <v>74.2987</v>
      </c>
      <c r="J5336" s="43" t="n">
        <f aca="false">G5336*H5336*1.5</f>
        <v>0</v>
      </c>
      <c r="K5336" s="6" t="n">
        <v>10.18</v>
      </c>
      <c r="L5336" s="43" t="n">
        <f aca="false">K5336*'Chart of Accounts'!$E$68</f>
        <v>6.8206</v>
      </c>
      <c r="O5336" s="42" t="n">
        <f aca="false">I5336+J5336+L5336</f>
        <v>81.1193</v>
      </c>
    </row>
    <row r="5337" customFormat="false" ht="15" hidden="false" customHeight="false" outlineLevel="0" collapsed="false">
      <c r="B5337" s="7" t="s">
        <v>13970</v>
      </c>
      <c r="C5337" s="39" t="n">
        <v>45986</v>
      </c>
      <c r="D5337" s="7" t="s">
        <v>203</v>
      </c>
      <c r="E5337" s="7" t="s">
        <v>158</v>
      </c>
      <c r="H5337" s="41" t="n">
        <v>49.43</v>
      </c>
      <c r="M5337" s="6" t="n">
        <v>1</v>
      </c>
      <c r="N5337" s="43" t="n">
        <f aca="false">M5337*H5337</f>
        <v>49.43</v>
      </c>
      <c r="O5337" s="42" t="n">
        <f aca="false">N5337</f>
        <v>49.43</v>
      </c>
    </row>
    <row r="5338" customFormat="false" ht="15" hidden="false" customHeight="false" outlineLevel="0" collapsed="false">
      <c r="B5338" s="7" t="s">
        <v>13971</v>
      </c>
      <c r="C5338" s="39" t="n">
        <v>45986</v>
      </c>
      <c r="D5338" s="7" t="s">
        <v>254</v>
      </c>
      <c r="E5338" s="7" t="s">
        <v>180</v>
      </c>
      <c r="F5338" s="6" t="n">
        <v>4.14</v>
      </c>
      <c r="G5338" s="6" t="n">
        <v>0.14</v>
      </c>
      <c r="H5338" s="41" t="n">
        <v>17.1</v>
      </c>
      <c r="I5338" s="43" t="n">
        <f aca="false">F5338*H5338</f>
        <v>70.794</v>
      </c>
      <c r="J5338" s="43" t="n">
        <f aca="false">G5338*H5338*1.5</f>
        <v>3.591</v>
      </c>
      <c r="K5338" s="6" t="n">
        <v>11.64</v>
      </c>
      <c r="L5338" s="43" t="n">
        <f aca="false">K5338*'Chart of Accounts'!$E$68</f>
        <v>7.7988</v>
      </c>
      <c r="O5338" s="42" t="n">
        <f aca="false">I5338+J5338+L5338</f>
        <v>82.1838</v>
      </c>
    </row>
    <row r="5339" customFormat="false" ht="15" hidden="false" customHeight="false" outlineLevel="0" collapsed="false">
      <c r="B5339" s="7" t="s">
        <v>13972</v>
      </c>
      <c r="C5339" s="39" t="n">
        <v>45986</v>
      </c>
      <c r="D5339" s="7" t="s">
        <v>260</v>
      </c>
      <c r="E5339" s="7" t="s">
        <v>158</v>
      </c>
      <c r="H5339" s="41" t="n">
        <v>79.8</v>
      </c>
      <c r="M5339" s="6" t="n">
        <v>1</v>
      </c>
      <c r="N5339" s="43" t="n">
        <f aca="false">M5339*H5339</f>
        <v>79.8</v>
      </c>
      <c r="O5339" s="42" t="n">
        <f aca="false">N5339</f>
        <v>79.8</v>
      </c>
    </row>
    <row r="5340" customFormat="false" ht="15" hidden="false" customHeight="false" outlineLevel="0" collapsed="false">
      <c r="B5340" s="7" t="s">
        <v>13973</v>
      </c>
      <c r="C5340" s="39" t="n">
        <v>45987</v>
      </c>
      <c r="D5340" s="7" t="s">
        <v>201</v>
      </c>
      <c r="E5340" s="7" t="s">
        <v>180</v>
      </c>
      <c r="F5340" s="6" t="n">
        <v>7.07</v>
      </c>
      <c r="G5340" s="6" t="n">
        <v>0</v>
      </c>
      <c r="H5340" s="41" t="n">
        <v>15.19</v>
      </c>
      <c r="I5340" s="43" t="n">
        <f aca="false">F5340*H5340</f>
        <v>107.3933</v>
      </c>
      <c r="J5340" s="43" t="n">
        <f aca="false">G5340*H5340*1.5</f>
        <v>0</v>
      </c>
      <c r="K5340" s="6" t="n">
        <v>22.98</v>
      </c>
      <c r="L5340" s="43" t="n">
        <f aca="false">K5340*'Chart of Accounts'!$E$68</f>
        <v>15.3966</v>
      </c>
      <c r="O5340" s="42" t="n">
        <f aca="false">I5340+J5340+L5340</f>
        <v>122.7899</v>
      </c>
    </row>
    <row r="5341" customFormat="false" ht="15" hidden="false" customHeight="false" outlineLevel="0" collapsed="false">
      <c r="B5341" s="7" t="s">
        <v>13974</v>
      </c>
      <c r="C5341" s="39" t="n">
        <v>45987</v>
      </c>
      <c r="D5341" s="7" t="s">
        <v>194</v>
      </c>
      <c r="E5341" s="7" t="s">
        <v>180</v>
      </c>
      <c r="F5341" s="6" t="n">
        <v>8.47</v>
      </c>
      <c r="G5341" s="6" t="n">
        <v>0</v>
      </c>
      <c r="H5341" s="41" t="n">
        <v>16</v>
      </c>
      <c r="I5341" s="43" t="n">
        <f aca="false">F5341*H5341</f>
        <v>135.52</v>
      </c>
      <c r="J5341" s="43" t="n">
        <f aca="false">G5341*H5341*1.5</f>
        <v>0</v>
      </c>
      <c r="K5341" s="6" t="n">
        <v>20.25</v>
      </c>
      <c r="L5341" s="43" t="n">
        <f aca="false">K5341*'Chart of Accounts'!$E$68</f>
        <v>13.5675</v>
      </c>
      <c r="O5341" s="42" t="n">
        <f aca="false">I5341+J5341+L5341</f>
        <v>149.0875</v>
      </c>
    </row>
    <row r="5342" customFormat="false" ht="15" hidden="false" customHeight="false" outlineLevel="0" collapsed="false">
      <c r="B5342" s="7" t="s">
        <v>13975</v>
      </c>
      <c r="C5342" s="39" t="n">
        <v>45987</v>
      </c>
      <c r="D5342" s="7" t="s">
        <v>214</v>
      </c>
      <c r="E5342" s="7" t="s">
        <v>180</v>
      </c>
      <c r="F5342" s="6" t="n">
        <v>7.32</v>
      </c>
      <c r="G5342" s="6" t="n">
        <v>0</v>
      </c>
      <c r="H5342" s="41" t="n">
        <v>15.67</v>
      </c>
      <c r="I5342" s="43" t="n">
        <f aca="false">F5342*H5342</f>
        <v>114.7044</v>
      </c>
      <c r="J5342" s="43" t="n">
        <f aca="false">G5342*H5342*1.5</f>
        <v>0</v>
      </c>
      <c r="K5342" s="6" t="n">
        <v>17.42</v>
      </c>
      <c r="L5342" s="43" t="n">
        <f aca="false">K5342*'Chart of Accounts'!$E$68</f>
        <v>11.6714</v>
      </c>
      <c r="O5342" s="42" t="n">
        <f aca="false">I5342+J5342+L5342</f>
        <v>126.3758</v>
      </c>
    </row>
    <row r="5343" customFormat="false" ht="15" hidden="false" customHeight="false" outlineLevel="0" collapsed="false">
      <c r="B5343" s="7" t="s">
        <v>13976</v>
      </c>
      <c r="C5343" s="39" t="n">
        <v>45987</v>
      </c>
      <c r="D5343" s="7" t="s">
        <v>205</v>
      </c>
      <c r="E5343" s="7" t="s">
        <v>180</v>
      </c>
      <c r="F5343" s="6" t="n">
        <v>3.84</v>
      </c>
      <c r="G5343" s="6" t="n">
        <v>0</v>
      </c>
      <c r="H5343" s="41" t="n">
        <v>16.36</v>
      </c>
      <c r="I5343" s="43" t="n">
        <f aca="false">F5343*H5343</f>
        <v>62.8224</v>
      </c>
      <c r="J5343" s="43" t="n">
        <f aca="false">G5343*H5343*1.5</f>
        <v>0</v>
      </c>
      <c r="K5343" s="6" t="n">
        <v>11.98</v>
      </c>
      <c r="L5343" s="43" t="n">
        <f aca="false">K5343*'Chart of Accounts'!$E$68</f>
        <v>8.0266</v>
      </c>
      <c r="O5343" s="42" t="n">
        <f aca="false">I5343+J5343+L5343</f>
        <v>70.849</v>
      </c>
    </row>
    <row r="5344" customFormat="false" ht="15" hidden="false" customHeight="false" outlineLevel="0" collapsed="false">
      <c r="B5344" s="7" t="s">
        <v>13977</v>
      </c>
      <c r="C5344" s="39" t="n">
        <v>45987</v>
      </c>
      <c r="D5344" s="7" t="s">
        <v>264</v>
      </c>
      <c r="E5344" s="7" t="s">
        <v>158</v>
      </c>
      <c r="H5344" s="41" t="n">
        <v>55.55</v>
      </c>
      <c r="M5344" s="6" t="n">
        <v>1</v>
      </c>
      <c r="N5344" s="43" t="n">
        <f aca="false">M5344*H5344</f>
        <v>55.55</v>
      </c>
      <c r="O5344" s="42" t="n">
        <f aca="false">N5344</f>
        <v>55.55</v>
      </c>
    </row>
    <row r="5345" customFormat="false" ht="15" hidden="false" customHeight="false" outlineLevel="0" collapsed="false">
      <c r="B5345" s="7" t="s">
        <v>13978</v>
      </c>
      <c r="C5345" s="39" t="n">
        <v>45987</v>
      </c>
      <c r="D5345" s="7" t="s">
        <v>252</v>
      </c>
      <c r="E5345" s="7" t="s">
        <v>158</v>
      </c>
      <c r="H5345" s="41" t="n">
        <v>57.54</v>
      </c>
      <c r="M5345" s="6" t="n">
        <v>1</v>
      </c>
      <c r="N5345" s="43" t="n">
        <f aca="false">M5345*H5345</f>
        <v>57.54</v>
      </c>
      <c r="O5345" s="42" t="n">
        <f aca="false">N5345</f>
        <v>57.54</v>
      </c>
    </row>
    <row r="5346" customFormat="false" ht="15" hidden="false" customHeight="false" outlineLevel="0" collapsed="false">
      <c r="B5346" s="7" t="s">
        <v>13979</v>
      </c>
      <c r="C5346" s="39" t="n">
        <v>45987</v>
      </c>
      <c r="D5346" s="7" t="s">
        <v>184</v>
      </c>
      <c r="E5346" s="7" t="s">
        <v>180</v>
      </c>
      <c r="F5346" s="6" t="n">
        <v>11.14</v>
      </c>
      <c r="G5346" s="6" t="n">
        <v>0</v>
      </c>
      <c r="H5346" s="41" t="n">
        <v>17.34</v>
      </c>
      <c r="I5346" s="43" t="n">
        <f aca="false">F5346*H5346</f>
        <v>193.1676</v>
      </c>
      <c r="J5346" s="43" t="n">
        <f aca="false">G5346*H5346*1.5</f>
        <v>0</v>
      </c>
      <c r="K5346" s="6" t="n">
        <v>25.05</v>
      </c>
      <c r="L5346" s="43" t="n">
        <f aca="false">K5346*'Chart of Accounts'!$E$68</f>
        <v>16.7835</v>
      </c>
      <c r="O5346" s="42" t="n">
        <f aca="false">I5346+J5346+L5346</f>
        <v>209.9511</v>
      </c>
    </row>
    <row r="5347" customFormat="false" ht="15" hidden="false" customHeight="false" outlineLevel="0" collapsed="false">
      <c r="B5347" s="7" t="s">
        <v>13980</v>
      </c>
      <c r="C5347" s="39" t="n">
        <v>45987</v>
      </c>
      <c r="D5347" s="7" t="s">
        <v>216</v>
      </c>
      <c r="E5347" s="7" t="s">
        <v>158</v>
      </c>
      <c r="H5347" s="41" t="n">
        <v>61.79</v>
      </c>
      <c r="M5347" s="6" t="n">
        <v>1</v>
      </c>
      <c r="N5347" s="43" t="n">
        <f aca="false">M5347*H5347</f>
        <v>61.79</v>
      </c>
      <c r="O5347" s="42" t="n">
        <f aca="false">N5347</f>
        <v>61.79</v>
      </c>
    </row>
    <row r="5348" customFormat="false" ht="15" hidden="false" customHeight="false" outlineLevel="0" collapsed="false">
      <c r="B5348" s="7" t="s">
        <v>13981</v>
      </c>
      <c r="C5348" s="39" t="n">
        <v>45987</v>
      </c>
      <c r="D5348" s="7" t="s">
        <v>220</v>
      </c>
      <c r="E5348" s="7" t="s">
        <v>180</v>
      </c>
      <c r="F5348" s="6" t="n">
        <v>4.39</v>
      </c>
      <c r="G5348" s="6" t="n">
        <v>0</v>
      </c>
      <c r="H5348" s="41" t="n">
        <v>16.43</v>
      </c>
      <c r="I5348" s="43" t="n">
        <f aca="false">F5348*H5348</f>
        <v>72.1277</v>
      </c>
      <c r="J5348" s="43" t="n">
        <f aca="false">G5348*H5348*1.5</f>
        <v>0</v>
      </c>
      <c r="K5348" s="6" t="n">
        <v>14.83</v>
      </c>
      <c r="L5348" s="43" t="n">
        <f aca="false">K5348*'Chart of Accounts'!$E$68</f>
        <v>9.9361</v>
      </c>
      <c r="O5348" s="42" t="n">
        <f aca="false">I5348+J5348+L5348</f>
        <v>82.0638</v>
      </c>
    </row>
    <row r="5349" customFormat="false" ht="15" hidden="false" customHeight="false" outlineLevel="0" collapsed="false">
      <c r="B5349" s="7" t="s">
        <v>13982</v>
      </c>
      <c r="C5349" s="39" t="n">
        <v>45987</v>
      </c>
      <c r="D5349" s="7" t="s">
        <v>236</v>
      </c>
      <c r="E5349" s="7" t="s">
        <v>180</v>
      </c>
      <c r="F5349" s="6" t="n">
        <v>3.65</v>
      </c>
      <c r="G5349" s="6" t="n">
        <v>0</v>
      </c>
      <c r="H5349" s="41" t="n">
        <v>15.49</v>
      </c>
      <c r="I5349" s="43" t="n">
        <f aca="false">F5349*H5349</f>
        <v>56.5385</v>
      </c>
      <c r="J5349" s="43" t="n">
        <f aca="false">G5349*H5349*1.5</f>
        <v>0</v>
      </c>
      <c r="K5349" s="6" t="n">
        <v>11.67</v>
      </c>
      <c r="L5349" s="43" t="n">
        <f aca="false">K5349*'Chart of Accounts'!$E$68</f>
        <v>7.8189</v>
      </c>
      <c r="O5349" s="42" t="n">
        <f aca="false">I5349+J5349+L5349</f>
        <v>64.3574</v>
      </c>
    </row>
    <row r="5350" customFormat="false" ht="15" hidden="false" customHeight="false" outlineLevel="0" collapsed="false">
      <c r="B5350" s="7" t="s">
        <v>13983</v>
      </c>
      <c r="C5350" s="39" t="n">
        <v>45987</v>
      </c>
      <c r="D5350" s="7" t="s">
        <v>177</v>
      </c>
      <c r="E5350" s="7" t="s">
        <v>180</v>
      </c>
      <c r="F5350" s="6" t="n">
        <v>8.03</v>
      </c>
      <c r="G5350" s="6" t="n">
        <v>0</v>
      </c>
      <c r="H5350" s="41" t="n">
        <v>14.56</v>
      </c>
      <c r="I5350" s="43" t="n">
        <f aca="false">F5350*H5350</f>
        <v>116.9168</v>
      </c>
      <c r="J5350" s="43" t="n">
        <f aca="false">G5350*H5350*1.5</f>
        <v>0</v>
      </c>
      <c r="K5350" s="6" t="n">
        <v>28.24</v>
      </c>
      <c r="L5350" s="43" t="n">
        <f aca="false">K5350*'Chart of Accounts'!$E$68</f>
        <v>18.9208</v>
      </c>
      <c r="O5350" s="42" t="n">
        <f aca="false">I5350+J5350+L5350</f>
        <v>135.8376</v>
      </c>
    </row>
    <row r="5351" customFormat="false" ht="15" hidden="false" customHeight="false" outlineLevel="0" collapsed="false">
      <c r="B5351" s="7" t="s">
        <v>13984</v>
      </c>
      <c r="C5351" s="39" t="n">
        <v>45987</v>
      </c>
      <c r="D5351" s="7" t="s">
        <v>242</v>
      </c>
      <c r="E5351" s="7" t="s">
        <v>180</v>
      </c>
      <c r="F5351" s="6" t="n">
        <v>7.6</v>
      </c>
      <c r="G5351" s="6" t="n">
        <v>0</v>
      </c>
      <c r="H5351" s="41" t="n">
        <v>17.99</v>
      </c>
      <c r="I5351" s="43" t="n">
        <f aca="false">F5351*H5351</f>
        <v>136.724</v>
      </c>
      <c r="J5351" s="43" t="n">
        <f aca="false">G5351*H5351*1.5</f>
        <v>0</v>
      </c>
      <c r="K5351" s="6" t="n">
        <v>19.45</v>
      </c>
      <c r="L5351" s="43" t="n">
        <f aca="false">K5351*'Chart of Accounts'!$E$68</f>
        <v>13.0315</v>
      </c>
      <c r="O5351" s="42" t="n">
        <f aca="false">I5351+J5351+L5351</f>
        <v>149.7555</v>
      </c>
    </row>
    <row r="5352" customFormat="false" ht="15" hidden="false" customHeight="false" outlineLevel="0" collapsed="false">
      <c r="B5352" s="7" t="s">
        <v>13985</v>
      </c>
      <c r="C5352" s="39" t="n">
        <v>45987</v>
      </c>
      <c r="D5352" s="7" t="s">
        <v>244</v>
      </c>
      <c r="E5352" s="7" t="s">
        <v>180</v>
      </c>
      <c r="F5352" s="6" t="n">
        <v>3.64</v>
      </c>
      <c r="G5352" s="6" t="n">
        <v>0</v>
      </c>
      <c r="H5352" s="41" t="n">
        <v>16.39</v>
      </c>
      <c r="I5352" s="43" t="n">
        <f aca="false">F5352*H5352</f>
        <v>59.6596</v>
      </c>
      <c r="J5352" s="43" t="n">
        <f aca="false">G5352*H5352*1.5</f>
        <v>0</v>
      </c>
      <c r="K5352" s="6" t="n">
        <v>12.87</v>
      </c>
      <c r="L5352" s="43" t="n">
        <f aca="false">K5352*'Chart of Accounts'!$E$68</f>
        <v>8.6229</v>
      </c>
      <c r="O5352" s="42" t="n">
        <f aca="false">I5352+J5352+L5352</f>
        <v>68.2825</v>
      </c>
    </row>
    <row r="5353" customFormat="false" ht="15" hidden="false" customHeight="false" outlineLevel="0" collapsed="false">
      <c r="B5353" s="7" t="s">
        <v>13986</v>
      </c>
      <c r="C5353" s="39" t="n">
        <v>45987</v>
      </c>
      <c r="D5353" s="7" t="s">
        <v>254</v>
      </c>
      <c r="E5353" s="7" t="s">
        <v>180</v>
      </c>
      <c r="F5353" s="6" t="n">
        <v>6.675</v>
      </c>
      <c r="G5353" s="6" t="n">
        <v>0.225</v>
      </c>
      <c r="H5353" s="41" t="n">
        <v>17.1</v>
      </c>
      <c r="I5353" s="43" t="n">
        <f aca="false">F5353*H5353</f>
        <v>114.1425</v>
      </c>
      <c r="J5353" s="43" t="n">
        <f aca="false">G5353*H5353*1.5</f>
        <v>5.77125</v>
      </c>
      <c r="K5353" s="6" t="n">
        <v>17.3</v>
      </c>
      <c r="L5353" s="43" t="n">
        <f aca="false">K5353*'Chart of Accounts'!$E$68</f>
        <v>11.591</v>
      </c>
      <c r="O5353" s="42" t="n">
        <f aca="false">I5353+J5353+L5353</f>
        <v>131.50475</v>
      </c>
    </row>
    <row r="5354" customFormat="false" ht="15" hidden="false" customHeight="false" outlineLevel="0" collapsed="false">
      <c r="B5354" s="7" t="s">
        <v>13987</v>
      </c>
      <c r="C5354" s="39" t="n">
        <v>45987</v>
      </c>
      <c r="D5354" s="7" t="s">
        <v>224</v>
      </c>
      <c r="E5354" s="7" t="s">
        <v>180</v>
      </c>
      <c r="F5354" s="6" t="n">
        <v>8.01</v>
      </c>
      <c r="G5354" s="6" t="n">
        <v>0</v>
      </c>
      <c r="H5354" s="41" t="n">
        <v>14.93</v>
      </c>
      <c r="I5354" s="43" t="n">
        <f aca="false">F5354*H5354</f>
        <v>119.5893</v>
      </c>
      <c r="J5354" s="43" t="n">
        <f aca="false">G5354*H5354*1.5</f>
        <v>0</v>
      </c>
      <c r="K5354" s="6" t="n">
        <v>24.75</v>
      </c>
      <c r="L5354" s="43" t="n">
        <f aca="false">K5354*'Chart of Accounts'!$E$68</f>
        <v>16.5825</v>
      </c>
      <c r="O5354" s="42" t="n">
        <f aca="false">I5354+J5354+L5354</f>
        <v>136.1718</v>
      </c>
    </row>
    <row r="5355" customFormat="false" ht="15" hidden="false" customHeight="false" outlineLevel="0" collapsed="false">
      <c r="B5355" s="7" t="s">
        <v>13988</v>
      </c>
      <c r="C5355" s="39" t="n">
        <v>45987</v>
      </c>
      <c r="D5355" s="7" t="s">
        <v>232</v>
      </c>
      <c r="E5355" s="7" t="s">
        <v>180</v>
      </c>
      <c r="F5355" s="6" t="n">
        <v>4.87</v>
      </c>
      <c r="G5355" s="6" t="n">
        <v>0</v>
      </c>
      <c r="H5355" s="41" t="n">
        <v>16.17</v>
      </c>
      <c r="I5355" s="43" t="n">
        <f aca="false">F5355*H5355</f>
        <v>78.7479</v>
      </c>
      <c r="J5355" s="43" t="n">
        <f aca="false">G5355*H5355*1.5</f>
        <v>0</v>
      </c>
      <c r="K5355" s="6" t="n">
        <v>11.54</v>
      </c>
      <c r="L5355" s="43" t="n">
        <f aca="false">K5355*'Chart of Accounts'!$E$68</f>
        <v>7.7318</v>
      </c>
      <c r="O5355" s="42" t="n">
        <f aca="false">I5355+J5355+L5355</f>
        <v>86.4797</v>
      </c>
    </row>
    <row r="5356" customFormat="false" ht="15" hidden="false" customHeight="false" outlineLevel="0" collapsed="false">
      <c r="B5356" s="7" t="s">
        <v>13989</v>
      </c>
      <c r="C5356" s="39" t="n">
        <v>45987</v>
      </c>
      <c r="D5356" s="7" t="s">
        <v>196</v>
      </c>
      <c r="E5356" s="7" t="s">
        <v>180</v>
      </c>
      <c r="F5356" s="6" t="n">
        <v>3.764</v>
      </c>
      <c r="G5356" s="6" t="n">
        <v>0.296</v>
      </c>
      <c r="H5356" s="41" t="n">
        <v>15.05</v>
      </c>
      <c r="I5356" s="43" t="n">
        <f aca="false">F5356*H5356</f>
        <v>56.6482</v>
      </c>
      <c r="J5356" s="43" t="n">
        <f aca="false">G5356*H5356*1.5</f>
        <v>6.6822</v>
      </c>
      <c r="K5356" s="6" t="n">
        <v>13.51</v>
      </c>
      <c r="L5356" s="43" t="n">
        <f aca="false">K5356*'Chart of Accounts'!$E$68</f>
        <v>9.0517</v>
      </c>
      <c r="O5356" s="42" t="n">
        <f aca="false">I5356+J5356+L5356</f>
        <v>72.3821</v>
      </c>
    </row>
    <row r="5357" customFormat="false" ht="15" hidden="false" customHeight="false" outlineLevel="0" collapsed="false">
      <c r="B5357" s="7" t="s">
        <v>13990</v>
      </c>
      <c r="C5357" s="39" t="n">
        <v>45987</v>
      </c>
      <c r="D5357" s="7" t="s">
        <v>246</v>
      </c>
      <c r="E5357" s="7" t="s">
        <v>180</v>
      </c>
      <c r="F5357" s="6" t="n">
        <v>3.78</v>
      </c>
      <c r="G5357" s="6" t="n">
        <v>0</v>
      </c>
      <c r="H5357" s="41" t="n">
        <v>16.48</v>
      </c>
      <c r="I5357" s="43" t="n">
        <f aca="false">F5357*H5357</f>
        <v>62.2944</v>
      </c>
      <c r="J5357" s="43" t="n">
        <f aca="false">G5357*H5357*1.5</f>
        <v>0</v>
      </c>
      <c r="K5357" s="6" t="n">
        <v>8.75</v>
      </c>
      <c r="L5357" s="43" t="n">
        <f aca="false">K5357*'Chart of Accounts'!$E$68</f>
        <v>5.8625</v>
      </c>
      <c r="O5357" s="42" t="n">
        <f aca="false">I5357+J5357+L5357</f>
        <v>68.1569</v>
      </c>
    </row>
    <row r="5358" customFormat="false" ht="15" hidden="false" customHeight="false" outlineLevel="0" collapsed="false">
      <c r="B5358" s="7" t="s">
        <v>13991</v>
      </c>
      <c r="C5358" s="39" t="n">
        <v>45987</v>
      </c>
      <c r="D5358" s="7" t="s">
        <v>222</v>
      </c>
      <c r="E5358" s="7" t="s">
        <v>180</v>
      </c>
      <c r="F5358" s="6" t="n">
        <v>7.212</v>
      </c>
      <c r="G5358" s="6" t="n">
        <v>0.018</v>
      </c>
      <c r="H5358" s="41" t="n">
        <v>17.84</v>
      </c>
      <c r="I5358" s="43" t="n">
        <f aca="false">F5358*H5358</f>
        <v>128.66208</v>
      </c>
      <c r="J5358" s="43" t="n">
        <f aca="false">G5358*H5358*1.5</f>
        <v>0.48168</v>
      </c>
      <c r="K5358" s="6" t="n">
        <v>25.24</v>
      </c>
      <c r="L5358" s="43" t="n">
        <f aca="false">K5358*'Chart of Accounts'!$E$68</f>
        <v>16.9108</v>
      </c>
      <c r="O5358" s="42" t="n">
        <f aca="false">I5358+J5358+L5358</f>
        <v>146.05456</v>
      </c>
    </row>
    <row r="5359" customFormat="false" ht="15" hidden="false" customHeight="false" outlineLevel="0" collapsed="false">
      <c r="B5359" s="7" t="s">
        <v>13992</v>
      </c>
      <c r="C5359" s="39" t="n">
        <v>45987</v>
      </c>
      <c r="D5359" s="7" t="s">
        <v>203</v>
      </c>
      <c r="E5359" s="7" t="s">
        <v>158</v>
      </c>
      <c r="H5359" s="41" t="n">
        <v>49.43</v>
      </c>
      <c r="M5359" s="6" t="n">
        <v>1</v>
      </c>
      <c r="N5359" s="43" t="n">
        <f aca="false">M5359*H5359</f>
        <v>49.43</v>
      </c>
      <c r="O5359" s="42" t="n">
        <f aca="false">N5359</f>
        <v>49.43</v>
      </c>
    </row>
    <row r="5360" customFormat="false" ht="15" hidden="false" customHeight="false" outlineLevel="0" collapsed="false">
      <c r="B5360" s="7" t="s">
        <v>13993</v>
      </c>
      <c r="C5360" s="39" t="n">
        <v>45988</v>
      </c>
      <c r="D5360" s="7" t="s">
        <v>238</v>
      </c>
      <c r="E5360" s="7" t="s">
        <v>180</v>
      </c>
      <c r="F5360" s="6" t="n">
        <v>4</v>
      </c>
      <c r="G5360" s="6" t="n">
        <v>0</v>
      </c>
      <c r="H5360" s="41" t="n">
        <v>15.85</v>
      </c>
      <c r="I5360" s="43" t="n">
        <f aca="false">F5360*H5360</f>
        <v>63.4</v>
      </c>
      <c r="J5360" s="43" t="n">
        <f aca="false">G5360*H5360*1.5</f>
        <v>0</v>
      </c>
      <c r="K5360" s="6" t="n">
        <v>10.79</v>
      </c>
      <c r="L5360" s="43" t="n">
        <f aca="false">K5360*'Chart of Accounts'!$E$68</f>
        <v>7.2293</v>
      </c>
      <c r="O5360" s="42" t="n">
        <f aca="false">I5360+J5360+L5360</f>
        <v>70.6293</v>
      </c>
    </row>
    <row r="5361" customFormat="false" ht="15" hidden="false" customHeight="false" outlineLevel="0" collapsed="false">
      <c r="B5361" s="7" t="s">
        <v>13994</v>
      </c>
      <c r="C5361" s="39" t="n">
        <v>45988</v>
      </c>
      <c r="D5361" s="7" t="s">
        <v>201</v>
      </c>
      <c r="E5361" s="7" t="s">
        <v>180</v>
      </c>
      <c r="F5361" s="6" t="n">
        <v>6.12</v>
      </c>
      <c r="G5361" s="6" t="n">
        <v>0</v>
      </c>
      <c r="H5361" s="41" t="n">
        <v>15.19</v>
      </c>
      <c r="I5361" s="43" t="n">
        <f aca="false">F5361*H5361</f>
        <v>92.9628</v>
      </c>
      <c r="J5361" s="43" t="n">
        <f aca="false">G5361*H5361*1.5</f>
        <v>0</v>
      </c>
      <c r="K5361" s="6" t="n">
        <v>18.53</v>
      </c>
      <c r="L5361" s="43" t="n">
        <f aca="false">K5361*'Chart of Accounts'!$E$68</f>
        <v>12.4151</v>
      </c>
      <c r="O5361" s="42" t="n">
        <f aca="false">I5361+J5361+L5361</f>
        <v>105.3779</v>
      </c>
    </row>
    <row r="5362" customFormat="false" ht="15" hidden="false" customHeight="false" outlineLevel="0" collapsed="false">
      <c r="B5362" s="7" t="s">
        <v>13995</v>
      </c>
      <c r="C5362" s="39" t="n">
        <v>45988</v>
      </c>
      <c r="D5362" s="7" t="s">
        <v>205</v>
      </c>
      <c r="E5362" s="7" t="s">
        <v>180</v>
      </c>
      <c r="F5362" s="6" t="n">
        <v>3.16</v>
      </c>
      <c r="G5362" s="6" t="n">
        <v>0</v>
      </c>
      <c r="H5362" s="41" t="n">
        <v>16.36</v>
      </c>
      <c r="I5362" s="43" t="n">
        <f aca="false">F5362*H5362</f>
        <v>51.6976</v>
      </c>
      <c r="J5362" s="43" t="n">
        <f aca="false">G5362*H5362*1.5</f>
        <v>0</v>
      </c>
      <c r="K5362" s="6" t="n">
        <v>10.79</v>
      </c>
      <c r="L5362" s="43" t="n">
        <f aca="false">K5362*'Chart of Accounts'!$E$68</f>
        <v>7.2293</v>
      </c>
      <c r="O5362" s="42" t="n">
        <f aca="false">I5362+J5362+L5362</f>
        <v>58.9269</v>
      </c>
    </row>
    <row r="5363" customFormat="false" ht="15" hidden="false" customHeight="false" outlineLevel="0" collapsed="false">
      <c r="B5363" s="7" t="s">
        <v>13996</v>
      </c>
      <c r="C5363" s="39" t="n">
        <v>45988</v>
      </c>
      <c r="D5363" s="7" t="s">
        <v>240</v>
      </c>
      <c r="E5363" s="7" t="s">
        <v>180</v>
      </c>
      <c r="F5363" s="6" t="n">
        <v>4.06</v>
      </c>
      <c r="G5363" s="6" t="n">
        <v>0</v>
      </c>
      <c r="H5363" s="41" t="n">
        <v>16.96</v>
      </c>
      <c r="I5363" s="43" t="n">
        <f aca="false">F5363*H5363</f>
        <v>68.8576</v>
      </c>
      <c r="J5363" s="43" t="n">
        <f aca="false">G5363*H5363*1.5</f>
        <v>0</v>
      </c>
      <c r="K5363" s="6" t="n">
        <v>11.1</v>
      </c>
      <c r="L5363" s="43" t="n">
        <f aca="false">K5363*'Chart of Accounts'!$E$68</f>
        <v>7.437</v>
      </c>
      <c r="O5363" s="42" t="n">
        <f aca="false">I5363+J5363+L5363</f>
        <v>76.2946</v>
      </c>
    </row>
    <row r="5364" customFormat="false" ht="15" hidden="false" customHeight="false" outlineLevel="0" collapsed="false">
      <c r="B5364" s="7" t="s">
        <v>13997</v>
      </c>
      <c r="C5364" s="39" t="n">
        <v>45988</v>
      </c>
      <c r="D5364" s="7" t="s">
        <v>196</v>
      </c>
      <c r="E5364" s="7" t="s">
        <v>180</v>
      </c>
      <c r="F5364" s="6" t="n">
        <v>11.535</v>
      </c>
      <c r="G5364" s="6" t="n">
        <v>0.905</v>
      </c>
      <c r="H5364" s="41" t="n">
        <v>15.05</v>
      </c>
      <c r="I5364" s="43" t="n">
        <f aca="false">F5364*H5364</f>
        <v>173.60175</v>
      </c>
      <c r="J5364" s="43" t="n">
        <f aca="false">G5364*H5364*1.5</f>
        <v>20.430375</v>
      </c>
      <c r="K5364" s="6" t="n">
        <v>32.7</v>
      </c>
      <c r="L5364" s="43" t="n">
        <f aca="false">K5364*'Chart of Accounts'!$E$68</f>
        <v>21.909</v>
      </c>
      <c r="O5364" s="42" t="n">
        <f aca="false">I5364+J5364+L5364</f>
        <v>215.941125</v>
      </c>
    </row>
    <row r="5365" customFormat="false" ht="15" hidden="false" customHeight="false" outlineLevel="0" collapsed="false">
      <c r="B5365" s="7" t="s">
        <v>13998</v>
      </c>
      <c r="C5365" s="39" t="n">
        <v>45988</v>
      </c>
      <c r="D5365" s="7" t="s">
        <v>184</v>
      </c>
      <c r="E5365" s="7" t="s">
        <v>180</v>
      </c>
      <c r="F5365" s="6" t="n">
        <v>4.13</v>
      </c>
      <c r="G5365" s="6" t="n">
        <v>0</v>
      </c>
      <c r="H5365" s="41" t="n">
        <v>17.34</v>
      </c>
      <c r="I5365" s="43" t="n">
        <f aca="false">F5365*H5365</f>
        <v>71.6142</v>
      </c>
      <c r="J5365" s="43" t="n">
        <f aca="false">G5365*H5365*1.5</f>
        <v>0</v>
      </c>
      <c r="K5365" s="6" t="n">
        <v>13.18</v>
      </c>
      <c r="L5365" s="43" t="n">
        <f aca="false">K5365*'Chart of Accounts'!$E$68</f>
        <v>8.8306</v>
      </c>
      <c r="O5365" s="42" t="n">
        <f aca="false">I5365+J5365+L5365</f>
        <v>80.4448</v>
      </c>
    </row>
    <row r="5366" customFormat="false" ht="15" hidden="false" customHeight="false" outlineLevel="0" collapsed="false">
      <c r="B5366" s="7" t="s">
        <v>13999</v>
      </c>
      <c r="C5366" s="39" t="n">
        <v>45988</v>
      </c>
      <c r="D5366" s="7" t="s">
        <v>218</v>
      </c>
      <c r="E5366" s="7" t="s">
        <v>180</v>
      </c>
      <c r="F5366" s="6" t="n">
        <v>7.73</v>
      </c>
      <c r="G5366" s="6" t="n">
        <v>0</v>
      </c>
      <c r="H5366" s="41" t="n">
        <v>16.19</v>
      </c>
      <c r="I5366" s="43" t="n">
        <f aca="false">F5366*H5366</f>
        <v>125.1487</v>
      </c>
      <c r="J5366" s="43" t="n">
        <f aca="false">G5366*H5366*1.5</f>
        <v>0</v>
      </c>
      <c r="K5366" s="6" t="n">
        <v>20.38</v>
      </c>
      <c r="L5366" s="43" t="n">
        <f aca="false">K5366*'Chart of Accounts'!$E$68</f>
        <v>13.6546</v>
      </c>
      <c r="O5366" s="42" t="n">
        <f aca="false">I5366+J5366+L5366</f>
        <v>138.8033</v>
      </c>
    </row>
    <row r="5367" customFormat="false" ht="15" hidden="false" customHeight="false" outlineLevel="0" collapsed="false">
      <c r="B5367" s="7" t="s">
        <v>14000</v>
      </c>
      <c r="C5367" s="39" t="n">
        <v>45988</v>
      </c>
      <c r="D5367" s="7" t="s">
        <v>256</v>
      </c>
      <c r="E5367" s="7" t="s">
        <v>180</v>
      </c>
      <c r="F5367" s="6" t="n">
        <v>5.78</v>
      </c>
      <c r="G5367" s="6" t="n">
        <v>0</v>
      </c>
      <c r="H5367" s="41" t="n">
        <v>15.63</v>
      </c>
      <c r="I5367" s="43" t="n">
        <f aca="false">F5367*H5367</f>
        <v>90.3414</v>
      </c>
      <c r="J5367" s="43" t="n">
        <f aca="false">G5367*H5367*1.5</f>
        <v>0</v>
      </c>
      <c r="K5367" s="6" t="n">
        <v>20.25</v>
      </c>
      <c r="L5367" s="43" t="n">
        <f aca="false">K5367*'Chart of Accounts'!$E$68</f>
        <v>13.5675</v>
      </c>
      <c r="O5367" s="42" t="n">
        <f aca="false">I5367+J5367+L5367</f>
        <v>103.9089</v>
      </c>
    </row>
    <row r="5368" customFormat="false" ht="15" hidden="false" customHeight="false" outlineLevel="0" collapsed="false">
      <c r="B5368" s="7" t="s">
        <v>14001</v>
      </c>
      <c r="C5368" s="39" t="n">
        <v>45988</v>
      </c>
      <c r="D5368" s="7" t="s">
        <v>220</v>
      </c>
      <c r="E5368" s="7" t="s">
        <v>180</v>
      </c>
      <c r="F5368" s="6" t="n">
        <v>3.87</v>
      </c>
      <c r="G5368" s="6" t="n">
        <v>0</v>
      </c>
      <c r="H5368" s="41" t="n">
        <v>16.43</v>
      </c>
      <c r="I5368" s="43" t="n">
        <f aca="false">F5368*H5368</f>
        <v>63.5841</v>
      </c>
      <c r="J5368" s="43" t="n">
        <f aca="false">G5368*H5368*1.5</f>
        <v>0</v>
      </c>
      <c r="K5368" s="6" t="n">
        <v>9.67</v>
      </c>
      <c r="L5368" s="43" t="n">
        <f aca="false">K5368*'Chart of Accounts'!$E$68</f>
        <v>6.4789</v>
      </c>
      <c r="O5368" s="42" t="n">
        <f aca="false">I5368+J5368+L5368</f>
        <v>70.063</v>
      </c>
    </row>
    <row r="5369" customFormat="false" ht="15" hidden="false" customHeight="false" outlineLevel="0" collapsed="false">
      <c r="B5369" s="7" t="s">
        <v>14002</v>
      </c>
      <c r="C5369" s="39" t="n">
        <v>45988</v>
      </c>
      <c r="D5369" s="7" t="s">
        <v>224</v>
      </c>
      <c r="E5369" s="7" t="s">
        <v>180</v>
      </c>
      <c r="F5369" s="6" t="n">
        <v>3.99</v>
      </c>
      <c r="G5369" s="6" t="n">
        <v>0</v>
      </c>
      <c r="H5369" s="41" t="n">
        <v>14.93</v>
      </c>
      <c r="I5369" s="43" t="n">
        <f aca="false">F5369*H5369</f>
        <v>59.5707</v>
      </c>
      <c r="J5369" s="43" t="n">
        <f aca="false">G5369*H5369*1.5</f>
        <v>0</v>
      </c>
      <c r="K5369" s="6" t="n">
        <v>12.1</v>
      </c>
      <c r="L5369" s="43" t="n">
        <f aca="false">K5369*'Chart of Accounts'!$E$68</f>
        <v>8.107</v>
      </c>
      <c r="O5369" s="42" t="n">
        <f aca="false">I5369+J5369+L5369</f>
        <v>67.6777</v>
      </c>
    </row>
    <row r="5370" customFormat="false" ht="15" hidden="false" customHeight="false" outlineLevel="0" collapsed="false">
      <c r="B5370" s="7" t="s">
        <v>14003</v>
      </c>
      <c r="C5370" s="39" t="n">
        <v>45988</v>
      </c>
      <c r="D5370" s="7" t="s">
        <v>222</v>
      </c>
      <c r="E5370" s="7" t="s">
        <v>180</v>
      </c>
      <c r="F5370" s="6" t="n">
        <v>6.484</v>
      </c>
      <c r="G5370" s="6" t="n">
        <v>0.016</v>
      </c>
      <c r="H5370" s="41" t="n">
        <v>17.84</v>
      </c>
      <c r="I5370" s="43" t="n">
        <f aca="false">F5370*H5370</f>
        <v>115.67456</v>
      </c>
      <c r="J5370" s="43" t="n">
        <f aca="false">G5370*H5370*1.5</f>
        <v>0.42816</v>
      </c>
      <c r="K5370" s="6" t="n">
        <v>19.87</v>
      </c>
      <c r="L5370" s="43" t="n">
        <f aca="false">K5370*'Chart of Accounts'!$E$68</f>
        <v>13.3129</v>
      </c>
      <c r="O5370" s="42" t="n">
        <f aca="false">I5370+J5370+L5370</f>
        <v>129.41562</v>
      </c>
    </row>
    <row r="5371" customFormat="false" ht="15" hidden="false" customHeight="false" outlineLevel="0" collapsed="false">
      <c r="B5371" s="7" t="s">
        <v>14004</v>
      </c>
      <c r="C5371" s="39" t="n">
        <v>45988</v>
      </c>
      <c r="D5371" s="7" t="s">
        <v>244</v>
      </c>
      <c r="E5371" s="7" t="s">
        <v>180</v>
      </c>
      <c r="F5371" s="6" t="n">
        <v>7.79</v>
      </c>
      <c r="G5371" s="6" t="n">
        <v>0</v>
      </c>
      <c r="H5371" s="41" t="n">
        <v>16.39</v>
      </c>
      <c r="I5371" s="43" t="n">
        <f aca="false">F5371*H5371</f>
        <v>127.6781</v>
      </c>
      <c r="J5371" s="43" t="n">
        <f aca="false">G5371*H5371*1.5</f>
        <v>0</v>
      </c>
      <c r="K5371" s="6" t="n">
        <v>22.36</v>
      </c>
      <c r="L5371" s="43" t="n">
        <f aca="false">K5371*'Chart of Accounts'!$E$68</f>
        <v>14.9812</v>
      </c>
      <c r="O5371" s="42" t="n">
        <f aca="false">I5371+J5371+L5371</f>
        <v>142.6593</v>
      </c>
    </row>
    <row r="5372" customFormat="false" ht="15" hidden="false" customHeight="false" outlineLevel="0" collapsed="false">
      <c r="B5372" s="7" t="s">
        <v>14005</v>
      </c>
      <c r="C5372" s="39" t="n">
        <v>45988</v>
      </c>
      <c r="D5372" s="7" t="s">
        <v>246</v>
      </c>
      <c r="E5372" s="7" t="s">
        <v>180</v>
      </c>
      <c r="F5372" s="6" t="n">
        <v>8.04</v>
      </c>
      <c r="G5372" s="6" t="n">
        <v>0</v>
      </c>
      <c r="H5372" s="41" t="n">
        <v>16.48</v>
      </c>
      <c r="I5372" s="43" t="n">
        <f aca="false">F5372*H5372</f>
        <v>132.4992</v>
      </c>
      <c r="J5372" s="43" t="n">
        <f aca="false">G5372*H5372*1.5</f>
        <v>0</v>
      </c>
      <c r="K5372" s="6" t="n">
        <v>26.81</v>
      </c>
      <c r="L5372" s="43" t="n">
        <f aca="false">K5372*'Chart of Accounts'!$E$68</f>
        <v>17.9627</v>
      </c>
      <c r="O5372" s="42" t="n">
        <f aca="false">I5372+J5372+L5372</f>
        <v>150.4619</v>
      </c>
    </row>
    <row r="5373" customFormat="false" ht="15" hidden="false" customHeight="false" outlineLevel="0" collapsed="false">
      <c r="B5373" s="7" t="s">
        <v>14006</v>
      </c>
      <c r="C5373" s="39" t="n">
        <v>45988</v>
      </c>
      <c r="D5373" s="7" t="s">
        <v>194</v>
      </c>
      <c r="E5373" s="7" t="s">
        <v>180</v>
      </c>
      <c r="F5373" s="6" t="n">
        <v>4.03</v>
      </c>
      <c r="G5373" s="6" t="n">
        <v>0</v>
      </c>
      <c r="H5373" s="41" t="n">
        <v>16</v>
      </c>
      <c r="I5373" s="43" t="n">
        <f aca="false">F5373*H5373</f>
        <v>64.48</v>
      </c>
      <c r="J5373" s="43" t="n">
        <f aca="false">G5373*H5373*1.5</f>
        <v>0</v>
      </c>
      <c r="K5373" s="6" t="n">
        <v>12.72</v>
      </c>
      <c r="L5373" s="43" t="n">
        <f aca="false">K5373*'Chart of Accounts'!$E$68</f>
        <v>8.5224</v>
      </c>
      <c r="O5373" s="42" t="n">
        <f aca="false">I5373+J5373+L5373</f>
        <v>73.0024</v>
      </c>
    </row>
    <row r="5374" customFormat="false" ht="15" hidden="false" customHeight="false" outlineLevel="0" collapsed="false">
      <c r="B5374" s="7" t="s">
        <v>14007</v>
      </c>
      <c r="C5374" s="39" t="n">
        <v>45988</v>
      </c>
      <c r="D5374" s="7" t="s">
        <v>214</v>
      </c>
      <c r="E5374" s="7" t="s">
        <v>180</v>
      </c>
      <c r="F5374" s="6" t="n">
        <v>4</v>
      </c>
      <c r="G5374" s="6" t="n">
        <v>0</v>
      </c>
      <c r="H5374" s="41" t="n">
        <v>15.67</v>
      </c>
      <c r="I5374" s="43" t="n">
        <f aca="false">F5374*H5374</f>
        <v>62.68</v>
      </c>
      <c r="J5374" s="43" t="n">
        <f aca="false">G5374*H5374*1.5</f>
        <v>0</v>
      </c>
      <c r="K5374" s="6" t="n">
        <v>10.83</v>
      </c>
      <c r="L5374" s="43" t="n">
        <f aca="false">K5374*'Chart of Accounts'!$E$68</f>
        <v>7.2561</v>
      </c>
      <c r="O5374" s="42" t="n">
        <f aca="false">I5374+J5374+L5374</f>
        <v>69.9361</v>
      </c>
    </row>
    <row r="5375" customFormat="false" ht="15" hidden="false" customHeight="false" outlineLevel="0" collapsed="false">
      <c r="B5375" s="7" t="s">
        <v>14008</v>
      </c>
      <c r="C5375" s="39" t="n">
        <v>45988</v>
      </c>
      <c r="D5375" s="7" t="s">
        <v>242</v>
      </c>
      <c r="E5375" s="7" t="s">
        <v>180</v>
      </c>
      <c r="F5375" s="6" t="n">
        <v>4.06</v>
      </c>
      <c r="G5375" s="6" t="n">
        <v>0</v>
      </c>
      <c r="H5375" s="41" t="n">
        <v>17.99</v>
      </c>
      <c r="I5375" s="43" t="n">
        <f aca="false">F5375*H5375</f>
        <v>73.0394</v>
      </c>
      <c r="J5375" s="43" t="n">
        <f aca="false">G5375*H5375*1.5</f>
        <v>0</v>
      </c>
      <c r="K5375" s="6" t="n">
        <v>10.22</v>
      </c>
      <c r="L5375" s="43" t="n">
        <f aca="false">K5375*'Chart of Accounts'!$E$68</f>
        <v>6.8474</v>
      </c>
      <c r="O5375" s="42" t="n">
        <f aca="false">I5375+J5375+L5375</f>
        <v>79.8868</v>
      </c>
    </row>
    <row r="5376" customFormat="false" ht="15" hidden="false" customHeight="false" outlineLevel="0" collapsed="false">
      <c r="B5376" s="7" t="s">
        <v>14009</v>
      </c>
      <c r="C5376" s="39" t="n">
        <v>45988</v>
      </c>
      <c r="D5376" s="7" t="s">
        <v>254</v>
      </c>
      <c r="E5376" s="7" t="s">
        <v>180</v>
      </c>
      <c r="F5376" s="6" t="n">
        <v>3.647</v>
      </c>
      <c r="G5376" s="6" t="n">
        <v>0.123</v>
      </c>
      <c r="H5376" s="41" t="n">
        <v>17.1</v>
      </c>
      <c r="I5376" s="43" t="n">
        <f aca="false">F5376*H5376</f>
        <v>62.3637</v>
      </c>
      <c r="J5376" s="43" t="n">
        <f aca="false">G5376*H5376*1.5</f>
        <v>3.15495</v>
      </c>
      <c r="K5376" s="6" t="n">
        <v>9.58</v>
      </c>
      <c r="L5376" s="43" t="n">
        <f aca="false">K5376*'Chart of Accounts'!$E$68</f>
        <v>6.4186</v>
      </c>
      <c r="O5376" s="42" t="n">
        <f aca="false">I5376+J5376+L5376</f>
        <v>71.93725</v>
      </c>
    </row>
    <row r="5377" customFormat="false" ht="15" hidden="false" customHeight="false" outlineLevel="0" collapsed="false">
      <c r="B5377" s="7" t="s">
        <v>14010</v>
      </c>
      <c r="C5377" s="39" t="n">
        <v>45989</v>
      </c>
      <c r="D5377" s="7" t="s">
        <v>177</v>
      </c>
      <c r="E5377" s="7" t="s">
        <v>180</v>
      </c>
      <c r="F5377" s="6" t="n">
        <v>12.57</v>
      </c>
      <c r="G5377" s="6" t="n">
        <v>0</v>
      </c>
      <c r="H5377" s="41" t="n">
        <v>14.56</v>
      </c>
      <c r="I5377" s="43" t="n">
        <f aca="false">F5377*H5377</f>
        <v>183.0192</v>
      </c>
      <c r="J5377" s="43" t="n">
        <f aca="false">G5377*H5377*1.5</f>
        <v>0</v>
      </c>
      <c r="K5377" s="6" t="n">
        <v>32.52</v>
      </c>
      <c r="L5377" s="43" t="n">
        <f aca="false">K5377*'Chart of Accounts'!$E$68</f>
        <v>21.7884</v>
      </c>
      <c r="O5377" s="42" t="n">
        <f aca="false">I5377+J5377+L5377</f>
        <v>204.8076</v>
      </c>
    </row>
    <row r="5378" customFormat="false" ht="15" hidden="false" customHeight="false" outlineLevel="0" collapsed="false">
      <c r="B5378" s="7" t="s">
        <v>14011</v>
      </c>
      <c r="C5378" s="39" t="n">
        <v>45989</v>
      </c>
      <c r="D5378" s="7" t="s">
        <v>194</v>
      </c>
      <c r="E5378" s="7" t="s">
        <v>180</v>
      </c>
      <c r="F5378" s="6" t="n">
        <v>9.23</v>
      </c>
      <c r="G5378" s="6" t="n">
        <v>0</v>
      </c>
      <c r="H5378" s="41" t="n">
        <v>16</v>
      </c>
      <c r="I5378" s="43" t="n">
        <f aca="false">F5378*H5378</f>
        <v>147.68</v>
      </c>
      <c r="J5378" s="43" t="n">
        <f aca="false">G5378*H5378*1.5</f>
        <v>0</v>
      </c>
      <c r="K5378" s="6" t="n">
        <v>27.81</v>
      </c>
      <c r="L5378" s="43" t="n">
        <f aca="false">K5378*'Chart of Accounts'!$E$68</f>
        <v>18.6327</v>
      </c>
      <c r="O5378" s="42" t="n">
        <f aca="false">I5378+J5378+L5378</f>
        <v>166.3127</v>
      </c>
    </row>
    <row r="5379" customFormat="false" ht="15" hidden="false" customHeight="false" outlineLevel="0" collapsed="false">
      <c r="B5379" s="7" t="s">
        <v>14012</v>
      </c>
      <c r="C5379" s="39" t="n">
        <v>45989</v>
      </c>
      <c r="D5379" s="7" t="s">
        <v>198</v>
      </c>
      <c r="E5379" s="7" t="s">
        <v>158</v>
      </c>
      <c r="H5379" s="41" t="n">
        <v>48.09</v>
      </c>
      <c r="M5379" s="6" t="n">
        <v>1</v>
      </c>
      <c r="N5379" s="43" t="n">
        <f aca="false">M5379*H5379</f>
        <v>48.09</v>
      </c>
      <c r="O5379" s="42" t="n">
        <f aca="false">N5379</f>
        <v>48.09</v>
      </c>
    </row>
    <row r="5380" customFormat="false" ht="15" hidden="false" customHeight="false" outlineLevel="0" collapsed="false">
      <c r="B5380" s="7" t="s">
        <v>14013</v>
      </c>
      <c r="C5380" s="39" t="n">
        <v>45989</v>
      </c>
      <c r="D5380" s="7" t="s">
        <v>214</v>
      </c>
      <c r="E5380" s="7" t="s">
        <v>180</v>
      </c>
      <c r="F5380" s="6" t="n">
        <v>7.86</v>
      </c>
      <c r="G5380" s="6" t="n">
        <v>0</v>
      </c>
      <c r="H5380" s="41" t="n">
        <v>15.67</v>
      </c>
      <c r="I5380" s="43" t="n">
        <f aca="false">F5380*H5380</f>
        <v>123.1662</v>
      </c>
      <c r="J5380" s="43" t="n">
        <f aca="false">G5380*H5380*1.5</f>
        <v>0</v>
      </c>
      <c r="K5380" s="6" t="n">
        <v>22.25</v>
      </c>
      <c r="L5380" s="43" t="n">
        <f aca="false">K5380*'Chart of Accounts'!$E$68</f>
        <v>14.9075</v>
      </c>
      <c r="O5380" s="42" t="n">
        <f aca="false">I5380+J5380+L5380</f>
        <v>138.0737</v>
      </c>
    </row>
    <row r="5381" customFormat="false" ht="15" hidden="false" customHeight="false" outlineLevel="0" collapsed="false">
      <c r="B5381" s="7" t="s">
        <v>14014</v>
      </c>
      <c r="C5381" s="39" t="n">
        <v>45989</v>
      </c>
      <c r="D5381" s="7" t="s">
        <v>209</v>
      </c>
      <c r="E5381" s="7" t="s">
        <v>158</v>
      </c>
      <c r="H5381" s="41" t="n">
        <v>73.58</v>
      </c>
      <c r="M5381" s="6" t="n">
        <v>2</v>
      </c>
      <c r="N5381" s="43" t="n">
        <f aca="false">M5381*H5381</f>
        <v>147.16</v>
      </c>
      <c r="O5381" s="42" t="n">
        <f aca="false">N5381</f>
        <v>147.16</v>
      </c>
    </row>
    <row r="5382" customFormat="false" ht="15" hidden="false" customHeight="false" outlineLevel="0" collapsed="false">
      <c r="B5382" s="7" t="s">
        <v>14015</v>
      </c>
      <c r="C5382" s="39" t="n">
        <v>45989</v>
      </c>
      <c r="D5382" s="7" t="s">
        <v>205</v>
      </c>
      <c r="E5382" s="7" t="s">
        <v>180</v>
      </c>
      <c r="F5382" s="6" t="n">
        <v>3.85</v>
      </c>
      <c r="G5382" s="6" t="n">
        <v>0</v>
      </c>
      <c r="H5382" s="41" t="n">
        <v>16.36</v>
      </c>
      <c r="I5382" s="43" t="n">
        <f aca="false">F5382*H5382</f>
        <v>62.986</v>
      </c>
      <c r="J5382" s="43" t="n">
        <f aca="false">G5382*H5382*1.5</f>
        <v>0</v>
      </c>
      <c r="K5382" s="6" t="n">
        <v>11.82</v>
      </c>
      <c r="L5382" s="43" t="n">
        <f aca="false">K5382*'Chart of Accounts'!$E$68</f>
        <v>7.9194</v>
      </c>
      <c r="O5382" s="42" t="n">
        <f aca="false">I5382+J5382+L5382</f>
        <v>70.9054</v>
      </c>
    </row>
    <row r="5383" customFormat="false" ht="15" hidden="false" customHeight="false" outlineLevel="0" collapsed="false">
      <c r="B5383" s="7" t="s">
        <v>14016</v>
      </c>
      <c r="C5383" s="39" t="n">
        <v>45989</v>
      </c>
      <c r="D5383" s="7" t="s">
        <v>264</v>
      </c>
      <c r="E5383" s="7" t="s">
        <v>158</v>
      </c>
      <c r="H5383" s="41" t="n">
        <v>55.55</v>
      </c>
      <c r="M5383" s="6" t="n">
        <v>1</v>
      </c>
      <c r="N5383" s="43" t="n">
        <f aca="false">M5383*H5383</f>
        <v>55.55</v>
      </c>
      <c r="O5383" s="42" t="n">
        <f aca="false">N5383</f>
        <v>55.55</v>
      </c>
    </row>
    <row r="5384" customFormat="false" ht="15" hidden="false" customHeight="false" outlineLevel="0" collapsed="false">
      <c r="B5384" s="7" t="s">
        <v>14017</v>
      </c>
      <c r="C5384" s="39" t="n">
        <v>45989</v>
      </c>
      <c r="D5384" s="7" t="s">
        <v>252</v>
      </c>
      <c r="E5384" s="7" t="s">
        <v>158</v>
      </c>
      <c r="H5384" s="41" t="n">
        <v>57.54</v>
      </c>
      <c r="M5384" s="6" t="n">
        <v>1</v>
      </c>
      <c r="N5384" s="43" t="n">
        <f aca="false">M5384*H5384</f>
        <v>57.54</v>
      </c>
      <c r="O5384" s="42" t="n">
        <f aca="false">N5384</f>
        <v>57.54</v>
      </c>
    </row>
    <row r="5385" customFormat="false" ht="15" hidden="false" customHeight="false" outlineLevel="0" collapsed="false">
      <c r="B5385" s="7" t="s">
        <v>14018</v>
      </c>
      <c r="C5385" s="39" t="n">
        <v>45989</v>
      </c>
      <c r="D5385" s="7" t="s">
        <v>184</v>
      </c>
      <c r="E5385" s="7" t="s">
        <v>180</v>
      </c>
      <c r="F5385" s="6" t="n">
        <v>7.69</v>
      </c>
      <c r="G5385" s="6" t="n">
        <v>0</v>
      </c>
      <c r="H5385" s="41" t="n">
        <v>17.34</v>
      </c>
      <c r="I5385" s="43" t="n">
        <f aca="false">F5385*H5385</f>
        <v>133.3446</v>
      </c>
      <c r="J5385" s="43" t="n">
        <f aca="false">G5385*H5385*1.5</f>
        <v>0</v>
      </c>
      <c r="K5385" s="6" t="n">
        <v>25.98</v>
      </c>
      <c r="L5385" s="43" t="n">
        <f aca="false">K5385*'Chart of Accounts'!$E$68</f>
        <v>17.4066</v>
      </c>
      <c r="O5385" s="42" t="n">
        <f aca="false">I5385+J5385+L5385</f>
        <v>150.7512</v>
      </c>
    </row>
    <row r="5386" customFormat="false" ht="15" hidden="false" customHeight="false" outlineLevel="0" collapsed="false">
      <c r="B5386" s="7" t="s">
        <v>14019</v>
      </c>
      <c r="C5386" s="39" t="n">
        <v>45989</v>
      </c>
      <c r="D5386" s="7" t="s">
        <v>216</v>
      </c>
      <c r="E5386" s="7" t="s">
        <v>158</v>
      </c>
      <c r="H5386" s="41" t="n">
        <v>61.79</v>
      </c>
      <c r="M5386" s="6" t="n">
        <v>1</v>
      </c>
      <c r="N5386" s="43" t="n">
        <f aca="false">M5386*H5386</f>
        <v>61.79</v>
      </c>
      <c r="O5386" s="42" t="n">
        <f aca="false">N5386</f>
        <v>61.79</v>
      </c>
    </row>
    <row r="5387" customFormat="false" ht="15" hidden="false" customHeight="false" outlineLevel="0" collapsed="false">
      <c r="B5387" s="7" t="s">
        <v>14020</v>
      </c>
      <c r="C5387" s="39" t="n">
        <v>45989</v>
      </c>
      <c r="D5387" s="7" t="s">
        <v>234</v>
      </c>
      <c r="E5387" s="7" t="s">
        <v>158</v>
      </c>
      <c r="H5387" s="41" t="n">
        <v>89.53</v>
      </c>
      <c r="M5387" s="6" t="n">
        <v>1</v>
      </c>
      <c r="N5387" s="43" t="n">
        <f aca="false">M5387*H5387</f>
        <v>89.53</v>
      </c>
      <c r="O5387" s="42" t="n">
        <f aca="false">N5387</f>
        <v>89.53</v>
      </c>
    </row>
    <row r="5388" customFormat="false" ht="15" hidden="false" customHeight="false" outlineLevel="0" collapsed="false">
      <c r="B5388" s="7" t="s">
        <v>14021</v>
      </c>
      <c r="C5388" s="39" t="n">
        <v>45989</v>
      </c>
      <c r="D5388" s="7" t="s">
        <v>218</v>
      </c>
      <c r="E5388" s="7" t="s">
        <v>180</v>
      </c>
      <c r="F5388" s="6" t="n">
        <v>4.17</v>
      </c>
      <c r="G5388" s="6" t="n">
        <v>0</v>
      </c>
      <c r="H5388" s="41" t="n">
        <v>16.19</v>
      </c>
      <c r="I5388" s="43" t="n">
        <f aca="false">F5388*H5388</f>
        <v>67.5123</v>
      </c>
      <c r="J5388" s="43" t="n">
        <f aca="false">G5388*H5388*1.5</f>
        <v>0</v>
      </c>
      <c r="K5388" s="6" t="n">
        <v>11.9</v>
      </c>
      <c r="L5388" s="43" t="n">
        <f aca="false">K5388*'Chart of Accounts'!$E$68</f>
        <v>7.973</v>
      </c>
      <c r="O5388" s="42" t="n">
        <f aca="false">I5388+J5388+L5388</f>
        <v>75.4853</v>
      </c>
    </row>
    <row r="5389" customFormat="false" ht="15" hidden="false" customHeight="false" outlineLevel="0" collapsed="false">
      <c r="B5389" s="7" t="s">
        <v>14022</v>
      </c>
      <c r="C5389" s="39" t="n">
        <v>45989</v>
      </c>
      <c r="D5389" s="7" t="s">
        <v>187</v>
      </c>
      <c r="E5389" s="7" t="s">
        <v>158</v>
      </c>
      <c r="H5389" s="41" t="n">
        <v>66.48</v>
      </c>
      <c r="M5389" s="6" t="n">
        <v>1</v>
      </c>
      <c r="N5389" s="43" t="n">
        <f aca="false">M5389*H5389</f>
        <v>66.48</v>
      </c>
      <c r="O5389" s="42" t="n">
        <f aca="false">N5389</f>
        <v>66.48</v>
      </c>
    </row>
    <row r="5390" customFormat="false" ht="15" hidden="false" customHeight="false" outlineLevel="0" collapsed="false">
      <c r="B5390" s="7" t="s">
        <v>14023</v>
      </c>
      <c r="C5390" s="39" t="n">
        <v>45989</v>
      </c>
      <c r="D5390" s="7" t="s">
        <v>228</v>
      </c>
      <c r="E5390" s="7" t="s">
        <v>158</v>
      </c>
      <c r="H5390" s="41" t="n">
        <v>51.07</v>
      </c>
      <c r="M5390" s="6" t="n">
        <v>1</v>
      </c>
      <c r="N5390" s="43" t="n">
        <f aca="false">M5390*H5390</f>
        <v>51.07</v>
      </c>
      <c r="O5390" s="42" t="n">
        <f aca="false">N5390</f>
        <v>51.07</v>
      </c>
    </row>
    <row r="5391" customFormat="false" ht="15" hidden="false" customHeight="false" outlineLevel="0" collapsed="false">
      <c r="B5391" s="7" t="s">
        <v>14024</v>
      </c>
      <c r="C5391" s="39" t="n">
        <v>45989</v>
      </c>
      <c r="D5391" s="7" t="s">
        <v>220</v>
      </c>
      <c r="E5391" s="7" t="s">
        <v>180</v>
      </c>
      <c r="F5391" s="6" t="n">
        <v>3.91</v>
      </c>
      <c r="G5391" s="6" t="n">
        <v>0</v>
      </c>
      <c r="H5391" s="41" t="n">
        <v>16.43</v>
      </c>
      <c r="I5391" s="43" t="n">
        <f aca="false">F5391*H5391</f>
        <v>64.2413</v>
      </c>
      <c r="J5391" s="43" t="n">
        <f aca="false">G5391*H5391*1.5</f>
        <v>0</v>
      </c>
      <c r="K5391" s="6" t="n">
        <v>9.11</v>
      </c>
      <c r="L5391" s="43" t="n">
        <f aca="false">K5391*'Chart of Accounts'!$E$68</f>
        <v>6.1037</v>
      </c>
      <c r="O5391" s="42" t="n">
        <f aca="false">I5391+J5391+L5391</f>
        <v>70.345</v>
      </c>
    </row>
    <row r="5392" customFormat="false" ht="15" hidden="false" customHeight="false" outlineLevel="0" collapsed="false">
      <c r="B5392" s="7" t="s">
        <v>14025</v>
      </c>
      <c r="C5392" s="39" t="n">
        <v>45989</v>
      </c>
      <c r="D5392" s="7" t="s">
        <v>236</v>
      </c>
      <c r="E5392" s="7" t="s">
        <v>180</v>
      </c>
      <c r="F5392" s="6" t="n">
        <v>3.1</v>
      </c>
      <c r="G5392" s="6" t="n">
        <v>0</v>
      </c>
      <c r="H5392" s="41" t="n">
        <v>15.49</v>
      </c>
      <c r="I5392" s="43" t="n">
        <f aca="false">F5392*H5392</f>
        <v>48.019</v>
      </c>
      <c r="J5392" s="43" t="n">
        <f aca="false">G5392*H5392*1.5</f>
        <v>0</v>
      </c>
      <c r="K5392" s="6" t="n">
        <v>10.08</v>
      </c>
      <c r="L5392" s="43" t="n">
        <f aca="false">K5392*'Chart of Accounts'!$E$68</f>
        <v>6.7536</v>
      </c>
      <c r="O5392" s="42" t="n">
        <f aca="false">I5392+J5392+L5392</f>
        <v>54.7726</v>
      </c>
    </row>
    <row r="5393" customFormat="false" ht="15" hidden="false" customHeight="false" outlineLevel="0" collapsed="false">
      <c r="B5393" s="7" t="s">
        <v>14026</v>
      </c>
      <c r="C5393" s="39" t="n">
        <v>45989</v>
      </c>
      <c r="D5393" s="7" t="s">
        <v>242</v>
      </c>
      <c r="E5393" s="7" t="s">
        <v>180</v>
      </c>
      <c r="F5393" s="6" t="n">
        <v>7.32</v>
      </c>
      <c r="G5393" s="6" t="n">
        <v>0</v>
      </c>
      <c r="H5393" s="41" t="n">
        <v>17.99</v>
      </c>
      <c r="I5393" s="43" t="n">
        <f aca="false">F5393*H5393</f>
        <v>131.6868</v>
      </c>
      <c r="J5393" s="43" t="n">
        <f aca="false">G5393*H5393*1.5</f>
        <v>0</v>
      </c>
      <c r="K5393" s="6" t="n">
        <v>23.75</v>
      </c>
      <c r="L5393" s="43" t="n">
        <f aca="false">K5393*'Chart of Accounts'!$E$68</f>
        <v>15.9125</v>
      </c>
      <c r="O5393" s="42" t="n">
        <f aca="false">I5393+J5393+L5393</f>
        <v>147.5993</v>
      </c>
    </row>
    <row r="5394" customFormat="false" ht="15" hidden="false" customHeight="false" outlineLevel="0" collapsed="false">
      <c r="B5394" s="7" t="s">
        <v>14027</v>
      </c>
      <c r="C5394" s="39" t="n">
        <v>45989</v>
      </c>
      <c r="D5394" s="7" t="s">
        <v>244</v>
      </c>
      <c r="E5394" s="7" t="s">
        <v>180</v>
      </c>
      <c r="F5394" s="6" t="n">
        <v>4.19</v>
      </c>
      <c r="G5394" s="6" t="n">
        <v>0</v>
      </c>
      <c r="H5394" s="41" t="n">
        <v>16.39</v>
      </c>
      <c r="I5394" s="43" t="n">
        <f aca="false">F5394*H5394</f>
        <v>68.6741</v>
      </c>
      <c r="J5394" s="43" t="n">
        <f aca="false">G5394*H5394*1.5</f>
        <v>0</v>
      </c>
      <c r="K5394" s="6" t="n">
        <v>13.86</v>
      </c>
      <c r="L5394" s="43" t="n">
        <f aca="false">K5394*'Chart of Accounts'!$E$68</f>
        <v>9.2862</v>
      </c>
      <c r="O5394" s="42" t="n">
        <f aca="false">I5394+J5394+L5394</f>
        <v>77.9603</v>
      </c>
    </row>
    <row r="5395" customFormat="false" ht="15" hidden="false" customHeight="false" outlineLevel="0" collapsed="false">
      <c r="B5395" s="7" t="s">
        <v>14028</v>
      </c>
      <c r="C5395" s="39" t="n">
        <v>45989</v>
      </c>
      <c r="D5395" s="7" t="s">
        <v>254</v>
      </c>
      <c r="E5395" s="7" t="s">
        <v>180</v>
      </c>
      <c r="F5395" s="6" t="n">
        <v>7.371</v>
      </c>
      <c r="G5395" s="6" t="n">
        <v>0.249</v>
      </c>
      <c r="H5395" s="41" t="n">
        <v>17.1</v>
      </c>
      <c r="I5395" s="43" t="n">
        <f aca="false">F5395*H5395</f>
        <v>126.0441</v>
      </c>
      <c r="J5395" s="43" t="n">
        <f aca="false">G5395*H5395*1.5</f>
        <v>6.38685</v>
      </c>
      <c r="K5395" s="6" t="n">
        <v>19.99</v>
      </c>
      <c r="L5395" s="43" t="n">
        <f aca="false">K5395*'Chart of Accounts'!$E$68</f>
        <v>13.3933</v>
      </c>
      <c r="O5395" s="42" t="n">
        <f aca="false">I5395+J5395+L5395</f>
        <v>145.82425</v>
      </c>
    </row>
    <row r="5396" customFormat="false" ht="15" hidden="false" customHeight="false" outlineLevel="0" collapsed="false">
      <c r="B5396" s="7" t="s">
        <v>14029</v>
      </c>
      <c r="C5396" s="39" t="n">
        <v>45989</v>
      </c>
      <c r="D5396" s="7" t="s">
        <v>201</v>
      </c>
      <c r="E5396" s="7" t="s">
        <v>180</v>
      </c>
      <c r="F5396" s="6" t="n">
        <v>6.31</v>
      </c>
      <c r="G5396" s="6" t="n">
        <v>0</v>
      </c>
      <c r="H5396" s="41" t="n">
        <v>15.19</v>
      </c>
      <c r="I5396" s="43" t="n">
        <f aca="false">F5396*H5396</f>
        <v>95.8489</v>
      </c>
      <c r="J5396" s="43" t="n">
        <f aca="false">G5396*H5396*1.5</f>
        <v>0</v>
      </c>
      <c r="K5396" s="6" t="n">
        <v>16.48</v>
      </c>
      <c r="L5396" s="43" t="n">
        <f aca="false">K5396*'Chart of Accounts'!$E$68</f>
        <v>11.0416</v>
      </c>
      <c r="O5396" s="42" t="n">
        <f aca="false">I5396+J5396+L5396</f>
        <v>106.8905</v>
      </c>
    </row>
    <row r="5397" customFormat="false" ht="15" hidden="false" customHeight="false" outlineLevel="0" collapsed="false">
      <c r="B5397" s="7" t="s">
        <v>14030</v>
      </c>
      <c r="C5397" s="39" t="n">
        <v>45989</v>
      </c>
      <c r="D5397" s="7" t="s">
        <v>232</v>
      </c>
      <c r="E5397" s="7" t="s">
        <v>180</v>
      </c>
      <c r="F5397" s="6" t="n">
        <v>7.8</v>
      </c>
      <c r="G5397" s="6" t="n">
        <v>0</v>
      </c>
      <c r="H5397" s="41" t="n">
        <v>16.17</v>
      </c>
      <c r="I5397" s="43" t="n">
        <f aca="false">F5397*H5397</f>
        <v>126.126</v>
      </c>
      <c r="J5397" s="43" t="n">
        <f aca="false">G5397*H5397*1.5</f>
        <v>0</v>
      </c>
      <c r="K5397" s="6" t="n">
        <v>23.71</v>
      </c>
      <c r="L5397" s="43" t="n">
        <f aca="false">K5397*'Chart of Accounts'!$E$68</f>
        <v>15.8857</v>
      </c>
      <c r="O5397" s="42" t="n">
        <f aca="false">I5397+J5397+L5397</f>
        <v>142.0117</v>
      </c>
    </row>
    <row r="5398" customFormat="false" ht="15" hidden="false" customHeight="false" outlineLevel="0" collapsed="false">
      <c r="B5398" s="7" t="s">
        <v>14031</v>
      </c>
      <c r="C5398" s="39" t="n">
        <v>45989</v>
      </c>
      <c r="D5398" s="7" t="s">
        <v>222</v>
      </c>
      <c r="E5398" s="7" t="s">
        <v>180</v>
      </c>
      <c r="F5398" s="6" t="n">
        <v>7.372</v>
      </c>
      <c r="G5398" s="6" t="n">
        <v>0.018</v>
      </c>
      <c r="H5398" s="41" t="n">
        <v>17.84</v>
      </c>
      <c r="I5398" s="43" t="n">
        <f aca="false">F5398*H5398</f>
        <v>131.51648</v>
      </c>
      <c r="J5398" s="43" t="n">
        <f aca="false">G5398*H5398*1.5</f>
        <v>0.48168</v>
      </c>
      <c r="K5398" s="6" t="n">
        <v>21.39</v>
      </c>
      <c r="L5398" s="43" t="n">
        <f aca="false">K5398*'Chart of Accounts'!$E$68</f>
        <v>14.3313</v>
      </c>
      <c r="O5398" s="42" t="n">
        <f aca="false">I5398+J5398+L5398</f>
        <v>146.32946</v>
      </c>
    </row>
    <row r="5399" customFormat="false" ht="15" hidden="false" customHeight="false" outlineLevel="0" collapsed="false">
      <c r="B5399" s="7" t="s">
        <v>14032</v>
      </c>
      <c r="C5399" s="39" t="n">
        <v>45989</v>
      </c>
      <c r="D5399" s="7" t="s">
        <v>258</v>
      </c>
      <c r="E5399" s="7" t="s">
        <v>158</v>
      </c>
      <c r="H5399" s="41" t="n">
        <v>61.61</v>
      </c>
      <c r="M5399" s="6" t="n">
        <v>1</v>
      </c>
      <c r="N5399" s="43" t="n">
        <f aca="false">M5399*H5399</f>
        <v>61.61</v>
      </c>
      <c r="O5399" s="42" t="n">
        <f aca="false">N5399</f>
        <v>61.61</v>
      </c>
    </row>
    <row r="5400" customFormat="false" ht="15" hidden="false" customHeight="false" outlineLevel="0" collapsed="false">
      <c r="B5400" s="7" t="s">
        <v>14033</v>
      </c>
      <c r="C5400" s="39" t="n">
        <v>45989</v>
      </c>
      <c r="D5400" s="7" t="s">
        <v>224</v>
      </c>
      <c r="E5400" s="7" t="s">
        <v>180</v>
      </c>
      <c r="F5400" s="6" t="n">
        <v>4.31</v>
      </c>
      <c r="G5400" s="6" t="n">
        <v>0</v>
      </c>
      <c r="H5400" s="41" t="n">
        <v>14.93</v>
      </c>
      <c r="I5400" s="43" t="n">
        <f aca="false">F5400*H5400</f>
        <v>64.3483</v>
      </c>
      <c r="J5400" s="43" t="n">
        <f aca="false">G5400*H5400*1.5</f>
        <v>0</v>
      </c>
      <c r="K5400" s="6" t="n">
        <v>13.94</v>
      </c>
      <c r="L5400" s="43" t="n">
        <f aca="false">K5400*'Chart of Accounts'!$E$68</f>
        <v>9.3398</v>
      </c>
      <c r="O5400" s="42" t="n">
        <f aca="false">I5400+J5400+L5400</f>
        <v>73.6881</v>
      </c>
    </row>
    <row r="5401" customFormat="false" ht="15" hidden="false" customHeight="false" outlineLevel="0" collapsed="false">
      <c r="B5401" s="7" t="s">
        <v>14034</v>
      </c>
      <c r="C5401" s="39" t="n">
        <v>45989</v>
      </c>
      <c r="D5401" s="7" t="s">
        <v>230</v>
      </c>
      <c r="E5401" s="7" t="s">
        <v>158</v>
      </c>
      <c r="H5401" s="41" t="n">
        <v>48.78</v>
      </c>
      <c r="M5401" s="6" t="n">
        <v>1</v>
      </c>
      <c r="N5401" s="43" t="n">
        <f aca="false">M5401*H5401</f>
        <v>48.78</v>
      </c>
      <c r="O5401" s="42" t="n">
        <f aca="false">N5401</f>
        <v>48.78</v>
      </c>
    </row>
    <row r="5402" customFormat="false" ht="15" hidden="false" customHeight="false" outlineLevel="0" collapsed="false">
      <c r="B5402" s="7" t="s">
        <v>14035</v>
      </c>
      <c r="C5402" s="39" t="n">
        <v>45989</v>
      </c>
      <c r="D5402" s="7" t="s">
        <v>238</v>
      </c>
      <c r="E5402" s="7" t="s">
        <v>180</v>
      </c>
      <c r="F5402" s="6" t="n">
        <v>3.96</v>
      </c>
      <c r="G5402" s="6" t="n">
        <v>0</v>
      </c>
      <c r="H5402" s="41" t="n">
        <v>15.85</v>
      </c>
      <c r="I5402" s="43" t="n">
        <f aca="false">F5402*H5402</f>
        <v>62.766</v>
      </c>
      <c r="J5402" s="43" t="n">
        <f aca="false">G5402*H5402*1.5</f>
        <v>0</v>
      </c>
      <c r="K5402" s="6" t="n">
        <v>11.72</v>
      </c>
      <c r="L5402" s="43" t="n">
        <f aca="false">K5402*'Chart of Accounts'!$E$68</f>
        <v>7.8524</v>
      </c>
      <c r="O5402" s="42" t="n">
        <f aca="false">I5402+J5402+L5402</f>
        <v>70.6184</v>
      </c>
    </row>
    <row r="5403" customFormat="false" ht="15" hidden="false" customHeight="false" outlineLevel="0" collapsed="false">
      <c r="B5403" s="7" t="s">
        <v>14036</v>
      </c>
      <c r="C5403" s="39" t="n">
        <v>45989</v>
      </c>
      <c r="D5403" s="7" t="s">
        <v>196</v>
      </c>
      <c r="E5403" s="7" t="s">
        <v>180</v>
      </c>
      <c r="F5403" s="6" t="n">
        <v>4.07</v>
      </c>
      <c r="G5403" s="6" t="n">
        <v>0.32</v>
      </c>
      <c r="H5403" s="41" t="n">
        <v>15.05</v>
      </c>
      <c r="I5403" s="43" t="n">
        <f aca="false">F5403*H5403</f>
        <v>61.2535</v>
      </c>
      <c r="J5403" s="43" t="n">
        <f aca="false">G5403*H5403*1.5</f>
        <v>7.224</v>
      </c>
      <c r="K5403" s="6" t="n">
        <v>11.85</v>
      </c>
      <c r="L5403" s="43" t="n">
        <f aca="false">K5403*'Chart of Accounts'!$E$68</f>
        <v>7.9395</v>
      </c>
      <c r="O5403" s="42" t="n">
        <f aca="false">I5403+J5403+L5403</f>
        <v>76.417</v>
      </c>
    </row>
    <row r="5404" customFormat="false" ht="15" hidden="false" customHeight="false" outlineLevel="0" collapsed="false">
      <c r="B5404" s="7" t="s">
        <v>14037</v>
      </c>
      <c r="C5404" s="39" t="n">
        <v>45989</v>
      </c>
      <c r="D5404" s="7" t="s">
        <v>246</v>
      </c>
      <c r="E5404" s="7" t="s">
        <v>180</v>
      </c>
      <c r="F5404" s="6" t="n">
        <v>3.96</v>
      </c>
      <c r="G5404" s="6" t="n">
        <v>0</v>
      </c>
      <c r="H5404" s="41" t="n">
        <v>16.48</v>
      </c>
      <c r="I5404" s="43" t="n">
        <f aca="false">F5404*H5404</f>
        <v>65.2608</v>
      </c>
      <c r="J5404" s="43" t="n">
        <f aca="false">G5404*H5404*1.5</f>
        <v>0</v>
      </c>
      <c r="K5404" s="6" t="n">
        <v>11.77</v>
      </c>
      <c r="L5404" s="43" t="n">
        <f aca="false">K5404*'Chart of Accounts'!$E$68</f>
        <v>7.8859</v>
      </c>
      <c r="O5404" s="42" t="n">
        <f aca="false">I5404+J5404+L5404</f>
        <v>73.1467</v>
      </c>
    </row>
    <row r="5405" customFormat="false" ht="15" hidden="false" customHeight="false" outlineLevel="0" collapsed="false">
      <c r="B5405" s="7" t="s">
        <v>14038</v>
      </c>
      <c r="C5405" s="39" t="n">
        <v>45989</v>
      </c>
      <c r="D5405" s="7" t="s">
        <v>203</v>
      </c>
      <c r="E5405" s="7" t="s">
        <v>158</v>
      </c>
      <c r="H5405" s="41" t="n">
        <v>49.43</v>
      </c>
      <c r="M5405" s="6" t="n">
        <v>1</v>
      </c>
      <c r="N5405" s="43" t="n">
        <f aca="false">M5405*H5405</f>
        <v>49.43</v>
      </c>
      <c r="O5405" s="42" t="n">
        <f aca="false">N5405</f>
        <v>49.43</v>
      </c>
    </row>
    <row r="5406" customFormat="false" ht="15" hidden="false" customHeight="false" outlineLevel="0" collapsed="false">
      <c r="B5406" s="7" t="s">
        <v>14039</v>
      </c>
      <c r="C5406" s="39" t="n">
        <v>45989</v>
      </c>
      <c r="D5406" s="7" t="s">
        <v>260</v>
      </c>
      <c r="E5406" s="7" t="s">
        <v>158</v>
      </c>
      <c r="H5406" s="41" t="n">
        <v>79.8</v>
      </c>
      <c r="M5406" s="6" t="n">
        <v>1</v>
      </c>
      <c r="N5406" s="43" t="n">
        <f aca="false">M5406*H5406</f>
        <v>79.8</v>
      </c>
      <c r="O5406" s="42" t="n">
        <f aca="false">N5406</f>
        <v>79.8</v>
      </c>
    </row>
    <row r="5407" customFormat="false" ht="15" hidden="false" customHeight="false" outlineLevel="0" collapsed="false">
      <c r="B5407" s="7" t="s">
        <v>14040</v>
      </c>
      <c r="C5407" s="39" t="n">
        <v>45990</v>
      </c>
      <c r="D5407" s="7" t="s">
        <v>246</v>
      </c>
      <c r="E5407" s="7" t="s">
        <v>180</v>
      </c>
      <c r="F5407" s="6" t="n">
        <v>3.91</v>
      </c>
      <c r="G5407" s="6" t="n">
        <v>0</v>
      </c>
      <c r="H5407" s="41" t="n">
        <v>16.48</v>
      </c>
      <c r="I5407" s="43" t="n">
        <f aca="false">F5407*H5407</f>
        <v>64.4368</v>
      </c>
      <c r="J5407" s="43" t="n">
        <f aca="false">G5407*H5407*1.5</f>
        <v>0</v>
      </c>
      <c r="K5407" s="6" t="n">
        <v>10.86</v>
      </c>
      <c r="L5407" s="43" t="n">
        <f aca="false">K5407*'Chart of Accounts'!$E$68</f>
        <v>7.2762</v>
      </c>
      <c r="O5407" s="42" t="n">
        <f aca="false">I5407+J5407+L5407</f>
        <v>71.713</v>
      </c>
    </row>
    <row r="5408" customFormat="false" ht="15" hidden="false" customHeight="false" outlineLevel="0" collapsed="false">
      <c r="B5408" s="7" t="s">
        <v>14041</v>
      </c>
      <c r="C5408" s="39" t="n">
        <v>45990</v>
      </c>
      <c r="D5408" s="7" t="s">
        <v>218</v>
      </c>
      <c r="E5408" s="7" t="s">
        <v>180</v>
      </c>
      <c r="F5408" s="6" t="n">
        <v>4.39</v>
      </c>
      <c r="G5408" s="6" t="n">
        <v>0</v>
      </c>
      <c r="H5408" s="41" t="n">
        <v>16.19</v>
      </c>
      <c r="I5408" s="43" t="n">
        <f aca="false">F5408*H5408</f>
        <v>71.0741</v>
      </c>
      <c r="J5408" s="43" t="n">
        <f aca="false">G5408*H5408*1.5</f>
        <v>0</v>
      </c>
      <c r="K5408" s="6" t="n">
        <v>10.08</v>
      </c>
      <c r="L5408" s="43" t="n">
        <f aca="false">K5408*'Chart of Accounts'!$E$68</f>
        <v>6.7536</v>
      </c>
      <c r="O5408" s="42" t="n">
        <f aca="false">I5408+J5408+L5408</f>
        <v>77.8277</v>
      </c>
    </row>
    <row r="5409" customFormat="false" ht="15" hidden="false" customHeight="false" outlineLevel="0" collapsed="false">
      <c r="B5409" s="7" t="s">
        <v>14042</v>
      </c>
      <c r="C5409" s="39" t="n">
        <v>45990</v>
      </c>
      <c r="D5409" s="7" t="s">
        <v>244</v>
      </c>
      <c r="E5409" s="7" t="s">
        <v>180</v>
      </c>
      <c r="F5409" s="6" t="n">
        <v>4.14</v>
      </c>
      <c r="G5409" s="6" t="n">
        <v>0</v>
      </c>
      <c r="H5409" s="41" t="n">
        <v>16.39</v>
      </c>
      <c r="I5409" s="43" t="n">
        <f aca="false">F5409*H5409</f>
        <v>67.8546</v>
      </c>
      <c r="J5409" s="43" t="n">
        <f aca="false">G5409*H5409*1.5</f>
        <v>0</v>
      </c>
      <c r="K5409" s="6" t="n">
        <v>12.18</v>
      </c>
      <c r="L5409" s="43" t="n">
        <f aca="false">K5409*'Chart of Accounts'!$E$68</f>
        <v>8.1606</v>
      </c>
      <c r="O5409" s="42" t="n">
        <f aca="false">I5409+J5409+L5409</f>
        <v>76.0152</v>
      </c>
    </row>
    <row r="5410" customFormat="false" ht="15" hidden="false" customHeight="false" outlineLevel="0" collapsed="false">
      <c r="B5410" s="7" t="s">
        <v>14043</v>
      </c>
      <c r="C5410" s="39" t="n">
        <v>45990</v>
      </c>
      <c r="D5410" s="7" t="s">
        <v>196</v>
      </c>
      <c r="E5410" s="7" t="s">
        <v>180</v>
      </c>
      <c r="F5410" s="6" t="n">
        <v>4.061</v>
      </c>
      <c r="G5410" s="6" t="n">
        <v>0.319</v>
      </c>
      <c r="H5410" s="41" t="n">
        <v>15.05</v>
      </c>
      <c r="I5410" s="43" t="n">
        <f aca="false">F5410*H5410</f>
        <v>61.11805</v>
      </c>
      <c r="J5410" s="43" t="n">
        <f aca="false">G5410*H5410*1.5</f>
        <v>7.201425</v>
      </c>
      <c r="K5410" s="6" t="n">
        <v>12.74</v>
      </c>
      <c r="L5410" s="43" t="n">
        <f aca="false">K5410*'Chart of Accounts'!$E$68</f>
        <v>8.5358</v>
      </c>
      <c r="O5410" s="42" t="n">
        <f aca="false">I5410+J5410+L5410</f>
        <v>76.855275</v>
      </c>
    </row>
    <row r="5411" customFormat="false" ht="15" hidden="false" customHeight="false" outlineLevel="0" collapsed="false">
      <c r="B5411" s="7" t="s">
        <v>14044</v>
      </c>
      <c r="C5411" s="39" t="n">
        <v>45990</v>
      </c>
      <c r="D5411" s="7" t="s">
        <v>222</v>
      </c>
      <c r="E5411" s="7" t="s">
        <v>180</v>
      </c>
      <c r="F5411" s="6" t="n">
        <v>4.17</v>
      </c>
      <c r="G5411" s="6" t="n">
        <v>0.01</v>
      </c>
      <c r="H5411" s="41" t="n">
        <v>17.84</v>
      </c>
      <c r="I5411" s="43" t="n">
        <f aca="false">F5411*H5411</f>
        <v>74.3928</v>
      </c>
      <c r="J5411" s="43" t="n">
        <f aca="false">G5411*H5411*1.5</f>
        <v>0.2676</v>
      </c>
      <c r="K5411" s="6" t="n">
        <v>14.1</v>
      </c>
      <c r="L5411" s="43" t="n">
        <f aca="false">K5411*'Chart of Accounts'!$E$68</f>
        <v>9.447</v>
      </c>
      <c r="O5411" s="42" t="n">
        <f aca="false">I5411+J5411+L5411</f>
        <v>84.1074</v>
      </c>
    </row>
    <row r="5412" customFormat="false" ht="15" hidden="false" customHeight="false" outlineLevel="0" collapsed="false">
      <c r="B5412" s="7" t="s">
        <v>14045</v>
      </c>
      <c r="C5412" s="39" t="n">
        <v>45990</v>
      </c>
      <c r="D5412" s="7" t="s">
        <v>242</v>
      </c>
      <c r="E5412" s="7" t="s">
        <v>180</v>
      </c>
      <c r="F5412" s="6" t="n">
        <v>3.9</v>
      </c>
      <c r="G5412" s="6" t="n">
        <v>0</v>
      </c>
      <c r="H5412" s="41" t="n">
        <v>17.99</v>
      </c>
      <c r="I5412" s="43" t="n">
        <f aca="false">F5412*H5412</f>
        <v>70.161</v>
      </c>
      <c r="J5412" s="43" t="n">
        <f aca="false">G5412*H5412*1.5</f>
        <v>0</v>
      </c>
      <c r="K5412" s="6" t="n">
        <v>11.18</v>
      </c>
      <c r="L5412" s="43" t="n">
        <f aca="false">K5412*'Chart of Accounts'!$E$68</f>
        <v>7.4906</v>
      </c>
      <c r="O5412" s="42" t="n">
        <f aca="false">I5412+J5412+L5412</f>
        <v>77.6516</v>
      </c>
    </row>
    <row r="5413" customFormat="false" ht="15" hidden="false" customHeight="false" outlineLevel="0" collapsed="false">
      <c r="B5413" s="7" t="s">
        <v>14046</v>
      </c>
      <c r="C5413" s="39" t="n">
        <v>45990</v>
      </c>
      <c r="D5413" s="7" t="s">
        <v>254</v>
      </c>
      <c r="E5413" s="7" t="s">
        <v>180</v>
      </c>
      <c r="F5413" s="6" t="n">
        <v>3.676</v>
      </c>
      <c r="G5413" s="6" t="n">
        <v>0.124</v>
      </c>
      <c r="H5413" s="41" t="n">
        <v>17.1</v>
      </c>
      <c r="I5413" s="43" t="n">
        <f aca="false">F5413*H5413</f>
        <v>62.8596</v>
      </c>
      <c r="J5413" s="43" t="n">
        <f aca="false">G5413*H5413*1.5</f>
        <v>3.1806</v>
      </c>
      <c r="K5413" s="6" t="n">
        <v>10.51</v>
      </c>
      <c r="L5413" s="43" t="n">
        <f aca="false">K5413*'Chart of Accounts'!$E$68</f>
        <v>7.0417</v>
      </c>
      <c r="O5413" s="42" t="n">
        <f aca="false">I5413+J5413+L5413</f>
        <v>73.0819</v>
      </c>
    </row>
    <row r="5414" customFormat="false" ht="15" hidden="false" customHeight="false" outlineLevel="0" collapsed="false">
      <c r="B5414" s="7" t="s">
        <v>14047</v>
      </c>
      <c r="C5414" s="39" t="n">
        <v>45991</v>
      </c>
      <c r="D5414" s="7" t="s">
        <v>177</v>
      </c>
      <c r="E5414" s="7" t="s">
        <v>180</v>
      </c>
      <c r="F5414" s="6" t="n">
        <v>4.3</v>
      </c>
      <c r="G5414" s="6" t="n">
        <v>0</v>
      </c>
      <c r="H5414" s="41" t="n">
        <v>14.56</v>
      </c>
      <c r="I5414" s="43" t="n">
        <f aca="false">F5414*H5414</f>
        <v>62.608</v>
      </c>
      <c r="J5414" s="43" t="n">
        <f aca="false">G5414*H5414*1.5</f>
        <v>0</v>
      </c>
      <c r="K5414" s="6" t="n">
        <v>15.17</v>
      </c>
      <c r="L5414" s="43" t="n">
        <f aca="false">K5414*'Chart of Accounts'!$E$68</f>
        <v>10.1639</v>
      </c>
      <c r="O5414" s="42" t="n">
        <f aca="false">I5414+J5414+L5414</f>
        <v>72.7719</v>
      </c>
    </row>
    <row r="5415" customFormat="false" ht="15" hidden="false" customHeight="false" outlineLevel="0" collapsed="false">
      <c r="B5415" s="7" t="s">
        <v>14048</v>
      </c>
      <c r="C5415" s="39" t="n">
        <v>45991</v>
      </c>
      <c r="D5415" s="7" t="s">
        <v>218</v>
      </c>
      <c r="E5415" s="7" t="s">
        <v>180</v>
      </c>
      <c r="F5415" s="6" t="n">
        <v>3.9</v>
      </c>
      <c r="G5415" s="6" t="n">
        <v>0</v>
      </c>
      <c r="H5415" s="41" t="n">
        <v>16.19</v>
      </c>
      <c r="I5415" s="43" t="n">
        <f aca="false">F5415*H5415</f>
        <v>63.141</v>
      </c>
      <c r="J5415" s="43" t="n">
        <f aca="false">G5415*H5415*1.5</f>
        <v>0</v>
      </c>
      <c r="K5415" s="6" t="n">
        <v>14.02</v>
      </c>
      <c r="L5415" s="43" t="n">
        <f aca="false">K5415*'Chart of Accounts'!$E$68</f>
        <v>9.3934</v>
      </c>
      <c r="O5415" s="42" t="n">
        <f aca="false">I5415+J5415+L5415</f>
        <v>72.5344</v>
      </c>
    </row>
    <row r="5416" customFormat="false" ht="15" hidden="false" customHeight="false" outlineLevel="0" collapsed="false">
      <c r="B5416" s="7" t="s">
        <v>14049</v>
      </c>
      <c r="C5416" s="39" t="n">
        <v>45991</v>
      </c>
      <c r="D5416" s="7" t="s">
        <v>214</v>
      </c>
      <c r="E5416" s="7" t="s">
        <v>180</v>
      </c>
      <c r="F5416" s="6" t="n">
        <v>4.27</v>
      </c>
      <c r="G5416" s="6" t="n">
        <v>0</v>
      </c>
      <c r="H5416" s="41" t="n">
        <v>15.67</v>
      </c>
      <c r="I5416" s="43" t="n">
        <f aca="false">F5416*H5416</f>
        <v>66.9109</v>
      </c>
      <c r="J5416" s="43" t="n">
        <f aca="false">G5416*H5416*1.5</f>
        <v>0</v>
      </c>
      <c r="K5416" s="6" t="n">
        <v>14.23</v>
      </c>
      <c r="L5416" s="43" t="n">
        <f aca="false">K5416*'Chart of Accounts'!$E$68</f>
        <v>9.5341</v>
      </c>
      <c r="O5416" s="42" t="n">
        <f aca="false">I5416+J5416+L5416</f>
        <v>76.445</v>
      </c>
    </row>
    <row r="5417" customFormat="false" ht="15" hidden="false" customHeight="false" outlineLevel="0" collapsed="false">
      <c r="B5417" s="7" t="s">
        <v>14050</v>
      </c>
      <c r="C5417" s="39" t="n">
        <v>45991</v>
      </c>
      <c r="D5417" s="7" t="s">
        <v>196</v>
      </c>
      <c r="E5417" s="7" t="s">
        <v>180</v>
      </c>
      <c r="F5417" s="6" t="n">
        <v>3.802</v>
      </c>
      <c r="G5417" s="6" t="n">
        <v>0.298</v>
      </c>
      <c r="H5417" s="41" t="n">
        <v>15.05</v>
      </c>
      <c r="I5417" s="43" t="n">
        <f aca="false">F5417*H5417</f>
        <v>57.2201</v>
      </c>
      <c r="J5417" s="43" t="n">
        <f aca="false">G5417*H5417*1.5</f>
        <v>6.72735</v>
      </c>
      <c r="K5417" s="6" t="n">
        <v>9.77</v>
      </c>
      <c r="L5417" s="43" t="n">
        <f aca="false">K5417*'Chart of Accounts'!$E$68</f>
        <v>6.5459</v>
      </c>
      <c r="O5417" s="42" t="n">
        <f aca="false">I5417+J5417+L5417</f>
        <v>70.49335</v>
      </c>
    </row>
    <row r="5418" customFormat="false" ht="15" hidden="false" customHeight="false" outlineLevel="0" collapsed="false">
      <c r="B5418" s="7" t="s">
        <v>14051</v>
      </c>
      <c r="C5418" s="39" t="n">
        <v>45991</v>
      </c>
      <c r="D5418" s="7" t="s">
        <v>222</v>
      </c>
      <c r="E5418" s="7" t="s">
        <v>180</v>
      </c>
      <c r="F5418" s="6" t="n">
        <v>4.04</v>
      </c>
      <c r="G5418" s="6" t="n">
        <v>0.01</v>
      </c>
      <c r="H5418" s="41" t="n">
        <v>17.84</v>
      </c>
      <c r="I5418" s="43" t="n">
        <f aca="false">F5418*H5418</f>
        <v>72.0736</v>
      </c>
      <c r="J5418" s="43" t="n">
        <f aca="false">G5418*H5418*1.5</f>
        <v>0.2676</v>
      </c>
      <c r="K5418" s="6" t="n">
        <v>10.99</v>
      </c>
      <c r="L5418" s="43" t="n">
        <f aca="false">K5418*'Chart of Accounts'!$E$68</f>
        <v>7.3633</v>
      </c>
      <c r="O5418" s="42" t="n">
        <f aca="false">I5418+J5418+L5418</f>
        <v>79.7045</v>
      </c>
    </row>
    <row r="5419" customFormat="false" ht="15" hidden="false" customHeight="false" outlineLevel="0" collapsed="false">
      <c r="B5419" s="7" t="s">
        <v>14052</v>
      </c>
      <c r="C5419" s="39" t="n">
        <v>45991</v>
      </c>
      <c r="D5419" s="7" t="s">
        <v>242</v>
      </c>
      <c r="E5419" s="7" t="s">
        <v>180</v>
      </c>
      <c r="F5419" s="6" t="n">
        <v>4.12</v>
      </c>
      <c r="G5419" s="6" t="n">
        <v>0</v>
      </c>
      <c r="H5419" s="41" t="n">
        <v>17.99</v>
      </c>
      <c r="I5419" s="43" t="n">
        <f aca="false">F5419*H5419</f>
        <v>74.1188</v>
      </c>
      <c r="J5419" s="43" t="n">
        <f aca="false">G5419*H5419*1.5</f>
        <v>0</v>
      </c>
      <c r="K5419" s="6" t="n">
        <v>12.47</v>
      </c>
      <c r="L5419" s="43" t="n">
        <f aca="false">K5419*'Chart of Accounts'!$E$68</f>
        <v>8.3549</v>
      </c>
      <c r="O5419" s="42" t="n">
        <f aca="false">I5419+J5419+L5419</f>
        <v>82.4737</v>
      </c>
    </row>
    <row r="5420" customFormat="false" ht="15" hidden="false" customHeight="false" outlineLevel="0" collapsed="false">
      <c r="B5420" s="7" t="s">
        <v>14053</v>
      </c>
      <c r="C5420" s="39" t="n">
        <v>45991</v>
      </c>
      <c r="D5420" s="7" t="s">
        <v>254</v>
      </c>
      <c r="E5420" s="7" t="s">
        <v>180</v>
      </c>
      <c r="F5420" s="6" t="n">
        <v>3.57</v>
      </c>
      <c r="G5420" s="6" t="n">
        <v>0.12</v>
      </c>
      <c r="H5420" s="41" t="n">
        <v>17.1</v>
      </c>
      <c r="I5420" s="43" t="n">
        <f aca="false">F5420*H5420</f>
        <v>61.047</v>
      </c>
      <c r="J5420" s="43" t="n">
        <f aca="false">G5420*H5420*1.5</f>
        <v>3.078</v>
      </c>
      <c r="K5420" s="6" t="n">
        <v>10.7</v>
      </c>
      <c r="L5420" s="43" t="n">
        <f aca="false">K5420*'Chart of Accounts'!$E$68</f>
        <v>7.169</v>
      </c>
      <c r="O5420" s="42" t="n">
        <f aca="false">I5420+J5420+L5420</f>
        <v>71.294</v>
      </c>
    </row>
    <row r="5421" customFormat="false" ht="15" hidden="false" customHeight="false" outlineLevel="0" collapsed="false">
      <c r="B5421" s="7" t="s">
        <v>14054</v>
      </c>
      <c r="C5421" s="39" t="n">
        <v>45992</v>
      </c>
      <c r="D5421" s="7" t="s">
        <v>244</v>
      </c>
      <c r="E5421" s="7" t="s">
        <v>180</v>
      </c>
      <c r="F5421" s="6" t="n">
        <v>8.04</v>
      </c>
      <c r="G5421" s="6" t="n">
        <v>0</v>
      </c>
      <c r="H5421" s="41" t="n">
        <v>16.39</v>
      </c>
      <c r="I5421" s="43" t="n">
        <f aca="false">F5421*H5421</f>
        <v>131.7756</v>
      </c>
      <c r="J5421" s="43" t="n">
        <f aca="false">G5421*H5421*1.5</f>
        <v>0</v>
      </c>
      <c r="K5421" s="6" t="n">
        <v>20.56</v>
      </c>
      <c r="L5421" s="43" t="n">
        <f aca="false">K5421*'Chart of Accounts'!$E$68</f>
        <v>13.7752</v>
      </c>
      <c r="O5421" s="42" t="n">
        <f aca="false">I5421+J5421+L5421</f>
        <v>145.5508</v>
      </c>
    </row>
    <row r="5422" customFormat="false" ht="15" hidden="false" customHeight="false" outlineLevel="0" collapsed="false">
      <c r="B5422" s="7" t="s">
        <v>14055</v>
      </c>
      <c r="C5422" s="39" t="n">
        <v>45992</v>
      </c>
      <c r="D5422" s="7" t="s">
        <v>194</v>
      </c>
      <c r="E5422" s="7" t="s">
        <v>180</v>
      </c>
      <c r="F5422" s="6" t="n">
        <v>12.26</v>
      </c>
      <c r="G5422" s="6" t="n">
        <v>0</v>
      </c>
      <c r="H5422" s="41" t="n">
        <v>16</v>
      </c>
      <c r="I5422" s="43" t="n">
        <f aca="false">F5422*H5422</f>
        <v>196.16</v>
      </c>
      <c r="J5422" s="43" t="n">
        <f aca="false">G5422*H5422*1.5</f>
        <v>0</v>
      </c>
      <c r="K5422" s="6" t="n">
        <v>34.8</v>
      </c>
      <c r="L5422" s="43" t="n">
        <f aca="false">K5422*'Chart of Accounts'!$E$68</f>
        <v>23.316</v>
      </c>
      <c r="O5422" s="42" t="n">
        <f aca="false">I5422+J5422+L5422</f>
        <v>219.476</v>
      </c>
    </row>
    <row r="5423" customFormat="false" ht="15" hidden="false" customHeight="false" outlineLevel="0" collapsed="false">
      <c r="B5423" s="7" t="s">
        <v>14056</v>
      </c>
      <c r="C5423" s="39" t="n">
        <v>45992</v>
      </c>
      <c r="D5423" s="7" t="s">
        <v>214</v>
      </c>
      <c r="E5423" s="7" t="s">
        <v>180</v>
      </c>
      <c r="F5423" s="6" t="n">
        <v>10.81</v>
      </c>
      <c r="G5423" s="6" t="n">
        <v>0</v>
      </c>
      <c r="H5423" s="41" t="n">
        <v>15.67</v>
      </c>
      <c r="I5423" s="43" t="n">
        <f aca="false">F5423*H5423</f>
        <v>169.3927</v>
      </c>
      <c r="J5423" s="43" t="n">
        <f aca="false">G5423*H5423*1.5</f>
        <v>0</v>
      </c>
      <c r="K5423" s="6" t="n">
        <v>38.58</v>
      </c>
      <c r="L5423" s="43" t="n">
        <f aca="false">K5423*'Chart of Accounts'!$E$68</f>
        <v>25.8486</v>
      </c>
      <c r="O5423" s="42" t="n">
        <f aca="false">I5423+J5423+L5423</f>
        <v>195.2413</v>
      </c>
    </row>
    <row r="5424" customFormat="false" ht="15" hidden="false" customHeight="false" outlineLevel="0" collapsed="false">
      <c r="B5424" s="7" t="s">
        <v>14057</v>
      </c>
      <c r="C5424" s="39" t="n">
        <v>45992</v>
      </c>
      <c r="D5424" s="7" t="s">
        <v>201</v>
      </c>
      <c r="E5424" s="7" t="s">
        <v>180</v>
      </c>
      <c r="F5424" s="6" t="n">
        <v>13.46</v>
      </c>
      <c r="G5424" s="6" t="n">
        <v>0</v>
      </c>
      <c r="H5424" s="41" t="n">
        <v>15.19</v>
      </c>
      <c r="I5424" s="43" t="n">
        <f aca="false">F5424*H5424</f>
        <v>204.4574</v>
      </c>
      <c r="J5424" s="43" t="n">
        <f aca="false">G5424*H5424*1.5</f>
        <v>0</v>
      </c>
      <c r="K5424" s="6" t="n">
        <v>33.75</v>
      </c>
      <c r="L5424" s="43" t="n">
        <f aca="false">K5424*'Chart of Accounts'!$E$68</f>
        <v>22.6125</v>
      </c>
      <c r="O5424" s="42" t="n">
        <f aca="false">I5424+J5424+L5424</f>
        <v>227.0699</v>
      </c>
    </row>
    <row r="5425" customFormat="false" ht="15" hidden="false" customHeight="false" outlineLevel="0" collapsed="false">
      <c r="B5425" s="7" t="s">
        <v>14058</v>
      </c>
      <c r="C5425" s="39" t="n">
        <v>45992</v>
      </c>
      <c r="D5425" s="7" t="s">
        <v>205</v>
      </c>
      <c r="E5425" s="7" t="s">
        <v>180</v>
      </c>
      <c r="F5425" s="6" t="n">
        <v>10.32</v>
      </c>
      <c r="G5425" s="6" t="n">
        <v>0</v>
      </c>
      <c r="H5425" s="41" t="n">
        <v>16.36</v>
      </c>
      <c r="I5425" s="43" t="n">
        <f aca="false">F5425*H5425</f>
        <v>168.8352</v>
      </c>
      <c r="J5425" s="43" t="n">
        <f aca="false">G5425*H5425*1.5</f>
        <v>0</v>
      </c>
      <c r="K5425" s="6" t="n">
        <v>24.55</v>
      </c>
      <c r="L5425" s="43" t="n">
        <f aca="false">K5425*'Chart of Accounts'!$E$68</f>
        <v>16.4485</v>
      </c>
      <c r="O5425" s="42" t="n">
        <f aca="false">I5425+J5425+L5425</f>
        <v>185.2837</v>
      </c>
    </row>
    <row r="5426" customFormat="false" ht="15" hidden="false" customHeight="false" outlineLevel="0" collapsed="false">
      <c r="B5426" s="7" t="s">
        <v>14059</v>
      </c>
      <c r="C5426" s="39" t="n">
        <v>45992</v>
      </c>
      <c r="D5426" s="7" t="s">
        <v>240</v>
      </c>
      <c r="E5426" s="7" t="s">
        <v>180</v>
      </c>
      <c r="F5426" s="6" t="n">
        <v>6.91</v>
      </c>
      <c r="G5426" s="6" t="n">
        <v>0</v>
      </c>
      <c r="H5426" s="41" t="n">
        <v>16.96</v>
      </c>
      <c r="I5426" s="43" t="n">
        <f aca="false">F5426*H5426</f>
        <v>117.1936</v>
      </c>
      <c r="J5426" s="43" t="n">
        <f aca="false">G5426*H5426*1.5</f>
        <v>0</v>
      </c>
      <c r="K5426" s="6" t="n">
        <v>23.94</v>
      </c>
      <c r="L5426" s="43" t="n">
        <f aca="false">K5426*'Chart of Accounts'!$E$68</f>
        <v>16.0398</v>
      </c>
      <c r="O5426" s="42" t="n">
        <f aca="false">I5426+J5426+L5426</f>
        <v>133.2334</v>
      </c>
    </row>
    <row r="5427" customFormat="false" ht="15" hidden="false" customHeight="false" outlineLevel="0" collapsed="false">
      <c r="B5427" s="7" t="s">
        <v>14060</v>
      </c>
      <c r="C5427" s="39" t="n">
        <v>45992</v>
      </c>
      <c r="D5427" s="7" t="s">
        <v>264</v>
      </c>
      <c r="E5427" s="7" t="s">
        <v>158</v>
      </c>
      <c r="H5427" s="41" t="n">
        <v>55.55</v>
      </c>
      <c r="M5427" s="6" t="n">
        <v>1</v>
      </c>
      <c r="N5427" s="43" t="n">
        <f aca="false">M5427*H5427</f>
        <v>55.55</v>
      </c>
      <c r="O5427" s="42" t="n">
        <f aca="false">N5427</f>
        <v>55.55</v>
      </c>
    </row>
    <row r="5428" customFormat="false" ht="15" hidden="false" customHeight="false" outlineLevel="0" collapsed="false">
      <c r="B5428" s="7" t="s">
        <v>14061</v>
      </c>
      <c r="C5428" s="39" t="n">
        <v>45992</v>
      </c>
      <c r="D5428" s="7" t="s">
        <v>252</v>
      </c>
      <c r="E5428" s="7" t="s">
        <v>158</v>
      </c>
      <c r="H5428" s="41" t="n">
        <v>57.54</v>
      </c>
      <c r="M5428" s="6" t="n">
        <v>1</v>
      </c>
      <c r="N5428" s="43" t="n">
        <f aca="false">M5428*H5428</f>
        <v>57.54</v>
      </c>
      <c r="O5428" s="42" t="n">
        <f aca="false">N5428</f>
        <v>57.54</v>
      </c>
    </row>
    <row r="5429" customFormat="false" ht="15" hidden="false" customHeight="false" outlineLevel="0" collapsed="false">
      <c r="B5429" s="7" t="s">
        <v>14062</v>
      </c>
      <c r="C5429" s="39" t="n">
        <v>45992</v>
      </c>
      <c r="D5429" s="7" t="s">
        <v>196</v>
      </c>
      <c r="E5429" s="7" t="s">
        <v>180</v>
      </c>
      <c r="F5429" s="6" t="n">
        <v>9.7</v>
      </c>
      <c r="G5429" s="6" t="n">
        <v>0</v>
      </c>
      <c r="H5429" s="41" t="n">
        <v>15.05</v>
      </c>
      <c r="I5429" s="43" t="n">
        <f aca="false">F5429*H5429</f>
        <v>145.985</v>
      </c>
      <c r="J5429" s="43" t="n">
        <f aca="false">G5429*H5429*1.5</f>
        <v>0</v>
      </c>
      <c r="K5429" s="6" t="n">
        <v>29.26</v>
      </c>
      <c r="L5429" s="43" t="n">
        <f aca="false">K5429*'Chart of Accounts'!$E$68</f>
        <v>19.6042</v>
      </c>
      <c r="O5429" s="42" t="n">
        <f aca="false">I5429+J5429+L5429</f>
        <v>165.5892</v>
      </c>
    </row>
    <row r="5430" customFormat="false" ht="15" hidden="false" customHeight="false" outlineLevel="0" collapsed="false">
      <c r="B5430" s="7" t="s">
        <v>14063</v>
      </c>
      <c r="C5430" s="39" t="n">
        <v>45992</v>
      </c>
      <c r="D5430" s="7" t="s">
        <v>184</v>
      </c>
      <c r="E5430" s="7" t="s">
        <v>180</v>
      </c>
      <c r="F5430" s="6" t="n">
        <v>7.33</v>
      </c>
      <c r="G5430" s="6" t="n">
        <v>0</v>
      </c>
      <c r="H5430" s="41" t="n">
        <v>17.34</v>
      </c>
      <c r="I5430" s="43" t="n">
        <f aca="false">F5430*H5430</f>
        <v>127.1022</v>
      </c>
      <c r="J5430" s="43" t="n">
        <f aca="false">G5430*H5430*1.5</f>
        <v>0</v>
      </c>
      <c r="K5430" s="6" t="n">
        <v>16.59</v>
      </c>
      <c r="L5430" s="43" t="n">
        <f aca="false">K5430*'Chart of Accounts'!$E$68</f>
        <v>11.1153</v>
      </c>
      <c r="O5430" s="42" t="n">
        <f aca="false">I5430+J5430+L5430</f>
        <v>138.2175</v>
      </c>
    </row>
    <row r="5431" customFormat="false" ht="15" hidden="false" customHeight="false" outlineLevel="0" collapsed="false">
      <c r="B5431" s="7" t="s">
        <v>14064</v>
      </c>
      <c r="C5431" s="39" t="n">
        <v>45992</v>
      </c>
      <c r="D5431" s="7" t="s">
        <v>216</v>
      </c>
      <c r="E5431" s="7" t="s">
        <v>158</v>
      </c>
      <c r="H5431" s="41" t="n">
        <v>61.79</v>
      </c>
      <c r="M5431" s="6" t="n">
        <v>1</v>
      </c>
      <c r="N5431" s="43" t="n">
        <f aca="false">M5431*H5431</f>
        <v>61.79</v>
      </c>
      <c r="O5431" s="42" t="n">
        <f aca="false">N5431</f>
        <v>61.79</v>
      </c>
    </row>
    <row r="5432" customFormat="false" ht="15" hidden="false" customHeight="false" outlineLevel="0" collapsed="false">
      <c r="B5432" s="7" t="s">
        <v>14065</v>
      </c>
      <c r="C5432" s="39" t="n">
        <v>45992</v>
      </c>
      <c r="D5432" s="7" t="s">
        <v>242</v>
      </c>
      <c r="E5432" s="7" t="s">
        <v>180</v>
      </c>
      <c r="F5432" s="6" t="n">
        <v>9.155</v>
      </c>
      <c r="G5432" s="6" t="n">
        <v>0.895</v>
      </c>
      <c r="H5432" s="41" t="n">
        <v>17.99</v>
      </c>
      <c r="I5432" s="43" t="n">
        <f aca="false">F5432*H5432</f>
        <v>164.69845</v>
      </c>
      <c r="J5432" s="43" t="n">
        <f aca="false">G5432*H5432*1.5</f>
        <v>24.151575</v>
      </c>
      <c r="K5432" s="6" t="n">
        <v>35.05</v>
      </c>
      <c r="L5432" s="43" t="n">
        <f aca="false">K5432*'Chart of Accounts'!$E$68</f>
        <v>23.4835</v>
      </c>
      <c r="O5432" s="42" t="n">
        <f aca="false">I5432+J5432+L5432</f>
        <v>212.333525</v>
      </c>
    </row>
    <row r="5433" customFormat="false" ht="15" hidden="false" customHeight="false" outlineLevel="0" collapsed="false">
      <c r="B5433" s="7" t="s">
        <v>14066</v>
      </c>
      <c r="C5433" s="39" t="n">
        <v>45992</v>
      </c>
      <c r="D5433" s="7" t="s">
        <v>218</v>
      </c>
      <c r="E5433" s="7" t="s">
        <v>180</v>
      </c>
      <c r="F5433" s="6" t="n">
        <v>3.96</v>
      </c>
      <c r="G5433" s="6" t="n">
        <v>0</v>
      </c>
      <c r="H5433" s="41" t="n">
        <v>16.19</v>
      </c>
      <c r="I5433" s="43" t="n">
        <f aca="false">F5433*H5433</f>
        <v>64.1124</v>
      </c>
      <c r="J5433" s="43" t="n">
        <f aca="false">G5433*H5433*1.5</f>
        <v>0</v>
      </c>
      <c r="K5433" s="6" t="n">
        <v>9.9</v>
      </c>
      <c r="L5433" s="43" t="n">
        <f aca="false">K5433*'Chart of Accounts'!$E$68</f>
        <v>6.633</v>
      </c>
      <c r="O5433" s="42" t="n">
        <f aca="false">I5433+J5433+L5433</f>
        <v>70.7454</v>
      </c>
    </row>
    <row r="5434" customFormat="false" ht="15" hidden="false" customHeight="false" outlineLevel="0" collapsed="false">
      <c r="B5434" s="7" t="s">
        <v>14067</v>
      </c>
      <c r="C5434" s="39" t="n">
        <v>45992</v>
      </c>
      <c r="D5434" s="7" t="s">
        <v>220</v>
      </c>
      <c r="E5434" s="7" t="s">
        <v>180</v>
      </c>
      <c r="F5434" s="6" t="n">
        <v>4.13</v>
      </c>
      <c r="G5434" s="6" t="n">
        <v>0</v>
      </c>
      <c r="H5434" s="41" t="n">
        <v>16.43</v>
      </c>
      <c r="I5434" s="43" t="n">
        <f aca="false">F5434*H5434</f>
        <v>67.8559</v>
      </c>
      <c r="J5434" s="43" t="n">
        <f aca="false">G5434*H5434*1.5</f>
        <v>0</v>
      </c>
      <c r="K5434" s="6" t="n">
        <v>10.01</v>
      </c>
      <c r="L5434" s="43" t="n">
        <f aca="false">K5434*'Chart of Accounts'!$E$68</f>
        <v>6.7067</v>
      </c>
      <c r="O5434" s="42" t="n">
        <f aca="false">I5434+J5434+L5434</f>
        <v>74.5626</v>
      </c>
    </row>
    <row r="5435" customFormat="false" ht="15" hidden="false" customHeight="false" outlineLevel="0" collapsed="false">
      <c r="B5435" s="7" t="s">
        <v>14068</v>
      </c>
      <c r="C5435" s="39" t="n">
        <v>45992</v>
      </c>
      <c r="D5435" s="7" t="s">
        <v>236</v>
      </c>
      <c r="E5435" s="7" t="s">
        <v>180</v>
      </c>
      <c r="F5435" s="6" t="n">
        <v>7.52</v>
      </c>
      <c r="G5435" s="6" t="n">
        <v>0</v>
      </c>
      <c r="H5435" s="41" t="n">
        <v>15.49</v>
      </c>
      <c r="I5435" s="43" t="n">
        <f aca="false">F5435*H5435</f>
        <v>116.4848</v>
      </c>
      <c r="J5435" s="43" t="n">
        <f aca="false">G5435*H5435*1.5</f>
        <v>0</v>
      </c>
      <c r="K5435" s="6" t="n">
        <v>18.5</v>
      </c>
      <c r="L5435" s="43" t="n">
        <f aca="false">K5435*'Chart of Accounts'!$E$68</f>
        <v>12.395</v>
      </c>
      <c r="O5435" s="42" t="n">
        <f aca="false">I5435+J5435+L5435</f>
        <v>128.8798</v>
      </c>
    </row>
    <row r="5436" customFormat="false" ht="15" hidden="false" customHeight="false" outlineLevel="0" collapsed="false">
      <c r="B5436" s="7" t="s">
        <v>14069</v>
      </c>
      <c r="C5436" s="39" t="n">
        <v>45992</v>
      </c>
      <c r="D5436" s="7" t="s">
        <v>177</v>
      </c>
      <c r="E5436" s="7" t="s">
        <v>180</v>
      </c>
      <c r="F5436" s="6" t="n">
        <v>8.86</v>
      </c>
      <c r="G5436" s="6" t="n">
        <v>0</v>
      </c>
      <c r="H5436" s="41" t="n">
        <v>14.56</v>
      </c>
      <c r="I5436" s="43" t="n">
        <f aca="false">F5436*H5436</f>
        <v>129.0016</v>
      </c>
      <c r="J5436" s="43" t="n">
        <f aca="false">G5436*H5436*1.5</f>
        <v>0</v>
      </c>
      <c r="K5436" s="6" t="n">
        <v>30.3</v>
      </c>
      <c r="L5436" s="43" t="n">
        <f aca="false">K5436*'Chart of Accounts'!$E$68</f>
        <v>20.301</v>
      </c>
      <c r="O5436" s="42" t="n">
        <f aca="false">I5436+J5436+L5436</f>
        <v>149.3026</v>
      </c>
    </row>
    <row r="5437" customFormat="false" ht="15" hidden="false" customHeight="false" outlineLevel="0" collapsed="false">
      <c r="B5437" s="7" t="s">
        <v>14070</v>
      </c>
      <c r="C5437" s="39" t="n">
        <v>45992</v>
      </c>
      <c r="D5437" s="7" t="s">
        <v>222</v>
      </c>
      <c r="E5437" s="7" t="s">
        <v>180</v>
      </c>
      <c r="F5437" s="6" t="n">
        <v>6.92</v>
      </c>
      <c r="G5437" s="6" t="n">
        <v>0</v>
      </c>
      <c r="H5437" s="41" t="n">
        <v>17.84</v>
      </c>
      <c r="I5437" s="43" t="n">
        <f aca="false">F5437*H5437</f>
        <v>123.4528</v>
      </c>
      <c r="J5437" s="43" t="n">
        <f aca="false">G5437*H5437*1.5</f>
        <v>0</v>
      </c>
      <c r="K5437" s="6" t="n">
        <v>18.34</v>
      </c>
      <c r="L5437" s="43" t="n">
        <f aca="false">K5437*'Chart of Accounts'!$E$68</f>
        <v>12.2878</v>
      </c>
      <c r="O5437" s="42" t="n">
        <f aca="false">I5437+J5437+L5437</f>
        <v>135.7406</v>
      </c>
    </row>
    <row r="5438" customFormat="false" ht="15" hidden="false" customHeight="false" outlineLevel="0" collapsed="false">
      <c r="B5438" s="7" t="s">
        <v>14071</v>
      </c>
      <c r="C5438" s="39" t="n">
        <v>45992</v>
      </c>
      <c r="D5438" s="7" t="s">
        <v>254</v>
      </c>
      <c r="E5438" s="7" t="s">
        <v>180</v>
      </c>
      <c r="F5438" s="6" t="n">
        <v>6.867</v>
      </c>
      <c r="G5438" s="6" t="n">
        <v>0.463</v>
      </c>
      <c r="H5438" s="41" t="n">
        <v>17.1</v>
      </c>
      <c r="I5438" s="43" t="n">
        <f aca="false">F5438*H5438</f>
        <v>117.4257</v>
      </c>
      <c r="J5438" s="43" t="n">
        <f aca="false">G5438*H5438*1.5</f>
        <v>11.87595</v>
      </c>
      <c r="K5438" s="6" t="n">
        <v>21.84</v>
      </c>
      <c r="L5438" s="43" t="n">
        <f aca="false">K5438*'Chart of Accounts'!$E$68</f>
        <v>14.6328</v>
      </c>
      <c r="O5438" s="42" t="n">
        <f aca="false">I5438+J5438+L5438</f>
        <v>143.93445</v>
      </c>
    </row>
    <row r="5439" customFormat="false" ht="15" hidden="false" customHeight="false" outlineLevel="0" collapsed="false">
      <c r="B5439" s="7" t="s">
        <v>14072</v>
      </c>
      <c r="C5439" s="39" t="n">
        <v>45992</v>
      </c>
      <c r="D5439" s="7" t="s">
        <v>246</v>
      </c>
      <c r="E5439" s="7" t="s">
        <v>180</v>
      </c>
      <c r="F5439" s="6" t="n">
        <v>8.12</v>
      </c>
      <c r="G5439" s="6" t="n">
        <v>0</v>
      </c>
      <c r="H5439" s="41" t="n">
        <v>16.48</v>
      </c>
      <c r="I5439" s="43" t="n">
        <f aca="false">F5439*H5439</f>
        <v>133.8176</v>
      </c>
      <c r="J5439" s="43" t="n">
        <f aca="false">G5439*H5439*1.5</f>
        <v>0</v>
      </c>
      <c r="K5439" s="6" t="n">
        <v>28.43</v>
      </c>
      <c r="L5439" s="43" t="n">
        <f aca="false">K5439*'Chart of Accounts'!$E$68</f>
        <v>19.0481</v>
      </c>
      <c r="O5439" s="42" t="n">
        <f aca="false">I5439+J5439+L5439</f>
        <v>152.8657</v>
      </c>
    </row>
    <row r="5440" customFormat="false" ht="15" hidden="false" customHeight="false" outlineLevel="0" collapsed="false">
      <c r="B5440" s="7" t="s">
        <v>14073</v>
      </c>
      <c r="C5440" s="39" t="n">
        <v>45992</v>
      </c>
      <c r="D5440" s="7" t="s">
        <v>256</v>
      </c>
      <c r="E5440" s="7" t="s">
        <v>180</v>
      </c>
      <c r="F5440" s="6" t="n">
        <v>2.8</v>
      </c>
      <c r="G5440" s="6" t="n">
        <v>0</v>
      </c>
      <c r="H5440" s="41" t="n">
        <v>15.63</v>
      </c>
      <c r="I5440" s="43" t="n">
        <f aca="false">F5440*H5440</f>
        <v>43.764</v>
      </c>
      <c r="J5440" s="43" t="n">
        <f aca="false">G5440*H5440*1.5</f>
        <v>0</v>
      </c>
      <c r="K5440" s="6" t="n">
        <v>7.88</v>
      </c>
      <c r="L5440" s="43" t="n">
        <f aca="false">K5440*'Chart of Accounts'!$E$68</f>
        <v>5.2796</v>
      </c>
      <c r="O5440" s="42" t="n">
        <f aca="false">I5440+J5440+L5440</f>
        <v>49.0436</v>
      </c>
    </row>
    <row r="5441" customFormat="false" ht="15" hidden="false" customHeight="false" outlineLevel="0" collapsed="false">
      <c r="B5441" s="7" t="s">
        <v>14074</v>
      </c>
      <c r="C5441" s="39" t="n">
        <v>45992</v>
      </c>
      <c r="D5441" s="7" t="s">
        <v>232</v>
      </c>
      <c r="E5441" s="7" t="s">
        <v>180</v>
      </c>
      <c r="F5441" s="6" t="n">
        <v>4.33</v>
      </c>
      <c r="G5441" s="6" t="n">
        <v>0</v>
      </c>
      <c r="H5441" s="41" t="n">
        <v>16.17</v>
      </c>
      <c r="I5441" s="43" t="n">
        <f aca="false">F5441*H5441</f>
        <v>70.0161</v>
      </c>
      <c r="J5441" s="43" t="n">
        <f aca="false">G5441*H5441*1.5</f>
        <v>0</v>
      </c>
      <c r="K5441" s="6" t="n">
        <v>11.28</v>
      </c>
      <c r="L5441" s="43" t="n">
        <f aca="false">K5441*'Chart of Accounts'!$E$68</f>
        <v>7.5576</v>
      </c>
      <c r="O5441" s="42" t="n">
        <f aca="false">I5441+J5441+L5441</f>
        <v>77.5737</v>
      </c>
    </row>
    <row r="5442" customFormat="false" ht="15" hidden="false" customHeight="false" outlineLevel="0" collapsed="false">
      <c r="B5442" s="7" t="s">
        <v>14075</v>
      </c>
      <c r="C5442" s="39" t="n">
        <v>45992</v>
      </c>
      <c r="D5442" s="7" t="s">
        <v>224</v>
      </c>
      <c r="E5442" s="7" t="s">
        <v>180</v>
      </c>
      <c r="F5442" s="6" t="n">
        <v>4.6</v>
      </c>
      <c r="G5442" s="6" t="n">
        <v>0</v>
      </c>
      <c r="H5442" s="41" t="n">
        <v>14.93</v>
      </c>
      <c r="I5442" s="43" t="n">
        <f aca="false">F5442*H5442</f>
        <v>68.678</v>
      </c>
      <c r="J5442" s="43" t="n">
        <f aca="false">G5442*H5442*1.5</f>
        <v>0</v>
      </c>
      <c r="K5442" s="6" t="n">
        <v>11.45</v>
      </c>
      <c r="L5442" s="43" t="n">
        <f aca="false">K5442*'Chart of Accounts'!$E$68</f>
        <v>7.6715</v>
      </c>
      <c r="O5442" s="42" t="n">
        <f aca="false">I5442+J5442+L5442</f>
        <v>76.3495</v>
      </c>
    </row>
    <row r="5443" customFormat="false" ht="15" hidden="false" customHeight="false" outlineLevel="0" collapsed="false">
      <c r="B5443" s="7" t="s">
        <v>14076</v>
      </c>
      <c r="C5443" s="39" t="n">
        <v>45992</v>
      </c>
      <c r="D5443" s="7" t="s">
        <v>238</v>
      </c>
      <c r="E5443" s="7" t="s">
        <v>180</v>
      </c>
      <c r="F5443" s="6" t="n">
        <v>3.6</v>
      </c>
      <c r="G5443" s="6" t="n">
        <v>0</v>
      </c>
      <c r="H5443" s="41" t="n">
        <v>15.85</v>
      </c>
      <c r="I5443" s="43" t="n">
        <f aca="false">F5443*H5443</f>
        <v>57.06</v>
      </c>
      <c r="J5443" s="43" t="n">
        <f aca="false">G5443*H5443*1.5</f>
        <v>0</v>
      </c>
      <c r="K5443" s="6" t="n">
        <v>8.51</v>
      </c>
      <c r="L5443" s="43" t="n">
        <f aca="false">K5443*'Chart of Accounts'!$E$68</f>
        <v>5.7017</v>
      </c>
      <c r="O5443" s="42" t="n">
        <f aca="false">I5443+J5443+L5443</f>
        <v>62.7617</v>
      </c>
    </row>
    <row r="5444" customFormat="false" ht="15" hidden="false" customHeight="false" outlineLevel="0" collapsed="false">
      <c r="B5444" s="7" t="s">
        <v>14077</v>
      </c>
      <c r="C5444" s="39" t="n">
        <v>45993</v>
      </c>
      <c r="D5444" s="7" t="s">
        <v>256</v>
      </c>
      <c r="E5444" s="7" t="s">
        <v>180</v>
      </c>
      <c r="F5444" s="6" t="n">
        <v>4.31</v>
      </c>
      <c r="G5444" s="6" t="n">
        <v>0</v>
      </c>
      <c r="H5444" s="41" t="n">
        <v>15.63</v>
      </c>
      <c r="I5444" s="43" t="n">
        <f aca="false">F5444*H5444</f>
        <v>67.3653</v>
      </c>
      <c r="J5444" s="43" t="n">
        <f aca="false">G5444*H5444*1.5</f>
        <v>0</v>
      </c>
      <c r="K5444" s="6" t="n">
        <v>11.37</v>
      </c>
      <c r="L5444" s="43" t="n">
        <f aca="false">K5444*'Chart of Accounts'!$E$68</f>
        <v>7.6179</v>
      </c>
      <c r="O5444" s="42" t="n">
        <f aca="false">I5444+J5444+L5444</f>
        <v>74.9832</v>
      </c>
    </row>
    <row r="5445" customFormat="false" ht="15" hidden="false" customHeight="false" outlineLevel="0" collapsed="false">
      <c r="B5445" s="7" t="s">
        <v>14078</v>
      </c>
      <c r="C5445" s="39" t="n">
        <v>45993</v>
      </c>
      <c r="D5445" s="7" t="s">
        <v>198</v>
      </c>
      <c r="E5445" s="7" t="s">
        <v>158</v>
      </c>
      <c r="H5445" s="41" t="n">
        <v>48.09</v>
      </c>
      <c r="M5445" s="6" t="n">
        <v>1</v>
      </c>
      <c r="N5445" s="43" t="n">
        <f aca="false">M5445*H5445</f>
        <v>48.09</v>
      </c>
      <c r="O5445" s="42" t="n">
        <f aca="false">N5445</f>
        <v>48.09</v>
      </c>
    </row>
    <row r="5446" customFormat="false" ht="15" hidden="false" customHeight="false" outlineLevel="0" collapsed="false">
      <c r="B5446" s="7" t="s">
        <v>14079</v>
      </c>
      <c r="C5446" s="39" t="n">
        <v>45993</v>
      </c>
      <c r="D5446" s="7" t="s">
        <v>209</v>
      </c>
      <c r="E5446" s="7" t="s">
        <v>158</v>
      </c>
      <c r="H5446" s="41" t="n">
        <v>73.58</v>
      </c>
      <c r="M5446" s="6" t="n">
        <v>2</v>
      </c>
      <c r="N5446" s="43" t="n">
        <f aca="false">M5446*H5446</f>
        <v>147.16</v>
      </c>
      <c r="O5446" s="42" t="n">
        <f aca="false">N5446</f>
        <v>147.16</v>
      </c>
    </row>
    <row r="5447" customFormat="false" ht="15" hidden="false" customHeight="false" outlineLevel="0" collapsed="false">
      <c r="B5447" s="7" t="s">
        <v>14080</v>
      </c>
      <c r="C5447" s="39" t="n">
        <v>45993</v>
      </c>
      <c r="D5447" s="7" t="s">
        <v>184</v>
      </c>
      <c r="E5447" s="7" t="s">
        <v>180</v>
      </c>
      <c r="F5447" s="6" t="n">
        <v>7.95</v>
      </c>
      <c r="G5447" s="6" t="n">
        <v>0</v>
      </c>
      <c r="H5447" s="41" t="n">
        <v>17.34</v>
      </c>
      <c r="I5447" s="43" t="n">
        <f aca="false">F5447*H5447</f>
        <v>137.853</v>
      </c>
      <c r="J5447" s="43" t="n">
        <f aca="false">G5447*H5447*1.5</f>
        <v>0</v>
      </c>
      <c r="K5447" s="6" t="n">
        <v>27.97</v>
      </c>
      <c r="L5447" s="43" t="n">
        <f aca="false">K5447*'Chart of Accounts'!$E$68</f>
        <v>18.7399</v>
      </c>
      <c r="O5447" s="42" t="n">
        <f aca="false">I5447+J5447+L5447</f>
        <v>156.5929</v>
      </c>
    </row>
    <row r="5448" customFormat="false" ht="15" hidden="false" customHeight="false" outlineLevel="0" collapsed="false">
      <c r="B5448" s="7" t="s">
        <v>14081</v>
      </c>
      <c r="C5448" s="39" t="n">
        <v>45993</v>
      </c>
      <c r="D5448" s="7" t="s">
        <v>234</v>
      </c>
      <c r="E5448" s="7" t="s">
        <v>158</v>
      </c>
      <c r="H5448" s="41" t="n">
        <v>89.53</v>
      </c>
      <c r="M5448" s="6" t="n">
        <v>2</v>
      </c>
      <c r="N5448" s="43" t="n">
        <f aca="false">M5448*H5448</f>
        <v>179.06</v>
      </c>
      <c r="O5448" s="42" t="n">
        <f aca="false">N5448</f>
        <v>179.06</v>
      </c>
    </row>
    <row r="5449" customFormat="false" ht="15" hidden="false" customHeight="false" outlineLevel="0" collapsed="false">
      <c r="B5449" s="7" t="s">
        <v>14082</v>
      </c>
      <c r="C5449" s="39" t="n">
        <v>45993</v>
      </c>
      <c r="D5449" s="7" t="s">
        <v>218</v>
      </c>
      <c r="E5449" s="7" t="s">
        <v>180</v>
      </c>
      <c r="F5449" s="6" t="n">
        <v>3.86</v>
      </c>
      <c r="G5449" s="6" t="n">
        <v>0</v>
      </c>
      <c r="H5449" s="41" t="n">
        <v>16.19</v>
      </c>
      <c r="I5449" s="43" t="n">
        <f aca="false">F5449*H5449</f>
        <v>62.4934</v>
      </c>
      <c r="J5449" s="43" t="n">
        <f aca="false">G5449*H5449*1.5</f>
        <v>0</v>
      </c>
      <c r="K5449" s="6" t="n">
        <v>12.48</v>
      </c>
      <c r="L5449" s="43" t="n">
        <f aca="false">K5449*'Chart of Accounts'!$E$68</f>
        <v>8.3616</v>
      </c>
      <c r="O5449" s="42" t="n">
        <f aca="false">I5449+J5449+L5449</f>
        <v>70.855</v>
      </c>
    </row>
    <row r="5450" customFormat="false" ht="15" hidden="false" customHeight="false" outlineLevel="0" collapsed="false">
      <c r="B5450" s="7" t="s">
        <v>14083</v>
      </c>
      <c r="C5450" s="39" t="n">
        <v>45993</v>
      </c>
      <c r="D5450" s="7" t="s">
        <v>187</v>
      </c>
      <c r="E5450" s="7" t="s">
        <v>158</v>
      </c>
      <c r="H5450" s="41" t="n">
        <v>66.48</v>
      </c>
      <c r="M5450" s="6" t="n">
        <v>1</v>
      </c>
      <c r="N5450" s="43" t="n">
        <f aca="false">M5450*H5450</f>
        <v>66.48</v>
      </c>
      <c r="O5450" s="42" t="n">
        <f aca="false">N5450</f>
        <v>66.48</v>
      </c>
    </row>
    <row r="5451" customFormat="false" ht="15" hidden="false" customHeight="false" outlineLevel="0" collapsed="false">
      <c r="B5451" s="7" t="s">
        <v>14084</v>
      </c>
      <c r="C5451" s="39" t="n">
        <v>45993</v>
      </c>
      <c r="D5451" s="7" t="s">
        <v>228</v>
      </c>
      <c r="E5451" s="7" t="s">
        <v>158</v>
      </c>
      <c r="H5451" s="41" t="n">
        <v>51.07</v>
      </c>
      <c r="M5451" s="6" t="n">
        <v>1</v>
      </c>
      <c r="N5451" s="43" t="n">
        <f aca="false">M5451*H5451</f>
        <v>51.07</v>
      </c>
      <c r="O5451" s="42" t="n">
        <f aca="false">N5451</f>
        <v>51.07</v>
      </c>
    </row>
    <row r="5452" customFormat="false" ht="15" hidden="false" customHeight="false" outlineLevel="0" collapsed="false">
      <c r="B5452" s="7" t="s">
        <v>14085</v>
      </c>
      <c r="C5452" s="39" t="n">
        <v>45993</v>
      </c>
      <c r="D5452" s="7" t="s">
        <v>220</v>
      </c>
      <c r="E5452" s="7" t="s">
        <v>180</v>
      </c>
      <c r="F5452" s="6" t="n">
        <v>3.66</v>
      </c>
      <c r="G5452" s="6" t="n">
        <v>0</v>
      </c>
      <c r="H5452" s="41" t="n">
        <v>16.43</v>
      </c>
      <c r="I5452" s="43" t="n">
        <f aca="false">F5452*H5452</f>
        <v>60.1338</v>
      </c>
      <c r="J5452" s="43" t="n">
        <f aca="false">G5452*H5452*1.5</f>
        <v>0</v>
      </c>
      <c r="K5452" s="6" t="n">
        <v>12.68</v>
      </c>
      <c r="L5452" s="43" t="n">
        <f aca="false">K5452*'Chart of Accounts'!$E$68</f>
        <v>8.4956</v>
      </c>
      <c r="O5452" s="42" t="n">
        <f aca="false">I5452+J5452+L5452</f>
        <v>68.6294</v>
      </c>
    </row>
    <row r="5453" customFormat="false" ht="15" hidden="false" customHeight="false" outlineLevel="0" collapsed="false">
      <c r="B5453" s="7" t="s">
        <v>14086</v>
      </c>
      <c r="C5453" s="39" t="n">
        <v>45993</v>
      </c>
      <c r="D5453" s="7" t="s">
        <v>244</v>
      </c>
      <c r="E5453" s="7" t="s">
        <v>180</v>
      </c>
      <c r="F5453" s="6" t="n">
        <v>3.82</v>
      </c>
      <c r="G5453" s="6" t="n">
        <v>0</v>
      </c>
      <c r="H5453" s="41" t="n">
        <v>16.39</v>
      </c>
      <c r="I5453" s="43" t="n">
        <f aca="false">F5453*H5453</f>
        <v>62.6098</v>
      </c>
      <c r="J5453" s="43" t="n">
        <f aca="false">G5453*H5453*1.5</f>
        <v>0</v>
      </c>
      <c r="K5453" s="6" t="n">
        <v>9.57</v>
      </c>
      <c r="L5453" s="43" t="n">
        <f aca="false">K5453*'Chart of Accounts'!$E$68</f>
        <v>6.4119</v>
      </c>
      <c r="O5453" s="42" t="n">
        <f aca="false">I5453+J5453+L5453</f>
        <v>69.0217</v>
      </c>
    </row>
    <row r="5454" customFormat="false" ht="15" hidden="false" customHeight="false" outlineLevel="0" collapsed="false">
      <c r="B5454" s="7" t="s">
        <v>14087</v>
      </c>
      <c r="C5454" s="39" t="n">
        <v>45993</v>
      </c>
      <c r="D5454" s="7" t="s">
        <v>194</v>
      </c>
      <c r="E5454" s="7" t="s">
        <v>180</v>
      </c>
      <c r="F5454" s="6" t="n">
        <v>3.96</v>
      </c>
      <c r="G5454" s="6" t="n">
        <v>0</v>
      </c>
      <c r="H5454" s="41" t="n">
        <v>16</v>
      </c>
      <c r="I5454" s="43" t="n">
        <f aca="false">F5454*H5454</f>
        <v>63.36</v>
      </c>
      <c r="J5454" s="43" t="n">
        <f aca="false">G5454*H5454*1.5</f>
        <v>0</v>
      </c>
      <c r="K5454" s="6" t="n">
        <v>10.91</v>
      </c>
      <c r="L5454" s="43" t="n">
        <f aca="false">K5454*'Chart of Accounts'!$E$68</f>
        <v>7.3097</v>
      </c>
      <c r="O5454" s="42" t="n">
        <f aca="false">I5454+J5454+L5454</f>
        <v>70.6697</v>
      </c>
    </row>
    <row r="5455" customFormat="false" ht="15" hidden="false" customHeight="false" outlineLevel="0" collapsed="false">
      <c r="B5455" s="7" t="s">
        <v>14088</v>
      </c>
      <c r="C5455" s="39" t="n">
        <v>45993</v>
      </c>
      <c r="D5455" s="7" t="s">
        <v>258</v>
      </c>
      <c r="E5455" s="7" t="s">
        <v>158</v>
      </c>
      <c r="H5455" s="41" t="n">
        <v>61.61</v>
      </c>
      <c r="M5455" s="6" t="n">
        <v>1</v>
      </c>
      <c r="N5455" s="43" t="n">
        <f aca="false">M5455*H5455</f>
        <v>61.61</v>
      </c>
      <c r="O5455" s="42" t="n">
        <f aca="false">N5455</f>
        <v>61.61</v>
      </c>
    </row>
    <row r="5456" customFormat="false" ht="15" hidden="false" customHeight="false" outlineLevel="0" collapsed="false">
      <c r="B5456" s="7" t="s">
        <v>14089</v>
      </c>
      <c r="C5456" s="39" t="n">
        <v>45993</v>
      </c>
      <c r="D5456" s="7" t="s">
        <v>230</v>
      </c>
      <c r="E5456" s="7" t="s">
        <v>158</v>
      </c>
      <c r="H5456" s="41" t="n">
        <v>48.78</v>
      </c>
      <c r="M5456" s="6" t="n">
        <v>1</v>
      </c>
      <c r="N5456" s="43" t="n">
        <f aca="false">M5456*H5456</f>
        <v>48.78</v>
      </c>
      <c r="O5456" s="42" t="n">
        <f aca="false">N5456</f>
        <v>48.78</v>
      </c>
    </row>
    <row r="5457" customFormat="false" ht="15" hidden="false" customHeight="false" outlineLevel="0" collapsed="false">
      <c r="B5457" s="7" t="s">
        <v>14090</v>
      </c>
      <c r="C5457" s="39" t="n">
        <v>45993</v>
      </c>
      <c r="D5457" s="7" t="s">
        <v>196</v>
      </c>
      <c r="E5457" s="7" t="s">
        <v>180</v>
      </c>
      <c r="F5457" s="6" t="n">
        <v>3.95</v>
      </c>
      <c r="G5457" s="6" t="n">
        <v>0</v>
      </c>
      <c r="H5457" s="41" t="n">
        <v>15.05</v>
      </c>
      <c r="I5457" s="43" t="n">
        <f aca="false">F5457*H5457</f>
        <v>59.4475</v>
      </c>
      <c r="J5457" s="43" t="n">
        <f aca="false">G5457*H5457*1.5</f>
        <v>0</v>
      </c>
      <c r="K5457" s="6" t="n">
        <v>11.25</v>
      </c>
      <c r="L5457" s="43" t="n">
        <f aca="false">K5457*'Chart of Accounts'!$E$68</f>
        <v>7.5375</v>
      </c>
      <c r="O5457" s="42" t="n">
        <f aca="false">I5457+J5457+L5457</f>
        <v>66.985</v>
      </c>
    </row>
    <row r="5458" customFormat="false" ht="15" hidden="false" customHeight="false" outlineLevel="0" collapsed="false">
      <c r="B5458" s="7" t="s">
        <v>14091</v>
      </c>
      <c r="C5458" s="39" t="n">
        <v>45993</v>
      </c>
      <c r="D5458" s="7" t="s">
        <v>246</v>
      </c>
      <c r="E5458" s="7" t="s">
        <v>180</v>
      </c>
      <c r="F5458" s="6" t="n">
        <v>3.96</v>
      </c>
      <c r="G5458" s="6" t="n">
        <v>0</v>
      </c>
      <c r="H5458" s="41" t="n">
        <v>16.48</v>
      </c>
      <c r="I5458" s="43" t="n">
        <f aca="false">F5458*H5458</f>
        <v>65.2608</v>
      </c>
      <c r="J5458" s="43" t="n">
        <f aca="false">G5458*H5458*1.5</f>
        <v>0</v>
      </c>
      <c r="K5458" s="6" t="n">
        <v>11.26</v>
      </c>
      <c r="L5458" s="43" t="n">
        <f aca="false">K5458*'Chart of Accounts'!$E$68</f>
        <v>7.5442</v>
      </c>
      <c r="O5458" s="42" t="n">
        <f aca="false">I5458+J5458+L5458</f>
        <v>72.805</v>
      </c>
    </row>
    <row r="5459" customFormat="false" ht="15" hidden="false" customHeight="false" outlineLevel="0" collapsed="false">
      <c r="B5459" s="7" t="s">
        <v>14092</v>
      </c>
      <c r="C5459" s="39" t="n">
        <v>45993</v>
      </c>
      <c r="D5459" s="7" t="s">
        <v>222</v>
      </c>
      <c r="E5459" s="7" t="s">
        <v>180</v>
      </c>
      <c r="F5459" s="6" t="n">
        <v>4.18</v>
      </c>
      <c r="G5459" s="6" t="n">
        <v>0</v>
      </c>
      <c r="H5459" s="41" t="n">
        <v>17.84</v>
      </c>
      <c r="I5459" s="43" t="n">
        <f aca="false">F5459*H5459</f>
        <v>74.5712</v>
      </c>
      <c r="J5459" s="43" t="n">
        <f aca="false">G5459*H5459*1.5</f>
        <v>0</v>
      </c>
      <c r="K5459" s="6" t="n">
        <v>13.43</v>
      </c>
      <c r="L5459" s="43" t="n">
        <f aca="false">K5459*'Chart of Accounts'!$E$68</f>
        <v>8.9981</v>
      </c>
      <c r="O5459" s="42" t="n">
        <f aca="false">I5459+J5459+L5459</f>
        <v>83.5693</v>
      </c>
    </row>
    <row r="5460" customFormat="false" ht="15" hidden="false" customHeight="false" outlineLevel="0" collapsed="false">
      <c r="B5460" s="7" t="s">
        <v>14093</v>
      </c>
      <c r="C5460" s="39" t="n">
        <v>45993</v>
      </c>
      <c r="D5460" s="7" t="s">
        <v>242</v>
      </c>
      <c r="E5460" s="7" t="s">
        <v>180</v>
      </c>
      <c r="F5460" s="6" t="n">
        <v>3.425</v>
      </c>
      <c r="G5460" s="6" t="n">
        <v>0.335</v>
      </c>
      <c r="H5460" s="41" t="n">
        <v>17.99</v>
      </c>
      <c r="I5460" s="43" t="n">
        <f aca="false">F5460*H5460</f>
        <v>61.61575</v>
      </c>
      <c r="J5460" s="43" t="n">
        <f aca="false">G5460*H5460*1.5</f>
        <v>9.039975</v>
      </c>
      <c r="K5460" s="6" t="n">
        <v>10.88</v>
      </c>
      <c r="L5460" s="43" t="n">
        <f aca="false">K5460*'Chart of Accounts'!$E$68</f>
        <v>7.2896</v>
      </c>
      <c r="O5460" s="42" t="n">
        <f aca="false">I5460+J5460+L5460</f>
        <v>77.945325</v>
      </c>
    </row>
    <row r="5461" customFormat="false" ht="15" hidden="false" customHeight="false" outlineLevel="0" collapsed="false">
      <c r="B5461" s="7" t="s">
        <v>14094</v>
      </c>
      <c r="C5461" s="39" t="n">
        <v>45993</v>
      </c>
      <c r="D5461" s="7" t="s">
        <v>203</v>
      </c>
      <c r="E5461" s="7" t="s">
        <v>158</v>
      </c>
      <c r="H5461" s="41" t="n">
        <v>49.43</v>
      </c>
      <c r="M5461" s="6" t="n">
        <v>1</v>
      </c>
      <c r="N5461" s="43" t="n">
        <f aca="false">M5461*H5461</f>
        <v>49.43</v>
      </c>
      <c r="O5461" s="42" t="n">
        <f aca="false">N5461</f>
        <v>49.43</v>
      </c>
    </row>
    <row r="5462" customFormat="false" ht="15" hidden="false" customHeight="false" outlineLevel="0" collapsed="false">
      <c r="B5462" s="7" t="s">
        <v>14095</v>
      </c>
      <c r="C5462" s="39" t="n">
        <v>45993</v>
      </c>
      <c r="D5462" s="7" t="s">
        <v>254</v>
      </c>
      <c r="E5462" s="7" t="s">
        <v>180</v>
      </c>
      <c r="F5462" s="6" t="n">
        <v>3.991</v>
      </c>
      <c r="G5462" s="6" t="n">
        <v>0.269</v>
      </c>
      <c r="H5462" s="41" t="n">
        <v>17.1</v>
      </c>
      <c r="I5462" s="43" t="n">
        <f aca="false">F5462*H5462</f>
        <v>68.2461</v>
      </c>
      <c r="J5462" s="43" t="n">
        <f aca="false">G5462*H5462*1.5</f>
        <v>6.89985</v>
      </c>
      <c r="K5462" s="6" t="n">
        <v>9.41</v>
      </c>
      <c r="L5462" s="43" t="n">
        <f aca="false">K5462*'Chart of Accounts'!$E$68</f>
        <v>6.3047</v>
      </c>
      <c r="O5462" s="42" t="n">
        <f aca="false">I5462+J5462+L5462</f>
        <v>81.45065</v>
      </c>
    </row>
    <row r="5463" customFormat="false" ht="15" hidden="false" customHeight="false" outlineLevel="0" collapsed="false">
      <c r="B5463" s="7" t="s">
        <v>14096</v>
      </c>
      <c r="C5463" s="39" t="n">
        <v>45993</v>
      </c>
      <c r="D5463" s="7" t="s">
        <v>260</v>
      </c>
      <c r="E5463" s="7" t="s">
        <v>158</v>
      </c>
      <c r="H5463" s="41" t="n">
        <v>79.8</v>
      </c>
      <c r="M5463" s="6" t="n">
        <v>1</v>
      </c>
      <c r="N5463" s="43" t="n">
        <f aca="false">M5463*H5463</f>
        <v>79.8</v>
      </c>
      <c r="O5463" s="42" t="n">
        <f aca="false">N5463</f>
        <v>79.8</v>
      </c>
    </row>
    <row r="5464" customFormat="false" ht="15" hidden="false" customHeight="false" outlineLevel="0" collapsed="false">
      <c r="B5464" s="7" t="s">
        <v>14097</v>
      </c>
      <c r="C5464" s="39" t="n">
        <v>45994</v>
      </c>
      <c r="D5464" s="7" t="s">
        <v>205</v>
      </c>
      <c r="E5464" s="7" t="s">
        <v>180</v>
      </c>
      <c r="F5464" s="6" t="n">
        <v>8.11</v>
      </c>
      <c r="G5464" s="6" t="n">
        <v>0</v>
      </c>
      <c r="H5464" s="41" t="n">
        <v>16.36</v>
      </c>
      <c r="I5464" s="43" t="n">
        <f aca="false">F5464*H5464</f>
        <v>132.6796</v>
      </c>
      <c r="J5464" s="43" t="n">
        <f aca="false">G5464*H5464*1.5</f>
        <v>0</v>
      </c>
      <c r="K5464" s="6" t="n">
        <v>18.05</v>
      </c>
      <c r="L5464" s="43" t="n">
        <f aca="false">K5464*'Chart of Accounts'!$E$68</f>
        <v>12.0935</v>
      </c>
      <c r="O5464" s="42" t="n">
        <f aca="false">I5464+J5464+L5464</f>
        <v>144.7731</v>
      </c>
    </row>
    <row r="5465" customFormat="false" ht="15" hidden="false" customHeight="false" outlineLevel="0" collapsed="false">
      <c r="B5465" s="7" t="s">
        <v>14098</v>
      </c>
      <c r="C5465" s="39" t="n">
        <v>45994</v>
      </c>
      <c r="D5465" s="7" t="s">
        <v>194</v>
      </c>
      <c r="E5465" s="7" t="s">
        <v>180</v>
      </c>
      <c r="F5465" s="6" t="n">
        <v>8.07</v>
      </c>
      <c r="G5465" s="6" t="n">
        <v>0</v>
      </c>
      <c r="H5465" s="41" t="n">
        <v>16</v>
      </c>
      <c r="I5465" s="43" t="n">
        <f aca="false">F5465*H5465</f>
        <v>129.12</v>
      </c>
      <c r="J5465" s="43" t="n">
        <f aca="false">G5465*H5465*1.5</f>
        <v>0</v>
      </c>
      <c r="K5465" s="6" t="n">
        <v>22.3</v>
      </c>
      <c r="L5465" s="43" t="n">
        <f aca="false">K5465*'Chart of Accounts'!$E$68</f>
        <v>14.941</v>
      </c>
      <c r="O5465" s="42" t="n">
        <f aca="false">I5465+J5465+L5465</f>
        <v>144.061</v>
      </c>
    </row>
    <row r="5466" customFormat="false" ht="15" hidden="false" customHeight="false" outlineLevel="0" collapsed="false">
      <c r="B5466" s="7" t="s">
        <v>14099</v>
      </c>
      <c r="C5466" s="39" t="n">
        <v>45994</v>
      </c>
      <c r="D5466" s="7" t="s">
        <v>214</v>
      </c>
      <c r="E5466" s="7" t="s">
        <v>180</v>
      </c>
      <c r="F5466" s="6" t="n">
        <v>7.66</v>
      </c>
      <c r="G5466" s="6" t="n">
        <v>0</v>
      </c>
      <c r="H5466" s="41" t="n">
        <v>15.67</v>
      </c>
      <c r="I5466" s="43" t="n">
        <f aca="false">F5466*H5466</f>
        <v>120.0322</v>
      </c>
      <c r="J5466" s="43" t="n">
        <f aca="false">G5466*H5466*1.5</f>
        <v>0</v>
      </c>
      <c r="K5466" s="6" t="n">
        <v>21.26</v>
      </c>
      <c r="L5466" s="43" t="n">
        <f aca="false">K5466*'Chart of Accounts'!$E$68</f>
        <v>14.2442</v>
      </c>
      <c r="O5466" s="42" t="n">
        <f aca="false">I5466+J5466+L5466</f>
        <v>134.2764</v>
      </c>
    </row>
    <row r="5467" customFormat="false" ht="15" hidden="false" customHeight="false" outlineLevel="0" collapsed="false">
      <c r="B5467" s="7" t="s">
        <v>14100</v>
      </c>
      <c r="C5467" s="39" t="n">
        <v>45994</v>
      </c>
      <c r="D5467" s="7" t="s">
        <v>264</v>
      </c>
      <c r="E5467" s="7" t="s">
        <v>158</v>
      </c>
      <c r="H5467" s="41" t="n">
        <v>55.55</v>
      </c>
      <c r="M5467" s="6" t="n">
        <v>1</v>
      </c>
      <c r="N5467" s="43" t="n">
        <f aca="false">M5467*H5467</f>
        <v>55.55</v>
      </c>
      <c r="O5467" s="42" t="n">
        <f aca="false">N5467</f>
        <v>55.55</v>
      </c>
    </row>
    <row r="5468" customFormat="false" ht="15" hidden="false" customHeight="false" outlineLevel="0" collapsed="false">
      <c r="B5468" s="7" t="s">
        <v>14101</v>
      </c>
      <c r="C5468" s="39" t="n">
        <v>45994</v>
      </c>
      <c r="D5468" s="7" t="s">
        <v>252</v>
      </c>
      <c r="E5468" s="7" t="s">
        <v>158</v>
      </c>
      <c r="H5468" s="41" t="n">
        <v>57.54</v>
      </c>
      <c r="M5468" s="6" t="n">
        <v>1</v>
      </c>
      <c r="N5468" s="43" t="n">
        <f aca="false">M5468*H5468</f>
        <v>57.54</v>
      </c>
      <c r="O5468" s="42" t="n">
        <f aca="false">N5468</f>
        <v>57.54</v>
      </c>
    </row>
    <row r="5469" customFormat="false" ht="15" hidden="false" customHeight="false" outlineLevel="0" collapsed="false">
      <c r="B5469" s="7" t="s">
        <v>14102</v>
      </c>
      <c r="C5469" s="39" t="n">
        <v>45994</v>
      </c>
      <c r="D5469" s="7" t="s">
        <v>184</v>
      </c>
      <c r="E5469" s="7" t="s">
        <v>180</v>
      </c>
      <c r="F5469" s="6" t="n">
        <v>8.13</v>
      </c>
      <c r="G5469" s="6" t="n">
        <v>0</v>
      </c>
      <c r="H5469" s="41" t="n">
        <v>17.34</v>
      </c>
      <c r="I5469" s="43" t="n">
        <f aca="false">F5469*H5469</f>
        <v>140.9742</v>
      </c>
      <c r="J5469" s="43" t="n">
        <f aca="false">G5469*H5469*1.5</f>
        <v>0</v>
      </c>
      <c r="K5469" s="6" t="n">
        <v>29.25</v>
      </c>
      <c r="L5469" s="43" t="n">
        <f aca="false">K5469*'Chart of Accounts'!$E$68</f>
        <v>19.5975</v>
      </c>
      <c r="O5469" s="42" t="n">
        <f aca="false">I5469+J5469+L5469</f>
        <v>160.5717</v>
      </c>
    </row>
    <row r="5470" customFormat="false" ht="15" hidden="false" customHeight="false" outlineLevel="0" collapsed="false">
      <c r="B5470" s="7" t="s">
        <v>14103</v>
      </c>
      <c r="C5470" s="39" t="n">
        <v>45994</v>
      </c>
      <c r="D5470" s="7" t="s">
        <v>216</v>
      </c>
      <c r="E5470" s="7" t="s">
        <v>158</v>
      </c>
      <c r="H5470" s="41" t="n">
        <v>61.79</v>
      </c>
      <c r="M5470" s="6" t="n">
        <v>1</v>
      </c>
      <c r="N5470" s="43" t="n">
        <f aca="false">M5470*H5470</f>
        <v>61.79</v>
      </c>
      <c r="O5470" s="42" t="n">
        <f aca="false">N5470</f>
        <v>61.79</v>
      </c>
    </row>
    <row r="5471" customFormat="false" ht="15" hidden="false" customHeight="false" outlineLevel="0" collapsed="false">
      <c r="B5471" s="7" t="s">
        <v>14104</v>
      </c>
      <c r="C5471" s="39" t="n">
        <v>45994</v>
      </c>
      <c r="D5471" s="7" t="s">
        <v>220</v>
      </c>
      <c r="E5471" s="7" t="s">
        <v>180</v>
      </c>
      <c r="F5471" s="6" t="n">
        <v>3.63</v>
      </c>
      <c r="G5471" s="6" t="n">
        <v>0</v>
      </c>
      <c r="H5471" s="41" t="n">
        <v>16.43</v>
      </c>
      <c r="I5471" s="43" t="n">
        <f aca="false">F5471*H5471</f>
        <v>59.6409</v>
      </c>
      <c r="J5471" s="43" t="n">
        <f aca="false">G5471*H5471*1.5</f>
        <v>0</v>
      </c>
      <c r="K5471" s="6" t="n">
        <v>11.86</v>
      </c>
      <c r="L5471" s="43" t="n">
        <f aca="false">K5471*'Chart of Accounts'!$E$68</f>
        <v>7.9462</v>
      </c>
      <c r="O5471" s="42" t="n">
        <f aca="false">I5471+J5471+L5471</f>
        <v>67.5871</v>
      </c>
    </row>
    <row r="5472" customFormat="false" ht="15" hidden="false" customHeight="false" outlineLevel="0" collapsed="false">
      <c r="B5472" s="7" t="s">
        <v>14105</v>
      </c>
      <c r="C5472" s="39" t="n">
        <v>45994</v>
      </c>
      <c r="D5472" s="7" t="s">
        <v>236</v>
      </c>
      <c r="E5472" s="7" t="s">
        <v>180</v>
      </c>
      <c r="F5472" s="6" t="n">
        <v>3.48</v>
      </c>
      <c r="G5472" s="6" t="n">
        <v>0</v>
      </c>
      <c r="H5472" s="41" t="n">
        <v>15.49</v>
      </c>
      <c r="I5472" s="43" t="n">
        <f aca="false">F5472*H5472</f>
        <v>53.9052</v>
      </c>
      <c r="J5472" s="43" t="n">
        <f aca="false">G5472*H5472*1.5</f>
        <v>0</v>
      </c>
      <c r="K5472" s="6" t="n">
        <v>9.62</v>
      </c>
      <c r="L5472" s="43" t="n">
        <f aca="false">K5472*'Chart of Accounts'!$E$68</f>
        <v>6.4454</v>
      </c>
      <c r="O5472" s="42" t="n">
        <f aca="false">I5472+J5472+L5472</f>
        <v>60.3506</v>
      </c>
    </row>
    <row r="5473" customFormat="false" ht="15" hidden="false" customHeight="false" outlineLevel="0" collapsed="false">
      <c r="B5473" s="7" t="s">
        <v>14106</v>
      </c>
      <c r="C5473" s="39" t="n">
        <v>45994</v>
      </c>
      <c r="D5473" s="7" t="s">
        <v>177</v>
      </c>
      <c r="E5473" s="7" t="s">
        <v>180</v>
      </c>
      <c r="F5473" s="6" t="n">
        <v>12.55</v>
      </c>
      <c r="G5473" s="6" t="n">
        <v>0</v>
      </c>
      <c r="H5473" s="41" t="n">
        <v>14.56</v>
      </c>
      <c r="I5473" s="43" t="n">
        <f aca="false">F5473*H5473</f>
        <v>182.728</v>
      </c>
      <c r="J5473" s="43" t="n">
        <f aca="false">G5473*H5473*1.5</f>
        <v>0</v>
      </c>
      <c r="K5473" s="6" t="n">
        <v>27.68</v>
      </c>
      <c r="L5473" s="43" t="n">
        <f aca="false">K5473*'Chart of Accounts'!$E$68</f>
        <v>18.5456</v>
      </c>
      <c r="O5473" s="42" t="n">
        <f aca="false">I5473+J5473+L5473</f>
        <v>201.2736</v>
      </c>
    </row>
    <row r="5474" customFormat="false" ht="15" hidden="false" customHeight="false" outlineLevel="0" collapsed="false">
      <c r="B5474" s="7" t="s">
        <v>14107</v>
      </c>
      <c r="C5474" s="39" t="n">
        <v>45994</v>
      </c>
      <c r="D5474" s="7" t="s">
        <v>242</v>
      </c>
      <c r="E5474" s="7" t="s">
        <v>180</v>
      </c>
      <c r="F5474" s="6" t="n">
        <v>6.586</v>
      </c>
      <c r="G5474" s="6" t="n">
        <v>0.644</v>
      </c>
      <c r="H5474" s="41" t="n">
        <v>17.99</v>
      </c>
      <c r="I5474" s="43" t="n">
        <f aca="false">F5474*H5474</f>
        <v>118.48214</v>
      </c>
      <c r="J5474" s="43" t="n">
        <f aca="false">G5474*H5474*1.5</f>
        <v>17.37834</v>
      </c>
      <c r="K5474" s="6" t="n">
        <v>25.69</v>
      </c>
      <c r="L5474" s="43" t="n">
        <f aca="false">K5474*'Chart of Accounts'!$E$68</f>
        <v>17.2123</v>
      </c>
      <c r="O5474" s="42" t="n">
        <f aca="false">I5474+J5474+L5474</f>
        <v>153.07278</v>
      </c>
    </row>
    <row r="5475" customFormat="false" ht="15" hidden="false" customHeight="false" outlineLevel="0" collapsed="false">
      <c r="B5475" s="7" t="s">
        <v>14108</v>
      </c>
      <c r="C5475" s="39" t="n">
        <v>45994</v>
      </c>
      <c r="D5475" s="7" t="s">
        <v>244</v>
      </c>
      <c r="E5475" s="7" t="s">
        <v>180</v>
      </c>
      <c r="F5475" s="6" t="n">
        <v>7.18</v>
      </c>
      <c r="G5475" s="6" t="n">
        <v>0</v>
      </c>
      <c r="H5475" s="41" t="n">
        <v>16.39</v>
      </c>
      <c r="I5475" s="43" t="n">
        <f aca="false">F5475*H5475</f>
        <v>117.6802</v>
      </c>
      <c r="J5475" s="43" t="n">
        <f aca="false">G5475*H5475*1.5</f>
        <v>0</v>
      </c>
      <c r="K5475" s="6" t="n">
        <v>19.59</v>
      </c>
      <c r="L5475" s="43" t="n">
        <f aca="false">K5475*'Chart of Accounts'!$E$68</f>
        <v>13.1253</v>
      </c>
      <c r="O5475" s="42" t="n">
        <f aca="false">I5475+J5475+L5475</f>
        <v>130.8055</v>
      </c>
    </row>
    <row r="5476" customFormat="false" ht="15" hidden="false" customHeight="false" outlineLevel="0" collapsed="false">
      <c r="B5476" s="7" t="s">
        <v>14109</v>
      </c>
      <c r="C5476" s="39" t="n">
        <v>45994</v>
      </c>
      <c r="D5476" s="7" t="s">
        <v>254</v>
      </c>
      <c r="E5476" s="7" t="s">
        <v>180</v>
      </c>
      <c r="F5476" s="6" t="n">
        <v>7.185</v>
      </c>
      <c r="G5476" s="6" t="n">
        <v>0.485</v>
      </c>
      <c r="H5476" s="41" t="n">
        <v>17.1</v>
      </c>
      <c r="I5476" s="43" t="n">
        <f aca="false">F5476*H5476</f>
        <v>122.8635</v>
      </c>
      <c r="J5476" s="43" t="n">
        <f aca="false">G5476*H5476*1.5</f>
        <v>12.44025</v>
      </c>
      <c r="K5476" s="6" t="n">
        <v>24.57</v>
      </c>
      <c r="L5476" s="43" t="n">
        <f aca="false">K5476*'Chart of Accounts'!$E$68</f>
        <v>16.4619</v>
      </c>
      <c r="O5476" s="42" t="n">
        <f aca="false">I5476+J5476+L5476</f>
        <v>151.76565</v>
      </c>
    </row>
    <row r="5477" customFormat="false" ht="15" hidden="false" customHeight="false" outlineLevel="0" collapsed="false">
      <c r="B5477" s="7" t="s">
        <v>14110</v>
      </c>
      <c r="C5477" s="39" t="n">
        <v>45994</v>
      </c>
      <c r="D5477" s="7" t="s">
        <v>201</v>
      </c>
      <c r="E5477" s="7" t="s">
        <v>180</v>
      </c>
      <c r="F5477" s="6" t="n">
        <v>3.38</v>
      </c>
      <c r="G5477" s="6" t="n">
        <v>0</v>
      </c>
      <c r="H5477" s="41" t="n">
        <v>15.19</v>
      </c>
      <c r="I5477" s="43" t="n">
        <f aca="false">F5477*H5477</f>
        <v>51.3422</v>
      </c>
      <c r="J5477" s="43" t="n">
        <f aca="false">G5477*H5477*1.5</f>
        <v>0</v>
      </c>
      <c r="K5477" s="6" t="n">
        <v>8.2</v>
      </c>
      <c r="L5477" s="43" t="n">
        <f aca="false">K5477*'Chart of Accounts'!$E$68</f>
        <v>5.494</v>
      </c>
      <c r="O5477" s="42" t="n">
        <f aca="false">I5477+J5477+L5477</f>
        <v>56.8362</v>
      </c>
    </row>
    <row r="5478" customFormat="false" ht="15" hidden="false" customHeight="false" outlineLevel="0" collapsed="false">
      <c r="B5478" s="7" t="s">
        <v>14111</v>
      </c>
      <c r="C5478" s="39" t="n">
        <v>45994</v>
      </c>
      <c r="D5478" s="7" t="s">
        <v>222</v>
      </c>
      <c r="E5478" s="7" t="s">
        <v>180</v>
      </c>
      <c r="F5478" s="6" t="n">
        <v>4.39</v>
      </c>
      <c r="G5478" s="6" t="n">
        <v>0</v>
      </c>
      <c r="H5478" s="41" t="n">
        <v>17.84</v>
      </c>
      <c r="I5478" s="43" t="n">
        <f aca="false">F5478*H5478</f>
        <v>78.3176</v>
      </c>
      <c r="J5478" s="43" t="n">
        <f aca="false">G5478*H5478*1.5</f>
        <v>0</v>
      </c>
      <c r="K5478" s="6" t="n">
        <v>15.76</v>
      </c>
      <c r="L5478" s="43" t="n">
        <f aca="false">K5478*'Chart of Accounts'!$E$68</f>
        <v>10.5592</v>
      </c>
      <c r="O5478" s="42" t="n">
        <f aca="false">I5478+J5478+L5478</f>
        <v>88.8768</v>
      </c>
    </row>
    <row r="5479" customFormat="false" ht="15" hidden="false" customHeight="false" outlineLevel="0" collapsed="false">
      <c r="B5479" s="7" t="s">
        <v>14112</v>
      </c>
      <c r="C5479" s="39" t="n">
        <v>45994</v>
      </c>
      <c r="D5479" s="7" t="s">
        <v>232</v>
      </c>
      <c r="E5479" s="7" t="s">
        <v>180</v>
      </c>
      <c r="F5479" s="6" t="n">
        <v>4.29</v>
      </c>
      <c r="G5479" s="6" t="n">
        <v>0</v>
      </c>
      <c r="H5479" s="41" t="n">
        <v>16.17</v>
      </c>
      <c r="I5479" s="43" t="n">
        <f aca="false">F5479*H5479</f>
        <v>69.3693</v>
      </c>
      <c r="J5479" s="43" t="n">
        <f aca="false">G5479*H5479*1.5</f>
        <v>0</v>
      </c>
      <c r="K5479" s="6" t="n">
        <v>14.56</v>
      </c>
      <c r="L5479" s="43" t="n">
        <f aca="false">K5479*'Chart of Accounts'!$E$68</f>
        <v>9.7552</v>
      </c>
      <c r="O5479" s="42" t="n">
        <f aca="false">I5479+J5479+L5479</f>
        <v>79.1245</v>
      </c>
    </row>
    <row r="5480" customFormat="false" ht="15" hidden="false" customHeight="false" outlineLevel="0" collapsed="false">
      <c r="B5480" s="7" t="s">
        <v>14113</v>
      </c>
      <c r="C5480" s="39" t="n">
        <v>45994</v>
      </c>
      <c r="D5480" s="7" t="s">
        <v>224</v>
      </c>
      <c r="E5480" s="7" t="s">
        <v>180</v>
      </c>
      <c r="F5480" s="6" t="n">
        <v>4.33</v>
      </c>
      <c r="G5480" s="6" t="n">
        <v>0</v>
      </c>
      <c r="H5480" s="41" t="n">
        <v>14.93</v>
      </c>
      <c r="I5480" s="43" t="n">
        <f aca="false">F5480*H5480</f>
        <v>64.6469</v>
      </c>
      <c r="J5480" s="43" t="n">
        <f aca="false">G5480*H5480*1.5</f>
        <v>0</v>
      </c>
      <c r="K5480" s="6" t="n">
        <v>10.25</v>
      </c>
      <c r="L5480" s="43" t="n">
        <f aca="false">K5480*'Chart of Accounts'!$E$68</f>
        <v>6.8675</v>
      </c>
      <c r="O5480" s="42" t="n">
        <f aca="false">I5480+J5480+L5480</f>
        <v>71.5144</v>
      </c>
    </row>
    <row r="5481" customFormat="false" ht="15" hidden="false" customHeight="false" outlineLevel="0" collapsed="false">
      <c r="B5481" s="7" t="s">
        <v>14114</v>
      </c>
      <c r="C5481" s="39" t="n">
        <v>45994</v>
      </c>
      <c r="D5481" s="7" t="s">
        <v>238</v>
      </c>
      <c r="E5481" s="7" t="s">
        <v>180</v>
      </c>
      <c r="F5481" s="6" t="n">
        <v>3.72</v>
      </c>
      <c r="G5481" s="6" t="n">
        <v>0</v>
      </c>
      <c r="H5481" s="41" t="n">
        <v>15.85</v>
      </c>
      <c r="I5481" s="43" t="n">
        <f aca="false">F5481*H5481</f>
        <v>58.962</v>
      </c>
      <c r="J5481" s="43" t="n">
        <f aca="false">G5481*H5481*1.5</f>
        <v>0</v>
      </c>
      <c r="K5481" s="6" t="n">
        <v>13.22</v>
      </c>
      <c r="L5481" s="43" t="n">
        <f aca="false">K5481*'Chart of Accounts'!$E$68</f>
        <v>8.8574</v>
      </c>
      <c r="O5481" s="42" t="n">
        <f aca="false">I5481+J5481+L5481</f>
        <v>67.8194</v>
      </c>
    </row>
    <row r="5482" customFormat="false" ht="15" hidden="false" customHeight="false" outlineLevel="0" collapsed="false">
      <c r="B5482" s="7" t="s">
        <v>14115</v>
      </c>
      <c r="C5482" s="39" t="n">
        <v>45994</v>
      </c>
      <c r="D5482" s="7" t="s">
        <v>196</v>
      </c>
      <c r="E5482" s="7" t="s">
        <v>180</v>
      </c>
      <c r="F5482" s="6" t="n">
        <v>4.03</v>
      </c>
      <c r="G5482" s="6" t="n">
        <v>0</v>
      </c>
      <c r="H5482" s="41" t="n">
        <v>15.05</v>
      </c>
      <c r="I5482" s="43" t="n">
        <f aca="false">F5482*H5482</f>
        <v>60.6515</v>
      </c>
      <c r="J5482" s="43" t="n">
        <f aca="false">G5482*H5482*1.5</f>
        <v>0</v>
      </c>
      <c r="K5482" s="6" t="n">
        <v>13.31</v>
      </c>
      <c r="L5482" s="43" t="n">
        <f aca="false">K5482*'Chart of Accounts'!$E$68</f>
        <v>8.9177</v>
      </c>
      <c r="O5482" s="42" t="n">
        <f aca="false">I5482+J5482+L5482</f>
        <v>69.5692</v>
      </c>
    </row>
    <row r="5483" customFormat="false" ht="15" hidden="false" customHeight="false" outlineLevel="0" collapsed="false">
      <c r="B5483" s="7" t="s">
        <v>14116</v>
      </c>
      <c r="C5483" s="39" t="n">
        <v>45994</v>
      </c>
      <c r="D5483" s="7" t="s">
        <v>246</v>
      </c>
      <c r="E5483" s="7" t="s">
        <v>180</v>
      </c>
      <c r="F5483" s="6" t="n">
        <v>4.32</v>
      </c>
      <c r="G5483" s="6" t="n">
        <v>0</v>
      </c>
      <c r="H5483" s="41" t="n">
        <v>16.48</v>
      </c>
      <c r="I5483" s="43" t="n">
        <f aca="false">F5483*H5483</f>
        <v>71.1936</v>
      </c>
      <c r="J5483" s="43" t="n">
        <f aca="false">G5483*H5483*1.5</f>
        <v>0</v>
      </c>
      <c r="K5483" s="6" t="n">
        <v>13.41</v>
      </c>
      <c r="L5483" s="43" t="n">
        <f aca="false">K5483*'Chart of Accounts'!$E$68</f>
        <v>8.9847</v>
      </c>
      <c r="O5483" s="42" t="n">
        <f aca="false">I5483+J5483+L5483</f>
        <v>80.1783</v>
      </c>
    </row>
    <row r="5484" customFormat="false" ht="15" hidden="false" customHeight="false" outlineLevel="0" collapsed="false">
      <c r="B5484" s="7" t="s">
        <v>14117</v>
      </c>
      <c r="C5484" s="39" t="n">
        <v>45994</v>
      </c>
      <c r="D5484" s="7" t="s">
        <v>203</v>
      </c>
      <c r="E5484" s="7" t="s">
        <v>158</v>
      </c>
      <c r="H5484" s="41" t="n">
        <v>49.43</v>
      </c>
      <c r="M5484" s="6" t="n">
        <v>1</v>
      </c>
      <c r="N5484" s="43" t="n">
        <f aca="false">M5484*H5484</f>
        <v>49.43</v>
      </c>
      <c r="O5484" s="42" t="n">
        <f aca="false">N5484</f>
        <v>49.43</v>
      </c>
    </row>
    <row r="5485" customFormat="false" ht="15" hidden="false" customHeight="false" outlineLevel="0" collapsed="false">
      <c r="B5485" s="7" t="s">
        <v>14118</v>
      </c>
      <c r="C5485" s="39" t="n">
        <v>45995</v>
      </c>
      <c r="D5485" s="7" t="s">
        <v>256</v>
      </c>
      <c r="E5485" s="7" t="s">
        <v>180</v>
      </c>
      <c r="F5485" s="6" t="n">
        <v>11.37</v>
      </c>
      <c r="G5485" s="6" t="n">
        <v>0</v>
      </c>
      <c r="H5485" s="41" t="n">
        <v>15.63</v>
      </c>
      <c r="I5485" s="43" t="n">
        <f aca="false">F5485*H5485</f>
        <v>177.7131</v>
      </c>
      <c r="J5485" s="43" t="n">
        <f aca="false">G5485*H5485*1.5</f>
        <v>0</v>
      </c>
      <c r="K5485" s="6" t="n">
        <v>27.04</v>
      </c>
      <c r="L5485" s="43" t="n">
        <f aca="false">K5485*'Chart of Accounts'!$E$68</f>
        <v>18.1168</v>
      </c>
      <c r="O5485" s="42" t="n">
        <f aca="false">I5485+J5485+L5485</f>
        <v>195.8299</v>
      </c>
    </row>
    <row r="5486" customFormat="false" ht="15" hidden="false" customHeight="false" outlineLevel="0" collapsed="false">
      <c r="B5486" s="7" t="s">
        <v>14119</v>
      </c>
      <c r="C5486" s="39" t="n">
        <v>45995</v>
      </c>
      <c r="D5486" s="7" t="s">
        <v>201</v>
      </c>
      <c r="E5486" s="7" t="s">
        <v>180</v>
      </c>
      <c r="F5486" s="6" t="n">
        <v>9.96</v>
      </c>
      <c r="G5486" s="6" t="n">
        <v>0</v>
      </c>
      <c r="H5486" s="41" t="n">
        <v>15.19</v>
      </c>
      <c r="I5486" s="43" t="n">
        <f aca="false">F5486*H5486</f>
        <v>151.2924</v>
      </c>
      <c r="J5486" s="43" t="n">
        <f aca="false">G5486*H5486*1.5</f>
        <v>0</v>
      </c>
      <c r="K5486" s="6" t="n">
        <v>30.01</v>
      </c>
      <c r="L5486" s="43" t="n">
        <f aca="false">K5486*'Chart of Accounts'!$E$68</f>
        <v>20.1067</v>
      </c>
      <c r="O5486" s="42" t="n">
        <f aca="false">I5486+J5486+L5486</f>
        <v>171.3991</v>
      </c>
    </row>
    <row r="5487" customFormat="false" ht="15" hidden="false" customHeight="false" outlineLevel="0" collapsed="false">
      <c r="B5487" s="7" t="s">
        <v>14120</v>
      </c>
      <c r="C5487" s="39" t="n">
        <v>45995</v>
      </c>
      <c r="D5487" s="7" t="s">
        <v>240</v>
      </c>
      <c r="E5487" s="7" t="s">
        <v>180</v>
      </c>
      <c r="F5487" s="6" t="n">
        <v>3.65</v>
      </c>
      <c r="G5487" s="6" t="n">
        <v>0</v>
      </c>
      <c r="H5487" s="41" t="n">
        <v>16.96</v>
      </c>
      <c r="I5487" s="43" t="n">
        <f aca="false">F5487*H5487</f>
        <v>61.904</v>
      </c>
      <c r="J5487" s="43" t="n">
        <f aca="false">G5487*H5487*1.5</f>
        <v>0</v>
      </c>
      <c r="K5487" s="6" t="n">
        <v>12.77</v>
      </c>
      <c r="L5487" s="43" t="n">
        <f aca="false">K5487*'Chart of Accounts'!$E$68</f>
        <v>8.5559</v>
      </c>
      <c r="O5487" s="42" t="n">
        <f aca="false">I5487+J5487+L5487</f>
        <v>70.4599</v>
      </c>
    </row>
    <row r="5488" customFormat="false" ht="15" hidden="false" customHeight="false" outlineLevel="0" collapsed="false">
      <c r="B5488" s="7" t="s">
        <v>14121</v>
      </c>
      <c r="C5488" s="39" t="n">
        <v>45995</v>
      </c>
      <c r="D5488" s="7" t="s">
        <v>196</v>
      </c>
      <c r="E5488" s="7" t="s">
        <v>180</v>
      </c>
      <c r="F5488" s="6" t="n">
        <v>10.07</v>
      </c>
      <c r="G5488" s="6" t="n">
        <v>0</v>
      </c>
      <c r="H5488" s="41" t="n">
        <v>15.05</v>
      </c>
      <c r="I5488" s="43" t="n">
        <f aca="false">F5488*H5488</f>
        <v>151.5535</v>
      </c>
      <c r="J5488" s="43" t="n">
        <f aca="false">G5488*H5488*1.5</f>
        <v>0</v>
      </c>
      <c r="K5488" s="6" t="n">
        <v>34.26</v>
      </c>
      <c r="L5488" s="43" t="n">
        <f aca="false">K5488*'Chart of Accounts'!$E$68</f>
        <v>22.9542</v>
      </c>
      <c r="O5488" s="42" t="n">
        <f aca="false">I5488+J5488+L5488</f>
        <v>174.5077</v>
      </c>
    </row>
    <row r="5489" customFormat="false" ht="15" hidden="false" customHeight="false" outlineLevel="0" collapsed="false">
      <c r="B5489" s="7" t="s">
        <v>14122</v>
      </c>
      <c r="C5489" s="39" t="n">
        <v>45995</v>
      </c>
      <c r="D5489" s="7" t="s">
        <v>184</v>
      </c>
      <c r="E5489" s="7" t="s">
        <v>180</v>
      </c>
      <c r="F5489" s="6" t="n">
        <v>3.95</v>
      </c>
      <c r="G5489" s="6" t="n">
        <v>0</v>
      </c>
      <c r="H5489" s="41" t="n">
        <v>17.34</v>
      </c>
      <c r="I5489" s="43" t="n">
        <f aca="false">F5489*H5489</f>
        <v>68.493</v>
      </c>
      <c r="J5489" s="43" t="n">
        <f aca="false">G5489*H5489*1.5</f>
        <v>0</v>
      </c>
      <c r="K5489" s="6" t="n">
        <v>11.47</v>
      </c>
      <c r="L5489" s="43" t="n">
        <f aca="false">K5489*'Chart of Accounts'!$E$68</f>
        <v>7.6849</v>
      </c>
      <c r="O5489" s="42" t="n">
        <f aca="false">I5489+J5489+L5489</f>
        <v>76.1779</v>
      </c>
    </row>
    <row r="5490" customFormat="false" ht="15" hidden="false" customHeight="false" outlineLevel="0" collapsed="false">
      <c r="B5490" s="7" t="s">
        <v>14123</v>
      </c>
      <c r="C5490" s="39" t="n">
        <v>45995</v>
      </c>
      <c r="D5490" s="7" t="s">
        <v>246</v>
      </c>
      <c r="E5490" s="7" t="s">
        <v>180</v>
      </c>
      <c r="F5490" s="6" t="n">
        <v>11.56</v>
      </c>
      <c r="G5490" s="6" t="n">
        <v>0</v>
      </c>
      <c r="H5490" s="41" t="n">
        <v>16.48</v>
      </c>
      <c r="I5490" s="43" t="n">
        <f aca="false">F5490*H5490</f>
        <v>190.5088</v>
      </c>
      <c r="J5490" s="43" t="n">
        <f aca="false">G5490*H5490*1.5</f>
        <v>0</v>
      </c>
      <c r="K5490" s="6" t="n">
        <v>39.43</v>
      </c>
      <c r="L5490" s="43" t="n">
        <f aca="false">K5490*'Chart of Accounts'!$E$68</f>
        <v>26.4181</v>
      </c>
      <c r="O5490" s="42" t="n">
        <f aca="false">I5490+J5490+L5490</f>
        <v>216.9269</v>
      </c>
    </row>
    <row r="5491" customFormat="false" ht="15" hidden="false" customHeight="false" outlineLevel="0" collapsed="false">
      <c r="B5491" s="7" t="s">
        <v>14124</v>
      </c>
      <c r="C5491" s="39" t="n">
        <v>45995</v>
      </c>
      <c r="D5491" s="7" t="s">
        <v>218</v>
      </c>
      <c r="E5491" s="7" t="s">
        <v>180</v>
      </c>
      <c r="F5491" s="6" t="n">
        <v>3.74</v>
      </c>
      <c r="G5491" s="6" t="n">
        <v>0</v>
      </c>
      <c r="H5491" s="41" t="n">
        <v>16.19</v>
      </c>
      <c r="I5491" s="43" t="n">
        <f aca="false">F5491*H5491</f>
        <v>60.5506</v>
      </c>
      <c r="J5491" s="43" t="n">
        <f aca="false">G5491*H5491*1.5</f>
        <v>0</v>
      </c>
      <c r="K5491" s="6" t="n">
        <v>11.04</v>
      </c>
      <c r="L5491" s="43" t="n">
        <f aca="false">K5491*'Chart of Accounts'!$E$68</f>
        <v>7.3968</v>
      </c>
      <c r="O5491" s="42" t="n">
        <f aca="false">I5491+J5491+L5491</f>
        <v>67.9474</v>
      </c>
    </row>
    <row r="5492" customFormat="false" ht="15" hidden="false" customHeight="false" outlineLevel="0" collapsed="false">
      <c r="B5492" s="7" t="s">
        <v>14125</v>
      </c>
      <c r="C5492" s="39" t="n">
        <v>45995</v>
      </c>
      <c r="D5492" s="7" t="s">
        <v>194</v>
      </c>
      <c r="E5492" s="7" t="s">
        <v>180</v>
      </c>
      <c r="F5492" s="6" t="n">
        <v>7.19</v>
      </c>
      <c r="G5492" s="6" t="n">
        <v>0</v>
      </c>
      <c r="H5492" s="41" t="n">
        <v>16</v>
      </c>
      <c r="I5492" s="43" t="n">
        <f aca="false">F5492*H5492</f>
        <v>115.04</v>
      </c>
      <c r="J5492" s="43" t="n">
        <f aca="false">G5492*H5492*1.5</f>
        <v>0</v>
      </c>
      <c r="K5492" s="6" t="n">
        <v>20.66</v>
      </c>
      <c r="L5492" s="43" t="n">
        <f aca="false">K5492*'Chart of Accounts'!$E$68</f>
        <v>13.8422</v>
      </c>
      <c r="O5492" s="42" t="n">
        <f aca="false">I5492+J5492+L5492</f>
        <v>128.8822</v>
      </c>
    </row>
    <row r="5493" customFormat="false" ht="15" hidden="false" customHeight="false" outlineLevel="0" collapsed="false">
      <c r="B5493" s="7" t="s">
        <v>14126</v>
      </c>
      <c r="C5493" s="39" t="n">
        <v>45995</v>
      </c>
      <c r="D5493" s="7" t="s">
        <v>220</v>
      </c>
      <c r="E5493" s="7" t="s">
        <v>180</v>
      </c>
      <c r="F5493" s="6" t="n">
        <v>4.3</v>
      </c>
      <c r="G5493" s="6" t="n">
        <v>0</v>
      </c>
      <c r="H5493" s="41" t="n">
        <v>16.43</v>
      </c>
      <c r="I5493" s="43" t="n">
        <f aca="false">F5493*H5493</f>
        <v>70.649</v>
      </c>
      <c r="J5493" s="43" t="n">
        <f aca="false">G5493*H5493*1.5</f>
        <v>0</v>
      </c>
      <c r="K5493" s="6" t="n">
        <v>14.22</v>
      </c>
      <c r="L5493" s="43" t="n">
        <f aca="false">K5493*'Chart of Accounts'!$E$68</f>
        <v>9.5274</v>
      </c>
      <c r="O5493" s="42" t="n">
        <f aca="false">I5493+J5493+L5493</f>
        <v>80.1764</v>
      </c>
    </row>
    <row r="5494" customFormat="false" ht="15" hidden="false" customHeight="false" outlineLevel="0" collapsed="false">
      <c r="B5494" s="7" t="s">
        <v>14127</v>
      </c>
      <c r="C5494" s="39" t="n">
        <v>45995</v>
      </c>
      <c r="D5494" s="7" t="s">
        <v>222</v>
      </c>
      <c r="E5494" s="7" t="s">
        <v>180</v>
      </c>
      <c r="F5494" s="6" t="n">
        <v>6.72</v>
      </c>
      <c r="G5494" s="6" t="n">
        <v>0</v>
      </c>
      <c r="H5494" s="41" t="n">
        <v>17.84</v>
      </c>
      <c r="I5494" s="43" t="n">
        <f aca="false">F5494*H5494</f>
        <v>119.8848</v>
      </c>
      <c r="J5494" s="43" t="n">
        <f aca="false">G5494*H5494*1.5</f>
        <v>0</v>
      </c>
      <c r="K5494" s="6" t="n">
        <v>21.96</v>
      </c>
      <c r="L5494" s="43" t="n">
        <f aca="false">K5494*'Chart of Accounts'!$E$68</f>
        <v>14.7132</v>
      </c>
      <c r="O5494" s="42" t="n">
        <f aca="false">I5494+J5494+L5494</f>
        <v>134.598</v>
      </c>
    </row>
    <row r="5495" customFormat="false" ht="15" hidden="false" customHeight="false" outlineLevel="0" collapsed="false">
      <c r="B5495" s="7" t="s">
        <v>14128</v>
      </c>
      <c r="C5495" s="39" t="n">
        <v>45995</v>
      </c>
      <c r="D5495" s="7" t="s">
        <v>244</v>
      </c>
      <c r="E5495" s="7" t="s">
        <v>180</v>
      </c>
      <c r="F5495" s="6" t="n">
        <v>3.94</v>
      </c>
      <c r="G5495" s="6" t="n">
        <v>0</v>
      </c>
      <c r="H5495" s="41" t="n">
        <v>16.39</v>
      </c>
      <c r="I5495" s="43" t="n">
        <f aca="false">F5495*H5495</f>
        <v>64.5766</v>
      </c>
      <c r="J5495" s="43" t="n">
        <f aca="false">G5495*H5495*1.5</f>
        <v>0</v>
      </c>
      <c r="K5495" s="6" t="n">
        <v>9.41</v>
      </c>
      <c r="L5495" s="43" t="n">
        <f aca="false">K5495*'Chart of Accounts'!$E$68</f>
        <v>6.3047</v>
      </c>
      <c r="O5495" s="42" t="n">
        <f aca="false">I5495+J5495+L5495</f>
        <v>70.8813</v>
      </c>
    </row>
    <row r="5496" customFormat="false" ht="15" hidden="false" customHeight="false" outlineLevel="0" collapsed="false">
      <c r="B5496" s="7" t="s">
        <v>14129</v>
      </c>
      <c r="C5496" s="39" t="n">
        <v>45995</v>
      </c>
      <c r="D5496" s="7" t="s">
        <v>214</v>
      </c>
      <c r="E5496" s="7" t="s">
        <v>180</v>
      </c>
      <c r="F5496" s="6" t="n">
        <v>3.78</v>
      </c>
      <c r="G5496" s="6" t="n">
        <v>0</v>
      </c>
      <c r="H5496" s="41" t="n">
        <v>15.67</v>
      </c>
      <c r="I5496" s="43" t="n">
        <f aca="false">F5496*H5496</f>
        <v>59.2326</v>
      </c>
      <c r="J5496" s="43" t="n">
        <f aca="false">G5496*H5496*1.5</f>
        <v>0</v>
      </c>
      <c r="K5496" s="6" t="n">
        <v>9.7</v>
      </c>
      <c r="L5496" s="43" t="n">
        <f aca="false">K5496*'Chart of Accounts'!$E$68</f>
        <v>6.499</v>
      </c>
      <c r="O5496" s="42" t="n">
        <f aca="false">I5496+J5496+L5496</f>
        <v>65.7316</v>
      </c>
    </row>
    <row r="5497" customFormat="false" ht="15" hidden="false" customHeight="false" outlineLevel="0" collapsed="false">
      <c r="B5497" s="7" t="s">
        <v>14130</v>
      </c>
      <c r="C5497" s="39" t="n">
        <v>45995</v>
      </c>
      <c r="D5497" s="7" t="s">
        <v>242</v>
      </c>
      <c r="E5497" s="7" t="s">
        <v>180</v>
      </c>
      <c r="F5497" s="6" t="n">
        <v>3.425</v>
      </c>
      <c r="G5497" s="6" t="n">
        <v>0.335</v>
      </c>
      <c r="H5497" s="41" t="n">
        <v>17.99</v>
      </c>
      <c r="I5497" s="43" t="n">
        <f aca="false">F5497*H5497</f>
        <v>61.61575</v>
      </c>
      <c r="J5497" s="43" t="n">
        <f aca="false">G5497*H5497*1.5</f>
        <v>9.039975</v>
      </c>
      <c r="K5497" s="6" t="n">
        <v>12.43</v>
      </c>
      <c r="L5497" s="43" t="n">
        <f aca="false">K5497*'Chart of Accounts'!$E$68</f>
        <v>8.3281</v>
      </c>
      <c r="O5497" s="42" t="n">
        <f aca="false">I5497+J5497+L5497</f>
        <v>78.983825</v>
      </c>
    </row>
    <row r="5498" customFormat="false" ht="15" hidden="false" customHeight="false" outlineLevel="0" collapsed="false">
      <c r="B5498" s="7" t="s">
        <v>14131</v>
      </c>
      <c r="C5498" s="39" t="n">
        <v>45995</v>
      </c>
      <c r="D5498" s="7" t="s">
        <v>254</v>
      </c>
      <c r="E5498" s="7" t="s">
        <v>180</v>
      </c>
      <c r="F5498" s="6" t="n">
        <v>4.103</v>
      </c>
      <c r="G5498" s="6" t="n">
        <v>0.277</v>
      </c>
      <c r="H5498" s="41" t="n">
        <v>17.1</v>
      </c>
      <c r="I5498" s="43" t="n">
        <f aca="false">F5498*H5498</f>
        <v>70.1613</v>
      </c>
      <c r="J5498" s="43" t="n">
        <f aca="false">G5498*H5498*1.5</f>
        <v>7.10505</v>
      </c>
      <c r="K5498" s="6" t="n">
        <v>13.31</v>
      </c>
      <c r="L5498" s="43" t="n">
        <f aca="false">K5498*'Chart of Accounts'!$E$68</f>
        <v>8.9177</v>
      </c>
      <c r="O5498" s="42" t="n">
        <f aca="false">I5498+J5498+L5498</f>
        <v>86.18405</v>
      </c>
    </row>
    <row r="5499" customFormat="false" ht="15" hidden="false" customHeight="false" outlineLevel="0" collapsed="false">
      <c r="B5499" s="7" t="s">
        <v>14132</v>
      </c>
      <c r="C5499" s="39" t="n">
        <v>45996</v>
      </c>
      <c r="D5499" s="7" t="s">
        <v>238</v>
      </c>
      <c r="E5499" s="7" t="s">
        <v>180</v>
      </c>
      <c r="F5499" s="6" t="n">
        <v>8.08</v>
      </c>
      <c r="G5499" s="6" t="n">
        <v>0</v>
      </c>
      <c r="H5499" s="41" t="n">
        <v>15.85</v>
      </c>
      <c r="I5499" s="43" t="n">
        <f aca="false">F5499*H5499</f>
        <v>128.068</v>
      </c>
      <c r="J5499" s="43" t="n">
        <f aca="false">G5499*H5499*1.5</f>
        <v>0</v>
      </c>
      <c r="K5499" s="6" t="n">
        <v>20.01</v>
      </c>
      <c r="L5499" s="43" t="n">
        <f aca="false">K5499*'Chart of Accounts'!$E$68</f>
        <v>13.4067</v>
      </c>
      <c r="O5499" s="42" t="n">
        <f aca="false">I5499+J5499+L5499</f>
        <v>141.4747</v>
      </c>
    </row>
    <row r="5500" customFormat="false" ht="15" hidden="false" customHeight="false" outlineLevel="0" collapsed="false">
      <c r="B5500" s="7" t="s">
        <v>14133</v>
      </c>
      <c r="C5500" s="39" t="n">
        <v>45996</v>
      </c>
      <c r="D5500" s="7" t="s">
        <v>194</v>
      </c>
      <c r="E5500" s="7" t="s">
        <v>180</v>
      </c>
      <c r="F5500" s="6" t="n">
        <v>8.47</v>
      </c>
      <c r="G5500" s="6" t="n">
        <v>0</v>
      </c>
      <c r="H5500" s="41" t="n">
        <v>16</v>
      </c>
      <c r="I5500" s="43" t="n">
        <f aca="false">F5500*H5500</f>
        <v>135.52</v>
      </c>
      <c r="J5500" s="43" t="n">
        <f aca="false">G5500*H5500*1.5</f>
        <v>0</v>
      </c>
      <c r="K5500" s="6" t="n">
        <v>18.77</v>
      </c>
      <c r="L5500" s="43" t="n">
        <f aca="false">K5500*'Chart of Accounts'!$E$68</f>
        <v>12.5759</v>
      </c>
      <c r="O5500" s="42" t="n">
        <f aca="false">I5500+J5500+L5500</f>
        <v>148.0959</v>
      </c>
    </row>
    <row r="5501" customFormat="false" ht="15" hidden="false" customHeight="false" outlineLevel="0" collapsed="false">
      <c r="B5501" s="7" t="s">
        <v>14134</v>
      </c>
      <c r="C5501" s="39" t="n">
        <v>45996</v>
      </c>
      <c r="D5501" s="7" t="s">
        <v>198</v>
      </c>
      <c r="E5501" s="7" t="s">
        <v>158</v>
      </c>
      <c r="H5501" s="41" t="n">
        <v>48.09</v>
      </c>
      <c r="M5501" s="6" t="n">
        <v>1</v>
      </c>
      <c r="N5501" s="43" t="n">
        <f aca="false">M5501*H5501</f>
        <v>48.09</v>
      </c>
      <c r="O5501" s="42" t="n">
        <f aca="false">N5501</f>
        <v>48.09</v>
      </c>
    </row>
    <row r="5502" customFormat="false" ht="15" hidden="false" customHeight="false" outlineLevel="0" collapsed="false">
      <c r="B5502" s="7" t="s">
        <v>14135</v>
      </c>
      <c r="C5502" s="39" t="n">
        <v>45996</v>
      </c>
      <c r="D5502" s="7" t="s">
        <v>214</v>
      </c>
      <c r="E5502" s="7" t="s">
        <v>180</v>
      </c>
      <c r="F5502" s="6" t="n">
        <v>7.26</v>
      </c>
      <c r="G5502" s="6" t="n">
        <v>0</v>
      </c>
      <c r="H5502" s="41" t="n">
        <v>15.67</v>
      </c>
      <c r="I5502" s="43" t="n">
        <f aca="false">F5502*H5502</f>
        <v>113.7642</v>
      </c>
      <c r="J5502" s="43" t="n">
        <f aca="false">G5502*H5502*1.5</f>
        <v>0</v>
      </c>
      <c r="K5502" s="6" t="n">
        <v>19.01</v>
      </c>
      <c r="L5502" s="43" t="n">
        <f aca="false">K5502*'Chart of Accounts'!$E$68</f>
        <v>12.7367</v>
      </c>
      <c r="O5502" s="42" t="n">
        <f aca="false">I5502+J5502+L5502</f>
        <v>126.5009</v>
      </c>
    </row>
    <row r="5503" customFormat="false" ht="15" hidden="false" customHeight="false" outlineLevel="0" collapsed="false">
      <c r="B5503" s="7" t="s">
        <v>14136</v>
      </c>
      <c r="C5503" s="39" t="n">
        <v>45996</v>
      </c>
      <c r="D5503" s="7" t="s">
        <v>209</v>
      </c>
      <c r="E5503" s="7" t="s">
        <v>158</v>
      </c>
      <c r="H5503" s="41" t="n">
        <v>73.58</v>
      </c>
      <c r="M5503" s="6" t="n">
        <v>2</v>
      </c>
      <c r="N5503" s="43" t="n">
        <f aca="false">M5503*H5503</f>
        <v>147.16</v>
      </c>
      <c r="O5503" s="42" t="n">
        <f aca="false">N5503</f>
        <v>147.16</v>
      </c>
    </row>
    <row r="5504" customFormat="false" ht="15" hidden="false" customHeight="false" outlineLevel="0" collapsed="false">
      <c r="B5504" s="7" t="s">
        <v>14137</v>
      </c>
      <c r="C5504" s="39" t="n">
        <v>45996</v>
      </c>
      <c r="D5504" s="7" t="s">
        <v>205</v>
      </c>
      <c r="E5504" s="7" t="s">
        <v>180</v>
      </c>
      <c r="F5504" s="6" t="n">
        <v>4.32</v>
      </c>
      <c r="G5504" s="6" t="n">
        <v>0</v>
      </c>
      <c r="H5504" s="41" t="n">
        <v>16.36</v>
      </c>
      <c r="I5504" s="43" t="n">
        <f aca="false">F5504*H5504</f>
        <v>70.6752</v>
      </c>
      <c r="J5504" s="43" t="n">
        <f aca="false">G5504*H5504*1.5</f>
        <v>0</v>
      </c>
      <c r="K5504" s="6" t="n">
        <v>14.22</v>
      </c>
      <c r="L5504" s="43" t="n">
        <f aca="false">K5504*'Chart of Accounts'!$E$68</f>
        <v>9.5274</v>
      </c>
      <c r="O5504" s="42" t="n">
        <f aca="false">I5504+J5504+L5504</f>
        <v>80.2026</v>
      </c>
    </row>
    <row r="5505" customFormat="false" ht="15" hidden="false" customHeight="false" outlineLevel="0" collapsed="false">
      <c r="B5505" s="7" t="s">
        <v>14138</v>
      </c>
      <c r="C5505" s="39" t="n">
        <v>45996</v>
      </c>
      <c r="D5505" s="7" t="s">
        <v>264</v>
      </c>
      <c r="E5505" s="7" t="s">
        <v>158</v>
      </c>
      <c r="H5505" s="41" t="n">
        <v>55.55</v>
      </c>
      <c r="M5505" s="6" t="n">
        <v>2</v>
      </c>
      <c r="N5505" s="43" t="n">
        <f aca="false">M5505*H5505</f>
        <v>111.1</v>
      </c>
      <c r="O5505" s="42" t="n">
        <f aca="false">N5505</f>
        <v>111.1</v>
      </c>
    </row>
    <row r="5506" customFormat="false" ht="15" hidden="false" customHeight="false" outlineLevel="0" collapsed="false">
      <c r="B5506" s="7" t="s">
        <v>14139</v>
      </c>
      <c r="C5506" s="39" t="n">
        <v>45996</v>
      </c>
      <c r="D5506" s="7" t="s">
        <v>252</v>
      </c>
      <c r="E5506" s="7" t="s">
        <v>158</v>
      </c>
      <c r="H5506" s="41" t="n">
        <v>57.54</v>
      </c>
      <c r="M5506" s="6" t="n">
        <v>1</v>
      </c>
      <c r="N5506" s="43" t="n">
        <f aca="false">M5506*H5506</f>
        <v>57.54</v>
      </c>
      <c r="O5506" s="42" t="n">
        <f aca="false">N5506</f>
        <v>57.54</v>
      </c>
    </row>
    <row r="5507" customFormat="false" ht="15" hidden="false" customHeight="false" outlineLevel="0" collapsed="false">
      <c r="B5507" s="7" t="s">
        <v>14140</v>
      </c>
      <c r="C5507" s="39" t="n">
        <v>45996</v>
      </c>
      <c r="D5507" s="7" t="s">
        <v>184</v>
      </c>
      <c r="E5507" s="7" t="s">
        <v>180</v>
      </c>
      <c r="F5507" s="6" t="n">
        <v>7.23</v>
      </c>
      <c r="G5507" s="6" t="n">
        <v>0</v>
      </c>
      <c r="H5507" s="41" t="n">
        <v>17.34</v>
      </c>
      <c r="I5507" s="43" t="n">
        <f aca="false">F5507*H5507</f>
        <v>125.3682</v>
      </c>
      <c r="J5507" s="43" t="n">
        <f aca="false">G5507*H5507*1.5</f>
        <v>0</v>
      </c>
      <c r="K5507" s="6" t="n">
        <v>22.42</v>
      </c>
      <c r="L5507" s="43" t="n">
        <f aca="false">K5507*'Chart of Accounts'!$E$68</f>
        <v>15.0214</v>
      </c>
      <c r="O5507" s="42" t="n">
        <f aca="false">I5507+J5507+L5507</f>
        <v>140.3896</v>
      </c>
    </row>
    <row r="5508" customFormat="false" ht="15" hidden="false" customHeight="false" outlineLevel="0" collapsed="false">
      <c r="B5508" s="7" t="s">
        <v>14141</v>
      </c>
      <c r="C5508" s="39" t="n">
        <v>45996</v>
      </c>
      <c r="D5508" s="7" t="s">
        <v>216</v>
      </c>
      <c r="E5508" s="7" t="s">
        <v>158</v>
      </c>
      <c r="H5508" s="41" t="n">
        <v>61.79</v>
      </c>
      <c r="M5508" s="6" t="n">
        <v>1</v>
      </c>
      <c r="N5508" s="43" t="n">
        <f aca="false">M5508*H5508</f>
        <v>61.79</v>
      </c>
      <c r="O5508" s="42" t="n">
        <f aca="false">N5508</f>
        <v>61.79</v>
      </c>
    </row>
    <row r="5509" customFormat="false" ht="15" hidden="false" customHeight="false" outlineLevel="0" collapsed="false">
      <c r="B5509" s="7" t="s">
        <v>14142</v>
      </c>
      <c r="C5509" s="39" t="n">
        <v>45996</v>
      </c>
      <c r="D5509" s="7" t="s">
        <v>234</v>
      </c>
      <c r="E5509" s="7" t="s">
        <v>158</v>
      </c>
      <c r="H5509" s="41" t="n">
        <v>89.53</v>
      </c>
      <c r="M5509" s="6" t="n">
        <v>2</v>
      </c>
      <c r="N5509" s="43" t="n">
        <f aca="false">M5509*H5509</f>
        <v>179.06</v>
      </c>
      <c r="O5509" s="42" t="n">
        <f aca="false">N5509</f>
        <v>179.06</v>
      </c>
    </row>
    <row r="5510" customFormat="false" ht="15" hidden="false" customHeight="false" outlineLevel="0" collapsed="false">
      <c r="B5510" s="7" t="s">
        <v>14143</v>
      </c>
      <c r="C5510" s="39" t="n">
        <v>45996</v>
      </c>
      <c r="D5510" s="7" t="s">
        <v>218</v>
      </c>
      <c r="E5510" s="7" t="s">
        <v>180</v>
      </c>
      <c r="F5510" s="6" t="n">
        <v>3.95</v>
      </c>
      <c r="G5510" s="6" t="n">
        <v>0</v>
      </c>
      <c r="H5510" s="41" t="n">
        <v>16.19</v>
      </c>
      <c r="I5510" s="43" t="n">
        <f aca="false">F5510*H5510</f>
        <v>63.9505</v>
      </c>
      <c r="J5510" s="43" t="n">
        <f aca="false">G5510*H5510*1.5</f>
        <v>0</v>
      </c>
      <c r="K5510" s="6" t="n">
        <v>14.21</v>
      </c>
      <c r="L5510" s="43" t="n">
        <f aca="false">K5510*'Chart of Accounts'!$E$68</f>
        <v>9.5207</v>
      </c>
      <c r="O5510" s="42" t="n">
        <f aca="false">I5510+J5510+L5510</f>
        <v>73.4712</v>
      </c>
    </row>
    <row r="5511" customFormat="false" ht="15" hidden="false" customHeight="false" outlineLevel="0" collapsed="false">
      <c r="B5511" s="7" t="s">
        <v>14144</v>
      </c>
      <c r="C5511" s="39" t="n">
        <v>45996</v>
      </c>
      <c r="D5511" s="7" t="s">
        <v>228</v>
      </c>
      <c r="E5511" s="7" t="s">
        <v>158</v>
      </c>
      <c r="H5511" s="41" t="n">
        <v>51.07</v>
      </c>
      <c r="M5511" s="6" t="n">
        <v>1</v>
      </c>
      <c r="N5511" s="43" t="n">
        <f aca="false">M5511*H5511</f>
        <v>51.07</v>
      </c>
      <c r="O5511" s="42" t="n">
        <f aca="false">N5511</f>
        <v>51.07</v>
      </c>
    </row>
    <row r="5512" customFormat="false" ht="15" hidden="false" customHeight="false" outlineLevel="0" collapsed="false">
      <c r="B5512" s="7" t="s">
        <v>14145</v>
      </c>
      <c r="C5512" s="39" t="n">
        <v>45996</v>
      </c>
      <c r="D5512" s="7" t="s">
        <v>220</v>
      </c>
      <c r="E5512" s="7" t="s">
        <v>180</v>
      </c>
      <c r="F5512" s="6" t="n">
        <v>4.25</v>
      </c>
      <c r="G5512" s="6" t="n">
        <v>0</v>
      </c>
      <c r="H5512" s="41" t="n">
        <v>16.43</v>
      </c>
      <c r="I5512" s="43" t="n">
        <f aca="false">F5512*H5512</f>
        <v>69.8275</v>
      </c>
      <c r="J5512" s="43" t="n">
        <f aca="false">G5512*H5512*1.5</f>
        <v>0</v>
      </c>
      <c r="K5512" s="6" t="n">
        <v>11.91</v>
      </c>
      <c r="L5512" s="43" t="n">
        <f aca="false">K5512*'Chart of Accounts'!$E$68</f>
        <v>7.9797</v>
      </c>
      <c r="O5512" s="42" t="n">
        <f aca="false">I5512+J5512+L5512</f>
        <v>77.8072</v>
      </c>
    </row>
    <row r="5513" customFormat="false" ht="15" hidden="false" customHeight="false" outlineLevel="0" collapsed="false">
      <c r="B5513" s="7" t="s">
        <v>14146</v>
      </c>
      <c r="C5513" s="39" t="n">
        <v>45996</v>
      </c>
      <c r="D5513" s="7" t="s">
        <v>236</v>
      </c>
      <c r="E5513" s="7" t="s">
        <v>180</v>
      </c>
      <c r="F5513" s="6" t="n">
        <v>3.43</v>
      </c>
      <c r="G5513" s="6" t="n">
        <v>0</v>
      </c>
      <c r="H5513" s="41" t="n">
        <v>15.49</v>
      </c>
      <c r="I5513" s="43" t="n">
        <f aca="false">F5513*H5513</f>
        <v>53.1307</v>
      </c>
      <c r="J5513" s="43" t="n">
        <f aca="false">G5513*H5513*1.5</f>
        <v>0</v>
      </c>
      <c r="K5513" s="6" t="n">
        <v>8.34</v>
      </c>
      <c r="L5513" s="43" t="n">
        <f aca="false">K5513*'Chart of Accounts'!$E$68</f>
        <v>5.5878</v>
      </c>
      <c r="O5513" s="42" t="n">
        <f aca="false">I5513+J5513+L5513</f>
        <v>58.7185</v>
      </c>
    </row>
    <row r="5514" customFormat="false" ht="15" hidden="false" customHeight="false" outlineLevel="0" collapsed="false">
      <c r="B5514" s="7" t="s">
        <v>14147</v>
      </c>
      <c r="C5514" s="39" t="n">
        <v>45996</v>
      </c>
      <c r="D5514" s="7" t="s">
        <v>242</v>
      </c>
      <c r="E5514" s="7" t="s">
        <v>180</v>
      </c>
      <c r="F5514" s="6" t="n">
        <v>6.777</v>
      </c>
      <c r="G5514" s="6" t="n">
        <v>0.663</v>
      </c>
      <c r="H5514" s="41" t="n">
        <v>17.99</v>
      </c>
      <c r="I5514" s="43" t="n">
        <f aca="false">F5514*H5514</f>
        <v>121.91823</v>
      </c>
      <c r="J5514" s="43" t="n">
        <f aca="false">G5514*H5514*1.5</f>
        <v>17.891055</v>
      </c>
      <c r="K5514" s="6" t="n">
        <v>24.29</v>
      </c>
      <c r="L5514" s="43" t="n">
        <f aca="false">K5514*'Chart of Accounts'!$E$68</f>
        <v>16.2743</v>
      </c>
      <c r="O5514" s="42" t="n">
        <f aca="false">I5514+J5514+L5514</f>
        <v>156.083585</v>
      </c>
    </row>
    <row r="5515" customFormat="false" ht="15" hidden="false" customHeight="false" outlineLevel="0" collapsed="false">
      <c r="B5515" s="7" t="s">
        <v>14148</v>
      </c>
      <c r="C5515" s="39" t="n">
        <v>45996</v>
      </c>
      <c r="D5515" s="7" t="s">
        <v>244</v>
      </c>
      <c r="E5515" s="7" t="s">
        <v>180</v>
      </c>
      <c r="F5515" s="6" t="n">
        <v>4.03</v>
      </c>
      <c r="G5515" s="6" t="n">
        <v>0</v>
      </c>
      <c r="H5515" s="41" t="n">
        <v>16.39</v>
      </c>
      <c r="I5515" s="43" t="n">
        <f aca="false">F5515*H5515</f>
        <v>66.0517</v>
      </c>
      <c r="J5515" s="43" t="n">
        <f aca="false">G5515*H5515*1.5</f>
        <v>0</v>
      </c>
      <c r="K5515" s="6" t="n">
        <v>13.94</v>
      </c>
      <c r="L5515" s="43" t="n">
        <f aca="false">K5515*'Chart of Accounts'!$E$68</f>
        <v>9.3398</v>
      </c>
      <c r="O5515" s="42" t="n">
        <f aca="false">I5515+J5515+L5515</f>
        <v>75.3915</v>
      </c>
    </row>
    <row r="5516" customFormat="false" ht="15" hidden="false" customHeight="false" outlineLevel="0" collapsed="false">
      <c r="B5516" s="7" t="s">
        <v>14149</v>
      </c>
      <c r="C5516" s="39" t="n">
        <v>45996</v>
      </c>
      <c r="D5516" s="7" t="s">
        <v>254</v>
      </c>
      <c r="E5516" s="7" t="s">
        <v>180</v>
      </c>
      <c r="F5516" s="6" t="n">
        <v>6.557</v>
      </c>
      <c r="G5516" s="6" t="n">
        <v>0.443</v>
      </c>
      <c r="H5516" s="41" t="n">
        <v>17.1</v>
      </c>
      <c r="I5516" s="43" t="n">
        <f aca="false">F5516*H5516</f>
        <v>112.1247</v>
      </c>
      <c r="J5516" s="43" t="n">
        <f aca="false">G5516*H5516*1.5</f>
        <v>11.36295</v>
      </c>
      <c r="K5516" s="6" t="n">
        <v>19.33</v>
      </c>
      <c r="L5516" s="43" t="n">
        <f aca="false">K5516*'Chart of Accounts'!$E$68</f>
        <v>12.9511</v>
      </c>
      <c r="O5516" s="42" t="n">
        <f aca="false">I5516+J5516+L5516</f>
        <v>136.43875</v>
      </c>
    </row>
    <row r="5517" customFormat="false" ht="15" hidden="false" customHeight="false" outlineLevel="0" collapsed="false">
      <c r="B5517" s="7" t="s">
        <v>14150</v>
      </c>
      <c r="C5517" s="39" t="n">
        <v>45996</v>
      </c>
      <c r="D5517" s="7" t="s">
        <v>201</v>
      </c>
      <c r="E5517" s="7" t="s">
        <v>180</v>
      </c>
      <c r="F5517" s="6" t="n">
        <v>3.65</v>
      </c>
      <c r="G5517" s="6" t="n">
        <v>0</v>
      </c>
      <c r="H5517" s="41" t="n">
        <v>15.19</v>
      </c>
      <c r="I5517" s="43" t="n">
        <f aca="false">F5517*H5517</f>
        <v>55.4435</v>
      </c>
      <c r="J5517" s="43" t="n">
        <f aca="false">G5517*H5517*1.5</f>
        <v>0</v>
      </c>
      <c r="K5517" s="6" t="n">
        <v>12.97</v>
      </c>
      <c r="L5517" s="43" t="n">
        <f aca="false">K5517*'Chart of Accounts'!$E$68</f>
        <v>8.6899</v>
      </c>
      <c r="O5517" s="42" t="n">
        <f aca="false">I5517+J5517+L5517</f>
        <v>64.1334</v>
      </c>
    </row>
    <row r="5518" customFormat="false" ht="15" hidden="false" customHeight="false" outlineLevel="0" collapsed="false">
      <c r="B5518" s="7" t="s">
        <v>14151</v>
      </c>
      <c r="C5518" s="39" t="n">
        <v>45996</v>
      </c>
      <c r="D5518" s="7" t="s">
        <v>246</v>
      </c>
      <c r="E5518" s="7" t="s">
        <v>180</v>
      </c>
      <c r="F5518" s="6" t="n">
        <v>7.19</v>
      </c>
      <c r="G5518" s="6" t="n">
        <v>0</v>
      </c>
      <c r="H5518" s="41" t="n">
        <v>16.48</v>
      </c>
      <c r="I5518" s="43" t="n">
        <f aca="false">F5518*H5518</f>
        <v>118.4912</v>
      </c>
      <c r="J5518" s="43" t="n">
        <f aca="false">G5518*H5518*1.5</f>
        <v>0</v>
      </c>
      <c r="K5518" s="6" t="n">
        <v>16.14</v>
      </c>
      <c r="L5518" s="43" t="n">
        <f aca="false">K5518*'Chart of Accounts'!$E$68</f>
        <v>10.8138</v>
      </c>
      <c r="O5518" s="42" t="n">
        <f aca="false">I5518+J5518+L5518</f>
        <v>129.305</v>
      </c>
    </row>
    <row r="5519" customFormat="false" ht="15" hidden="false" customHeight="false" outlineLevel="0" collapsed="false">
      <c r="B5519" s="7" t="s">
        <v>14152</v>
      </c>
      <c r="C5519" s="39" t="n">
        <v>45996</v>
      </c>
      <c r="D5519" s="7" t="s">
        <v>258</v>
      </c>
      <c r="E5519" s="7" t="s">
        <v>158</v>
      </c>
      <c r="H5519" s="41" t="n">
        <v>61.61</v>
      </c>
      <c r="M5519" s="6" t="n">
        <v>1</v>
      </c>
      <c r="N5519" s="43" t="n">
        <f aca="false">M5519*H5519</f>
        <v>61.61</v>
      </c>
      <c r="O5519" s="42" t="n">
        <f aca="false">N5519</f>
        <v>61.61</v>
      </c>
    </row>
    <row r="5520" customFormat="false" ht="15" hidden="false" customHeight="false" outlineLevel="0" collapsed="false">
      <c r="B5520" s="7" t="s">
        <v>14153</v>
      </c>
      <c r="C5520" s="39" t="n">
        <v>45996</v>
      </c>
      <c r="D5520" s="7" t="s">
        <v>232</v>
      </c>
      <c r="E5520" s="7" t="s">
        <v>180</v>
      </c>
      <c r="F5520" s="6" t="n">
        <v>4.74</v>
      </c>
      <c r="G5520" s="6" t="n">
        <v>0</v>
      </c>
      <c r="H5520" s="41" t="n">
        <v>16.17</v>
      </c>
      <c r="I5520" s="43" t="n">
        <f aca="false">F5520*H5520</f>
        <v>76.6458</v>
      </c>
      <c r="J5520" s="43" t="n">
        <f aca="false">G5520*H5520*1.5</f>
        <v>0</v>
      </c>
      <c r="K5520" s="6" t="n">
        <v>12.24</v>
      </c>
      <c r="L5520" s="43" t="n">
        <f aca="false">K5520*'Chart of Accounts'!$E$68</f>
        <v>8.2008</v>
      </c>
      <c r="O5520" s="42" t="n">
        <f aca="false">I5520+J5520+L5520</f>
        <v>84.8466</v>
      </c>
    </row>
    <row r="5521" customFormat="false" ht="15" hidden="false" customHeight="false" outlineLevel="0" collapsed="false">
      <c r="B5521" s="7" t="s">
        <v>14154</v>
      </c>
      <c r="C5521" s="39" t="n">
        <v>45996</v>
      </c>
      <c r="D5521" s="7" t="s">
        <v>224</v>
      </c>
      <c r="E5521" s="7" t="s">
        <v>180</v>
      </c>
      <c r="F5521" s="6" t="n">
        <v>4.33</v>
      </c>
      <c r="G5521" s="6" t="n">
        <v>0</v>
      </c>
      <c r="H5521" s="41" t="n">
        <v>14.93</v>
      </c>
      <c r="I5521" s="43" t="n">
        <f aca="false">F5521*H5521</f>
        <v>64.6469</v>
      </c>
      <c r="J5521" s="43" t="n">
        <f aca="false">G5521*H5521*1.5</f>
        <v>0</v>
      </c>
      <c r="K5521" s="6" t="n">
        <v>11.66</v>
      </c>
      <c r="L5521" s="43" t="n">
        <f aca="false">K5521*'Chart of Accounts'!$E$68</f>
        <v>7.8122</v>
      </c>
      <c r="O5521" s="42" t="n">
        <f aca="false">I5521+J5521+L5521</f>
        <v>72.4591</v>
      </c>
    </row>
    <row r="5522" customFormat="false" ht="15" hidden="false" customHeight="false" outlineLevel="0" collapsed="false">
      <c r="B5522" s="7" t="s">
        <v>14155</v>
      </c>
      <c r="C5522" s="39" t="n">
        <v>45996</v>
      </c>
      <c r="D5522" s="7" t="s">
        <v>230</v>
      </c>
      <c r="E5522" s="7" t="s">
        <v>158</v>
      </c>
      <c r="H5522" s="41" t="n">
        <v>48.78</v>
      </c>
      <c r="M5522" s="6" t="n">
        <v>1</v>
      </c>
      <c r="N5522" s="43" t="n">
        <f aca="false">M5522*H5522</f>
        <v>48.78</v>
      </c>
      <c r="O5522" s="42" t="n">
        <f aca="false">N5522</f>
        <v>48.78</v>
      </c>
    </row>
    <row r="5523" customFormat="false" ht="15" hidden="false" customHeight="false" outlineLevel="0" collapsed="false">
      <c r="B5523" s="7" t="s">
        <v>14156</v>
      </c>
      <c r="C5523" s="39" t="n">
        <v>45996</v>
      </c>
      <c r="D5523" s="7" t="s">
        <v>196</v>
      </c>
      <c r="E5523" s="7" t="s">
        <v>180</v>
      </c>
      <c r="F5523" s="6" t="n">
        <v>4.3</v>
      </c>
      <c r="G5523" s="6" t="n">
        <v>0</v>
      </c>
      <c r="H5523" s="41" t="n">
        <v>15.05</v>
      </c>
      <c r="I5523" s="43" t="n">
        <f aca="false">F5523*H5523</f>
        <v>64.715</v>
      </c>
      <c r="J5523" s="43" t="n">
        <f aca="false">G5523*H5523*1.5</f>
        <v>0</v>
      </c>
      <c r="K5523" s="6" t="n">
        <v>10.85</v>
      </c>
      <c r="L5523" s="43" t="n">
        <f aca="false">K5523*'Chart of Accounts'!$E$68</f>
        <v>7.2695</v>
      </c>
      <c r="O5523" s="42" t="n">
        <f aca="false">I5523+J5523+L5523</f>
        <v>71.9845</v>
      </c>
    </row>
    <row r="5524" customFormat="false" ht="15" hidden="false" customHeight="false" outlineLevel="0" collapsed="false">
      <c r="B5524" s="7" t="s">
        <v>14157</v>
      </c>
      <c r="C5524" s="39" t="n">
        <v>45996</v>
      </c>
      <c r="D5524" s="7" t="s">
        <v>222</v>
      </c>
      <c r="E5524" s="7" t="s">
        <v>180</v>
      </c>
      <c r="F5524" s="6" t="n">
        <v>4.16</v>
      </c>
      <c r="G5524" s="6" t="n">
        <v>0</v>
      </c>
      <c r="H5524" s="41" t="n">
        <v>17.84</v>
      </c>
      <c r="I5524" s="43" t="n">
        <f aca="false">F5524*H5524</f>
        <v>74.2144</v>
      </c>
      <c r="J5524" s="43" t="n">
        <f aca="false">G5524*H5524*1.5</f>
        <v>0</v>
      </c>
      <c r="K5524" s="6" t="n">
        <v>10.21</v>
      </c>
      <c r="L5524" s="43" t="n">
        <f aca="false">K5524*'Chart of Accounts'!$E$68</f>
        <v>6.8407</v>
      </c>
      <c r="O5524" s="42" t="n">
        <f aca="false">I5524+J5524+L5524</f>
        <v>81.0551</v>
      </c>
    </row>
    <row r="5525" customFormat="false" ht="15" hidden="false" customHeight="false" outlineLevel="0" collapsed="false">
      <c r="B5525" s="7" t="s">
        <v>14158</v>
      </c>
      <c r="C5525" s="39" t="n">
        <v>45996</v>
      </c>
      <c r="D5525" s="7" t="s">
        <v>203</v>
      </c>
      <c r="E5525" s="7" t="s">
        <v>158</v>
      </c>
      <c r="H5525" s="41" t="n">
        <v>49.43</v>
      </c>
      <c r="M5525" s="6" t="n">
        <v>1</v>
      </c>
      <c r="N5525" s="43" t="n">
        <f aca="false">M5525*H5525</f>
        <v>49.43</v>
      </c>
      <c r="O5525" s="42" t="n">
        <f aca="false">N5525</f>
        <v>49.43</v>
      </c>
    </row>
    <row r="5526" customFormat="false" ht="15" hidden="false" customHeight="false" outlineLevel="0" collapsed="false">
      <c r="B5526" s="7" t="s">
        <v>14159</v>
      </c>
      <c r="C5526" s="39" t="n">
        <v>45996</v>
      </c>
      <c r="D5526" s="7" t="s">
        <v>260</v>
      </c>
      <c r="E5526" s="7" t="s">
        <v>158</v>
      </c>
      <c r="H5526" s="41" t="n">
        <v>79.8</v>
      </c>
      <c r="M5526" s="6" t="n">
        <v>1</v>
      </c>
      <c r="N5526" s="43" t="n">
        <f aca="false">M5526*H5526</f>
        <v>79.8</v>
      </c>
      <c r="O5526" s="42" t="n">
        <f aca="false">N5526</f>
        <v>79.8</v>
      </c>
    </row>
    <row r="5527" customFormat="false" ht="15" hidden="false" customHeight="false" outlineLevel="0" collapsed="false">
      <c r="B5527" s="7" t="s">
        <v>14160</v>
      </c>
      <c r="C5527" s="39" t="n">
        <v>45996</v>
      </c>
      <c r="D5527" s="7" t="s">
        <v>177</v>
      </c>
      <c r="E5527" s="7" t="s">
        <v>180</v>
      </c>
      <c r="F5527" s="6" t="n">
        <v>4.8</v>
      </c>
      <c r="G5527" s="6" t="n">
        <v>0</v>
      </c>
      <c r="H5527" s="41" t="n">
        <v>14.56</v>
      </c>
      <c r="I5527" s="43" t="n">
        <f aca="false">F5527*H5527</f>
        <v>69.888</v>
      </c>
      <c r="J5527" s="43" t="n">
        <f aca="false">G5527*H5527*1.5</f>
        <v>0</v>
      </c>
      <c r="K5527" s="6" t="n">
        <v>12.26</v>
      </c>
      <c r="L5527" s="43" t="n">
        <f aca="false">K5527*'Chart of Accounts'!$E$68</f>
        <v>8.2142</v>
      </c>
      <c r="O5527" s="42" t="n">
        <f aca="false">I5527+J5527+L5527</f>
        <v>78.1022</v>
      </c>
    </row>
    <row r="5528" customFormat="false" ht="15" hidden="false" customHeight="false" outlineLevel="0" collapsed="false">
      <c r="B5528" s="7" t="s">
        <v>14161</v>
      </c>
      <c r="C5528" s="39" t="n">
        <v>45997</v>
      </c>
      <c r="D5528" s="7" t="s">
        <v>238</v>
      </c>
      <c r="E5528" s="7" t="s">
        <v>180</v>
      </c>
      <c r="F5528" s="6" t="n">
        <v>3.73</v>
      </c>
      <c r="G5528" s="6" t="n">
        <v>0</v>
      </c>
      <c r="H5528" s="41" t="n">
        <v>15.85</v>
      </c>
      <c r="I5528" s="43" t="n">
        <f aca="false">F5528*H5528</f>
        <v>59.1205</v>
      </c>
      <c r="J5528" s="43" t="n">
        <f aca="false">G5528*H5528*1.5</f>
        <v>0</v>
      </c>
      <c r="K5528" s="6" t="n">
        <v>12.98</v>
      </c>
      <c r="L5528" s="43" t="n">
        <f aca="false">K5528*'Chart of Accounts'!$E$68</f>
        <v>8.6966</v>
      </c>
      <c r="O5528" s="42" t="n">
        <f aca="false">I5528+J5528+L5528</f>
        <v>67.8171</v>
      </c>
    </row>
    <row r="5529" customFormat="false" ht="15" hidden="false" customHeight="false" outlineLevel="0" collapsed="false">
      <c r="B5529" s="7" t="s">
        <v>14162</v>
      </c>
      <c r="C5529" s="39" t="n">
        <v>45997</v>
      </c>
      <c r="D5529" s="7" t="s">
        <v>218</v>
      </c>
      <c r="E5529" s="7" t="s">
        <v>180</v>
      </c>
      <c r="F5529" s="6" t="n">
        <v>4.26</v>
      </c>
      <c r="G5529" s="6" t="n">
        <v>0</v>
      </c>
      <c r="H5529" s="41" t="n">
        <v>16.19</v>
      </c>
      <c r="I5529" s="43" t="n">
        <f aca="false">F5529*H5529</f>
        <v>68.9694</v>
      </c>
      <c r="J5529" s="43" t="n">
        <f aca="false">G5529*H5529*1.5</f>
        <v>0</v>
      </c>
      <c r="K5529" s="6" t="n">
        <v>10.6</v>
      </c>
      <c r="L5529" s="43" t="n">
        <f aca="false">K5529*'Chart of Accounts'!$E$68</f>
        <v>7.102</v>
      </c>
      <c r="O5529" s="42" t="n">
        <f aca="false">I5529+J5529+L5529</f>
        <v>76.0714</v>
      </c>
    </row>
    <row r="5530" customFormat="false" ht="15" hidden="false" customHeight="false" outlineLevel="0" collapsed="false">
      <c r="B5530" s="7" t="s">
        <v>14163</v>
      </c>
      <c r="C5530" s="39" t="n">
        <v>45997</v>
      </c>
      <c r="D5530" s="7" t="s">
        <v>242</v>
      </c>
      <c r="E5530" s="7" t="s">
        <v>180</v>
      </c>
      <c r="F5530" s="6" t="n">
        <v>6.777</v>
      </c>
      <c r="G5530" s="6" t="n">
        <v>0.663</v>
      </c>
      <c r="H5530" s="41" t="n">
        <v>17.99</v>
      </c>
      <c r="I5530" s="43" t="n">
        <f aca="false">F5530*H5530</f>
        <v>121.91823</v>
      </c>
      <c r="J5530" s="43" t="n">
        <f aca="false">G5530*H5530*1.5</f>
        <v>17.891055</v>
      </c>
      <c r="K5530" s="6" t="n">
        <v>19.91</v>
      </c>
      <c r="L5530" s="43" t="n">
        <f aca="false">K5530*'Chart of Accounts'!$E$68</f>
        <v>13.3397</v>
      </c>
      <c r="O5530" s="42" t="n">
        <f aca="false">I5530+J5530+L5530</f>
        <v>153.148985</v>
      </c>
    </row>
    <row r="5531" customFormat="false" ht="15" hidden="false" customHeight="false" outlineLevel="0" collapsed="false">
      <c r="B5531" s="7" t="s">
        <v>14164</v>
      </c>
      <c r="C5531" s="39" t="n">
        <v>45997</v>
      </c>
      <c r="D5531" s="7" t="s">
        <v>196</v>
      </c>
      <c r="E5531" s="7" t="s">
        <v>180</v>
      </c>
      <c r="F5531" s="6" t="n">
        <v>3.62</v>
      </c>
      <c r="G5531" s="6" t="n">
        <v>0</v>
      </c>
      <c r="H5531" s="41" t="n">
        <v>15.05</v>
      </c>
      <c r="I5531" s="43" t="n">
        <f aca="false">F5531*H5531</f>
        <v>54.481</v>
      </c>
      <c r="J5531" s="43" t="n">
        <f aca="false">G5531*H5531*1.5</f>
        <v>0</v>
      </c>
      <c r="K5531" s="6" t="n">
        <v>12.08</v>
      </c>
      <c r="L5531" s="43" t="n">
        <f aca="false">K5531*'Chart of Accounts'!$E$68</f>
        <v>8.0936</v>
      </c>
      <c r="O5531" s="42" t="n">
        <f aca="false">I5531+J5531+L5531</f>
        <v>62.5746</v>
      </c>
    </row>
    <row r="5532" customFormat="false" ht="15" hidden="false" customHeight="false" outlineLevel="0" collapsed="false">
      <c r="B5532" s="7" t="s">
        <v>14165</v>
      </c>
      <c r="C5532" s="39" t="n">
        <v>45997</v>
      </c>
      <c r="D5532" s="7" t="s">
        <v>222</v>
      </c>
      <c r="E5532" s="7" t="s">
        <v>180</v>
      </c>
      <c r="F5532" s="6" t="n">
        <v>3.74</v>
      </c>
      <c r="G5532" s="6" t="n">
        <v>0</v>
      </c>
      <c r="H5532" s="41" t="n">
        <v>17.84</v>
      </c>
      <c r="I5532" s="43" t="n">
        <f aca="false">F5532*H5532</f>
        <v>66.7216</v>
      </c>
      <c r="J5532" s="43" t="n">
        <f aca="false">G5532*H5532*1.5</f>
        <v>0</v>
      </c>
      <c r="K5532" s="6" t="n">
        <v>9.68</v>
      </c>
      <c r="L5532" s="43" t="n">
        <f aca="false">K5532*'Chart of Accounts'!$E$68</f>
        <v>6.4856</v>
      </c>
      <c r="O5532" s="42" t="n">
        <f aca="false">I5532+J5532+L5532</f>
        <v>73.2072</v>
      </c>
    </row>
    <row r="5533" customFormat="false" ht="15" hidden="false" customHeight="false" outlineLevel="0" collapsed="false">
      <c r="B5533" s="7" t="s">
        <v>14166</v>
      </c>
      <c r="C5533" s="39" t="n">
        <v>45997</v>
      </c>
      <c r="D5533" s="7" t="s">
        <v>254</v>
      </c>
      <c r="E5533" s="7" t="s">
        <v>180</v>
      </c>
      <c r="F5533" s="6" t="n">
        <v>3.644</v>
      </c>
      <c r="G5533" s="6" t="n">
        <v>0.246</v>
      </c>
      <c r="H5533" s="41" t="n">
        <v>17.1</v>
      </c>
      <c r="I5533" s="43" t="n">
        <f aca="false">F5533*H5533</f>
        <v>62.3124</v>
      </c>
      <c r="J5533" s="43" t="n">
        <f aca="false">G5533*H5533*1.5</f>
        <v>6.3099</v>
      </c>
      <c r="K5533" s="6" t="n">
        <v>13.34</v>
      </c>
      <c r="L5533" s="43" t="n">
        <f aca="false">K5533*'Chart of Accounts'!$E$68</f>
        <v>8.9378</v>
      </c>
      <c r="O5533" s="42" t="n">
        <f aca="false">I5533+J5533+L5533</f>
        <v>77.5601</v>
      </c>
    </row>
    <row r="5534" customFormat="false" ht="15" hidden="false" customHeight="false" outlineLevel="0" collapsed="false">
      <c r="B5534" s="7" t="s">
        <v>14167</v>
      </c>
      <c r="C5534" s="39" t="n">
        <v>45998</v>
      </c>
      <c r="D5534" s="7" t="s">
        <v>224</v>
      </c>
      <c r="E5534" s="7" t="s">
        <v>180</v>
      </c>
      <c r="F5534" s="6" t="n">
        <v>4.11</v>
      </c>
      <c r="G5534" s="6" t="n">
        <v>0</v>
      </c>
      <c r="H5534" s="41" t="n">
        <v>14.93</v>
      </c>
      <c r="I5534" s="43" t="n">
        <f aca="false">F5534*H5534</f>
        <v>61.3623</v>
      </c>
      <c r="J5534" s="43" t="n">
        <f aca="false">G5534*H5534*1.5</f>
        <v>0</v>
      </c>
      <c r="K5534" s="6" t="n">
        <v>12.28</v>
      </c>
      <c r="L5534" s="43" t="n">
        <f aca="false">K5534*'Chart of Accounts'!$E$68</f>
        <v>8.2276</v>
      </c>
      <c r="O5534" s="42" t="n">
        <f aca="false">I5534+J5534+L5534</f>
        <v>69.5899</v>
      </c>
    </row>
    <row r="5535" customFormat="false" ht="15" hidden="false" customHeight="false" outlineLevel="0" collapsed="false">
      <c r="B5535" s="7" t="s">
        <v>14168</v>
      </c>
      <c r="C5535" s="39" t="n">
        <v>45998</v>
      </c>
      <c r="D5535" s="7" t="s">
        <v>218</v>
      </c>
      <c r="E5535" s="7" t="s">
        <v>180</v>
      </c>
      <c r="F5535" s="6" t="n">
        <v>4.23</v>
      </c>
      <c r="G5535" s="6" t="n">
        <v>0</v>
      </c>
      <c r="H5535" s="41" t="n">
        <v>16.19</v>
      </c>
      <c r="I5535" s="43" t="n">
        <f aca="false">F5535*H5535</f>
        <v>68.4837</v>
      </c>
      <c r="J5535" s="43" t="n">
        <f aca="false">G5535*H5535*1.5</f>
        <v>0</v>
      </c>
      <c r="K5535" s="6" t="n">
        <v>9.97</v>
      </c>
      <c r="L5535" s="43" t="n">
        <f aca="false">K5535*'Chart of Accounts'!$E$68</f>
        <v>6.6799</v>
      </c>
      <c r="O5535" s="42" t="n">
        <f aca="false">I5535+J5535+L5535</f>
        <v>75.1636</v>
      </c>
    </row>
    <row r="5536" customFormat="false" ht="15" hidden="false" customHeight="false" outlineLevel="0" collapsed="false">
      <c r="B5536" s="7" t="s">
        <v>14169</v>
      </c>
      <c r="C5536" s="39" t="n">
        <v>45998</v>
      </c>
      <c r="D5536" s="7" t="s">
        <v>254</v>
      </c>
      <c r="E5536" s="7" t="s">
        <v>180</v>
      </c>
      <c r="F5536" s="6" t="n">
        <v>7.653</v>
      </c>
      <c r="G5536" s="6" t="n">
        <v>0.517</v>
      </c>
      <c r="H5536" s="41" t="n">
        <v>17.1</v>
      </c>
      <c r="I5536" s="43" t="n">
        <f aca="false">F5536*H5536</f>
        <v>130.8663</v>
      </c>
      <c r="J5536" s="43" t="n">
        <f aca="false">G5536*H5536*1.5</f>
        <v>13.26105</v>
      </c>
      <c r="K5536" s="6" t="n">
        <v>23.93</v>
      </c>
      <c r="L5536" s="43" t="n">
        <f aca="false">K5536*'Chart of Accounts'!$E$68</f>
        <v>16.0331</v>
      </c>
      <c r="O5536" s="42" t="n">
        <f aca="false">I5536+J5536+L5536</f>
        <v>160.16045</v>
      </c>
    </row>
    <row r="5537" customFormat="false" ht="15" hidden="false" customHeight="false" outlineLevel="0" collapsed="false">
      <c r="B5537" s="7" t="s">
        <v>14170</v>
      </c>
      <c r="C5537" s="39" t="n">
        <v>45998</v>
      </c>
      <c r="D5537" s="7" t="s">
        <v>196</v>
      </c>
      <c r="E5537" s="7" t="s">
        <v>180</v>
      </c>
      <c r="F5537" s="6" t="n">
        <v>3.93</v>
      </c>
      <c r="G5537" s="6" t="n">
        <v>0</v>
      </c>
      <c r="H5537" s="41" t="n">
        <v>15.05</v>
      </c>
      <c r="I5537" s="43" t="n">
        <f aca="false">F5537*H5537</f>
        <v>59.1465</v>
      </c>
      <c r="J5537" s="43" t="n">
        <f aca="false">G5537*H5537*1.5</f>
        <v>0</v>
      </c>
      <c r="K5537" s="6" t="n">
        <v>10.35</v>
      </c>
      <c r="L5537" s="43" t="n">
        <f aca="false">K5537*'Chart of Accounts'!$E$68</f>
        <v>6.9345</v>
      </c>
      <c r="O5537" s="42" t="n">
        <f aca="false">I5537+J5537+L5537</f>
        <v>66.081</v>
      </c>
    </row>
    <row r="5538" customFormat="false" ht="15" hidden="false" customHeight="false" outlineLevel="0" collapsed="false">
      <c r="B5538" s="7" t="s">
        <v>14171</v>
      </c>
      <c r="C5538" s="39" t="n">
        <v>45998</v>
      </c>
      <c r="D5538" s="7" t="s">
        <v>222</v>
      </c>
      <c r="E5538" s="7" t="s">
        <v>180</v>
      </c>
      <c r="F5538" s="6" t="n">
        <v>3.64</v>
      </c>
      <c r="G5538" s="6" t="n">
        <v>0</v>
      </c>
      <c r="H5538" s="41" t="n">
        <v>17.84</v>
      </c>
      <c r="I5538" s="43" t="n">
        <f aca="false">F5538*H5538</f>
        <v>64.9376</v>
      </c>
      <c r="J5538" s="43" t="n">
        <f aca="false">G5538*H5538*1.5</f>
        <v>0</v>
      </c>
      <c r="K5538" s="6" t="n">
        <v>12.39</v>
      </c>
      <c r="L5538" s="43" t="n">
        <f aca="false">K5538*'Chart of Accounts'!$E$68</f>
        <v>8.3013</v>
      </c>
      <c r="O5538" s="42" t="n">
        <f aca="false">I5538+J5538+L5538</f>
        <v>73.2389</v>
      </c>
    </row>
    <row r="5539" customFormat="false" ht="15" hidden="false" customHeight="false" outlineLevel="0" collapsed="false">
      <c r="B5539" s="7" t="s">
        <v>14172</v>
      </c>
      <c r="C5539" s="39" t="n">
        <v>45998</v>
      </c>
      <c r="D5539" s="7" t="s">
        <v>242</v>
      </c>
      <c r="E5539" s="7" t="s">
        <v>180</v>
      </c>
      <c r="F5539" s="6" t="n">
        <v>3.853</v>
      </c>
      <c r="G5539" s="6" t="n">
        <v>0.377</v>
      </c>
      <c r="H5539" s="41" t="n">
        <v>17.99</v>
      </c>
      <c r="I5539" s="43" t="n">
        <f aca="false">F5539*H5539</f>
        <v>69.31547</v>
      </c>
      <c r="J5539" s="43" t="n">
        <f aca="false">G5539*H5539*1.5</f>
        <v>10.173345</v>
      </c>
      <c r="K5539" s="6" t="n">
        <v>11.87</v>
      </c>
      <c r="L5539" s="43" t="n">
        <f aca="false">K5539*'Chart of Accounts'!$E$68</f>
        <v>7.9529</v>
      </c>
      <c r="O5539" s="42" t="n">
        <f aca="false">I5539+J5539+L5539</f>
        <v>87.441715</v>
      </c>
    </row>
    <row r="5540" customFormat="false" ht="15" hidden="false" customHeight="false" outlineLevel="0" collapsed="false">
      <c r="B5540" s="7" t="s">
        <v>14173</v>
      </c>
      <c r="C5540" s="39" t="n">
        <v>45999</v>
      </c>
      <c r="D5540" s="7" t="s">
        <v>238</v>
      </c>
      <c r="E5540" s="7" t="s">
        <v>180</v>
      </c>
      <c r="F5540" s="6" t="n">
        <v>7.4</v>
      </c>
      <c r="G5540" s="6" t="n">
        <v>0</v>
      </c>
      <c r="H5540" s="41" t="n">
        <v>15.85</v>
      </c>
      <c r="I5540" s="43" t="n">
        <f aca="false">F5540*H5540</f>
        <v>117.29</v>
      </c>
      <c r="J5540" s="43" t="n">
        <f aca="false">G5540*H5540*1.5</f>
        <v>0</v>
      </c>
      <c r="K5540" s="6" t="n">
        <v>17.3</v>
      </c>
      <c r="L5540" s="43" t="n">
        <f aca="false">K5540*'Chart of Accounts'!$E$68</f>
        <v>11.591</v>
      </c>
      <c r="O5540" s="42" t="n">
        <f aca="false">I5540+J5540+L5540</f>
        <v>128.881</v>
      </c>
    </row>
    <row r="5541" customFormat="false" ht="15" hidden="false" customHeight="false" outlineLevel="0" collapsed="false">
      <c r="B5541" s="7" t="s">
        <v>14174</v>
      </c>
      <c r="C5541" s="39" t="n">
        <v>45999</v>
      </c>
      <c r="D5541" s="7" t="s">
        <v>194</v>
      </c>
      <c r="E5541" s="7" t="s">
        <v>180</v>
      </c>
      <c r="F5541" s="6" t="n">
        <v>8.71</v>
      </c>
      <c r="G5541" s="6" t="n">
        <v>0</v>
      </c>
      <c r="H5541" s="41" t="n">
        <v>16</v>
      </c>
      <c r="I5541" s="43" t="n">
        <f aca="false">F5541*H5541</f>
        <v>139.36</v>
      </c>
      <c r="J5541" s="43" t="n">
        <f aca="false">G5541*H5541*1.5</f>
        <v>0</v>
      </c>
      <c r="K5541" s="6" t="n">
        <v>30.95</v>
      </c>
      <c r="L5541" s="43" t="n">
        <f aca="false">K5541*'Chart of Accounts'!$E$68</f>
        <v>20.7365</v>
      </c>
      <c r="O5541" s="42" t="n">
        <f aca="false">I5541+J5541+L5541</f>
        <v>160.0965</v>
      </c>
    </row>
    <row r="5542" customFormat="false" ht="15" hidden="false" customHeight="false" outlineLevel="0" collapsed="false">
      <c r="B5542" s="7" t="s">
        <v>14175</v>
      </c>
      <c r="C5542" s="39" t="n">
        <v>45999</v>
      </c>
      <c r="D5542" s="7" t="s">
        <v>214</v>
      </c>
      <c r="E5542" s="7" t="s">
        <v>180</v>
      </c>
      <c r="F5542" s="6" t="n">
        <v>11.98</v>
      </c>
      <c r="G5542" s="6" t="n">
        <v>0</v>
      </c>
      <c r="H5542" s="41" t="n">
        <v>15.67</v>
      </c>
      <c r="I5542" s="43" t="n">
        <f aca="false">F5542*H5542</f>
        <v>187.7266</v>
      </c>
      <c r="J5542" s="43" t="n">
        <f aca="false">G5542*H5542*1.5</f>
        <v>0</v>
      </c>
      <c r="K5542" s="6" t="n">
        <v>29.4</v>
      </c>
      <c r="L5542" s="43" t="n">
        <f aca="false">K5542*'Chart of Accounts'!$E$68</f>
        <v>19.698</v>
      </c>
      <c r="O5542" s="42" t="n">
        <f aca="false">I5542+J5542+L5542</f>
        <v>207.4246</v>
      </c>
    </row>
    <row r="5543" customFormat="false" ht="15" hidden="false" customHeight="false" outlineLevel="0" collapsed="false">
      <c r="B5543" s="7" t="s">
        <v>14176</v>
      </c>
      <c r="C5543" s="39" t="n">
        <v>45999</v>
      </c>
      <c r="D5543" s="7" t="s">
        <v>201</v>
      </c>
      <c r="E5543" s="7" t="s">
        <v>180</v>
      </c>
      <c r="F5543" s="6" t="n">
        <v>10.08</v>
      </c>
      <c r="G5543" s="6" t="n">
        <v>0</v>
      </c>
      <c r="H5543" s="41" t="n">
        <v>15.19</v>
      </c>
      <c r="I5543" s="43" t="n">
        <f aca="false">F5543*H5543</f>
        <v>153.1152</v>
      </c>
      <c r="J5543" s="43" t="n">
        <f aca="false">G5543*H5543*1.5</f>
        <v>0</v>
      </c>
      <c r="K5543" s="6" t="n">
        <v>22.59</v>
      </c>
      <c r="L5543" s="43" t="n">
        <f aca="false">K5543*'Chart of Accounts'!$E$68</f>
        <v>15.1353</v>
      </c>
      <c r="O5543" s="42" t="n">
        <f aca="false">I5543+J5543+L5543</f>
        <v>168.2505</v>
      </c>
    </row>
    <row r="5544" customFormat="false" ht="15" hidden="false" customHeight="false" outlineLevel="0" collapsed="false">
      <c r="B5544" s="7" t="s">
        <v>14177</v>
      </c>
      <c r="C5544" s="39" t="n">
        <v>45999</v>
      </c>
      <c r="D5544" s="7" t="s">
        <v>205</v>
      </c>
      <c r="E5544" s="7" t="s">
        <v>180</v>
      </c>
      <c r="F5544" s="6" t="n">
        <v>7.14</v>
      </c>
      <c r="G5544" s="6" t="n">
        <v>0</v>
      </c>
      <c r="H5544" s="41" t="n">
        <v>16.36</v>
      </c>
      <c r="I5544" s="43" t="n">
        <f aca="false">F5544*H5544</f>
        <v>116.8104</v>
      </c>
      <c r="J5544" s="43" t="n">
        <f aca="false">G5544*H5544*1.5</f>
        <v>0</v>
      </c>
      <c r="K5544" s="6" t="n">
        <v>19.59</v>
      </c>
      <c r="L5544" s="43" t="n">
        <f aca="false">K5544*'Chart of Accounts'!$E$68</f>
        <v>13.1253</v>
      </c>
      <c r="O5544" s="42" t="n">
        <f aca="false">I5544+J5544+L5544</f>
        <v>129.9357</v>
      </c>
    </row>
    <row r="5545" customFormat="false" ht="15" hidden="false" customHeight="false" outlineLevel="0" collapsed="false">
      <c r="B5545" s="7" t="s">
        <v>14178</v>
      </c>
      <c r="C5545" s="39" t="n">
        <v>45999</v>
      </c>
      <c r="D5545" s="7" t="s">
        <v>240</v>
      </c>
      <c r="E5545" s="7" t="s">
        <v>180</v>
      </c>
      <c r="F5545" s="6" t="n">
        <v>7.22</v>
      </c>
      <c r="G5545" s="6" t="n">
        <v>0</v>
      </c>
      <c r="H5545" s="41" t="n">
        <v>16.96</v>
      </c>
      <c r="I5545" s="43" t="n">
        <f aca="false">F5545*H5545</f>
        <v>122.4512</v>
      </c>
      <c r="J5545" s="43" t="n">
        <f aca="false">G5545*H5545*1.5</f>
        <v>0</v>
      </c>
      <c r="K5545" s="6" t="n">
        <v>18.26</v>
      </c>
      <c r="L5545" s="43" t="n">
        <f aca="false">K5545*'Chart of Accounts'!$E$68</f>
        <v>12.2342</v>
      </c>
      <c r="O5545" s="42" t="n">
        <f aca="false">I5545+J5545+L5545</f>
        <v>134.6854</v>
      </c>
    </row>
    <row r="5546" customFormat="false" ht="15" hidden="false" customHeight="false" outlineLevel="0" collapsed="false">
      <c r="B5546" s="7" t="s">
        <v>14179</v>
      </c>
      <c r="C5546" s="39" t="n">
        <v>45999</v>
      </c>
      <c r="D5546" s="7" t="s">
        <v>264</v>
      </c>
      <c r="E5546" s="7" t="s">
        <v>158</v>
      </c>
      <c r="H5546" s="41" t="n">
        <v>55.55</v>
      </c>
      <c r="M5546" s="6" t="n">
        <v>1</v>
      </c>
      <c r="N5546" s="43" t="n">
        <f aca="false">M5546*H5546</f>
        <v>55.55</v>
      </c>
      <c r="O5546" s="42" t="n">
        <f aca="false">N5546</f>
        <v>55.55</v>
      </c>
    </row>
    <row r="5547" customFormat="false" ht="15" hidden="false" customHeight="false" outlineLevel="0" collapsed="false">
      <c r="B5547" s="7" t="s">
        <v>14180</v>
      </c>
      <c r="C5547" s="39" t="n">
        <v>45999</v>
      </c>
      <c r="D5547" s="7" t="s">
        <v>252</v>
      </c>
      <c r="E5547" s="7" t="s">
        <v>158</v>
      </c>
      <c r="H5547" s="41" t="n">
        <v>57.54</v>
      </c>
      <c r="M5547" s="6" t="n">
        <v>1</v>
      </c>
      <c r="N5547" s="43" t="n">
        <f aca="false">M5547*H5547</f>
        <v>57.54</v>
      </c>
      <c r="O5547" s="42" t="n">
        <f aca="false">N5547</f>
        <v>57.54</v>
      </c>
    </row>
    <row r="5548" customFormat="false" ht="15" hidden="false" customHeight="false" outlineLevel="0" collapsed="false">
      <c r="B5548" s="7" t="s">
        <v>14181</v>
      </c>
      <c r="C5548" s="39" t="n">
        <v>45999</v>
      </c>
      <c r="D5548" s="7" t="s">
        <v>196</v>
      </c>
      <c r="E5548" s="7" t="s">
        <v>180</v>
      </c>
      <c r="F5548" s="6" t="n">
        <v>9.76</v>
      </c>
      <c r="G5548" s="6" t="n">
        <v>0</v>
      </c>
      <c r="H5548" s="41" t="n">
        <v>15.05</v>
      </c>
      <c r="I5548" s="43" t="n">
        <f aca="false">F5548*H5548</f>
        <v>146.888</v>
      </c>
      <c r="J5548" s="43" t="n">
        <f aca="false">G5548*H5548*1.5</f>
        <v>0</v>
      </c>
      <c r="K5548" s="6" t="n">
        <v>29.09</v>
      </c>
      <c r="L5548" s="43" t="n">
        <f aca="false">K5548*'Chart of Accounts'!$E$68</f>
        <v>19.4903</v>
      </c>
      <c r="O5548" s="42" t="n">
        <f aca="false">I5548+J5548+L5548</f>
        <v>166.3783</v>
      </c>
    </row>
    <row r="5549" customFormat="false" ht="15" hidden="false" customHeight="false" outlineLevel="0" collapsed="false">
      <c r="B5549" s="7" t="s">
        <v>14182</v>
      </c>
      <c r="C5549" s="39" t="n">
        <v>45999</v>
      </c>
      <c r="D5549" s="7" t="s">
        <v>184</v>
      </c>
      <c r="E5549" s="7" t="s">
        <v>180</v>
      </c>
      <c r="F5549" s="6" t="n">
        <v>7.73</v>
      </c>
      <c r="G5549" s="6" t="n">
        <v>0</v>
      </c>
      <c r="H5549" s="41" t="n">
        <v>17.34</v>
      </c>
      <c r="I5549" s="43" t="n">
        <f aca="false">F5549*H5549</f>
        <v>134.0382</v>
      </c>
      <c r="J5549" s="43" t="n">
        <f aca="false">G5549*H5549*1.5</f>
        <v>0</v>
      </c>
      <c r="K5549" s="6" t="n">
        <v>17.96</v>
      </c>
      <c r="L5549" s="43" t="n">
        <f aca="false">K5549*'Chart of Accounts'!$E$68</f>
        <v>12.0332</v>
      </c>
      <c r="O5549" s="42" t="n">
        <f aca="false">I5549+J5549+L5549</f>
        <v>146.0714</v>
      </c>
    </row>
    <row r="5550" customFormat="false" ht="15" hidden="false" customHeight="false" outlineLevel="0" collapsed="false">
      <c r="B5550" s="7" t="s">
        <v>14183</v>
      </c>
      <c r="C5550" s="39" t="n">
        <v>45999</v>
      </c>
      <c r="D5550" s="7" t="s">
        <v>216</v>
      </c>
      <c r="E5550" s="7" t="s">
        <v>158</v>
      </c>
      <c r="H5550" s="41" t="n">
        <v>61.79</v>
      </c>
      <c r="M5550" s="6" t="n">
        <v>1</v>
      </c>
      <c r="N5550" s="43" t="n">
        <f aca="false">M5550*H5550</f>
        <v>61.79</v>
      </c>
      <c r="O5550" s="42" t="n">
        <f aca="false">N5550</f>
        <v>61.79</v>
      </c>
    </row>
    <row r="5551" customFormat="false" ht="15" hidden="false" customHeight="false" outlineLevel="0" collapsed="false">
      <c r="B5551" s="7" t="s">
        <v>14184</v>
      </c>
      <c r="C5551" s="39" t="n">
        <v>45999</v>
      </c>
      <c r="D5551" s="7" t="s">
        <v>246</v>
      </c>
      <c r="E5551" s="7" t="s">
        <v>180</v>
      </c>
      <c r="F5551" s="6" t="n">
        <v>10.64</v>
      </c>
      <c r="G5551" s="6" t="n">
        <v>0</v>
      </c>
      <c r="H5551" s="41" t="n">
        <v>16.48</v>
      </c>
      <c r="I5551" s="43" t="n">
        <f aca="false">F5551*H5551</f>
        <v>175.3472</v>
      </c>
      <c r="J5551" s="43" t="n">
        <f aca="false">G5551*H5551*1.5</f>
        <v>0</v>
      </c>
      <c r="K5551" s="6" t="n">
        <v>34.69</v>
      </c>
      <c r="L5551" s="43" t="n">
        <f aca="false">K5551*'Chart of Accounts'!$E$68</f>
        <v>23.2423</v>
      </c>
      <c r="O5551" s="42" t="n">
        <f aca="false">I5551+J5551+L5551</f>
        <v>198.5895</v>
      </c>
    </row>
    <row r="5552" customFormat="false" ht="15" hidden="false" customHeight="false" outlineLevel="0" collapsed="false">
      <c r="B5552" s="7" t="s">
        <v>14185</v>
      </c>
      <c r="C5552" s="39" t="n">
        <v>45999</v>
      </c>
      <c r="D5552" s="7" t="s">
        <v>218</v>
      </c>
      <c r="E5552" s="7" t="s">
        <v>180</v>
      </c>
      <c r="F5552" s="6" t="n">
        <v>4.26</v>
      </c>
      <c r="G5552" s="6" t="n">
        <v>0</v>
      </c>
      <c r="H5552" s="41" t="n">
        <v>16.19</v>
      </c>
      <c r="I5552" s="43" t="n">
        <f aca="false">F5552*H5552</f>
        <v>68.9694</v>
      </c>
      <c r="J5552" s="43" t="n">
        <f aca="false">G5552*H5552*1.5</f>
        <v>0</v>
      </c>
      <c r="K5552" s="6" t="n">
        <v>9.49</v>
      </c>
      <c r="L5552" s="43" t="n">
        <f aca="false">K5552*'Chart of Accounts'!$E$68</f>
        <v>6.3583</v>
      </c>
      <c r="O5552" s="42" t="n">
        <f aca="false">I5552+J5552+L5552</f>
        <v>75.3277</v>
      </c>
    </row>
    <row r="5553" customFormat="false" ht="15" hidden="false" customHeight="false" outlineLevel="0" collapsed="false">
      <c r="B5553" s="7" t="s">
        <v>14186</v>
      </c>
      <c r="C5553" s="39" t="n">
        <v>45999</v>
      </c>
      <c r="D5553" s="7" t="s">
        <v>254</v>
      </c>
      <c r="E5553" s="7" t="s">
        <v>180</v>
      </c>
      <c r="F5553" s="6" t="n">
        <v>10.657</v>
      </c>
      <c r="G5553" s="6" t="n">
        <v>3.663</v>
      </c>
      <c r="H5553" s="41" t="n">
        <v>17.1</v>
      </c>
      <c r="I5553" s="43" t="n">
        <f aca="false">F5553*H5553</f>
        <v>182.2347</v>
      </c>
      <c r="J5553" s="43" t="n">
        <f aca="false">G5553*H5553*1.5</f>
        <v>93.95595</v>
      </c>
      <c r="K5553" s="6" t="n">
        <v>42.71</v>
      </c>
      <c r="L5553" s="43" t="n">
        <f aca="false">K5553*'Chart of Accounts'!$E$68</f>
        <v>28.6157</v>
      </c>
      <c r="O5553" s="42" t="n">
        <f aca="false">I5553+J5553+L5553</f>
        <v>304.80635</v>
      </c>
    </row>
    <row r="5554" customFormat="false" ht="15" hidden="false" customHeight="false" outlineLevel="0" collapsed="false">
      <c r="B5554" s="7" t="s">
        <v>14187</v>
      </c>
      <c r="C5554" s="39" t="n">
        <v>45999</v>
      </c>
      <c r="D5554" s="7" t="s">
        <v>220</v>
      </c>
      <c r="E5554" s="7" t="s">
        <v>180</v>
      </c>
      <c r="F5554" s="6" t="n">
        <v>4.29</v>
      </c>
      <c r="G5554" s="6" t="n">
        <v>0</v>
      </c>
      <c r="H5554" s="41" t="n">
        <v>16.43</v>
      </c>
      <c r="I5554" s="43" t="n">
        <f aca="false">F5554*H5554</f>
        <v>70.4847</v>
      </c>
      <c r="J5554" s="43" t="n">
        <f aca="false">G5554*H5554*1.5</f>
        <v>0</v>
      </c>
      <c r="K5554" s="6" t="n">
        <v>13.8</v>
      </c>
      <c r="L5554" s="43" t="n">
        <f aca="false">K5554*'Chart of Accounts'!$E$68</f>
        <v>9.246</v>
      </c>
      <c r="O5554" s="42" t="n">
        <f aca="false">I5554+J5554+L5554</f>
        <v>79.7307</v>
      </c>
    </row>
    <row r="5555" customFormat="false" ht="15" hidden="false" customHeight="false" outlineLevel="0" collapsed="false">
      <c r="B5555" s="7" t="s">
        <v>14188</v>
      </c>
      <c r="C5555" s="39" t="n">
        <v>45999</v>
      </c>
      <c r="D5555" s="7" t="s">
        <v>236</v>
      </c>
      <c r="E5555" s="7" t="s">
        <v>180</v>
      </c>
      <c r="F5555" s="6" t="n">
        <v>3.48</v>
      </c>
      <c r="G5555" s="6" t="n">
        <v>0</v>
      </c>
      <c r="H5555" s="41" t="n">
        <v>15.49</v>
      </c>
      <c r="I5555" s="43" t="n">
        <f aca="false">F5555*H5555</f>
        <v>53.9052</v>
      </c>
      <c r="J5555" s="43" t="n">
        <f aca="false">G5555*H5555*1.5</f>
        <v>0</v>
      </c>
      <c r="K5555" s="6" t="n">
        <v>8.75</v>
      </c>
      <c r="L5555" s="43" t="n">
        <f aca="false">K5555*'Chart of Accounts'!$E$68</f>
        <v>5.8625</v>
      </c>
      <c r="O5555" s="42" t="n">
        <f aca="false">I5555+J5555+L5555</f>
        <v>59.7677</v>
      </c>
    </row>
    <row r="5556" customFormat="false" ht="15" hidden="false" customHeight="false" outlineLevel="0" collapsed="false">
      <c r="B5556" s="7" t="s">
        <v>14189</v>
      </c>
      <c r="C5556" s="39" t="n">
        <v>45999</v>
      </c>
      <c r="D5556" s="7" t="s">
        <v>177</v>
      </c>
      <c r="E5556" s="7" t="s">
        <v>180</v>
      </c>
      <c r="F5556" s="6" t="n">
        <v>11.86</v>
      </c>
      <c r="G5556" s="6" t="n">
        <v>0</v>
      </c>
      <c r="H5556" s="41" t="n">
        <v>14.56</v>
      </c>
      <c r="I5556" s="43" t="n">
        <f aca="false">F5556*H5556</f>
        <v>172.6816</v>
      </c>
      <c r="J5556" s="43" t="n">
        <f aca="false">G5556*H5556*1.5</f>
        <v>0</v>
      </c>
      <c r="K5556" s="6" t="n">
        <v>32.34</v>
      </c>
      <c r="L5556" s="43" t="n">
        <f aca="false">K5556*'Chart of Accounts'!$E$68</f>
        <v>21.6678</v>
      </c>
      <c r="O5556" s="42" t="n">
        <f aca="false">I5556+J5556+L5556</f>
        <v>194.3494</v>
      </c>
    </row>
    <row r="5557" customFormat="false" ht="15" hidden="false" customHeight="false" outlineLevel="0" collapsed="false">
      <c r="B5557" s="7" t="s">
        <v>14190</v>
      </c>
      <c r="C5557" s="39" t="n">
        <v>45999</v>
      </c>
      <c r="D5557" s="7" t="s">
        <v>242</v>
      </c>
      <c r="E5557" s="7" t="s">
        <v>180</v>
      </c>
      <c r="F5557" s="6" t="n">
        <v>7.16</v>
      </c>
      <c r="G5557" s="6" t="n">
        <v>0</v>
      </c>
      <c r="H5557" s="41" t="n">
        <v>17.99</v>
      </c>
      <c r="I5557" s="43" t="n">
        <f aca="false">F5557*H5557</f>
        <v>128.8084</v>
      </c>
      <c r="J5557" s="43" t="n">
        <f aca="false">G5557*H5557*1.5</f>
        <v>0</v>
      </c>
      <c r="K5557" s="6" t="n">
        <v>22.03</v>
      </c>
      <c r="L5557" s="43" t="n">
        <f aca="false">K5557*'Chart of Accounts'!$E$68</f>
        <v>14.7601</v>
      </c>
      <c r="O5557" s="42" t="n">
        <f aca="false">I5557+J5557+L5557</f>
        <v>143.5685</v>
      </c>
    </row>
    <row r="5558" customFormat="false" ht="15" hidden="false" customHeight="false" outlineLevel="0" collapsed="false">
      <c r="B5558" s="7" t="s">
        <v>14191</v>
      </c>
      <c r="C5558" s="39" t="n">
        <v>45999</v>
      </c>
      <c r="D5558" s="7" t="s">
        <v>222</v>
      </c>
      <c r="E5558" s="7" t="s">
        <v>180</v>
      </c>
      <c r="F5558" s="6" t="n">
        <v>6.55</v>
      </c>
      <c r="G5558" s="6" t="n">
        <v>0.56</v>
      </c>
      <c r="H5558" s="41" t="n">
        <v>17.84</v>
      </c>
      <c r="I5558" s="43" t="n">
        <f aca="false">F5558*H5558</f>
        <v>116.852</v>
      </c>
      <c r="J5558" s="43" t="n">
        <f aca="false">G5558*H5558*1.5</f>
        <v>14.9856</v>
      </c>
      <c r="K5558" s="6" t="n">
        <v>20.91</v>
      </c>
      <c r="L5558" s="43" t="n">
        <f aca="false">K5558*'Chart of Accounts'!$E$68</f>
        <v>14.0097</v>
      </c>
      <c r="O5558" s="42" t="n">
        <f aca="false">I5558+J5558+L5558</f>
        <v>145.8473</v>
      </c>
    </row>
    <row r="5559" customFormat="false" ht="15" hidden="false" customHeight="false" outlineLevel="0" collapsed="false">
      <c r="B5559" s="7" t="s">
        <v>14192</v>
      </c>
      <c r="C5559" s="39" t="n">
        <v>45999</v>
      </c>
      <c r="D5559" s="7" t="s">
        <v>244</v>
      </c>
      <c r="E5559" s="7" t="s">
        <v>180</v>
      </c>
      <c r="F5559" s="6" t="n">
        <v>4.05</v>
      </c>
      <c r="G5559" s="6" t="n">
        <v>0</v>
      </c>
      <c r="H5559" s="41" t="n">
        <v>16.39</v>
      </c>
      <c r="I5559" s="43" t="n">
        <f aca="false">F5559*H5559</f>
        <v>66.3795</v>
      </c>
      <c r="J5559" s="43" t="n">
        <f aca="false">G5559*H5559*1.5</f>
        <v>0</v>
      </c>
      <c r="K5559" s="6" t="n">
        <v>9.38</v>
      </c>
      <c r="L5559" s="43" t="n">
        <f aca="false">K5559*'Chart of Accounts'!$E$68</f>
        <v>6.2846</v>
      </c>
      <c r="O5559" s="42" t="n">
        <f aca="false">I5559+J5559+L5559</f>
        <v>72.6641</v>
      </c>
    </row>
    <row r="5560" customFormat="false" ht="15" hidden="false" customHeight="false" outlineLevel="0" collapsed="false">
      <c r="B5560" s="7" t="s">
        <v>14193</v>
      </c>
      <c r="C5560" s="39" t="n">
        <v>45999</v>
      </c>
      <c r="D5560" s="7" t="s">
        <v>232</v>
      </c>
      <c r="E5560" s="7" t="s">
        <v>180</v>
      </c>
      <c r="F5560" s="6" t="n">
        <v>11.48</v>
      </c>
      <c r="G5560" s="6" t="n">
        <v>0</v>
      </c>
      <c r="H5560" s="41" t="n">
        <v>16.17</v>
      </c>
      <c r="I5560" s="43" t="n">
        <f aca="false">F5560*H5560</f>
        <v>185.6316</v>
      </c>
      <c r="J5560" s="43" t="n">
        <f aca="false">G5560*H5560*1.5</f>
        <v>0</v>
      </c>
      <c r="K5560" s="6" t="n">
        <v>31.86</v>
      </c>
      <c r="L5560" s="43" t="n">
        <f aca="false">K5560*'Chart of Accounts'!$E$68</f>
        <v>21.3462</v>
      </c>
      <c r="O5560" s="42" t="n">
        <f aca="false">I5560+J5560+L5560</f>
        <v>206.9778</v>
      </c>
    </row>
    <row r="5561" customFormat="false" ht="15" hidden="false" customHeight="false" outlineLevel="0" collapsed="false">
      <c r="B5561" s="7" t="s">
        <v>14194</v>
      </c>
      <c r="C5561" s="39" t="n">
        <v>45999</v>
      </c>
      <c r="D5561" s="7" t="s">
        <v>256</v>
      </c>
      <c r="E5561" s="7" t="s">
        <v>180</v>
      </c>
      <c r="F5561" s="6" t="n">
        <v>2.81</v>
      </c>
      <c r="G5561" s="6" t="n">
        <v>0</v>
      </c>
      <c r="H5561" s="41" t="n">
        <v>15.63</v>
      </c>
      <c r="I5561" s="43" t="n">
        <f aca="false">F5561*H5561</f>
        <v>43.9203</v>
      </c>
      <c r="J5561" s="43" t="n">
        <f aca="false">G5561*H5561*1.5</f>
        <v>0</v>
      </c>
      <c r="K5561" s="6" t="n">
        <v>7.51</v>
      </c>
      <c r="L5561" s="43" t="n">
        <f aca="false">K5561*'Chart of Accounts'!$E$68</f>
        <v>5.0317</v>
      </c>
      <c r="O5561" s="42" t="n">
        <f aca="false">I5561+J5561+L5561</f>
        <v>48.952</v>
      </c>
    </row>
    <row r="5562" customFormat="false" ht="15" hidden="false" customHeight="false" outlineLevel="0" collapsed="false">
      <c r="B5562" s="7" t="s">
        <v>14195</v>
      </c>
      <c r="C5562" s="39" t="n">
        <v>45999</v>
      </c>
      <c r="D5562" s="7" t="s">
        <v>224</v>
      </c>
      <c r="E5562" s="7" t="s">
        <v>180</v>
      </c>
      <c r="F5562" s="6" t="n">
        <v>4.66</v>
      </c>
      <c r="G5562" s="6" t="n">
        <v>0</v>
      </c>
      <c r="H5562" s="41" t="n">
        <v>14.93</v>
      </c>
      <c r="I5562" s="43" t="n">
        <f aca="false">F5562*H5562</f>
        <v>69.5738</v>
      </c>
      <c r="J5562" s="43" t="n">
        <f aca="false">G5562*H5562*1.5</f>
        <v>0</v>
      </c>
      <c r="K5562" s="6" t="n">
        <v>12.53</v>
      </c>
      <c r="L5562" s="43" t="n">
        <f aca="false">K5562*'Chart of Accounts'!$E$68</f>
        <v>8.3951</v>
      </c>
      <c r="O5562" s="42" t="n">
        <f aca="false">I5562+J5562+L5562</f>
        <v>77.9689</v>
      </c>
    </row>
    <row r="5563" customFormat="false" ht="15" hidden="false" customHeight="false" outlineLevel="0" collapsed="false">
      <c r="B5563" s="7" t="s">
        <v>14196</v>
      </c>
      <c r="C5563" s="39" t="n">
        <v>46000</v>
      </c>
      <c r="D5563" s="7" t="s">
        <v>222</v>
      </c>
      <c r="E5563" s="7" t="s">
        <v>180</v>
      </c>
      <c r="F5563" s="6" t="n">
        <v>6.965</v>
      </c>
      <c r="G5563" s="6" t="n">
        <v>0.595</v>
      </c>
      <c r="H5563" s="41" t="n">
        <v>17.84</v>
      </c>
      <c r="I5563" s="43" t="n">
        <f aca="false">F5563*H5563</f>
        <v>124.2556</v>
      </c>
      <c r="J5563" s="43" t="n">
        <f aca="false">G5563*H5563*1.5</f>
        <v>15.9222</v>
      </c>
      <c r="K5563" s="6" t="n">
        <v>20.46</v>
      </c>
      <c r="L5563" s="43" t="n">
        <f aca="false">K5563*'Chart of Accounts'!$E$68</f>
        <v>13.7082</v>
      </c>
      <c r="O5563" s="42" t="n">
        <f aca="false">I5563+J5563+L5563</f>
        <v>153.886</v>
      </c>
    </row>
    <row r="5564" customFormat="false" ht="15" hidden="false" customHeight="false" outlineLevel="0" collapsed="false">
      <c r="B5564" s="7" t="s">
        <v>14197</v>
      </c>
      <c r="C5564" s="39" t="n">
        <v>46000</v>
      </c>
      <c r="D5564" s="7" t="s">
        <v>198</v>
      </c>
      <c r="E5564" s="7" t="s">
        <v>158</v>
      </c>
      <c r="H5564" s="41" t="n">
        <v>48.09</v>
      </c>
      <c r="M5564" s="6" t="n">
        <v>1</v>
      </c>
      <c r="N5564" s="43" t="n">
        <f aca="false">M5564*H5564</f>
        <v>48.09</v>
      </c>
      <c r="O5564" s="42" t="n">
        <f aca="false">N5564</f>
        <v>48.09</v>
      </c>
    </row>
    <row r="5565" customFormat="false" ht="15" hidden="false" customHeight="false" outlineLevel="0" collapsed="false">
      <c r="B5565" s="7" t="s">
        <v>14198</v>
      </c>
      <c r="C5565" s="39" t="n">
        <v>46000</v>
      </c>
      <c r="D5565" s="7" t="s">
        <v>209</v>
      </c>
      <c r="E5565" s="7" t="s">
        <v>158</v>
      </c>
      <c r="H5565" s="41" t="n">
        <v>73.58</v>
      </c>
      <c r="M5565" s="6" t="n">
        <v>2</v>
      </c>
      <c r="N5565" s="43" t="n">
        <f aca="false">M5565*H5565</f>
        <v>147.16</v>
      </c>
      <c r="O5565" s="42" t="n">
        <f aca="false">N5565</f>
        <v>147.16</v>
      </c>
    </row>
    <row r="5566" customFormat="false" ht="15" hidden="false" customHeight="false" outlineLevel="0" collapsed="false">
      <c r="B5566" s="7" t="s">
        <v>14199</v>
      </c>
      <c r="C5566" s="39" t="n">
        <v>46000</v>
      </c>
      <c r="D5566" s="7" t="s">
        <v>184</v>
      </c>
      <c r="E5566" s="7" t="s">
        <v>180</v>
      </c>
      <c r="F5566" s="6" t="n">
        <v>3.71</v>
      </c>
      <c r="G5566" s="6" t="n">
        <v>0</v>
      </c>
      <c r="H5566" s="41" t="n">
        <v>17.34</v>
      </c>
      <c r="I5566" s="43" t="n">
        <f aca="false">F5566*H5566</f>
        <v>64.3314</v>
      </c>
      <c r="J5566" s="43" t="n">
        <f aca="false">G5566*H5566*1.5</f>
        <v>0</v>
      </c>
      <c r="K5566" s="6" t="n">
        <v>13.28</v>
      </c>
      <c r="L5566" s="43" t="n">
        <f aca="false">K5566*'Chart of Accounts'!$E$68</f>
        <v>8.8976</v>
      </c>
      <c r="O5566" s="42" t="n">
        <f aca="false">I5566+J5566+L5566</f>
        <v>73.229</v>
      </c>
    </row>
    <row r="5567" customFormat="false" ht="15" hidden="false" customHeight="false" outlineLevel="0" collapsed="false">
      <c r="B5567" s="7" t="s">
        <v>14200</v>
      </c>
      <c r="C5567" s="39" t="n">
        <v>46000</v>
      </c>
      <c r="D5567" s="7" t="s">
        <v>234</v>
      </c>
      <c r="E5567" s="7" t="s">
        <v>158</v>
      </c>
      <c r="H5567" s="41" t="n">
        <v>89.53</v>
      </c>
      <c r="M5567" s="6" t="n">
        <v>3</v>
      </c>
      <c r="N5567" s="43" t="n">
        <f aca="false">M5567*H5567</f>
        <v>268.59</v>
      </c>
      <c r="O5567" s="42" t="n">
        <f aca="false">N5567</f>
        <v>268.59</v>
      </c>
    </row>
    <row r="5568" customFormat="false" ht="15" hidden="false" customHeight="false" outlineLevel="0" collapsed="false">
      <c r="B5568" s="7" t="s">
        <v>14201</v>
      </c>
      <c r="C5568" s="39" t="n">
        <v>46000</v>
      </c>
      <c r="D5568" s="7" t="s">
        <v>218</v>
      </c>
      <c r="E5568" s="7" t="s">
        <v>180</v>
      </c>
      <c r="F5568" s="6" t="n">
        <v>3.91</v>
      </c>
      <c r="G5568" s="6" t="n">
        <v>0</v>
      </c>
      <c r="H5568" s="41" t="n">
        <v>16.19</v>
      </c>
      <c r="I5568" s="43" t="n">
        <f aca="false">F5568*H5568</f>
        <v>63.3029</v>
      </c>
      <c r="J5568" s="43" t="n">
        <f aca="false">G5568*H5568*1.5</f>
        <v>0</v>
      </c>
      <c r="K5568" s="6" t="n">
        <v>11.63</v>
      </c>
      <c r="L5568" s="43" t="n">
        <f aca="false">K5568*'Chart of Accounts'!$E$68</f>
        <v>7.7921</v>
      </c>
      <c r="O5568" s="42" t="n">
        <f aca="false">I5568+J5568+L5568</f>
        <v>71.095</v>
      </c>
    </row>
    <row r="5569" customFormat="false" ht="15" hidden="false" customHeight="false" outlineLevel="0" collapsed="false">
      <c r="B5569" s="7" t="s">
        <v>14202</v>
      </c>
      <c r="C5569" s="39" t="n">
        <v>46000</v>
      </c>
      <c r="D5569" s="7" t="s">
        <v>228</v>
      </c>
      <c r="E5569" s="7" t="s">
        <v>158</v>
      </c>
      <c r="H5569" s="41" t="n">
        <v>51.07</v>
      </c>
      <c r="M5569" s="6" t="n">
        <v>1</v>
      </c>
      <c r="N5569" s="43" t="n">
        <f aca="false">M5569*H5569</f>
        <v>51.07</v>
      </c>
      <c r="O5569" s="42" t="n">
        <f aca="false">N5569</f>
        <v>51.07</v>
      </c>
    </row>
    <row r="5570" customFormat="false" ht="15" hidden="false" customHeight="false" outlineLevel="0" collapsed="false">
      <c r="B5570" s="7" t="s">
        <v>14203</v>
      </c>
      <c r="C5570" s="39" t="n">
        <v>46000</v>
      </c>
      <c r="D5570" s="7" t="s">
        <v>220</v>
      </c>
      <c r="E5570" s="7" t="s">
        <v>180</v>
      </c>
      <c r="F5570" s="6" t="n">
        <v>3.73</v>
      </c>
      <c r="G5570" s="6" t="n">
        <v>0</v>
      </c>
      <c r="H5570" s="41" t="n">
        <v>16.43</v>
      </c>
      <c r="I5570" s="43" t="n">
        <f aca="false">F5570*H5570</f>
        <v>61.2839</v>
      </c>
      <c r="J5570" s="43" t="n">
        <f aca="false">G5570*H5570*1.5</f>
        <v>0</v>
      </c>
      <c r="K5570" s="6" t="n">
        <v>11.47</v>
      </c>
      <c r="L5570" s="43" t="n">
        <f aca="false">K5570*'Chart of Accounts'!$E$68</f>
        <v>7.6849</v>
      </c>
      <c r="O5570" s="42" t="n">
        <f aca="false">I5570+J5570+L5570</f>
        <v>68.9688</v>
      </c>
    </row>
    <row r="5571" customFormat="false" ht="15" hidden="false" customHeight="false" outlineLevel="0" collapsed="false">
      <c r="B5571" s="7" t="s">
        <v>14204</v>
      </c>
      <c r="C5571" s="39" t="n">
        <v>46000</v>
      </c>
      <c r="D5571" s="7" t="s">
        <v>244</v>
      </c>
      <c r="E5571" s="7" t="s">
        <v>180</v>
      </c>
      <c r="F5571" s="6" t="n">
        <v>3.74</v>
      </c>
      <c r="G5571" s="6" t="n">
        <v>0</v>
      </c>
      <c r="H5571" s="41" t="n">
        <v>16.39</v>
      </c>
      <c r="I5571" s="43" t="n">
        <f aca="false">F5571*H5571</f>
        <v>61.2986</v>
      </c>
      <c r="J5571" s="43" t="n">
        <f aca="false">G5571*H5571*1.5</f>
        <v>0</v>
      </c>
      <c r="K5571" s="6" t="n">
        <v>10.18</v>
      </c>
      <c r="L5571" s="43" t="n">
        <f aca="false">K5571*'Chart of Accounts'!$E$68</f>
        <v>6.8206</v>
      </c>
      <c r="O5571" s="42" t="n">
        <f aca="false">I5571+J5571+L5571</f>
        <v>68.1192</v>
      </c>
    </row>
    <row r="5572" customFormat="false" ht="15" hidden="false" customHeight="false" outlineLevel="0" collapsed="false">
      <c r="B5572" s="7" t="s">
        <v>14205</v>
      </c>
      <c r="C5572" s="39" t="n">
        <v>46000</v>
      </c>
      <c r="D5572" s="7" t="s">
        <v>256</v>
      </c>
      <c r="E5572" s="7" t="s">
        <v>180</v>
      </c>
      <c r="F5572" s="6" t="n">
        <v>4.02</v>
      </c>
      <c r="G5572" s="6" t="n">
        <v>0</v>
      </c>
      <c r="H5572" s="41" t="n">
        <v>15.63</v>
      </c>
      <c r="I5572" s="43" t="n">
        <f aca="false">F5572*H5572</f>
        <v>62.8326</v>
      </c>
      <c r="J5572" s="43" t="n">
        <f aca="false">G5572*H5572*1.5</f>
        <v>0</v>
      </c>
      <c r="K5572" s="6" t="n">
        <v>14.09</v>
      </c>
      <c r="L5572" s="43" t="n">
        <f aca="false">K5572*'Chart of Accounts'!$E$68</f>
        <v>9.4403</v>
      </c>
      <c r="O5572" s="42" t="n">
        <f aca="false">I5572+J5572+L5572</f>
        <v>72.2729</v>
      </c>
    </row>
    <row r="5573" customFormat="false" ht="15" hidden="false" customHeight="false" outlineLevel="0" collapsed="false">
      <c r="B5573" s="7" t="s">
        <v>14206</v>
      </c>
      <c r="C5573" s="39" t="n">
        <v>46000</v>
      </c>
      <c r="D5573" s="7" t="s">
        <v>194</v>
      </c>
      <c r="E5573" s="7" t="s">
        <v>180</v>
      </c>
      <c r="F5573" s="6" t="n">
        <v>3.94</v>
      </c>
      <c r="G5573" s="6" t="n">
        <v>0</v>
      </c>
      <c r="H5573" s="41" t="n">
        <v>16</v>
      </c>
      <c r="I5573" s="43" t="n">
        <f aca="false">F5573*H5573</f>
        <v>63.04</v>
      </c>
      <c r="J5573" s="43" t="n">
        <f aca="false">G5573*H5573*1.5</f>
        <v>0</v>
      </c>
      <c r="K5573" s="6" t="n">
        <v>9.59</v>
      </c>
      <c r="L5573" s="43" t="n">
        <f aca="false">K5573*'Chart of Accounts'!$E$68</f>
        <v>6.4253</v>
      </c>
      <c r="O5573" s="42" t="n">
        <f aca="false">I5573+J5573+L5573</f>
        <v>69.4653</v>
      </c>
    </row>
    <row r="5574" customFormat="false" ht="15" hidden="false" customHeight="false" outlineLevel="0" collapsed="false">
      <c r="B5574" s="7" t="s">
        <v>14207</v>
      </c>
      <c r="C5574" s="39" t="n">
        <v>46000</v>
      </c>
      <c r="D5574" s="7" t="s">
        <v>230</v>
      </c>
      <c r="E5574" s="7" t="s">
        <v>158</v>
      </c>
      <c r="H5574" s="41" t="n">
        <v>48.78</v>
      </c>
      <c r="M5574" s="6" t="n">
        <v>1</v>
      </c>
      <c r="N5574" s="43" t="n">
        <f aca="false">M5574*H5574</f>
        <v>48.78</v>
      </c>
      <c r="O5574" s="42" t="n">
        <f aca="false">N5574</f>
        <v>48.78</v>
      </c>
    </row>
    <row r="5575" customFormat="false" ht="15" hidden="false" customHeight="false" outlineLevel="0" collapsed="false">
      <c r="B5575" s="7" t="s">
        <v>14208</v>
      </c>
      <c r="C5575" s="39" t="n">
        <v>46000</v>
      </c>
      <c r="D5575" s="7" t="s">
        <v>196</v>
      </c>
      <c r="E5575" s="7" t="s">
        <v>180</v>
      </c>
      <c r="F5575" s="6" t="n">
        <v>3.87</v>
      </c>
      <c r="G5575" s="6" t="n">
        <v>0</v>
      </c>
      <c r="H5575" s="41" t="n">
        <v>15.05</v>
      </c>
      <c r="I5575" s="43" t="n">
        <f aca="false">F5575*H5575</f>
        <v>58.2435</v>
      </c>
      <c r="J5575" s="43" t="n">
        <f aca="false">G5575*H5575*1.5</f>
        <v>0</v>
      </c>
      <c r="K5575" s="6" t="n">
        <v>11.89</v>
      </c>
      <c r="L5575" s="43" t="n">
        <f aca="false">K5575*'Chart of Accounts'!$E$68</f>
        <v>7.9663</v>
      </c>
      <c r="O5575" s="42" t="n">
        <f aca="false">I5575+J5575+L5575</f>
        <v>66.2098</v>
      </c>
    </row>
    <row r="5576" customFormat="false" ht="15" hidden="false" customHeight="false" outlineLevel="0" collapsed="false">
      <c r="B5576" s="7" t="s">
        <v>14209</v>
      </c>
      <c r="C5576" s="39" t="n">
        <v>46000</v>
      </c>
      <c r="D5576" s="7" t="s">
        <v>246</v>
      </c>
      <c r="E5576" s="7" t="s">
        <v>180</v>
      </c>
      <c r="F5576" s="6" t="n">
        <v>4.26</v>
      </c>
      <c r="G5576" s="6" t="n">
        <v>0</v>
      </c>
      <c r="H5576" s="41" t="n">
        <v>16.48</v>
      </c>
      <c r="I5576" s="43" t="n">
        <f aca="false">F5576*H5576</f>
        <v>70.2048</v>
      </c>
      <c r="J5576" s="43" t="n">
        <f aca="false">G5576*H5576*1.5</f>
        <v>0</v>
      </c>
      <c r="K5576" s="6" t="n">
        <v>12.35</v>
      </c>
      <c r="L5576" s="43" t="n">
        <f aca="false">K5576*'Chart of Accounts'!$E$68</f>
        <v>8.2745</v>
      </c>
      <c r="O5576" s="42" t="n">
        <f aca="false">I5576+J5576+L5576</f>
        <v>78.4793</v>
      </c>
    </row>
    <row r="5577" customFormat="false" ht="15" hidden="false" customHeight="false" outlineLevel="0" collapsed="false">
      <c r="B5577" s="7" t="s">
        <v>14210</v>
      </c>
      <c r="C5577" s="39" t="n">
        <v>46000</v>
      </c>
      <c r="D5577" s="7" t="s">
        <v>242</v>
      </c>
      <c r="E5577" s="7" t="s">
        <v>180</v>
      </c>
      <c r="F5577" s="6" t="n">
        <v>3.95</v>
      </c>
      <c r="G5577" s="6" t="n">
        <v>0</v>
      </c>
      <c r="H5577" s="41" t="n">
        <v>17.99</v>
      </c>
      <c r="I5577" s="43" t="n">
        <f aca="false">F5577*H5577</f>
        <v>71.0605</v>
      </c>
      <c r="J5577" s="43" t="n">
        <f aca="false">G5577*H5577*1.5</f>
        <v>0</v>
      </c>
      <c r="K5577" s="6" t="n">
        <v>12.86</v>
      </c>
      <c r="L5577" s="43" t="n">
        <f aca="false">K5577*'Chart of Accounts'!$E$68</f>
        <v>8.6162</v>
      </c>
      <c r="O5577" s="42" t="n">
        <f aca="false">I5577+J5577+L5577</f>
        <v>79.6767</v>
      </c>
    </row>
    <row r="5578" customFormat="false" ht="15" hidden="false" customHeight="false" outlineLevel="0" collapsed="false">
      <c r="B5578" s="7" t="s">
        <v>14211</v>
      </c>
      <c r="C5578" s="39" t="n">
        <v>46000</v>
      </c>
      <c r="D5578" s="7" t="s">
        <v>203</v>
      </c>
      <c r="E5578" s="7" t="s">
        <v>158</v>
      </c>
      <c r="H5578" s="41" t="n">
        <v>49.43</v>
      </c>
      <c r="M5578" s="6" t="n">
        <v>1</v>
      </c>
      <c r="N5578" s="43" t="n">
        <f aca="false">M5578*H5578</f>
        <v>49.43</v>
      </c>
      <c r="O5578" s="42" t="n">
        <f aca="false">N5578</f>
        <v>49.43</v>
      </c>
    </row>
    <row r="5579" customFormat="false" ht="15" hidden="false" customHeight="false" outlineLevel="0" collapsed="false">
      <c r="B5579" s="7" t="s">
        <v>14212</v>
      </c>
      <c r="C5579" s="39" t="n">
        <v>46000</v>
      </c>
      <c r="D5579" s="7" t="s">
        <v>254</v>
      </c>
      <c r="E5579" s="7" t="s">
        <v>180</v>
      </c>
      <c r="F5579" s="6" t="n">
        <v>2.813</v>
      </c>
      <c r="G5579" s="6" t="n">
        <v>0.967</v>
      </c>
      <c r="H5579" s="41" t="n">
        <v>17.1</v>
      </c>
      <c r="I5579" s="43" t="n">
        <f aca="false">F5579*H5579</f>
        <v>48.1023</v>
      </c>
      <c r="J5579" s="43" t="n">
        <f aca="false">G5579*H5579*1.5</f>
        <v>24.80355</v>
      </c>
      <c r="K5579" s="6" t="n">
        <v>13.19</v>
      </c>
      <c r="L5579" s="43" t="n">
        <f aca="false">K5579*'Chart of Accounts'!$E$68</f>
        <v>8.8373</v>
      </c>
      <c r="O5579" s="42" t="n">
        <f aca="false">I5579+J5579+L5579</f>
        <v>81.74315</v>
      </c>
    </row>
    <row r="5580" customFormat="false" ht="15" hidden="false" customHeight="false" outlineLevel="0" collapsed="false">
      <c r="B5580" s="7" t="s">
        <v>14213</v>
      </c>
      <c r="C5580" s="39" t="n">
        <v>46000</v>
      </c>
      <c r="D5580" s="7" t="s">
        <v>260</v>
      </c>
      <c r="E5580" s="7" t="s">
        <v>158</v>
      </c>
      <c r="H5580" s="41" t="n">
        <v>79.8</v>
      </c>
      <c r="M5580" s="6" t="n">
        <v>1</v>
      </c>
      <c r="N5580" s="43" t="n">
        <f aca="false">M5580*H5580</f>
        <v>79.8</v>
      </c>
      <c r="O5580" s="42" t="n">
        <f aca="false">N5580</f>
        <v>79.8</v>
      </c>
    </row>
    <row r="5581" customFormat="false" ht="15" hidden="false" customHeight="false" outlineLevel="0" collapsed="false">
      <c r="B5581" s="7" t="s">
        <v>14214</v>
      </c>
      <c r="C5581" s="39" t="n">
        <v>46001</v>
      </c>
      <c r="D5581" s="7" t="s">
        <v>258</v>
      </c>
      <c r="E5581" s="7" t="s">
        <v>158</v>
      </c>
      <c r="H5581" s="41" t="n">
        <v>61.61</v>
      </c>
      <c r="M5581" s="6" t="n">
        <v>1</v>
      </c>
      <c r="N5581" s="43" t="n">
        <f aca="false">M5581*H5581</f>
        <v>61.61</v>
      </c>
      <c r="O5581" s="42" t="n">
        <f aca="false">N5581</f>
        <v>61.61</v>
      </c>
    </row>
    <row r="5582" customFormat="false" ht="15" hidden="false" customHeight="false" outlineLevel="0" collapsed="false">
      <c r="B5582" s="7" t="s">
        <v>14215</v>
      </c>
      <c r="C5582" s="39" t="n">
        <v>46001</v>
      </c>
      <c r="D5582" s="7" t="s">
        <v>254</v>
      </c>
      <c r="E5582" s="7" t="s">
        <v>180</v>
      </c>
      <c r="F5582" s="6" t="n">
        <v>11.327</v>
      </c>
      <c r="G5582" s="6" t="n">
        <v>3.893</v>
      </c>
      <c r="H5582" s="41" t="n">
        <v>17.1</v>
      </c>
      <c r="I5582" s="43" t="n">
        <f aca="false">F5582*H5582</f>
        <v>193.6917</v>
      </c>
      <c r="J5582" s="43" t="n">
        <f aca="false">G5582*H5582*1.5</f>
        <v>99.85545</v>
      </c>
      <c r="K5582" s="6" t="n">
        <v>37.93</v>
      </c>
      <c r="L5582" s="43" t="n">
        <f aca="false">K5582*'Chart of Accounts'!$E$68</f>
        <v>25.4131</v>
      </c>
      <c r="O5582" s="42" t="n">
        <f aca="false">I5582+J5582+L5582</f>
        <v>318.96025</v>
      </c>
    </row>
    <row r="5583" customFormat="false" ht="15" hidden="false" customHeight="false" outlineLevel="0" collapsed="false">
      <c r="B5583" s="7" t="s">
        <v>14216</v>
      </c>
      <c r="C5583" s="39" t="n">
        <v>46001</v>
      </c>
      <c r="D5583" s="7" t="s">
        <v>194</v>
      </c>
      <c r="E5583" s="7" t="s">
        <v>180</v>
      </c>
      <c r="F5583" s="6" t="n">
        <v>8.21</v>
      </c>
      <c r="G5583" s="6" t="n">
        <v>0</v>
      </c>
      <c r="H5583" s="41" t="n">
        <v>16</v>
      </c>
      <c r="I5583" s="43" t="n">
        <f aca="false">F5583*H5583</f>
        <v>131.36</v>
      </c>
      <c r="J5583" s="43" t="n">
        <f aca="false">G5583*H5583*1.5</f>
        <v>0</v>
      </c>
      <c r="K5583" s="6" t="n">
        <v>27.87</v>
      </c>
      <c r="L5583" s="43" t="n">
        <f aca="false">K5583*'Chart of Accounts'!$E$68</f>
        <v>18.6729</v>
      </c>
      <c r="O5583" s="42" t="n">
        <f aca="false">I5583+J5583+L5583</f>
        <v>150.0329</v>
      </c>
    </row>
    <row r="5584" customFormat="false" ht="15" hidden="false" customHeight="false" outlineLevel="0" collapsed="false">
      <c r="B5584" s="7" t="s">
        <v>14217</v>
      </c>
      <c r="C5584" s="39" t="n">
        <v>46001</v>
      </c>
      <c r="D5584" s="7" t="s">
        <v>214</v>
      </c>
      <c r="E5584" s="7" t="s">
        <v>180</v>
      </c>
      <c r="F5584" s="6" t="n">
        <v>7.13</v>
      </c>
      <c r="G5584" s="6" t="n">
        <v>0</v>
      </c>
      <c r="H5584" s="41" t="n">
        <v>15.67</v>
      </c>
      <c r="I5584" s="43" t="n">
        <f aca="false">F5584*H5584</f>
        <v>111.7271</v>
      </c>
      <c r="J5584" s="43" t="n">
        <f aca="false">G5584*H5584*1.5</f>
        <v>0</v>
      </c>
      <c r="K5584" s="6" t="n">
        <v>17.62</v>
      </c>
      <c r="L5584" s="43" t="n">
        <f aca="false">K5584*'Chart of Accounts'!$E$68</f>
        <v>11.8054</v>
      </c>
      <c r="O5584" s="42" t="n">
        <f aca="false">I5584+J5584+L5584</f>
        <v>123.5325</v>
      </c>
    </row>
    <row r="5585" customFormat="false" ht="15" hidden="false" customHeight="false" outlineLevel="0" collapsed="false">
      <c r="B5585" s="7" t="s">
        <v>14218</v>
      </c>
      <c r="C5585" s="39" t="n">
        <v>46001</v>
      </c>
      <c r="D5585" s="7" t="s">
        <v>205</v>
      </c>
      <c r="E5585" s="7" t="s">
        <v>180</v>
      </c>
      <c r="F5585" s="6" t="n">
        <v>6.73</v>
      </c>
      <c r="G5585" s="6" t="n">
        <v>0</v>
      </c>
      <c r="H5585" s="41" t="n">
        <v>16.36</v>
      </c>
      <c r="I5585" s="43" t="n">
        <f aca="false">F5585*H5585</f>
        <v>110.1028</v>
      </c>
      <c r="J5585" s="43" t="n">
        <f aca="false">G5585*H5585*1.5</f>
        <v>0</v>
      </c>
      <c r="K5585" s="6" t="n">
        <v>21.3</v>
      </c>
      <c r="L5585" s="43" t="n">
        <f aca="false">K5585*'Chart of Accounts'!$E$68</f>
        <v>14.271</v>
      </c>
      <c r="O5585" s="42" t="n">
        <f aca="false">I5585+J5585+L5585</f>
        <v>124.3738</v>
      </c>
    </row>
    <row r="5586" customFormat="false" ht="15" hidden="false" customHeight="false" outlineLevel="0" collapsed="false">
      <c r="B5586" s="7" t="s">
        <v>14219</v>
      </c>
      <c r="C5586" s="39" t="n">
        <v>46001</v>
      </c>
      <c r="D5586" s="7" t="s">
        <v>264</v>
      </c>
      <c r="E5586" s="7" t="s">
        <v>158</v>
      </c>
      <c r="H5586" s="41" t="n">
        <v>55.55</v>
      </c>
      <c r="M5586" s="6" t="n">
        <v>1</v>
      </c>
      <c r="N5586" s="43" t="n">
        <f aca="false">M5586*H5586</f>
        <v>55.55</v>
      </c>
      <c r="O5586" s="42" t="n">
        <f aca="false">N5586</f>
        <v>55.55</v>
      </c>
    </row>
    <row r="5587" customFormat="false" ht="15" hidden="false" customHeight="false" outlineLevel="0" collapsed="false">
      <c r="B5587" s="7" t="s">
        <v>14220</v>
      </c>
      <c r="C5587" s="39" t="n">
        <v>46001</v>
      </c>
      <c r="D5587" s="7" t="s">
        <v>252</v>
      </c>
      <c r="E5587" s="7" t="s">
        <v>158</v>
      </c>
      <c r="H5587" s="41" t="n">
        <v>57.54</v>
      </c>
      <c r="M5587" s="6" t="n">
        <v>1</v>
      </c>
      <c r="N5587" s="43" t="n">
        <f aca="false">M5587*H5587</f>
        <v>57.54</v>
      </c>
      <c r="O5587" s="42" t="n">
        <f aca="false">N5587</f>
        <v>57.54</v>
      </c>
    </row>
    <row r="5588" customFormat="false" ht="15" hidden="false" customHeight="false" outlineLevel="0" collapsed="false">
      <c r="B5588" s="7" t="s">
        <v>14221</v>
      </c>
      <c r="C5588" s="39" t="n">
        <v>46001</v>
      </c>
      <c r="D5588" s="7" t="s">
        <v>216</v>
      </c>
      <c r="E5588" s="7" t="s">
        <v>158</v>
      </c>
      <c r="H5588" s="41" t="n">
        <v>61.79</v>
      </c>
      <c r="M5588" s="6" t="n">
        <v>1</v>
      </c>
      <c r="N5588" s="43" t="n">
        <f aca="false">M5588*H5588</f>
        <v>61.79</v>
      </c>
      <c r="O5588" s="42" t="n">
        <f aca="false">N5588</f>
        <v>61.79</v>
      </c>
    </row>
    <row r="5589" customFormat="false" ht="15" hidden="false" customHeight="false" outlineLevel="0" collapsed="false">
      <c r="B5589" s="7" t="s">
        <v>14222</v>
      </c>
      <c r="C5589" s="39" t="n">
        <v>46001</v>
      </c>
      <c r="D5589" s="7" t="s">
        <v>218</v>
      </c>
      <c r="E5589" s="7" t="s">
        <v>180</v>
      </c>
      <c r="F5589" s="6" t="n">
        <v>4.28</v>
      </c>
      <c r="G5589" s="6" t="n">
        <v>0</v>
      </c>
      <c r="H5589" s="41" t="n">
        <v>16.19</v>
      </c>
      <c r="I5589" s="43" t="n">
        <f aca="false">F5589*H5589</f>
        <v>69.2932</v>
      </c>
      <c r="J5589" s="43" t="n">
        <f aca="false">G5589*H5589*1.5</f>
        <v>0</v>
      </c>
      <c r="K5589" s="6" t="n">
        <v>11.43</v>
      </c>
      <c r="L5589" s="43" t="n">
        <f aca="false">K5589*'Chart of Accounts'!$E$68</f>
        <v>7.6581</v>
      </c>
      <c r="O5589" s="42" t="n">
        <f aca="false">I5589+J5589+L5589</f>
        <v>76.9513</v>
      </c>
    </row>
    <row r="5590" customFormat="false" ht="15" hidden="false" customHeight="false" outlineLevel="0" collapsed="false">
      <c r="B5590" s="7" t="s">
        <v>14223</v>
      </c>
      <c r="C5590" s="39" t="n">
        <v>46001</v>
      </c>
      <c r="D5590" s="7" t="s">
        <v>220</v>
      </c>
      <c r="E5590" s="7" t="s">
        <v>180</v>
      </c>
      <c r="F5590" s="6" t="n">
        <v>3.95</v>
      </c>
      <c r="G5590" s="6" t="n">
        <v>0</v>
      </c>
      <c r="H5590" s="41" t="n">
        <v>16.43</v>
      </c>
      <c r="I5590" s="43" t="n">
        <f aca="false">F5590*H5590</f>
        <v>64.8985</v>
      </c>
      <c r="J5590" s="43" t="n">
        <f aca="false">G5590*H5590*1.5</f>
        <v>0</v>
      </c>
      <c r="K5590" s="6" t="n">
        <v>11.44</v>
      </c>
      <c r="L5590" s="43" t="n">
        <f aca="false">K5590*'Chart of Accounts'!$E$68</f>
        <v>7.6648</v>
      </c>
      <c r="O5590" s="42" t="n">
        <f aca="false">I5590+J5590+L5590</f>
        <v>72.5633</v>
      </c>
    </row>
    <row r="5591" customFormat="false" ht="15" hidden="false" customHeight="false" outlineLevel="0" collapsed="false">
      <c r="B5591" s="7" t="s">
        <v>14224</v>
      </c>
      <c r="C5591" s="39" t="n">
        <v>46001</v>
      </c>
      <c r="D5591" s="7" t="s">
        <v>236</v>
      </c>
      <c r="E5591" s="7" t="s">
        <v>180</v>
      </c>
      <c r="F5591" s="6" t="n">
        <v>3.53</v>
      </c>
      <c r="G5591" s="6" t="n">
        <v>0</v>
      </c>
      <c r="H5591" s="41" t="n">
        <v>15.49</v>
      </c>
      <c r="I5591" s="43" t="n">
        <f aca="false">F5591*H5591</f>
        <v>54.6797</v>
      </c>
      <c r="J5591" s="43" t="n">
        <f aca="false">G5591*H5591*1.5</f>
        <v>0</v>
      </c>
      <c r="K5591" s="6" t="n">
        <v>10.18</v>
      </c>
      <c r="L5591" s="43" t="n">
        <f aca="false">K5591*'Chart of Accounts'!$E$68</f>
        <v>6.8206</v>
      </c>
      <c r="O5591" s="42" t="n">
        <f aca="false">I5591+J5591+L5591</f>
        <v>61.5003</v>
      </c>
    </row>
    <row r="5592" customFormat="false" ht="15" hidden="false" customHeight="false" outlineLevel="0" collapsed="false">
      <c r="B5592" s="7" t="s">
        <v>14225</v>
      </c>
      <c r="C5592" s="39" t="n">
        <v>46001</v>
      </c>
      <c r="D5592" s="7" t="s">
        <v>177</v>
      </c>
      <c r="E5592" s="7" t="s">
        <v>180</v>
      </c>
      <c r="F5592" s="6" t="n">
        <v>8.77</v>
      </c>
      <c r="G5592" s="6" t="n">
        <v>0</v>
      </c>
      <c r="H5592" s="41" t="n">
        <v>14.56</v>
      </c>
      <c r="I5592" s="43" t="n">
        <f aca="false">F5592*H5592</f>
        <v>127.6912</v>
      </c>
      <c r="J5592" s="43" t="n">
        <f aca="false">G5592*H5592*1.5</f>
        <v>0</v>
      </c>
      <c r="K5592" s="6" t="n">
        <v>24.96</v>
      </c>
      <c r="L5592" s="43" t="n">
        <f aca="false">K5592*'Chart of Accounts'!$E$68</f>
        <v>16.7232</v>
      </c>
      <c r="O5592" s="42" t="n">
        <f aca="false">I5592+J5592+L5592</f>
        <v>144.4144</v>
      </c>
    </row>
    <row r="5593" customFormat="false" ht="15" hidden="false" customHeight="false" outlineLevel="0" collapsed="false">
      <c r="B5593" s="7" t="s">
        <v>14226</v>
      </c>
      <c r="C5593" s="39" t="n">
        <v>46001</v>
      </c>
      <c r="D5593" s="7" t="s">
        <v>242</v>
      </c>
      <c r="E5593" s="7" t="s">
        <v>180</v>
      </c>
      <c r="F5593" s="6" t="n">
        <v>7.22</v>
      </c>
      <c r="G5593" s="6" t="n">
        <v>0</v>
      </c>
      <c r="H5593" s="41" t="n">
        <v>17.99</v>
      </c>
      <c r="I5593" s="43" t="n">
        <f aca="false">F5593*H5593</f>
        <v>129.8878</v>
      </c>
      <c r="J5593" s="43" t="n">
        <f aca="false">G5593*H5593*1.5</f>
        <v>0</v>
      </c>
      <c r="K5593" s="6" t="n">
        <v>21.14</v>
      </c>
      <c r="L5593" s="43" t="n">
        <f aca="false">K5593*'Chart of Accounts'!$E$68</f>
        <v>14.1638</v>
      </c>
      <c r="O5593" s="42" t="n">
        <f aca="false">I5593+J5593+L5593</f>
        <v>144.0516</v>
      </c>
    </row>
    <row r="5594" customFormat="false" ht="15" hidden="false" customHeight="false" outlineLevel="0" collapsed="false">
      <c r="B5594" s="7" t="s">
        <v>14227</v>
      </c>
      <c r="C5594" s="39" t="n">
        <v>46001</v>
      </c>
      <c r="D5594" s="7" t="s">
        <v>244</v>
      </c>
      <c r="E5594" s="7" t="s">
        <v>180</v>
      </c>
      <c r="F5594" s="6" t="n">
        <v>3.61</v>
      </c>
      <c r="G5594" s="6" t="n">
        <v>0</v>
      </c>
      <c r="H5594" s="41" t="n">
        <v>16.39</v>
      </c>
      <c r="I5594" s="43" t="n">
        <f aca="false">F5594*H5594</f>
        <v>59.1679</v>
      </c>
      <c r="J5594" s="43" t="n">
        <f aca="false">G5594*H5594*1.5</f>
        <v>0</v>
      </c>
      <c r="K5594" s="6" t="n">
        <v>10.35</v>
      </c>
      <c r="L5594" s="43" t="n">
        <f aca="false">K5594*'Chart of Accounts'!$E$68</f>
        <v>6.9345</v>
      </c>
      <c r="O5594" s="42" t="n">
        <f aca="false">I5594+J5594+L5594</f>
        <v>66.1024</v>
      </c>
    </row>
    <row r="5595" customFormat="false" ht="15" hidden="false" customHeight="false" outlineLevel="0" collapsed="false">
      <c r="B5595" s="7" t="s">
        <v>14228</v>
      </c>
      <c r="C5595" s="39" t="n">
        <v>46001</v>
      </c>
      <c r="D5595" s="7" t="s">
        <v>201</v>
      </c>
      <c r="E5595" s="7" t="s">
        <v>180</v>
      </c>
      <c r="F5595" s="6" t="n">
        <v>3.26</v>
      </c>
      <c r="G5595" s="6" t="n">
        <v>0</v>
      </c>
      <c r="H5595" s="41" t="n">
        <v>15.19</v>
      </c>
      <c r="I5595" s="43" t="n">
        <f aca="false">F5595*H5595</f>
        <v>49.5194</v>
      </c>
      <c r="J5595" s="43" t="n">
        <f aca="false">G5595*H5595*1.5</f>
        <v>0</v>
      </c>
      <c r="K5595" s="6" t="n">
        <v>8.84</v>
      </c>
      <c r="L5595" s="43" t="n">
        <f aca="false">K5595*'Chart of Accounts'!$E$68</f>
        <v>5.9228</v>
      </c>
      <c r="O5595" s="42" t="n">
        <f aca="false">I5595+J5595+L5595</f>
        <v>55.4422</v>
      </c>
    </row>
    <row r="5596" customFormat="false" ht="15" hidden="false" customHeight="false" outlineLevel="0" collapsed="false">
      <c r="B5596" s="7" t="s">
        <v>14229</v>
      </c>
      <c r="C5596" s="39" t="n">
        <v>46001</v>
      </c>
      <c r="D5596" s="7" t="s">
        <v>232</v>
      </c>
      <c r="E5596" s="7" t="s">
        <v>180</v>
      </c>
      <c r="F5596" s="6" t="n">
        <v>4.78</v>
      </c>
      <c r="G5596" s="6" t="n">
        <v>0</v>
      </c>
      <c r="H5596" s="41" t="n">
        <v>16.17</v>
      </c>
      <c r="I5596" s="43" t="n">
        <f aca="false">F5596*H5596</f>
        <v>77.2926</v>
      </c>
      <c r="J5596" s="43" t="n">
        <f aca="false">G5596*H5596*1.5</f>
        <v>0</v>
      </c>
      <c r="K5596" s="6" t="n">
        <v>11.92</v>
      </c>
      <c r="L5596" s="43" t="n">
        <f aca="false">K5596*'Chart of Accounts'!$E$68</f>
        <v>7.9864</v>
      </c>
      <c r="O5596" s="42" t="n">
        <f aca="false">I5596+J5596+L5596</f>
        <v>85.279</v>
      </c>
    </row>
    <row r="5597" customFormat="false" ht="15" hidden="false" customHeight="false" outlineLevel="0" collapsed="false">
      <c r="B5597" s="7" t="s">
        <v>14230</v>
      </c>
      <c r="C5597" s="39" t="n">
        <v>46001</v>
      </c>
      <c r="D5597" s="7" t="s">
        <v>224</v>
      </c>
      <c r="E5597" s="7" t="s">
        <v>180</v>
      </c>
      <c r="F5597" s="6" t="n">
        <v>4.43</v>
      </c>
      <c r="G5597" s="6" t="n">
        <v>0</v>
      </c>
      <c r="H5597" s="41" t="n">
        <v>14.93</v>
      </c>
      <c r="I5597" s="43" t="n">
        <f aca="false">F5597*H5597</f>
        <v>66.1399</v>
      </c>
      <c r="J5597" s="43" t="n">
        <f aca="false">G5597*H5597*1.5</f>
        <v>0</v>
      </c>
      <c r="K5597" s="6" t="n">
        <v>14.64</v>
      </c>
      <c r="L5597" s="43" t="n">
        <f aca="false">K5597*'Chart of Accounts'!$E$68</f>
        <v>9.8088</v>
      </c>
      <c r="O5597" s="42" t="n">
        <f aca="false">I5597+J5597+L5597</f>
        <v>75.9487</v>
      </c>
    </row>
    <row r="5598" customFormat="false" ht="15" hidden="false" customHeight="false" outlineLevel="0" collapsed="false">
      <c r="B5598" s="7" t="s">
        <v>14231</v>
      </c>
      <c r="C5598" s="39" t="n">
        <v>46001</v>
      </c>
      <c r="D5598" s="7" t="s">
        <v>238</v>
      </c>
      <c r="E5598" s="7" t="s">
        <v>180</v>
      </c>
      <c r="F5598" s="6" t="n">
        <v>3.86</v>
      </c>
      <c r="G5598" s="6" t="n">
        <v>0</v>
      </c>
      <c r="H5598" s="41" t="n">
        <v>15.85</v>
      </c>
      <c r="I5598" s="43" t="n">
        <f aca="false">F5598*H5598</f>
        <v>61.181</v>
      </c>
      <c r="J5598" s="43" t="n">
        <f aca="false">G5598*H5598*1.5</f>
        <v>0</v>
      </c>
      <c r="K5598" s="6" t="n">
        <v>10.79</v>
      </c>
      <c r="L5598" s="43" t="n">
        <f aca="false">K5598*'Chart of Accounts'!$E$68</f>
        <v>7.2293</v>
      </c>
      <c r="O5598" s="42" t="n">
        <f aca="false">I5598+J5598+L5598</f>
        <v>68.4103</v>
      </c>
    </row>
    <row r="5599" customFormat="false" ht="15" hidden="false" customHeight="false" outlineLevel="0" collapsed="false">
      <c r="B5599" s="7" t="s">
        <v>14232</v>
      </c>
      <c r="C5599" s="39" t="n">
        <v>46001</v>
      </c>
      <c r="D5599" s="7" t="s">
        <v>196</v>
      </c>
      <c r="E5599" s="7" t="s">
        <v>180</v>
      </c>
      <c r="F5599" s="6" t="n">
        <v>4.22</v>
      </c>
      <c r="G5599" s="6" t="n">
        <v>0</v>
      </c>
      <c r="H5599" s="41" t="n">
        <v>15.05</v>
      </c>
      <c r="I5599" s="43" t="n">
        <f aca="false">F5599*H5599</f>
        <v>63.511</v>
      </c>
      <c r="J5599" s="43" t="n">
        <f aca="false">G5599*H5599*1.5</f>
        <v>0</v>
      </c>
      <c r="K5599" s="6" t="n">
        <v>10.52</v>
      </c>
      <c r="L5599" s="43" t="n">
        <f aca="false">K5599*'Chart of Accounts'!$E$68</f>
        <v>7.0484</v>
      </c>
      <c r="O5599" s="42" t="n">
        <f aca="false">I5599+J5599+L5599</f>
        <v>70.5594</v>
      </c>
    </row>
    <row r="5600" customFormat="false" ht="15" hidden="false" customHeight="false" outlineLevel="0" collapsed="false">
      <c r="B5600" s="7" t="s">
        <v>14233</v>
      </c>
      <c r="C5600" s="39" t="n">
        <v>46001</v>
      </c>
      <c r="D5600" s="7" t="s">
        <v>246</v>
      </c>
      <c r="E5600" s="7" t="s">
        <v>180</v>
      </c>
      <c r="F5600" s="6" t="n">
        <v>3.71</v>
      </c>
      <c r="G5600" s="6" t="n">
        <v>0</v>
      </c>
      <c r="H5600" s="41" t="n">
        <v>16.48</v>
      </c>
      <c r="I5600" s="43" t="n">
        <f aca="false">F5600*H5600</f>
        <v>61.1408</v>
      </c>
      <c r="J5600" s="43" t="n">
        <f aca="false">G5600*H5600*1.5</f>
        <v>0</v>
      </c>
      <c r="K5600" s="6" t="n">
        <v>12.19</v>
      </c>
      <c r="L5600" s="43" t="n">
        <f aca="false">K5600*'Chart of Accounts'!$E$68</f>
        <v>8.1673</v>
      </c>
      <c r="O5600" s="42" t="n">
        <f aca="false">I5600+J5600+L5600</f>
        <v>69.3081</v>
      </c>
    </row>
    <row r="5601" customFormat="false" ht="15" hidden="false" customHeight="false" outlineLevel="0" collapsed="false">
      <c r="B5601" s="7" t="s">
        <v>14234</v>
      </c>
      <c r="C5601" s="39" t="n">
        <v>46001</v>
      </c>
      <c r="D5601" s="7" t="s">
        <v>222</v>
      </c>
      <c r="E5601" s="7" t="s">
        <v>180</v>
      </c>
      <c r="F5601" s="6" t="n">
        <v>3.316</v>
      </c>
      <c r="G5601" s="6" t="n">
        <v>0.284</v>
      </c>
      <c r="H5601" s="41" t="n">
        <v>17.84</v>
      </c>
      <c r="I5601" s="43" t="n">
        <f aca="false">F5601*H5601</f>
        <v>59.15744</v>
      </c>
      <c r="J5601" s="43" t="n">
        <f aca="false">G5601*H5601*1.5</f>
        <v>7.59984</v>
      </c>
      <c r="K5601" s="6" t="n">
        <v>8.37</v>
      </c>
      <c r="L5601" s="43" t="n">
        <f aca="false">K5601*'Chart of Accounts'!$E$68</f>
        <v>5.6079</v>
      </c>
      <c r="O5601" s="42" t="n">
        <f aca="false">I5601+J5601+L5601</f>
        <v>72.36518</v>
      </c>
    </row>
    <row r="5602" customFormat="false" ht="15" hidden="false" customHeight="false" outlineLevel="0" collapsed="false">
      <c r="B5602" s="7" t="s">
        <v>14235</v>
      </c>
      <c r="C5602" s="39" t="n">
        <v>46001</v>
      </c>
      <c r="D5602" s="7" t="s">
        <v>203</v>
      </c>
      <c r="E5602" s="7" t="s">
        <v>158</v>
      </c>
      <c r="H5602" s="41" t="n">
        <v>49.43</v>
      </c>
      <c r="M5602" s="6" t="n">
        <v>1</v>
      </c>
      <c r="N5602" s="43" t="n">
        <f aca="false">M5602*H5602</f>
        <v>49.43</v>
      </c>
      <c r="O5602" s="42" t="n">
        <f aca="false">N5602</f>
        <v>49.43</v>
      </c>
    </row>
    <row r="5603" customFormat="false" ht="15" hidden="false" customHeight="false" outlineLevel="0" collapsed="false">
      <c r="B5603" s="7" t="s">
        <v>14236</v>
      </c>
      <c r="C5603" s="39" t="n">
        <v>46001</v>
      </c>
      <c r="D5603" s="7" t="s">
        <v>184</v>
      </c>
      <c r="E5603" s="7" t="s">
        <v>180</v>
      </c>
      <c r="F5603" s="6" t="n">
        <v>4.25</v>
      </c>
      <c r="G5603" s="6" t="n">
        <v>0</v>
      </c>
      <c r="H5603" s="41" t="n">
        <v>17.34</v>
      </c>
      <c r="I5603" s="43" t="n">
        <f aca="false">F5603*H5603</f>
        <v>73.695</v>
      </c>
      <c r="J5603" s="43" t="n">
        <f aca="false">G5603*H5603*1.5</f>
        <v>0</v>
      </c>
      <c r="K5603" s="6" t="n">
        <v>10.88</v>
      </c>
      <c r="L5603" s="43" t="n">
        <f aca="false">K5603*'Chart of Accounts'!$E$68</f>
        <v>7.2896</v>
      </c>
      <c r="O5603" s="42" t="n">
        <f aca="false">I5603+J5603+L5603</f>
        <v>80.9846</v>
      </c>
    </row>
    <row r="5604" customFormat="false" ht="15" hidden="false" customHeight="false" outlineLevel="0" collapsed="false">
      <c r="B5604" s="7" t="s">
        <v>14237</v>
      </c>
      <c r="C5604" s="39" t="n">
        <v>46002</v>
      </c>
      <c r="D5604" s="7" t="s">
        <v>240</v>
      </c>
      <c r="E5604" s="7" t="s">
        <v>180</v>
      </c>
      <c r="F5604" s="6" t="n">
        <v>10.92</v>
      </c>
      <c r="G5604" s="6" t="n">
        <v>0</v>
      </c>
      <c r="H5604" s="41" t="n">
        <v>16.96</v>
      </c>
      <c r="I5604" s="43" t="n">
        <f aca="false">F5604*H5604</f>
        <v>185.2032</v>
      </c>
      <c r="J5604" s="43" t="n">
        <f aca="false">G5604*H5604*1.5</f>
        <v>0</v>
      </c>
      <c r="K5604" s="6" t="n">
        <v>33.13</v>
      </c>
      <c r="L5604" s="43" t="n">
        <f aca="false">K5604*'Chart of Accounts'!$E$68</f>
        <v>22.1971</v>
      </c>
      <c r="O5604" s="42" t="n">
        <f aca="false">I5604+J5604+L5604</f>
        <v>207.4003</v>
      </c>
    </row>
    <row r="5605" customFormat="false" ht="15" hidden="false" customHeight="false" outlineLevel="0" collapsed="false">
      <c r="B5605" s="7" t="s">
        <v>14238</v>
      </c>
      <c r="C5605" s="39" t="n">
        <v>46002</v>
      </c>
      <c r="D5605" s="7" t="s">
        <v>201</v>
      </c>
      <c r="E5605" s="7" t="s">
        <v>180</v>
      </c>
      <c r="F5605" s="6" t="n">
        <v>5.48</v>
      </c>
      <c r="G5605" s="6" t="n">
        <v>0</v>
      </c>
      <c r="H5605" s="41" t="n">
        <v>15.19</v>
      </c>
      <c r="I5605" s="43" t="n">
        <f aca="false">F5605*H5605</f>
        <v>83.2412</v>
      </c>
      <c r="J5605" s="43" t="n">
        <f aca="false">G5605*H5605*1.5</f>
        <v>0</v>
      </c>
      <c r="K5605" s="6" t="n">
        <v>16.54</v>
      </c>
      <c r="L5605" s="43" t="n">
        <f aca="false">K5605*'Chart of Accounts'!$E$68</f>
        <v>11.0818</v>
      </c>
      <c r="O5605" s="42" t="n">
        <f aca="false">I5605+J5605+L5605</f>
        <v>94.323</v>
      </c>
    </row>
    <row r="5606" customFormat="false" ht="15" hidden="false" customHeight="false" outlineLevel="0" collapsed="false">
      <c r="B5606" s="7" t="s">
        <v>14239</v>
      </c>
      <c r="C5606" s="39" t="n">
        <v>46002</v>
      </c>
      <c r="D5606" s="7" t="s">
        <v>205</v>
      </c>
      <c r="E5606" s="7" t="s">
        <v>180</v>
      </c>
      <c r="F5606" s="6" t="n">
        <v>2.71</v>
      </c>
      <c r="G5606" s="6" t="n">
        <v>0</v>
      </c>
      <c r="H5606" s="41" t="n">
        <v>16.36</v>
      </c>
      <c r="I5606" s="43" t="n">
        <f aca="false">F5606*H5606</f>
        <v>44.3356</v>
      </c>
      <c r="J5606" s="43" t="n">
        <f aca="false">G5606*H5606*1.5</f>
        <v>0</v>
      </c>
      <c r="K5606" s="6" t="n">
        <v>6.8</v>
      </c>
      <c r="L5606" s="43" t="n">
        <f aca="false">K5606*'Chart of Accounts'!$E$68</f>
        <v>4.556</v>
      </c>
      <c r="O5606" s="42" t="n">
        <f aca="false">I5606+J5606+L5606</f>
        <v>48.8916</v>
      </c>
    </row>
    <row r="5607" customFormat="false" ht="15" hidden="false" customHeight="false" outlineLevel="0" collapsed="false">
      <c r="B5607" s="7" t="s">
        <v>14240</v>
      </c>
      <c r="C5607" s="39" t="n">
        <v>46002</v>
      </c>
      <c r="D5607" s="7" t="s">
        <v>196</v>
      </c>
      <c r="E5607" s="7" t="s">
        <v>180</v>
      </c>
      <c r="F5607" s="6" t="n">
        <v>5.62</v>
      </c>
      <c r="G5607" s="6" t="n">
        <v>0</v>
      </c>
      <c r="H5607" s="41" t="n">
        <v>15.05</v>
      </c>
      <c r="I5607" s="43" t="n">
        <f aca="false">F5607*H5607</f>
        <v>84.581</v>
      </c>
      <c r="J5607" s="43" t="n">
        <f aca="false">G5607*H5607*1.5</f>
        <v>0</v>
      </c>
      <c r="K5607" s="6" t="n">
        <v>18.77</v>
      </c>
      <c r="L5607" s="43" t="n">
        <f aca="false">K5607*'Chart of Accounts'!$E$68</f>
        <v>12.5759</v>
      </c>
      <c r="O5607" s="42" t="n">
        <f aca="false">I5607+J5607+L5607</f>
        <v>97.1569</v>
      </c>
    </row>
    <row r="5608" customFormat="false" ht="15" hidden="false" customHeight="false" outlineLevel="0" collapsed="false">
      <c r="B5608" s="7" t="s">
        <v>14241</v>
      </c>
      <c r="C5608" s="39" t="n">
        <v>46002</v>
      </c>
      <c r="D5608" s="7" t="s">
        <v>184</v>
      </c>
      <c r="E5608" s="7" t="s">
        <v>180</v>
      </c>
      <c r="F5608" s="6" t="n">
        <v>4.18</v>
      </c>
      <c r="G5608" s="6" t="n">
        <v>0</v>
      </c>
      <c r="H5608" s="41" t="n">
        <v>17.34</v>
      </c>
      <c r="I5608" s="43" t="n">
        <f aca="false">F5608*H5608</f>
        <v>72.4812</v>
      </c>
      <c r="J5608" s="43" t="n">
        <f aca="false">G5608*H5608*1.5</f>
        <v>0</v>
      </c>
      <c r="K5608" s="6" t="n">
        <v>12.45</v>
      </c>
      <c r="L5608" s="43" t="n">
        <f aca="false">K5608*'Chart of Accounts'!$E$68</f>
        <v>8.3415</v>
      </c>
      <c r="O5608" s="42" t="n">
        <f aca="false">I5608+J5608+L5608</f>
        <v>80.8227</v>
      </c>
    </row>
    <row r="5609" customFormat="false" ht="15" hidden="false" customHeight="false" outlineLevel="0" collapsed="false">
      <c r="B5609" s="7" t="s">
        <v>14242</v>
      </c>
      <c r="C5609" s="39" t="n">
        <v>46002</v>
      </c>
      <c r="D5609" s="7" t="s">
        <v>218</v>
      </c>
      <c r="E5609" s="7" t="s">
        <v>180</v>
      </c>
      <c r="F5609" s="6" t="n">
        <v>14.39</v>
      </c>
      <c r="G5609" s="6" t="n">
        <v>0</v>
      </c>
      <c r="H5609" s="41" t="n">
        <v>16.19</v>
      </c>
      <c r="I5609" s="43" t="n">
        <f aca="false">F5609*H5609</f>
        <v>232.9741</v>
      </c>
      <c r="J5609" s="43" t="n">
        <f aca="false">G5609*H5609*1.5</f>
        <v>0</v>
      </c>
      <c r="K5609" s="6" t="n">
        <v>51</v>
      </c>
      <c r="L5609" s="43" t="n">
        <f aca="false">K5609*'Chart of Accounts'!$E$68</f>
        <v>34.17</v>
      </c>
      <c r="O5609" s="42" t="n">
        <f aca="false">I5609+J5609+L5609</f>
        <v>267.1441</v>
      </c>
    </row>
    <row r="5610" customFormat="false" ht="15" hidden="false" customHeight="false" outlineLevel="0" collapsed="false">
      <c r="B5610" s="7" t="s">
        <v>14243</v>
      </c>
      <c r="C5610" s="39" t="n">
        <v>46002</v>
      </c>
      <c r="D5610" s="7" t="s">
        <v>220</v>
      </c>
      <c r="E5610" s="7" t="s">
        <v>180</v>
      </c>
      <c r="F5610" s="6" t="n">
        <v>3.9</v>
      </c>
      <c r="G5610" s="6" t="n">
        <v>0</v>
      </c>
      <c r="H5610" s="41" t="n">
        <v>16.43</v>
      </c>
      <c r="I5610" s="43" t="n">
        <f aca="false">F5610*H5610</f>
        <v>64.077</v>
      </c>
      <c r="J5610" s="43" t="n">
        <f aca="false">G5610*H5610*1.5</f>
        <v>0</v>
      </c>
      <c r="K5610" s="6" t="n">
        <v>12.14</v>
      </c>
      <c r="L5610" s="43" t="n">
        <f aca="false">K5610*'Chart of Accounts'!$E$68</f>
        <v>8.1338</v>
      </c>
      <c r="O5610" s="42" t="n">
        <f aca="false">I5610+J5610+L5610</f>
        <v>72.2108</v>
      </c>
    </row>
    <row r="5611" customFormat="false" ht="15" hidden="false" customHeight="false" outlineLevel="0" collapsed="false">
      <c r="B5611" s="7" t="s">
        <v>14244</v>
      </c>
      <c r="C5611" s="39" t="n">
        <v>46002</v>
      </c>
      <c r="D5611" s="7" t="s">
        <v>222</v>
      </c>
      <c r="E5611" s="7" t="s">
        <v>180</v>
      </c>
      <c r="F5611" s="6" t="n">
        <v>5.924</v>
      </c>
      <c r="G5611" s="6" t="n">
        <v>0.506</v>
      </c>
      <c r="H5611" s="41" t="n">
        <v>17.84</v>
      </c>
      <c r="I5611" s="43" t="n">
        <f aca="false">F5611*H5611</f>
        <v>105.68416</v>
      </c>
      <c r="J5611" s="43" t="n">
        <f aca="false">G5611*H5611*1.5</f>
        <v>13.54056</v>
      </c>
      <c r="K5611" s="6" t="n">
        <v>21.34</v>
      </c>
      <c r="L5611" s="43" t="n">
        <f aca="false">K5611*'Chart of Accounts'!$E$68</f>
        <v>14.2978</v>
      </c>
      <c r="O5611" s="42" t="n">
        <f aca="false">I5611+J5611+L5611</f>
        <v>133.52252</v>
      </c>
    </row>
    <row r="5612" customFormat="false" ht="15" hidden="false" customHeight="false" outlineLevel="0" collapsed="false">
      <c r="B5612" s="7" t="s">
        <v>14245</v>
      </c>
      <c r="C5612" s="39" t="n">
        <v>46002</v>
      </c>
      <c r="D5612" s="7" t="s">
        <v>244</v>
      </c>
      <c r="E5612" s="7" t="s">
        <v>180</v>
      </c>
      <c r="F5612" s="6" t="n">
        <v>4.22</v>
      </c>
      <c r="G5612" s="6" t="n">
        <v>0</v>
      </c>
      <c r="H5612" s="41" t="n">
        <v>16.39</v>
      </c>
      <c r="I5612" s="43" t="n">
        <f aca="false">F5612*H5612</f>
        <v>69.1658</v>
      </c>
      <c r="J5612" s="43" t="n">
        <f aca="false">G5612*H5612*1.5</f>
        <v>0</v>
      </c>
      <c r="K5612" s="6" t="n">
        <v>10.34</v>
      </c>
      <c r="L5612" s="43" t="n">
        <f aca="false">K5612*'Chart of Accounts'!$E$68</f>
        <v>6.9278</v>
      </c>
      <c r="O5612" s="42" t="n">
        <f aca="false">I5612+J5612+L5612</f>
        <v>76.0936</v>
      </c>
    </row>
    <row r="5613" customFormat="false" ht="15" hidden="false" customHeight="false" outlineLevel="0" collapsed="false">
      <c r="B5613" s="7" t="s">
        <v>14246</v>
      </c>
      <c r="C5613" s="39" t="n">
        <v>46002</v>
      </c>
      <c r="D5613" s="7" t="s">
        <v>238</v>
      </c>
      <c r="E5613" s="7" t="s">
        <v>180</v>
      </c>
      <c r="F5613" s="6" t="n">
        <v>3.7</v>
      </c>
      <c r="G5613" s="6" t="n">
        <v>0</v>
      </c>
      <c r="H5613" s="41" t="n">
        <v>15.85</v>
      </c>
      <c r="I5613" s="43" t="n">
        <f aca="false">F5613*H5613</f>
        <v>58.645</v>
      </c>
      <c r="J5613" s="43" t="n">
        <f aca="false">G5613*H5613*1.5</f>
        <v>0</v>
      </c>
      <c r="K5613" s="6" t="n">
        <v>12.21</v>
      </c>
      <c r="L5613" s="43" t="n">
        <f aca="false">K5613*'Chart of Accounts'!$E$68</f>
        <v>8.1807</v>
      </c>
      <c r="O5613" s="42" t="n">
        <f aca="false">I5613+J5613+L5613</f>
        <v>66.8257</v>
      </c>
    </row>
    <row r="5614" customFormat="false" ht="15" hidden="false" customHeight="false" outlineLevel="0" collapsed="false">
      <c r="B5614" s="7" t="s">
        <v>14247</v>
      </c>
      <c r="C5614" s="39" t="n">
        <v>46002</v>
      </c>
      <c r="D5614" s="7" t="s">
        <v>246</v>
      </c>
      <c r="E5614" s="7" t="s">
        <v>180</v>
      </c>
      <c r="F5614" s="6" t="n">
        <v>7.93</v>
      </c>
      <c r="G5614" s="6" t="n">
        <v>0</v>
      </c>
      <c r="H5614" s="41" t="n">
        <v>16.48</v>
      </c>
      <c r="I5614" s="43" t="n">
        <f aca="false">F5614*H5614</f>
        <v>130.6864</v>
      </c>
      <c r="J5614" s="43" t="n">
        <f aca="false">G5614*H5614*1.5</f>
        <v>0</v>
      </c>
      <c r="K5614" s="6" t="n">
        <v>26.94</v>
      </c>
      <c r="L5614" s="43" t="n">
        <f aca="false">K5614*'Chart of Accounts'!$E$68</f>
        <v>18.0498</v>
      </c>
      <c r="O5614" s="42" t="n">
        <f aca="false">I5614+J5614+L5614</f>
        <v>148.7362</v>
      </c>
    </row>
    <row r="5615" customFormat="false" ht="15" hidden="false" customHeight="false" outlineLevel="0" collapsed="false">
      <c r="B5615" s="7" t="s">
        <v>14248</v>
      </c>
      <c r="C5615" s="39" t="n">
        <v>46002</v>
      </c>
      <c r="D5615" s="7" t="s">
        <v>194</v>
      </c>
      <c r="E5615" s="7" t="s">
        <v>180</v>
      </c>
      <c r="F5615" s="6" t="n">
        <v>4.13</v>
      </c>
      <c r="G5615" s="6" t="n">
        <v>0</v>
      </c>
      <c r="H5615" s="41" t="n">
        <v>16</v>
      </c>
      <c r="I5615" s="43" t="n">
        <f aca="false">F5615*H5615</f>
        <v>66.08</v>
      </c>
      <c r="J5615" s="43" t="n">
        <f aca="false">G5615*H5615*1.5</f>
        <v>0</v>
      </c>
      <c r="K5615" s="6" t="n">
        <v>10.2</v>
      </c>
      <c r="L5615" s="43" t="n">
        <f aca="false">K5615*'Chart of Accounts'!$E$68</f>
        <v>6.834</v>
      </c>
      <c r="O5615" s="42" t="n">
        <f aca="false">I5615+J5615+L5615</f>
        <v>72.914</v>
      </c>
    </row>
    <row r="5616" customFormat="false" ht="15" hidden="false" customHeight="false" outlineLevel="0" collapsed="false">
      <c r="B5616" s="7" t="s">
        <v>14249</v>
      </c>
      <c r="C5616" s="39" t="n">
        <v>46002</v>
      </c>
      <c r="D5616" s="7" t="s">
        <v>256</v>
      </c>
      <c r="E5616" s="7" t="s">
        <v>180</v>
      </c>
      <c r="F5616" s="6" t="n">
        <v>2.99</v>
      </c>
      <c r="G5616" s="6" t="n">
        <v>0</v>
      </c>
      <c r="H5616" s="41" t="n">
        <v>15.63</v>
      </c>
      <c r="I5616" s="43" t="n">
        <f aca="false">F5616*H5616</f>
        <v>46.7337</v>
      </c>
      <c r="J5616" s="43" t="n">
        <f aca="false">G5616*H5616*1.5</f>
        <v>0</v>
      </c>
      <c r="K5616" s="6" t="n">
        <v>9.12</v>
      </c>
      <c r="L5616" s="43" t="n">
        <f aca="false">K5616*'Chart of Accounts'!$E$68</f>
        <v>6.1104</v>
      </c>
      <c r="O5616" s="42" t="n">
        <f aca="false">I5616+J5616+L5616</f>
        <v>52.8441</v>
      </c>
    </row>
    <row r="5617" customFormat="false" ht="15" hidden="false" customHeight="false" outlineLevel="0" collapsed="false">
      <c r="B5617" s="7" t="s">
        <v>14250</v>
      </c>
      <c r="C5617" s="39" t="n">
        <v>46002</v>
      </c>
      <c r="D5617" s="7" t="s">
        <v>214</v>
      </c>
      <c r="E5617" s="7" t="s">
        <v>180</v>
      </c>
      <c r="F5617" s="6" t="n">
        <v>3.85</v>
      </c>
      <c r="G5617" s="6" t="n">
        <v>0</v>
      </c>
      <c r="H5617" s="41" t="n">
        <v>15.67</v>
      </c>
      <c r="I5617" s="43" t="n">
        <f aca="false">F5617*H5617</f>
        <v>60.3295</v>
      </c>
      <c r="J5617" s="43" t="n">
        <f aca="false">G5617*H5617*1.5</f>
        <v>0</v>
      </c>
      <c r="K5617" s="6" t="n">
        <v>8.54</v>
      </c>
      <c r="L5617" s="43" t="n">
        <f aca="false">K5617*'Chart of Accounts'!$E$68</f>
        <v>5.7218</v>
      </c>
      <c r="O5617" s="42" t="n">
        <f aca="false">I5617+J5617+L5617</f>
        <v>66.0513</v>
      </c>
    </row>
    <row r="5618" customFormat="false" ht="15" hidden="false" customHeight="false" outlineLevel="0" collapsed="false">
      <c r="B5618" s="7" t="s">
        <v>14251</v>
      </c>
      <c r="C5618" s="39" t="n">
        <v>46002</v>
      </c>
      <c r="D5618" s="7" t="s">
        <v>242</v>
      </c>
      <c r="E5618" s="7" t="s">
        <v>180</v>
      </c>
      <c r="F5618" s="6" t="n">
        <v>3.69</v>
      </c>
      <c r="G5618" s="6" t="n">
        <v>0</v>
      </c>
      <c r="H5618" s="41" t="n">
        <v>17.99</v>
      </c>
      <c r="I5618" s="43" t="n">
        <f aca="false">F5618*H5618</f>
        <v>66.3831</v>
      </c>
      <c r="J5618" s="43" t="n">
        <f aca="false">G5618*H5618*1.5</f>
        <v>0</v>
      </c>
      <c r="K5618" s="6" t="n">
        <v>12.31</v>
      </c>
      <c r="L5618" s="43" t="n">
        <f aca="false">K5618*'Chart of Accounts'!$E$68</f>
        <v>8.2477</v>
      </c>
      <c r="O5618" s="42" t="n">
        <f aca="false">I5618+J5618+L5618</f>
        <v>74.6308</v>
      </c>
    </row>
    <row r="5619" customFormat="false" ht="15" hidden="false" customHeight="false" outlineLevel="0" collapsed="false">
      <c r="B5619" s="7" t="s">
        <v>14252</v>
      </c>
      <c r="C5619" s="39" t="n">
        <v>46002</v>
      </c>
      <c r="D5619" s="7" t="s">
        <v>254</v>
      </c>
      <c r="E5619" s="7" t="s">
        <v>180</v>
      </c>
      <c r="F5619" s="6" t="n">
        <v>3.2</v>
      </c>
      <c r="G5619" s="6" t="n">
        <v>1.1</v>
      </c>
      <c r="H5619" s="41" t="n">
        <v>17.1</v>
      </c>
      <c r="I5619" s="43" t="n">
        <f aca="false">F5619*H5619</f>
        <v>54.72</v>
      </c>
      <c r="J5619" s="43" t="n">
        <f aca="false">G5619*H5619*1.5</f>
        <v>28.215</v>
      </c>
      <c r="K5619" s="6" t="n">
        <v>14.57</v>
      </c>
      <c r="L5619" s="43" t="n">
        <f aca="false">K5619*'Chart of Accounts'!$E$68</f>
        <v>9.7619</v>
      </c>
      <c r="O5619" s="42" t="n">
        <f aca="false">I5619+J5619+L5619</f>
        <v>92.6969</v>
      </c>
    </row>
    <row r="5620" customFormat="false" ht="15" hidden="false" customHeight="false" outlineLevel="0" collapsed="false">
      <c r="B5620" s="7" t="s">
        <v>14253</v>
      </c>
      <c r="C5620" s="39" t="n">
        <v>46003</v>
      </c>
      <c r="D5620" s="7" t="s">
        <v>194</v>
      </c>
      <c r="E5620" s="7" t="s">
        <v>180</v>
      </c>
      <c r="F5620" s="6" t="n">
        <v>8.22</v>
      </c>
      <c r="G5620" s="6" t="n">
        <v>0</v>
      </c>
      <c r="H5620" s="41" t="n">
        <v>16</v>
      </c>
      <c r="I5620" s="43" t="n">
        <f aca="false">F5620*H5620</f>
        <v>131.52</v>
      </c>
      <c r="J5620" s="43" t="n">
        <f aca="false">G5620*H5620*1.5</f>
        <v>0</v>
      </c>
      <c r="K5620" s="6" t="n">
        <v>19.41</v>
      </c>
      <c r="L5620" s="43" t="n">
        <f aca="false">K5620*'Chart of Accounts'!$E$68</f>
        <v>13.0047</v>
      </c>
      <c r="O5620" s="42" t="n">
        <f aca="false">I5620+J5620+L5620</f>
        <v>144.5247</v>
      </c>
    </row>
    <row r="5621" customFormat="false" ht="15" hidden="false" customHeight="false" outlineLevel="0" collapsed="false">
      <c r="B5621" s="7" t="s">
        <v>14254</v>
      </c>
      <c r="C5621" s="39" t="n">
        <v>46003</v>
      </c>
      <c r="D5621" s="7" t="s">
        <v>198</v>
      </c>
      <c r="E5621" s="7" t="s">
        <v>158</v>
      </c>
      <c r="H5621" s="41" t="n">
        <v>48.09</v>
      </c>
      <c r="M5621" s="6" t="n">
        <v>1</v>
      </c>
      <c r="N5621" s="43" t="n">
        <f aca="false">M5621*H5621</f>
        <v>48.09</v>
      </c>
      <c r="O5621" s="42" t="n">
        <f aca="false">N5621</f>
        <v>48.09</v>
      </c>
    </row>
    <row r="5622" customFormat="false" ht="15" hidden="false" customHeight="false" outlineLevel="0" collapsed="false">
      <c r="B5622" s="7" t="s">
        <v>14255</v>
      </c>
      <c r="C5622" s="39" t="n">
        <v>46003</v>
      </c>
      <c r="D5622" s="7" t="s">
        <v>214</v>
      </c>
      <c r="E5622" s="7" t="s">
        <v>180</v>
      </c>
      <c r="F5622" s="6" t="n">
        <v>6.85</v>
      </c>
      <c r="G5622" s="6" t="n">
        <v>0</v>
      </c>
      <c r="H5622" s="41" t="n">
        <v>15.67</v>
      </c>
      <c r="I5622" s="43" t="n">
        <f aca="false">F5622*H5622</f>
        <v>107.3395</v>
      </c>
      <c r="J5622" s="43" t="n">
        <f aca="false">G5622*H5622*1.5</f>
        <v>0</v>
      </c>
      <c r="K5622" s="6" t="n">
        <v>23.37</v>
      </c>
      <c r="L5622" s="43" t="n">
        <f aca="false">K5622*'Chart of Accounts'!$E$68</f>
        <v>15.6579</v>
      </c>
      <c r="O5622" s="42" t="n">
        <f aca="false">I5622+J5622+L5622</f>
        <v>122.9974</v>
      </c>
    </row>
    <row r="5623" customFormat="false" ht="15" hidden="false" customHeight="false" outlineLevel="0" collapsed="false">
      <c r="B5623" s="7" t="s">
        <v>14256</v>
      </c>
      <c r="C5623" s="39" t="n">
        <v>46003</v>
      </c>
      <c r="D5623" s="7" t="s">
        <v>209</v>
      </c>
      <c r="E5623" s="7" t="s">
        <v>158</v>
      </c>
      <c r="H5623" s="41" t="n">
        <v>73.58</v>
      </c>
      <c r="M5623" s="6" t="n">
        <v>2</v>
      </c>
      <c r="N5623" s="43" t="n">
        <f aca="false">M5623*H5623</f>
        <v>147.16</v>
      </c>
      <c r="O5623" s="42" t="n">
        <f aca="false">N5623</f>
        <v>147.16</v>
      </c>
    </row>
    <row r="5624" customFormat="false" ht="15" hidden="false" customHeight="false" outlineLevel="0" collapsed="false">
      <c r="B5624" s="7" t="s">
        <v>14257</v>
      </c>
      <c r="C5624" s="39" t="n">
        <v>46003</v>
      </c>
      <c r="D5624" s="7" t="s">
        <v>205</v>
      </c>
      <c r="E5624" s="7" t="s">
        <v>180</v>
      </c>
      <c r="F5624" s="6" t="n">
        <v>3.87</v>
      </c>
      <c r="G5624" s="6" t="n">
        <v>0</v>
      </c>
      <c r="H5624" s="41" t="n">
        <v>16.36</v>
      </c>
      <c r="I5624" s="43" t="n">
        <f aca="false">F5624*H5624</f>
        <v>63.3132</v>
      </c>
      <c r="J5624" s="43" t="n">
        <f aca="false">G5624*H5624*1.5</f>
        <v>0</v>
      </c>
      <c r="K5624" s="6" t="n">
        <v>8.69</v>
      </c>
      <c r="L5624" s="43" t="n">
        <f aca="false">K5624*'Chart of Accounts'!$E$68</f>
        <v>5.8223</v>
      </c>
      <c r="O5624" s="42" t="n">
        <f aca="false">I5624+J5624+L5624</f>
        <v>69.1355</v>
      </c>
    </row>
    <row r="5625" customFormat="false" ht="15" hidden="false" customHeight="false" outlineLevel="0" collapsed="false">
      <c r="B5625" s="7" t="s">
        <v>14258</v>
      </c>
      <c r="C5625" s="39" t="n">
        <v>46003</v>
      </c>
      <c r="D5625" s="7" t="s">
        <v>264</v>
      </c>
      <c r="E5625" s="7" t="s">
        <v>158</v>
      </c>
      <c r="H5625" s="41" t="n">
        <v>55.55</v>
      </c>
      <c r="M5625" s="6" t="n">
        <v>1</v>
      </c>
      <c r="N5625" s="43" t="n">
        <f aca="false">M5625*H5625</f>
        <v>55.55</v>
      </c>
      <c r="O5625" s="42" t="n">
        <f aca="false">N5625</f>
        <v>55.55</v>
      </c>
    </row>
    <row r="5626" customFormat="false" ht="15" hidden="false" customHeight="false" outlineLevel="0" collapsed="false">
      <c r="B5626" s="7" t="s">
        <v>14259</v>
      </c>
      <c r="C5626" s="39" t="n">
        <v>46003</v>
      </c>
      <c r="D5626" s="7" t="s">
        <v>252</v>
      </c>
      <c r="E5626" s="7" t="s">
        <v>158</v>
      </c>
      <c r="H5626" s="41" t="n">
        <v>57.54</v>
      </c>
      <c r="M5626" s="6" t="n">
        <v>1</v>
      </c>
      <c r="N5626" s="43" t="n">
        <f aca="false">M5626*H5626</f>
        <v>57.54</v>
      </c>
      <c r="O5626" s="42" t="n">
        <f aca="false">N5626</f>
        <v>57.54</v>
      </c>
    </row>
    <row r="5627" customFormat="false" ht="15" hidden="false" customHeight="false" outlineLevel="0" collapsed="false">
      <c r="B5627" s="7" t="s">
        <v>14260</v>
      </c>
      <c r="C5627" s="39" t="n">
        <v>46003</v>
      </c>
      <c r="D5627" s="7" t="s">
        <v>184</v>
      </c>
      <c r="E5627" s="7" t="s">
        <v>180</v>
      </c>
      <c r="F5627" s="6" t="n">
        <v>7.87</v>
      </c>
      <c r="G5627" s="6" t="n">
        <v>0</v>
      </c>
      <c r="H5627" s="41" t="n">
        <v>17.34</v>
      </c>
      <c r="I5627" s="43" t="n">
        <f aca="false">F5627*H5627</f>
        <v>136.4658</v>
      </c>
      <c r="J5627" s="43" t="n">
        <f aca="false">G5627*H5627*1.5</f>
        <v>0</v>
      </c>
      <c r="K5627" s="6" t="n">
        <v>18.14</v>
      </c>
      <c r="L5627" s="43" t="n">
        <f aca="false">K5627*'Chart of Accounts'!$E$68</f>
        <v>12.1538</v>
      </c>
      <c r="O5627" s="42" t="n">
        <f aca="false">I5627+J5627+L5627</f>
        <v>148.6196</v>
      </c>
    </row>
    <row r="5628" customFormat="false" ht="15" hidden="false" customHeight="false" outlineLevel="0" collapsed="false">
      <c r="B5628" s="7" t="s">
        <v>14261</v>
      </c>
      <c r="C5628" s="39" t="n">
        <v>46003</v>
      </c>
      <c r="D5628" s="7" t="s">
        <v>216</v>
      </c>
      <c r="E5628" s="7" t="s">
        <v>158</v>
      </c>
      <c r="H5628" s="41" t="n">
        <v>61.79</v>
      </c>
      <c r="M5628" s="6" t="n">
        <v>1</v>
      </c>
      <c r="N5628" s="43" t="n">
        <f aca="false">M5628*H5628</f>
        <v>61.79</v>
      </c>
      <c r="O5628" s="42" t="n">
        <f aca="false">N5628</f>
        <v>61.79</v>
      </c>
    </row>
    <row r="5629" customFormat="false" ht="15" hidden="false" customHeight="false" outlineLevel="0" collapsed="false">
      <c r="B5629" s="7" t="s">
        <v>14262</v>
      </c>
      <c r="C5629" s="39" t="n">
        <v>46003</v>
      </c>
      <c r="D5629" s="7" t="s">
        <v>234</v>
      </c>
      <c r="E5629" s="7" t="s">
        <v>158</v>
      </c>
      <c r="H5629" s="41" t="n">
        <v>89.53</v>
      </c>
      <c r="M5629" s="6" t="n">
        <v>2</v>
      </c>
      <c r="N5629" s="43" t="n">
        <f aca="false">M5629*H5629</f>
        <v>179.06</v>
      </c>
      <c r="O5629" s="42" t="n">
        <f aca="false">N5629</f>
        <v>179.06</v>
      </c>
    </row>
    <row r="5630" customFormat="false" ht="15" hidden="false" customHeight="false" outlineLevel="0" collapsed="false">
      <c r="B5630" s="7" t="s">
        <v>14263</v>
      </c>
      <c r="C5630" s="39" t="n">
        <v>46003</v>
      </c>
      <c r="D5630" s="7" t="s">
        <v>218</v>
      </c>
      <c r="E5630" s="7" t="s">
        <v>180</v>
      </c>
      <c r="F5630" s="6" t="n">
        <v>4.26</v>
      </c>
      <c r="G5630" s="6" t="n">
        <v>0</v>
      </c>
      <c r="H5630" s="41" t="n">
        <v>16.19</v>
      </c>
      <c r="I5630" s="43" t="n">
        <f aca="false">F5630*H5630</f>
        <v>68.9694</v>
      </c>
      <c r="J5630" s="43" t="n">
        <f aca="false">G5630*H5630*1.5</f>
        <v>0</v>
      </c>
      <c r="K5630" s="6" t="n">
        <v>10.71</v>
      </c>
      <c r="L5630" s="43" t="n">
        <f aca="false">K5630*'Chart of Accounts'!$E$68</f>
        <v>7.1757</v>
      </c>
      <c r="O5630" s="42" t="n">
        <f aca="false">I5630+J5630+L5630</f>
        <v>76.1451</v>
      </c>
    </row>
    <row r="5631" customFormat="false" ht="15" hidden="false" customHeight="false" outlineLevel="0" collapsed="false">
      <c r="B5631" s="7" t="s">
        <v>14264</v>
      </c>
      <c r="C5631" s="39" t="n">
        <v>46003</v>
      </c>
      <c r="D5631" s="7" t="s">
        <v>228</v>
      </c>
      <c r="E5631" s="7" t="s">
        <v>158</v>
      </c>
      <c r="H5631" s="41" t="n">
        <v>51.07</v>
      </c>
      <c r="M5631" s="6" t="n">
        <v>2</v>
      </c>
      <c r="N5631" s="43" t="n">
        <f aca="false">M5631*H5631</f>
        <v>102.14</v>
      </c>
      <c r="O5631" s="42" t="n">
        <f aca="false">N5631</f>
        <v>102.14</v>
      </c>
    </row>
    <row r="5632" customFormat="false" ht="15" hidden="false" customHeight="false" outlineLevel="0" collapsed="false">
      <c r="B5632" s="7" t="s">
        <v>14265</v>
      </c>
      <c r="C5632" s="39" t="n">
        <v>46003</v>
      </c>
      <c r="D5632" s="7" t="s">
        <v>220</v>
      </c>
      <c r="E5632" s="7" t="s">
        <v>180</v>
      </c>
      <c r="F5632" s="6" t="n">
        <v>7.21</v>
      </c>
      <c r="G5632" s="6" t="n">
        <v>0</v>
      </c>
      <c r="H5632" s="41" t="n">
        <v>16.43</v>
      </c>
      <c r="I5632" s="43" t="n">
        <f aca="false">F5632*H5632</f>
        <v>118.4603</v>
      </c>
      <c r="J5632" s="43" t="n">
        <f aca="false">G5632*H5632*1.5</f>
        <v>0</v>
      </c>
      <c r="K5632" s="6" t="n">
        <v>16.93</v>
      </c>
      <c r="L5632" s="43" t="n">
        <f aca="false">K5632*'Chart of Accounts'!$E$68</f>
        <v>11.3431</v>
      </c>
      <c r="O5632" s="42" t="n">
        <f aca="false">I5632+J5632+L5632</f>
        <v>129.8034</v>
      </c>
    </row>
    <row r="5633" customFormat="false" ht="15" hidden="false" customHeight="false" outlineLevel="0" collapsed="false">
      <c r="B5633" s="7" t="s">
        <v>14266</v>
      </c>
      <c r="C5633" s="39" t="n">
        <v>46003</v>
      </c>
      <c r="D5633" s="7" t="s">
        <v>236</v>
      </c>
      <c r="E5633" s="7" t="s">
        <v>180</v>
      </c>
      <c r="F5633" s="6" t="n">
        <v>3.03</v>
      </c>
      <c r="G5633" s="6" t="n">
        <v>0</v>
      </c>
      <c r="H5633" s="41" t="n">
        <v>15.49</v>
      </c>
      <c r="I5633" s="43" t="n">
        <f aca="false">F5633*H5633</f>
        <v>46.9347</v>
      </c>
      <c r="J5633" s="43" t="n">
        <f aca="false">G5633*H5633*1.5</f>
        <v>0</v>
      </c>
      <c r="K5633" s="6" t="n">
        <v>7.97</v>
      </c>
      <c r="L5633" s="43" t="n">
        <f aca="false">K5633*'Chart of Accounts'!$E$68</f>
        <v>5.3399</v>
      </c>
      <c r="O5633" s="42" t="n">
        <f aca="false">I5633+J5633+L5633</f>
        <v>52.2746</v>
      </c>
    </row>
    <row r="5634" customFormat="false" ht="15" hidden="false" customHeight="false" outlineLevel="0" collapsed="false">
      <c r="B5634" s="7" t="s">
        <v>14267</v>
      </c>
      <c r="C5634" s="39" t="n">
        <v>46003</v>
      </c>
      <c r="D5634" s="7" t="s">
        <v>177</v>
      </c>
      <c r="E5634" s="7" t="s">
        <v>180</v>
      </c>
      <c r="F5634" s="6" t="n">
        <v>8.86</v>
      </c>
      <c r="G5634" s="6" t="n">
        <v>0</v>
      </c>
      <c r="H5634" s="41" t="n">
        <v>14.56</v>
      </c>
      <c r="I5634" s="43" t="n">
        <f aca="false">F5634*H5634</f>
        <v>129.0016</v>
      </c>
      <c r="J5634" s="43" t="n">
        <f aca="false">G5634*H5634*1.5</f>
        <v>0</v>
      </c>
      <c r="K5634" s="6" t="n">
        <v>31.49</v>
      </c>
      <c r="L5634" s="43" t="n">
        <f aca="false">K5634*'Chart of Accounts'!$E$68</f>
        <v>21.0983</v>
      </c>
      <c r="O5634" s="42" t="n">
        <f aca="false">I5634+J5634+L5634</f>
        <v>150.0999</v>
      </c>
    </row>
    <row r="5635" customFormat="false" ht="15" hidden="false" customHeight="false" outlineLevel="0" collapsed="false">
      <c r="B5635" s="7" t="s">
        <v>14268</v>
      </c>
      <c r="C5635" s="39" t="n">
        <v>46003</v>
      </c>
      <c r="D5635" s="7" t="s">
        <v>242</v>
      </c>
      <c r="E5635" s="7" t="s">
        <v>180</v>
      </c>
      <c r="F5635" s="6" t="n">
        <v>7.52</v>
      </c>
      <c r="G5635" s="6" t="n">
        <v>0</v>
      </c>
      <c r="H5635" s="41" t="n">
        <v>17.99</v>
      </c>
      <c r="I5635" s="43" t="n">
        <f aca="false">F5635*H5635</f>
        <v>135.2848</v>
      </c>
      <c r="J5635" s="43" t="n">
        <f aca="false">G5635*H5635*1.5</f>
        <v>0</v>
      </c>
      <c r="K5635" s="6" t="n">
        <v>19.78</v>
      </c>
      <c r="L5635" s="43" t="n">
        <f aca="false">K5635*'Chart of Accounts'!$E$68</f>
        <v>13.2526</v>
      </c>
      <c r="O5635" s="42" t="n">
        <f aca="false">I5635+J5635+L5635</f>
        <v>148.5374</v>
      </c>
    </row>
    <row r="5636" customFormat="false" ht="15" hidden="false" customHeight="false" outlineLevel="0" collapsed="false">
      <c r="B5636" s="7" t="s">
        <v>14269</v>
      </c>
      <c r="C5636" s="39" t="n">
        <v>46003</v>
      </c>
      <c r="D5636" s="7" t="s">
        <v>244</v>
      </c>
      <c r="E5636" s="7" t="s">
        <v>180</v>
      </c>
      <c r="F5636" s="6" t="n">
        <v>4.23</v>
      </c>
      <c r="G5636" s="6" t="n">
        <v>0</v>
      </c>
      <c r="H5636" s="41" t="n">
        <v>16.39</v>
      </c>
      <c r="I5636" s="43" t="n">
        <f aca="false">F5636*H5636</f>
        <v>69.3297</v>
      </c>
      <c r="J5636" s="43" t="n">
        <f aca="false">G5636*H5636*1.5</f>
        <v>0</v>
      </c>
      <c r="K5636" s="6" t="n">
        <v>10.39</v>
      </c>
      <c r="L5636" s="43" t="n">
        <f aca="false">K5636*'Chart of Accounts'!$E$68</f>
        <v>6.9613</v>
      </c>
      <c r="O5636" s="42" t="n">
        <f aca="false">I5636+J5636+L5636</f>
        <v>76.291</v>
      </c>
    </row>
    <row r="5637" customFormat="false" ht="15" hidden="false" customHeight="false" outlineLevel="0" collapsed="false">
      <c r="B5637" s="7" t="s">
        <v>14270</v>
      </c>
      <c r="C5637" s="39" t="n">
        <v>46003</v>
      </c>
      <c r="D5637" s="7" t="s">
        <v>254</v>
      </c>
      <c r="E5637" s="7" t="s">
        <v>180</v>
      </c>
      <c r="F5637" s="6" t="n">
        <v>5.559</v>
      </c>
      <c r="G5637" s="6" t="n">
        <v>1.911</v>
      </c>
      <c r="H5637" s="41" t="n">
        <v>17.1</v>
      </c>
      <c r="I5637" s="43" t="n">
        <f aca="false">F5637*H5637</f>
        <v>95.0589</v>
      </c>
      <c r="J5637" s="43" t="n">
        <f aca="false">G5637*H5637*1.5</f>
        <v>49.01715</v>
      </c>
      <c r="K5637" s="6" t="n">
        <v>18.51</v>
      </c>
      <c r="L5637" s="43" t="n">
        <f aca="false">K5637*'Chart of Accounts'!$E$68</f>
        <v>12.4017</v>
      </c>
      <c r="O5637" s="42" t="n">
        <f aca="false">I5637+J5637+L5637</f>
        <v>156.47775</v>
      </c>
    </row>
    <row r="5638" customFormat="false" ht="15" hidden="false" customHeight="false" outlineLevel="0" collapsed="false">
      <c r="B5638" s="7" t="s">
        <v>14271</v>
      </c>
      <c r="C5638" s="39" t="n">
        <v>46003</v>
      </c>
      <c r="D5638" s="7" t="s">
        <v>201</v>
      </c>
      <c r="E5638" s="7" t="s">
        <v>180</v>
      </c>
      <c r="F5638" s="6" t="n">
        <v>3.63</v>
      </c>
      <c r="G5638" s="6" t="n">
        <v>0</v>
      </c>
      <c r="H5638" s="41" t="n">
        <v>15.19</v>
      </c>
      <c r="I5638" s="43" t="n">
        <f aca="false">F5638*H5638</f>
        <v>55.1397</v>
      </c>
      <c r="J5638" s="43" t="n">
        <f aca="false">G5638*H5638*1.5</f>
        <v>0</v>
      </c>
      <c r="K5638" s="6" t="n">
        <v>12.92</v>
      </c>
      <c r="L5638" s="43" t="n">
        <f aca="false">K5638*'Chart of Accounts'!$E$68</f>
        <v>8.6564</v>
      </c>
      <c r="O5638" s="42" t="n">
        <f aca="false">I5638+J5638+L5638</f>
        <v>63.7961</v>
      </c>
    </row>
    <row r="5639" customFormat="false" ht="15" hidden="false" customHeight="false" outlineLevel="0" collapsed="false">
      <c r="B5639" s="7" t="s">
        <v>14272</v>
      </c>
      <c r="C5639" s="39" t="n">
        <v>46003</v>
      </c>
      <c r="D5639" s="7" t="s">
        <v>222</v>
      </c>
      <c r="E5639" s="7" t="s">
        <v>180</v>
      </c>
      <c r="F5639" s="6" t="n">
        <v>10.263</v>
      </c>
      <c r="G5639" s="6" t="n">
        <v>0.877</v>
      </c>
      <c r="H5639" s="41" t="n">
        <v>17.84</v>
      </c>
      <c r="I5639" s="43" t="n">
        <f aca="false">F5639*H5639</f>
        <v>183.09192</v>
      </c>
      <c r="J5639" s="43" t="n">
        <f aca="false">G5639*H5639*1.5</f>
        <v>23.46852</v>
      </c>
      <c r="K5639" s="6" t="n">
        <v>32.3</v>
      </c>
      <c r="L5639" s="43" t="n">
        <f aca="false">K5639*'Chart of Accounts'!$E$68</f>
        <v>21.641</v>
      </c>
      <c r="O5639" s="42" t="n">
        <f aca="false">I5639+J5639+L5639</f>
        <v>228.20144</v>
      </c>
    </row>
    <row r="5640" customFormat="false" ht="15" hidden="false" customHeight="false" outlineLevel="0" collapsed="false">
      <c r="B5640" s="7" t="s">
        <v>14273</v>
      </c>
      <c r="C5640" s="39" t="n">
        <v>46003</v>
      </c>
      <c r="D5640" s="7" t="s">
        <v>258</v>
      </c>
      <c r="E5640" s="7" t="s">
        <v>158</v>
      </c>
      <c r="H5640" s="41" t="n">
        <v>61.61</v>
      </c>
      <c r="M5640" s="6" t="n">
        <v>1</v>
      </c>
      <c r="N5640" s="43" t="n">
        <f aca="false">M5640*H5640</f>
        <v>61.61</v>
      </c>
      <c r="O5640" s="42" t="n">
        <f aca="false">N5640</f>
        <v>61.61</v>
      </c>
    </row>
    <row r="5641" customFormat="false" ht="15" hidden="false" customHeight="false" outlineLevel="0" collapsed="false">
      <c r="B5641" s="7" t="s">
        <v>14274</v>
      </c>
      <c r="C5641" s="39" t="n">
        <v>46003</v>
      </c>
      <c r="D5641" s="7" t="s">
        <v>232</v>
      </c>
      <c r="E5641" s="7" t="s">
        <v>180</v>
      </c>
      <c r="F5641" s="6" t="n">
        <v>4.55</v>
      </c>
      <c r="G5641" s="6" t="n">
        <v>0</v>
      </c>
      <c r="H5641" s="41" t="n">
        <v>16.17</v>
      </c>
      <c r="I5641" s="43" t="n">
        <f aca="false">F5641*H5641</f>
        <v>73.5735</v>
      </c>
      <c r="J5641" s="43" t="n">
        <f aca="false">G5641*H5641*1.5</f>
        <v>0</v>
      </c>
      <c r="K5641" s="6" t="n">
        <v>11.01</v>
      </c>
      <c r="L5641" s="43" t="n">
        <f aca="false">K5641*'Chart of Accounts'!$E$68</f>
        <v>7.3767</v>
      </c>
      <c r="O5641" s="42" t="n">
        <f aca="false">I5641+J5641+L5641</f>
        <v>80.9502</v>
      </c>
    </row>
    <row r="5642" customFormat="false" ht="15" hidden="false" customHeight="false" outlineLevel="0" collapsed="false">
      <c r="B5642" s="7" t="s">
        <v>14275</v>
      </c>
      <c r="C5642" s="39" t="n">
        <v>46003</v>
      </c>
      <c r="D5642" s="7" t="s">
        <v>224</v>
      </c>
      <c r="E5642" s="7" t="s">
        <v>180</v>
      </c>
      <c r="F5642" s="6" t="n">
        <v>4.68</v>
      </c>
      <c r="G5642" s="6" t="n">
        <v>0</v>
      </c>
      <c r="H5642" s="41" t="n">
        <v>14.93</v>
      </c>
      <c r="I5642" s="43" t="n">
        <f aca="false">F5642*H5642</f>
        <v>69.8724</v>
      </c>
      <c r="J5642" s="43" t="n">
        <f aca="false">G5642*H5642*1.5</f>
        <v>0</v>
      </c>
      <c r="K5642" s="6" t="n">
        <v>10.78</v>
      </c>
      <c r="L5642" s="43" t="n">
        <f aca="false">K5642*'Chart of Accounts'!$E$68</f>
        <v>7.2226</v>
      </c>
      <c r="O5642" s="42" t="n">
        <f aca="false">I5642+J5642+L5642</f>
        <v>77.095</v>
      </c>
    </row>
    <row r="5643" customFormat="false" ht="15" hidden="false" customHeight="false" outlineLevel="0" collapsed="false">
      <c r="B5643" s="7" t="s">
        <v>14276</v>
      </c>
      <c r="C5643" s="39" t="n">
        <v>46003</v>
      </c>
      <c r="D5643" s="7" t="s">
        <v>230</v>
      </c>
      <c r="E5643" s="7" t="s">
        <v>158</v>
      </c>
      <c r="H5643" s="41" t="n">
        <v>48.78</v>
      </c>
      <c r="M5643" s="6" t="n">
        <v>1</v>
      </c>
      <c r="N5643" s="43" t="n">
        <f aca="false">M5643*H5643</f>
        <v>48.78</v>
      </c>
      <c r="O5643" s="42" t="n">
        <f aca="false">N5643</f>
        <v>48.78</v>
      </c>
    </row>
    <row r="5644" customFormat="false" ht="15" hidden="false" customHeight="false" outlineLevel="0" collapsed="false">
      <c r="B5644" s="7" t="s">
        <v>14277</v>
      </c>
      <c r="C5644" s="39" t="n">
        <v>46003</v>
      </c>
      <c r="D5644" s="7" t="s">
        <v>238</v>
      </c>
      <c r="E5644" s="7" t="s">
        <v>180</v>
      </c>
      <c r="F5644" s="6" t="n">
        <v>4.15</v>
      </c>
      <c r="G5644" s="6" t="n">
        <v>0</v>
      </c>
      <c r="H5644" s="41" t="n">
        <v>15.85</v>
      </c>
      <c r="I5644" s="43" t="n">
        <f aca="false">F5644*H5644</f>
        <v>65.7775</v>
      </c>
      <c r="J5644" s="43" t="n">
        <f aca="false">G5644*H5644*1.5</f>
        <v>0</v>
      </c>
      <c r="K5644" s="6" t="n">
        <v>14.9</v>
      </c>
      <c r="L5644" s="43" t="n">
        <f aca="false">K5644*'Chart of Accounts'!$E$68</f>
        <v>9.983</v>
      </c>
      <c r="O5644" s="42" t="n">
        <f aca="false">I5644+J5644+L5644</f>
        <v>75.7605</v>
      </c>
    </row>
    <row r="5645" customFormat="false" ht="15" hidden="false" customHeight="false" outlineLevel="0" collapsed="false">
      <c r="B5645" s="7" t="s">
        <v>14278</v>
      </c>
      <c r="C5645" s="39" t="n">
        <v>46003</v>
      </c>
      <c r="D5645" s="7" t="s">
        <v>196</v>
      </c>
      <c r="E5645" s="7" t="s">
        <v>180</v>
      </c>
      <c r="F5645" s="6" t="n">
        <v>4.18</v>
      </c>
      <c r="G5645" s="6" t="n">
        <v>0</v>
      </c>
      <c r="H5645" s="41" t="n">
        <v>15.05</v>
      </c>
      <c r="I5645" s="43" t="n">
        <f aca="false">F5645*H5645</f>
        <v>62.909</v>
      </c>
      <c r="J5645" s="43" t="n">
        <f aca="false">G5645*H5645*1.5</f>
        <v>0</v>
      </c>
      <c r="K5645" s="6" t="n">
        <v>12.73</v>
      </c>
      <c r="L5645" s="43" t="n">
        <f aca="false">K5645*'Chart of Accounts'!$E$68</f>
        <v>8.5291</v>
      </c>
      <c r="O5645" s="42" t="n">
        <f aca="false">I5645+J5645+L5645</f>
        <v>71.4381</v>
      </c>
    </row>
    <row r="5646" customFormat="false" ht="15" hidden="false" customHeight="false" outlineLevel="0" collapsed="false">
      <c r="B5646" s="7" t="s">
        <v>14279</v>
      </c>
      <c r="C5646" s="39" t="n">
        <v>46003</v>
      </c>
      <c r="D5646" s="7" t="s">
        <v>246</v>
      </c>
      <c r="E5646" s="7" t="s">
        <v>180</v>
      </c>
      <c r="F5646" s="6" t="n">
        <v>3.88</v>
      </c>
      <c r="G5646" s="6" t="n">
        <v>0</v>
      </c>
      <c r="H5646" s="41" t="n">
        <v>16.48</v>
      </c>
      <c r="I5646" s="43" t="n">
        <f aca="false">F5646*H5646</f>
        <v>63.9424</v>
      </c>
      <c r="J5646" s="43" t="n">
        <f aca="false">G5646*H5646*1.5</f>
        <v>0</v>
      </c>
      <c r="K5646" s="6" t="n">
        <v>9.01</v>
      </c>
      <c r="L5646" s="43" t="n">
        <f aca="false">K5646*'Chart of Accounts'!$E$68</f>
        <v>6.0367</v>
      </c>
      <c r="O5646" s="42" t="n">
        <f aca="false">I5646+J5646+L5646</f>
        <v>69.9791</v>
      </c>
    </row>
    <row r="5647" customFormat="false" ht="15" hidden="false" customHeight="false" outlineLevel="0" collapsed="false">
      <c r="B5647" s="7" t="s">
        <v>14280</v>
      </c>
      <c r="C5647" s="39" t="n">
        <v>46003</v>
      </c>
      <c r="D5647" s="7" t="s">
        <v>203</v>
      </c>
      <c r="E5647" s="7" t="s">
        <v>158</v>
      </c>
      <c r="H5647" s="41" t="n">
        <v>49.43</v>
      </c>
      <c r="M5647" s="6" t="n">
        <v>1</v>
      </c>
      <c r="N5647" s="43" t="n">
        <f aca="false">M5647*H5647</f>
        <v>49.43</v>
      </c>
      <c r="O5647" s="42" t="n">
        <f aca="false">N5647</f>
        <v>49.43</v>
      </c>
    </row>
    <row r="5648" customFormat="false" ht="15" hidden="false" customHeight="false" outlineLevel="0" collapsed="false">
      <c r="B5648" s="7" t="s">
        <v>14281</v>
      </c>
      <c r="C5648" s="39" t="n">
        <v>46003</v>
      </c>
      <c r="D5648" s="7" t="s">
        <v>260</v>
      </c>
      <c r="E5648" s="7" t="s">
        <v>158</v>
      </c>
      <c r="H5648" s="41" t="n">
        <v>79.8</v>
      </c>
      <c r="M5648" s="6" t="n">
        <v>1</v>
      </c>
      <c r="N5648" s="43" t="n">
        <f aca="false">M5648*H5648</f>
        <v>79.8</v>
      </c>
      <c r="O5648" s="42" t="n">
        <f aca="false">N5648</f>
        <v>79.8</v>
      </c>
    </row>
    <row r="5649" customFormat="false" ht="15" hidden="false" customHeight="false" outlineLevel="0" collapsed="false">
      <c r="B5649" s="7" t="s">
        <v>14282</v>
      </c>
      <c r="C5649" s="39" t="n">
        <v>46004</v>
      </c>
      <c r="D5649" s="7" t="s">
        <v>224</v>
      </c>
      <c r="E5649" s="7" t="s">
        <v>180</v>
      </c>
      <c r="F5649" s="6" t="n">
        <v>3.64</v>
      </c>
      <c r="G5649" s="6" t="n">
        <v>0</v>
      </c>
      <c r="H5649" s="41" t="n">
        <v>14.93</v>
      </c>
      <c r="I5649" s="43" t="n">
        <f aca="false">F5649*H5649</f>
        <v>54.3452</v>
      </c>
      <c r="J5649" s="43" t="n">
        <f aca="false">G5649*H5649*1.5</f>
        <v>0</v>
      </c>
      <c r="K5649" s="6" t="n">
        <v>12.41</v>
      </c>
      <c r="L5649" s="43" t="n">
        <f aca="false">K5649*'Chart of Accounts'!$E$68</f>
        <v>8.3147</v>
      </c>
      <c r="O5649" s="42" t="n">
        <f aca="false">I5649+J5649+L5649</f>
        <v>62.6599</v>
      </c>
    </row>
    <row r="5650" customFormat="false" ht="15" hidden="false" customHeight="false" outlineLevel="0" collapsed="false">
      <c r="B5650" s="7" t="s">
        <v>14283</v>
      </c>
      <c r="C5650" s="39" t="n">
        <v>46004</v>
      </c>
      <c r="D5650" s="7" t="s">
        <v>218</v>
      </c>
      <c r="E5650" s="7" t="s">
        <v>180</v>
      </c>
      <c r="F5650" s="6" t="n">
        <v>4.02</v>
      </c>
      <c r="G5650" s="6" t="n">
        <v>0</v>
      </c>
      <c r="H5650" s="41" t="n">
        <v>16.19</v>
      </c>
      <c r="I5650" s="43" t="n">
        <f aca="false">F5650*H5650</f>
        <v>65.0838</v>
      </c>
      <c r="J5650" s="43" t="n">
        <f aca="false">G5650*H5650*1.5</f>
        <v>0</v>
      </c>
      <c r="K5650" s="6" t="n">
        <v>11.8</v>
      </c>
      <c r="L5650" s="43" t="n">
        <f aca="false">K5650*'Chart of Accounts'!$E$68</f>
        <v>7.906</v>
      </c>
      <c r="O5650" s="42" t="n">
        <f aca="false">I5650+J5650+L5650</f>
        <v>72.9898</v>
      </c>
    </row>
    <row r="5651" customFormat="false" ht="15" hidden="false" customHeight="false" outlineLevel="0" collapsed="false">
      <c r="B5651" s="7" t="s">
        <v>14284</v>
      </c>
      <c r="C5651" s="39" t="n">
        <v>46004</v>
      </c>
      <c r="D5651" s="7" t="s">
        <v>250</v>
      </c>
      <c r="E5651" s="7" t="s">
        <v>180</v>
      </c>
      <c r="F5651" s="6" t="n">
        <v>4.02</v>
      </c>
      <c r="G5651" s="6" t="n">
        <v>0</v>
      </c>
      <c r="H5651" s="41" t="n">
        <v>16.88</v>
      </c>
      <c r="I5651" s="43" t="n">
        <f aca="false">F5651*H5651</f>
        <v>67.8576</v>
      </c>
      <c r="J5651" s="43" t="n">
        <f aca="false">G5651*H5651*1.5</f>
        <v>0</v>
      </c>
      <c r="K5651" s="6" t="n">
        <v>11.06</v>
      </c>
      <c r="L5651" s="43" t="n">
        <f aca="false">K5651*'Chart of Accounts'!$E$68</f>
        <v>7.4102</v>
      </c>
      <c r="O5651" s="42" t="n">
        <f aca="false">I5651+J5651+L5651</f>
        <v>75.2678</v>
      </c>
    </row>
    <row r="5652" customFormat="false" ht="15" hidden="false" customHeight="false" outlineLevel="0" collapsed="false">
      <c r="B5652" s="7" t="s">
        <v>14285</v>
      </c>
      <c r="C5652" s="39" t="n">
        <v>46004</v>
      </c>
      <c r="D5652" s="7" t="s">
        <v>196</v>
      </c>
      <c r="E5652" s="7" t="s">
        <v>180</v>
      </c>
      <c r="F5652" s="6" t="n">
        <v>3.83</v>
      </c>
      <c r="G5652" s="6" t="n">
        <v>0</v>
      </c>
      <c r="H5652" s="41" t="n">
        <v>15.05</v>
      </c>
      <c r="I5652" s="43" t="n">
        <f aca="false">F5652*H5652</f>
        <v>57.6415</v>
      </c>
      <c r="J5652" s="43" t="n">
        <f aca="false">G5652*H5652*1.5</f>
        <v>0</v>
      </c>
      <c r="K5652" s="6" t="n">
        <v>12.72</v>
      </c>
      <c r="L5652" s="43" t="n">
        <f aca="false">K5652*'Chart of Accounts'!$E$68</f>
        <v>8.5224</v>
      </c>
      <c r="O5652" s="42" t="n">
        <f aca="false">I5652+J5652+L5652</f>
        <v>66.1639</v>
      </c>
    </row>
    <row r="5653" customFormat="false" ht="15" hidden="false" customHeight="false" outlineLevel="0" collapsed="false">
      <c r="B5653" s="7" t="s">
        <v>14286</v>
      </c>
      <c r="C5653" s="39" t="n">
        <v>46004</v>
      </c>
      <c r="D5653" s="7" t="s">
        <v>222</v>
      </c>
      <c r="E5653" s="7" t="s">
        <v>180</v>
      </c>
      <c r="F5653" s="6" t="n">
        <v>3.363</v>
      </c>
      <c r="G5653" s="6" t="n">
        <v>0.287</v>
      </c>
      <c r="H5653" s="41" t="n">
        <v>17.84</v>
      </c>
      <c r="I5653" s="43" t="n">
        <f aca="false">F5653*H5653</f>
        <v>59.99592</v>
      </c>
      <c r="J5653" s="43" t="n">
        <f aca="false">G5653*H5653*1.5</f>
        <v>7.68012</v>
      </c>
      <c r="K5653" s="6" t="n">
        <v>9.99</v>
      </c>
      <c r="L5653" s="43" t="n">
        <f aca="false">K5653*'Chart of Accounts'!$E$68</f>
        <v>6.6933</v>
      </c>
      <c r="O5653" s="42" t="n">
        <f aca="false">I5653+J5653+L5653</f>
        <v>74.36934</v>
      </c>
    </row>
    <row r="5654" customFormat="false" ht="15" hidden="false" customHeight="false" outlineLevel="0" collapsed="false">
      <c r="B5654" s="7" t="s">
        <v>14287</v>
      </c>
      <c r="C5654" s="39" t="n">
        <v>46004</v>
      </c>
      <c r="D5654" s="7" t="s">
        <v>242</v>
      </c>
      <c r="E5654" s="7" t="s">
        <v>180</v>
      </c>
      <c r="F5654" s="6" t="n">
        <v>3.69</v>
      </c>
      <c r="G5654" s="6" t="n">
        <v>0</v>
      </c>
      <c r="H5654" s="41" t="n">
        <v>17.99</v>
      </c>
      <c r="I5654" s="43" t="n">
        <f aca="false">F5654*H5654</f>
        <v>66.3831</v>
      </c>
      <c r="J5654" s="43" t="n">
        <f aca="false">G5654*H5654*1.5</f>
        <v>0</v>
      </c>
      <c r="K5654" s="6" t="n">
        <v>12.35</v>
      </c>
      <c r="L5654" s="43" t="n">
        <f aca="false">K5654*'Chart of Accounts'!$E$68</f>
        <v>8.2745</v>
      </c>
      <c r="O5654" s="42" t="n">
        <f aca="false">I5654+J5654+L5654</f>
        <v>74.6576</v>
      </c>
    </row>
    <row r="5655" customFormat="false" ht="15" hidden="false" customHeight="false" outlineLevel="0" collapsed="false">
      <c r="B5655" s="7" t="s">
        <v>14288</v>
      </c>
      <c r="C5655" s="39" t="n">
        <v>46004</v>
      </c>
      <c r="D5655" s="7" t="s">
        <v>254</v>
      </c>
      <c r="E5655" s="7" t="s">
        <v>180</v>
      </c>
      <c r="F5655" s="6" t="n">
        <v>3.185</v>
      </c>
      <c r="G5655" s="6" t="n">
        <v>1.095</v>
      </c>
      <c r="H5655" s="41" t="n">
        <v>17.1</v>
      </c>
      <c r="I5655" s="43" t="n">
        <f aca="false">F5655*H5655</f>
        <v>54.4635</v>
      </c>
      <c r="J5655" s="43" t="n">
        <f aca="false">G5655*H5655*1.5</f>
        <v>28.08675</v>
      </c>
      <c r="K5655" s="6" t="n">
        <v>14.35</v>
      </c>
      <c r="L5655" s="43" t="n">
        <f aca="false">K5655*'Chart of Accounts'!$E$68</f>
        <v>9.6145</v>
      </c>
      <c r="O5655" s="42" t="n">
        <f aca="false">I5655+J5655+L5655</f>
        <v>92.16475</v>
      </c>
    </row>
    <row r="5656" customFormat="false" ht="15" hidden="false" customHeight="false" outlineLevel="0" collapsed="false">
      <c r="B5656" s="7" t="s">
        <v>14289</v>
      </c>
      <c r="C5656" s="39" t="n">
        <v>46005</v>
      </c>
      <c r="D5656" s="7" t="s">
        <v>246</v>
      </c>
      <c r="E5656" s="7" t="s">
        <v>180</v>
      </c>
      <c r="F5656" s="6" t="n">
        <v>3.88</v>
      </c>
      <c r="G5656" s="6" t="n">
        <v>0</v>
      </c>
      <c r="H5656" s="41" t="n">
        <v>16.48</v>
      </c>
      <c r="I5656" s="43" t="n">
        <f aca="false">F5656*H5656</f>
        <v>63.9424</v>
      </c>
      <c r="J5656" s="43" t="n">
        <f aca="false">G5656*H5656*1.5</f>
        <v>0</v>
      </c>
      <c r="K5656" s="6" t="n">
        <v>13.02</v>
      </c>
      <c r="L5656" s="43" t="n">
        <f aca="false">K5656*'Chart of Accounts'!$E$68</f>
        <v>8.7234</v>
      </c>
      <c r="O5656" s="42" t="n">
        <f aca="false">I5656+J5656+L5656</f>
        <v>72.6658</v>
      </c>
    </row>
    <row r="5657" customFormat="false" ht="15" hidden="false" customHeight="false" outlineLevel="0" collapsed="false">
      <c r="B5657" s="7" t="s">
        <v>14290</v>
      </c>
      <c r="C5657" s="39" t="n">
        <v>46005</v>
      </c>
      <c r="D5657" s="7" t="s">
        <v>218</v>
      </c>
      <c r="E5657" s="7" t="s">
        <v>180</v>
      </c>
      <c r="F5657" s="6" t="n">
        <v>4.13</v>
      </c>
      <c r="G5657" s="6" t="n">
        <v>0</v>
      </c>
      <c r="H5657" s="41" t="n">
        <v>16.19</v>
      </c>
      <c r="I5657" s="43" t="n">
        <f aca="false">F5657*H5657</f>
        <v>66.8647</v>
      </c>
      <c r="J5657" s="43" t="n">
        <f aca="false">G5657*H5657*1.5</f>
        <v>0</v>
      </c>
      <c r="K5657" s="6" t="n">
        <v>13.16</v>
      </c>
      <c r="L5657" s="43" t="n">
        <f aca="false">K5657*'Chart of Accounts'!$E$68</f>
        <v>8.8172</v>
      </c>
      <c r="O5657" s="42" t="n">
        <f aca="false">I5657+J5657+L5657</f>
        <v>75.6819</v>
      </c>
    </row>
    <row r="5658" customFormat="false" ht="15" hidden="false" customHeight="false" outlineLevel="0" collapsed="false">
      <c r="B5658" s="7" t="s">
        <v>14291</v>
      </c>
      <c r="C5658" s="39" t="n">
        <v>46005</v>
      </c>
      <c r="D5658" s="7" t="s">
        <v>214</v>
      </c>
      <c r="E5658" s="7" t="s">
        <v>180</v>
      </c>
      <c r="F5658" s="6" t="n">
        <v>3.61</v>
      </c>
      <c r="G5658" s="6" t="n">
        <v>0</v>
      </c>
      <c r="H5658" s="41" t="n">
        <v>15.67</v>
      </c>
      <c r="I5658" s="43" t="n">
        <f aca="false">F5658*H5658</f>
        <v>56.5687</v>
      </c>
      <c r="J5658" s="43" t="n">
        <f aca="false">G5658*H5658*1.5</f>
        <v>0</v>
      </c>
      <c r="K5658" s="6" t="n">
        <v>8.04</v>
      </c>
      <c r="L5658" s="43" t="n">
        <f aca="false">K5658*'Chart of Accounts'!$E$68</f>
        <v>5.3868</v>
      </c>
      <c r="O5658" s="42" t="n">
        <f aca="false">I5658+J5658+L5658</f>
        <v>61.9555</v>
      </c>
    </row>
    <row r="5659" customFormat="false" ht="15" hidden="false" customHeight="false" outlineLevel="0" collapsed="false">
      <c r="B5659" s="7" t="s">
        <v>14292</v>
      </c>
      <c r="C5659" s="39" t="n">
        <v>46005</v>
      </c>
      <c r="D5659" s="7" t="s">
        <v>196</v>
      </c>
      <c r="E5659" s="7" t="s">
        <v>180</v>
      </c>
      <c r="F5659" s="6" t="n">
        <v>4.15</v>
      </c>
      <c r="G5659" s="6" t="n">
        <v>0</v>
      </c>
      <c r="H5659" s="41" t="n">
        <v>15.05</v>
      </c>
      <c r="I5659" s="43" t="n">
        <f aca="false">F5659*H5659</f>
        <v>62.4575</v>
      </c>
      <c r="J5659" s="43" t="n">
        <f aca="false">G5659*H5659*1.5</f>
        <v>0</v>
      </c>
      <c r="K5659" s="6" t="n">
        <v>14.01</v>
      </c>
      <c r="L5659" s="43" t="n">
        <f aca="false">K5659*'Chart of Accounts'!$E$68</f>
        <v>9.3867</v>
      </c>
      <c r="O5659" s="42" t="n">
        <f aca="false">I5659+J5659+L5659</f>
        <v>71.8442</v>
      </c>
    </row>
    <row r="5660" customFormat="false" ht="15" hidden="false" customHeight="false" outlineLevel="0" collapsed="false">
      <c r="B5660" s="7" t="s">
        <v>14293</v>
      </c>
      <c r="C5660" s="39" t="n">
        <v>46005</v>
      </c>
      <c r="D5660" s="7" t="s">
        <v>222</v>
      </c>
      <c r="E5660" s="7" t="s">
        <v>180</v>
      </c>
      <c r="F5660" s="6" t="n">
        <v>3.62</v>
      </c>
      <c r="G5660" s="6" t="n">
        <v>0.31</v>
      </c>
      <c r="H5660" s="41" t="n">
        <v>17.84</v>
      </c>
      <c r="I5660" s="43" t="n">
        <f aca="false">F5660*H5660</f>
        <v>64.5808</v>
      </c>
      <c r="J5660" s="43" t="n">
        <f aca="false">G5660*H5660*1.5</f>
        <v>8.2956</v>
      </c>
      <c r="K5660" s="6" t="n">
        <v>14.04</v>
      </c>
      <c r="L5660" s="43" t="n">
        <f aca="false">K5660*'Chart of Accounts'!$E$68</f>
        <v>9.4068</v>
      </c>
      <c r="O5660" s="42" t="n">
        <f aca="false">I5660+J5660+L5660</f>
        <v>82.2832</v>
      </c>
    </row>
    <row r="5661" customFormat="false" ht="15" hidden="false" customHeight="false" outlineLevel="0" collapsed="false">
      <c r="B5661" s="7" t="s">
        <v>14294</v>
      </c>
      <c r="C5661" s="39" t="n">
        <v>46005</v>
      </c>
      <c r="D5661" s="7" t="s">
        <v>242</v>
      </c>
      <c r="E5661" s="7" t="s">
        <v>180</v>
      </c>
      <c r="F5661" s="6" t="n">
        <v>3.76</v>
      </c>
      <c r="G5661" s="6" t="n">
        <v>0</v>
      </c>
      <c r="H5661" s="41" t="n">
        <v>17.99</v>
      </c>
      <c r="I5661" s="43" t="n">
        <f aca="false">F5661*H5661</f>
        <v>67.6424</v>
      </c>
      <c r="J5661" s="43" t="n">
        <f aca="false">G5661*H5661*1.5</f>
        <v>0</v>
      </c>
      <c r="K5661" s="6" t="n">
        <v>11.74</v>
      </c>
      <c r="L5661" s="43" t="n">
        <f aca="false">K5661*'Chart of Accounts'!$E$68</f>
        <v>7.8658</v>
      </c>
      <c r="O5661" s="42" t="n">
        <f aca="false">I5661+J5661+L5661</f>
        <v>75.5082</v>
      </c>
    </row>
    <row r="5662" customFormat="false" ht="15" hidden="false" customHeight="false" outlineLevel="0" collapsed="false">
      <c r="B5662" s="7" t="s">
        <v>14295</v>
      </c>
      <c r="C5662" s="39" t="n">
        <v>46005</v>
      </c>
      <c r="D5662" s="7" t="s">
        <v>254</v>
      </c>
      <c r="E5662" s="7" t="s">
        <v>180</v>
      </c>
      <c r="F5662" s="6" t="n">
        <v>3.26</v>
      </c>
      <c r="G5662" s="6" t="n">
        <v>1.12</v>
      </c>
      <c r="H5662" s="41" t="n">
        <v>17.1</v>
      </c>
      <c r="I5662" s="43" t="n">
        <f aca="false">F5662*H5662</f>
        <v>55.746</v>
      </c>
      <c r="J5662" s="43" t="n">
        <f aca="false">G5662*H5662*1.5</f>
        <v>28.728</v>
      </c>
      <c r="K5662" s="6" t="n">
        <v>13.14</v>
      </c>
      <c r="L5662" s="43" t="n">
        <f aca="false">K5662*'Chart of Accounts'!$E$68</f>
        <v>8.8038</v>
      </c>
      <c r="O5662" s="42" t="n">
        <f aca="false">I5662+J5662+L5662</f>
        <v>93.2778</v>
      </c>
    </row>
    <row r="5663" customFormat="false" ht="15" hidden="false" customHeight="false" outlineLevel="0" collapsed="false">
      <c r="B5663" s="7" t="s">
        <v>14296</v>
      </c>
      <c r="C5663" s="39" t="n">
        <v>46006</v>
      </c>
      <c r="D5663" s="7" t="s">
        <v>238</v>
      </c>
      <c r="E5663" s="7" t="s">
        <v>180</v>
      </c>
      <c r="F5663" s="6" t="n">
        <v>11.79</v>
      </c>
      <c r="G5663" s="6" t="n">
        <v>0</v>
      </c>
      <c r="H5663" s="41" t="n">
        <v>15.85</v>
      </c>
      <c r="I5663" s="43" t="n">
        <f aca="false">F5663*H5663</f>
        <v>186.8715</v>
      </c>
      <c r="J5663" s="43" t="n">
        <f aca="false">G5663*H5663*1.5</f>
        <v>0</v>
      </c>
      <c r="K5663" s="6" t="n">
        <v>27.42</v>
      </c>
      <c r="L5663" s="43" t="n">
        <f aca="false">K5663*'Chart of Accounts'!$E$68</f>
        <v>18.3714</v>
      </c>
      <c r="O5663" s="42" t="n">
        <f aca="false">I5663+J5663+L5663</f>
        <v>205.2429</v>
      </c>
    </row>
    <row r="5664" customFormat="false" ht="15" hidden="false" customHeight="false" outlineLevel="0" collapsed="false">
      <c r="B5664" s="7" t="s">
        <v>14297</v>
      </c>
      <c r="C5664" s="39" t="n">
        <v>46006</v>
      </c>
      <c r="D5664" s="7" t="s">
        <v>194</v>
      </c>
      <c r="E5664" s="7" t="s">
        <v>180</v>
      </c>
      <c r="F5664" s="6" t="n">
        <v>8.68</v>
      </c>
      <c r="G5664" s="6" t="n">
        <v>0</v>
      </c>
      <c r="H5664" s="41" t="n">
        <v>16</v>
      </c>
      <c r="I5664" s="43" t="n">
        <f aca="false">F5664*H5664</f>
        <v>138.88</v>
      </c>
      <c r="J5664" s="43" t="n">
        <f aca="false">G5664*H5664*1.5</f>
        <v>0</v>
      </c>
      <c r="K5664" s="6" t="n">
        <v>31.02</v>
      </c>
      <c r="L5664" s="43" t="n">
        <f aca="false">K5664*'Chart of Accounts'!$E$68</f>
        <v>20.7834</v>
      </c>
      <c r="O5664" s="42" t="n">
        <f aca="false">I5664+J5664+L5664</f>
        <v>159.6634</v>
      </c>
    </row>
    <row r="5665" customFormat="false" ht="15" hidden="false" customHeight="false" outlineLevel="0" collapsed="false">
      <c r="B5665" s="7" t="s">
        <v>14298</v>
      </c>
      <c r="C5665" s="39" t="n">
        <v>46006</v>
      </c>
      <c r="D5665" s="7" t="s">
        <v>214</v>
      </c>
      <c r="E5665" s="7" t="s">
        <v>180</v>
      </c>
      <c r="F5665" s="6" t="n">
        <v>14.55</v>
      </c>
      <c r="G5665" s="6" t="n">
        <v>0</v>
      </c>
      <c r="H5665" s="41" t="n">
        <v>15.67</v>
      </c>
      <c r="I5665" s="43" t="n">
        <f aca="false">F5665*H5665</f>
        <v>227.9985</v>
      </c>
      <c r="J5665" s="43" t="n">
        <f aca="false">G5665*H5665*1.5</f>
        <v>0</v>
      </c>
      <c r="K5665" s="6" t="n">
        <v>41.81</v>
      </c>
      <c r="L5665" s="43" t="n">
        <f aca="false">K5665*'Chart of Accounts'!$E$68</f>
        <v>28.0127</v>
      </c>
      <c r="O5665" s="42" t="n">
        <f aca="false">I5665+J5665+L5665</f>
        <v>256.0112</v>
      </c>
    </row>
    <row r="5666" customFormat="false" ht="15" hidden="false" customHeight="false" outlineLevel="0" collapsed="false">
      <c r="B5666" s="7" t="s">
        <v>14299</v>
      </c>
      <c r="C5666" s="39" t="n">
        <v>46006</v>
      </c>
      <c r="D5666" s="7" t="s">
        <v>201</v>
      </c>
      <c r="E5666" s="7" t="s">
        <v>180</v>
      </c>
      <c r="F5666" s="6" t="n">
        <v>9.43</v>
      </c>
      <c r="G5666" s="6" t="n">
        <v>0</v>
      </c>
      <c r="H5666" s="41" t="n">
        <v>15.19</v>
      </c>
      <c r="I5666" s="43" t="n">
        <f aca="false">F5666*H5666</f>
        <v>143.2417</v>
      </c>
      <c r="J5666" s="43" t="n">
        <f aca="false">G5666*H5666*1.5</f>
        <v>0</v>
      </c>
      <c r="K5666" s="6" t="n">
        <v>27.75</v>
      </c>
      <c r="L5666" s="43" t="n">
        <f aca="false">K5666*'Chart of Accounts'!$E$68</f>
        <v>18.5925</v>
      </c>
      <c r="O5666" s="42" t="n">
        <f aca="false">I5666+J5666+L5666</f>
        <v>161.8342</v>
      </c>
    </row>
    <row r="5667" customFormat="false" ht="15" hidden="false" customHeight="false" outlineLevel="0" collapsed="false">
      <c r="B5667" s="7" t="s">
        <v>14300</v>
      </c>
      <c r="C5667" s="39" t="n">
        <v>46006</v>
      </c>
      <c r="D5667" s="7" t="s">
        <v>205</v>
      </c>
      <c r="E5667" s="7" t="s">
        <v>180</v>
      </c>
      <c r="F5667" s="6" t="n">
        <v>11.61</v>
      </c>
      <c r="G5667" s="6" t="n">
        <v>0</v>
      </c>
      <c r="H5667" s="41" t="n">
        <v>16.36</v>
      </c>
      <c r="I5667" s="43" t="n">
        <f aca="false">F5667*H5667</f>
        <v>189.9396</v>
      </c>
      <c r="J5667" s="43" t="n">
        <f aca="false">G5667*H5667*1.5</f>
        <v>0</v>
      </c>
      <c r="K5667" s="6" t="n">
        <v>40.53</v>
      </c>
      <c r="L5667" s="43" t="n">
        <f aca="false">K5667*'Chart of Accounts'!$E$68</f>
        <v>27.1551</v>
      </c>
      <c r="O5667" s="42" t="n">
        <f aca="false">I5667+J5667+L5667</f>
        <v>217.0947</v>
      </c>
    </row>
    <row r="5668" customFormat="false" ht="15" hidden="false" customHeight="false" outlineLevel="0" collapsed="false">
      <c r="B5668" s="7" t="s">
        <v>14301</v>
      </c>
      <c r="C5668" s="39" t="n">
        <v>46006</v>
      </c>
      <c r="D5668" s="7" t="s">
        <v>240</v>
      </c>
      <c r="E5668" s="7" t="s">
        <v>180</v>
      </c>
      <c r="F5668" s="6" t="n">
        <v>6.92</v>
      </c>
      <c r="G5668" s="6" t="n">
        <v>0</v>
      </c>
      <c r="H5668" s="41" t="n">
        <v>16.96</v>
      </c>
      <c r="I5668" s="43" t="n">
        <f aca="false">F5668*H5668</f>
        <v>117.3632</v>
      </c>
      <c r="J5668" s="43" t="n">
        <f aca="false">G5668*H5668*1.5</f>
        <v>0</v>
      </c>
      <c r="K5668" s="6" t="n">
        <v>18.92</v>
      </c>
      <c r="L5668" s="43" t="n">
        <f aca="false">K5668*'Chart of Accounts'!$E$68</f>
        <v>12.6764</v>
      </c>
      <c r="O5668" s="42" t="n">
        <f aca="false">I5668+J5668+L5668</f>
        <v>130.0396</v>
      </c>
    </row>
    <row r="5669" customFormat="false" ht="15" hidden="false" customHeight="false" outlineLevel="0" collapsed="false">
      <c r="B5669" s="7" t="s">
        <v>14302</v>
      </c>
      <c r="C5669" s="39" t="n">
        <v>46006</v>
      </c>
      <c r="D5669" s="7" t="s">
        <v>264</v>
      </c>
      <c r="E5669" s="7" t="s">
        <v>158</v>
      </c>
      <c r="H5669" s="41" t="n">
        <v>55.55</v>
      </c>
      <c r="M5669" s="6" t="n">
        <v>1</v>
      </c>
      <c r="N5669" s="43" t="n">
        <f aca="false">M5669*H5669</f>
        <v>55.55</v>
      </c>
      <c r="O5669" s="42" t="n">
        <f aca="false">N5669</f>
        <v>55.55</v>
      </c>
    </row>
    <row r="5670" customFormat="false" ht="15" hidden="false" customHeight="false" outlineLevel="0" collapsed="false">
      <c r="B5670" s="7" t="s">
        <v>14303</v>
      </c>
      <c r="C5670" s="39" t="n">
        <v>46006</v>
      </c>
      <c r="D5670" s="7" t="s">
        <v>252</v>
      </c>
      <c r="E5670" s="7" t="s">
        <v>158</v>
      </c>
      <c r="H5670" s="41" t="n">
        <v>57.54</v>
      </c>
      <c r="M5670" s="6" t="n">
        <v>1</v>
      </c>
      <c r="N5670" s="43" t="n">
        <f aca="false">M5670*H5670</f>
        <v>57.54</v>
      </c>
      <c r="O5670" s="42" t="n">
        <f aca="false">N5670</f>
        <v>57.54</v>
      </c>
    </row>
    <row r="5671" customFormat="false" ht="15" hidden="false" customHeight="false" outlineLevel="0" collapsed="false">
      <c r="B5671" s="7" t="s">
        <v>14304</v>
      </c>
      <c r="C5671" s="39" t="n">
        <v>46006</v>
      </c>
      <c r="D5671" s="7" t="s">
        <v>196</v>
      </c>
      <c r="E5671" s="7" t="s">
        <v>180</v>
      </c>
      <c r="F5671" s="6" t="n">
        <v>9.143</v>
      </c>
      <c r="G5671" s="6" t="n">
        <v>0.747</v>
      </c>
      <c r="H5671" s="41" t="n">
        <v>15.05</v>
      </c>
      <c r="I5671" s="43" t="n">
        <f aca="false">F5671*H5671</f>
        <v>137.60215</v>
      </c>
      <c r="J5671" s="43" t="n">
        <f aca="false">G5671*H5671*1.5</f>
        <v>16.863525</v>
      </c>
      <c r="K5671" s="6" t="n">
        <v>30.25</v>
      </c>
      <c r="L5671" s="43" t="n">
        <f aca="false">K5671*'Chart of Accounts'!$E$68</f>
        <v>20.2675</v>
      </c>
      <c r="O5671" s="42" t="n">
        <f aca="false">I5671+J5671+L5671</f>
        <v>174.733175</v>
      </c>
    </row>
    <row r="5672" customFormat="false" ht="15" hidden="false" customHeight="false" outlineLevel="0" collapsed="false">
      <c r="B5672" s="7" t="s">
        <v>14305</v>
      </c>
      <c r="C5672" s="39" t="n">
        <v>46006</v>
      </c>
      <c r="D5672" s="7" t="s">
        <v>184</v>
      </c>
      <c r="E5672" s="7" t="s">
        <v>180</v>
      </c>
      <c r="F5672" s="6" t="n">
        <v>11.18</v>
      </c>
      <c r="G5672" s="6" t="n">
        <v>0</v>
      </c>
      <c r="H5672" s="41" t="n">
        <v>17.34</v>
      </c>
      <c r="I5672" s="43" t="n">
        <f aca="false">F5672*H5672</f>
        <v>193.8612</v>
      </c>
      <c r="J5672" s="43" t="n">
        <f aca="false">G5672*H5672*1.5</f>
        <v>0</v>
      </c>
      <c r="K5672" s="6" t="n">
        <v>33.55</v>
      </c>
      <c r="L5672" s="43" t="n">
        <f aca="false">K5672*'Chart of Accounts'!$E$68</f>
        <v>22.4785</v>
      </c>
      <c r="O5672" s="42" t="n">
        <f aca="false">I5672+J5672+L5672</f>
        <v>216.3397</v>
      </c>
    </row>
    <row r="5673" customFormat="false" ht="15" hidden="false" customHeight="false" outlineLevel="0" collapsed="false">
      <c r="B5673" s="7" t="s">
        <v>14306</v>
      </c>
      <c r="C5673" s="39" t="n">
        <v>46006</v>
      </c>
      <c r="D5673" s="7" t="s">
        <v>216</v>
      </c>
      <c r="E5673" s="7" t="s">
        <v>158</v>
      </c>
      <c r="H5673" s="41" t="n">
        <v>61.79</v>
      </c>
      <c r="M5673" s="6" t="n">
        <v>1</v>
      </c>
      <c r="N5673" s="43" t="n">
        <f aca="false">M5673*H5673</f>
        <v>61.79</v>
      </c>
      <c r="O5673" s="42" t="n">
        <f aca="false">N5673</f>
        <v>61.79</v>
      </c>
    </row>
    <row r="5674" customFormat="false" ht="15" hidden="false" customHeight="false" outlineLevel="0" collapsed="false">
      <c r="B5674" s="7" t="s">
        <v>14307</v>
      </c>
      <c r="C5674" s="39" t="n">
        <v>46006</v>
      </c>
      <c r="D5674" s="7" t="s">
        <v>218</v>
      </c>
      <c r="E5674" s="7" t="s">
        <v>180</v>
      </c>
      <c r="F5674" s="6" t="n">
        <v>3.64</v>
      </c>
      <c r="G5674" s="6" t="n">
        <v>0</v>
      </c>
      <c r="H5674" s="41" t="n">
        <v>16.19</v>
      </c>
      <c r="I5674" s="43" t="n">
        <f aca="false">F5674*H5674</f>
        <v>58.9316</v>
      </c>
      <c r="J5674" s="43" t="n">
        <f aca="false">G5674*H5674*1.5</f>
        <v>0</v>
      </c>
      <c r="K5674" s="6" t="n">
        <v>10.36</v>
      </c>
      <c r="L5674" s="43" t="n">
        <f aca="false">K5674*'Chart of Accounts'!$E$68</f>
        <v>6.9412</v>
      </c>
      <c r="O5674" s="42" t="n">
        <f aca="false">I5674+J5674+L5674</f>
        <v>65.8728</v>
      </c>
    </row>
    <row r="5675" customFormat="false" ht="15" hidden="false" customHeight="false" outlineLevel="0" collapsed="false">
      <c r="B5675" s="7" t="s">
        <v>14308</v>
      </c>
      <c r="C5675" s="39" t="n">
        <v>46006</v>
      </c>
      <c r="D5675" s="7" t="s">
        <v>254</v>
      </c>
      <c r="E5675" s="7" t="s">
        <v>180</v>
      </c>
      <c r="F5675" s="6" t="n">
        <v>10.43</v>
      </c>
      <c r="G5675" s="6" t="n">
        <v>0</v>
      </c>
      <c r="H5675" s="41" t="n">
        <v>17.1</v>
      </c>
      <c r="I5675" s="43" t="n">
        <f aca="false">F5675*H5675</f>
        <v>178.353</v>
      </c>
      <c r="J5675" s="43" t="n">
        <f aca="false">G5675*H5675*1.5</f>
        <v>0</v>
      </c>
      <c r="K5675" s="6" t="n">
        <v>26.32</v>
      </c>
      <c r="L5675" s="43" t="n">
        <f aca="false">K5675*'Chart of Accounts'!$E$68</f>
        <v>17.6344</v>
      </c>
      <c r="O5675" s="42" t="n">
        <f aca="false">I5675+J5675+L5675</f>
        <v>195.9874</v>
      </c>
    </row>
    <row r="5676" customFormat="false" ht="15" hidden="false" customHeight="false" outlineLevel="0" collapsed="false">
      <c r="B5676" s="7" t="s">
        <v>14309</v>
      </c>
      <c r="C5676" s="39" t="n">
        <v>46006</v>
      </c>
      <c r="D5676" s="7" t="s">
        <v>220</v>
      </c>
      <c r="E5676" s="7" t="s">
        <v>180</v>
      </c>
      <c r="F5676" s="6" t="n">
        <v>3.84</v>
      </c>
      <c r="G5676" s="6" t="n">
        <v>0</v>
      </c>
      <c r="H5676" s="41" t="n">
        <v>16.43</v>
      </c>
      <c r="I5676" s="43" t="n">
        <f aca="false">F5676*H5676</f>
        <v>63.0912</v>
      </c>
      <c r="J5676" s="43" t="n">
        <f aca="false">G5676*H5676*1.5</f>
        <v>0</v>
      </c>
      <c r="K5676" s="6" t="n">
        <v>10.88</v>
      </c>
      <c r="L5676" s="43" t="n">
        <f aca="false">K5676*'Chart of Accounts'!$E$68</f>
        <v>7.2896</v>
      </c>
      <c r="O5676" s="42" t="n">
        <f aca="false">I5676+J5676+L5676</f>
        <v>70.3808</v>
      </c>
    </row>
    <row r="5677" customFormat="false" ht="15" hidden="false" customHeight="false" outlineLevel="0" collapsed="false">
      <c r="B5677" s="7" t="s">
        <v>14310</v>
      </c>
      <c r="C5677" s="39" t="n">
        <v>46006</v>
      </c>
      <c r="D5677" s="7" t="s">
        <v>236</v>
      </c>
      <c r="E5677" s="7" t="s">
        <v>180</v>
      </c>
      <c r="F5677" s="6" t="n">
        <v>3.15</v>
      </c>
      <c r="G5677" s="6" t="n">
        <v>0</v>
      </c>
      <c r="H5677" s="41" t="n">
        <v>15.49</v>
      </c>
      <c r="I5677" s="43" t="n">
        <f aca="false">F5677*H5677</f>
        <v>48.7935</v>
      </c>
      <c r="J5677" s="43" t="n">
        <f aca="false">G5677*H5677*1.5</f>
        <v>0</v>
      </c>
      <c r="K5677" s="6" t="n">
        <v>11.24</v>
      </c>
      <c r="L5677" s="43" t="n">
        <f aca="false">K5677*'Chart of Accounts'!$E$68</f>
        <v>7.5308</v>
      </c>
      <c r="O5677" s="42" t="n">
        <f aca="false">I5677+J5677+L5677</f>
        <v>56.3243</v>
      </c>
    </row>
    <row r="5678" customFormat="false" ht="15" hidden="false" customHeight="false" outlineLevel="0" collapsed="false">
      <c r="B5678" s="7" t="s">
        <v>14311</v>
      </c>
      <c r="C5678" s="39" t="n">
        <v>46006</v>
      </c>
      <c r="D5678" s="7" t="s">
        <v>177</v>
      </c>
      <c r="E5678" s="7" t="s">
        <v>180</v>
      </c>
      <c r="F5678" s="6" t="n">
        <v>8.91</v>
      </c>
      <c r="G5678" s="6" t="n">
        <v>0</v>
      </c>
      <c r="H5678" s="41" t="n">
        <v>14.56</v>
      </c>
      <c r="I5678" s="43" t="n">
        <f aca="false">F5678*H5678</f>
        <v>129.7296</v>
      </c>
      <c r="J5678" s="43" t="n">
        <f aca="false">G5678*H5678*1.5</f>
        <v>0</v>
      </c>
      <c r="K5678" s="6" t="n">
        <v>26.89</v>
      </c>
      <c r="L5678" s="43" t="n">
        <f aca="false">K5678*'Chart of Accounts'!$E$68</f>
        <v>18.0163</v>
      </c>
      <c r="O5678" s="42" t="n">
        <f aca="false">I5678+J5678+L5678</f>
        <v>147.7459</v>
      </c>
    </row>
    <row r="5679" customFormat="false" ht="15" hidden="false" customHeight="false" outlineLevel="0" collapsed="false">
      <c r="B5679" s="7" t="s">
        <v>14312</v>
      </c>
      <c r="C5679" s="39" t="n">
        <v>46006</v>
      </c>
      <c r="D5679" s="7" t="s">
        <v>242</v>
      </c>
      <c r="E5679" s="7" t="s">
        <v>180</v>
      </c>
      <c r="F5679" s="6" t="n">
        <v>6.543</v>
      </c>
      <c r="G5679" s="6" t="n">
        <v>0.937</v>
      </c>
      <c r="H5679" s="41" t="n">
        <v>17.99</v>
      </c>
      <c r="I5679" s="43" t="n">
        <f aca="false">F5679*H5679</f>
        <v>117.70857</v>
      </c>
      <c r="J5679" s="43" t="n">
        <f aca="false">G5679*H5679*1.5</f>
        <v>25.284945</v>
      </c>
      <c r="K5679" s="6" t="n">
        <v>20.59</v>
      </c>
      <c r="L5679" s="43" t="n">
        <f aca="false">K5679*'Chart of Accounts'!$E$68</f>
        <v>13.7953</v>
      </c>
      <c r="O5679" s="42" t="n">
        <f aca="false">I5679+J5679+L5679</f>
        <v>156.788815</v>
      </c>
    </row>
    <row r="5680" customFormat="false" ht="15" hidden="false" customHeight="false" outlineLevel="0" collapsed="false">
      <c r="B5680" s="7" t="s">
        <v>14313</v>
      </c>
      <c r="C5680" s="39" t="n">
        <v>46006</v>
      </c>
      <c r="D5680" s="7" t="s">
        <v>222</v>
      </c>
      <c r="E5680" s="7" t="s">
        <v>180</v>
      </c>
      <c r="F5680" s="6" t="n">
        <v>7.32</v>
      </c>
      <c r="G5680" s="6" t="n">
        <v>0</v>
      </c>
      <c r="H5680" s="41" t="n">
        <v>17.84</v>
      </c>
      <c r="I5680" s="43" t="n">
        <f aca="false">F5680*H5680</f>
        <v>130.5888</v>
      </c>
      <c r="J5680" s="43" t="n">
        <f aca="false">G5680*H5680*1.5</f>
        <v>0</v>
      </c>
      <c r="K5680" s="6" t="n">
        <v>16.57</v>
      </c>
      <c r="L5680" s="43" t="n">
        <f aca="false">K5680*'Chart of Accounts'!$E$68</f>
        <v>11.1019</v>
      </c>
      <c r="O5680" s="42" t="n">
        <f aca="false">I5680+J5680+L5680</f>
        <v>141.6907</v>
      </c>
    </row>
    <row r="5681" customFormat="false" ht="15" hidden="false" customHeight="false" outlineLevel="0" collapsed="false">
      <c r="B5681" s="7" t="s">
        <v>14314</v>
      </c>
      <c r="C5681" s="39" t="n">
        <v>46006</v>
      </c>
      <c r="D5681" s="7" t="s">
        <v>224</v>
      </c>
      <c r="E5681" s="7" t="s">
        <v>180</v>
      </c>
      <c r="F5681" s="6" t="n">
        <v>8.65</v>
      </c>
      <c r="G5681" s="6" t="n">
        <v>0</v>
      </c>
      <c r="H5681" s="41" t="n">
        <v>14.93</v>
      </c>
      <c r="I5681" s="43" t="n">
        <f aca="false">F5681*H5681</f>
        <v>129.1445</v>
      </c>
      <c r="J5681" s="43" t="n">
        <f aca="false">G5681*H5681*1.5</f>
        <v>0</v>
      </c>
      <c r="K5681" s="6" t="n">
        <v>21.22</v>
      </c>
      <c r="L5681" s="43" t="n">
        <f aca="false">K5681*'Chart of Accounts'!$E$68</f>
        <v>14.2174</v>
      </c>
      <c r="O5681" s="42" t="n">
        <f aca="false">I5681+J5681+L5681</f>
        <v>143.3619</v>
      </c>
    </row>
    <row r="5682" customFormat="false" ht="15" hidden="false" customHeight="false" outlineLevel="0" collapsed="false">
      <c r="B5682" s="7" t="s">
        <v>14315</v>
      </c>
      <c r="C5682" s="39" t="n">
        <v>46006</v>
      </c>
      <c r="D5682" s="7" t="s">
        <v>244</v>
      </c>
      <c r="E5682" s="7" t="s">
        <v>180</v>
      </c>
      <c r="F5682" s="6" t="n">
        <v>4.31</v>
      </c>
      <c r="G5682" s="6" t="n">
        <v>0</v>
      </c>
      <c r="H5682" s="41" t="n">
        <v>16.39</v>
      </c>
      <c r="I5682" s="43" t="n">
        <f aca="false">F5682*H5682</f>
        <v>70.6409</v>
      </c>
      <c r="J5682" s="43" t="n">
        <f aca="false">G5682*H5682*1.5</f>
        <v>0</v>
      </c>
      <c r="K5682" s="6" t="n">
        <v>10.65</v>
      </c>
      <c r="L5682" s="43" t="n">
        <f aca="false">K5682*'Chart of Accounts'!$E$68</f>
        <v>7.1355</v>
      </c>
      <c r="O5682" s="42" t="n">
        <f aca="false">I5682+J5682+L5682</f>
        <v>77.7764</v>
      </c>
    </row>
    <row r="5683" customFormat="false" ht="15" hidden="false" customHeight="false" outlineLevel="0" collapsed="false">
      <c r="B5683" s="7" t="s">
        <v>14316</v>
      </c>
      <c r="C5683" s="39" t="n">
        <v>46006</v>
      </c>
      <c r="D5683" s="7" t="s">
        <v>246</v>
      </c>
      <c r="E5683" s="7" t="s">
        <v>180</v>
      </c>
      <c r="F5683" s="6" t="n">
        <v>7.98</v>
      </c>
      <c r="G5683" s="6" t="n">
        <v>0</v>
      </c>
      <c r="H5683" s="41" t="n">
        <v>16.48</v>
      </c>
      <c r="I5683" s="43" t="n">
        <f aca="false">F5683*H5683</f>
        <v>131.5104</v>
      </c>
      <c r="J5683" s="43" t="n">
        <f aca="false">G5683*H5683*1.5</f>
        <v>0</v>
      </c>
      <c r="K5683" s="6" t="n">
        <v>19.58</v>
      </c>
      <c r="L5683" s="43" t="n">
        <f aca="false">K5683*'Chart of Accounts'!$E$68</f>
        <v>13.1186</v>
      </c>
      <c r="O5683" s="42" t="n">
        <f aca="false">I5683+J5683+L5683</f>
        <v>144.629</v>
      </c>
    </row>
    <row r="5684" customFormat="false" ht="15" hidden="false" customHeight="false" outlineLevel="0" collapsed="false">
      <c r="B5684" s="7" t="s">
        <v>14317</v>
      </c>
      <c r="C5684" s="39" t="n">
        <v>46006</v>
      </c>
      <c r="D5684" s="7" t="s">
        <v>256</v>
      </c>
      <c r="E5684" s="7" t="s">
        <v>180</v>
      </c>
      <c r="F5684" s="6" t="n">
        <v>2.85</v>
      </c>
      <c r="G5684" s="6" t="n">
        <v>0</v>
      </c>
      <c r="H5684" s="41" t="n">
        <v>15.63</v>
      </c>
      <c r="I5684" s="43" t="n">
        <f aca="false">F5684*H5684</f>
        <v>44.5455</v>
      </c>
      <c r="J5684" s="43" t="n">
        <f aca="false">G5684*H5684*1.5</f>
        <v>0</v>
      </c>
      <c r="K5684" s="6" t="n">
        <v>7.49</v>
      </c>
      <c r="L5684" s="43" t="n">
        <f aca="false">K5684*'Chart of Accounts'!$E$68</f>
        <v>5.0183</v>
      </c>
      <c r="O5684" s="42" t="n">
        <f aca="false">I5684+J5684+L5684</f>
        <v>49.5638</v>
      </c>
    </row>
    <row r="5685" customFormat="false" ht="15" hidden="false" customHeight="false" outlineLevel="0" collapsed="false">
      <c r="B5685" s="7" t="s">
        <v>14318</v>
      </c>
      <c r="C5685" s="39" t="n">
        <v>46006</v>
      </c>
      <c r="D5685" s="7" t="s">
        <v>232</v>
      </c>
      <c r="E5685" s="7" t="s">
        <v>180</v>
      </c>
      <c r="F5685" s="6" t="n">
        <v>4.72</v>
      </c>
      <c r="G5685" s="6" t="n">
        <v>0</v>
      </c>
      <c r="H5685" s="41" t="n">
        <v>16.17</v>
      </c>
      <c r="I5685" s="43" t="n">
        <f aca="false">F5685*H5685</f>
        <v>76.3224</v>
      </c>
      <c r="J5685" s="43" t="n">
        <f aca="false">G5685*H5685*1.5</f>
        <v>0</v>
      </c>
      <c r="K5685" s="6" t="n">
        <v>14.84</v>
      </c>
      <c r="L5685" s="43" t="n">
        <f aca="false">K5685*'Chart of Accounts'!$E$68</f>
        <v>9.9428</v>
      </c>
      <c r="O5685" s="42" t="n">
        <f aca="false">I5685+J5685+L5685</f>
        <v>86.2652</v>
      </c>
    </row>
    <row r="5686" customFormat="false" ht="15" hidden="false" customHeight="false" outlineLevel="0" collapsed="false">
      <c r="B5686" s="7" t="s">
        <v>14319</v>
      </c>
      <c r="C5686" s="39" t="n">
        <v>46007</v>
      </c>
      <c r="D5686" s="7" t="s">
        <v>222</v>
      </c>
      <c r="E5686" s="7" t="s">
        <v>180</v>
      </c>
      <c r="F5686" s="6" t="n">
        <v>7.87</v>
      </c>
      <c r="G5686" s="6" t="n">
        <v>0</v>
      </c>
      <c r="H5686" s="41" t="n">
        <v>17.84</v>
      </c>
      <c r="I5686" s="43" t="n">
        <f aca="false">F5686*H5686</f>
        <v>140.4008</v>
      </c>
      <c r="J5686" s="43" t="n">
        <f aca="false">G5686*H5686*1.5</f>
        <v>0</v>
      </c>
      <c r="K5686" s="6" t="n">
        <v>17.94</v>
      </c>
      <c r="L5686" s="43" t="n">
        <f aca="false">K5686*'Chart of Accounts'!$E$68</f>
        <v>12.0198</v>
      </c>
      <c r="O5686" s="42" t="n">
        <f aca="false">I5686+J5686+L5686</f>
        <v>152.4206</v>
      </c>
    </row>
    <row r="5687" customFormat="false" ht="15" hidden="false" customHeight="false" outlineLevel="0" collapsed="false">
      <c r="B5687" s="7" t="s">
        <v>14320</v>
      </c>
      <c r="C5687" s="39" t="n">
        <v>46007</v>
      </c>
      <c r="D5687" s="7" t="s">
        <v>198</v>
      </c>
      <c r="E5687" s="7" t="s">
        <v>158</v>
      </c>
      <c r="H5687" s="41" t="n">
        <v>48.09</v>
      </c>
      <c r="M5687" s="6" t="n">
        <v>2</v>
      </c>
      <c r="N5687" s="43" t="n">
        <f aca="false">M5687*H5687</f>
        <v>96.18</v>
      </c>
      <c r="O5687" s="42" t="n">
        <f aca="false">N5687</f>
        <v>96.18</v>
      </c>
    </row>
    <row r="5688" customFormat="false" ht="15" hidden="false" customHeight="false" outlineLevel="0" collapsed="false">
      <c r="B5688" s="7" t="s">
        <v>14321</v>
      </c>
      <c r="C5688" s="39" t="n">
        <v>46007</v>
      </c>
      <c r="D5688" s="7" t="s">
        <v>209</v>
      </c>
      <c r="E5688" s="7" t="s">
        <v>158</v>
      </c>
      <c r="H5688" s="41" t="n">
        <v>73.58</v>
      </c>
      <c r="M5688" s="6" t="n">
        <v>2</v>
      </c>
      <c r="N5688" s="43" t="n">
        <f aca="false">M5688*H5688</f>
        <v>147.16</v>
      </c>
      <c r="O5688" s="42" t="n">
        <f aca="false">N5688</f>
        <v>147.16</v>
      </c>
    </row>
    <row r="5689" customFormat="false" ht="15" hidden="false" customHeight="false" outlineLevel="0" collapsed="false">
      <c r="B5689" s="7" t="s">
        <v>14322</v>
      </c>
      <c r="C5689" s="39" t="n">
        <v>46007</v>
      </c>
      <c r="D5689" s="7" t="s">
        <v>184</v>
      </c>
      <c r="E5689" s="7" t="s">
        <v>180</v>
      </c>
      <c r="F5689" s="6" t="n">
        <v>4.23</v>
      </c>
      <c r="G5689" s="6" t="n">
        <v>0</v>
      </c>
      <c r="H5689" s="41" t="n">
        <v>17.34</v>
      </c>
      <c r="I5689" s="43" t="n">
        <f aca="false">F5689*H5689</f>
        <v>73.3482</v>
      </c>
      <c r="J5689" s="43" t="n">
        <f aca="false">G5689*H5689*1.5</f>
        <v>0</v>
      </c>
      <c r="K5689" s="6" t="n">
        <v>12.32</v>
      </c>
      <c r="L5689" s="43" t="n">
        <f aca="false">K5689*'Chart of Accounts'!$E$68</f>
        <v>8.2544</v>
      </c>
      <c r="O5689" s="42" t="n">
        <f aca="false">I5689+J5689+L5689</f>
        <v>81.6026</v>
      </c>
    </row>
    <row r="5690" customFormat="false" ht="15" hidden="false" customHeight="false" outlineLevel="0" collapsed="false">
      <c r="B5690" s="7" t="s">
        <v>14323</v>
      </c>
      <c r="C5690" s="39" t="n">
        <v>46007</v>
      </c>
      <c r="D5690" s="7" t="s">
        <v>234</v>
      </c>
      <c r="E5690" s="7" t="s">
        <v>158</v>
      </c>
      <c r="H5690" s="41" t="n">
        <v>89.53</v>
      </c>
      <c r="M5690" s="6" t="n">
        <v>2</v>
      </c>
      <c r="N5690" s="43" t="n">
        <f aca="false">M5690*H5690</f>
        <v>179.06</v>
      </c>
      <c r="O5690" s="42" t="n">
        <f aca="false">N5690</f>
        <v>179.06</v>
      </c>
    </row>
    <row r="5691" customFormat="false" ht="15" hidden="false" customHeight="false" outlineLevel="0" collapsed="false">
      <c r="B5691" s="7" t="s">
        <v>14324</v>
      </c>
      <c r="C5691" s="39" t="n">
        <v>46007</v>
      </c>
      <c r="D5691" s="7" t="s">
        <v>218</v>
      </c>
      <c r="E5691" s="7" t="s">
        <v>180</v>
      </c>
      <c r="F5691" s="6" t="n">
        <v>4.19</v>
      </c>
      <c r="G5691" s="6" t="n">
        <v>0</v>
      </c>
      <c r="H5691" s="41" t="n">
        <v>16.19</v>
      </c>
      <c r="I5691" s="43" t="n">
        <f aca="false">F5691*H5691</f>
        <v>67.8361</v>
      </c>
      <c r="J5691" s="43" t="n">
        <f aca="false">G5691*H5691*1.5</f>
        <v>0</v>
      </c>
      <c r="K5691" s="6" t="n">
        <v>11.49</v>
      </c>
      <c r="L5691" s="43" t="n">
        <f aca="false">K5691*'Chart of Accounts'!$E$68</f>
        <v>7.6983</v>
      </c>
      <c r="O5691" s="42" t="n">
        <f aca="false">I5691+J5691+L5691</f>
        <v>75.5344</v>
      </c>
    </row>
    <row r="5692" customFormat="false" ht="15" hidden="false" customHeight="false" outlineLevel="0" collapsed="false">
      <c r="B5692" s="7" t="s">
        <v>14325</v>
      </c>
      <c r="C5692" s="39" t="n">
        <v>46007</v>
      </c>
      <c r="D5692" s="7" t="s">
        <v>228</v>
      </c>
      <c r="E5692" s="7" t="s">
        <v>158</v>
      </c>
      <c r="H5692" s="41" t="n">
        <v>51.07</v>
      </c>
      <c r="M5692" s="6" t="n">
        <v>1</v>
      </c>
      <c r="N5692" s="43" t="n">
        <f aca="false">M5692*H5692</f>
        <v>51.07</v>
      </c>
      <c r="O5692" s="42" t="n">
        <f aca="false">N5692</f>
        <v>51.07</v>
      </c>
    </row>
    <row r="5693" customFormat="false" ht="15" hidden="false" customHeight="false" outlineLevel="0" collapsed="false">
      <c r="B5693" s="7" t="s">
        <v>14326</v>
      </c>
      <c r="C5693" s="39" t="n">
        <v>46007</v>
      </c>
      <c r="D5693" s="7" t="s">
        <v>220</v>
      </c>
      <c r="E5693" s="7" t="s">
        <v>180</v>
      </c>
      <c r="F5693" s="6" t="n">
        <v>4.38</v>
      </c>
      <c r="G5693" s="6" t="n">
        <v>0</v>
      </c>
      <c r="H5693" s="41" t="n">
        <v>16.43</v>
      </c>
      <c r="I5693" s="43" t="n">
        <f aca="false">F5693*H5693</f>
        <v>71.9634</v>
      </c>
      <c r="J5693" s="43" t="n">
        <f aca="false">G5693*H5693*1.5</f>
        <v>0</v>
      </c>
      <c r="K5693" s="6" t="n">
        <v>13.11</v>
      </c>
      <c r="L5693" s="43" t="n">
        <f aca="false">K5693*'Chart of Accounts'!$E$68</f>
        <v>8.7837</v>
      </c>
      <c r="O5693" s="42" t="n">
        <f aca="false">I5693+J5693+L5693</f>
        <v>80.7471</v>
      </c>
    </row>
    <row r="5694" customFormat="false" ht="15" hidden="false" customHeight="false" outlineLevel="0" collapsed="false">
      <c r="B5694" s="7" t="s">
        <v>14327</v>
      </c>
      <c r="C5694" s="39" t="n">
        <v>46007</v>
      </c>
      <c r="D5694" s="7" t="s">
        <v>244</v>
      </c>
      <c r="E5694" s="7" t="s">
        <v>180</v>
      </c>
      <c r="F5694" s="6" t="n">
        <v>4.14</v>
      </c>
      <c r="G5694" s="6" t="n">
        <v>0</v>
      </c>
      <c r="H5694" s="41" t="n">
        <v>16.39</v>
      </c>
      <c r="I5694" s="43" t="n">
        <f aca="false">F5694*H5694</f>
        <v>67.8546</v>
      </c>
      <c r="J5694" s="43" t="n">
        <f aca="false">G5694*H5694*1.5</f>
        <v>0</v>
      </c>
      <c r="K5694" s="6" t="n">
        <v>14.79</v>
      </c>
      <c r="L5694" s="43" t="n">
        <f aca="false">K5694*'Chart of Accounts'!$E$68</f>
        <v>9.9093</v>
      </c>
      <c r="O5694" s="42" t="n">
        <f aca="false">I5694+J5694+L5694</f>
        <v>77.7639</v>
      </c>
    </row>
    <row r="5695" customFormat="false" ht="15" hidden="false" customHeight="false" outlineLevel="0" collapsed="false">
      <c r="B5695" s="7" t="s">
        <v>14328</v>
      </c>
      <c r="C5695" s="39" t="n">
        <v>46007</v>
      </c>
      <c r="D5695" s="7" t="s">
        <v>232</v>
      </c>
      <c r="E5695" s="7" t="s">
        <v>180</v>
      </c>
      <c r="F5695" s="6" t="n">
        <v>3.82</v>
      </c>
      <c r="G5695" s="6" t="n">
        <v>0</v>
      </c>
      <c r="H5695" s="41" t="n">
        <v>16.17</v>
      </c>
      <c r="I5695" s="43" t="n">
        <f aca="false">F5695*H5695</f>
        <v>61.7694</v>
      </c>
      <c r="J5695" s="43" t="n">
        <f aca="false">G5695*H5695*1.5</f>
        <v>0</v>
      </c>
      <c r="K5695" s="6" t="n">
        <v>13.19</v>
      </c>
      <c r="L5695" s="43" t="n">
        <f aca="false">K5695*'Chart of Accounts'!$E$68</f>
        <v>8.8373</v>
      </c>
      <c r="O5695" s="42" t="n">
        <f aca="false">I5695+J5695+L5695</f>
        <v>70.6067</v>
      </c>
    </row>
    <row r="5696" customFormat="false" ht="15" hidden="false" customHeight="false" outlineLevel="0" collapsed="false">
      <c r="B5696" s="7" t="s">
        <v>14329</v>
      </c>
      <c r="C5696" s="39" t="n">
        <v>46007</v>
      </c>
      <c r="D5696" s="7" t="s">
        <v>194</v>
      </c>
      <c r="E5696" s="7" t="s">
        <v>180</v>
      </c>
      <c r="F5696" s="6" t="n">
        <v>4.32</v>
      </c>
      <c r="G5696" s="6" t="n">
        <v>0</v>
      </c>
      <c r="H5696" s="41" t="n">
        <v>16</v>
      </c>
      <c r="I5696" s="43" t="n">
        <f aca="false">F5696*H5696</f>
        <v>69.12</v>
      </c>
      <c r="J5696" s="43" t="n">
        <f aca="false">G5696*H5696*1.5</f>
        <v>0</v>
      </c>
      <c r="K5696" s="6" t="n">
        <v>15.01</v>
      </c>
      <c r="L5696" s="43" t="n">
        <f aca="false">K5696*'Chart of Accounts'!$E$68</f>
        <v>10.0567</v>
      </c>
      <c r="O5696" s="42" t="n">
        <f aca="false">I5696+J5696+L5696</f>
        <v>79.1767</v>
      </c>
    </row>
    <row r="5697" customFormat="false" ht="15" hidden="false" customHeight="false" outlineLevel="0" collapsed="false">
      <c r="B5697" s="7" t="s">
        <v>14330</v>
      </c>
      <c r="C5697" s="39" t="n">
        <v>46007</v>
      </c>
      <c r="D5697" s="7" t="s">
        <v>258</v>
      </c>
      <c r="E5697" s="7" t="s">
        <v>158</v>
      </c>
      <c r="H5697" s="41" t="n">
        <v>61.61</v>
      </c>
      <c r="M5697" s="6" t="n">
        <v>1</v>
      </c>
      <c r="N5697" s="43" t="n">
        <f aca="false">M5697*H5697</f>
        <v>61.61</v>
      </c>
      <c r="O5697" s="42" t="n">
        <f aca="false">N5697</f>
        <v>61.61</v>
      </c>
    </row>
    <row r="5698" customFormat="false" ht="15" hidden="false" customHeight="false" outlineLevel="0" collapsed="false">
      <c r="B5698" s="7" t="s">
        <v>14331</v>
      </c>
      <c r="C5698" s="39" t="n">
        <v>46007</v>
      </c>
      <c r="D5698" s="7" t="s">
        <v>230</v>
      </c>
      <c r="E5698" s="7" t="s">
        <v>158</v>
      </c>
      <c r="H5698" s="41" t="n">
        <v>48.78</v>
      </c>
      <c r="M5698" s="6" t="n">
        <v>1</v>
      </c>
      <c r="N5698" s="43" t="n">
        <f aca="false">M5698*H5698</f>
        <v>48.78</v>
      </c>
      <c r="O5698" s="42" t="n">
        <f aca="false">N5698</f>
        <v>48.78</v>
      </c>
    </row>
    <row r="5699" customFormat="false" ht="15" hidden="false" customHeight="false" outlineLevel="0" collapsed="false">
      <c r="B5699" s="7" t="s">
        <v>14332</v>
      </c>
      <c r="C5699" s="39" t="n">
        <v>46007</v>
      </c>
      <c r="D5699" s="7" t="s">
        <v>196</v>
      </c>
      <c r="E5699" s="7" t="s">
        <v>180</v>
      </c>
      <c r="F5699" s="6" t="n">
        <v>3.467</v>
      </c>
      <c r="G5699" s="6" t="n">
        <v>0.283</v>
      </c>
      <c r="H5699" s="41" t="n">
        <v>15.05</v>
      </c>
      <c r="I5699" s="43" t="n">
        <f aca="false">F5699*H5699</f>
        <v>52.17835</v>
      </c>
      <c r="J5699" s="43" t="n">
        <f aca="false">G5699*H5699*1.5</f>
        <v>6.388725</v>
      </c>
      <c r="K5699" s="6" t="n">
        <v>11.51</v>
      </c>
      <c r="L5699" s="43" t="n">
        <f aca="false">K5699*'Chart of Accounts'!$E$68</f>
        <v>7.7117</v>
      </c>
      <c r="O5699" s="42" t="n">
        <f aca="false">I5699+J5699+L5699</f>
        <v>66.278775</v>
      </c>
    </row>
    <row r="5700" customFormat="false" ht="15" hidden="false" customHeight="false" outlineLevel="0" collapsed="false">
      <c r="B5700" s="7" t="s">
        <v>14333</v>
      </c>
      <c r="C5700" s="39" t="n">
        <v>46007</v>
      </c>
      <c r="D5700" s="7" t="s">
        <v>246</v>
      </c>
      <c r="E5700" s="7" t="s">
        <v>180</v>
      </c>
      <c r="F5700" s="6" t="n">
        <v>4.32</v>
      </c>
      <c r="G5700" s="6" t="n">
        <v>0</v>
      </c>
      <c r="H5700" s="41" t="n">
        <v>16.48</v>
      </c>
      <c r="I5700" s="43" t="n">
        <f aca="false">F5700*H5700</f>
        <v>71.1936</v>
      </c>
      <c r="J5700" s="43" t="n">
        <f aca="false">G5700*H5700*1.5</f>
        <v>0</v>
      </c>
      <c r="K5700" s="6" t="n">
        <v>12.34</v>
      </c>
      <c r="L5700" s="43" t="n">
        <f aca="false">K5700*'Chart of Accounts'!$E$68</f>
        <v>8.2678</v>
      </c>
      <c r="O5700" s="42" t="n">
        <f aca="false">I5700+J5700+L5700</f>
        <v>79.4614</v>
      </c>
    </row>
    <row r="5701" customFormat="false" ht="15" hidden="false" customHeight="false" outlineLevel="0" collapsed="false">
      <c r="B5701" s="7" t="s">
        <v>14334</v>
      </c>
      <c r="C5701" s="39" t="n">
        <v>46007</v>
      </c>
      <c r="D5701" s="7" t="s">
        <v>242</v>
      </c>
      <c r="E5701" s="7" t="s">
        <v>180</v>
      </c>
      <c r="F5701" s="6" t="n">
        <v>3.84</v>
      </c>
      <c r="G5701" s="6" t="n">
        <v>0.55</v>
      </c>
      <c r="H5701" s="41" t="n">
        <v>17.99</v>
      </c>
      <c r="I5701" s="43" t="n">
        <f aca="false">F5701*H5701</f>
        <v>69.0816</v>
      </c>
      <c r="J5701" s="43" t="n">
        <f aca="false">G5701*H5701*1.5</f>
        <v>14.84175</v>
      </c>
      <c r="K5701" s="6" t="n">
        <v>13.74</v>
      </c>
      <c r="L5701" s="43" t="n">
        <f aca="false">K5701*'Chart of Accounts'!$E$68</f>
        <v>9.2058</v>
      </c>
      <c r="O5701" s="42" t="n">
        <f aca="false">I5701+J5701+L5701</f>
        <v>93.12915</v>
      </c>
    </row>
    <row r="5702" customFormat="false" ht="15" hidden="false" customHeight="false" outlineLevel="0" collapsed="false">
      <c r="B5702" s="7" t="s">
        <v>14335</v>
      </c>
      <c r="C5702" s="39" t="n">
        <v>46007</v>
      </c>
      <c r="D5702" s="7" t="s">
        <v>203</v>
      </c>
      <c r="E5702" s="7" t="s">
        <v>158</v>
      </c>
      <c r="H5702" s="41" t="n">
        <v>49.43</v>
      </c>
      <c r="M5702" s="6" t="n">
        <v>1</v>
      </c>
      <c r="N5702" s="43" t="n">
        <f aca="false">M5702*H5702</f>
        <v>49.43</v>
      </c>
      <c r="O5702" s="42" t="n">
        <f aca="false">N5702</f>
        <v>49.43</v>
      </c>
    </row>
    <row r="5703" customFormat="false" ht="15" hidden="false" customHeight="false" outlineLevel="0" collapsed="false">
      <c r="B5703" s="7" t="s">
        <v>14336</v>
      </c>
      <c r="C5703" s="39" t="n">
        <v>46007</v>
      </c>
      <c r="D5703" s="7" t="s">
        <v>254</v>
      </c>
      <c r="E5703" s="7" t="s">
        <v>180</v>
      </c>
      <c r="F5703" s="6" t="n">
        <v>3.66</v>
      </c>
      <c r="G5703" s="6" t="n">
        <v>0</v>
      </c>
      <c r="H5703" s="41" t="n">
        <v>17.1</v>
      </c>
      <c r="I5703" s="43" t="n">
        <f aca="false">F5703*H5703</f>
        <v>62.586</v>
      </c>
      <c r="J5703" s="43" t="n">
        <f aca="false">G5703*H5703*1.5</f>
        <v>0</v>
      </c>
      <c r="K5703" s="6" t="n">
        <v>11.91</v>
      </c>
      <c r="L5703" s="43" t="n">
        <f aca="false">K5703*'Chart of Accounts'!$E$68</f>
        <v>7.9797</v>
      </c>
      <c r="O5703" s="42" t="n">
        <f aca="false">I5703+J5703+L5703</f>
        <v>70.5657</v>
      </c>
    </row>
    <row r="5704" customFormat="false" ht="15" hidden="false" customHeight="false" outlineLevel="0" collapsed="false">
      <c r="B5704" s="7" t="s">
        <v>14337</v>
      </c>
      <c r="C5704" s="39" t="n">
        <v>46007</v>
      </c>
      <c r="D5704" s="7" t="s">
        <v>260</v>
      </c>
      <c r="E5704" s="7" t="s">
        <v>158</v>
      </c>
      <c r="H5704" s="41" t="n">
        <v>79.8</v>
      </c>
      <c r="M5704" s="6" t="n">
        <v>1</v>
      </c>
      <c r="N5704" s="43" t="n">
        <f aca="false">M5704*H5704</f>
        <v>79.8</v>
      </c>
      <c r="O5704" s="42" t="n">
        <f aca="false">N5704</f>
        <v>79.8</v>
      </c>
    </row>
    <row r="5705" customFormat="false" ht="15" hidden="false" customHeight="false" outlineLevel="0" collapsed="false">
      <c r="B5705" s="7" t="s">
        <v>14338</v>
      </c>
      <c r="C5705" s="39" t="n">
        <v>46008</v>
      </c>
      <c r="D5705" s="7" t="s">
        <v>258</v>
      </c>
      <c r="E5705" s="7" t="s">
        <v>158</v>
      </c>
      <c r="H5705" s="41" t="n">
        <v>61.61</v>
      </c>
      <c r="M5705" s="6" t="n">
        <v>1</v>
      </c>
      <c r="N5705" s="43" t="n">
        <f aca="false">M5705*H5705</f>
        <v>61.61</v>
      </c>
      <c r="O5705" s="42" t="n">
        <f aca="false">N5705</f>
        <v>61.61</v>
      </c>
    </row>
    <row r="5706" customFormat="false" ht="15" hidden="false" customHeight="false" outlineLevel="0" collapsed="false">
      <c r="B5706" s="7" t="s">
        <v>14339</v>
      </c>
      <c r="C5706" s="39" t="n">
        <v>46008</v>
      </c>
      <c r="D5706" s="7" t="s">
        <v>205</v>
      </c>
      <c r="E5706" s="7" t="s">
        <v>180</v>
      </c>
      <c r="F5706" s="6" t="n">
        <v>8.12</v>
      </c>
      <c r="G5706" s="6" t="n">
        <v>0</v>
      </c>
      <c r="H5706" s="41" t="n">
        <v>16.36</v>
      </c>
      <c r="I5706" s="43" t="n">
        <f aca="false">F5706*H5706</f>
        <v>132.8432</v>
      </c>
      <c r="J5706" s="43" t="n">
        <f aca="false">G5706*H5706*1.5</f>
        <v>0</v>
      </c>
      <c r="K5706" s="6" t="n">
        <v>22</v>
      </c>
      <c r="L5706" s="43" t="n">
        <f aca="false">K5706*'Chart of Accounts'!$E$68</f>
        <v>14.74</v>
      </c>
      <c r="O5706" s="42" t="n">
        <f aca="false">I5706+J5706+L5706</f>
        <v>147.5832</v>
      </c>
    </row>
    <row r="5707" customFormat="false" ht="15" hidden="false" customHeight="false" outlineLevel="0" collapsed="false">
      <c r="B5707" s="7" t="s">
        <v>14340</v>
      </c>
      <c r="C5707" s="39" t="n">
        <v>46008</v>
      </c>
      <c r="D5707" s="7" t="s">
        <v>194</v>
      </c>
      <c r="E5707" s="7" t="s">
        <v>180</v>
      </c>
      <c r="F5707" s="6" t="n">
        <v>8.43</v>
      </c>
      <c r="G5707" s="6" t="n">
        <v>0</v>
      </c>
      <c r="H5707" s="41" t="n">
        <v>16</v>
      </c>
      <c r="I5707" s="43" t="n">
        <f aca="false">F5707*H5707</f>
        <v>134.88</v>
      </c>
      <c r="J5707" s="43" t="n">
        <f aca="false">G5707*H5707*1.5</f>
        <v>0</v>
      </c>
      <c r="K5707" s="6" t="n">
        <v>29.34</v>
      </c>
      <c r="L5707" s="43" t="n">
        <f aca="false">K5707*'Chart of Accounts'!$E$68</f>
        <v>19.6578</v>
      </c>
      <c r="O5707" s="42" t="n">
        <f aca="false">I5707+J5707+L5707</f>
        <v>154.5378</v>
      </c>
    </row>
    <row r="5708" customFormat="false" ht="15" hidden="false" customHeight="false" outlineLevel="0" collapsed="false">
      <c r="B5708" s="7" t="s">
        <v>14341</v>
      </c>
      <c r="C5708" s="39" t="n">
        <v>46008</v>
      </c>
      <c r="D5708" s="7" t="s">
        <v>214</v>
      </c>
      <c r="E5708" s="7" t="s">
        <v>180</v>
      </c>
      <c r="F5708" s="6" t="n">
        <v>7.69</v>
      </c>
      <c r="G5708" s="6" t="n">
        <v>0</v>
      </c>
      <c r="H5708" s="41" t="n">
        <v>15.67</v>
      </c>
      <c r="I5708" s="43" t="n">
        <f aca="false">F5708*H5708</f>
        <v>120.5023</v>
      </c>
      <c r="J5708" s="43" t="n">
        <f aca="false">G5708*H5708*1.5</f>
        <v>0</v>
      </c>
      <c r="K5708" s="6" t="n">
        <v>21.7</v>
      </c>
      <c r="L5708" s="43" t="n">
        <f aca="false">K5708*'Chart of Accounts'!$E$68</f>
        <v>14.539</v>
      </c>
      <c r="O5708" s="42" t="n">
        <f aca="false">I5708+J5708+L5708</f>
        <v>135.0413</v>
      </c>
    </row>
    <row r="5709" customFormat="false" ht="15" hidden="false" customHeight="false" outlineLevel="0" collapsed="false">
      <c r="B5709" s="7" t="s">
        <v>14342</v>
      </c>
      <c r="C5709" s="39" t="n">
        <v>46008</v>
      </c>
      <c r="D5709" s="7" t="s">
        <v>264</v>
      </c>
      <c r="E5709" s="7" t="s">
        <v>158</v>
      </c>
      <c r="H5709" s="41" t="n">
        <v>55.55</v>
      </c>
      <c r="M5709" s="6" t="n">
        <v>1</v>
      </c>
      <c r="N5709" s="43" t="n">
        <f aca="false">M5709*H5709</f>
        <v>55.55</v>
      </c>
      <c r="O5709" s="42" t="n">
        <f aca="false">N5709</f>
        <v>55.55</v>
      </c>
    </row>
    <row r="5710" customFormat="false" ht="15" hidden="false" customHeight="false" outlineLevel="0" collapsed="false">
      <c r="B5710" s="7" t="s">
        <v>14343</v>
      </c>
      <c r="C5710" s="39" t="n">
        <v>46008</v>
      </c>
      <c r="D5710" s="7" t="s">
        <v>252</v>
      </c>
      <c r="E5710" s="7" t="s">
        <v>158</v>
      </c>
      <c r="H5710" s="41" t="n">
        <v>57.54</v>
      </c>
      <c r="M5710" s="6" t="n">
        <v>1</v>
      </c>
      <c r="N5710" s="43" t="n">
        <f aca="false">M5710*H5710</f>
        <v>57.54</v>
      </c>
      <c r="O5710" s="42" t="n">
        <f aca="false">N5710</f>
        <v>57.54</v>
      </c>
    </row>
    <row r="5711" customFormat="false" ht="15" hidden="false" customHeight="false" outlineLevel="0" collapsed="false">
      <c r="B5711" s="7" t="s">
        <v>14344</v>
      </c>
      <c r="C5711" s="39" t="n">
        <v>46008</v>
      </c>
      <c r="D5711" s="7" t="s">
        <v>184</v>
      </c>
      <c r="E5711" s="7" t="s">
        <v>180</v>
      </c>
      <c r="F5711" s="6" t="n">
        <v>7.99</v>
      </c>
      <c r="G5711" s="6" t="n">
        <v>0</v>
      </c>
      <c r="H5711" s="41" t="n">
        <v>17.34</v>
      </c>
      <c r="I5711" s="43" t="n">
        <f aca="false">F5711*H5711</f>
        <v>138.5466</v>
      </c>
      <c r="J5711" s="43" t="n">
        <f aca="false">G5711*H5711*1.5</f>
        <v>0</v>
      </c>
      <c r="K5711" s="6" t="n">
        <v>19.76</v>
      </c>
      <c r="L5711" s="43" t="n">
        <f aca="false">K5711*'Chart of Accounts'!$E$68</f>
        <v>13.2392</v>
      </c>
      <c r="O5711" s="42" t="n">
        <f aca="false">I5711+J5711+L5711</f>
        <v>151.7858</v>
      </c>
    </row>
    <row r="5712" customFormat="false" ht="15" hidden="false" customHeight="false" outlineLevel="0" collapsed="false">
      <c r="B5712" s="7" t="s">
        <v>14345</v>
      </c>
      <c r="C5712" s="39" t="n">
        <v>46008</v>
      </c>
      <c r="D5712" s="7" t="s">
        <v>216</v>
      </c>
      <c r="E5712" s="7" t="s">
        <v>158</v>
      </c>
      <c r="H5712" s="41" t="n">
        <v>61.79</v>
      </c>
      <c r="M5712" s="6" t="n">
        <v>1</v>
      </c>
      <c r="N5712" s="43" t="n">
        <f aca="false">M5712*H5712</f>
        <v>61.79</v>
      </c>
      <c r="O5712" s="42" t="n">
        <f aca="false">N5712</f>
        <v>61.79</v>
      </c>
    </row>
    <row r="5713" customFormat="false" ht="15" hidden="false" customHeight="false" outlineLevel="0" collapsed="false">
      <c r="B5713" s="7" t="s">
        <v>14346</v>
      </c>
      <c r="C5713" s="39" t="n">
        <v>46008</v>
      </c>
      <c r="D5713" s="7" t="s">
        <v>218</v>
      </c>
      <c r="E5713" s="7" t="s">
        <v>180</v>
      </c>
      <c r="F5713" s="6" t="n">
        <v>7.36</v>
      </c>
      <c r="G5713" s="6" t="n">
        <v>0</v>
      </c>
      <c r="H5713" s="41" t="n">
        <v>16.19</v>
      </c>
      <c r="I5713" s="43" t="n">
        <f aca="false">F5713*H5713</f>
        <v>119.1584</v>
      </c>
      <c r="J5713" s="43" t="n">
        <f aca="false">G5713*H5713*1.5</f>
        <v>0</v>
      </c>
      <c r="K5713" s="6" t="n">
        <v>24.11</v>
      </c>
      <c r="L5713" s="43" t="n">
        <f aca="false">K5713*'Chart of Accounts'!$E$68</f>
        <v>16.1537</v>
      </c>
      <c r="O5713" s="42" t="n">
        <f aca="false">I5713+J5713+L5713</f>
        <v>135.3121</v>
      </c>
    </row>
    <row r="5714" customFormat="false" ht="15" hidden="false" customHeight="false" outlineLevel="0" collapsed="false">
      <c r="B5714" s="7" t="s">
        <v>14347</v>
      </c>
      <c r="C5714" s="39" t="n">
        <v>46008</v>
      </c>
      <c r="D5714" s="7" t="s">
        <v>220</v>
      </c>
      <c r="E5714" s="7" t="s">
        <v>180</v>
      </c>
      <c r="F5714" s="6" t="n">
        <v>3.6</v>
      </c>
      <c r="G5714" s="6" t="n">
        <v>0</v>
      </c>
      <c r="H5714" s="41" t="n">
        <v>16.43</v>
      </c>
      <c r="I5714" s="43" t="n">
        <f aca="false">F5714*H5714</f>
        <v>59.148</v>
      </c>
      <c r="J5714" s="43" t="n">
        <f aca="false">G5714*H5714*1.5</f>
        <v>0</v>
      </c>
      <c r="K5714" s="6" t="n">
        <v>10.38</v>
      </c>
      <c r="L5714" s="43" t="n">
        <f aca="false">K5714*'Chart of Accounts'!$E$68</f>
        <v>6.9546</v>
      </c>
      <c r="O5714" s="42" t="n">
        <f aca="false">I5714+J5714+L5714</f>
        <v>66.1026</v>
      </c>
    </row>
    <row r="5715" customFormat="false" ht="15" hidden="false" customHeight="false" outlineLevel="0" collapsed="false">
      <c r="B5715" s="7" t="s">
        <v>14348</v>
      </c>
      <c r="C5715" s="39" t="n">
        <v>46008</v>
      </c>
      <c r="D5715" s="7" t="s">
        <v>236</v>
      </c>
      <c r="E5715" s="7" t="s">
        <v>180</v>
      </c>
      <c r="F5715" s="6" t="n">
        <v>3.5</v>
      </c>
      <c r="G5715" s="6" t="n">
        <v>0</v>
      </c>
      <c r="H5715" s="41" t="n">
        <v>15.49</v>
      </c>
      <c r="I5715" s="43" t="n">
        <f aca="false">F5715*H5715</f>
        <v>54.215</v>
      </c>
      <c r="J5715" s="43" t="n">
        <f aca="false">G5715*H5715*1.5</f>
        <v>0</v>
      </c>
      <c r="K5715" s="6" t="n">
        <v>7.73</v>
      </c>
      <c r="L5715" s="43" t="n">
        <f aca="false">K5715*'Chart of Accounts'!$E$68</f>
        <v>5.1791</v>
      </c>
      <c r="O5715" s="42" t="n">
        <f aca="false">I5715+J5715+L5715</f>
        <v>59.3941</v>
      </c>
    </row>
    <row r="5716" customFormat="false" ht="15" hidden="false" customHeight="false" outlineLevel="0" collapsed="false">
      <c r="B5716" s="7" t="s">
        <v>14349</v>
      </c>
      <c r="C5716" s="39" t="n">
        <v>46008</v>
      </c>
      <c r="D5716" s="7" t="s">
        <v>177</v>
      </c>
      <c r="E5716" s="7" t="s">
        <v>180</v>
      </c>
      <c r="F5716" s="6" t="n">
        <v>9.36</v>
      </c>
      <c r="G5716" s="6" t="n">
        <v>0</v>
      </c>
      <c r="H5716" s="41" t="n">
        <v>14.56</v>
      </c>
      <c r="I5716" s="43" t="n">
        <f aca="false">F5716*H5716</f>
        <v>136.2816</v>
      </c>
      <c r="J5716" s="43" t="n">
        <f aca="false">G5716*H5716*1.5</f>
        <v>0</v>
      </c>
      <c r="K5716" s="6" t="n">
        <v>22.11</v>
      </c>
      <c r="L5716" s="43" t="n">
        <f aca="false">K5716*'Chart of Accounts'!$E$68</f>
        <v>14.8137</v>
      </c>
      <c r="O5716" s="42" t="n">
        <f aca="false">I5716+J5716+L5716</f>
        <v>151.0953</v>
      </c>
    </row>
    <row r="5717" customFormat="false" ht="15" hidden="false" customHeight="false" outlineLevel="0" collapsed="false">
      <c r="B5717" s="7" t="s">
        <v>14350</v>
      </c>
      <c r="C5717" s="39" t="n">
        <v>46008</v>
      </c>
      <c r="D5717" s="7" t="s">
        <v>242</v>
      </c>
      <c r="E5717" s="7" t="s">
        <v>180</v>
      </c>
      <c r="F5717" s="6" t="n">
        <v>6.324</v>
      </c>
      <c r="G5717" s="6" t="n">
        <v>0.906</v>
      </c>
      <c r="H5717" s="41" t="n">
        <v>17.99</v>
      </c>
      <c r="I5717" s="43" t="n">
        <f aca="false">F5717*H5717</f>
        <v>113.76876</v>
      </c>
      <c r="J5717" s="43" t="n">
        <f aca="false">G5717*H5717*1.5</f>
        <v>24.44841</v>
      </c>
      <c r="K5717" s="6" t="n">
        <v>19.3</v>
      </c>
      <c r="L5717" s="43" t="n">
        <f aca="false">K5717*'Chart of Accounts'!$E$68</f>
        <v>12.931</v>
      </c>
      <c r="O5717" s="42" t="n">
        <f aca="false">I5717+J5717+L5717</f>
        <v>151.14817</v>
      </c>
    </row>
    <row r="5718" customFormat="false" ht="15" hidden="false" customHeight="false" outlineLevel="0" collapsed="false">
      <c r="B5718" s="7" t="s">
        <v>14351</v>
      </c>
      <c r="C5718" s="39" t="n">
        <v>46008</v>
      </c>
      <c r="D5718" s="7" t="s">
        <v>244</v>
      </c>
      <c r="E5718" s="7" t="s">
        <v>180</v>
      </c>
      <c r="F5718" s="6" t="n">
        <v>3.9</v>
      </c>
      <c r="G5718" s="6" t="n">
        <v>0</v>
      </c>
      <c r="H5718" s="41" t="n">
        <v>16.39</v>
      </c>
      <c r="I5718" s="43" t="n">
        <f aca="false">F5718*H5718</f>
        <v>63.921</v>
      </c>
      <c r="J5718" s="43" t="n">
        <f aca="false">G5718*H5718*1.5</f>
        <v>0</v>
      </c>
      <c r="K5718" s="6" t="n">
        <v>12.28</v>
      </c>
      <c r="L5718" s="43" t="n">
        <f aca="false">K5718*'Chart of Accounts'!$E$68</f>
        <v>8.2276</v>
      </c>
      <c r="O5718" s="42" t="n">
        <f aca="false">I5718+J5718+L5718</f>
        <v>72.1486</v>
      </c>
    </row>
    <row r="5719" customFormat="false" ht="15" hidden="false" customHeight="false" outlineLevel="0" collapsed="false">
      <c r="B5719" s="7" t="s">
        <v>14352</v>
      </c>
      <c r="C5719" s="39" t="n">
        <v>46008</v>
      </c>
      <c r="D5719" s="7" t="s">
        <v>254</v>
      </c>
      <c r="E5719" s="7" t="s">
        <v>180</v>
      </c>
      <c r="F5719" s="6" t="n">
        <v>3.25</v>
      </c>
      <c r="G5719" s="6" t="n">
        <v>0</v>
      </c>
      <c r="H5719" s="41" t="n">
        <v>17.1</v>
      </c>
      <c r="I5719" s="43" t="n">
        <f aca="false">F5719*H5719</f>
        <v>55.575</v>
      </c>
      <c r="J5719" s="43" t="n">
        <f aca="false">G5719*H5719*1.5</f>
        <v>0</v>
      </c>
      <c r="K5719" s="6" t="n">
        <v>7.59</v>
      </c>
      <c r="L5719" s="43" t="n">
        <f aca="false">K5719*'Chart of Accounts'!$E$68</f>
        <v>5.0853</v>
      </c>
      <c r="O5719" s="42" t="n">
        <f aca="false">I5719+J5719+L5719</f>
        <v>60.6603</v>
      </c>
    </row>
    <row r="5720" customFormat="false" ht="15" hidden="false" customHeight="false" outlineLevel="0" collapsed="false">
      <c r="B5720" s="7" t="s">
        <v>14353</v>
      </c>
      <c r="C5720" s="39" t="n">
        <v>46008</v>
      </c>
      <c r="D5720" s="7" t="s">
        <v>201</v>
      </c>
      <c r="E5720" s="7" t="s">
        <v>180</v>
      </c>
      <c r="F5720" s="6" t="n">
        <v>6.76</v>
      </c>
      <c r="G5720" s="6" t="n">
        <v>0</v>
      </c>
      <c r="H5720" s="41" t="n">
        <v>15.19</v>
      </c>
      <c r="I5720" s="43" t="n">
        <f aca="false">F5720*H5720</f>
        <v>102.6844</v>
      </c>
      <c r="J5720" s="43" t="n">
        <f aca="false">G5720*H5720*1.5</f>
        <v>0</v>
      </c>
      <c r="K5720" s="6" t="n">
        <v>24.01</v>
      </c>
      <c r="L5720" s="43" t="n">
        <f aca="false">K5720*'Chart of Accounts'!$E$68</f>
        <v>16.0867</v>
      </c>
      <c r="O5720" s="42" t="n">
        <f aca="false">I5720+J5720+L5720</f>
        <v>118.7711</v>
      </c>
    </row>
    <row r="5721" customFormat="false" ht="15" hidden="false" customHeight="false" outlineLevel="0" collapsed="false">
      <c r="B5721" s="7" t="s">
        <v>14354</v>
      </c>
      <c r="C5721" s="39" t="n">
        <v>46008</v>
      </c>
      <c r="D5721" s="7" t="s">
        <v>224</v>
      </c>
      <c r="E5721" s="7" t="s">
        <v>180</v>
      </c>
      <c r="F5721" s="6" t="n">
        <v>4.35</v>
      </c>
      <c r="G5721" s="6" t="n">
        <v>0</v>
      </c>
      <c r="H5721" s="41" t="n">
        <v>14.93</v>
      </c>
      <c r="I5721" s="43" t="n">
        <f aca="false">F5721*H5721</f>
        <v>64.9455</v>
      </c>
      <c r="J5721" s="43" t="n">
        <f aca="false">G5721*H5721*1.5</f>
        <v>0</v>
      </c>
      <c r="K5721" s="6" t="n">
        <v>13.69</v>
      </c>
      <c r="L5721" s="43" t="n">
        <f aca="false">K5721*'Chart of Accounts'!$E$68</f>
        <v>9.1723</v>
      </c>
      <c r="O5721" s="42" t="n">
        <f aca="false">I5721+J5721+L5721</f>
        <v>74.1178</v>
      </c>
    </row>
    <row r="5722" customFormat="false" ht="15" hidden="false" customHeight="false" outlineLevel="0" collapsed="false">
      <c r="B5722" s="7" t="s">
        <v>14355</v>
      </c>
      <c r="C5722" s="39" t="n">
        <v>46008</v>
      </c>
      <c r="D5722" s="7" t="s">
        <v>238</v>
      </c>
      <c r="E5722" s="7" t="s">
        <v>180</v>
      </c>
      <c r="F5722" s="6" t="n">
        <v>4.32</v>
      </c>
      <c r="G5722" s="6" t="n">
        <v>0</v>
      </c>
      <c r="H5722" s="41" t="n">
        <v>15.85</v>
      </c>
      <c r="I5722" s="43" t="n">
        <f aca="false">F5722*H5722</f>
        <v>68.472</v>
      </c>
      <c r="J5722" s="43" t="n">
        <f aca="false">G5722*H5722*1.5</f>
        <v>0</v>
      </c>
      <c r="K5722" s="6" t="n">
        <v>10.75</v>
      </c>
      <c r="L5722" s="43" t="n">
        <f aca="false">K5722*'Chart of Accounts'!$E$68</f>
        <v>7.2025</v>
      </c>
      <c r="O5722" s="42" t="n">
        <f aca="false">I5722+J5722+L5722</f>
        <v>75.6745</v>
      </c>
    </row>
    <row r="5723" customFormat="false" ht="15" hidden="false" customHeight="false" outlineLevel="0" collapsed="false">
      <c r="B5723" s="7" t="s">
        <v>14356</v>
      </c>
      <c r="C5723" s="39" t="n">
        <v>46008</v>
      </c>
      <c r="D5723" s="7" t="s">
        <v>196</v>
      </c>
      <c r="E5723" s="7" t="s">
        <v>180</v>
      </c>
      <c r="F5723" s="6" t="n">
        <v>6.582</v>
      </c>
      <c r="G5723" s="6" t="n">
        <v>0.538</v>
      </c>
      <c r="H5723" s="41" t="n">
        <v>15.05</v>
      </c>
      <c r="I5723" s="43" t="n">
        <f aca="false">F5723*H5723</f>
        <v>99.0591</v>
      </c>
      <c r="J5723" s="43" t="n">
        <f aca="false">G5723*H5723*1.5</f>
        <v>12.14535</v>
      </c>
      <c r="K5723" s="6" t="n">
        <v>23.72</v>
      </c>
      <c r="L5723" s="43" t="n">
        <f aca="false">K5723*'Chart of Accounts'!$E$68</f>
        <v>15.8924</v>
      </c>
      <c r="O5723" s="42" t="n">
        <f aca="false">I5723+J5723+L5723</f>
        <v>127.09685</v>
      </c>
    </row>
    <row r="5724" customFormat="false" ht="15" hidden="false" customHeight="false" outlineLevel="0" collapsed="false">
      <c r="B5724" s="7" t="s">
        <v>14357</v>
      </c>
      <c r="C5724" s="39" t="n">
        <v>46008</v>
      </c>
      <c r="D5724" s="7" t="s">
        <v>246</v>
      </c>
      <c r="E5724" s="7" t="s">
        <v>180</v>
      </c>
      <c r="F5724" s="6" t="n">
        <v>3.98</v>
      </c>
      <c r="G5724" s="6" t="n">
        <v>0</v>
      </c>
      <c r="H5724" s="41" t="n">
        <v>16.48</v>
      </c>
      <c r="I5724" s="43" t="n">
        <f aca="false">F5724*H5724</f>
        <v>65.5904</v>
      </c>
      <c r="J5724" s="43" t="n">
        <f aca="false">G5724*H5724*1.5</f>
        <v>0</v>
      </c>
      <c r="K5724" s="6" t="n">
        <v>12.82</v>
      </c>
      <c r="L5724" s="43" t="n">
        <f aca="false">K5724*'Chart of Accounts'!$E$68</f>
        <v>8.5894</v>
      </c>
      <c r="O5724" s="42" t="n">
        <f aca="false">I5724+J5724+L5724</f>
        <v>74.1798</v>
      </c>
    </row>
    <row r="5725" customFormat="false" ht="15" hidden="false" customHeight="false" outlineLevel="0" collapsed="false">
      <c r="B5725" s="7" t="s">
        <v>14358</v>
      </c>
      <c r="C5725" s="39" t="n">
        <v>46008</v>
      </c>
      <c r="D5725" s="7" t="s">
        <v>222</v>
      </c>
      <c r="E5725" s="7" t="s">
        <v>180</v>
      </c>
      <c r="F5725" s="6" t="n">
        <v>4.06</v>
      </c>
      <c r="G5725" s="6" t="n">
        <v>0</v>
      </c>
      <c r="H5725" s="41" t="n">
        <v>17.84</v>
      </c>
      <c r="I5725" s="43" t="n">
        <f aca="false">F5725*H5725</f>
        <v>72.4304</v>
      </c>
      <c r="J5725" s="43" t="n">
        <f aca="false">G5725*H5725*1.5</f>
        <v>0</v>
      </c>
      <c r="K5725" s="6" t="n">
        <v>13.76</v>
      </c>
      <c r="L5725" s="43" t="n">
        <f aca="false">K5725*'Chart of Accounts'!$E$68</f>
        <v>9.2192</v>
      </c>
      <c r="O5725" s="42" t="n">
        <f aca="false">I5725+J5725+L5725</f>
        <v>81.6496</v>
      </c>
    </row>
    <row r="5726" customFormat="false" ht="15" hidden="false" customHeight="false" outlineLevel="0" collapsed="false">
      <c r="B5726" s="7" t="s">
        <v>14359</v>
      </c>
      <c r="C5726" s="39" t="n">
        <v>46008</v>
      </c>
      <c r="D5726" s="7" t="s">
        <v>203</v>
      </c>
      <c r="E5726" s="7" t="s">
        <v>158</v>
      </c>
      <c r="H5726" s="41" t="n">
        <v>49.43</v>
      </c>
      <c r="M5726" s="6" t="n">
        <v>1</v>
      </c>
      <c r="N5726" s="43" t="n">
        <f aca="false">M5726*H5726</f>
        <v>49.43</v>
      </c>
      <c r="O5726" s="42" t="n">
        <f aca="false">N5726</f>
        <v>49.43</v>
      </c>
    </row>
    <row r="5727" customFormat="false" ht="15" hidden="false" customHeight="false" outlineLevel="0" collapsed="false">
      <c r="B5727" s="7" t="s">
        <v>14360</v>
      </c>
      <c r="C5727" s="39" t="n">
        <v>46009</v>
      </c>
      <c r="D5727" s="7" t="s">
        <v>238</v>
      </c>
      <c r="E5727" s="7" t="s">
        <v>180</v>
      </c>
      <c r="F5727" s="6" t="n">
        <v>3.92</v>
      </c>
      <c r="G5727" s="6" t="n">
        <v>0</v>
      </c>
      <c r="H5727" s="41" t="n">
        <v>15.85</v>
      </c>
      <c r="I5727" s="43" t="n">
        <f aca="false">F5727*H5727</f>
        <v>62.132</v>
      </c>
      <c r="J5727" s="43" t="n">
        <f aca="false">G5727*H5727*1.5</f>
        <v>0</v>
      </c>
      <c r="K5727" s="6" t="n">
        <v>8.65</v>
      </c>
      <c r="L5727" s="43" t="n">
        <f aca="false">K5727*'Chart of Accounts'!$E$68</f>
        <v>5.7955</v>
      </c>
      <c r="O5727" s="42" t="n">
        <f aca="false">I5727+J5727+L5727</f>
        <v>67.9275</v>
      </c>
    </row>
    <row r="5728" customFormat="false" ht="15" hidden="false" customHeight="false" outlineLevel="0" collapsed="false">
      <c r="B5728" s="7" t="s">
        <v>14361</v>
      </c>
      <c r="C5728" s="39" t="n">
        <v>46009</v>
      </c>
      <c r="D5728" s="7" t="s">
        <v>201</v>
      </c>
      <c r="E5728" s="7" t="s">
        <v>180</v>
      </c>
      <c r="F5728" s="6" t="n">
        <v>6.28</v>
      </c>
      <c r="G5728" s="6" t="n">
        <v>0</v>
      </c>
      <c r="H5728" s="41" t="n">
        <v>15.19</v>
      </c>
      <c r="I5728" s="43" t="n">
        <f aca="false">F5728*H5728</f>
        <v>95.3932</v>
      </c>
      <c r="J5728" s="43" t="n">
        <f aca="false">G5728*H5728*1.5</f>
        <v>0</v>
      </c>
      <c r="K5728" s="6" t="n">
        <v>22.31</v>
      </c>
      <c r="L5728" s="43" t="n">
        <f aca="false">K5728*'Chart of Accounts'!$E$68</f>
        <v>14.9477</v>
      </c>
      <c r="O5728" s="42" t="n">
        <f aca="false">I5728+J5728+L5728</f>
        <v>110.3409</v>
      </c>
    </row>
    <row r="5729" customFormat="false" ht="15" hidden="false" customHeight="false" outlineLevel="0" collapsed="false">
      <c r="B5729" s="7" t="s">
        <v>14362</v>
      </c>
      <c r="C5729" s="39" t="n">
        <v>46009</v>
      </c>
      <c r="D5729" s="7" t="s">
        <v>205</v>
      </c>
      <c r="E5729" s="7" t="s">
        <v>180</v>
      </c>
      <c r="F5729" s="6" t="n">
        <v>2.71</v>
      </c>
      <c r="G5729" s="6" t="n">
        <v>0</v>
      </c>
      <c r="H5729" s="41" t="n">
        <v>16.36</v>
      </c>
      <c r="I5729" s="43" t="n">
        <f aca="false">F5729*H5729</f>
        <v>44.3356</v>
      </c>
      <c r="J5729" s="43" t="n">
        <f aca="false">G5729*H5729*1.5</f>
        <v>0</v>
      </c>
      <c r="K5729" s="6" t="n">
        <v>7.57</v>
      </c>
      <c r="L5729" s="43" t="n">
        <f aca="false">K5729*'Chart of Accounts'!$E$68</f>
        <v>5.0719</v>
      </c>
      <c r="O5729" s="42" t="n">
        <f aca="false">I5729+J5729+L5729</f>
        <v>49.4075</v>
      </c>
    </row>
    <row r="5730" customFormat="false" ht="15" hidden="false" customHeight="false" outlineLevel="0" collapsed="false">
      <c r="B5730" s="7" t="s">
        <v>14363</v>
      </c>
      <c r="C5730" s="39" t="n">
        <v>46009</v>
      </c>
      <c r="D5730" s="7" t="s">
        <v>240</v>
      </c>
      <c r="E5730" s="7" t="s">
        <v>180</v>
      </c>
      <c r="F5730" s="6" t="n">
        <v>7.01</v>
      </c>
      <c r="G5730" s="6" t="n">
        <v>0</v>
      </c>
      <c r="H5730" s="41" t="n">
        <v>16.96</v>
      </c>
      <c r="I5730" s="43" t="n">
        <f aca="false">F5730*H5730</f>
        <v>118.8896</v>
      </c>
      <c r="J5730" s="43" t="n">
        <f aca="false">G5730*H5730*1.5</f>
        <v>0</v>
      </c>
      <c r="K5730" s="6" t="n">
        <v>18.76</v>
      </c>
      <c r="L5730" s="43" t="n">
        <f aca="false">K5730*'Chart of Accounts'!$E$68</f>
        <v>12.5692</v>
      </c>
      <c r="O5730" s="42" t="n">
        <f aca="false">I5730+J5730+L5730</f>
        <v>131.4588</v>
      </c>
    </row>
    <row r="5731" customFormat="false" ht="15" hidden="false" customHeight="false" outlineLevel="0" collapsed="false">
      <c r="B5731" s="7" t="s">
        <v>14364</v>
      </c>
      <c r="C5731" s="39" t="n">
        <v>46009</v>
      </c>
      <c r="D5731" s="7" t="s">
        <v>196</v>
      </c>
      <c r="E5731" s="7" t="s">
        <v>180</v>
      </c>
      <c r="F5731" s="6" t="n">
        <v>9.272</v>
      </c>
      <c r="G5731" s="6" t="n">
        <v>0.758</v>
      </c>
      <c r="H5731" s="41" t="n">
        <v>15.05</v>
      </c>
      <c r="I5731" s="43" t="n">
        <f aca="false">F5731*H5731</f>
        <v>139.5436</v>
      </c>
      <c r="J5731" s="43" t="n">
        <f aca="false">G5731*H5731*1.5</f>
        <v>17.11185</v>
      </c>
      <c r="K5731" s="6" t="n">
        <v>29.2</v>
      </c>
      <c r="L5731" s="43" t="n">
        <f aca="false">K5731*'Chart of Accounts'!$E$68</f>
        <v>19.564</v>
      </c>
      <c r="O5731" s="42" t="n">
        <f aca="false">I5731+J5731+L5731</f>
        <v>176.21945</v>
      </c>
    </row>
    <row r="5732" customFormat="false" ht="15" hidden="false" customHeight="false" outlineLevel="0" collapsed="false">
      <c r="B5732" s="7" t="s">
        <v>14365</v>
      </c>
      <c r="C5732" s="39" t="n">
        <v>46009</v>
      </c>
      <c r="D5732" s="7" t="s">
        <v>184</v>
      </c>
      <c r="E5732" s="7" t="s">
        <v>180</v>
      </c>
      <c r="F5732" s="6" t="n">
        <v>4.28</v>
      </c>
      <c r="G5732" s="6" t="n">
        <v>0</v>
      </c>
      <c r="H5732" s="41" t="n">
        <v>17.34</v>
      </c>
      <c r="I5732" s="43" t="n">
        <f aca="false">F5732*H5732</f>
        <v>74.2152</v>
      </c>
      <c r="J5732" s="43" t="n">
        <f aca="false">G5732*H5732*1.5</f>
        <v>0</v>
      </c>
      <c r="K5732" s="6" t="n">
        <v>13.54</v>
      </c>
      <c r="L5732" s="43" t="n">
        <f aca="false">K5732*'Chart of Accounts'!$E$68</f>
        <v>9.0718</v>
      </c>
      <c r="O5732" s="42" t="n">
        <f aca="false">I5732+J5732+L5732</f>
        <v>83.287</v>
      </c>
    </row>
    <row r="5733" customFormat="false" ht="15" hidden="false" customHeight="false" outlineLevel="0" collapsed="false">
      <c r="B5733" s="7" t="s">
        <v>14366</v>
      </c>
      <c r="C5733" s="39" t="n">
        <v>46009</v>
      </c>
      <c r="D5733" s="7" t="s">
        <v>214</v>
      </c>
      <c r="E5733" s="7" t="s">
        <v>180</v>
      </c>
      <c r="F5733" s="6" t="n">
        <v>6.98</v>
      </c>
      <c r="G5733" s="6" t="n">
        <v>0</v>
      </c>
      <c r="H5733" s="41" t="n">
        <v>15.67</v>
      </c>
      <c r="I5733" s="43" t="n">
        <f aca="false">F5733*H5733</f>
        <v>109.3766</v>
      </c>
      <c r="J5733" s="43" t="n">
        <f aca="false">G5733*H5733*1.5</f>
        <v>0</v>
      </c>
      <c r="K5733" s="6" t="n">
        <v>23.83</v>
      </c>
      <c r="L5733" s="43" t="n">
        <f aca="false">K5733*'Chart of Accounts'!$E$68</f>
        <v>15.9661</v>
      </c>
      <c r="O5733" s="42" t="n">
        <f aca="false">I5733+J5733+L5733</f>
        <v>125.3427</v>
      </c>
    </row>
    <row r="5734" customFormat="false" ht="15" hidden="false" customHeight="false" outlineLevel="0" collapsed="false">
      <c r="B5734" s="7" t="s">
        <v>14367</v>
      </c>
      <c r="C5734" s="39" t="n">
        <v>46009</v>
      </c>
      <c r="D5734" s="7" t="s">
        <v>218</v>
      </c>
      <c r="E5734" s="7" t="s">
        <v>180</v>
      </c>
      <c r="F5734" s="6" t="n">
        <v>3.81</v>
      </c>
      <c r="G5734" s="6" t="n">
        <v>0</v>
      </c>
      <c r="H5734" s="41" t="n">
        <v>16.19</v>
      </c>
      <c r="I5734" s="43" t="n">
        <f aca="false">F5734*H5734</f>
        <v>61.6839</v>
      </c>
      <c r="J5734" s="43" t="n">
        <f aca="false">G5734*H5734*1.5</f>
        <v>0</v>
      </c>
      <c r="K5734" s="6" t="n">
        <v>12.04</v>
      </c>
      <c r="L5734" s="43" t="n">
        <f aca="false">K5734*'Chart of Accounts'!$E$68</f>
        <v>8.0668</v>
      </c>
      <c r="O5734" s="42" t="n">
        <f aca="false">I5734+J5734+L5734</f>
        <v>69.7507</v>
      </c>
    </row>
    <row r="5735" customFormat="false" ht="15" hidden="false" customHeight="false" outlineLevel="0" collapsed="false">
      <c r="B5735" s="7" t="s">
        <v>14368</v>
      </c>
      <c r="C5735" s="39" t="n">
        <v>46009</v>
      </c>
      <c r="D5735" s="7" t="s">
        <v>236</v>
      </c>
      <c r="E5735" s="7" t="s">
        <v>180</v>
      </c>
      <c r="F5735" s="6" t="n">
        <v>3.27</v>
      </c>
      <c r="G5735" s="6" t="n">
        <v>0</v>
      </c>
      <c r="H5735" s="41" t="n">
        <v>15.49</v>
      </c>
      <c r="I5735" s="43" t="n">
        <f aca="false">F5735*H5735</f>
        <v>50.6523</v>
      </c>
      <c r="J5735" s="43" t="n">
        <f aca="false">G5735*H5735*1.5</f>
        <v>0</v>
      </c>
      <c r="K5735" s="6" t="n">
        <v>9.12</v>
      </c>
      <c r="L5735" s="43" t="n">
        <f aca="false">K5735*'Chart of Accounts'!$E$68</f>
        <v>6.1104</v>
      </c>
      <c r="O5735" s="42" t="n">
        <f aca="false">I5735+J5735+L5735</f>
        <v>56.7627</v>
      </c>
    </row>
    <row r="5736" customFormat="false" ht="15" hidden="false" customHeight="false" outlineLevel="0" collapsed="false">
      <c r="B5736" s="7" t="s">
        <v>14369</v>
      </c>
      <c r="C5736" s="39" t="n">
        <v>46009</v>
      </c>
      <c r="D5736" s="7" t="s">
        <v>220</v>
      </c>
      <c r="E5736" s="7" t="s">
        <v>180</v>
      </c>
      <c r="F5736" s="6" t="n">
        <v>3.89</v>
      </c>
      <c r="G5736" s="6" t="n">
        <v>0</v>
      </c>
      <c r="H5736" s="41" t="n">
        <v>16.43</v>
      </c>
      <c r="I5736" s="43" t="n">
        <f aca="false">F5736*H5736</f>
        <v>63.9127</v>
      </c>
      <c r="J5736" s="43" t="n">
        <f aca="false">G5736*H5736*1.5</f>
        <v>0</v>
      </c>
      <c r="K5736" s="6" t="n">
        <v>8.9</v>
      </c>
      <c r="L5736" s="43" t="n">
        <f aca="false">K5736*'Chart of Accounts'!$E$68</f>
        <v>5.963</v>
      </c>
      <c r="O5736" s="42" t="n">
        <f aca="false">I5736+J5736+L5736</f>
        <v>69.8757</v>
      </c>
    </row>
    <row r="5737" customFormat="false" ht="15" hidden="false" customHeight="false" outlineLevel="0" collapsed="false">
      <c r="B5737" s="7" t="s">
        <v>14370</v>
      </c>
      <c r="C5737" s="39" t="n">
        <v>46009</v>
      </c>
      <c r="D5737" s="7" t="s">
        <v>222</v>
      </c>
      <c r="E5737" s="7" t="s">
        <v>180</v>
      </c>
      <c r="F5737" s="6" t="n">
        <v>6.75</v>
      </c>
      <c r="G5737" s="6" t="n">
        <v>0</v>
      </c>
      <c r="H5737" s="41" t="n">
        <v>17.84</v>
      </c>
      <c r="I5737" s="43" t="n">
        <f aca="false">F5737*H5737</f>
        <v>120.42</v>
      </c>
      <c r="J5737" s="43" t="n">
        <f aca="false">G5737*H5737*1.5</f>
        <v>0</v>
      </c>
      <c r="K5737" s="6" t="n">
        <v>23.62</v>
      </c>
      <c r="L5737" s="43" t="n">
        <f aca="false">K5737*'Chart of Accounts'!$E$68</f>
        <v>15.8254</v>
      </c>
      <c r="O5737" s="42" t="n">
        <f aca="false">I5737+J5737+L5737</f>
        <v>136.2454</v>
      </c>
    </row>
    <row r="5738" customFormat="false" ht="15" hidden="false" customHeight="false" outlineLevel="0" collapsed="false">
      <c r="B5738" s="7" t="s">
        <v>14371</v>
      </c>
      <c r="C5738" s="39" t="n">
        <v>46009</v>
      </c>
      <c r="D5738" s="7" t="s">
        <v>244</v>
      </c>
      <c r="E5738" s="7" t="s">
        <v>180</v>
      </c>
      <c r="F5738" s="6" t="n">
        <v>3.91</v>
      </c>
      <c r="G5738" s="6" t="n">
        <v>0</v>
      </c>
      <c r="H5738" s="41" t="n">
        <v>16.39</v>
      </c>
      <c r="I5738" s="43" t="n">
        <f aca="false">F5738*H5738</f>
        <v>64.0849</v>
      </c>
      <c r="J5738" s="43" t="n">
        <f aca="false">G5738*H5738*1.5</f>
        <v>0</v>
      </c>
      <c r="K5738" s="6" t="n">
        <v>11.47</v>
      </c>
      <c r="L5738" s="43" t="n">
        <f aca="false">K5738*'Chart of Accounts'!$E$68</f>
        <v>7.6849</v>
      </c>
      <c r="O5738" s="42" t="n">
        <f aca="false">I5738+J5738+L5738</f>
        <v>71.7698</v>
      </c>
    </row>
    <row r="5739" customFormat="false" ht="15" hidden="false" customHeight="false" outlineLevel="0" collapsed="false">
      <c r="B5739" s="7" t="s">
        <v>14372</v>
      </c>
      <c r="C5739" s="39" t="n">
        <v>46009</v>
      </c>
      <c r="D5739" s="7" t="s">
        <v>232</v>
      </c>
      <c r="E5739" s="7" t="s">
        <v>180</v>
      </c>
      <c r="F5739" s="6" t="n">
        <v>4.16</v>
      </c>
      <c r="G5739" s="6" t="n">
        <v>0</v>
      </c>
      <c r="H5739" s="41" t="n">
        <v>16.17</v>
      </c>
      <c r="I5739" s="43" t="n">
        <f aca="false">F5739*H5739</f>
        <v>67.2672</v>
      </c>
      <c r="J5739" s="43" t="n">
        <f aca="false">G5739*H5739*1.5</f>
        <v>0</v>
      </c>
      <c r="K5739" s="6" t="n">
        <v>13.07</v>
      </c>
      <c r="L5739" s="43" t="n">
        <f aca="false">K5739*'Chart of Accounts'!$E$68</f>
        <v>8.7569</v>
      </c>
      <c r="O5739" s="42" t="n">
        <f aca="false">I5739+J5739+L5739</f>
        <v>76.0241</v>
      </c>
    </row>
    <row r="5740" customFormat="false" ht="15" hidden="false" customHeight="false" outlineLevel="0" collapsed="false">
      <c r="B5740" s="7" t="s">
        <v>14373</v>
      </c>
      <c r="C5740" s="39" t="n">
        <v>46009</v>
      </c>
      <c r="D5740" s="7" t="s">
        <v>246</v>
      </c>
      <c r="E5740" s="7" t="s">
        <v>180</v>
      </c>
      <c r="F5740" s="6" t="n">
        <v>7.92</v>
      </c>
      <c r="G5740" s="6" t="n">
        <v>0</v>
      </c>
      <c r="H5740" s="41" t="n">
        <v>16.48</v>
      </c>
      <c r="I5740" s="43" t="n">
        <f aca="false">F5740*H5740</f>
        <v>130.5216</v>
      </c>
      <c r="J5740" s="43" t="n">
        <f aca="false">G5740*H5740*1.5</f>
        <v>0</v>
      </c>
      <c r="K5740" s="6" t="n">
        <v>22.68</v>
      </c>
      <c r="L5740" s="43" t="n">
        <f aca="false">K5740*'Chart of Accounts'!$E$68</f>
        <v>15.1956</v>
      </c>
      <c r="O5740" s="42" t="n">
        <f aca="false">I5740+J5740+L5740</f>
        <v>145.7172</v>
      </c>
    </row>
    <row r="5741" customFormat="false" ht="15" hidden="false" customHeight="false" outlineLevel="0" collapsed="false">
      <c r="B5741" s="7" t="s">
        <v>14374</v>
      </c>
      <c r="C5741" s="39" t="n">
        <v>46009</v>
      </c>
      <c r="D5741" s="7" t="s">
        <v>194</v>
      </c>
      <c r="E5741" s="7" t="s">
        <v>180</v>
      </c>
      <c r="F5741" s="6" t="n">
        <v>3.61</v>
      </c>
      <c r="G5741" s="6" t="n">
        <v>0</v>
      </c>
      <c r="H5741" s="41" t="n">
        <v>16</v>
      </c>
      <c r="I5741" s="43" t="n">
        <f aca="false">F5741*H5741</f>
        <v>57.76</v>
      </c>
      <c r="J5741" s="43" t="n">
        <f aca="false">G5741*H5741*1.5</f>
        <v>0</v>
      </c>
      <c r="K5741" s="6" t="n">
        <v>12.7</v>
      </c>
      <c r="L5741" s="43" t="n">
        <f aca="false">K5741*'Chart of Accounts'!$E$68</f>
        <v>8.509</v>
      </c>
      <c r="O5741" s="42" t="n">
        <f aca="false">I5741+J5741+L5741</f>
        <v>66.269</v>
      </c>
    </row>
    <row r="5742" customFormat="false" ht="15" hidden="false" customHeight="false" outlineLevel="0" collapsed="false">
      <c r="B5742" s="7" t="s">
        <v>14375</v>
      </c>
      <c r="C5742" s="39" t="n">
        <v>46009</v>
      </c>
      <c r="D5742" s="7" t="s">
        <v>256</v>
      </c>
      <c r="E5742" s="7" t="s">
        <v>180</v>
      </c>
      <c r="F5742" s="6" t="n">
        <v>2.89</v>
      </c>
      <c r="G5742" s="6" t="n">
        <v>0</v>
      </c>
      <c r="H5742" s="41" t="n">
        <v>15.63</v>
      </c>
      <c r="I5742" s="43" t="n">
        <f aca="false">F5742*H5742</f>
        <v>45.1707</v>
      </c>
      <c r="J5742" s="43" t="n">
        <f aca="false">G5742*H5742*1.5</f>
        <v>0</v>
      </c>
      <c r="K5742" s="6" t="n">
        <v>8.38</v>
      </c>
      <c r="L5742" s="43" t="n">
        <f aca="false">K5742*'Chart of Accounts'!$E$68</f>
        <v>5.6146</v>
      </c>
      <c r="O5742" s="42" t="n">
        <f aca="false">I5742+J5742+L5742</f>
        <v>50.7853</v>
      </c>
    </row>
    <row r="5743" customFormat="false" ht="15" hidden="false" customHeight="false" outlineLevel="0" collapsed="false">
      <c r="B5743" s="7" t="s">
        <v>14376</v>
      </c>
      <c r="C5743" s="39" t="n">
        <v>46009</v>
      </c>
      <c r="D5743" s="7" t="s">
        <v>242</v>
      </c>
      <c r="E5743" s="7" t="s">
        <v>180</v>
      </c>
      <c r="F5743" s="6" t="n">
        <v>3.263</v>
      </c>
      <c r="G5743" s="6" t="n">
        <v>0.467</v>
      </c>
      <c r="H5743" s="41" t="n">
        <v>17.99</v>
      </c>
      <c r="I5743" s="43" t="n">
        <f aca="false">F5743*H5743</f>
        <v>58.70137</v>
      </c>
      <c r="J5743" s="43" t="n">
        <f aca="false">G5743*H5743*1.5</f>
        <v>12.601995</v>
      </c>
      <c r="K5743" s="6" t="n">
        <v>13.36</v>
      </c>
      <c r="L5743" s="43" t="n">
        <f aca="false">K5743*'Chart of Accounts'!$E$68</f>
        <v>8.9512</v>
      </c>
      <c r="O5743" s="42" t="n">
        <f aca="false">I5743+J5743+L5743</f>
        <v>80.254565</v>
      </c>
    </row>
    <row r="5744" customFormat="false" ht="15" hidden="false" customHeight="false" outlineLevel="0" collapsed="false">
      <c r="B5744" s="7" t="s">
        <v>14377</v>
      </c>
      <c r="C5744" s="39" t="n">
        <v>46009</v>
      </c>
      <c r="D5744" s="7" t="s">
        <v>254</v>
      </c>
      <c r="E5744" s="7" t="s">
        <v>180</v>
      </c>
      <c r="F5744" s="6" t="n">
        <v>3.84</v>
      </c>
      <c r="G5744" s="6" t="n">
        <v>0</v>
      </c>
      <c r="H5744" s="41" t="n">
        <v>17.1</v>
      </c>
      <c r="I5744" s="43" t="n">
        <f aca="false">F5744*H5744</f>
        <v>65.664</v>
      </c>
      <c r="J5744" s="43" t="n">
        <f aca="false">G5744*H5744*1.5</f>
        <v>0</v>
      </c>
      <c r="K5744" s="6" t="n">
        <v>11.02</v>
      </c>
      <c r="L5744" s="43" t="n">
        <f aca="false">K5744*'Chart of Accounts'!$E$68</f>
        <v>7.3834</v>
      </c>
      <c r="O5744" s="42" t="n">
        <f aca="false">I5744+J5744+L5744</f>
        <v>73.0474</v>
      </c>
    </row>
    <row r="5745" customFormat="false" ht="15" hidden="false" customHeight="false" outlineLevel="0" collapsed="false">
      <c r="B5745" s="7" t="s">
        <v>14378</v>
      </c>
      <c r="C5745" s="39" t="n">
        <v>46010</v>
      </c>
      <c r="D5745" s="7" t="s">
        <v>242</v>
      </c>
      <c r="E5745" s="7" t="s">
        <v>180</v>
      </c>
      <c r="F5745" s="6" t="n">
        <v>12.709</v>
      </c>
      <c r="G5745" s="6" t="n">
        <v>1.821</v>
      </c>
      <c r="H5745" s="41" t="n">
        <v>17.99</v>
      </c>
      <c r="I5745" s="43" t="n">
        <f aca="false">F5745*H5745</f>
        <v>228.63491</v>
      </c>
      <c r="J5745" s="43" t="n">
        <f aca="false">G5745*H5745*1.5</f>
        <v>49.139685</v>
      </c>
      <c r="K5745" s="6" t="n">
        <v>48.85</v>
      </c>
      <c r="L5745" s="43" t="n">
        <f aca="false">K5745*'Chart of Accounts'!$E$68</f>
        <v>32.7295</v>
      </c>
      <c r="O5745" s="42" t="n">
        <f aca="false">I5745+J5745+L5745</f>
        <v>310.504095</v>
      </c>
    </row>
    <row r="5746" customFormat="false" ht="15" hidden="false" customHeight="false" outlineLevel="0" collapsed="false">
      <c r="B5746" s="7" t="s">
        <v>14379</v>
      </c>
      <c r="C5746" s="39" t="n">
        <v>46010</v>
      </c>
      <c r="D5746" s="7" t="s">
        <v>194</v>
      </c>
      <c r="E5746" s="7" t="s">
        <v>180</v>
      </c>
      <c r="F5746" s="6" t="n">
        <v>8.1</v>
      </c>
      <c r="G5746" s="6" t="n">
        <v>0</v>
      </c>
      <c r="H5746" s="41" t="n">
        <v>16</v>
      </c>
      <c r="I5746" s="43" t="n">
        <f aca="false">F5746*H5746</f>
        <v>129.6</v>
      </c>
      <c r="J5746" s="43" t="n">
        <f aca="false">G5746*H5746*1.5</f>
        <v>0</v>
      </c>
      <c r="K5746" s="6" t="n">
        <v>28.26</v>
      </c>
      <c r="L5746" s="43" t="n">
        <f aca="false">K5746*'Chart of Accounts'!$E$68</f>
        <v>18.9342</v>
      </c>
      <c r="O5746" s="42" t="n">
        <f aca="false">I5746+J5746+L5746</f>
        <v>148.5342</v>
      </c>
    </row>
    <row r="5747" customFormat="false" ht="15" hidden="false" customHeight="false" outlineLevel="0" collapsed="false">
      <c r="B5747" s="7" t="s">
        <v>14380</v>
      </c>
      <c r="C5747" s="39" t="n">
        <v>46010</v>
      </c>
      <c r="D5747" s="7" t="s">
        <v>198</v>
      </c>
      <c r="E5747" s="7" t="s">
        <v>158</v>
      </c>
      <c r="H5747" s="41" t="n">
        <v>48.09</v>
      </c>
      <c r="M5747" s="6" t="n">
        <v>1</v>
      </c>
      <c r="N5747" s="43" t="n">
        <f aca="false">M5747*H5747</f>
        <v>48.09</v>
      </c>
      <c r="O5747" s="42" t="n">
        <f aca="false">N5747</f>
        <v>48.09</v>
      </c>
    </row>
    <row r="5748" customFormat="false" ht="15" hidden="false" customHeight="false" outlineLevel="0" collapsed="false">
      <c r="B5748" s="7" t="s">
        <v>14381</v>
      </c>
      <c r="C5748" s="39" t="n">
        <v>46010</v>
      </c>
      <c r="D5748" s="7" t="s">
        <v>214</v>
      </c>
      <c r="E5748" s="7" t="s">
        <v>180</v>
      </c>
      <c r="F5748" s="6" t="n">
        <v>7.25</v>
      </c>
      <c r="G5748" s="6" t="n">
        <v>0</v>
      </c>
      <c r="H5748" s="41" t="n">
        <v>15.67</v>
      </c>
      <c r="I5748" s="43" t="n">
        <f aca="false">F5748*H5748</f>
        <v>113.6075</v>
      </c>
      <c r="J5748" s="43" t="n">
        <f aca="false">G5748*H5748*1.5</f>
        <v>0</v>
      </c>
      <c r="K5748" s="6" t="n">
        <v>21.95</v>
      </c>
      <c r="L5748" s="43" t="n">
        <f aca="false">K5748*'Chart of Accounts'!$E$68</f>
        <v>14.7065</v>
      </c>
      <c r="O5748" s="42" t="n">
        <f aca="false">I5748+J5748+L5748</f>
        <v>128.314</v>
      </c>
    </row>
    <row r="5749" customFormat="false" ht="15" hidden="false" customHeight="false" outlineLevel="0" collapsed="false">
      <c r="B5749" s="7" t="s">
        <v>14382</v>
      </c>
      <c r="C5749" s="39" t="n">
        <v>46010</v>
      </c>
      <c r="D5749" s="7" t="s">
        <v>209</v>
      </c>
      <c r="E5749" s="7" t="s">
        <v>158</v>
      </c>
      <c r="H5749" s="41" t="n">
        <v>73.58</v>
      </c>
      <c r="M5749" s="6" t="n">
        <v>2</v>
      </c>
      <c r="N5749" s="43" t="n">
        <f aca="false">M5749*H5749</f>
        <v>147.16</v>
      </c>
      <c r="O5749" s="42" t="n">
        <f aca="false">N5749</f>
        <v>147.16</v>
      </c>
    </row>
    <row r="5750" customFormat="false" ht="15" hidden="false" customHeight="false" outlineLevel="0" collapsed="false">
      <c r="B5750" s="7" t="s">
        <v>14383</v>
      </c>
      <c r="C5750" s="39" t="n">
        <v>46010</v>
      </c>
      <c r="D5750" s="7" t="s">
        <v>205</v>
      </c>
      <c r="E5750" s="7" t="s">
        <v>180</v>
      </c>
      <c r="F5750" s="6" t="n">
        <v>4.05</v>
      </c>
      <c r="G5750" s="6" t="n">
        <v>0</v>
      </c>
      <c r="H5750" s="41" t="n">
        <v>16.36</v>
      </c>
      <c r="I5750" s="43" t="n">
        <f aca="false">F5750*H5750</f>
        <v>66.258</v>
      </c>
      <c r="J5750" s="43" t="n">
        <f aca="false">G5750*H5750*1.5</f>
        <v>0</v>
      </c>
      <c r="K5750" s="6" t="n">
        <v>13.61</v>
      </c>
      <c r="L5750" s="43" t="n">
        <f aca="false">K5750*'Chart of Accounts'!$E$68</f>
        <v>9.1187</v>
      </c>
      <c r="O5750" s="42" t="n">
        <f aca="false">I5750+J5750+L5750</f>
        <v>75.3767</v>
      </c>
    </row>
    <row r="5751" customFormat="false" ht="15" hidden="false" customHeight="false" outlineLevel="0" collapsed="false">
      <c r="B5751" s="7" t="s">
        <v>14384</v>
      </c>
      <c r="C5751" s="39" t="n">
        <v>46010</v>
      </c>
      <c r="D5751" s="7" t="s">
        <v>264</v>
      </c>
      <c r="E5751" s="7" t="s">
        <v>158</v>
      </c>
      <c r="H5751" s="41" t="n">
        <v>55.55</v>
      </c>
      <c r="M5751" s="6" t="n">
        <v>1</v>
      </c>
      <c r="N5751" s="43" t="n">
        <f aca="false">M5751*H5751</f>
        <v>55.55</v>
      </c>
      <c r="O5751" s="42" t="n">
        <f aca="false">N5751</f>
        <v>55.55</v>
      </c>
    </row>
    <row r="5752" customFormat="false" ht="15" hidden="false" customHeight="false" outlineLevel="0" collapsed="false">
      <c r="B5752" s="7" t="s">
        <v>14385</v>
      </c>
      <c r="C5752" s="39" t="n">
        <v>46010</v>
      </c>
      <c r="D5752" s="7" t="s">
        <v>184</v>
      </c>
      <c r="E5752" s="7" t="s">
        <v>180</v>
      </c>
      <c r="F5752" s="6" t="n">
        <v>11.36</v>
      </c>
      <c r="G5752" s="6" t="n">
        <v>0</v>
      </c>
      <c r="H5752" s="41" t="n">
        <v>17.34</v>
      </c>
      <c r="I5752" s="43" t="n">
        <f aca="false">F5752*H5752</f>
        <v>196.9824</v>
      </c>
      <c r="J5752" s="43" t="n">
        <f aca="false">G5752*H5752*1.5</f>
        <v>0</v>
      </c>
      <c r="K5752" s="6" t="n">
        <v>40.08</v>
      </c>
      <c r="L5752" s="43" t="n">
        <f aca="false">K5752*'Chart of Accounts'!$E$68</f>
        <v>26.8536</v>
      </c>
      <c r="O5752" s="42" t="n">
        <f aca="false">I5752+J5752+L5752</f>
        <v>223.836</v>
      </c>
    </row>
    <row r="5753" customFormat="false" ht="15" hidden="false" customHeight="false" outlineLevel="0" collapsed="false">
      <c r="B5753" s="7" t="s">
        <v>14386</v>
      </c>
      <c r="C5753" s="39" t="n">
        <v>46010</v>
      </c>
      <c r="D5753" s="7" t="s">
        <v>216</v>
      </c>
      <c r="E5753" s="7" t="s">
        <v>158</v>
      </c>
      <c r="H5753" s="41" t="n">
        <v>61.79</v>
      </c>
      <c r="M5753" s="6" t="n">
        <v>1</v>
      </c>
      <c r="N5753" s="43" t="n">
        <f aca="false">M5753*H5753</f>
        <v>61.79</v>
      </c>
      <c r="O5753" s="42" t="n">
        <f aca="false">N5753</f>
        <v>61.79</v>
      </c>
    </row>
    <row r="5754" customFormat="false" ht="15" hidden="false" customHeight="false" outlineLevel="0" collapsed="false">
      <c r="B5754" s="7" t="s">
        <v>14387</v>
      </c>
      <c r="C5754" s="39" t="n">
        <v>46010</v>
      </c>
      <c r="D5754" s="7" t="s">
        <v>234</v>
      </c>
      <c r="E5754" s="7" t="s">
        <v>158</v>
      </c>
      <c r="H5754" s="41" t="n">
        <v>89.53</v>
      </c>
      <c r="M5754" s="6" t="n">
        <v>3</v>
      </c>
      <c r="N5754" s="43" t="n">
        <f aca="false">M5754*H5754</f>
        <v>268.59</v>
      </c>
      <c r="O5754" s="42" t="n">
        <f aca="false">N5754</f>
        <v>268.59</v>
      </c>
    </row>
    <row r="5755" customFormat="false" ht="15" hidden="false" customHeight="false" outlineLevel="0" collapsed="false">
      <c r="B5755" s="7" t="s">
        <v>14388</v>
      </c>
      <c r="C5755" s="39" t="n">
        <v>46010</v>
      </c>
      <c r="D5755" s="7" t="s">
        <v>218</v>
      </c>
      <c r="E5755" s="7" t="s">
        <v>180</v>
      </c>
      <c r="F5755" s="6" t="n">
        <v>4.11</v>
      </c>
      <c r="G5755" s="6" t="n">
        <v>0</v>
      </c>
      <c r="H5755" s="41" t="n">
        <v>16.19</v>
      </c>
      <c r="I5755" s="43" t="n">
        <f aca="false">F5755*H5755</f>
        <v>66.5409</v>
      </c>
      <c r="J5755" s="43" t="n">
        <f aca="false">G5755*H5755*1.5</f>
        <v>0</v>
      </c>
      <c r="K5755" s="6" t="n">
        <v>14.31</v>
      </c>
      <c r="L5755" s="43" t="n">
        <f aca="false">K5755*'Chart of Accounts'!$E$68</f>
        <v>9.5877</v>
      </c>
      <c r="O5755" s="42" t="n">
        <f aca="false">I5755+J5755+L5755</f>
        <v>76.1286</v>
      </c>
    </row>
    <row r="5756" customFormat="false" ht="15" hidden="false" customHeight="false" outlineLevel="0" collapsed="false">
      <c r="B5756" s="7" t="s">
        <v>14389</v>
      </c>
      <c r="C5756" s="39" t="n">
        <v>46010</v>
      </c>
      <c r="D5756" s="7" t="s">
        <v>228</v>
      </c>
      <c r="E5756" s="7" t="s">
        <v>158</v>
      </c>
      <c r="H5756" s="41" t="n">
        <v>51.07</v>
      </c>
      <c r="M5756" s="6" t="n">
        <v>1</v>
      </c>
      <c r="N5756" s="43" t="n">
        <f aca="false">M5756*H5756</f>
        <v>51.07</v>
      </c>
      <c r="O5756" s="42" t="n">
        <f aca="false">N5756</f>
        <v>51.07</v>
      </c>
    </row>
    <row r="5757" customFormat="false" ht="15" hidden="false" customHeight="false" outlineLevel="0" collapsed="false">
      <c r="B5757" s="7" t="s">
        <v>14390</v>
      </c>
      <c r="C5757" s="39" t="n">
        <v>46010</v>
      </c>
      <c r="D5757" s="7" t="s">
        <v>220</v>
      </c>
      <c r="E5757" s="7" t="s">
        <v>180</v>
      </c>
      <c r="F5757" s="6" t="n">
        <v>3.77</v>
      </c>
      <c r="G5757" s="6" t="n">
        <v>0</v>
      </c>
      <c r="H5757" s="41" t="n">
        <v>16.43</v>
      </c>
      <c r="I5757" s="43" t="n">
        <f aca="false">F5757*H5757</f>
        <v>61.9411</v>
      </c>
      <c r="J5757" s="43" t="n">
        <f aca="false">G5757*H5757*1.5</f>
        <v>0</v>
      </c>
      <c r="K5757" s="6" t="n">
        <v>13.53</v>
      </c>
      <c r="L5757" s="43" t="n">
        <f aca="false">K5757*'Chart of Accounts'!$E$68</f>
        <v>9.0651</v>
      </c>
      <c r="O5757" s="42" t="n">
        <f aca="false">I5757+J5757+L5757</f>
        <v>71.0062</v>
      </c>
    </row>
    <row r="5758" customFormat="false" ht="15" hidden="false" customHeight="false" outlineLevel="0" collapsed="false">
      <c r="B5758" s="7" t="s">
        <v>14391</v>
      </c>
      <c r="C5758" s="39" t="n">
        <v>46010</v>
      </c>
      <c r="D5758" s="7" t="s">
        <v>236</v>
      </c>
      <c r="E5758" s="7" t="s">
        <v>180</v>
      </c>
      <c r="F5758" s="6" t="n">
        <v>3.63</v>
      </c>
      <c r="G5758" s="6" t="n">
        <v>0</v>
      </c>
      <c r="H5758" s="41" t="n">
        <v>15.49</v>
      </c>
      <c r="I5758" s="43" t="n">
        <f aca="false">F5758*H5758</f>
        <v>56.2287</v>
      </c>
      <c r="J5758" s="43" t="n">
        <f aca="false">G5758*H5758*1.5</f>
        <v>0</v>
      </c>
      <c r="K5758" s="6" t="n">
        <v>10.07</v>
      </c>
      <c r="L5758" s="43" t="n">
        <f aca="false">K5758*'Chart of Accounts'!$E$68</f>
        <v>6.7469</v>
      </c>
      <c r="O5758" s="42" t="n">
        <f aca="false">I5758+J5758+L5758</f>
        <v>62.9756</v>
      </c>
    </row>
    <row r="5759" customFormat="false" ht="15" hidden="false" customHeight="false" outlineLevel="0" collapsed="false">
      <c r="B5759" s="7" t="s">
        <v>14392</v>
      </c>
      <c r="C5759" s="39" t="n">
        <v>46010</v>
      </c>
      <c r="D5759" s="7" t="s">
        <v>177</v>
      </c>
      <c r="E5759" s="7" t="s">
        <v>180</v>
      </c>
      <c r="F5759" s="6" t="n">
        <v>8.64</v>
      </c>
      <c r="G5759" s="6" t="n">
        <v>0</v>
      </c>
      <c r="H5759" s="41" t="n">
        <v>14.56</v>
      </c>
      <c r="I5759" s="43" t="n">
        <f aca="false">F5759*H5759</f>
        <v>125.7984</v>
      </c>
      <c r="J5759" s="43" t="n">
        <f aca="false">G5759*H5759*1.5</f>
        <v>0</v>
      </c>
      <c r="K5759" s="6" t="n">
        <v>22.29</v>
      </c>
      <c r="L5759" s="43" t="n">
        <f aca="false">K5759*'Chart of Accounts'!$E$68</f>
        <v>14.9343</v>
      </c>
      <c r="O5759" s="42" t="n">
        <f aca="false">I5759+J5759+L5759</f>
        <v>140.7327</v>
      </c>
    </row>
    <row r="5760" customFormat="false" ht="15" hidden="false" customHeight="false" outlineLevel="0" collapsed="false">
      <c r="B5760" s="7" t="s">
        <v>14393</v>
      </c>
      <c r="C5760" s="39" t="n">
        <v>46010</v>
      </c>
      <c r="D5760" s="7" t="s">
        <v>244</v>
      </c>
      <c r="E5760" s="7" t="s">
        <v>180</v>
      </c>
      <c r="F5760" s="6" t="n">
        <v>4.2</v>
      </c>
      <c r="G5760" s="6" t="n">
        <v>0</v>
      </c>
      <c r="H5760" s="41" t="n">
        <v>16.39</v>
      </c>
      <c r="I5760" s="43" t="n">
        <f aca="false">F5760*H5760</f>
        <v>68.838</v>
      </c>
      <c r="J5760" s="43" t="n">
        <f aca="false">G5760*H5760*1.5</f>
        <v>0</v>
      </c>
      <c r="K5760" s="6" t="n">
        <v>12.16</v>
      </c>
      <c r="L5760" s="43" t="n">
        <f aca="false">K5760*'Chart of Accounts'!$E$68</f>
        <v>8.1472</v>
      </c>
      <c r="O5760" s="42" t="n">
        <f aca="false">I5760+J5760+L5760</f>
        <v>76.9852</v>
      </c>
    </row>
    <row r="5761" customFormat="false" ht="15" hidden="false" customHeight="false" outlineLevel="0" collapsed="false">
      <c r="B5761" s="7" t="s">
        <v>14394</v>
      </c>
      <c r="C5761" s="39" t="n">
        <v>46010</v>
      </c>
      <c r="D5761" s="7" t="s">
        <v>254</v>
      </c>
      <c r="E5761" s="7" t="s">
        <v>180</v>
      </c>
      <c r="F5761" s="6" t="n">
        <v>7.24</v>
      </c>
      <c r="G5761" s="6" t="n">
        <v>0</v>
      </c>
      <c r="H5761" s="41" t="n">
        <v>17.1</v>
      </c>
      <c r="I5761" s="43" t="n">
        <f aca="false">F5761*H5761</f>
        <v>123.804</v>
      </c>
      <c r="J5761" s="43" t="n">
        <f aca="false">G5761*H5761*1.5</f>
        <v>0</v>
      </c>
      <c r="K5761" s="6" t="n">
        <v>17.63</v>
      </c>
      <c r="L5761" s="43" t="n">
        <f aca="false">K5761*'Chart of Accounts'!$E$68</f>
        <v>11.8121</v>
      </c>
      <c r="O5761" s="42" t="n">
        <f aca="false">I5761+J5761+L5761</f>
        <v>135.6161</v>
      </c>
    </row>
    <row r="5762" customFormat="false" ht="15" hidden="false" customHeight="false" outlineLevel="0" collapsed="false">
      <c r="B5762" s="7" t="s">
        <v>14395</v>
      </c>
      <c r="C5762" s="39" t="n">
        <v>46010</v>
      </c>
      <c r="D5762" s="7" t="s">
        <v>201</v>
      </c>
      <c r="E5762" s="7" t="s">
        <v>180</v>
      </c>
      <c r="F5762" s="6" t="n">
        <v>3.15</v>
      </c>
      <c r="G5762" s="6" t="n">
        <v>0</v>
      </c>
      <c r="H5762" s="41" t="n">
        <v>15.19</v>
      </c>
      <c r="I5762" s="43" t="n">
        <f aca="false">F5762*H5762</f>
        <v>47.8485</v>
      </c>
      <c r="J5762" s="43" t="n">
        <f aca="false">G5762*H5762*1.5</f>
        <v>0</v>
      </c>
      <c r="K5762" s="6" t="n">
        <v>7.82</v>
      </c>
      <c r="L5762" s="43" t="n">
        <f aca="false">K5762*'Chart of Accounts'!$E$68</f>
        <v>5.2394</v>
      </c>
      <c r="O5762" s="42" t="n">
        <f aca="false">I5762+J5762+L5762</f>
        <v>53.0879</v>
      </c>
    </row>
    <row r="5763" customFormat="false" ht="15" hidden="false" customHeight="false" outlineLevel="0" collapsed="false">
      <c r="B5763" s="7" t="s">
        <v>14396</v>
      </c>
      <c r="C5763" s="39" t="n">
        <v>46010</v>
      </c>
      <c r="D5763" s="7" t="s">
        <v>240</v>
      </c>
      <c r="E5763" s="7" t="s">
        <v>180</v>
      </c>
      <c r="F5763" s="6" t="n">
        <v>3.78</v>
      </c>
      <c r="G5763" s="6" t="n">
        <v>0</v>
      </c>
      <c r="H5763" s="41" t="n">
        <v>16.96</v>
      </c>
      <c r="I5763" s="43" t="n">
        <f aca="false">F5763*H5763</f>
        <v>64.1088</v>
      </c>
      <c r="J5763" s="43" t="n">
        <f aca="false">G5763*H5763*1.5</f>
        <v>0</v>
      </c>
      <c r="K5763" s="6" t="n">
        <v>10.91</v>
      </c>
      <c r="L5763" s="43" t="n">
        <f aca="false">K5763*'Chart of Accounts'!$E$68</f>
        <v>7.3097</v>
      </c>
      <c r="O5763" s="42" t="n">
        <f aca="false">I5763+J5763+L5763</f>
        <v>71.4185</v>
      </c>
    </row>
    <row r="5764" customFormat="false" ht="15" hidden="false" customHeight="false" outlineLevel="0" collapsed="false">
      <c r="B5764" s="7" t="s">
        <v>14397</v>
      </c>
      <c r="C5764" s="39" t="n">
        <v>46010</v>
      </c>
      <c r="D5764" s="7" t="s">
        <v>258</v>
      </c>
      <c r="E5764" s="7" t="s">
        <v>158</v>
      </c>
      <c r="H5764" s="41" t="n">
        <v>61.61</v>
      </c>
      <c r="M5764" s="6" t="n">
        <v>1</v>
      </c>
      <c r="N5764" s="43" t="n">
        <f aca="false">M5764*H5764</f>
        <v>61.61</v>
      </c>
      <c r="O5764" s="42" t="n">
        <f aca="false">N5764</f>
        <v>61.61</v>
      </c>
    </row>
    <row r="5765" customFormat="false" ht="15" hidden="false" customHeight="false" outlineLevel="0" collapsed="false">
      <c r="B5765" s="7" t="s">
        <v>14398</v>
      </c>
      <c r="C5765" s="39" t="n">
        <v>46010</v>
      </c>
      <c r="D5765" s="7" t="s">
        <v>232</v>
      </c>
      <c r="E5765" s="7" t="s">
        <v>180</v>
      </c>
      <c r="F5765" s="6" t="n">
        <v>4.85</v>
      </c>
      <c r="G5765" s="6" t="n">
        <v>0</v>
      </c>
      <c r="H5765" s="41" t="n">
        <v>16.17</v>
      </c>
      <c r="I5765" s="43" t="n">
        <f aca="false">F5765*H5765</f>
        <v>78.4245</v>
      </c>
      <c r="J5765" s="43" t="n">
        <f aca="false">G5765*H5765*1.5</f>
        <v>0</v>
      </c>
      <c r="K5765" s="6" t="n">
        <v>16.37</v>
      </c>
      <c r="L5765" s="43" t="n">
        <f aca="false">K5765*'Chart of Accounts'!$E$68</f>
        <v>10.9679</v>
      </c>
      <c r="O5765" s="42" t="n">
        <f aca="false">I5765+J5765+L5765</f>
        <v>89.3924</v>
      </c>
    </row>
    <row r="5766" customFormat="false" ht="15" hidden="false" customHeight="false" outlineLevel="0" collapsed="false">
      <c r="B5766" s="7" t="s">
        <v>14399</v>
      </c>
      <c r="C5766" s="39" t="n">
        <v>46010</v>
      </c>
      <c r="D5766" s="7" t="s">
        <v>224</v>
      </c>
      <c r="E5766" s="7" t="s">
        <v>180</v>
      </c>
      <c r="F5766" s="6" t="n">
        <v>4.72</v>
      </c>
      <c r="G5766" s="6" t="n">
        <v>0</v>
      </c>
      <c r="H5766" s="41" t="n">
        <v>14.93</v>
      </c>
      <c r="I5766" s="43" t="n">
        <f aca="false">F5766*H5766</f>
        <v>70.4696</v>
      </c>
      <c r="J5766" s="43" t="n">
        <f aca="false">G5766*H5766*1.5</f>
        <v>0</v>
      </c>
      <c r="K5766" s="6" t="n">
        <v>14.73</v>
      </c>
      <c r="L5766" s="43" t="n">
        <f aca="false">K5766*'Chart of Accounts'!$E$68</f>
        <v>9.8691</v>
      </c>
      <c r="O5766" s="42" t="n">
        <f aca="false">I5766+J5766+L5766</f>
        <v>80.3387</v>
      </c>
    </row>
    <row r="5767" customFormat="false" ht="15" hidden="false" customHeight="false" outlineLevel="0" collapsed="false">
      <c r="B5767" s="7" t="s">
        <v>14400</v>
      </c>
      <c r="C5767" s="39" t="n">
        <v>46010</v>
      </c>
      <c r="D5767" s="7" t="s">
        <v>230</v>
      </c>
      <c r="E5767" s="7" t="s">
        <v>158</v>
      </c>
      <c r="H5767" s="41" t="n">
        <v>48.78</v>
      </c>
      <c r="M5767" s="6" t="n">
        <v>1</v>
      </c>
      <c r="N5767" s="43" t="n">
        <f aca="false">M5767*H5767</f>
        <v>48.78</v>
      </c>
      <c r="O5767" s="42" t="n">
        <f aca="false">N5767</f>
        <v>48.78</v>
      </c>
    </row>
    <row r="5768" customFormat="false" ht="15" hidden="false" customHeight="false" outlineLevel="0" collapsed="false">
      <c r="B5768" s="7" t="s">
        <v>14401</v>
      </c>
      <c r="C5768" s="39" t="n">
        <v>46010</v>
      </c>
      <c r="D5768" s="7" t="s">
        <v>238</v>
      </c>
      <c r="E5768" s="7" t="s">
        <v>180</v>
      </c>
      <c r="F5768" s="6" t="n">
        <v>4.12</v>
      </c>
      <c r="G5768" s="6" t="n">
        <v>0</v>
      </c>
      <c r="H5768" s="41" t="n">
        <v>15.85</v>
      </c>
      <c r="I5768" s="43" t="n">
        <f aca="false">F5768*H5768</f>
        <v>65.302</v>
      </c>
      <c r="J5768" s="43" t="n">
        <f aca="false">G5768*H5768*1.5</f>
        <v>0</v>
      </c>
      <c r="K5768" s="6" t="n">
        <v>14.17</v>
      </c>
      <c r="L5768" s="43" t="n">
        <f aca="false">K5768*'Chart of Accounts'!$E$68</f>
        <v>9.4939</v>
      </c>
      <c r="O5768" s="42" t="n">
        <f aca="false">I5768+J5768+L5768</f>
        <v>74.7959</v>
      </c>
    </row>
    <row r="5769" customFormat="false" ht="15" hidden="false" customHeight="false" outlineLevel="0" collapsed="false">
      <c r="B5769" s="7" t="s">
        <v>14402</v>
      </c>
      <c r="C5769" s="39" t="n">
        <v>46010</v>
      </c>
      <c r="D5769" s="7" t="s">
        <v>196</v>
      </c>
      <c r="E5769" s="7" t="s">
        <v>180</v>
      </c>
      <c r="F5769" s="6" t="n">
        <v>3.855</v>
      </c>
      <c r="G5769" s="6" t="n">
        <v>0.315</v>
      </c>
      <c r="H5769" s="41" t="n">
        <v>15.05</v>
      </c>
      <c r="I5769" s="43" t="n">
        <f aca="false">F5769*H5769</f>
        <v>58.01775</v>
      </c>
      <c r="J5769" s="43" t="n">
        <f aca="false">G5769*H5769*1.5</f>
        <v>7.111125</v>
      </c>
      <c r="K5769" s="6" t="n">
        <v>13.64</v>
      </c>
      <c r="L5769" s="43" t="n">
        <f aca="false">K5769*'Chart of Accounts'!$E$68</f>
        <v>9.1388</v>
      </c>
      <c r="O5769" s="42" t="n">
        <f aca="false">I5769+J5769+L5769</f>
        <v>74.267675</v>
      </c>
    </row>
    <row r="5770" customFormat="false" ht="15" hidden="false" customHeight="false" outlineLevel="0" collapsed="false">
      <c r="B5770" s="7" t="s">
        <v>14403</v>
      </c>
      <c r="C5770" s="39" t="n">
        <v>46010</v>
      </c>
      <c r="D5770" s="7" t="s">
        <v>246</v>
      </c>
      <c r="E5770" s="7" t="s">
        <v>180</v>
      </c>
      <c r="F5770" s="6" t="n">
        <v>3.75</v>
      </c>
      <c r="G5770" s="6" t="n">
        <v>0</v>
      </c>
      <c r="H5770" s="41" t="n">
        <v>16.48</v>
      </c>
      <c r="I5770" s="43" t="n">
        <f aca="false">F5770*H5770</f>
        <v>61.8</v>
      </c>
      <c r="J5770" s="43" t="n">
        <f aca="false">G5770*H5770*1.5</f>
        <v>0</v>
      </c>
      <c r="K5770" s="6" t="n">
        <v>10.09</v>
      </c>
      <c r="L5770" s="43" t="n">
        <f aca="false">K5770*'Chart of Accounts'!$E$68</f>
        <v>6.7603</v>
      </c>
      <c r="O5770" s="42" t="n">
        <f aca="false">I5770+J5770+L5770</f>
        <v>68.5603</v>
      </c>
    </row>
    <row r="5771" customFormat="false" ht="15" hidden="false" customHeight="false" outlineLevel="0" collapsed="false">
      <c r="B5771" s="7" t="s">
        <v>14404</v>
      </c>
      <c r="C5771" s="39" t="n">
        <v>46010</v>
      </c>
      <c r="D5771" s="7" t="s">
        <v>222</v>
      </c>
      <c r="E5771" s="7" t="s">
        <v>180</v>
      </c>
      <c r="F5771" s="6" t="n">
        <v>4.3</v>
      </c>
      <c r="G5771" s="6" t="n">
        <v>0</v>
      </c>
      <c r="H5771" s="41" t="n">
        <v>17.84</v>
      </c>
      <c r="I5771" s="43" t="n">
        <f aca="false">F5771*H5771</f>
        <v>76.712</v>
      </c>
      <c r="J5771" s="43" t="n">
        <f aca="false">G5771*H5771*1.5</f>
        <v>0</v>
      </c>
      <c r="K5771" s="6" t="n">
        <v>11.83</v>
      </c>
      <c r="L5771" s="43" t="n">
        <f aca="false">K5771*'Chart of Accounts'!$E$68</f>
        <v>7.9261</v>
      </c>
      <c r="O5771" s="42" t="n">
        <f aca="false">I5771+J5771+L5771</f>
        <v>84.6381</v>
      </c>
    </row>
    <row r="5772" customFormat="false" ht="15" hidden="false" customHeight="false" outlineLevel="0" collapsed="false">
      <c r="B5772" s="7" t="s">
        <v>14405</v>
      </c>
      <c r="C5772" s="39" t="n">
        <v>46010</v>
      </c>
      <c r="D5772" s="7" t="s">
        <v>203</v>
      </c>
      <c r="E5772" s="7" t="s">
        <v>158</v>
      </c>
      <c r="H5772" s="41" t="n">
        <v>49.43</v>
      </c>
      <c r="M5772" s="6" t="n">
        <v>1</v>
      </c>
      <c r="N5772" s="43" t="n">
        <f aca="false">M5772*H5772</f>
        <v>49.43</v>
      </c>
      <c r="O5772" s="42" t="n">
        <f aca="false">N5772</f>
        <v>49.43</v>
      </c>
    </row>
    <row r="5773" customFormat="false" ht="15" hidden="false" customHeight="false" outlineLevel="0" collapsed="false">
      <c r="B5773" s="7" t="s">
        <v>14406</v>
      </c>
      <c r="C5773" s="39" t="n">
        <v>46010</v>
      </c>
      <c r="D5773" s="7" t="s">
        <v>260</v>
      </c>
      <c r="E5773" s="7" t="s">
        <v>158</v>
      </c>
      <c r="H5773" s="41" t="n">
        <v>79.8</v>
      </c>
      <c r="M5773" s="6" t="n">
        <v>1</v>
      </c>
      <c r="N5773" s="43" t="n">
        <f aca="false">M5773*H5773</f>
        <v>79.8</v>
      </c>
      <c r="O5773" s="42" t="n">
        <f aca="false">N5773</f>
        <v>79.8</v>
      </c>
    </row>
    <row r="5774" customFormat="false" ht="15" hidden="false" customHeight="false" outlineLevel="0" collapsed="false">
      <c r="B5774" s="7" t="s">
        <v>14407</v>
      </c>
      <c r="C5774" s="39" t="n">
        <v>46011</v>
      </c>
      <c r="D5774" s="7" t="s">
        <v>232</v>
      </c>
      <c r="E5774" s="7" t="s">
        <v>180</v>
      </c>
      <c r="F5774" s="6" t="n">
        <v>4.19</v>
      </c>
      <c r="G5774" s="6" t="n">
        <v>0</v>
      </c>
      <c r="H5774" s="41" t="n">
        <v>16.17</v>
      </c>
      <c r="I5774" s="43" t="n">
        <f aca="false">F5774*H5774</f>
        <v>67.7523</v>
      </c>
      <c r="J5774" s="43" t="n">
        <f aca="false">G5774*H5774*1.5</f>
        <v>0</v>
      </c>
      <c r="K5774" s="6" t="n">
        <v>14.33</v>
      </c>
      <c r="L5774" s="43" t="n">
        <f aca="false">K5774*'Chart of Accounts'!$E$68</f>
        <v>9.6011</v>
      </c>
      <c r="O5774" s="42" t="n">
        <f aca="false">I5774+J5774+L5774</f>
        <v>77.3534</v>
      </c>
    </row>
    <row r="5775" customFormat="false" ht="15" hidden="false" customHeight="false" outlineLevel="0" collapsed="false">
      <c r="B5775" s="7" t="s">
        <v>14408</v>
      </c>
      <c r="C5775" s="39" t="n">
        <v>46011</v>
      </c>
      <c r="D5775" s="7" t="s">
        <v>218</v>
      </c>
      <c r="E5775" s="7" t="s">
        <v>180</v>
      </c>
      <c r="F5775" s="6" t="n">
        <v>4.18</v>
      </c>
      <c r="G5775" s="6" t="n">
        <v>0</v>
      </c>
      <c r="H5775" s="41" t="n">
        <v>16.19</v>
      </c>
      <c r="I5775" s="43" t="n">
        <f aca="false">F5775*H5775</f>
        <v>67.6742</v>
      </c>
      <c r="J5775" s="43" t="n">
        <f aca="false">G5775*H5775*1.5</f>
        <v>0</v>
      </c>
      <c r="K5775" s="6" t="n">
        <v>10.74</v>
      </c>
      <c r="L5775" s="43" t="n">
        <f aca="false">K5775*'Chart of Accounts'!$E$68</f>
        <v>7.1958</v>
      </c>
      <c r="O5775" s="42" t="n">
        <f aca="false">I5775+J5775+L5775</f>
        <v>74.87</v>
      </c>
    </row>
    <row r="5776" customFormat="false" ht="15" hidden="false" customHeight="false" outlineLevel="0" collapsed="false">
      <c r="B5776" s="7" t="s">
        <v>14409</v>
      </c>
      <c r="C5776" s="39" t="n">
        <v>46011</v>
      </c>
      <c r="D5776" s="7" t="s">
        <v>244</v>
      </c>
      <c r="E5776" s="7" t="s">
        <v>180</v>
      </c>
      <c r="F5776" s="6" t="n">
        <v>4.18</v>
      </c>
      <c r="G5776" s="6" t="n">
        <v>0</v>
      </c>
      <c r="H5776" s="41" t="n">
        <v>16.39</v>
      </c>
      <c r="I5776" s="43" t="n">
        <f aca="false">F5776*H5776</f>
        <v>68.5102</v>
      </c>
      <c r="J5776" s="43" t="n">
        <f aca="false">G5776*H5776*1.5</f>
        <v>0</v>
      </c>
      <c r="K5776" s="6" t="n">
        <v>11.16</v>
      </c>
      <c r="L5776" s="43" t="n">
        <f aca="false">K5776*'Chart of Accounts'!$E$68</f>
        <v>7.4772</v>
      </c>
      <c r="O5776" s="42" t="n">
        <f aca="false">I5776+J5776+L5776</f>
        <v>75.9874</v>
      </c>
    </row>
    <row r="5777" customFormat="false" ht="15" hidden="false" customHeight="false" outlineLevel="0" collapsed="false">
      <c r="B5777" s="7" t="s">
        <v>14410</v>
      </c>
      <c r="C5777" s="39" t="n">
        <v>46011</v>
      </c>
      <c r="D5777" s="7" t="s">
        <v>196</v>
      </c>
      <c r="E5777" s="7" t="s">
        <v>180</v>
      </c>
      <c r="F5777" s="6" t="n">
        <v>3.92</v>
      </c>
      <c r="G5777" s="6" t="n">
        <v>0.32</v>
      </c>
      <c r="H5777" s="41" t="n">
        <v>15.05</v>
      </c>
      <c r="I5777" s="43" t="n">
        <f aca="false">F5777*H5777</f>
        <v>58.996</v>
      </c>
      <c r="J5777" s="43" t="n">
        <f aca="false">G5777*H5777*1.5</f>
        <v>7.224</v>
      </c>
      <c r="K5777" s="6" t="n">
        <v>11.97</v>
      </c>
      <c r="L5777" s="43" t="n">
        <f aca="false">K5777*'Chart of Accounts'!$E$68</f>
        <v>8.0199</v>
      </c>
      <c r="O5777" s="42" t="n">
        <f aca="false">I5777+J5777+L5777</f>
        <v>74.2399</v>
      </c>
    </row>
    <row r="5778" customFormat="false" ht="15" hidden="false" customHeight="false" outlineLevel="0" collapsed="false">
      <c r="B5778" s="7" t="s">
        <v>14411</v>
      </c>
      <c r="C5778" s="39" t="n">
        <v>46011</v>
      </c>
      <c r="D5778" s="7" t="s">
        <v>222</v>
      </c>
      <c r="E5778" s="7" t="s">
        <v>180</v>
      </c>
      <c r="F5778" s="6" t="n">
        <v>3.8</v>
      </c>
      <c r="G5778" s="6" t="n">
        <v>0</v>
      </c>
      <c r="H5778" s="41" t="n">
        <v>17.84</v>
      </c>
      <c r="I5778" s="43" t="n">
        <f aca="false">F5778*H5778</f>
        <v>67.792</v>
      </c>
      <c r="J5778" s="43" t="n">
        <f aca="false">G5778*H5778*1.5</f>
        <v>0</v>
      </c>
      <c r="K5778" s="6" t="n">
        <v>12.3</v>
      </c>
      <c r="L5778" s="43" t="n">
        <f aca="false">K5778*'Chart of Accounts'!$E$68</f>
        <v>8.241</v>
      </c>
      <c r="O5778" s="42" t="n">
        <f aca="false">I5778+J5778+L5778</f>
        <v>76.033</v>
      </c>
    </row>
    <row r="5779" customFormat="false" ht="15" hidden="false" customHeight="false" outlineLevel="0" collapsed="false">
      <c r="B5779" s="7" t="s">
        <v>14412</v>
      </c>
      <c r="C5779" s="39" t="n">
        <v>46011</v>
      </c>
      <c r="D5779" s="7" t="s">
        <v>242</v>
      </c>
      <c r="E5779" s="7" t="s">
        <v>180</v>
      </c>
      <c r="F5779" s="6" t="n">
        <v>3.752</v>
      </c>
      <c r="G5779" s="6" t="n">
        <v>0.538</v>
      </c>
      <c r="H5779" s="41" t="n">
        <v>17.99</v>
      </c>
      <c r="I5779" s="43" t="n">
        <f aca="false">F5779*H5779</f>
        <v>67.49848</v>
      </c>
      <c r="J5779" s="43" t="n">
        <f aca="false">G5779*H5779*1.5</f>
        <v>14.51793</v>
      </c>
      <c r="K5779" s="6" t="n">
        <v>11.75</v>
      </c>
      <c r="L5779" s="43" t="n">
        <f aca="false">K5779*'Chart of Accounts'!$E$68</f>
        <v>7.8725</v>
      </c>
      <c r="O5779" s="42" t="n">
        <f aca="false">I5779+J5779+L5779</f>
        <v>89.88891</v>
      </c>
    </row>
    <row r="5780" customFormat="false" ht="15" hidden="false" customHeight="false" outlineLevel="0" collapsed="false">
      <c r="B5780" s="7" t="s">
        <v>14413</v>
      </c>
      <c r="C5780" s="39" t="n">
        <v>46011</v>
      </c>
      <c r="D5780" s="7" t="s">
        <v>254</v>
      </c>
      <c r="E5780" s="7" t="s">
        <v>180</v>
      </c>
      <c r="F5780" s="6" t="n">
        <v>4.39</v>
      </c>
      <c r="G5780" s="6" t="n">
        <v>0</v>
      </c>
      <c r="H5780" s="41" t="n">
        <v>17.1</v>
      </c>
      <c r="I5780" s="43" t="n">
        <f aca="false">F5780*H5780</f>
        <v>75.069</v>
      </c>
      <c r="J5780" s="43" t="n">
        <f aca="false">G5780*H5780*1.5</f>
        <v>0</v>
      </c>
      <c r="K5780" s="6" t="n">
        <v>11.25</v>
      </c>
      <c r="L5780" s="43" t="n">
        <f aca="false">K5780*'Chart of Accounts'!$E$68</f>
        <v>7.5375</v>
      </c>
      <c r="O5780" s="42" t="n">
        <f aca="false">I5780+J5780+L5780</f>
        <v>82.6065</v>
      </c>
    </row>
    <row r="5781" customFormat="false" ht="15" hidden="false" customHeight="false" outlineLevel="0" collapsed="false">
      <c r="B5781" s="7" t="s">
        <v>14414</v>
      </c>
      <c r="C5781" s="39" t="n">
        <v>46012</v>
      </c>
      <c r="D5781" s="7" t="s">
        <v>218</v>
      </c>
      <c r="E5781" s="7" t="s">
        <v>180</v>
      </c>
      <c r="F5781" s="6" t="n">
        <v>8</v>
      </c>
      <c r="G5781" s="6" t="n">
        <v>0</v>
      </c>
      <c r="H5781" s="41" t="n">
        <v>16.19</v>
      </c>
      <c r="I5781" s="43" t="n">
        <f aca="false">F5781*H5781</f>
        <v>129.52</v>
      </c>
      <c r="J5781" s="43" t="n">
        <f aca="false">G5781*H5781*1.5</f>
        <v>0</v>
      </c>
      <c r="K5781" s="6" t="n">
        <v>24.13</v>
      </c>
      <c r="L5781" s="43" t="n">
        <f aca="false">K5781*'Chart of Accounts'!$E$68</f>
        <v>16.1671</v>
      </c>
      <c r="O5781" s="42" t="n">
        <f aca="false">I5781+J5781+L5781</f>
        <v>145.6871</v>
      </c>
    </row>
    <row r="5782" customFormat="false" ht="15" hidden="false" customHeight="false" outlineLevel="0" collapsed="false">
      <c r="B5782" s="7" t="s">
        <v>14415</v>
      </c>
      <c r="C5782" s="39" t="n">
        <v>46012</v>
      </c>
      <c r="D5782" s="7" t="s">
        <v>196</v>
      </c>
      <c r="E5782" s="7" t="s">
        <v>180</v>
      </c>
      <c r="F5782" s="6" t="n">
        <v>3.762</v>
      </c>
      <c r="G5782" s="6" t="n">
        <v>0.308</v>
      </c>
      <c r="H5782" s="41" t="n">
        <v>15.05</v>
      </c>
      <c r="I5782" s="43" t="n">
        <f aca="false">F5782*H5782</f>
        <v>56.6181</v>
      </c>
      <c r="J5782" s="43" t="n">
        <f aca="false">G5782*H5782*1.5</f>
        <v>6.9531</v>
      </c>
      <c r="K5782" s="6" t="n">
        <v>10.46</v>
      </c>
      <c r="L5782" s="43" t="n">
        <f aca="false">K5782*'Chart of Accounts'!$E$68</f>
        <v>7.0082</v>
      </c>
      <c r="O5782" s="42" t="n">
        <f aca="false">I5782+J5782+L5782</f>
        <v>70.5794</v>
      </c>
    </row>
    <row r="5783" customFormat="false" ht="15" hidden="false" customHeight="false" outlineLevel="0" collapsed="false">
      <c r="B5783" s="7" t="s">
        <v>14416</v>
      </c>
      <c r="C5783" s="39" t="n">
        <v>46012</v>
      </c>
      <c r="D5783" s="7" t="s">
        <v>222</v>
      </c>
      <c r="E5783" s="7" t="s">
        <v>180</v>
      </c>
      <c r="F5783" s="6" t="n">
        <v>3.94</v>
      </c>
      <c r="G5783" s="6" t="n">
        <v>0</v>
      </c>
      <c r="H5783" s="41" t="n">
        <v>17.84</v>
      </c>
      <c r="I5783" s="43" t="n">
        <f aca="false">F5783*H5783</f>
        <v>70.2896</v>
      </c>
      <c r="J5783" s="43" t="n">
        <f aca="false">G5783*H5783*1.5</f>
        <v>0</v>
      </c>
      <c r="K5783" s="6" t="n">
        <v>11.11</v>
      </c>
      <c r="L5783" s="43" t="n">
        <f aca="false">K5783*'Chart of Accounts'!$E$68</f>
        <v>7.4437</v>
      </c>
      <c r="O5783" s="42" t="n">
        <f aca="false">I5783+J5783+L5783</f>
        <v>77.7333</v>
      </c>
    </row>
    <row r="5784" customFormat="false" ht="15" hidden="false" customHeight="false" outlineLevel="0" collapsed="false">
      <c r="B5784" s="7" t="s">
        <v>14417</v>
      </c>
      <c r="C5784" s="39" t="n">
        <v>46012</v>
      </c>
      <c r="D5784" s="7" t="s">
        <v>242</v>
      </c>
      <c r="E5784" s="7" t="s">
        <v>180</v>
      </c>
      <c r="F5784" s="6" t="n">
        <v>3.569</v>
      </c>
      <c r="G5784" s="6" t="n">
        <v>0.511</v>
      </c>
      <c r="H5784" s="41" t="n">
        <v>17.99</v>
      </c>
      <c r="I5784" s="43" t="n">
        <f aca="false">F5784*H5784</f>
        <v>64.20631</v>
      </c>
      <c r="J5784" s="43" t="n">
        <f aca="false">G5784*H5784*1.5</f>
        <v>13.789335</v>
      </c>
      <c r="K5784" s="6" t="n">
        <v>9.42</v>
      </c>
      <c r="L5784" s="43" t="n">
        <f aca="false">K5784*'Chart of Accounts'!$E$68</f>
        <v>6.3114</v>
      </c>
      <c r="O5784" s="42" t="n">
        <f aca="false">I5784+J5784+L5784</f>
        <v>84.307045</v>
      </c>
    </row>
    <row r="5785" customFormat="false" ht="15" hidden="false" customHeight="false" outlineLevel="0" collapsed="false">
      <c r="B5785" s="7" t="s">
        <v>14418</v>
      </c>
      <c r="C5785" s="39" t="n">
        <v>46012</v>
      </c>
      <c r="D5785" s="7" t="s">
        <v>254</v>
      </c>
      <c r="E5785" s="7" t="s">
        <v>180</v>
      </c>
      <c r="F5785" s="6" t="n">
        <v>4.27</v>
      </c>
      <c r="G5785" s="6" t="n">
        <v>0</v>
      </c>
      <c r="H5785" s="41" t="n">
        <v>17.1</v>
      </c>
      <c r="I5785" s="43" t="n">
        <f aca="false">F5785*H5785</f>
        <v>73.017</v>
      </c>
      <c r="J5785" s="43" t="n">
        <f aca="false">G5785*H5785*1.5</f>
        <v>0</v>
      </c>
      <c r="K5785" s="6" t="n">
        <v>11.51</v>
      </c>
      <c r="L5785" s="43" t="n">
        <f aca="false">K5785*'Chart of Accounts'!$E$68</f>
        <v>7.7117</v>
      </c>
      <c r="O5785" s="42" t="n">
        <f aca="false">I5785+J5785+L5785</f>
        <v>80.7287</v>
      </c>
    </row>
    <row r="5786" customFormat="false" ht="15" hidden="false" customHeight="false" outlineLevel="0" collapsed="false">
      <c r="B5786" s="7" t="s">
        <v>14419</v>
      </c>
      <c r="C5786" s="39" t="n">
        <v>46013</v>
      </c>
      <c r="D5786" s="7" t="s">
        <v>242</v>
      </c>
      <c r="E5786" s="7" t="s">
        <v>180</v>
      </c>
      <c r="F5786" s="6" t="n">
        <v>10.589</v>
      </c>
      <c r="G5786" s="6" t="n">
        <v>0.551</v>
      </c>
      <c r="H5786" s="41" t="n">
        <v>17.99</v>
      </c>
      <c r="I5786" s="43" t="n">
        <f aca="false">F5786*H5786</f>
        <v>190.49611</v>
      </c>
      <c r="J5786" s="43" t="n">
        <f aca="false">G5786*H5786*1.5</f>
        <v>14.868735</v>
      </c>
      <c r="K5786" s="6" t="n">
        <v>34.31</v>
      </c>
      <c r="L5786" s="43" t="n">
        <f aca="false">K5786*'Chart of Accounts'!$E$68</f>
        <v>22.9877</v>
      </c>
      <c r="O5786" s="42" t="n">
        <f aca="false">I5786+J5786+L5786</f>
        <v>228.352545</v>
      </c>
    </row>
    <row r="5787" customFormat="false" ht="15" hidden="false" customHeight="false" outlineLevel="0" collapsed="false">
      <c r="B5787" s="7" t="s">
        <v>14420</v>
      </c>
      <c r="C5787" s="39" t="n">
        <v>46013</v>
      </c>
      <c r="D5787" s="7" t="s">
        <v>194</v>
      </c>
      <c r="E5787" s="7" t="s">
        <v>180</v>
      </c>
      <c r="F5787" s="6" t="n">
        <v>9.1</v>
      </c>
      <c r="G5787" s="6" t="n">
        <v>0</v>
      </c>
      <c r="H5787" s="41" t="n">
        <v>16</v>
      </c>
      <c r="I5787" s="43" t="n">
        <f aca="false">F5787*H5787</f>
        <v>145.6</v>
      </c>
      <c r="J5787" s="43" t="n">
        <f aca="false">G5787*H5787*1.5</f>
        <v>0</v>
      </c>
      <c r="K5787" s="6" t="n">
        <v>29.43</v>
      </c>
      <c r="L5787" s="43" t="n">
        <f aca="false">K5787*'Chart of Accounts'!$E$68</f>
        <v>19.7181</v>
      </c>
      <c r="O5787" s="42" t="n">
        <f aca="false">I5787+J5787+L5787</f>
        <v>165.3181</v>
      </c>
    </row>
    <row r="5788" customFormat="false" ht="15" hidden="false" customHeight="false" outlineLevel="0" collapsed="false">
      <c r="B5788" s="7" t="s">
        <v>14421</v>
      </c>
      <c r="C5788" s="39" t="n">
        <v>46013</v>
      </c>
      <c r="D5788" s="7" t="s">
        <v>214</v>
      </c>
      <c r="E5788" s="7" t="s">
        <v>180</v>
      </c>
      <c r="F5788" s="6" t="n">
        <v>11.38</v>
      </c>
      <c r="G5788" s="6" t="n">
        <v>0</v>
      </c>
      <c r="H5788" s="41" t="n">
        <v>15.67</v>
      </c>
      <c r="I5788" s="43" t="n">
        <f aca="false">F5788*H5788</f>
        <v>178.3246</v>
      </c>
      <c r="J5788" s="43" t="n">
        <f aca="false">G5788*H5788*1.5</f>
        <v>0</v>
      </c>
      <c r="K5788" s="6" t="n">
        <v>29.42</v>
      </c>
      <c r="L5788" s="43" t="n">
        <f aca="false">K5788*'Chart of Accounts'!$E$68</f>
        <v>19.7114</v>
      </c>
      <c r="O5788" s="42" t="n">
        <f aca="false">I5788+J5788+L5788</f>
        <v>198.036</v>
      </c>
    </row>
    <row r="5789" customFormat="false" ht="15" hidden="false" customHeight="false" outlineLevel="0" collapsed="false">
      <c r="B5789" s="7" t="s">
        <v>14422</v>
      </c>
      <c r="C5789" s="39" t="n">
        <v>46013</v>
      </c>
      <c r="D5789" s="7" t="s">
        <v>201</v>
      </c>
      <c r="E5789" s="7" t="s">
        <v>180</v>
      </c>
      <c r="F5789" s="6" t="n">
        <v>8.89</v>
      </c>
      <c r="G5789" s="6" t="n">
        <v>0</v>
      </c>
      <c r="H5789" s="41" t="n">
        <v>15.19</v>
      </c>
      <c r="I5789" s="43" t="n">
        <f aca="false">F5789*H5789</f>
        <v>135.0391</v>
      </c>
      <c r="J5789" s="43" t="n">
        <f aca="false">G5789*H5789*1.5</f>
        <v>0</v>
      </c>
      <c r="K5789" s="6" t="n">
        <v>25.08</v>
      </c>
      <c r="L5789" s="43" t="n">
        <f aca="false">K5789*'Chart of Accounts'!$E$68</f>
        <v>16.8036</v>
      </c>
      <c r="O5789" s="42" t="n">
        <f aca="false">I5789+J5789+L5789</f>
        <v>151.8427</v>
      </c>
    </row>
    <row r="5790" customFormat="false" ht="15" hidden="false" customHeight="false" outlineLevel="0" collapsed="false">
      <c r="B5790" s="7" t="s">
        <v>14423</v>
      </c>
      <c r="C5790" s="39" t="n">
        <v>46013</v>
      </c>
      <c r="D5790" s="7" t="s">
        <v>205</v>
      </c>
      <c r="E5790" s="7" t="s">
        <v>180</v>
      </c>
      <c r="F5790" s="6" t="n">
        <v>11.28</v>
      </c>
      <c r="G5790" s="6" t="n">
        <v>0</v>
      </c>
      <c r="H5790" s="41" t="n">
        <v>16.36</v>
      </c>
      <c r="I5790" s="43" t="n">
        <f aca="false">F5790*H5790</f>
        <v>184.5408</v>
      </c>
      <c r="J5790" s="43" t="n">
        <f aca="false">G5790*H5790*1.5</f>
        <v>0</v>
      </c>
      <c r="K5790" s="6" t="n">
        <v>28.81</v>
      </c>
      <c r="L5790" s="43" t="n">
        <f aca="false">K5790*'Chart of Accounts'!$E$68</f>
        <v>19.3027</v>
      </c>
      <c r="O5790" s="42" t="n">
        <f aca="false">I5790+J5790+L5790</f>
        <v>203.8435</v>
      </c>
    </row>
    <row r="5791" customFormat="false" ht="15" hidden="false" customHeight="false" outlineLevel="0" collapsed="false">
      <c r="B5791" s="7" t="s">
        <v>14424</v>
      </c>
      <c r="C5791" s="39" t="n">
        <v>46013</v>
      </c>
      <c r="D5791" s="7" t="s">
        <v>240</v>
      </c>
      <c r="E5791" s="7" t="s">
        <v>180</v>
      </c>
      <c r="F5791" s="6" t="n">
        <v>6.41</v>
      </c>
      <c r="G5791" s="6" t="n">
        <v>0</v>
      </c>
      <c r="H5791" s="41" t="n">
        <v>16.96</v>
      </c>
      <c r="I5791" s="43" t="n">
        <f aca="false">F5791*H5791</f>
        <v>108.7136</v>
      </c>
      <c r="J5791" s="43" t="n">
        <f aca="false">G5791*H5791*1.5</f>
        <v>0</v>
      </c>
      <c r="K5791" s="6" t="n">
        <v>16.97</v>
      </c>
      <c r="L5791" s="43" t="n">
        <f aca="false">K5791*'Chart of Accounts'!$E$68</f>
        <v>11.3699</v>
      </c>
      <c r="O5791" s="42" t="n">
        <f aca="false">I5791+J5791+L5791</f>
        <v>120.0835</v>
      </c>
    </row>
    <row r="5792" customFormat="false" ht="15" hidden="false" customHeight="false" outlineLevel="0" collapsed="false">
      <c r="B5792" s="7" t="s">
        <v>14425</v>
      </c>
      <c r="C5792" s="39" t="n">
        <v>46013</v>
      </c>
      <c r="D5792" s="7" t="s">
        <v>264</v>
      </c>
      <c r="E5792" s="7" t="s">
        <v>158</v>
      </c>
      <c r="H5792" s="41" t="n">
        <v>55.55</v>
      </c>
      <c r="M5792" s="6" t="n">
        <v>1</v>
      </c>
      <c r="N5792" s="43" t="n">
        <f aca="false">M5792*H5792</f>
        <v>55.55</v>
      </c>
      <c r="O5792" s="42" t="n">
        <f aca="false">N5792</f>
        <v>55.55</v>
      </c>
    </row>
    <row r="5793" customFormat="false" ht="15" hidden="false" customHeight="false" outlineLevel="0" collapsed="false">
      <c r="B5793" s="7" t="s">
        <v>14426</v>
      </c>
      <c r="C5793" s="39" t="n">
        <v>46013</v>
      </c>
      <c r="D5793" s="7" t="s">
        <v>252</v>
      </c>
      <c r="E5793" s="7" t="s">
        <v>158</v>
      </c>
      <c r="H5793" s="41" t="n">
        <v>57.54</v>
      </c>
      <c r="M5793" s="6" t="n">
        <v>1</v>
      </c>
      <c r="N5793" s="43" t="n">
        <f aca="false">M5793*H5793</f>
        <v>57.54</v>
      </c>
      <c r="O5793" s="42" t="n">
        <f aca="false">N5793</f>
        <v>57.54</v>
      </c>
    </row>
    <row r="5794" customFormat="false" ht="15" hidden="false" customHeight="false" outlineLevel="0" collapsed="false">
      <c r="B5794" s="7" t="s">
        <v>14427</v>
      </c>
      <c r="C5794" s="39" t="n">
        <v>46013</v>
      </c>
      <c r="D5794" s="7" t="s">
        <v>196</v>
      </c>
      <c r="E5794" s="7" t="s">
        <v>180</v>
      </c>
      <c r="F5794" s="6" t="n">
        <v>9.921</v>
      </c>
      <c r="G5794" s="6" t="n">
        <v>0.169</v>
      </c>
      <c r="H5794" s="41" t="n">
        <v>15.05</v>
      </c>
      <c r="I5794" s="43" t="n">
        <f aca="false">F5794*H5794</f>
        <v>149.31105</v>
      </c>
      <c r="J5794" s="43" t="n">
        <f aca="false">G5794*H5794*1.5</f>
        <v>3.815175</v>
      </c>
      <c r="K5794" s="6" t="n">
        <v>22.71</v>
      </c>
      <c r="L5794" s="43" t="n">
        <f aca="false">K5794*'Chart of Accounts'!$E$68</f>
        <v>15.2157</v>
      </c>
      <c r="O5794" s="42" t="n">
        <f aca="false">I5794+J5794+L5794</f>
        <v>168.341925</v>
      </c>
    </row>
    <row r="5795" customFormat="false" ht="15" hidden="false" customHeight="false" outlineLevel="0" collapsed="false">
      <c r="B5795" s="7" t="s">
        <v>14428</v>
      </c>
      <c r="C5795" s="39" t="n">
        <v>46013</v>
      </c>
      <c r="D5795" s="7" t="s">
        <v>184</v>
      </c>
      <c r="E5795" s="7" t="s">
        <v>180</v>
      </c>
      <c r="F5795" s="6" t="n">
        <v>7.59</v>
      </c>
      <c r="G5795" s="6" t="n">
        <v>0</v>
      </c>
      <c r="H5795" s="41" t="n">
        <v>17.34</v>
      </c>
      <c r="I5795" s="43" t="n">
        <f aca="false">F5795*H5795</f>
        <v>131.6106</v>
      </c>
      <c r="J5795" s="43" t="n">
        <f aca="false">G5795*H5795*1.5</f>
        <v>0</v>
      </c>
      <c r="K5795" s="6" t="n">
        <v>23.48</v>
      </c>
      <c r="L5795" s="43" t="n">
        <f aca="false">K5795*'Chart of Accounts'!$E$68</f>
        <v>15.7316</v>
      </c>
      <c r="O5795" s="42" t="n">
        <f aca="false">I5795+J5795+L5795</f>
        <v>147.3422</v>
      </c>
    </row>
    <row r="5796" customFormat="false" ht="15" hidden="false" customHeight="false" outlineLevel="0" collapsed="false">
      <c r="B5796" s="7" t="s">
        <v>14429</v>
      </c>
      <c r="C5796" s="39" t="n">
        <v>46013</v>
      </c>
      <c r="D5796" s="7" t="s">
        <v>216</v>
      </c>
      <c r="E5796" s="7" t="s">
        <v>158</v>
      </c>
      <c r="H5796" s="41" t="n">
        <v>61.79</v>
      </c>
      <c r="M5796" s="6" t="n">
        <v>1</v>
      </c>
      <c r="N5796" s="43" t="n">
        <f aca="false">M5796*H5796</f>
        <v>61.79</v>
      </c>
      <c r="O5796" s="42" t="n">
        <f aca="false">N5796</f>
        <v>61.79</v>
      </c>
    </row>
    <row r="5797" customFormat="false" ht="15" hidden="false" customHeight="false" outlineLevel="0" collapsed="false">
      <c r="B5797" s="7" t="s">
        <v>14430</v>
      </c>
      <c r="C5797" s="39" t="n">
        <v>46013</v>
      </c>
      <c r="D5797" s="7" t="s">
        <v>246</v>
      </c>
      <c r="E5797" s="7" t="s">
        <v>180</v>
      </c>
      <c r="F5797" s="6" t="n">
        <v>10.64</v>
      </c>
      <c r="G5797" s="6" t="n">
        <v>0</v>
      </c>
      <c r="H5797" s="41" t="n">
        <v>16.48</v>
      </c>
      <c r="I5797" s="43" t="n">
        <f aca="false">F5797*H5797</f>
        <v>175.3472</v>
      </c>
      <c r="J5797" s="43" t="n">
        <f aca="false">G5797*H5797*1.5</f>
        <v>0</v>
      </c>
      <c r="K5797" s="6" t="n">
        <v>27.18</v>
      </c>
      <c r="L5797" s="43" t="n">
        <f aca="false">K5797*'Chart of Accounts'!$E$68</f>
        <v>18.2106</v>
      </c>
      <c r="O5797" s="42" t="n">
        <f aca="false">I5797+J5797+L5797</f>
        <v>193.5578</v>
      </c>
    </row>
    <row r="5798" customFormat="false" ht="15" hidden="false" customHeight="false" outlineLevel="0" collapsed="false">
      <c r="B5798" s="7" t="s">
        <v>14431</v>
      </c>
      <c r="C5798" s="39" t="n">
        <v>46013</v>
      </c>
      <c r="D5798" s="7" t="s">
        <v>218</v>
      </c>
      <c r="E5798" s="7" t="s">
        <v>180</v>
      </c>
      <c r="F5798" s="6" t="n">
        <v>4</v>
      </c>
      <c r="G5798" s="6" t="n">
        <v>0</v>
      </c>
      <c r="H5798" s="41" t="n">
        <v>16.19</v>
      </c>
      <c r="I5798" s="43" t="n">
        <f aca="false">F5798*H5798</f>
        <v>64.76</v>
      </c>
      <c r="J5798" s="43" t="n">
        <f aca="false">G5798*H5798*1.5</f>
        <v>0</v>
      </c>
      <c r="K5798" s="6" t="n">
        <v>13.14</v>
      </c>
      <c r="L5798" s="43" t="n">
        <f aca="false">K5798*'Chart of Accounts'!$E$68</f>
        <v>8.8038</v>
      </c>
      <c r="O5798" s="42" t="n">
        <f aca="false">I5798+J5798+L5798</f>
        <v>73.5638</v>
      </c>
    </row>
    <row r="5799" customFormat="false" ht="15" hidden="false" customHeight="false" outlineLevel="0" collapsed="false">
      <c r="B5799" s="7" t="s">
        <v>14432</v>
      </c>
      <c r="C5799" s="39" t="n">
        <v>46013</v>
      </c>
      <c r="D5799" s="7" t="s">
        <v>254</v>
      </c>
      <c r="E5799" s="7" t="s">
        <v>180</v>
      </c>
      <c r="F5799" s="6" t="n">
        <v>9.213</v>
      </c>
      <c r="G5799" s="6" t="n">
        <v>0.937</v>
      </c>
      <c r="H5799" s="41" t="n">
        <v>17.1</v>
      </c>
      <c r="I5799" s="43" t="n">
        <f aca="false">F5799*H5799</f>
        <v>157.5423</v>
      </c>
      <c r="J5799" s="43" t="n">
        <f aca="false">G5799*H5799*1.5</f>
        <v>24.03405</v>
      </c>
      <c r="K5799" s="6" t="n">
        <v>25.76</v>
      </c>
      <c r="L5799" s="43" t="n">
        <f aca="false">K5799*'Chart of Accounts'!$E$68</f>
        <v>17.2592</v>
      </c>
      <c r="O5799" s="42" t="n">
        <f aca="false">I5799+J5799+L5799</f>
        <v>198.83555</v>
      </c>
    </row>
    <row r="5800" customFormat="false" ht="15" hidden="false" customHeight="false" outlineLevel="0" collapsed="false">
      <c r="B5800" s="7" t="s">
        <v>14433</v>
      </c>
      <c r="C5800" s="39" t="n">
        <v>46013</v>
      </c>
      <c r="D5800" s="7" t="s">
        <v>220</v>
      </c>
      <c r="E5800" s="7" t="s">
        <v>180</v>
      </c>
      <c r="F5800" s="6" t="n">
        <v>4.03</v>
      </c>
      <c r="G5800" s="6" t="n">
        <v>0</v>
      </c>
      <c r="H5800" s="41" t="n">
        <v>16.43</v>
      </c>
      <c r="I5800" s="43" t="n">
        <f aca="false">F5800*H5800</f>
        <v>66.2129</v>
      </c>
      <c r="J5800" s="43" t="n">
        <f aca="false">G5800*H5800*1.5</f>
        <v>0</v>
      </c>
      <c r="K5800" s="6" t="n">
        <v>11.66</v>
      </c>
      <c r="L5800" s="43" t="n">
        <f aca="false">K5800*'Chart of Accounts'!$E$68</f>
        <v>7.8122</v>
      </c>
      <c r="O5800" s="42" t="n">
        <f aca="false">I5800+J5800+L5800</f>
        <v>74.0251</v>
      </c>
    </row>
    <row r="5801" customFormat="false" ht="15" hidden="false" customHeight="false" outlineLevel="0" collapsed="false">
      <c r="B5801" s="7" t="s">
        <v>14434</v>
      </c>
      <c r="C5801" s="39" t="n">
        <v>46013</v>
      </c>
      <c r="D5801" s="7" t="s">
        <v>236</v>
      </c>
      <c r="E5801" s="7" t="s">
        <v>180</v>
      </c>
      <c r="F5801" s="6" t="n">
        <v>3.17</v>
      </c>
      <c r="G5801" s="6" t="n">
        <v>0</v>
      </c>
      <c r="H5801" s="41" t="n">
        <v>15.49</v>
      </c>
      <c r="I5801" s="43" t="n">
        <f aca="false">F5801*H5801</f>
        <v>49.1033</v>
      </c>
      <c r="J5801" s="43" t="n">
        <f aca="false">G5801*H5801*1.5</f>
        <v>0</v>
      </c>
      <c r="K5801" s="6" t="n">
        <v>9.64</v>
      </c>
      <c r="L5801" s="43" t="n">
        <f aca="false">K5801*'Chart of Accounts'!$E$68</f>
        <v>6.4588</v>
      </c>
      <c r="O5801" s="42" t="n">
        <f aca="false">I5801+J5801+L5801</f>
        <v>55.5621</v>
      </c>
    </row>
    <row r="5802" customFormat="false" ht="15" hidden="false" customHeight="false" outlineLevel="0" collapsed="false">
      <c r="B5802" s="7" t="s">
        <v>14435</v>
      </c>
      <c r="C5802" s="39" t="n">
        <v>46013</v>
      </c>
      <c r="D5802" s="7" t="s">
        <v>177</v>
      </c>
      <c r="E5802" s="7" t="s">
        <v>180</v>
      </c>
      <c r="F5802" s="6" t="n">
        <v>8.76</v>
      </c>
      <c r="G5802" s="6" t="n">
        <v>0</v>
      </c>
      <c r="H5802" s="41" t="n">
        <v>14.56</v>
      </c>
      <c r="I5802" s="43" t="n">
        <f aca="false">F5802*H5802</f>
        <v>127.5456</v>
      </c>
      <c r="J5802" s="43" t="n">
        <f aca="false">G5802*H5802*1.5</f>
        <v>0</v>
      </c>
      <c r="K5802" s="6" t="n">
        <v>19.34</v>
      </c>
      <c r="L5802" s="43" t="n">
        <f aca="false">K5802*'Chart of Accounts'!$E$68</f>
        <v>12.9578</v>
      </c>
      <c r="O5802" s="42" t="n">
        <f aca="false">I5802+J5802+L5802</f>
        <v>140.5034</v>
      </c>
    </row>
    <row r="5803" customFormat="false" ht="15" hidden="false" customHeight="false" outlineLevel="0" collapsed="false">
      <c r="B5803" s="7" t="s">
        <v>14436</v>
      </c>
      <c r="C5803" s="39" t="n">
        <v>46013</v>
      </c>
      <c r="D5803" s="7" t="s">
        <v>222</v>
      </c>
      <c r="E5803" s="7" t="s">
        <v>180</v>
      </c>
      <c r="F5803" s="6" t="n">
        <v>7.02</v>
      </c>
      <c r="G5803" s="6" t="n">
        <v>0.26</v>
      </c>
      <c r="H5803" s="41" t="n">
        <v>17.84</v>
      </c>
      <c r="I5803" s="43" t="n">
        <f aca="false">F5803*H5803</f>
        <v>125.2368</v>
      </c>
      <c r="J5803" s="43" t="n">
        <f aca="false">G5803*H5803*1.5</f>
        <v>6.9576</v>
      </c>
      <c r="K5803" s="6" t="n">
        <v>23.4</v>
      </c>
      <c r="L5803" s="43" t="n">
        <f aca="false">K5803*'Chart of Accounts'!$E$68</f>
        <v>15.678</v>
      </c>
      <c r="O5803" s="42" t="n">
        <f aca="false">I5803+J5803+L5803</f>
        <v>147.8724</v>
      </c>
    </row>
    <row r="5804" customFormat="false" ht="15" hidden="false" customHeight="false" outlineLevel="0" collapsed="false">
      <c r="B5804" s="7" t="s">
        <v>14437</v>
      </c>
      <c r="C5804" s="39" t="n">
        <v>46013</v>
      </c>
      <c r="D5804" s="7" t="s">
        <v>244</v>
      </c>
      <c r="E5804" s="7" t="s">
        <v>180</v>
      </c>
      <c r="F5804" s="6" t="n">
        <v>3.84</v>
      </c>
      <c r="G5804" s="6" t="n">
        <v>0</v>
      </c>
      <c r="H5804" s="41" t="n">
        <v>16.39</v>
      </c>
      <c r="I5804" s="43" t="n">
        <f aca="false">F5804*H5804</f>
        <v>62.9376</v>
      </c>
      <c r="J5804" s="43" t="n">
        <f aca="false">G5804*H5804*1.5</f>
        <v>0</v>
      </c>
      <c r="K5804" s="6" t="n">
        <v>12.1</v>
      </c>
      <c r="L5804" s="43" t="n">
        <f aca="false">K5804*'Chart of Accounts'!$E$68</f>
        <v>8.107</v>
      </c>
      <c r="O5804" s="42" t="n">
        <f aca="false">I5804+J5804+L5804</f>
        <v>71.0446</v>
      </c>
    </row>
    <row r="5805" customFormat="false" ht="15" hidden="false" customHeight="false" outlineLevel="0" collapsed="false">
      <c r="B5805" s="7" t="s">
        <v>14438</v>
      </c>
      <c r="C5805" s="39" t="n">
        <v>46013</v>
      </c>
      <c r="D5805" s="7" t="s">
        <v>226</v>
      </c>
      <c r="E5805" s="7" t="s">
        <v>180</v>
      </c>
      <c r="F5805" s="6" t="n">
        <v>3.32</v>
      </c>
      <c r="G5805" s="6" t="n">
        <v>0</v>
      </c>
      <c r="H5805" s="41" t="n">
        <v>16.45</v>
      </c>
      <c r="I5805" s="43" t="n">
        <f aca="false">F5805*H5805</f>
        <v>54.614</v>
      </c>
      <c r="J5805" s="43" t="n">
        <f aca="false">G5805*H5805*1.5</f>
        <v>0</v>
      </c>
      <c r="K5805" s="6" t="n">
        <v>10.78</v>
      </c>
      <c r="L5805" s="43" t="n">
        <f aca="false">K5805*'Chart of Accounts'!$E$68</f>
        <v>7.2226</v>
      </c>
      <c r="O5805" s="42" t="n">
        <f aca="false">I5805+J5805+L5805</f>
        <v>61.8366</v>
      </c>
    </row>
    <row r="5806" customFormat="false" ht="15" hidden="false" customHeight="false" outlineLevel="0" collapsed="false">
      <c r="B5806" s="7" t="s">
        <v>14439</v>
      </c>
      <c r="C5806" s="39" t="n">
        <v>46013</v>
      </c>
      <c r="D5806" s="7" t="s">
        <v>256</v>
      </c>
      <c r="E5806" s="7" t="s">
        <v>180</v>
      </c>
      <c r="F5806" s="6" t="n">
        <v>7.31</v>
      </c>
      <c r="G5806" s="6" t="n">
        <v>0</v>
      </c>
      <c r="H5806" s="41" t="n">
        <v>15.63</v>
      </c>
      <c r="I5806" s="43" t="n">
        <f aca="false">F5806*H5806</f>
        <v>114.2553</v>
      </c>
      <c r="J5806" s="43" t="n">
        <f aca="false">G5806*H5806*1.5</f>
        <v>0</v>
      </c>
      <c r="K5806" s="6" t="n">
        <v>22.34</v>
      </c>
      <c r="L5806" s="43" t="n">
        <f aca="false">K5806*'Chart of Accounts'!$E$68</f>
        <v>14.9678</v>
      </c>
      <c r="O5806" s="42" t="n">
        <f aca="false">I5806+J5806+L5806</f>
        <v>129.2231</v>
      </c>
    </row>
    <row r="5807" customFormat="false" ht="15" hidden="false" customHeight="false" outlineLevel="0" collapsed="false">
      <c r="B5807" s="7" t="s">
        <v>14440</v>
      </c>
      <c r="C5807" s="39" t="n">
        <v>46013</v>
      </c>
      <c r="D5807" s="7" t="s">
        <v>224</v>
      </c>
      <c r="E5807" s="7" t="s">
        <v>180</v>
      </c>
      <c r="F5807" s="6" t="n">
        <v>4.27</v>
      </c>
      <c r="G5807" s="6" t="n">
        <v>0</v>
      </c>
      <c r="H5807" s="41" t="n">
        <v>14.93</v>
      </c>
      <c r="I5807" s="43" t="n">
        <f aca="false">F5807*H5807</f>
        <v>63.7511</v>
      </c>
      <c r="J5807" s="43" t="n">
        <f aca="false">G5807*H5807*1.5</f>
        <v>0</v>
      </c>
      <c r="K5807" s="6" t="n">
        <v>11.28</v>
      </c>
      <c r="L5807" s="43" t="n">
        <f aca="false">K5807*'Chart of Accounts'!$E$68</f>
        <v>7.5576</v>
      </c>
      <c r="O5807" s="42" t="n">
        <f aca="false">I5807+J5807+L5807</f>
        <v>71.3087</v>
      </c>
    </row>
    <row r="5808" customFormat="false" ht="15" hidden="false" customHeight="false" outlineLevel="0" collapsed="false">
      <c r="B5808" s="7" t="s">
        <v>14441</v>
      </c>
      <c r="C5808" s="39" t="n">
        <v>46013</v>
      </c>
      <c r="D5808" s="7" t="s">
        <v>238</v>
      </c>
      <c r="E5808" s="7" t="s">
        <v>180</v>
      </c>
      <c r="F5808" s="6" t="n">
        <v>4.02</v>
      </c>
      <c r="G5808" s="6" t="n">
        <v>0</v>
      </c>
      <c r="H5808" s="41" t="n">
        <v>15.85</v>
      </c>
      <c r="I5808" s="43" t="n">
        <f aca="false">F5808*H5808</f>
        <v>63.717</v>
      </c>
      <c r="J5808" s="43" t="n">
        <f aca="false">G5808*H5808*1.5</f>
        <v>0</v>
      </c>
      <c r="K5808" s="6" t="n">
        <v>10.12</v>
      </c>
      <c r="L5808" s="43" t="n">
        <f aca="false">K5808*'Chart of Accounts'!$E$68</f>
        <v>6.7804</v>
      </c>
      <c r="O5808" s="42" t="n">
        <f aca="false">I5808+J5808+L5808</f>
        <v>70.4974</v>
      </c>
    </row>
    <row r="5809" customFormat="false" ht="15" hidden="false" customHeight="false" outlineLevel="0" collapsed="false">
      <c r="B5809" s="7" t="s">
        <v>14442</v>
      </c>
      <c r="C5809" s="39" t="n">
        <v>46013</v>
      </c>
      <c r="D5809" s="7" t="s">
        <v>232</v>
      </c>
      <c r="E5809" s="7" t="s">
        <v>180</v>
      </c>
      <c r="F5809" s="6" t="n">
        <v>3.65</v>
      </c>
      <c r="G5809" s="6" t="n">
        <v>0</v>
      </c>
      <c r="H5809" s="41" t="n">
        <v>16.17</v>
      </c>
      <c r="I5809" s="43" t="n">
        <f aca="false">F5809*H5809</f>
        <v>59.0205</v>
      </c>
      <c r="J5809" s="43" t="n">
        <f aca="false">G5809*H5809*1.5</f>
        <v>0</v>
      </c>
      <c r="K5809" s="6" t="n">
        <v>11.22</v>
      </c>
      <c r="L5809" s="43" t="n">
        <f aca="false">K5809*'Chart of Accounts'!$E$68</f>
        <v>7.5174</v>
      </c>
      <c r="O5809" s="42" t="n">
        <f aca="false">I5809+J5809+L5809</f>
        <v>66.5379</v>
      </c>
    </row>
    <row r="5810" customFormat="false" ht="15" hidden="false" customHeight="false" outlineLevel="0" collapsed="false">
      <c r="B5810" s="7" t="s">
        <v>14443</v>
      </c>
      <c r="C5810" s="39" t="n">
        <v>46014</v>
      </c>
      <c r="D5810" s="7" t="s">
        <v>214</v>
      </c>
      <c r="E5810" s="7" t="s">
        <v>180</v>
      </c>
      <c r="F5810" s="6" t="n">
        <v>4.21</v>
      </c>
      <c r="G5810" s="6" t="n">
        <v>0</v>
      </c>
      <c r="H5810" s="41" t="n">
        <v>15.67</v>
      </c>
      <c r="I5810" s="43" t="n">
        <f aca="false">F5810*H5810</f>
        <v>65.9707</v>
      </c>
      <c r="J5810" s="43" t="n">
        <f aca="false">G5810*H5810*1.5</f>
        <v>0</v>
      </c>
      <c r="K5810" s="6" t="n">
        <v>11.22</v>
      </c>
      <c r="L5810" s="43" t="n">
        <f aca="false">K5810*'Chart of Accounts'!$E$68</f>
        <v>7.5174</v>
      </c>
      <c r="O5810" s="42" t="n">
        <f aca="false">I5810+J5810+L5810</f>
        <v>73.4881</v>
      </c>
    </row>
    <row r="5811" customFormat="false" ht="15" hidden="false" customHeight="false" outlineLevel="0" collapsed="false">
      <c r="B5811" s="7" t="s">
        <v>14444</v>
      </c>
      <c r="C5811" s="39" t="n">
        <v>46014</v>
      </c>
      <c r="D5811" s="7" t="s">
        <v>198</v>
      </c>
      <c r="E5811" s="7" t="s">
        <v>158</v>
      </c>
      <c r="H5811" s="41" t="n">
        <v>48.09</v>
      </c>
      <c r="M5811" s="6" t="n">
        <v>2</v>
      </c>
      <c r="N5811" s="43" t="n">
        <f aca="false">M5811*H5811</f>
        <v>96.18</v>
      </c>
      <c r="O5811" s="42" t="n">
        <f aca="false">N5811</f>
        <v>96.18</v>
      </c>
    </row>
    <row r="5812" customFormat="false" ht="15" hidden="false" customHeight="false" outlineLevel="0" collapsed="false">
      <c r="B5812" s="7" t="s">
        <v>14445</v>
      </c>
      <c r="C5812" s="39" t="n">
        <v>46014</v>
      </c>
      <c r="D5812" s="7" t="s">
        <v>209</v>
      </c>
      <c r="E5812" s="7" t="s">
        <v>158</v>
      </c>
      <c r="H5812" s="41" t="n">
        <v>73.58</v>
      </c>
      <c r="M5812" s="6" t="n">
        <v>2</v>
      </c>
      <c r="N5812" s="43" t="n">
        <f aca="false">M5812*H5812</f>
        <v>147.16</v>
      </c>
      <c r="O5812" s="42" t="n">
        <f aca="false">N5812</f>
        <v>147.16</v>
      </c>
    </row>
    <row r="5813" customFormat="false" ht="15" hidden="false" customHeight="false" outlineLevel="0" collapsed="false">
      <c r="B5813" s="7" t="s">
        <v>14446</v>
      </c>
      <c r="C5813" s="39" t="n">
        <v>46014</v>
      </c>
      <c r="D5813" s="7" t="s">
        <v>184</v>
      </c>
      <c r="E5813" s="7" t="s">
        <v>180</v>
      </c>
      <c r="F5813" s="6" t="n">
        <v>3.74</v>
      </c>
      <c r="G5813" s="6" t="n">
        <v>0</v>
      </c>
      <c r="H5813" s="41" t="n">
        <v>17.34</v>
      </c>
      <c r="I5813" s="43" t="n">
        <f aca="false">F5813*H5813</f>
        <v>64.8516</v>
      </c>
      <c r="J5813" s="43" t="n">
        <f aca="false">G5813*H5813*1.5</f>
        <v>0</v>
      </c>
      <c r="K5813" s="6" t="n">
        <v>8.37</v>
      </c>
      <c r="L5813" s="43" t="n">
        <f aca="false">K5813*'Chart of Accounts'!$E$68</f>
        <v>5.6079</v>
      </c>
      <c r="O5813" s="42" t="n">
        <f aca="false">I5813+J5813+L5813</f>
        <v>70.4595</v>
      </c>
    </row>
    <row r="5814" customFormat="false" ht="15" hidden="false" customHeight="false" outlineLevel="0" collapsed="false">
      <c r="B5814" s="7" t="s">
        <v>14447</v>
      </c>
      <c r="C5814" s="39" t="n">
        <v>46014</v>
      </c>
      <c r="D5814" s="7" t="s">
        <v>234</v>
      </c>
      <c r="E5814" s="7" t="s">
        <v>158</v>
      </c>
      <c r="H5814" s="41" t="n">
        <v>89.53</v>
      </c>
      <c r="M5814" s="6" t="n">
        <v>2</v>
      </c>
      <c r="N5814" s="43" t="n">
        <f aca="false">M5814*H5814</f>
        <v>179.06</v>
      </c>
      <c r="O5814" s="42" t="n">
        <f aca="false">N5814</f>
        <v>179.06</v>
      </c>
    </row>
    <row r="5815" customFormat="false" ht="15" hidden="false" customHeight="false" outlineLevel="0" collapsed="false">
      <c r="B5815" s="7" t="s">
        <v>14448</v>
      </c>
      <c r="C5815" s="39" t="n">
        <v>46014</v>
      </c>
      <c r="D5815" s="7" t="s">
        <v>218</v>
      </c>
      <c r="E5815" s="7" t="s">
        <v>180</v>
      </c>
      <c r="F5815" s="6" t="n">
        <v>7.91</v>
      </c>
      <c r="G5815" s="6" t="n">
        <v>0</v>
      </c>
      <c r="H5815" s="41" t="n">
        <v>16.19</v>
      </c>
      <c r="I5815" s="43" t="n">
        <f aca="false">F5815*H5815</f>
        <v>128.0629</v>
      </c>
      <c r="J5815" s="43" t="n">
        <f aca="false">G5815*H5815*1.5</f>
        <v>0</v>
      </c>
      <c r="K5815" s="6" t="n">
        <v>22.28</v>
      </c>
      <c r="L5815" s="43" t="n">
        <f aca="false">K5815*'Chart of Accounts'!$E$68</f>
        <v>14.9276</v>
      </c>
      <c r="O5815" s="42" t="n">
        <f aca="false">I5815+J5815+L5815</f>
        <v>142.9905</v>
      </c>
    </row>
    <row r="5816" customFormat="false" ht="15" hidden="false" customHeight="false" outlineLevel="0" collapsed="false">
      <c r="B5816" s="7" t="s">
        <v>14449</v>
      </c>
      <c r="C5816" s="39" t="n">
        <v>46014</v>
      </c>
      <c r="D5816" s="7" t="s">
        <v>228</v>
      </c>
      <c r="E5816" s="7" t="s">
        <v>158</v>
      </c>
      <c r="H5816" s="41" t="n">
        <v>51.07</v>
      </c>
      <c r="M5816" s="6" t="n">
        <v>1</v>
      </c>
      <c r="N5816" s="43" t="n">
        <f aca="false">M5816*H5816</f>
        <v>51.07</v>
      </c>
      <c r="O5816" s="42" t="n">
        <f aca="false">N5816</f>
        <v>51.07</v>
      </c>
    </row>
    <row r="5817" customFormat="false" ht="15" hidden="false" customHeight="false" outlineLevel="0" collapsed="false">
      <c r="B5817" s="7" t="s">
        <v>14450</v>
      </c>
      <c r="C5817" s="39" t="n">
        <v>46014</v>
      </c>
      <c r="D5817" s="7" t="s">
        <v>220</v>
      </c>
      <c r="E5817" s="7" t="s">
        <v>180</v>
      </c>
      <c r="F5817" s="6" t="n">
        <v>3.84</v>
      </c>
      <c r="G5817" s="6" t="n">
        <v>0</v>
      </c>
      <c r="H5817" s="41" t="n">
        <v>16.43</v>
      </c>
      <c r="I5817" s="43" t="n">
        <f aca="false">F5817*H5817</f>
        <v>63.0912</v>
      </c>
      <c r="J5817" s="43" t="n">
        <f aca="false">G5817*H5817*1.5</f>
        <v>0</v>
      </c>
      <c r="K5817" s="6" t="n">
        <v>12.83</v>
      </c>
      <c r="L5817" s="43" t="n">
        <f aca="false">K5817*'Chart of Accounts'!$E$68</f>
        <v>8.5961</v>
      </c>
      <c r="O5817" s="42" t="n">
        <f aca="false">I5817+J5817+L5817</f>
        <v>71.6873</v>
      </c>
    </row>
    <row r="5818" customFormat="false" ht="15" hidden="false" customHeight="false" outlineLevel="0" collapsed="false">
      <c r="B5818" s="7" t="s">
        <v>14451</v>
      </c>
      <c r="C5818" s="39" t="n">
        <v>46014</v>
      </c>
      <c r="D5818" s="7" t="s">
        <v>230</v>
      </c>
      <c r="E5818" s="7" t="s">
        <v>158</v>
      </c>
      <c r="H5818" s="41" t="n">
        <v>48.78</v>
      </c>
      <c r="M5818" s="6" t="n">
        <v>2</v>
      </c>
      <c r="N5818" s="43" t="n">
        <f aca="false">M5818*H5818</f>
        <v>97.56</v>
      </c>
      <c r="O5818" s="42" t="n">
        <f aca="false">N5818</f>
        <v>97.56</v>
      </c>
    </row>
    <row r="5819" customFormat="false" ht="15" hidden="false" customHeight="false" outlineLevel="0" collapsed="false">
      <c r="B5819" s="7" t="s">
        <v>14452</v>
      </c>
      <c r="C5819" s="39" t="n">
        <v>46014</v>
      </c>
      <c r="D5819" s="7" t="s">
        <v>244</v>
      </c>
      <c r="E5819" s="7" t="s">
        <v>180</v>
      </c>
      <c r="F5819" s="6" t="n">
        <v>4.31</v>
      </c>
      <c r="G5819" s="6" t="n">
        <v>0</v>
      </c>
      <c r="H5819" s="41" t="n">
        <v>16.39</v>
      </c>
      <c r="I5819" s="43" t="n">
        <f aca="false">F5819*H5819</f>
        <v>70.6409</v>
      </c>
      <c r="J5819" s="43" t="n">
        <f aca="false">G5819*H5819*1.5</f>
        <v>0</v>
      </c>
      <c r="K5819" s="6" t="n">
        <v>11.17</v>
      </c>
      <c r="L5819" s="43" t="n">
        <f aca="false">K5819*'Chart of Accounts'!$E$68</f>
        <v>7.4839</v>
      </c>
      <c r="O5819" s="42" t="n">
        <f aca="false">I5819+J5819+L5819</f>
        <v>78.1248</v>
      </c>
    </row>
    <row r="5820" customFormat="false" ht="15" hidden="false" customHeight="false" outlineLevel="0" collapsed="false">
      <c r="B5820" s="7" t="s">
        <v>14453</v>
      </c>
      <c r="C5820" s="39" t="n">
        <v>46014</v>
      </c>
      <c r="D5820" s="7" t="s">
        <v>194</v>
      </c>
      <c r="E5820" s="7" t="s">
        <v>180</v>
      </c>
      <c r="F5820" s="6" t="n">
        <v>3.95</v>
      </c>
      <c r="G5820" s="6" t="n">
        <v>0</v>
      </c>
      <c r="H5820" s="41" t="n">
        <v>16</v>
      </c>
      <c r="I5820" s="43" t="n">
        <f aca="false">F5820*H5820</f>
        <v>63.2</v>
      </c>
      <c r="J5820" s="43" t="n">
        <f aca="false">G5820*H5820*1.5</f>
        <v>0</v>
      </c>
      <c r="K5820" s="6" t="n">
        <v>13.48</v>
      </c>
      <c r="L5820" s="43" t="n">
        <f aca="false">K5820*'Chart of Accounts'!$E$68</f>
        <v>9.0316</v>
      </c>
      <c r="O5820" s="42" t="n">
        <f aca="false">I5820+J5820+L5820</f>
        <v>72.2316</v>
      </c>
    </row>
    <row r="5821" customFormat="false" ht="15" hidden="false" customHeight="false" outlineLevel="0" collapsed="false">
      <c r="B5821" s="7" t="s">
        <v>14454</v>
      </c>
      <c r="C5821" s="39" t="n">
        <v>46014</v>
      </c>
      <c r="D5821" s="7" t="s">
        <v>258</v>
      </c>
      <c r="E5821" s="7" t="s">
        <v>158</v>
      </c>
      <c r="H5821" s="41" t="n">
        <v>61.61</v>
      </c>
      <c r="M5821" s="6" t="n">
        <v>1</v>
      </c>
      <c r="N5821" s="43" t="n">
        <f aca="false">M5821*H5821</f>
        <v>61.61</v>
      </c>
      <c r="O5821" s="42" t="n">
        <f aca="false">N5821</f>
        <v>61.61</v>
      </c>
    </row>
    <row r="5822" customFormat="false" ht="15" hidden="false" customHeight="false" outlineLevel="0" collapsed="false">
      <c r="B5822" s="7" t="s">
        <v>14455</v>
      </c>
      <c r="C5822" s="39" t="n">
        <v>46014</v>
      </c>
      <c r="D5822" s="7" t="s">
        <v>196</v>
      </c>
      <c r="E5822" s="7" t="s">
        <v>180</v>
      </c>
      <c r="F5822" s="6" t="n">
        <v>4.199</v>
      </c>
      <c r="G5822" s="6" t="n">
        <v>0.071</v>
      </c>
      <c r="H5822" s="41" t="n">
        <v>15.05</v>
      </c>
      <c r="I5822" s="43" t="n">
        <f aca="false">F5822*H5822</f>
        <v>63.19495</v>
      </c>
      <c r="J5822" s="43" t="n">
        <f aca="false">G5822*H5822*1.5</f>
        <v>1.602825</v>
      </c>
      <c r="K5822" s="6" t="n">
        <v>9.59</v>
      </c>
      <c r="L5822" s="43" t="n">
        <f aca="false">K5822*'Chart of Accounts'!$E$68</f>
        <v>6.4253</v>
      </c>
      <c r="O5822" s="42" t="n">
        <f aca="false">I5822+J5822+L5822</f>
        <v>71.223075</v>
      </c>
    </row>
    <row r="5823" customFormat="false" ht="15" hidden="false" customHeight="false" outlineLevel="0" collapsed="false">
      <c r="B5823" s="7" t="s">
        <v>14456</v>
      </c>
      <c r="C5823" s="39" t="n">
        <v>46014</v>
      </c>
      <c r="D5823" s="7" t="s">
        <v>246</v>
      </c>
      <c r="E5823" s="7" t="s">
        <v>180</v>
      </c>
      <c r="F5823" s="6" t="n">
        <v>3.84</v>
      </c>
      <c r="G5823" s="6" t="n">
        <v>0</v>
      </c>
      <c r="H5823" s="41" t="n">
        <v>16.48</v>
      </c>
      <c r="I5823" s="43" t="n">
        <f aca="false">F5823*H5823</f>
        <v>63.2832</v>
      </c>
      <c r="J5823" s="43" t="n">
        <f aca="false">G5823*H5823*1.5</f>
        <v>0</v>
      </c>
      <c r="K5823" s="6" t="n">
        <v>13.65</v>
      </c>
      <c r="L5823" s="43" t="n">
        <f aca="false">K5823*'Chart of Accounts'!$E$68</f>
        <v>9.1455</v>
      </c>
      <c r="O5823" s="42" t="n">
        <f aca="false">I5823+J5823+L5823</f>
        <v>72.4287</v>
      </c>
    </row>
    <row r="5824" customFormat="false" ht="15" hidden="false" customHeight="false" outlineLevel="0" collapsed="false">
      <c r="B5824" s="7" t="s">
        <v>14457</v>
      </c>
      <c r="C5824" s="39" t="n">
        <v>46014</v>
      </c>
      <c r="D5824" s="7" t="s">
        <v>222</v>
      </c>
      <c r="E5824" s="7" t="s">
        <v>180</v>
      </c>
      <c r="F5824" s="6" t="n">
        <v>4.079</v>
      </c>
      <c r="G5824" s="6" t="n">
        <v>0.151</v>
      </c>
      <c r="H5824" s="41" t="n">
        <v>17.84</v>
      </c>
      <c r="I5824" s="43" t="n">
        <f aca="false">F5824*H5824</f>
        <v>72.76936</v>
      </c>
      <c r="J5824" s="43" t="n">
        <f aca="false">G5824*H5824*1.5</f>
        <v>4.04076</v>
      </c>
      <c r="K5824" s="6" t="n">
        <v>12.41</v>
      </c>
      <c r="L5824" s="43" t="n">
        <f aca="false">K5824*'Chart of Accounts'!$E$68</f>
        <v>8.3147</v>
      </c>
      <c r="O5824" s="42" t="n">
        <f aca="false">I5824+J5824+L5824</f>
        <v>85.12482</v>
      </c>
    </row>
    <row r="5825" customFormat="false" ht="15" hidden="false" customHeight="false" outlineLevel="0" collapsed="false">
      <c r="B5825" s="7" t="s">
        <v>14458</v>
      </c>
      <c r="C5825" s="39" t="n">
        <v>46014</v>
      </c>
      <c r="D5825" s="7" t="s">
        <v>242</v>
      </c>
      <c r="E5825" s="7" t="s">
        <v>180</v>
      </c>
      <c r="F5825" s="6" t="n">
        <v>3.869</v>
      </c>
      <c r="G5825" s="6" t="n">
        <v>0.201</v>
      </c>
      <c r="H5825" s="41" t="n">
        <v>17.99</v>
      </c>
      <c r="I5825" s="43" t="n">
        <f aca="false">F5825*H5825</f>
        <v>69.60331</v>
      </c>
      <c r="J5825" s="43" t="n">
        <f aca="false">G5825*H5825*1.5</f>
        <v>5.423985</v>
      </c>
      <c r="K5825" s="6" t="n">
        <v>11.09</v>
      </c>
      <c r="L5825" s="43" t="n">
        <f aca="false">K5825*'Chart of Accounts'!$E$68</f>
        <v>7.4303</v>
      </c>
      <c r="O5825" s="42" t="n">
        <f aca="false">I5825+J5825+L5825</f>
        <v>82.457595</v>
      </c>
    </row>
    <row r="5826" customFormat="false" ht="15" hidden="false" customHeight="false" outlineLevel="0" collapsed="false">
      <c r="B5826" s="7" t="s">
        <v>14459</v>
      </c>
      <c r="C5826" s="39" t="n">
        <v>46014</v>
      </c>
      <c r="D5826" s="7" t="s">
        <v>203</v>
      </c>
      <c r="E5826" s="7" t="s">
        <v>158</v>
      </c>
      <c r="H5826" s="41" t="n">
        <v>49.43</v>
      </c>
      <c r="M5826" s="6" t="n">
        <v>1</v>
      </c>
      <c r="N5826" s="43" t="n">
        <f aca="false">M5826*H5826</f>
        <v>49.43</v>
      </c>
      <c r="O5826" s="42" t="n">
        <f aca="false">N5826</f>
        <v>49.43</v>
      </c>
    </row>
    <row r="5827" customFormat="false" ht="15" hidden="false" customHeight="false" outlineLevel="0" collapsed="false">
      <c r="B5827" s="7" t="s">
        <v>14460</v>
      </c>
      <c r="C5827" s="39" t="n">
        <v>46014</v>
      </c>
      <c r="D5827" s="7" t="s">
        <v>254</v>
      </c>
      <c r="E5827" s="7" t="s">
        <v>180</v>
      </c>
      <c r="F5827" s="6" t="n">
        <v>3.304</v>
      </c>
      <c r="G5827" s="6" t="n">
        <v>0.336</v>
      </c>
      <c r="H5827" s="41" t="n">
        <v>17.1</v>
      </c>
      <c r="I5827" s="43" t="n">
        <f aca="false">F5827*H5827</f>
        <v>56.4984</v>
      </c>
      <c r="J5827" s="43" t="n">
        <f aca="false">G5827*H5827*1.5</f>
        <v>8.6184</v>
      </c>
      <c r="K5827" s="6" t="n">
        <v>10.72</v>
      </c>
      <c r="L5827" s="43" t="n">
        <f aca="false">K5827*'Chart of Accounts'!$E$68</f>
        <v>7.1824</v>
      </c>
      <c r="O5827" s="42" t="n">
        <f aca="false">I5827+J5827+L5827</f>
        <v>72.2992</v>
      </c>
    </row>
    <row r="5828" customFormat="false" ht="15" hidden="false" customHeight="false" outlineLevel="0" collapsed="false">
      <c r="B5828" s="7" t="s">
        <v>14461</v>
      </c>
      <c r="C5828" s="39" t="n">
        <v>46014</v>
      </c>
      <c r="D5828" s="7" t="s">
        <v>260</v>
      </c>
      <c r="E5828" s="7" t="s">
        <v>158</v>
      </c>
      <c r="H5828" s="41" t="n">
        <v>79.8</v>
      </c>
      <c r="M5828" s="6" t="n">
        <v>1</v>
      </c>
      <c r="N5828" s="43" t="n">
        <f aca="false">M5828*H5828</f>
        <v>79.8</v>
      </c>
      <c r="O5828" s="42" t="n">
        <f aca="false">N5828</f>
        <v>79.8</v>
      </c>
    </row>
    <row r="5829" customFormat="false" ht="15" hidden="false" customHeight="false" outlineLevel="0" collapsed="false">
      <c r="B5829" s="7" t="s">
        <v>14462</v>
      </c>
      <c r="C5829" s="39" t="n">
        <v>46015</v>
      </c>
      <c r="D5829" s="7" t="s">
        <v>258</v>
      </c>
      <c r="E5829" s="7" t="s">
        <v>158</v>
      </c>
      <c r="H5829" s="41" t="n">
        <v>61.61</v>
      </c>
      <c r="M5829" s="6" t="n">
        <v>1</v>
      </c>
      <c r="N5829" s="43" t="n">
        <f aca="false">M5829*H5829</f>
        <v>61.61</v>
      </c>
      <c r="O5829" s="42" t="n">
        <f aca="false">N5829</f>
        <v>61.61</v>
      </c>
    </row>
    <row r="5830" customFormat="false" ht="15" hidden="false" customHeight="false" outlineLevel="0" collapsed="false">
      <c r="B5830" s="7" t="s">
        <v>14463</v>
      </c>
      <c r="C5830" s="39" t="n">
        <v>46015</v>
      </c>
      <c r="D5830" s="7" t="s">
        <v>256</v>
      </c>
      <c r="E5830" s="7" t="s">
        <v>180</v>
      </c>
      <c r="F5830" s="6" t="n">
        <v>3.91</v>
      </c>
      <c r="G5830" s="6" t="n">
        <v>0</v>
      </c>
      <c r="H5830" s="41" t="n">
        <v>15.63</v>
      </c>
      <c r="I5830" s="43" t="n">
        <f aca="false">F5830*H5830</f>
        <v>61.1133</v>
      </c>
      <c r="J5830" s="43" t="n">
        <f aca="false">G5830*H5830*1.5</f>
        <v>0</v>
      </c>
      <c r="K5830" s="6" t="n">
        <v>9.69</v>
      </c>
      <c r="L5830" s="43" t="n">
        <f aca="false">K5830*'Chart of Accounts'!$E$68</f>
        <v>6.4923</v>
      </c>
      <c r="O5830" s="42" t="n">
        <f aca="false">I5830+J5830+L5830</f>
        <v>67.6056</v>
      </c>
    </row>
    <row r="5831" customFormat="false" ht="15" hidden="false" customHeight="false" outlineLevel="0" collapsed="false">
      <c r="B5831" s="7" t="s">
        <v>14464</v>
      </c>
      <c r="C5831" s="39" t="n">
        <v>46015</v>
      </c>
      <c r="D5831" s="7" t="s">
        <v>194</v>
      </c>
      <c r="E5831" s="7" t="s">
        <v>180</v>
      </c>
      <c r="F5831" s="6" t="n">
        <v>8.27</v>
      </c>
      <c r="G5831" s="6" t="n">
        <v>0</v>
      </c>
      <c r="H5831" s="41" t="n">
        <v>16</v>
      </c>
      <c r="I5831" s="43" t="n">
        <f aca="false">F5831*H5831</f>
        <v>132.32</v>
      </c>
      <c r="J5831" s="43" t="n">
        <f aca="false">G5831*H5831*1.5</f>
        <v>0</v>
      </c>
      <c r="K5831" s="6" t="n">
        <v>24.37</v>
      </c>
      <c r="L5831" s="43" t="n">
        <f aca="false">K5831*'Chart of Accounts'!$E$68</f>
        <v>16.3279</v>
      </c>
      <c r="O5831" s="42" t="n">
        <f aca="false">I5831+J5831+L5831</f>
        <v>148.6479</v>
      </c>
    </row>
    <row r="5832" customFormat="false" ht="15" hidden="false" customHeight="false" outlineLevel="0" collapsed="false">
      <c r="B5832" s="7" t="s">
        <v>14465</v>
      </c>
      <c r="C5832" s="39" t="n">
        <v>46015</v>
      </c>
      <c r="D5832" s="7" t="s">
        <v>214</v>
      </c>
      <c r="E5832" s="7" t="s">
        <v>180</v>
      </c>
      <c r="F5832" s="6" t="n">
        <v>7.93</v>
      </c>
      <c r="G5832" s="6" t="n">
        <v>0</v>
      </c>
      <c r="H5832" s="41" t="n">
        <v>15.67</v>
      </c>
      <c r="I5832" s="43" t="n">
        <f aca="false">F5832*H5832</f>
        <v>124.2631</v>
      </c>
      <c r="J5832" s="43" t="n">
        <f aca="false">G5832*H5832*1.5</f>
        <v>0</v>
      </c>
      <c r="K5832" s="6" t="n">
        <v>27.71</v>
      </c>
      <c r="L5832" s="43" t="n">
        <f aca="false">K5832*'Chart of Accounts'!$E$68</f>
        <v>18.5657</v>
      </c>
      <c r="O5832" s="42" t="n">
        <f aca="false">I5832+J5832+L5832</f>
        <v>142.8288</v>
      </c>
    </row>
    <row r="5833" customFormat="false" ht="15" hidden="false" customHeight="false" outlineLevel="0" collapsed="false">
      <c r="B5833" s="7" t="s">
        <v>14466</v>
      </c>
      <c r="C5833" s="39" t="n">
        <v>46015</v>
      </c>
      <c r="D5833" s="7" t="s">
        <v>205</v>
      </c>
      <c r="E5833" s="7" t="s">
        <v>180</v>
      </c>
      <c r="F5833" s="6" t="n">
        <v>3.73</v>
      </c>
      <c r="G5833" s="6" t="n">
        <v>0</v>
      </c>
      <c r="H5833" s="41" t="n">
        <v>16.36</v>
      </c>
      <c r="I5833" s="43" t="n">
        <f aca="false">F5833*H5833</f>
        <v>61.0228</v>
      </c>
      <c r="J5833" s="43" t="n">
        <f aca="false">G5833*H5833*1.5</f>
        <v>0</v>
      </c>
      <c r="K5833" s="6" t="n">
        <v>11.24</v>
      </c>
      <c r="L5833" s="43" t="n">
        <f aca="false">K5833*'Chart of Accounts'!$E$68</f>
        <v>7.5308</v>
      </c>
      <c r="O5833" s="42" t="n">
        <f aca="false">I5833+J5833+L5833</f>
        <v>68.5536</v>
      </c>
    </row>
    <row r="5834" customFormat="false" ht="15" hidden="false" customHeight="false" outlineLevel="0" collapsed="false">
      <c r="B5834" s="7" t="s">
        <v>14467</v>
      </c>
      <c r="C5834" s="39" t="n">
        <v>46015</v>
      </c>
      <c r="D5834" s="7" t="s">
        <v>264</v>
      </c>
      <c r="E5834" s="7" t="s">
        <v>158</v>
      </c>
      <c r="H5834" s="41" t="n">
        <v>55.55</v>
      </c>
      <c r="M5834" s="6" t="n">
        <v>1</v>
      </c>
      <c r="N5834" s="43" t="n">
        <f aca="false">M5834*H5834</f>
        <v>55.55</v>
      </c>
      <c r="O5834" s="42" t="n">
        <f aca="false">N5834</f>
        <v>55.55</v>
      </c>
    </row>
    <row r="5835" customFormat="false" ht="15" hidden="false" customHeight="false" outlineLevel="0" collapsed="false">
      <c r="B5835" s="7" t="s">
        <v>14468</v>
      </c>
      <c r="C5835" s="39" t="n">
        <v>46015</v>
      </c>
      <c r="D5835" s="7" t="s">
        <v>252</v>
      </c>
      <c r="E5835" s="7" t="s">
        <v>158</v>
      </c>
      <c r="H5835" s="41" t="n">
        <v>57.54</v>
      </c>
      <c r="M5835" s="6" t="n">
        <v>1</v>
      </c>
      <c r="N5835" s="43" t="n">
        <f aca="false">M5835*H5835</f>
        <v>57.54</v>
      </c>
      <c r="O5835" s="42" t="n">
        <f aca="false">N5835</f>
        <v>57.54</v>
      </c>
    </row>
    <row r="5836" customFormat="false" ht="15" hidden="false" customHeight="false" outlineLevel="0" collapsed="false">
      <c r="B5836" s="7" t="s">
        <v>14469</v>
      </c>
      <c r="C5836" s="39" t="n">
        <v>46015</v>
      </c>
      <c r="D5836" s="7" t="s">
        <v>184</v>
      </c>
      <c r="E5836" s="7" t="s">
        <v>180</v>
      </c>
      <c r="F5836" s="6" t="n">
        <v>7.73</v>
      </c>
      <c r="G5836" s="6" t="n">
        <v>0</v>
      </c>
      <c r="H5836" s="41" t="n">
        <v>17.34</v>
      </c>
      <c r="I5836" s="43" t="n">
        <f aca="false">F5836*H5836</f>
        <v>134.0382</v>
      </c>
      <c r="J5836" s="43" t="n">
        <f aca="false">G5836*H5836*1.5</f>
        <v>0</v>
      </c>
      <c r="K5836" s="6" t="n">
        <v>19.02</v>
      </c>
      <c r="L5836" s="43" t="n">
        <f aca="false">K5836*'Chart of Accounts'!$E$68</f>
        <v>12.7434</v>
      </c>
      <c r="O5836" s="42" t="n">
        <f aca="false">I5836+J5836+L5836</f>
        <v>146.7816</v>
      </c>
    </row>
    <row r="5837" customFormat="false" ht="15" hidden="false" customHeight="false" outlineLevel="0" collapsed="false">
      <c r="B5837" s="7" t="s">
        <v>14470</v>
      </c>
      <c r="C5837" s="39" t="n">
        <v>46015</v>
      </c>
      <c r="D5837" s="7" t="s">
        <v>216</v>
      </c>
      <c r="E5837" s="7" t="s">
        <v>158</v>
      </c>
      <c r="H5837" s="41" t="n">
        <v>61.79</v>
      </c>
      <c r="M5837" s="6" t="n">
        <v>1</v>
      </c>
      <c r="N5837" s="43" t="n">
        <f aca="false">M5837*H5837</f>
        <v>61.79</v>
      </c>
      <c r="O5837" s="42" t="n">
        <f aca="false">N5837</f>
        <v>61.79</v>
      </c>
    </row>
    <row r="5838" customFormat="false" ht="15" hidden="false" customHeight="false" outlineLevel="0" collapsed="false">
      <c r="B5838" s="7" t="s">
        <v>14471</v>
      </c>
      <c r="C5838" s="39" t="n">
        <v>46015</v>
      </c>
      <c r="D5838" s="7" t="s">
        <v>218</v>
      </c>
      <c r="E5838" s="7" t="s">
        <v>180</v>
      </c>
      <c r="F5838" s="6" t="n">
        <v>4.09</v>
      </c>
      <c r="G5838" s="6" t="n">
        <v>0</v>
      </c>
      <c r="H5838" s="41" t="n">
        <v>16.19</v>
      </c>
      <c r="I5838" s="43" t="n">
        <f aca="false">F5838*H5838</f>
        <v>66.2171</v>
      </c>
      <c r="J5838" s="43" t="n">
        <f aca="false">G5838*H5838*1.5</f>
        <v>0</v>
      </c>
      <c r="K5838" s="6" t="n">
        <v>12.47</v>
      </c>
      <c r="L5838" s="43" t="n">
        <f aca="false">K5838*'Chart of Accounts'!$E$68</f>
        <v>8.3549</v>
      </c>
      <c r="O5838" s="42" t="n">
        <f aca="false">I5838+J5838+L5838</f>
        <v>74.572</v>
      </c>
    </row>
    <row r="5839" customFormat="false" ht="15" hidden="false" customHeight="false" outlineLevel="0" collapsed="false">
      <c r="B5839" s="7" t="s">
        <v>14472</v>
      </c>
      <c r="C5839" s="39" t="n">
        <v>46015</v>
      </c>
      <c r="D5839" s="7" t="s">
        <v>220</v>
      </c>
      <c r="E5839" s="7" t="s">
        <v>180</v>
      </c>
      <c r="F5839" s="6" t="n">
        <v>11.14</v>
      </c>
      <c r="G5839" s="6" t="n">
        <v>0</v>
      </c>
      <c r="H5839" s="41" t="n">
        <v>16.43</v>
      </c>
      <c r="I5839" s="43" t="n">
        <f aca="false">F5839*H5839</f>
        <v>183.0302</v>
      </c>
      <c r="J5839" s="43" t="n">
        <f aca="false">G5839*H5839*1.5</f>
        <v>0</v>
      </c>
      <c r="K5839" s="6" t="n">
        <v>28.37</v>
      </c>
      <c r="L5839" s="43" t="n">
        <f aca="false">K5839*'Chart of Accounts'!$E$68</f>
        <v>19.0079</v>
      </c>
      <c r="O5839" s="42" t="n">
        <f aca="false">I5839+J5839+L5839</f>
        <v>202.0381</v>
      </c>
    </row>
    <row r="5840" customFormat="false" ht="15" hidden="false" customHeight="false" outlineLevel="0" collapsed="false">
      <c r="B5840" s="7" t="s">
        <v>14473</v>
      </c>
      <c r="C5840" s="39" t="n">
        <v>46015</v>
      </c>
      <c r="D5840" s="7" t="s">
        <v>236</v>
      </c>
      <c r="E5840" s="7" t="s">
        <v>180</v>
      </c>
      <c r="F5840" s="6" t="n">
        <v>3.38</v>
      </c>
      <c r="G5840" s="6" t="n">
        <v>0</v>
      </c>
      <c r="H5840" s="41" t="n">
        <v>15.49</v>
      </c>
      <c r="I5840" s="43" t="n">
        <f aca="false">F5840*H5840</f>
        <v>52.3562</v>
      </c>
      <c r="J5840" s="43" t="n">
        <f aca="false">G5840*H5840*1.5</f>
        <v>0</v>
      </c>
      <c r="K5840" s="6" t="n">
        <v>10.28</v>
      </c>
      <c r="L5840" s="43" t="n">
        <f aca="false">K5840*'Chart of Accounts'!$E$68</f>
        <v>6.8876</v>
      </c>
      <c r="O5840" s="42" t="n">
        <f aca="false">I5840+J5840+L5840</f>
        <v>59.2438</v>
      </c>
    </row>
    <row r="5841" customFormat="false" ht="15" hidden="false" customHeight="false" outlineLevel="0" collapsed="false">
      <c r="B5841" s="7" t="s">
        <v>14474</v>
      </c>
      <c r="C5841" s="39" t="n">
        <v>46015</v>
      </c>
      <c r="D5841" s="7" t="s">
        <v>177</v>
      </c>
      <c r="E5841" s="7" t="s">
        <v>180</v>
      </c>
      <c r="F5841" s="6" t="n">
        <v>8.17</v>
      </c>
      <c r="G5841" s="6" t="n">
        <v>0</v>
      </c>
      <c r="H5841" s="41" t="n">
        <v>14.56</v>
      </c>
      <c r="I5841" s="43" t="n">
        <f aca="false">F5841*H5841</f>
        <v>118.9552</v>
      </c>
      <c r="J5841" s="43" t="n">
        <f aca="false">G5841*H5841*1.5</f>
        <v>0</v>
      </c>
      <c r="K5841" s="6" t="n">
        <v>21.44</v>
      </c>
      <c r="L5841" s="43" t="n">
        <f aca="false">K5841*'Chart of Accounts'!$E$68</f>
        <v>14.3648</v>
      </c>
      <c r="O5841" s="42" t="n">
        <f aca="false">I5841+J5841+L5841</f>
        <v>133.32</v>
      </c>
    </row>
    <row r="5842" customFormat="false" ht="15" hidden="false" customHeight="false" outlineLevel="0" collapsed="false">
      <c r="B5842" s="7" t="s">
        <v>14475</v>
      </c>
      <c r="C5842" s="39" t="n">
        <v>46015</v>
      </c>
      <c r="D5842" s="7" t="s">
        <v>242</v>
      </c>
      <c r="E5842" s="7" t="s">
        <v>180</v>
      </c>
      <c r="F5842" s="6" t="n">
        <v>7.291</v>
      </c>
      <c r="G5842" s="6" t="n">
        <v>0.379</v>
      </c>
      <c r="H5842" s="41" t="n">
        <v>17.99</v>
      </c>
      <c r="I5842" s="43" t="n">
        <f aca="false">F5842*H5842</f>
        <v>131.16509</v>
      </c>
      <c r="J5842" s="43" t="n">
        <f aca="false">G5842*H5842*1.5</f>
        <v>10.227315</v>
      </c>
      <c r="K5842" s="6" t="n">
        <v>24.82</v>
      </c>
      <c r="L5842" s="43" t="n">
        <f aca="false">K5842*'Chart of Accounts'!$E$68</f>
        <v>16.6294</v>
      </c>
      <c r="O5842" s="42" t="n">
        <f aca="false">I5842+J5842+L5842</f>
        <v>158.021805</v>
      </c>
    </row>
    <row r="5843" customFormat="false" ht="15" hidden="false" customHeight="false" outlineLevel="0" collapsed="false">
      <c r="B5843" s="7" t="s">
        <v>14476</v>
      </c>
      <c r="C5843" s="39" t="n">
        <v>46015</v>
      </c>
      <c r="D5843" s="7" t="s">
        <v>244</v>
      </c>
      <c r="E5843" s="7" t="s">
        <v>180</v>
      </c>
      <c r="F5843" s="6" t="n">
        <v>4.36</v>
      </c>
      <c r="G5843" s="6" t="n">
        <v>0</v>
      </c>
      <c r="H5843" s="41" t="n">
        <v>16.39</v>
      </c>
      <c r="I5843" s="43" t="n">
        <f aca="false">F5843*H5843</f>
        <v>71.4604</v>
      </c>
      <c r="J5843" s="43" t="n">
        <f aca="false">G5843*H5843*1.5</f>
        <v>0</v>
      </c>
      <c r="K5843" s="6" t="n">
        <v>9.85</v>
      </c>
      <c r="L5843" s="43" t="n">
        <f aca="false">K5843*'Chart of Accounts'!$E$68</f>
        <v>6.5995</v>
      </c>
      <c r="O5843" s="42" t="n">
        <f aca="false">I5843+J5843+L5843</f>
        <v>78.0599</v>
      </c>
    </row>
    <row r="5844" customFormat="false" ht="15" hidden="false" customHeight="false" outlineLevel="0" collapsed="false">
      <c r="B5844" s="7" t="s">
        <v>14477</v>
      </c>
      <c r="C5844" s="39" t="n">
        <v>46015</v>
      </c>
      <c r="D5844" s="7" t="s">
        <v>254</v>
      </c>
      <c r="E5844" s="7" t="s">
        <v>180</v>
      </c>
      <c r="F5844" s="6" t="n">
        <v>6.517</v>
      </c>
      <c r="G5844" s="6" t="n">
        <v>0.663</v>
      </c>
      <c r="H5844" s="41" t="n">
        <v>17.1</v>
      </c>
      <c r="I5844" s="43" t="n">
        <f aca="false">F5844*H5844</f>
        <v>111.4407</v>
      </c>
      <c r="J5844" s="43" t="n">
        <f aca="false">G5844*H5844*1.5</f>
        <v>17.00595</v>
      </c>
      <c r="K5844" s="6" t="n">
        <v>25.03</v>
      </c>
      <c r="L5844" s="43" t="n">
        <f aca="false">K5844*'Chart of Accounts'!$E$68</f>
        <v>16.7701</v>
      </c>
      <c r="O5844" s="42" t="n">
        <f aca="false">I5844+J5844+L5844</f>
        <v>145.21675</v>
      </c>
    </row>
    <row r="5845" customFormat="false" ht="15" hidden="false" customHeight="false" outlineLevel="0" collapsed="false">
      <c r="B5845" s="7" t="s">
        <v>14478</v>
      </c>
      <c r="C5845" s="39" t="n">
        <v>46015</v>
      </c>
      <c r="D5845" s="7" t="s">
        <v>201</v>
      </c>
      <c r="E5845" s="7" t="s">
        <v>180</v>
      </c>
      <c r="F5845" s="6" t="n">
        <v>3.13</v>
      </c>
      <c r="G5845" s="6" t="n">
        <v>0</v>
      </c>
      <c r="H5845" s="41" t="n">
        <v>15.19</v>
      </c>
      <c r="I5845" s="43" t="n">
        <f aca="false">F5845*H5845</f>
        <v>47.5447</v>
      </c>
      <c r="J5845" s="43" t="n">
        <f aca="false">G5845*H5845*1.5</f>
        <v>0</v>
      </c>
      <c r="K5845" s="6" t="n">
        <v>10.44</v>
      </c>
      <c r="L5845" s="43" t="n">
        <f aca="false">K5845*'Chart of Accounts'!$E$68</f>
        <v>6.9948</v>
      </c>
      <c r="O5845" s="42" t="n">
        <f aca="false">I5845+J5845+L5845</f>
        <v>54.5395</v>
      </c>
    </row>
    <row r="5846" customFormat="false" ht="15" hidden="false" customHeight="false" outlineLevel="0" collapsed="false">
      <c r="B5846" s="7" t="s">
        <v>14479</v>
      </c>
      <c r="C5846" s="39" t="n">
        <v>46015</v>
      </c>
      <c r="D5846" s="7" t="s">
        <v>232</v>
      </c>
      <c r="E5846" s="7" t="s">
        <v>180</v>
      </c>
      <c r="F5846" s="6" t="n">
        <v>7.71</v>
      </c>
      <c r="G5846" s="6" t="n">
        <v>0</v>
      </c>
      <c r="H5846" s="41" t="n">
        <v>16.17</v>
      </c>
      <c r="I5846" s="43" t="n">
        <f aca="false">F5846*H5846</f>
        <v>124.6707</v>
      </c>
      <c r="J5846" s="43" t="n">
        <f aca="false">G5846*H5846*1.5</f>
        <v>0</v>
      </c>
      <c r="K5846" s="6" t="n">
        <v>17.28</v>
      </c>
      <c r="L5846" s="43" t="n">
        <f aca="false">K5846*'Chart of Accounts'!$E$68</f>
        <v>11.5776</v>
      </c>
      <c r="O5846" s="42" t="n">
        <f aca="false">I5846+J5846+L5846</f>
        <v>136.2483</v>
      </c>
    </row>
    <row r="5847" customFormat="false" ht="15" hidden="false" customHeight="false" outlineLevel="0" collapsed="false">
      <c r="B5847" s="7" t="s">
        <v>14480</v>
      </c>
      <c r="C5847" s="39" t="n">
        <v>46015</v>
      </c>
      <c r="D5847" s="7" t="s">
        <v>224</v>
      </c>
      <c r="E5847" s="7" t="s">
        <v>180</v>
      </c>
      <c r="F5847" s="6" t="n">
        <v>4.87</v>
      </c>
      <c r="G5847" s="6" t="n">
        <v>0</v>
      </c>
      <c r="H5847" s="41" t="n">
        <v>14.93</v>
      </c>
      <c r="I5847" s="43" t="n">
        <f aca="false">F5847*H5847</f>
        <v>72.7091</v>
      </c>
      <c r="J5847" s="43" t="n">
        <f aca="false">G5847*H5847*1.5</f>
        <v>0</v>
      </c>
      <c r="K5847" s="6" t="n">
        <v>12.22</v>
      </c>
      <c r="L5847" s="43" t="n">
        <f aca="false">K5847*'Chart of Accounts'!$E$68</f>
        <v>8.1874</v>
      </c>
      <c r="O5847" s="42" t="n">
        <f aca="false">I5847+J5847+L5847</f>
        <v>80.8965</v>
      </c>
    </row>
    <row r="5848" customFormat="false" ht="15" hidden="false" customHeight="false" outlineLevel="0" collapsed="false">
      <c r="B5848" s="7" t="s">
        <v>14481</v>
      </c>
      <c r="C5848" s="39" t="n">
        <v>46015</v>
      </c>
      <c r="D5848" s="7" t="s">
        <v>238</v>
      </c>
      <c r="E5848" s="7" t="s">
        <v>180</v>
      </c>
      <c r="F5848" s="6" t="n">
        <v>4.01</v>
      </c>
      <c r="G5848" s="6" t="n">
        <v>0</v>
      </c>
      <c r="H5848" s="41" t="n">
        <v>15.85</v>
      </c>
      <c r="I5848" s="43" t="n">
        <f aca="false">F5848*H5848</f>
        <v>63.5585</v>
      </c>
      <c r="J5848" s="43" t="n">
        <f aca="false">G5848*H5848*1.5</f>
        <v>0</v>
      </c>
      <c r="K5848" s="6" t="n">
        <v>10</v>
      </c>
      <c r="L5848" s="43" t="n">
        <f aca="false">K5848*'Chart of Accounts'!$E$68</f>
        <v>6.7</v>
      </c>
      <c r="O5848" s="42" t="n">
        <f aca="false">I5848+J5848+L5848</f>
        <v>70.2585</v>
      </c>
    </row>
    <row r="5849" customFormat="false" ht="15" hidden="false" customHeight="false" outlineLevel="0" collapsed="false">
      <c r="B5849" s="7" t="s">
        <v>14482</v>
      </c>
      <c r="C5849" s="39" t="n">
        <v>46015</v>
      </c>
      <c r="D5849" s="7" t="s">
        <v>196</v>
      </c>
      <c r="E5849" s="7" t="s">
        <v>180</v>
      </c>
      <c r="F5849" s="6" t="n">
        <v>4.1</v>
      </c>
      <c r="G5849" s="6" t="n">
        <v>0.07</v>
      </c>
      <c r="H5849" s="41" t="n">
        <v>15.05</v>
      </c>
      <c r="I5849" s="43" t="n">
        <f aca="false">F5849*H5849</f>
        <v>61.705</v>
      </c>
      <c r="J5849" s="43" t="n">
        <f aca="false">G5849*H5849*1.5</f>
        <v>1.58025</v>
      </c>
      <c r="K5849" s="6" t="n">
        <v>14.82</v>
      </c>
      <c r="L5849" s="43" t="n">
        <f aca="false">K5849*'Chart of Accounts'!$E$68</f>
        <v>9.9294</v>
      </c>
      <c r="O5849" s="42" t="n">
        <f aca="false">I5849+J5849+L5849</f>
        <v>73.21465</v>
      </c>
    </row>
    <row r="5850" customFormat="false" ht="15" hidden="false" customHeight="false" outlineLevel="0" collapsed="false">
      <c r="B5850" s="7" t="s">
        <v>14483</v>
      </c>
      <c r="C5850" s="39" t="n">
        <v>46015</v>
      </c>
      <c r="D5850" s="7" t="s">
        <v>222</v>
      </c>
      <c r="E5850" s="7" t="s">
        <v>180</v>
      </c>
      <c r="F5850" s="6" t="n">
        <v>3.51</v>
      </c>
      <c r="G5850" s="6" t="n">
        <v>0.13</v>
      </c>
      <c r="H5850" s="41" t="n">
        <v>17.84</v>
      </c>
      <c r="I5850" s="43" t="n">
        <f aca="false">F5850*H5850</f>
        <v>62.6184</v>
      </c>
      <c r="J5850" s="43" t="n">
        <f aca="false">G5850*H5850*1.5</f>
        <v>3.4788</v>
      </c>
      <c r="K5850" s="6" t="n">
        <v>12.47</v>
      </c>
      <c r="L5850" s="43" t="n">
        <f aca="false">K5850*'Chart of Accounts'!$E$68</f>
        <v>8.3549</v>
      </c>
      <c r="O5850" s="42" t="n">
        <f aca="false">I5850+J5850+L5850</f>
        <v>74.4521</v>
      </c>
    </row>
    <row r="5851" customFormat="false" ht="15" hidden="false" customHeight="false" outlineLevel="0" collapsed="false">
      <c r="B5851" s="7" t="s">
        <v>14484</v>
      </c>
      <c r="C5851" s="39" t="n">
        <v>46015</v>
      </c>
      <c r="D5851" s="7" t="s">
        <v>203</v>
      </c>
      <c r="E5851" s="7" t="s">
        <v>158</v>
      </c>
      <c r="H5851" s="41" t="n">
        <v>49.43</v>
      </c>
      <c r="M5851" s="6" t="n">
        <v>1</v>
      </c>
      <c r="N5851" s="43" t="n">
        <f aca="false">M5851*H5851</f>
        <v>49.43</v>
      </c>
      <c r="O5851" s="42" t="n">
        <f aca="false">N5851</f>
        <v>49.43</v>
      </c>
    </row>
    <row r="5852" customFormat="false" ht="15" hidden="false" customHeight="false" outlineLevel="0" collapsed="false">
      <c r="B5852" s="7" t="s">
        <v>14485</v>
      </c>
      <c r="C5852" s="39" t="n">
        <v>46016</v>
      </c>
      <c r="D5852" s="7" t="s">
        <v>250</v>
      </c>
      <c r="E5852" s="7" t="s">
        <v>180</v>
      </c>
      <c r="F5852" s="6" t="n">
        <v>3.68</v>
      </c>
      <c r="G5852" s="6" t="n">
        <v>0</v>
      </c>
      <c r="H5852" s="41" t="n">
        <v>16.88</v>
      </c>
      <c r="I5852" s="43" t="n">
        <f aca="false">F5852*H5852</f>
        <v>62.1184</v>
      </c>
      <c r="J5852" s="43" t="n">
        <f aca="false">G5852*H5852*1.5</f>
        <v>0</v>
      </c>
      <c r="K5852" s="6" t="n">
        <v>8.55</v>
      </c>
      <c r="L5852" s="43" t="n">
        <f aca="false">K5852*'Chart of Accounts'!$E$68</f>
        <v>5.7285</v>
      </c>
      <c r="O5852" s="42" t="n">
        <f aca="false">I5852+J5852+L5852</f>
        <v>67.8469</v>
      </c>
    </row>
    <row r="5853" customFormat="false" ht="15" hidden="false" customHeight="false" outlineLevel="0" collapsed="false">
      <c r="B5853" s="7" t="s">
        <v>14486</v>
      </c>
      <c r="C5853" s="39" t="n">
        <v>46016</v>
      </c>
      <c r="D5853" s="7" t="s">
        <v>201</v>
      </c>
      <c r="E5853" s="7" t="s">
        <v>180</v>
      </c>
      <c r="F5853" s="6" t="n">
        <v>8.83</v>
      </c>
      <c r="G5853" s="6" t="n">
        <v>0</v>
      </c>
      <c r="H5853" s="41" t="n">
        <v>15.19</v>
      </c>
      <c r="I5853" s="43" t="n">
        <f aca="false">F5853*H5853</f>
        <v>134.1277</v>
      </c>
      <c r="J5853" s="43" t="n">
        <f aca="false">G5853*H5853*1.5</f>
        <v>0</v>
      </c>
      <c r="K5853" s="6" t="n">
        <v>19.44</v>
      </c>
      <c r="L5853" s="43" t="n">
        <f aca="false">K5853*'Chart of Accounts'!$E$68</f>
        <v>13.0248</v>
      </c>
      <c r="O5853" s="42" t="n">
        <f aca="false">I5853+J5853+L5853</f>
        <v>147.1525</v>
      </c>
    </row>
    <row r="5854" customFormat="false" ht="15" hidden="false" customHeight="false" outlineLevel="0" collapsed="false">
      <c r="B5854" s="7" t="s">
        <v>14487</v>
      </c>
      <c r="C5854" s="39" t="n">
        <v>46016</v>
      </c>
      <c r="D5854" s="7" t="s">
        <v>205</v>
      </c>
      <c r="E5854" s="7" t="s">
        <v>180</v>
      </c>
      <c r="F5854" s="6" t="n">
        <v>3</v>
      </c>
      <c r="G5854" s="6" t="n">
        <v>0</v>
      </c>
      <c r="H5854" s="41" t="n">
        <v>16.36</v>
      </c>
      <c r="I5854" s="43" t="n">
        <f aca="false">F5854*H5854</f>
        <v>49.08</v>
      </c>
      <c r="J5854" s="43" t="n">
        <f aca="false">G5854*H5854*1.5</f>
        <v>0</v>
      </c>
      <c r="K5854" s="6" t="n">
        <v>10.3</v>
      </c>
      <c r="L5854" s="43" t="n">
        <f aca="false">K5854*'Chart of Accounts'!$E$68</f>
        <v>6.901</v>
      </c>
      <c r="O5854" s="42" t="n">
        <f aca="false">I5854+J5854+L5854</f>
        <v>55.981</v>
      </c>
    </row>
    <row r="5855" customFormat="false" ht="15" hidden="false" customHeight="false" outlineLevel="0" collapsed="false">
      <c r="B5855" s="7" t="s">
        <v>14488</v>
      </c>
      <c r="C5855" s="39" t="n">
        <v>46016</v>
      </c>
      <c r="D5855" s="7" t="s">
        <v>240</v>
      </c>
      <c r="E5855" s="7" t="s">
        <v>180</v>
      </c>
      <c r="F5855" s="6" t="n">
        <v>7.38</v>
      </c>
      <c r="G5855" s="6" t="n">
        <v>0</v>
      </c>
      <c r="H5855" s="41" t="n">
        <v>16.96</v>
      </c>
      <c r="I5855" s="43" t="n">
        <f aca="false">F5855*H5855</f>
        <v>125.1648</v>
      </c>
      <c r="J5855" s="43" t="n">
        <f aca="false">G5855*H5855*1.5</f>
        <v>0</v>
      </c>
      <c r="K5855" s="6" t="n">
        <v>18.49</v>
      </c>
      <c r="L5855" s="43" t="n">
        <f aca="false">K5855*'Chart of Accounts'!$E$68</f>
        <v>12.3883</v>
      </c>
      <c r="O5855" s="42" t="n">
        <f aca="false">I5855+J5855+L5855</f>
        <v>137.5531</v>
      </c>
    </row>
    <row r="5856" customFormat="false" ht="15" hidden="false" customHeight="false" outlineLevel="0" collapsed="false">
      <c r="B5856" s="7" t="s">
        <v>14489</v>
      </c>
      <c r="C5856" s="39" t="n">
        <v>46016</v>
      </c>
      <c r="D5856" s="7" t="s">
        <v>196</v>
      </c>
      <c r="E5856" s="7" t="s">
        <v>180</v>
      </c>
      <c r="F5856" s="6" t="n">
        <v>9.892</v>
      </c>
      <c r="G5856" s="6" t="n">
        <v>0.168</v>
      </c>
      <c r="H5856" s="41" t="n">
        <v>15.05</v>
      </c>
      <c r="I5856" s="43" t="n">
        <f aca="false">F5856*H5856</f>
        <v>148.8746</v>
      </c>
      <c r="J5856" s="43" t="n">
        <f aca="false">G5856*H5856*1.5</f>
        <v>3.7926</v>
      </c>
      <c r="K5856" s="6" t="n">
        <v>33.55</v>
      </c>
      <c r="L5856" s="43" t="n">
        <f aca="false">K5856*'Chart of Accounts'!$E$68</f>
        <v>22.4785</v>
      </c>
      <c r="O5856" s="42" t="n">
        <f aca="false">I5856+J5856+L5856</f>
        <v>175.1457</v>
      </c>
    </row>
    <row r="5857" customFormat="false" ht="15" hidden="false" customHeight="false" outlineLevel="0" collapsed="false">
      <c r="B5857" s="7" t="s">
        <v>14490</v>
      </c>
      <c r="C5857" s="39" t="n">
        <v>46016</v>
      </c>
      <c r="D5857" s="7" t="s">
        <v>184</v>
      </c>
      <c r="E5857" s="7" t="s">
        <v>180</v>
      </c>
      <c r="F5857" s="6" t="n">
        <v>3.79</v>
      </c>
      <c r="G5857" s="6" t="n">
        <v>0</v>
      </c>
      <c r="H5857" s="41" t="n">
        <v>17.34</v>
      </c>
      <c r="I5857" s="43" t="n">
        <f aca="false">F5857*H5857</f>
        <v>65.7186</v>
      </c>
      <c r="J5857" s="43" t="n">
        <f aca="false">G5857*H5857*1.5</f>
        <v>0</v>
      </c>
      <c r="K5857" s="6" t="n">
        <v>12.09</v>
      </c>
      <c r="L5857" s="43" t="n">
        <f aca="false">K5857*'Chart of Accounts'!$E$68</f>
        <v>8.1003</v>
      </c>
      <c r="O5857" s="42" t="n">
        <f aca="false">I5857+J5857+L5857</f>
        <v>73.8189</v>
      </c>
    </row>
    <row r="5858" customFormat="false" ht="15" hidden="false" customHeight="false" outlineLevel="0" collapsed="false">
      <c r="B5858" s="7" t="s">
        <v>14491</v>
      </c>
      <c r="C5858" s="39" t="n">
        <v>46016</v>
      </c>
      <c r="D5858" s="7" t="s">
        <v>218</v>
      </c>
      <c r="E5858" s="7" t="s">
        <v>180</v>
      </c>
      <c r="F5858" s="6" t="n">
        <v>7.86</v>
      </c>
      <c r="G5858" s="6" t="n">
        <v>0</v>
      </c>
      <c r="H5858" s="41" t="n">
        <v>16.19</v>
      </c>
      <c r="I5858" s="43" t="n">
        <f aca="false">F5858*H5858</f>
        <v>127.2534</v>
      </c>
      <c r="J5858" s="43" t="n">
        <f aca="false">G5858*H5858*1.5</f>
        <v>0</v>
      </c>
      <c r="K5858" s="6" t="n">
        <v>26.52</v>
      </c>
      <c r="L5858" s="43" t="n">
        <f aca="false">K5858*'Chart of Accounts'!$E$68</f>
        <v>17.7684</v>
      </c>
      <c r="O5858" s="42" t="n">
        <f aca="false">I5858+J5858+L5858</f>
        <v>145.0218</v>
      </c>
    </row>
    <row r="5859" customFormat="false" ht="15" hidden="false" customHeight="false" outlineLevel="0" collapsed="false">
      <c r="B5859" s="7" t="s">
        <v>14492</v>
      </c>
      <c r="C5859" s="39" t="n">
        <v>46016</v>
      </c>
      <c r="D5859" s="7" t="s">
        <v>232</v>
      </c>
      <c r="E5859" s="7" t="s">
        <v>180</v>
      </c>
      <c r="F5859" s="6" t="n">
        <v>3.14</v>
      </c>
      <c r="G5859" s="6" t="n">
        <v>0</v>
      </c>
      <c r="H5859" s="41" t="n">
        <v>16.17</v>
      </c>
      <c r="I5859" s="43" t="n">
        <f aca="false">F5859*H5859</f>
        <v>50.7738</v>
      </c>
      <c r="J5859" s="43" t="n">
        <f aca="false">G5859*H5859*1.5</f>
        <v>0</v>
      </c>
      <c r="K5859" s="6" t="n">
        <v>8.29</v>
      </c>
      <c r="L5859" s="43" t="n">
        <f aca="false">K5859*'Chart of Accounts'!$E$68</f>
        <v>5.5543</v>
      </c>
      <c r="O5859" s="42" t="n">
        <f aca="false">I5859+J5859+L5859</f>
        <v>56.3281</v>
      </c>
    </row>
    <row r="5860" customFormat="false" ht="15" hidden="false" customHeight="false" outlineLevel="0" collapsed="false">
      <c r="B5860" s="7" t="s">
        <v>14493</v>
      </c>
      <c r="C5860" s="39" t="n">
        <v>46016</v>
      </c>
      <c r="D5860" s="7" t="s">
        <v>220</v>
      </c>
      <c r="E5860" s="7" t="s">
        <v>180</v>
      </c>
      <c r="F5860" s="6" t="n">
        <v>3.82</v>
      </c>
      <c r="G5860" s="6" t="n">
        <v>0</v>
      </c>
      <c r="H5860" s="41" t="n">
        <v>16.43</v>
      </c>
      <c r="I5860" s="43" t="n">
        <f aca="false">F5860*H5860</f>
        <v>62.7626</v>
      </c>
      <c r="J5860" s="43" t="n">
        <f aca="false">G5860*H5860*1.5</f>
        <v>0</v>
      </c>
      <c r="K5860" s="6" t="n">
        <v>8.65</v>
      </c>
      <c r="L5860" s="43" t="n">
        <f aca="false">K5860*'Chart of Accounts'!$E$68</f>
        <v>5.7955</v>
      </c>
      <c r="O5860" s="42" t="n">
        <f aca="false">I5860+J5860+L5860</f>
        <v>68.5581</v>
      </c>
    </row>
    <row r="5861" customFormat="false" ht="15" hidden="false" customHeight="false" outlineLevel="0" collapsed="false">
      <c r="B5861" s="7" t="s">
        <v>14494</v>
      </c>
      <c r="C5861" s="39" t="n">
        <v>46016</v>
      </c>
      <c r="D5861" s="7" t="s">
        <v>222</v>
      </c>
      <c r="E5861" s="7" t="s">
        <v>180</v>
      </c>
      <c r="F5861" s="6" t="n">
        <v>7.068</v>
      </c>
      <c r="G5861" s="6" t="n">
        <v>0.262</v>
      </c>
      <c r="H5861" s="41" t="n">
        <v>17.84</v>
      </c>
      <c r="I5861" s="43" t="n">
        <f aca="false">F5861*H5861</f>
        <v>126.09312</v>
      </c>
      <c r="J5861" s="43" t="n">
        <f aca="false">G5861*H5861*1.5</f>
        <v>7.01112</v>
      </c>
      <c r="K5861" s="6" t="n">
        <v>23.7</v>
      </c>
      <c r="L5861" s="43" t="n">
        <f aca="false">K5861*'Chart of Accounts'!$E$68</f>
        <v>15.879</v>
      </c>
      <c r="O5861" s="42" t="n">
        <f aca="false">I5861+J5861+L5861</f>
        <v>148.98324</v>
      </c>
    </row>
    <row r="5862" customFormat="false" ht="15" hidden="false" customHeight="false" outlineLevel="0" collapsed="false">
      <c r="B5862" s="7" t="s">
        <v>14495</v>
      </c>
      <c r="C5862" s="39" t="n">
        <v>46016</v>
      </c>
      <c r="D5862" s="7" t="s">
        <v>244</v>
      </c>
      <c r="E5862" s="7" t="s">
        <v>180</v>
      </c>
      <c r="F5862" s="6" t="n">
        <v>3.61</v>
      </c>
      <c r="G5862" s="6" t="n">
        <v>0</v>
      </c>
      <c r="H5862" s="41" t="n">
        <v>16.39</v>
      </c>
      <c r="I5862" s="43" t="n">
        <f aca="false">F5862*H5862</f>
        <v>59.1679</v>
      </c>
      <c r="J5862" s="43" t="n">
        <f aca="false">G5862*H5862*1.5</f>
        <v>0</v>
      </c>
      <c r="K5862" s="6" t="n">
        <v>8.66</v>
      </c>
      <c r="L5862" s="43" t="n">
        <f aca="false">K5862*'Chart of Accounts'!$E$68</f>
        <v>5.8022</v>
      </c>
      <c r="O5862" s="42" t="n">
        <f aca="false">I5862+J5862+L5862</f>
        <v>64.9701</v>
      </c>
    </row>
    <row r="5863" customFormat="false" ht="15" hidden="false" customHeight="false" outlineLevel="0" collapsed="false">
      <c r="B5863" s="7" t="s">
        <v>14496</v>
      </c>
      <c r="C5863" s="39" t="n">
        <v>46016</v>
      </c>
      <c r="D5863" s="7" t="s">
        <v>246</v>
      </c>
      <c r="E5863" s="7" t="s">
        <v>180</v>
      </c>
      <c r="F5863" s="6" t="n">
        <v>8.41</v>
      </c>
      <c r="G5863" s="6" t="n">
        <v>0</v>
      </c>
      <c r="H5863" s="41" t="n">
        <v>16.48</v>
      </c>
      <c r="I5863" s="43" t="n">
        <f aca="false">F5863*H5863</f>
        <v>138.5968</v>
      </c>
      <c r="J5863" s="43" t="n">
        <f aca="false">G5863*H5863*1.5</f>
        <v>0</v>
      </c>
      <c r="K5863" s="6" t="n">
        <v>22.75</v>
      </c>
      <c r="L5863" s="43" t="n">
        <f aca="false">K5863*'Chart of Accounts'!$E$68</f>
        <v>15.2425</v>
      </c>
      <c r="O5863" s="42" t="n">
        <f aca="false">I5863+J5863+L5863</f>
        <v>153.8393</v>
      </c>
    </row>
    <row r="5864" customFormat="false" ht="15" hidden="false" customHeight="false" outlineLevel="0" collapsed="false">
      <c r="B5864" s="7" t="s">
        <v>14497</v>
      </c>
      <c r="C5864" s="39" t="n">
        <v>46016</v>
      </c>
      <c r="D5864" s="7" t="s">
        <v>194</v>
      </c>
      <c r="E5864" s="7" t="s">
        <v>180</v>
      </c>
      <c r="F5864" s="6" t="n">
        <v>4.07</v>
      </c>
      <c r="G5864" s="6" t="n">
        <v>0</v>
      </c>
      <c r="H5864" s="41" t="n">
        <v>16</v>
      </c>
      <c r="I5864" s="43" t="n">
        <f aca="false">F5864*H5864</f>
        <v>65.12</v>
      </c>
      <c r="J5864" s="43" t="n">
        <f aca="false">G5864*H5864*1.5</f>
        <v>0</v>
      </c>
      <c r="K5864" s="6" t="n">
        <v>10.27</v>
      </c>
      <c r="L5864" s="43" t="n">
        <f aca="false">K5864*'Chart of Accounts'!$E$68</f>
        <v>6.8809</v>
      </c>
      <c r="O5864" s="42" t="n">
        <f aca="false">I5864+J5864+L5864</f>
        <v>72.0009</v>
      </c>
    </row>
    <row r="5865" customFormat="false" ht="15" hidden="false" customHeight="false" outlineLevel="0" collapsed="false">
      <c r="B5865" s="7" t="s">
        <v>14498</v>
      </c>
      <c r="C5865" s="39" t="n">
        <v>46016</v>
      </c>
      <c r="D5865" s="7" t="s">
        <v>256</v>
      </c>
      <c r="E5865" s="7" t="s">
        <v>180</v>
      </c>
      <c r="F5865" s="6" t="n">
        <v>3.19</v>
      </c>
      <c r="G5865" s="6" t="n">
        <v>0</v>
      </c>
      <c r="H5865" s="41" t="n">
        <v>15.63</v>
      </c>
      <c r="I5865" s="43" t="n">
        <f aca="false">F5865*H5865</f>
        <v>49.8597</v>
      </c>
      <c r="J5865" s="43" t="n">
        <f aca="false">G5865*H5865*1.5</f>
        <v>0</v>
      </c>
      <c r="K5865" s="6" t="n">
        <v>9.4</v>
      </c>
      <c r="L5865" s="43" t="n">
        <f aca="false">K5865*'Chart of Accounts'!$E$68</f>
        <v>6.298</v>
      </c>
      <c r="O5865" s="42" t="n">
        <f aca="false">I5865+J5865+L5865</f>
        <v>56.1577</v>
      </c>
    </row>
    <row r="5866" customFormat="false" ht="15" hidden="false" customHeight="false" outlineLevel="0" collapsed="false">
      <c r="B5866" s="7" t="s">
        <v>14499</v>
      </c>
      <c r="C5866" s="39" t="n">
        <v>46016</v>
      </c>
      <c r="D5866" s="7" t="s">
        <v>214</v>
      </c>
      <c r="E5866" s="7" t="s">
        <v>180</v>
      </c>
      <c r="F5866" s="6" t="n">
        <v>4.07</v>
      </c>
      <c r="G5866" s="6" t="n">
        <v>0</v>
      </c>
      <c r="H5866" s="41" t="n">
        <v>15.67</v>
      </c>
      <c r="I5866" s="43" t="n">
        <f aca="false">F5866*H5866</f>
        <v>63.7769</v>
      </c>
      <c r="J5866" s="43" t="n">
        <f aca="false">G5866*H5866*1.5</f>
        <v>0</v>
      </c>
      <c r="K5866" s="6" t="n">
        <v>12.55</v>
      </c>
      <c r="L5866" s="43" t="n">
        <f aca="false">K5866*'Chart of Accounts'!$E$68</f>
        <v>8.4085</v>
      </c>
      <c r="O5866" s="42" t="n">
        <f aca="false">I5866+J5866+L5866</f>
        <v>72.1854</v>
      </c>
    </row>
    <row r="5867" customFormat="false" ht="15" hidden="false" customHeight="false" outlineLevel="0" collapsed="false">
      <c r="B5867" s="7" t="s">
        <v>14500</v>
      </c>
      <c r="C5867" s="39" t="n">
        <v>46016</v>
      </c>
      <c r="D5867" s="7" t="s">
        <v>242</v>
      </c>
      <c r="E5867" s="7" t="s">
        <v>180</v>
      </c>
      <c r="F5867" s="6" t="n">
        <v>3.612</v>
      </c>
      <c r="G5867" s="6" t="n">
        <v>0.188</v>
      </c>
      <c r="H5867" s="41" t="n">
        <v>17.99</v>
      </c>
      <c r="I5867" s="43" t="n">
        <f aca="false">F5867*H5867</f>
        <v>64.97988</v>
      </c>
      <c r="J5867" s="43" t="n">
        <f aca="false">G5867*H5867*1.5</f>
        <v>5.07318</v>
      </c>
      <c r="K5867" s="6" t="n">
        <v>10.66</v>
      </c>
      <c r="L5867" s="43" t="n">
        <f aca="false">K5867*'Chart of Accounts'!$E$68</f>
        <v>7.1422</v>
      </c>
      <c r="O5867" s="42" t="n">
        <f aca="false">I5867+J5867+L5867</f>
        <v>77.19526</v>
      </c>
    </row>
    <row r="5868" customFormat="false" ht="15" hidden="false" customHeight="false" outlineLevel="0" collapsed="false">
      <c r="B5868" s="7" t="s">
        <v>14501</v>
      </c>
      <c r="C5868" s="39" t="n">
        <v>46016</v>
      </c>
      <c r="D5868" s="7" t="s">
        <v>254</v>
      </c>
      <c r="E5868" s="7" t="s">
        <v>180</v>
      </c>
      <c r="F5868" s="6" t="n">
        <v>3.857</v>
      </c>
      <c r="G5868" s="6" t="n">
        <v>0.393</v>
      </c>
      <c r="H5868" s="41" t="n">
        <v>17.1</v>
      </c>
      <c r="I5868" s="43" t="n">
        <f aca="false">F5868*H5868</f>
        <v>65.9547</v>
      </c>
      <c r="J5868" s="43" t="n">
        <f aca="false">G5868*H5868*1.5</f>
        <v>10.08045</v>
      </c>
      <c r="K5868" s="6" t="n">
        <v>10.55</v>
      </c>
      <c r="L5868" s="43" t="n">
        <f aca="false">K5868*'Chart of Accounts'!$E$68</f>
        <v>7.0685</v>
      </c>
      <c r="O5868" s="42" t="n">
        <f aca="false">I5868+J5868+L5868</f>
        <v>83.10365</v>
      </c>
    </row>
    <row r="5869" customFormat="false" ht="15" hidden="false" customHeight="false" outlineLevel="0" collapsed="false">
      <c r="B5869" s="7" t="s">
        <v>14502</v>
      </c>
      <c r="C5869" s="39" t="n">
        <v>46017</v>
      </c>
      <c r="D5869" s="7" t="s">
        <v>226</v>
      </c>
      <c r="E5869" s="7" t="s">
        <v>180</v>
      </c>
      <c r="F5869" s="6" t="n">
        <v>3.72</v>
      </c>
      <c r="G5869" s="6" t="n">
        <v>0</v>
      </c>
      <c r="H5869" s="41" t="n">
        <v>16.45</v>
      </c>
      <c r="I5869" s="43" t="n">
        <f aca="false">F5869*H5869</f>
        <v>61.194</v>
      </c>
      <c r="J5869" s="43" t="n">
        <f aca="false">G5869*H5869*1.5</f>
        <v>0</v>
      </c>
      <c r="K5869" s="6" t="n">
        <v>9.7</v>
      </c>
      <c r="L5869" s="43" t="n">
        <f aca="false">K5869*'Chart of Accounts'!$E$68</f>
        <v>6.499</v>
      </c>
      <c r="O5869" s="42" t="n">
        <f aca="false">I5869+J5869+L5869</f>
        <v>67.693</v>
      </c>
    </row>
    <row r="5870" customFormat="false" ht="15" hidden="false" customHeight="false" outlineLevel="0" collapsed="false">
      <c r="B5870" s="7" t="s">
        <v>14503</v>
      </c>
      <c r="C5870" s="39" t="n">
        <v>46017</v>
      </c>
      <c r="D5870" s="7" t="s">
        <v>194</v>
      </c>
      <c r="E5870" s="7" t="s">
        <v>180</v>
      </c>
      <c r="F5870" s="6" t="n">
        <v>8.87</v>
      </c>
      <c r="G5870" s="6" t="n">
        <v>0</v>
      </c>
      <c r="H5870" s="41" t="n">
        <v>16</v>
      </c>
      <c r="I5870" s="43" t="n">
        <f aca="false">F5870*H5870</f>
        <v>141.92</v>
      </c>
      <c r="J5870" s="43" t="n">
        <f aca="false">G5870*H5870*1.5</f>
        <v>0</v>
      </c>
      <c r="K5870" s="6" t="n">
        <v>24.41</v>
      </c>
      <c r="L5870" s="43" t="n">
        <f aca="false">K5870*'Chart of Accounts'!$E$68</f>
        <v>16.3547</v>
      </c>
      <c r="O5870" s="42" t="n">
        <f aca="false">I5870+J5870+L5870</f>
        <v>158.2747</v>
      </c>
    </row>
    <row r="5871" customFormat="false" ht="15" hidden="false" customHeight="false" outlineLevel="0" collapsed="false">
      <c r="B5871" s="7" t="s">
        <v>14504</v>
      </c>
      <c r="C5871" s="39" t="n">
        <v>46017</v>
      </c>
      <c r="D5871" s="7" t="s">
        <v>198</v>
      </c>
      <c r="E5871" s="7" t="s">
        <v>158</v>
      </c>
      <c r="H5871" s="41" t="n">
        <v>48.09</v>
      </c>
      <c r="M5871" s="6" t="n">
        <v>2</v>
      </c>
      <c r="N5871" s="43" t="n">
        <f aca="false">M5871*H5871</f>
        <v>96.18</v>
      </c>
      <c r="O5871" s="42" t="n">
        <f aca="false">N5871</f>
        <v>96.18</v>
      </c>
    </row>
    <row r="5872" customFormat="false" ht="15" hidden="false" customHeight="false" outlineLevel="0" collapsed="false">
      <c r="B5872" s="7" t="s">
        <v>14505</v>
      </c>
      <c r="C5872" s="39" t="n">
        <v>46017</v>
      </c>
      <c r="D5872" s="7" t="s">
        <v>209</v>
      </c>
      <c r="E5872" s="7" t="s">
        <v>158</v>
      </c>
      <c r="H5872" s="41" t="n">
        <v>73.58</v>
      </c>
      <c r="M5872" s="6" t="n">
        <v>2</v>
      </c>
      <c r="N5872" s="43" t="n">
        <f aca="false">M5872*H5872</f>
        <v>147.16</v>
      </c>
      <c r="O5872" s="42" t="n">
        <f aca="false">N5872</f>
        <v>147.16</v>
      </c>
    </row>
    <row r="5873" customFormat="false" ht="15" hidden="false" customHeight="false" outlineLevel="0" collapsed="false">
      <c r="B5873" s="7" t="s">
        <v>14506</v>
      </c>
      <c r="C5873" s="39" t="n">
        <v>46017</v>
      </c>
      <c r="D5873" s="7" t="s">
        <v>205</v>
      </c>
      <c r="E5873" s="7" t="s">
        <v>180</v>
      </c>
      <c r="F5873" s="6" t="n">
        <v>3.63</v>
      </c>
      <c r="G5873" s="6" t="n">
        <v>0</v>
      </c>
      <c r="H5873" s="41" t="n">
        <v>16.36</v>
      </c>
      <c r="I5873" s="43" t="n">
        <f aca="false">F5873*H5873</f>
        <v>59.3868</v>
      </c>
      <c r="J5873" s="43" t="n">
        <f aca="false">G5873*H5873*1.5</f>
        <v>0</v>
      </c>
      <c r="K5873" s="6" t="n">
        <v>9.41</v>
      </c>
      <c r="L5873" s="43" t="n">
        <f aca="false">K5873*'Chart of Accounts'!$E$68</f>
        <v>6.3047</v>
      </c>
      <c r="O5873" s="42" t="n">
        <f aca="false">I5873+J5873+L5873</f>
        <v>65.6915</v>
      </c>
    </row>
    <row r="5874" customFormat="false" ht="15" hidden="false" customHeight="false" outlineLevel="0" collapsed="false">
      <c r="B5874" s="7" t="s">
        <v>14507</v>
      </c>
      <c r="C5874" s="39" t="n">
        <v>46017</v>
      </c>
      <c r="D5874" s="7" t="s">
        <v>264</v>
      </c>
      <c r="E5874" s="7" t="s">
        <v>158</v>
      </c>
      <c r="H5874" s="41" t="n">
        <v>55.55</v>
      </c>
      <c r="M5874" s="6" t="n">
        <v>1</v>
      </c>
      <c r="N5874" s="43" t="n">
        <f aca="false">M5874*H5874</f>
        <v>55.55</v>
      </c>
      <c r="O5874" s="42" t="n">
        <f aca="false">N5874</f>
        <v>55.55</v>
      </c>
    </row>
    <row r="5875" customFormat="false" ht="15" hidden="false" customHeight="false" outlineLevel="0" collapsed="false">
      <c r="B5875" s="7" t="s">
        <v>14508</v>
      </c>
      <c r="C5875" s="39" t="n">
        <v>46017</v>
      </c>
      <c r="D5875" s="7" t="s">
        <v>252</v>
      </c>
      <c r="E5875" s="7" t="s">
        <v>158</v>
      </c>
      <c r="H5875" s="41" t="n">
        <v>57.54</v>
      </c>
      <c r="M5875" s="6" t="n">
        <v>1</v>
      </c>
      <c r="N5875" s="43" t="n">
        <f aca="false">M5875*H5875</f>
        <v>57.54</v>
      </c>
      <c r="O5875" s="42" t="n">
        <f aca="false">N5875</f>
        <v>57.54</v>
      </c>
    </row>
    <row r="5876" customFormat="false" ht="15" hidden="false" customHeight="false" outlineLevel="0" collapsed="false">
      <c r="B5876" s="7" t="s">
        <v>14509</v>
      </c>
      <c r="C5876" s="39" t="n">
        <v>46017</v>
      </c>
      <c r="D5876" s="7" t="s">
        <v>216</v>
      </c>
      <c r="E5876" s="7" t="s">
        <v>158</v>
      </c>
      <c r="H5876" s="41" t="n">
        <v>61.79</v>
      </c>
      <c r="M5876" s="6" t="n">
        <v>1</v>
      </c>
      <c r="N5876" s="43" t="n">
        <f aca="false">M5876*H5876</f>
        <v>61.79</v>
      </c>
      <c r="O5876" s="42" t="n">
        <f aca="false">N5876</f>
        <v>61.79</v>
      </c>
    </row>
    <row r="5877" customFormat="false" ht="15" hidden="false" customHeight="false" outlineLevel="0" collapsed="false">
      <c r="B5877" s="7" t="s">
        <v>14510</v>
      </c>
      <c r="C5877" s="39" t="n">
        <v>46017</v>
      </c>
      <c r="D5877" s="7" t="s">
        <v>234</v>
      </c>
      <c r="E5877" s="7" t="s">
        <v>158</v>
      </c>
      <c r="H5877" s="41" t="n">
        <v>89.53</v>
      </c>
      <c r="M5877" s="6" t="n">
        <v>2</v>
      </c>
      <c r="N5877" s="43" t="n">
        <f aca="false">M5877*H5877</f>
        <v>179.06</v>
      </c>
      <c r="O5877" s="42" t="n">
        <f aca="false">N5877</f>
        <v>179.06</v>
      </c>
    </row>
    <row r="5878" customFormat="false" ht="15" hidden="false" customHeight="false" outlineLevel="0" collapsed="false">
      <c r="B5878" s="7" t="s">
        <v>14511</v>
      </c>
      <c r="C5878" s="39" t="n">
        <v>46017</v>
      </c>
      <c r="D5878" s="7" t="s">
        <v>218</v>
      </c>
      <c r="E5878" s="7" t="s">
        <v>180</v>
      </c>
      <c r="F5878" s="6" t="n">
        <v>4.26</v>
      </c>
      <c r="G5878" s="6" t="n">
        <v>0</v>
      </c>
      <c r="H5878" s="41" t="n">
        <v>16.19</v>
      </c>
      <c r="I5878" s="43" t="n">
        <f aca="false">F5878*H5878</f>
        <v>68.9694</v>
      </c>
      <c r="J5878" s="43" t="n">
        <f aca="false">G5878*H5878*1.5</f>
        <v>0</v>
      </c>
      <c r="K5878" s="6" t="n">
        <v>11.92</v>
      </c>
      <c r="L5878" s="43" t="n">
        <f aca="false">K5878*'Chart of Accounts'!$E$68</f>
        <v>7.9864</v>
      </c>
      <c r="O5878" s="42" t="n">
        <f aca="false">I5878+J5878+L5878</f>
        <v>76.9558</v>
      </c>
    </row>
    <row r="5879" customFormat="false" ht="15" hidden="false" customHeight="false" outlineLevel="0" collapsed="false">
      <c r="B5879" s="7" t="s">
        <v>14512</v>
      </c>
      <c r="C5879" s="39" t="n">
        <v>46017</v>
      </c>
      <c r="D5879" s="7" t="s">
        <v>228</v>
      </c>
      <c r="E5879" s="7" t="s">
        <v>158</v>
      </c>
      <c r="H5879" s="41" t="n">
        <v>51.07</v>
      </c>
      <c r="M5879" s="6" t="n">
        <v>1</v>
      </c>
      <c r="N5879" s="43" t="n">
        <f aca="false">M5879*H5879</f>
        <v>51.07</v>
      </c>
      <c r="O5879" s="42" t="n">
        <f aca="false">N5879</f>
        <v>51.07</v>
      </c>
    </row>
    <row r="5880" customFormat="false" ht="15" hidden="false" customHeight="false" outlineLevel="0" collapsed="false">
      <c r="B5880" s="7" t="s">
        <v>14513</v>
      </c>
      <c r="C5880" s="39" t="n">
        <v>46017</v>
      </c>
      <c r="D5880" s="7" t="s">
        <v>220</v>
      </c>
      <c r="E5880" s="7" t="s">
        <v>180</v>
      </c>
      <c r="F5880" s="6" t="n">
        <v>3.86</v>
      </c>
      <c r="G5880" s="6" t="n">
        <v>0</v>
      </c>
      <c r="H5880" s="41" t="n">
        <v>16.43</v>
      </c>
      <c r="I5880" s="43" t="n">
        <f aca="false">F5880*H5880</f>
        <v>63.4198</v>
      </c>
      <c r="J5880" s="43" t="n">
        <f aca="false">G5880*H5880*1.5</f>
        <v>0</v>
      </c>
      <c r="K5880" s="6" t="n">
        <v>12.23</v>
      </c>
      <c r="L5880" s="43" t="n">
        <f aca="false">K5880*'Chart of Accounts'!$E$68</f>
        <v>8.1941</v>
      </c>
      <c r="O5880" s="42" t="n">
        <f aca="false">I5880+J5880+L5880</f>
        <v>71.6139</v>
      </c>
    </row>
    <row r="5881" customFormat="false" ht="15" hidden="false" customHeight="false" outlineLevel="0" collapsed="false">
      <c r="B5881" s="7" t="s">
        <v>14514</v>
      </c>
      <c r="C5881" s="39" t="n">
        <v>46017</v>
      </c>
      <c r="D5881" s="7" t="s">
        <v>236</v>
      </c>
      <c r="E5881" s="7" t="s">
        <v>180</v>
      </c>
      <c r="F5881" s="6" t="n">
        <v>3.47</v>
      </c>
      <c r="G5881" s="6" t="n">
        <v>0</v>
      </c>
      <c r="H5881" s="41" t="n">
        <v>15.49</v>
      </c>
      <c r="I5881" s="43" t="n">
        <f aca="false">F5881*H5881</f>
        <v>53.7503</v>
      </c>
      <c r="J5881" s="43" t="n">
        <f aca="false">G5881*H5881*1.5</f>
        <v>0</v>
      </c>
      <c r="K5881" s="6" t="n">
        <v>12.48</v>
      </c>
      <c r="L5881" s="43" t="n">
        <f aca="false">K5881*'Chart of Accounts'!$E$68</f>
        <v>8.3616</v>
      </c>
      <c r="O5881" s="42" t="n">
        <f aca="false">I5881+J5881+L5881</f>
        <v>62.1119</v>
      </c>
    </row>
    <row r="5882" customFormat="false" ht="15" hidden="false" customHeight="false" outlineLevel="0" collapsed="false">
      <c r="B5882" s="7" t="s">
        <v>14515</v>
      </c>
      <c r="C5882" s="39" t="n">
        <v>46017</v>
      </c>
      <c r="D5882" s="7" t="s">
        <v>177</v>
      </c>
      <c r="E5882" s="7" t="s">
        <v>180</v>
      </c>
      <c r="F5882" s="6" t="n">
        <v>3.97</v>
      </c>
      <c r="G5882" s="6" t="n">
        <v>0</v>
      </c>
      <c r="H5882" s="41" t="n">
        <v>14.56</v>
      </c>
      <c r="I5882" s="43" t="n">
        <f aca="false">F5882*H5882</f>
        <v>57.8032</v>
      </c>
      <c r="J5882" s="43" t="n">
        <f aca="false">G5882*H5882*1.5</f>
        <v>0</v>
      </c>
      <c r="K5882" s="6" t="n">
        <v>14.04</v>
      </c>
      <c r="L5882" s="43" t="n">
        <f aca="false">K5882*'Chart of Accounts'!$E$68</f>
        <v>9.4068</v>
      </c>
      <c r="O5882" s="42" t="n">
        <f aca="false">I5882+J5882+L5882</f>
        <v>67.21</v>
      </c>
    </row>
    <row r="5883" customFormat="false" ht="15" hidden="false" customHeight="false" outlineLevel="0" collapsed="false">
      <c r="B5883" s="7" t="s">
        <v>14516</v>
      </c>
      <c r="C5883" s="39" t="n">
        <v>46017</v>
      </c>
      <c r="D5883" s="7" t="s">
        <v>242</v>
      </c>
      <c r="E5883" s="7" t="s">
        <v>180</v>
      </c>
      <c r="F5883" s="6" t="n">
        <v>6.806</v>
      </c>
      <c r="G5883" s="6" t="n">
        <v>0.354</v>
      </c>
      <c r="H5883" s="41" t="n">
        <v>17.99</v>
      </c>
      <c r="I5883" s="43" t="n">
        <f aca="false">F5883*H5883</f>
        <v>122.43994</v>
      </c>
      <c r="J5883" s="43" t="n">
        <f aca="false">G5883*H5883*1.5</f>
        <v>9.55269</v>
      </c>
      <c r="K5883" s="6" t="n">
        <v>19.7</v>
      </c>
      <c r="L5883" s="43" t="n">
        <f aca="false">K5883*'Chart of Accounts'!$E$68</f>
        <v>13.199</v>
      </c>
      <c r="O5883" s="42" t="n">
        <f aca="false">I5883+J5883+L5883</f>
        <v>145.19163</v>
      </c>
    </row>
    <row r="5884" customFormat="false" ht="15" hidden="false" customHeight="false" outlineLevel="0" collapsed="false">
      <c r="B5884" s="7" t="s">
        <v>14517</v>
      </c>
      <c r="C5884" s="39" t="n">
        <v>46017</v>
      </c>
      <c r="D5884" s="7" t="s">
        <v>230</v>
      </c>
      <c r="E5884" s="7" t="s">
        <v>158</v>
      </c>
      <c r="H5884" s="41" t="n">
        <v>48.78</v>
      </c>
      <c r="M5884" s="6" t="n">
        <v>2</v>
      </c>
      <c r="N5884" s="43" t="n">
        <f aca="false">M5884*H5884</f>
        <v>97.56</v>
      </c>
      <c r="O5884" s="42" t="n">
        <f aca="false">N5884</f>
        <v>97.56</v>
      </c>
    </row>
    <row r="5885" customFormat="false" ht="15" hidden="false" customHeight="false" outlineLevel="0" collapsed="false">
      <c r="B5885" s="7" t="s">
        <v>14518</v>
      </c>
      <c r="C5885" s="39" t="n">
        <v>46017</v>
      </c>
      <c r="D5885" s="7" t="s">
        <v>244</v>
      </c>
      <c r="E5885" s="7" t="s">
        <v>180</v>
      </c>
      <c r="F5885" s="6" t="n">
        <v>3.94</v>
      </c>
      <c r="G5885" s="6" t="n">
        <v>0</v>
      </c>
      <c r="H5885" s="41" t="n">
        <v>16.39</v>
      </c>
      <c r="I5885" s="43" t="n">
        <f aca="false">F5885*H5885</f>
        <v>64.5766</v>
      </c>
      <c r="J5885" s="43" t="n">
        <f aca="false">G5885*H5885*1.5</f>
        <v>0</v>
      </c>
      <c r="K5885" s="6" t="n">
        <v>11.05</v>
      </c>
      <c r="L5885" s="43" t="n">
        <f aca="false">K5885*'Chart of Accounts'!$E$68</f>
        <v>7.4035</v>
      </c>
      <c r="O5885" s="42" t="n">
        <f aca="false">I5885+J5885+L5885</f>
        <v>71.9801</v>
      </c>
    </row>
    <row r="5886" customFormat="false" ht="15" hidden="false" customHeight="false" outlineLevel="0" collapsed="false">
      <c r="B5886" s="7" t="s">
        <v>14519</v>
      </c>
      <c r="C5886" s="39" t="n">
        <v>46017</v>
      </c>
      <c r="D5886" s="7" t="s">
        <v>254</v>
      </c>
      <c r="E5886" s="7" t="s">
        <v>180</v>
      </c>
      <c r="F5886" s="6" t="n">
        <v>6.499</v>
      </c>
      <c r="G5886" s="6" t="n">
        <v>0.661</v>
      </c>
      <c r="H5886" s="41" t="n">
        <v>17.1</v>
      </c>
      <c r="I5886" s="43" t="n">
        <f aca="false">F5886*H5886</f>
        <v>111.1329</v>
      </c>
      <c r="J5886" s="43" t="n">
        <f aca="false">G5886*H5886*1.5</f>
        <v>16.95465</v>
      </c>
      <c r="K5886" s="6" t="n">
        <v>16.13</v>
      </c>
      <c r="L5886" s="43" t="n">
        <f aca="false">K5886*'Chart of Accounts'!$E$68</f>
        <v>10.8071</v>
      </c>
      <c r="O5886" s="42" t="n">
        <f aca="false">I5886+J5886+L5886</f>
        <v>138.89465</v>
      </c>
    </row>
    <row r="5887" customFormat="false" ht="15" hidden="false" customHeight="false" outlineLevel="0" collapsed="false">
      <c r="B5887" s="7" t="s">
        <v>14520</v>
      </c>
      <c r="C5887" s="39" t="n">
        <v>46017</v>
      </c>
      <c r="D5887" s="7" t="s">
        <v>201</v>
      </c>
      <c r="E5887" s="7" t="s">
        <v>180</v>
      </c>
      <c r="F5887" s="6" t="n">
        <v>3.33</v>
      </c>
      <c r="G5887" s="6" t="n">
        <v>0</v>
      </c>
      <c r="H5887" s="41" t="n">
        <v>15.19</v>
      </c>
      <c r="I5887" s="43" t="n">
        <f aca="false">F5887*H5887</f>
        <v>50.5827</v>
      </c>
      <c r="J5887" s="43" t="n">
        <f aca="false">G5887*H5887*1.5</f>
        <v>0</v>
      </c>
      <c r="K5887" s="6" t="n">
        <v>8.34</v>
      </c>
      <c r="L5887" s="43" t="n">
        <f aca="false">K5887*'Chart of Accounts'!$E$68</f>
        <v>5.5878</v>
      </c>
      <c r="O5887" s="42" t="n">
        <f aca="false">I5887+J5887+L5887</f>
        <v>56.1705</v>
      </c>
    </row>
    <row r="5888" customFormat="false" ht="15" hidden="false" customHeight="false" outlineLevel="0" collapsed="false">
      <c r="B5888" s="7" t="s">
        <v>14521</v>
      </c>
      <c r="C5888" s="39" t="n">
        <v>46017</v>
      </c>
      <c r="D5888" s="7" t="s">
        <v>224</v>
      </c>
      <c r="E5888" s="7" t="s">
        <v>180</v>
      </c>
      <c r="F5888" s="6" t="n">
        <v>7.98</v>
      </c>
      <c r="G5888" s="6" t="n">
        <v>0</v>
      </c>
      <c r="H5888" s="41" t="n">
        <v>14.93</v>
      </c>
      <c r="I5888" s="43" t="n">
        <f aca="false">F5888*H5888</f>
        <v>119.1414</v>
      </c>
      <c r="J5888" s="43" t="n">
        <f aca="false">G5888*H5888*1.5</f>
        <v>0</v>
      </c>
      <c r="K5888" s="6" t="n">
        <v>27.13</v>
      </c>
      <c r="L5888" s="43" t="n">
        <f aca="false">K5888*'Chart of Accounts'!$E$68</f>
        <v>18.1771</v>
      </c>
      <c r="O5888" s="42" t="n">
        <f aca="false">I5888+J5888+L5888</f>
        <v>137.3185</v>
      </c>
    </row>
    <row r="5889" customFormat="false" ht="15" hidden="false" customHeight="false" outlineLevel="0" collapsed="false">
      <c r="B5889" s="7" t="s">
        <v>14522</v>
      </c>
      <c r="C5889" s="39" t="n">
        <v>46017</v>
      </c>
      <c r="D5889" s="7" t="s">
        <v>222</v>
      </c>
      <c r="E5889" s="7" t="s">
        <v>180</v>
      </c>
      <c r="F5889" s="6" t="n">
        <v>10.559</v>
      </c>
      <c r="G5889" s="6" t="n">
        <v>0.391</v>
      </c>
      <c r="H5889" s="41" t="n">
        <v>17.84</v>
      </c>
      <c r="I5889" s="43" t="n">
        <f aca="false">F5889*H5889</f>
        <v>188.37256</v>
      </c>
      <c r="J5889" s="43" t="n">
        <f aca="false">G5889*H5889*1.5</f>
        <v>10.46316</v>
      </c>
      <c r="K5889" s="6" t="n">
        <v>26.18</v>
      </c>
      <c r="L5889" s="43" t="n">
        <f aca="false">K5889*'Chart of Accounts'!$E$68</f>
        <v>17.5406</v>
      </c>
      <c r="O5889" s="42" t="n">
        <f aca="false">I5889+J5889+L5889</f>
        <v>216.37632</v>
      </c>
    </row>
    <row r="5890" customFormat="false" ht="15" hidden="false" customHeight="false" outlineLevel="0" collapsed="false">
      <c r="B5890" s="7" t="s">
        <v>14523</v>
      </c>
      <c r="C5890" s="39" t="n">
        <v>46017</v>
      </c>
      <c r="D5890" s="7" t="s">
        <v>258</v>
      </c>
      <c r="E5890" s="7" t="s">
        <v>158</v>
      </c>
      <c r="H5890" s="41" t="n">
        <v>61.61</v>
      </c>
      <c r="M5890" s="6" t="n">
        <v>1</v>
      </c>
      <c r="N5890" s="43" t="n">
        <f aca="false">M5890*H5890</f>
        <v>61.61</v>
      </c>
      <c r="O5890" s="42" t="n">
        <f aca="false">N5890</f>
        <v>61.61</v>
      </c>
    </row>
    <row r="5891" customFormat="false" ht="15" hidden="false" customHeight="false" outlineLevel="0" collapsed="false">
      <c r="B5891" s="7" t="s">
        <v>14524</v>
      </c>
      <c r="C5891" s="39" t="n">
        <v>46017</v>
      </c>
      <c r="D5891" s="7" t="s">
        <v>232</v>
      </c>
      <c r="E5891" s="7" t="s">
        <v>180</v>
      </c>
      <c r="F5891" s="6" t="n">
        <v>4.67</v>
      </c>
      <c r="G5891" s="6" t="n">
        <v>0</v>
      </c>
      <c r="H5891" s="41" t="n">
        <v>16.17</v>
      </c>
      <c r="I5891" s="43" t="n">
        <f aca="false">F5891*H5891</f>
        <v>75.5139</v>
      </c>
      <c r="J5891" s="43" t="n">
        <f aca="false">G5891*H5891*1.5</f>
        <v>0</v>
      </c>
      <c r="K5891" s="6" t="n">
        <v>13.45</v>
      </c>
      <c r="L5891" s="43" t="n">
        <f aca="false">K5891*'Chart of Accounts'!$E$68</f>
        <v>9.0115</v>
      </c>
      <c r="O5891" s="42" t="n">
        <f aca="false">I5891+J5891+L5891</f>
        <v>84.5254</v>
      </c>
    </row>
    <row r="5892" customFormat="false" ht="15" hidden="false" customHeight="false" outlineLevel="0" collapsed="false">
      <c r="B5892" s="7" t="s">
        <v>14525</v>
      </c>
      <c r="C5892" s="39" t="n">
        <v>46017</v>
      </c>
      <c r="D5892" s="7" t="s">
        <v>238</v>
      </c>
      <c r="E5892" s="7" t="s">
        <v>180</v>
      </c>
      <c r="F5892" s="6" t="n">
        <v>3.7</v>
      </c>
      <c r="G5892" s="6" t="n">
        <v>0</v>
      </c>
      <c r="H5892" s="41" t="n">
        <v>15.85</v>
      </c>
      <c r="I5892" s="43" t="n">
        <f aca="false">F5892*H5892</f>
        <v>58.645</v>
      </c>
      <c r="J5892" s="43" t="n">
        <f aca="false">G5892*H5892*1.5</f>
        <v>0</v>
      </c>
      <c r="K5892" s="6" t="n">
        <v>12.4</v>
      </c>
      <c r="L5892" s="43" t="n">
        <f aca="false">K5892*'Chart of Accounts'!$E$68</f>
        <v>8.308</v>
      </c>
      <c r="O5892" s="42" t="n">
        <f aca="false">I5892+J5892+L5892</f>
        <v>66.953</v>
      </c>
    </row>
    <row r="5893" customFormat="false" ht="15" hidden="false" customHeight="false" outlineLevel="0" collapsed="false">
      <c r="B5893" s="7" t="s">
        <v>14526</v>
      </c>
      <c r="C5893" s="39" t="n">
        <v>46017</v>
      </c>
      <c r="D5893" s="7" t="s">
        <v>196</v>
      </c>
      <c r="E5893" s="7" t="s">
        <v>180</v>
      </c>
      <c r="F5893" s="6" t="n">
        <v>4.13</v>
      </c>
      <c r="G5893" s="6" t="n">
        <v>0.07</v>
      </c>
      <c r="H5893" s="41" t="n">
        <v>15.05</v>
      </c>
      <c r="I5893" s="43" t="n">
        <f aca="false">F5893*H5893</f>
        <v>62.1565</v>
      </c>
      <c r="J5893" s="43" t="n">
        <f aca="false">G5893*H5893*1.5</f>
        <v>1.58025</v>
      </c>
      <c r="K5893" s="6" t="n">
        <v>12.59</v>
      </c>
      <c r="L5893" s="43" t="n">
        <f aca="false">K5893*'Chart of Accounts'!$E$68</f>
        <v>8.4353</v>
      </c>
      <c r="O5893" s="42" t="n">
        <f aca="false">I5893+J5893+L5893</f>
        <v>72.17205</v>
      </c>
    </row>
    <row r="5894" customFormat="false" ht="15" hidden="false" customHeight="false" outlineLevel="0" collapsed="false">
      <c r="B5894" s="7" t="s">
        <v>14527</v>
      </c>
      <c r="C5894" s="39" t="n">
        <v>46017</v>
      </c>
      <c r="D5894" s="7" t="s">
        <v>246</v>
      </c>
      <c r="E5894" s="7" t="s">
        <v>180</v>
      </c>
      <c r="F5894" s="6" t="n">
        <v>3.73</v>
      </c>
      <c r="G5894" s="6" t="n">
        <v>0</v>
      </c>
      <c r="H5894" s="41" t="n">
        <v>16.48</v>
      </c>
      <c r="I5894" s="43" t="n">
        <f aca="false">F5894*H5894</f>
        <v>61.4704</v>
      </c>
      <c r="J5894" s="43" t="n">
        <f aca="false">G5894*H5894*1.5</f>
        <v>0</v>
      </c>
      <c r="K5894" s="6" t="n">
        <v>10.68</v>
      </c>
      <c r="L5894" s="43" t="n">
        <f aca="false">K5894*'Chart of Accounts'!$E$68</f>
        <v>7.1556</v>
      </c>
      <c r="O5894" s="42" t="n">
        <f aca="false">I5894+J5894+L5894</f>
        <v>68.626</v>
      </c>
    </row>
    <row r="5895" customFormat="false" ht="15" hidden="false" customHeight="false" outlineLevel="0" collapsed="false">
      <c r="B5895" s="7" t="s">
        <v>14528</v>
      </c>
      <c r="C5895" s="39" t="n">
        <v>46017</v>
      </c>
      <c r="D5895" s="7" t="s">
        <v>203</v>
      </c>
      <c r="E5895" s="7" t="s">
        <v>158</v>
      </c>
      <c r="H5895" s="41" t="n">
        <v>49.43</v>
      </c>
      <c r="M5895" s="6" t="n">
        <v>1</v>
      </c>
      <c r="N5895" s="43" t="n">
        <f aca="false">M5895*H5895</f>
        <v>49.43</v>
      </c>
      <c r="O5895" s="42" t="n">
        <f aca="false">N5895</f>
        <v>49.43</v>
      </c>
    </row>
    <row r="5896" customFormat="false" ht="15" hidden="false" customHeight="false" outlineLevel="0" collapsed="false">
      <c r="B5896" s="7" t="s">
        <v>14529</v>
      </c>
      <c r="C5896" s="39" t="n">
        <v>46017</v>
      </c>
      <c r="D5896" s="7" t="s">
        <v>184</v>
      </c>
      <c r="E5896" s="7" t="s">
        <v>180</v>
      </c>
      <c r="F5896" s="6" t="n">
        <v>3.95</v>
      </c>
      <c r="G5896" s="6" t="n">
        <v>0</v>
      </c>
      <c r="H5896" s="41" t="n">
        <v>17.34</v>
      </c>
      <c r="I5896" s="43" t="n">
        <f aca="false">F5896*H5896</f>
        <v>68.493</v>
      </c>
      <c r="J5896" s="43" t="n">
        <f aca="false">G5896*H5896*1.5</f>
        <v>0</v>
      </c>
      <c r="K5896" s="6" t="n">
        <v>9.31</v>
      </c>
      <c r="L5896" s="43" t="n">
        <f aca="false">K5896*'Chart of Accounts'!$E$68</f>
        <v>6.2377</v>
      </c>
      <c r="O5896" s="42" t="n">
        <f aca="false">I5896+J5896+L5896</f>
        <v>74.7307</v>
      </c>
    </row>
    <row r="5897" customFormat="false" ht="15" hidden="false" customHeight="false" outlineLevel="0" collapsed="false">
      <c r="B5897" s="7" t="s">
        <v>14530</v>
      </c>
      <c r="C5897" s="39" t="n">
        <v>46017</v>
      </c>
      <c r="D5897" s="7" t="s">
        <v>260</v>
      </c>
      <c r="E5897" s="7" t="s">
        <v>158</v>
      </c>
      <c r="H5897" s="41" t="n">
        <v>79.8</v>
      </c>
      <c r="M5897" s="6" t="n">
        <v>1</v>
      </c>
      <c r="N5897" s="43" t="n">
        <f aca="false">M5897*H5897</f>
        <v>79.8</v>
      </c>
      <c r="O5897" s="42" t="n">
        <f aca="false">N5897</f>
        <v>79.8</v>
      </c>
    </row>
    <row r="5898" customFormat="false" ht="15" hidden="false" customHeight="false" outlineLevel="0" collapsed="false">
      <c r="B5898" s="7" t="s">
        <v>14531</v>
      </c>
      <c r="C5898" s="39" t="n">
        <v>46017</v>
      </c>
      <c r="D5898" s="7" t="s">
        <v>214</v>
      </c>
      <c r="E5898" s="7" t="s">
        <v>180</v>
      </c>
      <c r="F5898" s="6" t="n">
        <v>3.07</v>
      </c>
      <c r="G5898" s="6" t="n">
        <v>0</v>
      </c>
      <c r="H5898" s="41" t="n">
        <v>15.67</v>
      </c>
      <c r="I5898" s="43" t="n">
        <f aca="false">F5898*H5898</f>
        <v>48.1069</v>
      </c>
      <c r="J5898" s="43" t="n">
        <f aca="false">G5898*H5898*1.5</f>
        <v>0</v>
      </c>
      <c r="K5898" s="6" t="n">
        <v>9.31</v>
      </c>
      <c r="L5898" s="43" t="n">
        <f aca="false">K5898*'Chart of Accounts'!$E$68</f>
        <v>6.2377</v>
      </c>
      <c r="O5898" s="42" t="n">
        <f aca="false">I5898+J5898+L5898</f>
        <v>54.3446</v>
      </c>
    </row>
    <row r="5899" customFormat="false" ht="15" hidden="false" customHeight="false" outlineLevel="0" collapsed="false">
      <c r="B5899" s="7" t="s">
        <v>14532</v>
      </c>
      <c r="C5899" s="39" t="n">
        <v>46018</v>
      </c>
      <c r="D5899" s="7" t="s">
        <v>184</v>
      </c>
      <c r="E5899" s="7" t="s">
        <v>180</v>
      </c>
      <c r="F5899" s="6" t="n">
        <v>4.07</v>
      </c>
      <c r="G5899" s="6" t="n">
        <v>0</v>
      </c>
      <c r="H5899" s="41" t="n">
        <v>17.34</v>
      </c>
      <c r="I5899" s="43" t="n">
        <f aca="false">F5899*H5899</f>
        <v>70.5738</v>
      </c>
      <c r="J5899" s="43" t="n">
        <f aca="false">G5899*H5899*1.5</f>
        <v>0</v>
      </c>
      <c r="K5899" s="6" t="n">
        <v>13.41</v>
      </c>
      <c r="L5899" s="43" t="n">
        <f aca="false">K5899*'Chart of Accounts'!$E$68</f>
        <v>8.9847</v>
      </c>
      <c r="O5899" s="42" t="n">
        <f aca="false">I5899+J5899+L5899</f>
        <v>79.5585</v>
      </c>
    </row>
    <row r="5900" customFormat="false" ht="15" hidden="false" customHeight="false" outlineLevel="0" collapsed="false">
      <c r="B5900" s="7" t="s">
        <v>14533</v>
      </c>
      <c r="C5900" s="39" t="n">
        <v>46018</v>
      </c>
      <c r="D5900" s="7" t="s">
        <v>218</v>
      </c>
      <c r="E5900" s="7" t="s">
        <v>180</v>
      </c>
      <c r="F5900" s="6" t="n">
        <v>3.95</v>
      </c>
      <c r="G5900" s="6" t="n">
        <v>0</v>
      </c>
      <c r="H5900" s="41" t="n">
        <v>16.19</v>
      </c>
      <c r="I5900" s="43" t="n">
        <f aca="false">F5900*H5900</f>
        <v>63.9505</v>
      </c>
      <c r="J5900" s="43" t="n">
        <f aca="false">G5900*H5900*1.5</f>
        <v>0</v>
      </c>
      <c r="K5900" s="6" t="n">
        <v>12.61</v>
      </c>
      <c r="L5900" s="43" t="n">
        <f aca="false">K5900*'Chart of Accounts'!$E$68</f>
        <v>8.4487</v>
      </c>
      <c r="O5900" s="42" t="n">
        <f aca="false">I5900+J5900+L5900</f>
        <v>72.3992</v>
      </c>
    </row>
    <row r="5901" customFormat="false" ht="15" hidden="false" customHeight="false" outlineLevel="0" collapsed="false">
      <c r="B5901" s="7" t="s">
        <v>14534</v>
      </c>
      <c r="C5901" s="39" t="n">
        <v>46018</v>
      </c>
      <c r="D5901" s="7" t="s">
        <v>256</v>
      </c>
      <c r="E5901" s="7" t="s">
        <v>180</v>
      </c>
      <c r="F5901" s="6" t="n">
        <v>4.26</v>
      </c>
      <c r="G5901" s="6" t="n">
        <v>0</v>
      </c>
      <c r="H5901" s="41" t="n">
        <v>15.63</v>
      </c>
      <c r="I5901" s="43" t="n">
        <f aca="false">F5901*H5901</f>
        <v>66.5838</v>
      </c>
      <c r="J5901" s="43" t="n">
        <f aca="false">G5901*H5901*1.5</f>
        <v>0</v>
      </c>
      <c r="K5901" s="6" t="n">
        <v>13.89</v>
      </c>
      <c r="L5901" s="43" t="n">
        <f aca="false">K5901*'Chart of Accounts'!$E$68</f>
        <v>9.3063</v>
      </c>
      <c r="O5901" s="42" t="n">
        <f aca="false">I5901+J5901+L5901</f>
        <v>75.8901</v>
      </c>
    </row>
    <row r="5902" customFormat="false" ht="15" hidden="false" customHeight="false" outlineLevel="0" collapsed="false">
      <c r="B5902" s="7" t="s">
        <v>14535</v>
      </c>
      <c r="C5902" s="39" t="n">
        <v>46018</v>
      </c>
      <c r="D5902" s="7" t="s">
        <v>196</v>
      </c>
      <c r="E5902" s="7" t="s">
        <v>180</v>
      </c>
      <c r="F5902" s="6" t="n">
        <v>3.648</v>
      </c>
      <c r="G5902" s="6" t="n">
        <v>0.062</v>
      </c>
      <c r="H5902" s="41" t="n">
        <v>15.05</v>
      </c>
      <c r="I5902" s="43" t="n">
        <f aca="false">F5902*H5902</f>
        <v>54.9024</v>
      </c>
      <c r="J5902" s="43" t="n">
        <f aca="false">G5902*H5902*1.5</f>
        <v>1.39965</v>
      </c>
      <c r="K5902" s="6" t="n">
        <v>9.64</v>
      </c>
      <c r="L5902" s="43" t="n">
        <f aca="false">K5902*'Chart of Accounts'!$E$68</f>
        <v>6.4588</v>
      </c>
      <c r="O5902" s="42" t="n">
        <f aca="false">I5902+J5902+L5902</f>
        <v>62.76085</v>
      </c>
    </row>
    <row r="5903" customFormat="false" ht="15" hidden="false" customHeight="false" outlineLevel="0" collapsed="false">
      <c r="B5903" s="7" t="s">
        <v>14536</v>
      </c>
      <c r="C5903" s="39" t="n">
        <v>46018</v>
      </c>
      <c r="D5903" s="7" t="s">
        <v>222</v>
      </c>
      <c r="E5903" s="7" t="s">
        <v>180</v>
      </c>
      <c r="F5903" s="6" t="n">
        <v>3.78</v>
      </c>
      <c r="G5903" s="6" t="n">
        <v>0.14</v>
      </c>
      <c r="H5903" s="41" t="n">
        <v>17.84</v>
      </c>
      <c r="I5903" s="43" t="n">
        <f aca="false">F5903*H5903</f>
        <v>67.4352</v>
      </c>
      <c r="J5903" s="43" t="n">
        <f aca="false">G5903*H5903*1.5</f>
        <v>3.7464</v>
      </c>
      <c r="K5903" s="6" t="n">
        <v>13.1</v>
      </c>
      <c r="L5903" s="43" t="n">
        <f aca="false">K5903*'Chart of Accounts'!$E$68</f>
        <v>8.777</v>
      </c>
      <c r="O5903" s="42" t="n">
        <f aca="false">I5903+J5903+L5903</f>
        <v>79.9586</v>
      </c>
    </row>
    <row r="5904" customFormat="false" ht="15" hidden="false" customHeight="false" outlineLevel="0" collapsed="false">
      <c r="B5904" s="7" t="s">
        <v>14537</v>
      </c>
      <c r="C5904" s="39" t="n">
        <v>46018</v>
      </c>
      <c r="D5904" s="7" t="s">
        <v>242</v>
      </c>
      <c r="E5904" s="7" t="s">
        <v>180</v>
      </c>
      <c r="F5904" s="6" t="n">
        <v>3.897</v>
      </c>
      <c r="G5904" s="6" t="n">
        <v>0.203</v>
      </c>
      <c r="H5904" s="41" t="n">
        <v>17.99</v>
      </c>
      <c r="I5904" s="43" t="n">
        <f aca="false">F5904*H5904</f>
        <v>70.10703</v>
      </c>
      <c r="J5904" s="43" t="n">
        <f aca="false">G5904*H5904*1.5</f>
        <v>5.477955</v>
      </c>
      <c r="K5904" s="6" t="n">
        <v>9.33</v>
      </c>
      <c r="L5904" s="43" t="n">
        <f aca="false">K5904*'Chart of Accounts'!$E$68</f>
        <v>6.2511</v>
      </c>
      <c r="O5904" s="42" t="n">
        <f aca="false">I5904+J5904+L5904</f>
        <v>81.836085</v>
      </c>
    </row>
    <row r="5905" customFormat="false" ht="15" hidden="false" customHeight="false" outlineLevel="0" collapsed="false">
      <c r="B5905" s="7" t="s">
        <v>14538</v>
      </c>
      <c r="C5905" s="39" t="n">
        <v>46018</v>
      </c>
      <c r="D5905" s="7" t="s">
        <v>254</v>
      </c>
      <c r="E5905" s="7" t="s">
        <v>180</v>
      </c>
      <c r="F5905" s="6" t="n">
        <v>3.376</v>
      </c>
      <c r="G5905" s="6" t="n">
        <v>0.344</v>
      </c>
      <c r="H5905" s="41" t="n">
        <v>17.1</v>
      </c>
      <c r="I5905" s="43" t="n">
        <f aca="false">F5905*H5905</f>
        <v>57.7296</v>
      </c>
      <c r="J5905" s="43" t="n">
        <f aca="false">G5905*H5905*1.5</f>
        <v>8.8236</v>
      </c>
      <c r="K5905" s="6" t="n">
        <v>8.65</v>
      </c>
      <c r="L5905" s="43" t="n">
        <f aca="false">K5905*'Chart of Accounts'!$E$68</f>
        <v>5.7955</v>
      </c>
      <c r="O5905" s="42" t="n">
        <f aca="false">I5905+J5905+L5905</f>
        <v>72.3487</v>
      </c>
    </row>
    <row r="5906" customFormat="false" ht="15" hidden="false" customHeight="false" outlineLevel="0" collapsed="false">
      <c r="B5906" s="7" t="s">
        <v>14539</v>
      </c>
      <c r="C5906" s="39" t="n">
        <v>46019</v>
      </c>
      <c r="D5906" s="7" t="s">
        <v>254</v>
      </c>
      <c r="E5906" s="7" t="s">
        <v>180</v>
      </c>
      <c r="F5906" s="6" t="n">
        <v>7.234</v>
      </c>
      <c r="G5906" s="6" t="n">
        <v>0.736</v>
      </c>
      <c r="H5906" s="41" t="n">
        <v>17.1</v>
      </c>
      <c r="I5906" s="43" t="n">
        <f aca="false">F5906*H5906</f>
        <v>123.7014</v>
      </c>
      <c r="J5906" s="43" t="n">
        <f aca="false">G5906*H5906*1.5</f>
        <v>18.8784</v>
      </c>
      <c r="K5906" s="6" t="n">
        <v>19.53</v>
      </c>
      <c r="L5906" s="43" t="n">
        <f aca="false">K5906*'Chart of Accounts'!$E$68</f>
        <v>13.0851</v>
      </c>
      <c r="O5906" s="42" t="n">
        <f aca="false">I5906+J5906+L5906</f>
        <v>155.6649</v>
      </c>
    </row>
    <row r="5907" customFormat="false" ht="15" hidden="false" customHeight="false" outlineLevel="0" collapsed="false">
      <c r="B5907" s="7" t="s">
        <v>14540</v>
      </c>
      <c r="C5907" s="39" t="n">
        <v>46019</v>
      </c>
      <c r="D5907" s="7" t="s">
        <v>218</v>
      </c>
      <c r="E5907" s="7" t="s">
        <v>180</v>
      </c>
      <c r="F5907" s="6" t="n">
        <v>4</v>
      </c>
      <c r="G5907" s="6" t="n">
        <v>0</v>
      </c>
      <c r="H5907" s="41" t="n">
        <v>16.19</v>
      </c>
      <c r="I5907" s="43" t="n">
        <f aca="false">F5907*H5907</f>
        <v>64.76</v>
      </c>
      <c r="J5907" s="43" t="n">
        <f aca="false">G5907*H5907*1.5</f>
        <v>0</v>
      </c>
      <c r="K5907" s="6" t="n">
        <v>11.54</v>
      </c>
      <c r="L5907" s="43" t="n">
        <f aca="false">K5907*'Chart of Accounts'!$E$68</f>
        <v>7.7318</v>
      </c>
      <c r="O5907" s="42" t="n">
        <f aca="false">I5907+J5907+L5907</f>
        <v>72.4918</v>
      </c>
    </row>
    <row r="5908" customFormat="false" ht="15" hidden="false" customHeight="false" outlineLevel="0" collapsed="false">
      <c r="B5908" s="7" t="s">
        <v>14541</v>
      </c>
      <c r="C5908" s="39" t="n">
        <v>46019</v>
      </c>
      <c r="D5908" s="7" t="s">
        <v>226</v>
      </c>
      <c r="E5908" s="7" t="s">
        <v>180</v>
      </c>
      <c r="F5908" s="6" t="n">
        <v>3.67</v>
      </c>
      <c r="G5908" s="6" t="n">
        <v>0</v>
      </c>
      <c r="H5908" s="41" t="n">
        <v>16.45</v>
      </c>
      <c r="I5908" s="43" t="n">
        <f aca="false">F5908*H5908</f>
        <v>60.3715</v>
      </c>
      <c r="J5908" s="43" t="n">
        <f aca="false">G5908*H5908*1.5</f>
        <v>0</v>
      </c>
      <c r="K5908" s="6" t="n">
        <v>8.3</v>
      </c>
      <c r="L5908" s="43" t="n">
        <f aca="false">K5908*'Chart of Accounts'!$E$68</f>
        <v>5.561</v>
      </c>
      <c r="O5908" s="42" t="n">
        <f aca="false">I5908+J5908+L5908</f>
        <v>65.9325</v>
      </c>
    </row>
    <row r="5909" customFormat="false" ht="15" hidden="false" customHeight="false" outlineLevel="0" collapsed="false">
      <c r="B5909" s="7" t="s">
        <v>14542</v>
      </c>
      <c r="C5909" s="39" t="n">
        <v>46019</v>
      </c>
      <c r="D5909" s="7" t="s">
        <v>196</v>
      </c>
      <c r="E5909" s="7" t="s">
        <v>180</v>
      </c>
      <c r="F5909" s="6" t="n">
        <v>4.11</v>
      </c>
      <c r="G5909" s="6" t="n">
        <v>0.07</v>
      </c>
      <c r="H5909" s="41" t="n">
        <v>15.05</v>
      </c>
      <c r="I5909" s="43" t="n">
        <f aca="false">F5909*H5909</f>
        <v>61.8555</v>
      </c>
      <c r="J5909" s="43" t="n">
        <f aca="false">G5909*H5909*1.5</f>
        <v>1.58025</v>
      </c>
      <c r="K5909" s="6" t="n">
        <v>13.9</v>
      </c>
      <c r="L5909" s="43" t="n">
        <f aca="false">K5909*'Chart of Accounts'!$E$68</f>
        <v>9.313</v>
      </c>
      <c r="O5909" s="42" t="n">
        <f aca="false">I5909+J5909+L5909</f>
        <v>72.74875</v>
      </c>
    </row>
    <row r="5910" customFormat="false" ht="15" hidden="false" customHeight="false" outlineLevel="0" collapsed="false">
      <c r="B5910" s="7" t="s">
        <v>14543</v>
      </c>
      <c r="C5910" s="39" t="n">
        <v>46019</v>
      </c>
      <c r="D5910" s="7" t="s">
        <v>222</v>
      </c>
      <c r="E5910" s="7" t="s">
        <v>180</v>
      </c>
      <c r="F5910" s="6" t="n">
        <v>3.983</v>
      </c>
      <c r="G5910" s="6" t="n">
        <v>0.147</v>
      </c>
      <c r="H5910" s="41" t="n">
        <v>17.84</v>
      </c>
      <c r="I5910" s="43" t="n">
        <f aca="false">F5910*H5910</f>
        <v>71.05672</v>
      </c>
      <c r="J5910" s="43" t="n">
        <f aca="false">G5910*H5910*1.5</f>
        <v>3.93372</v>
      </c>
      <c r="K5910" s="6" t="n">
        <v>9.72</v>
      </c>
      <c r="L5910" s="43" t="n">
        <f aca="false">K5910*'Chart of Accounts'!$E$68</f>
        <v>6.5124</v>
      </c>
      <c r="O5910" s="42" t="n">
        <f aca="false">I5910+J5910+L5910</f>
        <v>81.50284</v>
      </c>
    </row>
    <row r="5911" customFormat="false" ht="15" hidden="false" customHeight="false" outlineLevel="0" collapsed="false">
      <c r="B5911" s="7" t="s">
        <v>14544</v>
      </c>
      <c r="C5911" s="39" t="n">
        <v>46019</v>
      </c>
      <c r="D5911" s="7" t="s">
        <v>242</v>
      </c>
      <c r="E5911" s="7" t="s">
        <v>180</v>
      </c>
      <c r="F5911" s="6" t="n">
        <v>3.935</v>
      </c>
      <c r="G5911" s="6" t="n">
        <v>0.205</v>
      </c>
      <c r="H5911" s="41" t="n">
        <v>17.99</v>
      </c>
      <c r="I5911" s="43" t="n">
        <f aca="false">F5911*H5911</f>
        <v>70.79065</v>
      </c>
      <c r="J5911" s="43" t="n">
        <f aca="false">G5911*H5911*1.5</f>
        <v>5.531925</v>
      </c>
      <c r="K5911" s="6" t="n">
        <v>14.17</v>
      </c>
      <c r="L5911" s="43" t="n">
        <f aca="false">K5911*'Chart of Accounts'!$E$68</f>
        <v>9.4939</v>
      </c>
      <c r="O5911" s="42" t="n">
        <f aca="false">I5911+J5911+L5911</f>
        <v>85.816475</v>
      </c>
    </row>
    <row r="5912" customFormat="false" ht="15" hidden="false" customHeight="false" outlineLevel="0" collapsed="false">
      <c r="B5912" s="7" t="s">
        <v>14545</v>
      </c>
      <c r="C5912" s="39" t="n">
        <v>46020</v>
      </c>
      <c r="D5912" s="7" t="s">
        <v>248</v>
      </c>
      <c r="E5912" s="7" t="s">
        <v>180</v>
      </c>
      <c r="F5912" s="6" t="n">
        <v>8.01</v>
      </c>
      <c r="G5912" s="6" t="n">
        <v>0</v>
      </c>
      <c r="H5912" s="41" t="n">
        <v>16.45</v>
      </c>
      <c r="I5912" s="43" t="n">
        <f aca="false">F5912*H5912</f>
        <v>131.7645</v>
      </c>
      <c r="J5912" s="43" t="n">
        <f aca="false">G5912*H5912*1.5</f>
        <v>0</v>
      </c>
      <c r="K5912" s="6" t="n">
        <v>21.3</v>
      </c>
      <c r="L5912" s="43" t="n">
        <f aca="false">K5912*'Chart of Accounts'!$E$68</f>
        <v>14.271</v>
      </c>
      <c r="O5912" s="42" t="n">
        <f aca="false">I5912+J5912+L5912</f>
        <v>146.0355</v>
      </c>
    </row>
    <row r="5913" customFormat="false" ht="15" hidden="false" customHeight="false" outlineLevel="0" collapsed="false">
      <c r="B5913" s="7" t="s">
        <v>14546</v>
      </c>
      <c r="C5913" s="39" t="n">
        <v>46020</v>
      </c>
      <c r="D5913" s="7" t="s">
        <v>194</v>
      </c>
      <c r="E5913" s="7" t="s">
        <v>180</v>
      </c>
      <c r="F5913" s="6" t="n">
        <v>8.68</v>
      </c>
      <c r="G5913" s="6" t="n">
        <v>0</v>
      </c>
      <c r="H5913" s="41" t="n">
        <v>16</v>
      </c>
      <c r="I5913" s="43" t="n">
        <f aca="false">F5913*H5913</f>
        <v>138.88</v>
      </c>
      <c r="J5913" s="43" t="n">
        <f aca="false">G5913*H5913*1.5</f>
        <v>0</v>
      </c>
      <c r="K5913" s="6" t="n">
        <v>23.86</v>
      </c>
      <c r="L5913" s="43" t="n">
        <f aca="false">K5913*'Chart of Accounts'!$E$68</f>
        <v>15.9862</v>
      </c>
      <c r="O5913" s="42" t="n">
        <f aca="false">I5913+J5913+L5913</f>
        <v>154.8662</v>
      </c>
    </row>
    <row r="5914" customFormat="false" ht="15" hidden="false" customHeight="false" outlineLevel="0" collapsed="false">
      <c r="B5914" s="7" t="s">
        <v>14547</v>
      </c>
      <c r="C5914" s="39" t="n">
        <v>46020</v>
      </c>
      <c r="D5914" s="7" t="s">
        <v>214</v>
      </c>
      <c r="E5914" s="7" t="s">
        <v>180</v>
      </c>
      <c r="F5914" s="6" t="n">
        <v>7.83</v>
      </c>
      <c r="G5914" s="6" t="n">
        <v>0</v>
      </c>
      <c r="H5914" s="41" t="n">
        <v>15.67</v>
      </c>
      <c r="I5914" s="43" t="n">
        <f aca="false">F5914*H5914</f>
        <v>122.6961</v>
      </c>
      <c r="J5914" s="43" t="n">
        <f aca="false">G5914*H5914*1.5</f>
        <v>0</v>
      </c>
      <c r="K5914" s="6" t="n">
        <v>27.93</v>
      </c>
      <c r="L5914" s="43" t="n">
        <f aca="false">K5914*'Chart of Accounts'!$E$68</f>
        <v>18.7131</v>
      </c>
      <c r="O5914" s="42" t="n">
        <f aca="false">I5914+J5914+L5914</f>
        <v>141.4092</v>
      </c>
    </row>
    <row r="5915" customFormat="false" ht="15" hidden="false" customHeight="false" outlineLevel="0" collapsed="false">
      <c r="B5915" s="7" t="s">
        <v>14548</v>
      </c>
      <c r="C5915" s="39" t="n">
        <v>46020</v>
      </c>
      <c r="D5915" s="7" t="s">
        <v>201</v>
      </c>
      <c r="E5915" s="7" t="s">
        <v>180</v>
      </c>
      <c r="F5915" s="6" t="n">
        <v>9.07</v>
      </c>
      <c r="G5915" s="6" t="n">
        <v>0</v>
      </c>
      <c r="H5915" s="41" t="n">
        <v>15.19</v>
      </c>
      <c r="I5915" s="43" t="n">
        <f aca="false">F5915*H5915</f>
        <v>137.7733</v>
      </c>
      <c r="J5915" s="43" t="n">
        <f aca="false">G5915*H5915*1.5</f>
        <v>0</v>
      </c>
      <c r="K5915" s="6" t="n">
        <v>23.29</v>
      </c>
      <c r="L5915" s="43" t="n">
        <f aca="false">K5915*'Chart of Accounts'!$E$68</f>
        <v>15.6043</v>
      </c>
      <c r="O5915" s="42" t="n">
        <f aca="false">I5915+J5915+L5915</f>
        <v>153.3776</v>
      </c>
    </row>
    <row r="5916" customFormat="false" ht="15" hidden="false" customHeight="false" outlineLevel="0" collapsed="false">
      <c r="B5916" s="7" t="s">
        <v>14549</v>
      </c>
      <c r="C5916" s="39" t="n">
        <v>46020</v>
      </c>
      <c r="D5916" s="7" t="s">
        <v>205</v>
      </c>
      <c r="E5916" s="7" t="s">
        <v>180</v>
      </c>
      <c r="F5916" s="6" t="n">
        <v>6.71</v>
      </c>
      <c r="G5916" s="6" t="n">
        <v>0</v>
      </c>
      <c r="H5916" s="41" t="n">
        <v>16.36</v>
      </c>
      <c r="I5916" s="43" t="n">
        <f aca="false">F5916*H5916</f>
        <v>109.7756</v>
      </c>
      <c r="J5916" s="43" t="n">
        <f aca="false">G5916*H5916*1.5</f>
        <v>0</v>
      </c>
      <c r="K5916" s="6" t="n">
        <v>23.04</v>
      </c>
      <c r="L5916" s="43" t="n">
        <f aca="false">K5916*'Chart of Accounts'!$E$68</f>
        <v>15.4368</v>
      </c>
      <c r="O5916" s="42" t="n">
        <f aca="false">I5916+J5916+L5916</f>
        <v>125.2124</v>
      </c>
    </row>
    <row r="5917" customFormat="false" ht="15" hidden="false" customHeight="false" outlineLevel="0" collapsed="false">
      <c r="B5917" s="7" t="s">
        <v>14550</v>
      </c>
      <c r="C5917" s="39" t="n">
        <v>46020</v>
      </c>
      <c r="D5917" s="7" t="s">
        <v>240</v>
      </c>
      <c r="E5917" s="7" t="s">
        <v>180</v>
      </c>
      <c r="F5917" s="6" t="n">
        <v>7.15</v>
      </c>
      <c r="G5917" s="6" t="n">
        <v>0</v>
      </c>
      <c r="H5917" s="41" t="n">
        <v>16.96</v>
      </c>
      <c r="I5917" s="43" t="n">
        <f aca="false">F5917*H5917</f>
        <v>121.264</v>
      </c>
      <c r="J5917" s="43" t="n">
        <f aca="false">G5917*H5917*1.5</f>
        <v>0</v>
      </c>
      <c r="K5917" s="6" t="n">
        <v>20.49</v>
      </c>
      <c r="L5917" s="43" t="n">
        <f aca="false">K5917*'Chart of Accounts'!$E$68</f>
        <v>13.7283</v>
      </c>
      <c r="O5917" s="42" t="n">
        <f aca="false">I5917+J5917+L5917</f>
        <v>134.9923</v>
      </c>
    </row>
    <row r="5918" customFormat="false" ht="15" hidden="false" customHeight="false" outlineLevel="0" collapsed="false">
      <c r="B5918" s="7" t="s">
        <v>14551</v>
      </c>
      <c r="C5918" s="39" t="n">
        <v>46020</v>
      </c>
      <c r="D5918" s="7" t="s">
        <v>264</v>
      </c>
      <c r="E5918" s="7" t="s">
        <v>158</v>
      </c>
      <c r="H5918" s="41" t="n">
        <v>55.55</v>
      </c>
      <c r="M5918" s="6" t="n">
        <v>1</v>
      </c>
      <c r="N5918" s="43" t="n">
        <f aca="false">M5918*H5918</f>
        <v>55.55</v>
      </c>
      <c r="O5918" s="42" t="n">
        <f aca="false">N5918</f>
        <v>55.55</v>
      </c>
    </row>
    <row r="5919" customFormat="false" ht="15" hidden="false" customHeight="false" outlineLevel="0" collapsed="false">
      <c r="B5919" s="7" t="s">
        <v>14552</v>
      </c>
      <c r="C5919" s="39" t="n">
        <v>46020</v>
      </c>
      <c r="D5919" s="7" t="s">
        <v>252</v>
      </c>
      <c r="E5919" s="7" t="s">
        <v>158</v>
      </c>
      <c r="H5919" s="41" t="n">
        <v>57.54</v>
      </c>
      <c r="M5919" s="6" t="n">
        <v>1</v>
      </c>
      <c r="N5919" s="43" t="n">
        <f aca="false">M5919*H5919</f>
        <v>57.54</v>
      </c>
      <c r="O5919" s="42" t="n">
        <f aca="false">N5919</f>
        <v>57.54</v>
      </c>
    </row>
    <row r="5920" customFormat="false" ht="15" hidden="false" customHeight="false" outlineLevel="0" collapsed="false">
      <c r="B5920" s="7" t="s">
        <v>14553</v>
      </c>
      <c r="C5920" s="39" t="n">
        <v>46020</v>
      </c>
      <c r="D5920" s="7" t="s">
        <v>196</v>
      </c>
      <c r="E5920" s="7" t="s">
        <v>180</v>
      </c>
      <c r="F5920" s="6" t="n">
        <v>10</v>
      </c>
      <c r="G5920" s="6" t="n">
        <v>0</v>
      </c>
      <c r="H5920" s="41" t="n">
        <v>15.05</v>
      </c>
      <c r="I5920" s="43" t="n">
        <f aca="false">F5920*H5920</f>
        <v>150.5</v>
      </c>
      <c r="J5920" s="43" t="n">
        <f aca="false">G5920*H5920*1.5</f>
        <v>0</v>
      </c>
      <c r="K5920" s="6" t="n">
        <v>30.87</v>
      </c>
      <c r="L5920" s="43" t="n">
        <f aca="false">K5920*'Chart of Accounts'!$E$68</f>
        <v>20.6829</v>
      </c>
      <c r="O5920" s="42" t="n">
        <f aca="false">I5920+J5920+L5920</f>
        <v>171.1829</v>
      </c>
    </row>
    <row r="5921" customFormat="false" ht="15" hidden="false" customHeight="false" outlineLevel="0" collapsed="false">
      <c r="B5921" s="7" t="s">
        <v>14554</v>
      </c>
      <c r="C5921" s="39" t="n">
        <v>46020</v>
      </c>
      <c r="D5921" s="7" t="s">
        <v>184</v>
      </c>
      <c r="E5921" s="7" t="s">
        <v>180</v>
      </c>
      <c r="F5921" s="6" t="n">
        <v>8.03</v>
      </c>
      <c r="G5921" s="6" t="n">
        <v>0</v>
      </c>
      <c r="H5921" s="41" t="n">
        <v>17.34</v>
      </c>
      <c r="I5921" s="43" t="n">
        <f aca="false">F5921*H5921</f>
        <v>139.2402</v>
      </c>
      <c r="J5921" s="43" t="n">
        <f aca="false">G5921*H5921*1.5</f>
        <v>0</v>
      </c>
      <c r="K5921" s="6" t="n">
        <v>19.94</v>
      </c>
      <c r="L5921" s="43" t="n">
        <f aca="false">K5921*'Chart of Accounts'!$E$68</f>
        <v>13.3598</v>
      </c>
      <c r="O5921" s="42" t="n">
        <f aca="false">I5921+J5921+L5921</f>
        <v>152.6</v>
      </c>
    </row>
    <row r="5922" customFormat="false" ht="15" hidden="false" customHeight="false" outlineLevel="0" collapsed="false">
      <c r="B5922" s="7" t="s">
        <v>14555</v>
      </c>
      <c r="C5922" s="39" t="n">
        <v>46020</v>
      </c>
      <c r="D5922" s="7" t="s">
        <v>216</v>
      </c>
      <c r="E5922" s="7" t="s">
        <v>158</v>
      </c>
      <c r="H5922" s="41" t="n">
        <v>61.79</v>
      </c>
      <c r="M5922" s="6" t="n">
        <v>1</v>
      </c>
      <c r="N5922" s="43" t="n">
        <f aca="false">M5922*H5922</f>
        <v>61.79</v>
      </c>
      <c r="O5922" s="42" t="n">
        <f aca="false">N5922</f>
        <v>61.79</v>
      </c>
    </row>
    <row r="5923" customFormat="false" ht="15" hidden="false" customHeight="false" outlineLevel="0" collapsed="false">
      <c r="B5923" s="7" t="s">
        <v>14556</v>
      </c>
      <c r="C5923" s="39" t="n">
        <v>46020</v>
      </c>
      <c r="D5923" s="7" t="s">
        <v>238</v>
      </c>
      <c r="E5923" s="7" t="s">
        <v>180</v>
      </c>
      <c r="F5923" s="6" t="n">
        <v>10.11</v>
      </c>
      <c r="G5923" s="6" t="n">
        <v>0</v>
      </c>
      <c r="H5923" s="41" t="n">
        <v>15.85</v>
      </c>
      <c r="I5923" s="43" t="n">
        <f aca="false">F5923*H5923</f>
        <v>160.2435</v>
      </c>
      <c r="J5923" s="43" t="n">
        <f aca="false">G5923*H5923*1.5</f>
        <v>0</v>
      </c>
      <c r="K5923" s="6" t="n">
        <v>25.02</v>
      </c>
      <c r="L5923" s="43" t="n">
        <f aca="false">K5923*'Chart of Accounts'!$E$68</f>
        <v>16.7634</v>
      </c>
      <c r="O5923" s="42" t="n">
        <f aca="false">I5923+J5923+L5923</f>
        <v>177.0069</v>
      </c>
    </row>
    <row r="5924" customFormat="false" ht="15" hidden="false" customHeight="false" outlineLevel="0" collapsed="false">
      <c r="B5924" s="7" t="s">
        <v>14557</v>
      </c>
      <c r="C5924" s="39" t="n">
        <v>46020</v>
      </c>
      <c r="D5924" s="7" t="s">
        <v>218</v>
      </c>
      <c r="E5924" s="7" t="s">
        <v>180</v>
      </c>
      <c r="F5924" s="6" t="n">
        <v>3.88</v>
      </c>
      <c r="G5924" s="6" t="n">
        <v>0</v>
      </c>
      <c r="H5924" s="41" t="n">
        <v>16.19</v>
      </c>
      <c r="I5924" s="43" t="n">
        <f aca="false">F5924*H5924</f>
        <v>62.8172</v>
      </c>
      <c r="J5924" s="43" t="n">
        <f aca="false">G5924*H5924*1.5</f>
        <v>0</v>
      </c>
      <c r="K5924" s="6" t="n">
        <v>9.82</v>
      </c>
      <c r="L5924" s="43" t="n">
        <f aca="false">K5924*'Chart of Accounts'!$E$68</f>
        <v>6.5794</v>
      </c>
      <c r="O5924" s="42" t="n">
        <f aca="false">I5924+J5924+L5924</f>
        <v>69.3966</v>
      </c>
    </row>
    <row r="5925" customFormat="false" ht="15" hidden="false" customHeight="false" outlineLevel="0" collapsed="false">
      <c r="B5925" s="7" t="s">
        <v>14558</v>
      </c>
      <c r="C5925" s="39" t="n">
        <v>46020</v>
      </c>
      <c r="D5925" s="7" t="s">
        <v>220</v>
      </c>
      <c r="E5925" s="7" t="s">
        <v>180</v>
      </c>
      <c r="F5925" s="6" t="n">
        <v>8.05</v>
      </c>
      <c r="G5925" s="6" t="n">
        <v>0</v>
      </c>
      <c r="H5925" s="41" t="n">
        <v>16.43</v>
      </c>
      <c r="I5925" s="43" t="n">
        <f aca="false">F5925*H5925</f>
        <v>132.2615</v>
      </c>
      <c r="J5925" s="43" t="n">
        <f aca="false">G5925*H5925*1.5</f>
        <v>0</v>
      </c>
      <c r="K5925" s="6" t="n">
        <v>27.12</v>
      </c>
      <c r="L5925" s="43" t="n">
        <f aca="false">K5925*'Chart of Accounts'!$E$68</f>
        <v>18.1704</v>
      </c>
      <c r="O5925" s="42" t="n">
        <f aca="false">I5925+J5925+L5925</f>
        <v>150.4319</v>
      </c>
    </row>
    <row r="5926" customFormat="false" ht="15" hidden="false" customHeight="false" outlineLevel="0" collapsed="false">
      <c r="B5926" s="7" t="s">
        <v>14559</v>
      </c>
      <c r="C5926" s="39" t="n">
        <v>46020</v>
      </c>
      <c r="D5926" s="7" t="s">
        <v>236</v>
      </c>
      <c r="E5926" s="7" t="s">
        <v>180</v>
      </c>
      <c r="F5926" s="6" t="n">
        <v>3.47</v>
      </c>
      <c r="G5926" s="6" t="n">
        <v>0</v>
      </c>
      <c r="H5926" s="41" t="n">
        <v>15.49</v>
      </c>
      <c r="I5926" s="43" t="n">
        <f aca="false">F5926*H5926</f>
        <v>53.7503</v>
      </c>
      <c r="J5926" s="43" t="n">
        <f aca="false">G5926*H5926*1.5</f>
        <v>0</v>
      </c>
      <c r="K5926" s="6" t="n">
        <v>9.71</v>
      </c>
      <c r="L5926" s="43" t="n">
        <f aca="false">K5926*'Chart of Accounts'!$E$68</f>
        <v>6.5057</v>
      </c>
      <c r="O5926" s="42" t="n">
        <f aca="false">I5926+J5926+L5926</f>
        <v>60.256</v>
      </c>
    </row>
    <row r="5927" customFormat="false" ht="15" hidden="false" customHeight="false" outlineLevel="0" collapsed="false">
      <c r="B5927" s="7" t="s">
        <v>14560</v>
      </c>
      <c r="C5927" s="39" t="n">
        <v>46020</v>
      </c>
      <c r="D5927" s="7" t="s">
        <v>177</v>
      </c>
      <c r="E5927" s="7" t="s">
        <v>180</v>
      </c>
      <c r="F5927" s="6" t="n">
        <v>8.82</v>
      </c>
      <c r="G5927" s="6" t="n">
        <v>0</v>
      </c>
      <c r="H5927" s="41" t="n">
        <v>14.56</v>
      </c>
      <c r="I5927" s="43" t="n">
        <f aca="false">F5927*H5927</f>
        <v>128.4192</v>
      </c>
      <c r="J5927" s="43" t="n">
        <f aca="false">G5927*H5927*1.5</f>
        <v>0</v>
      </c>
      <c r="K5927" s="6" t="n">
        <v>22.66</v>
      </c>
      <c r="L5927" s="43" t="n">
        <f aca="false">K5927*'Chart of Accounts'!$E$68</f>
        <v>15.1822</v>
      </c>
      <c r="O5927" s="42" t="n">
        <f aca="false">I5927+J5927+L5927</f>
        <v>143.6014</v>
      </c>
    </row>
    <row r="5928" customFormat="false" ht="15" hidden="false" customHeight="false" outlineLevel="0" collapsed="false">
      <c r="B5928" s="7" t="s">
        <v>14561</v>
      </c>
      <c r="C5928" s="39" t="n">
        <v>46020</v>
      </c>
      <c r="D5928" s="7" t="s">
        <v>242</v>
      </c>
      <c r="E5928" s="7" t="s">
        <v>180</v>
      </c>
      <c r="F5928" s="6" t="n">
        <v>10.59</v>
      </c>
      <c r="G5928" s="6" t="n">
        <v>0</v>
      </c>
      <c r="H5928" s="41" t="n">
        <v>17.99</v>
      </c>
      <c r="I5928" s="43" t="n">
        <f aca="false">F5928*H5928</f>
        <v>190.5141</v>
      </c>
      <c r="J5928" s="43" t="n">
        <f aca="false">G5928*H5928*1.5</f>
        <v>0</v>
      </c>
      <c r="K5928" s="6" t="n">
        <v>26.49</v>
      </c>
      <c r="L5928" s="43" t="n">
        <f aca="false">K5928*'Chart of Accounts'!$E$68</f>
        <v>17.7483</v>
      </c>
      <c r="O5928" s="42" t="n">
        <f aca="false">I5928+J5928+L5928</f>
        <v>208.2624</v>
      </c>
    </row>
    <row r="5929" customFormat="false" ht="15" hidden="false" customHeight="false" outlineLevel="0" collapsed="false">
      <c r="B5929" s="7" t="s">
        <v>14562</v>
      </c>
      <c r="C5929" s="39" t="n">
        <v>46020</v>
      </c>
      <c r="D5929" s="7" t="s">
        <v>222</v>
      </c>
      <c r="E5929" s="7" t="s">
        <v>180</v>
      </c>
      <c r="F5929" s="6" t="n">
        <v>6.92</v>
      </c>
      <c r="G5929" s="6" t="n">
        <v>0</v>
      </c>
      <c r="H5929" s="41" t="n">
        <v>17.84</v>
      </c>
      <c r="I5929" s="43" t="n">
        <f aca="false">F5929*H5929</f>
        <v>123.4528</v>
      </c>
      <c r="J5929" s="43" t="n">
        <f aca="false">G5929*H5929*1.5</f>
        <v>0</v>
      </c>
      <c r="K5929" s="6" t="n">
        <v>18.34</v>
      </c>
      <c r="L5929" s="43" t="n">
        <f aca="false">K5929*'Chart of Accounts'!$E$68</f>
        <v>12.2878</v>
      </c>
      <c r="O5929" s="42" t="n">
        <f aca="false">I5929+J5929+L5929</f>
        <v>135.7406</v>
      </c>
    </row>
    <row r="5930" customFormat="false" ht="15" hidden="false" customHeight="false" outlineLevel="0" collapsed="false">
      <c r="B5930" s="7" t="s">
        <v>14563</v>
      </c>
      <c r="C5930" s="39" t="n">
        <v>46020</v>
      </c>
      <c r="D5930" s="7" t="s">
        <v>244</v>
      </c>
      <c r="E5930" s="7" t="s">
        <v>180</v>
      </c>
      <c r="F5930" s="6" t="n">
        <v>3.64</v>
      </c>
      <c r="G5930" s="6" t="n">
        <v>0</v>
      </c>
      <c r="H5930" s="41" t="n">
        <v>16.39</v>
      </c>
      <c r="I5930" s="43" t="n">
        <f aca="false">F5930*H5930</f>
        <v>59.6596</v>
      </c>
      <c r="J5930" s="43" t="n">
        <f aca="false">G5930*H5930*1.5</f>
        <v>0</v>
      </c>
      <c r="K5930" s="6" t="n">
        <v>12.4</v>
      </c>
      <c r="L5930" s="43" t="n">
        <f aca="false">K5930*'Chart of Accounts'!$E$68</f>
        <v>8.308</v>
      </c>
      <c r="O5930" s="42" t="n">
        <f aca="false">I5930+J5930+L5930</f>
        <v>67.9676</v>
      </c>
    </row>
    <row r="5931" customFormat="false" ht="15" hidden="false" customHeight="false" outlineLevel="0" collapsed="false">
      <c r="B5931" s="7" t="s">
        <v>14564</v>
      </c>
      <c r="C5931" s="39" t="n">
        <v>46020</v>
      </c>
      <c r="D5931" s="7" t="s">
        <v>254</v>
      </c>
      <c r="E5931" s="7" t="s">
        <v>180</v>
      </c>
      <c r="F5931" s="6" t="n">
        <v>7.05</v>
      </c>
      <c r="G5931" s="6" t="n">
        <v>0</v>
      </c>
      <c r="H5931" s="41" t="n">
        <v>17.1</v>
      </c>
      <c r="I5931" s="43" t="n">
        <f aca="false">F5931*H5931</f>
        <v>120.555</v>
      </c>
      <c r="J5931" s="43" t="n">
        <f aca="false">G5931*H5931*1.5</f>
        <v>0</v>
      </c>
      <c r="K5931" s="6" t="n">
        <v>19.17</v>
      </c>
      <c r="L5931" s="43" t="n">
        <f aca="false">K5931*'Chart of Accounts'!$E$68</f>
        <v>12.8439</v>
      </c>
      <c r="O5931" s="42" t="n">
        <f aca="false">I5931+J5931+L5931</f>
        <v>133.3989</v>
      </c>
    </row>
    <row r="5932" customFormat="false" ht="15" hidden="false" customHeight="false" outlineLevel="0" collapsed="false">
      <c r="B5932" s="7" t="s">
        <v>14565</v>
      </c>
      <c r="C5932" s="39" t="n">
        <v>46020</v>
      </c>
      <c r="D5932" s="7" t="s">
        <v>246</v>
      </c>
      <c r="E5932" s="7" t="s">
        <v>180</v>
      </c>
      <c r="F5932" s="6" t="n">
        <v>7.8</v>
      </c>
      <c r="G5932" s="6" t="n">
        <v>0</v>
      </c>
      <c r="H5932" s="41" t="n">
        <v>16.48</v>
      </c>
      <c r="I5932" s="43" t="n">
        <f aca="false">F5932*H5932</f>
        <v>128.544</v>
      </c>
      <c r="J5932" s="43" t="n">
        <f aca="false">G5932*H5932*1.5</f>
        <v>0</v>
      </c>
      <c r="K5932" s="6" t="n">
        <v>24.87</v>
      </c>
      <c r="L5932" s="43" t="n">
        <f aca="false">K5932*'Chart of Accounts'!$E$68</f>
        <v>16.6629</v>
      </c>
      <c r="O5932" s="42" t="n">
        <f aca="false">I5932+J5932+L5932</f>
        <v>145.2069</v>
      </c>
    </row>
    <row r="5933" customFormat="false" ht="15" hidden="false" customHeight="false" outlineLevel="0" collapsed="false">
      <c r="B5933" s="7" t="s">
        <v>14566</v>
      </c>
      <c r="C5933" s="39" t="n">
        <v>46020</v>
      </c>
      <c r="D5933" s="7" t="s">
        <v>256</v>
      </c>
      <c r="E5933" s="7" t="s">
        <v>180</v>
      </c>
      <c r="F5933" s="6" t="n">
        <v>2.92</v>
      </c>
      <c r="G5933" s="6" t="n">
        <v>0</v>
      </c>
      <c r="H5933" s="41" t="n">
        <v>15.63</v>
      </c>
      <c r="I5933" s="43" t="n">
        <f aca="false">F5933*H5933</f>
        <v>45.6396</v>
      </c>
      <c r="J5933" s="43" t="n">
        <f aca="false">G5933*H5933*1.5</f>
        <v>0</v>
      </c>
      <c r="K5933" s="6" t="n">
        <v>8.36</v>
      </c>
      <c r="L5933" s="43" t="n">
        <f aca="false">K5933*'Chart of Accounts'!$E$68</f>
        <v>5.6012</v>
      </c>
      <c r="O5933" s="42" t="n">
        <f aca="false">I5933+J5933+L5933</f>
        <v>51.2408</v>
      </c>
    </row>
    <row r="5934" customFormat="false" ht="15" hidden="false" customHeight="false" outlineLevel="0" collapsed="false">
      <c r="B5934" s="7" t="s">
        <v>14567</v>
      </c>
      <c r="C5934" s="39" t="n">
        <v>46020</v>
      </c>
      <c r="D5934" s="7" t="s">
        <v>232</v>
      </c>
      <c r="E5934" s="7" t="s">
        <v>180</v>
      </c>
      <c r="F5934" s="6" t="n">
        <v>4.44</v>
      </c>
      <c r="G5934" s="6" t="n">
        <v>0</v>
      </c>
      <c r="H5934" s="41" t="n">
        <v>16.17</v>
      </c>
      <c r="I5934" s="43" t="n">
        <f aca="false">F5934*H5934</f>
        <v>71.7948</v>
      </c>
      <c r="J5934" s="43" t="n">
        <f aca="false">G5934*H5934*1.5</f>
        <v>0</v>
      </c>
      <c r="K5934" s="6" t="n">
        <v>13.44</v>
      </c>
      <c r="L5934" s="43" t="n">
        <f aca="false">K5934*'Chart of Accounts'!$E$68</f>
        <v>9.0048</v>
      </c>
      <c r="O5934" s="42" t="n">
        <f aca="false">I5934+J5934+L5934</f>
        <v>80.7996</v>
      </c>
    </row>
    <row r="5935" customFormat="false" ht="15" hidden="false" customHeight="false" outlineLevel="0" collapsed="false">
      <c r="B5935" s="7" t="s">
        <v>14568</v>
      </c>
      <c r="C5935" s="39" t="n">
        <v>46020</v>
      </c>
      <c r="D5935" s="7" t="s">
        <v>224</v>
      </c>
      <c r="E5935" s="7" t="s">
        <v>180</v>
      </c>
      <c r="F5935" s="6" t="n">
        <v>4.64</v>
      </c>
      <c r="G5935" s="6" t="n">
        <v>0</v>
      </c>
      <c r="H5935" s="41" t="n">
        <v>14.93</v>
      </c>
      <c r="I5935" s="43" t="n">
        <f aca="false">F5935*H5935</f>
        <v>69.2752</v>
      </c>
      <c r="J5935" s="43" t="n">
        <f aca="false">G5935*H5935*1.5</f>
        <v>0</v>
      </c>
      <c r="K5935" s="6" t="n">
        <v>15.76</v>
      </c>
      <c r="L5935" s="43" t="n">
        <f aca="false">K5935*'Chart of Accounts'!$E$68</f>
        <v>10.5592</v>
      </c>
      <c r="O5935" s="42" t="n">
        <f aca="false">I5935+J5935+L5935</f>
        <v>79.8344</v>
      </c>
    </row>
    <row r="5936" customFormat="false" ht="15" hidden="false" customHeight="false" outlineLevel="0" collapsed="false">
      <c r="B5936" s="7" t="s">
        <v>14569</v>
      </c>
      <c r="C5936" s="39" t="n">
        <v>46021</v>
      </c>
      <c r="D5936" s="7" t="s">
        <v>220</v>
      </c>
      <c r="E5936" s="7" t="s">
        <v>180</v>
      </c>
      <c r="F5936" s="6" t="n">
        <v>7.84</v>
      </c>
      <c r="G5936" s="6" t="n">
        <v>0</v>
      </c>
      <c r="H5936" s="41" t="n">
        <v>16.43</v>
      </c>
      <c r="I5936" s="43" t="n">
        <f aca="false">F5936*H5936</f>
        <v>128.8112</v>
      </c>
      <c r="J5936" s="43" t="n">
        <f aca="false">G5936*H5936*1.5</f>
        <v>0</v>
      </c>
      <c r="K5936" s="6" t="n">
        <v>17.5</v>
      </c>
      <c r="L5936" s="43" t="n">
        <f aca="false">K5936*'Chart of Accounts'!$E$68</f>
        <v>11.725</v>
      </c>
      <c r="O5936" s="42" t="n">
        <f aca="false">I5936+J5936+L5936</f>
        <v>140.5362</v>
      </c>
    </row>
    <row r="5937" customFormat="false" ht="15" hidden="false" customHeight="false" outlineLevel="0" collapsed="false">
      <c r="B5937" s="7" t="s">
        <v>14570</v>
      </c>
      <c r="C5937" s="39" t="n">
        <v>46021</v>
      </c>
      <c r="D5937" s="7" t="s">
        <v>198</v>
      </c>
      <c r="E5937" s="7" t="s">
        <v>158</v>
      </c>
      <c r="H5937" s="41" t="n">
        <v>48.09</v>
      </c>
      <c r="M5937" s="6" t="n">
        <v>1</v>
      </c>
      <c r="N5937" s="43" t="n">
        <f aca="false">M5937*H5937</f>
        <v>48.09</v>
      </c>
      <c r="O5937" s="42" t="n">
        <f aca="false">N5937</f>
        <v>48.09</v>
      </c>
    </row>
    <row r="5938" customFormat="false" ht="15" hidden="false" customHeight="false" outlineLevel="0" collapsed="false">
      <c r="B5938" s="7" t="s">
        <v>14571</v>
      </c>
      <c r="C5938" s="39" t="n">
        <v>46021</v>
      </c>
      <c r="D5938" s="7" t="s">
        <v>209</v>
      </c>
      <c r="E5938" s="7" t="s">
        <v>158</v>
      </c>
      <c r="H5938" s="41" t="n">
        <v>73.58</v>
      </c>
      <c r="M5938" s="6" t="n">
        <v>2</v>
      </c>
      <c r="N5938" s="43" t="n">
        <f aca="false">M5938*H5938</f>
        <v>147.16</v>
      </c>
      <c r="O5938" s="42" t="n">
        <f aca="false">N5938</f>
        <v>147.16</v>
      </c>
    </row>
    <row r="5939" customFormat="false" ht="15" hidden="false" customHeight="false" outlineLevel="0" collapsed="false">
      <c r="B5939" s="7" t="s">
        <v>14572</v>
      </c>
      <c r="C5939" s="39" t="n">
        <v>46021</v>
      </c>
      <c r="D5939" s="7" t="s">
        <v>184</v>
      </c>
      <c r="E5939" s="7" t="s">
        <v>180</v>
      </c>
      <c r="F5939" s="6" t="n">
        <v>3.7</v>
      </c>
      <c r="G5939" s="6" t="n">
        <v>0</v>
      </c>
      <c r="H5939" s="41" t="n">
        <v>17.34</v>
      </c>
      <c r="I5939" s="43" t="n">
        <f aca="false">F5939*H5939</f>
        <v>64.158</v>
      </c>
      <c r="J5939" s="43" t="n">
        <f aca="false">G5939*H5939*1.5</f>
        <v>0</v>
      </c>
      <c r="K5939" s="6" t="n">
        <v>12.33</v>
      </c>
      <c r="L5939" s="43" t="n">
        <f aca="false">K5939*'Chart of Accounts'!$E$68</f>
        <v>8.2611</v>
      </c>
      <c r="O5939" s="42" t="n">
        <f aca="false">I5939+J5939+L5939</f>
        <v>72.4191</v>
      </c>
    </row>
    <row r="5940" customFormat="false" ht="15" hidden="false" customHeight="false" outlineLevel="0" collapsed="false">
      <c r="B5940" s="7" t="s">
        <v>14573</v>
      </c>
      <c r="C5940" s="39" t="n">
        <v>46021</v>
      </c>
      <c r="D5940" s="7" t="s">
        <v>234</v>
      </c>
      <c r="E5940" s="7" t="s">
        <v>158</v>
      </c>
      <c r="H5940" s="41" t="n">
        <v>89.53</v>
      </c>
      <c r="M5940" s="6" t="n">
        <v>2</v>
      </c>
      <c r="N5940" s="43" t="n">
        <f aca="false">M5940*H5940</f>
        <v>179.06</v>
      </c>
      <c r="O5940" s="42" t="n">
        <f aca="false">N5940</f>
        <v>179.06</v>
      </c>
    </row>
    <row r="5941" customFormat="false" ht="15" hidden="false" customHeight="false" outlineLevel="0" collapsed="false">
      <c r="B5941" s="7" t="s">
        <v>14574</v>
      </c>
      <c r="C5941" s="39" t="n">
        <v>46021</v>
      </c>
      <c r="D5941" s="7" t="s">
        <v>218</v>
      </c>
      <c r="E5941" s="7" t="s">
        <v>180</v>
      </c>
      <c r="F5941" s="6" t="n">
        <v>4</v>
      </c>
      <c r="G5941" s="6" t="n">
        <v>0</v>
      </c>
      <c r="H5941" s="41" t="n">
        <v>16.19</v>
      </c>
      <c r="I5941" s="43" t="n">
        <f aca="false">F5941*H5941</f>
        <v>64.76</v>
      </c>
      <c r="J5941" s="43" t="n">
        <f aca="false">G5941*H5941*1.5</f>
        <v>0</v>
      </c>
      <c r="K5941" s="6" t="n">
        <v>10.73</v>
      </c>
      <c r="L5941" s="43" t="n">
        <f aca="false">K5941*'Chart of Accounts'!$E$68</f>
        <v>7.1891</v>
      </c>
      <c r="O5941" s="42" t="n">
        <f aca="false">I5941+J5941+L5941</f>
        <v>71.9491</v>
      </c>
    </row>
    <row r="5942" customFormat="false" ht="15" hidden="false" customHeight="false" outlineLevel="0" collapsed="false">
      <c r="B5942" s="7" t="s">
        <v>14575</v>
      </c>
      <c r="C5942" s="39" t="n">
        <v>46021</v>
      </c>
      <c r="D5942" s="7" t="s">
        <v>187</v>
      </c>
      <c r="E5942" s="7" t="s">
        <v>158</v>
      </c>
      <c r="H5942" s="41" t="n">
        <v>66.48</v>
      </c>
      <c r="M5942" s="6" t="n">
        <v>1</v>
      </c>
      <c r="N5942" s="43" t="n">
        <f aca="false">M5942*H5942</f>
        <v>66.48</v>
      </c>
      <c r="O5942" s="42" t="n">
        <f aca="false">N5942</f>
        <v>66.48</v>
      </c>
    </row>
    <row r="5943" customFormat="false" ht="15" hidden="false" customHeight="false" outlineLevel="0" collapsed="false">
      <c r="B5943" s="7" t="s">
        <v>14576</v>
      </c>
      <c r="C5943" s="39" t="n">
        <v>46021</v>
      </c>
      <c r="D5943" s="7" t="s">
        <v>228</v>
      </c>
      <c r="E5943" s="7" t="s">
        <v>158</v>
      </c>
      <c r="H5943" s="41" t="n">
        <v>51.07</v>
      </c>
      <c r="M5943" s="6" t="n">
        <v>1</v>
      </c>
      <c r="N5943" s="43" t="n">
        <f aca="false">M5943*H5943</f>
        <v>51.07</v>
      </c>
      <c r="O5943" s="42" t="n">
        <f aca="false">N5943</f>
        <v>51.07</v>
      </c>
    </row>
    <row r="5944" customFormat="false" ht="15" hidden="false" customHeight="false" outlineLevel="0" collapsed="false">
      <c r="B5944" s="7" t="s">
        <v>14577</v>
      </c>
      <c r="C5944" s="39" t="n">
        <v>46021</v>
      </c>
      <c r="D5944" s="7" t="s">
        <v>230</v>
      </c>
      <c r="E5944" s="7" t="s">
        <v>158</v>
      </c>
      <c r="H5944" s="41" t="n">
        <v>48.78</v>
      </c>
      <c r="M5944" s="6" t="n">
        <v>2</v>
      </c>
      <c r="N5944" s="43" t="n">
        <f aca="false">M5944*H5944</f>
        <v>97.56</v>
      </c>
      <c r="O5944" s="42" t="n">
        <f aca="false">N5944</f>
        <v>97.56</v>
      </c>
    </row>
    <row r="5945" customFormat="false" ht="15" hidden="false" customHeight="false" outlineLevel="0" collapsed="false">
      <c r="B5945" s="7" t="s">
        <v>14578</v>
      </c>
      <c r="C5945" s="39" t="n">
        <v>46021</v>
      </c>
      <c r="D5945" s="7" t="s">
        <v>244</v>
      </c>
      <c r="E5945" s="7" t="s">
        <v>180</v>
      </c>
      <c r="F5945" s="6" t="n">
        <v>8.17</v>
      </c>
      <c r="G5945" s="6" t="n">
        <v>0</v>
      </c>
      <c r="H5945" s="41" t="n">
        <v>16.39</v>
      </c>
      <c r="I5945" s="43" t="n">
        <f aca="false">F5945*H5945</f>
        <v>133.9063</v>
      </c>
      <c r="J5945" s="43" t="n">
        <f aca="false">G5945*H5945*1.5</f>
        <v>0</v>
      </c>
      <c r="K5945" s="6" t="n">
        <v>26.64</v>
      </c>
      <c r="L5945" s="43" t="n">
        <f aca="false">K5945*'Chart of Accounts'!$E$68</f>
        <v>17.8488</v>
      </c>
      <c r="O5945" s="42" t="n">
        <f aca="false">I5945+J5945+L5945</f>
        <v>151.7551</v>
      </c>
    </row>
    <row r="5946" customFormat="false" ht="15" hidden="false" customHeight="false" outlineLevel="0" collapsed="false">
      <c r="B5946" s="7" t="s">
        <v>14579</v>
      </c>
      <c r="C5946" s="39" t="n">
        <v>46021</v>
      </c>
      <c r="D5946" s="7" t="s">
        <v>194</v>
      </c>
      <c r="E5946" s="7" t="s">
        <v>180</v>
      </c>
      <c r="F5946" s="6" t="n">
        <v>4.14</v>
      </c>
      <c r="G5946" s="6" t="n">
        <v>0</v>
      </c>
      <c r="H5946" s="41" t="n">
        <v>16</v>
      </c>
      <c r="I5946" s="43" t="n">
        <f aca="false">F5946*H5946</f>
        <v>66.24</v>
      </c>
      <c r="J5946" s="43" t="n">
        <f aca="false">G5946*H5946*1.5</f>
        <v>0</v>
      </c>
      <c r="K5946" s="6" t="n">
        <v>12.83</v>
      </c>
      <c r="L5946" s="43" t="n">
        <f aca="false">K5946*'Chart of Accounts'!$E$68</f>
        <v>8.5961</v>
      </c>
      <c r="O5946" s="42" t="n">
        <f aca="false">I5946+J5946+L5946</f>
        <v>74.8361</v>
      </c>
    </row>
    <row r="5947" customFormat="false" ht="15" hidden="false" customHeight="false" outlineLevel="0" collapsed="false">
      <c r="B5947" s="7" t="s">
        <v>14580</v>
      </c>
      <c r="C5947" s="39" t="n">
        <v>46021</v>
      </c>
      <c r="D5947" s="7" t="s">
        <v>258</v>
      </c>
      <c r="E5947" s="7" t="s">
        <v>158</v>
      </c>
      <c r="H5947" s="41" t="n">
        <v>61.61</v>
      </c>
      <c r="M5947" s="6" t="n">
        <v>1</v>
      </c>
      <c r="N5947" s="43" t="n">
        <f aca="false">M5947*H5947</f>
        <v>61.61</v>
      </c>
      <c r="O5947" s="42" t="n">
        <f aca="false">N5947</f>
        <v>61.61</v>
      </c>
    </row>
    <row r="5948" customFormat="false" ht="15" hidden="false" customHeight="false" outlineLevel="0" collapsed="false">
      <c r="B5948" s="7" t="s">
        <v>14581</v>
      </c>
      <c r="C5948" s="39" t="n">
        <v>46021</v>
      </c>
      <c r="D5948" s="7" t="s">
        <v>196</v>
      </c>
      <c r="E5948" s="7" t="s">
        <v>180</v>
      </c>
      <c r="F5948" s="6" t="n">
        <v>3.8</v>
      </c>
      <c r="G5948" s="6" t="n">
        <v>0</v>
      </c>
      <c r="H5948" s="41" t="n">
        <v>15.05</v>
      </c>
      <c r="I5948" s="43" t="n">
        <f aca="false">F5948*H5948</f>
        <v>57.19</v>
      </c>
      <c r="J5948" s="43" t="n">
        <f aca="false">G5948*H5948*1.5</f>
        <v>0</v>
      </c>
      <c r="K5948" s="6" t="n">
        <v>9.34</v>
      </c>
      <c r="L5948" s="43" t="n">
        <f aca="false">K5948*'Chart of Accounts'!$E$68</f>
        <v>6.2578</v>
      </c>
      <c r="O5948" s="42" t="n">
        <f aca="false">I5948+J5948+L5948</f>
        <v>63.4478</v>
      </c>
    </row>
    <row r="5949" customFormat="false" ht="15" hidden="false" customHeight="false" outlineLevel="0" collapsed="false">
      <c r="B5949" s="7" t="s">
        <v>14582</v>
      </c>
      <c r="C5949" s="39" t="n">
        <v>46021</v>
      </c>
      <c r="D5949" s="7" t="s">
        <v>246</v>
      </c>
      <c r="E5949" s="7" t="s">
        <v>180</v>
      </c>
      <c r="F5949" s="6" t="n">
        <v>3.99</v>
      </c>
      <c r="G5949" s="6" t="n">
        <v>0</v>
      </c>
      <c r="H5949" s="41" t="n">
        <v>16.48</v>
      </c>
      <c r="I5949" s="43" t="n">
        <f aca="false">F5949*H5949</f>
        <v>65.7552</v>
      </c>
      <c r="J5949" s="43" t="n">
        <f aca="false">G5949*H5949*1.5</f>
        <v>0</v>
      </c>
      <c r="K5949" s="6" t="n">
        <v>8.96</v>
      </c>
      <c r="L5949" s="43" t="n">
        <f aca="false">K5949*'Chart of Accounts'!$E$68</f>
        <v>6.0032</v>
      </c>
      <c r="O5949" s="42" t="n">
        <f aca="false">I5949+J5949+L5949</f>
        <v>71.7584</v>
      </c>
    </row>
    <row r="5950" customFormat="false" ht="15" hidden="false" customHeight="false" outlineLevel="0" collapsed="false">
      <c r="B5950" s="7" t="s">
        <v>14583</v>
      </c>
      <c r="C5950" s="39" t="n">
        <v>46021</v>
      </c>
      <c r="D5950" s="7" t="s">
        <v>222</v>
      </c>
      <c r="E5950" s="7" t="s">
        <v>180</v>
      </c>
      <c r="F5950" s="6" t="n">
        <v>4.24</v>
      </c>
      <c r="G5950" s="6" t="n">
        <v>0</v>
      </c>
      <c r="H5950" s="41" t="n">
        <v>17.84</v>
      </c>
      <c r="I5950" s="43" t="n">
        <f aca="false">F5950*H5950</f>
        <v>75.6416</v>
      </c>
      <c r="J5950" s="43" t="n">
        <f aca="false">G5950*H5950*1.5</f>
        <v>0</v>
      </c>
      <c r="K5950" s="6" t="n">
        <v>13.84</v>
      </c>
      <c r="L5950" s="43" t="n">
        <f aca="false">K5950*'Chart of Accounts'!$E$68</f>
        <v>9.2728</v>
      </c>
      <c r="O5950" s="42" t="n">
        <f aca="false">I5950+J5950+L5950</f>
        <v>84.9144</v>
      </c>
    </row>
    <row r="5951" customFormat="false" ht="15" hidden="false" customHeight="false" outlineLevel="0" collapsed="false">
      <c r="B5951" s="7" t="s">
        <v>14584</v>
      </c>
      <c r="C5951" s="39" t="n">
        <v>46021</v>
      </c>
      <c r="D5951" s="7" t="s">
        <v>242</v>
      </c>
      <c r="E5951" s="7" t="s">
        <v>180</v>
      </c>
      <c r="F5951" s="6" t="n">
        <v>3.64</v>
      </c>
      <c r="G5951" s="6" t="n">
        <v>0</v>
      </c>
      <c r="H5951" s="41" t="n">
        <v>17.99</v>
      </c>
      <c r="I5951" s="43" t="n">
        <f aca="false">F5951*H5951</f>
        <v>65.4836</v>
      </c>
      <c r="J5951" s="43" t="n">
        <f aca="false">G5951*H5951*1.5</f>
        <v>0</v>
      </c>
      <c r="K5951" s="6" t="n">
        <v>8.16</v>
      </c>
      <c r="L5951" s="43" t="n">
        <f aca="false">K5951*'Chart of Accounts'!$E$68</f>
        <v>5.4672</v>
      </c>
      <c r="O5951" s="42" t="n">
        <f aca="false">I5951+J5951+L5951</f>
        <v>70.9508</v>
      </c>
    </row>
    <row r="5952" customFormat="false" ht="15" hidden="false" customHeight="false" outlineLevel="0" collapsed="false">
      <c r="B5952" s="7" t="s">
        <v>14585</v>
      </c>
      <c r="C5952" s="39" t="n">
        <v>46021</v>
      </c>
      <c r="D5952" s="7" t="s">
        <v>203</v>
      </c>
      <c r="E5952" s="7" t="s">
        <v>158</v>
      </c>
      <c r="H5952" s="41" t="n">
        <v>49.43</v>
      </c>
      <c r="M5952" s="6" t="n">
        <v>1</v>
      </c>
      <c r="N5952" s="43" t="n">
        <f aca="false">M5952*H5952</f>
        <v>49.43</v>
      </c>
      <c r="O5952" s="42" t="n">
        <f aca="false">N5952</f>
        <v>49.43</v>
      </c>
    </row>
    <row r="5953" customFormat="false" ht="15" hidden="false" customHeight="false" outlineLevel="0" collapsed="false">
      <c r="B5953" s="7" t="s">
        <v>14586</v>
      </c>
      <c r="C5953" s="39" t="n">
        <v>46021</v>
      </c>
      <c r="D5953" s="7" t="s">
        <v>254</v>
      </c>
      <c r="E5953" s="7" t="s">
        <v>180</v>
      </c>
      <c r="F5953" s="6" t="n">
        <v>4.37</v>
      </c>
      <c r="G5953" s="6" t="n">
        <v>0</v>
      </c>
      <c r="H5953" s="41" t="n">
        <v>17.1</v>
      </c>
      <c r="I5953" s="43" t="n">
        <f aca="false">F5953*H5953</f>
        <v>74.727</v>
      </c>
      <c r="J5953" s="43" t="n">
        <f aca="false">G5953*H5953*1.5</f>
        <v>0</v>
      </c>
      <c r="K5953" s="6" t="n">
        <v>12.08</v>
      </c>
      <c r="L5953" s="43" t="n">
        <f aca="false">K5953*'Chart of Accounts'!$E$68</f>
        <v>8.0936</v>
      </c>
      <c r="O5953" s="42" t="n">
        <f aca="false">I5953+J5953+L5953</f>
        <v>82.8206</v>
      </c>
    </row>
    <row r="5954" customFormat="false" ht="15" hidden="false" customHeight="false" outlineLevel="0" collapsed="false">
      <c r="B5954" s="7" t="s">
        <v>14587</v>
      </c>
      <c r="C5954" s="39" t="n">
        <v>46021</v>
      </c>
      <c r="D5954" s="7" t="s">
        <v>260</v>
      </c>
      <c r="E5954" s="7" t="s">
        <v>158</v>
      </c>
      <c r="H5954" s="41" t="n">
        <v>79.8</v>
      </c>
      <c r="M5954" s="6" t="n">
        <v>1</v>
      </c>
      <c r="N5954" s="43" t="n">
        <f aca="false">M5954*H5954</f>
        <v>79.8</v>
      </c>
      <c r="O5954" s="42" t="n">
        <f aca="false">N5954</f>
        <v>79.8</v>
      </c>
    </row>
    <row r="5955" customFormat="false" ht="15" hidden="false" customHeight="false" outlineLevel="0" collapsed="false">
      <c r="B5955" s="7" t="s">
        <v>14588</v>
      </c>
      <c r="C5955" s="39" t="n">
        <v>46022</v>
      </c>
      <c r="D5955" s="7" t="s">
        <v>258</v>
      </c>
      <c r="E5955" s="7" t="s">
        <v>158</v>
      </c>
      <c r="H5955" s="41" t="n">
        <v>61.61</v>
      </c>
      <c r="M5955" s="6" t="n">
        <v>1</v>
      </c>
      <c r="N5955" s="43" t="n">
        <f aca="false">M5955*H5955</f>
        <v>61.61</v>
      </c>
      <c r="O5955" s="42" t="n">
        <f aca="false">N5955</f>
        <v>61.61</v>
      </c>
    </row>
    <row r="5956" customFormat="false" ht="15" hidden="false" customHeight="false" outlineLevel="0" collapsed="false">
      <c r="B5956" s="7" t="s">
        <v>14589</v>
      </c>
      <c r="C5956" s="39" t="n">
        <v>46022</v>
      </c>
      <c r="D5956" s="7" t="s">
        <v>250</v>
      </c>
      <c r="E5956" s="7" t="s">
        <v>180</v>
      </c>
      <c r="F5956" s="6" t="n">
        <v>4.29</v>
      </c>
      <c r="G5956" s="6" t="n">
        <v>0</v>
      </c>
      <c r="H5956" s="41" t="n">
        <v>16.88</v>
      </c>
      <c r="I5956" s="43" t="n">
        <f aca="false">F5956*H5956</f>
        <v>72.4152</v>
      </c>
      <c r="J5956" s="43" t="n">
        <f aca="false">G5956*H5956*1.5</f>
        <v>0</v>
      </c>
      <c r="K5956" s="6" t="n">
        <v>12.61</v>
      </c>
      <c r="L5956" s="43" t="n">
        <f aca="false">K5956*'Chart of Accounts'!$E$68</f>
        <v>8.4487</v>
      </c>
      <c r="O5956" s="42" t="n">
        <f aca="false">I5956+J5956+L5956</f>
        <v>80.8639</v>
      </c>
    </row>
    <row r="5957" customFormat="false" ht="15" hidden="false" customHeight="false" outlineLevel="0" collapsed="false">
      <c r="B5957" s="7" t="s">
        <v>14590</v>
      </c>
      <c r="C5957" s="39" t="n">
        <v>46022</v>
      </c>
      <c r="D5957" s="7" t="s">
        <v>194</v>
      </c>
      <c r="E5957" s="7" t="s">
        <v>180</v>
      </c>
      <c r="F5957" s="6" t="n">
        <v>8.44</v>
      </c>
      <c r="G5957" s="6" t="n">
        <v>0</v>
      </c>
      <c r="H5957" s="41" t="n">
        <v>16</v>
      </c>
      <c r="I5957" s="43" t="n">
        <f aca="false">F5957*H5957</f>
        <v>135.04</v>
      </c>
      <c r="J5957" s="43" t="n">
        <f aca="false">G5957*H5957*1.5</f>
        <v>0</v>
      </c>
      <c r="K5957" s="6" t="n">
        <v>22.52</v>
      </c>
      <c r="L5957" s="43" t="n">
        <f aca="false">K5957*'Chart of Accounts'!$E$68</f>
        <v>15.0884</v>
      </c>
      <c r="O5957" s="42" t="n">
        <f aca="false">I5957+J5957+L5957</f>
        <v>150.1284</v>
      </c>
    </row>
    <row r="5958" customFormat="false" ht="15" hidden="false" customHeight="false" outlineLevel="0" collapsed="false">
      <c r="B5958" s="7" t="s">
        <v>14591</v>
      </c>
      <c r="C5958" s="39" t="n">
        <v>46022</v>
      </c>
      <c r="D5958" s="7" t="s">
        <v>214</v>
      </c>
      <c r="E5958" s="7" t="s">
        <v>180</v>
      </c>
      <c r="F5958" s="6" t="n">
        <v>7.77</v>
      </c>
      <c r="G5958" s="6" t="n">
        <v>0</v>
      </c>
      <c r="H5958" s="41" t="n">
        <v>15.67</v>
      </c>
      <c r="I5958" s="43" t="n">
        <f aca="false">F5958*H5958</f>
        <v>121.7559</v>
      </c>
      <c r="J5958" s="43" t="n">
        <f aca="false">G5958*H5958*1.5</f>
        <v>0</v>
      </c>
      <c r="K5958" s="6" t="n">
        <v>25.32</v>
      </c>
      <c r="L5958" s="43" t="n">
        <f aca="false">K5958*'Chart of Accounts'!$E$68</f>
        <v>16.9644</v>
      </c>
      <c r="O5958" s="42" t="n">
        <f aca="false">I5958+J5958+L5958</f>
        <v>138.7203</v>
      </c>
    </row>
    <row r="5959" customFormat="false" ht="15" hidden="false" customHeight="false" outlineLevel="0" collapsed="false">
      <c r="B5959" s="7" t="s">
        <v>14592</v>
      </c>
      <c r="C5959" s="39" t="n">
        <v>46022</v>
      </c>
      <c r="D5959" s="7" t="s">
        <v>205</v>
      </c>
      <c r="E5959" s="7" t="s">
        <v>180</v>
      </c>
      <c r="F5959" s="6" t="n">
        <v>11.73</v>
      </c>
      <c r="G5959" s="6" t="n">
        <v>0</v>
      </c>
      <c r="H5959" s="41" t="n">
        <v>16.36</v>
      </c>
      <c r="I5959" s="43" t="n">
        <f aca="false">F5959*H5959</f>
        <v>191.9028</v>
      </c>
      <c r="J5959" s="43" t="n">
        <f aca="false">G5959*H5959*1.5</f>
        <v>0</v>
      </c>
      <c r="K5959" s="6" t="n">
        <v>26.8</v>
      </c>
      <c r="L5959" s="43" t="n">
        <f aca="false">K5959*'Chart of Accounts'!$E$68</f>
        <v>17.956</v>
      </c>
      <c r="O5959" s="42" t="n">
        <f aca="false">I5959+J5959+L5959</f>
        <v>209.8588</v>
      </c>
    </row>
    <row r="5960" customFormat="false" ht="15" hidden="false" customHeight="false" outlineLevel="0" collapsed="false">
      <c r="B5960" s="7" t="s">
        <v>14593</v>
      </c>
      <c r="C5960" s="39" t="n">
        <v>46022</v>
      </c>
      <c r="D5960" s="7" t="s">
        <v>264</v>
      </c>
      <c r="E5960" s="7" t="s">
        <v>158</v>
      </c>
      <c r="H5960" s="41" t="n">
        <v>55.55</v>
      </c>
      <c r="M5960" s="6" t="n">
        <v>1</v>
      </c>
      <c r="N5960" s="43" t="n">
        <f aca="false">M5960*H5960</f>
        <v>55.55</v>
      </c>
      <c r="O5960" s="42" t="n">
        <f aca="false">N5960</f>
        <v>55.55</v>
      </c>
    </row>
    <row r="5961" customFormat="false" ht="15" hidden="false" customHeight="false" outlineLevel="0" collapsed="false">
      <c r="B5961" s="7" t="s">
        <v>14594</v>
      </c>
      <c r="C5961" s="39" t="n">
        <v>46022</v>
      </c>
      <c r="D5961" s="7" t="s">
        <v>252</v>
      </c>
      <c r="E5961" s="7" t="s">
        <v>158</v>
      </c>
      <c r="H5961" s="41" t="n">
        <v>57.54</v>
      </c>
      <c r="M5961" s="6" t="n">
        <v>1</v>
      </c>
      <c r="N5961" s="43" t="n">
        <f aca="false">M5961*H5961</f>
        <v>57.54</v>
      </c>
      <c r="O5961" s="42" t="n">
        <f aca="false">N5961</f>
        <v>57.54</v>
      </c>
    </row>
    <row r="5962" customFormat="false" ht="15" hidden="false" customHeight="false" outlineLevel="0" collapsed="false">
      <c r="B5962" s="7" t="s">
        <v>14595</v>
      </c>
      <c r="C5962" s="39" t="n">
        <v>46022</v>
      </c>
      <c r="D5962" s="7" t="s">
        <v>184</v>
      </c>
      <c r="E5962" s="7" t="s">
        <v>180</v>
      </c>
      <c r="F5962" s="6" t="n">
        <v>8.1</v>
      </c>
      <c r="G5962" s="6" t="n">
        <v>0</v>
      </c>
      <c r="H5962" s="41" t="n">
        <v>17.34</v>
      </c>
      <c r="I5962" s="43" t="n">
        <f aca="false">F5962*H5962</f>
        <v>140.454</v>
      </c>
      <c r="J5962" s="43" t="n">
        <f aca="false">G5962*H5962*1.5</f>
        <v>0</v>
      </c>
      <c r="K5962" s="6" t="n">
        <v>18.79</v>
      </c>
      <c r="L5962" s="43" t="n">
        <f aca="false">K5962*'Chart of Accounts'!$E$68</f>
        <v>12.5893</v>
      </c>
      <c r="O5962" s="42" t="n">
        <f aca="false">I5962+J5962+L5962</f>
        <v>153.0433</v>
      </c>
    </row>
    <row r="5963" customFormat="false" ht="15" hidden="false" customHeight="false" outlineLevel="0" collapsed="false">
      <c r="B5963" s="7" t="s">
        <v>14596</v>
      </c>
      <c r="C5963" s="39" t="n">
        <v>46022</v>
      </c>
      <c r="D5963" s="7" t="s">
        <v>216</v>
      </c>
      <c r="E5963" s="7" t="s">
        <v>158</v>
      </c>
      <c r="H5963" s="41" t="n">
        <v>61.79</v>
      </c>
      <c r="M5963" s="6" t="n">
        <v>1</v>
      </c>
      <c r="N5963" s="43" t="n">
        <f aca="false">M5963*H5963</f>
        <v>61.79</v>
      </c>
      <c r="O5963" s="42" t="n">
        <f aca="false">N5963</f>
        <v>61.79</v>
      </c>
    </row>
    <row r="5964" customFormat="false" ht="15" hidden="false" customHeight="false" outlineLevel="0" collapsed="false">
      <c r="B5964" s="7" t="s">
        <v>14597</v>
      </c>
      <c r="C5964" s="39" t="n">
        <v>46022</v>
      </c>
      <c r="D5964" s="7" t="s">
        <v>218</v>
      </c>
      <c r="E5964" s="7" t="s">
        <v>180</v>
      </c>
      <c r="F5964" s="6" t="n">
        <v>3.89</v>
      </c>
      <c r="G5964" s="6" t="n">
        <v>0</v>
      </c>
      <c r="H5964" s="41" t="n">
        <v>16.19</v>
      </c>
      <c r="I5964" s="43" t="n">
        <f aca="false">F5964*H5964</f>
        <v>62.9791</v>
      </c>
      <c r="J5964" s="43" t="n">
        <f aca="false">G5964*H5964*1.5</f>
        <v>0</v>
      </c>
      <c r="K5964" s="6" t="n">
        <v>13.17</v>
      </c>
      <c r="L5964" s="43" t="n">
        <f aca="false">K5964*'Chart of Accounts'!$E$68</f>
        <v>8.8239</v>
      </c>
      <c r="O5964" s="42" t="n">
        <f aca="false">I5964+J5964+L5964</f>
        <v>71.803</v>
      </c>
    </row>
    <row r="5965" customFormat="false" ht="15" hidden="false" customHeight="false" outlineLevel="0" collapsed="false">
      <c r="B5965" s="7" t="s">
        <v>14598</v>
      </c>
      <c r="C5965" s="39" t="n">
        <v>46022</v>
      </c>
      <c r="D5965" s="7" t="s">
        <v>220</v>
      </c>
      <c r="E5965" s="7" t="s">
        <v>180</v>
      </c>
      <c r="F5965" s="6" t="n">
        <v>4.05</v>
      </c>
      <c r="G5965" s="6" t="n">
        <v>0</v>
      </c>
      <c r="H5965" s="41" t="n">
        <v>16.43</v>
      </c>
      <c r="I5965" s="43" t="n">
        <f aca="false">F5965*H5965</f>
        <v>66.5415</v>
      </c>
      <c r="J5965" s="43" t="n">
        <f aca="false">G5965*H5965*1.5</f>
        <v>0</v>
      </c>
      <c r="K5965" s="6" t="n">
        <v>12.88</v>
      </c>
      <c r="L5965" s="43" t="n">
        <f aca="false">K5965*'Chart of Accounts'!$E$68</f>
        <v>8.6296</v>
      </c>
      <c r="O5965" s="42" t="n">
        <f aca="false">I5965+J5965+L5965</f>
        <v>75.1711</v>
      </c>
    </row>
    <row r="5966" customFormat="false" ht="15" hidden="false" customHeight="false" outlineLevel="0" collapsed="false">
      <c r="B5966" s="7" t="s">
        <v>14599</v>
      </c>
      <c r="C5966" s="39" t="n">
        <v>46022</v>
      </c>
      <c r="D5966" s="7" t="s">
        <v>236</v>
      </c>
      <c r="E5966" s="7" t="s">
        <v>180</v>
      </c>
      <c r="F5966" s="6" t="n">
        <v>3.34</v>
      </c>
      <c r="G5966" s="6" t="n">
        <v>0</v>
      </c>
      <c r="H5966" s="41" t="n">
        <v>15.49</v>
      </c>
      <c r="I5966" s="43" t="n">
        <f aca="false">F5966*H5966</f>
        <v>51.7366</v>
      </c>
      <c r="J5966" s="43" t="n">
        <f aca="false">G5966*H5966*1.5</f>
        <v>0</v>
      </c>
      <c r="K5966" s="6" t="n">
        <v>10.53</v>
      </c>
      <c r="L5966" s="43" t="n">
        <f aca="false">K5966*'Chart of Accounts'!$E$68</f>
        <v>7.0551</v>
      </c>
      <c r="O5966" s="42" t="n">
        <f aca="false">I5966+J5966+L5966</f>
        <v>58.7917</v>
      </c>
    </row>
    <row r="5967" customFormat="false" ht="15" hidden="false" customHeight="false" outlineLevel="0" collapsed="false">
      <c r="B5967" s="7" t="s">
        <v>14600</v>
      </c>
      <c r="C5967" s="39" t="n">
        <v>46022</v>
      </c>
      <c r="D5967" s="7" t="s">
        <v>177</v>
      </c>
      <c r="E5967" s="7" t="s">
        <v>180</v>
      </c>
      <c r="F5967" s="6" t="n">
        <v>8.97</v>
      </c>
      <c r="G5967" s="6" t="n">
        <v>0</v>
      </c>
      <c r="H5967" s="41" t="n">
        <v>14.56</v>
      </c>
      <c r="I5967" s="43" t="n">
        <f aca="false">F5967*H5967</f>
        <v>130.6032</v>
      </c>
      <c r="J5967" s="43" t="n">
        <f aca="false">G5967*H5967*1.5</f>
        <v>0</v>
      </c>
      <c r="K5967" s="6" t="n">
        <v>21.24</v>
      </c>
      <c r="L5967" s="43" t="n">
        <f aca="false">K5967*'Chart of Accounts'!$E$68</f>
        <v>14.2308</v>
      </c>
      <c r="O5967" s="42" t="n">
        <f aca="false">I5967+J5967+L5967</f>
        <v>144.834</v>
      </c>
    </row>
    <row r="5968" customFormat="false" ht="15" hidden="false" customHeight="false" outlineLevel="0" collapsed="false">
      <c r="B5968" s="7" t="s">
        <v>14601</v>
      </c>
      <c r="C5968" s="39" t="n">
        <v>46022</v>
      </c>
      <c r="D5968" s="7" t="s">
        <v>242</v>
      </c>
      <c r="E5968" s="7" t="s">
        <v>180</v>
      </c>
      <c r="F5968" s="6" t="n">
        <v>7.64</v>
      </c>
      <c r="G5968" s="6" t="n">
        <v>0</v>
      </c>
      <c r="H5968" s="41" t="n">
        <v>17.99</v>
      </c>
      <c r="I5968" s="43" t="n">
        <f aca="false">F5968*H5968</f>
        <v>137.4436</v>
      </c>
      <c r="J5968" s="43" t="n">
        <f aca="false">G5968*H5968*1.5</f>
        <v>0</v>
      </c>
      <c r="K5968" s="6" t="n">
        <v>18.52</v>
      </c>
      <c r="L5968" s="43" t="n">
        <f aca="false">K5968*'Chart of Accounts'!$E$68</f>
        <v>12.4084</v>
      </c>
      <c r="O5968" s="42" t="n">
        <f aca="false">I5968+J5968+L5968</f>
        <v>149.852</v>
      </c>
    </row>
    <row r="5969" customFormat="false" ht="15" hidden="false" customHeight="false" outlineLevel="0" collapsed="false">
      <c r="B5969" s="7" t="s">
        <v>14602</v>
      </c>
      <c r="C5969" s="39" t="n">
        <v>46022</v>
      </c>
      <c r="D5969" s="7" t="s">
        <v>244</v>
      </c>
      <c r="E5969" s="7" t="s">
        <v>180</v>
      </c>
      <c r="F5969" s="6" t="n">
        <v>4.17</v>
      </c>
      <c r="G5969" s="6" t="n">
        <v>0</v>
      </c>
      <c r="H5969" s="41" t="n">
        <v>16.39</v>
      </c>
      <c r="I5969" s="43" t="n">
        <f aca="false">F5969*H5969</f>
        <v>68.3463</v>
      </c>
      <c r="J5969" s="43" t="n">
        <f aca="false">G5969*H5969*1.5</f>
        <v>0</v>
      </c>
      <c r="K5969" s="6" t="n">
        <v>10.24</v>
      </c>
      <c r="L5969" s="43" t="n">
        <f aca="false">K5969*'Chart of Accounts'!$E$68</f>
        <v>6.8608</v>
      </c>
      <c r="O5969" s="42" t="n">
        <f aca="false">I5969+J5969+L5969</f>
        <v>75.2071</v>
      </c>
    </row>
    <row r="5970" customFormat="false" ht="15" hidden="false" customHeight="false" outlineLevel="0" collapsed="false">
      <c r="B5970" s="7" t="s">
        <v>14603</v>
      </c>
      <c r="C5970" s="39" t="n">
        <v>46022</v>
      </c>
      <c r="D5970" s="7" t="s">
        <v>254</v>
      </c>
      <c r="E5970" s="7" t="s">
        <v>180</v>
      </c>
      <c r="F5970" s="6" t="n">
        <v>7.09</v>
      </c>
      <c r="G5970" s="6" t="n">
        <v>0</v>
      </c>
      <c r="H5970" s="41" t="n">
        <v>17.1</v>
      </c>
      <c r="I5970" s="43" t="n">
        <f aca="false">F5970*H5970</f>
        <v>121.239</v>
      </c>
      <c r="J5970" s="43" t="n">
        <f aca="false">G5970*H5970*1.5</f>
        <v>0</v>
      </c>
      <c r="K5970" s="6" t="n">
        <v>24.36</v>
      </c>
      <c r="L5970" s="43" t="n">
        <f aca="false">K5970*'Chart of Accounts'!$E$68</f>
        <v>16.3212</v>
      </c>
      <c r="O5970" s="42" t="n">
        <f aca="false">I5970+J5970+L5970</f>
        <v>137.5602</v>
      </c>
    </row>
    <row r="5971" customFormat="false" ht="15" hidden="false" customHeight="false" outlineLevel="0" collapsed="false">
      <c r="B5971" s="7" t="s">
        <v>14604</v>
      </c>
      <c r="C5971" s="39" t="n">
        <v>46022</v>
      </c>
      <c r="D5971" s="7" t="s">
        <v>201</v>
      </c>
      <c r="E5971" s="7" t="s">
        <v>180</v>
      </c>
      <c r="F5971" s="6" t="n">
        <v>3.63</v>
      </c>
      <c r="G5971" s="6" t="n">
        <v>0</v>
      </c>
      <c r="H5971" s="41" t="n">
        <v>15.19</v>
      </c>
      <c r="I5971" s="43" t="n">
        <f aca="false">F5971*H5971</f>
        <v>55.1397</v>
      </c>
      <c r="J5971" s="43" t="n">
        <f aca="false">G5971*H5971*1.5</f>
        <v>0</v>
      </c>
      <c r="K5971" s="6" t="n">
        <v>10.01</v>
      </c>
      <c r="L5971" s="43" t="n">
        <f aca="false">K5971*'Chart of Accounts'!$E$68</f>
        <v>6.7067</v>
      </c>
      <c r="O5971" s="42" t="n">
        <f aca="false">I5971+J5971+L5971</f>
        <v>61.8464</v>
      </c>
    </row>
    <row r="5972" customFormat="false" ht="15" hidden="false" customHeight="false" outlineLevel="0" collapsed="false">
      <c r="B5972" s="7" t="s">
        <v>14605</v>
      </c>
      <c r="C5972" s="39" t="n">
        <v>46022</v>
      </c>
      <c r="D5972" s="7" t="s">
        <v>232</v>
      </c>
      <c r="E5972" s="7" t="s">
        <v>180</v>
      </c>
      <c r="F5972" s="6" t="n">
        <v>8.26</v>
      </c>
      <c r="G5972" s="6" t="n">
        <v>0</v>
      </c>
      <c r="H5972" s="41" t="n">
        <v>16.17</v>
      </c>
      <c r="I5972" s="43" t="n">
        <f aca="false">F5972*H5972</f>
        <v>133.5642</v>
      </c>
      <c r="J5972" s="43" t="n">
        <f aca="false">G5972*H5972*1.5</f>
        <v>0</v>
      </c>
      <c r="K5972" s="6" t="n">
        <v>19.27</v>
      </c>
      <c r="L5972" s="43" t="n">
        <f aca="false">K5972*'Chart of Accounts'!$E$68</f>
        <v>12.9109</v>
      </c>
      <c r="O5972" s="42" t="n">
        <f aca="false">I5972+J5972+L5972</f>
        <v>146.4751</v>
      </c>
    </row>
    <row r="5973" customFormat="false" ht="15" hidden="false" customHeight="false" outlineLevel="0" collapsed="false">
      <c r="B5973" s="7" t="s">
        <v>14606</v>
      </c>
      <c r="C5973" s="39" t="n">
        <v>46022</v>
      </c>
      <c r="D5973" s="7" t="s">
        <v>224</v>
      </c>
      <c r="E5973" s="7" t="s">
        <v>180</v>
      </c>
      <c r="F5973" s="6" t="n">
        <v>4.99</v>
      </c>
      <c r="G5973" s="6" t="n">
        <v>0</v>
      </c>
      <c r="H5973" s="41" t="n">
        <v>14.93</v>
      </c>
      <c r="I5973" s="43" t="n">
        <f aca="false">F5973*H5973</f>
        <v>74.5007</v>
      </c>
      <c r="J5973" s="43" t="n">
        <f aca="false">G5973*H5973*1.5</f>
        <v>0</v>
      </c>
      <c r="K5973" s="6" t="n">
        <v>12.5</v>
      </c>
      <c r="L5973" s="43" t="n">
        <f aca="false">K5973*'Chart of Accounts'!$E$68</f>
        <v>8.375</v>
      </c>
      <c r="O5973" s="42" t="n">
        <f aca="false">I5973+J5973+L5973</f>
        <v>82.8757</v>
      </c>
    </row>
    <row r="5974" customFormat="false" ht="15" hidden="false" customHeight="false" outlineLevel="0" collapsed="false">
      <c r="B5974" s="7" t="s">
        <v>14607</v>
      </c>
      <c r="C5974" s="39" t="n">
        <v>46022</v>
      </c>
      <c r="D5974" s="7" t="s">
        <v>238</v>
      </c>
      <c r="E5974" s="7" t="s">
        <v>180</v>
      </c>
      <c r="F5974" s="6" t="n">
        <v>3.92</v>
      </c>
      <c r="G5974" s="6" t="n">
        <v>0</v>
      </c>
      <c r="H5974" s="41" t="n">
        <v>15.85</v>
      </c>
      <c r="I5974" s="43" t="n">
        <f aca="false">F5974*H5974</f>
        <v>62.132</v>
      </c>
      <c r="J5974" s="43" t="n">
        <f aca="false">G5974*H5974*1.5</f>
        <v>0</v>
      </c>
      <c r="K5974" s="6" t="n">
        <v>9.23</v>
      </c>
      <c r="L5974" s="43" t="n">
        <f aca="false">K5974*'Chart of Accounts'!$E$68</f>
        <v>6.1841</v>
      </c>
      <c r="O5974" s="42" t="n">
        <f aca="false">I5974+J5974+L5974</f>
        <v>68.3161</v>
      </c>
    </row>
    <row r="5975" customFormat="false" ht="15" hidden="false" customHeight="false" outlineLevel="0" collapsed="false">
      <c r="B5975" s="7" t="s">
        <v>14608</v>
      </c>
      <c r="C5975" s="39" t="n">
        <v>46022</v>
      </c>
      <c r="D5975" s="7" t="s">
        <v>196</v>
      </c>
      <c r="E5975" s="7" t="s">
        <v>180</v>
      </c>
      <c r="F5975" s="6" t="n">
        <v>4.37</v>
      </c>
      <c r="G5975" s="6" t="n">
        <v>0</v>
      </c>
      <c r="H5975" s="41" t="n">
        <v>15.05</v>
      </c>
      <c r="I5975" s="43" t="n">
        <f aca="false">F5975*H5975</f>
        <v>65.7685</v>
      </c>
      <c r="J5975" s="43" t="n">
        <f aca="false">G5975*H5975*1.5</f>
        <v>0</v>
      </c>
      <c r="K5975" s="6" t="n">
        <v>10.76</v>
      </c>
      <c r="L5975" s="43" t="n">
        <f aca="false">K5975*'Chart of Accounts'!$E$68</f>
        <v>7.2092</v>
      </c>
      <c r="O5975" s="42" t="n">
        <f aca="false">I5975+J5975+L5975</f>
        <v>72.9777</v>
      </c>
    </row>
    <row r="5976" customFormat="false" ht="15" hidden="false" customHeight="false" outlineLevel="0" collapsed="false">
      <c r="B5976" s="7" t="s">
        <v>14609</v>
      </c>
      <c r="C5976" s="39" t="n">
        <v>46022</v>
      </c>
      <c r="D5976" s="7" t="s">
        <v>246</v>
      </c>
      <c r="E5976" s="7" t="s">
        <v>180</v>
      </c>
      <c r="F5976" s="6" t="n">
        <v>4.33</v>
      </c>
      <c r="G5976" s="6" t="n">
        <v>0</v>
      </c>
      <c r="H5976" s="41" t="n">
        <v>16.48</v>
      </c>
      <c r="I5976" s="43" t="n">
        <f aca="false">F5976*H5976</f>
        <v>71.3584</v>
      </c>
      <c r="J5976" s="43" t="n">
        <f aca="false">G5976*H5976*1.5</f>
        <v>0</v>
      </c>
      <c r="K5976" s="6" t="n">
        <v>12.32</v>
      </c>
      <c r="L5976" s="43" t="n">
        <f aca="false">K5976*'Chart of Accounts'!$E$68</f>
        <v>8.2544</v>
      </c>
      <c r="O5976" s="42" t="n">
        <f aca="false">I5976+J5976+L5976</f>
        <v>79.6128</v>
      </c>
    </row>
    <row r="5977" customFormat="false" ht="15" hidden="false" customHeight="false" outlineLevel="0" collapsed="false">
      <c r="B5977" s="7" t="s">
        <v>14610</v>
      </c>
      <c r="C5977" s="39" t="n">
        <v>46022</v>
      </c>
      <c r="D5977" s="7" t="s">
        <v>222</v>
      </c>
      <c r="E5977" s="7" t="s">
        <v>180</v>
      </c>
      <c r="F5977" s="6" t="n">
        <v>4.15</v>
      </c>
      <c r="G5977" s="6" t="n">
        <v>0</v>
      </c>
      <c r="H5977" s="41" t="n">
        <v>17.84</v>
      </c>
      <c r="I5977" s="43" t="n">
        <f aca="false">F5977*H5977</f>
        <v>74.036</v>
      </c>
      <c r="J5977" s="43" t="n">
        <f aca="false">G5977*H5977*1.5</f>
        <v>0</v>
      </c>
      <c r="K5977" s="6" t="n">
        <v>11.24</v>
      </c>
      <c r="L5977" s="43" t="n">
        <f aca="false">K5977*'Chart of Accounts'!$E$68</f>
        <v>7.5308</v>
      </c>
      <c r="O5977" s="42" t="n">
        <f aca="false">I5977+J5977+L5977</f>
        <v>81.5668</v>
      </c>
    </row>
    <row r="5978" customFormat="false" ht="15" hidden="false" customHeight="false" outlineLevel="0" collapsed="false">
      <c r="B5978" s="7" t="s">
        <v>14611</v>
      </c>
      <c r="C5978" s="39" t="n">
        <v>46022</v>
      </c>
      <c r="D5978" s="7" t="s">
        <v>203</v>
      </c>
      <c r="E5978" s="7" t="s">
        <v>158</v>
      </c>
      <c r="H5978" s="41" t="n">
        <v>49.43</v>
      </c>
      <c r="M5978" s="6" t="n">
        <v>1</v>
      </c>
      <c r="N5978" s="43" t="n">
        <f aca="false">M5978*H5978</f>
        <v>49.43</v>
      </c>
      <c r="O5978" s="42" t="n">
        <f aca="false">N5978</f>
        <v>49.43</v>
      </c>
    </row>
    <row r="5980" customFormat="false" ht="15" hidden="false" customHeight="false" outlineLevel="0" collapsed="false">
      <c r="B5980" s="36" t="s">
        <v>14612</v>
      </c>
      <c r="O5980" s="37" t="n">
        <f aca="false">SUM(O6:O5978)</f>
        <v>566921.182145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703C"/>
    <pageSetUpPr fitToPage="false"/>
  </sheetPr>
  <dimension ref="B2:G2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5" min="5" style="0" width="38"/>
    <col collapsed="false" customWidth="true" hidden="false" outlineLevel="0" max="6" min="6" style="0" width="12"/>
    <col collapsed="false" customWidth="true" hidden="false" outlineLevel="0" max="7" min="7" style="0" width="14"/>
  </cols>
  <sheetData>
    <row r="2" customFormat="false" ht="17.35" hidden="false" customHeight="false" outlineLevel="0" collapsed="false">
      <c r="B2" s="1" t="s">
        <v>21</v>
      </c>
    </row>
    <row r="3" customFormat="false" ht="15" hidden="false" customHeight="false" outlineLevel="0" collapsed="false">
      <c r="B3" s="2" t="s">
        <v>14613</v>
      </c>
    </row>
    <row r="5" customFormat="false" ht="15" hidden="false" customHeight="false" outlineLevel="0" collapsed="false">
      <c r="B5" s="11" t="s">
        <v>484</v>
      </c>
      <c r="C5" s="11" t="s">
        <v>273</v>
      </c>
      <c r="D5" s="11" t="s">
        <v>149</v>
      </c>
      <c r="E5" s="11" t="s">
        <v>14614</v>
      </c>
      <c r="F5" s="11" t="s">
        <v>14615</v>
      </c>
      <c r="G5" s="11" t="s">
        <v>14616</v>
      </c>
    </row>
    <row r="6" customFormat="false" ht="15" hidden="false" customHeight="false" outlineLevel="0" collapsed="false">
      <c r="B6" s="24" t="n">
        <v>45658</v>
      </c>
      <c r="C6" s="13" t="s">
        <v>371</v>
      </c>
      <c r="D6" s="13" t="s">
        <v>154</v>
      </c>
      <c r="E6" s="13" t="s">
        <v>14617</v>
      </c>
      <c r="F6" s="25" t="n">
        <v>4.56</v>
      </c>
      <c r="G6" s="32" t="n">
        <v>120.84</v>
      </c>
    </row>
    <row r="7" customFormat="false" ht="15" hidden="false" customHeight="false" outlineLevel="0" collapsed="false">
      <c r="B7" s="24" t="n">
        <v>45672</v>
      </c>
      <c r="C7" s="13" t="s">
        <v>389</v>
      </c>
      <c r="D7" s="13" t="s">
        <v>154</v>
      </c>
      <c r="E7" s="13" t="s">
        <v>14617</v>
      </c>
      <c r="F7" s="25" t="n">
        <v>4.01</v>
      </c>
      <c r="G7" s="32" t="n">
        <v>106.27</v>
      </c>
    </row>
    <row r="8" customFormat="false" ht="15" hidden="false" customHeight="false" outlineLevel="0" collapsed="false">
      <c r="B8" s="24" t="n">
        <v>45681</v>
      </c>
      <c r="C8" s="13" t="s">
        <v>329</v>
      </c>
      <c r="D8" s="13" t="s">
        <v>156</v>
      </c>
      <c r="E8" s="13" t="s">
        <v>14618</v>
      </c>
      <c r="F8" s="25" t="n">
        <v>4.3</v>
      </c>
      <c r="G8" s="32" t="n">
        <v>146.2</v>
      </c>
    </row>
    <row r="9" customFormat="false" ht="15" hidden="false" customHeight="false" outlineLevel="0" collapsed="false">
      <c r="B9" s="24" t="n">
        <v>45687</v>
      </c>
      <c r="C9" s="13" t="s">
        <v>329</v>
      </c>
      <c r="D9" s="13" t="s">
        <v>156</v>
      </c>
      <c r="E9" s="13" t="s">
        <v>14619</v>
      </c>
      <c r="F9" s="25" t="n">
        <v>4.28</v>
      </c>
      <c r="G9" s="32" t="n">
        <v>145.52</v>
      </c>
    </row>
    <row r="10" customFormat="false" ht="15" hidden="false" customHeight="false" outlineLevel="0" collapsed="false">
      <c r="B10" s="24" t="n">
        <v>45690</v>
      </c>
      <c r="C10" s="13" t="s">
        <v>391</v>
      </c>
      <c r="D10" s="13" t="s">
        <v>156</v>
      </c>
      <c r="E10" s="13" t="s">
        <v>14617</v>
      </c>
      <c r="F10" s="25" t="n">
        <v>3.94</v>
      </c>
      <c r="G10" s="32" t="n">
        <v>133.96</v>
      </c>
    </row>
    <row r="11" customFormat="false" ht="15" hidden="false" customHeight="false" outlineLevel="0" collapsed="false">
      <c r="B11" s="24" t="n">
        <v>45691</v>
      </c>
      <c r="C11" s="13" t="s">
        <v>313</v>
      </c>
      <c r="D11" s="13" t="s">
        <v>156</v>
      </c>
      <c r="E11" s="13" t="s">
        <v>14617</v>
      </c>
      <c r="F11" s="25" t="n">
        <v>4.17</v>
      </c>
      <c r="G11" s="32" t="n">
        <v>141.78</v>
      </c>
    </row>
    <row r="12" customFormat="false" ht="15" hidden="false" customHeight="false" outlineLevel="0" collapsed="false">
      <c r="B12" s="24" t="n">
        <v>45694</v>
      </c>
      <c r="C12" s="13" t="s">
        <v>288</v>
      </c>
      <c r="D12" s="13" t="s">
        <v>156</v>
      </c>
      <c r="E12" s="13" t="s">
        <v>14617</v>
      </c>
      <c r="F12" s="25" t="n">
        <v>4.16</v>
      </c>
      <c r="G12" s="32" t="n">
        <v>141.44</v>
      </c>
    </row>
    <row r="13" customFormat="false" ht="15" hidden="false" customHeight="false" outlineLevel="0" collapsed="false">
      <c r="B13" s="24" t="n">
        <v>45694</v>
      </c>
      <c r="C13" s="13" t="s">
        <v>311</v>
      </c>
      <c r="D13" s="13" t="s">
        <v>154</v>
      </c>
      <c r="E13" s="13" t="s">
        <v>14617</v>
      </c>
      <c r="F13" s="25" t="n">
        <v>2.97</v>
      </c>
      <c r="G13" s="32" t="n">
        <v>78.7</v>
      </c>
    </row>
    <row r="14" customFormat="false" ht="15" hidden="false" customHeight="false" outlineLevel="0" collapsed="false">
      <c r="B14" s="24" t="n">
        <v>45695</v>
      </c>
      <c r="C14" s="13" t="s">
        <v>309</v>
      </c>
      <c r="D14" s="13" t="s">
        <v>159</v>
      </c>
      <c r="E14" s="13" t="s">
        <v>14619</v>
      </c>
      <c r="F14" s="25" t="n">
        <v>1.05</v>
      </c>
      <c r="G14" s="32" t="n">
        <v>141.75</v>
      </c>
    </row>
    <row r="15" customFormat="false" ht="15" hidden="false" customHeight="false" outlineLevel="0" collapsed="false">
      <c r="B15" s="24" t="n">
        <v>45695</v>
      </c>
      <c r="C15" s="13" t="s">
        <v>361</v>
      </c>
      <c r="D15" s="13" t="s">
        <v>157</v>
      </c>
      <c r="E15" s="13" t="s">
        <v>14617</v>
      </c>
      <c r="F15" s="25" t="n">
        <v>0.93</v>
      </c>
      <c r="G15" s="32" t="n">
        <v>153.45</v>
      </c>
    </row>
    <row r="16" customFormat="false" ht="15" hidden="false" customHeight="false" outlineLevel="0" collapsed="false">
      <c r="B16" s="24" t="n">
        <v>45697</v>
      </c>
      <c r="C16" s="13" t="s">
        <v>359</v>
      </c>
      <c r="D16" s="13" t="s">
        <v>156</v>
      </c>
      <c r="E16" s="13" t="s">
        <v>14619</v>
      </c>
      <c r="F16" s="25" t="n">
        <v>4.04</v>
      </c>
      <c r="G16" s="32" t="n">
        <v>137.36</v>
      </c>
    </row>
    <row r="17" customFormat="false" ht="15" hidden="false" customHeight="false" outlineLevel="0" collapsed="false">
      <c r="B17" s="24" t="n">
        <v>45698</v>
      </c>
      <c r="C17" s="13" t="s">
        <v>288</v>
      </c>
      <c r="D17" s="13" t="s">
        <v>156</v>
      </c>
      <c r="E17" s="13" t="s">
        <v>14618</v>
      </c>
      <c r="F17" s="25" t="n">
        <v>4.35</v>
      </c>
      <c r="G17" s="32" t="n">
        <v>147.9</v>
      </c>
    </row>
    <row r="18" customFormat="false" ht="15" hidden="false" customHeight="false" outlineLevel="0" collapsed="false">
      <c r="B18" s="24" t="n">
        <v>45698</v>
      </c>
      <c r="C18" s="13" t="s">
        <v>297</v>
      </c>
      <c r="D18" s="13" t="s">
        <v>156</v>
      </c>
      <c r="E18" s="13" t="s">
        <v>14618</v>
      </c>
      <c r="F18" s="25" t="n">
        <v>3.27</v>
      </c>
      <c r="G18" s="32" t="n">
        <v>111.18</v>
      </c>
    </row>
    <row r="19" customFormat="false" ht="15" hidden="false" customHeight="false" outlineLevel="0" collapsed="false">
      <c r="B19" s="24" t="n">
        <v>45699</v>
      </c>
      <c r="C19" s="13" t="s">
        <v>359</v>
      </c>
      <c r="D19" s="13" t="s">
        <v>156</v>
      </c>
      <c r="E19" s="13" t="s">
        <v>14617</v>
      </c>
      <c r="F19" s="25" t="n">
        <v>4.03</v>
      </c>
      <c r="G19" s="32" t="n">
        <v>137.02</v>
      </c>
    </row>
    <row r="20" customFormat="false" ht="15" hidden="false" customHeight="false" outlineLevel="0" collapsed="false">
      <c r="B20" s="24" t="n">
        <v>45704</v>
      </c>
      <c r="C20" s="13" t="s">
        <v>288</v>
      </c>
      <c r="D20" s="13" t="s">
        <v>156</v>
      </c>
      <c r="E20" s="13" t="s">
        <v>14617</v>
      </c>
      <c r="F20" s="25" t="n">
        <v>4.32</v>
      </c>
      <c r="G20" s="32" t="n">
        <v>146.88</v>
      </c>
    </row>
    <row r="21" customFormat="false" ht="15" hidden="false" customHeight="false" outlineLevel="0" collapsed="false">
      <c r="B21" s="24" t="n">
        <v>45705</v>
      </c>
      <c r="C21" s="13" t="s">
        <v>363</v>
      </c>
      <c r="D21" s="13" t="s">
        <v>156</v>
      </c>
      <c r="E21" s="13" t="s">
        <v>14618</v>
      </c>
      <c r="F21" s="25" t="n">
        <v>4.07</v>
      </c>
      <c r="G21" s="32" t="n">
        <v>138.38</v>
      </c>
    </row>
    <row r="22" customFormat="false" ht="15" hidden="false" customHeight="false" outlineLevel="0" collapsed="false">
      <c r="B22" s="24" t="n">
        <v>45707</v>
      </c>
      <c r="C22" s="13" t="s">
        <v>321</v>
      </c>
      <c r="D22" s="13" t="s">
        <v>154</v>
      </c>
      <c r="E22" s="13" t="s">
        <v>14618</v>
      </c>
      <c r="F22" s="25" t="n">
        <v>3.61</v>
      </c>
      <c r="G22" s="32" t="n">
        <v>95.66</v>
      </c>
    </row>
    <row r="23" customFormat="false" ht="15" hidden="false" customHeight="false" outlineLevel="0" collapsed="false">
      <c r="B23" s="24" t="n">
        <v>45714</v>
      </c>
      <c r="C23" s="13" t="s">
        <v>411</v>
      </c>
      <c r="D23" s="13" t="s">
        <v>154</v>
      </c>
      <c r="E23" s="13" t="s">
        <v>14618</v>
      </c>
      <c r="F23" s="25" t="n">
        <v>4.32</v>
      </c>
      <c r="G23" s="32" t="n">
        <v>114.48</v>
      </c>
    </row>
    <row r="24" customFormat="false" ht="15" hidden="false" customHeight="false" outlineLevel="0" collapsed="false">
      <c r="B24" s="24" t="n">
        <v>45716</v>
      </c>
      <c r="C24" s="13" t="s">
        <v>321</v>
      </c>
      <c r="D24" s="13" t="s">
        <v>154</v>
      </c>
      <c r="E24" s="13" t="s">
        <v>14619</v>
      </c>
      <c r="F24" s="25" t="n">
        <v>3.89</v>
      </c>
      <c r="G24" s="32" t="n">
        <v>103.09</v>
      </c>
    </row>
    <row r="25" customFormat="false" ht="15" hidden="false" customHeight="false" outlineLevel="0" collapsed="false">
      <c r="B25" s="24" t="n">
        <v>45716</v>
      </c>
      <c r="C25" s="13" t="s">
        <v>411</v>
      </c>
      <c r="D25" s="13" t="s">
        <v>154</v>
      </c>
      <c r="E25" s="13" t="s">
        <v>14619</v>
      </c>
      <c r="F25" s="25" t="n">
        <v>4.98</v>
      </c>
      <c r="G25" s="32" t="n">
        <v>131.97</v>
      </c>
    </row>
    <row r="26" customFormat="false" ht="15" hidden="false" customHeight="false" outlineLevel="0" collapsed="false">
      <c r="B26" s="24" t="n">
        <v>45718</v>
      </c>
      <c r="C26" s="13" t="s">
        <v>401</v>
      </c>
      <c r="D26" s="13" t="s">
        <v>156</v>
      </c>
      <c r="E26" s="13" t="s">
        <v>14618</v>
      </c>
      <c r="F26" s="25" t="n">
        <v>3.71</v>
      </c>
      <c r="G26" s="32" t="n">
        <v>126.14</v>
      </c>
    </row>
    <row r="27" customFormat="false" ht="15" hidden="false" customHeight="false" outlineLevel="0" collapsed="false">
      <c r="B27" s="24" t="n">
        <v>45719</v>
      </c>
      <c r="C27" s="13" t="s">
        <v>337</v>
      </c>
      <c r="D27" s="13" t="s">
        <v>154</v>
      </c>
      <c r="E27" s="13" t="s">
        <v>14618</v>
      </c>
      <c r="F27" s="25" t="n">
        <v>2.77</v>
      </c>
      <c r="G27" s="32" t="n">
        <v>73.41</v>
      </c>
    </row>
    <row r="28" customFormat="false" ht="15" hidden="false" customHeight="false" outlineLevel="0" collapsed="false">
      <c r="B28" s="24" t="n">
        <v>45719</v>
      </c>
      <c r="C28" s="13" t="s">
        <v>411</v>
      </c>
      <c r="D28" s="13" t="s">
        <v>154</v>
      </c>
      <c r="E28" s="13" t="s">
        <v>14618</v>
      </c>
      <c r="F28" s="25" t="n">
        <v>4.66</v>
      </c>
      <c r="G28" s="32" t="n">
        <v>123.49</v>
      </c>
    </row>
    <row r="29" customFormat="false" ht="15" hidden="false" customHeight="false" outlineLevel="0" collapsed="false">
      <c r="B29" s="24" t="n">
        <v>45725</v>
      </c>
      <c r="C29" s="13" t="s">
        <v>391</v>
      </c>
      <c r="D29" s="13" t="s">
        <v>156</v>
      </c>
      <c r="E29" s="13" t="s">
        <v>14619</v>
      </c>
      <c r="F29" s="25" t="n">
        <v>3.95</v>
      </c>
      <c r="G29" s="32" t="n">
        <v>134.3</v>
      </c>
    </row>
    <row r="30" customFormat="false" ht="15" hidden="false" customHeight="false" outlineLevel="0" collapsed="false">
      <c r="B30" s="24" t="n">
        <v>45726</v>
      </c>
      <c r="C30" s="13" t="s">
        <v>399</v>
      </c>
      <c r="D30" s="13" t="s">
        <v>154</v>
      </c>
      <c r="E30" s="13" t="s">
        <v>14618</v>
      </c>
      <c r="F30" s="25" t="n">
        <v>3.24</v>
      </c>
      <c r="G30" s="32" t="n">
        <v>85.86</v>
      </c>
    </row>
    <row r="31" customFormat="false" ht="15" hidden="false" customHeight="false" outlineLevel="0" collapsed="false">
      <c r="B31" s="24" t="n">
        <v>45727</v>
      </c>
      <c r="C31" s="13" t="s">
        <v>359</v>
      </c>
      <c r="D31" s="13" t="s">
        <v>156</v>
      </c>
      <c r="E31" s="13" t="s">
        <v>14619</v>
      </c>
      <c r="F31" s="25" t="n">
        <v>4.17</v>
      </c>
      <c r="G31" s="32" t="n">
        <v>141.78</v>
      </c>
    </row>
    <row r="32" customFormat="false" ht="15" hidden="false" customHeight="false" outlineLevel="0" collapsed="false">
      <c r="B32" s="24" t="n">
        <v>45734</v>
      </c>
      <c r="C32" s="13" t="s">
        <v>313</v>
      </c>
      <c r="D32" s="13" t="s">
        <v>156</v>
      </c>
      <c r="E32" s="13" t="s">
        <v>14617</v>
      </c>
      <c r="F32" s="25" t="n">
        <v>4.37</v>
      </c>
      <c r="G32" s="32" t="n">
        <v>148.58</v>
      </c>
    </row>
    <row r="33" customFormat="false" ht="15" hidden="false" customHeight="false" outlineLevel="0" collapsed="false">
      <c r="B33" s="24" t="n">
        <v>45737</v>
      </c>
      <c r="C33" s="13" t="s">
        <v>280</v>
      </c>
      <c r="D33" s="13" t="s">
        <v>157</v>
      </c>
      <c r="E33" s="13" t="s">
        <v>14617</v>
      </c>
      <c r="F33" s="25" t="n">
        <v>1.05</v>
      </c>
      <c r="G33" s="32" t="n">
        <v>173.25</v>
      </c>
    </row>
    <row r="34" customFormat="false" ht="15" hidden="false" customHeight="false" outlineLevel="0" collapsed="false">
      <c r="B34" s="24" t="n">
        <v>45740</v>
      </c>
      <c r="C34" s="13" t="s">
        <v>305</v>
      </c>
      <c r="D34" s="13" t="s">
        <v>154</v>
      </c>
      <c r="E34" s="13" t="s">
        <v>14618</v>
      </c>
      <c r="F34" s="25" t="n">
        <v>4.37</v>
      </c>
      <c r="G34" s="32" t="n">
        <v>115.81</v>
      </c>
    </row>
    <row r="35" customFormat="false" ht="15" hidden="false" customHeight="false" outlineLevel="0" collapsed="false">
      <c r="B35" s="24" t="n">
        <v>45740</v>
      </c>
      <c r="C35" s="13" t="s">
        <v>329</v>
      </c>
      <c r="D35" s="13" t="s">
        <v>156</v>
      </c>
      <c r="E35" s="13" t="s">
        <v>14618</v>
      </c>
      <c r="F35" s="25" t="n">
        <v>3.66</v>
      </c>
      <c r="G35" s="32" t="n">
        <v>124.44</v>
      </c>
    </row>
    <row r="36" customFormat="false" ht="15" hidden="false" customHeight="false" outlineLevel="0" collapsed="false">
      <c r="B36" s="24" t="n">
        <v>45740</v>
      </c>
      <c r="C36" s="13" t="s">
        <v>391</v>
      </c>
      <c r="D36" s="13" t="s">
        <v>156</v>
      </c>
      <c r="E36" s="13" t="s">
        <v>14617</v>
      </c>
      <c r="F36" s="25" t="n">
        <v>4.03</v>
      </c>
      <c r="G36" s="32" t="n">
        <v>137.02</v>
      </c>
    </row>
    <row r="37" customFormat="false" ht="15" hidden="false" customHeight="false" outlineLevel="0" collapsed="false">
      <c r="B37" s="24" t="n">
        <v>45742</v>
      </c>
      <c r="C37" s="13" t="s">
        <v>280</v>
      </c>
      <c r="D37" s="13" t="s">
        <v>157</v>
      </c>
      <c r="E37" s="13" t="s">
        <v>14617</v>
      </c>
      <c r="F37" s="25" t="n">
        <v>1.07</v>
      </c>
      <c r="G37" s="32" t="n">
        <v>176.55</v>
      </c>
    </row>
    <row r="38" customFormat="false" ht="15" hidden="false" customHeight="false" outlineLevel="0" collapsed="false">
      <c r="B38" s="24" t="n">
        <v>45742</v>
      </c>
      <c r="C38" s="13" t="s">
        <v>329</v>
      </c>
      <c r="D38" s="13" t="s">
        <v>156</v>
      </c>
      <c r="E38" s="13" t="s">
        <v>14619</v>
      </c>
      <c r="F38" s="25" t="n">
        <v>3.61</v>
      </c>
      <c r="G38" s="32" t="n">
        <v>122.74</v>
      </c>
    </row>
    <row r="39" customFormat="false" ht="15" hidden="false" customHeight="false" outlineLevel="0" collapsed="false">
      <c r="B39" s="24" t="n">
        <v>45742</v>
      </c>
      <c r="C39" s="13" t="s">
        <v>353</v>
      </c>
      <c r="D39" s="13" t="s">
        <v>154</v>
      </c>
      <c r="E39" s="13" t="s">
        <v>14619</v>
      </c>
      <c r="F39" s="25" t="n">
        <v>3.13</v>
      </c>
      <c r="G39" s="32" t="n">
        <v>82.94</v>
      </c>
    </row>
    <row r="40" customFormat="false" ht="15" hidden="false" customHeight="false" outlineLevel="0" collapsed="false">
      <c r="B40" s="24" t="n">
        <v>45744</v>
      </c>
      <c r="C40" s="13" t="s">
        <v>319</v>
      </c>
      <c r="D40" s="13" t="s">
        <v>157</v>
      </c>
      <c r="E40" s="13" t="s">
        <v>14618</v>
      </c>
      <c r="F40" s="25" t="n">
        <v>1</v>
      </c>
      <c r="G40" s="32" t="n">
        <v>165</v>
      </c>
    </row>
    <row r="41" customFormat="false" ht="15" hidden="false" customHeight="false" outlineLevel="0" collapsed="false">
      <c r="B41" s="24" t="n">
        <v>45744</v>
      </c>
      <c r="C41" s="13" t="s">
        <v>389</v>
      </c>
      <c r="D41" s="13" t="s">
        <v>154</v>
      </c>
      <c r="E41" s="13" t="s">
        <v>14619</v>
      </c>
      <c r="F41" s="25" t="n">
        <v>3.99</v>
      </c>
      <c r="G41" s="32" t="n">
        <v>105.73</v>
      </c>
    </row>
    <row r="42" customFormat="false" ht="15" hidden="false" customHeight="false" outlineLevel="0" collapsed="false">
      <c r="B42" s="24" t="n">
        <v>45747</v>
      </c>
      <c r="C42" s="13" t="s">
        <v>389</v>
      </c>
      <c r="D42" s="13" t="s">
        <v>154</v>
      </c>
      <c r="E42" s="13" t="s">
        <v>14618</v>
      </c>
      <c r="F42" s="25" t="n">
        <v>4.16</v>
      </c>
      <c r="G42" s="32" t="n">
        <v>110.24</v>
      </c>
    </row>
    <row r="43" customFormat="false" ht="15" hidden="false" customHeight="false" outlineLevel="0" collapsed="false">
      <c r="B43" s="24" t="n">
        <v>45751</v>
      </c>
      <c r="C43" s="13" t="s">
        <v>301</v>
      </c>
      <c r="D43" s="13" t="s">
        <v>157</v>
      </c>
      <c r="E43" s="13" t="s">
        <v>14617</v>
      </c>
      <c r="F43" s="25" t="n">
        <v>0.91</v>
      </c>
      <c r="G43" s="32" t="n">
        <v>150.15</v>
      </c>
    </row>
    <row r="44" customFormat="false" ht="15" hidden="false" customHeight="false" outlineLevel="0" collapsed="false">
      <c r="B44" s="24" t="n">
        <v>45753</v>
      </c>
      <c r="C44" s="13" t="s">
        <v>321</v>
      </c>
      <c r="D44" s="13" t="s">
        <v>154</v>
      </c>
      <c r="E44" s="13" t="s">
        <v>14619</v>
      </c>
      <c r="F44" s="25" t="n">
        <v>3.84</v>
      </c>
      <c r="G44" s="32" t="n">
        <v>101.76</v>
      </c>
    </row>
    <row r="45" customFormat="false" ht="15" hidden="false" customHeight="false" outlineLevel="0" collapsed="false">
      <c r="B45" s="24" t="n">
        <v>45763</v>
      </c>
      <c r="C45" s="13" t="s">
        <v>395</v>
      </c>
      <c r="D45" s="13" t="s">
        <v>156</v>
      </c>
      <c r="E45" s="13" t="s">
        <v>14619</v>
      </c>
      <c r="F45" s="25" t="n">
        <v>3.7</v>
      </c>
      <c r="G45" s="32" t="n">
        <v>125.8</v>
      </c>
    </row>
    <row r="46" customFormat="false" ht="15" hidden="false" customHeight="false" outlineLevel="0" collapsed="false">
      <c r="B46" s="24" t="n">
        <v>45764</v>
      </c>
      <c r="C46" s="13" t="s">
        <v>311</v>
      </c>
      <c r="D46" s="13" t="s">
        <v>154</v>
      </c>
      <c r="E46" s="13" t="s">
        <v>14617</v>
      </c>
      <c r="F46" s="25" t="n">
        <v>2.99</v>
      </c>
      <c r="G46" s="32" t="n">
        <v>79.23</v>
      </c>
    </row>
    <row r="47" customFormat="false" ht="15" hidden="false" customHeight="false" outlineLevel="0" collapsed="false">
      <c r="B47" s="24" t="n">
        <v>45765</v>
      </c>
      <c r="C47" s="13" t="s">
        <v>305</v>
      </c>
      <c r="D47" s="13" t="s">
        <v>154</v>
      </c>
      <c r="E47" s="13" t="s">
        <v>14617</v>
      </c>
      <c r="F47" s="25" t="n">
        <v>3.64</v>
      </c>
      <c r="G47" s="32" t="n">
        <v>96.46</v>
      </c>
    </row>
    <row r="48" customFormat="false" ht="15" hidden="false" customHeight="false" outlineLevel="0" collapsed="false">
      <c r="B48" s="24" t="n">
        <v>45770</v>
      </c>
      <c r="C48" s="13" t="s">
        <v>355</v>
      </c>
      <c r="D48" s="13" t="s">
        <v>154</v>
      </c>
      <c r="E48" s="13" t="s">
        <v>14617</v>
      </c>
      <c r="F48" s="25" t="n">
        <v>3.3</v>
      </c>
      <c r="G48" s="32" t="n">
        <v>87.45</v>
      </c>
    </row>
    <row r="49" customFormat="false" ht="15" hidden="false" customHeight="false" outlineLevel="0" collapsed="false">
      <c r="B49" s="24" t="n">
        <v>45771</v>
      </c>
      <c r="C49" s="13" t="s">
        <v>359</v>
      </c>
      <c r="D49" s="13" t="s">
        <v>156</v>
      </c>
      <c r="E49" s="13" t="s">
        <v>14618</v>
      </c>
      <c r="F49" s="25" t="n">
        <v>4.08</v>
      </c>
      <c r="G49" s="32" t="n">
        <v>138.72</v>
      </c>
    </row>
    <row r="50" customFormat="false" ht="15" hidden="false" customHeight="false" outlineLevel="0" collapsed="false">
      <c r="B50" s="24" t="n">
        <v>45775</v>
      </c>
      <c r="C50" s="13" t="s">
        <v>313</v>
      </c>
      <c r="D50" s="13" t="s">
        <v>156</v>
      </c>
      <c r="E50" s="13" t="s">
        <v>14617</v>
      </c>
      <c r="F50" s="25" t="n">
        <v>3.74</v>
      </c>
      <c r="G50" s="32" t="n">
        <v>127.16</v>
      </c>
    </row>
    <row r="51" customFormat="false" ht="15" hidden="false" customHeight="false" outlineLevel="0" collapsed="false">
      <c r="B51" s="24" t="n">
        <v>45775</v>
      </c>
      <c r="C51" s="13" t="s">
        <v>317</v>
      </c>
      <c r="D51" s="13" t="s">
        <v>156</v>
      </c>
      <c r="E51" s="13" t="s">
        <v>14618</v>
      </c>
      <c r="F51" s="25" t="n">
        <v>3.25</v>
      </c>
      <c r="G51" s="32" t="n">
        <v>110.5</v>
      </c>
    </row>
    <row r="52" customFormat="false" ht="15" hidden="false" customHeight="false" outlineLevel="0" collapsed="false">
      <c r="B52" s="24" t="n">
        <v>45775</v>
      </c>
      <c r="C52" s="13" t="s">
        <v>409</v>
      </c>
      <c r="D52" s="13" t="s">
        <v>154</v>
      </c>
      <c r="E52" s="13" t="s">
        <v>14617</v>
      </c>
      <c r="F52" s="25" t="n">
        <v>3.18</v>
      </c>
      <c r="G52" s="32" t="n">
        <v>84.27</v>
      </c>
    </row>
    <row r="53" customFormat="false" ht="15" hidden="false" customHeight="false" outlineLevel="0" collapsed="false">
      <c r="B53" s="24" t="n">
        <v>45776</v>
      </c>
      <c r="C53" s="13" t="s">
        <v>329</v>
      </c>
      <c r="D53" s="13" t="s">
        <v>156</v>
      </c>
      <c r="E53" s="13" t="s">
        <v>14617</v>
      </c>
      <c r="F53" s="25" t="n">
        <v>4.33</v>
      </c>
      <c r="G53" s="32" t="n">
        <v>147.22</v>
      </c>
    </row>
    <row r="54" customFormat="false" ht="15" hidden="false" customHeight="false" outlineLevel="0" collapsed="false">
      <c r="B54" s="24" t="n">
        <v>45779</v>
      </c>
      <c r="C54" s="13" t="s">
        <v>309</v>
      </c>
      <c r="D54" s="13" t="s">
        <v>159</v>
      </c>
      <c r="E54" s="13" t="s">
        <v>14619</v>
      </c>
      <c r="F54" s="25" t="n">
        <v>0.91</v>
      </c>
      <c r="G54" s="32" t="n">
        <v>122.85</v>
      </c>
    </row>
    <row r="55" customFormat="false" ht="15" hidden="false" customHeight="false" outlineLevel="0" collapsed="false">
      <c r="B55" s="24" t="n">
        <v>45779</v>
      </c>
      <c r="C55" s="13" t="s">
        <v>335</v>
      </c>
      <c r="D55" s="13" t="s">
        <v>154</v>
      </c>
      <c r="E55" s="13" t="s">
        <v>14618</v>
      </c>
      <c r="F55" s="25" t="n">
        <v>3.86</v>
      </c>
      <c r="G55" s="32" t="n">
        <v>102.29</v>
      </c>
    </row>
    <row r="56" customFormat="false" ht="15" hidden="false" customHeight="false" outlineLevel="0" collapsed="false">
      <c r="B56" s="24" t="n">
        <v>45782</v>
      </c>
      <c r="C56" s="13" t="s">
        <v>401</v>
      </c>
      <c r="D56" s="13" t="s">
        <v>156</v>
      </c>
      <c r="E56" s="13" t="s">
        <v>14619</v>
      </c>
      <c r="F56" s="25" t="n">
        <v>4.25</v>
      </c>
      <c r="G56" s="32" t="n">
        <v>144.5</v>
      </c>
    </row>
    <row r="57" customFormat="false" ht="15" hidden="false" customHeight="false" outlineLevel="0" collapsed="false">
      <c r="B57" s="24" t="n">
        <v>45783</v>
      </c>
      <c r="C57" s="13" t="s">
        <v>359</v>
      </c>
      <c r="D57" s="13" t="s">
        <v>156</v>
      </c>
      <c r="E57" s="13" t="s">
        <v>14617</v>
      </c>
      <c r="F57" s="25" t="n">
        <v>4.21</v>
      </c>
      <c r="G57" s="32" t="n">
        <v>143.14</v>
      </c>
    </row>
    <row r="58" customFormat="false" ht="15" hidden="false" customHeight="false" outlineLevel="0" collapsed="false">
      <c r="B58" s="24" t="n">
        <v>45783</v>
      </c>
      <c r="C58" s="13" t="s">
        <v>361</v>
      </c>
      <c r="D58" s="13" t="s">
        <v>157</v>
      </c>
      <c r="E58" s="13" t="s">
        <v>14618</v>
      </c>
      <c r="F58" s="25" t="n">
        <v>1.05</v>
      </c>
      <c r="G58" s="32" t="n">
        <v>173.25</v>
      </c>
    </row>
    <row r="59" customFormat="false" ht="15" hidden="false" customHeight="false" outlineLevel="0" collapsed="false">
      <c r="B59" s="24" t="n">
        <v>45783</v>
      </c>
      <c r="C59" s="13" t="s">
        <v>407</v>
      </c>
      <c r="D59" s="13" t="s">
        <v>159</v>
      </c>
      <c r="E59" s="13" t="s">
        <v>14618</v>
      </c>
      <c r="F59" s="25" t="n">
        <v>1.06</v>
      </c>
      <c r="G59" s="32" t="n">
        <v>143.1</v>
      </c>
    </row>
    <row r="60" customFormat="false" ht="15" hidden="false" customHeight="false" outlineLevel="0" collapsed="false">
      <c r="B60" s="24" t="n">
        <v>45786</v>
      </c>
      <c r="C60" s="13" t="s">
        <v>411</v>
      </c>
      <c r="D60" s="13" t="s">
        <v>154</v>
      </c>
      <c r="E60" s="13" t="s">
        <v>14617</v>
      </c>
      <c r="F60" s="25" t="n">
        <v>4.85</v>
      </c>
      <c r="G60" s="32" t="n">
        <v>128.52</v>
      </c>
    </row>
    <row r="61" customFormat="false" ht="15" hidden="false" customHeight="false" outlineLevel="0" collapsed="false">
      <c r="B61" s="24" t="n">
        <v>45789</v>
      </c>
      <c r="C61" s="13" t="s">
        <v>331</v>
      </c>
      <c r="D61" s="13" t="s">
        <v>156</v>
      </c>
      <c r="E61" s="13" t="s">
        <v>14617</v>
      </c>
      <c r="F61" s="25" t="n">
        <v>3.78</v>
      </c>
      <c r="G61" s="32" t="n">
        <v>128.52</v>
      </c>
    </row>
    <row r="62" customFormat="false" ht="15" hidden="false" customHeight="false" outlineLevel="0" collapsed="false">
      <c r="B62" s="24" t="n">
        <v>45790</v>
      </c>
      <c r="C62" s="13" t="s">
        <v>288</v>
      </c>
      <c r="D62" s="13" t="s">
        <v>156</v>
      </c>
      <c r="E62" s="13" t="s">
        <v>14619</v>
      </c>
      <c r="F62" s="25" t="n">
        <v>3.7</v>
      </c>
      <c r="G62" s="32" t="n">
        <v>125.8</v>
      </c>
    </row>
    <row r="63" customFormat="false" ht="15" hidden="false" customHeight="false" outlineLevel="0" collapsed="false">
      <c r="B63" s="24" t="n">
        <v>45790</v>
      </c>
      <c r="C63" s="13" t="s">
        <v>407</v>
      </c>
      <c r="D63" s="13" t="s">
        <v>159</v>
      </c>
      <c r="E63" s="13" t="s">
        <v>14618</v>
      </c>
      <c r="F63" s="25" t="n">
        <v>0.97</v>
      </c>
      <c r="G63" s="32" t="n">
        <v>130.95</v>
      </c>
    </row>
    <row r="64" customFormat="false" ht="15" hidden="false" customHeight="false" outlineLevel="0" collapsed="false">
      <c r="B64" s="24" t="n">
        <v>45791</v>
      </c>
      <c r="C64" s="13" t="s">
        <v>365</v>
      </c>
      <c r="D64" s="13" t="s">
        <v>154</v>
      </c>
      <c r="E64" s="13" t="s">
        <v>14619</v>
      </c>
      <c r="F64" s="25" t="n">
        <v>3.69</v>
      </c>
      <c r="G64" s="32" t="n">
        <v>97.78</v>
      </c>
    </row>
    <row r="65" customFormat="false" ht="15" hidden="false" customHeight="false" outlineLevel="0" collapsed="false">
      <c r="B65" s="24" t="n">
        <v>45791</v>
      </c>
      <c r="C65" s="13" t="s">
        <v>371</v>
      </c>
      <c r="D65" s="13" t="s">
        <v>154</v>
      </c>
      <c r="E65" s="13" t="s">
        <v>14618</v>
      </c>
      <c r="F65" s="25" t="n">
        <v>4.52</v>
      </c>
      <c r="G65" s="32" t="n">
        <v>119.78</v>
      </c>
    </row>
    <row r="66" customFormat="false" ht="15" hidden="false" customHeight="false" outlineLevel="0" collapsed="false">
      <c r="B66" s="24" t="n">
        <v>45795</v>
      </c>
      <c r="C66" s="13" t="s">
        <v>288</v>
      </c>
      <c r="D66" s="13" t="s">
        <v>156</v>
      </c>
      <c r="E66" s="13" t="s">
        <v>14619</v>
      </c>
      <c r="F66" s="25" t="n">
        <v>3.9</v>
      </c>
      <c r="G66" s="32" t="n">
        <v>132.6</v>
      </c>
    </row>
    <row r="67" customFormat="false" ht="15" hidden="false" customHeight="false" outlineLevel="0" collapsed="false">
      <c r="B67" s="24" t="n">
        <v>45795</v>
      </c>
      <c r="C67" s="13" t="s">
        <v>391</v>
      </c>
      <c r="D67" s="13" t="s">
        <v>156</v>
      </c>
      <c r="E67" s="13" t="s">
        <v>14619</v>
      </c>
      <c r="F67" s="25" t="n">
        <v>4.1</v>
      </c>
      <c r="G67" s="32" t="n">
        <v>139.4</v>
      </c>
    </row>
    <row r="68" customFormat="false" ht="15" hidden="false" customHeight="false" outlineLevel="0" collapsed="false">
      <c r="B68" s="24" t="n">
        <v>45798</v>
      </c>
      <c r="C68" s="13" t="s">
        <v>335</v>
      </c>
      <c r="D68" s="13" t="s">
        <v>154</v>
      </c>
      <c r="E68" s="13" t="s">
        <v>14617</v>
      </c>
      <c r="F68" s="25" t="n">
        <v>4.35</v>
      </c>
      <c r="G68" s="32" t="n">
        <v>115.27</v>
      </c>
    </row>
    <row r="69" customFormat="false" ht="15" hidden="false" customHeight="false" outlineLevel="0" collapsed="false">
      <c r="B69" s="24" t="n">
        <v>45798</v>
      </c>
      <c r="C69" s="13" t="s">
        <v>359</v>
      </c>
      <c r="D69" s="13" t="s">
        <v>156</v>
      </c>
      <c r="E69" s="13" t="s">
        <v>14617</v>
      </c>
      <c r="F69" s="25" t="n">
        <v>4.22</v>
      </c>
      <c r="G69" s="32" t="n">
        <v>143.48</v>
      </c>
    </row>
    <row r="70" customFormat="false" ht="15" hidden="false" customHeight="false" outlineLevel="0" collapsed="false">
      <c r="B70" s="24" t="n">
        <v>45798</v>
      </c>
      <c r="C70" s="13" t="s">
        <v>411</v>
      </c>
      <c r="D70" s="13" t="s">
        <v>154</v>
      </c>
      <c r="E70" s="13" t="s">
        <v>14617</v>
      </c>
      <c r="F70" s="25" t="n">
        <v>4.29</v>
      </c>
      <c r="G70" s="32" t="n">
        <v>113.69</v>
      </c>
    </row>
    <row r="71" customFormat="false" ht="15" hidden="false" customHeight="false" outlineLevel="0" collapsed="false">
      <c r="B71" s="24" t="n">
        <v>45800</v>
      </c>
      <c r="C71" s="13" t="s">
        <v>339</v>
      </c>
      <c r="D71" s="13" t="s">
        <v>154</v>
      </c>
      <c r="E71" s="13" t="s">
        <v>14618</v>
      </c>
      <c r="F71" s="25" t="n">
        <v>3.26</v>
      </c>
      <c r="G71" s="32" t="n">
        <v>86.39</v>
      </c>
    </row>
    <row r="72" customFormat="false" ht="15" hidden="false" customHeight="false" outlineLevel="0" collapsed="false">
      <c r="B72" s="24" t="n">
        <v>45803</v>
      </c>
      <c r="C72" s="13" t="s">
        <v>375</v>
      </c>
      <c r="D72" s="13" t="s">
        <v>156</v>
      </c>
      <c r="E72" s="13" t="s">
        <v>14619</v>
      </c>
      <c r="F72" s="25" t="n">
        <v>2.99</v>
      </c>
      <c r="G72" s="32" t="n">
        <v>101.66</v>
      </c>
    </row>
    <row r="73" customFormat="false" ht="15" hidden="false" customHeight="false" outlineLevel="0" collapsed="false">
      <c r="B73" s="24" t="n">
        <v>45805</v>
      </c>
      <c r="C73" s="13" t="s">
        <v>391</v>
      </c>
      <c r="D73" s="13" t="s">
        <v>156</v>
      </c>
      <c r="E73" s="13" t="s">
        <v>14619</v>
      </c>
      <c r="F73" s="25" t="n">
        <v>3.64</v>
      </c>
      <c r="G73" s="32" t="n">
        <v>123.76</v>
      </c>
    </row>
    <row r="74" customFormat="false" ht="15" hidden="false" customHeight="false" outlineLevel="0" collapsed="false">
      <c r="B74" s="24" t="n">
        <v>45806</v>
      </c>
      <c r="C74" s="13" t="s">
        <v>341</v>
      </c>
      <c r="D74" s="13" t="s">
        <v>156</v>
      </c>
      <c r="E74" s="13" t="s">
        <v>14619</v>
      </c>
      <c r="F74" s="25" t="n">
        <v>2.74</v>
      </c>
      <c r="G74" s="32" t="n">
        <v>93.16</v>
      </c>
    </row>
    <row r="75" customFormat="false" ht="15" hidden="false" customHeight="false" outlineLevel="0" collapsed="false">
      <c r="B75" s="24" t="n">
        <v>45807</v>
      </c>
      <c r="C75" s="13" t="s">
        <v>359</v>
      </c>
      <c r="D75" s="13" t="s">
        <v>156</v>
      </c>
      <c r="E75" s="13" t="s">
        <v>14617</v>
      </c>
      <c r="F75" s="25" t="n">
        <v>3.71</v>
      </c>
      <c r="G75" s="32" t="n">
        <v>126.14</v>
      </c>
    </row>
    <row r="76" customFormat="false" ht="15" hidden="false" customHeight="false" outlineLevel="0" collapsed="false">
      <c r="B76" s="24" t="n">
        <v>45807</v>
      </c>
      <c r="C76" s="13" t="s">
        <v>361</v>
      </c>
      <c r="D76" s="13" t="s">
        <v>157</v>
      </c>
      <c r="E76" s="13" t="s">
        <v>14617</v>
      </c>
      <c r="F76" s="25" t="n">
        <v>0.99</v>
      </c>
      <c r="G76" s="32" t="n">
        <v>163.35</v>
      </c>
    </row>
    <row r="77" customFormat="false" ht="15" hidden="false" customHeight="false" outlineLevel="0" collapsed="false">
      <c r="B77" s="24" t="n">
        <v>45807</v>
      </c>
      <c r="C77" s="13" t="s">
        <v>381</v>
      </c>
      <c r="D77" s="13" t="s">
        <v>157</v>
      </c>
      <c r="E77" s="13" t="s">
        <v>14618</v>
      </c>
      <c r="F77" s="25" t="n">
        <v>0.91</v>
      </c>
      <c r="G77" s="32" t="n">
        <v>150.15</v>
      </c>
    </row>
    <row r="78" customFormat="false" ht="15" hidden="false" customHeight="false" outlineLevel="0" collapsed="false">
      <c r="B78" s="24" t="n">
        <v>45814</v>
      </c>
      <c r="C78" s="13" t="s">
        <v>323</v>
      </c>
      <c r="D78" s="13" t="s">
        <v>159</v>
      </c>
      <c r="E78" s="13" t="s">
        <v>14618</v>
      </c>
      <c r="F78" s="25" t="n">
        <v>1.1</v>
      </c>
      <c r="G78" s="32" t="n">
        <v>148.5</v>
      </c>
    </row>
    <row r="79" customFormat="false" ht="15" hidden="false" customHeight="false" outlineLevel="0" collapsed="false">
      <c r="B79" s="24" t="n">
        <v>45817</v>
      </c>
      <c r="C79" s="13" t="s">
        <v>331</v>
      </c>
      <c r="D79" s="13" t="s">
        <v>156</v>
      </c>
      <c r="E79" s="13" t="s">
        <v>14617</v>
      </c>
      <c r="F79" s="25" t="n">
        <v>4.38</v>
      </c>
      <c r="G79" s="32" t="n">
        <v>148.92</v>
      </c>
    </row>
    <row r="80" customFormat="false" ht="15" hidden="false" customHeight="false" outlineLevel="0" collapsed="false">
      <c r="B80" s="24" t="n">
        <v>45821</v>
      </c>
      <c r="C80" s="13" t="s">
        <v>319</v>
      </c>
      <c r="D80" s="13" t="s">
        <v>157</v>
      </c>
      <c r="E80" s="13" t="s">
        <v>14618</v>
      </c>
      <c r="F80" s="25" t="n">
        <v>1.02</v>
      </c>
      <c r="G80" s="32" t="n">
        <v>168.3</v>
      </c>
    </row>
    <row r="81" customFormat="false" ht="15" hidden="false" customHeight="false" outlineLevel="0" collapsed="false">
      <c r="B81" s="24" t="n">
        <v>45821</v>
      </c>
      <c r="C81" s="13" t="s">
        <v>359</v>
      </c>
      <c r="D81" s="13" t="s">
        <v>156</v>
      </c>
      <c r="E81" s="13" t="s">
        <v>14618</v>
      </c>
      <c r="F81" s="25" t="n">
        <v>3.83</v>
      </c>
      <c r="G81" s="32" t="n">
        <v>130.22</v>
      </c>
    </row>
    <row r="82" customFormat="false" ht="15" hidden="false" customHeight="false" outlineLevel="0" collapsed="false">
      <c r="B82" s="24" t="n">
        <v>45821</v>
      </c>
      <c r="C82" s="13" t="s">
        <v>395</v>
      </c>
      <c r="D82" s="13" t="s">
        <v>156</v>
      </c>
      <c r="E82" s="13" t="s">
        <v>14617</v>
      </c>
      <c r="F82" s="25" t="n">
        <v>4.01</v>
      </c>
      <c r="G82" s="32" t="n">
        <v>136.34</v>
      </c>
    </row>
    <row r="83" customFormat="false" ht="15" hidden="false" customHeight="false" outlineLevel="0" collapsed="false">
      <c r="B83" s="24" t="n">
        <v>45823</v>
      </c>
      <c r="C83" s="13" t="s">
        <v>391</v>
      </c>
      <c r="D83" s="13" t="s">
        <v>156</v>
      </c>
      <c r="E83" s="13" t="s">
        <v>14618</v>
      </c>
      <c r="F83" s="25" t="n">
        <v>3.93</v>
      </c>
      <c r="G83" s="32" t="n">
        <v>133.62</v>
      </c>
    </row>
    <row r="84" customFormat="false" ht="15" hidden="false" customHeight="false" outlineLevel="0" collapsed="false">
      <c r="B84" s="24" t="n">
        <v>45824</v>
      </c>
      <c r="C84" s="13" t="s">
        <v>353</v>
      </c>
      <c r="D84" s="13" t="s">
        <v>154</v>
      </c>
      <c r="E84" s="13" t="s">
        <v>14619</v>
      </c>
      <c r="F84" s="25" t="n">
        <v>3.23</v>
      </c>
      <c r="G84" s="32" t="n">
        <v>85.59</v>
      </c>
    </row>
    <row r="85" customFormat="false" ht="15" hidden="false" customHeight="false" outlineLevel="0" collapsed="false">
      <c r="B85" s="24" t="n">
        <v>45825</v>
      </c>
      <c r="C85" s="13" t="s">
        <v>359</v>
      </c>
      <c r="D85" s="13" t="s">
        <v>156</v>
      </c>
      <c r="E85" s="13" t="s">
        <v>14617</v>
      </c>
      <c r="F85" s="25" t="n">
        <v>4.2</v>
      </c>
      <c r="G85" s="32" t="n">
        <v>142.8</v>
      </c>
    </row>
    <row r="86" customFormat="false" ht="15" hidden="false" customHeight="false" outlineLevel="0" collapsed="false">
      <c r="B86" s="24" t="n">
        <v>45825</v>
      </c>
      <c r="C86" s="13" t="s">
        <v>381</v>
      </c>
      <c r="D86" s="13" t="s">
        <v>157</v>
      </c>
      <c r="E86" s="13" t="s">
        <v>14617</v>
      </c>
      <c r="F86" s="25" t="n">
        <v>1</v>
      </c>
      <c r="G86" s="32" t="n">
        <v>165</v>
      </c>
    </row>
    <row r="87" customFormat="false" ht="15" hidden="false" customHeight="false" outlineLevel="0" collapsed="false">
      <c r="B87" s="24" t="n">
        <v>45828</v>
      </c>
      <c r="C87" s="13" t="s">
        <v>395</v>
      </c>
      <c r="D87" s="13" t="s">
        <v>156</v>
      </c>
      <c r="E87" s="13" t="s">
        <v>14617</v>
      </c>
      <c r="F87" s="25" t="n">
        <v>4.24</v>
      </c>
      <c r="G87" s="32" t="n">
        <v>144.16</v>
      </c>
    </row>
    <row r="88" customFormat="false" ht="15" hidden="false" customHeight="false" outlineLevel="0" collapsed="false">
      <c r="B88" s="24" t="n">
        <v>45829</v>
      </c>
      <c r="C88" s="13" t="s">
        <v>321</v>
      </c>
      <c r="D88" s="13" t="s">
        <v>154</v>
      </c>
      <c r="E88" s="13" t="s">
        <v>14618</v>
      </c>
      <c r="F88" s="25" t="n">
        <v>3.66</v>
      </c>
      <c r="G88" s="32" t="n">
        <v>96.99</v>
      </c>
    </row>
    <row r="89" customFormat="false" ht="15" hidden="false" customHeight="false" outlineLevel="0" collapsed="false">
      <c r="B89" s="24" t="n">
        <v>45832</v>
      </c>
      <c r="C89" s="13" t="s">
        <v>323</v>
      </c>
      <c r="D89" s="13" t="s">
        <v>159</v>
      </c>
      <c r="E89" s="13" t="s">
        <v>14617</v>
      </c>
      <c r="F89" s="25" t="n">
        <v>0.98</v>
      </c>
      <c r="G89" s="32" t="n">
        <v>132.3</v>
      </c>
    </row>
    <row r="90" customFormat="false" ht="15" hidden="false" customHeight="false" outlineLevel="0" collapsed="false">
      <c r="B90" s="24" t="n">
        <v>45834</v>
      </c>
      <c r="C90" s="13" t="s">
        <v>331</v>
      </c>
      <c r="D90" s="13" t="s">
        <v>156</v>
      </c>
      <c r="E90" s="13" t="s">
        <v>14619</v>
      </c>
      <c r="F90" s="25" t="n">
        <v>4.32</v>
      </c>
      <c r="G90" s="32" t="n">
        <v>146.88</v>
      </c>
    </row>
    <row r="91" customFormat="false" ht="15" hidden="false" customHeight="false" outlineLevel="0" collapsed="false">
      <c r="B91" s="24" t="n">
        <v>45834</v>
      </c>
      <c r="C91" s="13" t="s">
        <v>351</v>
      </c>
      <c r="D91" s="13" t="s">
        <v>154</v>
      </c>
      <c r="E91" s="13" t="s">
        <v>14618</v>
      </c>
      <c r="F91" s="25" t="n">
        <v>3.08</v>
      </c>
      <c r="G91" s="32" t="n">
        <v>81.62</v>
      </c>
    </row>
    <row r="92" customFormat="false" ht="15" hidden="false" customHeight="false" outlineLevel="0" collapsed="false">
      <c r="B92" s="24" t="n">
        <v>45838</v>
      </c>
      <c r="C92" s="13" t="s">
        <v>365</v>
      </c>
      <c r="D92" s="13" t="s">
        <v>154</v>
      </c>
      <c r="E92" s="13" t="s">
        <v>14617</v>
      </c>
      <c r="F92" s="25" t="n">
        <v>3.91</v>
      </c>
      <c r="G92" s="32" t="n">
        <v>103.62</v>
      </c>
    </row>
    <row r="93" customFormat="false" ht="15" hidden="false" customHeight="false" outlineLevel="0" collapsed="false">
      <c r="B93" s="24" t="n">
        <v>45839</v>
      </c>
      <c r="C93" s="13" t="s">
        <v>391</v>
      </c>
      <c r="D93" s="13" t="s">
        <v>156</v>
      </c>
      <c r="E93" s="13" t="s">
        <v>14617</v>
      </c>
      <c r="F93" s="25" t="n">
        <v>4.3</v>
      </c>
      <c r="G93" s="32" t="n">
        <v>146.2</v>
      </c>
    </row>
    <row r="94" customFormat="false" ht="15" hidden="false" customHeight="false" outlineLevel="0" collapsed="false">
      <c r="B94" s="24" t="n">
        <v>45842</v>
      </c>
      <c r="C94" s="13" t="s">
        <v>307</v>
      </c>
      <c r="D94" s="13" t="s">
        <v>157</v>
      </c>
      <c r="E94" s="13" t="s">
        <v>14617</v>
      </c>
      <c r="F94" s="25" t="n">
        <v>1.09</v>
      </c>
      <c r="G94" s="32" t="n">
        <v>179.85</v>
      </c>
    </row>
    <row r="95" customFormat="false" ht="15" hidden="false" customHeight="false" outlineLevel="0" collapsed="false">
      <c r="B95" s="24" t="n">
        <v>45847</v>
      </c>
      <c r="C95" s="13" t="s">
        <v>335</v>
      </c>
      <c r="D95" s="13" t="s">
        <v>154</v>
      </c>
      <c r="E95" s="13" t="s">
        <v>14618</v>
      </c>
      <c r="F95" s="25" t="n">
        <v>3.68</v>
      </c>
      <c r="G95" s="32" t="n">
        <v>97.52</v>
      </c>
    </row>
    <row r="96" customFormat="false" ht="15" hidden="false" customHeight="false" outlineLevel="0" collapsed="false">
      <c r="B96" s="24" t="n">
        <v>45848</v>
      </c>
      <c r="C96" s="13" t="s">
        <v>401</v>
      </c>
      <c r="D96" s="13" t="s">
        <v>156</v>
      </c>
      <c r="E96" s="13" t="s">
        <v>14619</v>
      </c>
      <c r="F96" s="25" t="n">
        <v>4.34</v>
      </c>
      <c r="G96" s="32" t="n">
        <v>147.56</v>
      </c>
    </row>
    <row r="97" customFormat="false" ht="15" hidden="false" customHeight="false" outlineLevel="0" collapsed="false">
      <c r="B97" s="24" t="n">
        <v>45849</v>
      </c>
      <c r="C97" s="13" t="s">
        <v>409</v>
      </c>
      <c r="D97" s="13" t="s">
        <v>154</v>
      </c>
      <c r="E97" s="13" t="s">
        <v>14618</v>
      </c>
      <c r="F97" s="25" t="n">
        <v>3.35</v>
      </c>
      <c r="G97" s="32" t="n">
        <v>88.78</v>
      </c>
    </row>
    <row r="98" customFormat="false" ht="15" hidden="false" customHeight="false" outlineLevel="0" collapsed="false">
      <c r="B98" s="24" t="n">
        <v>45853</v>
      </c>
      <c r="C98" s="13" t="s">
        <v>329</v>
      </c>
      <c r="D98" s="13" t="s">
        <v>156</v>
      </c>
      <c r="E98" s="13" t="s">
        <v>14617</v>
      </c>
      <c r="F98" s="25" t="n">
        <v>4.32</v>
      </c>
      <c r="G98" s="32" t="n">
        <v>146.88</v>
      </c>
    </row>
    <row r="99" customFormat="false" ht="15" hidden="false" customHeight="false" outlineLevel="0" collapsed="false">
      <c r="B99" s="24" t="n">
        <v>45859</v>
      </c>
      <c r="C99" s="13" t="s">
        <v>309</v>
      </c>
      <c r="D99" s="13" t="s">
        <v>159</v>
      </c>
      <c r="E99" s="13" t="s">
        <v>14617</v>
      </c>
      <c r="F99" s="25" t="n">
        <v>1.03</v>
      </c>
      <c r="G99" s="32" t="n">
        <v>139.05</v>
      </c>
    </row>
    <row r="100" customFormat="false" ht="15" hidden="false" customHeight="false" outlineLevel="0" collapsed="false">
      <c r="B100" s="24" t="n">
        <v>45861</v>
      </c>
      <c r="C100" s="13" t="s">
        <v>347</v>
      </c>
      <c r="D100" s="13" t="s">
        <v>154</v>
      </c>
      <c r="E100" s="13" t="s">
        <v>14618</v>
      </c>
      <c r="F100" s="25" t="n">
        <v>4.3</v>
      </c>
      <c r="G100" s="32" t="n">
        <v>113.95</v>
      </c>
    </row>
    <row r="101" customFormat="false" ht="15" hidden="false" customHeight="false" outlineLevel="0" collapsed="false">
      <c r="B101" s="24" t="n">
        <v>45861</v>
      </c>
      <c r="C101" s="13" t="s">
        <v>395</v>
      </c>
      <c r="D101" s="13" t="s">
        <v>156</v>
      </c>
      <c r="E101" s="13" t="s">
        <v>14619</v>
      </c>
      <c r="F101" s="25" t="n">
        <v>4.25</v>
      </c>
      <c r="G101" s="32" t="n">
        <v>144.5</v>
      </c>
    </row>
    <row r="102" customFormat="false" ht="15" hidden="false" customHeight="false" outlineLevel="0" collapsed="false">
      <c r="B102" s="24" t="n">
        <v>45861</v>
      </c>
      <c r="C102" s="13" t="s">
        <v>409</v>
      </c>
      <c r="D102" s="13" t="s">
        <v>154</v>
      </c>
      <c r="E102" s="13" t="s">
        <v>14618</v>
      </c>
      <c r="F102" s="25" t="n">
        <v>3.44</v>
      </c>
      <c r="G102" s="32" t="n">
        <v>91.16</v>
      </c>
    </row>
    <row r="103" customFormat="false" ht="15" hidden="false" customHeight="false" outlineLevel="0" collapsed="false">
      <c r="B103" s="24" t="n">
        <v>45862</v>
      </c>
      <c r="C103" s="13" t="s">
        <v>351</v>
      </c>
      <c r="D103" s="13" t="s">
        <v>154</v>
      </c>
      <c r="E103" s="13" t="s">
        <v>14619</v>
      </c>
      <c r="F103" s="25" t="n">
        <v>2.95</v>
      </c>
      <c r="G103" s="32" t="n">
        <v>78.18</v>
      </c>
    </row>
    <row r="104" customFormat="false" ht="15" hidden="false" customHeight="false" outlineLevel="0" collapsed="false">
      <c r="B104" s="24" t="n">
        <v>45868</v>
      </c>
      <c r="C104" s="13" t="s">
        <v>391</v>
      </c>
      <c r="D104" s="13" t="s">
        <v>156</v>
      </c>
      <c r="E104" s="13" t="s">
        <v>14617</v>
      </c>
      <c r="F104" s="25" t="n">
        <v>3.84</v>
      </c>
      <c r="G104" s="32" t="n">
        <v>130.56</v>
      </c>
    </row>
    <row r="105" customFormat="false" ht="15" hidden="false" customHeight="false" outlineLevel="0" collapsed="false">
      <c r="B105" s="24" t="n">
        <v>45868</v>
      </c>
      <c r="C105" s="13" t="s">
        <v>393</v>
      </c>
      <c r="D105" s="13" t="s">
        <v>157</v>
      </c>
      <c r="E105" s="13" t="s">
        <v>14617</v>
      </c>
      <c r="F105" s="25" t="n">
        <v>0.94</v>
      </c>
      <c r="G105" s="32" t="n">
        <v>155.1</v>
      </c>
    </row>
    <row r="106" customFormat="false" ht="15" hidden="false" customHeight="false" outlineLevel="0" collapsed="false">
      <c r="B106" s="24" t="n">
        <v>45869</v>
      </c>
      <c r="C106" s="13" t="s">
        <v>401</v>
      </c>
      <c r="D106" s="13" t="s">
        <v>156</v>
      </c>
      <c r="E106" s="13" t="s">
        <v>14619</v>
      </c>
      <c r="F106" s="25" t="n">
        <v>4.33</v>
      </c>
      <c r="G106" s="32" t="n">
        <v>147.22</v>
      </c>
    </row>
    <row r="107" customFormat="false" ht="15" hidden="false" customHeight="false" outlineLevel="0" collapsed="false">
      <c r="B107" s="24" t="n">
        <v>45873</v>
      </c>
      <c r="C107" s="13" t="s">
        <v>331</v>
      </c>
      <c r="D107" s="13" t="s">
        <v>156</v>
      </c>
      <c r="E107" s="13" t="s">
        <v>14617</v>
      </c>
      <c r="F107" s="25" t="n">
        <v>3.9</v>
      </c>
      <c r="G107" s="32" t="n">
        <v>132.6</v>
      </c>
    </row>
    <row r="108" customFormat="false" ht="15" hidden="false" customHeight="false" outlineLevel="0" collapsed="false">
      <c r="B108" s="24" t="n">
        <v>45874</v>
      </c>
      <c r="C108" s="13" t="s">
        <v>321</v>
      </c>
      <c r="D108" s="13" t="s">
        <v>154</v>
      </c>
      <c r="E108" s="13" t="s">
        <v>14619</v>
      </c>
      <c r="F108" s="25" t="n">
        <v>4.28</v>
      </c>
      <c r="G108" s="32" t="n">
        <v>113.42</v>
      </c>
    </row>
    <row r="109" customFormat="false" ht="15" hidden="false" customHeight="false" outlineLevel="0" collapsed="false">
      <c r="B109" s="24" t="n">
        <v>45876</v>
      </c>
      <c r="C109" s="13" t="s">
        <v>321</v>
      </c>
      <c r="D109" s="13" t="s">
        <v>154</v>
      </c>
      <c r="E109" s="13" t="s">
        <v>14618</v>
      </c>
      <c r="F109" s="25" t="n">
        <v>4.39</v>
      </c>
      <c r="G109" s="32" t="n">
        <v>116.33</v>
      </c>
    </row>
    <row r="110" customFormat="false" ht="15" hidden="false" customHeight="false" outlineLevel="0" collapsed="false">
      <c r="B110" s="24" t="n">
        <v>45876</v>
      </c>
      <c r="C110" s="13" t="s">
        <v>387</v>
      </c>
      <c r="D110" s="13" t="s">
        <v>154</v>
      </c>
      <c r="E110" s="13" t="s">
        <v>14619</v>
      </c>
      <c r="F110" s="25" t="n">
        <v>3.69</v>
      </c>
      <c r="G110" s="32" t="n">
        <v>97.78</v>
      </c>
    </row>
    <row r="111" customFormat="false" ht="15" hidden="false" customHeight="false" outlineLevel="0" collapsed="false">
      <c r="B111" s="24" t="n">
        <v>45877</v>
      </c>
      <c r="C111" s="13" t="s">
        <v>361</v>
      </c>
      <c r="D111" s="13" t="s">
        <v>157</v>
      </c>
      <c r="E111" s="13" t="s">
        <v>14619</v>
      </c>
      <c r="F111" s="25" t="n">
        <v>1.1</v>
      </c>
      <c r="G111" s="32" t="n">
        <v>181.5</v>
      </c>
    </row>
    <row r="112" customFormat="false" ht="15" hidden="false" customHeight="false" outlineLevel="0" collapsed="false">
      <c r="B112" s="24" t="n">
        <v>45877</v>
      </c>
      <c r="C112" s="13" t="s">
        <v>369</v>
      </c>
      <c r="D112" s="13" t="s">
        <v>159</v>
      </c>
      <c r="E112" s="13" t="s">
        <v>14619</v>
      </c>
      <c r="F112" s="25" t="n">
        <v>1.01</v>
      </c>
      <c r="G112" s="32" t="n">
        <v>136.35</v>
      </c>
    </row>
    <row r="113" customFormat="false" ht="15" hidden="false" customHeight="false" outlineLevel="0" collapsed="false">
      <c r="B113" s="24" t="n">
        <v>45877</v>
      </c>
      <c r="C113" s="13" t="s">
        <v>391</v>
      </c>
      <c r="D113" s="13" t="s">
        <v>156</v>
      </c>
      <c r="E113" s="13" t="s">
        <v>14619</v>
      </c>
      <c r="F113" s="25" t="n">
        <v>4.37</v>
      </c>
      <c r="G113" s="32" t="n">
        <v>148.58</v>
      </c>
    </row>
    <row r="114" customFormat="false" ht="15" hidden="false" customHeight="false" outlineLevel="0" collapsed="false">
      <c r="B114" s="24" t="n">
        <v>45883</v>
      </c>
      <c r="C114" s="13" t="s">
        <v>343</v>
      </c>
      <c r="D114" s="13" t="s">
        <v>154</v>
      </c>
      <c r="E114" s="13" t="s">
        <v>14618</v>
      </c>
      <c r="F114" s="25" t="n">
        <v>3.93</v>
      </c>
      <c r="G114" s="32" t="n">
        <v>104.15</v>
      </c>
    </row>
    <row r="115" customFormat="false" ht="15" hidden="false" customHeight="false" outlineLevel="0" collapsed="false">
      <c r="B115" s="24" t="n">
        <v>45885</v>
      </c>
      <c r="C115" s="13" t="s">
        <v>288</v>
      </c>
      <c r="D115" s="13" t="s">
        <v>156</v>
      </c>
      <c r="E115" s="13" t="s">
        <v>14618</v>
      </c>
      <c r="F115" s="25" t="n">
        <v>4.1</v>
      </c>
      <c r="G115" s="32" t="n">
        <v>139.4</v>
      </c>
    </row>
    <row r="116" customFormat="false" ht="15" hidden="false" customHeight="false" outlineLevel="0" collapsed="false">
      <c r="B116" s="24" t="n">
        <v>45892</v>
      </c>
      <c r="C116" s="13" t="s">
        <v>321</v>
      </c>
      <c r="D116" s="13" t="s">
        <v>154</v>
      </c>
      <c r="E116" s="13" t="s">
        <v>14617</v>
      </c>
      <c r="F116" s="25" t="n">
        <v>3.66</v>
      </c>
      <c r="G116" s="32" t="n">
        <v>96.99</v>
      </c>
    </row>
    <row r="117" customFormat="false" ht="15" hidden="false" customHeight="false" outlineLevel="0" collapsed="false">
      <c r="B117" s="24" t="n">
        <v>45896</v>
      </c>
      <c r="C117" s="13" t="s">
        <v>391</v>
      </c>
      <c r="D117" s="13" t="s">
        <v>156</v>
      </c>
      <c r="E117" s="13" t="s">
        <v>14619</v>
      </c>
      <c r="F117" s="25" t="n">
        <v>4</v>
      </c>
      <c r="G117" s="32" t="n">
        <v>136</v>
      </c>
    </row>
    <row r="118" customFormat="false" ht="15" hidden="false" customHeight="false" outlineLevel="0" collapsed="false">
      <c r="B118" s="24" t="n">
        <v>45898</v>
      </c>
      <c r="C118" s="13" t="s">
        <v>307</v>
      </c>
      <c r="D118" s="13" t="s">
        <v>157</v>
      </c>
      <c r="E118" s="13" t="s">
        <v>14618</v>
      </c>
      <c r="F118" s="25" t="n">
        <v>1.04</v>
      </c>
      <c r="G118" s="32" t="n">
        <v>171.6</v>
      </c>
    </row>
    <row r="119" customFormat="false" ht="15" hidden="false" customHeight="false" outlineLevel="0" collapsed="false">
      <c r="B119" s="24" t="n">
        <v>45898</v>
      </c>
      <c r="C119" s="13" t="s">
        <v>339</v>
      </c>
      <c r="D119" s="13" t="s">
        <v>154</v>
      </c>
      <c r="E119" s="13" t="s">
        <v>14619</v>
      </c>
      <c r="F119" s="25" t="n">
        <v>3.57</v>
      </c>
      <c r="G119" s="32" t="n">
        <v>94.6</v>
      </c>
    </row>
    <row r="120" customFormat="false" ht="15" hidden="false" customHeight="false" outlineLevel="0" collapsed="false">
      <c r="B120" s="24" t="n">
        <v>45901</v>
      </c>
      <c r="C120" s="13" t="s">
        <v>377</v>
      </c>
      <c r="D120" s="13" t="s">
        <v>154</v>
      </c>
      <c r="E120" s="13" t="s">
        <v>14618</v>
      </c>
      <c r="F120" s="25" t="n">
        <v>4.04</v>
      </c>
      <c r="G120" s="32" t="n">
        <v>107.06</v>
      </c>
    </row>
    <row r="121" customFormat="false" ht="15" hidden="false" customHeight="false" outlineLevel="0" collapsed="false">
      <c r="B121" s="24" t="n">
        <v>45903</v>
      </c>
      <c r="C121" s="13" t="s">
        <v>339</v>
      </c>
      <c r="D121" s="13" t="s">
        <v>154</v>
      </c>
      <c r="E121" s="13" t="s">
        <v>14618</v>
      </c>
      <c r="F121" s="25" t="n">
        <v>3.01</v>
      </c>
      <c r="G121" s="32" t="n">
        <v>79.77</v>
      </c>
    </row>
    <row r="122" customFormat="false" ht="15" hidden="false" customHeight="false" outlineLevel="0" collapsed="false">
      <c r="B122" s="24" t="n">
        <v>45903</v>
      </c>
      <c r="C122" s="13" t="s">
        <v>365</v>
      </c>
      <c r="D122" s="13" t="s">
        <v>154</v>
      </c>
      <c r="E122" s="13" t="s">
        <v>14617</v>
      </c>
      <c r="F122" s="25" t="n">
        <v>3.81</v>
      </c>
      <c r="G122" s="32" t="n">
        <v>100.97</v>
      </c>
    </row>
    <row r="123" customFormat="false" ht="15" hidden="false" customHeight="false" outlineLevel="0" collapsed="false">
      <c r="B123" s="24" t="n">
        <v>45905</v>
      </c>
      <c r="C123" s="13" t="s">
        <v>323</v>
      </c>
      <c r="D123" s="13" t="s">
        <v>159</v>
      </c>
      <c r="E123" s="13" t="s">
        <v>14618</v>
      </c>
      <c r="F123" s="25" t="n">
        <v>0.97</v>
      </c>
      <c r="G123" s="32" t="n">
        <v>130.95</v>
      </c>
    </row>
    <row r="124" customFormat="false" ht="15" hidden="false" customHeight="false" outlineLevel="0" collapsed="false">
      <c r="B124" s="24" t="n">
        <v>45905</v>
      </c>
      <c r="C124" s="13" t="s">
        <v>355</v>
      </c>
      <c r="D124" s="13" t="s">
        <v>154</v>
      </c>
      <c r="E124" s="13" t="s">
        <v>14618</v>
      </c>
      <c r="F124" s="25" t="n">
        <v>3.59</v>
      </c>
      <c r="G124" s="32" t="n">
        <v>95.13</v>
      </c>
    </row>
    <row r="125" customFormat="false" ht="15" hidden="false" customHeight="false" outlineLevel="0" collapsed="false">
      <c r="B125" s="24" t="n">
        <v>45907</v>
      </c>
      <c r="C125" s="13" t="s">
        <v>288</v>
      </c>
      <c r="D125" s="13" t="s">
        <v>156</v>
      </c>
      <c r="E125" s="13" t="s">
        <v>14619</v>
      </c>
      <c r="F125" s="25" t="n">
        <v>4.25</v>
      </c>
      <c r="G125" s="32" t="n">
        <v>144.5</v>
      </c>
    </row>
    <row r="126" customFormat="false" ht="15" hidden="false" customHeight="false" outlineLevel="0" collapsed="false">
      <c r="B126" s="24" t="n">
        <v>45907</v>
      </c>
      <c r="C126" s="13" t="s">
        <v>321</v>
      </c>
      <c r="D126" s="13" t="s">
        <v>154</v>
      </c>
      <c r="E126" s="13" t="s">
        <v>14619</v>
      </c>
      <c r="F126" s="25" t="n">
        <v>3.74</v>
      </c>
      <c r="G126" s="32" t="n">
        <v>99.11</v>
      </c>
    </row>
    <row r="127" customFormat="false" ht="15" hidden="false" customHeight="false" outlineLevel="0" collapsed="false">
      <c r="B127" s="24" t="n">
        <v>45908</v>
      </c>
      <c r="C127" s="13" t="s">
        <v>313</v>
      </c>
      <c r="D127" s="13" t="s">
        <v>156</v>
      </c>
      <c r="E127" s="13" t="s">
        <v>14617</v>
      </c>
      <c r="F127" s="25" t="n">
        <v>4.22</v>
      </c>
      <c r="G127" s="32" t="n">
        <v>143.48</v>
      </c>
    </row>
    <row r="128" customFormat="false" ht="15" hidden="false" customHeight="false" outlineLevel="0" collapsed="false">
      <c r="B128" s="24" t="n">
        <v>45908</v>
      </c>
      <c r="C128" s="13" t="s">
        <v>315</v>
      </c>
      <c r="D128" s="13" t="s">
        <v>159</v>
      </c>
      <c r="E128" s="13" t="s">
        <v>14617</v>
      </c>
      <c r="F128" s="25" t="n">
        <v>1.08</v>
      </c>
      <c r="G128" s="32" t="n">
        <v>145.8</v>
      </c>
    </row>
    <row r="129" customFormat="false" ht="15" hidden="false" customHeight="false" outlineLevel="0" collapsed="false">
      <c r="B129" s="24" t="n">
        <v>45908</v>
      </c>
      <c r="C129" s="13" t="s">
        <v>321</v>
      </c>
      <c r="D129" s="13" t="s">
        <v>154</v>
      </c>
      <c r="E129" s="13" t="s">
        <v>14618</v>
      </c>
      <c r="F129" s="25" t="n">
        <v>3.66</v>
      </c>
      <c r="G129" s="32" t="n">
        <v>96.99</v>
      </c>
    </row>
    <row r="130" customFormat="false" ht="15" hidden="false" customHeight="false" outlineLevel="0" collapsed="false">
      <c r="B130" s="24" t="n">
        <v>45908</v>
      </c>
      <c r="C130" s="13" t="s">
        <v>329</v>
      </c>
      <c r="D130" s="13" t="s">
        <v>156</v>
      </c>
      <c r="E130" s="13" t="s">
        <v>14618</v>
      </c>
      <c r="F130" s="25" t="n">
        <v>3.67</v>
      </c>
      <c r="G130" s="32" t="n">
        <v>124.78</v>
      </c>
    </row>
    <row r="131" customFormat="false" ht="15" hidden="false" customHeight="false" outlineLevel="0" collapsed="false">
      <c r="B131" s="24" t="n">
        <v>45908</v>
      </c>
      <c r="C131" s="13" t="s">
        <v>379</v>
      </c>
      <c r="D131" s="13" t="s">
        <v>156</v>
      </c>
      <c r="E131" s="13" t="s">
        <v>14619</v>
      </c>
      <c r="F131" s="25" t="n">
        <v>4.42</v>
      </c>
      <c r="G131" s="32" t="n">
        <v>150.28</v>
      </c>
    </row>
    <row r="132" customFormat="false" ht="15" hidden="false" customHeight="false" outlineLevel="0" collapsed="false">
      <c r="B132" s="24" t="n">
        <v>45909</v>
      </c>
      <c r="C132" s="13" t="s">
        <v>389</v>
      </c>
      <c r="D132" s="13" t="s">
        <v>154</v>
      </c>
      <c r="E132" s="13" t="s">
        <v>14619</v>
      </c>
      <c r="F132" s="25" t="n">
        <v>4.23</v>
      </c>
      <c r="G132" s="32" t="n">
        <v>112.1</v>
      </c>
    </row>
    <row r="133" customFormat="false" ht="15" hidden="false" customHeight="false" outlineLevel="0" collapsed="false">
      <c r="B133" s="24" t="n">
        <v>45910</v>
      </c>
      <c r="C133" s="13" t="s">
        <v>295</v>
      </c>
      <c r="D133" s="13" t="s">
        <v>154</v>
      </c>
      <c r="E133" s="13" t="s">
        <v>14619</v>
      </c>
      <c r="F133" s="25" t="n">
        <v>3.9</v>
      </c>
      <c r="G133" s="32" t="n">
        <v>103.35</v>
      </c>
    </row>
    <row r="134" customFormat="false" ht="15" hidden="false" customHeight="false" outlineLevel="0" collapsed="false">
      <c r="B134" s="24" t="n">
        <v>45910</v>
      </c>
      <c r="C134" s="13" t="s">
        <v>329</v>
      </c>
      <c r="D134" s="13" t="s">
        <v>156</v>
      </c>
      <c r="E134" s="13" t="s">
        <v>14617</v>
      </c>
      <c r="F134" s="25" t="n">
        <v>3.85</v>
      </c>
      <c r="G134" s="32" t="n">
        <v>130.9</v>
      </c>
    </row>
    <row r="135" customFormat="false" ht="15" hidden="false" customHeight="false" outlineLevel="0" collapsed="false">
      <c r="B135" s="24" t="n">
        <v>45911</v>
      </c>
      <c r="C135" s="13" t="s">
        <v>389</v>
      </c>
      <c r="D135" s="13" t="s">
        <v>154</v>
      </c>
      <c r="E135" s="13" t="s">
        <v>14617</v>
      </c>
      <c r="F135" s="25" t="n">
        <v>4.37</v>
      </c>
      <c r="G135" s="32" t="n">
        <v>115.81</v>
      </c>
    </row>
    <row r="136" customFormat="false" ht="15" hidden="false" customHeight="false" outlineLevel="0" collapsed="false">
      <c r="B136" s="24" t="n">
        <v>45912</v>
      </c>
      <c r="C136" s="13" t="s">
        <v>409</v>
      </c>
      <c r="D136" s="13" t="s">
        <v>154</v>
      </c>
      <c r="E136" s="13" t="s">
        <v>14619</v>
      </c>
      <c r="F136" s="25" t="n">
        <v>3.17</v>
      </c>
      <c r="G136" s="32" t="n">
        <v>84</v>
      </c>
    </row>
    <row r="137" customFormat="false" ht="15" hidden="false" customHeight="false" outlineLevel="0" collapsed="false">
      <c r="B137" s="24" t="n">
        <v>45916</v>
      </c>
      <c r="C137" s="13" t="s">
        <v>301</v>
      </c>
      <c r="D137" s="13" t="s">
        <v>157</v>
      </c>
      <c r="E137" s="13" t="s">
        <v>14619</v>
      </c>
      <c r="F137" s="25" t="n">
        <v>0.98</v>
      </c>
      <c r="G137" s="32" t="n">
        <v>161.7</v>
      </c>
    </row>
    <row r="138" customFormat="false" ht="15" hidden="false" customHeight="false" outlineLevel="0" collapsed="false">
      <c r="B138" s="24" t="n">
        <v>45917</v>
      </c>
      <c r="C138" s="13" t="s">
        <v>395</v>
      </c>
      <c r="D138" s="13" t="s">
        <v>156</v>
      </c>
      <c r="E138" s="13" t="s">
        <v>14617</v>
      </c>
      <c r="F138" s="25" t="n">
        <v>4.34</v>
      </c>
      <c r="G138" s="32" t="n">
        <v>147.56</v>
      </c>
    </row>
    <row r="139" customFormat="false" ht="15" hidden="false" customHeight="false" outlineLevel="0" collapsed="false">
      <c r="B139" s="24" t="n">
        <v>45919</v>
      </c>
      <c r="C139" s="13" t="s">
        <v>365</v>
      </c>
      <c r="D139" s="13" t="s">
        <v>154</v>
      </c>
      <c r="E139" s="13" t="s">
        <v>14619</v>
      </c>
      <c r="F139" s="25" t="n">
        <v>3.63</v>
      </c>
      <c r="G139" s="32" t="n">
        <v>96.19</v>
      </c>
    </row>
    <row r="140" customFormat="false" ht="15" hidden="false" customHeight="false" outlineLevel="0" collapsed="false">
      <c r="B140" s="24" t="n">
        <v>45920</v>
      </c>
      <c r="C140" s="13" t="s">
        <v>387</v>
      </c>
      <c r="D140" s="13" t="s">
        <v>154</v>
      </c>
      <c r="E140" s="13" t="s">
        <v>14618</v>
      </c>
      <c r="F140" s="25" t="n">
        <v>4.26</v>
      </c>
      <c r="G140" s="32" t="n">
        <v>112.89</v>
      </c>
    </row>
    <row r="141" customFormat="false" ht="15" hidden="false" customHeight="false" outlineLevel="0" collapsed="false">
      <c r="B141" s="24" t="n">
        <v>45922</v>
      </c>
      <c r="C141" s="13" t="s">
        <v>307</v>
      </c>
      <c r="D141" s="13" t="s">
        <v>157</v>
      </c>
      <c r="E141" s="13" t="s">
        <v>14619</v>
      </c>
      <c r="F141" s="25" t="n">
        <v>1.06</v>
      </c>
      <c r="G141" s="32" t="n">
        <v>174.9</v>
      </c>
    </row>
    <row r="142" customFormat="false" ht="15" hidden="false" customHeight="false" outlineLevel="0" collapsed="false">
      <c r="B142" s="24" t="n">
        <v>45922</v>
      </c>
      <c r="C142" s="13" t="s">
        <v>365</v>
      </c>
      <c r="D142" s="13" t="s">
        <v>154</v>
      </c>
      <c r="E142" s="13" t="s">
        <v>14619</v>
      </c>
      <c r="F142" s="25" t="n">
        <v>3.83</v>
      </c>
      <c r="G142" s="32" t="n">
        <v>101.5</v>
      </c>
    </row>
    <row r="143" customFormat="false" ht="15" hidden="false" customHeight="false" outlineLevel="0" collapsed="false">
      <c r="B143" s="24" t="n">
        <v>45923</v>
      </c>
      <c r="C143" s="13" t="s">
        <v>395</v>
      </c>
      <c r="D143" s="13" t="s">
        <v>156</v>
      </c>
      <c r="E143" s="13" t="s">
        <v>14618</v>
      </c>
      <c r="F143" s="25" t="n">
        <v>3.68</v>
      </c>
      <c r="G143" s="32" t="n">
        <v>125.12</v>
      </c>
    </row>
    <row r="144" customFormat="false" ht="15" hidden="false" customHeight="false" outlineLevel="0" collapsed="false">
      <c r="B144" s="24" t="n">
        <v>45925</v>
      </c>
      <c r="C144" s="13" t="s">
        <v>325</v>
      </c>
      <c r="D144" s="13" t="s">
        <v>154</v>
      </c>
      <c r="E144" s="13" t="s">
        <v>14619</v>
      </c>
      <c r="F144" s="25" t="n">
        <v>2.71</v>
      </c>
      <c r="G144" s="32" t="n">
        <v>71.81</v>
      </c>
    </row>
    <row r="145" customFormat="false" ht="15" hidden="false" customHeight="false" outlineLevel="0" collapsed="false">
      <c r="B145" s="24" t="n">
        <v>45929</v>
      </c>
      <c r="C145" s="13" t="s">
        <v>351</v>
      </c>
      <c r="D145" s="13" t="s">
        <v>154</v>
      </c>
      <c r="E145" s="13" t="s">
        <v>14618</v>
      </c>
      <c r="F145" s="25" t="n">
        <v>2.82</v>
      </c>
      <c r="G145" s="32" t="n">
        <v>74.73</v>
      </c>
    </row>
    <row r="146" customFormat="false" ht="15" hidden="false" customHeight="false" outlineLevel="0" collapsed="false">
      <c r="B146" s="24" t="n">
        <v>45929</v>
      </c>
      <c r="C146" s="13" t="s">
        <v>385</v>
      </c>
      <c r="D146" s="13" t="s">
        <v>156</v>
      </c>
      <c r="E146" s="13" t="s">
        <v>14619</v>
      </c>
      <c r="F146" s="25" t="n">
        <v>3.6</v>
      </c>
      <c r="G146" s="32" t="n">
        <v>122.4</v>
      </c>
    </row>
    <row r="147" customFormat="false" ht="15" hidden="false" customHeight="false" outlineLevel="0" collapsed="false">
      <c r="B147" s="24" t="n">
        <v>45931</v>
      </c>
      <c r="C147" s="13" t="s">
        <v>335</v>
      </c>
      <c r="D147" s="13" t="s">
        <v>154</v>
      </c>
      <c r="E147" s="13" t="s">
        <v>14617</v>
      </c>
      <c r="F147" s="25" t="n">
        <v>4.29</v>
      </c>
      <c r="G147" s="32" t="n">
        <v>113.69</v>
      </c>
    </row>
    <row r="148" customFormat="false" ht="15" hidden="false" customHeight="false" outlineLevel="0" collapsed="false">
      <c r="B148" s="24" t="n">
        <v>45931</v>
      </c>
      <c r="C148" s="13" t="s">
        <v>353</v>
      </c>
      <c r="D148" s="13" t="s">
        <v>154</v>
      </c>
      <c r="E148" s="13" t="s">
        <v>14618</v>
      </c>
      <c r="F148" s="25" t="n">
        <v>3.01</v>
      </c>
      <c r="G148" s="32" t="n">
        <v>79.77</v>
      </c>
    </row>
    <row r="149" customFormat="false" ht="15" hidden="false" customHeight="false" outlineLevel="0" collapsed="false">
      <c r="B149" s="24" t="n">
        <v>45936</v>
      </c>
      <c r="C149" s="13" t="s">
        <v>353</v>
      </c>
      <c r="D149" s="13" t="s">
        <v>154</v>
      </c>
      <c r="E149" s="13" t="s">
        <v>14618</v>
      </c>
      <c r="F149" s="25" t="n">
        <v>3.59</v>
      </c>
      <c r="G149" s="32" t="n">
        <v>95.13</v>
      </c>
    </row>
    <row r="150" customFormat="false" ht="15" hidden="false" customHeight="false" outlineLevel="0" collapsed="false">
      <c r="B150" s="24" t="n">
        <v>45938</v>
      </c>
      <c r="C150" s="13" t="s">
        <v>288</v>
      </c>
      <c r="D150" s="13" t="s">
        <v>156</v>
      </c>
      <c r="E150" s="13" t="s">
        <v>14617</v>
      </c>
      <c r="F150" s="25" t="n">
        <v>4.05</v>
      </c>
      <c r="G150" s="32" t="n">
        <v>137.7</v>
      </c>
    </row>
    <row r="151" customFormat="false" ht="15" hidden="false" customHeight="false" outlineLevel="0" collapsed="false">
      <c r="B151" s="24" t="n">
        <v>45938</v>
      </c>
      <c r="C151" s="13" t="s">
        <v>291</v>
      </c>
      <c r="D151" s="13" t="s">
        <v>154</v>
      </c>
      <c r="E151" s="13" t="s">
        <v>14619</v>
      </c>
      <c r="F151" s="25" t="n">
        <v>5.11</v>
      </c>
      <c r="G151" s="32" t="n">
        <v>135.42</v>
      </c>
    </row>
    <row r="152" customFormat="false" ht="15" hidden="false" customHeight="false" outlineLevel="0" collapsed="false">
      <c r="B152" s="24" t="n">
        <v>45938</v>
      </c>
      <c r="C152" s="13" t="s">
        <v>313</v>
      </c>
      <c r="D152" s="13" t="s">
        <v>156</v>
      </c>
      <c r="E152" s="13" t="s">
        <v>14617</v>
      </c>
      <c r="F152" s="25" t="n">
        <v>3.77</v>
      </c>
      <c r="G152" s="32" t="n">
        <v>128.18</v>
      </c>
    </row>
    <row r="153" customFormat="false" ht="15" hidden="false" customHeight="false" outlineLevel="0" collapsed="false">
      <c r="B153" s="24" t="n">
        <v>45942</v>
      </c>
      <c r="C153" s="13" t="s">
        <v>387</v>
      </c>
      <c r="D153" s="13" t="s">
        <v>154</v>
      </c>
      <c r="E153" s="13" t="s">
        <v>14618</v>
      </c>
      <c r="F153" s="25" t="n">
        <v>3.69</v>
      </c>
      <c r="G153" s="32" t="n">
        <v>97.78</v>
      </c>
    </row>
    <row r="154" customFormat="false" ht="15" hidden="false" customHeight="false" outlineLevel="0" collapsed="false">
      <c r="B154" s="24" t="n">
        <v>45943</v>
      </c>
      <c r="C154" s="13" t="s">
        <v>377</v>
      </c>
      <c r="D154" s="13" t="s">
        <v>154</v>
      </c>
      <c r="E154" s="13" t="s">
        <v>14619</v>
      </c>
      <c r="F154" s="25" t="n">
        <v>3.96</v>
      </c>
      <c r="G154" s="32" t="n">
        <v>104.94</v>
      </c>
    </row>
    <row r="155" customFormat="false" ht="15" hidden="false" customHeight="false" outlineLevel="0" collapsed="false">
      <c r="B155" s="24" t="n">
        <v>45943</v>
      </c>
      <c r="C155" s="13" t="s">
        <v>391</v>
      </c>
      <c r="D155" s="13" t="s">
        <v>156</v>
      </c>
      <c r="E155" s="13" t="s">
        <v>14618</v>
      </c>
      <c r="F155" s="25" t="n">
        <v>3.88</v>
      </c>
      <c r="G155" s="32" t="n">
        <v>131.92</v>
      </c>
    </row>
    <row r="156" customFormat="false" ht="15" hidden="false" customHeight="false" outlineLevel="0" collapsed="false">
      <c r="B156" s="24" t="n">
        <v>45943</v>
      </c>
      <c r="C156" s="13" t="s">
        <v>401</v>
      </c>
      <c r="D156" s="13" t="s">
        <v>156</v>
      </c>
      <c r="E156" s="13" t="s">
        <v>14619</v>
      </c>
      <c r="F156" s="25" t="n">
        <v>3.94</v>
      </c>
      <c r="G156" s="32" t="n">
        <v>133.96</v>
      </c>
    </row>
    <row r="157" customFormat="false" ht="15" hidden="false" customHeight="false" outlineLevel="0" collapsed="false">
      <c r="B157" s="24" t="n">
        <v>45944</v>
      </c>
      <c r="C157" s="13" t="s">
        <v>387</v>
      </c>
      <c r="D157" s="13" t="s">
        <v>154</v>
      </c>
      <c r="E157" s="13" t="s">
        <v>14617</v>
      </c>
      <c r="F157" s="25" t="n">
        <v>3.96</v>
      </c>
      <c r="G157" s="32" t="n">
        <v>104.94</v>
      </c>
    </row>
    <row r="158" customFormat="false" ht="15" hidden="false" customHeight="false" outlineLevel="0" collapsed="false">
      <c r="B158" s="24" t="n">
        <v>45945</v>
      </c>
      <c r="C158" s="13" t="s">
        <v>411</v>
      </c>
      <c r="D158" s="13" t="s">
        <v>154</v>
      </c>
      <c r="E158" s="13" t="s">
        <v>14617</v>
      </c>
      <c r="F158" s="25" t="n">
        <v>4.23</v>
      </c>
      <c r="G158" s="32" t="n">
        <v>112.1</v>
      </c>
    </row>
    <row r="159" customFormat="false" ht="15" hidden="false" customHeight="false" outlineLevel="0" collapsed="false">
      <c r="B159" s="24" t="n">
        <v>45946</v>
      </c>
      <c r="C159" s="13" t="s">
        <v>329</v>
      </c>
      <c r="D159" s="13" t="s">
        <v>156</v>
      </c>
      <c r="E159" s="13" t="s">
        <v>14619</v>
      </c>
      <c r="F159" s="25" t="n">
        <v>3.89</v>
      </c>
      <c r="G159" s="32" t="n">
        <v>132.26</v>
      </c>
    </row>
    <row r="160" customFormat="false" ht="15" hidden="false" customHeight="false" outlineLevel="0" collapsed="false">
      <c r="B160" s="24" t="n">
        <v>45947</v>
      </c>
      <c r="C160" s="13" t="s">
        <v>327</v>
      </c>
      <c r="D160" s="13" t="s">
        <v>157</v>
      </c>
      <c r="E160" s="13" t="s">
        <v>14619</v>
      </c>
      <c r="F160" s="25" t="n">
        <v>0.98</v>
      </c>
      <c r="G160" s="32" t="n">
        <v>161.7</v>
      </c>
    </row>
    <row r="161" customFormat="false" ht="15" hidden="false" customHeight="false" outlineLevel="0" collapsed="false">
      <c r="B161" s="24" t="n">
        <v>45950</v>
      </c>
      <c r="C161" s="13" t="s">
        <v>325</v>
      </c>
      <c r="D161" s="13" t="s">
        <v>154</v>
      </c>
      <c r="E161" s="13" t="s">
        <v>14619</v>
      </c>
      <c r="F161" s="25" t="n">
        <v>2.85</v>
      </c>
      <c r="G161" s="32" t="n">
        <v>75.53</v>
      </c>
    </row>
    <row r="162" customFormat="false" ht="15" hidden="false" customHeight="false" outlineLevel="0" collapsed="false">
      <c r="B162" s="24" t="n">
        <v>45950</v>
      </c>
      <c r="C162" s="13" t="s">
        <v>399</v>
      </c>
      <c r="D162" s="13" t="s">
        <v>154</v>
      </c>
      <c r="E162" s="13" t="s">
        <v>14619</v>
      </c>
      <c r="F162" s="25" t="n">
        <v>3.23</v>
      </c>
      <c r="G162" s="32" t="n">
        <v>85.59</v>
      </c>
    </row>
    <row r="163" customFormat="false" ht="15" hidden="false" customHeight="false" outlineLevel="0" collapsed="false">
      <c r="B163" s="24" t="n">
        <v>45954</v>
      </c>
      <c r="C163" s="13" t="s">
        <v>288</v>
      </c>
      <c r="D163" s="13" t="s">
        <v>156</v>
      </c>
      <c r="E163" s="13" t="s">
        <v>14618</v>
      </c>
      <c r="F163" s="25" t="n">
        <v>4.23</v>
      </c>
      <c r="G163" s="32" t="n">
        <v>143.82</v>
      </c>
    </row>
    <row r="164" customFormat="false" ht="15" hidden="false" customHeight="false" outlineLevel="0" collapsed="false">
      <c r="B164" s="24" t="n">
        <v>45954</v>
      </c>
      <c r="C164" s="13" t="s">
        <v>349</v>
      </c>
      <c r="D164" s="13" t="s">
        <v>154</v>
      </c>
      <c r="E164" s="13" t="s">
        <v>14619</v>
      </c>
      <c r="F164" s="25" t="n">
        <v>4.12</v>
      </c>
      <c r="G164" s="32" t="n">
        <v>109.18</v>
      </c>
    </row>
    <row r="165" customFormat="false" ht="15" hidden="false" customHeight="false" outlineLevel="0" collapsed="false">
      <c r="B165" s="24" t="n">
        <v>45957</v>
      </c>
      <c r="C165" s="13" t="s">
        <v>349</v>
      </c>
      <c r="D165" s="13" t="s">
        <v>154</v>
      </c>
      <c r="E165" s="13" t="s">
        <v>14619</v>
      </c>
      <c r="F165" s="25" t="n">
        <v>4.05</v>
      </c>
      <c r="G165" s="32" t="n">
        <v>107.32</v>
      </c>
    </row>
    <row r="166" customFormat="false" ht="15" hidden="false" customHeight="false" outlineLevel="0" collapsed="false">
      <c r="B166" s="24" t="n">
        <v>45957</v>
      </c>
      <c r="C166" s="13" t="s">
        <v>359</v>
      </c>
      <c r="D166" s="13" t="s">
        <v>156</v>
      </c>
      <c r="E166" s="13" t="s">
        <v>14617</v>
      </c>
      <c r="F166" s="25" t="n">
        <v>4.13</v>
      </c>
      <c r="G166" s="32" t="n">
        <v>140.42</v>
      </c>
    </row>
    <row r="167" customFormat="false" ht="15" hidden="false" customHeight="false" outlineLevel="0" collapsed="false">
      <c r="B167" s="24" t="n">
        <v>45958</v>
      </c>
      <c r="C167" s="13" t="s">
        <v>313</v>
      </c>
      <c r="D167" s="13" t="s">
        <v>156</v>
      </c>
      <c r="E167" s="13" t="s">
        <v>14619</v>
      </c>
      <c r="F167" s="25" t="n">
        <v>4.32</v>
      </c>
      <c r="G167" s="32" t="n">
        <v>146.88</v>
      </c>
    </row>
    <row r="168" customFormat="false" ht="15" hidden="false" customHeight="false" outlineLevel="0" collapsed="false">
      <c r="B168" s="24" t="n">
        <v>45959</v>
      </c>
      <c r="C168" s="13" t="s">
        <v>373</v>
      </c>
      <c r="D168" s="13" t="s">
        <v>154</v>
      </c>
      <c r="E168" s="13" t="s">
        <v>14618</v>
      </c>
      <c r="F168" s="25" t="n">
        <v>3.28</v>
      </c>
      <c r="G168" s="32" t="n">
        <v>86.92</v>
      </c>
    </row>
    <row r="169" customFormat="false" ht="15" hidden="false" customHeight="false" outlineLevel="0" collapsed="false">
      <c r="B169" s="24" t="n">
        <v>45961</v>
      </c>
      <c r="C169" s="13" t="s">
        <v>313</v>
      </c>
      <c r="D169" s="13" t="s">
        <v>156</v>
      </c>
      <c r="E169" s="13" t="s">
        <v>14619</v>
      </c>
      <c r="F169" s="25" t="n">
        <v>4.22</v>
      </c>
      <c r="G169" s="32" t="n">
        <v>143.48</v>
      </c>
    </row>
    <row r="170" customFormat="false" ht="15" hidden="false" customHeight="false" outlineLevel="0" collapsed="false">
      <c r="B170" s="24" t="n">
        <v>45961</v>
      </c>
      <c r="C170" s="13" t="s">
        <v>365</v>
      </c>
      <c r="D170" s="13" t="s">
        <v>154</v>
      </c>
      <c r="E170" s="13" t="s">
        <v>14618</v>
      </c>
      <c r="F170" s="25" t="n">
        <v>3.84</v>
      </c>
      <c r="G170" s="32" t="n">
        <v>101.76</v>
      </c>
    </row>
    <row r="171" customFormat="false" ht="15" hidden="false" customHeight="false" outlineLevel="0" collapsed="false">
      <c r="B171" s="24" t="n">
        <v>45964</v>
      </c>
      <c r="C171" s="13" t="s">
        <v>321</v>
      </c>
      <c r="D171" s="13" t="s">
        <v>154</v>
      </c>
      <c r="E171" s="13" t="s">
        <v>14619</v>
      </c>
      <c r="F171" s="25" t="n">
        <v>3.82</v>
      </c>
      <c r="G171" s="32" t="n">
        <v>101.23</v>
      </c>
    </row>
    <row r="172" customFormat="false" ht="15" hidden="false" customHeight="false" outlineLevel="0" collapsed="false">
      <c r="B172" s="24" t="n">
        <v>45965</v>
      </c>
      <c r="C172" s="13" t="s">
        <v>327</v>
      </c>
      <c r="D172" s="13" t="s">
        <v>157</v>
      </c>
      <c r="E172" s="13" t="s">
        <v>14617</v>
      </c>
      <c r="F172" s="25" t="n">
        <v>1.01</v>
      </c>
      <c r="G172" s="32" t="n">
        <v>166.65</v>
      </c>
    </row>
    <row r="173" customFormat="false" ht="15" hidden="false" customHeight="false" outlineLevel="0" collapsed="false">
      <c r="B173" s="24" t="n">
        <v>45966</v>
      </c>
      <c r="C173" s="13" t="s">
        <v>313</v>
      </c>
      <c r="D173" s="13" t="s">
        <v>156</v>
      </c>
      <c r="E173" s="13" t="s">
        <v>14618</v>
      </c>
      <c r="F173" s="25" t="n">
        <v>3.7</v>
      </c>
      <c r="G173" s="32" t="n">
        <v>125.8</v>
      </c>
    </row>
    <row r="174" customFormat="false" ht="15" hidden="false" customHeight="false" outlineLevel="0" collapsed="false">
      <c r="B174" s="24" t="n">
        <v>45967</v>
      </c>
      <c r="C174" s="13" t="s">
        <v>303</v>
      </c>
      <c r="D174" s="13" t="s">
        <v>154</v>
      </c>
      <c r="E174" s="13" t="s">
        <v>14618</v>
      </c>
      <c r="F174" s="25" t="n">
        <v>4.04</v>
      </c>
      <c r="G174" s="32" t="n">
        <v>107.06</v>
      </c>
    </row>
    <row r="175" customFormat="false" ht="15" hidden="false" customHeight="false" outlineLevel="0" collapsed="false">
      <c r="B175" s="24" t="n">
        <v>45970</v>
      </c>
      <c r="C175" s="13" t="s">
        <v>401</v>
      </c>
      <c r="D175" s="13" t="s">
        <v>156</v>
      </c>
      <c r="E175" s="13" t="s">
        <v>14618</v>
      </c>
      <c r="F175" s="25" t="n">
        <v>3.82</v>
      </c>
      <c r="G175" s="32" t="n">
        <v>129.88</v>
      </c>
    </row>
    <row r="176" customFormat="false" ht="15" hidden="false" customHeight="false" outlineLevel="0" collapsed="false">
      <c r="B176" s="24" t="n">
        <v>45971</v>
      </c>
      <c r="C176" s="13" t="s">
        <v>385</v>
      </c>
      <c r="D176" s="13" t="s">
        <v>156</v>
      </c>
      <c r="E176" s="13" t="s">
        <v>14617</v>
      </c>
      <c r="F176" s="25" t="n">
        <v>3.82</v>
      </c>
      <c r="G176" s="32" t="n">
        <v>129.88</v>
      </c>
    </row>
    <row r="177" customFormat="false" ht="15" hidden="false" customHeight="false" outlineLevel="0" collapsed="false">
      <c r="B177" s="24" t="n">
        <v>45971</v>
      </c>
      <c r="C177" s="13" t="s">
        <v>403</v>
      </c>
      <c r="D177" s="13" t="s">
        <v>156</v>
      </c>
      <c r="E177" s="13" t="s">
        <v>14618</v>
      </c>
      <c r="F177" s="25" t="n">
        <v>4.39</v>
      </c>
      <c r="G177" s="32" t="n">
        <v>149.26</v>
      </c>
    </row>
    <row r="178" customFormat="false" ht="15" hidden="false" customHeight="false" outlineLevel="0" collapsed="false">
      <c r="B178" s="24" t="n">
        <v>45975</v>
      </c>
      <c r="C178" s="13" t="s">
        <v>361</v>
      </c>
      <c r="D178" s="13" t="s">
        <v>157</v>
      </c>
      <c r="E178" s="13" t="s">
        <v>14619</v>
      </c>
      <c r="F178" s="25" t="n">
        <v>0.91</v>
      </c>
      <c r="G178" s="32" t="n">
        <v>150.15</v>
      </c>
    </row>
    <row r="179" customFormat="false" ht="15" hidden="false" customHeight="false" outlineLevel="0" collapsed="false">
      <c r="B179" s="24" t="n">
        <v>45978</v>
      </c>
      <c r="C179" s="13" t="s">
        <v>379</v>
      </c>
      <c r="D179" s="13" t="s">
        <v>156</v>
      </c>
      <c r="E179" s="13" t="s">
        <v>14619</v>
      </c>
      <c r="F179" s="25" t="n">
        <v>4.89</v>
      </c>
      <c r="G179" s="32" t="n">
        <v>166.26</v>
      </c>
    </row>
    <row r="180" customFormat="false" ht="15" hidden="false" customHeight="false" outlineLevel="0" collapsed="false">
      <c r="B180" s="24" t="n">
        <v>45978</v>
      </c>
      <c r="C180" s="13" t="s">
        <v>403</v>
      </c>
      <c r="D180" s="13" t="s">
        <v>156</v>
      </c>
      <c r="E180" s="13" t="s">
        <v>14617</v>
      </c>
      <c r="F180" s="25" t="n">
        <v>4.05</v>
      </c>
      <c r="G180" s="32" t="n">
        <v>137.7</v>
      </c>
    </row>
    <row r="181" customFormat="false" ht="15" hidden="false" customHeight="false" outlineLevel="0" collapsed="false">
      <c r="B181" s="24" t="n">
        <v>45979</v>
      </c>
      <c r="C181" s="13" t="s">
        <v>365</v>
      </c>
      <c r="D181" s="13" t="s">
        <v>154</v>
      </c>
      <c r="E181" s="13" t="s">
        <v>14617</v>
      </c>
      <c r="F181" s="25" t="n">
        <v>3.94</v>
      </c>
      <c r="G181" s="32" t="n">
        <v>104.41</v>
      </c>
    </row>
    <row r="182" customFormat="false" ht="15" hidden="false" customHeight="false" outlineLevel="0" collapsed="false">
      <c r="B182" s="24" t="n">
        <v>45984</v>
      </c>
      <c r="C182" s="13" t="s">
        <v>288</v>
      </c>
      <c r="D182" s="13" t="s">
        <v>156</v>
      </c>
      <c r="E182" s="13" t="s">
        <v>14619</v>
      </c>
      <c r="F182" s="25" t="n">
        <v>3.91</v>
      </c>
      <c r="G182" s="32" t="n">
        <v>132.94</v>
      </c>
    </row>
    <row r="183" customFormat="false" ht="15" hidden="false" customHeight="false" outlineLevel="0" collapsed="false">
      <c r="B183" s="24" t="n">
        <v>45984</v>
      </c>
      <c r="C183" s="13" t="s">
        <v>401</v>
      </c>
      <c r="D183" s="13" t="s">
        <v>156</v>
      </c>
      <c r="E183" s="13" t="s">
        <v>14618</v>
      </c>
      <c r="F183" s="25" t="n">
        <v>4.3</v>
      </c>
      <c r="G183" s="32" t="n">
        <v>146.2</v>
      </c>
    </row>
    <row r="184" customFormat="false" ht="15" hidden="false" customHeight="false" outlineLevel="0" collapsed="false">
      <c r="B184" s="24" t="n">
        <v>45985</v>
      </c>
      <c r="C184" s="13" t="s">
        <v>331</v>
      </c>
      <c r="D184" s="13" t="s">
        <v>156</v>
      </c>
      <c r="E184" s="13" t="s">
        <v>14617</v>
      </c>
      <c r="F184" s="25" t="n">
        <v>4.34</v>
      </c>
      <c r="G184" s="32" t="n">
        <v>147.56</v>
      </c>
    </row>
    <row r="185" customFormat="false" ht="15" hidden="false" customHeight="false" outlineLevel="0" collapsed="false">
      <c r="B185" s="24" t="n">
        <v>45985</v>
      </c>
      <c r="C185" s="13" t="s">
        <v>391</v>
      </c>
      <c r="D185" s="13" t="s">
        <v>156</v>
      </c>
      <c r="E185" s="13" t="s">
        <v>14617</v>
      </c>
      <c r="F185" s="25" t="n">
        <v>4.16</v>
      </c>
      <c r="G185" s="32" t="n">
        <v>141.44</v>
      </c>
    </row>
    <row r="186" customFormat="false" ht="15" hidden="false" customHeight="false" outlineLevel="0" collapsed="false">
      <c r="B186" s="24" t="n">
        <v>45987</v>
      </c>
      <c r="C186" s="13" t="s">
        <v>321</v>
      </c>
      <c r="D186" s="13" t="s">
        <v>154</v>
      </c>
      <c r="E186" s="13" t="s">
        <v>14619</v>
      </c>
      <c r="F186" s="25" t="n">
        <v>4.39</v>
      </c>
      <c r="G186" s="32" t="n">
        <v>116.33</v>
      </c>
    </row>
    <row r="187" customFormat="false" ht="15" hidden="false" customHeight="false" outlineLevel="0" collapsed="false">
      <c r="B187" s="24" t="n">
        <v>45987</v>
      </c>
      <c r="C187" s="13" t="s">
        <v>385</v>
      </c>
      <c r="D187" s="13" t="s">
        <v>156</v>
      </c>
      <c r="E187" s="13" t="s">
        <v>14617</v>
      </c>
      <c r="F187" s="25" t="n">
        <v>4.08</v>
      </c>
      <c r="G187" s="32" t="n">
        <v>138.72</v>
      </c>
    </row>
    <row r="188" customFormat="false" ht="15" hidden="false" customHeight="false" outlineLevel="0" collapsed="false">
      <c r="B188" s="24" t="n">
        <v>45989</v>
      </c>
      <c r="C188" s="13" t="s">
        <v>381</v>
      </c>
      <c r="D188" s="13" t="s">
        <v>157</v>
      </c>
      <c r="E188" s="13" t="s">
        <v>14619</v>
      </c>
      <c r="F188" s="25" t="n">
        <v>0.91</v>
      </c>
      <c r="G188" s="32" t="n">
        <v>150.15</v>
      </c>
    </row>
    <row r="189" customFormat="false" ht="15" hidden="false" customHeight="false" outlineLevel="0" collapsed="false">
      <c r="B189" s="24" t="n">
        <v>45994</v>
      </c>
      <c r="C189" s="13" t="s">
        <v>321</v>
      </c>
      <c r="D189" s="13" t="s">
        <v>154</v>
      </c>
      <c r="E189" s="13" t="s">
        <v>14618</v>
      </c>
      <c r="F189" s="25" t="n">
        <v>3.72</v>
      </c>
      <c r="G189" s="32" t="n">
        <v>98.58</v>
      </c>
    </row>
    <row r="190" customFormat="false" ht="15" hidden="false" customHeight="false" outlineLevel="0" collapsed="false">
      <c r="B190" s="24" t="n">
        <v>45994</v>
      </c>
      <c r="C190" s="13" t="s">
        <v>391</v>
      </c>
      <c r="D190" s="13" t="s">
        <v>156</v>
      </c>
      <c r="E190" s="13" t="s">
        <v>14619</v>
      </c>
      <c r="F190" s="25" t="n">
        <v>3.7</v>
      </c>
      <c r="G190" s="32" t="n">
        <v>125.8</v>
      </c>
    </row>
    <row r="191" customFormat="false" ht="15" hidden="false" customHeight="false" outlineLevel="0" collapsed="false">
      <c r="B191" s="24" t="n">
        <v>45995</v>
      </c>
      <c r="C191" s="13" t="s">
        <v>299</v>
      </c>
      <c r="D191" s="13" t="s">
        <v>154</v>
      </c>
      <c r="E191" s="13" t="s">
        <v>14619</v>
      </c>
      <c r="F191" s="25" t="n">
        <v>2.82</v>
      </c>
      <c r="G191" s="32" t="n">
        <v>74.73</v>
      </c>
    </row>
    <row r="192" customFormat="false" ht="15" hidden="false" customHeight="false" outlineLevel="0" collapsed="false">
      <c r="B192" s="24" t="n">
        <v>45996</v>
      </c>
      <c r="C192" s="13" t="s">
        <v>335</v>
      </c>
      <c r="D192" s="13" t="s">
        <v>154</v>
      </c>
      <c r="E192" s="13" t="s">
        <v>14617</v>
      </c>
      <c r="F192" s="25" t="n">
        <v>4.37</v>
      </c>
      <c r="G192" s="32" t="n">
        <v>115.81</v>
      </c>
    </row>
    <row r="193" customFormat="false" ht="15" hidden="false" customHeight="false" outlineLevel="0" collapsed="false">
      <c r="B193" s="24" t="n">
        <v>45996</v>
      </c>
      <c r="C193" s="13" t="s">
        <v>359</v>
      </c>
      <c r="D193" s="13" t="s">
        <v>156</v>
      </c>
      <c r="E193" s="13" t="s">
        <v>14619</v>
      </c>
      <c r="F193" s="25" t="n">
        <v>4.19</v>
      </c>
      <c r="G193" s="32" t="n">
        <v>142.46</v>
      </c>
    </row>
    <row r="194" customFormat="false" ht="15" hidden="false" customHeight="false" outlineLevel="0" collapsed="false">
      <c r="B194" s="24" t="n">
        <v>45996</v>
      </c>
      <c r="C194" s="13" t="s">
        <v>409</v>
      </c>
      <c r="D194" s="13" t="s">
        <v>154</v>
      </c>
      <c r="E194" s="13" t="s">
        <v>14618</v>
      </c>
      <c r="F194" s="25" t="n">
        <v>3.5</v>
      </c>
      <c r="G194" s="32" t="n">
        <v>92.75</v>
      </c>
    </row>
    <row r="195" customFormat="false" ht="15" hidden="false" customHeight="false" outlineLevel="0" collapsed="false">
      <c r="B195" s="24" t="n">
        <v>46000</v>
      </c>
      <c r="C195" s="13" t="s">
        <v>369</v>
      </c>
      <c r="D195" s="13" t="s">
        <v>159</v>
      </c>
      <c r="E195" s="13" t="s">
        <v>14619</v>
      </c>
      <c r="F195" s="25" t="n">
        <v>0.99</v>
      </c>
      <c r="G195" s="32" t="n">
        <v>133.65</v>
      </c>
    </row>
    <row r="196" customFormat="false" ht="15" hidden="false" customHeight="false" outlineLevel="0" collapsed="false">
      <c r="B196" s="24" t="n">
        <v>46001</v>
      </c>
      <c r="C196" s="13" t="s">
        <v>313</v>
      </c>
      <c r="D196" s="13" t="s">
        <v>156</v>
      </c>
      <c r="E196" s="13" t="s">
        <v>14617</v>
      </c>
      <c r="F196" s="25" t="n">
        <v>3.83</v>
      </c>
      <c r="G196" s="32" t="n">
        <v>130.22</v>
      </c>
    </row>
    <row r="197" customFormat="false" ht="15" hidden="false" customHeight="false" outlineLevel="0" collapsed="false">
      <c r="B197" s="24" t="n">
        <v>46001</v>
      </c>
      <c r="C197" s="13" t="s">
        <v>399</v>
      </c>
      <c r="D197" s="13" t="s">
        <v>154</v>
      </c>
      <c r="E197" s="13" t="s">
        <v>14619</v>
      </c>
      <c r="F197" s="25" t="n">
        <v>3.21</v>
      </c>
      <c r="G197" s="32" t="n">
        <v>85.06</v>
      </c>
    </row>
    <row r="198" customFormat="false" ht="15" hidden="false" customHeight="false" outlineLevel="0" collapsed="false">
      <c r="B198" s="24" t="n">
        <v>46002</v>
      </c>
      <c r="C198" s="13" t="s">
        <v>387</v>
      </c>
      <c r="D198" s="13" t="s">
        <v>154</v>
      </c>
      <c r="E198" s="13" t="s">
        <v>14619</v>
      </c>
      <c r="F198" s="25" t="n">
        <v>3.64</v>
      </c>
      <c r="G198" s="32" t="n">
        <v>96.46</v>
      </c>
    </row>
    <row r="199" customFormat="false" ht="15" hidden="false" customHeight="false" outlineLevel="0" collapsed="false">
      <c r="B199" s="24" t="n">
        <v>46003</v>
      </c>
      <c r="C199" s="13" t="s">
        <v>288</v>
      </c>
      <c r="D199" s="13" t="s">
        <v>156</v>
      </c>
      <c r="E199" s="13" t="s">
        <v>14617</v>
      </c>
      <c r="F199" s="25" t="n">
        <v>3.77</v>
      </c>
      <c r="G199" s="32" t="n">
        <v>128.18</v>
      </c>
    </row>
    <row r="200" customFormat="false" ht="15" hidden="false" customHeight="false" outlineLevel="0" collapsed="false">
      <c r="B200" s="24" t="n">
        <v>46008</v>
      </c>
      <c r="C200" s="13" t="s">
        <v>371</v>
      </c>
      <c r="D200" s="13" t="s">
        <v>154</v>
      </c>
      <c r="E200" s="13" t="s">
        <v>14617</v>
      </c>
      <c r="F200" s="25" t="n">
        <v>4.97</v>
      </c>
      <c r="G200" s="32" t="n">
        <v>131.7</v>
      </c>
    </row>
    <row r="201" customFormat="false" ht="15" hidden="false" customHeight="false" outlineLevel="0" collapsed="false">
      <c r="B201" s="24" t="n">
        <v>46008</v>
      </c>
      <c r="C201" s="13" t="s">
        <v>401</v>
      </c>
      <c r="D201" s="13" t="s">
        <v>156</v>
      </c>
      <c r="E201" s="13" t="s">
        <v>14618</v>
      </c>
      <c r="F201" s="25" t="n">
        <v>4.02</v>
      </c>
      <c r="G201" s="32" t="n">
        <v>136.68</v>
      </c>
    </row>
    <row r="202" customFormat="false" ht="15" hidden="false" customHeight="false" outlineLevel="0" collapsed="false">
      <c r="B202" s="24" t="n">
        <v>46009</v>
      </c>
      <c r="C202" s="13" t="s">
        <v>343</v>
      </c>
      <c r="D202" s="13" t="s">
        <v>154</v>
      </c>
      <c r="E202" s="13" t="s">
        <v>14619</v>
      </c>
      <c r="F202" s="25" t="n">
        <v>3.94</v>
      </c>
      <c r="G202" s="32" t="n">
        <v>104.41</v>
      </c>
    </row>
    <row r="203" customFormat="false" ht="15" hidden="false" customHeight="false" outlineLevel="0" collapsed="false">
      <c r="B203" s="24" t="n">
        <v>46010</v>
      </c>
      <c r="C203" s="13" t="s">
        <v>309</v>
      </c>
      <c r="D203" s="13" t="s">
        <v>159</v>
      </c>
      <c r="E203" s="13" t="s">
        <v>14619</v>
      </c>
      <c r="F203" s="25" t="n">
        <v>1.07</v>
      </c>
      <c r="G203" s="32" t="n">
        <v>144.45</v>
      </c>
    </row>
    <row r="204" customFormat="false" ht="15" hidden="false" customHeight="false" outlineLevel="0" collapsed="false">
      <c r="B204" s="24" t="n">
        <v>46012</v>
      </c>
      <c r="C204" s="13" t="s">
        <v>288</v>
      </c>
      <c r="D204" s="13" t="s">
        <v>156</v>
      </c>
      <c r="E204" s="13" t="s">
        <v>14619</v>
      </c>
      <c r="F204" s="25" t="n">
        <v>4.14</v>
      </c>
      <c r="G204" s="32" t="n">
        <v>140.76</v>
      </c>
    </row>
    <row r="205" customFormat="false" ht="15" hidden="false" customHeight="false" outlineLevel="0" collapsed="false">
      <c r="B205" s="24" t="n">
        <v>46013</v>
      </c>
      <c r="C205" s="13" t="s">
        <v>371</v>
      </c>
      <c r="D205" s="13" t="s">
        <v>154</v>
      </c>
      <c r="E205" s="13" t="s">
        <v>14617</v>
      </c>
      <c r="F205" s="25" t="n">
        <v>4.83</v>
      </c>
      <c r="G205" s="32" t="n">
        <v>128</v>
      </c>
    </row>
    <row r="206" customFormat="false" ht="15" hidden="false" customHeight="false" outlineLevel="0" collapsed="false">
      <c r="B206" s="24" t="n">
        <v>46015</v>
      </c>
      <c r="C206" s="13" t="s">
        <v>389</v>
      </c>
      <c r="D206" s="13" t="s">
        <v>154</v>
      </c>
      <c r="E206" s="13" t="s">
        <v>14617</v>
      </c>
      <c r="F206" s="25" t="n">
        <v>4.01</v>
      </c>
      <c r="G206" s="32" t="n">
        <v>106.27</v>
      </c>
    </row>
    <row r="207" customFormat="false" ht="15" hidden="false" customHeight="false" outlineLevel="0" collapsed="false">
      <c r="B207" s="24" t="n">
        <v>46016</v>
      </c>
      <c r="C207" s="13" t="s">
        <v>343</v>
      </c>
      <c r="D207" s="13" t="s">
        <v>154</v>
      </c>
      <c r="E207" s="13" t="s">
        <v>14618</v>
      </c>
      <c r="F207" s="25" t="n">
        <v>4.06</v>
      </c>
      <c r="G207" s="32" t="n">
        <v>107.59</v>
      </c>
    </row>
    <row r="208" customFormat="false" ht="15" hidden="false" customHeight="false" outlineLevel="0" collapsed="false">
      <c r="B208" s="24" t="n">
        <v>46017</v>
      </c>
      <c r="C208" s="13" t="s">
        <v>295</v>
      </c>
      <c r="D208" s="13" t="s">
        <v>154</v>
      </c>
      <c r="E208" s="13" t="s">
        <v>14619</v>
      </c>
      <c r="F208" s="25" t="n">
        <v>4.03</v>
      </c>
      <c r="G208" s="32" t="n">
        <v>106.8</v>
      </c>
    </row>
    <row r="209" customFormat="false" ht="15" hidden="false" customHeight="false" outlineLevel="0" collapsed="false">
      <c r="B209" s="24" t="n">
        <v>46017</v>
      </c>
      <c r="C209" s="13" t="s">
        <v>313</v>
      </c>
      <c r="D209" s="13" t="s">
        <v>156</v>
      </c>
      <c r="E209" s="13" t="s">
        <v>14617</v>
      </c>
      <c r="F209" s="25" t="n">
        <v>4</v>
      </c>
      <c r="G209" s="32" t="n">
        <v>136</v>
      </c>
    </row>
    <row r="210" customFormat="false" ht="15" hidden="false" customHeight="false" outlineLevel="0" collapsed="false">
      <c r="B210" s="24" t="n">
        <v>46017</v>
      </c>
      <c r="C210" s="13" t="s">
        <v>411</v>
      </c>
      <c r="D210" s="13" t="s">
        <v>154</v>
      </c>
      <c r="E210" s="13" t="s">
        <v>14619</v>
      </c>
      <c r="F210" s="25" t="n">
        <v>4.59</v>
      </c>
      <c r="G210" s="32" t="n">
        <v>121.63</v>
      </c>
    </row>
    <row r="211" customFormat="false" ht="15" hidden="false" customHeight="false" outlineLevel="0" collapsed="false">
      <c r="B211" s="24" t="n">
        <v>46020</v>
      </c>
      <c r="C211" s="13" t="s">
        <v>325</v>
      </c>
      <c r="D211" s="13" t="s">
        <v>154</v>
      </c>
      <c r="E211" s="13" t="s">
        <v>14617</v>
      </c>
      <c r="F211" s="25" t="n">
        <v>2.72</v>
      </c>
      <c r="G211" s="32" t="n">
        <v>72.08</v>
      </c>
    </row>
    <row r="212" customFormat="false" ht="15" hidden="false" customHeight="false" outlineLevel="0" collapsed="false">
      <c r="B212" s="24" t="n">
        <v>46020</v>
      </c>
      <c r="C212" s="13" t="s">
        <v>409</v>
      </c>
      <c r="D212" s="13" t="s">
        <v>154</v>
      </c>
      <c r="E212" s="13" t="s">
        <v>14619</v>
      </c>
      <c r="F212" s="25" t="n">
        <v>3</v>
      </c>
      <c r="G212" s="32" t="n">
        <v>79.5</v>
      </c>
    </row>
    <row r="214" customFormat="false" ht="15" hidden="false" customHeight="false" outlineLevel="0" collapsed="false">
      <c r="B214" s="31" t="s">
        <v>14620</v>
      </c>
      <c r="G214" s="44" t="n">
        <f aca="false">SUM(G6:G212)</f>
        <v>25605.39</v>
      </c>
    </row>
    <row r="215" customFormat="false" ht="15" hidden="false" customHeight="false" outlineLevel="0" collapsed="false">
      <c r="B215" s="3" t="s">
        <v>14621</v>
      </c>
      <c r="C215" s="8" t="n">
        <f aca="false">COUNTA(B6:B212)</f>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6B"/>
    <pageSetUpPr fitToPage="false"/>
  </sheetPr>
  <dimension ref="B2:O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5" min="3" style="0" width="13"/>
  </cols>
  <sheetData>
    <row r="2" customFormat="false" ht="17.35" hidden="false" customHeight="false" outlineLevel="0" collapsed="false">
      <c r="B2" s="1" t="s">
        <v>14622</v>
      </c>
    </row>
    <row r="3" customFormat="false" ht="15" hidden="false" customHeight="false" outlineLevel="0" collapsed="false">
      <c r="B3" s="2" t="s">
        <v>14623</v>
      </c>
    </row>
    <row r="5" customFormat="false" ht="15" hidden="false" customHeight="false" outlineLevel="0" collapsed="false">
      <c r="B5" s="45"/>
      <c r="C5" s="11" t="s">
        <v>469</v>
      </c>
      <c r="D5" s="11" t="s">
        <v>470</v>
      </c>
      <c r="E5" s="11" t="s">
        <v>471</v>
      </c>
      <c r="F5" s="11" t="s">
        <v>472</v>
      </c>
      <c r="G5" s="11" t="s">
        <v>473</v>
      </c>
      <c r="H5" s="11" t="s">
        <v>474</v>
      </c>
      <c r="I5" s="11" t="s">
        <v>475</v>
      </c>
      <c r="J5" s="11" t="s">
        <v>476</v>
      </c>
      <c r="K5" s="11" t="s">
        <v>477</v>
      </c>
      <c r="L5" s="11" t="s">
        <v>478</v>
      </c>
      <c r="M5" s="11" t="s">
        <v>479</v>
      </c>
      <c r="N5" s="11" t="s">
        <v>480</v>
      </c>
      <c r="O5" s="11" t="s">
        <v>14624</v>
      </c>
    </row>
    <row r="6" customFormat="false" ht="15" hidden="false" customHeight="false" outlineLevel="0" collapsed="false">
      <c r="B6" s="13" t="s">
        <v>14625</v>
      </c>
      <c r="C6" s="34" t="n">
        <f aca="false">SUMIFS('Daily Payroll Register'!$I$6:$I$5978,'Daily Payroll Register'!$C$6:$C$5978,"&gt;="&amp;DATE(2025,1,1),'Daily Payroll Register'!$C$6:$C$5978,"&lt;"&amp;DATE(2025,2,1))</f>
        <v>32619.6937</v>
      </c>
      <c r="D6" s="34" t="n">
        <f aca="false">SUMIFS('Daily Payroll Register'!$I$6:$I$5978,'Daily Payroll Register'!$C$6:$C$5978,"&gt;="&amp;DATE(2025,2,1),'Daily Payroll Register'!$C$6:$C$5978,"&lt;"&amp;DATE(2025,3,1))</f>
        <v>28107.4751</v>
      </c>
      <c r="E6" s="34" t="n">
        <f aca="false">SUMIFS('Daily Payroll Register'!$I$6:$I$5978,'Daily Payroll Register'!$C$6:$C$5978,"&gt;="&amp;DATE(2025,3,1),'Daily Payroll Register'!$C$6:$C$5978,"&lt;"&amp;DATE(2025,4,1))</f>
        <v>30891.1001</v>
      </c>
      <c r="F6" s="34" t="n">
        <f aca="false">SUMIFS('Daily Payroll Register'!$I$6:$I$5978,'Daily Payroll Register'!$C$6:$C$5978,"&gt;="&amp;DATE(2025,4,1),'Daily Payroll Register'!$C$6:$C$5978,"&lt;"&amp;DATE(2025,5,1))</f>
        <v>31877.5661</v>
      </c>
      <c r="G6" s="34" t="n">
        <f aca="false">SUMIFS('Daily Payroll Register'!$I$6:$I$5978,'Daily Payroll Register'!$C$6:$C$5978,"&gt;="&amp;DATE(2025,5,1),'Daily Payroll Register'!$C$6:$C$5978,"&lt;"&amp;DATE(2025,6,1))</f>
        <v>33491.01893</v>
      </c>
      <c r="H6" s="34" t="n">
        <f aca="false">SUMIFS('Daily Payroll Register'!$I$6:$I$5978,'Daily Payroll Register'!$C$6:$C$5978,"&gt;="&amp;DATE(2025,6,1),'Daily Payroll Register'!$C$6:$C$5978,"&lt;"&amp;DATE(2025,7,1))</f>
        <v>33038.07338</v>
      </c>
      <c r="I6" s="34" t="n">
        <f aca="false">SUMIFS('Daily Payroll Register'!$I$6:$I$5978,'Daily Payroll Register'!$C$6:$C$5978,"&gt;="&amp;DATE(2025,7,1),'Daily Payroll Register'!$C$6:$C$5978,"&lt;"&amp;DATE(2025,8,1))</f>
        <v>34800.11749</v>
      </c>
      <c r="J6" s="34" t="n">
        <f aca="false">SUMIFS('Daily Payroll Register'!$I$6:$I$5978,'Daily Payroll Register'!$C$6:$C$5978,"&gt;="&amp;DATE(2025,8,1),'Daily Payroll Register'!$C$6:$C$5978,"&lt;"&amp;DATE(2025,9,1))</f>
        <v>36518.63159</v>
      </c>
      <c r="K6" s="34" t="n">
        <f aca="false">SUMIFS('Daily Payroll Register'!$I$6:$I$5978,'Daily Payroll Register'!$C$6:$C$5978,"&gt;="&amp;DATE(2025,9,1),'Daily Payroll Register'!$C$6:$C$5978,"&lt;"&amp;DATE(2025,10,1))</f>
        <v>36743.12053</v>
      </c>
      <c r="L6" s="34" t="n">
        <f aca="false">SUMIFS('Daily Payroll Register'!$I$6:$I$5978,'Daily Payroll Register'!$C$6:$C$5978,"&gt;="&amp;DATE(2025,10,1),'Daily Payroll Register'!$C$6:$C$5978,"&lt;"&amp;DATE(2025,11,1))</f>
        <v>40819.4972</v>
      </c>
      <c r="M6" s="34" t="n">
        <f aca="false">SUMIFS('Daily Payroll Register'!$I$6:$I$5978,'Daily Payroll Register'!$C$6:$C$5978,"&gt;="&amp;DATE(2025,11,1),'Daily Payroll Register'!$C$6:$C$5978,"&lt;"&amp;DATE(2025,12,1))</f>
        <v>37196.33281</v>
      </c>
      <c r="N6" s="34" t="n">
        <f aca="false">SUMIFS('Daily Payroll Register'!$I$6:$I$5978,'Daily Payroll Register'!$C$6:$C$5978,"&gt;="&amp;DATE(2025,12,1),'Daily Payroll Register'!$C$6:$C$5978,"&lt;"&amp;DATE(2026,1,1))</f>
        <v>40241.36578</v>
      </c>
      <c r="O6" s="35" t="n">
        <f aca="false">SUM(C6:N6)</f>
        <v>416343.99271</v>
      </c>
    </row>
    <row r="7" customFormat="false" ht="15" hidden="false" customHeight="false" outlineLevel="0" collapsed="false">
      <c r="B7" s="13" t="s">
        <v>14626</v>
      </c>
      <c r="C7" s="34" t="n">
        <f aca="false">SUMIFS('Daily Payroll Register'!$J$6:$J$5978,'Daily Payroll Register'!$C$6:$C$5978,"&gt;="&amp;DATE(2025,1,1),'Daily Payroll Register'!$C$6:$C$5978,"&lt;"&amp;DATE(2025,2,1))</f>
        <v>0</v>
      </c>
      <c r="D7" s="34" t="n">
        <f aca="false">SUMIFS('Daily Payroll Register'!$J$6:$J$5978,'Daily Payroll Register'!$C$6:$C$5978,"&gt;="&amp;DATE(2025,2,1),'Daily Payroll Register'!$C$6:$C$5978,"&lt;"&amp;DATE(2025,3,1))</f>
        <v>0</v>
      </c>
      <c r="E7" s="34" t="n">
        <f aca="false">SUMIFS('Daily Payroll Register'!$J$6:$J$5978,'Daily Payroll Register'!$C$6:$C$5978,"&gt;="&amp;DATE(2025,3,1),'Daily Payroll Register'!$C$6:$C$5978,"&lt;"&amp;DATE(2025,4,1))</f>
        <v>0</v>
      </c>
      <c r="F7" s="34" t="n">
        <f aca="false">SUMIFS('Daily Payroll Register'!$J$6:$J$5978,'Daily Payroll Register'!$C$6:$C$5978,"&gt;="&amp;DATE(2025,4,1),'Daily Payroll Register'!$C$6:$C$5978,"&lt;"&amp;DATE(2025,5,1))</f>
        <v>0</v>
      </c>
      <c r="G7" s="34" t="n">
        <f aca="false">SUMIFS('Daily Payroll Register'!$J$6:$J$5978,'Daily Payroll Register'!$C$6:$C$5978,"&gt;="&amp;DATE(2025,5,1),'Daily Payroll Register'!$C$6:$C$5978,"&lt;"&amp;DATE(2025,6,1))</f>
        <v>36.240855</v>
      </c>
      <c r="H7" s="34" t="n">
        <f aca="false">SUMIFS('Daily Payroll Register'!$J$6:$J$5978,'Daily Payroll Register'!$C$6:$C$5978,"&gt;="&amp;DATE(2025,6,1),'Daily Payroll Register'!$C$6:$C$5978,"&lt;"&amp;DATE(2025,7,1))</f>
        <v>140.17293</v>
      </c>
      <c r="I7" s="34" t="n">
        <f aca="false">SUMIFS('Daily Payroll Register'!$J$6:$J$5978,'Daily Payroll Register'!$C$6:$C$5978,"&gt;="&amp;DATE(2025,7,1),'Daily Payroll Register'!$C$6:$C$5978,"&lt;"&amp;DATE(2025,8,1))</f>
        <v>505.920615</v>
      </c>
      <c r="J7" s="34" t="n">
        <f aca="false">SUMIFS('Daily Payroll Register'!$J$6:$J$5978,'Daily Payroll Register'!$C$6:$C$5978,"&gt;="&amp;DATE(2025,8,1),'Daily Payroll Register'!$C$6:$C$5978,"&lt;"&amp;DATE(2025,9,1))</f>
        <v>1027.671765</v>
      </c>
      <c r="K7" s="34" t="n">
        <f aca="false">SUMIFS('Daily Payroll Register'!$J$6:$J$5978,'Daily Payroll Register'!$C$6:$C$5978,"&gt;="&amp;DATE(2025,9,1),'Daily Payroll Register'!$C$6:$C$5978,"&lt;"&amp;DATE(2025,10,1))</f>
        <v>1573.310505</v>
      </c>
      <c r="L7" s="34" t="n">
        <f aca="false">SUMIFS('Daily Payroll Register'!$J$6:$J$5978,'Daily Payroll Register'!$C$6:$C$5978,"&gt;="&amp;DATE(2025,10,1),'Daily Payroll Register'!$C$6:$C$5978,"&lt;"&amp;DATE(2025,11,1))</f>
        <v>734.2698</v>
      </c>
      <c r="M7" s="34" t="n">
        <f aca="false">SUMIFS('Daily Payroll Register'!$J$6:$J$5978,'Daily Payroll Register'!$C$6:$C$5978,"&gt;="&amp;DATE(2025,11,1),'Daily Payroll Register'!$C$6:$C$5978,"&lt;"&amp;DATE(2025,12,1))</f>
        <v>879.388785</v>
      </c>
      <c r="N7" s="34" t="n">
        <f aca="false">SUMIFS('Daily Payroll Register'!$J$6:$J$5978,'Daily Payroll Register'!$C$6:$C$5978,"&gt;="&amp;DATE(2025,12,1),'Daily Payroll Register'!$C$6:$C$5978,"&lt;"&amp;DATE(2026,1,1))</f>
        <v>1062.93018</v>
      </c>
      <c r="O7" s="35" t="n">
        <f aca="false">SUM(C7:N7)</f>
        <v>5959.905435</v>
      </c>
    </row>
    <row r="8" customFormat="false" ht="15" hidden="false" customHeight="false" outlineLevel="0" collapsed="false">
      <c r="B8" s="13" t="s">
        <v>119</v>
      </c>
      <c r="C8" s="34" t="n">
        <f aca="false">SUMIFS('Daily Payroll Register'!$L$6:$L$5978,'Daily Payroll Register'!$C$6:$C$5978,"&gt;="&amp;DATE(2025,1,1),'Daily Payroll Register'!$C$6:$C$5978,"&lt;"&amp;DATE(2025,2,1))</f>
        <v>3883.9833</v>
      </c>
      <c r="D8" s="34" t="n">
        <f aca="false">SUMIFS('Daily Payroll Register'!$L$6:$L$5978,'Daily Payroll Register'!$C$6:$C$5978,"&gt;="&amp;DATE(2025,2,1),'Daily Payroll Register'!$C$6:$C$5978,"&lt;"&amp;DATE(2025,3,1))</f>
        <v>3341.089</v>
      </c>
      <c r="E8" s="34" t="n">
        <f aca="false">SUMIFS('Daily Payroll Register'!$L$6:$L$5978,'Daily Payroll Register'!$C$6:$C$5978,"&gt;="&amp;DATE(2025,3,1),'Daily Payroll Register'!$C$6:$C$5978,"&lt;"&amp;DATE(2025,4,1))</f>
        <v>3648.6726</v>
      </c>
      <c r="F8" s="34" t="n">
        <f aca="false">SUMIFS('Daily Payroll Register'!$L$6:$L$5978,'Daily Payroll Register'!$C$6:$C$5978,"&gt;="&amp;DATE(2025,4,1),'Daily Payroll Register'!$C$6:$C$5978,"&lt;"&amp;DATE(2025,5,1))</f>
        <v>3732.3958</v>
      </c>
      <c r="G8" s="34" t="n">
        <f aca="false">SUMIFS('Daily Payroll Register'!$L$6:$L$5978,'Daily Payroll Register'!$C$6:$C$5978,"&gt;="&amp;DATE(2025,5,1),'Daily Payroll Register'!$C$6:$C$5978,"&lt;"&amp;DATE(2025,6,1))</f>
        <v>3998.3724</v>
      </c>
      <c r="H8" s="34" t="n">
        <f aca="false">SUMIFS('Daily Payroll Register'!$L$6:$L$5978,'Daily Payroll Register'!$C$6:$C$5978,"&gt;="&amp;DATE(2025,6,1),'Daily Payroll Register'!$C$6:$C$5978,"&lt;"&amp;DATE(2025,7,1))</f>
        <v>3872.2717</v>
      </c>
      <c r="I8" s="34" t="n">
        <f aca="false">SUMIFS('Daily Payroll Register'!$L$6:$L$5978,'Daily Payroll Register'!$C$6:$C$5978,"&gt;="&amp;DATE(2025,7,1),'Daily Payroll Register'!$C$6:$C$5978,"&lt;"&amp;DATE(2025,8,1))</f>
        <v>4171.0515</v>
      </c>
      <c r="J8" s="34" t="n">
        <f aca="false">SUMIFS('Daily Payroll Register'!$L$6:$L$5978,'Daily Payroll Register'!$C$6:$C$5978,"&gt;="&amp;DATE(2025,8,1),'Daily Payroll Register'!$C$6:$C$5978,"&lt;"&amp;DATE(2025,9,1))</f>
        <v>4414.7104</v>
      </c>
      <c r="K8" s="34" t="n">
        <f aca="false">SUMIFS('Daily Payroll Register'!$L$6:$L$5978,'Daily Payroll Register'!$C$6:$C$5978,"&gt;="&amp;DATE(2025,9,1),'Daily Payroll Register'!$C$6:$C$5978,"&lt;"&amp;DATE(2025,10,1))</f>
        <v>4562.365</v>
      </c>
      <c r="L8" s="34" t="n">
        <f aca="false">SUMIFS('Daily Payroll Register'!$L$6:$L$5978,'Daily Payroll Register'!$C$6:$C$5978,"&gt;="&amp;DATE(2025,10,1),'Daily Payroll Register'!$C$6:$C$5978,"&lt;"&amp;DATE(2025,11,1))</f>
        <v>4933.4646</v>
      </c>
      <c r="M8" s="34" t="n">
        <f aca="false">SUMIFS('Daily Payroll Register'!$L$6:$L$5978,'Daily Payroll Register'!$C$6:$C$5978,"&gt;="&amp;DATE(2025,11,1),'Daily Payroll Register'!$C$6:$C$5978,"&lt;"&amp;DATE(2025,12,1))</f>
        <v>4502.1722</v>
      </c>
      <c r="N8" s="34" t="n">
        <f aca="false">SUMIFS('Daily Payroll Register'!$L$6:$L$5978,'Daily Payroll Register'!$C$6:$C$5978,"&gt;="&amp;DATE(2025,12,1),'Daily Payroll Register'!$C$6:$C$5978,"&lt;"&amp;DATE(2026,1,1))</f>
        <v>4834.4855</v>
      </c>
      <c r="O8" s="35" t="n">
        <f aca="false">SUM(C8:N8)</f>
        <v>49895.034</v>
      </c>
    </row>
    <row r="9" customFormat="false" ht="15" hidden="false" customHeight="false" outlineLevel="0" collapsed="false">
      <c r="B9" s="13" t="s">
        <v>14627</v>
      </c>
      <c r="C9" s="34" t="n">
        <f aca="false">SUMIFS('Daily Payroll Register'!$N$6:$N$5978,'Daily Payroll Register'!$C$6:$C$5978,"&gt;="&amp;DATE(2025,1,1),'Daily Payroll Register'!$C$6:$C$5978,"&lt;"&amp;DATE(2025,2,1))</f>
        <v>7029.21</v>
      </c>
      <c r="D9" s="34" t="n">
        <f aca="false">SUMIFS('Daily Payroll Register'!$N$6:$N$5978,'Daily Payroll Register'!$C$6:$C$5978,"&gt;="&amp;DATE(2025,2,1),'Daily Payroll Register'!$C$6:$C$5978,"&lt;"&amp;DATE(2025,3,1))</f>
        <v>6264.43</v>
      </c>
      <c r="E9" s="34" t="n">
        <f aca="false">SUMIFS('Daily Payroll Register'!$N$6:$N$5978,'Daily Payroll Register'!$C$6:$C$5978,"&gt;="&amp;DATE(2025,3,1),'Daily Payroll Register'!$C$6:$C$5978,"&lt;"&amp;DATE(2025,4,1))</f>
        <v>6667.57</v>
      </c>
      <c r="F9" s="34" t="n">
        <f aca="false">SUMIFS('Daily Payroll Register'!$N$6:$N$5978,'Daily Payroll Register'!$C$6:$C$5978,"&gt;="&amp;DATE(2025,4,1),'Daily Payroll Register'!$C$6:$C$5978,"&lt;"&amp;DATE(2025,5,1))</f>
        <v>7998.63</v>
      </c>
      <c r="G9" s="34" t="n">
        <f aca="false">SUMIFS('Daily Payroll Register'!$N$6:$N$5978,'Daily Payroll Register'!$C$6:$C$5978,"&gt;="&amp;DATE(2025,5,1),'Daily Payroll Register'!$C$6:$C$5978,"&lt;"&amp;DATE(2025,6,1))</f>
        <v>7517.88</v>
      </c>
      <c r="H9" s="34" t="n">
        <f aca="false">SUMIFS('Daily Payroll Register'!$N$6:$N$5978,'Daily Payroll Register'!$C$6:$C$5978,"&gt;="&amp;DATE(2025,6,1),'Daily Payroll Register'!$C$6:$C$5978,"&lt;"&amp;DATE(2025,7,1))</f>
        <v>6958.45</v>
      </c>
      <c r="I9" s="34" t="n">
        <f aca="false">SUMIFS('Daily Payroll Register'!$N$6:$N$5978,'Daily Payroll Register'!$C$6:$C$5978,"&gt;="&amp;DATE(2025,7,1),'Daily Payroll Register'!$C$6:$C$5978,"&lt;"&amp;DATE(2025,8,1))</f>
        <v>7887.95</v>
      </c>
      <c r="J9" s="34" t="n">
        <f aca="false">SUMIFS('Daily Payroll Register'!$N$6:$N$5978,'Daily Payroll Register'!$C$6:$C$5978,"&gt;="&amp;DATE(2025,8,1),'Daily Payroll Register'!$C$6:$C$5978,"&lt;"&amp;DATE(2025,9,1))</f>
        <v>9050.45</v>
      </c>
      <c r="K9" s="34" t="n">
        <f aca="false">SUMIFS('Daily Payroll Register'!$N$6:$N$5978,'Daily Payroll Register'!$C$6:$C$5978,"&gt;="&amp;DATE(2025,9,1),'Daily Payroll Register'!$C$6:$C$5978,"&lt;"&amp;DATE(2025,10,1))</f>
        <v>8731.54</v>
      </c>
      <c r="L9" s="34" t="n">
        <f aca="false">SUMIFS('Daily Payroll Register'!$N$6:$N$5978,'Daily Payroll Register'!$C$6:$C$5978,"&gt;="&amp;DATE(2025,10,1),'Daily Payroll Register'!$C$6:$C$5978,"&lt;"&amp;DATE(2025,11,1))</f>
        <v>9218.36</v>
      </c>
      <c r="M9" s="34" t="n">
        <f aca="false">SUMIFS('Daily Payroll Register'!$N$6:$N$5978,'Daily Payroll Register'!$C$6:$C$5978,"&gt;="&amp;DATE(2025,11,1),'Daily Payroll Register'!$C$6:$C$5978,"&lt;"&amp;DATE(2025,12,1))</f>
        <v>7880.77</v>
      </c>
      <c r="N9" s="34" t="n">
        <f aca="false">SUMIFS('Daily Payroll Register'!$N$6:$N$5978,'Daily Payroll Register'!$C$6:$C$5978,"&gt;="&amp;DATE(2025,12,1),'Daily Payroll Register'!$C$6:$C$5978,"&lt;"&amp;DATE(2026,1,1))</f>
        <v>9517.01</v>
      </c>
      <c r="O9" s="35" t="n">
        <f aca="false">SUM(C9:N9)</f>
        <v>94722.25</v>
      </c>
    </row>
    <row r="10" customFormat="false" ht="15" hidden="false" customHeight="false" outlineLevel="0" collapsed="false">
      <c r="B10" s="46" t="s">
        <v>14628</v>
      </c>
      <c r="C10" s="47" t="n">
        <f aca="false">SUM(C6:C9)</f>
        <v>43532.887</v>
      </c>
      <c r="D10" s="47" t="n">
        <f aca="false">SUM(D6:D9)</f>
        <v>37712.9941</v>
      </c>
      <c r="E10" s="47" t="n">
        <f aca="false">SUM(E6:E9)</f>
        <v>41207.3427</v>
      </c>
      <c r="F10" s="47" t="n">
        <f aca="false">SUM(F6:F9)</f>
        <v>43608.5919</v>
      </c>
      <c r="G10" s="47" t="n">
        <f aca="false">SUM(G6:G9)</f>
        <v>45043.512185</v>
      </c>
      <c r="H10" s="47" t="n">
        <f aca="false">SUM(H6:H9)</f>
        <v>44008.96801</v>
      </c>
      <c r="I10" s="47" t="n">
        <f aca="false">SUM(I6:I9)</f>
        <v>47365.039605</v>
      </c>
      <c r="J10" s="47" t="n">
        <f aca="false">SUM(J6:J9)</f>
        <v>51011.463755</v>
      </c>
      <c r="K10" s="47" t="n">
        <f aca="false">SUM(K6:K9)</f>
        <v>51610.336035</v>
      </c>
      <c r="L10" s="47" t="n">
        <f aca="false">SUM(L6:L9)</f>
        <v>55705.5916</v>
      </c>
      <c r="M10" s="47" t="n">
        <f aca="false">SUM(M6:M9)</f>
        <v>50458.663795</v>
      </c>
      <c r="N10" s="47" t="n">
        <f aca="false">SUM(N6:N9)</f>
        <v>55655.79146</v>
      </c>
      <c r="O10" s="47" t="n">
        <f aca="false">SUM(C10:N10)</f>
        <v>566921.182145</v>
      </c>
    </row>
    <row r="11" customFormat="false" ht="15" hidden="false" customHeight="false" outlineLevel="0" collapsed="false">
      <c r="B11" s="13" t="s">
        <v>14629</v>
      </c>
      <c r="C11" s="34" t="n">
        <f aca="false">C10*'Chart of Accounts'!$E$67</f>
        <v>6312.268615</v>
      </c>
      <c r="D11" s="34" t="n">
        <f aca="false">D10*'Chart of Accounts'!$E$67</f>
        <v>5468.3841445</v>
      </c>
      <c r="E11" s="34" t="n">
        <f aca="false">E10*'Chart of Accounts'!$E$67</f>
        <v>5975.0646915</v>
      </c>
      <c r="F11" s="34" t="n">
        <f aca="false">F10*'Chart of Accounts'!$E$67</f>
        <v>6323.2458255</v>
      </c>
      <c r="G11" s="34" t="n">
        <f aca="false">G10*'Chart of Accounts'!$E$67</f>
        <v>6531.309266825</v>
      </c>
      <c r="H11" s="34" t="n">
        <f aca="false">H10*'Chart of Accounts'!$E$67</f>
        <v>6381.30036145</v>
      </c>
      <c r="I11" s="34" t="n">
        <f aca="false">I10*'Chart of Accounts'!$E$67</f>
        <v>6867.930742725</v>
      </c>
      <c r="J11" s="34" t="n">
        <f aca="false">J10*'Chart of Accounts'!$E$67</f>
        <v>7396.662244475</v>
      </c>
      <c r="K11" s="34" t="n">
        <f aca="false">K10*'Chart of Accounts'!$E$67</f>
        <v>7483.498725075</v>
      </c>
      <c r="L11" s="34" t="n">
        <f aca="false">L10*'Chart of Accounts'!$E$67</f>
        <v>8077.310782</v>
      </c>
      <c r="M11" s="34" t="n">
        <f aca="false">M10*'Chart of Accounts'!$E$67</f>
        <v>7316.506250275</v>
      </c>
      <c r="N11" s="34" t="n">
        <f aca="false">N10*'Chart of Accounts'!$E$67</f>
        <v>8070.0897617</v>
      </c>
      <c r="O11" s="35" t="n">
        <f aca="false">SUM(C11:N11)</f>
        <v>82203.571411025</v>
      </c>
    </row>
    <row r="12" customFormat="false" ht="15" hidden="false" customHeight="false" outlineLevel="0" collapsed="false">
      <c r="B12" s="46" t="s">
        <v>14630</v>
      </c>
      <c r="C12" s="47" t="n">
        <f aca="false">C10+C11</f>
        <v>49845.155615</v>
      </c>
      <c r="D12" s="47" t="n">
        <f aca="false">D10+D11</f>
        <v>43181.3782445</v>
      </c>
      <c r="E12" s="47" t="n">
        <f aca="false">E10+E11</f>
        <v>47182.4073915</v>
      </c>
      <c r="F12" s="47" t="n">
        <f aca="false">F10+F11</f>
        <v>49931.8377255</v>
      </c>
      <c r="G12" s="47" t="n">
        <f aca="false">G10+G11</f>
        <v>51574.821451825</v>
      </c>
      <c r="H12" s="47" t="n">
        <f aca="false">H10+H11</f>
        <v>50390.26837145</v>
      </c>
      <c r="I12" s="47" t="n">
        <f aca="false">I10+I11</f>
        <v>54232.970347725</v>
      </c>
      <c r="J12" s="47" t="n">
        <f aca="false">J10+J11</f>
        <v>58408.125999475</v>
      </c>
      <c r="K12" s="47" t="n">
        <f aca="false">K10+K11</f>
        <v>59093.834760075</v>
      </c>
      <c r="L12" s="47" t="n">
        <f aca="false">L10+L11</f>
        <v>63782.902382</v>
      </c>
      <c r="M12" s="47" t="n">
        <f aca="false">M10+M11</f>
        <v>57775.170045275</v>
      </c>
      <c r="N12" s="47" t="n">
        <f aca="false">N10+N11</f>
        <v>63725.8812217</v>
      </c>
      <c r="O12" s="47" t="n">
        <f aca="false">SUM(C12:N12)</f>
        <v>649124.753556025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6B"/>
    <pageSetUpPr fitToPage="false"/>
  </sheetPr>
  <dimension ref="B2: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15" min="3" style="0" width="13"/>
  </cols>
  <sheetData>
    <row r="2" customFormat="false" ht="17.35" hidden="false" customHeight="false" outlineLevel="0" collapsed="false">
      <c r="B2" s="1" t="s">
        <v>14631</v>
      </c>
    </row>
    <row r="3" customFormat="false" ht="15" hidden="false" customHeight="false" outlineLevel="0" collapsed="false">
      <c r="B3" s="2" t="s">
        <v>14632</v>
      </c>
    </row>
    <row r="5" customFormat="false" ht="15" hidden="false" customHeight="false" outlineLevel="0" collapsed="false">
      <c r="B5" s="45"/>
      <c r="C5" s="11" t="s">
        <v>469</v>
      </c>
      <c r="D5" s="11" t="s">
        <v>470</v>
      </c>
      <c r="E5" s="11" t="s">
        <v>471</v>
      </c>
      <c r="F5" s="11" t="s">
        <v>472</v>
      </c>
      <c r="G5" s="11" t="s">
        <v>473</v>
      </c>
      <c r="H5" s="11" t="s">
        <v>474</v>
      </c>
      <c r="I5" s="11" t="s">
        <v>475</v>
      </c>
      <c r="J5" s="11" t="s">
        <v>476</v>
      </c>
      <c r="K5" s="11" t="s">
        <v>477</v>
      </c>
      <c r="L5" s="11" t="s">
        <v>478</v>
      </c>
      <c r="M5" s="11" t="s">
        <v>479</v>
      </c>
      <c r="N5" s="11" t="s">
        <v>480</v>
      </c>
      <c r="O5" s="11" t="s">
        <v>14624</v>
      </c>
    </row>
    <row r="6" customFormat="false" ht="15" hidden="false" customHeight="false" outlineLevel="0" collapsed="false">
      <c r="B6" s="13" t="s">
        <v>154</v>
      </c>
      <c r="C6" s="34" t="n">
        <f aca="false">SUMIFS('Daily Visit Register'!$L$6:$L$8129,'Daily Visit Register'!$C$6:$C$8129,"&gt;="&amp;DATE(2025,1,1),'Daily Visit Register'!$C$6:$C$8129,"&lt;"&amp;DATE(2025,2,1),'Daily Visit Register'!$E$6:$E$8129,"Medicaid Waiver")</f>
        <v>25017.06</v>
      </c>
      <c r="D6" s="34" t="n">
        <f aca="false">SUMIFS('Daily Visit Register'!$L$6:$L$8129,'Daily Visit Register'!$C$6:$C$8129,"&gt;="&amp;DATE(2025,2,1),'Daily Visit Register'!$C$6:$C$8129,"&lt;"&amp;DATE(2025,3,1),'Daily Visit Register'!$E$6:$E$8129,"Medicaid Waiver")</f>
        <v>21519.8285</v>
      </c>
      <c r="E6" s="34" t="n">
        <f aca="false">SUMIFS('Daily Visit Register'!$L$6:$L$8129,'Daily Visit Register'!$C$6:$C$8129,"&gt;="&amp;DATE(2025,3,1),'Daily Visit Register'!$C$6:$C$8129,"&lt;"&amp;DATE(2025,4,1),'Daily Visit Register'!$E$6:$E$8129,"Medicaid Waiver")</f>
        <v>23212.198</v>
      </c>
      <c r="F6" s="34" t="n">
        <f aca="false">SUMIFS('Daily Visit Register'!$L$6:$L$8129,'Daily Visit Register'!$C$6:$C$8129,"&gt;="&amp;DATE(2025,4,1),'Daily Visit Register'!$C$6:$C$8129,"&lt;"&amp;DATE(2025,5,1),'Daily Visit Register'!$E$6:$E$8129,"Medicaid Waiver")</f>
        <v>24571.0385</v>
      </c>
      <c r="G6" s="34" t="n">
        <f aca="false">SUMIFS('Daily Visit Register'!$L$6:$L$8129,'Daily Visit Register'!$C$6:$C$8129,"&gt;="&amp;DATE(2025,5,1),'Daily Visit Register'!$C$6:$C$8129,"&lt;"&amp;DATE(2025,6,1),'Daily Visit Register'!$E$6:$E$8129,"Medicaid Waiver")</f>
        <v>26282.541</v>
      </c>
      <c r="H6" s="34" t="n">
        <f aca="false">SUMIFS('Daily Visit Register'!$L$6:$L$8129,'Daily Visit Register'!$C$6:$C$8129,"&gt;="&amp;DATE(2025,6,1),'Daily Visit Register'!$C$6:$C$8129,"&lt;"&amp;DATE(2025,7,1),'Daily Visit Register'!$E$6:$E$8129,"Medicaid Waiver")</f>
        <v>26254.716</v>
      </c>
      <c r="I6" s="34" t="n">
        <f aca="false">SUMIFS('Daily Visit Register'!$L$6:$L$8129,'Daily Visit Register'!$C$6:$C$8129,"&gt;="&amp;DATE(2025,7,1),'Daily Visit Register'!$C$6:$C$8129,"&lt;"&amp;DATE(2025,8,1),'Daily Visit Register'!$E$6:$E$8129,"Medicaid Waiver")</f>
        <v>28362.6585</v>
      </c>
      <c r="J6" s="34" t="n">
        <f aca="false">SUMIFS('Daily Visit Register'!$L$6:$L$8129,'Daily Visit Register'!$C$6:$C$8129,"&gt;="&amp;DATE(2025,8,1),'Daily Visit Register'!$C$6:$C$8129,"&lt;"&amp;DATE(2025,9,1),'Daily Visit Register'!$E$6:$E$8129,"Medicaid Waiver")</f>
        <v>31689.76</v>
      </c>
      <c r="K6" s="34" t="n">
        <f aca="false">SUMIFS('Daily Visit Register'!$L$6:$L$8129,'Daily Visit Register'!$C$6:$C$8129,"&gt;="&amp;DATE(2025,9,1),'Daily Visit Register'!$C$6:$C$8129,"&lt;"&amp;DATE(2025,10,1),'Daily Visit Register'!$E$6:$E$8129,"Medicaid Waiver")</f>
        <v>32711.547</v>
      </c>
      <c r="L6" s="34" t="n">
        <f aca="false">SUMIFS('Daily Visit Register'!$L$6:$L$8129,'Daily Visit Register'!$C$6:$C$8129,"&gt;="&amp;DATE(2025,10,1),'Daily Visit Register'!$C$6:$C$8129,"&lt;"&amp;DATE(2025,11,1),'Daily Visit Register'!$E$6:$E$8129,"Medicaid Waiver")</f>
        <v>37470.9735</v>
      </c>
      <c r="M6" s="34" t="n">
        <f aca="false">SUMIFS('Daily Visit Register'!$L$6:$L$8129,'Daily Visit Register'!$C$6:$C$8129,"&gt;="&amp;DATE(2025,11,1),'Daily Visit Register'!$C$6:$C$8129,"&lt;"&amp;DATE(2025,12,1),'Daily Visit Register'!$E$6:$E$8129,"Medicaid Waiver")</f>
        <v>34034.374</v>
      </c>
      <c r="N6" s="34" t="n">
        <f aca="false">SUMIFS('Daily Visit Register'!$L$6:$L$8129,'Daily Visit Register'!$C$6:$C$8129,"&gt;="&amp;DATE(2025,12,1),'Daily Visit Register'!$C$6:$C$8129,"&lt;"&amp;DATE(2026,1,1),'Daily Visit Register'!$E$6:$E$8129,"Medicaid Waiver")</f>
        <v>36215.589</v>
      </c>
      <c r="O6" s="35" t="n">
        <f aca="false">SUM(C6:N6)</f>
        <v>347342.284</v>
      </c>
    </row>
    <row r="7" customFormat="false" ht="15" hidden="false" customHeight="false" outlineLevel="0" collapsed="false">
      <c r="B7" s="13" t="s">
        <v>156</v>
      </c>
      <c r="C7" s="34" t="n">
        <f aca="false">SUMIFS('Daily Visit Register'!$L$6:$L$8129,'Daily Visit Register'!$C$6:$C$8129,"&gt;="&amp;DATE(2025,1,1),'Daily Visit Register'!$C$6:$C$8129,"&lt;"&amp;DATE(2025,2,1),'Daily Visit Register'!$E$6:$E$8129,"Private Pay")</f>
        <v>35328.38</v>
      </c>
      <c r="D7" s="34" t="n">
        <f aca="false">SUMIFS('Daily Visit Register'!$L$6:$L$8129,'Daily Visit Register'!$C$6:$C$8129,"&gt;="&amp;DATE(2025,2,1),'Daily Visit Register'!$C$6:$C$8129,"&lt;"&amp;DATE(2025,3,1),'Daily Visit Register'!$E$6:$E$8129,"Private Pay")</f>
        <v>30413.68</v>
      </c>
      <c r="E7" s="34" t="n">
        <f aca="false">SUMIFS('Daily Visit Register'!$L$6:$L$8129,'Daily Visit Register'!$C$6:$C$8129,"&gt;="&amp;DATE(2025,3,1),'Daily Visit Register'!$C$6:$C$8129,"&lt;"&amp;DATE(2025,4,1),'Daily Visit Register'!$E$6:$E$8129,"Private Pay")</f>
        <v>34039.78</v>
      </c>
      <c r="F7" s="34" t="n">
        <f aca="false">SUMIFS('Daily Visit Register'!$L$6:$L$8129,'Daily Visit Register'!$C$6:$C$8129,"&gt;="&amp;DATE(2025,4,1),'Daily Visit Register'!$C$6:$C$8129,"&lt;"&amp;DATE(2025,5,1),'Daily Visit Register'!$E$6:$E$8129,"Private Pay")</f>
        <v>34412.42</v>
      </c>
      <c r="G7" s="34" t="n">
        <f aca="false">SUMIFS('Daily Visit Register'!$L$6:$L$8129,'Daily Visit Register'!$C$6:$C$8129,"&gt;="&amp;DATE(2025,5,1),'Daily Visit Register'!$C$6:$C$8129,"&lt;"&amp;DATE(2025,6,1),'Daily Visit Register'!$E$6:$E$8129,"Private Pay")</f>
        <v>35663.96</v>
      </c>
      <c r="H7" s="34" t="n">
        <f aca="false">SUMIFS('Daily Visit Register'!$L$6:$L$8129,'Daily Visit Register'!$C$6:$C$8129,"&gt;="&amp;DATE(2025,6,1),'Daily Visit Register'!$C$6:$C$8129,"&lt;"&amp;DATE(2025,7,1),'Daily Visit Register'!$E$6:$E$8129,"Private Pay")</f>
        <v>34950.64</v>
      </c>
      <c r="I7" s="34" t="n">
        <f aca="false">SUMIFS('Daily Visit Register'!$L$6:$L$8129,'Daily Visit Register'!$C$6:$C$8129,"&gt;="&amp;DATE(2025,7,1),'Daily Visit Register'!$C$6:$C$8129,"&lt;"&amp;DATE(2025,8,1),'Daily Visit Register'!$E$6:$E$8129,"Private Pay")</f>
        <v>36579.92</v>
      </c>
      <c r="J7" s="34" t="n">
        <f aca="false">SUMIFS('Daily Visit Register'!$L$6:$L$8129,'Daily Visit Register'!$C$6:$C$8129,"&gt;="&amp;DATE(2025,8,1),'Daily Visit Register'!$C$6:$C$8129,"&lt;"&amp;DATE(2025,9,1),'Daily Visit Register'!$E$6:$E$8129,"Private Pay")</f>
        <v>36759.1</v>
      </c>
      <c r="K7" s="34" t="n">
        <f aca="false">SUMIFS('Daily Visit Register'!$L$6:$L$8129,'Daily Visit Register'!$C$6:$C$8129,"&gt;="&amp;DATE(2025,9,1),'Daily Visit Register'!$C$6:$C$8129,"&lt;"&amp;DATE(2025,10,1),'Daily Visit Register'!$E$6:$E$8129,"Private Pay")</f>
        <v>36789.36</v>
      </c>
      <c r="L7" s="34" t="n">
        <f aca="false">SUMIFS('Daily Visit Register'!$L$6:$L$8129,'Daily Visit Register'!$C$6:$C$8129,"&gt;="&amp;DATE(2025,10,1),'Daily Visit Register'!$C$6:$C$8129,"&lt;"&amp;DATE(2025,11,1),'Daily Visit Register'!$E$6:$E$8129,"Private Pay")</f>
        <v>38184.72</v>
      </c>
      <c r="M7" s="34" t="n">
        <f aca="false">SUMIFS('Daily Visit Register'!$L$6:$L$8129,'Daily Visit Register'!$C$6:$C$8129,"&gt;="&amp;DATE(2025,11,1),'Daily Visit Register'!$C$6:$C$8129,"&lt;"&amp;DATE(2025,12,1),'Daily Visit Register'!$E$6:$E$8129,"Private Pay")</f>
        <v>34995.86</v>
      </c>
      <c r="N7" s="34" t="n">
        <f aca="false">SUMIFS('Daily Visit Register'!$L$6:$L$8129,'Daily Visit Register'!$C$6:$C$8129,"&gt;="&amp;DATE(2025,12,1),'Daily Visit Register'!$C$6:$C$8129,"&lt;"&amp;DATE(2026,1,1),'Daily Visit Register'!$E$6:$E$8129,"Private Pay")</f>
        <v>38631.14</v>
      </c>
      <c r="O7" s="35" t="n">
        <f aca="false">SUM(C7:N7)</f>
        <v>426748.96</v>
      </c>
    </row>
    <row r="8" customFormat="false" ht="15" hidden="false" customHeight="false" outlineLevel="0" collapsed="false">
      <c r="B8" s="13" t="s">
        <v>157</v>
      </c>
      <c r="C8" s="34" t="n">
        <f aca="false">SUMIFS('Daily Visit Register'!$L$6:$L$8129,'Daily Visit Register'!$C$6:$C$8129,"&gt;="&amp;DATE(2025,1,1),'Daily Visit Register'!$C$6:$C$8129,"&lt;"&amp;DATE(2025,2,1),'Daily Visit Register'!$E$6:$E$8129,"Medicare (Skilled)")</f>
        <v>11347.875</v>
      </c>
      <c r="D8" s="34" t="n">
        <f aca="false">SUMIFS('Daily Visit Register'!$L$6:$L$8129,'Daily Visit Register'!$C$6:$C$8129,"&gt;="&amp;DATE(2025,2,1),'Daily Visit Register'!$C$6:$C$8129,"&lt;"&amp;DATE(2025,3,1),'Daily Visit Register'!$E$6:$E$8129,"Medicare (Skilled)")</f>
        <v>9729.72</v>
      </c>
      <c r="E8" s="34" t="n">
        <f aca="false">SUMIFS('Daily Visit Register'!$L$6:$L$8129,'Daily Visit Register'!$C$6:$C$8129,"&gt;="&amp;DATE(2025,3,1),'Daily Visit Register'!$C$6:$C$8129,"&lt;"&amp;DATE(2025,4,1),'Daily Visit Register'!$E$6:$E$8129,"Medicare (Skilled)")</f>
        <v>10317.615</v>
      </c>
      <c r="F8" s="34" t="n">
        <f aca="false">SUMIFS('Daily Visit Register'!$L$6:$L$8129,'Daily Visit Register'!$C$6:$C$8129,"&gt;="&amp;DATE(2025,4,1),'Daily Visit Register'!$C$6:$C$8129,"&lt;"&amp;DATE(2025,5,1),'Daily Visit Register'!$E$6:$E$8129,"Medicare (Skilled)")</f>
        <v>13051.665</v>
      </c>
      <c r="G8" s="34" t="n">
        <f aca="false">SUMIFS('Daily Visit Register'!$L$6:$L$8129,'Daily Visit Register'!$C$6:$C$8129,"&gt;="&amp;DATE(2025,5,1),'Daily Visit Register'!$C$6:$C$8129,"&lt;"&amp;DATE(2025,6,1),'Daily Visit Register'!$E$6:$E$8129,"Medicare (Skilled)")</f>
        <v>12436.71</v>
      </c>
      <c r="H8" s="34" t="n">
        <f aca="false">SUMIFS('Daily Visit Register'!$L$6:$L$8129,'Daily Visit Register'!$C$6:$C$8129,"&gt;="&amp;DATE(2025,6,1),'Daily Visit Register'!$C$6:$C$8129,"&lt;"&amp;DATE(2025,7,1),'Daily Visit Register'!$E$6:$E$8129,"Medicare (Skilled)")</f>
        <v>11561.22</v>
      </c>
      <c r="I8" s="34" t="n">
        <f aca="false">SUMIFS('Daily Visit Register'!$L$6:$L$8129,'Daily Visit Register'!$C$6:$C$8129,"&gt;="&amp;DATE(2025,7,1),'Daily Visit Register'!$C$6:$C$8129,"&lt;"&amp;DATE(2025,8,1),'Daily Visit Register'!$E$6:$E$8129,"Medicare (Skilled)")</f>
        <v>12212.64</v>
      </c>
      <c r="J8" s="34" t="n">
        <f aca="false">SUMIFS('Daily Visit Register'!$L$6:$L$8129,'Daily Visit Register'!$C$6:$C$8129,"&gt;="&amp;DATE(2025,8,1),'Daily Visit Register'!$C$6:$C$8129,"&lt;"&amp;DATE(2025,9,1),'Daily Visit Register'!$E$6:$E$8129,"Medicare (Skilled)")</f>
        <v>13058.1</v>
      </c>
      <c r="K8" s="34" t="n">
        <f aca="false">SUMIFS('Daily Visit Register'!$L$6:$L$8129,'Daily Visit Register'!$C$6:$C$8129,"&gt;="&amp;DATE(2025,9,1),'Daily Visit Register'!$C$6:$C$8129,"&lt;"&amp;DATE(2025,10,1),'Daily Visit Register'!$E$6:$E$8129,"Medicare (Skilled)")</f>
        <v>12439.35</v>
      </c>
      <c r="L8" s="34" t="n">
        <f aca="false">SUMIFS('Daily Visit Register'!$L$6:$L$8129,'Daily Visit Register'!$C$6:$C$8129,"&gt;="&amp;DATE(2025,10,1),'Daily Visit Register'!$C$6:$C$8129,"&lt;"&amp;DATE(2025,11,1),'Daily Visit Register'!$E$6:$E$8129,"Medicare (Skilled)")</f>
        <v>13411.53</v>
      </c>
      <c r="M8" s="34" t="n">
        <f aca="false">SUMIFS('Daily Visit Register'!$L$6:$L$8129,'Daily Visit Register'!$C$6:$C$8129,"&gt;="&amp;DATE(2025,11,1),'Daily Visit Register'!$C$6:$C$8129,"&lt;"&amp;DATE(2025,12,1),'Daily Visit Register'!$E$6:$E$8129,"Medicare (Skilled)")</f>
        <v>11347.215</v>
      </c>
      <c r="N8" s="34" t="n">
        <f aca="false">SUMIFS('Daily Visit Register'!$L$6:$L$8129,'Daily Visit Register'!$C$6:$C$8129,"&gt;="&amp;DATE(2025,12,1),'Daily Visit Register'!$C$6:$C$8129,"&lt;"&amp;DATE(2026,1,1),'Daily Visit Register'!$E$6:$E$8129,"Medicare (Skilled)")</f>
        <v>14140.83</v>
      </c>
      <c r="O8" s="35" t="n">
        <f aca="false">SUM(C8:N8)</f>
        <v>145054.47</v>
      </c>
    </row>
    <row r="9" customFormat="false" ht="15" hidden="false" customHeight="false" outlineLevel="0" collapsed="false">
      <c r="B9" s="13" t="s">
        <v>159</v>
      </c>
      <c r="C9" s="34" t="n">
        <f aca="false">SUMIFS('Daily Visit Register'!$L$6:$L$8129,'Daily Visit Register'!$C$6:$C$8129,"&gt;="&amp;DATE(2025,1,1),'Daily Visit Register'!$C$6:$C$8129,"&lt;"&amp;DATE(2025,2,1),'Daily Visit Register'!$E$6:$E$8129,"Private Insurance")</f>
        <v>4425.3</v>
      </c>
      <c r="D9" s="34" t="n">
        <f aca="false">SUMIFS('Daily Visit Register'!$L$6:$L$8129,'Daily Visit Register'!$C$6:$C$8129,"&gt;="&amp;DATE(2025,2,1),'Daily Visit Register'!$C$6:$C$8129,"&lt;"&amp;DATE(2025,3,1),'Daily Visit Register'!$E$6:$E$8129,"Private Insurance")</f>
        <v>4236.435</v>
      </c>
      <c r="E9" s="34" t="n">
        <f aca="false">SUMIFS('Daily Visit Register'!$L$6:$L$8129,'Daily Visit Register'!$C$6:$C$8129,"&gt;="&amp;DATE(2025,3,1),'Daily Visit Register'!$C$6:$C$8129,"&lt;"&amp;DATE(2025,4,1),'Daily Visit Register'!$E$6:$E$8129,"Private Insurance")</f>
        <v>4891.455</v>
      </c>
      <c r="F9" s="34" t="n">
        <f aca="false">SUMIFS('Daily Visit Register'!$L$6:$L$8129,'Daily Visit Register'!$C$6:$C$8129,"&gt;="&amp;DATE(2025,4,1),'Daily Visit Register'!$C$6:$C$8129,"&lt;"&amp;DATE(2025,5,1),'Daily Visit Register'!$E$6:$E$8129,"Private Insurance")</f>
        <v>5301.99</v>
      </c>
      <c r="G9" s="34" t="n">
        <f aca="false">SUMIFS('Daily Visit Register'!$L$6:$L$8129,'Daily Visit Register'!$C$6:$C$8129,"&gt;="&amp;DATE(2025,5,1),'Daily Visit Register'!$C$6:$C$8129,"&lt;"&amp;DATE(2025,6,1),'Daily Visit Register'!$E$6:$E$8129,"Private Insurance")</f>
        <v>5038.74</v>
      </c>
      <c r="H9" s="34" t="n">
        <f aca="false">SUMIFS('Daily Visit Register'!$L$6:$L$8129,'Daily Visit Register'!$C$6:$C$8129,"&gt;="&amp;DATE(2025,6,1),'Daily Visit Register'!$C$6:$C$8129,"&lt;"&amp;DATE(2025,7,1),'Daily Visit Register'!$E$6:$E$8129,"Private Insurance")</f>
        <v>4664.925</v>
      </c>
      <c r="I9" s="34" t="n">
        <f aca="false">SUMIFS('Daily Visit Register'!$L$6:$L$8129,'Daily Visit Register'!$C$6:$C$8129,"&gt;="&amp;DATE(2025,7,1),'Daily Visit Register'!$C$6:$C$8129,"&lt;"&amp;DATE(2025,8,1),'Daily Visit Register'!$E$6:$E$8129,"Private Insurance")</f>
        <v>5655.15</v>
      </c>
      <c r="J9" s="34" t="n">
        <f aca="false">SUMIFS('Daily Visit Register'!$L$6:$L$8129,'Daily Visit Register'!$C$6:$C$8129,"&gt;="&amp;DATE(2025,8,1),'Daily Visit Register'!$C$6:$C$8129,"&lt;"&amp;DATE(2025,9,1),'Daily Visit Register'!$E$6:$E$8129,"Private Insurance")</f>
        <v>7852.005</v>
      </c>
      <c r="K9" s="34" t="n">
        <f aca="false">SUMIFS('Daily Visit Register'!$L$6:$L$8129,'Daily Visit Register'!$C$6:$C$8129,"&gt;="&amp;DATE(2025,9,1),'Daily Visit Register'!$C$6:$C$8129,"&lt;"&amp;DATE(2025,10,1),'Daily Visit Register'!$E$6:$E$8129,"Private Insurance")</f>
        <v>8065.98</v>
      </c>
      <c r="L9" s="34" t="n">
        <f aca="false">SUMIFS('Daily Visit Register'!$L$6:$L$8129,'Daily Visit Register'!$C$6:$C$8129,"&gt;="&amp;DATE(2025,10,1),'Daily Visit Register'!$C$6:$C$8129,"&lt;"&amp;DATE(2025,11,1),'Daily Visit Register'!$E$6:$E$8129,"Private Insurance")</f>
        <v>8589.105</v>
      </c>
      <c r="M9" s="34" t="n">
        <f aca="false">SUMIFS('Daily Visit Register'!$L$6:$L$8129,'Daily Visit Register'!$C$6:$C$8129,"&gt;="&amp;DATE(2025,11,1),'Daily Visit Register'!$C$6:$C$8129,"&lt;"&amp;DATE(2025,12,1),'Daily Visit Register'!$E$6:$E$8129,"Private Insurance")</f>
        <v>7525.71</v>
      </c>
      <c r="N9" s="34" t="n">
        <f aca="false">SUMIFS('Daily Visit Register'!$L$6:$L$8129,'Daily Visit Register'!$C$6:$C$8129,"&gt;="&amp;DATE(2025,12,1),'Daily Visit Register'!$C$6:$C$8129,"&lt;"&amp;DATE(2026,1,1),'Daily Visit Register'!$E$6:$E$8129,"Private Insurance")</f>
        <v>8691.165</v>
      </c>
      <c r="O9" s="35" t="n">
        <f aca="false">SUM(C9:N9)</f>
        <v>74937.96</v>
      </c>
    </row>
    <row r="10" customFormat="false" ht="15" hidden="false" customHeight="false" outlineLevel="0" collapsed="false">
      <c r="B10" s="46" t="s">
        <v>14633</v>
      </c>
      <c r="C10" s="47" t="n">
        <f aca="false">SUM(C6:C9)</f>
        <v>76118.615</v>
      </c>
      <c r="D10" s="47" t="n">
        <f aca="false">SUM(D6:D9)</f>
        <v>65899.6635</v>
      </c>
      <c r="E10" s="47" t="n">
        <f aca="false">SUM(E6:E9)</f>
        <v>72461.048</v>
      </c>
      <c r="F10" s="47" t="n">
        <f aca="false">SUM(F6:F9)</f>
        <v>77337.1135</v>
      </c>
      <c r="G10" s="47" t="n">
        <f aca="false">SUM(G6:G9)</f>
        <v>79421.951</v>
      </c>
      <c r="H10" s="47" t="n">
        <f aca="false">SUM(H6:H9)</f>
        <v>77431.501</v>
      </c>
      <c r="I10" s="47" t="n">
        <f aca="false">SUM(I6:I9)</f>
        <v>82810.3685</v>
      </c>
      <c r="J10" s="47" t="n">
        <f aca="false">SUM(J6:J9)</f>
        <v>89358.965</v>
      </c>
      <c r="K10" s="47" t="n">
        <f aca="false">SUM(K6:K9)</f>
        <v>90006.237</v>
      </c>
      <c r="L10" s="47" t="n">
        <f aca="false">SUM(L6:L9)</f>
        <v>97656.3285</v>
      </c>
      <c r="M10" s="47" t="n">
        <f aca="false">SUM(M6:M9)</f>
        <v>87903.159</v>
      </c>
      <c r="N10" s="47" t="n">
        <f aca="false">SUM(N6:N9)</f>
        <v>97678.724</v>
      </c>
      <c r="O10" s="47" t="n">
        <f aca="false">SUM(C10:N10)</f>
        <v>994083.674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703C"/>
    <pageSetUpPr fitToPage="false"/>
  </sheetPr>
  <dimension ref="B2: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15" min="3" style="0" width="13"/>
  </cols>
  <sheetData>
    <row r="2" customFormat="false" ht="17.35" hidden="false" customHeight="false" outlineLevel="0" collapsed="false">
      <c r="B2" s="1" t="s">
        <v>14634</v>
      </c>
    </row>
    <row r="3" customFormat="false" ht="15" hidden="false" customHeight="false" outlineLevel="0" collapsed="false">
      <c r="B3" s="2" t="s">
        <v>14635</v>
      </c>
    </row>
    <row r="5" customFormat="false" ht="15" hidden="false" customHeight="false" outlineLevel="0" collapsed="false">
      <c r="B5" s="12" t="s">
        <v>14636</v>
      </c>
      <c r="C5" s="11" t="s">
        <v>469</v>
      </c>
      <c r="D5" s="11" t="s">
        <v>470</v>
      </c>
      <c r="E5" s="11" t="s">
        <v>471</v>
      </c>
      <c r="F5" s="11" t="s">
        <v>472</v>
      </c>
      <c r="G5" s="11" t="s">
        <v>473</v>
      </c>
      <c r="H5" s="11" t="s">
        <v>474</v>
      </c>
      <c r="I5" s="11" t="s">
        <v>475</v>
      </c>
      <c r="J5" s="11" t="s">
        <v>476</v>
      </c>
      <c r="K5" s="11" t="s">
        <v>477</v>
      </c>
      <c r="L5" s="11" t="s">
        <v>478</v>
      </c>
      <c r="M5" s="11" t="s">
        <v>479</v>
      </c>
      <c r="N5" s="11" t="s">
        <v>480</v>
      </c>
      <c r="O5" s="11"/>
    </row>
    <row r="6" customFormat="false" ht="15" hidden="false" customHeight="false" outlineLevel="0" collapsed="false">
      <c r="B6" s="13" t="s">
        <v>154</v>
      </c>
      <c r="C6" s="32" t="n">
        <v>456.49</v>
      </c>
      <c r="D6" s="32" t="n">
        <v>5162.89</v>
      </c>
      <c r="E6" s="32" t="n">
        <v>14130.74</v>
      </c>
      <c r="F6" s="32" t="n">
        <v>23202.85</v>
      </c>
      <c r="G6" s="32" t="n">
        <v>23635</v>
      </c>
      <c r="H6" s="32" t="n">
        <v>26079</v>
      </c>
      <c r="I6" s="32" t="n">
        <v>25056.23</v>
      </c>
      <c r="J6" s="32" t="n">
        <v>28374.76</v>
      </c>
      <c r="K6" s="32" t="n">
        <v>25468.07</v>
      </c>
      <c r="L6" s="32" t="n">
        <v>32369.92</v>
      </c>
      <c r="M6" s="32" t="n">
        <v>32690.27</v>
      </c>
      <c r="N6" s="32" t="n">
        <v>35783.44</v>
      </c>
      <c r="O6" s="35" t="n">
        <f aca="false">SUM(C6:N6)</f>
        <v>272409.66</v>
      </c>
    </row>
    <row r="7" customFormat="false" ht="15" hidden="false" customHeight="false" outlineLevel="0" collapsed="false">
      <c r="B7" s="13" t="s">
        <v>156</v>
      </c>
      <c r="C7" s="32" t="n">
        <v>20497.92</v>
      </c>
      <c r="D7" s="32" t="n">
        <v>31788.98</v>
      </c>
      <c r="E7" s="32" t="n">
        <v>34877.2</v>
      </c>
      <c r="F7" s="32" t="n">
        <v>35015.92</v>
      </c>
      <c r="G7" s="32" t="n">
        <v>34825.52</v>
      </c>
      <c r="H7" s="32" t="n">
        <v>35025.44</v>
      </c>
      <c r="I7" s="32" t="n">
        <v>35753.72</v>
      </c>
      <c r="J7" s="32" t="n">
        <v>37050.14</v>
      </c>
      <c r="K7" s="32" t="n">
        <v>35363.4</v>
      </c>
      <c r="L7" s="32" t="n">
        <v>37923.26</v>
      </c>
      <c r="M7" s="32" t="n">
        <v>36583.32</v>
      </c>
      <c r="N7" s="32" t="n">
        <v>36926.38</v>
      </c>
      <c r="O7" s="35" t="n">
        <f aca="false">SUM(C7:N7)</f>
        <v>411631.2</v>
      </c>
    </row>
    <row r="8" customFormat="false" ht="15" hidden="false" customHeight="false" outlineLevel="0" collapsed="false">
      <c r="B8" s="13" t="s">
        <v>157</v>
      </c>
      <c r="C8" s="32" t="n">
        <v>833.25</v>
      </c>
      <c r="D8" s="32" t="n">
        <v>4184.06</v>
      </c>
      <c r="E8" s="32" t="n">
        <v>9574.78</v>
      </c>
      <c r="F8" s="32" t="n">
        <v>11008.43</v>
      </c>
      <c r="G8" s="32" t="n">
        <v>12466.39</v>
      </c>
      <c r="H8" s="32" t="n">
        <v>11919.56</v>
      </c>
      <c r="I8" s="32" t="n">
        <v>12037.4</v>
      </c>
      <c r="J8" s="32" t="n">
        <v>13960.46</v>
      </c>
      <c r="K8" s="32" t="n">
        <v>10867.38</v>
      </c>
      <c r="L8" s="32" t="n">
        <v>12798.54</v>
      </c>
      <c r="M8" s="32" t="n">
        <v>10984.36</v>
      </c>
      <c r="N8" s="32" t="n">
        <v>15389.87</v>
      </c>
      <c r="O8" s="35" t="n">
        <f aca="false">SUM(C8:N8)</f>
        <v>126024.48</v>
      </c>
    </row>
    <row r="9" customFormat="false" ht="15" hidden="false" customHeight="false" outlineLevel="0" collapsed="false">
      <c r="B9" s="13" t="s">
        <v>159</v>
      </c>
      <c r="C9" s="32" t="n">
        <v>0</v>
      </c>
      <c r="D9" s="32" t="n">
        <v>1406.7</v>
      </c>
      <c r="E9" s="32" t="n">
        <v>4145.98</v>
      </c>
      <c r="F9" s="32" t="n">
        <v>4572.31</v>
      </c>
      <c r="G9" s="32" t="n">
        <v>5066.81</v>
      </c>
      <c r="H9" s="32" t="n">
        <v>4628.87</v>
      </c>
      <c r="I9" s="32" t="n">
        <v>4487.4</v>
      </c>
      <c r="J9" s="32" t="n">
        <v>4983.53</v>
      </c>
      <c r="K9" s="32" t="n">
        <v>7177.67</v>
      </c>
      <c r="L9" s="32" t="n">
        <v>7718.08</v>
      </c>
      <c r="M9" s="32" t="n">
        <v>8317.61</v>
      </c>
      <c r="N9" s="32" t="n">
        <v>7977</v>
      </c>
      <c r="O9" s="35" t="n">
        <f aca="false">SUM(C9:N9)</f>
        <v>60481.96</v>
      </c>
    </row>
    <row r="10" customFormat="false" ht="15" hidden="false" customHeight="false" outlineLevel="0" collapsed="false">
      <c r="B10" s="46" t="s">
        <v>14637</v>
      </c>
      <c r="C10" s="47" t="n">
        <f aca="false">SUM(C6:C9)</f>
        <v>21787.66</v>
      </c>
      <c r="D10" s="47" t="n">
        <f aca="false">SUM(D6:D9)</f>
        <v>42542.63</v>
      </c>
      <c r="E10" s="47" t="n">
        <f aca="false">SUM(E6:E9)</f>
        <v>62728.7</v>
      </c>
      <c r="F10" s="47" t="n">
        <f aca="false">SUM(F6:F9)</f>
        <v>73799.51</v>
      </c>
      <c r="G10" s="47" t="n">
        <f aca="false">SUM(G6:G9)</f>
        <v>75993.72</v>
      </c>
      <c r="H10" s="47" t="n">
        <f aca="false">SUM(H6:H9)</f>
        <v>77652.87</v>
      </c>
      <c r="I10" s="47" t="n">
        <f aca="false">SUM(I6:I9)</f>
        <v>77334.75</v>
      </c>
      <c r="J10" s="47" t="n">
        <f aca="false">SUM(J6:J9)</f>
        <v>84368.89</v>
      </c>
      <c r="K10" s="47" t="n">
        <f aca="false">SUM(K6:K9)</f>
        <v>78876.52</v>
      </c>
      <c r="L10" s="47" t="n">
        <f aca="false">SUM(L6:L9)</f>
        <v>90809.8</v>
      </c>
      <c r="M10" s="47" t="n">
        <f aca="false">SUM(M6:M9)</f>
        <v>88575.56</v>
      </c>
      <c r="N10" s="47" t="n">
        <f aca="false">SUM(N6:N9)</f>
        <v>96076.69</v>
      </c>
      <c r="O10" s="47" t="n">
        <f aca="false">SUM(C10:N10)</f>
        <v>870547.3</v>
      </c>
    </row>
    <row r="12" customFormat="false" ht="15" hidden="false" customHeight="false" outlineLevel="0" collapsed="false">
      <c r="B12" s="12" t="s">
        <v>14638</v>
      </c>
      <c r="C12" s="11" t="s">
        <v>469</v>
      </c>
      <c r="D12" s="11" t="s">
        <v>470</v>
      </c>
      <c r="E12" s="11" t="s">
        <v>471</v>
      </c>
      <c r="F12" s="11" t="s">
        <v>472</v>
      </c>
      <c r="G12" s="11" t="s">
        <v>473</v>
      </c>
      <c r="H12" s="11" t="s">
        <v>474</v>
      </c>
      <c r="I12" s="11" t="s">
        <v>475</v>
      </c>
      <c r="J12" s="11" t="s">
        <v>476</v>
      </c>
      <c r="K12" s="11" t="s">
        <v>477</v>
      </c>
      <c r="L12" s="11" t="s">
        <v>478</v>
      </c>
      <c r="M12" s="11" t="s">
        <v>479</v>
      </c>
      <c r="N12" s="11" t="s">
        <v>480</v>
      </c>
      <c r="O12" s="11"/>
    </row>
    <row r="13" customFormat="false" ht="15" hidden="false" customHeight="false" outlineLevel="0" collapsed="false">
      <c r="B13" s="13" t="s">
        <v>154</v>
      </c>
      <c r="C13" s="34" t="n">
        <f aca="false">'Revenue by Payer'!C6-C6</f>
        <v>24560.57</v>
      </c>
      <c r="D13" s="34" t="n">
        <f aca="false">C13+'Revenue by Payer'!D6-D6</f>
        <v>40917.5085</v>
      </c>
      <c r="E13" s="34" t="n">
        <f aca="false">D13+'Revenue by Payer'!E6-E6</f>
        <v>49998.9665</v>
      </c>
      <c r="F13" s="34" t="n">
        <f aca="false">E13+'Revenue by Payer'!F6-F6</f>
        <v>51367.155</v>
      </c>
      <c r="G13" s="34" t="n">
        <f aca="false">F13+'Revenue by Payer'!G6-G6</f>
        <v>54014.696</v>
      </c>
      <c r="H13" s="34" t="n">
        <f aca="false">G13+'Revenue by Payer'!H6-H6</f>
        <v>54190.412</v>
      </c>
      <c r="I13" s="34" t="n">
        <f aca="false">H13+'Revenue by Payer'!I6-I6</f>
        <v>57496.8405</v>
      </c>
      <c r="J13" s="34" t="n">
        <f aca="false">I13+'Revenue by Payer'!J6-J6</f>
        <v>60811.8405</v>
      </c>
      <c r="K13" s="34" t="n">
        <f aca="false">J13+'Revenue by Payer'!K6-K6</f>
        <v>68055.3175</v>
      </c>
      <c r="L13" s="34" t="n">
        <f aca="false">K13+'Revenue by Payer'!L6-L6</f>
        <v>73156.371</v>
      </c>
      <c r="M13" s="34" t="n">
        <f aca="false">L13+'Revenue by Payer'!M6-M6</f>
        <v>74500.475</v>
      </c>
      <c r="N13" s="34" t="n">
        <f aca="false">M13+'Revenue by Payer'!N6-N6</f>
        <v>74932.624</v>
      </c>
      <c r="O13" s="48"/>
    </row>
    <row r="14" customFormat="false" ht="15" hidden="false" customHeight="false" outlineLevel="0" collapsed="false">
      <c r="B14" s="13" t="s">
        <v>156</v>
      </c>
      <c r="C14" s="34" t="n">
        <f aca="false">'Revenue by Payer'!C7-C7</f>
        <v>14830.46</v>
      </c>
      <c r="D14" s="34" t="n">
        <f aca="false">C14+'Revenue by Payer'!D7-D7</f>
        <v>13455.16</v>
      </c>
      <c r="E14" s="34" t="n">
        <f aca="false">D14+'Revenue by Payer'!E7-E7</f>
        <v>12617.74</v>
      </c>
      <c r="F14" s="34" t="n">
        <f aca="false">E14+'Revenue by Payer'!F7-F7</f>
        <v>12014.24</v>
      </c>
      <c r="G14" s="34" t="n">
        <f aca="false">F14+'Revenue by Payer'!G7-G7</f>
        <v>12852.68</v>
      </c>
      <c r="H14" s="34" t="n">
        <f aca="false">G14+'Revenue by Payer'!H7-H7</f>
        <v>12777.88</v>
      </c>
      <c r="I14" s="34" t="n">
        <f aca="false">H14+'Revenue by Payer'!I7-I7</f>
        <v>13604.08</v>
      </c>
      <c r="J14" s="34" t="n">
        <f aca="false">I14+'Revenue by Payer'!J7-J7</f>
        <v>13313.04</v>
      </c>
      <c r="K14" s="34" t="n">
        <f aca="false">J14+'Revenue by Payer'!K7-K7</f>
        <v>14739</v>
      </c>
      <c r="L14" s="34" t="n">
        <f aca="false">K14+'Revenue by Payer'!L7-L7</f>
        <v>15000.46</v>
      </c>
      <c r="M14" s="34" t="n">
        <f aca="false">L14+'Revenue by Payer'!M7-M7</f>
        <v>13413</v>
      </c>
      <c r="N14" s="34" t="n">
        <f aca="false">M14+'Revenue by Payer'!N7-N7</f>
        <v>15117.76</v>
      </c>
      <c r="O14" s="48"/>
    </row>
    <row r="15" customFormat="false" ht="15" hidden="false" customHeight="false" outlineLevel="0" collapsed="false">
      <c r="B15" s="13" t="s">
        <v>157</v>
      </c>
      <c r="C15" s="34" t="n">
        <f aca="false">'Revenue by Payer'!C8-C8</f>
        <v>10514.625</v>
      </c>
      <c r="D15" s="34" t="n">
        <f aca="false">C15+'Revenue by Payer'!D8-D8</f>
        <v>16060.285</v>
      </c>
      <c r="E15" s="34" t="n">
        <f aca="false">D15+'Revenue by Payer'!E8-E8</f>
        <v>16803.12</v>
      </c>
      <c r="F15" s="34" t="n">
        <f aca="false">E15+'Revenue by Payer'!F8-F8</f>
        <v>18846.355</v>
      </c>
      <c r="G15" s="34" t="n">
        <f aca="false">F15+'Revenue by Payer'!G8-G8</f>
        <v>18816.675</v>
      </c>
      <c r="H15" s="34" t="n">
        <f aca="false">G15+'Revenue by Payer'!H8-H8</f>
        <v>18458.335</v>
      </c>
      <c r="I15" s="34" t="n">
        <f aca="false">H15+'Revenue by Payer'!I8-I8</f>
        <v>18633.575</v>
      </c>
      <c r="J15" s="34" t="n">
        <f aca="false">I15+'Revenue by Payer'!J8-J8</f>
        <v>17731.215</v>
      </c>
      <c r="K15" s="34" t="n">
        <f aca="false">J15+'Revenue by Payer'!K8-K8</f>
        <v>19303.185</v>
      </c>
      <c r="L15" s="34" t="n">
        <f aca="false">K15+'Revenue by Payer'!L8-L8</f>
        <v>19916.175</v>
      </c>
      <c r="M15" s="34" t="n">
        <f aca="false">L15+'Revenue by Payer'!M8-M8</f>
        <v>20279.03</v>
      </c>
      <c r="N15" s="34" t="n">
        <f aca="false">M15+'Revenue by Payer'!N8-N8</f>
        <v>19029.99</v>
      </c>
      <c r="O15" s="48"/>
    </row>
    <row r="16" customFormat="false" ht="15" hidden="false" customHeight="false" outlineLevel="0" collapsed="false">
      <c r="B16" s="13" t="s">
        <v>159</v>
      </c>
      <c r="C16" s="34" t="n">
        <f aca="false">'Revenue by Payer'!C9-C9</f>
        <v>4425.3</v>
      </c>
      <c r="D16" s="34" t="n">
        <f aca="false">C16+'Revenue by Payer'!D9-D9</f>
        <v>7255.035</v>
      </c>
      <c r="E16" s="34" t="n">
        <f aca="false">D16+'Revenue by Payer'!E9-E9</f>
        <v>8000.51</v>
      </c>
      <c r="F16" s="34" t="n">
        <f aca="false">E16+'Revenue by Payer'!F9-F9</f>
        <v>8730.19</v>
      </c>
      <c r="G16" s="34" t="n">
        <f aca="false">F16+'Revenue by Payer'!G9-G9</f>
        <v>8702.12</v>
      </c>
      <c r="H16" s="34" t="n">
        <f aca="false">G16+'Revenue by Payer'!H9-H9</f>
        <v>8738.175</v>
      </c>
      <c r="I16" s="34" t="n">
        <f aca="false">H16+'Revenue by Payer'!I9-I9</f>
        <v>9905.92500000001</v>
      </c>
      <c r="J16" s="34" t="n">
        <f aca="false">I16+'Revenue by Payer'!J9-J9</f>
        <v>12774.4</v>
      </c>
      <c r="K16" s="34" t="n">
        <f aca="false">J16+'Revenue by Payer'!K9-K9</f>
        <v>13662.71</v>
      </c>
      <c r="L16" s="34" t="n">
        <f aca="false">K16+'Revenue by Payer'!L9-L9</f>
        <v>14533.735</v>
      </c>
      <c r="M16" s="34" t="n">
        <f aca="false">L16+'Revenue by Payer'!M9-M9</f>
        <v>13741.835</v>
      </c>
      <c r="N16" s="34" t="n">
        <f aca="false">M16+'Revenue by Payer'!N9-N9</f>
        <v>14456</v>
      </c>
      <c r="O16" s="48"/>
    </row>
    <row r="17" customFormat="false" ht="15" hidden="false" customHeight="false" outlineLevel="0" collapsed="false">
      <c r="B17" s="46" t="s">
        <v>14639</v>
      </c>
      <c r="C17" s="47" t="n">
        <f aca="false">SUM(C13:C16)</f>
        <v>54330.955</v>
      </c>
      <c r="D17" s="47" t="n">
        <f aca="false">SUM(D13:D16)</f>
        <v>77687.9885</v>
      </c>
      <c r="E17" s="47" t="n">
        <f aca="false">SUM(E13:E16)</f>
        <v>87420.3365</v>
      </c>
      <c r="F17" s="47" t="n">
        <f aca="false">SUM(F13:F16)</f>
        <v>90957.94</v>
      </c>
      <c r="G17" s="47" t="n">
        <f aca="false">SUM(G13:G16)</f>
        <v>94386.171</v>
      </c>
      <c r="H17" s="47" t="n">
        <f aca="false">SUM(H13:H16)</f>
        <v>94164.802</v>
      </c>
      <c r="I17" s="47" t="n">
        <f aca="false">SUM(I13:I16)</f>
        <v>99640.4205</v>
      </c>
      <c r="J17" s="47" t="n">
        <f aca="false">SUM(J13:J16)</f>
        <v>104630.4955</v>
      </c>
      <c r="K17" s="47" t="n">
        <f aca="false">SUM(K13:K16)</f>
        <v>115760.2125</v>
      </c>
      <c r="L17" s="47" t="n">
        <f aca="false">SUM(L13:L16)</f>
        <v>122606.741</v>
      </c>
      <c r="M17" s="47" t="n">
        <f aca="false">SUM(M13:M16)</f>
        <v>121934.34</v>
      </c>
      <c r="N17" s="47" t="n">
        <f aca="false">SUM(N13:N16)</f>
        <v>123536.374</v>
      </c>
      <c r="O17" s="48"/>
    </row>
    <row r="19" customFormat="false" ht="15" hidden="false" customHeight="false" outlineLevel="0" collapsed="false">
      <c r="B19" s="3" t="s">
        <v>14640</v>
      </c>
    </row>
    <row r="20" customFormat="false" ht="15" hidden="false" customHeight="false" outlineLevel="0" collapsed="false">
      <c r="B20" s="12" t="s">
        <v>149</v>
      </c>
      <c r="C20" s="12" t="s">
        <v>14641</v>
      </c>
      <c r="D20" s="12" t="s">
        <v>14642</v>
      </c>
      <c r="E20" s="12" t="s">
        <v>14643</v>
      </c>
    </row>
    <row r="21" customFormat="false" ht="15" hidden="false" customHeight="false" outlineLevel="0" collapsed="false">
      <c r="B21" s="13" t="s">
        <v>154</v>
      </c>
      <c r="C21" s="34" t="n">
        <f aca="false">N13</f>
        <v>74932.624</v>
      </c>
      <c r="D21" s="34" t="n">
        <f aca="false">'Revenue by Payer'!O6</f>
        <v>347342.284</v>
      </c>
      <c r="E21" s="29" t="n">
        <f aca="false">IFERROR(C21/(D21/365),0)</f>
        <v>78.7419471221074</v>
      </c>
    </row>
    <row r="22" customFormat="false" ht="15" hidden="false" customHeight="false" outlineLevel="0" collapsed="false">
      <c r="B22" s="13" t="s">
        <v>156</v>
      </c>
      <c r="C22" s="34" t="n">
        <f aca="false">N14</f>
        <v>15117.76</v>
      </c>
      <c r="D22" s="34" t="n">
        <f aca="false">'Revenue by Payer'!O7</f>
        <v>426748.96</v>
      </c>
      <c r="E22" s="29" t="n">
        <f aca="false">IFERROR(C22/(D22/365),0)</f>
        <v>12.9302773227614</v>
      </c>
    </row>
    <row r="23" customFormat="false" ht="15" hidden="false" customHeight="false" outlineLevel="0" collapsed="false">
      <c r="B23" s="13" t="s">
        <v>157</v>
      </c>
      <c r="C23" s="34" t="n">
        <f aca="false">N15</f>
        <v>19029.99</v>
      </c>
      <c r="D23" s="34" t="n">
        <f aca="false">'Revenue by Payer'!O8</f>
        <v>145054.47</v>
      </c>
      <c r="E23" s="29" t="n">
        <f aca="false">IFERROR(C23/(D23/365),0)</f>
        <v>47.8850899941243</v>
      </c>
    </row>
    <row r="24" customFormat="false" ht="15" hidden="false" customHeight="false" outlineLevel="0" collapsed="false">
      <c r="B24" s="13" t="s">
        <v>159</v>
      </c>
      <c r="C24" s="34" t="n">
        <f aca="false">N16</f>
        <v>14456</v>
      </c>
      <c r="D24" s="34" t="n">
        <f aca="false">'Revenue by Payer'!O9</f>
        <v>74937.96</v>
      </c>
      <c r="E24" s="29" t="n">
        <f aca="false">IFERROR(C24/(D24/365),0)</f>
        <v>70.4107771281738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81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12"/>
    <col collapsed="false" customWidth="true" hidden="false" outlineLevel="0" max="4" min="4" style="0" width="11"/>
    <col collapsed="false" customWidth="true" hidden="false" outlineLevel="0" max="5" min="5" style="0" width="20"/>
    <col collapsed="false" customWidth="true" hidden="false" outlineLevel="0" max="8" min="6" style="0" width="13"/>
    <col collapsed="false" customWidth="true" hidden="false" outlineLevel="0" max="9" min="9" style="0" width="11"/>
    <col collapsed="false" customWidth="true" hidden="false" outlineLevel="0" max="10" min="10" style="0" width="13"/>
  </cols>
  <sheetData>
    <row r="2" customFormat="false" ht="17.35" hidden="false" customHeight="false" outlineLevel="0" collapsed="false">
      <c r="B2" s="1" t="s">
        <v>14644</v>
      </c>
    </row>
    <row r="3" customFormat="false" ht="15" hidden="false" customHeight="false" outlineLevel="0" collapsed="false">
      <c r="B3" s="2" t="s">
        <v>14645</v>
      </c>
    </row>
    <row r="5" customFormat="false" ht="46.25" hidden="false" customHeight="false" outlineLevel="0" collapsed="false">
      <c r="B5" s="11" t="s">
        <v>14646</v>
      </c>
      <c r="C5" s="11" t="s">
        <v>495</v>
      </c>
      <c r="D5" s="11" t="s">
        <v>273</v>
      </c>
      <c r="E5" s="11" t="s">
        <v>149</v>
      </c>
      <c r="F5" s="11" t="s">
        <v>14647</v>
      </c>
      <c r="G5" s="11" t="s">
        <v>485</v>
      </c>
      <c r="H5" s="11" t="s">
        <v>14648</v>
      </c>
      <c r="I5" s="11" t="s">
        <v>176</v>
      </c>
      <c r="J5" s="11" t="s">
        <v>14649</v>
      </c>
    </row>
    <row r="6" customFormat="false" ht="15" hidden="false" customHeight="false" outlineLevel="0" collapsed="false">
      <c r="B6" s="7" t="s">
        <v>14650</v>
      </c>
      <c r="C6" s="7" t="s">
        <v>501</v>
      </c>
      <c r="D6" s="7" t="s">
        <v>280</v>
      </c>
      <c r="E6" s="7" t="s">
        <v>157</v>
      </c>
      <c r="F6" s="39" t="n">
        <v>45658</v>
      </c>
      <c r="G6" s="41" t="n">
        <v>150.15</v>
      </c>
      <c r="H6" s="39" t="n">
        <v>45691</v>
      </c>
      <c r="I6" s="7" t="s">
        <v>14651</v>
      </c>
      <c r="J6" s="8" t="str">
        <f aca="false">IF(I6="Open",DATE(2025,12,31)-F6,"-")</f>
        <v>-</v>
      </c>
    </row>
    <row r="7" customFormat="false" ht="15" hidden="false" customHeight="false" outlineLevel="0" collapsed="false">
      <c r="B7" s="7" t="s">
        <v>14652</v>
      </c>
      <c r="C7" s="7" t="s">
        <v>503</v>
      </c>
      <c r="D7" s="7" t="s">
        <v>286</v>
      </c>
      <c r="E7" s="7" t="s">
        <v>157</v>
      </c>
      <c r="F7" s="39" t="n">
        <v>45658</v>
      </c>
      <c r="G7" s="41" t="n">
        <v>163.35</v>
      </c>
      <c r="H7" s="39" t="n">
        <v>45696</v>
      </c>
      <c r="I7" s="7" t="s">
        <v>14651</v>
      </c>
      <c r="J7" s="8" t="str">
        <f aca="false">IF(I7="Open",DATE(2025,12,31)-F7,"-")</f>
        <v>-</v>
      </c>
    </row>
    <row r="8" customFormat="false" ht="15" hidden="false" customHeight="false" outlineLevel="0" collapsed="false">
      <c r="B8" s="7" t="s">
        <v>14653</v>
      </c>
      <c r="C8" s="7" t="s">
        <v>504</v>
      </c>
      <c r="D8" s="7" t="s">
        <v>288</v>
      </c>
      <c r="E8" s="7" t="s">
        <v>156</v>
      </c>
      <c r="F8" s="39" t="n">
        <v>45658</v>
      </c>
      <c r="G8" s="41" t="n">
        <v>149.26</v>
      </c>
      <c r="H8" s="39" t="n">
        <v>45670</v>
      </c>
      <c r="I8" s="7" t="s">
        <v>14651</v>
      </c>
      <c r="J8" s="8" t="str">
        <f aca="false">IF(I8="Open",DATE(2025,12,31)-F8,"-")</f>
        <v>-</v>
      </c>
    </row>
    <row r="9" customFormat="false" ht="15" hidden="false" customHeight="false" outlineLevel="0" collapsed="false">
      <c r="B9" s="7" t="s">
        <v>14654</v>
      </c>
      <c r="C9" s="7" t="s">
        <v>506</v>
      </c>
      <c r="D9" s="7" t="s">
        <v>291</v>
      </c>
      <c r="E9" s="7" t="s">
        <v>154</v>
      </c>
      <c r="F9" s="39" t="n">
        <v>45658</v>
      </c>
      <c r="G9" s="41" t="n">
        <v>133.3</v>
      </c>
      <c r="H9" s="39" t="n">
        <v>45710</v>
      </c>
      <c r="I9" s="7" t="s">
        <v>14651</v>
      </c>
      <c r="J9" s="8" t="str">
        <f aca="false">IF(I9="Open",DATE(2025,12,31)-F9,"-")</f>
        <v>-</v>
      </c>
    </row>
    <row r="10" customFormat="false" ht="15" hidden="false" customHeight="false" outlineLevel="0" collapsed="false">
      <c r="B10" s="7" t="s">
        <v>14655</v>
      </c>
      <c r="C10" s="7" t="s">
        <v>507</v>
      </c>
      <c r="D10" s="7" t="s">
        <v>305</v>
      </c>
      <c r="E10" s="7" t="s">
        <v>154</v>
      </c>
      <c r="F10" s="39" t="n">
        <v>45658</v>
      </c>
      <c r="G10" s="41" t="n">
        <v>106</v>
      </c>
      <c r="H10" s="39" t="n">
        <v>45700</v>
      </c>
      <c r="I10" s="7" t="s">
        <v>14651</v>
      </c>
      <c r="J10" s="8" t="str">
        <f aca="false">IF(I10="Open",DATE(2025,12,31)-F10,"-")</f>
        <v>-</v>
      </c>
    </row>
    <row r="11" customFormat="false" ht="15" hidden="false" customHeight="false" outlineLevel="0" collapsed="false">
      <c r="B11" s="7" t="s">
        <v>14656</v>
      </c>
      <c r="C11" s="7" t="s">
        <v>508</v>
      </c>
      <c r="D11" s="7" t="s">
        <v>309</v>
      </c>
      <c r="E11" s="7" t="s">
        <v>159</v>
      </c>
      <c r="F11" s="39" t="n">
        <v>45658</v>
      </c>
      <c r="G11" s="41" t="n">
        <v>145.8</v>
      </c>
      <c r="H11" s="39" t="n">
        <v>45725</v>
      </c>
      <c r="I11" s="7" t="s">
        <v>14651</v>
      </c>
      <c r="J11" s="8" t="str">
        <f aca="false">IF(I11="Open",DATE(2025,12,31)-F11,"-")</f>
        <v>-</v>
      </c>
    </row>
    <row r="12" customFormat="false" ht="15" hidden="false" customHeight="false" outlineLevel="0" collapsed="false">
      <c r="B12" s="7" t="s">
        <v>14657</v>
      </c>
      <c r="C12" s="7" t="s">
        <v>509</v>
      </c>
      <c r="D12" s="7" t="s">
        <v>313</v>
      </c>
      <c r="E12" s="7" t="s">
        <v>156</v>
      </c>
      <c r="F12" s="39" t="n">
        <v>45658</v>
      </c>
      <c r="G12" s="41" t="n">
        <v>129.54</v>
      </c>
      <c r="H12" s="39" t="n">
        <v>45668</v>
      </c>
      <c r="I12" s="7" t="s">
        <v>14651</v>
      </c>
      <c r="J12" s="8" t="str">
        <f aca="false">IF(I12="Open",DATE(2025,12,31)-F12,"-")</f>
        <v>-</v>
      </c>
    </row>
    <row r="13" customFormat="false" ht="15" hidden="false" customHeight="false" outlineLevel="0" collapsed="false">
      <c r="B13" s="7" t="s">
        <v>14658</v>
      </c>
      <c r="C13" s="7" t="s">
        <v>510</v>
      </c>
      <c r="D13" s="7" t="s">
        <v>321</v>
      </c>
      <c r="E13" s="7" t="s">
        <v>154</v>
      </c>
      <c r="F13" s="39" t="n">
        <v>45658</v>
      </c>
      <c r="G13" s="41" t="n">
        <v>111.56</v>
      </c>
      <c r="H13" s="39" t="n">
        <v>45766</v>
      </c>
      <c r="I13" s="7" t="s">
        <v>14651</v>
      </c>
      <c r="J13" s="8" t="str">
        <f aca="false">IF(I13="Open",DATE(2025,12,31)-F13,"-")</f>
        <v>-</v>
      </c>
    </row>
    <row r="14" customFormat="false" ht="15" hidden="false" customHeight="false" outlineLevel="0" collapsed="false">
      <c r="B14" s="7" t="s">
        <v>14659</v>
      </c>
      <c r="C14" s="7" t="s">
        <v>511</v>
      </c>
      <c r="D14" s="7" t="s">
        <v>329</v>
      </c>
      <c r="E14" s="7" t="s">
        <v>156</v>
      </c>
      <c r="F14" s="39" t="n">
        <v>45658</v>
      </c>
      <c r="G14" s="41" t="n">
        <v>129.88</v>
      </c>
      <c r="H14" s="39" t="n">
        <v>45668</v>
      </c>
      <c r="I14" s="7" t="s">
        <v>14651</v>
      </c>
      <c r="J14" s="8" t="str">
        <f aca="false">IF(I14="Open",DATE(2025,12,31)-F14,"-")</f>
        <v>-</v>
      </c>
    </row>
    <row r="15" customFormat="false" ht="15" hidden="false" customHeight="false" outlineLevel="0" collapsed="false">
      <c r="B15" s="7" t="s">
        <v>14660</v>
      </c>
      <c r="C15" s="7" t="s">
        <v>512</v>
      </c>
      <c r="D15" s="7" t="s">
        <v>335</v>
      </c>
      <c r="E15" s="7" t="s">
        <v>154</v>
      </c>
      <c r="F15" s="39" t="n">
        <v>45658</v>
      </c>
      <c r="G15" s="41" t="n">
        <v>101.23</v>
      </c>
      <c r="H15" s="39" t="n">
        <v>45723</v>
      </c>
      <c r="I15" s="7" t="s">
        <v>14651</v>
      </c>
      <c r="J15" s="8" t="str">
        <f aca="false">IF(I15="Open",DATE(2025,12,31)-F15,"-")</f>
        <v>-</v>
      </c>
    </row>
    <row r="16" customFormat="false" ht="15" hidden="false" customHeight="false" outlineLevel="0" collapsed="false">
      <c r="B16" s="7" t="s">
        <v>14661</v>
      </c>
      <c r="C16" s="7" t="s">
        <v>513</v>
      </c>
      <c r="D16" s="7" t="s">
        <v>339</v>
      </c>
      <c r="E16" s="7" t="s">
        <v>154</v>
      </c>
      <c r="F16" s="39" t="n">
        <v>45658</v>
      </c>
      <c r="G16" s="41" t="n">
        <v>81.88</v>
      </c>
      <c r="H16" s="39" t="n">
        <v>45690</v>
      </c>
      <c r="I16" s="7" t="s">
        <v>14651</v>
      </c>
      <c r="J16" s="8" t="str">
        <f aca="false">IF(I16="Open",DATE(2025,12,31)-F16,"-")</f>
        <v>-</v>
      </c>
    </row>
    <row r="17" customFormat="false" ht="15" hidden="false" customHeight="false" outlineLevel="0" collapsed="false">
      <c r="B17" s="7" t="s">
        <v>14662</v>
      </c>
      <c r="C17" s="7" t="s">
        <v>514</v>
      </c>
      <c r="D17" s="7" t="s">
        <v>353</v>
      </c>
      <c r="E17" s="7" t="s">
        <v>154</v>
      </c>
      <c r="F17" s="39" t="n">
        <v>45658</v>
      </c>
      <c r="G17" s="41" t="n">
        <v>91.95</v>
      </c>
      <c r="H17" s="39" t="n">
        <v>45699</v>
      </c>
      <c r="I17" s="7" t="s">
        <v>14651</v>
      </c>
      <c r="J17" s="8" t="str">
        <f aca="false">IF(I17="Open",DATE(2025,12,31)-F17,"-")</f>
        <v>-</v>
      </c>
    </row>
    <row r="18" customFormat="false" ht="15" hidden="false" customHeight="false" outlineLevel="0" collapsed="false">
      <c r="B18" s="7" t="s">
        <v>14663</v>
      </c>
      <c r="C18" s="7" t="s">
        <v>515</v>
      </c>
      <c r="D18" s="7" t="s">
        <v>355</v>
      </c>
      <c r="E18" s="7" t="s">
        <v>154</v>
      </c>
      <c r="F18" s="39" t="n">
        <v>45658</v>
      </c>
      <c r="G18" s="41" t="n">
        <v>89.04</v>
      </c>
      <c r="H18" s="39" t="n">
        <v>45677</v>
      </c>
      <c r="I18" s="7" t="s">
        <v>14651</v>
      </c>
      <c r="J18" s="8" t="str">
        <f aca="false">IF(I18="Open",DATE(2025,12,31)-F18,"-")</f>
        <v>-</v>
      </c>
    </row>
    <row r="19" customFormat="false" ht="15" hidden="false" customHeight="false" outlineLevel="0" collapsed="false">
      <c r="B19" s="7" t="s">
        <v>14664</v>
      </c>
      <c r="C19" s="7" t="s">
        <v>516</v>
      </c>
      <c r="D19" s="7" t="s">
        <v>357</v>
      </c>
      <c r="E19" s="7" t="s">
        <v>154</v>
      </c>
      <c r="F19" s="39" t="n">
        <v>45658</v>
      </c>
      <c r="G19" s="41" t="n">
        <v>86.92</v>
      </c>
      <c r="H19" s="39" t="n">
        <v>45716</v>
      </c>
      <c r="I19" s="7" t="s">
        <v>14651</v>
      </c>
      <c r="J19" s="8" t="str">
        <f aca="false">IF(I19="Open",DATE(2025,12,31)-F19,"-")</f>
        <v>-</v>
      </c>
    </row>
    <row r="20" customFormat="false" ht="15" hidden="false" customHeight="false" outlineLevel="0" collapsed="false">
      <c r="B20" s="7" t="s">
        <v>14665</v>
      </c>
      <c r="C20" s="7" t="s">
        <v>517</v>
      </c>
      <c r="D20" s="7" t="s">
        <v>359</v>
      </c>
      <c r="E20" s="7" t="s">
        <v>156</v>
      </c>
      <c r="F20" s="39" t="n">
        <v>45658</v>
      </c>
      <c r="G20" s="41" t="n">
        <v>141.44</v>
      </c>
      <c r="H20" s="39" t="n">
        <v>45659</v>
      </c>
      <c r="I20" s="7" t="s">
        <v>14651</v>
      </c>
      <c r="J20" s="8" t="str">
        <f aca="false">IF(I20="Open",DATE(2025,12,31)-F20,"-")</f>
        <v>-</v>
      </c>
    </row>
    <row r="21" customFormat="false" ht="15" hidden="false" customHeight="false" outlineLevel="0" collapsed="false">
      <c r="B21" s="7" t="s">
        <v>14666</v>
      </c>
      <c r="C21" s="7" t="s">
        <v>518</v>
      </c>
      <c r="D21" s="7" t="s">
        <v>379</v>
      </c>
      <c r="E21" s="7" t="s">
        <v>156</v>
      </c>
      <c r="F21" s="39" t="n">
        <v>45658</v>
      </c>
      <c r="G21" s="41" t="n">
        <v>152.32</v>
      </c>
      <c r="H21" s="39" t="n">
        <v>45671</v>
      </c>
      <c r="I21" s="7" t="s">
        <v>14651</v>
      </c>
      <c r="J21" s="8" t="str">
        <f aca="false">IF(I21="Open",DATE(2025,12,31)-F21,"-")</f>
        <v>-</v>
      </c>
    </row>
    <row r="22" customFormat="false" ht="15" hidden="false" customHeight="false" outlineLevel="0" collapsed="false">
      <c r="B22" s="7" t="s">
        <v>14667</v>
      </c>
      <c r="C22" s="7" t="s">
        <v>519</v>
      </c>
      <c r="D22" s="7" t="s">
        <v>389</v>
      </c>
      <c r="E22" s="7" t="s">
        <v>154</v>
      </c>
      <c r="F22" s="39" t="n">
        <v>45658</v>
      </c>
      <c r="G22" s="41" t="n">
        <v>113.15</v>
      </c>
      <c r="H22" s="39" t="n">
        <v>45745</v>
      </c>
      <c r="I22" s="7" t="s">
        <v>14651</v>
      </c>
      <c r="J22" s="8" t="str">
        <f aca="false">IF(I22="Open",DATE(2025,12,31)-F22,"-")</f>
        <v>-</v>
      </c>
    </row>
    <row r="23" customFormat="false" ht="15" hidden="false" customHeight="false" outlineLevel="0" collapsed="false">
      <c r="B23" s="7" t="s">
        <v>14668</v>
      </c>
      <c r="C23" s="7" t="s">
        <v>520</v>
      </c>
      <c r="D23" s="7" t="s">
        <v>391</v>
      </c>
      <c r="E23" s="7" t="s">
        <v>156</v>
      </c>
      <c r="F23" s="39" t="n">
        <v>45658</v>
      </c>
      <c r="G23" s="41" t="n">
        <v>144.16</v>
      </c>
      <c r="H23" s="39" t="n">
        <v>45671</v>
      </c>
      <c r="I23" s="7" t="s">
        <v>14651</v>
      </c>
      <c r="J23" s="8" t="str">
        <f aca="false">IF(I23="Open",DATE(2025,12,31)-F23,"-")</f>
        <v>-</v>
      </c>
    </row>
    <row r="24" customFormat="false" ht="15" hidden="false" customHeight="false" outlineLevel="0" collapsed="false">
      <c r="B24" s="7" t="s">
        <v>14669</v>
      </c>
      <c r="C24" s="7" t="s">
        <v>521</v>
      </c>
      <c r="D24" s="7" t="s">
        <v>393</v>
      </c>
      <c r="E24" s="7" t="s">
        <v>157</v>
      </c>
      <c r="F24" s="39" t="n">
        <v>45658</v>
      </c>
      <c r="G24" s="41" t="n">
        <v>156.75</v>
      </c>
      <c r="H24" s="39" t="n">
        <v>45710</v>
      </c>
      <c r="I24" s="7" t="s">
        <v>14651</v>
      </c>
      <c r="J24" s="8" t="str">
        <f aca="false">IF(I24="Open",DATE(2025,12,31)-F24,"-")</f>
        <v>-</v>
      </c>
    </row>
    <row r="25" customFormat="false" ht="15" hidden="false" customHeight="false" outlineLevel="0" collapsed="false">
      <c r="B25" s="7" t="s">
        <v>14670</v>
      </c>
      <c r="C25" s="7" t="s">
        <v>522</v>
      </c>
      <c r="D25" s="7" t="s">
        <v>395</v>
      </c>
      <c r="E25" s="7" t="s">
        <v>156</v>
      </c>
      <c r="F25" s="39" t="n">
        <v>45658</v>
      </c>
      <c r="G25" s="41" t="n">
        <v>140.76</v>
      </c>
      <c r="H25" s="39" t="n">
        <v>45664</v>
      </c>
      <c r="I25" s="7" t="s">
        <v>14651</v>
      </c>
      <c r="J25" s="8" t="str">
        <f aca="false">IF(I25="Open",DATE(2025,12,31)-F25,"-")</f>
        <v>-</v>
      </c>
    </row>
    <row r="26" customFormat="false" ht="15" hidden="false" customHeight="false" outlineLevel="0" collapsed="false">
      <c r="B26" s="7" t="s">
        <v>14671</v>
      </c>
      <c r="C26" s="7" t="s">
        <v>523</v>
      </c>
      <c r="D26" s="7" t="s">
        <v>399</v>
      </c>
      <c r="E26" s="7" t="s">
        <v>154</v>
      </c>
      <c r="F26" s="39" t="n">
        <v>45658</v>
      </c>
      <c r="G26" s="41" t="n">
        <v>94.34</v>
      </c>
      <c r="H26" s="39" t="n">
        <v>45726</v>
      </c>
      <c r="I26" s="7" t="s">
        <v>14651</v>
      </c>
      <c r="J26" s="8" t="str">
        <f aca="false">IF(I26="Open",DATE(2025,12,31)-F26,"-")</f>
        <v>-</v>
      </c>
    </row>
    <row r="27" customFormat="false" ht="15" hidden="false" customHeight="false" outlineLevel="0" collapsed="false">
      <c r="B27" s="7" t="s">
        <v>14672</v>
      </c>
      <c r="C27" s="7" t="s">
        <v>524</v>
      </c>
      <c r="D27" s="7" t="s">
        <v>401</v>
      </c>
      <c r="E27" s="7" t="s">
        <v>156</v>
      </c>
      <c r="F27" s="39" t="n">
        <v>45658</v>
      </c>
      <c r="G27" s="41" t="n">
        <v>137.02</v>
      </c>
      <c r="H27" s="39" t="n">
        <v>45664</v>
      </c>
      <c r="I27" s="7" t="s">
        <v>14651</v>
      </c>
      <c r="J27" s="8" t="str">
        <f aca="false">IF(I27="Open",DATE(2025,12,31)-F27,"-")</f>
        <v>-</v>
      </c>
    </row>
    <row r="28" customFormat="false" ht="15" hidden="false" customHeight="false" outlineLevel="0" collapsed="false">
      <c r="B28" s="7" t="s">
        <v>14673</v>
      </c>
      <c r="C28" s="7" t="s">
        <v>525</v>
      </c>
      <c r="D28" s="7" t="s">
        <v>409</v>
      </c>
      <c r="E28" s="7" t="s">
        <v>154</v>
      </c>
      <c r="F28" s="39" t="n">
        <v>45658</v>
      </c>
      <c r="G28" s="41" t="n">
        <v>91.16</v>
      </c>
      <c r="H28" s="39" t="n">
        <v>45762</v>
      </c>
      <c r="I28" s="7" t="s">
        <v>14651</v>
      </c>
      <c r="J28" s="8" t="str">
        <f aca="false">IF(I28="Open",DATE(2025,12,31)-F28,"-")</f>
        <v>-</v>
      </c>
    </row>
    <row r="29" customFormat="false" ht="15" hidden="false" customHeight="false" outlineLevel="0" collapsed="false">
      <c r="B29" s="7" t="s">
        <v>14674</v>
      </c>
      <c r="C29" s="7" t="s">
        <v>526</v>
      </c>
      <c r="D29" s="7" t="s">
        <v>411</v>
      </c>
      <c r="E29" s="7" t="s">
        <v>154</v>
      </c>
      <c r="F29" s="39" t="n">
        <v>45658</v>
      </c>
      <c r="G29" s="41" t="n">
        <v>132.76</v>
      </c>
      <c r="H29" s="39" t="n">
        <v>45740</v>
      </c>
      <c r="I29" s="7" t="s">
        <v>14651</v>
      </c>
      <c r="J29" s="8" t="str">
        <f aca="false">IF(I29="Open",DATE(2025,12,31)-F29,"-")</f>
        <v>-</v>
      </c>
    </row>
    <row r="30" customFormat="false" ht="15" hidden="false" customHeight="false" outlineLevel="0" collapsed="false">
      <c r="B30" s="7" t="s">
        <v>14675</v>
      </c>
      <c r="C30" s="7" t="s">
        <v>527</v>
      </c>
      <c r="D30" s="7" t="s">
        <v>288</v>
      </c>
      <c r="E30" s="7" t="s">
        <v>156</v>
      </c>
      <c r="F30" s="39" t="n">
        <v>45659</v>
      </c>
      <c r="G30" s="41" t="n">
        <v>131.24</v>
      </c>
      <c r="H30" s="39" t="n">
        <v>45675</v>
      </c>
      <c r="I30" s="7" t="s">
        <v>14651</v>
      </c>
      <c r="J30" s="8" t="str">
        <f aca="false">IF(I30="Open",DATE(2025,12,31)-F30,"-")</f>
        <v>-</v>
      </c>
    </row>
    <row r="31" customFormat="false" ht="15" hidden="false" customHeight="false" outlineLevel="0" collapsed="false">
      <c r="B31" s="7" t="s">
        <v>14676</v>
      </c>
      <c r="C31" s="7" t="s">
        <v>528</v>
      </c>
      <c r="D31" s="7" t="s">
        <v>297</v>
      </c>
      <c r="E31" s="7" t="s">
        <v>156</v>
      </c>
      <c r="F31" s="39" t="n">
        <v>45659</v>
      </c>
      <c r="G31" s="41" t="n">
        <v>109.82</v>
      </c>
      <c r="H31" s="39" t="n">
        <v>45674</v>
      </c>
      <c r="I31" s="7" t="s">
        <v>14651</v>
      </c>
      <c r="J31" s="8" t="str">
        <f aca="false">IF(I31="Open",DATE(2025,12,31)-F31,"-")</f>
        <v>-</v>
      </c>
    </row>
    <row r="32" customFormat="false" ht="15" hidden="false" customHeight="false" outlineLevel="0" collapsed="false">
      <c r="B32" s="7" t="s">
        <v>14677</v>
      </c>
      <c r="C32" s="7" t="s">
        <v>529</v>
      </c>
      <c r="D32" s="7" t="s">
        <v>311</v>
      </c>
      <c r="E32" s="7" t="s">
        <v>154</v>
      </c>
      <c r="F32" s="39" t="n">
        <v>45659</v>
      </c>
      <c r="G32" s="41" t="n">
        <v>78.18</v>
      </c>
      <c r="H32" s="39" t="n">
        <v>45703</v>
      </c>
      <c r="I32" s="7" t="s">
        <v>14651</v>
      </c>
      <c r="J32" s="8" t="str">
        <f aca="false">IF(I32="Open",DATE(2025,12,31)-F32,"-")</f>
        <v>-</v>
      </c>
    </row>
    <row r="33" customFormat="false" ht="15" hidden="false" customHeight="false" outlineLevel="0" collapsed="false">
      <c r="B33" s="7" t="s">
        <v>14678</v>
      </c>
      <c r="C33" s="7" t="s">
        <v>530</v>
      </c>
      <c r="D33" s="7" t="s">
        <v>313</v>
      </c>
      <c r="E33" s="7" t="s">
        <v>156</v>
      </c>
      <c r="F33" s="39" t="n">
        <v>45659</v>
      </c>
      <c r="G33" s="41" t="n">
        <v>142.8</v>
      </c>
      <c r="H33" s="39" t="n">
        <v>45676</v>
      </c>
      <c r="I33" s="7" t="s">
        <v>14651</v>
      </c>
      <c r="J33" s="8" t="str">
        <f aca="false">IF(I33="Open",DATE(2025,12,31)-F33,"-")</f>
        <v>-</v>
      </c>
    </row>
    <row r="34" customFormat="false" ht="15" hidden="false" customHeight="false" outlineLevel="0" collapsed="false">
      <c r="B34" s="7" t="s">
        <v>14679</v>
      </c>
      <c r="C34" s="7" t="s">
        <v>531</v>
      </c>
      <c r="D34" s="7" t="s">
        <v>317</v>
      </c>
      <c r="E34" s="7" t="s">
        <v>156</v>
      </c>
      <c r="F34" s="39" t="n">
        <v>45659</v>
      </c>
      <c r="G34" s="41" t="n">
        <v>96.22</v>
      </c>
      <c r="H34" s="39" t="n">
        <v>45671</v>
      </c>
      <c r="I34" s="7" t="s">
        <v>14651</v>
      </c>
      <c r="J34" s="8" t="str">
        <f aca="false">IF(I34="Open",DATE(2025,12,31)-F34,"-")</f>
        <v>-</v>
      </c>
    </row>
    <row r="35" customFormat="false" ht="15" hidden="false" customHeight="false" outlineLevel="0" collapsed="false">
      <c r="B35" s="7" t="s">
        <v>14680</v>
      </c>
      <c r="C35" s="7" t="s">
        <v>532</v>
      </c>
      <c r="D35" s="7" t="s">
        <v>321</v>
      </c>
      <c r="E35" s="7" t="s">
        <v>154</v>
      </c>
      <c r="F35" s="39" t="n">
        <v>45659</v>
      </c>
      <c r="G35" s="41" t="n">
        <v>96.19</v>
      </c>
      <c r="H35" s="39" t="n">
        <v>45706</v>
      </c>
      <c r="I35" s="7" t="s">
        <v>14651</v>
      </c>
      <c r="J35" s="8" t="str">
        <f aca="false">IF(I35="Open",DATE(2025,12,31)-F35,"-")</f>
        <v>-</v>
      </c>
    </row>
    <row r="36" customFormat="false" ht="15" hidden="false" customHeight="false" outlineLevel="0" collapsed="false">
      <c r="B36" s="7" t="s">
        <v>14681</v>
      </c>
      <c r="C36" s="7" t="s">
        <v>533</v>
      </c>
      <c r="D36" s="7" t="s">
        <v>325</v>
      </c>
      <c r="E36" s="7" t="s">
        <v>154</v>
      </c>
      <c r="F36" s="39" t="n">
        <v>45659</v>
      </c>
      <c r="G36" s="41" t="n">
        <v>84.8</v>
      </c>
      <c r="H36" s="39" t="n">
        <v>45738</v>
      </c>
      <c r="I36" s="7" t="s">
        <v>14651</v>
      </c>
      <c r="J36" s="8" t="str">
        <f aca="false">IF(I36="Open",DATE(2025,12,31)-F36,"-")</f>
        <v>-</v>
      </c>
    </row>
    <row r="37" customFormat="false" ht="15" hidden="false" customHeight="false" outlineLevel="0" collapsed="false">
      <c r="B37" s="7" t="s">
        <v>14682</v>
      </c>
      <c r="C37" s="7" t="s">
        <v>534</v>
      </c>
      <c r="D37" s="7" t="s">
        <v>329</v>
      </c>
      <c r="E37" s="7" t="s">
        <v>156</v>
      </c>
      <c r="F37" s="39" t="n">
        <v>45659</v>
      </c>
      <c r="G37" s="41" t="n">
        <v>135.32</v>
      </c>
      <c r="H37" s="39" t="n">
        <v>45675</v>
      </c>
      <c r="I37" s="7" t="s">
        <v>14651</v>
      </c>
      <c r="J37" s="8" t="str">
        <f aca="false">IF(I37="Open",DATE(2025,12,31)-F37,"-")</f>
        <v>-</v>
      </c>
    </row>
    <row r="38" customFormat="false" ht="15" hidden="false" customHeight="false" outlineLevel="0" collapsed="false">
      <c r="B38" s="7" t="s">
        <v>14683</v>
      </c>
      <c r="C38" s="7" t="s">
        <v>535</v>
      </c>
      <c r="D38" s="7" t="s">
        <v>331</v>
      </c>
      <c r="E38" s="7" t="s">
        <v>156</v>
      </c>
      <c r="F38" s="39" t="n">
        <v>45659</v>
      </c>
      <c r="G38" s="41" t="n">
        <v>134.98</v>
      </c>
      <c r="H38" s="39" t="n">
        <v>45668</v>
      </c>
      <c r="I38" s="7" t="s">
        <v>14651</v>
      </c>
      <c r="J38" s="8" t="str">
        <f aca="false">IF(I38="Open",DATE(2025,12,31)-F38,"-")</f>
        <v>-</v>
      </c>
    </row>
    <row r="39" customFormat="false" ht="15" hidden="false" customHeight="false" outlineLevel="0" collapsed="false">
      <c r="B39" s="7" t="s">
        <v>14684</v>
      </c>
      <c r="C39" s="7" t="s">
        <v>536</v>
      </c>
      <c r="D39" s="7" t="s">
        <v>337</v>
      </c>
      <c r="E39" s="7" t="s">
        <v>154</v>
      </c>
      <c r="F39" s="39" t="n">
        <v>45659</v>
      </c>
      <c r="G39" s="41" t="n">
        <v>81.09</v>
      </c>
      <c r="H39" s="39" t="n">
        <v>45712</v>
      </c>
      <c r="I39" s="7" t="s">
        <v>14651</v>
      </c>
      <c r="J39" s="8" t="str">
        <f aca="false">IF(I39="Open",DATE(2025,12,31)-F39,"-")</f>
        <v>-</v>
      </c>
    </row>
    <row r="40" customFormat="false" ht="15" hidden="false" customHeight="false" outlineLevel="0" collapsed="false">
      <c r="B40" s="7" t="s">
        <v>14685</v>
      </c>
      <c r="C40" s="7" t="s">
        <v>537</v>
      </c>
      <c r="D40" s="7" t="s">
        <v>341</v>
      </c>
      <c r="E40" s="7" t="s">
        <v>156</v>
      </c>
      <c r="F40" s="39" t="n">
        <v>45659</v>
      </c>
      <c r="G40" s="41" t="n">
        <v>107.78</v>
      </c>
      <c r="H40" s="39" t="n">
        <v>45676</v>
      </c>
      <c r="I40" s="7" t="s">
        <v>14651</v>
      </c>
      <c r="J40" s="8" t="str">
        <f aca="false">IF(I40="Open",DATE(2025,12,31)-F40,"-")</f>
        <v>-</v>
      </c>
    </row>
    <row r="41" customFormat="false" ht="15" hidden="false" customHeight="false" outlineLevel="0" collapsed="false">
      <c r="B41" s="7" t="s">
        <v>14686</v>
      </c>
      <c r="C41" s="7" t="s">
        <v>538</v>
      </c>
      <c r="D41" s="7" t="s">
        <v>343</v>
      </c>
      <c r="E41" s="7" t="s">
        <v>154</v>
      </c>
      <c r="F41" s="39" t="n">
        <v>45659</v>
      </c>
      <c r="G41" s="41" t="n">
        <v>107.59</v>
      </c>
      <c r="H41" s="39" t="n">
        <v>45697</v>
      </c>
      <c r="I41" s="7" t="s">
        <v>14651</v>
      </c>
      <c r="J41" s="8" t="str">
        <f aca="false">IF(I41="Open",DATE(2025,12,31)-F41,"-")</f>
        <v>-</v>
      </c>
    </row>
    <row r="42" customFormat="false" ht="15" hidden="false" customHeight="false" outlineLevel="0" collapsed="false">
      <c r="B42" s="7" t="s">
        <v>14687</v>
      </c>
      <c r="C42" s="7" t="s">
        <v>539</v>
      </c>
      <c r="D42" s="7" t="s">
        <v>359</v>
      </c>
      <c r="E42" s="7" t="s">
        <v>156</v>
      </c>
      <c r="F42" s="39" t="n">
        <v>45659</v>
      </c>
      <c r="G42" s="41" t="n">
        <v>147.22</v>
      </c>
      <c r="H42" s="39" t="n">
        <v>45675</v>
      </c>
      <c r="I42" s="7" t="s">
        <v>14651</v>
      </c>
      <c r="J42" s="8" t="str">
        <f aca="false">IF(I42="Open",DATE(2025,12,31)-F42,"-")</f>
        <v>-</v>
      </c>
    </row>
    <row r="43" customFormat="false" ht="15" hidden="false" customHeight="false" outlineLevel="0" collapsed="false">
      <c r="B43" s="7" t="s">
        <v>14688</v>
      </c>
      <c r="C43" s="7" t="s">
        <v>540</v>
      </c>
      <c r="D43" s="7" t="s">
        <v>363</v>
      </c>
      <c r="E43" s="7" t="s">
        <v>156</v>
      </c>
      <c r="F43" s="39" t="n">
        <v>45659</v>
      </c>
      <c r="G43" s="41" t="n">
        <v>127.84</v>
      </c>
      <c r="H43" s="39" t="n">
        <v>45665</v>
      </c>
      <c r="I43" s="7" t="s">
        <v>14651</v>
      </c>
      <c r="J43" s="8" t="str">
        <f aca="false">IF(I43="Open",DATE(2025,12,31)-F43,"-")</f>
        <v>-</v>
      </c>
    </row>
    <row r="44" customFormat="false" ht="15" hidden="false" customHeight="false" outlineLevel="0" collapsed="false">
      <c r="B44" s="7" t="s">
        <v>14689</v>
      </c>
      <c r="C44" s="7" t="s">
        <v>541</v>
      </c>
      <c r="D44" s="7" t="s">
        <v>375</v>
      </c>
      <c r="E44" s="7" t="s">
        <v>156</v>
      </c>
      <c r="F44" s="39" t="n">
        <v>45659</v>
      </c>
      <c r="G44" s="41" t="n">
        <v>96.9</v>
      </c>
      <c r="H44" s="39" t="n">
        <v>45666</v>
      </c>
      <c r="I44" s="7" t="s">
        <v>14651</v>
      </c>
      <c r="J44" s="8" t="str">
        <f aca="false">IF(I44="Open",DATE(2025,12,31)-F44,"-")</f>
        <v>-</v>
      </c>
    </row>
    <row r="45" customFormat="false" ht="15" hidden="false" customHeight="false" outlineLevel="0" collapsed="false">
      <c r="B45" s="7" t="s">
        <v>14690</v>
      </c>
      <c r="C45" s="7" t="s">
        <v>542</v>
      </c>
      <c r="D45" s="7" t="s">
        <v>377</v>
      </c>
      <c r="E45" s="7" t="s">
        <v>154</v>
      </c>
      <c r="F45" s="39" t="n">
        <v>45659</v>
      </c>
      <c r="G45" s="41" t="n">
        <v>109.98</v>
      </c>
      <c r="H45" s="39" t="n">
        <v>45709</v>
      </c>
      <c r="I45" s="7" t="s">
        <v>14651</v>
      </c>
      <c r="J45" s="8" t="str">
        <f aca="false">IF(I45="Open",DATE(2025,12,31)-F45,"-")</f>
        <v>-</v>
      </c>
    </row>
    <row r="46" customFormat="false" ht="15" hidden="false" customHeight="false" outlineLevel="0" collapsed="false">
      <c r="B46" s="7" t="s">
        <v>14691</v>
      </c>
      <c r="C46" s="7" t="s">
        <v>543</v>
      </c>
      <c r="D46" s="7" t="s">
        <v>389</v>
      </c>
      <c r="E46" s="7" t="s">
        <v>154</v>
      </c>
      <c r="F46" s="39" t="n">
        <v>45659</v>
      </c>
      <c r="G46" s="41" t="n">
        <v>107.32</v>
      </c>
      <c r="H46" s="39" t="n">
        <v>45707</v>
      </c>
      <c r="I46" s="7" t="s">
        <v>14651</v>
      </c>
      <c r="J46" s="8" t="str">
        <f aca="false">IF(I46="Open",DATE(2025,12,31)-F46,"-")</f>
        <v>-</v>
      </c>
    </row>
    <row r="47" customFormat="false" ht="15" hidden="false" customHeight="false" outlineLevel="0" collapsed="false">
      <c r="B47" s="7" t="s">
        <v>14692</v>
      </c>
      <c r="C47" s="7" t="s">
        <v>544</v>
      </c>
      <c r="D47" s="7" t="s">
        <v>391</v>
      </c>
      <c r="E47" s="7" t="s">
        <v>156</v>
      </c>
      <c r="F47" s="39" t="n">
        <v>45659</v>
      </c>
      <c r="G47" s="41" t="n">
        <v>140.42</v>
      </c>
      <c r="H47" s="39" t="n">
        <v>45669</v>
      </c>
      <c r="I47" s="7" t="s">
        <v>14651</v>
      </c>
      <c r="J47" s="8" t="str">
        <f aca="false">IF(I47="Open",DATE(2025,12,31)-F47,"-")</f>
        <v>-</v>
      </c>
    </row>
    <row r="48" customFormat="false" ht="15" hidden="false" customHeight="false" outlineLevel="0" collapsed="false">
      <c r="B48" s="7" t="s">
        <v>14693</v>
      </c>
      <c r="C48" s="7" t="s">
        <v>545</v>
      </c>
      <c r="D48" s="7" t="s">
        <v>395</v>
      </c>
      <c r="E48" s="7" t="s">
        <v>156</v>
      </c>
      <c r="F48" s="39" t="n">
        <v>45659</v>
      </c>
      <c r="G48" s="41" t="n">
        <v>122.74</v>
      </c>
      <c r="H48" s="39" t="n">
        <v>45673</v>
      </c>
      <c r="I48" s="7" t="s">
        <v>14651</v>
      </c>
      <c r="J48" s="8" t="str">
        <f aca="false">IF(I48="Open",DATE(2025,12,31)-F48,"-")</f>
        <v>-</v>
      </c>
    </row>
    <row r="49" customFormat="false" ht="15" hidden="false" customHeight="false" outlineLevel="0" collapsed="false">
      <c r="B49" s="7" t="s">
        <v>14694</v>
      </c>
      <c r="C49" s="7" t="s">
        <v>546</v>
      </c>
      <c r="D49" s="7" t="s">
        <v>401</v>
      </c>
      <c r="E49" s="7" t="s">
        <v>156</v>
      </c>
      <c r="F49" s="39" t="n">
        <v>45659</v>
      </c>
      <c r="G49" s="41" t="n">
        <v>134.3</v>
      </c>
      <c r="H49" s="39" t="n">
        <v>45670</v>
      </c>
      <c r="I49" s="7" t="s">
        <v>14651</v>
      </c>
      <c r="J49" s="8" t="str">
        <f aca="false">IF(I49="Open",DATE(2025,12,31)-F49,"-")</f>
        <v>-</v>
      </c>
    </row>
    <row r="50" customFormat="false" ht="15" hidden="false" customHeight="false" outlineLevel="0" collapsed="false">
      <c r="B50" s="7" t="s">
        <v>14695</v>
      </c>
      <c r="C50" s="7" t="s">
        <v>547</v>
      </c>
      <c r="D50" s="7" t="s">
        <v>280</v>
      </c>
      <c r="E50" s="7" t="s">
        <v>157</v>
      </c>
      <c r="F50" s="39" t="n">
        <v>45660</v>
      </c>
      <c r="G50" s="41" t="n">
        <v>163.35</v>
      </c>
      <c r="H50" s="39" t="n">
        <v>45687</v>
      </c>
      <c r="I50" s="7" t="s">
        <v>14651</v>
      </c>
      <c r="J50" s="8" t="str">
        <f aca="false">IF(I50="Open",DATE(2025,12,31)-F50,"-")</f>
        <v>-</v>
      </c>
    </row>
    <row r="51" customFormat="false" ht="15" hidden="false" customHeight="false" outlineLevel="0" collapsed="false">
      <c r="B51" s="7" t="s">
        <v>14696</v>
      </c>
      <c r="C51" s="7" t="s">
        <v>548</v>
      </c>
      <c r="D51" s="7" t="s">
        <v>288</v>
      </c>
      <c r="E51" s="7" t="s">
        <v>156</v>
      </c>
      <c r="F51" s="39" t="n">
        <v>45660</v>
      </c>
      <c r="G51" s="41" t="n">
        <v>136.68</v>
      </c>
      <c r="H51" s="39" t="n">
        <v>45669</v>
      </c>
      <c r="I51" s="7" t="s">
        <v>14651</v>
      </c>
      <c r="J51" s="8" t="str">
        <f aca="false">IF(I51="Open",DATE(2025,12,31)-F51,"-")</f>
        <v>-</v>
      </c>
    </row>
    <row r="52" customFormat="false" ht="15" hidden="false" customHeight="false" outlineLevel="0" collapsed="false">
      <c r="B52" s="7" t="s">
        <v>14697</v>
      </c>
      <c r="C52" s="7" t="s">
        <v>549</v>
      </c>
      <c r="D52" s="7" t="s">
        <v>291</v>
      </c>
      <c r="E52" s="7" t="s">
        <v>154</v>
      </c>
      <c r="F52" s="39" t="n">
        <v>45660</v>
      </c>
      <c r="G52" s="41" t="n">
        <v>134.09</v>
      </c>
      <c r="H52" s="39" t="n">
        <v>45699</v>
      </c>
      <c r="I52" s="7" t="s">
        <v>14651</v>
      </c>
      <c r="J52" s="8" t="str">
        <f aca="false">IF(I52="Open",DATE(2025,12,31)-F52,"-")</f>
        <v>-</v>
      </c>
    </row>
    <row r="53" customFormat="false" ht="15" hidden="false" customHeight="false" outlineLevel="0" collapsed="false">
      <c r="B53" s="7" t="s">
        <v>14698</v>
      </c>
      <c r="C53" s="7" t="s">
        <v>550</v>
      </c>
      <c r="D53" s="7" t="s">
        <v>301</v>
      </c>
      <c r="E53" s="7" t="s">
        <v>157</v>
      </c>
      <c r="F53" s="39" t="n">
        <v>45660</v>
      </c>
      <c r="G53" s="41" t="n">
        <v>176.55</v>
      </c>
      <c r="H53" s="39" t="n">
        <v>45743</v>
      </c>
      <c r="I53" s="7" t="s">
        <v>14651</v>
      </c>
      <c r="J53" s="8" t="str">
        <f aca="false">IF(I53="Open",DATE(2025,12,31)-F53,"-")</f>
        <v>-</v>
      </c>
    </row>
    <row r="54" customFormat="false" ht="15" hidden="false" customHeight="false" outlineLevel="0" collapsed="false">
      <c r="B54" s="7" t="s">
        <v>14699</v>
      </c>
      <c r="C54" s="7" t="s">
        <v>551</v>
      </c>
      <c r="D54" s="7" t="s">
        <v>305</v>
      </c>
      <c r="E54" s="7" t="s">
        <v>154</v>
      </c>
      <c r="F54" s="39" t="n">
        <v>45660</v>
      </c>
      <c r="G54" s="41" t="n">
        <v>100.7</v>
      </c>
      <c r="H54" s="39" t="n">
        <v>45717</v>
      </c>
      <c r="I54" s="7" t="s">
        <v>14651</v>
      </c>
      <c r="J54" s="8" t="str">
        <f aca="false">IF(I54="Open",DATE(2025,12,31)-F54,"-")</f>
        <v>-</v>
      </c>
    </row>
    <row r="55" customFormat="false" ht="15" hidden="false" customHeight="false" outlineLevel="0" collapsed="false">
      <c r="B55" s="7" t="s">
        <v>14700</v>
      </c>
      <c r="C55" s="7" t="s">
        <v>552</v>
      </c>
      <c r="D55" s="7" t="s">
        <v>309</v>
      </c>
      <c r="E55" s="7" t="s">
        <v>159</v>
      </c>
      <c r="F55" s="39" t="n">
        <v>45660</v>
      </c>
      <c r="G55" s="41" t="n">
        <v>133.65</v>
      </c>
      <c r="H55" s="39" t="n">
        <v>45696</v>
      </c>
      <c r="I55" s="7" t="s">
        <v>14651</v>
      </c>
      <c r="J55" s="8" t="str">
        <f aca="false">IF(I55="Open",DATE(2025,12,31)-F55,"-")</f>
        <v>-</v>
      </c>
    </row>
    <row r="56" customFormat="false" ht="15" hidden="false" customHeight="false" outlineLevel="0" collapsed="false">
      <c r="B56" s="7" t="s">
        <v>14701</v>
      </c>
      <c r="C56" s="7" t="s">
        <v>553</v>
      </c>
      <c r="D56" s="7" t="s">
        <v>313</v>
      </c>
      <c r="E56" s="7" t="s">
        <v>156</v>
      </c>
      <c r="F56" s="39" t="n">
        <v>45660</v>
      </c>
      <c r="G56" s="41" t="n">
        <v>140.42</v>
      </c>
      <c r="H56" s="39" t="n">
        <v>45672</v>
      </c>
      <c r="I56" s="7" t="s">
        <v>14651</v>
      </c>
      <c r="J56" s="8" t="str">
        <f aca="false">IF(I56="Open",DATE(2025,12,31)-F56,"-")</f>
        <v>-</v>
      </c>
    </row>
    <row r="57" customFormat="false" ht="15" hidden="false" customHeight="false" outlineLevel="0" collapsed="false">
      <c r="B57" s="7" t="s">
        <v>14702</v>
      </c>
      <c r="C57" s="7" t="s">
        <v>554</v>
      </c>
      <c r="D57" s="7" t="s">
        <v>319</v>
      </c>
      <c r="E57" s="7" t="s">
        <v>157</v>
      </c>
      <c r="F57" s="39" t="n">
        <v>45660</v>
      </c>
      <c r="G57" s="41" t="n">
        <v>160.05</v>
      </c>
      <c r="H57" s="39" t="n">
        <v>45720</v>
      </c>
      <c r="I57" s="7" t="s">
        <v>14651</v>
      </c>
      <c r="J57" s="8" t="str">
        <f aca="false">IF(I57="Open",DATE(2025,12,31)-F57,"-")</f>
        <v>-</v>
      </c>
    </row>
    <row r="58" customFormat="false" ht="15" hidden="false" customHeight="false" outlineLevel="0" collapsed="false">
      <c r="B58" s="7" t="s">
        <v>14703</v>
      </c>
      <c r="C58" s="7" t="s">
        <v>555</v>
      </c>
      <c r="D58" s="7" t="s">
        <v>321</v>
      </c>
      <c r="E58" s="7" t="s">
        <v>154</v>
      </c>
      <c r="F58" s="39" t="n">
        <v>45660</v>
      </c>
      <c r="G58" s="41" t="n">
        <v>100.97</v>
      </c>
      <c r="H58" s="39" t="n">
        <v>45706</v>
      </c>
      <c r="I58" s="7" t="s">
        <v>14651</v>
      </c>
      <c r="J58" s="8" t="str">
        <f aca="false">IF(I58="Open",DATE(2025,12,31)-F58,"-")</f>
        <v>-</v>
      </c>
    </row>
    <row r="59" customFormat="false" ht="15" hidden="false" customHeight="false" outlineLevel="0" collapsed="false">
      <c r="B59" s="7" t="s">
        <v>14704</v>
      </c>
      <c r="C59" s="7" t="s">
        <v>556</v>
      </c>
      <c r="D59" s="7" t="s">
        <v>323</v>
      </c>
      <c r="E59" s="7" t="s">
        <v>159</v>
      </c>
      <c r="F59" s="39" t="n">
        <v>45660</v>
      </c>
      <c r="G59" s="41" t="n">
        <v>145.8</v>
      </c>
      <c r="H59" s="39" t="n">
        <v>45711</v>
      </c>
      <c r="I59" s="7" t="s">
        <v>14651</v>
      </c>
      <c r="J59" s="8" t="str">
        <f aca="false">IF(I59="Open",DATE(2025,12,31)-F59,"-")</f>
        <v>-</v>
      </c>
    </row>
    <row r="60" customFormat="false" ht="15" hidden="false" customHeight="false" outlineLevel="0" collapsed="false">
      <c r="B60" s="7" t="s">
        <v>14705</v>
      </c>
      <c r="C60" s="7" t="s">
        <v>557</v>
      </c>
      <c r="D60" s="7" t="s">
        <v>327</v>
      </c>
      <c r="E60" s="7" t="s">
        <v>157</v>
      </c>
      <c r="F60" s="39" t="n">
        <v>45660</v>
      </c>
      <c r="G60" s="41" t="n">
        <v>155.1</v>
      </c>
      <c r="H60" s="39" t="n">
        <v>45673</v>
      </c>
      <c r="I60" s="7" t="s">
        <v>14651</v>
      </c>
      <c r="J60" s="8" t="str">
        <f aca="false">IF(I60="Open",DATE(2025,12,31)-F60,"-")</f>
        <v>-</v>
      </c>
    </row>
    <row r="61" customFormat="false" ht="15" hidden="false" customHeight="false" outlineLevel="0" collapsed="false">
      <c r="B61" s="7" t="s">
        <v>14706</v>
      </c>
      <c r="C61" s="7" t="s">
        <v>558</v>
      </c>
      <c r="D61" s="7" t="s">
        <v>329</v>
      </c>
      <c r="E61" s="7" t="s">
        <v>156</v>
      </c>
      <c r="F61" s="39" t="n">
        <v>45660</v>
      </c>
      <c r="G61" s="41" t="n">
        <v>137.36</v>
      </c>
      <c r="H61" s="39" t="n">
        <v>45675</v>
      </c>
      <c r="I61" s="7" t="s">
        <v>14651</v>
      </c>
      <c r="J61" s="8" t="str">
        <f aca="false">IF(I61="Open",DATE(2025,12,31)-F61,"-")</f>
        <v>-</v>
      </c>
    </row>
    <row r="62" customFormat="false" ht="15" hidden="false" customHeight="false" outlineLevel="0" collapsed="false">
      <c r="B62" s="7" t="s">
        <v>14707</v>
      </c>
      <c r="C62" s="7" t="s">
        <v>559</v>
      </c>
      <c r="D62" s="7" t="s">
        <v>335</v>
      </c>
      <c r="E62" s="7" t="s">
        <v>154</v>
      </c>
      <c r="F62" s="39" t="n">
        <v>45660</v>
      </c>
      <c r="G62" s="41" t="n">
        <v>107.19</v>
      </c>
      <c r="H62" s="39" t="n">
        <v>45723</v>
      </c>
      <c r="I62" s="7" t="s">
        <v>14651</v>
      </c>
      <c r="J62" s="8" t="str">
        <f aca="false">IF(I62="Open",DATE(2025,12,31)-F62,"-")</f>
        <v>-</v>
      </c>
    </row>
    <row r="63" customFormat="false" ht="15" hidden="false" customHeight="false" outlineLevel="0" collapsed="false">
      <c r="B63" s="7" t="s">
        <v>14708</v>
      </c>
      <c r="C63" s="7" t="s">
        <v>560</v>
      </c>
      <c r="D63" s="7" t="s">
        <v>339</v>
      </c>
      <c r="E63" s="7" t="s">
        <v>154</v>
      </c>
      <c r="F63" s="39" t="n">
        <v>45660</v>
      </c>
      <c r="G63" s="41" t="n">
        <v>84.8</v>
      </c>
      <c r="H63" s="39" t="n">
        <v>45703</v>
      </c>
      <c r="I63" s="7" t="s">
        <v>14651</v>
      </c>
      <c r="J63" s="8" t="str">
        <f aca="false">IF(I63="Open",DATE(2025,12,31)-F63,"-")</f>
        <v>-</v>
      </c>
    </row>
    <row r="64" customFormat="false" ht="15" hidden="false" customHeight="false" outlineLevel="0" collapsed="false">
      <c r="B64" s="7" t="s">
        <v>14709</v>
      </c>
      <c r="C64" s="7" t="s">
        <v>561</v>
      </c>
      <c r="D64" s="7" t="s">
        <v>353</v>
      </c>
      <c r="E64" s="7" t="s">
        <v>154</v>
      </c>
      <c r="F64" s="39" t="n">
        <v>45660</v>
      </c>
      <c r="G64" s="41" t="n">
        <v>91.16</v>
      </c>
      <c r="H64" s="39" t="n">
        <v>45688</v>
      </c>
      <c r="I64" s="7" t="s">
        <v>14651</v>
      </c>
      <c r="J64" s="8" t="str">
        <f aca="false">IF(I64="Open",DATE(2025,12,31)-F64,"-")</f>
        <v>-</v>
      </c>
    </row>
    <row r="65" customFormat="false" ht="15" hidden="false" customHeight="false" outlineLevel="0" collapsed="false">
      <c r="B65" s="7" t="s">
        <v>14710</v>
      </c>
      <c r="C65" s="7" t="s">
        <v>562</v>
      </c>
      <c r="D65" s="7" t="s">
        <v>355</v>
      </c>
      <c r="E65" s="7" t="s">
        <v>154</v>
      </c>
      <c r="F65" s="39" t="n">
        <v>45660</v>
      </c>
      <c r="G65" s="41" t="n">
        <v>85.59</v>
      </c>
      <c r="H65" s="39" t="n">
        <v>45751</v>
      </c>
      <c r="I65" s="7" t="s">
        <v>14651</v>
      </c>
      <c r="J65" s="8" t="str">
        <f aca="false">IF(I65="Open",DATE(2025,12,31)-F65,"-")</f>
        <v>-</v>
      </c>
    </row>
    <row r="66" customFormat="false" ht="15" hidden="false" customHeight="false" outlineLevel="0" collapsed="false">
      <c r="B66" s="7" t="s">
        <v>14711</v>
      </c>
      <c r="C66" s="7" t="s">
        <v>563</v>
      </c>
      <c r="D66" s="7" t="s">
        <v>357</v>
      </c>
      <c r="E66" s="7" t="s">
        <v>154</v>
      </c>
      <c r="F66" s="39" t="n">
        <v>45660</v>
      </c>
      <c r="G66" s="41" t="n">
        <v>85.59</v>
      </c>
      <c r="H66" s="39" t="n">
        <v>45751</v>
      </c>
      <c r="I66" s="7" t="s">
        <v>14651</v>
      </c>
      <c r="J66" s="8" t="str">
        <f aca="false">IF(I66="Open",DATE(2025,12,31)-F66,"-")</f>
        <v>-</v>
      </c>
    </row>
    <row r="67" customFormat="false" ht="15" hidden="false" customHeight="false" outlineLevel="0" collapsed="false">
      <c r="B67" s="7" t="s">
        <v>14712</v>
      </c>
      <c r="C67" s="7" t="s">
        <v>564</v>
      </c>
      <c r="D67" s="7" t="s">
        <v>359</v>
      </c>
      <c r="E67" s="7" t="s">
        <v>156</v>
      </c>
      <c r="F67" s="39" t="n">
        <v>45660</v>
      </c>
      <c r="G67" s="41" t="n">
        <v>128.52</v>
      </c>
      <c r="H67" s="39" t="n">
        <v>45668</v>
      </c>
      <c r="I67" s="7" t="s">
        <v>14651</v>
      </c>
      <c r="J67" s="8" t="str">
        <f aca="false">IF(I67="Open",DATE(2025,12,31)-F67,"-")</f>
        <v>-</v>
      </c>
    </row>
    <row r="68" customFormat="false" ht="15" hidden="false" customHeight="false" outlineLevel="0" collapsed="false">
      <c r="B68" s="7" t="s">
        <v>14713</v>
      </c>
      <c r="C68" s="7" t="s">
        <v>565</v>
      </c>
      <c r="D68" s="7" t="s">
        <v>361</v>
      </c>
      <c r="E68" s="7" t="s">
        <v>157</v>
      </c>
      <c r="F68" s="39" t="n">
        <v>45660</v>
      </c>
      <c r="G68" s="41" t="n">
        <v>173.25</v>
      </c>
      <c r="H68" s="39" t="n">
        <v>45704</v>
      </c>
      <c r="I68" s="7" t="s">
        <v>14651</v>
      </c>
      <c r="J68" s="8" t="str">
        <f aca="false">IF(I68="Open",DATE(2025,12,31)-F68,"-")</f>
        <v>-</v>
      </c>
    </row>
    <row r="69" customFormat="false" ht="15" hidden="false" customHeight="false" outlineLevel="0" collapsed="false">
      <c r="B69" s="7" t="s">
        <v>14714</v>
      </c>
      <c r="C69" s="7" t="s">
        <v>566</v>
      </c>
      <c r="D69" s="7" t="s">
        <v>371</v>
      </c>
      <c r="E69" s="7" t="s">
        <v>154</v>
      </c>
      <c r="F69" s="39" t="n">
        <v>45660</v>
      </c>
      <c r="G69" s="41" t="n">
        <v>116.07</v>
      </c>
      <c r="H69" s="39" t="n">
        <v>45735</v>
      </c>
      <c r="I69" s="7" t="s">
        <v>14651</v>
      </c>
      <c r="J69" s="8" t="str">
        <f aca="false">IF(I69="Open",DATE(2025,12,31)-F69,"-")</f>
        <v>-</v>
      </c>
    </row>
    <row r="70" customFormat="false" ht="15" hidden="false" customHeight="false" outlineLevel="0" collapsed="false">
      <c r="B70" s="7" t="s">
        <v>14715</v>
      </c>
      <c r="C70" s="7" t="s">
        <v>567</v>
      </c>
      <c r="D70" s="7" t="s">
        <v>379</v>
      </c>
      <c r="E70" s="7" t="s">
        <v>156</v>
      </c>
      <c r="F70" s="39" t="n">
        <v>45660</v>
      </c>
      <c r="G70" s="41" t="n">
        <v>161.5</v>
      </c>
      <c r="H70" s="39" t="n">
        <v>45663</v>
      </c>
      <c r="I70" s="7" t="s">
        <v>14651</v>
      </c>
      <c r="J70" s="8" t="str">
        <f aca="false">IF(I70="Open",DATE(2025,12,31)-F70,"-")</f>
        <v>-</v>
      </c>
    </row>
    <row r="71" customFormat="false" ht="15" hidden="false" customHeight="false" outlineLevel="0" collapsed="false">
      <c r="B71" s="7" t="s">
        <v>14716</v>
      </c>
      <c r="C71" s="7" t="s">
        <v>568</v>
      </c>
      <c r="D71" s="7" t="s">
        <v>381</v>
      </c>
      <c r="E71" s="7" t="s">
        <v>157</v>
      </c>
      <c r="F71" s="39" t="n">
        <v>45660</v>
      </c>
      <c r="G71" s="41" t="n">
        <v>181.5</v>
      </c>
      <c r="H71" s="39" t="n">
        <v>45685</v>
      </c>
      <c r="I71" s="7" t="s">
        <v>14651</v>
      </c>
      <c r="J71" s="8" t="str">
        <f aca="false">IF(I71="Open",DATE(2025,12,31)-F71,"-")</f>
        <v>-</v>
      </c>
    </row>
    <row r="72" customFormat="false" ht="15" hidden="false" customHeight="false" outlineLevel="0" collapsed="false">
      <c r="B72" s="7" t="s">
        <v>14717</v>
      </c>
      <c r="C72" s="7" t="s">
        <v>569</v>
      </c>
      <c r="D72" s="7" t="s">
        <v>389</v>
      </c>
      <c r="E72" s="7" t="s">
        <v>154</v>
      </c>
      <c r="F72" s="39" t="n">
        <v>45660</v>
      </c>
      <c r="G72" s="41" t="n">
        <v>103.09</v>
      </c>
      <c r="H72" s="39" t="n">
        <v>45691</v>
      </c>
      <c r="I72" s="7" t="s">
        <v>14651</v>
      </c>
      <c r="J72" s="8" t="str">
        <f aca="false">IF(I72="Open",DATE(2025,12,31)-F72,"-")</f>
        <v>-</v>
      </c>
    </row>
    <row r="73" customFormat="false" ht="15" hidden="false" customHeight="false" outlineLevel="0" collapsed="false">
      <c r="B73" s="7" t="s">
        <v>14718</v>
      </c>
      <c r="C73" s="7" t="s">
        <v>570</v>
      </c>
      <c r="D73" s="7" t="s">
        <v>391</v>
      </c>
      <c r="E73" s="7" t="s">
        <v>156</v>
      </c>
      <c r="F73" s="39" t="n">
        <v>45660</v>
      </c>
      <c r="G73" s="41" t="n">
        <v>125.8</v>
      </c>
      <c r="H73" s="39" t="n">
        <v>45679</v>
      </c>
      <c r="I73" s="7" t="s">
        <v>14651</v>
      </c>
      <c r="J73" s="8" t="str">
        <f aca="false">IF(I73="Open",DATE(2025,12,31)-F73,"-")</f>
        <v>-</v>
      </c>
    </row>
    <row r="74" customFormat="false" ht="15" hidden="false" customHeight="false" outlineLevel="0" collapsed="false">
      <c r="B74" s="7" t="s">
        <v>14719</v>
      </c>
      <c r="C74" s="7" t="s">
        <v>571</v>
      </c>
      <c r="D74" s="7" t="s">
        <v>395</v>
      </c>
      <c r="E74" s="7" t="s">
        <v>156</v>
      </c>
      <c r="F74" s="39" t="n">
        <v>45660</v>
      </c>
      <c r="G74" s="41" t="n">
        <v>130.22</v>
      </c>
      <c r="H74" s="39" t="n">
        <v>45674</v>
      </c>
      <c r="I74" s="7" t="s">
        <v>14651</v>
      </c>
      <c r="J74" s="8" t="str">
        <f aca="false">IF(I74="Open",DATE(2025,12,31)-F74,"-")</f>
        <v>-</v>
      </c>
    </row>
    <row r="75" customFormat="false" ht="15" hidden="false" customHeight="false" outlineLevel="0" collapsed="false">
      <c r="B75" s="7" t="s">
        <v>14720</v>
      </c>
      <c r="C75" s="7" t="s">
        <v>572</v>
      </c>
      <c r="D75" s="7" t="s">
        <v>399</v>
      </c>
      <c r="E75" s="7" t="s">
        <v>154</v>
      </c>
      <c r="F75" s="39" t="n">
        <v>45660</v>
      </c>
      <c r="G75" s="41" t="n">
        <v>89.97</v>
      </c>
      <c r="H75" s="39" t="n">
        <v>45748</v>
      </c>
      <c r="I75" s="7" t="s">
        <v>14651</v>
      </c>
      <c r="J75" s="8" t="str">
        <f aca="false">IF(I75="Open",DATE(2025,12,31)-F75,"-")</f>
        <v>-</v>
      </c>
    </row>
    <row r="76" customFormat="false" ht="15" hidden="false" customHeight="false" outlineLevel="0" collapsed="false">
      <c r="B76" s="7" t="s">
        <v>14721</v>
      </c>
      <c r="C76" s="7" t="s">
        <v>573</v>
      </c>
      <c r="D76" s="7" t="s">
        <v>401</v>
      </c>
      <c r="E76" s="7" t="s">
        <v>156</v>
      </c>
      <c r="F76" s="39" t="n">
        <v>45660</v>
      </c>
      <c r="G76" s="41" t="n">
        <v>130.22</v>
      </c>
      <c r="H76" s="39" t="n">
        <v>45664</v>
      </c>
      <c r="I76" s="7" t="s">
        <v>14651</v>
      </c>
      <c r="J76" s="8" t="str">
        <f aca="false">IF(I76="Open",DATE(2025,12,31)-F76,"-")</f>
        <v>-</v>
      </c>
    </row>
    <row r="77" customFormat="false" ht="15" hidden="false" customHeight="false" outlineLevel="0" collapsed="false">
      <c r="B77" s="7" t="s">
        <v>14722</v>
      </c>
      <c r="C77" s="7" t="s">
        <v>574</v>
      </c>
      <c r="D77" s="7" t="s">
        <v>407</v>
      </c>
      <c r="E77" s="7" t="s">
        <v>159</v>
      </c>
      <c r="F77" s="39" t="n">
        <v>45660</v>
      </c>
      <c r="G77" s="41" t="n">
        <v>147.15</v>
      </c>
      <c r="H77" s="39" t="n">
        <v>45702</v>
      </c>
      <c r="I77" s="7" t="s">
        <v>14651</v>
      </c>
      <c r="J77" s="8" t="str">
        <f aca="false">IF(I77="Open",DATE(2025,12,31)-F77,"-")</f>
        <v>-</v>
      </c>
    </row>
    <row r="78" customFormat="false" ht="15" hidden="false" customHeight="false" outlineLevel="0" collapsed="false">
      <c r="B78" s="7" t="s">
        <v>14723</v>
      </c>
      <c r="C78" s="7" t="s">
        <v>575</v>
      </c>
      <c r="D78" s="7" t="s">
        <v>409</v>
      </c>
      <c r="E78" s="7" t="s">
        <v>154</v>
      </c>
      <c r="F78" s="39" t="n">
        <v>45660</v>
      </c>
      <c r="G78" s="41" t="n">
        <v>81.62</v>
      </c>
      <c r="H78" s="39" t="n">
        <v>45726</v>
      </c>
      <c r="I78" s="7" t="s">
        <v>14651</v>
      </c>
      <c r="J78" s="8" t="str">
        <f aca="false">IF(I78="Open",DATE(2025,12,31)-F78,"-")</f>
        <v>-</v>
      </c>
    </row>
    <row r="79" customFormat="false" ht="15" hidden="false" customHeight="false" outlineLevel="0" collapsed="false">
      <c r="B79" s="7" t="s">
        <v>14724</v>
      </c>
      <c r="C79" s="7" t="s">
        <v>576</v>
      </c>
      <c r="D79" s="7" t="s">
        <v>411</v>
      </c>
      <c r="E79" s="7" t="s">
        <v>154</v>
      </c>
      <c r="F79" s="39" t="n">
        <v>45660</v>
      </c>
      <c r="G79" s="41" t="n">
        <v>125.61</v>
      </c>
      <c r="H79" s="39" t="n">
        <v>45764</v>
      </c>
      <c r="I79" s="7" t="s">
        <v>14651</v>
      </c>
      <c r="J79" s="8" t="str">
        <f aca="false">IF(I79="Open",DATE(2025,12,31)-F79,"-")</f>
        <v>-</v>
      </c>
    </row>
    <row r="80" customFormat="false" ht="15" hidden="false" customHeight="false" outlineLevel="0" collapsed="false">
      <c r="B80" s="7" t="s">
        <v>14725</v>
      </c>
      <c r="C80" s="7" t="s">
        <v>577</v>
      </c>
      <c r="D80" s="7" t="s">
        <v>288</v>
      </c>
      <c r="E80" s="7" t="s">
        <v>156</v>
      </c>
      <c r="F80" s="39" t="n">
        <v>45661</v>
      </c>
      <c r="G80" s="41" t="n">
        <v>144.5</v>
      </c>
      <c r="H80" s="39" t="n">
        <v>45667</v>
      </c>
      <c r="I80" s="7" t="s">
        <v>14651</v>
      </c>
      <c r="J80" s="8" t="str">
        <f aca="false">IF(I80="Open",DATE(2025,12,31)-F80,"-")</f>
        <v>-</v>
      </c>
    </row>
    <row r="81" customFormat="false" ht="15" hidden="false" customHeight="false" outlineLevel="0" collapsed="false">
      <c r="B81" s="7" t="s">
        <v>14726</v>
      </c>
      <c r="C81" s="7" t="s">
        <v>578</v>
      </c>
      <c r="D81" s="7" t="s">
        <v>321</v>
      </c>
      <c r="E81" s="7" t="s">
        <v>154</v>
      </c>
      <c r="F81" s="39" t="n">
        <v>45661</v>
      </c>
      <c r="G81" s="41" t="n">
        <v>100.7</v>
      </c>
      <c r="H81" s="39" t="n">
        <v>45743</v>
      </c>
      <c r="I81" s="7" t="s">
        <v>14651</v>
      </c>
      <c r="J81" s="8" t="str">
        <f aca="false">IF(I81="Open",DATE(2025,12,31)-F81,"-")</f>
        <v>-</v>
      </c>
    </row>
    <row r="82" customFormat="false" ht="15" hidden="false" customHeight="false" outlineLevel="0" collapsed="false">
      <c r="B82" s="7" t="s">
        <v>14727</v>
      </c>
      <c r="C82" s="7" t="s">
        <v>579</v>
      </c>
      <c r="D82" s="7" t="s">
        <v>359</v>
      </c>
      <c r="E82" s="7" t="s">
        <v>156</v>
      </c>
      <c r="F82" s="39" t="n">
        <v>45661</v>
      </c>
      <c r="G82" s="41" t="n">
        <v>138.72</v>
      </c>
      <c r="H82" s="39" t="n">
        <v>45676</v>
      </c>
      <c r="I82" s="7" t="s">
        <v>14651</v>
      </c>
      <c r="J82" s="8" t="str">
        <f aca="false">IF(I82="Open",DATE(2025,12,31)-F82,"-")</f>
        <v>-</v>
      </c>
    </row>
    <row r="83" customFormat="false" ht="15" hidden="false" customHeight="false" outlineLevel="0" collapsed="false">
      <c r="B83" s="7" t="s">
        <v>14728</v>
      </c>
      <c r="C83" s="7" t="s">
        <v>580</v>
      </c>
      <c r="D83" s="7" t="s">
        <v>391</v>
      </c>
      <c r="E83" s="7" t="s">
        <v>156</v>
      </c>
      <c r="F83" s="39" t="n">
        <v>45661</v>
      </c>
      <c r="G83" s="41" t="n">
        <v>132.6</v>
      </c>
      <c r="H83" s="39" t="n">
        <v>45673</v>
      </c>
      <c r="I83" s="7" t="s">
        <v>14651</v>
      </c>
      <c r="J83" s="8" t="str">
        <f aca="false">IF(I83="Open",DATE(2025,12,31)-F83,"-")</f>
        <v>-</v>
      </c>
    </row>
    <row r="84" customFormat="false" ht="15" hidden="false" customHeight="false" outlineLevel="0" collapsed="false">
      <c r="B84" s="7" t="s">
        <v>14729</v>
      </c>
      <c r="C84" s="7" t="s">
        <v>581</v>
      </c>
      <c r="D84" s="7" t="s">
        <v>395</v>
      </c>
      <c r="E84" s="7" t="s">
        <v>156</v>
      </c>
      <c r="F84" s="39" t="n">
        <v>45661</v>
      </c>
      <c r="G84" s="41" t="n">
        <v>138.38</v>
      </c>
      <c r="H84" s="39" t="n">
        <v>45676</v>
      </c>
      <c r="I84" s="7" t="s">
        <v>14651</v>
      </c>
      <c r="J84" s="8" t="str">
        <f aca="false">IF(I84="Open",DATE(2025,12,31)-F84,"-")</f>
        <v>-</v>
      </c>
    </row>
    <row r="85" customFormat="false" ht="15" hidden="false" customHeight="false" outlineLevel="0" collapsed="false">
      <c r="B85" s="7" t="s">
        <v>14730</v>
      </c>
      <c r="C85" s="7" t="s">
        <v>582</v>
      </c>
      <c r="D85" s="7" t="s">
        <v>401</v>
      </c>
      <c r="E85" s="7" t="s">
        <v>156</v>
      </c>
      <c r="F85" s="39" t="n">
        <v>45661</v>
      </c>
      <c r="G85" s="41" t="n">
        <v>124.1</v>
      </c>
      <c r="H85" s="39" t="n">
        <v>45679</v>
      </c>
      <c r="I85" s="7" t="s">
        <v>14651</v>
      </c>
      <c r="J85" s="8" t="str">
        <f aca="false">IF(I85="Open",DATE(2025,12,31)-F85,"-")</f>
        <v>-</v>
      </c>
    </row>
    <row r="86" customFormat="false" ht="15" hidden="false" customHeight="false" outlineLevel="0" collapsed="false">
      <c r="B86" s="7" t="s">
        <v>14731</v>
      </c>
      <c r="C86" s="7" t="s">
        <v>583</v>
      </c>
      <c r="D86" s="7" t="s">
        <v>288</v>
      </c>
      <c r="E86" s="7" t="s">
        <v>156</v>
      </c>
      <c r="F86" s="39" t="n">
        <v>45662</v>
      </c>
      <c r="G86" s="41" t="n">
        <v>143.14</v>
      </c>
      <c r="H86" s="39" t="n">
        <v>45676</v>
      </c>
      <c r="I86" s="7" t="s">
        <v>14651</v>
      </c>
      <c r="J86" s="8" t="str">
        <f aca="false">IF(I86="Open",DATE(2025,12,31)-F86,"-")</f>
        <v>-</v>
      </c>
    </row>
    <row r="87" customFormat="false" ht="15" hidden="false" customHeight="false" outlineLevel="0" collapsed="false">
      <c r="B87" s="7" t="s">
        <v>14732</v>
      </c>
      <c r="C87" s="7" t="s">
        <v>584</v>
      </c>
      <c r="D87" s="7" t="s">
        <v>321</v>
      </c>
      <c r="E87" s="7" t="s">
        <v>154</v>
      </c>
      <c r="F87" s="39" t="n">
        <v>45662</v>
      </c>
      <c r="G87" s="41" t="n">
        <v>96.99</v>
      </c>
      <c r="H87" s="39" t="n">
        <v>45698</v>
      </c>
      <c r="I87" s="7" t="s">
        <v>14651</v>
      </c>
      <c r="J87" s="8" t="str">
        <f aca="false">IF(I87="Open",DATE(2025,12,31)-F87,"-")</f>
        <v>-</v>
      </c>
    </row>
    <row r="88" customFormat="false" ht="15" hidden="false" customHeight="false" outlineLevel="0" collapsed="false">
      <c r="B88" s="7" t="s">
        <v>14733</v>
      </c>
      <c r="C88" s="7" t="s">
        <v>585</v>
      </c>
      <c r="D88" s="7" t="s">
        <v>359</v>
      </c>
      <c r="E88" s="7" t="s">
        <v>156</v>
      </c>
      <c r="F88" s="39" t="n">
        <v>45662</v>
      </c>
      <c r="G88" s="41" t="n">
        <v>126.82</v>
      </c>
      <c r="H88" s="39" t="n">
        <v>45666</v>
      </c>
      <c r="I88" s="7" t="s">
        <v>14651</v>
      </c>
      <c r="J88" s="8" t="str">
        <f aca="false">IF(I88="Open",DATE(2025,12,31)-F88,"-")</f>
        <v>-</v>
      </c>
    </row>
    <row r="89" customFormat="false" ht="15" hidden="false" customHeight="false" outlineLevel="0" collapsed="false">
      <c r="B89" s="7" t="s">
        <v>14734</v>
      </c>
      <c r="C89" s="7" t="s">
        <v>586</v>
      </c>
      <c r="D89" s="7" t="s">
        <v>391</v>
      </c>
      <c r="E89" s="7" t="s">
        <v>156</v>
      </c>
      <c r="F89" s="39" t="n">
        <v>45662</v>
      </c>
      <c r="G89" s="41" t="n">
        <v>135.32</v>
      </c>
      <c r="H89" s="39" t="n">
        <v>45682</v>
      </c>
      <c r="I89" s="7" t="s">
        <v>14651</v>
      </c>
      <c r="J89" s="8" t="str">
        <f aca="false">IF(I89="Open",DATE(2025,12,31)-F89,"-")</f>
        <v>-</v>
      </c>
    </row>
    <row r="90" customFormat="false" ht="15" hidden="false" customHeight="false" outlineLevel="0" collapsed="false">
      <c r="B90" s="7" t="s">
        <v>14735</v>
      </c>
      <c r="C90" s="7" t="s">
        <v>587</v>
      </c>
      <c r="D90" s="7" t="s">
        <v>395</v>
      </c>
      <c r="E90" s="7" t="s">
        <v>156</v>
      </c>
      <c r="F90" s="39" t="n">
        <v>45662</v>
      </c>
      <c r="G90" s="41" t="n">
        <v>130.22</v>
      </c>
      <c r="H90" s="39" t="n">
        <v>45670</v>
      </c>
      <c r="I90" s="7" t="s">
        <v>14651</v>
      </c>
      <c r="J90" s="8" t="str">
        <f aca="false">IF(I90="Open",DATE(2025,12,31)-F90,"-")</f>
        <v>-</v>
      </c>
    </row>
    <row r="91" customFormat="false" ht="15" hidden="false" customHeight="false" outlineLevel="0" collapsed="false">
      <c r="B91" s="7" t="s">
        <v>14736</v>
      </c>
      <c r="C91" s="7" t="s">
        <v>588</v>
      </c>
      <c r="D91" s="7" t="s">
        <v>401</v>
      </c>
      <c r="E91" s="7" t="s">
        <v>156</v>
      </c>
      <c r="F91" s="39" t="n">
        <v>45662</v>
      </c>
      <c r="G91" s="41" t="n">
        <v>128.86</v>
      </c>
      <c r="H91" s="39" t="n">
        <v>45676</v>
      </c>
      <c r="I91" s="7" t="s">
        <v>14651</v>
      </c>
      <c r="J91" s="8" t="str">
        <f aca="false">IF(I91="Open",DATE(2025,12,31)-F91,"-")</f>
        <v>-</v>
      </c>
    </row>
    <row r="92" customFormat="false" ht="15" hidden="false" customHeight="false" outlineLevel="0" collapsed="false">
      <c r="B92" s="7" t="s">
        <v>14737</v>
      </c>
      <c r="C92" s="7" t="s">
        <v>589</v>
      </c>
      <c r="D92" s="7" t="s">
        <v>280</v>
      </c>
      <c r="E92" s="7" t="s">
        <v>157</v>
      </c>
      <c r="F92" s="39" t="n">
        <v>45663</v>
      </c>
      <c r="G92" s="41" t="n">
        <v>168.3</v>
      </c>
      <c r="H92" s="39" t="n">
        <v>45691</v>
      </c>
      <c r="I92" s="7" t="s">
        <v>14651</v>
      </c>
      <c r="J92" s="8" t="str">
        <f aca="false">IF(I92="Open",DATE(2025,12,31)-F92,"-")</f>
        <v>-</v>
      </c>
    </row>
    <row r="93" customFormat="false" ht="15" hidden="false" customHeight="false" outlineLevel="0" collapsed="false">
      <c r="B93" s="7" t="s">
        <v>14738</v>
      </c>
      <c r="C93" s="7" t="s">
        <v>590</v>
      </c>
      <c r="D93" s="7" t="s">
        <v>288</v>
      </c>
      <c r="E93" s="7" t="s">
        <v>156</v>
      </c>
      <c r="F93" s="39" t="n">
        <v>45663</v>
      </c>
      <c r="G93" s="41" t="n">
        <v>125.46</v>
      </c>
      <c r="H93" s="39" t="n">
        <v>45676</v>
      </c>
      <c r="I93" s="7" t="s">
        <v>14651</v>
      </c>
      <c r="J93" s="8" t="str">
        <f aca="false">IF(I93="Open",DATE(2025,12,31)-F93,"-")</f>
        <v>-</v>
      </c>
    </row>
    <row r="94" customFormat="false" ht="15" hidden="false" customHeight="false" outlineLevel="0" collapsed="false">
      <c r="B94" s="7" t="s">
        <v>14739</v>
      </c>
      <c r="C94" s="7" t="s">
        <v>591</v>
      </c>
      <c r="D94" s="7" t="s">
        <v>291</v>
      </c>
      <c r="E94" s="7" t="s">
        <v>154</v>
      </c>
      <c r="F94" s="39" t="n">
        <v>45663</v>
      </c>
      <c r="G94" s="41" t="n">
        <v>114.37</v>
      </c>
      <c r="H94" s="39" t="n">
        <v>45678</v>
      </c>
      <c r="I94" s="7" t="s">
        <v>14651</v>
      </c>
      <c r="J94" s="8" t="str">
        <f aca="false">IF(I94="Open",DATE(2025,12,31)-F94,"-")</f>
        <v>-</v>
      </c>
    </row>
    <row r="95" customFormat="false" ht="15" hidden="false" customHeight="false" outlineLevel="0" collapsed="false">
      <c r="B95" s="7" t="s">
        <v>14740</v>
      </c>
      <c r="C95" s="7" t="s">
        <v>592</v>
      </c>
      <c r="D95" s="7" t="s">
        <v>297</v>
      </c>
      <c r="E95" s="7" t="s">
        <v>156</v>
      </c>
      <c r="F95" s="39" t="n">
        <v>45663</v>
      </c>
      <c r="G95" s="41" t="n">
        <v>108.12</v>
      </c>
      <c r="H95" s="39" t="n">
        <v>45680</v>
      </c>
      <c r="I95" s="7" t="s">
        <v>14651</v>
      </c>
      <c r="J95" s="8" t="str">
        <f aca="false">IF(I95="Open",DATE(2025,12,31)-F95,"-")</f>
        <v>-</v>
      </c>
    </row>
    <row r="96" customFormat="false" ht="15" hidden="false" customHeight="false" outlineLevel="0" collapsed="false">
      <c r="B96" s="7" t="s">
        <v>14741</v>
      </c>
      <c r="C96" s="7" t="s">
        <v>593</v>
      </c>
      <c r="D96" s="7" t="s">
        <v>305</v>
      </c>
      <c r="E96" s="7" t="s">
        <v>154</v>
      </c>
      <c r="F96" s="39" t="n">
        <v>45663</v>
      </c>
      <c r="G96" s="41" t="n">
        <v>115.01</v>
      </c>
      <c r="H96" s="39" t="n">
        <v>45703</v>
      </c>
      <c r="I96" s="7" t="s">
        <v>14651</v>
      </c>
      <c r="J96" s="8" t="str">
        <f aca="false">IF(I96="Open",DATE(2025,12,31)-F96,"-")</f>
        <v>-</v>
      </c>
    </row>
    <row r="97" customFormat="false" ht="15" hidden="false" customHeight="false" outlineLevel="0" collapsed="false">
      <c r="B97" s="7" t="s">
        <v>14742</v>
      </c>
      <c r="C97" s="7" t="s">
        <v>594</v>
      </c>
      <c r="D97" s="7" t="s">
        <v>309</v>
      </c>
      <c r="E97" s="7" t="s">
        <v>159</v>
      </c>
      <c r="F97" s="39" t="n">
        <v>45663</v>
      </c>
      <c r="G97" s="41" t="n">
        <v>129.6</v>
      </c>
      <c r="H97" s="39" t="n">
        <v>45731</v>
      </c>
      <c r="I97" s="7" t="s">
        <v>14651</v>
      </c>
      <c r="J97" s="8" t="str">
        <f aca="false">IF(I97="Open",DATE(2025,12,31)-F97,"-")</f>
        <v>-</v>
      </c>
    </row>
    <row r="98" customFormat="false" ht="15" hidden="false" customHeight="false" outlineLevel="0" collapsed="false">
      <c r="B98" s="7" t="s">
        <v>14743</v>
      </c>
      <c r="C98" s="7" t="s">
        <v>595</v>
      </c>
      <c r="D98" s="7" t="s">
        <v>311</v>
      </c>
      <c r="E98" s="7" t="s">
        <v>154</v>
      </c>
      <c r="F98" s="39" t="n">
        <v>45663</v>
      </c>
      <c r="G98" s="41" t="n">
        <v>80.03</v>
      </c>
      <c r="H98" s="39" t="n">
        <v>45712</v>
      </c>
      <c r="I98" s="7" t="s">
        <v>14651</v>
      </c>
      <c r="J98" s="8" t="str">
        <f aca="false">IF(I98="Open",DATE(2025,12,31)-F98,"-")</f>
        <v>-</v>
      </c>
    </row>
    <row r="99" customFormat="false" ht="15" hidden="false" customHeight="false" outlineLevel="0" collapsed="false">
      <c r="B99" s="7" t="s">
        <v>14744</v>
      </c>
      <c r="C99" s="7" t="s">
        <v>596</v>
      </c>
      <c r="D99" s="7" t="s">
        <v>313</v>
      </c>
      <c r="E99" s="7" t="s">
        <v>156</v>
      </c>
      <c r="F99" s="39" t="n">
        <v>45663</v>
      </c>
      <c r="G99" s="41" t="n">
        <v>146.54</v>
      </c>
      <c r="H99" s="39" t="n">
        <v>45673</v>
      </c>
      <c r="I99" s="7" t="s">
        <v>14651</v>
      </c>
      <c r="J99" s="8" t="str">
        <f aca="false">IF(I99="Open",DATE(2025,12,31)-F99,"-")</f>
        <v>-</v>
      </c>
    </row>
    <row r="100" customFormat="false" ht="15" hidden="false" customHeight="false" outlineLevel="0" collapsed="false">
      <c r="B100" s="7" t="s">
        <v>14745</v>
      </c>
      <c r="C100" s="7" t="s">
        <v>597</v>
      </c>
      <c r="D100" s="7" t="s">
        <v>317</v>
      </c>
      <c r="E100" s="7" t="s">
        <v>156</v>
      </c>
      <c r="F100" s="39" t="n">
        <v>45663</v>
      </c>
      <c r="G100" s="41" t="n">
        <v>92.48</v>
      </c>
      <c r="H100" s="39" t="n">
        <v>45670</v>
      </c>
      <c r="I100" s="7" t="s">
        <v>14651</v>
      </c>
      <c r="J100" s="8" t="str">
        <f aca="false">IF(I100="Open",DATE(2025,12,31)-F100,"-")</f>
        <v>-</v>
      </c>
    </row>
    <row r="101" customFormat="false" ht="15" hidden="false" customHeight="false" outlineLevel="0" collapsed="false">
      <c r="B101" s="7" t="s">
        <v>14746</v>
      </c>
      <c r="C101" s="7" t="s">
        <v>598</v>
      </c>
      <c r="D101" s="7" t="s">
        <v>321</v>
      </c>
      <c r="E101" s="7" t="s">
        <v>154</v>
      </c>
      <c r="F101" s="39" t="n">
        <v>45663</v>
      </c>
      <c r="G101" s="41" t="n">
        <v>110.27</v>
      </c>
      <c r="H101" s="39" t="n">
        <v>45710</v>
      </c>
      <c r="I101" s="7" t="s">
        <v>14651</v>
      </c>
      <c r="J101" s="8" t="str">
        <f aca="false">IF(I101="Open",DATE(2025,12,31)-F101,"-")</f>
        <v>-</v>
      </c>
    </row>
    <row r="102" customFormat="false" ht="15" hidden="false" customHeight="false" outlineLevel="0" collapsed="false">
      <c r="B102" s="7" t="s">
        <v>14747</v>
      </c>
      <c r="C102" s="7" t="s">
        <v>599</v>
      </c>
      <c r="D102" s="7" t="s">
        <v>325</v>
      </c>
      <c r="E102" s="7" t="s">
        <v>154</v>
      </c>
      <c r="F102" s="39" t="n">
        <v>45663</v>
      </c>
      <c r="G102" s="41" t="n">
        <v>83.74</v>
      </c>
      <c r="H102" s="39" t="n">
        <v>45714</v>
      </c>
      <c r="I102" s="7" t="s">
        <v>14651</v>
      </c>
      <c r="J102" s="8" t="str">
        <f aca="false">IF(I102="Open",DATE(2025,12,31)-F102,"-")</f>
        <v>-</v>
      </c>
    </row>
    <row r="103" customFormat="false" ht="15" hidden="false" customHeight="false" outlineLevel="0" collapsed="false">
      <c r="B103" s="7" t="s">
        <v>14748</v>
      </c>
      <c r="C103" s="7" t="s">
        <v>600</v>
      </c>
      <c r="D103" s="7" t="s">
        <v>329</v>
      </c>
      <c r="E103" s="7" t="s">
        <v>156</v>
      </c>
      <c r="F103" s="39" t="n">
        <v>45663</v>
      </c>
      <c r="G103" s="41" t="n">
        <v>143.14</v>
      </c>
      <c r="H103" s="39" t="n">
        <v>45667</v>
      </c>
      <c r="I103" s="7" t="s">
        <v>14651</v>
      </c>
      <c r="J103" s="8" t="str">
        <f aca="false">IF(I103="Open",DATE(2025,12,31)-F103,"-")</f>
        <v>-</v>
      </c>
    </row>
    <row r="104" customFormat="false" ht="15" hidden="false" customHeight="false" outlineLevel="0" collapsed="false">
      <c r="B104" s="7" t="s">
        <v>14749</v>
      </c>
      <c r="C104" s="7" t="s">
        <v>601</v>
      </c>
      <c r="D104" s="7" t="s">
        <v>331</v>
      </c>
      <c r="E104" s="7" t="s">
        <v>156</v>
      </c>
      <c r="F104" s="39" t="n">
        <v>45663</v>
      </c>
      <c r="G104" s="41" t="n">
        <v>134.3</v>
      </c>
      <c r="H104" s="39" t="n">
        <v>45667</v>
      </c>
      <c r="I104" s="7" t="s">
        <v>14651</v>
      </c>
      <c r="J104" s="8" t="str">
        <f aca="false">IF(I104="Open",DATE(2025,12,31)-F104,"-")</f>
        <v>-</v>
      </c>
    </row>
    <row r="105" customFormat="false" ht="15" hidden="false" customHeight="false" outlineLevel="0" collapsed="false">
      <c r="B105" s="7" t="s">
        <v>14750</v>
      </c>
      <c r="C105" s="7" t="s">
        <v>602</v>
      </c>
      <c r="D105" s="7" t="s">
        <v>335</v>
      </c>
      <c r="E105" s="7" t="s">
        <v>154</v>
      </c>
      <c r="F105" s="39" t="n">
        <v>45663</v>
      </c>
      <c r="G105" s="41" t="n">
        <v>104.68</v>
      </c>
      <c r="H105" s="39" t="n">
        <v>45700</v>
      </c>
      <c r="I105" s="7" t="s">
        <v>14651</v>
      </c>
      <c r="J105" s="8" t="str">
        <f aca="false">IF(I105="Open",DATE(2025,12,31)-F105,"-")</f>
        <v>-</v>
      </c>
    </row>
    <row r="106" customFormat="false" ht="15" hidden="false" customHeight="false" outlineLevel="0" collapsed="false">
      <c r="B106" s="7" t="s">
        <v>14751</v>
      </c>
      <c r="C106" s="7" t="s">
        <v>603</v>
      </c>
      <c r="D106" s="7" t="s">
        <v>337</v>
      </c>
      <c r="E106" s="7" t="s">
        <v>154</v>
      </c>
      <c r="F106" s="39" t="n">
        <v>45663</v>
      </c>
      <c r="G106" s="41" t="n">
        <v>78.97</v>
      </c>
      <c r="H106" s="39" t="n">
        <v>45732</v>
      </c>
      <c r="I106" s="7" t="s">
        <v>14651</v>
      </c>
      <c r="J106" s="8" t="str">
        <f aca="false">IF(I106="Open",DATE(2025,12,31)-F106,"-")</f>
        <v>-</v>
      </c>
    </row>
    <row r="107" customFormat="false" ht="15" hidden="false" customHeight="false" outlineLevel="0" collapsed="false">
      <c r="B107" s="7" t="s">
        <v>14752</v>
      </c>
      <c r="C107" s="7" t="s">
        <v>604</v>
      </c>
      <c r="D107" s="7" t="s">
        <v>339</v>
      </c>
      <c r="E107" s="7" t="s">
        <v>154</v>
      </c>
      <c r="F107" s="39" t="n">
        <v>45663</v>
      </c>
      <c r="G107" s="41" t="n">
        <v>81.35</v>
      </c>
      <c r="H107" s="39" t="n">
        <v>45727</v>
      </c>
      <c r="I107" s="7" t="s">
        <v>14651</v>
      </c>
      <c r="J107" s="8" t="str">
        <f aca="false">IF(I107="Open",DATE(2025,12,31)-F107,"-")</f>
        <v>-</v>
      </c>
    </row>
    <row r="108" customFormat="false" ht="15" hidden="false" customHeight="false" outlineLevel="0" collapsed="false">
      <c r="B108" s="7" t="s">
        <v>14753</v>
      </c>
      <c r="C108" s="7" t="s">
        <v>605</v>
      </c>
      <c r="D108" s="7" t="s">
        <v>341</v>
      </c>
      <c r="E108" s="7" t="s">
        <v>156</v>
      </c>
      <c r="F108" s="39" t="n">
        <v>45663</v>
      </c>
      <c r="G108" s="41" t="n">
        <v>102</v>
      </c>
      <c r="H108" s="39" t="n">
        <v>45668</v>
      </c>
      <c r="I108" s="7" t="s">
        <v>14651</v>
      </c>
      <c r="J108" s="8" t="str">
        <f aca="false">IF(I108="Open",DATE(2025,12,31)-F108,"-")</f>
        <v>-</v>
      </c>
    </row>
    <row r="109" customFormat="false" ht="15" hidden="false" customHeight="false" outlineLevel="0" collapsed="false">
      <c r="B109" s="7" t="s">
        <v>14754</v>
      </c>
      <c r="C109" s="7" t="s">
        <v>606</v>
      </c>
      <c r="D109" s="7" t="s">
        <v>343</v>
      </c>
      <c r="E109" s="7" t="s">
        <v>154</v>
      </c>
      <c r="F109" s="39" t="n">
        <v>45663</v>
      </c>
      <c r="G109" s="41" t="n">
        <v>108.23</v>
      </c>
      <c r="H109" s="39" t="n">
        <v>45771</v>
      </c>
      <c r="I109" s="7" t="s">
        <v>14651</v>
      </c>
      <c r="J109" s="8" t="str">
        <f aca="false">IF(I109="Open",DATE(2025,12,31)-F109,"-")</f>
        <v>-</v>
      </c>
    </row>
    <row r="110" customFormat="false" ht="15" hidden="false" customHeight="false" outlineLevel="0" collapsed="false">
      <c r="B110" s="7" t="s">
        <v>14755</v>
      </c>
      <c r="C110" s="7" t="s">
        <v>607</v>
      </c>
      <c r="D110" s="7" t="s">
        <v>353</v>
      </c>
      <c r="E110" s="7" t="s">
        <v>154</v>
      </c>
      <c r="F110" s="39" t="n">
        <v>45663</v>
      </c>
      <c r="G110" s="41" t="n">
        <v>84</v>
      </c>
      <c r="H110" s="39" t="n">
        <v>45767</v>
      </c>
      <c r="I110" s="7" t="s">
        <v>14651</v>
      </c>
      <c r="J110" s="8" t="str">
        <f aca="false">IF(I110="Open",DATE(2025,12,31)-F110,"-")</f>
        <v>-</v>
      </c>
    </row>
    <row r="111" customFormat="false" ht="15" hidden="false" customHeight="false" outlineLevel="0" collapsed="false">
      <c r="B111" s="7" t="s">
        <v>14756</v>
      </c>
      <c r="C111" s="7" t="s">
        <v>608</v>
      </c>
      <c r="D111" s="7" t="s">
        <v>355</v>
      </c>
      <c r="E111" s="7" t="s">
        <v>154</v>
      </c>
      <c r="F111" s="39" t="n">
        <v>45663</v>
      </c>
      <c r="G111" s="41" t="n">
        <v>92.03</v>
      </c>
      <c r="H111" s="39" t="n">
        <v>45695</v>
      </c>
      <c r="I111" s="7" t="s">
        <v>14651</v>
      </c>
      <c r="J111" s="8" t="str">
        <f aca="false">IF(I111="Open",DATE(2025,12,31)-F111,"-")</f>
        <v>-</v>
      </c>
    </row>
    <row r="112" customFormat="false" ht="15" hidden="false" customHeight="false" outlineLevel="0" collapsed="false">
      <c r="B112" s="7" t="s">
        <v>14757</v>
      </c>
      <c r="C112" s="7" t="s">
        <v>609</v>
      </c>
      <c r="D112" s="7" t="s">
        <v>357</v>
      </c>
      <c r="E112" s="7" t="s">
        <v>154</v>
      </c>
      <c r="F112" s="39" t="n">
        <v>45663</v>
      </c>
      <c r="G112" s="41" t="n">
        <v>92.03</v>
      </c>
      <c r="H112" s="39" t="n">
        <v>45768</v>
      </c>
      <c r="I112" s="7" t="s">
        <v>14651</v>
      </c>
      <c r="J112" s="8" t="str">
        <f aca="false">IF(I112="Open",DATE(2025,12,31)-F112,"-")</f>
        <v>-</v>
      </c>
    </row>
    <row r="113" customFormat="false" ht="15" hidden="false" customHeight="false" outlineLevel="0" collapsed="false">
      <c r="B113" s="7" t="s">
        <v>14758</v>
      </c>
      <c r="C113" s="7" t="s">
        <v>610</v>
      </c>
      <c r="D113" s="7" t="s">
        <v>359</v>
      </c>
      <c r="E113" s="7" t="s">
        <v>156</v>
      </c>
      <c r="F113" s="39" t="n">
        <v>45663</v>
      </c>
      <c r="G113" s="41" t="n">
        <v>136.34</v>
      </c>
      <c r="H113" s="39" t="n">
        <v>45673</v>
      </c>
      <c r="I113" s="7" t="s">
        <v>14651</v>
      </c>
      <c r="J113" s="8" t="str">
        <f aca="false">IF(I113="Open",DATE(2025,12,31)-F113,"-")</f>
        <v>-</v>
      </c>
    </row>
    <row r="114" customFormat="false" ht="15" hidden="false" customHeight="false" outlineLevel="0" collapsed="false">
      <c r="B114" s="7" t="s">
        <v>14759</v>
      </c>
      <c r="C114" s="7" t="s">
        <v>611</v>
      </c>
      <c r="D114" s="7" t="s">
        <v>363</v>
      </c>
      <c r="E114" s="7" t="s">
        <v>156</v>
      </c>
      <c r="F114" s="39" t="n">
        <v>45663</v>
      </c>
      <c r="G114" s="41" t="n">
        <v>134.3</v>
      </c>
      <c r="H114" s="39" t="n">
        <v>45672</v>
      </c>
      <c r="I114" s="7" t="s">
        <v>14651</v>
      </c>
      <c r="J114" s="8" t="str">
        <f aca="false">IF(I114="Open",DATE(2025,12,31)-F114,"-")</f>
        <v>-</v>
      </c>
    </row>
    <row r="115" customFormat="false" ht="15" hidden="false" customHeight="false" outlineLevel="0" collapsed="false">
      <c r="B115" s="7" t="s">
        <v>14760</v>
      </c>
      <c r="C115" s="7" t="s">
        <v>612</v>
      </c>
      <c r="D115" s="7" t="s">
        <v>371</v>
      </c>
      <c r="E115" s="7" t="s">
        <v>154</v>
      </c>
      <c r="F115" s="39" t="n">
        <v>45663</v>
      </c>
      <c r="G115" s="41" t="n">
        <v>114.48</v>
      </c>
      <c r="H115" s="39" t="n">
        <v>45704</v>
      </c>
      <c r="I115" s="7" t="s">
        <v>14651</v>
      </c>
      <c r="J115" s="8" t="str">
        <f aca="false">IF(I115="Open",DATE(2025,12,31)-F115,"-")</f>
        <v>-</v>
      </c>
    </row>
    <row r="116" customFormat="false" ht="15" hidden="false" customHeight="false" outlineLevel="0" collapsed="false">
      <c r="B116" s="7" t="s">
        <v>14761</v>
      </c>
      <c r="C116" s="7" t="s">
        <v>613</v>
      </c>
      <c r="D116" s="7" t="s">
        <v>375</v>
      </c>
      <c r="E116" s="7" t="s">
        <v>156</v>
      </c>
      <c r="F116" s="39" t="n">
        <v>45663</v>
      </c>
      <c r="G116" s="41" t="n">
        <v>101.66</v>
      </c>
      <c r="H116" s="39" t="n">
        <v>45680</v>
      </c>
      <c r="I116" s="7" t="s">
        <v>14651</v>
      </c>
      <c r="J116" s="8" t="str">
        <f aca="false">IF(I116="Open",DATE(2025,12,31)-F116,"-")</f>
        <v>-</v>
      </c>
    </row>
    <row r="117" customFormat="false" ht="15" hidden="false" customHeight="false" outlineLevel="0" collapsed="false">
      <c r="B117" s="7" t="s">
        <v>14762</v>
      </c>
      <c r="C117" s="7" t="s">
        <v>614</v>
      </c>
      <c r="D117" s="7" t="s">
        <v>377</v>
      </c>
      <c r="E117" s="7" t="s">
        <v>154</v>
      </c>
      <c r="F117" s="39" t="n">
        <v>45663</v>
      </c>
      <c r="G117" s="41" t="n">
        <v>112.36</v>
      </c>
      <c r="H117" s="39" t="n">
        <v>45754</v>
      </c>
      <c r="I117" s="7" t="s">
        <v>14651</v>
      </c>
      <c r="J117" s="8" t="str">
        <f aca="false">IF(I117="Open",DATE(2025,12,31)-F117,"-")</f>
        <v>-</v>
      </c>
    </row>
    <row r="118" customFormat="false" ht="15" hidden="false" customHeight="false" outlineLevel="0" collapsed="false">
      <c r="B118" s="7" t="s">
        <v>14763</v>
      </c>
      <c r="C118" s="7" t="s">
        <v>615</v>
      </c>
      <c r="D118" s="7" t="s">
        <v>379</v>
      </c>
      <c r="E118" s="7" t="s">
        <v>156</v>
      </c>
      <c r="F118" s="39" t="n">
        <v>45663</v>
      </c>
      <c r="G118" s="41" t="n">
        <v>143.14</v>
      </c>
      <c r="H118" s="39" t="n">
        <v>45677</v>
      </c>
      <c r="I118" s="7" t="s">
        <v>14651</v>
      </c>
      <c r="J118" s="8" t="str">
        <f aca="false">IF(I118="Open",DATE(2025,12,31)-F118,"-")</f>
        <v>-</v>
      </c>
    </row>
    <row r="119" customFormat="false" ht="15" hidden="false" customHeight="false" outlineLevel="0" collapsed="false">
      <c r="B119" s="7" t="s">
        <v>14764</v>
      </c>
      <c r="C119" s="7" t="s">
        <v>616</v>
      </c>
      <c r="D119" s="7" t="s">
        <v>389</v>
      </c>
      <c r="E119" s="7" t="s">
        <v>154</v>
      </c>
      <c r="F119" s="39" t="n">
        <v>45663</v>
      </c>
      <c r="G119" s="41" t="n">
        <v>113.15</v>
      </c>
      <c r="H119" s="39" t="n">
        <v>45715</v>
      </c>
      <c r="I119" s="7" t="s">
        <v>14651</v>
      </c>
      <c r="J119" s="8" t="str">
        <f aca="false">IF(I119="Open",DATE(2025,12,31)-F119,"-")</f>
        <v>-</v>
      </c>
    </row>
    <row r="120" customFormat="false" ht="15" hidden="false" customHeight="false" outlineLevel="0" collapsed="false">
      <c r="B120" s="7" t="s">
        <v>14765</v>
      </c>
      <c r="C120" s="7" t="s">
        <v>617</v>
      </c>
      <c r="D120" s="7" t="s">
        <v>391</v>
      </c>
      <c r="E120" s="7" t="s">
        <v>156</v>
      </c>
      <c r="F120" s="39" t="n">
        <v>45663</v>
      </c>
      <c r="G120" s="41" t="n">
        <v>140.08</v>
      </c>
      <c r="H120" s="39" t="n">
        <v>45675</v>
      </c>
      <c r="I120" s="7" t="s">
        <v>14651</v>
      </c>
      <c r="J120" s="8" t="str">
        <f aca="false">IF(I120="Open",DATE(2025,12,31)-F120,"-")</f>
        <v>-</v>
      </c>
    </row>
    <row r="121" customFormat="false" ht="15" hidden="false" customHeight="false" outlineLevel="0" collapsed="false">
      <c r="B121" s="7" t="s">
        <v>14766</v>
      </c>
      <c r="C121" s="7" t="s">
        <v>618</v>
      </c>
      <c r="D121" s="7" t="s">
        <v>395</v>
      </c>
      <c r="E121" s="7" t="s">
        <v>156</v>
      </c>
      <c r="F121" s="39" t="n">
        <v>45663</v>
      </c>
      <c r="G121" s="41" t="n">
        <v>130.22</v>
      </c>
      <c r="H121" s="39" t="n">
        <v>45673</v>
      </c>
      <c r="I121" s="7" t="s">
        <v>14651</v>
      </c>
      <c r="J121" s="8" t="str">
        <f aca="false">IF(I121="Open",DATE(2025,12,31)-F121,"-")</f>
        <v>-</v>
      </c>
    </row>
    <row r="122" customFormat="false" ht="15" hidden="false" customHeight="false" outlineLevel="0" collapsed="false">
      <c r="B122" s="7" t="s">
        <v>14767</v>
      </c>
      <c r="C122" s="7" t="s">
        <v>619</v>
      </c>
      <c r="D122" s="7" t="s">
        <v>399</v>
      </c>
      <c r="E122" s="7" t="s">
        <v>154</v>
      </c>
      <c r="F122" s="39" t="n">
        <v>45663</v>
      </c>
      <c r="G122" s="41" t="n">
        <v>87.98</v>
      </c>
      <c r="H122" s="39" t="n">
        <v>45706</v>
      </c>
      <c r="I122" s="7" t="s">
        <v>14651</v>
      </c>
      <c r="J122" s="8" t="str">
        <f aca="false">IF(I122="Open",DATE(2025,12,31)-F122,"-")</f>
        <v>-</v>
      </c>
    </row>
    <row r="123" customFormat="false" ht="15" hidden="false" customHeight="false" outlineLevel="0" collapsed="false">
      <c r="B123" s="7" t="s">
        <v>14768</v>
      </c>
      <c r="C123" s="7" t="s">
        <v>620</v>
      </c>
      <c r="D123" s="7" t="s">
        <v>401</v>
      </c>
      <c r="E123" s="7" t="s">
        <v>156</v>
      </c>
      <c r="F123" s="39" t="n">
        <v>45663</v>
      </c>
      <c r="G123" s="41" t="n">
        <v>126.48</v>
      </c>
      <c r="H123" s="39" t="n">
        <v>45679</v>
      </c>
      <c r="I123" s="7" t="s">
        <v>14651</v>
      </c>
      <c r="J123" s="8" t="str">
        <f aca="false">IF(I123="Open",DATE(2025,12,31)-F123,"-")</f>
        <v>-</v>
      </c>
    </row>
    <row r="124" customFormat="false" ht="15" hidden="false" customHeight="false" outlineLevel="0" collapsed="false">
      <c r="B124" s="7" t="s">
        <v>14769</v>
      </c>
      <c r="C124" s="7" t="s">
        <v>621</v>
      </c>
      <c r="D124" s="7" t="s">
        <v>409</v>
      </c>
      <c r="E124" s="7" t="s">
        <v>154</v>
      </c>
      <c r="F124" s="39" t="n">
        <v>45663</v>
      </c>
      <c r="G124" s="41" t="n">
        <v>89.97</v>
      </c>
      <c r="H124" s="39" t="n">
        <v>45703</v>
      </c>
      <c r="I124" s="7" t="s">
        <v>14651</v>
      </c>
      <c r="J124" s="8" t="str">
        <f aca="false">IF(I124="Open",DATE(2025,12,31)-F124,"-")</f>
        <v>-</v>
      </c>
    </row>
    <row r="125" customFormat="false" ht="15" hidden="false" customHeight="false" outlineLevel="0" collapsed="false">
      <c r="B125" s="7" t="s">
        <v>14770</v>
      </c>
      <c r="C125" s="7" t="s">
        <v>622</v>
      </c>
      <c r="D125" s="7" t="s">
        <v>411</v>
      </c>
      <c r="E125" s="7" t="s">
        <v>154</v>
      </c>
      <c r="F125" s="39" t="n">
        <v>45663</v>
      </c>
      <c r="G125" s="41" t="n">
        <v>130.38</v>
      </c>
      <c r="H125" s="39" t="n">
        <v>45775</v>
      </c>
      <c r="I125" s="7" t="s">
        <v>14651</v>
      </c>
      <c r="J125" s="8" t="str">
        <f aca="false">IF(I125="Open",DATE(2025,12,31)-F125,"-")</f>
        <v>-</v>
      </c>
    </row>
    <row r="126" customFormat="false" ht="15" hidden="false" customHeight="false" outlineLevel="0" collapsed="false">
      <c r="B126" s="7" t="s">
        <v>14771</v>
      </c>
      <c r="C126" s="7" t="s">
        <v>623</v>
      </c>
      <c r="D126" s="7" t="s">
        <v>288</v>
      </c>
      <c r="E126" s="7" t="s">
        <v>156</v>
      </c>
      <c r="F126" s="39" t="n">
        <v>45664</v>
      </c>
      <c r="G126" s="41" t="n">
        <v>143.82</v>
      </c>
      <c r="H126" s="39" t="n">
        <v>45675</v>
      </c>
      <c r="I126" s="7" t="s">
        <v>14651</v>
      </c>
      <c r="J126" s="8" t="str">
        <f aca="false">IF(I126="Open",DATE(2025,12,31)-F126,"-")</f>
        <v>-</v>
      </c>
    </row>
    <row r="127" customFormat="false" ht="15" hidden="false" customHeight="false" outlineLevel="0" collapsed="false">
      <c r="B127" s="7" t="s">
        <v>14772</v>
      </c>
      <c r="C127" s="7" t="s">
        <v>624</v>
      </c>
      <c r="D127" s="7" t="s">
        <v>301</v>
      </c>
      <c r="E127" s="7" t="s">
        <v>157</v>
      </c>
      <c r="F127" s="39" t="n">
        <v>45664</v>
      </c>
      <c r="G127" s="41" t="n">
        <v>173.25</v>
      </c>
      <c r="H127" s="39" t="n">
        <v>45727</v>
      </c>
      <c r="I127" s="7" t="s">
        <v>14651</v>
      </c>
      <c r="J127" s="8" t="str">
        <f aca="false">IF(I127="Open",DATE(2025,12,31)-F127,"-")</f>
        <v>-</v>
      </c>
    </row>
    <row r="128" customFormat="false" ht="15" hidden="false" customHeight="false" outlineLevel="0" collapsed="false">
      <c r="B128" s="7" t="s">
        <v>14773</v>
      </c>
      <c r="C128" s="7" t="s">
        <v>625</v>
      </c>
      <c r="D128" s="7" t="s">
        <v>313</v>
      </c>
      <c r="E128" s="7" t="s">
        <v>156</v>
      </c>
      <c r="F128" s="39" t="n">
        <v>45664</v>
      </c>
      <c r="G128" s="41" t="n">
        <v>140.42</v>
      </c>
      <c r="H128" s="39" t="n">
        <v>45672</v>
      </c>
      <c r="I128" s="7" t="s">
        <v>14651</v>
      </c>
      <c r="J128" s="8" t="str">
        <f aca="false">IF(I128="Open",DATE(2025,12,31)-F128,"-")</f>
        <v>-</v>
      </c>
    </row>
    <row r="129" customFormat="false" ht="15" hidden="false" customHeight="false" outlineLevel="0" collapsed="false">
      <c r="B129" s="7" t="s">
        <v>14774</v>
      </c>
      <c r="C129" s="7" t="s">
        <v>626</v>
      </c>
      <c r="D129" s="7" t="s">
        <v>319</v>
      </c>
      <c r="E129" s="7" t="s">
        <v>157</v>
      </c>
      <c r="F129" s="39" t="n">
        <v>45664</v>
      </c>
      <c r="G129" s="41" t="n">
        <v>165</v>
      </c>
      <c r="H129" s="39" t="n">
        <v>45700</v>
      </c>
      <c r="I129" s="7" t="s">
        <v>14651</v>
      </c>
      <c r="J129" s="8" t="str">
        <f aca="false">IF(I129="Open",DATE(2025,12,31)-F129,"-")</f>
        <v>-</v>
      </c>
    </row>
    <row r="130" customFormat="false" ht="15" hidden="false" customHeight="false" outlineLevel="0" collapsed="false">
      <c r="B130" s="7" t="s">
        <v>14775</v>
      </c>
      <c r="C130" s="7" t="s">
        <v>627</v>
      </c>
      <c r="D130" s="7" t="s">
        <v>321</v>
      </c>
      <c r="E130" s="7" t="s">
        <v>154</v>
      </c>
      <c r="F130" s="39" t="n">
        <v>45664</v>
      </c>
      <c r="G130" s="41" t="n">
        <v>103.35</v>
      </c>
      <c r="H130" s="39" t="n">
        <v>45768</v>
      </c>
      <c r="I130" s="7" t="s">
        <v>14651</v>
      </c>
      <c r="J130" s="8" t="str">
        <f aca="false">IF(I130="Open",DATE(2025,12,31)-F130,"-")</f>
        <v>-</v>
      </c>
    </row>
    <row r="131" customFormat="false" ht="15" hidden="false" customHeight="false" outlineLevel="0" collapsed="false">
      <c r="B131" s="7" t="s">
        <v>14776</v>
      </c>
      <c r="C131" s="7" t="s">
        <v>628</v>
      </c>
      <c r="D131" s="7" t="s">
        <v>323</v>
      </c>
      <c r="E131" s="7" t="s">
        <v>159</v>
      </c>
      <c r="F131" s="39" t="n">
        <v>45664</v>
      </c>
      <c r="G131" s="41" t="n">
        <v>148.5</v>
      </c>
      <c r="H131" s="39" t="n">
        <v>45711</v>
      </c>
      <c r="I131" s="7" t="s">
        <v>14651</v>
      </c>
      <c r="J131" s="8" t="str">
        <f aca="false">IF(I131="Open",DATE(2025,12,31)-F131,"-")</f>
        <v>-</v>
      </c>
    </row>
    <row r="132" customFormat="false" ht="15" hidden="false" customHeight="false" outlineLevel="0" collapsed="false">
      <c r="B132" s="7" t="s">
        <v>14777</v>
      </c>
      <c r="C132" s="7" t="s">
        <v>629</v>
      </c>
      <c r="D132" s="7" t="s">
        <v>327</v>
      </c>
      <c r="E132" s="7" t="s">
        <v>157</v>
      </c>
      <c r="F132" s="39" t="n">
        <v>45664</v>
      </c>
      <c r="G132" s="41" t="n">
        <v>176.55</v>
      </c>
      <c r="H132" s="39" t="n">
        <v>45678</v>
      </c>
      <c r="I132" s="7" t="s">
        <v>14651</v>
      </c>
      <c r="J132" s="8" t="str">
        <f aca="false">IF(I132="Open",DATE(2025,12,31)-F132,"-")</f>
        <v>-</v>
      </c>
    </row>
    <row r="133" customFormat="false" ht="15" hidden="false" customHeight="false" outlineLevel="0" collapsed="false">
      <c r="B133" s="7" t="s">
        <v>14778</v>
      </c>
      <c r="C133" s="7" t="s">
        <v>630</v>
      </c>
      <c r="D133" s="7" t="s">
        <v>329</v>
      </c>
      <c r="E133" s="7" t="s">
        <v>156</v>
      </c>
      <c r="F133" s="39" t="n">
        <v>45664</v>
      </c>
      <c r="G133" s="41" t="n">
        <v>135.32</v>
      </c>
      <c r="H133" s="39" t="n">
        <v>45684</v>
      </c>
      <c r="I133" s="7" t="s">
        <v>14651</v>
      </c>
      <c r="J133" s="8" t="str">
        <f aca="false">IF(I133="Open",DATE(2025,12,31)-F133,"-")</f>
        <v>-</v>
      </c>
    </row>
    <row r="134" customFormat="false" ht="15" hidden="false" customHeight="false" outlineLevel="0" collapsed="false">
      <c r="B134" s="7" t="s">
        <v>14779</v>
      </c>
      <c r="C134" s="7" t="s">
        <v>631</v>
      </c>
      <c r="D134" s="7" t="s">
        <v>359</v>
      </c>
      <c r="E134" s="7" t="s">
        <v>156</v>
      </c>
      <c r="F134" s="39" t="n">
        <v>45664</v>
      </c>
      <c r="G134" s="41" t="n">
        <v>149.26</v>
      </c>
      <c r="H134" s="39" t="n">
        <v>45682</v>
      </c>
      <c r="I134" s="7" t="s">
        <v>14651</v>
      </c>
      <c r="J134" s="8" t="str">
        <f aca="false">IF(I134="Open",DATE(2025,12,31)-F134,"-")</f>
        <v>-</v>
      </c>
    </row>
    <row r="135" customFormat="false" ht="15" hidden="false" customHeight="false" outlineLevel="0" collapsed="false">
      <c r="B135" s="7" t="s">
        <v>14780</v>
      </c>
      <c r="C135" s="7" t="s">
        <v>632</v>
      </c>
      <c r="D135" s="7" t="s">
        <v>361</v>
      </c>
      <c r="E135" s="7" t="s">
        <v>157</v>
      </c>
      <c r="F135" s="39" t="n">
        <v>45664</v>
      </c>
      <c r="G135" s="41" t="n">
        <v>145.69</v>
      </c>
      <c r="H135" s="39" t="n">
        <v>45695</v>
      </c>
      <c r="I135" s="7" t="s">
        <v>14651</v>
      </c>
      <c r="J135" s="8" t="str">
        <f aca="false">IF(I135="Open",DATE(2025,12,31)-F135,"-")</f>
        <v>-</v>
      </c>
    </row>
    <row r="136" customFormat="false" ht="15" hidden="false" customHeight="false" outlineLevel="0" collapsed="false">
      <c r="B136" s="7" t="s">
        <v>14781</v>
      </c>
      <c r="C136" s="7" t="s">
        <v>633</v>
      </c>
      <c r="D136" s="7" t="s">
        <v>381</v>
      </c>
      <c r="E136" s="7" t="s">
        <v>157</v>
      </c>
      <c r="F136" s="39" t="n">
        <v>45664</v>
      </c>
      <c r="G136" s="41" t="n">
        <v>170.77</v>
      </c>
      <c r="H136" s="39" t="n">
        <v>45705</v>
      </c>
      <c r="I136" s="7" t="s">
        <v>14651</v>
      </c>
      <c r="J136" s="8" t="str">
        <f aca="false">IF(I136="Open",DATE(2025,12,31)-F136,"-")</f>
        <v>-</v>
      </c>
    </row>
    <row r="137" customFormat="false" ht="15" hidden="false" customHeight="false" outlineLevel="0" collapsed="false">
      <c r="B137" s="7" t="s">
        <v>14782</v>
      </c>
      <c r="C137" s="7" t="s">
        <v>634</v>
      </c>
      <c r="D137" s="7" t="s">
        <v>389</v>
      </c>
      <c r="E137" s="7" t="s">
        <v>154</v>
      </c>
      <c r="F137" s="39" t="n">
        <v>45664</v>
      </c>
      <c r="G137" s="41" t="n">
        <v>113.42</v>
      </c>
      <c r="H137" s="39" t="n">
        <v>45782</v>
      </c>
      <c r="I137" s="7" t="s">
        <v>14651</v>
      </c>
      <c r="J137" s="8" t="str">
        <f aca="false">IF(I137="Open",DATE(2025,12,31)-F137,"-")</f>
        <v>-</v>
      </c>
    </row>
    <row r="138" customFormat="false" ht="15" hidden="false" customHeight="false" outlineLevel="0" collapsed="false">
      <c r="B138" s="7" t="s">
        <v>14783</v>
      </c>
      <c r="C138" s="7" t="s">
        <v>635</v>
      </c>
      <c r="D138" s="7" t="s">
        <v>391</v>
      </c>
      <c r="E138" s="7" t="s">
        <v>156</v>
      </c>
      <c r="F138" s="39" t="n">
        <v>45664</v>
      </c>
      <c r="G138" s="41" t="n">
        <v>122.74</v>
      </c>
      <c r="H138" s="39" t="n">
        <v>45677</v>
      </c>
      <c r="I138" s="7" t="s">
        <v>14651</v>
      </c>
      <c r="J138" s="8" t="str">
        <f aca="false">IF(I138="Open",DATE(2025,12,31)-F138,"-")</f>
        <v>-</v>
      </c>
    </row>
    <row r="139" customFormat="false" ht="15" hidden="false" customHeight="false" outlineLevel="0" collapsed="false">
      <c r="B139" s="7" t="s">
        <v>14784</v>
      </c>
      <c r="C139" s="7" t="s">
        <v>636</v>
      </c>
      <c r="D139" s="7" t="s">
        <v>395</v>
      </c>
      <c r="E139" s="7" t="s">
        <v>156</v>
      </c>
      <c r="F139" s="39" t="n">
        <v>45664</v>
      </c>
      <c r="G139" s="41" t="n">
        <v>148.92</v>
      </c>
      <c r="H139" s="39" t="n">
        <v>45677</v>
      </c>
      <c r="I139" s="7" t="s">
        <v>14651</v>
      </c>
      <c r="J139" s="8" t="str">
        <f aca="false">IF(I139="Open",DATE(2025,12,31)-F139,"-")</f>
        <v>-</v>
      </c>
    </row>
    <row r="140" customFormat="false" ht="15" hidden="false" customHeight="false" outlineLevel="0" collapsed="false">
      <c r="B140" s="7" t="s">
        <v>14785</v>
      </c>
      <c r="C140" s="7" t="s">
        <v>637</v>
      </c>
      <c r="D140" s="7" t="s">
        <v>401</v>
      </c>
      <c r="E140" s="7" t="s">
        <v>156</v>
      </c>
      <c r="F140" s="39" t="n">
        <v>45664</v>
      </c>
      <c r="G140" s="41" t="n">
        <v>129.54</v>
      </c>
      <c r="H140" s="39" t="n">
        <v>45682</v>
      </c>
      <c r="I140" s="7" t="s">
        <v>14651</v>
      </c>
      <c r="J140" s="8" t="str">
        <f aca="false">IF(I140="Open",DATE(2025,12,31)-F140,"-")</f>
        <v>-</v>
      </c>
    </row>
    <row r="141" customFormat="false" ht="15" hidden="false" customHeight="false" outlineLevel="0" collapsed="false">
      <c r="B141" s="7" t="s">
        <v>14786</v>
      </c>
      <c r="C141" s="7" t="s">
        <v>638</v>
      </c>
      <c r="D141" s="7" t="s">
        <v>407</v>
      </c>
      <c r="E141" s="7" t="s">
        <v>159</v>
      </c>
      <c r="F141" s="39" t="n">
        <v>45664</v>
      </c>
      <c r="G141" s="41" t="n">
        <v>124.2</v>
      </c>
      <c r="H141" s="39" t="n">
        <v>45708</v>
      </c>
      <c r="I141" s="7" t="s">
        <v>14651</v>
      </c>
      <c r="J141" s="8" t="str">
        <f aca="false">IF(I141="Open",DATE(2025,12,31)-F141,"-")</f>
        <v>-</v>
      </c>
    </row>
    <row r="142" customFormat="false" ht="15" hidden="false" customHeight="false" outlineLevel="0" collapsed="false">
      <c r="B142" s="7" t="s">
        <v>14787</v>
      </c>
      <c r="C142" s="7" t="s">
        <v>639</v>
      </c>
      <c r="D142" s="7" t="s">
        <v>280</v>
      </c>
      <c r="E142" s="7" t="s">
        <v>157</v>
      </c>
      <c r="F142" s="39" t="n">
        <v>45665</v>
      </c>
      <c r="G142" s="41" t="n">
        <v>166.65</v>
      </c>
      <c r="H142" s="39" t="n">
        <v>45692</v>
      </c>
      <c r="I142" s="7" t="s">
        <v>14651</v>
      </c>
      <c r="J142" s="8" t="str">
        <f aca="false">IF(I142="Open",DATE(2025,12,31)-F142,"-")</f>
        <v>-</v>
      </c>
    </row>
    <row r="143" customFormat="false" ht="15" hidden="false" customHeight="false" outlineLevel="0" collapsed="false">
      <c r="B143" s="7" t="s">
        <v>14788</v>
      </c>
      <c r="C143" s="7" t="s">
        <v>640</v>
      </c>
      <c r="D143" s="7" t="s">
        <v>286</v>
      </c>
      <c r="E143" s="7" t="s">
        <v>157</v>
      </c>
      <c r="F143" s="39" t="n">
        <v>45665</v>
      </c>
      <c r="G143" s="41" t="n">
        <v>178.2</v>
      </c>
      <c r="H143" s="39" t="n">
        <v>45747</v>
      </c>
      <c r="I143" s="7" t="s">
        <v>14651</v>
      </c>
      <c r="J143" s="8" t="str">
        <f aca="false">IF(I143="Open",DATE(2025,12,31)-F143,"-")</f>
        <v>-</v>
      </c>
    </row>
    <row r="144" customFormat="false" ht="15" hidden="false" customHeight="false" outlineLevel="0" collapsed="false">
      <c r="B144" s="7" t="s">
        <v>14789</v>
      </c>
      <c r="C144" s="7" t="s">
        <v>641</v>
      </c>
      <c r="D144" s="7" t="s">
        <v>288</v>
      </c>
      <c r="E144" s="7" t="s">
        <v>156</v>
      </c>
      <c r="F144" s="39" t="n">
        <v>45665</v>
      </c>
      <c r="G144" s="41" t="n">
        <v>139.06</v>
      </c>
      <c r="H144" s="39" t="n">
        <v>45679</v>
      </c>
      <c r="I144" s="7" t="s">
        <v>14651</v>
      </c>
      <c r="J144" s="8" t="str">
        <f aca="false">IF(I144="Open",DATE(2025,12,31)-F144,"-")</f>
        <v>-</v>
      </c>
    </row>
    <row r="145" customFormat="false" ht="15" hidden="false" customHeight="false" outlineLevel="0" collapsed="false">
      <c r="B145" s="7" t="s">
        <v>14790</v>
      </c>
      <c r="C145" s="7" t="s">
        <v>642</v>
      </c>
      <c r="D145" s="7" t="s">
        <v>291</v>
      </c>
      <c r="E145" s="7" t="s">
        <v>154</v>
      </c>
      <c r="F145" s="39" t="n">
        <v>45665</v>
      </c>
      <c r="G145" s="41" t="n">
        <v>114.9</v>
      </c>
      <c r="H145" s="39" t="n">
        <v>45744</v>
      </c>
      <c r="I145" s="7" t="s">
        <v>14651</v>
      </c>
      <c r="J145" s="8" t="str">
        <f aca="false">IF(I145="Open",DATE(2025,12,31)-F145,"-")</f>
        <v>-</v>
      </c>
    </row>
    <row r="146" customFormat="false" ht="15" hidden="false" customHeight="false" outlineLevel="0" collapsed="false">
      <c r="B146" s="7" t="s">
        <v>14791</v>
      </c>
      <c r="C146" s="7" t="s">
        <v>643</v>
      </c>
      <c r="D146" s="7" t="s">
        <v>305</v>
      </c>
      <c r="E146" s="7" t="s">
        <v>154</v>
      </c>
      <c r="F146" s="39" t="n">
        <v>45665</v>
      </c>
      <c r="G146" s="41" t="n">
        <v>116.07</v>
      </c>
      <c r="H146" s="39" t="n">
        <v>45723</v>
      </c>
      <c r="I146" s="7" t="s">
        <v>14651</v>
      </c>
      <c r="J146" s="8" t="str">
        <f aca="false">IF(I146="Open",DATE(2025,12,31)-F146,"-")</f>
        <v>-</v>
      </c>
    </row>
    <row r="147" customFormat="false" ht="15" hidden="false" customHeight="false" outlineLevel="0" collapsed="false">
      <c r="B147" s="7" t="s">
        <v>14792</v>
      </c>
      <c r="C147" s="7" t="s">
        <v>644</v>
      </c>
      <c r="D147" s="7" t="s">
        <v>309</v>
      </c>
      <c r="E147" s="7" t="s">
        <v>159</v>
      </c>
      <c r="F147" s="39" t="n">
        <v>45665</v>
      </c>
      <c r="G147" s="41" t="n">
        <v>124.2</v>
      </c>
      <c r="H147" s="39" t="n">
        <v>45754</v>
      </c>
      <c r="I147" s="7" t="s">
        <v>14651</v>
      </c>
      <c r="J147" s="8" t="str">
        <f aca="false">IF(I147="Open",DATE(2025,12,31)-F147,"-")</f>
        <v>-</v>
      </c>
    </row>
    <row r="148" customFormat="false" ht="15" hidden="false" customHeight="false" outlineLevel="0" collapsed="false">
      <c r="B148" s="7" t="s">
        <v>14793</v>
      </c>
      <c r="C148" s="7" t="s">
        <v>645</v>
      </c>
      <c r="D148" s="7" t="s">
        <v>313</v>
      </c>
      <c r="E148" s="7" t="s">
        <v>156</v>
      </c>
      <c r="F148" s="39" t="n">
        <v>45665</v>
      </c>
      <c r="G148" s="41" t="n">
        <v>123.08</v>
      </c>
      <c r="H148" s="39" t="n">
        <v>45675</v>
      </c>
      <c r="I148" s="7" t="s">
        <v>14651</v>
      </c>
      <c r="J148" s="8" t="str">
        <f aca="false">IF(I148="Open",DATE(2025,12,31)-F148,"-")</f>
        <v>-</v>
      </c>
    </row>
    <row r="149" customFormat="false" ht="15" hidden="false" customHeight="false" outlineLevel="0" collapsed="false">
      <c r="B149" s="7" t="s">
        <v>14794</v>
      </c>
      <c r="C149" s="7" t="s">
        <v>646</v>
      </c>
      <c r="D149" s="7" t="s">
        <v>321</v>
      </c>
      <c r="E149" s="7" t="s">
        <v>154</v>
      </c>
      <c r="F149" s="39" t="n">
        <v>45665</v>
      </c>
      <c r="G149" s="41" t="n">
        <v>103.09</v>
      </c>
      <c r="H149" s="39" t="n">
        <v>45703</v>
      </c>
      <c r="I149" s="7" t="s">
        <v>14651</v>
      </c>
      <c r="J149" s="8" t="str">
        <f aca="false">IF(I149="Open",DATE(2025,12,31)-F149,"-")</f>
        <v>-</v>
      </c>
    </row>
    <row r="150" customFormat="false" ht="15" hidden="false" customHeight="false" outlineLevel="0" collapsed="false">
      <c r="B150" s="7" t="s">
        <v>14795</v>
      </c>
      <c r="C150" s="7" t="s">
        <v>647</v>
      </c>
      <c r="D150" s="7" t="s">
        <v>329</v>
      </c>
      <c r="E150" s="7" t="s">
        <v>156</v>
      </c>
      <c r="F150" s="39" t="n">
        <v>45665</v>
      </c>
      <c r="G150" s="41" t="n">
        <v>133.62</v>
      </c>
      <c r="H150" s="39" t="n">
        <v>45674</v>
      </c>
      <c r="I150" s="7" t="s">
        <v>14651</v>
      </c>
      <c r="J150" s="8" t="str">
        <f aca="false">IF(I150="Open",DATE(2025,12,31)-F150,"-")</f>
        <v>-</v>
      </c>
    </row>
    <row r="151" customFormat="false" ht="15" hidden="false" customHeight="false" outlineLevel="0" collapsed="false">
      <c r="B151" s="7" t="s">
        <v>14796</v>
      </c>
      <c r="C151" s="7" t="s">
        <v>648</v>
      </c>
      <c r="D151" s="7" t="s">
        <v>335</v>
      </c>
      <c r="E151" s="7" t="s">
        <v>154</v>
      </c>
      <c r="F151" s="39" t="n">
        <v>45665</v>
      </c>
      <c r="G151" s="41" t="n">
        <v>99.11</v>
      </c>
      <c r="H151" s="39" t="n">
        <v>45780</v>
      </c>
      <c r="I151" s="7" t="s">
        <v>14651</v>
      </c>
      <c r="J151" s="8" t="str">
        <f aca="false">IF(I151="Open",DATE(2025,12,31)-F151,"-")</f>
        <v>-</v>
      </c>
    </row>
    <row r="152" customFormat="false" ht="15" hidden="false" customHeight="false" outlineLevel="0" collapsed="false">
      <c r="B152" s="7" t="s">
        <v>14797</v>
      </c>
      <c r="C152" s="7" t="s">
        <v>649</v>
      </c>
      <c r="D152" s="7" t="s">
        <v>339</v>
      </c>
      <c r="E152" s="7" t="s">
        <v>154</v>
      </c>
      <c r="F152" s="39" t="n">
        <v>45665</v>
      </c>
      <c r="G152" s="41" t="n">
        <v>91.69</v>
      </c>
      <c r="H152" s="39" t="n">
        <v>45727</v>
      </c>
      <c r="I152" s="7" t="s">
        <v>14651</v>
      </c>
      <c r="J152" s="8" t="str">
        <f aca="false">IF(I152="Open",DATE(2025,12,31)-F152,"-")</f>
        <v>-</v>
      </c>
    </row>
    <row r="153" customFormat="false" ht="15" hidden="false" customHeight="false" outlineLevel="0" collapsed="false">
      <c r="B153" s="7" t="s">
        <v>14798</v>
      </c>
      <c r="C153" s="7" t="s">
        <v>650</v>
      </c>
      <c r="D153" s="7" t="s">
        <v>353</v>
      </c>
      <c r="E153" s="7" t="s">
        <v>154</v>
      </c>
      <c r="F153" s="39" t="n">
        <v>45665</v>
      </c>
      <c r="G153" s="41" t="n">
        <v>83.47</v>
      </c>
      <c r="H153" s="39" t="n">
        <v>45741</v>
      </c>
      <c r="I153" s="7" t="s">
        <v>14651</v>
      </c>
      <c r="J153" s="8" t="str">
        <f aca="false">IF(I153="Open",DATE(2025,12,31)-F153,"-")</f>
        <v>-</v>
      </c>
    </row>
    <row r="154" customFormat="false" ht="15" hidden="false" customHeight="false" outlineLevel="0" collapsed="false">
      <c r="B154" s="7" t="s">
        <v>14799</v>
      </c>
      <c r="C154" s="7" t="s">
        <v>651</v>
      </c>
      <c r="D154" s="7" t="s">
        <v>355</v>
      </c>
      <c r="E154" s="7" t="s">
        <v>154</v>
      </c>
      <c r="F154" s="39" t="n">
        <v>45665</v>
      </c>
      <c r="G154" s="41" t="n">
        <v>91.16</v>
      </c>
      <c r="H154" s="39" t="n">
        <v>45704</v>
      </c>
      <c r="I154" s="7" t="s">
        <v>14651</v>
      </c>
      <c r="J154" s="8" t="str">
        <f aca="false">IF(I154="Open",DATE(2025,12,31)-F154,"-")</f>
        <v>-</v>
      </c>
    </row>
    <row r="155" customFormat="false" ht="15" hidden="false" customHeight="false" outlineLevel="0" collapsed="false">
      <c r="B155" s="7" t="s">
        <v>14800</v>
      </c>
      <c r="C155" s="7" t="s">
        <v>652</v>
      </c>
      <c r="D155" s="7" t="s">
        <v>357</v>
      </c>
      <c r="E155" s="7" t="s">
        <v>154</v>
      </c>
      <c r="F155" s="39" t="n">
        <v>45665</v>
      </c>
      <c r="G155" s="41" t="n">
        <v>81.99</v>
      </c>
      <c r="H155" s="39" t="n">
        <v>45774</v>
      </c>
      <c r="I155" s="7" t="s">
        <v>14651</v>
      </c>
      <c r="J155" s="8" t="str">
        <f aca="false">IF(I155="Open",DATE(2025,12,31)-F155,"-")</f>
        <v>-</v>
      </c>
    </row>
    <row r="156" customFormat="false" ht="15" hidden="false" customHeight="false" outlineLevel="0" collapsed="false">
      <c r="B156" s="7" t="s">
        <v>14801</v>
      </c>
      <c r="C156" s="7" t="s">
        <v>653</v>
      </c>
      <c r="D156" s="7" t="s">
        <v>359</v>
      </c>
      <c r="E156" s="7" t="s">
        <v>156</v>
      </c>
      <c r="F156" s="39" t="n">
        <v>45665</v>
      </c>
      <c r="G156" s="41" t="n">
        <v>148.24</v>
      </c>
      <c r="H156" s="39" t="n">
        <v>45673</v>
      </c>
      <c r="I156" s="7" t="s">
        <v>14651</v>
      </c>
      <c r="J156" s="8" t="str">
        <f aca="false">IF(I156="Open",DATE(2025,12,31)-F156,"-")</f>
        <v>-</v>
      </c>
    </row>
    <row r="157" customFormat="false" ht="15" hidden="false" customHeight="false" outlineLevel="0" collapsed="false">
      <c r="B157" s="7" t="s">
        <v>14802</v>
      </c>
      <c r="C157" s="7" t="s">
        <v>654</v>
      </c>
      <c r="D157" s="7" t="s">
        <v>371</v>
      </c>
      <c r="E157" s="7" t="s">
        <v>154</v>
      </c>
      <c r="F157" s="39" t="n">
        <v>45665</v>
      </c>
      <c r="G157" s="41" t="n">
        <v>135.15</v>
      </c>
      <c r="H157" s="39" t="n">
        <v>45708</v>
      </c>
      <c r="I157" s="7" t="s">
        <v>14651</v>
      </c>
      <c r="J157" s="8" t="str">
        <f aca="false">IF(I157="Open",DATE(2025,12,31)-F157,"-")</f>
        <v>-</v>
      </c>
    </row>
    <row r="158" customFormat="false" ht="15" hidden="false" customHeight="false" outlineLevel="0" collapsed="false">
      <c r="B158" s="7" t="s">
        <v>14803</v>
      </c>
      <c r="C158" s="7" t="s">
        <v>655</v>
      </c>
      <c r="D158" s="7" t="s">
        <v>379</v>
      </c>
      <c r="E158" s="7" t="s">
        <v>156</v>
      </c>
      <c r="F158" s="39" t="n">
        <v>45665</v>
      </c>
      <c r="G158" s="41" t="n">
        <v>152.32</v>
      </c>
      <c r="H158" s="39" t="n">
        <v>45674</v>
      </c>
      <c r="I158" s="7" t="s">
        <v>14651</v>
      </c>
      <c r="J158" s="8" t="str">
        <f aca="false">IF(I158="Open",DATE(2025,12,31)-F158,"-")</f>
        <v>-</v>
      </c>
    </row>
    <row r="159" customFormat="false" ht="15" hidden="false" customHeight="false" outlineLevel="0" collapsed="false">
      <c r="B159" s="7" t="s">
        <v>14804</v>
      </c>
      <c r="C159" s="7" t="s">
        <v>656</v>
      </c>
      <c r="D159" s="7" t="s">
        <v>389</v>
      </c>
      <c r="E159" s="7" t="s">
        <v>154</v>
      </c>
      <c r="F159" s="39" t="n">
        <v>45665</v>
      </c>
      <c r="G159" s="41" t="n">
        <v>97.78</v>
      </c>
      <c r="H159" s="39" t="n">
        <v>45721</v>
      </c>
      <c r="I159" s="7" t="s">
        <v>14651</v>
      </c>
      <c r="J159" s="8" t="str">
        <f aca="false">IF(I159="Open",DATE(2025,12,31)-F159,"-")</f>
        <v>-</v>
      </c>
    </row>
    <row r="160" customFormat="false" ht="15" hidden="false" customHeight="false" outlineLevel="0" collapsed="false">
      <c r="B160" s="7" t="s">
        <v>14805</v>
      </c>
      <c r="C160" s="7" t="s">
        <v>657</v>
      </c>
      <c r="D160" s="7" t="s">
        <v>391</v>
      </c>
      <c r="E160" s="7" t="s">
        <v>156</v>
      </c>
      <c r="F160" s="39" t="n">
        <v>45665</v>
      </c>
      <c r="G160" s="41" t="n">
        <v>130.56</v>
      </c>
      <c r="H160" s="39" t="n">
        <v>45682</v>
      </c>
      <c r="I160" s="7" t="s">
        <v>14651</v>
      </c>
      <c r="J160" s="8" t="str">
        <f aca="false">IF(I160="Open",DATE(2025,12,31)-F160,"-")</f>
        <v>-</v>
      </c>
    </row>
    <row r="161" customFormat="false" ht="15" hidden="false" customHeight="false" outlineLevel="0" collapsed="false">
      <c r="B161" s="7" t="s">
        <v>14806</v>
      </c>
      <c r="C161" s="7" t="s">
        <v>658</v>
      </c>
      <c r="D161" s="7" t="s">
        <v>393</v>
      </c>
      <c r="E161" s="7" t="s">
        <v>157</v>
      </c>
      <c r="F161" s="39" t="n">
        <v>45665</v>
      </c>
      <c r="G161" s="41" t="n">
        <v>167.64</v>
      </c>
      <c r="H161" s="39" t="n">
        <v>45714</v>
      </c>
      <c r="I161" s="7" t="s">
        <v>14651</v>
      </c>
      <c r="J161" s="8" t="str">
        <f aca="false">IF(I161="Open",DATE(2025,12,31)-F161,"-")</f>
        <v>-</v>
      </c>
    </row>
    <row r="162" customFormat="false" ht="15" hidden="false" customHeight="false" outlineLevel="0" collapsed="false">
      <c r="B162" s="7" t="s">
        <v>14807</v>
      </c>
      <c r="C162" s="7" t="s">
        <v>659</v>
      </c>
      <c r="D162" s="7" t="s">
        <v>395</v>
      </c>
      <c r="E162" s="7" t="s">
        <v>156</v>
      </c>
      <c r="F162" s="39" t="n">
        <v>45665</v>
      </c>
      <c r="G162" s="41" t="n">
        <v>145.86</v>
      </c>
      <c r="H162" s="39" t="n">
        <v>45688</v>
      </c>
      <c r="I162" s="7" t="s">
        <v>14651</v>
      </c>
      <c r="J162" s="8" t="str">
        <f aca="false">IF(I162="Open",DATE(2025,12,31)-F162,"-")</f>
        <v>-</v>
      </c>
    </row>
    <row r="163" customFormat="false" ht="15" hidden="false" customHeight="false" outlineLevel="0" collapsed="false">
      <c r="B163" s="7" t="s">
        <v>14808</v>
      </c>
      <c r="C163" s="7" t="s">
        <v>660</v>
      </c>
      <c r="D163" s="7" t="s">
        <v>399</v>
      </c>
      <c r="E163" s="7" t="s">
        <v>154</v>
      </c>
      <c r="F163" s="39" t="n">
        <v>45665</v>
      </c>
      <c r="G163" s="41" t="n">
        <v>95.66</v>
      </c>
      <c r="H163" s="39" t="n">
        <v>45714</v>
      </c>
      <c r="I163" s="7" t="s">
        <v>14651</v>
      </c>
      <c r="J163" s="8" t="str">
        <f aca="false">IF(I163="Open",DATE(2025,12,31)-F163,"-")</f>
        <v>-</v>
      </c>
    </row>
    <row r="164" customFormat="false" ht="15" hidden="false" customHeight="false" outlineLevel="0" collapsed="false">
      <c r="B164" s="7" t="s">
        <v>14809</v>
      </c>
      <c r="C164" s="7" t="s">
        <v>661</v>
      </c>
      <c r="D164" s="7" t="s">
        <v>401</v>
      </c>
      <c r="E164" s="7" t="s">
        <v>156</v>
      </c>
      <c r="F164" s="39" t="n">
        <v>45665</v>
      </c>
      <c r="G164" s="41" t="n">
        <v>146.88</v>
      </c>
      <c r="H164" s="39" t="n">
        <v>45684</v>
      </c>
      <c r="I164" s="7" t="s">
        <v>14651</v>
      </c>
      <c r="J164" s="8" t="str">
        <f aca="false">IF(I164="Open",DATE(2025,12,31)-F164,"-")</f>
        <v>-</v>
      </c>
    </row>
    <row r="165" customFormat="false" ht="15" hidden="false" customHeight="false" outlineLevel="0" collapsed="false">
      <c r="B165" s="7" t="s">
        <v>14810</v>
      </c>
      <c r="C165" s="7" t="s">
        <v>662</v>
      </c>
      <c r="D165" s="7" t="s">
        <v>409</v>
      </c>
      <c r="E165" s="7" t="s">
        <v>154</v>
      </c>
      <c r="F165" s="39" t="n">
        <v>45665</v>
      </c>
      <c r="G165" s="41" t="n">
        <v>93.55</v>
      </c>
      <c r="H165" s="39" t="n">
        <v>45755</v>
      </c>
      <c r="I165" s="7" t="s">
        <v>14651</v>
      </c>
      <c r="J165" s="8" t="str">
        <f aca="false">IF(I165="Open",DATE(2025,12,31)-F165,"-")</f>
        <v>-</v>
      </c>
    </row>
    <row r="166" customFormat="false" ht="15" hidden="false" customHeight="false" outlineLevel="0" collapsed="false">
      <c r="B166" s="7" t="s">
        <v>14811</v>
      </c>
      <c r="C166" s="7" t="s">
        <v>663</v>
      </c>
      <c r="D166" s="7" t="s">
        <v>411</v>
      </c>
      <c r="E166" s="7" t="s">
        <v>154</v>
      </c>
      <c r="F166" s="39" t="n">
        <v>45665</v>
      </c>
      <c r="G166" s="41" t="n">
        <v>117.39</v>
      </c>
      <c r="H166" s="39" t="n">
        <v>45783</v>
      </c>
      <c r="I166" s="7" t="s">
        <v>14651</v>
      </c>
      <c r="J166" s="8" t="str">
        <f aca="false">IF(I166="Open",DATE(2025,12,31)-F166,"-")</f>
        <v>-</v>
      </c>
    </row>
    <row r="167" customFormat="false" ht="15" hidden="false" customHeight="false" outlineLevel="0" collapsed="false">
      <c r="B167" s="7" t="s">
        <v>14812</v>
      </c>
      <c r="C167" s="7" t="s">
        <v>664</v>
      </c>
      <c r="D167" s="7" t="s">
        <v>288</v>
      </c>
      <c r="E167" s="7" t="s">
        <v>156</v>
      </c>
      <c r="F167" s="39" t="n">
        <v>45666</v>
      </c>
      <c r="G167" s="41" t="n">
        <v>140.76</v>
      </c>
      <c r="H167" s="39" t="n">
        <v>45683</v>
      </c>
      <c r="I167" s="7" t="s">
        <v>14651</v>
      </c>
      <c r="J167" s="8" t="str">
        <f aca="false">IF(I167="Open",DATE(2025,12,31)-F167,"-")</f>
        <v>-</v>
      </c>
    </row>
    <row r="168" customFormat="false" ht="15" hidden="false" customHeight="false" outlineLevel="0" collapsed="false">
      <c r="B168" s="7" t="s">
        <v>14813</v>
      </c>
      <c r="C168" s="7" t="s">
        <v>665</v>
      </c>
      <c r="D168" s="7" t="s">
        <v>297</v>
      </c>
      <c r="E168" s="7" t="s">
        <v>156</v>
      </c>
      <c r="F168" s="39" t="n">
        <v>45666</v>
      </c>
      <c r="G168" s="41" t="n">
        <v>104.72</v>
      </c>
      <c r="H168" s="39" t="n">
        <v>45672</v>
      </c>
      <c r="I168" s="7" t="s">
        <v>14651</v>
      </c>
      <c r="J168" s="8" t="str">
        <f aca="false">IF(I168="Open",DATE(2025,12,31)-F168,"-")</f>
        <v>-</v>
      </c>
    </row>
    <row r="169" customFormat="false" ht="15" hidden="false" customHeight="false" outlineLevel="0" collapsed="false">
      <c r="B169" s="7" t="s">
        <v>14814</v>
      </c>
      <c r="C169" s="7" t="s">
        <v>666</v>
      </c>
      <c r="D169" s="7" t="s">
        <v>311</v>
      </c>
      <c r="E169" s="7" t="s">
        <v>154</v>
      </c>
      <c r="F169" s="39" t="n">
        <v>45666</v>
      </c>
      <c r="G169" s="41" t="n">
        <v>69.91</v>
      </c>
      <c r="H169" s="39" t="n">
        <v>45723</v>
      </c>
      <c r="I169" s="7" t="s">
        <v>14651</v>
      </c>
      <c r="J169" s="8" t="str">
        <f aca="false">IF(I169="Open",DATE(2025,12,31)-F169,"-")</f>
        <v>-</v>
      </c>
    </row>
    <row r="170" customFormat="false" ht="15" hidden="false" customHeight="false" outlineLevel="0" collapsed="false">
      <c r="B170" s="7" t="s">
        <v>14815</v>
      </c>
      <c r="C170" s="7" t="s">
        <v>667</v>
      </c>
      <c r="D170" s="7" t="s">
        <v>313</v>
      </c>
      <c r="E170" s="7" t="s">
        <v>156</v>
      </c>
      <c r="F170" s="39" t="n">
        <v>45666</v>
      </c>
      <c r="G170" s="41" t="n">
        <v>147.22</v>
      </c>
      <c r="H170" s="39" t="n">
        <v>45682</v>
      </c>
      <c r="I170" s="7" t="s">
        <v>14651</v>
      </c>
      <c r="J170" s="8" t="str">
        <f aca="false">IF(I170="Open",DATE(2025,12,31)-F170,"-")</f>
        <v>-</v>
      </c>
    </row>
    <row r="171" customFormat="false" ht="15" hidden="false" customHeight="false" outlineLevel="0" collapsed="false">
      <c r="B171" s="7" t="s">
        <v>14816</v>
      </c>
      <c r="C171" s="7" t="s">
        <v>668</v>
      </c>
      <c r="D171" s="7" t="s">
        <v>317</v>
      </c>
      <c r="E171" s="7" t="s">
        <v>156</v>
      </c>
      <c r="F171" s="39" t="n">
        <v>45666</v>
      </c>
      <c r="G171" s="41" t="n">
        <v>95.88</v>
      </c>
      <c r="H171" s="39" t="n">
        <v>45671</v>
      </c>
      <c r="I171" s="7" t="s">
        <v>14651</v>
      </c>
      <c r="J171" s="8" t="str">
        <f aca="false">IF(I171="Open",DATE(2025,12,31)-F171,"-")</f>
        <v>-</v>
      </c>
    </row>
    <row r="172" customFormat="false" ht="15" hidden="false" customHeight="false" outlineLevel="0" collapsed="false">
      <c r="B172" s="7" t="s">
        <v>14817</v>
      </c>
      <c r="C172" s="7" t="s">
        <v>669</v>
      </c>
      <c r="D172" s="7" t="s">
        <v>321</v>
      </c>
      <c r="E172" s="7" t="s">
        <v>154</v>
      </c>
      <c r="F172" s="39" t="n">
        <v>45666</v>
      </c>
      <c r="G172" s="41" t="n">
        <v>103.09</v>
      </c>
      <c r="H172" s="39" t="n">
        <v>45745</v>
      </c>
      <c r="I172" s="7" t="s">
        <v>14651</v>
      </c>
      <c r="J172" s="8" t="str">
        <f aca="false">IF(I172="Open",DATE(2025,12,31)-F172,"-")</f>
        <v>-</v>
      </c>
    </row>
    <row r="173" customFormat="false" ht="15" hidden="false" customHeight="false" outlineLevel="0" collapsed="false">
      <c r="B173" s="7" t="s">
        <v>14818</v>
      </c>
      <c r="C173" s="7" t="s">
        <v>670</v>
      </c>
      <c r="D173" s="7" t="s">
        <v>325</v>
      </c>
      <c r="E173" s="7" t="s">
        <v>154</v>
      </c>
      <c r="F173" s="39" t="n">
        <v>45666</v>
      </c>
      <c r="G173" s="41" t="n">
        <v>74.2</v>
      </c>
      <c r="H173" s="39" t="n">
        <v>45743</v>
      </c>
      <c r="I173" s="7" t="s">
        <v>14651</v>
      </c>
      <c r="J173" s="8" t="str">
        <f aca="false">IF(I173="Open",DATE(2025,12,31)-F173,"-")</f>
        <v>-</v>
      </c>
    </row>
    <row r="174" customFormat="false" ht="15" hidden="false" customHeight="false" outlineLevel="0" collapsed="false">
      <c r="B174" s="7" t="s">
        <v>14819</v>
      </c>
      <c r="C174" s="7" t="s">
        <v>671</v>
      </c>
      <c r="D174" s="7" t="s">
        <v>329</v>
      </c>
      <c r="E174" s="7" t="s">
        <v>156</v>
      </c>
      <c r="F174" s="39" t="n">
        <v>45666</v>
      </c>
      <c r="G174" s="41" t="n">
        <v>148.58</v>
      </c>
      <c r="H174" s="39" t="n">
        <v>45686</v>
      </c>
      <c r="I174" s="7" t="s">
        <v>14651</v>
      </c>
      <c r="J174" s="8" t="str">
        <f aca="false">IF(I174="Open",DATE(2025,12,31)-F174,"-")</f>
        <v>-</v>
      </c>
    </row>
    <row r="175" customFormat="false" ht="15" hidden="false" customHeight="false" outlineLevel="0" collapsed="false">
      <c r="B175" s="7" t="s">
        <v>14820</v>
      </c>
      <c r="C175" s="7" t="s">
        <v>672</v>
      </c>
      <c r="D175" s="7" t="s">
        <v>331</v>
      </c>
      <c r="E175" s="7" t="s">
        <v>156</v>
      </c>
      <c r="F175" s="39" t="n">
        <v>45666</v>
      </c>
      <c r="G175" s="41" t="n">
        <v>144.16</v>
      </c>
      <c r="H175" s="39" t="n">
        <v>45677</v>
      </c>
      <c r="I175" s="7" t="s">
        <v>14651</v>
      </c>
      <c r="J175" s="8" t="str">
        <f aca="false">IF(I175="Open",DATE(2025,12,31)-F175,"-")</f>
        <v>-</v>
      </c>
    </row>
    <row r="176" customFormat="false" ht="15" hidden="false" customHeight="false" outlineLevel="0" collapsed="false">
      <c r="B176" s="7" t="s">
        <v>14821</v>
      </c>
      <c r="C176" s="7" t="s">
        <v>673</v>
      </c>
      <c r="D176" s="7" t="s">
        <v>337</v>
      </c>
      <c r="E176" s="7" t="s">
        <v>154</v>
      </c>
      <c r="F176" s="39" t="n">
        <v>45666</v>
      </c>
      <c r="G176" s="41" t="n">
        <v>83.47</v>
      </c>
      <c r="H176" s="39" t="n">
        <v>45723</v>
      </c>
      <c r="I176" s="7" t="s">
        <v>14651</v>
      </c>
      <c r="J176" s="8" t="str">
        <f aca="false">IF(I176="Open",DATE(2025,12,31)-F176,"-")</f>
        <v>-</v>
      </c>
    </row>
    <row r="177" customFormat="false" ht="15" hidden="false" customHeight="false" outlineLevel="0" collapsed="false">
      <c r="B177" s="7" t="s">
        <v>14822</v>
      </c>
      <c r="C177" s="7" t="s">
        <v>674</v>
      </c>
      <c r="D177" s="7" t="s">
        <v>341</v>
      </c>
      <c r="E177" s="7" t="s">
        <v>156</v>
      </c>
      <c r="F177" s="39" t="n">
        <v>45666</v>
      </c>
      <c r="G177" s="41" t="n">
        <v>105.4</v>
      </c>
      <c r="H177" s="39" t="n">
        <v>45684</v>
      </c>
      <c r="I177" s="7" t="s">
        <v>14651</v>
      </c>
      <c r="J177" s="8" t="str">
        <f aca="false">IF(I177="Open",DATE(2025,12,31)-F177,"-")</f>
        <v>-</v>
      </c>
    </row>
    <row r="178" customFormat="false" ht="15" hidden="false" customHeight="false" outlineLevel="0" collapsed="false">
      <c r="B178" s="7" t="s">
        <v>14823</v>
      </c>
      <c r="C178" s="7" t="s">
        <v>675</v>
      </c>
      <c r="D178" s="7" t="s">
        <v>343</v>
      </c>
      <c r="E178" s="7" t="s">
        <v>154</v>
      </c>
      <c r="F178" s="39" t="n">
        <v>45666</v>
      </c>
      <c r="G178" s="41" t="n">
        <v>107.32</v>
      </c>
      <c r="H178" s="39" t="n">
        <v>45720</v>
      </c>
      <c r="I178" s="7" t="s">
        <v>14651</v>
      </c>
      <c r="J178" s="8" t="str">
        <f aca="false">IF(I178="Open",DATE(2025,12,31)-F178,"-")</f>
        <v>-</v>
      </c>
    </row>
    <row r="179" customFormat="false" ht="15" hidden="false" customHeight="false" outlineLevel="0" collapsed="false">
      <c r="B179" s="7" t="s">
        <v>14824</v>
      </c>
      <c r="C179" s="7" t="s">
        <v>676</v>
      </c>
      <c r="D179" s="7" t="s">
        <v>359</v>
      </c>
      <c r="E179" s="7" t="s">
        <v>156</v>
      </c>
      <c r="F179" s="39" t="n">
        <v>45666</v>
      </c>
      <c r="G179" s="41" t="n">
        <v>129.54</v>
      </c>
      <c r="H179" s="39" t="n">
        <v>45677</v>
      </c>
      <c r="I179" s="7" t="s">
        <v>14651</v>
      </c>
      <c r="J179" s="8" t="str">
        <f aca="false">IF(I179="Open",DATE(2025,12,31)-F179,"-")</f>
        <v>-</v>
      </c>
    </row>
    <row r="180" customFormat="false" ht="15" hidden="false" customHeight="false" outlineLevel="0" collapsed="false">
      <c r="B180" s="7" t="s">
        <v>14825</v>
      </c>
      <c r="C180" s="7" t="s">
        <v>677</v>
      </c>
      <c r="D180" s="7" t="s">
        <v>363</v>
      </c>
      <c r="E180" s="7" t="s">
        <v>156</v>
      </c>
      <c r="F180" s="39" t="n">
        <v>45666</v>
      </c>
      <c r="G180" s="41" t="n">
        <v>142.8</v>
      </c>
      <c r="H180" s="39" t="n">
        <v>45678</v>
      </c>
      <c r="I180" s="7" t="s">
        <v>14651</v>
      </c>
      <c r="J180" s="8" t="str">
        <f aca="false">IF(I180="Open",DATE(2025,12,31)-F180,"-")</f>
        <v>-</v>
      </c>
    </row>
    <row r="181" customFormat="false" ht="15" hidden="false" customHeight="false" outlineLevel="0" collapsed="false">
      <c r="B181" s="7" t="s">
        <v>14826</v>
      </c>
      <c r="C181" s="7" t="s">
        <v>678</v>
      </c>
      <c r="D181" s="7" t="s">
        <v>375</v>
      </c>
      <c r="E181" s="7" t="s">
        <v>156</v>
      </c>
      <c r="F181" s="39" t="n">
        <v>45666</v>
      </c>
      <c r="G181" s="41" t="n">
        <v>104.72</v>
      </c>
      <c r="H181" s="39" t="n">
        <v>45685</v>
      </c>
      <c r="I181" s="7" t="s">
        <v>14651</v>
      </c>
      <c r="J181" s="8" t="str">
        <f aca="false">IF(I181="Open",DATE(2025,12,31)-F181,"-")</f>
        <v>-</v>
      </c>
    </row>
    <row r="182" customFormat="false" ht="15" hidden="false" customHeight="false" outlineLevel="0" collapsed="false">
      <c r="B182" s="7" t="s">
        <v>14827</v>
      </c>
      <c r="C182" s="7" t="s">
        <v>679</v>
      </c>
      <c r="D182" s="7" t="s">
        <v>377</v>
      </c>
      <c r="E182" s="7" t="s">
        <v>154</v>
      </c>
      <c r="F182" s="39" t="n">
        <v>45666</v>
      </c>
      <c r="G182" s="41" t="n">
        <v>105.47</v>
      </c>
      <c r="H182" s="39" t="n">
        <v>45723</v>
      </c>
      <c r="I182" s="7" t="s">
        <v>14651</v>
      </c>
      <c r="J182" s="8" t="str">
        <f aca="false">IF(I182="Open",DATE(2025,12,31)-F182,"-")</f>
        <v>-</v>
      </c>
    </row>
    <row r="183" customFormat="false" ht="15" hidden="false" customHeight="false" outlineLevel="0" collapsed="false">
      <c r="B183" s="7" t="s">
        <v>14828</v>
      </c>
      <c r="C183" s="7" t="s">
        <v>680</v>
      </c>
      <c r="D183" s="7" t="s">
        <v>389</v>
      </c>
      <c r="E183" s="7" t="s">
        <v>154</v>
      </c>
      <c r="F183" s="39" t="n">
        <v>45666</v>
      </c>
      <c r="G183" s="41" t="n">
        <v>102.29</v>
      </c>
      <c r="H183" s="39" t="n">
        <v>45703</v>
      </c>
      <c r="I183" s="7" t="s">
        <v>14651</v>
      </c>
      <c r="J183" s="8" t="str">
        <f aca="false">IF(I183="Open",DATE(2025,12,31)-F183,"-")</f>
        <v>-</v>
      </c>
    </row>
    <row r="184" customFormat="false" ht="15" hidden="false" customHeight="false" outlineLevel="0" collapsed="false">
      <c r="B184" s="7" t="s">
        <v>14829</v>
      </c>
      <c r="C184" s="7" t="s">
        <v>681</v>
      </c>
      <c r="D184" s="7" t="s">
        <v>391</v>
      </c>
      <c r="E184" s="7" t="s">
        <v>156</v>
      </c>
      <c r="F184" s="39" t="n">
        <v>45666</v>
      </c>
      <c r="G184" s="41" t="n">
        <v>139.74</v>
      </c>
      <c r="H184" s="39" t="n">
        <v>45679</v>
      </c>
      <c r="I184" s="7" t="s">
        <v>14651</v>
      </c>
      <c r="J184" s="8" t="str">
        <f aca="false">IF(I184="Open",DATE(2025,12,31)-F184,"-")</f>
        <v>-</v>
      </c>
    </row>
    <row r="185" customFormat="false" ht="15" hidden="false" customHeight="false" outlineLevel="0" collapsed="false">
      <c r="B185" s="7" t="s">
        <v>14830</v>
      </c>
      <c r="C185" s="7" t="s">
        <v>682</v>
      </c>
      <c r="D185" s="7" t="s">
        <v>395</v>
      </c>
      <c r="E185" s="7" t="s">
        <v>156</v>
      </c>
      <c r="F185" s="39" t="n">
        <v>45666</v>
      </c>
      <c r="G185" s="41" t="n">
        <v>140.08</v>
      </c>
      <c r="H185" s="39" t="n">
        <v>45688</v>
      </c>
      <c r="I185" s="7" t="s">
        <v>14651</v>
      </c>
      <c r="J185" s="8" t="str">
        <f aca="false">IF(I185="Open",DATE(2025,12,31)-F185,"-")</f>
        <v>-</v>
      </c>
    </row>
    <row r="186" customFormat="false" ht="15" hidden="false" customHeight="false" outlineLevel="0" collapsed="false">
      <c r="B186" s="7" t="s">
        <v>14831</v>
      </c>
      <c r="C186" s="7" t="s">
        <v>683</v>
      </c>
      <c r="D186" s="7" t="s">
        <v>401</v>
      </c>
      <c r="E186" s="7" t="s">
        <v>156</v>
      </c>
      <c r="F186" s="39" t="n">
        <v>45666</v>
      </c>
      <c r="G186" s="41" t="n">
        <v>123.42</v>
      </c>
      <c r="H186" s="39" t="n">
        <v>45673</v>
      </c>
      <c r="I186" s="7" t="s">
        <v>14651</v>
      </c>
      <c r="J186" s="8" t="str">
        <f aca="false">IF(I186="Open",DATE(2025,12,31)-F186,"-")</f>
        <v>-</v>
      </c>
    </row>
    <row r="187" customFormat="false" ht="15" hidden="false" customHeight="false" outlineLevel="0" collapsed="false">
      <c r="B187" s="7" t="s">
        <v>14832</v>
      </c>
      <c r="C187" s="7" t="s">
        <v>684</v>
      </c>
      <c r="D187" s="7" t="s">
        <v>280</v>
      </c>
      <c r="E187" s="7" t="s">
        <v>157</v>
      </c>
      <c r="F187" s="39" t="n">
        <v>45667</v>
      </c>
      <c r="G187" s="41" t="n">
        <v>156.75</v>
      </c>
      <c r="H187" s="39" t="n">
        <v>45696</v>
      </c>
      <c r="I187" s="7" t="s">
        <v>14651</v>
      </c>
      <c r="J187" s="8" t="str">
        <f aca="false">IF(I187="Open",DATE(2025,12,31)-F187,"-")</f>
        <v>-</v>
      </c>
    </row>
    <row r="188" customFormat="false" ht="15" hidden="false" customHeight="false" outlineLevel="0" collapsed="false">
      <c r="B188" s="7" t="s">
        <v>14833</v>
      </c>
      <c r="C188" s="7" t="s">
        <v>685</v>
      </c>
      <c r="D188" s="7" t="s">
        <v>288</v>
      </c>
      <c r="E188" s="7" t="s">
        <v>156</v>
      </c>
      <c r="F188" s="39" t="n">
        <v>45667</v>
      </c>
      <c r="G188" s="41" t="n">
        <v>132.6</v>
      </c>
      <c r="H188" s="39" t="n">
        <v>45675</v>
      </c>
      <c r="I188" s="7" t="s">
        <v>14651</v>
      </c>
      <c r="J188" s="8" t="str">
        <f aca="false">IF(I188="Open",DATE(2025,12,31)-F188,"-")</f>
        <v>-</v>
      </c>
    </row>
    <row r="189" customFormat="false" ht="15" hidden="false" customHeight="false" outlineLevel="0" collapsed="false">
      <c r="B189" s="7" t="s">
        <v>14834</v>
      </c>
      <c r="C189" s="7" t="s">
        <v>686</v>
      </c>
      <c r="D189" s="7" t="s">
        <v>291</v>
      </c>
      <c r="E189" s="7" t="s">
        <v>154</v>
      </c>
      <c r="F189" s="39" t="n">
        <v>45667</v>
      </c>
      <c r="G189" s="41" t="n">
        <v>124.55</v>
      </c>
      <c r="H189" s="39" t="n">
        <v>45728</v>
      </c>
      <c r="I189" s="7" t="s">
        <v>14651</v>
      </c>
      <c r="J189" s="8" t="str">
        <f aca="false">IF(I189="Open",DATE(2025,12,31)-F189,"-")</f>
        <v>-</v>
      </c>
    </row>
    <row r="190" customFormat="false" ht="15" hidden="false" customHeight="false" outlineLevel="0" collapsed="false">
      <c r="B190" s="7" t="s">
        <v>14835</v>
      </c>
      <c r="C190" s="7" t="s">
        <v>687</v>
      </c>
      <c r="D190" s="7" t="s">
        <v>301</v>
      </c>
      <c r="E190" s="7" t="s">
        <v>157</v>
      </c>
      <c r="F190" s="39" t="n">
        <v>45667</v>
      </c>
      <c r="G190" s="41" t="n">
        <v>178.2</v>
      </c>
      <c r="H190" s="39" t="n">
        <v>45743</v>
      </c>
      <c r="I190" s="7" t="s">
        <v>14651</v>
      </c>
      <c r="J190" s="8" t="str">
        <f aca="false">IF(I190="Open",DATE(2025,12,31)-F190,"-")</f>
        <v>-</v>
      </c>
    </row>
    <row r="191" customFormat="false" ht="15" hidden="false" customHeight="false" outlineLevel="0" collapsed="false">
      <c r="B191" s="7" t="s">
        <v>14836</v>
      </c>
      <c r="C191" s="7" t="s">
        <v>688</v>
      </c>
      <c r="D191" s="7" t="s">
        <v>305</v>
      </c>
      <c r="E191" s="7" t="s">
        <v>154</v>
      </c>
      <c r="F191" s="39" t="n">
        <v>45667</v>
      </c>
      <c r="G191" s="41" t="n">
        <v>108.38</v>
      </c>
      <c r="H191" s="39" t="n">
        <v>45722</v>
      </c>
      <c r="I191" s="7" t="s">
        <v>14651</v>
      </c>
      <c r="J191" s="8" t="str">
        <f aca="false">IF(I191="Open",DATE(2025,12,31)-F191,"-")</f>
        <v>-</v>
      </c>
    </row>
    <row r="192" customFormat="false" ht="15" hidden="false" customHeight="false" outlineLevel="0" collapsed="false">
      <c r="B192" s="7" t="s">
        <v>14837</v>
      </c>
      <c r="C192" s="7" t="s">
        <v>689</v>
      </c>
      <c r="D192" s="7" t="s">
        <v>309</v>
      </c>
      <c r="E192" s="7" t="s">
        <v>159</v>
      </c>
      <c r="F192" s="39" t="n">
        <v>45667</v>
      </c>
      <c r="G192" s="41" t="n">
        <v>140.4</v>
      </c>
      <c r="H192" s="39" t="n">
        <v>45764</v>
      </c>
      <c r="I192" s="7" t="s">
        <v>14651</v>
      </c>
      <c r="J192" s="8" t="str">
        <f aca="false">IF(I192="Open",DATE(2025,12,31)-F192,"-")</f>
        <v>-</v>
      </c>
    </row>
    <row r="193" customFormat="false" ht="15" hidden="false" customHeight="false" outlineLevel="0" collapsed="false">
      <c r="B193" s="7" t="s">
        <v>14838</v>
      </c>
      <c r="C193" s="7" t="s">
        <v>690</v>
      </c>
      <c r="D193" s="7" t="s">
        <v>313</v>
      </c>
      <c r="E193" s="7" t="s">
        <v>156</v>
      </c>
      <c r="F193" s="39" t="n">
        <v>45667</v>
      </c>
      <c r="G193" s="41" t="n">
        <v>128.86</v>
      </c>
      <c r="H193" s="39" t="n">
        <v>45681</v>
      </c>
      <c r="I193" s="7" t="s">
        <v>14651</v>
      </c>
      <c r="J193" s="8" t="str">
        <f aca="false">IF(I193="Open",DATE(2025,12,31)-F193,"-")</f>
        <v>-</v>
      </c>
    </row>
    <row r="194" customFormat="false" ht="15" hidden="false" customHeight="false" outlineLevel="0" collapsed="false">
      <c r="B194" s="7" t="s">
        <v>14839</v>
      </c>
      <c r="C194" s="7" t="s">
        <v>691</v>
      </c>
      <c r="D194" s="7" t="s">
        <v>319</v>
      </c>
      <c r="E194" s="7" t="s">
        <v>157</v>
      </c>
      <c r="F194" s="39" t="n">
        <v>45667</v>
      </c>
      <c r="G194" s="41" t="n">
        <v>160.05</v>
      </c>
      <c r="H194" s="39" t="n">
        <v>45738</v>
      </c>
      <c r="I194" s="7" t="s">
        <v>14651</v>
      </c>
      <c r="J194" s="8" t="str">
        <f aca="false">IF(I194="Open",DATE(2025,12,31)-F194,"-")</f>
        <v>-</v>
      </c>
    </row>
    <row r="195" customFormat="false" ht="15" hidden="false" customHeight="false" outlineLevel="0" collapsed="false">
      <c r="B195" s="7" t="s">
        <v>14840</v>
      </c>
      <c r="C195" s="7" t="s">
        <v>692</v>
      </c>
      <c r="D195" s="7" t="s">
        <v>321</v>
      </c>
      <c r="E195" s="7" t="s">
        <v>154</v>
      </c>
      <c r="F195" s="39" t="n">
        <v>45667</v>
      </c>
      <c r="G195" s="41" t="n">
        <v>96.72</v>
      </c>
      <c r="H195" s="39" t="n">
        <v>45748</v>
      </c>
      <c r="I195" s="7" t="s">
        <v>14651</v>
      </c>
      <c r="J195" s="8" t="str">
        <f aca="false">IF(I195="Open",DATE(2025,12,31)-F195,"-")</f>
        <v>-</v>
      </c>
    </row>
    <row r="196" customFormat="false" ht="15" hidden="false" customHeight="false" outlineLevel="0" collapsed="false">
      <c r="B196" s="7" t="s">
        <v>14841</v>
      </c>
      <c r="C196" s="7" t="s">
        <v>693</v>
      </c>
      <c r="D196" s="7" t="s">
        <v>323</v>
      </c>
      <c r="E196" s="7" t="s">
        <v>159</v>
      </c>
      <c r="F196" s="39" t="n">
        <v>45667</v>
      </c>
      <c r="G196" s="41" t="n">
        <v>136.89</v>
      </c>
      <c r="H196" s="39" t="n">
        <v>45726</v>
      </c>
      <c r="I196" s="7" t="s">
        <v>14651</v>
      </c>
      <c r="J196" s="8" t="str">
        <f aca="false">IF(I196="Open",DATE(2025,12,31)-F196,"-")</f>
        <v>-</v>
      </c>
    </row>
    <row r="197" customFormat="false" ht="15" hidden="false" customHeight="false" outlineLevel="0" collapsed="false">
      <c r="B197" s="7" t="s">
        <v>14842</v>
      </c>
      <c r="C197" s="7" t="s">
        <v>694</v>
      </c>
      <c r="D197" s="7" t="s">
        <v>327</v>
      </c>
      <c r="E197" s="7" t="s">
        <v>157</v>
      </c>
      <c r="F197" s="39" t="n">
        <v>45667</v>
      </c>
      <c r="G197" s="41" t="n">
        <v>155.1</v>
      </c>
      <c r="H197" s="39" t="n">
        <v>45703</v>
      </c>
      <c r="I197" s="7" t="s">
        <v>14651</v>
      </c>
      <c r="J197" s="8" t="str">
        <f aca="false">IF(I197="Open",DATE(2025,12,31)-F197,"-")</f>
        <v>-</v>
      </c>
    </row>
    <row r="198" customFormat="false" ht="15" hidden="false" customHeight="false" outlineLevel="0" collapsed="false">
      <c r="B198" s="7" t="s">
        <v>14843</v>
      </c>
      <c r="C198" s="7" t="s">
        <v>695</v>
      </c>
      <c r="D198" s="7" t="s">
        <v>329</v>
      </c>
      <c r="E198" s="7" t="s">
        <v>156</v>
      </c>
      <c r="F198" s="39" t="n">
        <v>45667</v>
      </c>
      <c r="G198" s="41" t="n">
        <v>123.76</v>
      </c>
      <c r="H198" s="39" t="n">
        <v>45682</v>
      </c>
      <c r="I198" s="7" t="s">
        <v>14651</v>
      </c>
      <c r="J198" s="8" t="str">
        <f aca="false">IF(I198="Open",DATE(2025,12,31)-F198,"-")</f>
        <v>-</v>
      </c>
    </row>
    <row r="199" customFormat="false" ht="15" hidden="false" customHeight="false" outlineLevel="0" collapsed="false">
      <c r="B199" s="7" t="s">
        <v>14844</v>
      </c>
      <c r="C199" s="7" t="s">
        <v>696</v>
      </c>
      <c r="D199" s="7" t="s">
        <v>335</v>
      </c>
      <c r="E199" s="7" t="s">
        <v>154</v>
      </c>
      <c r="F199" s="39" t="n">
        <v>45667</v>
      </c>
      <c r="G199" s="41" t="n">
        <v>112.1</v>
      </c>
      <c r="H199" s="39" t="n">
        <v>45718</v>
      </c>
      <c r="I199" s="7" t="s">
        <v>14651</v>
      </c>
      <c r="J199" s="8" t="str">
        <f aca="false">IF(I199="Open",DATE(2025,12,31)-F199,"-")</f>
        <v>-</v>
      </c>
    </row>
    <row r="200" customFormat="false" ht="15" hidden="false" customHeight="false" outlineLevel="0" collapsed="false">
      <c r="B200" s="7" t="s">
        <v>14845</v>
      </c>
      <c r="C200" s="7" t="s">
        <v>697</v>
      </c>
      <c r="D200" s="7" t="s">
        <v>339</v>
      </c>
      <c r="E200" s="7" t="s">
        <v>154</v>
      </c>
      <c r="F200" s="39" t="n">
        <v>45667</v>
      </c>
      <c r="G200" s="41" t="n">
        <v>89.31</v>
      </c>
      <c r="H200" s="39" t="n">
        <v>45688</v>
      </c>
      <c r="I200" s="7" t="s">
        <v>14651</v>
      </c>
      <c r="J200" s="8" t="str">
        <f aca="false">IF(I200="Open",DATE(2025,12,31)-F200,"-")</f>
        <v>-</v>
      </c>
    </row>
    <row r="201" customFormat="false" ht="15" hidden="false" customHeight="false" outlineLevel="0" collapsed="false">
      <c r="B201" s="7" t="s">
        <v>14846</v>
      </c>
      <c r="C201" s="7" t="s">
        <v>698</v>
      </c>
      <c r="D201" s="7" t="s">
        <v>353</v>
      </c>
      <c r="E201" s="7" t="s">
        <v>154</v>
      </c>
      <c r="F201" s="39" t="n">
        <v>45667</v>
      </c>
      <c r="G201" s="41" t="n">
        <v>83.74</v>
      </c>
      <c r="H201" s="39" t="n">
        <v>45773</v>
      </c>
      <c r="I201" s="7" t="s">
        <v>14651</v>
      </c>
      <c r="J201" s="8" t="str">
        <f aca="false">IF(I201="Open",DATE(2025,12,31)-F201,"-")</f>
        <v>-</v>
      </c>
    </row>
    <row r="202" customFormat="false" ht="15" hidden="false" customHeight="false" outlineLevel="0" collapsed="false">
      <c r="B202" s="7" t="s">
        <v>14847</v>
      </c>
      <c r="C202" s="7" t="s">
        <v>699</v>
      </c>
      <c r="D202" s="7" t="s">
        <v>355</v>
      </c>
      <c r="E202" s="7" t="s">
        <v>154</v>
      </c>
      <c r="F202" s="39" t="n">
        <v>45667</v>
      </c>
      <c r="G202" s="41" t="n">
        <v>90.1</v>
      </c>
      <c r="H202" s="39" t="n">
        <v>45709</v>
      </c>
      <c r="I202" s="7" t="s">
        <v>14651</v>
      </c>
      <c r="J202" s="8" t="str">
        <f aca="false">IF(I202="Open",DATE(2025,12,31)-F202,"-")</f>
        <v>-</v>
      </c>
    </row>
    <row r="203" customFormat="false" ht="15" hidden="false" customHeight="false" outlineLevel="0" collapsed="false">
      <c r="B203" s="7" t="s">
        <v>14848</v>
      </c>
      <c r="C203" s="7" t="s">
        <v>700</v>
      </c>
      <c r="D203" s="7" t="s">
        <v>357</v>
      </c>
      <c r="E203" s="7" t="s">
        <v>154</v>
      </c>
      <c r="F203" s="39" t="n">
        <v>45667</v>
      </c>
      <c r="G203" s="41" t="n">
        <v>96.99</v>
      </c>
      <c r="H203" s="39" t="n">
        <v>45700</v>
      </c>
      <c r="I203" s="7" t="s">
        <v>14651</v>
      </c>
      <c r="J203" s="8" t="str">
        <f aca="false">IF(I203="Open",DATE(2025,12,31)-F203,"-")</f>
        <v>-</v>
      </c>
    </row>
    <row r="204" customFormat="false" ht="15" hidden="false" customHeight="false" outlineLevel="0" collapsed="false">
      <c r="B204" s="7" t="s">
        <v>14849</v>
      </c>
      <c r="C204" s="7" t="s">
        <v>701</v>
      </c>
      <c r="D204" s="7" t="s">
        <v>359</v>
      </c>
      <c r="E204" s="7" t="s">
        <v>156</v>
      </c>
      <c r="F204" s="39" t="n">
        <v>45667</v>
      </c>
      <c r="G204" s="41" t="n">
        <v>125.46</v>
      </c>
      <c r="H204" s="39" t="n">
        <v>45678</v>
      </c>
      <c r="I204" s="7" t="s">
        <v>14651</v>
      </c>
      <c r="J204" s="8" t="str">
        <f aca="false">IF(I204="Open",DATE(2025,12,31)-F204,"-")</f>
        <v>-</v>
      </c>
    </row>
    <row r="205" customFormat="false" ht="15" hidden="false" customHeight="false" outlineLevel="0" collapsed="false">
      <c r="B205" s="7" t="s">
        <v>14850</v>
      </c>
      <c r="C205" s="7" t="s">
        <v>702</v>
      </c>
      <c r="D205" s="7" t="s">
        <v>361</v>
      </c>
      <c r="E205" s="7" t="s">
        <v>157</v>
      </c>
      <c r="F205" s="39" t="n">
        <v>45667</v>
      </c>
      <c r="G205" s="41" t="n">
        <v>160.05</v>
      </c>
      <c r="H205" s="39" t="n">
        <v>45710</v>
      </c>
      <c r="I205" s="7" t="s">
        <v>14651</v>
      </c>
      <c r="J205" s="8" t="str">
        <f aca="false">IF(I205="Open",DATE(2025,12,31)-F205,"-")</f>
        <v>-</v>
      </c>
    </row>
    <row r="206" customFormat="false" ht="15" hidden="false" customHeight="false" outlineLevel="0" collapsed="false">
      <c r="B206" s="7" t="s">
        <v>14851</v>
      </c>
      <c r="C206" s="7" t="s">
        <v>703</v>
      </c>
      <c r="D206" s="7" t="s">
        <v>371</v>
      </c>
      <c r="E206" s="7" t="s">
        <v>154</v>
      </c>
      <c r="F206" s="39" t="n">
        <v>45667</v>
      </c>
      <c r="G206" s="41" t="n">
        <v>108.23</v>
      </c>
      <c r="H206" s="39" t="n">
        <v>45757</v>
      </c>
      <c r="I206" s="7" t="s">
        <v>14651</v>
      </c>
      <c r="J206" s="8" t="str">
        <f aca="false">IF(I206="Open",DATE(2025,12,31)-F206,"-")</f>
        <v>-</v>
      </c>
    </row>
    <row r="207" customFormat="false" ht="15" hidden="false" customHeight="false" outlineLevel="0" collapsed="false">
      <c r="B207" s="7" t="s">
        <v>14852</v>
      </c>
      <c r="C207" s="7" t="s">
        <v>704</v>
      </c>
      <c r="D207" s="7" t="s">
        <v>379</v>
      </c>
      <c r="E207" s="7" t="s">
        <v>156</v>
      </c>
      <c r="F207" s="39" t="n">
        <v>45667</v>
      </c>
      <c r="G207" s="41" t="n">
        <v>156.06</v>
      </c>
      <c r="H207" s="39" t="n">
        <v>45675</v>
      </c>
      <c r="I207" s="7" t="s">
        <v>14651</v>
      </c>
      <c r="J207" s="8" t="str">
        <f aca="false">IF(I207="Open",DATE(2025,12,31)-F207,"-")</f>
        <v>-</v>
      </c>
    </row>
    <row r="208" customFormat="false" ht="15" hidden="false" customHeight="false" outlineLevel="0" collapsed="false">
      <c r="B208" s="7" t="s">
        <v>14853</v>
      </c>
      <c r="C208" s="7" t="s">
        <v>705</v>
      </c>
      <c r="D208" s="7" t="s">
        <v>381</v>
      </c>
      <c r="E208" s="7" t="s">
        <v>157</v>
      </c>
      <c r="F208" s="39" t="n">
        <v>45667</v>
      </c>
      <c r="G208" s="41" t="n">
        <v>163.35</v>
      </c>
      <c r="H208" s="39" t="n">
        <v>45694</v>
      </c>
      <c r="I208" s="7" t="s">
        <v>14651</v>
      </c>
      <c r="J208" s="8" t="str">
        <f aca="false">IF(I208="Open",DATE(2025,12,31)-F208,"-")</f>
        <v>-</v>
      </c>
    </row>
    <row r="209" customFormat="false" ht="15" hidden="false" customHeight="false" outlineLevel="0" collapsed="false">
      <c r="B209" s="7" t="s">
        <v>14854</v>
      </c>
      <c r="C209" s="7" t="s">
        <v>706</v>
      </c>
      <c r="D209" s="7" t="s">
        <v>389</v>
      </c>
      <c r="E209" s="7" t="s">
        <v>154</v>
      </c>
      <c r="F209" s="39" t="n">
        <v>45667</v>
      </c>
      <c r="G209" s="41" t="n">
        <v>104.94</v>
      </c>
      <c r="H209" s="39" t="n">
        <v>45721</v>
      </c>
      <c r="I209" s="7" t="s">
        <v>14651</v>
      </c>
      <c r="J209" s="8" t="str">
        <f aca="false">IF(I209="Open",DATE(2025,12,31)-F209,"-")</f>
        <v>-</v>
      </c>
    </row>
    <row r="210" customFormat="false" ht="15" hidden="false" customHeight="false" outlineLevel="0" collapsed="false">
      <c r="B210" s="7" t="s">
        <v>14855</v>
      </c>
      <c r="C210" s="7" t="s">
        <v>707</v>
      </c>
      <c r="D210" s="7" t="s">
        <v>391</v>
      </c>
      <c r="E210" s="7" t="s">
        <v>156</v>
      </c>
      <c r="F210" s="39" t="n">
        <v>45667</v>
      </c>
      <c r="G210" s="41" t="n">
        <v>142.12</v>
      </c>
      <c r="H210" s="39" t="n">
        <v>45684</v>
      </c>
      <c r="I210" s="7" t="s">
        <v>14651</v>
      </c>
      <c r="J210" s="8" t="str">
        <f aca="false">IF(I210="Open",DATE(2025,12,31)-F210,"-")</f>
        <v>-</v>
      </c>
    </row>
    <row r="211" customFormat="false" ht="15" hidden="false" customHeight="false" outlineLevel="0" collapsed="false">
      <c r="B211" s="7" t="s">
        <v>14856</v>
      </c>
      <c r="C211" s="7" t="s">
        <v>708</v>
      </c>
      <c r="D211" s="7" t="s">
        <v>395</v>
      </c>
      <c r="E211" s="7" t="s">
        <v>156</v>
      </c>
      <c r="F211" s="39" t="n">
        <v>45667</v>
      </c>
      <c r="G211" s="41" t="n">
        <v>130.56</v>
      </c>
      <c r="H211" s="39" t="n">
        <v>45679</v>
      </c>
      <c r="I211" s="7" t="s">
        <v>14651</v>
      </c>
      <c r="J211" s="8" t="str">
        <f aca="false">IF(I211="Open",DATE(2025,12,31)-F211,"-")</f>
        <v>-</v>
      </c>
    </row>
    <row r="212" customFormat="false" ht="15" hidden="false" customHeight="false" outlineLevel="0" collapsed="false">
      <c r="B212" s="7" t="s">
        <v>14857</v>
      </c>
      <c r="C212" s="7" t="s">
        <v>709</v>
      </c>
      <c r="D212" s="7" t="s">
        <v>399</v>
      </c>
      <c r="E212" s="7" t="s">
        <v>154</v>
      </c>
      <c r="F212" s="39" t="n">
        <v>45667</v>
      </c>
      <c r="G212" s="41" t="n">
        <v>97.25</v>
      </c>
      <c r="H212" s="39" t="n">
        <v>45754</v>
      </c>
      <c r="I212" s="7" t="s">
        <v>14651</v>
      </c>
      <c r="J212" s="8" t="str">
        <f aca="false">IF(I212="Open",DATE(2025,12,31)-F212,"-")</f>
        <v>-</v>
      </c>
    </row>
    <row r="213" customFormat="false" ht="15" hidden="false" customHeight="false" outlineLevel="0" collapsed="false">
      <c r="B213" s="7" t="s">
        <v>14858</v>
      </c>
      <c r="C213" s="7" t="s">
        <v>710</v>
      </c>
      <c r="D213" s="7" t="s">
        <v>401</v>
      </c>
      <c r="E213" s="7" t="s">
        <v>156</v>
      </c>
      <c r="F213" s="39" t="n">
        <v>45667</v>
      </c>
      <c r="G213" s="41" t="n">
        <v>125.46</v>
      </c>
      <c r="H213" s="39" t="n">
        <v>45681</v>
      </c>
      <c r="I213" s="7" t="s">
        <v>14651</v>
      </c>
      <c r="J213" s="8" t="str">
        <f aca="false">IF(I213="Open",DATE(2025,12,31)-F213,"-")</f>
        <v>-</v>
      </c>
    </row>
    <row r="214" customFormat="false" ht="15" hidden="false" customHeight="false" outlineLevel="0" collapsed="false">
      <c r="B214" s="7" t="s">
        <v>14859</v>
      </c>
      <c r="C214" s="7" t="s">
        <v>711</v>
      </c>
      <c r="D214" s="7" t="s">
        <v>407</v>
      </c>
      <c r="E214" s="7" t="s">
        <v>159</v>
      </c>
      <c r="F214" s="39" t="n">
        <v>45667</v>
      </c>
      <c r="G214" s="41" t="n">
        <v>135.54</v>
      </c>
      <c r="H214" s="39" t="n">
        <v>45741</v>
      </c>
      <c r="I214" s="7" t="s">
        <v>14651</v>
      </c>
      <c r="J214" s="8" t="str">
        <f aca="false">IF(I214="Open",DATE(2025,12,31)-F214,"-")</f>
        <v>-</v>
      </c>
    </row>
    <row r="215" customFormat="false" ht="15" hidden="false" customHeight="false" outlineLevel="0" collapsed="false">
      <c r="B215" s="7" t="s">
        <v>14860</v>
      </c>
      <c r="C215" s="7" t="s">
        <v>712</v>
      </c>
      <c r="D215" s="7" t="s">
        <v>409</v>
      </c>
      <c r="E215" s="7" t="s">
        <v>154</v>
      </c>
      <c r="F215" s="39" t="n">
        <v>45667</v>
      </c>
      <c r="G215" s="41" t="n">
        <v>81.62</v>
      </c>
      <c r="H215" s="39" t="n">
        <v>45763</v>
      </c>
      <c r="I215" s="7" t="s">
        <v>14651</v>
      </c>
      <c r="J215" s="8" t="str">
        <f aca="false">IF(I215="Open",DATE(2025,12,31)-F215,"-")</f>
        <v>-</v>
      </c>
    </row>
    <row r="216" customFormat="false" ht="15" hidden="false" customHeight="false" outlineLevel="0" collapsed="false">
      <c r="B216" s="7" t="s">
        <v>14861</v>
      </c>
      <c r="C216" s="7" t="s">
        <v>713</v>
      </c>
      <c r="D216" s="7" t="s">
        <v>411</v>
      </c>
      <c r="E216" s="7" t="s">
        <v>154</v>
      </c>
      <c r="F216" s="39" t="n">
        <v>45667</v>
      </c>
      <c r="G216" s="41" t="n">
        <v>128.79</v>
      </c>
      <c r="H216" s="39" t="n">
        <v>45704</v>
      </c>
      <c r="I216" s="7" t="s">
        <v>14651</v>
      </c>
      <c r="J216" s="8" t="str">
        <f aca="false">IF(I216="Open",DATE(2025,12,31)-F216,"-")</f>
        <v>-</v>
      </c>
    </row>
    <row r="217" customFormat="false" ht="15" hidden="false" customHeight="false" outlineLevel="0" collapsed="false">
      <c r="B217" s="7" t="s">
        <v>14862</v>
      </c>
      <c r="C217" s="7" t="s">
        <v>714</v>
      </c>
      <c r="D217" s="7" t="s">
        <v>288</v>
      </c>
      <c r="E217" s="7" t="s">
        <v>156</v>
      </c>
      <c r="F217" s="39" t="n">
        <v>45668</v>
      </c>
      <c r="G217" s="41" t="n">
        <v>130.56</v>
      </c>
      <c r="H217" s="39" t="n">
        <v>45687</v>
      </c>
      <c r="I217" s="7" t="s">
        <v>14651</v>
      </c>
      <c r="J217" s="8" t="str">
        <f aca="false">IF(I217="Open",DATE(2025,12,31)-F217,"-")</f>
        <v>-</v>
      </c>
    </row>
    <row r="218" customFormat="false" ht="15" hidden="false" customHeight="false" outlineLevel="0" collapsed="false">
      <c r="B218" s="7" t="s">
        <v>14863</v>
      </c>
      <c r="C218" s="7" t="s">
        <v>715</v>
      </c>
      <c r="D218" s="7" t="s">
        <v>321</v>
      </c>
      <c r="E218" s="7" t="s">
        <v>154</v>
      </c>
      <c r="F218" s="39" t="n">
        <v>45668</v>
      </c>
      <c r="G218" s="41" t="n">
        <v>112.1</v>
      </c>
      <c r="H218" s="39" t="n">
        <v>45722</v>
      </c>
      <c r="I218" s="7" t="s">
        <v>14651</v>
      </c>
      <c r="J218" s="8" t="str">
        <f aca="false">IF(I218="Open",DATE(2025,12,31)-F218,"-")</f>
        <v>-</v>
      </c>
    </row>
    <row r="219" customFormat="false" ht="15" hidden="false" customHeight="false" outlineLevel="0" collapsed="false">
      <c r="B219" s="7" t="s">
        <v>14864</v>
      </c>
      <c r="C219" s="7" t="s">
        <v>716</v>
      </c>
      <c r="D219" s="7" t="s">
        <v>359</v>
      </c>
      <c r="E219" s="7" t="s">
        <v>156</v>
      </c>
      <c r="F219" s="39" t="n">
        <v>45668</v>
      </c>
      <c r="G219" s="41" t="n">
        <v>146.2</v>
      </c>
      <c r="H219" s="39" t="n">
        <v>45674</v>
      </c>
      <c r="I219" s="7" t="s">
        <v>14651</v>
      </c>
      <c r="J219" s="8" t="str">
        <f aca="false">IF(I219="Open",DATE(2025,12,31)-F219,"-")</f>
        <v>-</v>
      </c>
    </row>
    <row r="220" customFormat="false" ht="15" hidden="false" customHeight="false" outlineLevel="0" collapsed="false">
      <c r="B220" s="7" t="s">
        <v>14865</v>
      </c>
      <c r="C220" s="7" t="s">
        <v>717</v>
      </c>
      <c r="D220" s="7" t="s">
        <v>391</v>
      </c>
      <c r="E220" s="7" t="s">
        <v>156</v>
      </c>
      <c r="F220" s="39" t="n">
        <v>45668</v>
      </c>
      <c r="G220" s="41" t="n">
        <v>133.96</v>
      </c>
      <c r="H220" s="39" t="n">
        <v>45688</v>
      </c>
      <c r="I220" s="7" t="s">
        <v>14651</v>
      </c>
      <c r="J220" s="8" t="str">
        <f aca="false">IF(I220="Open",DATE(2025,12,31)-F220,"-")</f>
        <v>-</v>
      </c>
    </row>
    <row r="221" customFormat="false" ht="15" hidden="false" customHeight="false" outlineLevel="0" collapsed="false">
      <c r="B221" s="7" t="s">
        <v>14866</v>
      </c>
      <c r="C221" s="7" t="s">
        <v>718</v>
      </c>
      <c r="D221" s="7" t="s">
        <v>395</v>
      </c>
      <c r="E221" s="7" t="s">
        <v>156</v>
      </c>
      <c r="F221" s="39" t="n">
        <v>45668</v>
      </c>
      <c r="G221" s="41" t="n">
        <v>144.84</v>
      </c>
      <c r="H221" s="39" t="n">
        <v>45680</v>
      </c>
      <c r="I221" s="7" t="s">
        <v>14651</v>
      </c>
      <c r="J221" s="8" t="str">
        <f aca="false">IF(I221="Open",DATE(2025,12,31)-F221,"-")</f>
        <v>-</v>
      </c>
    </row>
    <row r="222" customFormat="false" ht="15" hidden="false" customHeight="false" outlineLevel="0" collapsed="false">
      <c r="B222" s="7" t="s">
        <v>14867</v>
      </c>
      <c r="C222" s="7" t="s">
        <v>719</v>
      </c>
      <c r="D222" s="7" t="s">
        <v>401</v>
      </c>
      <c r="E222" s="7" t="s">
        <v>156</v>
      </c>
      <c r="F222" s="39" t="n">
        <v>45668</v>
      </c>
      <c r="G222" s="41" t="n">
        <v>130.9</v>
      </c>
      <c r="H222" s="39" t="n">
        <v>45671</v>
      </c>
      <c r="I222" s="7" t="s">
        <v>14651</v>
      </c>
      <c r="J222" s="8" t="str">
        <f aca="false">IF(I222="Open",DATE(2025,12,31)-F222,"-")</f>
        <v>-</v>
      </c>
    </row>
    <row r="223" customFormat="false" ht="15" hidden="false" customHeight="false" outlineLevel="0" collapsed="false">
      <c r="B223" s="7" t="s">
        <v>14868</v>
      </c>
      <c r="C223" s="7" t="s">
        <v>720</v>
      </c>
      <c r="D223" s="7" t="s">
        <v>288</v>
      </c>
      <c r="E223" s="7" t="s">
        <v>156</v>
      </c>
      <c r="F223" s="39" t="n">
        <v>45669</v>
      </c>
      <c r="G223" s="41" t="n">
        <v>148.24</v>
      </c>
      <c r="H223" s="39" t="n">
        <v>45677</v>
      </c>
      <c r="I223" s="7" t="s">
        <v>14651</v>
      </c>
      <c r="J223" s="8" t="str">
        <f aca="false">IF(I223="Open",DATE(2025,12,31)-F223,"-")</f>
        <v>-</v>
      </c>
    </row>
    <row r="224" customFormat="false" ht="15" hidden="false" customHeight="false" outlineLevel="0" collapsed="false">
      <c r="B224" s="7" t="s">
        <v>14869</v>
      </c>
      <c r="C224" s="7" t="s">
        <v>721</v>
      </c>
      <c r="D224" s="7" t="s">
        <v>321</v>
      </c>
      <c r="E224" s="7" t="s">
        <v>154</v>
      </c>
      <c r="F224" s="39" t="n">
        <v>45669</v>
      </c>
      <c r="G224" s="41" t="n">
        <v>97.25</v>
      </c>
      <c r="H224" s="39" t="n">
        <v>45786</v>
      </c>
      <c r="I224" s="7" t="s">
        <v>14651</v>
      </c>
      <c r="J224" s="8" t="str">
        <f aca="false">IF(I224="Open",DATE(2025,12,31)-F224,"-")</f>
        <v>-</v>
      </c>
    </row>
    <row r="225" customFormat="false" ht="15" hidden="false" customHeight="false" outlineLevel="0" collapsed="false">
      <c r="B225" s="7" t="s">
        <v>14870</v>
      </c>
      <c r="C225" s="7" t="s">
        <v>722</v>
      </c>
      <c r="D225" s="7" t="s">
        <v>359</v>
      </c>
      <c r="E225" s="7" t="s">
        <v>156</v>
      </c>
      <c r="F225" s="39" t="n">
        <v>45669</v>
      </c>
      <c r="G225" s="41" t="n">
        <v>142.8</v>
      </c>
      <c r="H225" s="39" t="n">
        <v>45686</v>
      </c>
      <c r="I225" s="7" t="s">
        <v>14651</v>
      </c>
      <c r="J225" s="8" t="str">
        <f aca="false">IF(I225="Open",DATE(2025,12,31)-F225,"-")</f>
        <v>-</v>
      </c>
    </row>
    <row r="226" customFormat="false" ht="15" hidden="false" customHeight="false" outlineLevel="0" collapsed="false">
      <c r="B226" s="7" t="s">
        <v>14871</v>
      </c>
      <c r="C226" s="7" t="s">
        <v>723</v>
      </c>
      <c r="D226" s="7" t="s">
        <v>391</v>
      </c>
      <c r="E226" s="7" t="s">
        <v>156</v>
      </c>
      <c r="F226" s="39" t="n">
        <v>45669</v>
      </c>
      <c r="G226" s="41" t="n">
        <v>124.1</v>
      </c>
      <c r="H226" s="39" t="n">
        <v>45673</v>
      </c>
      <c r="I226" s="7" t="s">
        <v>14651</v>
      </c>
      <c r="J226" s="8" t="str">
        <f aca="false">IF(I226="Open",DATE(2025,12,31)-F226,"-")</f>
        <v>-</v>
      </c>
    </row>
    <row r="227" customFormat="false" ht="15" hidden="false" customHeight="false" outlineLevel="0" collapsed="false">
      <c r="B227" s="7" t="s">
        <v>14872</v>
      </c>
      <c r="C227" s="7" t="s">
        <v>724</v>
      </c>
      <c r="D227" s="7" t="s">
        <v>395</v>
      </c>
      <c r="E227" s="7" t="s">
        <v>156</v>
      </c>
      <c r="F227" s="39" t="n">
        <v>45669</v>
      </c>
      <c r="G227" s="41" t="n">
        <v>140.76</v>
      </c>
      <c r="H227" s="39" t="n">
        <v>45681</v>
      </c>
      <c r="I227" s="7" t="s">
        <v>14651</v>
      </c>
      <c r="J227" s="8" t="str">
        <f aca="false">IF(I227="Open",DATE(2025,12,31)-F227,"-")</f>
        <v>-</v>
      </c>
    </row>
    <row r="228" customFormat="false" ht="15" hidden="false" customHeight="false" outlineLevel="0" collapsed="false">
      <c r="B228" s="7" t="s">
        <v>14873</v>
      </c>
      <c r="C228" s="7" t="s">
        <v>725</v>
      </c>
      <c r="D228" s="7" t="s">
        <v>401</v>
      </c>
      <c r="E228" s="7" t="s">
        <v>156</v>
      </c>
      <c r="F228" s="39" t="n">
        <v>45669</v>
      </c>
      <c r="G228" s="41" t="n">
        <v>147.9</v>
      </c>
      <c r="H228" s="39" t="n">
        <v>45677</v>
      </c>
      <c r="I228" s="7" t="s">
        <v>14651</v>
      </c>
      <c r="J228" s="8" t="str">
        <f aca="false">IF(I228="Open",DATE(2025,12,31)-F228,"-")</f>
        <v>-</v>
      </c>
    </row>
    <row r="229" customFormat="false" ht="15" hidden="false" customHeight="false" outlineLevel="0" collapsed="false">
      <c r="B229" s="7" t="s">
        <v>14874</v>
      </c>
      <c r="C229" s="7" t="s">
        <v>726</v>
      </c>
      <c r="D229" s="7" t="s">
        <v>280</v>
      </c>
      <c r="E229" s="7" t="s">
        <v>157</v>
      </c>
      <c r="F229" s="39" t="n">
        <v>45670</v>
      </c>
      <c r="G229" s="41" t="n">
        <v>150.15</v>
      </c>
      <c r="H229" s="39" t="n">
        <v>45749</v>
      </c>
      <c r="I229" s="7" t="s">
        <v>14651</v>
      </c>
      <c r="J229" s="8" t="str">
        <f aca="false">IF(I229="Open",DATE(2025,12,31)-F229,"-")</f>
        <v>-</v>
      </c>
    </row>
    <row r="230" customFormat="false" ht="15" hidden="false" customHeight="false" outlineLevel="0" collapsed="false">
      <c r="B230" s="7" t="s">
        <v>14875</v>
      </c>
      <c r="C230" s="7" t="s">
        <v>727</v>
      </c>
      <c r="D230" s="7" t="s">
        <v>288</v>
      </c>
      <c r="E230" s="7" t="s">
        <v>156</v>
      </c>
      <c r="F230" s="39" t="n">
        <v>45670</v>
      </c>
      <c r="G230" s="41" t="n">
        <v>125.12</v>
      </c>
      <c r="H230" s="39" t="n">
        <v>45680</v>
      </c>
      <c r="I230" s="7" t="s">
        <v>14651</v>
      </c>
      <c r="J230" s="8" t="str">
        <f aca="false">IF(I230="Open",DATE(2025,12,31)-F230,"-")</f>
        <v>-</v>
      </c>
    </row>
    <row r="231" customFormat="false" ht="15" hidden="false" customHeight="false" outlineLevel="0" collapsed="false">
      <c r="B231" s="7" t="s">
        <v>14876</v>
      </c>
      <c r="C231" s="7" t="s">
        <v>728</v>
      </c>
      <c r="D231" s="7" t="s">
        <v>291</v>
      </c>
      <c r="E231" s="7" t="s">
        <v>154</v>
      </c>
      <c r="F231" s="39" t="n">
        <v>45670</v>
      </c>
      <c r="G231" s="41" t="n">
        <v>123.23</v>
      </c>
      <c r="H231" s="39" t="n">
        <v>45696</v>
      </c>
      <c r="I231" s="7" t="s">
        <v>14651</v>
      </c>
      <c r="J231" s="8" t="str">
        <f aca="false">IF(I231="Open",DATE(2025,12,31)-F231,"-")</f>
        <v>-</v>
      </c>
    </row>
    <row r="232" customFormat="false" ht="15" hidden="false" customHeight="false" outlineLevel="0" collapsed="false">
      <c r="B232" s="7" t="s">
        <v>14877</v>
      </c>
      <c r="C232" s="7" t="s">
        <v>729</v>
      </c>
      <c r="D232" s="7" t="s">
        <v>297</v>
      </c>
      <c r="E232" s="7" t="s">
        <v>156</v>
      </c>
      <c r="F232" s="39" t="n">
        <v>45670</v>
      </c>
      <c r="G232" s="41" t="n">
        <v>103.02</v>
      </c>
      <c r="H232" s="39" t="n">
        <v>45677</v>
      </c>
      <c r="I232" s="7" t="s">
        <v>14651</v>
      </c>
      <c r="J232" s="8" t="str">
        <f aca="false">IF(I232="Open",DATE(2025,12,31)-F232,"-")</f>
        <v>-</v>
      </c>
    </row>
    <row r="233" customFormat="false" ht="15" hidden="false" customHeight="false" outlineLevel="0" collapsed="false">
      <c r="B233" s="7" t="s">
        <v>14878</v>
      </c>
      <c r="C233" s="7" t="s">
        <v>730</v>
      </c>
      <c r="D233" s="7" t="s">
        <v>305</v>
      </c>
      <c r="E233" s="7" t="s">
        <v>154</v>
      </c>
      <c r="F233" s="39" t="n">
        <v>45670</v>
      </c>
      <c r="G233" s="41" t="n">
        <v>100.17</v>
      </c>
      <c r="H233" s="39" t="n">
        <v>45732</v>
      </c>
      <c r="I233" s="7" t="s">
        <v>14651</v>
      </c>
      <c r="J233" s="8" t="str">
        <f aca="false">IF(I233="Open",DATE(2025,12,31)-F233,"-")</f>
        <v>-</v>
      </c>
    </row>
    <row r="234" customFormat="false" ht="15" hidden="false" customHeight="false" outlineLevel="0" collapsed="false">
      <c r="B234" s="7" t="s">
        <v>14879</v>
      </c>
      <c r="C234" s="7" t="s">
        <v>731</v>
      </c>
      <c r="D234" s="7" t="s">
        <v>309</v>
      </c>
      <c r="E234" s="7" t="s">
        <v>159</v>
      </c>
      <c r="F234" s="39" t="n">
        <v>45670</v>
      </c>
      <c r="G234" s="41" t="n">
        <v>141.75</v>
      </c>
      <c r="H234" s="39" t="n">
        <v>45733</v>
      </c>
      <c r="I234" s="7" t="s">
        <v>14651</v>
      </c>
      <c r="J234" s="8" t="str">
        <f aca="false">IF(I234="Open",DATE(2025,12,31)-F234,"-")</f>
        <v>-</v>
      </c>
    </row>
    <row r="235" customFormat="false" ht="15" hidden="false" customHeight="false" outlineLevel="0" collapsed="false">
      <c r="B235" s="7" t="s">
        <v>14880</v>
      </c>
      <c r="C235" s="7" t="s">
        <v>732</v>
      </c>
      <c r="D235" s="7" t="s">
        <v>311</v>
      </c>
      <c r="E235" s="7" t="s">
        <v>154</v>
      </c>
      <c r="F235" s="39" t="n">
        <v>45670</v>
      </c>
      <c r="G235" s="41" t="n">
        <v>80.3</v>
      </c>
      <c r="H235" s="39" t="n">
        <v>45772</v>
      </c>
      <c r="I235" s="7" t="s">
        <v>14651</v>
      </c>
      <c r="J235" s="8" t="str">
        <f aca="false">IF(I235="Open",DATE(2025,12,31)-F235,"-")</f>
        <v>-</v>
      </c>
    </row>
    <row r="236" customFormat="false" ht="15" hidden="false" customHeight="false" outlineLevel="0" collapsed="false">
      <c r="B236" s="7" t="s">
        <v>14881</v>
      </c>
      <c r="C236" s="7" t="s">
        <v>733</v>
      </c>
      <c r="D236" s="7" t="s">
        <v>313</v>
      </c>
      <c r="E236" s="7" t="s">
        <v>156</v>
      </c>
      <c r="F236" s="39" t="n">
        <v>45670</v>
      </c>
      <c r="G236" s="41" t="n">
        <v>141.1</v>
      </c>
      <c r="H236" s="39" t="n">
        <v>45676</v>
      </c>
      <c r="I236" s="7" t="s">
        <v>14651</v>
      </c>
      <c r="J236" s="8" t="str">
        <f aca="false">IF(I236="Open",DATE(2025,12,31)-F236,"-")</f>
        <v>-</v>
      </c>
    </row>
    <row r="237" customFormat="false" ht="15" hidden="false" customHeight="false" outlineLevel="0" collapsed="false">
      <c r="B237" s="7" t="s">
        <v>14882</v>
      </c>
      <c r="C237" s="7" t="s">
        <v>734</v>
      </c>
      <c r="D237" s="7" t="s">
        <v>317</v>
      </c>
      <c r="E237" s="7" t="s">
        <v>156</v>
      </c>
      <c r="F237" s="39" t="n">
        <v>45670</v>
      </c>
      <c r="G237" s="41" t="n">
        <v>107.44</v>
      </c>
      <c r="H237" s="39" t="n">
        <v>45682</v>
      </c>
      <c r="I237" s="7" t="s">
        <v>14651</v>
      </c>
      <c r="J237" s="8" t="str">
        <f aca="false">IF(I237="Open",DATE(2025,12,31)-F237,"-")</f>
        <v>-</v>
      </c>
    </row>
    <row r="238" customFormat="false" ht="15" hidden="false" customHeight="false" outlineLevel="0" collapsed="false">
      <c r="B238" s="7" t="s">
        <v>14883</v>
      </c>
      <c r="C238" s="7" t="s">
        <v>735</v>
      </c>
      <c r="D238" s="7" t="s">
        <v>321</v>
      </c>
      <c r="E238" s="7" t="s">
        <v>154</v>
      </c>
      <c r="F238" s="39" t="n">
        <v>45670</v>
      </c>
      <c r="G238" s="41" t="n">
        <v>99.38</v>
      </c>
      <c r="H238" s="39" t="n">
        <v>45757</v>
      </c>
      <c r="I238" s="7" t="s">
        <v>14651</v>
      </c>
      <c r="J238" s="8" t="str">
        <f aca="false">IF(I238="Open",DATE(2025,12,31)-F238,"-")</f>
        <v>-</v>
      </c>
    </row>
    <row r="239" customFormat="false" ht="15" hidden="false" customHeight="false" outlineLevel="0" collapsed="false">
      <c r="B239" s="7" t="s">
        <v>14884</v>
      </c>
      <c r="C239" s="7" t="s">
        <v>736</v>
      </c>
      <c r="D239" s="7" t="s">
        <v>325</v>
      </c>
      <c r="E239" s="7" t="s">
        <v>154</v>
      </c>
      <c r="F239" s="39" t="n">
        <v>45670</v>
      </c>
      <c r="G239" s="41" t="n">
        <v>72.61</v>
      </c>
      <c r="H239" s="39" t="n">
        <v>45687</v>
      </c>
      <c r="I239" s="7" t="s">
        <v>14651</v>
      </c>
      <c r="J239" s="8" t="str">
        <f aca="false">IF(I239="Open",DATE(2025,12,31)-F239,"-")</f>
        <v>-</v>
      </c>
    </row>
    <row r="240" customFormat="false" ht="15" hidden="false" customHeight="false" outlineLevel="0" collapsed="false">
      <c r="B240" s="7" t="s">
        <v>14885</v>
      </c>
      <c r="C240" s="7" t="s">
        <v>737</v>
      </c>
      <c r="D240" s="7" t="s">
        <v>329</v>
      </c>
      <c r="E240" s="7" t="s">
        <v>156</v>
      </c>
      <c r="F240" s="39" t="n">
        <v>45670</v>
      </c>
      <c r="G240" s="41" t="n">
        <v>124.78</v>
      </c>
      <c r="H240" s="39" t="n">
        <v>45687</v>
      </c>
      <c r="I240" s="7" t="s">
        <v>14651</v>
      </c>
      <c r="J240" s="8" t="str">
        <f aca="false">IF(I240="Open",DATE(2025,12,31)-F240,"-")</f>
        <v>-</v>
      </c>
    </row>
    <row r="241" customFormat="false" ht="15" hidden="false" customHeight="false" outlineLevel="0" collapsed="false">
      <c r="B241" s="7" t="s">
        <v>14886</v>
      </c>
      <c r="C241" s="7" t="s">
        <v>738</v>
      </c>
      <c r="D241" s="7" t="s">
        <v>331</v>
      </c>
      <c r="E241" s="7" t="s">
        <v>156</v>
      </c>
      <c r="F241" s="39" t="n">
        <v>45670</v>
      </c>
      <c r="G241" s="41" t="n">
        <v>134.64</v>
      </c>
      <c r="H241" s="39" t="n">
        <v>45681</v>
      </c>
      <c r="I241" s="7" t="s">
        <v>14651</v>
      </c>
      <c r="J241" s="8" t="str">
        <f aca="false">IF(I241="Open",DATE(2025,12,31)-F241,"-")</f>
        <v>-</v>
      </c>
    </row>
    <row r="242" customFormat="false" ht="15" hidden="false" customHeight="false" outlineLevel="0" collapsed="false">
      <c r="B242" s="7" t="s">
        <v>14887</v>
      </c>
      <c r="C242" s="7" t="s">
        <v>739</v>
      </c>
      <c r="D242" s="7" t="s">
        <v>335</v>
      </c>
      <c r="E242" s="7" t="s">
        <v>154</v>
      </c>
      <c r="F242" s="39" t="n">
        <v>45670</v>
      </c>
      <c r="G242" s="41" t="n">
        <v>102.29</v>
      </c>
      <c r="H242" s="39" t="n">
        <v>45722</v>
      </c>
      <c r="I242" s="7" t="s">
        <v>14651</v>
      </c>
      <c r="J242" s="8" t="str">
        <f aca="false">IF(I242="Open",DATE(2025,12,31)-F242,"-")</f>
        <v>-</v>
      </c>
    </row>
    <row r="243" customFormat="false" ht="15" hidden="false" customHeight="false" outlineLevel="0" collapsed="false">
      <c r="B243" s="7" t="s">
        <v>14888</v>
      </c>
      <c r="C243" s="7" t="s">
        <v>740</v>
      </c>
      <c r="D243" s="7" t="s">
        <v>337</v>
      </c>
      <c r="E243" s="7" t="s">
        <v>154</v>
      </c>
      <c r="F243" s="39" t="n">
        <v>45670</v>
      </c>
      <c r="G243" s="41" t="n">
        <v>85.59</v>
      </c>
      <c r="H243" s="39" t="n">
        <v>45721</v>
      </c>
      <c r="I243" s="7" t="s">
        <v>14651</v>
      </c>
      <c r="J243" s="8" t="str">
        <f aca="false">IF(I243="Open",DATE(2025,12,31)-F243,"-")</f>
        <v>-</v>
      </c>
    </row>
    <row r="244" customFormat="false" ht="15" hidden="false" customHeight="false" outlineLevel="0" collapsed="false">
      <c r="B244" s="7" t="s">
        <v>14889</v>
      </c>
      <c r="C244" s="7" t="s">
        <v>741</v>
      </c>
      <c r="D244" s="7" t="s">
        <v>339</v>
      </c>
      <c r="E244" s="7" t="s">
        <v>154</v>
      </c>
      <c r="F244" s="39" t="n">
        <v>45670</v>
      </c>
      <c r="G244" s="41" t="n">
        <v>80.3</v>
      </c>
      <c r="H244" s="39" t="n">
        <v>45754</v>
      </c>
      <c r="I244" s="7" t="s">
        <v>14651</v>
      </c>
      <c r="J244" s="8" t="str">
        <f aca="false">IF(I244="Open",DATE(2025,12,31)-F244,"-")</f>
        <v>-</v>
      </c>
    </row>
    <row r="245" customFormat="false" ht="15" hidden="false" customHeight="false" outlineLevel="0" collapsed="false">
      <c r="B245" s="7" t="s">
        <v>14890</v>
      </c>
      <c r="C245" s="7" t="s">
        <v>742</v>
      </c>
      <c r="D245" s="7" t="s">
        <v>341</v>
      </c>
      <c r="E245" s="7" t="s">
        <v>156</v>
      </c>
      <c r="F245" s="39" t="n">
        <v>45670</v>
      </c>
      <c r="G245" s="41" t="n">
        <v>100.3</v>
      </c>
      <c r="H245" s="39" t="n">
        <v>45674</v>
      </c>
      <c r="I245" s="7" t="s">
        <v>14651</v>
      </c>
      <c r="J245" s="8" t="str">
        <f aca="false">IF(I245="Open",DATE(2025,12,31)-F245,"-")</f>
        <v>-</v>
      </c>
    </row>
    <row r="246" customFormat="false" ht="15" hidden="false" customHeight="false" outlineLevel="0" collapsed="false">
      <c r="B246" s="7" t="s">
        <v>14891</v>
      </c>
      <c r="C246" s="7" t="s">
        <v>743</v>
      </c>
      <c r="D246" s="7" t="s">
        <v>343</v>
      </c>
      <c r="E246" s="7" t="s">
        <v>154</v>
      </c>
      <c r="F246" s="39" t="n">
        <v>45670</v>
      </c>
      <c r="G246" s="41" t="n">
        <v>99.91</v>
      </c>
      <c r="H246" s="39" t="n">
        <v>45737</v>
      </c>
      <c r="I246" s="7" t="s">
        <v>14651</v>
      </c>
      <c r="J246" s="8" t="str">
        <f aca="false">IF(I246="Open",DATE(2025,12,31)-F246,"-")</f>
        <v>-</v>
      </c>
    </row>
    <row r="247" customFormat="false" ht="15" hidden="false" customHeight="false" outlineLevel="0" collapsed="false">
      <c r="B247" s="7" t="s">
        <v>14892</v>
      </c>
      <c r="C247" s="7" t="s">
        <v>744</v>
      </c>
      <c r="D247" s="7" t="s">
        <v>353</v>
      </c>
      <c r="E247" s="7" t="s">
        <v>154</v>
      </c>
      <c r="F247" s="39" t="n">
        <v>45670</v>
      </c>
      <c r="G247" s="41" t="n">
        <v>81.35</v>
      </c>
      <c r="H247" s="39" t="n">
        <v>45774</v>
      </c>
      <c r="I247" s="7" t="s">
        <v>14651</v>
      </c>
      <c r="J247" s="8" t="str">
        <f aca="false">IF(I247="Open",DATE(2025,12,31)-F247,"-")</f>
        <v>-</v>
      </c>
    </row>
    <row r="248" customFormat="false" ht="15" hidden="false" customHeight="false" outlineLevel="0" collapsed="false">
      <c r="B248" s="7" t="s">
        <v>14893</v>
      </c>
      <c r="C248" s="7" t="s">
        <v>745</v>
      </c>
      <c r="D248" s="7" t="s">
        <v>355</v>
      </c>
      <c r="E248" s="7" t="s">
        <v>154</v>
      </c>
      <c r="F248" s="39" t="n">
        <v>45670</v>
      </c>
      <c r="G248" s="41" t="n">
        <v>88.78</v>
      </c>
      <c r="H248" s="39" t="n">
        <v>45694</v>
      </c>
      <c r="I248" s="7" t="s">
        <v>14651</v>
      </c>
      <c r="J248" s="8" t="str">
        <f aca="false">IF(I248="Open",DATE(2025,12,31)-F248,"-")</f>
        <v>-</v>
      </c>
    </row>
    <row r="249" customFormat="false" ht="15" hidden="false" customHeight="false" outlineLevel="0" collapsed="false">
      <c r="B249" s="7" t="s">
        <v>14894</v>
      </c>
      <c r="C249" s="7" t="s">
        <v>746</v>
      </c>
      <c r="D249" s="7" t="s">
        <v>357</v>
      </c>
      <c r="E249" s="7" t="s">
        <v>154</v>
      </c>
      <c r="F249" s="39" t="n">
        <v>45670</v>
      </c>
      <c r="G249" s="41" t="n">
        <v>96.99</v>
      </c>
      <c r="H249" s="39" t="n">
        <v>45779</v>
      </c>
      <c r="I249" s="7" t="s">
        <v>14651</v>
      </c>
      <c r="J249" s="8" t="str">
        <f aca="false">IF(I249="Open",DATE(2025,12,31)-F249,"-")</f>
        <v>-</v>
      </c>
    </row>
    <row r="250" customFormat="false" ht="15" hidden="false" customHeight="false" outlineLevel="0" collapsed="false">
      <c r="B250" s="7" t="s">
        <v>14895</v>
      </c>
      <c r="C250" s="7" t="s">
        <v>747</v>
      </c>
      <c r="D250" s="7" t="s">
        <v>359</v>
      </c>
      <c r="E250" s="7" t="s">
        <v>156</v>
      </c>
      <c r="F250" s="39" t="n">
        <v>45670</v>
      </c>
      <c r="G250" s="41" t="n">
        <v>148.24</v>
      </c>
      <c r="H250" s="39" t="n">
        <v>45671</v>
      </c>
      <c r="I250" s="7" t="s">
        <v>14651</v>
      </c>
      <c r="J250" s="8" t="str">
        <f aca="false">IF(I250="Open",DATE(2025,12,31)-F250,"-")</f>
        <v>-</v>
      </c>
    </row>
    <row r="251" customFormat="false" ht="15" hidden="false" customHeight="false" outlineLevel="0" collapsed="false">
      <c r="B251" s="7" t="s">
        <v>14896</v>
      </c>
      <c r="C251" s="7" t="s">
        <v>748</v>
      </c>
      <c r="D251" s="7" t="s">
        <v>363</v>
      </c>
      <c r="E251" s="7" t="s">
        <v>156</v>
      </c>
      <c r="F251" s="39" t="n">
        <v>45670</v>
      </c>
      <c r="G251" s="41" t="n">
        <v>130.22</v>
      </c>
      <c r="H251" s="39" t="n">
        <v>45686</v>
      </c>
      <c r="I251" s="7" t="s">
        <v>14651</v>
      </c>
      <c r="J251" s="8" t="str">
        <f aca="false">IF(I251="Open",DATE(2025,12,31)-F251,"-")</f>
        <v>-</v>
      </c>
    </row>
    <row r="252" customFormat="false" ht="15" hidden="false" customHeight="false" outlineLevel="0" collapsed="false">
      <c r="B252" s="7" t="s">
        <v>14897</v>
      </c>
      <c r="C252" s="7" t="s">
        <v>749</v>
      </c>
      <c r="D252" s="7" t="s">
        <v>371</v>
      </c>
      <c r="E252" s="7" t="s">
        <v>154</v>
      </c>
      <c r="F252" s="39" t="n">
        <v>45670</v>
      </c>
      <c r="G252" s="41" t="n">
        <v>121.9</v>
      </c>
      <c r="H252" s="39" t="n">
        <v>45790</v>
      </c>
      <c r="I252" s="7" t="s">
        <v>14651</v>
      </c>
      <c r="J252" s="8" t="str">
        <f aca="false">IF(I252="Open",DATE(2025,12,31)-F252,"-")</f>
        <v>-</v>
      </c>
    </row>
    <row r="253" customFormat="false" ht="15" hidden="false" customHeight="false" outlineLevel="0" collapsed="false">
      <c r="B253" s="7" t="s">
        <v>14898</v>
      </c>
      <c r="C253" s="7" t="s">
        <v>750</v>
      </c>
      <c r="D253" s="7" t="s">
        <v>375</v>
      </c>
      <c r="E253" s="7" t="s">
        <v>156</v>
      </c>
      <c r="F253" s="39" t="n">
        <v>45670</v>
      </c>
      <c r="G253" s="41" t="n">
        <v>96.56</v>
      </c>
      <c r="H253" s="39" t="n">
        <v>45693</v>
      </c>
      <c r="I253" s="7" t="s">
        <v>14651</v>
      </c>
      <c r="J253" s="8" t="str">
        <f aca="false">IF(I253="Open",DATE(2025,12,31)-F253,"-")</f>
        <v>-</v>
      </c>
    </row>
    <row r="254" customFormat="false" ht="15" hidden="false" customHeight="false" outlineLevel="0" collapsed="false">
      <c r="B254" s="7" t="s">
        <v>14899</v>
      </c>
      <c r="C254" s="7" t="s">
        <v>751</v>
      </c>
      <c r="D254" s="7" t="s">
        <v>377</v>
      </c>
      <c r="E254" s="7" t="s">
        <v>154</v>
      </c>
      <c r="F254" s="39" t="n">
        <v>45670</v>
      </c>
      <c r="G254" s="41" t="n">
        <v>102.82</v>
      </c>
      <c r="H254" s="39" t="n">
        <v>45710</v>
      </c>
      <c r="I254" s="7" t="s">
        <v>14651</v>
      </c>
      <c r="J254" s="8" t="str">
        <f aca="false">IF(I254="Open",DATE(2025,12,31)-F254,"-")</f>
        <v>-</v>
      </c>
    </row>
    <row r="255" customFormat="false" ht="15" hidden="false" customHeight="false" outlineLevel="0" collapsed="false">
      <c r="B255" s="7" t="s">
        <v>14900</v>
      </c>
      <c r="C255" s="7" t="s">
        <v>752</v>
      </c>
      <c r="D255" s="7" t="s">
        <v>379</v>
      </c>
      <c r="E255" s="7" t="s">
        <v>156</v>
      </c>
      <c r="F255" s="39" t="n">
        <v>45670</v>
      </c>
      <c r="G255" s="41" t="n">
        <v>156.74</v>
      </c>
      <c r="H255" s="39" t="n">
        <v>45671</v>
      </c>
      <c r="I255" s="7" t="s">
        <v>14651</v>
      </c>
      <c r="J255" s="8" t="str">
        <f aca="false">IF(I255="Open",DATE(2025,12,31)-F255,"-")</f>
        <v>-</v>
      </c>
    </row>
    <row r="256" customFormat="false" ht="15" hidden="false" customHeight="false" outlineLevel="0" collapsed="false">
      <c r="B256" s="7" t="s">
        <v>14901</v>
      </c>
      <c r="C256" s="7" t="s">
        <v>753</v>
      </c>
      <c r="D256" s="7" t="s">
        <v>389</v>
      </c>
      <c r="E256" s="7" t="s">
        <v>154</v>
      </c>
      <c r="F256" s="39" t="n">
        <v>45670</v>
      </c>
      <c r="G256" s="41" t="n">
        <v>102.03</v>
      </c>
      <c r="H256" s="39" t="n">
        <v>45745</v>
      </c>
      <c r="I256" s="7" t="s">
        <v>14651</v>
      </c>
      <c r="J256" s="8" t="str">
        <f aca="false">IF(I256="Open",DATE(2025,12,31)-F256,"-")</f>
        <v>-</v>
      </c>
    </row>
    <row r="257" customFormat="false" ht="15" hidden="false" customHeight="false" outlineLevel="0" collapsed="false">
      <c r="B257" s="7" t="s">
        <v>14902</v>
      </c>
      <c r="C257" s="7" t="s">
        <v>754</v>
      </c>
      <c r="D257" s="7" t="s">
        <v>391</v>
      </c>
      <c r="E257" s="7" t="s">
        <v>156</v>
      </c>
      <c r="F257" s="39" t="n">
        <v>45670</v>
      </c>
      <c r="G257" s="41" t="n">
        <v>139.74</v>
      </c>
      <c r="H257" s="39" t="n">
        <v>45690</v>
      </c>
      <c r="I257" s="7" t="s">
        <v>14651</v>
      </c>
      <c r="J257" s="8" t="str">
        <f aca="false">IF(I257="Open",DATE(2025,12,31)-F257,"-")</f>
        <v>-</v>
      </c>
    </row>
    <row r="258" customFormat="false" ht="15" hidden="false" customHeight="false" outlineLevel="0" collapsed="false">
      <c r="B258" s="7" t="s">
        <v>14903</v>
      </c>
      <c r="C258" s="7" t="s">
        <v>755</v>
      </c>
      <c r="D258" s="7" t="s">
        <v>395</v>
      </c>
      <c r="E258" s="7" t="s">
        <v>156</v>
      </c>
      <c r="F258" s="39" t="n">
        <v>45670</v>
      </c>
      <c r="G258" s="41" t="n">
        <v>148.58</v>
      </c>
      <c r="H258" s="39" t="n">
        <v>45678</v>
      </c>
      <c r="I258" s="7" t="s">
        <v>14651</v>
      </c>
      <c r="J258" s="8" t="str">
        <f aca="false">IF(I258="Open",DATE(2025,12,31)-F258,"-")</f>
        <v>-</v>
      </c>
    </row>
    <row r="259" customFormat="false" ht="15" hidden="false" customHeight="false" outlineLevel="0" collapsed="false">
      <c r="B259" s="7" t="s">
        <v>14904</v>
      </c>
      <c r="C259" s="7" t="s">
        <v>756</v>
      </c>
      <c r="D259" s="7" t="s">
        <v>399</v>
      </c>
      <c r="E259" s="7" t="s">
        <v>154</v>
      </c>
      <c r="F259" s="39" t="n">
        <v>45670</v>
      </c>
      <c r="G259" s="41" t="n">
        <v>87.72</v>
      </c>
      <c r="H259" s="39" t="n">
        <v>45711</v>
      </c>
      <c r="I259" s="7" t="s">
        <v>14651</v>
      </c>
      <c r="J259" s="8" t="str">
        <f aca="false">IF(I259="Open",DATE(2025,12,31)-F259,"-")</f>
        <v>-</v>
      </c>
    </row>
    <row r="260" customFormat="false" ht="15" hidden="false" customHeight="false" outlineLevel="0" collapsed="false">
      <c r="B260" s="7" t="s">
        <v>14905</v>
      </c>
      <c r="C260" s="7" t="s">
        <v>757</v>
      </c>
      <c r="D260" s="7" t="s">
        <v>401</v>
      </c>
      <c r="E260" s="7" t="s">
        <v>156</v>
      </c>
      <c r="F260" s="39" t="n">
        <v>45670</v>
      </c>
      <c r="G260" s="41" t="n">
        <v>134.3</v>
      </c>
      <c r="H260" s="39" t="n">
        <v>45678</v>
      </c>
      <c r="I260" s="7" t="s">
        <v>14651</v>
      </c>
      <c r="J260" s="8" t="str">
        <f aca="false">IF(I260="Open",DATE(2025,12,31)-F260,"-")</f>
        <v>-</v>
      </c>
    </row>
    <row r="261" customFormat="false" ht="15" hidden="false" customHeight="false" outlineLevel="0" collapsed="false">
      <c r="B261" s="7" t="s">
        <v>14906</v>
      </c>
      <c r="C261" s="7" t="s">
        <v>758</v>
      </c>
      <c r="D261" s="7" t="s">
        <v>409</v>
      </c>
      <c r="E261" s="7" t="s">
        <v>154</v>
      </c>
      <c r="F261" s="39" t="n">
        <v>45670</v>
      </c>
      <c r="G261" s="41" t="n">
        <v>86.66</v>
      </c>
      <c r="H261" s="39" t="n">
        <v>45787</v>
      </c>
      <c r="I261" s="7" t="s">
        <v>14651</v>
      </c>
      <c r="J261" s="8" t="str">
        <f aca="false">IF(I261="Open",DATE(2025,12,31)-F261,"-")</f>
        <v>-</v>
      </c>
    </row>
    <row r="262" customFormat="false" ht="15" hidden="false" customHeight="false" outlineLevel="0" collapsed="false">
      <c r="B262" s="7" t="s">
        <v>14907</v>
      </c>
      <c r="C262" s="7" t="s">
        <v>759</v>
      </c>
      <c r="D262" s="7" t="s">
        <v>411</v>
      </c>
      <c r="E262" s="7" t="s">
        <v>154</v>
      </c>
      <c r="F262" s="39" t="n">
        <v>45670</v>
      </c>
      <c r="G262" s="41" t="n">
        <v>129.85</v>
      </c>
      <c r="H262" s="39" t="n">
        <v>45784</v>
      </c>
      <c r="I262" s="7" t="s">
        <v>14651</v>
      </c>
      <c r="J262" s="8" t="str">
        <f aca="false">IF(I262="Open",DATE(2025,12,31)-F262,"-")</f>
        <v>-</v>
      </c>
    </row>
    <row r="263" customFormat="false" ht="15" hidden="false" customHeight="false" outlineLevel="0" collapsed="false">
      <c r="B263" s="7" t="s">
        <v>14908</v>
      </c>
      <c r="C263" s="7" t="s">
        <v>760</v>
      </c>
      <c r="D263" s="7" t="s">
        <v>288</v>
      </c>
      <c r="E263" s="7" t="s">
        <v>156</v>
      </c>
      <c r="F263" s="39" t="n">
        <v>45671</v>
      </c>
      <c r="G263" s="41" t="n">
        <v>124.44</v>
      </c>
      <c r="H263" s="39" t="n">
        <v>45681</v>
      </c>
      <c r="I263" s="7" t="s">
        <v>14651</v>
      </c>
      <c r="J263" s="8" t="str">
        <f aca="false">IF(I263="Open",DATE(2025,12,31)-F263,"-")</f>
        <v>-</v>
      </c>
    </row>
    <row r="264" customFormat="false" ht="15" hidden="false" customHeight="false" outlineLevel="0" collapsed="false">
      <c r="B264" s="7" t="s">
        <v>14909</v>
      </c>
      <c r="C264" s="7" t="s">
        <v>761</v>
      </c>
      <c r="D264" s="7" t="s">
        <v>301</v>
      </c>
      <c r="E264" s="7" t="s">
        <v>157</v>
      </c>
      <c r="F264" s="39" t="n">
        <v>45671</v>
      </c>
      <c r="G264" s="41" t="n">
        <v>155.1</v>
      </c>
      <c r="H264" s="39" t="n">
        <v>45722</v>
      </c>
      <c r="I264" s="7" t="s">
        <v>14651</v>
      </c>
      <c r="J264" s="8" t="str">
        <f aca="false">IF(I264="Open",DATE(2025,12,31)-F264,"-")</f>
        <v>-</v>
      </c>
    </row>
    <row r="265" customFormat="false" ht="15" hidden="false" customHeight="false" outlineLevel="0" collapsed="false">
      <c r="B265" s="7" t="s">
        <v>14910</v>
      </c>
      <c r="C265" s="7" t="s">
        <v>762</v>
      </c>
      <c r="D265" s="7" t="s">
        <v>313</v>
      </c>
      <c r="E265" s="7" t="s">
        <v>156</v>
      </c>
      <c r="F265" s="39" t="n">
        <v>45671</v>
      </c>
      <c r="G265" s="41" t="n">
        <v>148.58</v>
      </c>
      <c r="H265" s="39" t="n">
        <v>45686</v>
      </c>
      <c r="I265" s="7" t="s">
        <v>14651</v>
      </c>
      <c r="J265" s="8" t="str">
        <f aca="false">IF(I265="Open",DATE(2025,12,31)-F265,"-")</f>
        <v>-</v>
      </c>
    </row>
    <row r="266" customFormat="false" ht="15" hidden="false" customHeight="false" outlineLevel="0" collapsed="false">
      <c r="B266" s="7" t="s">
        <v>14911</v>
      </c>
      <c r="C266" s="7" t="s">
        <v>763</v>
      </c>
      <c r="D266" s="7" t="s">
        <v>319</v>
      </c>
      <c r="E266" s="7" t="s">
        <v>157</v>
      </c>
      <c r="F266" s="39" t="n">
        <v>45671</v>
      </c>
      <c r="G266" s="41" t="n">
        <v>151.8</v>
      </c>
      <c r="H266" s="39" t="n">
        <v>45705</v>
      </c>
      <c r="I266" s="7" t="s">
        <v>14651</v>
      </c>
      <c r="J266" s="8" t="str">
        <f aca="false">IF(I266="Open",DATE(2025,12,31)-F266,"-")</f>
        <v>-</v>
      </c>
    </row>
    <row r="267" customFormat="false" ht="15" hidden="false" customHeight="false" outlineLevel="0" collapsed="false">
      <c r="B267" s="7" t="s">
        <v>14912</v>
      </c>
      <c r="C267" s="7" t="s">
        <v>764</v>
      </c>
      <c r="D267" s="7" t="s">
        <v>321</v>
      </c>
      <c r="E267" s="7" t="s">
        <v>154</v>
      </c>
      <c r="F267" s="39" t="n">
        <v>45671</v>
      </c>
      <c r="G267" s="41" t="n">
        <v>95.61</v>
      </c>
      <c r="H267" s="39" t="n">
        <v>45702</v>
      </c>
      <c r="I267" s="7" t="s">
        <v>14651</v>
      </c>
      <c r="J267" s="8" t="str">
        <f aca="false">IF(I267="Open",DATE(2025,12,31)-F267,"-")</f>
        <v>-</v>
      </c>
    </row>
    <row r="268" customFormat="false" ht="15" hidden="false" customHeight="false" outlineLevel="0" collapsed="false">
      <c r="B268" s="7" t="s">
        <v>14913</v>
      </c>
      <c r="C268" s="7" t="s">
        <v>765</v>
      </c>
      <c r="D268" s="7" t="s">
        <v>323</v>
      </c>
      <c r="E268" s="7" t="s">
        <v>159</v>
      </c>
      <c r="F268" s="39" t="n">
        <v>45671</v>
      </c>
      <c r="G268" s="41" t="n">
        <v>147.15</v>
      </c>
      <c r="H268" s="39" t="n">
        <v>45748</v>
      </c>
      <c r="I268" s="7" t="s">
        <v>14651</v>
      </c>
      <c r="J268" s="8" t="str">
        <f aca="false">IF(I268="Open",DATE(2025,12,31)-F268,"-")</f>
        <v>-</v>
      </c>
    </row>
    <row r="269" customFormat="false" ht="15" hidden="false" customHeight="false" outlineLevel="0" collapsed="false">
      <c r="B269" s="7" t="s">
        <v>14914</v>
      </c>
      <c r="C269" s="7" t="s">
        <v>766</v>
      </c>
      <c r="D269" s="7" t="s">
        <v>327</v>
      </c>
      <c r="E269" s="7" t="s">
        <v>157</v>
      </c>
      <c r="F269" s="39" t="n">
        <v>45671</v>
      </c>
      <c r="G269" s="41" t="n">
        <v>166.65</v>
      </c>
      <c r="H269" s="39" t="n">
        <v>45731</v>
      </c>
      <c r="I269" s="7" t="s">
        <v>14651</v>
      </c>
      <c r="J269" s="8" t="str">
        <f aca="false">IF(I269="Open",DATE(2025,12,31)-F269,"-")</f>
        <v>-</v>
      </c>
    </row>
    <row r="270" customFormat="false" ht="15" hidden="false" customHeight="false" outlineLevel="0" collapsed="false">
      <c r="B270" s="7" t="s">
        <v>14915</v>
      </c>
      <c r="C270" s="7" t="s">
        <v>767</v>
      </c>
      <c r="D270" s="7" t="s">
        <v>329</v>
      </c>
      <c r="E270" s="7" t="s">
        <v>156</v>
      </c>
      <c r="F270" s="39" t="n">
        <v>45671</v>
      </c>
      <c r="G270" s="41" t="n">
        <v>146.54</v>
      </c>
      <c r="H270" s="39" t="n">
        <v>45681</v>
      </c>
      <c r="I270" s="7" t="s">
        <v>14651</v>
      </c>
      <c r="J270" s="8" t="str">
        <f aca="false">IF(I270="Open",DATE(2025,12,31)-F270,"-")</f>
        <v>-</v>
      </c>
    </row>
    <row r="271" customFormat="false" ht="15" hidden="false" customHeight="false" outlineLevel="0" collapsed="false">
      <c r="B271" s="7" t="s">
        <v>14916</v>
      </c>
      <c r="C271" s="7" t="s">
        <v>768</v>
      </c>
      <c r="D271" s="7" t="s">
        <v>359</v>
      </c>
      <c r="E271" s="7" t="s">
        <v>156</v>
      </c>
      <c r="F271" s="39" t="n">
        <v>45671</v>
      </c>
      <c r="G271" s="41" t="n">
        <v>131.24</v>
      </c>
      <c r="H271" s="39" t="n">
        <v>45680</v>
      </c>
      <c r="I271" s="7" t="s">
        <v>14651</v>
      </c>
      <c r="J271" s="8" t="str">
        <f aca="false">IF(I271="Open",DATE(2025,12,31)-F271,"-")</f>
        <v>-</v>
      </c>
    </row>
    <row r="272" customFormat="false" ht="15" hidden="false" customHeight="false" outlineLevel="0" collapsed="false">
      <c r="B272" s="7" t="s">
        <v>14917</v>
      </c>
      <c r="C272" s="7" t="s">
        <v>769</v>
      </c>
      <c r="D272" s="7" t="s">
        <v>361</v>
      </c>
      <c r="E272" s="7" t="s">
        <v>157</v>
      </c>
      <c r="F272" s="39" t="n">
        <v>45671</v>
      </c>
      <c r="G272" s="41" t="n">
        <v>163.35</v>
      </c>
      <c r="H272" s="39" t="n">
        <v>45723</v>
      </c>
      <c r="I272" s="7" t="s">
        <v>14651</v>
      </c>
      <c r="J272" s="8" t="str">
        <f aca="false">IF(I272="Open",DATE(2025,12,31)-F272,"-")</f>
        <v>-</v>
      </c>
    </row>
    <row r="273" customFormat="false" ht="15" hidden="false" customHeight="false" outlineLevel="0" collapsed="false">
      <c r="B273" s="7" t="s">
        <v>14918</v>
      </c>
      <c r="C273" s="7" t="s">
        <v>770</v>
      </c>
      <c r="D273" s="7" t="s">
        <v>381</v>
      </c>
      <c r="E273" s="7" t="s">
        <v>157</v>
      </c>
      <c r="F273" s="39" t="n">
        <v>45671</v>
      </c>
      <c r="G273" s="41" t="n">
        <v>174.9</v>
      </c>
      <c r="H273" s="39" t="n">
        <v>45721</v>
      </c>
      <c r="I273" s="7" t="s">
        <v>14651</v>
      </c>
      <c r="J273" s="8" t="str">
        <f aca="false">IF(I273="Open",DATE(2025,12,31)-F273,"-")</f>
        <v>-</v>
      </c>
    </row>
    <row r="274" customFormat="false" ht="15" hidden="false" customHeight="false" outlineLevel="0" collapsed="false">
      <c r="B274" s="7" t="s">
        <v>14919</v>
      </c>
      <c r="C274" s="7" t="s">
        <v>771</v>
      </c>
      <c r="D274" s="7" t="s">
        <v>389</v>
      </c>
      <c r="E274" s="7" t="s">
        <v>154</v>
      </c>
      <c r="F274" s="39" t="n">
        <v>45671</v>
      </c>
      <c r="G274" s="41" t="n">
        <v>94.07</v>
      </c>
      <c r="H274" s="39" t="n">
        <v>45732</v>
      </c>
      <c r="I274" s="7" t="s">
        <v>14651</v>
      </c>
      <c r="J274" s="8" t="str">
        <f aca="false">IF(I274="Open",DATE(2025,12,31)-F274,"-")</f>
        <v>-</v>
      </c>
    </row>
    <row r="275" customFormat="false" ht="15" hidden="false" customHeight="false" outlineLevel="0" collapsed="false">
      <c r="B275" s="7" t="s">
        <v>14920</v>
      </c>
      <c r="C275" s="7" t="s">
        <v>772</v>
      </c>
      <c r="D275" s="7" t="s">
        <v>391</v>
      </c>
      <c r="E275" s="7" t="s">
        <v>156</v>
      </c>
      <c r="F275" s="39" t="n">
        <v>45671</v>
      </c>
      <c r="G275" s="41" t="n">
        <v>132.26</v>
      </c>
      <c r="H275" s="39" t="n">
        <v>45677</v>
      </c>
      <c r="I275" s="7" t="s">
        <v>14651</v>
      </c>
      <c r="J275" s="8" t="str">
        <f aca="false">IF(I275="Open",DATE(2025,12,31)-F275,"-")</f>
        <v>-</v>
      </c>
    </row>
    <row r="276" customFormat="false" ht="15" hidden="false" customHeight="false" outlineLevel="0" collapsed="false">
      <c r="B276" s="7" t="s">
        <v>14921</v>
      </c>
      <c r="C276" s="7" t="s">
        <v>773</v>
      </c>
      <c r="D276" s="7" t="s">
        <v>395</v>
      </c>
      <c r="E276" s="7" t="s">
        <v>156</v>
      </c>
      <c r="F276" s="39" t="n">
        <v>45671</v>
      </c>
      <c r="G276" s="41" t="n">
        <v>148.92</v>
      </c>
      <c r="H276" s="39" t="n">
        <v>45680</v>
      </c>
      <c r="I276" s="7" t="s">
        <v>14651</v>
      </c>
      <c r="J276" s="8" t="str">
        <f aca="false">IF(I276="Open",DATE(2025,12,31)-F276,"-")</f>
        <v>-</v>
      </c>
    </row>
    <row r="277" customFormat="false" ht="15" hidden="false" customHeight="false" outlineLevel="0" collapsed="false">
      <c r="B277" s="7" t="s">
        <v>14922</v>
      </c>
      <c r="C277" s="7" t="s">
        <v>774</v>
      </c>
      <c r="D277" s="7" t="s">
        <v>401</v>
      </c>
      <c r="E277" s="7" t="s">
        <v>156</v>
      </c>
      <c r="F277" s="39" t="n">
        <v>45671</v>
      </c>
      <c r="G277" s="41" t="n">
        <v>132.94</v>
      </c>
      <c r="H277" s="39" t="n">
        <v>45679</v>
      </c>
      <c r="I277" s="7" t="s">
        <v>14651</v>
      </c>
      <c r="J277" s="8" t="str">
        <f aca="false">IF(I277="Open",DATE(2025,12,31)-F277,"-")</f>
        <v>-</v>
      </c>
    </row>
    <row r="278" customFormat="false" ht="15" hidden="false" customHeight="false" outlineLevel="0" collapsed="false">
      <c r="B278" s="7" t="s">
        <v>14923</v>
      </c>
      <c r="C278" s="7" t="s">
        <v>775</v>
      </c>
      <c r="D278" s="7" t="s">
        <v>407</v>
      </c>
      <c r="E278" s="7" t="s">
        <v>159</v>
      </c>
      <c r="F278" s="39" t="n">
        <v>45671</v>
      </c>
      <c r="G278" s="41" t="n">
        <v>141.75</v>
      </c>
      <c r="H278" s="39" t="n">
        <v>45694</v>
      </c>
      <c r="I278" s="7" t="s">
        <v>14651</v>
      </c>
      <c r="J278" s="8" t="str">
        <f aca="false">IF(I278="Open",DATE(2025,12,31)-F278,"-")</f>
        <v>-</v>
      </c>
    </row>
    <row r="279" customFormat="false" ht="15" hidden="false" customHeight="false" outlineLevel="0" collapsed="false">
      <c r="B279" s="7" t="s">
        <v>14924</v>
      </c>
      <c r="C279" s="7" t="s">
        <v>776</v>
      </c>
      <c r="D279" s="7" t="s">
        <v>280</v>
      </c>
      <c r="E279" s="7" t="s">
        <v>157</v>
      </c>
      <c r="F279" s="39" t="n">
        <v>45672</v>
      </c>
      <c r="G279" s="41" t="n">
        <v>166.65</v>
      </c>
      <c r="H279" s="39" t="n">
        <v>45738</v>
      </c>
      <c r="I279" s="7" t="s">
        <v>14651</v>
      </c>
      <c r="J279" s="8" t="str">
        <f aca="false">IF(I279="Open",DATE(2025,12,31)-F279,"-")</f>
        <v>-</v>
      </c>
    </row>
    <row r="280" customFormat="false" ht="15" hidden="false" customHeight="false" outlineLevel="0" collapsed="false">
      <c r="B280" s="7" t="s">
        <v>14925</v>
      </c>
      <c r="C280" s="7" t="s">
        <v>777</v>
      </c>
      <c r="D280" s="7" t="s">
        <v>286</v>
      </c>
      <c r="E280" s="7" t="s">
        <v>157</v>
      </c>
      <c r="F280" s="39" t="n">
        <v>45672</v>
      </c>
      <c r="G280" s="41" t="n">
        <v>165</v>
      </c>
      <c r="H280" s="39" t="n">
        <v>45705</v>
      </c>
      <c r="I280" s="7" t="s">
        <v>14651</v>
      </c>
      <c r="J280" s="8" t="str">
        <f aca="false">IF(I280="Open",DATE(2025,12,31)-F280,"-")</f>
        <v>-</v>
      </c>
    </row>
    <row r="281" customFormat="false" ht="15" hidden="false" customHeight="false" outlineLevel="0" collapsed="false">
      <c r="B281" s="7" t="s">
        <v>14926</v>
      </c>
      <c r="C281" s="7" t="s">
        <v>778</v>
      </c>
      <c r="D281" s="7" t="s">
        <v>288</v>
      </c>
      <c r="E281" s="7" t="s">
        <v>156</v>
      </c>
      <c r="F281" s="39" t="n">
        <v>45672</v>
      </c>
      <c r="G281" s="41" t="n">
        <v>144.5</v>
      </c>
      <c r="H281" s="39" t="n">
        <v>45685</v>
      </c>
      <c r="I281" s="7" t="s">
        <v>14651</v>
      </c>
      <c r="J281" s="8" t="str">
        <f aca="false">IF(I281="Open",DATE(2025,12,31)-F281,"-")</f>
        <v>-</v>
      </c>
    </row>
    <row r="282" customFormat="false" ht="15" hidden="false" customHeight="false" outlineLevel="0" collapsed="false">
      <c r="B282" s="7" t="s">
        <v>14927</v>
      </c>
      <c r="C282" s="7" t="s">
        <v>779</v>
      </c>
      <c r="D282" s="7" t="s">
        <v>291</v>
      </c>
      <c r="E282" s="7" t="s">
        <v>154</v>
      </c>
      <c r="F282" s="39" t="n">
        <v>45672</v>
      </c>
      <c r="G282" s="41" t="n">
        <v>110.03</v>
      </c>
      <c r="H282" s="39" t="n">
        <v>45724</v>
      </c>
      <c r="I282" s="7" t="s">
        <v>14651</v>
      </c>
      <c r="J282" s="8" t="str">
        <f aca="false">IF(I282="Open",DATE(2025,12,31)-F282,"-")</f>
        <v>-</v>
      </c>
    </row>
    <row r="283" customFormat="false" ht="15" hidden="false" customHeight="false" outlineLevel="0" collapsed="false">
      <c r="B283" s="7" t="s">
        <v>14928</v>
      </c>
      <c r="C283" s="7" t="s">
        <v>780</v>
      </c>
      <c r="D283" s="7" t="s">
        <v>305</v>
      </c>
      <c r="E283" s="7" t="s">
        <v>154</v>
      </c>
      <c r="F283" s="39" t="n">
        <v>45672</v>
      </c>
      <c r="G283" s="41" t="n">
        <v>110.5</v>
      </c>
      <c r="H283" s="39" t="n">
        <v>45705</v>
      </c>
      <c r="I283" s="7" t="s">
        <v>14651</v>
      </c>
      <c r="J283" s="8" t="str">
        <f aca="false">IF(I283="Open",DATE(2025,12,31)-F283,"-")</f>
        <v>-</v>
      </c>
    </row>
    <row r="284" customFormat="false" ht="15" hidden="false" customHeight="false" outlineLevel="0" collapsed="false">
      <c r="B284" s="7" t="s">
        <v>14929</v>
      </c>
      <c r="C284" s="7" t="s">
        <v>781</v>
      </c>
      <c r="D284" s="7" t="s">
        <v>309</v>
      </c>
      <c r="E284" s="7" t="s">
        <v>159</v>
      </c>
      <c r="F284" s="39" t="n">
        <v>45672</v>
      </c>
      <c r="G284" s="41" t="n">
        <v>137.7</v>
      </c>
      <c r="H284" s="39" t="n">
        <v>45700</v>
      </c>
      <c r="I284" s="7" t="s">
        <v>14651</v>
      </c>
      <c r="J284" s="8" t="str">
        <f aca="false">IF(I284="Open",DATE(2025,12,31)-F284,"-")</f>
        <v>-</v>
      </c>
    </row>
    <row r="285" customFormat="false" ht="15" hidden="false" customHeight="false" outlineLevel="0" collapsed="false">
      <c r="B285" s="7" t="s">
        <v>14930</v>
      </c>
      <c r="C285" s="7" t="s">
        <v>782</v>
      </c>
      <c r="D285" s="7" t="s">
        <v>313</v>
      </c>
      <c r="E285" s="7" t="s">
        <v>156</v>
      </c>
      <c r="F285" s="39" t="n">
        <v>45672</v>
      </c>
      <c r="G285" s="41" t="n">
        <v>132.94</v>
      </c>
      <c r="H285" s="39" t="n">
        <v>45677</v>
      </c>
      <c r="I285" s="7" t="s">
        <v>14651</v>
      </c>
      <c r="J285" s="8" t="str">
        <f aca="false">IF(I285="Open",DATE(2025,12,31)-F285,"-")</f>
        <v>-</v>
      </c>
    </row>
    <row r="286" customFormat="false" ht="15" hidden="false" customHeight="false" outlineLevel="0" collapsed="false">
      <c r="B286" s="7" t="s">
        <v>14931</v>
      </c>
      <c r="C286" s="7" t="s">
        <v>783</v>
      </c>
      <c r="D286" s="7" t="s">
        <v>321</v>
      </c>
      <c r="E286" s="7" t="s">
        <v>154</v>
      </c>
      <c r="F286" s="39" t="n">
        <v>45672</v>
      </c>
      <c r="G286" s="41" t="n">
        <v>96.46</v>
      </c>
      <c r="H286" s="39" t="n">
        <v>45731</v>
      </c>
      <c r="I286" s="7" t="s">
        <v>14651</v>
      </c>
      <c r="J286" s="8" t="str">
        <f aca="false">IF(I286="Open",DATE(2025,12,31)-F286,"-")</f>
        <v>-</v>
      </c>
    </row>
    <row r="287" customFormat="false" ht="15" hidden="false" customHeight="false" outlineLevel="0" collapsed="false">
      <c r="B287" s="7" t="s">
        <v>14932</v>
      </c>
      <c r="C287" s="7" t="s">
        <v>784</v>
      </c>
      <c r="D287" s="7" t="s">
        <v>329</v>
      </c>
      <c r="E287" s="7" t="s">
        <v>156</v>
      </c>
      <c r="F287" s="39" t="n">
        <v>45672</v>
      </c>
      <c r="G287" s="41" t="n">
        <v>131.24</v>
      </c>
      <c r="H287" s="39" t="n">
        <v>45688</v>
      </c>
      <c r="I287" s="7" t="s">
        <v>14651</v>
      </c>
      <c r="J287" s="8" t="str">
        <f aca="false">IF(I287="Open",DATE(2025,12,31)-F287,"-")</f>
        <v>-</v>
      </c>
    </row>
    <row r="288" customFormat="false" ht="15" hidden="false" customHeight="false" outlineLevel="0" collapsed="false">
      <c r="B288" s="7" t="s">
        <v>14933</v>
      </c>
      <c r="C288" s="7" t="s">
        <v>785</v>
      </c>
      <c r="D288" s="7" t="s">
        <v>335</v>
      </c>
      <c r="E288" s="7" t="s">
        <v>154</v>
      </c>
      <c r="F288" s="39" t="n">
        <v>45672</v>
      </c>
      <c r="G288" s="41" t="n">
        <v>100.7</v>
      </c>
      <c r="H288" s="39" t="n">
        <v>45734</v>
      </c>
      <c r="I288" s="7" t="s">
        <v>14651</v>
      </c>
      <c r="J288" s="8" t="str">
        <f aca="false">IF(I288="Open",DATE(2025,12,31)-F288,"-")</f>
        <v>-</v>
      </c>
    </row>
    <row r="289" customFormat="false" ht="15" hidden="false" customHeight="false" outlineLevel="0" collapsed="false">
      <c r="B289" s="7" t="s">
        <v>14934</v>
      </c>
      <c r="C289" s="7" t="s">
        <v>786</v>
      </c>
      <c r="D289" s="7" t="s">
        <v>339</v>
      </c>
      <c r="E289" s="7" t="s">
        <v>154</v>
      </c>
      <c r="F289" s="39" t="n">
        <v>45672</v>
      </c>
      <c r="G289" s="41" t="n">
        <v>87.4</v>
      </c>
      <c r="H289" s="39" t="n">
        <v>45708</v>
      </c>
      <c r="I289" s="7" t="s">
        <v>14651</v>
      </c>
      <c r="J289" s="8" t="str">
        <f aca="false">IF(I289="Open",DATE(2025,12,31)-F289,"-")</f>
        <v>-</v>
      </c>
    </row>
    <row r="290" customFormat="false" ht="15" hidden="false" customHeight="false" outlineLevel="0" collapsed="false">
      <c r="B290" s="7" t="s">
        <v>14935</v>
      </c>
      <c r="C290" s="7" t="s">
        <v>787</v>
      </c>
      <c r="D290" s="7" t="s">
        <v>353</v>
      </c>
      <c r="E290" s="7" t="s">
        <v>154</v>
      </c>
      <c r="F290" s="39" t="n">
        <v>45672</v>
      </c>
      <c r="G290" s="41" t="n">
        <v>91.16</v>
      </c>
      <c r="H290" s="39" t="n">
        <v>45728</v>
      </c>
      <c r="I290" s="7" t="s">
        <v>14651</v>
      </c>
      <c r="J290" s="8" t="str">
        <f aca="false">IF(I290="Open",DATE(2025,12,31)-F290,"-")</f>
        <v>-</v>
      </c>
    </row>
    <row r="291" customFormat="false" ht="15" hidden="false" customHeight="false" outlineLevel="0" collapsed="false">
      <c r="B291" s="7" t="s">
        <v>14936</v>
      </c>
      <c r="C291" s="7" t="s">
        <v>788</v>
      </c>
      <c r="D291" s="7" t="s">
        <v>355</v>
      </c>
      <c r="E291" s="7" t="s">
        <v>154</v>
      </c>
      <c r="F291" s="39" t="n">
        <v>45672</v>
      </c>
      <c r="G291" s="41" t="n">
        <v>88.43</v>
      </c>
      <c r="H291" s="39" t="n">
        <v>45732</v>
      </c>
      <c r="I291" s="7" t="s">
        <v>14651</v>
      </c>
      <c r="J291" s="8" t="str">
        <f aca="false">IF(I291="Open",DATE(2025,12,31)-F291,"-")</f>
        <v>-</v>
      </c>
    </row>
    <row r="292" customFormat="false" ht="15" hidden="false" customHeight="false" outlineLevel="0" collapsed="false">
      <c r="B292" s="7" t="s">
        <v>14937</v>
      </c>
      <c r="C292" s="7" t="s">
        <v>789</v>
      </c>
      <c r="D292" s="7" t="s">
        <v>357</v>
      </c>
      <c r="E292" s="7" t="s">
        <v>154</v>
      </c>
      <c r="F292" s="39" t="n">
        <v>45672</v>
      </c>
      <c r="G292" s="41" t="n">
        <v>91.95</v>
      </c>
      <c r="H292" s="39" t="n">
        <v>45734</v>
      </c>
      <c r="I292" s="7" t="s">
        <v>14651</v>
      </c>
      <c r="J292" s="8" t="str">
        <f aca="false">IF(I292="Open",DATE(2025,12,31)-F292,"-")</f>
        <v>-</v>
      </c>
    </row>
    <row r="293" customFormat="false" ht="15" hidden="false" customHeight="false" outlineLevel="0" collapsed="false">
      <c r="B293" s="7" t="s">
        <v>14938</v>
      </c>
      <c r="C293" s="7" t="s">
        <v>790</v>
      </c>
      <c r="D293" s="7" t="s">
        <v>359</v>
      </c>
      <c r="E293" s="7" t="s">
        <v>156</v>
      </c>
      <c r="F293" s="39" t="n">
        <v>45672</v>
      </c>
      <c r="G293" s="41" t="n">
        <v>139.74</v>
      </c>
      <c r="H293" s="39" t="n">
        <v>45689</v>
      </c>
      <c r="I293" s="7" t="s">
        <v>14651</v>
      </c>
      <c r="J293" s="8" t="str">
        <f aca="false">IF(I293="Open",DATE(2025,12,31)-F293,"-")</f>
        <v>-</v>
      </c>
    </row>
    <row r="294" customFormat="false" ht="15" hidden="false" customHeight="false" outlineLevel="0" collapsed="false">
      <c r="B294" s="7" t="s">
        <v>14939</v>
      </c>
      <c r="C294" s="7" t="s">
        <v>791</v>
      </c>
      <c r="D294" s="7" t="s">
        <v>371</v>
      </c>
      <c r="E294" s="7" t="s">
        <v>154</v>
      </c>
      <c r="F294" s="39" t="n">
        <v>45672</v>
      </c>
      <c r="G294" s="41" t="n">
        <v>128.79</v>
      </c>
      <c r="H294" s="39" t="n">
        <v>45705</v>
      </c>
      <c r="I294" s="7" t="s">
        <v>14651</v>
      </c>
      <c r="J294" s="8" t="str">
        <f aca="false">IF(I294="Open",DATE(2025,12,31)-F294,"-")</f>
        <v>-</v>
      </c>
    </row>
    <row r="295" customFormat="false" ht="15" hidden="false" customHeight="false" outlineLevel="0" collapsed="false">
      <c r="B295" s="7" t="s">
        <v>14940</v>
      </c>
      <c r="C295" s="7" t="s">
        <v>792</v>
      </c>
      <c r="D295" s="7" t="s">
        <v>379</v>
      </c>
      <c r="E295" s="7" t="s">
        <v>156</v>
      </c>
      <c r="F295" s="39" t="n">
        <v>45672</v>
      </c>
      <c r="G295" s="41" t="n">
        <v>171.7</v>
      </c>
      <c r="H295" s="39" t="n">
        <v>45684</v>
      </c>
      <c r="I295" s="7" t="s">
        <v>14651</v>
      </c>
      <c r="J295" s="8" t="str">
        <f aca="false">IF(I295="Open",DATE(2025,12,31)-F295,"-")</f>
        <v>-</v>
      </c>
    </row>
    <row r="296" customFormat="false" ht="15" hidden="false" customHeight="false" outlineLevel="0" collapsed="false">
      <c r="B296" s="7" t="s">
        <v>14941</v>
      </c>
      <c r="C296" s="7" t="s">
        <v>793</v>
      </c>
      <c r="D296" s="7" t="s">
        <v>391</v>
      </c>
      <c r="E296" s="7" t="s">
        <v>156</v>
      </c>
      <c r="F296" s="39" t="n">
        <v>45672</v>
      </c>
      <c r="G296" s="41" t="n">
        <v>127.16</v>
      </c>
      <c r="H296" s="39" t="n">
        <v>45673</v>
      </c>
      <c r="I296" s="7" t="s">
        <v>14651</v>
      </c>
      <c r="J296" s="8" t="str">
        <f aca="false">IF(I296="Open",DATE(2025,12,31)-F296,"-")</f>
        <v>-</v>
      </c>
    </row>
    <row r="297" customFormat="false" ht="15" hidden="false" customHeight="false" outlineLevel="0" collapsed="false">
      <c r="B297" s="7" t="s">
        <v>14942</v>
      </c>
      <c r="C297" s="7" t="s">
        <v>794</v>
      </c>
      <c r="D297" s="7" t="s">
        <v>393</v>
      </c>
      <c r="E297" s="7" t="s">
        <v>157</v>
      </c>
      <c r="F297" s="39" t="n">
        <v>45672</v>
      </c>
      <c r="G297" s="41" t="n">
        <v>156.75</v>
      </c>
      <c r="H297" s="39" t="n">
        <v>45687</v>
      </c>
      <c r="I297" s="7" t="s">
        <v>14651</v>
      </c>
      <c r="J297" s="8" t="str">
        <f aca="false">IF(I297="Open",DATE(2025,12,31)-F297,"-")</f>
        <v>-</v>
      </c>
    </row>
    <row r="298" customFormat="false" ht="15" hidden="false" customHeight="false" outlineLevel="0" collapsed="false">
      <c r="B298" s="7" t="s">
        <v>14943</v>
      </c>
      <c r="C298" s="7" t="s">
        <v>795</v>
      </c>
      <c r="D298" s="7" t="s">
        <v>395</v>
      </c>
      <c r="E298" s="7" t="s">
        <v>156</v>
      </c>
      <c r="F298" s="39" t="n">
        <v>45672</v>
      </c>
      <c r="G298" s="41" t="n">
        <v>124.44</v>
      </c>
      <c r="H298" s="39" t="n">
        <v>45684</v>
      </c>
      <c r="I298" s="7" t="s">
        <v>14651</v>
      </c>
      <c r="J298" s="8" t="str">
        <f aca="false">IF(I298="Open",DATE(2025,12,31)-F298,"-")</f>
        <v>-</v>
      </c>
    </row>
    <row r="299" customFormat="false" ht="15" hidden="false" customHeight="false" outlineLevel="0" collapsed="false">
      <c r="B299" s="7" t="s">
        <v>14944</v>
      </c>
      <c r="C299" s="7" t="s">
        <v>796</v>
      </c>
      <c r="D299" s="7" t="s">
        <v>399</v>
      </c>
      <c r="E299" s="7" t="s">
        <v>154</v>
      </c>
      <c r="F299" s="39" t="n">
        <v>45672</v>
      </c>
      <c r="G299" s="41" t="n">
        <v>93.02</v>
      </c>
      <c r="H299" s="39" t="n">
        <v>45770</v>
      </c>
      <c r="I299" s="7" t="s">
        <v>14651</v>
      </c>
      <c r="J299" s="8" t="str">
        <f aca="false">IF(I299="Open",DATE(2025,12,31)-F299,"-")</f>
        <v>-</v>
      </c>
    </row>
    <row r="300" customFormat="false" ht="15" hidden="false" customHeight="false" outlineLevel="0" collapsed="false">
      <c r="B300" s="7" t="s">
        <v>14945</v>
      </c>
      <c r="C300" s="7" t="s">
        <v>797</v>
      </c>
      <c r="D300" s="7" t="s">
        <v>401</v>
      </c>
      <c r="E300" s="7" t="s">
        <v>156</v>
      </c>
      <c r="F300" s="39" t="n">
        <v>45672</v>
      </c>
      <c r="G300" s="41" t="n">
        <v>123.42</v>
      </c>
      <c r="H300" s="39" t="n">
        <v>45679</v>
      </c>
      <c r="I300" s="7" t="s">
        <v>14651</v>
      </c>
      <c r="J300" s="8" t="str">
        <f aca="false">IF(I300="Open",DATE(2025,12,31)-F300,"-")</f>
        <v>-</v>
      </c>
    </row>
    <row r="301" customFormat="false" ht="15" hidden="false" customHeight="false" outlineLevel="0" collapsed="false">
      <c r="B301" s="7" t="s">
        <v>14946</v>
      </c>
      <c r="C301" s="7" t="s">
        <v>798</v>
      </c>
      <c r="D301" s="7" t="s">
        <v>409</v>
      </c>
      <c r="E301" s="7" t="s">
        <v>154</v>
      </c>
      <c r="F301" s="39" t="n">
        <v>45672</v>
      </c>
      <c r="G301" s="41" t="n">
        <v>81.88</v>
      </c>
      <c r="H301" s="39" t="n">
        <v>45791</v>
      </c>
      <c r="I301" s="7" t="s">
        <v>14651</v>
      </c>
      <c r="J301" s="8" t="str">
        <f aca="false">IF(I301="Open",DATE(2025,12,31)-F301,"-")</f>
        <v>-</v>
      </c>
    </row>
    <row r="302" customFormat="false" ht="15" hidden="false" customHeight="false" outlineLevel="0" collapsed="false">
      <c r="B302" s="7" t="s">
        <v>14947</v>
      </c>
      <c r="C302" s="7" t="s">
        <v>799</v>
      </c>
      <c r="D302" s="7" t="s">
        <v>411</v>
      </c>
      <c r="E302" s="7" t="s">
        <v>154</v>
      </c>
      <c r="F302" s="39" t="n">
        <v>45672</v>
      </c>
      <c r="G302" s="41" t="n">
        <v>131.97</v>
      </c>
      <c r="H302" s="39" t="n">
        <v>45740</v>
      </c>
      <c r="I302" s="7" t="s">
        <v>14651</v>
      </c>
      <c r="J302" s="8" t="str">
        <f aca="false">IF(I302="Open",DATE(2025,12,31)-F302,"-")</f>
        <v>-</v>
      </c>
    </row>
    <row r="303" customFormat="false" ht="15" hidden="false" customHeight="false" outlineLevel="0" collapsed="false">
      <c r="B303" s="7" t="s">
        <v>14948</v>
      </c>
      <c r="C303" s="7" t="s">
        <v>800</v>
      </c>
      <c r="D303" s="7" t="s">
        <v>288</v>
      </c>
      <c r="E303" s="7" t="s">
        <v>156</v>
      </c>
      <c r="F303" s="39" t="n">
        <v>45673</v>
      </c>
      <c r="G303" s="41" t="n">
        <v>126.82</v>
      </c>
      <c r="H303" s="39" t="n">
        <v>45680</v>
      </c>
      <c r="I303" s="7" t="s">
        <v>14651</v>
      </c>
      <c r="J303" s="8" t="str">
        <f aca="false">IF(I303="Open",DATE(2025,12,31)-F303,"-")</f>
        <v>-</v>
      </c>
    </row>
    <row r="304" customFormat="false" ht="15" hidden="false" customHeight="false" outlineLevel="0" collapsed="false">
      <c r="B304" s="7" t="s">
        <v>14949</v>
      </c>
      <c r="C304" s="7" t="s">
        <v>801</v>
      </c>
      <c r="D304" s="7" t="s">
        <v>297</v>
      </c>
      <c r="E304" s="7" t="s">
        <v>156</v>
      </c>
      <c r="F304" s="39" t="n">
        <v>45673</v>
      </c>
      <c r="G304" s="41" t="n">
        <v>105.74</v>
      </c>
      <c r="H304" s="39" t="n">
        <v>45686</v>
      </c>
      <c r="I304" s="7" t="s">
        <v>14651</v>
      </c>
      <c r="J304" s="8" t="str">
        <f aca="false">IF(I304="Open",DATE(2025,12,31)-F304,"-")</f>
        <v>-</v>
      </c>
    </row>
    <row r="305" customFormat="false" ht="15" hidden="false" customHeight="false" outlineLevel="0" collapsed="false">
      <c r="B305" s="7" t="s">
        <v>14950</v>
      </c>
      <c r="C305" s="7" t="s">
        <v>802</v>
      </c>
      <c r="D305" s="7" t="s">
        <v>311</v>
      </c>
      <c r="E305" s="7" t="s">
        <v>154</v>
      </c>
      <c r="F305" s="39" t="n">
        <v>45673</v>
      </c>
      <c r="G305" s="41" t="n">
        <v>76.06</v>
      </c>
      <c r="H305" s="39" t="n">
        <v>45782</v>
      </c>
      <c r="I305" s="7" t="s">
        <v>14651</v>
      </c>
      <c r="J305" s="8" t="str">
        <f aca="false">IF(I305="Open",DATE(2025,12,31)-F305,"-")</f>
        <v>-</v>
      </c>
    </row>
    <row r="306" customFormat="false" ht="15" hidden="false" customHeight="false" outlineLevel="0" collapsed="false">
      <c r="B306" s="7" t="s">
        <v>14951</v>
      </c>
      <c r="C306" s="7" t="s">
        <v>803</v>
      </c>
      <c r="D306" s="7" t="s">
        <v>313</v>
      </c>
      <c r="E306" s="7" t="s">
        <v>156</v>
      </c>
      <c r="F306" s="39" t="n">
        <v>45673</v>
      </c>
      <c r="G306" s="41" t="n">
        <v>137.02</v>
      </c>
      <c r="H306" s="39" t="n">
        <v>45684</v>
      </c>
      <c r="I306" s="7" t="s">
        <v>14651</v>
      </c>
      <c r="J306" s="8" t="str">
        <f aca="false">IF(I306="Open",DATE(2025,12,31)-F306,"-")</f>
        <v>-</v>
      </c>
    </row>
    <row r="307" customFormat="false" ht="15" hidden="false" customHeight="false" outlineLevel="0" collapsed="false">
      <c r="B307" s="7" t="s">
        <v>14952</v>
      </c>
      <c r="C307" s="7" t="s">
        <v>804</v>
      </c>
      <c r="D307" s="7" t="s">
        <v>317</v>
      </c>
      <c r="E307" s="7" t="s">
        <v>156</v>
      </c>
      <c r="F307" s="39" t="n">
        <v>45673</v>
      </c>
      <c r="G307" s="41" t="n">
        <v>101.32</v>
      </c>
      <c r="H307" s="39" t="n">
        <v>45687</v>
      </c>
      <c r="I307" s="7" t="s">
        <v>14651</v>
      </c>
      <c r="J307" s="8" t="str">
        <f aca="false">IF(I307="Open",DATE(2025,12,31)-F307,"-")</f>
        <v>-</v>
      </c>
    </row>
    <row r="308" customFormat="false" ht="15" hidden="false" customHeight="false" outlineLevel="0" collapsed="false">
      <c r="B308" s="7" t="s">
        <v>14953</v>
      </c>
      <c r="C308" s="7" t="s">
        <v>805</v>
      </c>
      <c r="D308" s="7" t="s">
        <v>321</v>
      </c>
      <c r="E308" s="7" t="s">
        <v>154</v>
      </c>
      <c r="F308" s="39" t="n">
        <v>45673</v>
      </c>
      <c r="G308" s="41" t="n">
        <v>115.54</v>
      </c>
      <c r="H308" s="39" t="n">
        <v>45715</v>
      </c>
      <c r="I308" s="7" t="s">
        <v>14651</v>
      </c>
      <c r="J308" s="8" t="str">
        <f aca="false">IF(I308="Open",DATE(2025,12,31)-F308,"-")</f>
        <v>-</v>
      </c>
    </row>
    <row r="309" customFormat="false" ht="15" hidden="false" customHeight="false" outlineLevel="0" collapsed="false">
      <c r="B309" s="7" t="s">
        <v>14954</v>
      </c>
      <c r="C309" s="7" t="s">
        <v>806</v>
      </c>
      <c r="D309" s="7" t="s">
        <v>325</v>
      </c>
      <c r="E309" s="7" t="s">
        <v>154</v>
      </c>
      <c r="F309" s="39" t="n">
        <v>45673</v>
      </c>
      <c r="G309" s="41" t="n">
        <v>76.06</v>
      </c>
      <c r="H309" s="39" t="n">
        <v>45713</v>
      </c>
      <c r="I309" s="7" t="s">
        <v>14651</v>
      </c>
      <c r="J309" s="8" t="str">
        <f aca="false">IF(I309="Open",DATE(2025,12,31)-F309,"-")</f>
        <v>-</v>
      </c>
    </row>
    <row r="310" customFormat="false" ht="15" hidden="false" customHeight="false" outlineLevel="0" collapsed="false">
      <c r="B310" s="7" t="s">
        <v>14955</v>
      </c>
      <c r="C310" s="7" t="s">
        <v>807</v>
      </c>
      <c r="D310" s="7" t="s">
        <v>329</v>
      </c>
      <c r="E310" s="7" t="s">
        <v>156</v>
      </c>
      <c r="F310" s="39" t="n">
        <v>45673</v>
      </c>
      <c r="G310" s="41" t="n">
        <v>148.58</v>
      </c>
      <c r="H310" s="39" t="n">
        <v>45690</v>
      </c>
      <c r="I310" s="7" t="s">
        <v>14651</v>
      </c>
      <c r="J310" s="8" t="str">
        <f aca="false">IF(I310="Open",DATE(2025,12,31)-F310,"-")</f>
        <v>-</v>
      </c>
    </row>
    <row r="311" customFormat="false" ht="15" hidden="false" customHeight="false" outlineLevel="0" collapsed="false">
      <c r="B311" s="7" t="s">
        <v>14956</v>
      </c>
      <c r="C311" s="7" t="s">
        <v>808</v>
      </c>
      <c r="D311" s="7" t="s">
        <v>331</v>
      </c>
      <c r="E311" s="7" t="s">
        <v>156</v>
      </c>
      <c r="F311" s="39" t="n">
        <v>45673</v>
      </c>
      <c r="G311" s="41" t="n">
        <v>126.14</v>
      </c>
      <c r="H311" s="39" t="n">
        <v>45687</v>
      </c>
      <c r="I311" s="7" t="s">
        <v>14651</v>
      </c>
      <c r="J311" s="8" t="str">
        <f aca="false">IF(I311="Open",DATE(2025,12,31)-F311,"-")</f>
        <v>-</v>
      </c>
    </row>
    <row r="312" customFormat="false" ht="15" hidden="false" customHeight="false" outlineLevel="0" collapsed="false">
      <c r="B312" s="7" t="s">
        <v>14957</v>
      </c>
      <c r="C312" s="7" t="s">
        <v>809</v>
      </c>
      <c r="D312" s="7" t="s">
        <v>337</v>
      </c>
      <c r="E312" s="7" t="s">
        <v>154</v>
      </c>
      <c r="F312" s="39" t="n">
        <v>45673</v>
      </c>
      <c r="G312" s="41" t="n">
        <v>82.76</v>
      </c>
      <c r="H312" s="39" t="n">
        <v>45789</v>
      </c>
      <c r="I312" s="7" t="s">
        <v>14651</v>
      </c>
      <c r="J312" s="8" t="str">
        <f aca="false">IF(I312="Open",DATE(2025,12,31)-F312,"-")</f>
        <v>-</v>
      </c>
    </row>
    <row r="313" customFormat="false" ht="15" hidden="false" customHeight="false" outlineLevel="0" collapsed="false">
      <c r="B313" s="7" t="s">
        <v>14958</v>
      </c>
      <c r="C313" s="7" t="s">
        <v>810</v>
      </c>
      <c r="D313" s="7" t="s">
        <v>341</v>
      </c>
      <c r="E313" s="7" t="s">
        <v>156</v>
      </c>
      <c r="F313" s="39" t="n">
        <v>45673</v>
      </c>
      <c r="G313" s="41" t="n">
        <v>109.14</v>
      </c>
      <c r="H313" s="39" t="n">
        <v>45680</v>
      </c>
      <c r="I313" s="7" t="s">
        <v>14651</v>
      </c>
      <c r="J313" s="8" t="str">
        <f aca="false">IF(I313="Open",DATE(2025,12,31)-F313,"-")</f>
        <v>-</v>
      </c>
    </row>
    <row r="314" customFormat="false" ht="15" hidden="false" customHeight="false" outlineLevel="0" collapsed="false">
      <c r="B314" s="7" t="s">
        <v>14959</v>
      </c>
      <c r="C314" s="7" t="s">
        <v>811</v>
      </c>
      <c r="D314" s="7" t="s">
        <v>343</v>
      </c>
      <c r="E314" s="7" t="s">
        <v>154</v>
      </c>
      <c r="F314" s="39" t="n">
        <v>45673</v>
      </c>
      <c r="G314" s="41" t="n">
        <v>111.56</v>
      </c>
      <c r="H314" s="39" t="n">
        <v>45787</v>
      </c>
      <c r="I314" s="7" t="s">
        <v>14651</v>
      </c>
      <c r="J314" s="8" t="str">
        <f aca="false">IF(I314="Open",DATE(2025,12,31)-F314,"-")</f>
        <v>-</v>
      </c>
    </row>
    <row r="315" customFormat="false" ht="15" hidden="false" customHeight="false" outlineLevel="0" collapsed="false">
      <c r="B315" s="7" t="s">
        <v>14960</v>
      </c>
      <c r="C315" s="7" t="s">
        <v>812</v>
      </c>
      <c r="D315" s="7" t="s">
        <v>359</v>
      </c>
      <c r="E315" s="7" t="s">
        <v>156</v>
      </c>
      <c r="F315" s="39" t="n">
        <v>45673</v>
      </c>
      <c r="G315" s="41" t="n">
        <v>126.48</v>
      </c>
      <c r="H315" s="39" t="n">
        <v>45691</v>
      </c>
      <c r="I315" s="7" t="s">
        <v>14651</v>
      </c>
      <c r="J315" s="8" t="str">
        <f aca="false">IF(I315="Open",DATE(2025,12,31)-F315,"-")</f>
        <v>-</v>
      </c>
    </row>
    <row r="316" customFormat="false" ht="15" hidden="false" customHeight="false" outlineLevel="0" collapsed="false">
      <c r="B316" s="7" t="s">
        <v>14961</v>
      </c>
      <c r="C316" s="7" t="s">
        <v>813</v>
      </c>
      <c r="D316" s="7" t="s">
        <v>363</v>
      </c>
      <c r="E316" s="7" t="s">
        <v>156</v>
      </c>
      <c r="F316" s="39" t="n">
        <v>45673</v>
      </c>
      <c r="G316" s="41" t="n">
        <v>128.52</v>
      </c>
      <c r="H316" s="39" t="n">
        <v>45685</v>
      </c>
      <c r="I316" s="7" t="s">
        <v>14651</v>
      </c>
      <c r="J316" s="8" t="str">
        <f aca="false">IF(I316="Open",DATE(2025,12,31)-F316,"-")</f>
        <v>-</v>
      </c>
    </row>
    <row r="317" customFormat="false" ht="15" hidden="false" customHeight="false" outlineLevel="0" collapsed="false">
      <c r="B317" s="7" t="s">
        <v>14962</v>
      </c>
      <c r="C317" s="7" t="s">
        <v>814</v>
      </c>
      <c r="D317" s="7" t="s">
        <v>375</v>
      </c>
      <c r="E317" s="7" t="s">
        <v>156</v>
      </c>
      <c r="F317" s="39" t="n">
        <v>45673</v>
      </c>
      <c r="G317" s="41" t="n">
        <v>92.48</v>
      </c>
      <c r="H317" s="39" t="n">
        <v>45688</v>
      </c>
      <c r="I317" s="7" t="s">
        <v>14651</v>
      </c>
      <c r="J317" s="8" t="str">
        <f aca="false">IF(I317="Open",DATE(2025,12,31)-F317,"-")</f>
        <v>-</v>
      </c>
    </row>
    <row r="318" customFormat="false" ht="15" hidden="false" customHeight="false" outlineLevel="0" collapsed="false">
      <c r="B318" s="7" t="s">
        <v>14963</v>
      </c>
      <c r="C318" s="7" t="s">
        <v>815</v>
      </c>
      <c r="D318" s="7" t="s">
        <v>377</v>
      </c>
      <c r="E318" s="7" t="s">
        <v>154</v>
      </c>
      <c r="F318" s="39" t="n">
        <v>45673</v>
      </c>
      <c r="G318" s="41" t="n">
        <v>100.44</v>
      </c>
      <c r="H318" s="39" t="n">
        <v>45717</v>
      </c>
      <c r="I318" s="7" t="s">
        <v>14651</v>
      </c>
      <c r="J318" s="8" t="str">
        <f aca="false">IF(I318="Open",DATE(2025,12,31)-F318,"-")</f>
        <v>-</v>
      </c>
    </row>
    <row r="319" customFormat="false" ht="15" hidden="false" customHeight="false" outlineLevel="0" collapsed="false">
      <c r="B319" s="7" t="s">
        <v>14964</v>
      </c>
      <c r="C319" s="7" t="s">
        <v>816</v>
      </c>
      <c r="D319" s="7" t="s">
        <v>389</v>
      </c>
      <c r="E319" s="7" t="s">
        <v>154</v>
      </c>
      <c r="F319" s="39" t="n">
        <v>45673</v>
      </c>
      <c r="G319" s="41" t="n">
        <v>95.93</v>
      </c>
      <c r="H319" s="39" t="n">
        <v>45725</v>
      </c>
      <c r="I319" s="7" t="s">
        <v>14651</v>
      </c>
      <c r="J319" s="8" t="str">
        <f aca="false">IF(I319="Open",DATE(2025,12,31)-F319,"-")</f>
        <v>-</v>
      </c>
    </row>
    <row r="320" customFormat="false" ht="15" hidden="false" customHeight="false" outlineLevel="0" collapsed="false">
      <c r="B320" s="7" t="s">
        <v>14965</v>
      </c>
      <c r="C320" s="7" t="s">
        <v>817</v>
      </c>
      <c r="D320" s="7" t="s">
        <v>391</v>
      </c>
      <c r="E320" s="7" t="s">
        <v>156</v>
      </c>
      <c r="F320" s="39" t="n">
        <v>45673</v>
      </c>
      <c r="G320" s="41" t="n">
        <v>140.08</v>
      </c>
      <c r="H320" s="39" t="n">
        <v>45681</v>
      </c>
      <c r="I320" s="7" t="s">
        <v>14651</v>
      </c>
      <c r="J320" s="8" t="str">
        <f aca="false">IF(I320="Open",DATE(2025,12,31)-F320,"-")</f>
        <v>-</v>
      </c>
    </row>
    <row r="321" customFormat="false" ht="15" hidden="false" customHeight="false" outlineLevel="0" collapsed="false">
      <c r="B321" s="7" t="s">
        <v>14966</v>
      </c>
      <c r="C321" s="7" t="s">
        <v>818</v>
      </c>
      <c r="D321" s="7" t="s">
        <v>395</v>
      </c>
      <c r="E321" s="7" t="s">
        <v>156</v>
      </c>
      <c r="F321" s="39" t="n">
        <v>45673</v>
      </c>
      <c r="G321" s="41" t="n">
        <v>130.22</v>
      </c>
      <c r="H321" s="39" t="n">
        <v>45691</v>
      </c>
      <c r="I321" s="7" t="s">
        <v>14651</v>
      </c>
      <c r="J321" s="8" t="str">
        <f aca="false">IF(I321="Open",DATE(2025,12,31)-F321,"-")</f>
        <v>-</v>
      </c>
    </row>
    <row r="322" customFormat="false" ht="15" hidden="false" customHeight="false" outlineLevel="0" collapsed="false">
      <c r="B322" s="7" t="s">
        <v>14967</v>
      </c>
      <c r="C322" s="7" t="s">
        <v>819</v>
      </c>
      <c r="D322" s="7" t="s">
        <v>401</v>
      </c>
      <c r="E322" s="7" t="s">
        <v>156</v>
      </c>
      <c r="F322" s="39" t="n">
        <v>45673</v>
      </c>
      <c r="G322" s="41" t="n">
        <v>126.14</v>
      </c>
      <c r="H322" s="39" t="n">
        <v>45684</v>
      </c>
      <c r="I322" s="7" t="s">
        <v>14651</v>
      </c>
      <c r="J322" s="8" t="str">
        <f aca="false">IF(I322="Open",DATE(2025,12,31)-F322,"-")</f>
        <v>-</v>
      </c>
    </row>
    <row r="323" customFormat="false" ht="15" hidden="false" customHeight="false" outlineLevel="0" collapsed="false">
      <c r="B323" s="7" t="s">
        <v>14968</v>
      </c>
      <c r="C323" s="7" t="s">
        <v>820</v>
      </c>
      <c r="D323" s="7" t="s">
        <v>280</v>
      </c>
      <c r="E323" s="7" t="s">
        <v>157</v>
      </c>
      <c r="F323" s="39" t="n">
        <v>45674</v>
      </c>
      <c r="G323" s="41" t="n">
        <v>148.5</v>
      </c>
      <c r="H323" s="39" t="n">
        <v>45705</v>
      </c>
      <c r="I323" s="7" t="s">
        <v>14651</v>
      </c>
      <c r="J323" s="8" t="str">
        <f aca="false">IF(I323="Open",DATE(2025,12,31)-F323,"-")</f>
        <v>-</v>
      </c>
    </row>
    <row r="324" customFormat="false" ht="15" hidden="false" customHeight="false" outlineLevel="0" collapsed="false">
      <c r="B324" s="7" t="s">
        <v>14969</v>
      </c>
      <c r="C324" s="7" t="s">
        <v>821</v>
      </c>
      <c r="D324" s="7" t="s">
        <v>288</v>
      </c>
      <c r="E324" s="7" t="s">
        <v>156</v>
      </c>
      <c r="F324" s="39" t="n">
        <v>45674</v>
      </c>
      <c r="G324" s="41" t="n">
        <v>145.18</v>
      </c>
      <c r="H324" s="39" t="n">
        <v>45685</v>
      </c>
      <c r="I324" s="7" t="s">
        <v>14651</v>
      </c>
      <c r="J324" s="8" t="str">
        <f aca="false">IF(I324="Open",DATE(2025,12,31)-F324,"-")</f>
        <v>-</v>
      </c>
    </row>
    <row r="325" customFormat="false" ht="15" hidden="false" customHeight="false" outlineLevel="0" collapsed="false">
      <c r="B325" s="7" t="s">
        <v>14970</v>
      </c>
      <c r="C325" s="7" t="s">
        <v>822</v>
      </c>
      <c r="D325" s="7" t="s">
        <v>291</v>
      </c>
      <c r="E325" s="7" t="s">
        <v>154</v>
      </c>
      <c r="F325" s="39" t="n">
        <v>45674</v>
      </c>
      <c r="G325" s="41" t="n">
        <v>124.29</v>
      </c>
      <c r="H325" s="39" t="n">
        <v>45722</v>
      </c>
      <c r="I325" s="7" t="s">
        <v>14651</v>
      </c>
      <c r="J325" s="8" t="str">
        <f aca="false">IF(I325="Open",DATE(2025,12,31)-F325,"-")</f>
        <v>-</v>
      </c>
    </row>
    <row r="326" customFormat="false" ht="15" hidden="false" customHeight="false" outlineLevel="0" collapsed="false">
      <c r="B326" s="7" t="s">
        <v>14971</v>
      </c>
      <c r="C326" s="7" t="s">
        <v>823</v>
      </c>
      <c r="D326" s="7" t="s">
        <v>301</v>
      </c>
      <c r="E326" s="7" t="s">
        <v>157</v>
      </c>
      <c r="F326" s="39" t="n">
        <v>45674</v>
      </c>
      <c r="G326" s="41" t="n">
        <v>158.4</v>
      </c>
      <c r="H326" s="39" t="n">
        <v>45759</v>
      </c>
      <c r="I326" s="7" t="s">
        <v>14651</v>
      </c>
      <c r="J326" s="8" t="str">
        <f aca="false">IF(I326="Open",DATE(2025,12,31)-F326,"-")</f>
        <v>-</v>
      </c>
    </row>
    <row r="327" customFormat="false" ht="15" hidden="false" customHeight="false" outlineLevel="0" collapsed="false">
      <c r="B327" s="7" t="s">
        <v>14972</v>
      </c>
      <c r="C327" s="7" t="s">
        <v>824</v>
      </c>
      <c r="D327" s="7" t="s">
        <v>305</v>
      </c>
      <c r="E327" s="7" t="s">
        <v>154</v>
      </c>
      <c r="F327" s="39" t="n">
        <v>45674</v>
      </c>
      <c r="G327" s="41" t="n">
        <v>108.99</v>
      </c>
      <c r="H327" s="39" t="n">
        <v>45720</v>
      </c>
      <c r="I327" s="7" t="s">
        <v>14651</v>
      </c>
      <c r="J327" s="8" t="str">
        <f aca="false">IF(I327="Open",DATE(2025,12,31)-F327,"-")</f>
        <v>-</v>
      </c>
    </row>
    <row r="328" customFormat="false" ht="15" hidden="false" customHeight="false" outlineLevel="0" collapsed="false">
      <c r="B328" s="7" t="s">
        <v>14973</v>
      </c>
      <c r="C328" s="7" t="s">
        <v>825</v>
      </c>
      <c r="D328" s="7" t="s">
        <v>309</v>
      </c>
      <c r="E328" s="7" t="s">
        <v>159</v>
      </c>
      <c r="F328" s="39" t="n">
        <v>45674</v>
      </c>
      <c r="G328" s="41" t="n">
        <v>135.54</v>
      </c>
      <c r="H328" s="39" t="n">
        <v>45733</v>
      </c>
      <c r="I328" s="7" t="s">
        <v>14651</v>
      </c>
      <c r="J328" s="8" t="str">
        <f aca="false">IF(I328="Open",DATE(2025,12,31)-F328,"-")</f>
        <v>-</v>
      </c>
    </row>
    <row r="329" customFormat="false" ht="15" hidden="false" customHeight="false" outlineLevel="0" collapsed="false">
      <c r="B329" s="7" t="s">
        <v>14974</v>
      </c>
      <c r="C329" s="7" t="s">
        <v>826</v>
      </c>
      <c r="D329" s="7" t="s">
        <v>313</v>
      </c>
      <c r="E329" s="7" t="s">
        <v>156</v>
      </c>
      <c r="F329" s="39" t="n">
        <v>45674</v>
      </c>
      <c r="G329" s="41" t="n">
        <v>136.34</v>
      </c>
      <c r="H329" s="39" t="n">
        <v>45689</v>
      </c>
      <c r="I329" s="7" t="s">
        <v>14651</v>
      </c>
      <c r="J329" s="8" t="str">
        <f aca="false">IF(I329="Open",DATE(2025,12,31)-F329,"-")</f>
        <v>-</v>
      </c>
    </row>
    <row r="330" customFormat="false" ht="15" hidden="false" customHeight="false" outlineLevel="0" collapsed="false">
      <c r="B330" s="7" t="s">
        <v>14975</v>
      </c>
      <c r="C330" s="7" t="s">
        <v>827</v>
      </c>
      <c r="D330" s="7" t="s">
        <v>319</v>
      </c>
      <c r="E330" s="7" t="s">
        <v>157</v>
      </c>
      <c r="F330" s="39" t="n">
        <v>45674</v>
      </c>
      <c r="G330" s="41" t="n">
        <v>163.35</v>
      </c>
      <c r="H330" s="39" t="n">
        <v>45728</v>
      </c>
      <c r="I330" s="7" t="s">
        <v>14651</v>
      </c>
      <c r="J330" s="8" t="str">
        <f aca="false">IF(I330="Open",DATE(2025,12,31)-F330,"-")</f>
        <v>-</v>
      </c>
    </row>
    <row r="331" customFormat="false" ht="15" hidden="false" customHeight="false" outlineLevel="0" collapsed="false">
      <c r="B331" s="7" t="s">
        <v>14976</v>
      </c>
      <c r="C331" s="7" t="s">
        <v>828</v>
      </c>
      <c r="D331" s="7" t="s">
        <v>321</v>
      </c>
      <c r="E331" s="7" t="s">
        <v>154</v>
      </c>
      <c r="F331" s="39" t="n">
        <v>45674</v>
      </c>
      <c r="G331" s="41" t="n">
        <v>101.02</v>
      </c>
      <c r="H331" s="39" t="n">
        <v>45769</v>
      </c>
      <c r="I331" s="7" t="s">
        <v>14651</v>
      </c>
      <c r="J331" s="8" t="str">
        <f aca="false">IF(I331="Open",DATE(2025,12,31)-F331,"-")</f>
        <v>-</v>
      </c>
    </row>
    <row r="332" customFormat="false" ht="15" hidden="false" customHeight="false" outlineLevel="0" collapsed="false">
      <c r="B332" s="7" t="s">
        <v>14977</v>
      </c>
      <c r="C332" s="7" t="s">
        <v>829</v>
      </c>
      <c r="D332" s="7" t="s">
        <v>323</v>
      </c>
      <c r="E332" s="7" t="s">
        <v>159</v>
      </c>
      <c r="F332" s="39" t="n">
        <v>45674</v>
      </c>
      <c r="G332" s="41" t="n">
        <v>147.15</v>
      </c>
      <c r="H332" s="39" t="n">
        <v>45711</v>
      </c>
      <c r="I332" s="7" t="s">
        <v>14651</v>
      </c>
      <c r="J332" s="8" t="str">
        <f aca="false">IF(I332="Open",DATE(2025,12,31)-F332,"-")</f>
        <v>-</v>
      </c>
    </row>
    <row r="333" customFormat="false" ht="15" hidden="false" customHeight="false" outlineLevel="0" collapsed="false">
      <c r="B333" s="7" t="s">
        <v>14978</v>
      </c>
      <c r="C333" s="7" t="s">
        <v>830</v>
      </c>
      <c r="D333" s="7" t="s">
        <v>327</v>
      </c>
      <c r="E333" s="7" t="s">
        <v>157</v>
      </c>
      <c r="F333" s="39" t="n">
        <v>45674</v>
      </c>
      <c r="G333" s="41" t="n">
        <v>165</v>
      </c>
      <c r="H333" s="39" t="n">
        <v>45725</v>
      </c>
      <c r="I333" s="7" t="s">
        <v>14651</v>
      </c>
      <c r="J333" s="8" t="str">
        <f aca="false">IF(I333="Open",DATE(2025,12,31)-F333,"-")</f>
        <v>-</v>
      </c>
    </row>
    <row r="334" customFormat="false" ht="15" hidden="false" customHeight="false" outlineLevel="0" collapsed="false">
      <c r="B334" s="7" t="s">
        <v>14979</v>
      </c>
      <c r="C334" s="7" t="s">
        <v>831</v>
      </c>
      <c r="D334" s="7" t="s">
        <v>329</v>
      </c>
      <c r="E334" s="7" t="s">
        <v>156</v>
      </c>
      <c r="F334" s="39" t="n">
        <v>45674</v>
      </c>
      <c r="G334" s="41" t="n">
        <v>132.94</v>
      </c>
      <c r="H334" s="39" t="n">
        <v>45683</v>
      </c>
      <c r="I334" s="7" t="s">
        <v>14651</v>
      </c>
      <c r="J334" s="8" t="str">
        <f aca="false">IF(I334="Open",DATE(2025,12,31)-F334,"-")</f>
        <v>-</v>
      </c>
    </row>
    <row r="335" customFormat="false" ht="15" hidden="false" customHeight="false" outlineLevel="0" collapsed="false">
      <c r="B335" s="7" t="s">
        <v>14980</v>
      </c>
      <c r="C335" s="7" t="s">
        <v>832</v>
      </c>
      <c r="D335" s="7" t="s">
        <v>335</v>
      </c>
      <c r="E335" s="7" t="s">
        <v>154</v>
      </c>
      <c r="F335" s="39" t="n">
        <v>45674</v>
      </c>
      <c r="G335" s="41" t="n">
        <v>112.6</v>
      </c>
      <c r="H335" s="39" t="n">
        <v>45706</v>
      </c>
      <c r="I335" s="7" t="s">
        <v>14651</v>
      </c>
      <c r="J335" s="8" t="str">
        <f aca="false">IF(I335="Open",DATE(2025,12,31)-F335,"-")</f>
        <v>-</v>
      </c>
    </row>
    <row r="336" customFormat="false" ht="15" hidden="false" customHeight="false" outlineLevel="0" collapsed="false">
      <c r="B336" s="7" t="s">
        <v>14981</v>
      </c>
      <c r="C336" s="7" t="s">
        <v>833</v>
      </c>
      <c r="D336" s="7" t="s">
        <v>339</v>
      </c>
      <c r="E336" s="7" t="s">
        <v>154</v>
      </c>
      <c r="F336" s="39" t="n">
        <v>45674</v>
      </c>
      <c r="G336" s="41" t="n">
        <v>93.55</v>
      </c>
      <c r="H336" s="39" t="n">
        <v>45703</v>
      </c>
      <c r="I336" s="7" t="s">
        <v>14651</v>
      </c>
      <c r="J336" s="8" t="str">
        <f aca="false">IF(I336="Open",DATE(2025,12,31)-F336,"-")</f>
        <v>-</v>
      </c>
    </row>
    <row r="337" customFormat="false" ht="15" hidden="false" customHeight="false" outlineLevel="0" collapsed="false">
      <c r="B337" s="7" t="s">
        <v>14982</v>
      </c>
      <c r="C337" s="7" t="s">
        <v>834</v>
      </c>
      <c r="D337" s="7" t="s">
        <v>353</v>
      </c>
      <c r="E337" s="7" t="s">
        <v>154</v>
      </c>
      <c r="F337" s="39" t="n">
        <v>45674</v>
      </c>
      <c r="G337" s="41" t="n">
        <v>90.63</v>
      </c>
      <c r="H337" s="39" t="n">
        <v>45737</v>
      </c>
      <c r="I337" s="7" t="s">
        <v>14651</v>
      </c>
      <c r="J337" s="8" t="str">
        <f aca="false">IF(I337="Open",DATE(2025,12,31)-F337,"-")</f>
        <v>-</v>
      </c>
    </row>
    <row r="338" customFormat="false" ht="15" hidden="false" customHeight="false" outlineLevel="0" collapsed="false">
      <c r="B338" s="7" t="s">
        <v>14983</v>
      </c>
      <c r="C338" s="7" t="s">
        <v>835</v>
      </c>
      <c r="D338" s="7" t="s">
        <v>355</v>
      </c>
      <c r="E338" s="7" t="s">
        <v>154</v>
      </c>
      <c r="F338" s="39" t="n">
        <v>45674</v>
      </c>
      <c r="G338" s="41" t="n">
        <v>85.33</v>
      </c>
      <c r="H338" s="39" t="n">
        <v>45745</v>
      </c>
      <c r="I338" s="7" t="s">
        <v>14651</v>
      </c>
      <c r="J338" s="8" t="str">
        <f aca="false">IF(I338="Open",DATE(2025,12,31)-F338,"-")</f>
        <v>-</v>
      </c>
    </row>
    <row r="339" customFormat="false" ht="15" hidden="false" customHeight="false" outlineLevel="0" collapsed="false">
      <c r="B339" s="7" t="s">
        <v>14984</v>
      </c>
      <c r="C339" s="7" t="s">
        <v>836</v>
      </c>
      <c r="D339" s="7" t="s">
        <v>357</v>
      </c>
      <c r="E339" s="7" t="s">
        <v>154</v>
      </c>
      <c r="F339" s="39" t="n">
        <v>45674</v>
      </c>
      <c r="G339" s="41" t="n">
        <v>93.81</v>
      </c>
      <c r="H339" s="39" t="n">
        <v>45770</v>
      </c>
      <c r="I339" s="7" t="s">
        <v>14651</v>
      </c>
      <c r="J339" s="8" t="str">
        <f aca="false">IF(I339="Open",DATE(2025,12,31)-F339,"-")</f>
        <v>-</v>
      </c>
    </row>
    <row r="340" customFormat="false" ht="15" hidden="false" customHeight="false" outlineLevel="0" collapsed="false">
      <c r="B340" s="7" t="s">
        <v>14985</v>
      </c>
      <c r="C340" s="7" t="s">
        <v>837</v>
      </c>
      <c r="D340" s="7" t="s">
        <v>359</v>
      </c>
      <c r="E340" s="7" t="s">
        <v>156</v>
      </c>
      <c r="F340" s="39" t="n">
        <v>45674</v>
      </c>
      <c r="G340" s="41" t="n">
        <v>134.98</v>
      </c>
      <c r="H340" s="39" t="n">
        <v>45680</v>
      </c>
      <c r="I340" s="7" t="s">
        <v>14651</v>
      </c>
      <c r="J340" s="8" t="str">
        <f aca="false">IF(I340="Open",DATE(2025,12,31)-F340,"-")</f>
        <v>-</v>
      </c>
    </row>
    <row r="341" customFormat="false" ht="15" hidden="false" customHeight="false" outlineLevel="0" collapsed="false">
      <c r="B341" s="7" t="s">
        <v>14986</v>
      </c>
      <c r="C341" s="7" t="s">
        <v>838</v>
      </c>
      <c r="D341" s="7" t="s">
        <v>361</v>
      </c>
      <c r="E341" s="7" t="s">
        <v>157</v>
      </c>
      <c r="F341" s="39" t="n">
        <v>45674</v>
      </c>
      <c r="G341" s="41" t="n">
        <v>174.9</v>
      </c>
      <c r="H341" s="39" t="n">
        <v>45771</v>
      </c>
      <c r="I341" s="7" t="s">
        <v>14651</v>
      </c>
      <c r="J341" s="8" t="str">
        <f aca="false">IF(I341="Open",DATE(2025,12,31)-F341,"-")</f>
        <v>-</v>
      </c>
    </row>
    <row r="342" customFormat="false" ht="15" hidden="false" customHeight="false" outlineLevel="0" collapsed="false">
      <c r="B342" s="7" t="s">
        <v>14987</v>
      </c>
      <c r="C342" s="7" t="s">
        <v>839</v>
      </c>
      <c r="D342" s="7" t="s">
        <v>371</v>
      </c>
      <c r="E342" s="7" t="s">
        <v>154</v>
      </c>
      <c r="F342" s="39" t="n">
        <v>45674</v>
      </c>
      <c r="G342" s="41" t="n">
        <v>119.01</v>
      </c>
      <c r="H342" s="39" t="n">
        <v>45731</v>
      </c>
      <c r="I342" s="7" t="s">
        <v>14651</v>
      </c>
      <c r="J342" s="8" t="str">
        <f aca="false">IF(I342="Open",DATE(2025,12,31)-F342,"-")</f>
        <v>-</v>
      </c>
    </row>
    <row r="343" customFormat="false" ht="15" hidden="false" customHeight="false" outlineLevel="0" collapsed="false">
      <c r="B343" s="7" t="s">
        <v>14988</v>
      </c>
      <c r="C343" s="7" t="s">
        <v>840</v>
      </c>
      <c r="D343" s="7" t="s">
        <v>379</v>
      </c>
      <c r="E343" s="7" t="s">
        <v>156</v>
      </c>
      <c r="F343" s="39" t="n">
        <v>45674</v>
      </c>
      <c r="G343" s="41" t="n">
        <v>149.26</v>
      </c>
      <c r="H343" s="39" t="n">
        <v>45686</v>
      </c>
      <c r="I343" s="7" t="s">
        <v>14651</v>
      </c>
      <c r="J343" s="8" t="str">
        <f aca="false">IF(I343="Open",DATE(2025,12,31)-F343,"-")</f>
        <v>-</v>
      </c>
    </row>
    <row r="344" customFormat="false" ht="15" hidden="false" customHeight="false" outlineLevel="0" collapsed="false">
      <c r="B344" s="7" t="s">
        <v>14989</v>
      </c>
      <c r="C344" s="7" t="s">
        <v>841</v>
      </c>
      <c r="D344" s="7" t="s">
        <v>381</v>
      </c>
      <c r="E344" s="7" t="s">
        <v>157</v>
      </c>
      <c r="F344" s="39" t="n">
        <v>45674</v>
      </c>
      <c r="G344" s="41" t="n">
        <v>165</v>
      </c>
      <c r="H344" s="39" t="n">
        <v>45731</v>
      </c>
      <c r="I344" s="7" t="s">
        <v>14651</v>
      </c>
      <c r="J344" s="8" t="str">
        <f aca="false">IF(I344="Open",DATE(2025,12,31)-F344,"-")</f>
        <v>-</v>
      </c>
    </row>
    <row r="345" customFormat="false" ht="15" hidden="false" customHeight="false" outlineLevel="0" collapsed="false">
      <c r="B345" s="7" t="s">
        <v>14990</v>
      </c>
      <c r="C345" s="7" t="s">
        <v>842</v>
      </c>
      <c r="D345" s="7" t="s">
        <v>389</v>
      </c>
      <c r="E345" s="7" t="s">
        <v>154</v>
      </c>
      <c r="F345" s="39" t="n">
        <v>45674</v>
      </c>
      <c r="G345" s="41" t="n">
        <v>100.7</v>
      </c>
      <c r="H345" s="39" t="n">
        <v>45751</v>
      </c>
      <c r="I345" s="7" t="s">
        <v>14651</v>
      </c>
      <c r="J345" s="8" t="str">
        <f aca="false">IF(I345="Open",DATE(2025,12,31)-F345,"-")</f>
        <v>-</v>
      </c>
    </row>
    <row r="346" customFormat="false" ht="15" hidden="false" customHeight="false" outlineLevel="0" collapsed="false">
      <c r="B346" s="7" t="s">
        <v>14991</v>
      </c>
      <c r="C346" s="7" t="s">
        <v>843</v>
      </c>
      <c r="D346" s="7" t="s">
        <v>391</v>
      </c>
      <c r="E346" s="7" t="s">
        <v>156</v>
      </c>
      <c r="F346" s="39" t="n">
        <v>45674</v>
      </c>
      <c r="G346" s="41" t="n">
        <v>132.26</v>
      </c>
      <c r="H346" s="39" t="n">
        <v>45677</v>
      </c>
      <c r="I346" s="7" t="s">
        <v>14651</v>
      </c>
      <c r="J346" s="8" t="str">
        <f aca="false">IF(I346="Open",DATE(2025,12,31)-F346,"-")</f>
        <v>-</v>
      </c>
    </row>
    <row r="347" customFormat="false" ht="15" hidden="false" customHeight="false" outlineLevel="0" collapsed="false">
      <c r="B347" s="7" t="s">
        <v>14992</v>
      </c>
      <c r="C347" s="7" t="s">
        <v>844</v>
      </c>
      <c r="D347" s="7" t="s">
        <v>395</v>
      </c>
      <c r="E347" s="7" t="s">
        <v>156</v>
      </c>
      <c r="F347" s="39" t="n">
        <v>45674</v>
      </c>
      <c r="G347" s="41" t="n">
        <v>131.58</v>
      </c>
      <c r="H347" s="39" t="n">
        <v>45692</v>
      </c>
      <c r="I347" s="7" t="s">
        <v>14651</v>
      </c>
      <c r="J347" s="8" t="str">
        <f aca="false">IF(I347="Open",DATE(2025,12,31)-F347,"-")</f>
        <v>-</v>
      </c>
    </row>
    <row r="348" customFormat="false" ht="15" hidden="false" customHeight="false" outlineLevel="0" collapsed="false">
      <c r="B348" s="7" t="s">
        <v>14993</v>
      </c>
      <c r="C348" s="7" t="s">
        <v>845</v>
      </c>
      <c r="D348" s="7" t="s">
        <v>399</v>
      </c>
      <c r="E348" s="7" t="s">
        <v>154</v>
      </c>
      <c r="F348" s="39" t="n">
        <v>45674</v>
      </c>
      <c r="G348" s="41" t="n">
        <v>95.13</v>
      </c>
      <c r="H348" s="39" t="n">
        <v>45736</v>
      </c>
      <c r="I348" s="7" t="s">
        <v>14651</v>
      </c>
      <c r="J348" s="8" t="str">
        <f aca="false">IF(I348="Open",DATE(2025,12,31)-F348,"-")</f>
        <v>-</v>
      </c>
    </row>
    <row r="349" customFormat="false" ht="15" hidden="false" customHeight="false" outlineLevel="0" collapsed="false">
      <c r="B349" s="7" t="s">
        <v>14994</v>
      </c>
      <c r="C349" s="7" t="s">
        <v>846</v>
      </c>
      <c r="D349" s="7" t="s">
        <v>401</v>
      </c>
      <c r="E349" s="7" t="s">
        <v>156</v>
      </c>
      <c r="F349" s="39" t="n">
        <v>45674</v>
      </c>
      <c r="G349" s="41" t="n">
        <v>132.94</v>
      </c>
      <c r="H349" s="39" t="n">
        <v>45680</v>
      </c>
      <c r="I349" s="7" t="s">
        <v>14651</v>
      </c>
      <c r="J349" s="8" t="str">
        <f aca="false">IF(I349="Open",DATE(2025,12,31)-F349,"-")</f>
        <v>-</v>
      </c>
    </row>
    <row r="350" customFormat="false" ht="15" hidden="false" customHeight="false" outlineLevel="0" collapsed="false">
      <c r="B350" s="7" t="s">
        <v>14995</v>
      </c>
      <c r="C350" s="7" t="s">
        <v>847</v>
      </c>
      <c r="D350" s="7" t="s">
        <v>407</v>
      </c>
      <c r="E350" s="7" t="s">
        <v>159</v>
      </c>
      <c r="F350" s="39" t="n">
        <v>45674</v>
      </c>
      <c r="G350" s="41" t="n">
        <v>135</v>
      </c>
      <c r="H350" s="39" t="n">
        <v>45742</v>
      </c>
      <c r="I350" s="7" t="s">
        <v>14651</v>
      </c>
      <c r="J350" s="8" t="str">
        <f aca="false">IF(I350="Open",DATE(2025,12,31)-F350,"-")</f>
        <v>-</v>
      </c>
    </row>
    <row r="351" customFormat="false" ht="15" hidden="false" customHeight="false" outlineLevel="0" collapsed="false">
      <c r="B351" s="7" t="s">
        <v>14996</v>
      </c>
      <c r="C351" s="7" t="s">
        <v>848</v>
      </c>
      <c r="D351" s="7" t="s">
        <v>409</v>
      </c>
      <c r="E351" s="7" t="s">
        <v>154</v>
      </c>
      <c r="F351" s="39" t="n">
        <v>45674</v>
      </c>
      <c r="G351" s="41" t="n">
        <v>90.74</v>
      </c>
      <c r="H351" s="39" t="n">
        <v>45793</v>
      </c>
      <c r="I351" s="7" t="s">
        <v>14651</v>
      </c>
      <c r="J351" s="8" t="str">
        <f aca="false">IF(I351="Open",DATE(2025,12,31)-F351,"-")</f>
        <v>-</v>
      </c>
    </row>
    <row r="352" customFormat="false" ht="15" hidden="false" customHeight="false" outlineLevel="0" collapsed="false">
      <c r="B352" s="7" t="s">
        <v>14997</v>
      </c>
      <c r="C352" s="7" t="s">
        <v>849</v>
      </c>
      <c r="D352" s="7" t="s">
        <v>411</v>
      </c>
      <c r="E352" s="7" t="s">
        <v>154</v>
      </c>
      <c r="F352" s="39" t="n">
        <v>45674</v>
      </c>
      <c r="G352" s="41" t="n">
        <v>126.14</v>
      </c>
      <c r="H352" s="39" t="n">
        <v>45728</v>
      </c>
      <c r="I352" s="7" t="s">
        <v>14651</v>
      </c>
      <c r="J352" s="8" t="str">
        <f aca="false">IF(I352="Open",DATE(2025,12,31)-F352,"-")</f>
        <v>-</v>
      </c>
    </row>
    <row r="353" customFormat="false" ht="15" hidden="false" customHeight="false" outlineLevel="0" collapsed="false">
      <c r="B353" s="7" t="s">
        <v>14998</v>
      </c>
      <c r="C353" s="7" t="s">
        <v>850</v>
      </c>
      <c r="D353" s="7" t="s">
        <v>288</v>
      </c>
      <c r="E353" s="7" t="s">
        <v>156</v>
      </c>
      <c r="F353" s="39" t="n">
        <v>45675</v>
      </c>
      <c r="G353" s="41" t="n">
        <v>131.24</v>
      </c>
      <c r="H353" s="39" t="n">
        <v>45696</v>
      </c>
      <c r="I353" s="7" t="s">
        <v>14651</v>
      </c>
      <c r="J353" s="8" t="str">
        <f aca="false">IF(I353="Open",DATE(2025,12,31)-F353,"-")</f>
        <v>-</v>
      </c>
    </row>
    <row r="354" customFormat="false" ht="15" hidden="false" customHeight="false" outlineLevel="0" collapsed="false">
      <c r="B354" s="7" t="s">
        <v>14999</v>
      </c>
      <c r="C354" s="7" t="s">
        <v>851</v>
      </c>
      <c r="D354" s="7" t="s">
        <v>321</v>
      </c>
      <c r="E354" s="7" t="s">
        <v>154</v>
      </c>
      <c r="F354" s="39" t="n">
        <v>45675</v>
      </c>
      <c r="G354" s="41" t="n">
        <v>102.03</v>
      </c>
      <c r="H354" s="39" t="n">
        <v>45776</v>
      </c>
      <c r="I354" s="7" t="s">
        <v>14651</v>
      </c>
      <c r="J354" s="8" t="str">
        <f aca="false">IF(I354="Open",DATE(2025,12,31)-F354,"-")</f>
        <v>-</v>
      </c>
    </row>
    <row r="355" customFormat="false" ht="15" hidden="false" customHeight="false" outlineLevel="0" collapsed="false">
      <c r="B355" s="7" t="s">
        <v>15000</v>
      </c>
      <c r="C355" s="7" t="s">
        <v>852</v>
      </c>
      <c r="D355" s="7" t="s">
        <v>359</v>
      </c>
      <c r="E355" s="7" t="s">
        <v>156</v>
      </c>
      <c r="F355" s="39" t="n">
        <v>45675</v>
      </c>
      <c r="G355" s="41" t="n">
        <v>141.1</v>
      </c>
      <c r="H355" s="39" t="n">
        <v>45693</v>
      </c>
      <c r="I355" s="7" t="s">
        <v>14651</v>
      </c>
      <c r="J355" s="8" t="str">
        <f aca="false">IF(I355="Open",DATE(2025,12,31)-F355,"-")</f>
        <v>-</v>
      </c>
    </row>
    <row r="356" customFormat="false" ht="15" hidden="false" customHeight="false" outlineLevel="0" collapsed="false">
      <c r="B356" s="7" t="s">
        <v>15001</v>
      </c>
      <c r="C356" s="7" t="s">
        <v>853</v>
      </c>
      <c r="D356" s="7" t="s">
        <v>391</v>
      </c>
      <c r="E356" s="7" t="s">
        <v>156</v>
      </c>
      <c r="F356" s="39" t="n">
        <v>45675</v>
      </c>
      <c r="G356" s="41" t="n">
        <v>146.2</v>
      </c>
      <c r="H356" s="39" t="n">
        <v>45684</v>
      </c>
      <c r="I356" s="7" t="s">
        <v>14651</v>
      </c>
      <c r="J356" s="8" t="str">
        <f aca="false">IF(I356="Open",DATE(2025,12,31)-F356,"-")</f>
        <v>-</v>
      </c>
    </row>
    <row r="357" customFormat="false" ht="15" hidden="false" customHeight="false" outlineLevel="0" collapsed="false">
      <c r="B357" s="7" t="s">
        <v>15002</v>
      </c>
      <c r="C357" s="7" t="s">
        <v>854</v>
      </c>
      <c r="D357" s="7" t="s">
        <v>395</v>
      </c>
      <c r="E357" s="7" t="s">
        <v>156</v>
      </c>
      <c r="F357" s="39" t="n">
        <v>45675</v>
      </c>
      <c r="G357" s="41" t="n">
        <v>129.88</v>
      </c>
      <c r="H357" s="39" t="n">
        <v>45688</v>
      </c>
      <c r="I357" s="7" t="s">
        <v>14651</v>
      </c>
      <c r="J357" s="8" t="str">
        <f aca="false">IF(I357="Open",DATE(2025,12,31)-F357,"-")</f>
        <v>-</v>
      </c>
    </row>
    <row r="358" customFormat="false" ht="15" hidden="false" customHeight="false" outlineLevel="0" collapsed="false">
      <c r="B358" s="7" t="s">
        <v>15003</v>
      </c>
      <c r="C358" s="7" t="s">
        <v>855</v>
      </c>
      <c r="D358" s="7" t="s">
        <v>401</v>
      </c>
      <c r="E358" s="7" t="s">
        <v>156</v>
      </c>
      <c r="F358" s="39" t="n">
        <v>45675</v>
      </c>
      <c r="G358" s="41" t="n">
        <v>124.44</v>
      </c>
      <c r="H358" s="39" t="n">
        <v>45695</v>
      </c>
      <c r="I358" s="7" t="s">
        <v>14651</v>
      </c>
      <c r="J358" s="8" t="str">
        <f aca="false">IF(I358="Open",DATE(2025,12,31)-F358,"-")</f>
        <v>-</v>
      </c>
    </row>
    <row r="359" customFormat="false" ht="15" hidden="false" customHeight="false" outlineLevel="0" collapsed="false">
      <c r="B359" s="7" t="s">
        <v>15004</v>
      </c>
      <c r="C359" s="7" t="s">
        <v>856</v>
      </c>
      <c r="D359" s="7" t="s">
        <v>288</v>
      </c>
      <c r="E359" s="7" t="s">
        <v>156</v>
      </c>
      <c r="F359" s="39" t="n">
        <v>45676</v>
      </c>
      <c r="G359" s="41" t="n">
        <v>144.16</v>
      </c>
      <c r="H359" s="39" t="n">
        <v>45687</v>
      </c>
      <c r="I359" s="7" t="s">
        <v>14651</v>
      </c>
      <c r="J359" s="8" t="str">
        <f aca="false">IF(I359="Open",DATE(2025,12,31)-F359,"-")</f>
        <v>-</v>
      </c>
    </row>
    <row r="360" customFormat="false" ht="15" hidden="false" customHeight="false" outlineLevel="0" collapsed="false">
      <c r="B360" s="7" t="s">
        <v>15005</v>
      </c>
      <c r="C360" s="7" t="s">
        <v>857</v>
      </c>
      <c r="D360" s="7" t="s">
        <v>321</v>
      </c>
      <c r="E360" s="7" t="s">
        <v>154</v>
      </c>
      <c r="F360" s="39" t="n">
        <v>45676</v>
      </c>
      <c r="G360" s="41" t="n">
        <v>98.31</v>
      </c>
      <c r="H360" s="39" t="n">
        <v>45738</v>
      </c>
      <c r="I360" s="7" t="s">
        <v>14651</v>
      </c>
      <c r="J360" s="8" t="str">
        <f aca="false">IF(I360="Open",DATE(2025,12,31)-F360,"-")</f>
        <v>-</v>
      </c>
    </row>
    <row r="361" customFormat="false" ht="15" hidden="false" customHeight="false" outlineLevel="0" collapsed="false">
      <c r="B361" s="7" t="s">
        <v>15006</v>
      </c>
      <c r="C361" s="7" t="s">
        <v>858</v>
      </c>
      <c r="D361" s="7" t="s">
        <v>359</v>
      </c>
      <c r="E361" s="7" t="s">
        <v>156</v>
      </c>
      <c r="F361" s="39" t="n">
        <v>45676</v>
      </c>
      <c r="G361" s="41" t="n">
        <v>123.42</v>
      </c>
      <c r="H361" s="39" t="n">
        <v>45689</v>
      </c>
      <c r="I361" s="7" t="s">
        <v>14651</v>
      </c>
      <c r="J361" s="8" t="str">
        <f aca="false">IF(I361="Open",DATE(2025,12,31)-F361,"-")</f>
        <v>-</v>
      </c>
    </row>
    <row r="362" customFormat="false" ht="15" hidden="false" customHeight="false" outlineLevel="0" collapsed="false">
      <c r="B362" s="7" t="s">
        <v>15007</v>
      </c>
      <c r="C362" s="7" t="s">
        <v>859</v>
      </c>
      <c r="D362" s="7" t="s">
        <v>391</v>
      </c>
      <c r="E362" s="7" t="s">
        <v>156</v>
      </c>
      <c r="F362" s="39" t="n">
        <v>45676</v>
      </c>
      <c r="G362" s="41" t="n">
        <v>132.26</v>
      </c>
      <c r="H362" s="39" t="n">
        <v>45690</v>
      </c>
      <c r="I362" s="7" t="s">
        <v>14651</v>
      </c>
      <c r="J362" s="8" t="str">
        <f aca="false">IF(I362="Open",DATE(2025,12,31)-F362,"-")</f>
        <v>-</v>
      </c>
    </row>
    <row r="363" customFormat="false" ht="15" hidden="false" customHeight="false" outlineLevel="0" collapsed="false">
      <c r="B363" s="7" t="s">
        <v>15008</v>
      </c>
      <c r="C363" s="7" t="s">
        <v>860</v>
      </c>
      <c r="D363" s="7" t="s">
        <v>395</v>
      </c>
      <c r="E363" s="7" t="s">
        <v>156</v>
      </c>
      <c r="F363" s="39" t="n">
        <v>45676</v>
      </c>
      <c r="G363" s="41" t="n">
        <v>138.72</v>
      </c>
      <c r="H363" s="39" t="n">
        <v>45689</v>
      </c>
      <c r="I363" s="7" t="s">
        <v>14651</v>
      </c>
      <c r="J363" s="8" t="str">
        <f aca="false">IF(I363="Open",DATE(2025,12,31)-F363,"-")</f>
        <v>-</v>
      </c>
    </row>
    <row r="364" customFormat="false" ht="15" hidden="false" customHeight="false" outlineLevel="0" collapsed="false">
      <c r="B364" s="7" t="s">
        <v>15009</v>
      </c>
      <c r="C364" s="7" t="s">
        <v>861</v>
      </c>
      <c r="D364" s="7" t="s">
        <v>401</v>
      </c>
      <c r="E364" s="7" t="s">
        <v>156</v>
      </c>
      <c r="F364" s="39" t="n">
        <v>45676</v>
      </c>
      <c r="G364" s="41" t="n">
        <v>132.6</v>
      </c>
      <c r="H364" s="39" t="n">
        <v>45682</v>
      </c>
      <c r="I364" s="7" t="s">
        <v>14651</v>
      </c>
      <c r="J364" s="8" t="str">
        <f aca="false">IF(I364="Open",DATE(2025,12,31)-F364,"-")</f>
        <v>-</v>
      </c>
    </row>
    <row r="365" customFormat="false" ht="15" hidden="false" customHeight="false" outlineLevel="0" collapsed="false">
      <c r="B365" s="7" t="s">
        <v>15010</v>
      </c>
      <c r="C365" s="7" t="s">
        <v>862</v>
      </c>
      <c r="D365" s="7" t="s">
        <v>280</v>
      </c>
      <c r="E365" s="7" t="s">
        <v>157</v>
      </c>
      <c r="F365" s="39" t="n">
        <v>45677</v>
      </c>
      <c r="G365" s="41" t="n">
        <v>166.65</v>
      </c>
      <c r="H365" s="39" t="n">
        <v>45721</v>
      </c>
      <c r="I365" s="7" t="s">
        <v>14651</v>
      </c>
      <c r="J365" s="8" t="str">
        <f aca="false">IF(I365="Open",DATE(2025,12,31)-F365,"-")</f>
        <v>-</v>
      </c>
    </row>
    <row r="366" customFormat="false" ht="15" hidden="false" customHeight="false" outlineLevel="0" collapsed="false">
      <c r="B366" s="7" t="s">
        <v>15011</v>
      </c>
      <c r="C366" s="7" t="s">
        <v>863</v>
      </c>
      <c r="D366" s="7" t="s">
        <v>288</v>
      </c>
      <c r="E366" s="7" t="s">
        <v>156</v>
      </c>
      <c r="F366" s="39" t="n">
        <v>45677</v>
      </c>
      <c r="G366" s="41" t="n">
        <v>129.2</v>
      </c>
      <c r="H366" s="39" t="n">
        <v>45688</v>
      </c>
      <c r="I366" s="7" t="s">
        <v>14651</v>
      </c>
      <c r="J366" s="8" t="str">
        <f aca="false">IF(I366="Open",DATE(2025,12,31)-F366,"-")</f>
        <v>-</v>
      </c>
    </row>
    <row r="367" customFormat="false" ht="15" hidden="false" customHeight="false" outlineLevel="0" collapsed="false">
      <c r="B367" s="7" t="s">
        <v>15012</v>
      </c>
      <c r="C367" s="7" t="s">
        <v>864</v>
      </c>
      <c r="D367" s="7" t="s">
        <v>291</v>
      </c>
      <c r="E367" s="7" t="s">
        <v>154</v>
      </c>
      <c r="F367" s="39" t="n">
        <v>45677</v>
      </c>
      <c r="G367" s="41" t="n">
        <v>123.75</v>
      </c>
      <c r="H367" s="39" t="n">
        <v>45714</v>
      </c>
      <c r="I367" s="7" t="s">
        <v>14651</v>
      </c>
      <c r="J367" s="8" t="str">
        <f aca="false">IF(I367="Open",DATE(2025,12,31)-F367,"-")</f>
        <v>-</v>
      </c>
    </row>
    <row r="368" customFormat="false" ht="15" hidden="false" customHeight="false" outlineLevel="0" collapsed="false">
      <c r="B368" s="7" t="s">
        <v>15013</v>
      </c>
      <c r="C368" s="7" t="s">
        <v>865</v>
      </c>
      <c r="D368" s="7" t="s">
        <v>297</v>
      </c>
      <c r="E368" s="7" t="s">
        <v>156</v>
      </c>
      <c r="F368" s="39" t="n">
        <v>45677</v>
      </c>
      <c r="G368" s="41" t="n">
        <v>97.24</v>
      </c>
      <c r="H368" s="39" t="n">
        <v>45688</v>
      </c>
      <c r="I368" s="7" t="s">
        <v>14651</v>
      </c>
      <c r="J368" s="8" t="str">
        <f aca="false">IF(I368="Open",DATE(2025,12,31)-F368,"-")</f>
        <v>-</v>
      </c>
    </row>
    <row r="369" customFormat="false" ht="15" hidden="false" customHeight="false" outlineLevel="0" collapsed="false">
      <c r="B369" s="7" t="s">
        <v>15014</v>
      </c>
      <c r="C369" s="7" t="s">
        <v>866</v>
      </c>
      <c r="D369" s="7" t="s">
        <v>305</v>
      </c>
      <c r="E369" s="7" t="s">
        <v>154</v>
      </c>
      <c r="F369" s="39" t="n">
        <v>45677</v>
      </c>
      <c r="G369" s="41" t="n">
        <v>116.6</v>
      </c>
      <c r="H369" s="39" t="n">
        <v>45789</v>
      </c>
      <c r="I369" s="7" t="s">
        <v>14651</v>
      </c>
      <c r="J369" s="8" t="str">
        <f aca="false">IF(I369="Open",DATE(2025,12,31)-F369,"-")</f>
        <v>-</v>
      </c>
    </row>
    <row r="370" customFormat="false" ht="15" hidden="false" customHeight="false" outlineLevel="0" collapsed="false">
      <c r="B370" s="7" t="s">
        <v>15015</v>
      </c>
      <c r="C370" s="7" t="s">
        <v>867</v>
      </c>
      <c r="D370" s="7" t="s">
        <v>309</v>
      </c>
      <c r="E370" s="7" t="s">
        <v>159</v>
      </c>
      <c r="F370" s="39" t="n">
        <v>45677</v>
      </c>
      <c r="G370" s="41" t="n">
        <v>135</v>
      </c>
      <c r="H370" s="39" t="n">
        <v>45765</v>
      </c>
      <c r="I370" s="7" t="s">
        <v>14651</v>
      </c>
      <c r="J370" s="8" t="str">
        <f aca="false">IF(I370="Open",DATE(2025,12,31)-F370,"-")</f>
        <v>-</v>
      </c>
    </row>
    <row r="371" customFormat="false" ht="15" hidden="false" customHeight="false" outlineLevel="0" collapsed="false">
      <c r="B371" s="7" t="s">
        <v>15016</v>
      </c>
      <c r="C371" s="7" t="s">
        <v>868</v>
      </c>
      <c r="D371" s="7" t="s">
        <v>311</v>
      </c>
      <c r="E371" s="7" t="s">
        <v>154</v>
      </c>
      <c r="F371" s="39" t="n">
        <v>45677</v>
      </c>
      <c r="G371" s="41" t="n">
        <v>78.7</v>
      </c>
      <c r="H371" s="39" t="n">
        <v>45728</v>
      </c>
      <c r="I371" s="7" t="s">
        <v>14651</v>
      </c>
      <c r="J371" s="8" t="str">
        <f aca="false">IF(I371="Open",DATE(2025,12,31)-F371,"-")</f>
        <v>-</v>
      </c>
    </row>
    <row r="372" customFormat="false" ht="15" hidden="false" customHeight="false" outlineLevel="0" collapsed="false">
      <c r="B372" s="7" t="s">
        <v>15017</v>
      </c>
      <c r="C372" s="7" t="s">
        <v>869</v>
      </c>
      <c r="D372" s="7" t="s">
        <v>313</v>
      </c>
      <c r="E372" s="7" t="s">
        <v>156</v>
      </c>
      <c r="F372" s="39" t="n">
        <v>45677</v>
      </c>
      <c r="G372" s="41" t="n">
        <v>124.78</v>
      </c>
      <c r="H372" s="39" t="n">
        <v>45691</v>
      </c>
      <c r="I372" s="7" t="s">
        <v>14651</v>
      </c>
      <c r="J372" s="8" t="str">
        <f aca="false">IF(I372="Open",DATE(2025,12,31)-F372,"-")</f>
        <v>-</v>
      </c>
    </row>
    <row r="373" customFormat="false" ht="15" hidden="false" customHeight="false" outlineLevel="0" collapsed="false">
      <c r="B373" s="7" t="s">
        <v>15018</v>
      </c>
      <c r="C373" s="7" t="s">
        <v>870</v>
      </c>
      <c r="D373" s="7" t="s">
        <v>317</v>
      </c>
      <c r="E373" s="7" t="s">
        <v>156</v>
      </c>
      <c r="F373" s="39" t="n">
        <v>45677</v>
      </c>
      <c r="G373" s="41" t="n">
        <v>98.26</v>
      </c>
      <c r="H373" s="39" t="n">
        <v>45694</v>
      </c>
      <c r="I373" s="7" t="s">
        <v>14651</v>
      </c>
      <c r="J373" s="8" t="str">
        <f aca="false">IF(I373="Open",DATE(2025,12,31)-F373,"-")</f>
        <v>-</v>
      </c>
    </row>
    <row r="374" customFormat="false" ht="15" hidden="false" customHeight="false" outlineLevel="0" collapsed="false">
      <c r="B374" s="7" t="s">
        <v>15019</v>
      </c>
      <c r="C374" s="7" t="s">
        <v>871</v>
      </c>
      <c r="D374" s="7" t="s">
        <v>321</v>
      </c>
      <c r="E374" s="7" t="s">
        <v>154</v>
      </c>
      <c r="F374" s="39" t="n">
        <v>45677</v>
      </c>
      <c r="G374" s="41" t="n">
        <v>106.8</v>
      </c>
      <c r="H374" s="39" t="n">
        <v>45733</v>
      </c>
      <c r="I374" s="7" t="s">
        <v>14651</v>
      </c>
      <c r="J374" s="8" t="str">
        <f aca="false">IF(I374="Open",DATE(2025,12,31)-F374,"-")</f>
        <v>-</v>
      </c>
    </row>
    <row r="375" customFormat="false" ht="15" hidden="false" customHeight="false" outlineLevel="0" collapsed="false">
      <c r="B375" s="7" t="s">
        <v>15020</v>
      </c>
      <c r="C375" s="7" t="s">
        <v>872</v>
      </c>
      <c r="D375" s="7" t="s">
        <v>325</v>
      </c>
      <c r="E375" s="7" t="s">
        <v>154</v>
      </c>
      <c r="F375" s="39" t="n">
        <v>45677</v>
      </c>
      <c r="G375" s="41" t="n">
        <v>82.94</v>
      </c>
      <c r="H375" s="39" t="n">
        <v>45739</v>
      </c>
      <c r="I375" s="7" t="s">
        <v>14651</v>
      </c>
      <c r="J375" s="8" t="str">
        <f aca="false">IF(I375="Open",DATE(2025,12,31)-F375,"-")</f>
        <v>-</v>
      </c>
    </row>
    <row r="376" customFormat="false" ht="15" hidden="false" customHeight="false" outlineLevel="0" collapsed="false">
      <c r="B376" s="7" t="s">
        <v>15021</v>
      </c>
      <c r="C376" s="7" t="s">
        <v>873</v>
      </c>
      <c r="D376" s="7" t="s">
        <v>329</v>
      </c>
      <c r="E376" s="7" t="s">
        <v>156</v>
      </c>
      <c r="F376" s="39" t="n">
        <v>45677</v>
      </c>
      <c r="G376" s="41" t="n">
        <v>143.82</v>
      </c>
      <c r="H376" s="39" t="n">
        <v>45689</v>
      </c>
      <c r="I376" s="7" t="s">
        <v>14651</v>
      </c>
      <c r="J376" s="8" t="str">
        <f aca="false">IF(I376="Open",DATE(2025,12,31)-F376,"-")</f>
        <v>-</v>
      </c>
    </row>
    <row r="377" customFormat="false" ht="15" hidden="false" customHeight="false" outlineLevel="0" collapsed="false">
      <c r="B377" s="7" t="s">
        <v>15022</v>
      </c>
      <c r="C377" s="7" t="s">
        <v>874</v>
      </c>
      <c r="D377" s="7" t="s">
        <v>331</v>
      </c>
      <c r="E377" s="7" t="s">
        <v>156</v>
      </c>
      <c r="F377" s="39" t="n">
        <v>45677</v>
      </c>
      <c r="G377" s="41" t="n">
        <v>127.84</v>
      </c>
      <c r="H377" s="39" t="n">
        <v>45693</v>
      </c>
      <c r="I377" s="7" t="s">
        <v>14651</v>
      </c>
      <c r="J377" s="8" t="str">
        <f aca="false">IF(I377="Open",DATE(2025,12,31)-F377,"-")</f>
        <v>-</v>
      </c>
    </row>
    <row r="378" customFormat="false" ht="15" hidden="false" customHeight="false" outlineLevel="0" collapsed="false">
      <c r="B378" s="7" t="s">
        <v>15023</v>
      </c>
      <c r="C378" s="7" t="s">
        <v>875</v>
      </c>
      <c r="D378" s="7" t="s">
        <v>335</v>
      </c>
      <c r="E378" s="7" t="s">
        <v>154</v>
      </c>
      <c r="F378" s="39" t="n">
        <v>45677</v>
      </c>
      <c r="G378" s="41" t="n">
        <v>95.93</v>
      </c>
      <c r="H378" s="39" t="n">
        <v>45769</v>
      </c>
      <c r="I378" s="7" t="s">
        <v>14651</v>
      </c>
      <c r="J378" s="8" t="str">
        <f aca="false">IF(I378="Open",DATE(2025,12,31)-F378,"-")</f>
        <v>-</v>
      </c>
    </row>
    <row r="379" customFormat="false" ht="15" hidden="false" customHeight="false" outlineLevel="0" collapsed="false">
      <c r="B379" s="7" t="s">
        <v>15024</v>
      </c>
      <c r="C379" s="7" t="s">
        <v>876</v>
      </c>
      <c r="D379" s="7" t="s">
        <v>337</v>
      </c>
      <c r="E379" s="7" t="s">
        <v>154</v>
      </c>
      <c r="F379" s="39" t="n">
        <v>45677</v>
      </c>
      <c r="G379" s="41" t="n">
        <v>84.27</v>
      </c>
      <c r="H379" s="39" t="n">
        <v>45727</v>
      </c>
      <c r="I379" s="7" t="s">
        <v>14651</v>
      </c>
      <c r="J379" s="8" t="str">
        <f aca="false">IF(I379="Open",DATE(2025,12,31)-F379,"-")</f>
        <v>-</v>
      </c>
    </row>
    <row r="380" customFormat="false" ht="15" hidden="false" customHeight="false" outlineLevel="0" collapsed="false">
      <c r="B380" s="7" t="s">
        <v>15025</v>
      </c>
      <c r="C380" s="7" t="s">
        <v>877</v>
      </c>
      <c r="D380" s="7" t="s">
        <v>339</v>
      </c>
      <c r="E380" s="7" t="s">
        <v>154</v>
      </c>
      <c r="F380" s="39" t="n">
        <v>45677</v>
      </c>
      <c r="G380" s="41" t="n">
        <v>81.09</v>
      </c>
      <c r="H380" s="39" t="n">
        <v>45713</v>
      </c>
      <c r="I380" s="7" t="s">
        <v>14651</v>
      </c>
      <c r="J380" s="8" t="str">
        <f aca="false">IF(I380="Open",DATE(2025,12,31)-F380,"-")</f>
        <v>-</v>
      </c>
    </row>
    <row r="381" customFormat="false" ht="15" hidden="false" customHeight="false" outlineLevel="0" collapsed="false">
      <c r="B381" s="7" t="s">
        <v>15026</v>
      </c>
      <c r="C381" s="7" t="s">
        <v>878</v>
      </c>
      <c r="D381" s="7" t="s">
        <v>341</v>
      </c>
      <c r="E381" s="7" t="s">
        <v>156</v>
      </c>
      <c r="F381" s="39" t="n">
        <v>45677</v>
      </c>
      <c r="G381" s="41" t="n">
        <v>106.42</v>
      </c>
      <c r="H381" s="39" t="n">
        <v>45690</v>
      </c>
      <c r="I381" s="7" t="s">
        <v>14651</v>
      </c>
      <c r="J381" s="8" t="str">
        <f aca="false">IF(I381="Open",DATE(2025,12,31)-F381,"-")</f>
        <v>-</v>
      </c>
    </row>
    <row r="382" customFormat="false" ht="15" hidden="false" customHeight="false" outlineLevel="0" collapsed="false">
      <c r="B382" s="7" t="s">
        <v>15027</v>
      </c>
      <c r="C382" s="7" t="s">
        <v>879</v>
      </c>
      <c r="D382" s="7" t="s">
        <v>343</v>
      </c>
      <c r="E382" s="7" t="s">
        <v>154</v>
      </c>
      <c r="F382" s="39" t="n">
        <v>45677</v>
      </c>
      <c r="G382" s="41" t="n">
        <v>112.89</v>
      </c>
      <c r="H382" s="39" t="n">
        <v>45753</v>
      </c>
      <c r="I382" s="7" t="s">
        <v>14651</v>
      </c>
      <c r="J382" s="8" t="str">
        <f aca="false">IF(I382="Open",DATE(2025,12,31)-F382,"-")</f>
        <v>-</v>
      </c>
    </row>
    <row r="383" customFormat="false" ht="15" hidden="false" customHeight="false" outlineLevel="0" collapsed="false">
      <c r="B383" s="7" t="s">
        <v>15028</v>
      </c>
      <c r="C383" s="7" t="s">
        <v>880</v>
      </c>
      <c r="D383" s="7" t="s">
        <v>353</v>
      </c>
      <c r="E383" s="7" t="s">
        <v>154</v>
      </c>
      <c r="F383" s="39" t="n">
        <v>45677</v>
      </c>
      <c r="G383" s="41" t="n">
        <v>90.9</v>
      </c>
      <c r="H383" s="39" t="n">
        <v>45784</v>
      </c>
      <c r="I383" s="7" t="s">
        <v>14651</v>
      </c>
      <c r="J383" s="8" t="str">
        <f aca="false">IF(I383="Open",DATE(2025,12,31)-F383,"-")</f>
        <v>-</v>
      </c>
    </row>
    <row r="384" customFormat="false" ht="15" hidden="false" customHeight="false" outlineLevel="0" collapsed="false">
      <c r="B384" s="7" t="s">
        <v>15029</v>
      </c>
      <c r="C384" s="7" t="s">
        <v>881</v>
      </c>
      <c r="D384" s="7" t="s">
        <v>355</v>
      </c>
      <c r="E384" s="7" t="s">
        <v>154</v>
      </c>
      <c r="F384" s="39" t="n">
        <v>45677</v>
      </c>
      <c r="G384" s="41" t="n">
        <v>85.59</v>
      </c>
      <c r="H384" s="39" t="n">
        <v>45788</v>
      </c>
      <c r="I384" s="7" t="s">
        <v>14651</v>
      </c>
      <c r="J384" s="8" t="str">
        <f aca="false">IF(I384="Open",DATE(2025,12,31)-F384,"-")</f>
        <v>-</v>
      </c>
    </row>
    <row r="385" customFormat="false" ht="15" hidden="false" customHeight="false" outlineLevel="0" collapsed="false">
      <c r="B385" s="7" t="s">
        <v>15030</v>
      </c>
      <c r="C385" s="7" t="s">
        <v>882</v>
      </c>
      <c r="D385" s="7" t="s">
        <v>357</v>
      </c>
      <c r="E385" s="7" t="s">
        <v>154</v>
      </c>
      <c r="F385" s="39" t="n">
        <v>45677</v>
      </c>
      <c r="G385" s="41" t="n">
        <v>90.9</v>
      </c>
      <c r="H385" s="39" t="n">
        <v>45753</v>
      </c>
      <c r="I385" s="7" t="s">
        <v>14651</v>
      </c>
      <c r="J385" s="8" t="str">
        <f aca="false">IF(I385="Open",DATE(2025,12,31)-F385,"-")</f>
        <v>-</v>
      </c>
    </row>
    <row r="386" customFormat="false" ht="15" hidden="false" customHeight="false" outlineLevel="0" collapsed="false">
      <c r="B386" s="7" t="s">
        <v>15031</v>
      </c>
      <c r="C386" s="7" t="s">
        <v>883</v>
      </c>
      <c r="D386" s="7" t="s">
        <v>359</v>
      </c>
      <c r="E386" s="7" t="s">
        <v>156</v>
      </c>
      <c r="F386" s="39" t="n">
        <v>45677</v>
      </c>
      <c r="G386" s="41" t="n">
        <v>134.3</v>
      </c>
      <c r="H386" s="39" t="n">
        <v>45685</v>
      </c>
      <c r="I386" s="7" t="s">
        <v>14651</v>
      </c>
      <c r="J386" s="8" t="str">
        <f aca="false">IF(I386="Open",DATE(2025,12,31)-F386,"-")</f>
        <v>-</v>
      </c>
    </row>
    <row r="387" customFormat="false" ht="15" hidden="false" customHeight="false" outlineLevel="0" collapsed="false">
      <c r="B387" s="7" t="s">
        <v>15032</v>
      </c>
      <c r="C387" s="7" t="s">
        <v>884</v>
      </c>
      <c r="D387" s="7" t="s">
        <v>363</v>
      </c>
      <c r="E387" s="7" t="s">
        <v>156</v>
      </c>
      <c r="F387" s="39" t="n">
        <v>45677</v>
      </c>
      <c r="G387" s="41" t="n">
        <v>125.8</v>
      </c>
      <c r="H387" s="39" t="n">
        <v>45694</v>
      </c>
      <c r="I387" s="7" t="s">
        <v>14651</v>
      </c>
      <c r="J387" s="8" t="str">
        <f aca="false">IF(I387="Open",DATE(2025,12,31)-F387,"-")</f>
        <v>-</v>
      </c>
    </row>
    <row r="388" customFormat="false" ht="15" hidden="false" customHeight="false" outlineLevel="0" collapsed="false">
      <c r="B388" s="7" t="s">
        <v>15033</v>
      </c>
      <c r="C388" s="7" t="s">
        <v>885</v>
      </c>
      <c r="D388" s="7" t="s">
        <v>371</v>
      </c>
      <c r="E388" s="7" t="s">
        <v>154</v>
      </c>
      <c r="F388" s="39" t="n">
        <v>45677</v>
      </c>
      <c r="G388" s="41" t="n">
        <v>119.25</v>
      </c>
      <c r="H388" s="39" t="n">
        <v>45749</v>
      </c>
      <c r="I388" s="7" t="s">
        <v>14651</v>
      </c>
      <c r="J388" s="8" t="str">
        <f aca="false">IF(I388="Open",DATE(2025,12,31)-F388,"-")</f>
        <v>-</v>
      </c>
    </row>
    <row r="389" customFormat="false" ht="15" hidden="false" customHeight="false" outlineLevel="0" collapsed="false">
      <c r="B389" s="7" t="s">
        <v>15034</v>
      </c>
      <c r="C389" s="7" t="s">
        <v>886</v>
      </c>
      <c r="D389" s="7" t="s">
        <v>375</v>
      </c>
      <c r="E389" s="7" t="s">
        <v>156</v>
      </c>
      <c r="F389" s="39" t="n">
        <v>45677</v>
      </c>
      <c r="G389" s="41" t="n">
        <v>110.84</v>
      </c>
      <c r="H389" s="39" t="n">
        <v>45687</v>
      </c>
      <c r="I389" s="7" t="s">
        <v>14651</v>
      </c>
      <c r="J389" s="8" t="str">
        <f aca="false">IF(I389="Open",DATE(2025,12,31)-F389,"-")</f>
        <v>-</v>
      </c>
    </row>
    <row r="390" customFormat="false" ht="15" hidden="false" customHeight="false" outlineLevel="0" collapsed="false">
      <c r="B390" s="7" t="s">
        <v>15035</v>
      </c>
      <c r="C390" s="7" t="s">
        <v>887</v>
      </c>
      <c r="D390" s="7" t="s">
        <v>377</v>
      </c>
      <c r="E390" s="7" t="s">
        <v>154</v>
      </c>
      <c r="F390" s="39" t="n">
        <v>45677</v>
      </c>
      <c r="G390" s="41" t="n">
        <v>100.7</v>
      </c>
      <c r="H390" s="39" t="n">
        <v>45736</v>
      </c>
      <c r="I390" s="7" t="s">
        <v>14651</v>
      </c>
      <c r="J390" s="8" t="str">
        <f aca="false">IF(I390="Open",DATE(2025,12,31)-F390,"-")</f>
        <v>-</v>
      </c>
    </row>
    <row r="391" customFormat="false" ht="15" hidden="false" customHeight="false" outlineLevel="0" collapsed="false">
      <c r="B391" s="7" t="s">
        <v>15036</v>
      </c>
      <c r="C391" s="7" t="s">
        <v>888</v>
      </c>
      <c r="D391" s="7" t="s">
        <v>379</v>
      </c>
      <c r="E391" s="7" t="s">
        <v>156</v>
      </c>
      <c r="F391" s="39" t="n">
        <v>45677</v>
      </c>
      <c r="G391" s="41" t="n">
        <v>146.88</v>
      </c>
      <c r="H391" s="39" t="n">
        <v>45690</v>
      </c>
      <c r="I391" s="7" t="s">
        <v>14651</v>
      </c>
      <c r="J391" s="8" t="str">
        <f aca="false">IF(I391="Open",DATE(2025,12,31)-F391,"-")</f>
        <v>-</v>
      </c>
    </row>
    <row r="392" customFormat="false" ht="15" hidden="false" customHeight="false" outlineLevel="0" collapsed="false">
      <c r="B392" s="7" t="s">
        <v>15037</v>
      </c>
      <c r="C392" s="7" t="s">
        <v>889</v>
      </c>
      <c r="D392" s="7" t="s">
        <v>389</v>
      </c>
      <c r="E392" s="7" t="s">
        <v>154</v>
      </c>
      <c r="F392" s="39" t="n">
        <v>45677</v>
      </c>
      <c r="G392" s="41" t="n">
        <v>106</v>
      </c>
      <c r="H392" s="39" t="n">
        <v>45777</v>
      </c>
      <c r="I392" s="7" t="s">
        <v>14651</v>
      </c>
      <c r="J392" s="8" t="str">
        <f aca="false">IF(I392="Open",DATE(2025,12,31)-F392,"-")</f>
        <v>-</v>
      </c>
    </row>
    <row r="393" customFormat="false" ht="15" hidden="false" customHeight="false" outlineLevel="0" collapsed="false">
      <c r="B393" s="7" t="s">
        <v>15038</v>
      </c>
      <c r="C393" s="7" t="s">
        <v>890</v>
      </c>
      <c r="D393" s="7" t="s">
        <v>391</v>
      </c>
      <c r="E393" s="7" t="s">
        <v>156</v>
      </c>
      <c r="F393" s="39" t="n">
        <v>45677</v>
      </c>
      <c r="G393" s="41" t="n">
        <v>126.48</v>
      </c>
      <c r="H393" s="39" t="n">
        <v>45682</v>
      </c>
      <c r="I393" s="7" t="s">
        <v>14651</v>
      </c>
      <c r="J393" s="8" t="str">
        <f aca="false">IF(I393="Open",DATE(2025,12,31)-F393,"-")</f>
        <v>-</v>
      </c>
    </row>
    <row r="394" customFormat="false" ht="15" hidden="false" customHeight="false" outlineLevel="0" collapsed="false">
      <c r="B394" s="7" t="s">
        <v>15039</v>
      </c>
      <c r="C394" s="7" t="s">
        <v>891</v>
      </c>
      <c r="D394" s="7" t="s">
        <v>395</v>
      </c>
      <c r="E394" s="7" t="s">
        <v>156</v>
      </c>
      <c r="F394" s="39" t="n">
        <v>45677</v>
      </c>
      <c r="G394" s="41" t="n">
        <v>138.72</v>
      </c>
      <c r="H394" s="39" t="n">
        <v>45692</v>
      </c>
      <c r="I394" s="7" t="s">
        <v>14651</v>
      </c>
      <c r="J394" s="8" t="str">
        <f aca="false">IF(I394="Open",DATE(2025,12,31)-F394,"-")</f>
        <v>-</v>
      </c>
    </row>
    <row r="395" customFormat="false" ht="15" hidden="false" customHeight="false" outlineLevel="0" collapsed="false">
      <c r="B395" s="7" t="s">
        <v>15040</v>
      </c>
      <c r="C395" s="7" t="s">
        <v>892</v>
      </c>
      <c r="D395" s="7" t="s">
        <v>399</v>
      </c>
      <c r="E395" s="7" t="s">
        <v>154</v>
      </c>
      <c r="F395" s="39" t="n">
        <v>45677</v>
      </c>
      <c r="G395" s="41" t="n">
        <v>91.27</v>
      </c>
      <c r="H395" s="39" t="n">
        <v>45732</v>
      </c>
      <c r="I395" s="7" t="s">
        <v>14651</v>
      </c>
      <c r="J395" s="8" t="str">
        <f aca="false">IF(I395="Open",DATE(2025,12,31)-F395,"-")</f>
        <v>-</v>
      </c>
    </row>
    <row r="396" customFormat="false" ht="15" hidden="false" customHeight="false" outlineLevel="0" collapsed="false">
      <c r="B396" s="7" t="s">
        <v>15041</v>
      </c>
      <c r="C396" s="7" t="s">
        <v>893</v>
      </c>
      <c r="D396" s="7" t="s">
        <v>401</v>
      </c>
      <c r="E396" s="7" t="s">
        <v>156</v>
      </c>
      <c r="F396" s="39" t="n">
        <v>45677</v>
      </c>
      <c r="G396" s="41" t="n">
        <v>139.74</v>
      </c>
      <c r="H396" s="39" t="n">
        <v>45695</v>
      </c>
      <c r="I396" s="7" t="s">
        <v>14651</v>
      </c>
      <c r="J396" s="8" t="str">
        <f aca="false">IF(I396="Open",DATE(2025,12,31)-F396,"-")</f>
        <v>-</v>
      </c>
    </row>
    <row r="397" customFormat="false" ht="15" hidden="false" customHeight="false" outlineLevel="0" collapsed="false">
      <c r="B397" s="7" t="s">
        <v>15042</v>
      </c>
      <c r="C397" s="7" t="s">
        <v>894</v>
      </c>
      <c r="D397" s="7" t="s">
        <v>409</v>
      </c>
      <c r="E397" s="7" t="s">
        <v>154</v>
      </c>
      <c r="F397" s="39" t="n">
        <v>45677</v>
      </c>
      <c r="G397" s="41" t="n">
        <v>93.02</v>
      </c>
      <c r="H397" s="39" t="n">
        <v>45794</v>
      </c>
      <c r="I397" s="7" t="s">
        <v>14651</v>
      </c>
      <c r="J397" s="8" t="str">
        <f aca="false">IF(I397="Open",DATE(2025,12,31)-F397,"-")</f>
        <v>-</v>
      </c>
    </row>
    <row r="398" customFormat="false" ht="15" hidden="false" customHeight="false" outlineLevel="0" collapsed="false">
      <c r="B398" s="7" t="s">
        <v>15043</v>
      </c>
      <c r="C398" s="7" t="s">
        <v>895</v>
      </c>
      <c r="D398" s="7" t="s">
        <v>411</v>
      </c>
      <c r="E398" s="7" t="s">
        <v>154</v>
      </c>
      <c r="F398" s="39" t="n">
        <v>45677</v>
      </c>
      <c r="G398" s="41" t="n">
        <v>123.49</v>
      </c>
      <c r="H398" s="39" t="n">
        <v>45744</v>
      </c>
      <c r="I398" s="7" t="s">
        <v>14651</v>
      </c>
      <c r="J398" s="8" t="str">
        <f aca="false">IF(I398="Open",DATE(2025,12,31)-F398,"-")</f>
        <v>-</v>
      </c>
    </row>
    <row r="399" customFormat="false" ht="15" hidden="false" customHeight="false" outlineLevel="0" collapsed="false">
      <c r="B399" s="7" t="s">
        <v>15044</v>
      </c>
      <c r="C399" s="7" t="s">
        <v>896</v>
      </c>
      <c r="D399" s="7" t="s">
        <v>288</v>
      </c>
      <c r="E399" s="7" t="s">
        <v>156</v>
      </c>
      <c r="F399" s="39" t="n">
        <v>45678</v>
      </c>
      <c r="G399" s="41" t="n">
        <v>148.58</v>
      </c>
      <c r="H399" s="39" t="n">
        <v>45695</v>
      </c>
      <c r="I399" s="7" t="s">
        <v>14651</v>
      </c>
      <c r="J399" s="8" t="str">
        <f aca="false">IF(I399="Open",DATE(2025,12,31)-F399,"-")</f>
        <v>-</v>
      </c>
    </row>
    <row r="400" customFormat="false" ht="15" hidden="false" customHeight="false" outlineLevel="0" collapsed="false">
      <c r="B400" s="7" t="s">
        <v>15045</v>
      </c>
      <c r="C400" s="7" t="s">
        <v>897</v>
      </c>
      <c r="D400" s="7" t="s">
        <v>301</v>
      </c>
      <c r="E400" s="7" t="s">
        <v>157</v>
      </c>
      <c r="F400" s="39" t="n">
        <v>45678</v>
      </c>
      <c r="G400" s="41" t="n">
        <v>163.02</v>
      </c>
      <c r="H400" s="39" t="n">
        <v>45689</v>
      </c>
      <c r="I400" s="7" t="s">
        <v>14651</v>
      </c>
      <c r="J400" s="8" t="str">
        <f aca="false">IF(I400="Open",DATE(2025,12,31)-F400,"-")</f>
        <v>-</v>
      </c>
    </row>
    <row r="401" customFormat="false" ht="15" hidden="false" customHeight="false" outlineLevel="0" collapsed="false">
      <c r="B401" s="7" t="s">
        <v>15046</v>
      </c>
      <c r="C401" s="7" t="s">
        <v>898</v>
      </c>
      <c r="D401" s="7" t="s">
        <v>313</v>
      </c>
      <c r="E401" s="7" t="s">
        <v>156</v>
      </c>
      <c r="F401" s="39" t="n">
        <v>45678</v>
      </c>
      <c r="G401" s="41" t="n">
        <v>124.1</v>
      </c>
      <c r="H401" s="39" t="n">
        <v>45690</v>
      </c>
      <c r="I401" s="7" t="s">
        <v>14651</v>
      </c>
      <c r="J401" s="8" t="str">
        <f aca="false">IF(I401="Open",DATE(2025,12,31)-F401,"-")</f>
        <v>-</v>
      </c>
    </row>
    <row r="402" customFormat="false" ht="15" hidden="false" customHeight="false" outlineLevel="0" collapsed="false">
      <c r="B402" s="7" t="s">
        <v>15047</v>
      </c>
      <c r="C402" s="7" t="s">
        <v>899</v>
      </c>
      <c r="D402" s="7" t="s">
        <v>319</v>
      </c>
      <c r="E402" s="7" t="s">
        <v>157</v>
      </c>
      <c r="F402" s="39" t="n">
        <v>45678</v>
      </c>
      <c r="G402" s="41" t="n">
        <v>155.1</v>
      </c>
      <c r="H402" s="39" t="n">
        <v>45723</v>
      </c>
      <c r="I402" s="7" t="s">
        <v>14651</v>
      </c>
      <c r="J402" s="8" t="str">
        <f aca="false">IF(I402="Open",DATE(2025,12,31)-F402,"-")</f>
        <v>-</v>
      </c>
    </row>
    <row r="403" customFormat="false" ht="15" hidden="false" customHeight="false" outlineLevel="0" collapsed="false">
      <c r="B403" s="7" t="s">
        <v>15048</v>
      </c>
      <c r="C403" s="7" t="s">
        <v>900</v>
      </c>
      <c r="D403" s="7" t="s">
        <v>321</v>
      </c>
      <c r="E403" s="7" t="s">
        <v>154</v>
      </c>
      <c r="F403" s="39" t="n">
        <v>45678</v>
      </c>
      <c r="G403" s="41" t="n">
        <v>110.5</v>
      </c>
      <c r="H403" s="39" t="n">
        <v>45791</v>
      </c>
      <c r="I403" s="7" t="s">
        <v>14651</v>
      </c>
      <c r="J403" s="8" t="str">
        <f aca="false">IF(I403="Open",DATE(2025,12,31)-F403,"-")</f>
        <v>-</v>
      </c>
    </row>
    <row r="404" customFormat="false" ht="15" hidden="false" customHeight="false" outlineLevel="0" collapsed="false">
      <c r="B404" s="7" t="s">
        <v>15049</v>
      </c>
      <c r="C404" s="7" t="s">
        <v>901</v>
      </c>
      <c r="D404" s="7" t="s">
        <v>323</v>
      </c>
      <c r="E404" s="7" t="s">
        <v>159</v>
      </c>
      <c r="F404" s="39" t="n">
        <v>45678</v>
      </c>
      <c r="G404" s="41" t="n">
        <v>148.5</v>
      </c>
      <c r="H404" s="39" t="n">
        <v>45742</v>
      </c>
      <c r="I404" s="7" t="s">
        <v>14651</v>
      </c>
      <c r="J404" s="8" t="str">
        <f aca="false">IF(I404="Open",DATE(2025,12,31)-F404,"-")</f>
        <v>-</v>
      </c>
    </row>
    <row r="405" customFormat="false" ht="15" hidden="false" customHeight="false" outlineLevel="0" collapsed="false">
      <c r="B405" s="7" t="s">
        <v>15050</v>
      </c>
      <c r="C405" s="7" t="s">
        <v>902</v>
      </c>
      <c r="D405" s="7" t="s">
        <v>327</v>
      </c>
      <c r="E405" s="7" t="s">
        <v>157</v>
      </c>
      <c r="F405" s="39" t="n">
        <v>45678</v>
      </c>
      <c r="G405" s="41" t="n">
        <v>166.65</v>
      </c>
      <c r="H405" s="39" t="n">
        <v>45767</v>
      </c>
      <c r="I405" s="7" t="s">
        <v>14651</v>
      </c>
      <c r="J405" s="8" t="str">
        <f aca="false">IF(I405="Open",DATE(2025,12,31)-F405,"-")</f>
        <v>-</v>
      </c>
    </row>
    <row r="406" customFormat="false" ht="15" hidden="false" customHeight="false" outlineLevel="0" collapsed="false">
      <c r="B406" s="7" t="s">
        <v>15051</v>
      </c>
      <c r="C406" s="7" t="s">
        <v>903</v>
      </c>
      <c r="D406" s="7" t="s">
        <v>329</v>
      </c>
      <c r="E406" s="7" t="s">
        <v>156</v>
      </c>
      <c r="F406" s="39" t="n">
        <v>45678</v>
      </c>
      <c r="G406" s="41" t="n">
        <v>129.54</v>
      </c>
      <c r="H406" s="39" t="n">
        <v>45696</v>
      </c>
      <c r="I406" s="7" t="s">
        <v>14651</v>
      </c>
      <c r="J406" s="8" t="str">
        <f aca="false">IF(I406="Open",DATE(2025,12,31)-F406,"-")</f>
        <v>-</v>
      </c>
    </row>
    <row r="407" customFormat="false" ht="15" hidden="false" customHeight="false" outlineLevel="0" collapsed="false">
      <c r="B407" s="7" t="s">
        <v>15052</v>
      </c>
      <c r="C407" s="7" t="s">
        <v>904</v>
      </c>
      <c r="D407" s="7" t="s">
        <v>359</v>
      </c>
      <c r="E407" s="7" t="s">
        <v>156</v>
      </c>
      <c r="F407" s="39" t="n">
        <v>45678</v>
      </c>
      <c r="G407" s="41" t="n">
        <v>130.22</v>
      </c>
      <c r="H407" s="39" t="n">
        <v>45688</v>
      </c>
      <c r="I407" s="7" t="s">
        <v>14651</v>
      </c>
      <c r="J407" s="8" t="str">
        <f aca="false">IF(I407="Open",DATE(2025,12,31)-F407,"-")</f>
        <v>-</v>
      </c>
    </row>
    <row r="408" customFormat="false" ht="15" hidden="false" customHeight="false" outlineLevel="0" collapsed="false">
      <c r="B408" s="7" t="s">
        <v>15053</v>
      </c>
      <c r="C408" s="7" t="s">
        <v>905</v>
      </c>
      <c r="D408" s="7" t="s">
        <v>361</v>
      </c>
      <c r="E408" s="7" t="s">
        <v>157</v>
      </c>
      <c r="F408" s="39" t="n">
        <v>45678</v>
      </c>
      <c r="G408" s="41" t="n">
        <v>156.75</v>
      </c>
      <c r="H408" s="39" t="n">
        <v>45775</v>
      </c>
      <c r="I408" s="7" t="s">
        <v>14651</v>
      </c>
      <c r="J408" s="8" t="str">
        <f aca="false">IF(I408="Open",DATE(2025,12,31)-F408,"-")</f>
        <v>-</v>
      </c>
    </row>
    <row r="409" customFormat="false" ht="15" hidden="false" customHeight="false" outlineLevel="0" collapsed="false">
      <c r="B409" s="7" t="s">
        <v>15054</v>
      </c>
      <c r="C409" s="7" t="s">
        <v>906</v>
      </c>
      <c r="D409" s="7" t="s">
        <v>381</v>
      </c>
      <c r="E409" s="7" t="s">
        <v>157</v>
      </c>
      <c r="F409" s="39" t="n">
        <v>45678</v>
      </c>
      <c r="G409" s="41" t="n">
        <v>160.05</v>
      </c>
      <c r="H409" s="39" t="n">
        <v>45729</v>
      </c>
      <c r="I409" s="7" t="s">
        <v>14651</v>
      </c>
      <c r="J409" s="8" t="str">
        <f aca="false">IF(I409="Open",DATE(2025,12,31)-F409,"-")</f>
        <v>-</v>
      </c>
    </row>
    <row r="410" customFormat="false" ht="15" hidden="false" customHeight="false" outlineLevel="0" collapsed="false">
      <c r="B410" s="7" t="s">
        <v>15055</v>
      </c>
      <c r="C410" s="7" t="s">
        <v>907</v>
      </c>
      <c r="D410" s="7" t="s">
        <v>389</v>
      </c>
      <c r="E410" s="7" t="s">
        <v>154</v>
      </c>
      <c r="F410" s="39" t="n">
        <v>45678</v>
      </c>
      <c r="G410" s="41" t="n">
        <v>111.56</v>
      </c>
      <c r="H410" s="39" t="n">
        <v>45743</v>
      </c>
      <c r="I410" s="7" t="s">
        <v>14651</v>
      </c>
      <c r="J410" s="8" t="str">
        <f aca="false">IF(I410="Open",DATE(2025,12,31)-F410,"-")</f>
        <v>-</v>
      </c>
    </row>
    <row r="411" customFormat="false" ht="15" hidden="false" customHeight="false" outlineLevel="0" collapsed="false">
      <c r="B411" s="7" t="s">
        <v>15056</v>
      </c>
      <c r="C411" s="7" t="s">
        <v>908</v>
      </c>
      <c r="D411" s="7" t="s">
        <v>391</v>
      </c>
      <c r="E411" s="7" t="s">
        <v>156</v>
      </c>
      <c r="F411" s="39" t="n">
        <v>45678</v>
      </c>
      <c r="G411" s="41" t="n">
        <v>136</v>
      </c>
      <c r="H411" s="39" t="n">
        <v>45679</v>
      </c>
      <c r="I411" s="7" t="s">
        <v>14651</v>
      </c>
      <c r="J411" s="8" t="str">
        <f aca="false">IF(I411="Open",DATE(2025,12,31)-F411,"-")</f>
        <v>-</v>
      </c>
    </row>
    <row r="412" customFormat="false" ht="15" hidden="false" customHeight="false" outlineLevel="0" collapsed="false">
      <c r="B412" s="7" t="s">
        <v>15057</v>
      </c>
      <c r="C412" s="7" t="s">
        <v>909</v>
      </c>
      <c r="D412" s="7" t="s">
        <v>395</v>
      </c>
      <c r="E412" s="7" t="s">
        <v>156</v>
      </c>
      <c r="F412" s="39" t="n">
        <v>45678</v>
      </c>
      <c r="G412" s="41" t="n">
        <v>148.24</v>
      </c>
      <c r="H412" s="39" t="n">
        <v>45692</v>
      </c>
      <c r="I412" s="7" t="s">
        <v>14651</v>
      </c>
      <c r="J412" s="8" t="str">
        <f aca="false">IF(I412="Open",DATE(2025,12,31)-F412,"-")</f>
        <v>-</v>
      </c>
    </row>
    <row r="413" customFormat="false" ht="15" hidden="false" customHeight="false" outlineLevel="0" collapsed="false">
      <c r="B413" s="7" t="s">
        <v>15058</v>
      </c>
      <c r="C413" s="7" t="s">
        <v>910</v>
      </c>
      <c r="D413" s="7" t="s">
        <v>401</v>
      </c>
      <c r="E413" s="7" t="s">
        <v>156</v>
      </c>
      <c r="F413" s="39" t="n">
        <v>45678</v>
      </c>
      <c r="G413" s="41" t="n">
        <v>128.18</v>
      </c>
      <c r="H413" s="39" t="n">
        <v>45691</v>
      </c>
      <c r="I413" s="7" t="s">
        <v>14651</v>
      </c>
      <c r="J413" s="8" t="str">
        <f aca="false">IF(I413="Open",DATE(2025,12,31)-F413,"-")</f>
        <v>-</v>
      </c>
    </row>
    <row r="414" customFormat="false" ht="15" hidden="false" customHeight="false" outlineLevel="0" collapsed="false">
      <c r="B414" s="7" t="s">
        <v>15059</v>
      </c>
      <c r="C414" s="7" t="s">
        <v>911</v>
      </c>
      <c r="D414" s="7" t="s">
        <v>407</v>
      </c>
      <c r="E414" s="7" t="s">
        <v>159</v>
      </c>
      <c r="F414" s="39" t="n">
        <v>45678</v>
      </c>
      <c r="G414" s="41" t="n">
        <v>135</v>
      </c>
      <c r="H414" s="39" t="n">
        <v>45733</v>
      </c>
      <c r="I414" s="7" t="s">
        <v>14651</v>
      </c>
      <c r="J414" s="8" t="str">
        <f aca="false">IF(I414="Open",DATE(2025,12,31)-F414,"-")</f>
        <v>-</v>
      </c>
    </row>
    <row r="415" customFormat="false" ht="15" hidden="false" customHeight="false" outlineLevel="0" collapsed="false">
      <c r="B415" s="7" t="s">
        <v>15060</v>
      </c>
      <c r="C415" s="7" t="s">
        <v>912</v>
      </c>
      <c r="D415" s="7" t="s">
        <v>280</v>
      </c>
      <c r="E415" s="7" t="s">
        <v>157</v>
      </c>
      <c r="F415" s="39" t="n">
        <v>45679</v>
      </c>
      <c r="G415" s="41" t="n">
        <v>163.35</v>
      </c>
      <c r="H415" s="39" t="n">
        <v>45744</v>
      </c>
      <c r="I415" s="7" t="s">
        <v>14651</v>
      </c>
      <c r="J415" s="8" t="str">
        <f aca="false">IF(I415="Open",DATE(2025,12,31)-F415,"-")</f>
        <v>-</v>
      </c>
    </row>
    <row r="416" customFormat="false" ht="15" hidden="false" customHeight="false" outlineLevel="0" collapsed="false">
      <c r="B416" s="7" t="s">
        <v>15061</v>
      </c>
      <c r="C416" s="7" t="s">
        <v>913</v>
      </c>
      <c r="D416" s="7" t="s">
        <v>286</v>
      </c>
      <c r="E416" s="7" t="s">
        <v>157</v>
      </c>
      <c r="F416" s="39" t="n">
        <v>45679</v>
      </c>
      <c r="G416" s="41" t="n">
        <v>163.35</v>
      </c>
      <c r="H416" s="39" t="n">
        <v>45712</v>
      </c>
      <c r="I416" s="7" t="s">
        <v>14651</v>
      </c>
      <c r="J416" s="8" t="str">
        <f aca="false">IF(I416="Open",DATE(2025,12,31)-F416,"-")</f>
        <v>-</v>
      </c>
    </row>
    <row r="417" customFormat="false" ht="15" hidden="false" customHeight="false" outlineLevel="0" collapsed="false">
      <c r="B417" s="7" t="s">
        <v>15062</v>
      </c>
      <c r="C417" s="7" t="s">
        <v>914</v>
      </c>
      <c r="D417" s="7" t="s">
        <v>288</v>
      </c>
      <c r="E417" s="7" t="s">
        <v>156</v>
      </c>
      <c r="F417" s="39" t="n">
        <v>45679</v>
      </c>
      <c r="G417" s="41" t="n">
        <v>143.14</v>
      </c>
      <c r="H417" s="39" t="n">
        <v>45699</v>
      </c>
      <c r="I417" s="7" t="s">
        <v>14651</v>
      </c>
      <c r="J417" s="8" t="str">
        <f aca="false">IF(I417="Open",DATE(2025,12,31)-F417,"-")</f>
        <v>-</v>
      </c>
    </row>
    <row r="418" customFormat="false" ht="15" hidden="false" customHeight="false" outlineLevel="0" collapsed="false">
      <c r="B418" s="7" t="s">
        <v>15063</v>
      </c>
      <c r="C418" s="7" t="s">
        <v>915</v>
      </c>
      <c r="D418" s="7" t="s">
        <v>291</v>
      </c>
      <c r="E418" s="7" t="s">
        <v>154</v>
      </c>
      <c r="F418" s="39" t="n">
        <v>45679</v>
      </c>
      <c r="G418" s="41" t="n">
        <v>125.35</v>
      </c>
      <c r="H418" s="39" t="n">
        <v>45723</v>
      </c>
      <c r="I418" s="7" t="s">
        <v>14651</v>
      </c>
      <c r="J418" s="8" t="str">
        <f aca="false">IF(I418="Open",DATE(2025,12,31)-F418,"-")</f>
        <v>-</v>
      </c>
    </row>
    <row r="419" customFormat="false" ht="15" hidden="false" customHeight="false" outlineLevel="0" collapsed="false">
      <c r="B419" s="7" t="s">
        <v>15064</v>
      </c>
      <c r="C419" s="7" t="s">
        <v>916</v>
      </c>
      <c r="D419" s="7" t="s">
        <v>305</v>
      </c>
      <c r="E419" s="7" t="s">
        <v>154</v>
      </c>
      <c r="F419" s="39" t="n">
        <v>45679</v>
      </c>
      <c r="G419" s="41" t="n">
        <v>96.99</v>
      </c>
      <c r="H419" s="39" t="n">
        <v>45756</v>
      </c>
      <c r="I419" s="7" t="s">
        <v>14651</v>
      </c>
      <c r="J419" s="8" t="str">
        <f aca="false">IF(I419="Open",DATE(2025,12,31)-F419,"-")</f>
        <v>-</v>
      </c>
    </row>
    <row r="420" customFormat="false" ht="15" hidden="false" customHeight="false" outlineLevel="0" collapsed="false">
      <c r="B420" s="7" t="s">
        <v>15065</v>
      </c>
      <c r="C420" s="7" t="s">
        <v>917</v>
      </c>
      <c r="D420" s="7" t="s">
        <v>309</v>
      </c>
      <c r="E420" s="7" t="s">
        <v>159</v>
      </c>
      <c r="F420" s="39" t="n">
        <v>45679</v>
      </c>
      <c r="G420" s="41" t="n">
        <v>129.6</v>
      </c>
      <c r="H420" s="39" t="n">
        <v>45750</v>
      </c>
      <c r="I420" s="7" t="s">
        <v>14651</v>
      </c>
      <c r="J420" s="8" t="str">
        <f aca="false">IF(I420="Open",DATE(2025,12,31)-F420,"-")</f>
        <v>-</v>
      </c>
    </row>
    <row r="421" customFormat="false" ht="15" hidden="false" customHeight="false" outlineLevel="0" collapsed="false">
      <c r="B421" s="7" t="s">
        <v>15066</v>
      </c>
      <c r="C421" s="7" t="s">
        <v>918</v>
      </c>
      <c r="D421" s="7" t="s">
        <v>313</v>
      </c>
      <c r="E421" s="7" t="s">
        <v>156</v>
      </c>
      <c r="F421" s="39" t="n">
        <v>45679</v>
      </c>
      <c r="G421" s="41" t="n">
        <v>125.8</v>
      </c>
      <c r="H421" s="39" t="n">
        <v>45693</v>
      </c>
      <c r="I421" s="7" t="s">
        <v>14651</v>
      </c>
      <c r="J421" s="8" t="str">
        <f aca="false">IF(I421="Open",DATE(2025,12,31)-F421,"-")</f>
        <v>-</v>
      </c>
    </row>
    <row r="422" customFormat="false" ht="15" hidden="false" customHeight="false" outlineLevel="0" collapsed="false">
      <c r="B422" s="7" t="s">
        <v>15067</v>
      </c>
      <c r="C422" s="7" t="s">
        <v>919</v>
      </c>
      <c r="D422" s="7" t="s">
        <v>321</v>
      </c>
      <c r="E422" s="7" t="s">
        <v>154</v>
      </c>
      <c r="F422" s="39" t="n">
        <v>45679</v>
      </c>
      <c r="G422" s="41" t="n">
        <v>112.36</v>
      </c>
      <c r="H422" s="39" t="n">
        <v>45751</v>
      </c>
      <c r="I422" s="7" t="s">
        <v>14651</v>
      </c>
      <c r="J422" s="8" t="str">
        <f aca="false">IF(I422="Open",DATE(2025,12,31)-F422,"-")</f>
        <v>-</v>
      </c>
    </row>
    <row r="423" customFormat="false" ht="15" hidden="false" customHeight="false" outlineLevel="0" collapsed="false">
      <c r="B423" s="7" t="s">
        <v>15068</v>
      </c>
      <c r="C423" s="7" t="s">
        <v>920</v>
      </c>
      <c r="D423" s="7" t="s">
        <v>329</v>
      </c>
      <c r="E423" s="7" t="s">
        <v>156</v>
      </c>
      <c r="F423" s="39" t="n">
        <v>45679</v>
      </c>
      <c r="G423" s="41" t="n">
        <v>142.8</v>
      </c>
      <c r="H423" s="39" t="n">
        <v>45694</v>
      </c>
      <c r="I423" s="7" t="s">
        <v>14651</v>
      </c>
      <c r="J423" s="8" t="str">
        <f aca="false">IF(I423="Open",DATE(2025,12,31)-F423,"-")</f>
        <v>-</v>
      </c>
    </row>
    <row r="424" customFormat="false" ht="15" hidden="false" customHeight="false" outlineLevel="0" collapsed="false">
      <c r="B424" s="7" t="s">
        <v>15069</v>
      </c>
      <c r="C424" s="7" t="s">
        <v>921</v>
      </c>
      <c r="D424" s="7" t="s">
        <v>335</v>
      </c>
      <c r="E424" s="7" t="s">
        <v>154</v>
      </c>
      <c r="F424" s="39" t="n">
        <v>45679</v>
      </c>
      <c r="G424" s="41" t="n">
        <v>102.82</v>
      </c>
      <c r="H424" s="39" t="n">
        <v>45721</v>
      </c>
      <c r="I424" s="7" t="s">
        <v>14651</v>
      </c>
      <c r="J424" s="8" t="str">
        <f aca="false">IF(I424="Open",DATE(2025,12,31)-F424,"-")</f>
        <v>-</v>
      </c>
    </row>
    <row r="425" customFormat="false" ht="15" hidden="false" customHeight="false" outlineLevel="0" collapsed="false">
      <c r="B425" s="7" t="s">
        <v>15070</v>
      </c>
      <c r="C425" s="7" t="s">
        <v>922</v>
      </c>
      <c r="D425" s="7" t="s">
        <v>339</v>
      </c>
      <c r="E425" s="7" t="s">
        <v>154</v>
      </c>
      <c r="F425" s="39" t="n">
        <v>45679</v>
      </c>
      <c r="G425" s="41" t="n">
        <v>85.33</v>
      </c>
      <c r="H425" s="39" t="n">
        <v>45779</v>
      </c>
      <c r="I425" s="7" t="s">
        <v>14651</v>
      </c>
      <c r="J425" s="8" t="str">
        <f aca="false">IF(I425="Open",DATE(2025,12,31)-F425,"-")</f>
        <v>-</v>
      </c>
    </row>
    <row r="426" customFormat="false" ht="15" hidden="false" customHeight="false" outlineLevel="0" collapsed="false">
      <c r="B426" s="7" t="s">
        <v>15071</v>
      </c>
      <c r="C426" s="7" t="s">
        <v>923</v>
      </c>
      <c r="D426" s="7" t="s">
        <v>353</v>
      </c>
      <c r="E426" s="7" t="s">
        <v>154</v>
      </c>
      <c r="F426" s="39" t="n">
        <v>45679</v>
      </c>
      <c r="G426" s="41" t="n">
        <v>90.1</v>
      </c>
      <c r="H426" s="39" t="n">
        <v>45748</v>
      </c>
      <c r="I426" s="7" t="s">
        <v>14651</v>
      </c>
      <c r="J426" s="8" t="str">
        <f aca="false">IF(I426="Open",DATE(2025,12,31)-F426,"-")</f>
        <v>-</v>
      </c>
    </row>
    <row r="427" customFormat="false" ht="15" hidden="false" customHeight="false" outlineLevel="0" collapsed="false">
      <c r="B427" s="7" t="s">
        <v>15072</v>
      </c>
      <c r="C427" s="7" t="s">
        <v>924</v>
      </c>
      <c r="D427" s="7" t="s">
        <v>355</v>
      </c>
      <c r="E427" s="7" t="s">
        <v>154</v>
      </c>
      <c r="F427" s="39" t="n">
        <v>45679</v>
      </c>
      <c r="G427" s="41" t="n">
        <v>90.37</v>
      </c>
      <c r="H427" s="39" t="n">
        <v>45751</v>
      </c>
      <c r="I427" s="7" t="s">
        <v>14651</v>
      </c>
      <c r="J427" s="8" t="str">
        <f aca="false">IF(I427="Open",DATE(2025,12,31)-F427,"-")</f>
        <v>-</v>
      </c>
    </row>
    <row r="428" customFormat="false" ht="15" hidden="false" customHeight="false" outlineLevel="0" collapsed="false">
      <c r="B428" s="7" t="s">
        <v>15073</v>
      </c>
      <c r="C428" s="7" t="s">
        <v>925</v>
      </c>
      <c r="D428" s="7" t="s">
        <v>357</v>
      </c>
      <c r="E428" s="7" t="s">
        <v>154</v>
      </c>
      <c r="F428" s="39" t="n">
        <v>45679</v>
      </c>
      <c r="G428" s="41" t="n">
        <v>92.48</v>
      </c>
      <c r="H428" s="39" t="n">
        <v>45735</v>
      </c>
      <c r="I428" s="7" t="s">
        <v>14651</v>
      </c>
      <c r="J428" s="8" t="str">
        <f aca="false">IF(I428="Open",DATE(2025,12,31)-F428,"-")</f>
        <v>-</v>
      </c>
    </row>
    <row r="429" customFormat="false" ht="15" hidden="false" customHeight="false" outlineLevel="0" collapsed="false">
      <c r="B429" s="7" t="s">
        <v>15074</v>
      </c>
      <c r="C429" s="7" t="s">
        <v>926</v>
      </c>
      <c r="D429" s="7" t="s">
        <v>359</v>
      </c>
      <c r="E429" s="7" t="s">
        <v>156</v>
      </c>
      <c r="F429" s="39" t="n">
        <v>45679</v>
      </c>
      <c r="G429" s="41" t="n">
        <v>144.84</v>
      </c>
      <c r="H429" s="39" t="n">
        <v>45697</v>
      </c>
      <c r="I429" s="7" t="s">
        <v>14651</v>
      </c>
      <c r="J429" s="8" t="str">
        <f aca="false">IF(I429="Open",DATE(2025,12,31)-F429,"-")</f>
        <v>-</v>
      </c>
    </row>
    <row r="430" customFormat="false" ht="15" hidden="false" customHeight="false" outlineLevel="0" collapsed="false">
      <c r="B430" s="7" t="s">
        <v>15075</v>
      </c>
      <c r="C430" s="7" t="s">
        <v>927</v>
      </c>
      <c r="D430" s="7" t="s">
        <v>371</v>
      </c>
      <c r="E430" s="7" t="s">
        <v>154</v>
      </c>
      <c r="F430" s="39" t="n">
        <v>45679</v>
      </c>
      <c r="G430" s="41" t="n">
        <v>118.72</v>
      </c>
      <c r="H430" s="39" t="n">
        <v>45701</v>
      </c>
      <c r="I430" s="7" t="s">
        <v>14651</v>
      </c>
      <c r="J430" s="8" t="str">
        <f aca="false">IF(I430="Open",DATE(2025,12,31)-F430,"-")</f>
        <v>-</v>
      </c>
    </row>
    <row r="431" customFormat="false" ht="15" hidden="false" customHeight="false" outlineLevel="0" collapsed="false">
      <c r="B431" s="7" t="s">
        <v>15076</v>
      </c>
      <c r="C431" s="7" t="s">
        <v>928</v>
      </c>
      <c r="D431" s="7" t="s">
        <v>379</v>
      </c>
      <c r="E431" s="7" t="s">
        <v>156</v>
      </c>
      <c r="F431" s="39" t="n">
        <v>45679</v>
      </c>
      <c r="G431" s="41" t="n">
        <v>164.22</v>
      </c>
      <c r="H431" s="39" t="n">
        <v>45692</v>
      </c>
      <c r="I431" s="7" t="s">
        <v>14651</v>
      </c>
      <c r="J431" s="8" t="str">
        <f aca="false">IF(I431="Open",DATE(2025,12,31)-F431,"-")</f>
        <v>-</v>
      </c>
    </row>
    <row r="432" customFormat="false" ht="15" hidden="false" customHeight="false" outlineLevel="0" collapsed="false">
      <c r="B432" s="7" t="s">
        <v>15077</v>
      </c>
      <c r="C432" s="7" t="s">
        <v>929</v>
      </c>
      <c r="D432" s="7" t="s">
        <v>389</v>
      </c>
      <c r="E432" s="7" t="s">
        <v>154</v>
      </c>
      <c r="F432" s="39" t="n">
        <v>45679</v>
      </c>
      <c r="G432" s="41" t="n">
        <v>112.36</v>
      </c>
      <c r="H432" s="39" t="n">
        <v>45745</v>
      </c>
      <c r="I432" s="7" t="s">
        <v>14651</v>
      </c>
      <c r="J432" s="8" t="str">
        <f aca="false">IF(I432="Open",DATE(2025,12,31)-F432,"-")</f>
        <v>-</v>
      </c>
    </row>
    <row r="433" customFormat="false" ht="15" hidden="false" customHeight="false" outlineLevel="0" collapsed="false">
      <c r="B433" s="7" t="s">
        <v>15078</v>
      </c>
      <c r="C433" s="7" t="s">
        <v>930</v>
      </c>
      <c r="D433" s="7" t="s">
        <v>391</v>
      </c>
      <c r="E433" s="7" t="s">
        <v>156</v>
      </c>
      <c r="F433" s="39" t="n">
        <v>45679</v>
      </c>
      <c r="G433" s="41" t="n">
        <v>123.08</v>
      </c>
      <c r="H433" s="39" t="n">
        <v>45694</v>
      </c>
      <c r="I433" s="7" t="s">
        <v>14651</v>
      </c>
      <c r="J433" s="8" t="str">
        <f aca="false">IF(I433="Open",DATE(2025,12,31)-F433,"-")</f>
        <v>-</v>
      </c>
    </row>
    <row r="434" customFormat="false" ht="15" hidden="false" customHeight="false" outlineLevel="0" collapsed="false">
      <c r="B434" s="7" t="s">
        <v>15079</v>
      </c>
      <c r="C434" s="7" t="s">
        <v>931</v>
      </c>
      <c r="D434" s="7" t="s">
        <v>393</v>
      </c>
      <c r="E434" s="7" t="s">
        <v>157</v>
      </c>
      <c r="F434" s="39" t="n">
        <v>45679</v>
      </c>
      <c r="G434" s="41" t="n">
        <v>174.9</v>
      </c>
      <c r="H434" s="39" t="n">
        <v>45739</v>
      </c>
      <c r="I434" s="7" t="s">
        <v>14651</v>
      </c>
      <c r="J434" s="8" t="str">
        <f aca="false">IF(I434="Open",DATE(2025,12,31)-F434,"-")</f>
        <v>-</v>
      </c>
    </row>
    <row r="435" customFormat="false" ht="15" hidden="false" customHeight="false" outlineLevel="0" collapsed="false">
      <c r="B435" s="7" t="s">
        <v>15080</v>
      </c>
      <c r="C435" s="7" t="s">
        <v>932</v>
      </c>
      <c r="D435" s="7" t="s">
        <v>395</v>
      </c>
      <c r="E435" s="7" t="s">
        <v>156</v>
      </c>
      <c r="F435" s="39" t="n">
        <v>45679</v>
      </c>
      <c r="G435" s="41" t="n">
        <v>142.12</v>
      </c>
      <c r="H435" s="39" t="n">
        <v>45691</v>
      </c>
      <c r="I435" s="7" t="s">
        <v>14651</v>
      </c>
      <c r="J435" s="8" t="str">
        <f aca="false">IF(I435="Open",DATE(2025,12,31)-F435,"-")</f>
        <v>-</v>
      </c>
    </row>
    <row r="436" customFormat="false" ht="15" hidden="false" customHeight="false" outlineLevel="0" collapsed="false">
      <c r="B436" s="7" t="s">
        <v>15081</v>
      </c>
      <c r="C436" s="7" t="s">
        <v>933</v>
      </c>
      <c r="D436" s="7" t="s">
        <v>399</v>
      </c>
      <c r="E436" s="7" t="s">
        <v>154</v>
      </c>
      <c r="F436" s="39" t="n">
        <v>45679</v>
      </c>
      <c r="G436" s="41" t="n">
        <v>90.63</v>
      </c>
      <c r="H436" s="39" t="n">
        <v>45747</v>
      </c>
      <c r="I436" s="7" t="s">
        <v>14651</v>
      </c>
      <c r="J436" s="8" t="str">
        <f aca="false">IF(I436="Open",DATE(2025,12,31)-F436,"-")</f>
        <v>-</v>
      </c>
    </row>
    <row r="437" customFormat="false" ht="15" hidden="false" customHeight="false" outlineLevel="0" collapsed="false">
      <c r="B437" s="7" t="s">
        <v>15082</v>
      </c>
      <c r="C437" s="7" t="s">
        <v>934</v>
      </c>
      <c r="D437" s="7" t="s">
        <v>401</v>
      </c>
      <c r="E437" s="7" t="s">
        <v>156</v>
      </c>
      <c r="F437" s="39" t="n">
        <v>45679</v>
      </c>
      <c r="G437" s="41" t="n">
        <v>126.48</v>
      </c>
      <c r="H437" s="39" t="n">
        <v>45689</v>
      </c>
      <c r="I437" s="7" t="s">
        <v>14651</v>
      </c>
      <c r="J437" s="8" t="str">
        <f aca="false">IF(I437="Open",DATE(2025,12,31)-F437,"-")</f>
        <v>-</v>
      </c>
    </row>
    <row r="438" customFormat="false" ht="15" hidden="false" customHeight="false" outlineLevel="0" collapsed="false">
      <c r="B438" s="7" t="s">
        <v>15083</v>
      </c>
      <c r="C438" s="7" t="s">
        <v>935</v>
      </c>
      <c r="D438" s="7" t="s">
        <v>409</v>
      </c>
      <c r="E438" s="7" t="s">
        <v>154</v>
      </c>
      <c r="F438" s="39" t="n">
        <v>45679</v>
      </c>
      <c r="G438" s="41" t="n">
        <v>93.31</v>
      </c>
      <c r="H438" s="39" t="n">
        <v>45708</v>
      </c>
      <c r="I438" s="7" t="s">
        <v>14651</v>
      </c>
      <c r="J438" s="8" t="str">
        <f aca="false">IF(I438="Open",DATE(2025,12,31)-F438,"-")</f>
        <v>-</v>
      </c>
    </row>
    <row r="439" customFormat="false" ht="15" hidden="false" customHeight="false" outlineLevel="0" collapsed="false">
      <c r="B439" s="7" t="s">
        <v>15084</v>
      </c>
      <c r="C439" s="7" t="s">
        <v>936</v>
      </c>
      <c r="D439" s="7" t="s">
        <v>411</v>
      </c>
      <c r="E439" s="7" t="s">
        <v>154</v>
      </c>
      <c r="F439" s="39" t="n">
        <v>45679</v>
      </c>
      <c r="G439" s="41" t="n">
        <v>118.98</v>
      </c>
      <c r="H439" s="39" t="n">
        <v>45758</v>
      </c>
      <c r="I439" s="7" t="s">
        <v>14651</v>
      </c>
      <c r="J439" s="8" t="str">
        <f aca="false">IF(I439="Open",DATE(2025,12,31)-F439,"-")</f>
        <v>-</v>
      </c>
    </row>
    <row r="440" customFormat="false" ht="15" hidden="false" customHeight="false" outlineLevel="0" collapsed="false">
      <c r="B440" s="7" t="s">
        <v>15085</v>
      </c>
      <c r="C440" s="7" t="s">
        <v>937</v>
      </c>
      <c r="D440" s="7" t="s">
        <v>288</v>
      </c>
      <c r="E440" s="7" t="s">
        <v>156</v>
      </c>
      <c r="F440" s="39" t="n">
        <v>45680</v>
      </c>
      <c r="G440" s="41" t="n">
        <v>133.62</v>
      </c>
      <c r="H440" s="39" t="n">
        <v>45690</v>
      </c>
      <c r="I440" s="7" t="s">
        <v>14651</v>
      </c>
      <c r="J440" s="8" t="str">
        <f aca="false">IF(I440="Open",DATE(2025,12,31)-F440,"-")</f>
        <v>-</v>
      </c>
    </row>
    <row r="441" customFormat="false" ht="15" hidden="false" customHeight="false" outlineLevel="0" collapsed="false">
      <c r="B441" s="7" t="s">
        <v>15086</v>
      </c>
      <c r="C441" s="7" t="s">
        <v>938</v>
      </c>
      <c r="D441" s="7" t="s">
        <v>297</v>
      </c>
      <c r="E441" s="7" t="s">
        <v>156</v>
      </c>
      <c r="F441" s="39" t="n">
        <v>45680</v>
      </c>
      <c r="G441" s="41" t="n">
        <v>109.48</v>
      </c>
      <c r="H441" s="39" t="n">
        <v>45693</v>
      </c>
      <c r="I441" s="7" t="s">
        <v>14651</v>
      </c>
      <c r="J441" s="8" t="str">
        <f aca="false">IF(I441="Open",DATE(2025,12,31)-F441,"-")</f>
        <v>-</v>
      </c>
    </row>
    <row r="442" customFormat="false" ht="15" hidden="false" customHeight="false" outlineLevel="0" collapsed="false">
      <c r="B442" s="7" t="s">
        <v>15087</v>
      </c>
      <c r="C442" s="7" t="s">
        <v>939</v>
      </c>
      <c r="D442" s="7" t="s">
        <v>311</v>
      </c>
      <c r="E442" s="7" t="s">
        <v>154</v>
      </c>
      <c r="F442" s="39" t="n">
        <v>45680</v>
      </c>
      <c r="G442" s="41" t="n">
        <v>73.67</v>
      </c>
      <c r="H442" s="39" t="n">
        <v>45748</v>
      </c>
      <c r="I442" s="7" t="s">
        <v>14651</v>
      </c>
      <c r="J442" s="8" t="str">
        <f aca="false">IF(I442="Open",DATE(2025,12,31)-F442,"-")</f>
        <v>-</v>
      </c>
    </row>
    <row r="443" customFormat="false" ht="15" hidden="false" customHeight="false" outlineLevel="0" collapsed="false">
      <c r="B443" s="7" t="s">
        <v>15088</v>
      </c>
      <c r="C443" s="7" t="s">
        <v>940</v>
      </c>
      <c r="D443" s="7" t="s">
        <v>313</v>
      </c>
      <c r="E443" s="7" t="s">
        <v>156</v>
      </c>
      <c r="F443" s="39" t="n">
        <v>45680</v>
      </c>
      <c r="G443" s="41" t="n">
        <v>140.42</v>
      </c>
      <c r="H443" s="39" t="n">
        <v>45692</v>
      </c>
      <c r="I443" s="7" t="s">
        <v>14651</v>
      </c>
      <c r="J443" s="8" t="str">
        <f aca="false">IF(I443="Open",DATE(2025,12,31)-F443,"-")</f>
        <v>-</v>
      </c>
    </row>
    <row r="444" customFormat="false" ht="15" hidden="false" customHeight="false" outlineLevel="0" collapsed="false">
      <c r="B444" s="7" t="s">
        <v>15089</v>
      </c>
      <c r="C444" s="7" t="s">
        <v>941</v>
      </c>
      <c r="D444" s="7" t="s">
        <v>317</v>
      </c>
      <c r="E444" s="7" t="s">
        <v>156</v>
      </c>
      <c r="F444" s="39" t="n">
        <v>45680</v>
      </c>
      <c r="G444" s="41" t="n">
        <v>95.2</v>
      </c>
      <c r="H444" s="39" t="n">
        <v>45693</v>
      </c>
      <c r="I444" s="7" t="s">
        <v>14651</v>
      </c>
      <c r="J444" s="8" t="str">
        <f aca="false">IF(I444="Open",DATE(2025,12,31)-F444,"-")</f>
        <v>-</v>
      </c>
    </row>
    <row r="445" customFormat="false" ht="15" hidden="false" customHeight="false" outlineLevel="0" collapsed="false">
      <c r="B445" s="7" t="s">
        <v>15090</v>
      </c>
      <c r="C445" s="7" t="s">
        <v>942</v>
      </c>
      <c r="D445" s="7" t="s">
        <v>321</v>
      </c>
      <c r="E445" s="7" t="s">
        <v>154</v>
      </c>
      <c r="F445" s="39" t="n">
        <v>45680</v>
      </c>
      <c r="G445" s="41" t="n">
        <v>102.82</v>
      </c>
      <c r="H445" s="39" t="n">
        <v>45740</v>
      </c>
      <c r="I445" s="7" t="s">
        <v>14651</v>
      </c>
      <c r="J445" s="8" t="str">
        <f aca="false">IF(I445="Open",DATE(2025,12,31)-F445,"-")</f>
        <v>-</v>
      </c>
    </row>
    <row r="446" customFormat="false" ht="15" hidden="false" customHeight="false" outlineLevel="0" collapsed="false">
      <c r="B446" s="7" t="s">
        <v>15091</v>
      </c>
      <c r="C446" s="7" t="s">
        <v>943</v>
      </c>
      <c r="D446" s="7" t="s">
        <v>325</v>
      </c>
      <c r="E446" s="7" t="s">
        <v>154</v>
      </c>
      <c r="F446" s="39" t="n">
        <v>45680</v>
      </c>
      <c r="G446" s="41" t="n">
        <v>81.88</v>
      </c>
      <c r="H446" s="39" t="n">
        <v>45756</v>
      </c>
      <c r="I446" s="7" t="s">
        <v>14651</v>
      </c>
      <c r="J446" s="8" t="str">
        <f aca="false">IF(I446="Open",DATE(2025,12,31)-F446,"-")</f>
        <v>-</v>
      </c>
    </row>
    <row r="447" customFormat="false" ht="15" hidden="false" customHeight="false" outlineLevel="0" collapsed="false">
      <c r="B447" s="7" t="s">
        <v>15092</v>
      </c>
      <c r="C447" s="7" t="s">
        <v>944</v>
      </c>
      <c r="D447" s="7" t="s">
        <v>329</v>
      </c>
      <c r="E447" s="7" t="s">
        <v>156</v>
      </c>
      <c r="F447" s="39" t="n">
        <v>45680</v>
      </c>
      <c r="G447" s="41" t="n">
        <v>127.5</v>
      </c>
      <c r="H447" s="39" t="n">
        <v>45704</v>
      </c>
      <c r="I447" s="7" t="s">
        <v>14651</v>
      </c>
      <c r="J447" s="8" t="str">
        <f aca="false">IF(I447="Open",DATE(2025,12,31)-F447,"-")</f>
        <v>-</v>
      </c>
    </row>
    <row r="448" customFormat="false" ht="15" hidden="false" customHeight="false" outlineLevel="0" collapsed="false">
      <c r="B448" s="7" t="s">
        <v>15093</v>
      </c>
      <c r="C448" s="7" t="s">
        <v>945</v>
      </c>
      <c r="D448" s="7" t="s">
        <v>331</v>
      </c>
      <c r="E448" s="7" t="s">
        <v>156</v>
      </c>
      <c r="F448" s="39" t="n">
        <v>45680</v>
      </c>
      <c r="G448" s="41" t="n">
        <v>128.52</v>
      </c>
      <c r="H448" s="39" t="n">
        <v>45695</v>
      </c>
      <c r="I448" s="7" t="s">
        <v>14651</v>
      </c>
      <c r="J448" s="8" t="str">
        <f aca="false">IF(I448="Open",DATE(2025,12,31)-F448,"-")</f>
        <v>-</v>
      </c>
    </row>
    <row r="449" customFormat="false" ht="15" hidden="false" customHeight="false" outlineLevel="0" collapsed="false">
      <c r="B449" s="7" t="s">
        <v>15094</v>
      </c>
      <c r="C449" s="7" t="s">
        <v>946</v>
      </c>
      <c r="D449" s="7" t="s">
        <v>337</v>
      </c>
      <c r="E449" s="7" t="s">
        <v>154</v>
      </c>
      <c r="F449" s="39" t="n">
        <v>45680</v>
      </c>
      <c r="G449" s="41" t="n">
        <v>76.06</v>
      </c>
      <c r="H449" s="39" t="n">
        <v>45735</v>
      </c>
      <c r="I449" s="7" t="s">
        <v>14651</v>
      </c>
      <c r="J449" s="8" t="str">
        <f aca="false">IF(I449="Open",DATE(2025,12,31)-F449,"-")</f>
        <v>-</v>
      </c>
    </row>
    <row r="450" customFormat="false" ht="15" hidden="false" customHeight="false" outlineLevel="0" collapsed="false">
      <c r="B450" s="7" t="s">
        <v>15095</v>
      </c>
      <c r="C450" s="7" t="s">
        <v>947</v>
      </c>
      <c r="D450" s="7" t="s">
        <v>341</v>
      </c>
      <c r="E450" s="7" t="s">
        <v>156</v>
      </c>
      <c r="F450" s="39" t="n">
        <v>45680</v>
      </c>
      <c r="G450" s="41" t="n">
        <v>98.26</v>
      </c>
      <c r="H450" s="39" t="n">
        <v>45691</v>
      </c>
      <c r="I450" s="7" t="s">
        <v>14651</v>
      </c>
      <c r="J450" s="8" t="str">
        <f aca="false">IF(I450="Open",DATE(2025,12,31)-F450,"-")</f>
        <v>-</v>
      </c>
    </row>
    <row r="451" customFormat="false" ht="15" hidden="false" customHeight="false" outlineLevel="0" collapsed="false">
      <c r="B451" s="7" t="s">
        <v>15096</v>
      </c>
      <c r="C451" s="7" t="s">
        <v>948</v>
      </c>
      <c r="D451" s="7" t="s">
        <v>343</v>
      </c>
      <c r="E451" s="7" t="s">
        <v>154</v>
      </c>
      <c r="F451" s="39" t="n">
        <v>45680</v>
      </c>
      <c r="G451" s="41" t="n">
        <v>108.99</v>
      </c>
      <c r="H451" s="39" t="n">
        <v>45788</v>
      </c>
      <c r="I451" s="7" t="s">
        <v>14651</v>
      </c>
      <c r="J451" s="8" t="str">
        <f aca="false">IF(I451="Open",DATE(2025,12,31)-F451,"-")</f>
        <v>-</v>
      </c>
    </row>
    <row r="452" customFormat="false" ht="15" hidden="false" customHeight="false" outlineLevel="0" collapsed="false">
      <c r="B452" s="7" t="s">
        <v>15097</v>
      </c>
      <c r="C452" s="7" t="s">
        <v>949</v>
      </c>
      <c r="D452" s="7" t="s">
        <v>359</v>
      </c>
      <c r="E452" s="7" t="s">
        <v>156</v>
      </c>
      <c r="F452" s="39" t="n">
        <v>45680</v>
      </c>
      <c r="G452" s="41" t="n">
        <v>140.76</v>
      </c>
      <c r="H452" s="39" t="n">
        <v>45705</v>
      </c>
      <c r="I452" s="7" t="s">
        <v>14651</v>
      </c>
      <c r="J452" s="8" t="str">
        <f aca="false">IF(I452="Open",DATE(2025,12,31)-F452,"-")</f>
        <v>-</v>
      </c>
    </row>
    <row r="453" customFormat="false" ht="15" hidden="false" customHeight="false" outlineLevel="0" collapsed="false">
      <c r="B453" s="7" t="s">
        <v>15098</v>
      </c>
      <c r="C453" s="7" t="s">
        <v>950</v>
      </c>
      <c r="D453" s="7" t="s">
        <v>363</v>
      </c>
      <c r="E453" s="7" t="s">
        <v>156</v>
      </c>
      <c r="F453" s="39" t="n">
        <v>45680</v>
      </c>
      <c r="G453" s="41" t="n">
        <v>144.5</v>
      </c>
      <c r="H453" s="39" t="n">
        <v>45695</v>
      </c>
      <c r="I453" s="7" t="s">
        <v>14651</v>
      </c>
      <c r="J453" s="8" t="str">
        <f aca="false">IF(I453="Open",DATE(2025,12,31)-F453,"-")</f>
        <v>-</v>
      </c>
    </row>
    <row r="454" customFormat="false" ht="15" hidden="false" customHeight="false" outlineLevel="0" collapsed="false">
      <c r="B454" s="7" t="s">
        <v>15099</v>
      </c>
      <c r="C454" s="7" t="s">
        <v>951</v>
      </c>
      <c r="D454" s="7" t="s">
        <v>375</v>
      </c>
      <c r="E454" s="7" t="s">
        <v>156</v>
      </c>
      <c r="F454" s="39" t="n">
        <v>45680</v>
      </c>
      <c r="G454" s="41" t="n">
        <v>97.58</v>
      </c>
      <c r="H454" s="39" t="n">
        <v>45696</v>
      </c>
      <c r="I454" s="7" t="s">
        <v>14651</v>
      </c>
      <c r="J454" s="8" t="str">
        <f aca="false">IF(I454="Open",DATE(2025,12,31)-F454,"-")</f>
        <v>-</v>
      </c>
    </row>
    <row r="455" customFormat="false" ht="15" hidden="false" customHeight="false" outlineLevel="0" collapsed="false">
      <c r="B455" s="7" t="s">
        <v>15100</v>
      </c>
      <c r="C455" s="7" t="s">
        <v>952</v>
      </c>
      <c r="D455" s="7" t="s">
        <v>377</v>
      </c>
      <c r="E455" s="7" t="s">
        <v>154</v>
      </c>
      <c r="F455" s="39" t="n">
        <v>45680</v>
      </c>
      <c r="G455" s="41" t="n">
        <v>102.82</v>
      </c>
      <c r="H455" s="39" t="n">
        <v>45738</v>
      </c>
      <c r="I455" s="7" t="s">
        <v>14651</v>
      </c>
      <c r="J455" s="8" t="str">
        <f aca="false">IF(I455="Open",DATE(2025,12,31)-F455,"-")</f>
        <v>-</v>
      </c>
    </row>
    <row r="456" customFormat="false" ht="15" hidden="false" customHeight="false" outlineLevel="0" collapsed="false">
      <c r="B456" s="7" t="s">
        <v>15101</v>
      </c>
      <c r="C456" s="7" t="s">
        <v>953</v>
      </c>
      <c r="D456" s="7" t="s">
        <v>389</v>
      </c>
      <c r="E456" s="7" t="s">
        <v>154</v>
      </c>
      <c r="F456" s="39" t="n">
        <v>45680</v>
      </c>
      <c r="G456" s="41" t="n">
        <v>105.47</v>
      </c>
      <c r="H456" s="39" t="n">
        <v>45745</v>
      </c>
      <c r="I456" s="7" t="s">
        <v>14651</v>
      </c>
      <c r="J456" s="8" t="str">
        <f aca="false">IF(I456="Open",DATE(2025,12,31)-F456,"-")</f>
        <v>-</v>
      </c>
    </row>
    <row r="457" customFormat="false" ht="15" hidden="false" customHeight="false" outlineLevel="0" collapsed="false">
      <c r="B457" s="7" t="s">
        <v>15102</v>
      </c>
      <c r="C457" s="7" t="s">
        <v>954</v>
      </c>
      <c r="D457" s="7" t="s">
        <v>391</v>
      </c>
      <c r="E457" s="7" t="s">
        <v>156</v>
      </c>
      <c r="F457" s="39" t="n">
        <v>45680</v>
      </c>
      <c r="G457" s="41" t="n">
        <v>147.9</v>
      </c>
      <c r="H457" s="39" t="n">
        <v>45694</v>
      </c>
      <c r="I457" s="7" t="s">
        <v>14651</v>
      </c>
      <c r="J457" s="8" t="str">
        <f aca="false">IF(I457="Open",DATE(2025,12,31)-F457,"-")</f>
        <v>-</v>
      </c>
    </row>
    <row r="458" customFormat="false" ht="15" hidden="false" customHeight="false" outlineLevel="0" collapsed="false">
      <c r="B458" s="7" t="s">
        <v>15103</v>
      </c>
      <c r="C458" s="7" t="s">
        <v>955</v>
      </c>
      <c r="D458" s="7" t="s">
        <v>395</v>
      </c>
      <c r="E458" s="7" t="s">
        <v>156</v>
      </c>
      <c r="F458" s="39" t="n">
        <v>45680</v>
      </c>
      <c r="G458" s="41" t="n">
        <v>139.06</v>
      </c>
      <c r="H458" s="39" t="n">
        <v>45695</v>
      </c>
      <c r="I458" s="7" t="s">
        <v>14651</v>
      </c>
      <c r="J458" s="8" t="str">
        <f aca="false">IF(I458="Open",DATE(2025,12,31)-F458,"-")</f>
        <v>-</v>
      </c>
    </row>
    <row r="459" customFormat="false" ht="15" hidden="false" customHeight="false" outlineLevel="0" collapsed="false">
      <c r="B459" s="7" t="s">
        <v>15104</v>
      </c>
      <c r="C459" s="7" t="s">
        <v>956</v>
      </c>
      <c r="D459" s="7" t="s">
        <v>401</v>
      </c>
      <c r="E459" s="7" t="s">
        <v>156</v>
      </c>
      <c r="F459" s="39" t="n">
        <v>45680</v>
      </c>
      <c r="G459" s="41" t="n">
        <v>140.76</v>
      </c>
      <c r="H459" s="39" t="n">
        <v>45691</v>
      </c>
      <c r="I459" s="7" t="s">
        <v>14651</v>
      </c>
      <c r="J459" s="8" t="str">
        <f aca="false">IF(I459="Open",DATE(2025,12,31)-F459,"-")</f>
        <v>-</v>
      </c>
    </row>
    <row r="460" customFormat="false" ht="15" hidden="false" customHeight="false" outlineLevel="0" collapsed="false">
      <c r="B460" s="7" t="s">
        <v>15105</v>
      </c>
      <c r="C460" s="7" t="s">
        <v>957</v>
      </c>
      <c r="D460" s="7" t="s">
        <v>280</v>
      </c>
      <c r="E460" s="7" t="s">
        <v>157</v>
      </c>
      <c r="F460" s="39" t="n">
        <v>45681</v>
      </c>
      <c r="G460" s="41" t="n">
        <v>150.15</v>
      </c>
      <c r="H460" s="39" t="n">
        <v>45735</v>
      </c>
      <c r="I460" s="7" t="s">
        <v>14651</v>
      </c>
      <c r="J460" s="8" t="str">
        <f aca="false">IF(I460="Open",DATE(2025,12,31)-F460,"-")</f>
        <v>-</v>
      </c>
    </row>
    <row r="461" customFormat="false" ht="15" hidden="false" customHeight="false" outlineLevel="0" collapsed="false">
      <c r="B461" s="7" t="s">
        <v>15106</v>
      </c>
      <c r="C461" s="7" t="s">
        <v>958</v>
      </c>
      <c r="D461" s="7" t="s">
        <v>288</v>
      </c>
      <c r="E461" s="7" t="s">
        <v>156</v>
      </c>
      <c r="F461" s="39" t="n">
        <v>45681</v>
      </c>
      <c r="G461" s="41" t="n">
        <v>125.12</v>
      </c>
      <c r="H461" s="39" t="n">
        <v>45696</v>
      </c>
      <c r="I461" s="7" t="s">
        <v>14651</v>
      </c>
      <c r="J461" s="8" t="str">
        <f aca="false">IF(I461="Open",DATE(2025,12,31)-F461,"-")</f>
        <v>-</v>
      </c>
    </row>
    <row r="462" customFormat="false" ht="15" hidden="false" customHeight="false" outlineLevel="0" collapsed="false">
      <c r="B462" s="7" t="s">
        <v>15107</v>
      </c>
      <c r="C462" s="7" t="s">
        <v>959</v>
      </c>
      <c r="D462" s="7" t="s">
        <v>291</v>
      </c>
      <c r="E462" s="7" t="s">
        <v>154</v>
      </c>
      <c r="F462" s="39" t="n">
        <v>45681</v>
      </c>
      <c r="G462" s="41" t="n">
        <v>124.81</v>
      </c>
      <c r="H462" s="39" t="n">
        <v>45740</v>
      </c>
      <c r="I462" s="7" t="s">
        <v>14651</v>
      </c>
      <c r="J462" s="8" t="str">
        <f aca="false">IF(I462="Open",DATE(2025,12,31)-F462,"-")</f>
        <v>-</v>
      </c>
    </row>
    <row r="463" customFormat="false" ht="15" hidden="false" customHeight="false" outlineLevel="0" collapsed="false">
      <c r="B463" s="7" t="s">
        <v>15108</v>
      </c>
      <c r="C463" s="7" t="s">
        <v>960</v>
      </c>
      <c r="D463" s="7" t="s">
        <v>301</v>
      </c>
      <c r="E463" s="7" t="s">
        <v>157</v>
      </c>
      <c r="F463" s="39" t="n">
        <v>45681</v>
      </c>
      <c r="G463" s="41" t="n">
        <v>179.85</v>
      </c>
      <c r="H463" s="39" t="n">
        <v>45718</v>
      </c>
      <c r="I463" s="7" t="s">
        <v>14651</v>
      </c>
      <c r="J463" s="8" t="str">
        <f aca="false">IF(I463="Open",DATE(2025,12,31)-F463,"-")</f>
        <v>-</v>
      </c>
    </row>
    <row r="464" customFormat="false" ht="15" hidden="false" customHeight="false" outlineLevel="0" collapsed="false">
      <c r="B464" s="7" t="s">
        <v>15109</v>
      </c>
      <c r="C464" s="7" t="s">
        <v>961</v>
      </c>
      <c r="D464" s="7" t="s">
        <v>305</v>
      </c>
      <c r="E464" s="7" t="s">
        <v>154</v>
      </c>
      <c r="F464" s="39" t="n">
        <v>45681</v>
      </c>
      <c r="G464" s="41" t="n">
        <v>99.64</v>
      </c>
      <c r="H464" s="39" t="n">
        <v>45742</v>
      </c>
      <c r="I464" s="7" t="s">
        <v>14651</v>
      </c>
      <c r="J464" s="8" t="str">
        <f aca="false">IF(I464="Open",DATE(2025,12,31)-F464,"-")</f>
        <v>-</v>
      </c>
    </row>
    <row r="465" customFormat="false" ht="15" hidden="false" customHeight="false" outlineLevel="0" collapsed="false">
      <c r="B465" s="7" t="s">
        <v>15110</v>
      </c>
      <c r="C465" s="7" t="s">
        <v>962</v>
      </c>
      <c r="D465" s="7" t="s">
        <v>309</v>
      </c>
      <c r="E465" s="7" t="s">
        <v>159</v>
      </c>
      <c r="F465" s="39" t="n">
        <v>45681</v>
      </c>
      <c r="G465" s="41" t="n">
        <v>129.33</v>
      </c>
      <c r="H465" s="39" t="n">
        <v>45749</v>
      </c>
      <c r="I465" s="7" t="s">
        <v>14651</v>
      </c>
      <c r="J465" s="8" t="str">
        <f aca="false">IF(I465="Open",DATE(2025,12,31)-F465,"-")</f>
        <v>-</v>
      </c>
    </row>
    <row r="466" customFormat="false" ht="15" hidden="false" customHeight="false" outlineLevel="0" collapsed="false">
      <c r="B466" s="7" t="s">
        <v>15111</v>
      </c>
      <c r="C466" s="7" t="s">
        <v>963</v>
      </c>
      <c r="D466" s="7" t="s">
        <v>313</v>
      </c>
      <c r="E466" s="7" t="s">
        <v>156</v>
      </c>
      <c r="F466" s="39" t="n">
        <v>45681</v>
      </c>
      <c r="G466" s="41" t="n">
        <v>138.04</v>
      </c>
      <c r="H466" s="39" t="n">
        <v>45694</v>
      </c>
      <c r="I466" s="7" t="s">
        <v>14651</v>
      </c>
      <c r="J466" s="8" t="str">
        <f aca="false">IF(I466="Open",DATE(2025,12,31)-F466,"-")</f>
        <v>-</v>
      </c>
    </row>
    <row r="467" customFormat="false" ht="15" hidden="false" customHeight="false" outlineLevel="0" collapsed="false">
      <c r="B467" s="7" t="s">
        <v>15112</v>
      </c>
      <c r="C467" s="7" t="s">
        <v>964</v>
      </c>
      <c r="D467" s="7" t="s">
        <v>319</v>
      </c>
      <c r="E467" s="7" t="s">
        <v>157</v>
      </c>
      <c r="F467" s="39" t="n">
        <v>45681</v>
      </c>
      <c r="G467" s="41" t="n">
        <v>179.85</v>
      </c>
      <c r="H467" s="39" t="n">
        <v>45727</v>
      </c>
      <c r="I467" s="7" t="s">
        <v>14651</v>
      </c>
      <c r="J467" s="8" t="str">
        <f aca="false">IF(I467="Open",DATE(2025,12,31)-F467,"-")</f>
        <v>-</v>
      </c>
    </row>
    <row r="468" customFormat="false" ht="15" hidden="false" customHeight="false" outlineLevel="0" collapsed="false">
      <c r="B468" s="7" t="s">
        <v>15113</v>
      </c>
      <c r="C468" s="7" t="s">
        <v>965</v>
      </c>
      <c r="D468" s="7" t="s">
        <v>321</v>
      </c>
      <c r="E468" s="7" t="s">
        <v>154</v>
      </c>
      <c r="F468" s="39" t="n">
        <v>45681</v>
      </c>
      <c r="G468" s="41" t="n">
        <v>114.21</v>
      </c>
      <c r="H468" s="39" t="n">
        <v>45773</v>
      </c>
      <c r="I468" s="7" t="s">
        <v>14651</v>
      </c>
      <c r="J468" s="8" t="str">
        <f aca="false">IF(I468="Open",DATE(2025,12,31)-F468,"-")</f>
        <v>-</v>
      </c>
    </row>
    <row r="469" customFormat="false" ht="15" hidden="false" customHeight="false" outlineLevel="0" collapsed="false">
      <c r="B469" s="7" t="s">
        <v>15114</v>
      </c>
      <c r="C469" s="7" t="s">
        <v>966</v>
      </c>
      <c r="D469" s="7" t="s">
        <v>323</v>
      </c>
      <c r="E469" s="7" t="s">
        <v>159</v>
      </c>
      <c r="F469" s="39" t="n">
        <v>45681</v>
      </c>
      <c r="G469" s="41" t="n">
        <v>148.5</v>
      </c>
      <c r="H469" s="39" t="n">
        <v>45740</v>
      </c>
      <c r="I469" s="7" t="s">
        <v>14651</v>
      </c>
      <c r="J469" s="8" t="str">
        <f aca="false">IF(I469="Open",DATE(2025,12,31)-F469,"-")</f>
        <v>-</v>
      </c>
    </row>
    <row r="470" customFormat="false" ht="15" hidden="false" customHeight="false" outlineLevel="0" collapsed="false">
      <c r="B470" s="7" t="s">
        <v>15115</v>
      </c>
      <c r="C470" s="7" t="s">
        <v>967</v>
      </c>
      <c r="D470" s="7" t="s">
        <v>327</v>
      </c>
      <c r="E470" s="7" t="s">
        <v>157</v>
      </c>
      <c r="F470" s="39" t="n">
        <v>45681</v>
      </c>
      <c r="G470" s="41" t="n">
        <v>179.85</v>
      </c>
      <c r="H470" s="39" t="n">
        <v>45712</v>
      </c>
      <c r="I470" s="7" t="s">
        <v>14651</v>
      </c>
      <c r="J470" s="8" t="str">
        <f aca="false">IF(I470="Open",DATE(2025,12,31)-F470,"-")</f>
        <v>-</v>
      </c>
    </row>
    <row r="471" customFormat="false" ht="15" hidden="false" customHeight="false" outlineLevel="0" collapsed="false">
      <c r="B471" s="7" t="s">
        <v>15116</v>
      </c>
      <c r="C471" s="7" t="s">
        <v>968</v>
      </c>
      <c r="D471" s="7" t="s">
        <v>335</v>
      </c>
      <c r="E471" s="7" t="s">
        <v>154</v>
      </c>
      <c r="F471" s="39" t="n">
        <v>45681</v>
      </c>
      <c r="G471" s="41" t="n">
        <v>108.12</v>
      </c>
      <c r="H471" s="39" t="n">
        <v>45759</v>
      </c>
      <c r="I471" s="7" t="s">
        <v>14651</v>
      </c>
      <c r="J471" s="8" t="str">
        <f aca="false">IF(I471="Open",DATE(2025,12,31)-F471,"-")</f>
        <v>-</v>
      </c>
    </row>
    <row r="472" customFormat="false" ht="15" hidden="false" customHeight="false" outlineLevel="0" collapsed="false">
      <c r="B472" s="7" t="s">
        <v>15117</v>
      </c>
      <c r="C472" s="7" t="s">
        <v>969</v>
      </c>
      <c r="D472" s="7" t="s">
        <v>339</v>
      </c>
      <c r="E472" s="7" t="s">
        <v>154</v>
      </c>
      <c r="F472" s="39" t="n">
        <v>45681</v>
      </c>
      <c r="G472" s="41" t="n">
        <v>87.45</v>
      </c>
      <c r="H472" s="39" t="n">
        <v>45793</v>
      </c>
      <c r="I472" s="7" t="s">
        <v>14651</v>
      </c>
      <c r="J472" s="8" t="str">
        <f aca="false">IF(I472="Open",DATE(2025,12,31)-F472,"-")</f>
        <v>-</v>
      </c>
    </row>
    <row r="473" customFormat="false" ht="15" hidden="false" customHeight="false" outlineLevel="0" collapsed="false">
      <c r="B473" s="7" t="s">
        <v>15118</v>
      </c>
      <c r="C473" s="7" t="s">
        <v>970</v>
      </c>
      <c r="D473" s="7" t="s">
        <v>353</v>
      </c>
      <c r="E473" s="7" t="s">
        <v>154</v>
      </c>
      <c r="F473" s="39" t="n">
        <v>45681</v>
      </c>
      <c r="G473" s="41" t="n">
        <v>95.13</v>
      </c>
      <c r="H473" s="39" t="n">
        <v>45728</v>
      </c>
      <c r="I473" s="7" t="s">
        <v>14651</v>
      </c>
      <c r="J473" s="8" t="str">
        <f aca="false">IF(I473="Open",DATE(2025,12,31)-F473,"-")</f>
        <v>-</v>
      </c>
    </row>
    <row r="474" customFormat="false" ht="15" hidden="false" customHeight="false" outlineLevel="0" collapsed="false">
      <c r="B474" s="7" t="s">
        <v>15119</v>
      </c>
      <c r="C474" s="7" t="s">
        <v>971</v>
      </c>
      <c r="D474" s="7" t="s">
        <v>355</v>
      </c>
      <c r="E474" s="7" t="s">
        <v>154</v>
      </c>
      <c r="F474" s="39" t="n">
        <v>45681</v>
      </c>
      <c r="G474" s="41" t="n">
        <v>84.27</v>
      </c>
      <c r="H474" s="39" t="n">
        <v>45775</v>
      </c>
      <c r="I474" s="7" t="s">
        <v>14651</v>
      </c>
      <c r="J474" s="8" t="str">
        <f aca="false">IF(I474="Open",DATE(2025,12,31)-F474,"-")</f>
        <v>-</v>
      </c>
    </row>
    <row r="475" customFormat="false" ht="15" hidden="false" customHeight="false" outlineLevel="0" collapsed="false">
      <c r="B475" s="7" t="s">
        <v>15120</v>
      </c>
      <c r="C475" s="7" t="s">
        <v>972</v>
      </c>
      <c r="D475" s="7" t="s">
        <v>357</v>
      </c>
      <c r="E475" s="7" t="s">
        <v>154</v>
      </c>
      <c r="F475" s="39" t="n">
        <v>45681</v>
      </c>
      <c r="G475" s="41" t="n">
        <v>92.48</v>
      </c>
      <c r="H475" s="39" t="n">
        <v>45719</v>
      </c>
      <c r="I475" s="7" t="s">
        <v>14651</v>
      </c>
      <c r="J475" s="8" t="str">
        <f aca="false">IF(I475="Open",DATE(2025,12,31)-F475,"-")</f>
        <v>-</v>
      </c>
    </row>
    <row r="476" customFormat="false" ht="15" hidden="false" customHeight="false" outlineLevel="0" collapsed="false">
      <c r="B476" s="7" t="s">
        <v>15121</v>
      </c>
      <c r="C476" s="7" t="s">
        <v>973</v>
      </c>
      <c r="D476" s="7" t="s">
        <v>359</v>
      </c>
      <c r="E476" s="7" t="s">
        <v>156</v>
      </c>
      <c r="F476" s="39" t="n">
        <v>45681</v>
      </c>
      <c r="G476" s="41" t="n">
        <v>122.74</v>
      </c>
      <c r="H476" s="39" t="n">
        <v>45704</v>
      </c>
      <c r="I476" s="7" t="s">
        <v>14651</v>
      </c>
      <c r="J476" s="8" t="str">
        <f aca="false">IF(I476="Open",DATE(2025,12,31)-F476,"-")</f>
        <v>-</v>
      </c>
    </row>
    <row r="477" customFormat="false" ht="15" hidden="false" customHeight="false" outlineLevel="0" collapsed="false">
      <c r="B477" s="7" t="s">
        <v>15122</v>
      </c>
      <c r="C477" s="7" t="s">
        <v>974</v>
      </c>
      <c r="D477" s="7" t="s">
        <v>361</v>
      </c>
      <c r="E477" s="7" t="s">
        <v>157</v>
      </c>
      <c r="F477" s="39" t="n">
        <v>45681</v>
      </c>
      <c r="G477" s="41" t="n">
        <v>169.95</v>
      </c>
      <c r="H477" s="39" t="n">
        <v>45733</v>
      </c>
      <c r="I477" s="7" t="s">
        <v>14651</v>
      </c>
      <c r="J477" s="8" t="str">
        <f aca="false">IF(I477="Open",DATE(2025,12,31)-F477,"-")</f>
        <v>-</v>
      </c>
    </row>
    <row r="478" customFormat="false" ht="15" hidden="false" customHeight="false" outlineLevel="0" collapsed="false">
      <c r="B478" s="7" t="s">
        <v>15123</v>
      </c>
      <c r="C478" s="7" t="s">
        <v>975</v>
      </c>
      <c r="D478" s="7" t="s">
        <v>371</v>
      </c>
      <c r="E478" s="7" t="s">
        <v>154</v>
      </c>
      <c r="F478" s="39" t="n">
        <v>45681</v>
      </c>
      <c r="G478" s="41" t="n">
        <v>127.2</v>
      </c>
      <c r="H478" s="39" t="n">
        <v>45783</v>
      </c>
      <c r="I478" s="7" t="s">
        <v>14651</v>
      </c>
      <c r="J478" s="8" t="str">
        <f aca="false">IF(I478="Open",DATE(2025,12,31)-F478,"-")</f>
        <v>-</v>
      </c>
    </row>
    <row r="479" customFormat="false" ht="15" hidden="false" customHeight="false" outlineLevel="0" collapsed="false">
      <c r="B479" s="7" t="s">
        <v>15124</v>
      </c>
      <c r="C479" s="7" t="s">
        <v>976</v>
      </c>
      <c r="D479" s="7" t="s">
        <v>379</v>
      </c>
      <c r="E479" s="7" t="s">
        <v>156</v>
      </c>
      <c r="F479" s="39" t="n">
        <v>45681</v>
      </c>
      <c r="G479" s="41" t="n">
        <v>153.34</v>
      </c>
      <c r="H479" s="39" t="n">
        <v>45701</v>
      </c>
      <c r="I479" s="7" t="s">
        <v>14651</v>
      </c>
      <c r="J479" s="8" t="str">
        <f aca="false">IF(I479="Open",DATE(2025,12,31)-F479,"-")</f>
        <v>-</v>
      </c>
    </row>
    <row r="480" customFormat="false" ht="15" hidden="false" customHeight="false" outlineLevel="0" collapsed="false">
      <c r="B480" s="7" t="s">
        <v>15125</v>
      </c>
      <c r="C480" s="7" t="s">
        <v>977</v>
      </c>
      <c r="D480" s="7" t="s">
        <v>381</v>
      </c>
      <c r="E480" s="7" t="s">
        <v>157</v>
      </c>
      <c r="F480" s="39" t="n">
        <v>45681</v>
      </c>
      <c r="G480" s="41" t="n">
        <v>181.5</v>
      </c>
      <c r="H480" s="39" t="n">
        <v>45775</v>
      </c>
      <c r="I480" s="7" t="s">
        <v>14651</v>
      </c>
      <c r="J480" s="8" t="str">
        <f aca="false">IF(I480="Open",DATE(2025,12,31)-F480,"-")</f>
        <v>-</v>
      </c>
    </row>
    <row r="481" customFormat="false" ht="15" hidden="false" customHeight="false" outlineLevel="0" collapsed="false">
      <c r="B481" s="7" t="s">
        <v>15126</v>
      </c>
      <c r="C481" s="7" t="s">
        <v>978</v>
      </c>
      <c r="D481" s="7" t="s">
        <v>389</v>
      </c>
      <c r="E481" s="7" t="s">
        <v>154</v>
      </c>
      <c r="F481" s="39" t="n">
        <v>45681</v>
      </c>
      <c r="G481" s="41" t="n">
        <v>95.66</v>
      </c>
      <c r="H481" s="39" t="n">
        <v>45760</v>
      </c>
      <c r="I481" s="7" t="s">
        <v>14651</v>
      </c>
      <c r="J481" s="8" t="str">
        <f aca="false">IF(I481="Open",DATE(2025,12,31)-F481,"-")</f>
        <v>-</v>
      </c>
    </row>
    <row r="482" customFormat="false" ht="15" hidden="false" customHeight="false" outlineLevel="0" collapsed="false">
      <c r="B482" s="7" t="s">
        <v>15127</v>
      </c>
      <c r="C482" s="7" t="s">
        <v>979</v>
      </c>
      <c r="D482" s="7" t="s">
        <v>391</v>
      </c>
      <c r="E482" s="7" t="s">
        <v>156</v>
      </c>
      <c r="F482" s="39" t="n">
        <v>45681</v>
      </c>
      <c r="G482" s="41" t="n">
        <v>129.54</v>
      </c>
      <c r="H482" s="39" t="n">
        <v>45685</v>
      </c>
      <c r="I482" s="7" t="s">
        <v>14651</v>
      </c>
      <c r="J482" s="8" t="str">
        <f aca="false">IF(I482="Open",DATE(2025,12,31)-F482,"-")</f>
        <v>-</v>
      </c>
    </row>
    <row r="483" customFormat="false" ht="15" hidden="false" customHeight="false" outlineLevel="0" collapsed="false">
      <c r="B483" s="7" t="s">
        <v>15128</v>
      </c>
      <c r="C483" s="7" t="s">
        <v>980</v>
      </c>
      <c r="D483" s="7" t="s">
        <v>395</v>
      </c>
      <c r="E483" s="7" t="s">
        <v>156</v>
      </c>
      <c r="F483" s="39" t="n">
        <v>45681</v>
      </c>
      <c r="G483" s="41" t="n">
        <v>138.04</v>
      </c>
      <c r="H483" s="39" t="n">
        <v>45694</v>
      </c>
      <c r="I483" s="7" t="s">
        <v>14651</v>
      </c>
      <c r="J483" s="8" t="str">
        <f aca="false">IF(I483="Open",DATE(2025,12,31)-F483,"-")</f>
        <v>-</v>
      </c>
    </row>
    <row r="484" customFormat="false" ht="15" hidden="false" customHeight="false" outlineLevel="0" collapsed="false">
      <c r="B484" s="7" t="s">
        <v>15129</v>
      </c>
      <c r="C484" s="7" t="s">
        <v>981</v>
      </c>
      <c r="D484" s="7" t="s">
        <v>399</v>
      </c>
      <c r="E484" s="7" t="s">
        <v>154</v>
      </c>
      <c r="F484" s="39" t="n">
        <v>45681</v>
      </c>
      <c r="G484" s="41" t="n">
        <v>83.74</v>
      </c>
      <c r="H484" s="39" t="n">
        <v>45726</v>
      </c>
      <c r="I484" s="7" t="s">
        <v>14651</v>
      </c>
      <c r="J484" s="8" t="str">
        <f aca="false">IF(I484="Open",DATE(2025,12,31)-F484,"-")</f>
        <v>-</v>
      </c>
    </row>
    <row r="485" customFormat="false" ht="15" hidden="false" customHeight="false" outlineLevel="0" collapsed="false">
      <c r="B485" s="7" t="s">
        <v>15130</v>
      </c>
      <c r="C485" s="7" t="s">
        <v>982</v>
      </c>
      <c r="D485" s="7" t="s">
        <v>401</v>
      </c>
      <c r="E485" s="7" t="s">
        <v>156</v>
      </c>
      <c r="F485" s="39" t="n">
        <v>45681</v>
      </c>
      <c r="G485" s="41" t="n">
        <v>126.82</v>
      </c>
      <c r="H485" s="39" t="n">
        <v>45700</v>
      </c>
      <c r="I485" s="7" t="s">
        <v>14651</v>
      </c>
      <c r="J485" s="8" t="str">
        <f aca="false">IF(I485="Open",DATE(2025,12,31)-F485,"-")</f>
        <v>-</v>
      </c>
    </row>
    <row r="486" customFormat="false" ht="15" hidden="false" customHeight="false" outlineLevel="0" collapsed="false">
      <c r="B486" s="7" t="s">
        <v>15131</v>
      </c>
      <c r="C486" s="7" t="s">
        <v>983</v>
      </c>
      <c r="D486" s="7" t="s">
        <v>407</v>
      </c>
      <c r="E486" s="7" t="s">
        <v>159</v>
      </c>
      <c r="F486" s="39" t="n">
        <v>45681</v>
      </c>
      <c r="G486" s="41" t="n">
        <v>145.8</v>
      </c>
      <c r="H486" s="39" t="n">
        <v>45732</v>
      </c>
      <c r="I486" s="7" t="s">
        <v>14651</v>
      </c>
      <c r="J486" s="8" t="str">
        <f aca="false">IF(I486="Open",DATE(2025,12,31)-F486,"-")</f>
        <v>-</v>
      </c>
    </row>
    <row r="487" customFormat="false" ht="15" hidden="false" customHeight="false" outlineLevel="0" collapsed="false">
      <c r="B487" s="7" t="s">
        <v>15132</v>
      </c>
      <c r="C487" s="7" t="s">
        <v>984</v>
      </c>
      <c r="D487" s="7" t="s">
        <v>409</v>
      </c>
      <c r="E487" s="7" t="s">
        <v>154</v>
      </c>
      <c r="F487" s="39" t="n">
        <v>45681</v>
      </c>
      <c r="G487" s="41" t="n">
        <v>90.9</v>
      </c>
      <c r="H487" s="39" t="n">
        <v>45761</v>
      </c>
      <c r="I487" s="7" t="s">
        <v>14651</v>
      </c>
      <c r="J487" s="8" t="str">
        <f aca="false">IF(I487="Open",DATE(2025,12,31)-F487,"-")</f>
        <v>-</v>
      </c>
    </row>
    <row r="488" customFormat="false" ht="15" hidden="false" customHeight="false" outlineLevel="0" collapsed="false">
      <c r="B488" s="7" t="s">
        <v>15133</v>
      </c>
      <c r="C488" s="7" t="s">
        <v>985</v>
      </c>
      <c r="D488" s="7" t="s">
        <v>411</v>
      </c>
      <c r="E488" s="7" t="s">
        <v>154</v>
      </c>
      <c r="F488" s="39" t="n">
        <v>45681</v>
      </c>
      <c r="G488" s="41" t="n">
        <v>116.87</v>
      </c>
      <c r="H488" s="39" t="n">
        <v>45796</v>
      </c>
      <c r="I488" s="7" t="s">
        <v>14651</v>
      </c>
      <c r="J488" s="8" t="str">
        <f aca="false">IF(I488="Open",DATE(2025,12,31)-F488,"-")</f>
        <v>-</v>
      </c>
    </row>
    <row r="489" customFormat="false" ht="15" hidden="false" customHeight="false" outlineLevel="0" collapsed="false">
      <c r="B489" s="7" t="s">
        <v>15134</v>
      </c>
      <c r="C489" s="7" t="s">
        <v>986</v>
      </c>
      <c r="D489" s="7" t="s">
        <v>288</v>
      </c>
      <c r="E489" s="7" t="s">
        <v>156</v>
      </c>
      <c r="F489" s="39" t="n">
        <v>45682</v>
      </c>
      <c r="G489" s="41" t="n">
        <v>134.64</v>
      </c>
      <c r="H489" s="39" t="n">
        <v>45694</v>
      </c>
      <c r="I489" s="7" t="s">
        <v>14651</v>
      </c>
      <c r="J489" s="8" t="str">
        <f aca="false">IF(I489="Open",DATE(2025,12,31)-F489,"-")</f>
        <v>-</v>
      </c>
    </row>
    <row r="490" customFormat="false" ht="15" hidden="false" customHeight="false" outlineLevel="0" collapsed="false">
      <c r="B490" s="7" t="s">
        <v>15135</v>
      </c>
      <c r="C490" s="7" t="s">
        <v>987</v>
      </c>
      <c r="D490" s="7" t="s">
        <v>321</v>
      </c>
      <c r="E490" s="7" t="s">
        <v>154</v>
      </c>
      <c r="F490" s="39" t="n">
        <v>45682</v>
      </c>
      <c r="G490" s="41" t="n">
        <v>110.24</v>
      </c>
      <c r="H490" s="39" t="n">
        <v>45762</v>
      </c>
      <c r="I490" s="7" t="s">
        <v>14651</v>
      </c>
      <c r="J490" s="8" t="str">
        <f aca="false">IF(I490="Open",DATE(2025,12,31)-F490,"-")</f>
        <v>-</v>
      </c>
    </row>
    <row r="491" customFormat="false" ht="15" hidden="false" customHeight="false" outlineLevel="0" collapsed="false">
      <c r="B491" s="7" t="s">
        <v>15136</v>
      </c>
      <c r="C491" s="7" t="s">
        <v>988</v>
      </c>
      <c r="D491" s="7" t="s">
        <v>359</v>
      </c>
      <c r="E491" s="7" t="s">
        <v>156</v>
      </c>
      <c r="F491" s="39" t="n">
        <v>45682</v>
      </c>
      <c r="G491" s="41" t="n">
        <v>144.16</v>
      </c>
      <c r="H491" s="39" t="n">
        <v>45696</v>
      </c>
      <c r="I491" s="7" t="s">
        <v>14651</v>
      </c>
      <c r="J491" s="8" t="str">
        <f aca="false">IF(I491="Open",DATE(2025,12,31)-F491,"-")</f>
        <v>-</v>
      </c>
    </row>
    <row r="492" customFormat="false" ht="15" hidden="false" customHeight="false" outlineLevel="0" collapsed="false">
      <c r="B492" s="7" t="s">
        <v>15137</v>
      </c>
      <c r="C492" s="7" t="s">
        <v>989</v>
      </c>
      <c r="D492" s="7" t="s">
        <v>391</v>
      </c>
      <c r="E492" s="7" t="s">
        <v>156</v>
      </c>
      <c r="F492" s="39" t="n">
        <v>45682</v>
      </c>
      <c r="G492" s="41" t="n">
        <v>140.76</v>
      </c>
      <c r="H492" s="39" t="n">
        <v>45697</v>
      </c>
      <c r="I492" s="7" t="s">
        <v>14651</v>
      </c>
      <c r="J492" s="8" t="str">
        <f aca="false">IF(I492="Open",DATE(2025,12,31)-F492,"-")</f>
        <v>-</v>
      </c>
    </row>
    <row r="493" customFormat="false" ht="15" hidden="false" customHeight="false" outlineLevel="0" collapsed="false">
      <c r="B493" s="7" t="s">
        <v>15138</v>
      </c>
      <c r="C493" s="7" t="s">
        <v>990</v>
      </c>
      <c r="D493" s="7" t="s">
        <v>395</v>
      </c>
      <c r="E493" s="7" t="s">
        <v>156</v>
      </c>
      <c r="F493" s="39" t="n">
        <v>45682</v>
      </c>
      <c r="G493" s="41" t="n">
        <v>136.68</v>
      </c>
      <c r="H493" s="39" t="n">
        <v>45699</v>
      </c>
      <c r="I493" s="7" t="s">
        <v>14651</v>
      </c>
      <c r="J493" s="8" t="str">
        <f aca="false">IF(I493="Open",DATE(2025,12,31)-F493,"-")</f>
        <v>-</v>
      </c>
    </row>
    <row r="494" customFormat="false" ht="15" hidden="false" customHeight="false" outlineLevel="0" collapsed="false">
      <c r="B494" s="7" t="s">
        <v>15139</v>
      </c>
      <c r="C494" s="7" t="s">
        <v>991</v>
      </c>
      <c r="D494" s="7" t="s">
        <v>401</v>
      </c>
      <c r="E494" s="7" t="s">
        <v>156</v>
      </c>
      <c r="F494" s="39" t="n">
        <v>45682</v>
      </c>
      <c r="G494" s="41" t="n">
        <v>147.22</v>
      </c>
      <c r="H494" s="39" t="n">
        <v>45702</v>
      </c>
      <c r="I494" s="7" t="s">
        <v>14651</v>
      </c>
      <c r="J494" s="8" t="str">
        <f aca="false">IF(I494="Open",DATE(2025,12,31)-F494,"-")</f>
        <v>-</v>
      </c>
    </row>
    <row r="495" customFormat="false" ht="15" hidden="false" customHeight="false" outlineLevel="0" collapsed="false">
      <c r="B495" s="7" t="s">
        <v>15140</v>
      </c>
      <c r="C495" s="7" t="s">
        <v>992</v>
      </c>
      <c r="D495" s="7" t="s">
        <v>288</v>
      </c>
      <c r="E495" s="7" t="s">
        <v>156</v>
      </c>
      <c r="F495" s="39" t="n">
        <v>45683</v>
      </c>
      <c r="G495" s="41" t="n">
        <v>146.88</v>
      </c>
      <c r="H495" s="39" t="n">
        <v>45692</v>
      </c>
      <c r="I495" s="7" t="s">
        <v>14651</v>
      </c>
      <c r="J495" s="8" t="str">
        <f aca="false">IF(I495="Open",DATE(2025,12,31)-F495,"-")</f>
        <v>-</v>
      </c>
    </row>
    <row r="496" customFormat="false" ht="15" hidden="false" customHeight="false" outlineLevel="0" collapsed="false">
      <c r="B496" s="7" t="s">
        <v>15141</v>
      </c>
      <c r="C496" s="7" t="s">
        <v>993</v>
      </c>
      <c r="D496" s="7" t="s">
        <v>321</v>
      </c>
      <c r="E496" s="7" t="s">
        <v>154</v>
      </c>
      <c r="F496" s="39" t="n">
        <v>45683</v>
      </c>
      <c r="G496" s="41" t="n">
        <v>98.84</v>
      </c>
      <c r="H496" s="39" t="n">
        <v>45758</v>
      </c>
      <c r="I496" s="7" t="s">
        <v>14651</v>
      </c>
      <c r="J496" s="8" t="str">
        <f aca="false">IF(I496="Open",DATE(2025,12,31)-F496,"-")</f>
        <v>-</v>
      </c>
    </row>
    <row r="497" customFormat="false" ht="15" hidden="false" customHeight="false" outlineLevel="0" collapsed="false">
      <c r="B497" s="7" t="s">
        <v>15142</v>
      </c>
      <c r="C497" s="7" t="s">
        <v>994</v>
      </c>
      <c r="D497" s="7" t="s">
        <v>359</v>
      </c>
      <c r="E497" s="7" t="s">
        <v>156</v>
      </c>
      <c r="F497" s="39" t="n">
        <v>45683</v>
      </c>
      <c r="G497" s="41" t="n">
        <v>140.76</v>
      </c>
      <c r="H497" s="39" t="n">
        <v>45705</v>
      </c>
      <c r="I497" s="7" t="s">
        <v>14651</v>
      </c>
      <c r="J497" s="8" t="str">
        <f aca="false">IF(I497="Open",DATE(2025,12,31)-F497,"-")</f>
        <v>-</v>
      </c>
    </row>
    <row r="498" customFormat="false" ht="15" hidden="false" customHeight="false" outlineLevel="0" collapsed="false">
      <c r="B498" s="7" t="s">
        <v>15143</v>
      </c>
      <c r="C498" s="7" t="s">
        <v>995</v>
      </c>
      <c r="D498" s="7" t="s">
        <v>391</v>
      </c>
      <c r="E498" s="7" t="s">
        <v>156</v>
      </c>
      <c r="F498" s="39" t="n">
        <v>45683</v>
      </c>
      <c r="G498" s="41" t="n">
        <v>146.88</v>
      </c>
      <c r="H498" s="39" t="n">
        <v>45686</v>
      </c>
      <c r="I498" s="7" t="s">
        <v>14651</v>
      </c>
      <c r="J498" s="8" t="str">
        <f aca="false">IF(I498="Open",DATE(2025,12,31)-F498,"-")</f>
        <v>-</v>
      </c>
    </row>
    <row r="499" customFormat="false" ht="15" hidden="false" customHeight="false" outlineLevel="0" collapsed="false">
      <c r="B499" s="7" t="s">
        <v>15144</v>
      </c>
      <c r="C499" s="7" t="s">
        <v>996</v>
      </c>
      <c r="D499" s="7" t="s">
        <v>395</v>
      </c>
      <c r="E499" s="7" t="s">
        <v>156</v>
      </c>
      <c r="F499" s="39" t="n">
        <v>45683</v>
      </c>
      <c r="G499" s="41" t="n">
        <v>126.14</v>
      </c>
      <c r="H499" s="39" t="n">
        <v>45693</v>
      </c>
      <c r="I499" s="7" t="s">
        <v>14651</v>
      </c>
      <c r="J499" s="8" t="str">
        <f aca="false">IF(I499="Open",DATE(2025,12,31)-F499,"-")</f>
        <v>-</v>
      </c>
    </row>
    <row r="500" customFormat="false" ht="15" hidden="false" customHeight="false" outlineLevel="0" collapsed="false">
      <c r="B500" s="7" t="s">
        <v>15145</v>
      </c>
      <c r="C500" s="7" t="s">
        <v>997</v>
      </c>
      <c r="D500" s="7" t="s">
        <v>401</v>
      </c>
      <c r="E500" s="7" t="s">
        <v>156</v>
      </c>
      <c r="F500" s="39" t="n">
        <v>45683</v>
      </c>
      <c r="G500" s="41" t="n">
        <v>137.7</v>
      </c>
      <c r="H500" s="39" t="n">
        <v>45700</v>
      </c>
      <c r="I500" s="7" t="s">
        <v>14651</v>
      </c>
      <c r="J500" s="8" t="str">
        <f aca="false">IF(I500="Open",DATE(2025,12,31)-F500,"-")</f>
        <v>-</v>
      </c>
    </row>
    <row r="501" customFormat="false" ht="15" hidden="false" customHeight="false" outlineLevel="0" collapsed="false">
      <c r="B501" s="7" t="s">
        <v>15146</v>
      </c>
      <c r="C501" s="7" t="s">
        <v>998</v>
      </c>
      <c r="D501" s="7" t="s">
        <v>280</v>
      </c>
      <c r="E501" s="7" t="s">
        <v>157</v>
      </c>
      <c r="F501" s="39" t="n">
        <v>45684</v>
      </c>
      <c r="G501" s="41" t="n">
        <v>141.07</v>
      </c>
      <c r="H501" s="39" t="n">
        <v>45712</v>
      </c>
      <c r="I501" s="7" t="s">
        <v>14651</v>
      </c>
      <c r="J501" s="8" t="str">
        <f aca="false">IF(I501="Open",DATE(2025,12,31)-F501,"-")</f>
        <v>-</v>
      </c>
    </row>
    <row r="502" customFormat="false" ht="15" hidden="false" customHeight="false" outlineLevel="0" collapsed="false">
      <c r="B502" s="7" t="s">
        <v>15147</v>
      </c>
      <c r="C502" s="7" t="s">
        <v>999</v>
      </c>
      <c r="D502" s="7" t="s">
        <v>288</v>
      </c>
      <c r="E502" s="7" t="s">
        <v>156</v>
      </c>
      <c r="F502" s="39" t="n">
        <v>45684</v>
      </c>
      <c r="G502" s="41" t="n">
        <v>128.18</v>
      </c>
      <c r="H502" s="39" t="n">
        <v>45694</v>
      </c>
      <c r="I502" s="7" t="s">
        <v>14651</v>
      </c>
      <c r="J502" s="8" t="str">
        <f aca="false">IF(I502="Open",DATE(2025,12,31)-F502,"-")</f>
        <v>-</v>
      </c>
    </row>
    <row r="503" customFormat="false" ht="15" hidden="false" customHeight="false" outlineLevel="0" collapsed="false">
      <c r="B503" s="7" t="s">
        <v>15148</v>
      </c>
      <c r="C503" s="7" t="s">
        <v>1000</v>
      </c>
      <c r="D503" s="7" t="s">
        <v>291</v>
      </c>
      <c r="E503" s="7" t="s">
        <v>154</v>
      </c>
      <c r="F503" s="39" t="n">
        <v>45684</v>
      </c>
      <c r="G503" s="41" t="n">
        <v>124.68</v>
      </c>
      <c r="H503" s="39" t="n">
        <v>45778</v>
      </c>
      <c r="I503" s="7" t="s">
        <v>14651</v>
      </c>
      <c r="J503" s="8" t="str">
        <f aca="false">IF(I503="Open",DATE(2025,12,31)-F503,"-")</f>
        <v>-</v>
      </c>
    </row>
    <row r="504" customFormat="false" ht="15" hidden="false" customHeight="false" outlineLevel="0" collapsed="false">
      <c r="B504" s="7" t="s">
        <v>15149</v>
      </c>
      <c r="C504" s="7" t="s">
        <v>1001</v>
      </c>
      <c r="D504" s="7" t="s">
        <v>297</v>
      </c>
      <c r="E504" s="7" t="s">
        <v>156</v>
      </c>
      <c r="F504" s="39" t="n">
        <v>45684</v>
      </c>
      <c r="G504" s="41" t="n">
        <v>110.16</v>
      </c>
      <c r="H504" s="39" t="n">
        <v>45690</v>
      </c>
      <c r="I504" s="7" t="s">
        <v>14651</v>
      </c>
      <c r="J504" s="8" t="str">
        <f aca="false">IF(I504="Open",DATE(2025,12,31)-F504,"-")</f>
        <v>-</v>
      </c>
    </row>
    <row r="505" customFormat="false" ht="15" hidden="false" customHeight="false" outlineLevel="0" collapsed="false">
      <c r="B505" s="7" t="s">
        <v>15150</v>
      </c>
      <c r="C505" s="7" t="s">
        <v>1002</v>
      </c>
      <c r="D505" s="7" t="s">
        <v>305</v>
      </c>
      <c r="E505" s="7" t="s">
        <v>154</v>
      </c>
      <c r="F505" s="39" t="n">
        <v>45684</v>
      </c>
      <c r="G505" s="41" t="n">
        <v>98.45</v>
      </c>
      <c r="H505" s="39" t="n">
        <v>45722</v>
      </c>
      <c r="I505" s="7" t="s">
        <v>14651</v>
      </c>
      <c r="J505" s="8" t="str">
        <f aca="false">IF(I505="Open",DATE(2025,12,31)-F505,"-")</f>
        <v>-</v>
      </c>
    </row>
    <row r="506" customFormat="false" ht="15" hidden="false" customHeight="false" outlineLevel="0" collapsed="false">
      <c r="B506" s="7" t="s">
        <v>15151</v>
      </c>
      <c r="C506" s="7" t="s">
        <v>1003</v>
      </c>
      <c r="D506" s="7" t="s">
        <v>309</v>
      </c>
      <c r="E506" s="7" t="s">
        <v>159</v>
      </c>
      <c r="F506" s="39" t="n">
        <v>45684</v>
      </c>
      <c r="G506" s="41" t="n">
        <v>139.05</v>
      </c>
      <c r="H506" s="39" t="n">
        <v>45712</v>
      </c>
      <c r="I506" s="7" t="s">
        <v>14651</v>
      </c>
      <c r="J506" s="8" t="str">
        <f aca="false">IF(I506="Open",DATE(2025,12,31)-F506,"-")</f>
        <v>-</v>
      </c>
    </row>
    <row r="507" customFormat="false" ht="15" hidden="false" customHeight="false" outlineLevel="0" collapsed="false">
      <c r="B507" s="7" t="s">
        <v>15152</v>
      </c>
      <c r="C507" s="7" t="s">
        <v>1004</v>
      </c>
      <c r="D507" s="7" t="s">
        <v>311</v>
      </c>
      <c r="E507" s="7" t="s">
        <v>154</v>
      </c>
      <c r="F507" s="39" t="n">
        <v>45684</v>
      </c>
      <c r="G507" s="41" t="n">
        <v>77.38</v>
      </c>
      <c r="H507" s="39" t="n">
        <v>45797</v>
      </c>
      <c r="I507" s="7" t="s">
        <v>14651</v>
      </c>
      <c r="J507" s="8" t="str">
        <f aca="false">IF(I507="Open",DATE(2025,12,31)-F507,"-")</f>
        <v>-</v>
      </c>
    </row>
    <row r="508" customFormat="false" ht="15" hidden="false" customHeight="false" outlineLevel="0" collapsed="false">
      <c r="B508" s="7" t="s">
        <v>15153</v>
      </c>
      <c r="C508" s="7" t="s">
        <v>1005</v>
      </c>
      <c r="D508" s="7" t="s">
        <v>313</v>
      </c>
      <c r="E508" s="7" t="s">
        <v>156</v>
      </c>
      <c r="F508" s="39" t="n">
        <v>45684</v>
      </c>
      <c r="G508" s="41" t="n">
        <v>147.22</v>
      </c>
      <c r="H508" s="39" t="n">
        <v>45685</v>
      </c>
      <c r="I508" s="7" t="s">
        <v>14651</v>
      </c>
      <c r="J508" s="8" t="str">
        <f aca="false">IF(I508="Open",DATE(2025,12,31)-F508,"-")</f>
        <v>-</v>
      </c>
    </row>
    <row r="509" customFormat="false" ht="15" hidden="false" customHeight="false" outlineLevel="0" collapsed="false">
      <c r="B509" s="7" t="s">
        <v>15154</v>
      </c>
      <c r="C509" s="7" t="s">
        <v>1006</v>
      </c>
      <c r="D509" s="7" t="s">
        <v>317</v>
      </c>
      <c r="E509" s="7" t="s">
        <v>156</v>
      </c>
      <c r="F509" s="39" t="n">
        <v>45684</v>
      </c>
      <c r="G509" s="41" t="n">
        <v>111.52</v>
      </c>
      <c r="H509" s="39" t="n">
        <v>45697</v>
      </c>
      <c r="I509" s="7" t="s">
        <v>14651</v>
      </c>
      <c r="J509" s="8" t="str">
        <f aca="false">IF(I509="Open",DATE(2025,12,31)-F509,"-")</f>
        <v>-</v>
      </c>
    </row>
    <row r="510" customFormat="false" ht="15" hidden="false" customHeight="false" outlineLevel="0" collapsed="false">
      <c r="B510" s="7" t="s">
        <v>15155</v>
      </c>
      <c r="C510" s="7" t="s">
        <v>1007</v>
      </c>
      <c r="D510" s="7" t="s">
        <v>321</v>
      </c>
      <c r="E510" s="7" t="s">
        <v>154</v>
      </c>
      <c r="F510" s="39" t="n">
        <v>45684</v>
      </c>
      <c r="G510" s="41" t="n">
        <v>113.69</v>
      </c>
      <c r="H510" s="39" t="n">
        <v>45730</v>
      </c>
      <c r="I510" s="7" t="s">
        <v>14651</v>
      </c>
      <c r="J510" s="8" t="str">
        <f aca="false">IF(I510="Open",DATE(2025,12,31)-F510,"-")</f>
        <v>-</v>
      </c>
    </row>
    <row r="511" customFormat="false" ht="15" hidden="false" customHeight="false" outlineLevel="0" collapsed="false">
      <c r="B511" s="7" t="s">
        <v>15156</v>
      </c>
      <c r="C511" s="7" t="s">
        <v>1008</v>
      </c>
      <c r="D511" s="7" t="s">
        <v>325</v>
      </c>
      <c r="E511" s="7" t="s">
        <v>154</v>
      </c>
      <c r="F511" s="39" t="n">
        <v>45684</v>
      </c>
      <c r="G511" s="41" t="n">
        <v>77.91</v>
      </c>
      <c r="H511" s="39" t="n">
        <v>45717</v>
      </c>
      <c r="I511" s="7" t="s">
        <v>14651</v>
      </c>
      <c r="J511" s="8" t="str">
        <f aca="false">IF(I511="Open",DATE(2025,12,31)-F511,"-")</f>
        <v>-</v>
      </c>
    </row>
    <row r="512" customFormat="false" ht="15" hidden="false" customHeight="false" outlineLevel="0" collapsed="false">
      <c r="B512" s="7" t="s">
        <v>15157</v>
      </c>
      <c r="C512" s="7" t="s">
        <v>1009</v>
      </c>
      <c r="D512" s="7" t="s">
        <v>329</v>
      </c>
      <c r="E512" s="7" t="s">
        <v>156</v>
      </c>
      <c r="F512" s="39" t="n">
        <v>45684</v>
      </c>
      <c r="G512" s="41" t="n">
        <v>145.18</v>
      </c>
      <c r="H512" s="39" t="n">
        <v>45695</v>
      </c>
      <c r="I512" s="7" t="s">
        <v>14651</v>
      </c>
      <c r="J512" s="8" t="str">
        <f aca="false">IF(I512="Open",DATE(2025,12,31)-F512,"-")</f>
        <v>-</v>
      </c>
    </row>
    <row r="513" customFormat="false" ht="15" hidden="false" customHeight="false" outlineLevel="0" collapsed="false">
      <c r="B513" s="7" t="s">
        <v>15158</v>
      </c>
      <c r="C513" s="7" t="s">
        <v>1010</v>
      </c>
      <c r="D513" s="7" t="s">
        <v>331</v>
      </c>
      <c r="E513" s="7" t="s">
        <v>156</v>
      </c>
      <c r="F513" s="39" t="n">
        <v>45684</v>
      </c>
      <c r="G513" s="41" t="n">
        <v>134.98</v>
      </c>
      <c r="H513" s="39" t="n">
        <v>45689</v>
      </c>
      <c r="I513" s="7" t="s">
        <v>14651</v>
      </c>
      <c r="J513" s="8" t="str">
        <f aca="false">IF(I513="Open",DATE(2025,12,31)-F513,"-")</f>
        <v>-</v>
      </c>
    </row>
    <row r="514" customFormat="false" ht="15" hidden="false" customHeight="false" outlineLevel="0" collapsed="false">
      <c r="B514" s="7" t="s">
        <v>15159</v>
      </c>
      <c r="C514" s="7" t="s">
        <v>1011</v>
      </c>
      <c r="D514" s="7" t="s">
        <v>335</v>
      </c>
      <c r="E514" s="7" t="s">
        <v>154</v>
      </c>
      <c r="F514" s="39" t="n">
        <v>45684</v>
      </c>
      <c r="G514" s="41" t="n">
        <v>103.35</v>
      </c>
      <c r="H514" s="39" t="n">
        <v>45747</v>
      </c>
      <c r="I514" s="7" t="s">
        <v>14651</v>
      </c>
      <c r="J514" s="8" t="str">
        <f aca="false">IF(I514="Open",DATE(2025,12,31)-F514,"-")</f>
        <v>-</v>
      </c>
    </row>
    <row r="515" customFormat="false" ht="15" hidden="false" customHeight="false" outlineLevel="0" collapsed="false">
      <c r="B515" s="7" t="s">
        <v>15160</v>
      </c>
      <c r="C515" s="7" t="s">
        <v>1012</v>
      </c>
      <c r="D515" s="7" t="s">
        <v>337</v>
      </c>
      <c r="E515" s="7" t="s">
        <v>154</v>
      </c>
      <c r="F515" s="39" t="n">
        <v>45684</v>
      </c>
      <c r="G515" s="41" t="n">
        <v>73.94</v>
      </c>
      <c r="H515" s="39" t="n">
        <v>45737</v>
      </c>
      <c r="I515" s="7" t="s">
        <v>14651</v>
      </c>
      <c r="J515" s="8" t="str">
        <f aca="false">IF(I515="Open",DATE(2025,12,31)-F515,"-")</f>
        <v>-</v>
      </c>
    </row>
    <row r="516" customFormat="false" ht="15" hidden="false" customHeight="false" outlineLevel="0" collapsed="false">
      <c r="B516" s="7" t="s">
        <v>15161</v>
      </c>
      <c r="C516" s="7" t="s">
        <v>1013</v>
      </c>
      <c r="D516" s="7" t="s">
        <v>339</v>
      </c>
      <c r="E516" s="7" t="s">
        <v>154</v>
      </c>
      <c r="F516" s="39" t="n">
        <v>45684</v>
      </c>
      <c r="G516" s="41" t="n">
        <v>93.02</v>
      </c>
      <c r="H516" s="39" t="n">
        <v>45736</v>
      </c>
      <c r="I516" s="7" t="s">
        <v>14651</v>
      </c>
      <c r="J516" s="8" t="str">
        <f aca="false">IF(I516="Open",DATE(2025,12,31)-F516,"-")</f>
        <v>-</v>
      </c>
    </row>
    <row r="517" customFormat="false" ht="15" hidden="false" customHeight="false" outlineLevel="0" collapsed="false">
      <c r="B517" s="7" t="s">
        <v>15162</v>
      </c>
      <c r="C517" s="7" t="s">
        <v>1014</v>
      </c>
      <c r="D517" s="7" t="s">
        <v>341</v>
      </c>
      <c r="E517" s="7" t="s">
        <v>156</v>
      </c>
      <c r="F517" s="39" t="n">
        <v>45684</v>
      </c>
      <c r="G517" s="41" t="n">
        <v>104.38</v>
      </c>
      <c r="H517" s="39" t="n">
        <v>45696</v>
      </c>
      <c r="I517" s="7" t="s">
        <v>14651</v>
      </c>
      <c r="J517" s="8" t="str">
        <f aca="false">IF(I517="Open",DATE(2025,12,31)-F517,"-")</f>
        <v>-</v>
      </c>
    </row>
    <row r="518" customFormat="false" ht="15" hidden="false" customHeight="false" outlineLevel="0" collapsed="false">
      <c r="B518" s="7" t="s">
        <v>15163</v>
      </c>
      <c r="C518" s="7" t="s">
        <v>1015</v>
      </c>
      <c r="D518" s="7" t="s">
        <v>343</v>
      </c>
      <c r="E518" s="7" t="s">
        <v>154</v>
      </c>
      <c r="F518" s="39" t="n">
        <v>45684</v>
      </c>
      <c r="G518" s="41" t="n">
        <v>100.44</v>
      </c>
      <c r="H518" s="39" t="n">
        <v>45797</v>
      </c>
      <c r="I518" s="7" t="s">
        <v>14651</v>
      </c>
      <c r="J518" s="8" t="str">
        <f aca="false">IF(I518="Open",DATE(2025,12,31)-F518,"-")</f>
        <v>-</v>
      </c>
    </row>
    <row r="519" customFormat="false" ht="15" hidden="false" customHeight="false" outlineLevel="0" collapsed="false">
      <c r="B519" s="7" t="s">
        <v>15164</v>
      </c>
      <c r="C519" s="7" t="s">
        <v>1016</v>
      </c>
      <c r="D519" s="7" t="s">
        <v>353</v>
      </c>
      <c r="E519" s="7" t="s">
        <v>154</v>
      </c>
      <c r="F519" s="39" t="n">
        <v>45684</v>
      </c>
      <c r="G519" s="41" t="n">
        <v>87.45</v>
      </c>
      <c r="H519" s="39" t="n">
        <v>45741</v>
      </c>
      <c r="I519" s="7" t="s">
        <v>14651</v>
      </c>
      <c r="J519" s="8" t="str">
        <f aca="false">IF(I519="Open",DATE(2025,12,31)-F519,"-")</f>
        <v>-</v>
      </c>
    </row>
    <row r="520" customFormat="false" ht="15" hidden="false" customHeight="false" outlineLevel="0" collapsed="false">
      <c r="B520" s="7" t="s">
        <v>15165</v>
      </c>
      <c r="C520" s="7" t="s">
        <v>1017</v>
      </c>
      <c r="D520" s="7" t="s">
        <v>355</v>
      </c>
      <c r="E520" s="7" t="s">
        <v>154</v>
      </c>
      <c r="F520" s="39" t="n">
        <v>45684</v>
      </c>
      <c r="G520" s="41" t="n">
        <v>83.74</v>
      </c>
      <c r="H520" s="39" t="n">
        <v>45792</v>
      </c>
      <c r="I520" s="7" t="s">
        <v>14651</v>
      </c>
      <c r="J520" s="8" t="str">
        <f aca="false">IF(I520="Open",DATE(2025,12,31)-F520,"-")</f>
        <v>-</v>
      </c>
    </row>
    <row r="521" customFormat="false" ht="15" hidden="false" customHeight="false" outlineLevel="0" collapsed="false">
      <c r="B521" s="7" t="s">
        <v>15166</v>
      </c>
      <c r="C521" s="7" t="s">
        <v>1018</v>
      </c>
      <c r="D521" s="7" t="s">
        <v>357</v>
      </c>
      <c r="E521" s="7" t="s">
        <v>154</v>
      </c>
      <c r="F521" s="39" t="n">
        <v>45684</v>
      </c>
      <c r="G521" s="41" t="n">
        <v>89.04</v>
      </c>
      <c r="H521" s="39" t="n">
        <v>45800</v>
      </c>
      <c r="I521" s="7" t="s">
        <v>14651</v>
      </c>
      <c r="J521" s="8" t="str">
        <f aca="false">IF(I521="Open",DATE(2025,12,31)-F521,"-")</f>
        <v>-</v>
      </c>
    </row>
    <row r="522" customFormat="false" ht="15" hidden="false" customHeight="false" outlineLevel="0" collapsed="false">
      <c r="B522" s="7" t="s">
        <v>15167</v>
      </c>
      <c r="C522" s="7" t="s">
        <v>1019</v>
      </c>
      <c r="D522" s="7" t="s">
        <v>359</v>
      </c>
      <c r="E522" s="7" t="s">
        <v>156</v>
      </c>
      <c r="F522" s="39" t="n">
        <v>45684</v>
      </c>
      <c r="G522" s="41" t="n">
        <v>126.14</v>
      </c>
      <c r="H522" s="39" t="n">
        <v>45695</v>
      </c>
      <c r="I522" s="7" t="s">
        <v>14651</v>
      </c>
      <c r="J522" s="8" t="str">
        <f aca="false">IF(I522="Open",DATE(2025,12,31)-F522,"-")</f>
        <v>-</v>
      </c>
    </row>
    <row r="523" customFormat="false" ht="15" hidden="false" customHeight="false" outlineLevel="0" collapsed="false">
      <c r="B523" s="7" t="s">
        <v>15168</v>
      </c>
      <c r="C523" s="7" t="s">
        <v>1020</v>
      </c>
      <c r="D523" s="7" t="s">
        <v>363</v>
      </c>
      <c r="E523" s="7" t="s">
        <v>156</v>
      </c>
      <c r="F523" s="39" t="n">
        <v>45684</v>
      </c>
      <c r="G523" s="41" t="n">
        <v>147.22</v>
      </c>
      <c r="H523" s="39" t="n">
        <v>45697</v>
      </c>
      <c r="I523" s="7" t="s">
        <v>14651</v>
      </c>
      <c r="J523" s="8" t="str">
        <f aca="false">IF(I523="Open",DATE(2025,12,31)-F523,"-")</f>
        <v>-</v>
      </c>
    </row>
    <row r="524" customFormat="false" ht="15" hidden="false" customHeight="false" outlineLevel="0" collapsed="false">
      <c r="B524" s="7" t="s">
        <v>15169</v>
      </c>
      <c r="C524" s="7" t="s">
        <v>1021</v>
      </c>
      <c r="D524" s="7" t="s">
        <v>371</v>
      </c>
      <c r="E524" s="7" t="s">
        <v>154</v>
      </c>
      <c r="F524" s="39" t="n">
        <v>45684</v>
      </c>
      <c r="G524" s="41" t="n">
        <v>130.38</v>
      </c>
      <c r="H524" s="39" t="n">
        <v>45767</v>
      </c>
      <c r="I524" s="7" t="s">
        <v>14651</v>
      </c>
      <c r="J524" s="8" t="str">
        <f aca="false">IF(I524="Open",DATE(2025,12,31)-F524,"-")</f>
        <v>-</v>
      </c>
    </row>
    <row r="525" customFormat="false" ht="15" hidden="false" customHeight="false" outlineLevel="0" collapsed="false">
      <c r="B525" s="7" t="s">
        <v>15170</v>
      </c>
      <c r="C525" s="7" t="s">
        <v>1022</v>
      </c>
      <c r="D525" s="7" t="s">
        <v>375</v>
      </c>
      <c r="E525" s="7" t="s">
        <v>156</v>
      </c>
      <c r="F525" s="39" t="n">
        <v>45684</v>
      </c>
      <c r="G525" s="41" t="n">
        <v>109.82</v>
      </c>
      <c r="H525" s="39" t="n">
        <v>45705</v>
      </c>
      <c r="I525" s="7" t="s">
        <v>14651</v>
      </c>
      <c r="J525" s="8" t="str">
        <f aca="false">IF(I525="Open",DATE(2025,12,31)-F525,"-")</f>
        <v>-</v>
      </c>
    </row>
    <row r="526" customFormat="false" ht="15" hidden="false" customHeight="false" outlineLevel="0" collapsed="false">
      <c r="B526" s="7" t="s">
        <v>15171</v>
      </c>
      <c r="C526" s="7" t="s">
        <v>1023</v>
      </c>
      <c r="D526" s="7" t="s">
        <v>377</v>
      </c>
      <c r="E526" s="7" t="s">
        <v>154</v>
      </c>
      <c r="F526" s="39" t="n">
        <v>45684</v>
      </c>
      <c r="G526" s="41" t="n">
        <v>104.15</v>
      </c>
      <c r="H526" s="39" t="n">
        <v>45725</v>
      </c>
      <c r="I526" s="7" t="s">
        <v>14651</v>
      </c>
      <c r="J526" s="8" t="str">
        <f aca="false">IF(I526="Open",DATE(2025,12,31)-F526,"-")</f>
        <v>-</v>
      </c>
    </row>
    <row r="527" customFormat="false" ht="15" hidden="false" customHeight="false" outlineLevel="0" collapsed="false">
      <c r="B527" s="7" t="s">
        <v>15172</v>
      </c>
      <c r="C527" s="7" t="s">
        <v>1024</v>
      </c>
      <c r="D527" s="7" t="s">
        <v>379</v>
      </c>
      <c r="E527" s="7" t="s">
        <v>156</v>
      </c>
      <c r="F527" s="39" t="n">
        <v>45684</v>
      </c>
      <c r="G527" s="41" t="n">
        <v>161.5</v>
      </c>
      <c r="H527" s="39" t="n">
        <v>45699</v>
      </c>
      <c r="I527" s="7" t="s">
        <v>14651</v>
      </c>
      <c r="J527" s="8" t="str">
        <f aca="false">IF(I527="Open",DATE(2025,12,31)-F527,"-")</f>
        <v>-</v>
      </c>
    </row>
    <row r="528" customFormat="false" ht="15" hidden="false" customHeight="false" outlineLevel="0" collapsed="false">
      <c r="B528" s="7" t="s">
        <v>15173</v>
      </c>
      <c r="C528" s="7" t="s">
        <v>1025</v>
      </c>
      <c r="D528" s="7" t="s">
        <v>389</v>
      </c>
      <c r="E528" s="7" t="s">
        <v>154</v>
      </c>
      <c r="F528" s="39" t="n">
        <v>45684</v>
      </c>
      <c r="G528" s="41" t="n">
        <v>106.42</v>
      </c>
      <c r="H528" s="39" t="n">
        <v>45747</v>
      </c>
      <c r="I528" s="7" t="s">
        <v>14651</v>
      </c>
      <c r="J528" s="8" t="str">
        <f aca="false">IF(I528="Open",DATE(2025,12,31)-F528,"-")</f>
        <v>-</v>
      </c>
    </row>
    <row r="529" customFormat="false" ht="15" hidden="false" customHeight="false" outlineLevel="0" collapsed="false">
      <c r="B529" s="7" t="s">
        <v>15174</v>
      </c>
      <c r="C529" s="7" t="s">
        <v>1026</v>
      </c>
      <c r="D529" s="7" t="s">
        <v>391</v>
      </c>
      <c r="E529" s="7" t="s">
        <v>156</v>
      </c>
      <c r="F529" s="39" t="n">
        <v>45684</v>
      </c>
      <c r="G529" s="41" t="n">
        <v>131.92</v>
      </c>
      <c r="H529" s="39" t="n">
        <v>45692</v>
      </c>
      <c r="I529" s="7" t="s">
        <v>14651</v>
      </c>
      <c r="J529" s="8" t="str">
        <f aca="false">IF(I529="Open",DATE(2025,12,31)-F529,"-")</f>
        <v>-</v>
      </c>
    </row>
    <row r="530" customFormat="false" ht="15" hidden="false" customHeight="false" outlineLevel="0" collapsed="false">
      <c r="B530" s="7" t="s">
        <v>15175</v>
      </c>
      <c r="C530" s="7" t="s">
        <v>1027</v>
      </c>
      <c r="D530" s="7" t="s">
        <v>395</v>
      </c>
      <c r="E530" s="7" t="s">
        <v>156</v>
      </c>
      <c r="F530" s="39" t="n">
        <v>45684</v>
      </c>
      <c r="G530" s="41" t="n">
        <v>136.68</v>
      </c>
      <c r="H530" s="39" t="n">
        <v>45697</v>
      </c>
      <c r="I530" s="7" t="s">
        <v>14651</v>
      </c>
      <c r="J530" s="8" t="str">
        <f aca="false">IF(I530="Open",DATE(2025,12,31)-F530,"-")</f>
        <v>-</v>
      </c>
    </row>
    <row r="531" customFormat="false" ht="15" hidden="false" customHeight="false" outlineLevel="0" collapsed="false">
      <c r="B531" s="7" t="s">
        <v>15176</v>
      </c>
      <c r="C531" s="7" t="s">
        <v>1028</v>
      </c>
      <c r="D531" s="7" t="s">
        <v>399</v>
      </c>
      <c r="E531" s="7" t="s">
        <v>154</v>
      </c>
      <c r="F531" s="39" t="n">
        <v>45684</v>
      </c>
      <c r="G531" s="41" t="n">
        <v>84.8</v>
      </c>
      <c r="H531" s="39" t="n">
        <v>45741</v>
      </c>
      <c r="I531" s="7" t="s">
        <v>14651</v>
      </c>
      <c r="J531" s="8" t="str">
        <f aca="false">IF(I531="Open",DATE(2025,12,31)-F531,"-")</f>
        <v>-</v>
      </c>
    </row>
    <row r="532" customFormat="false" ht="15" hidden="false" customHeight="false" outlineLevel="0" collapsed="false">
      <c r="B532" s="7" t="s">
        <v>15177</v>
      </c>
      <c r="C532" s="7" t="s">
        <v>1029</v>
      </c>
      <c r="D532" s="7" t="s">
        <v>401</v>
      </c>
      <c r="E532" s="7" t="s">
        <v>156</v>
      </c>
      <c r="F532" s="39" t="n">
        <v>45684</v>
      </c>
      <c r="G532" s="41" t="n">
        <v>128.86</v>
      </c>
      <c r="H532" s="39" t="n">
        <v>45700</v>
      </c>
      <c r="I532" s="7" t="s">
        <v>14651</v>
      </c>
      <c r="J532" s="8" t="str">
        <f aca="false">IF(I532="Open",DATE(2025,12,31)-F532,"-")</f>
        <v>-</v>
      </c>
    </row>
    <row r="533" customFormat="false" ht="15" hidden="false" customHeight="false" outlineLevel="0" collapsed="false">
      <c r="B533" s="7" t="s">
        <v>15178</v>
      </c>
      <c r="C533" s="7" t="s">
        <v>1030</v>
      </c>
      <c r="D533" s="7" t="s">
        <v>409</v>
      </c>
      <c r="E533" s="7" t="s">
        <v>154</v>
      </c>
      <c r="F533" s="39" t="n">
        <v>45684</v>
      </c>
      <c r="G533" s="41" t="n">
        <v>79.69</v>
      </c>
      <c r="H533" s="39" t="n">
        <v>45783</v>
      </c>
      <c r="I533" s="7" t="s">
        <v>14651</v>
      </c>
      <c r="J533" s="8" t="str">
        <f aca="false">IF(I533="Open",DATE(2025,12,31)-F533,"-")</f>
        <v>-</v>
      </c>
    </row>
    <row r="534" customFormat="false" ht="15" hidden="false" customHeight="false" outlineLevel="0" collapsed="false">
      <c r="B534" s="7" t="s">
        <v>15179</v>
      </c>
      <c r="C534" s="7" t="s">
        <v>1031</v>
      </c>
      <c r="D534" s="7" t="s">
        <v>411</v>
      </c>
      <c r="E534" s="7" t="s">
        <v>154</v>
      </c>
      <c r="F534" s="39" t="n">
        <v>45684</v>
      </c>
      <c r="G534" s="41" t="n">
        <v>121.63</v>
      </c>
      <c r="H534" s="39" t="n">
        <v>45786</v>
      </c>
      <c r="I534" s="7" t="s">
        <v>14651</v>
      </c>
      <c r="J534" s="8" t="str">
        <f aca="false">IF(I534="Open",DATE(2025,12,31)-F534,"-")</f>
        <v>-</v>
      </c>
    </row>
    <row r="535" customFormat="false" ht="15" hidden="false" customHeight="false" outlineLevel="0" collapsed="false">
      <c r="B535" s="7" t="s">
        <v>15180</v>
      </c>
      <c r="C535" s="7" t="s">
        <v>1032</v>
      </c>
      <c r="D535" s="7" t="s">
        <v>288</v>
      </c>
      <c r="E535" s="7" t="s">
        <v>156</v>
      </c>
      <c r="F535" s="39" t="n">
        <v>45685</v>
      </c>
      <c r="G535" s="41" t="n">
        <v>132.94</v>
      </c>
      <c r="H535" s="39" t="n">
        <v>45690</v>
      </c>
      <c r="I535" s="7" t="s">
        <v>14651</v>
      </c>
      <c r="J535" s="8" t="str">
        <f aca="false">IF(I535="Open",DATE(2025,12,31)-F535,"-")</f>
        <v>-</v>
      </c>
    </row>
    <row r="536" customFormat="false" ht="15" hidden="false" customHeight="false" outlineLevel="0" collapsed="false">
      <c r="B536" s="7" t="s">
        <v>15181</v>
      </c>
      <c r="C536" s="7" t="s">
        <v>1033</v>
      </c>
      <c r="D536" s="7" t="s">
        <v>301</v>
      </c>
      <c r="E536" s="7" t="s">
        <v>157</v>
      </c>
      <c r="F536" s="39" t="n">
        <v>45685</v>
      </c>
      <c r="G536" s="41" t="n">
        <v>151.8</v>
      </c>
      <c r="H536" s="39" t="n">
        <v>45711</v>
      </c>
      <c r="I536" s="7" t="s">
        <v>14651</v>
      </c>
      <c r="J536" s="8" t="str">
        <f aca="false">IF(I536="Open",DATE(2025,12,31)-F536,"-")</f>
        <v>-</v>
      </c>
    </row>
    <row r="537" customFormat="false" ht="15" hidden="false" customHeight="false" outlineLevel="0" collapsed="false">
      <c r="B537" s="7" t="s">
        <v>15182</v>
      </c>
      <c r="C537" s="7" t="s">
        <v>1034</v>
      </c>
      <c r="D537" s="7" t="s">
        <v>313</v>
      </c>
      <c r="E537" s="7" t="s">
        <v>156</v>
      </c>
      <c r="F537" s="39" t="n">
        <v>45685</v>
      </c>
      <c r="G537" s="41" t="n">
        <v>137.02</v>
      </c>
      <c r="H537" s="39" t="n">
        <v>45696</v>
      </c>
      <c r="I537" s="7" t="s">
        <v>14651</v>
      </c>
      <c r="J537" s="8" t="str">
        <f aca="false">IF(I537="Open",DATE(2025,12,31)-F537,"-")</f>
        <v>-</v>
      </c>
    </row>
    <row r="538" customFormat="false" ht="15" hidden="false" customHeight="false" outlineLevel="0" collapsed="false">
      <c r="B538" s="7" t="s">
        <v>15183</v>
      </c>
      <c r="C538" s="7" t="s">
        <v>1035</v>
      </c>
      <c r="D538" s="7" t="s">
        <v>319</v>
      </c>
      <c r="E538" s="7" t="s">
        <v>157</v>
      </c>
      <c r="F538" s="39" t="n">
        <v>45685</v>
      </c>
      <c r="G538" s="41" t="n">
        <v>153.62</v>
      </c>
      <c r="H538" s="39" t="n">
        <v>45706</v>
      </c>
      <c r="I538" s="7" t="s">
        <v>14651</v>
      </c>
      <c r="J538" s="8" t="str">
        <f aca="false">IF(I538="Open",DATE(2025,12,31)-F538,"-")</f>
        <v>-</v>
      </c>
    </row>
    <row r="539" customFormat="false" ht="15" hidden="false" customHeight="false" outlineLevel="0" collapsed="false">
      <c r="B539" s="7" t="s">
        <v>15184</v>
      </c>
      <c r="C539" s="7" t="s">
        <v>1036</v>
      </c>
      <c r="D539" s="7" t="s">
        <v>321</v>
      </c>
      <c r="E539" s="7" t="s">
        <v>154</v>
      </c>
      <c r="F539" s="39" t="n">
        <v>45685</v>
      </c>
      <c r="G539" s="41" t="n">
        <v>96.99</v>
      </c>
      <c r="H539" s="39" t="n">
        <v>45736</v>
      </c>
      <c r="I539" s="7" t="s">
        <v>14651</v>
      </c>
      <c r="J539" s="8" t="str">
        <f aca="false">IF(I539="Open",DATE(2025,12,31)-F539,"-")</f>
        <v>-</v>
      </c>
    </row>
    <row r="540" customFormat="false" ht="15" hidden="false" customHeight="false" outlineLevel="0" collapsed="false">
      <c r="B540" s="7" t="s">
        <v>15185</v>
      </c>
      <c r="C540" s="7" t="s">
        <v>1037</v>
      </c>
      <c r="D540" s="7" t="s">
        <v>323</v>
      </c>
      <c r="E540" s="7" t="s">
        <v>159</v>
      </c>
      <c r="F540" s="39" t="n">
        <v>45685</v>
      </c>
      <c r="G540" s="41" t="n">
        <v>139.05</v>
      </c>
      <c r="H540" s="39" t="n">
        <v>45753</v>
      </c>
      <c r="I540" s="7" t="s">
        <v>14651</v>
      </c>
      <c r="J540" s="8" t="str">
        <f aca="false">IF(I540="Open",DATE(2025,12,31)-F540,"-")</f>
        <v>-</v>
      </c>
    </row>
    <row r="541" customFormat="false" ht="15" hidden="false" customHeight="false" outlineLevel="0" collapsed="false">
      <c r="B541" s="7" t="s">
        <v>15186</v>
      </c>
      <c r="C541" s="7" t="s">
        <v>1038</v>
      </c>
      <c r="D541" s="7" t="s">
        <v>327</v>
      </c>
      <c r="E541" s="7" t="s">
        <v>157</v>
      </c>
      <c r="F541" s="39" t="n">
        <v>45685</v>
      </c>
      <c r="G541" s="41" t="n">
        <v>178.2</v>
      </c>
      <c r="H541" s="39" t="n">
        <v>45733</v>
      </c>
      <c r="I541" s="7" t="s">
        <v>14651</v>
      </c>
      <c r="J541" s="8" t="str">
        <f aca="false">IF(I541="Open",DATE(2025,12,31)-F541,"-")</f>
        <v>-</v>
      </c>
    </row>
    <row r="542" customFormat="false" ht="15" hidden="false" customHeight="false" outlineLevel="0" collapsed="false">
      <c r="B542" s="7" t="s">
        <v>15187</v>
      </c>
      <c r="C542" s="7" t="s">
        <v>1039</v>
      </c>
      <c r="D542" s="7" t="s">
        <v>329</v>
      </c>
      <c r="E542" s="7" t="s">
        <v>156</v>
      </c>
      <c r="F542" s="39" t="n">
        <v>45685</v>
      </c>
      <c r="G542" s="41" t="n">
        <v>128.18</v>
      </c>
      <c r="H542" s="39" t="n">
        <v>45700</v>
      </c>
      <c r="I542" s="7" t="s">
        <v>14651</v>
      </c>
      <c r="J542" s="8" t="str">
        <f aca="false">IF(I542="Open",DATE(2025,12,31)-F542,"-")</f>
        <v>-</v>
      </c>
    </row>
    <row r="543" customFormat="false" ht="15" hidden="false" customHeight="false" outlineLevel="0" collapsed="false">
      <c r="B543" s="7" t="s">
        <v>15188</v>
      </c>
      <c r="C543" s="7" t="s">
        <v>1040</v>
      </c>
      <c r="D543" s="7" t="s">
        <v>359</v>
      </c>
      <c r="E543" s="7" t="s">
        <v>156</v>
      </c>
      <c r="F543" s="39" t="n">
        <v>45685</v>
      </c>
      <c r="G543" s="41" t="n">
        <v>142.8</v>
      </c>
      <c r="H543" s="39" t="n">
        <v>45689</v>
      </c>
      <c r="I543" s="7" t="s">
        <v>14651</v>
      </c>
      <c r="J543" s="8" t="str">
        <f aca="false">IF(I543="Open",DATE(2025,12,31)-F543,"-")</f>
        <v>-</v>
      </c>
    </row>
    <row r="544" customFormat="false" ht="15" hidden="false" customHeight="false" outlineLevel="0" collapsed="false">
      <c r="B544" s="7" t="s">
        <v>15189</v>
      </c>
      <c r="C544" s="7" t="s">
        <v>1041</v>
      </c>
      <c r="D544" s="7" t="s">
        <v>361</v>
      </c>
      <c r="E544" s="7" t="s">
        <v>157</v>
      </c>
      <c r="F544" s="39" t="n">
        <v>45685</v>
      </c>
      <c r="G544" s="41" t="n">
        <v>171.6</v>
      </c>
      <c r="H544" s="39" t="n">
        <v>45717</v>
      </c>
      <c r="I544" s="7" t="s">
        <v>14651</v>
      </c>
      <c r="J544" s="8" t="str">
        <f aca="false">IF(I544="Open",DATE(2025,12,31)-F544,"-")</f>
        <v>-</v>
      </c>
    </row>
    <row r="545" customFormat="false" ht="15" hidden="false" customHeight="false" outlineLevel="0" collapsed="false">
      <c r="B545" s="7" t="s">
        <v>15190</v>
      </c>
      <c r="C545" s="7" t="s">
        <v>1042</v>
      </c>
      <c r="D545" s="7" t="s">
        <v>381</v>
      </c>
      <c r="E545" s="7" t="s">
        <v>157</v>
      </c>
      <c r="F545" s="39" t="n">
        <v>45685</v>
      </c>
      <c r="G545" s="41" t="n">
        <v>156.75</v>
      </c>
      <c r="H545" s="39" t="n">
        <v>45778</v>
      </c>
      <c r="I545" s="7" t="s">
        <v>14651</v>
      </c>
      <c r="J545" s="8" t="str">
        <f aca="false">IF(I545="Open",DATE(2025,12,31)-F545,"-")</f>
        <v>-</v>
      </c>
    </row>
    <row r="546" customFormat="false" ht="15" hidden="false" customHeight="false" outlineLevel="0" collapsed="false">
      <c r="B546" s="7" t="s">
        <v>15191</v>
      </c>
      <c r="C546" s="7" t="s">
        <v>1043</v>
      </c>
      <c r="D546" s="7" t="s">
        <v>389</v>
      </c>
      <c r="E546" s="7" t="s">
        <v>154</v>
      </c>
      <c r="F546" s="39" t="n">
        <v>45685</v>
      </c>
      <c r="G546" s="41" t="n">
        <v>105.2</v>
      </c>
      <c r="H546" s="39" t="n">
        <v>45754</v>
      </c>
      <c r="I546" s="7" t="s">
        <v>14651</v>
      </c>
      <c r="J546" s="8" t="str">
        <f aca="false">IF(I546="Open",DATE(2025,12,31)-F546,"-")</f>
        <v>-</v>
      </c>
    </row>
    <row r="547" customFormat="false" ht="15" hidden="false" customHeight="false" outlineLevel="0" collapsed="false">
      <c r="B547" s="7" t="s">
        <v>15192</v>
      </c>
      <c r="C547" s="7" t="s">
        <v>1044</v>
      </c>
      <c r="D547" s="7" t="s">
        <v>391</v>
      </c>
      <c r="E547" s="7" t="s">
        <v>156</v>
      </c>
      <c r="F547" s="39" t="n">
        <v>45685</v>
      </c>
      <c r="G547" s="41" t="n">
        <v>132.26</v>
      </c>
      <c r="H547" s="39" t="n">
        <v>45699</v>
      </c>
      <c r="I547" s="7" t="s">
        <v>14651</v>
      </c>
      <c r="J547" s="8" t="str">
        <f aca="false">IF(I547="Open",DATE(2025,12,31)-F547,"-")</f>
        <v>-</v>
      </c>
    </row>
    <row r="548" customFormat="false" ht="15" hidden="false" customHeight="false" outlineLevel="0" collapsed="false">
      <c r="B548" s="7" t="s">
        <v>15193</v>
      </c>
      <c r="C548" s="7" t="s">
        <v>1045</v>
      </c>
      <c r="D548" s="7" t="s">
        <v>395</v>
      </c>
      <c r="E548" s="7" t="s">
        <v>156</v>
      </c>
      <c r="F548" s="39" t="n">
        <v>45685</v>
      </c>
      <c r="G548" s="41" t="n">
        <v>144.16</v>
      </c>
      <c r="H548" s="39" t="n">
        <v>45696</v>
      </c>
      <c r="I548" s="7" t="s">
        <v>14651</v>
      </c>
      <c r="J548" s="8" t="str">
        <f aca="false">IF(I548="Open",DATE(2025,12,31)-F548,"-")</f>
        <v>-</v>
      </c>
    </row>
    <row r="549" customFormat="false" ht="15" hidden="false" customHeight="false" outlineLevel="0" collapsed="false">
      <c r="B549" s="7" t="s">
        <v>15194</v>
      </c>
      <c r="C549" s="7" t="s">
        <v>1046</v>
      </c>
      <c r="D549" s="7" t="s">
        <v>401</v>
      </c>
      <c r="E549" s="7" t="s">
        <v>156</v>
      </c>
      <c r="F549" s="39" t="n">
        <v>45685</v>
      </c>
      <c r="G549" s="41" t="n">
        <v>131.24</v>
      </c>
      <c r="H549" s="39" t="n">
        <v>45699</v>
      </c>
      <c r="I549" s="7" t="s">
        <v>14651</v>
      </c>
      <c r="J549" s="8" t="str">
        <f aca="false">IF(I549="Open",DATE(2025,12,31)-F549,"-")</f>
        <v>-</v>
      </c>
    </row>
    <row r="550" customFormat="false" ht="15" hidden="false" customHeight="false" outlineLevel="0" collapsed="false">
      <c r="B550" s="7" t="s">
        <v>15195</v>
      </c>
      <c r="C550" s="7" t="s">
        <v>1047</v>
      </c>
      <c r="D550" s="7" t="s">
        <v>407</v>
      </c>
      <c r="E550" s="7" t="s">
        <v>159</v>
      </c>
      <c r="F550" s="39" t="n">
        <v>45685</v>
      </c>
      <c r="G550" s="41" t="n">
        <v>122.85</v>
      </c>
      <c r="H550" s="39" t="n">
        <v>45732</v>
      </c>
      <c r="I550" s="7" t="s">
        <v>14651</v>
      </c>
      <c r="J550" s="8" t="str">
        <f aca="false">IF(I550="Open",DATE(2025,12,31)-F550,"-")</f>
        <v>-</v>
      </c>
    </row>
    <row r="551" customFormat="false" ht="15" hidden="false" customHeight="false" outlineLevel="0" collapsed="false">
      <c r="B551" s="7" t="s">
        <v>15196</v>
      </c>
      <c r="C551" s="7" t="s">
        <v>1048</v>
      </c>
      <c r="D551" s="7" t="s">
        <v>280</v>
      </c>
      <c r="E551" s="7" t="s">
        <v>157</v>
      </c>
      <c r="F551" s="39" t="n">
        <v>45686</v>
      </c>
      <c r="G551" s="41" t="n">
        <v>148.5</v>
      </c>
      <c r="H551" s="39" t="n">
        <v>45745</v>
      </c>
      <c r="I551" s="7" t="s">
        <v>14651</v>
      </c>
      <c r="J551" s="8" t="str">
        <f aca="false">IF(I551="Open",DATE(2025,12,31)-F551,"-")</f>
        <v>-</v>
      </c>
    </row>
    <row r="552" customFormat="false" ht="15" hidden="false" customHeight="false" outlineLevel="0" collapsed="false">
      <c r="B552" s="7" t="s">
        <v>15197</v>
      </c>
      <c r="C552" s="7" t="s">
        <v>1049</v>
      </c>
      <c r="D552" s="7" t="s">
        <v>286</v>
      </c>
      <c r="E552" s="7" t="s">
        <v>157</v>
      </c>
      <c r="F552" s="39" t="n">
        <v>45686</v>
      </c>
      <c r="G552" s="41" t="n">
        <v>171.6</v>
      </c>
      <c r="H552" s="39" t="n">
        <v>45763</v>
      </c>
      <c r="I552" s="7" t="s">
        <v>14651</v>
      </c>
      <c r="J552" s="8" t="str">
        <f aca="false">IF(I552="Open",DATE(2025,12,31)-F552,"-")</f>
        <v>-</v>
      </c>
    </row>
    <row r="553" customFormat="false" ht="15" hidden="false" customHeight="false" outlineLevel="0" collapsed="false">
      <c r="B553" s="7" t="s">
        <v>15198</v>
      </c>
      <c r="C553" s="7" t="s">
        <v>1050</v>
      </c>
      <c r="D553" s="7" t="s">
        <v>288</v>
      </c>
      <c r="E553" s="7" t="s">
        <v>156</v>
      </c>
      <c r="F553" s="39" t="n">
        <v>45686</v>
      </c>
      <c r="G553" s="41" t="n">
        <v>128.52</v>
      </c>
      <c r="H553" s="39" t="n">
        <v>45700</v>
      </c>
      <c r="I553" s="7" t="s">
        <v>14651</v>
      </c>
      <c r="J553" s="8" t="str">
        <f aca="false">IF(I553="Open",DATE(2025,12,31)-F553,"-")</f>
        <v>-</v>
      </c>
    </row>
    <row r="554" customFormat="false" ht="15" hidden="false" customHeight="false" outlineLevel="0" collapsed="false">
      <c r="B554" s="7" t="s">
        <v>15199</v>
      </c>
      <c r="C554" s="7" t="s">
        <v>1051</v>
      </c>
      <c r="D554" s="7" t="s">
        <v>291</v>
      </c>
      <c r="E554" s="7" t="s">
        <v>154</v>
      </c>
      <c r="F554" s="39" t="n">
        <v>45686</v>
      </c>
      <c r="G554" s="41" t="n">
        <v>124.81</v>
      </c>
      <c r="H554" s="39" t="n">
        <v>45766</v>
      </c>
      <c r="I554" s="7" t="s">
        <v>14651</v>
      </c>
      <c r="J554" s="8" t="str">
        <f aca="false">IF(I554="Open",DATE(2025,12,31)-F554,"-")</f>
        <v>-</v>
      </c>
    </row>
    <row r="555" customFormat="false" ht="15" hidden="false" customHeight="false" outlineLevel="0" collapsed="false">
      <c r="B555" s="7" t="s">
        <v>15200</v>
      </c>
      <c r="C555" s="7" t="s">
        <v>1052</v>
      </c>
      <c r="D555" s="7" t="s">
        <v>305</v>
      </c>
      <c r="E555" s="7" t="s">
        <v>154</v>
      </c>
      <c r="F555" s="39" t="n">
        <v>45686</v>
      </c>
      <c r="G555" s="41" t="n">
        <v>111.56</v>
      </c>
      <c r="H555" s="39" t="n">
        <v>45725</v>
      </c>
      <c r="I555" s="7" t="s">
        <v>14651</v>
      </c>
      <c r="J555" s="8" t="str">
        <f aca="false">IF(I555="Open",DATE(2025,12,31)-F555,"-")</f>
        <v>-</v>
      </c>
    </row>
    <row r="556" customFormat="false" ht="15" hidden="false" customHeight="false" outlineLevel="0" collapsed="false">
      <c r="B556" s="7" t="s">
        <v>15201</v>
      </c>
      <c r="C556" s="7" t="s">
        <v>1053</v>
      </c>
      <c r="D556" s="7" t="s">
        <v>309</v>
      </c>
      <c r="E556" s="7" t="s">
        <v>159</v>
      </c>
      <c r="F556" s="39" t="n">
        <v>45686</v>
      </c>
      <c r="G556" s="41" t="n">
        <v>141.75</v>
      </c>
      <c r="H556" s="39" t="n">
        <v>45715</v>
      </c>
      <c r="I556" s="7" t="s">
        <v>14651</v>
      </c>
      <c r="J556" s="8" t="str">
        <f aca="false">IF(I556="Open",DATE(2025,12,31)-F556,"-")</f>
        <v>-</v>
      </c>
    </row>
    <row r="557" customFormat="false" ht="15" hidden="false" customHeight="false" outlineLevel="0" collapsed="false">
      <c r="B557" s="7" t="s">
        <v>15202</v>
      </c>
      <c r="C557" s="7" t="s">
        <v>1054</v>
      </c>
      <c r="D557" s="7" t="s">
        <v>313</v>
      </c>
      <c r="E557" s="7" t="s">
        <v>156</v>
      </c>
      <c r="F557" s="39" t="n">
        <v>45686</v>
      </c>
      <c r="G557" s="41" t="n">
        <v>131.92</v>
      </c>
      <c r="H557" s="39" t="n">
        <v>45692</v>
      </c>
      <c r="I557" s="7" t="s">
        <v>14651</v>
      </c>
      <c r="J557" s="8" t="str">
        <f aca="false">IF(I557="Open",DATE(2025,12,31)-F557,"-")</f>
        <v>-</v>
      </c>
    </row>
    <row r="558" customFormat="false" ht="15" hidden="false" customHeight="false" outlineLevel="0" collapsed="false">
      <c r="B558" s="7" t="s">
        <v>15203</v>
      </c>
      <c r="C558" s="7" t="s">
        <v>1055</v>
      </c>
      <c r="D558" s="7" t="s">
        <v>321</v>
      </c>
      <c r="E558" s="7" t="s">
        <v>154</v>
      </c>
      <c r="F558" s="39" t="n">
        <v>45686</v>
      </c>
      <c r="G558" s="41" t="n">
        <v>99.38</v>
      </c>
      <c r="H558" s="39" t="n">
        <v>45737</v>
      </c>
      <c r="I558" s="7" t="s">
        <v>14651</v>
      </c>
      <c r="J558" s="8" t="str">
        <f aca="false">IF(I558="Open",DATE(2025,12,31)-F558,"-")</f>
        <v>-</v>
      </c>
    </row>
    <row r="559" customFormat="false" ht="15" hidden="false" customHeight="false" outlineLevel="0" collapsed="false">
      <c r="B559" s="7" t="s">
        <v>15204</v>
      </c>
      <c r="C559" s="7" t="s">
        <v>1056</v>
      </c>
      <c r="D559" s="7" t="s">
        <v>329</v>
      </c>
      <c r="E559" s="7" t="s">
        <v>156</v>
      </c>
      <c r="F559" s="39" t="n">
        <v>45686</v>
      </c>
      <c r="G559" s="41" t="n">
        <v>148.58</v>
      </c>
      <c r="H559" s="39" t="n">
        <v>45699</v>
      </c>
      <c r="I559" s="7" t="s">
        <v>14651</v>
      </c>
      <c r="J559" s="8" t="str">
        <f aca="false">IF(I559="Open",DATE(2025,12,31)-F559,"-")</f>
        <v>-</v>
      </c>
    </row>
    <row r="560" customFormat="false" ht="15" hidden="false" customHeight="false" outlineLevel="0" collapsed="false">
      <c r="B560" s="7" t="s">
        <v>15205</v>
      </c>
      <c r="C560" s="7" t="s">
        <v>1057</v>
      </c>
      <c r="D560" s="7" t="s">
        <v>335</v>
      </c>
      <c r="E560" s="7" t="s">
        <v>154</v>
      </c>
      <c r="F560" s="39" t="n">
        <v>45686</v>
      </c>
      <c r="G560" s="41" t="n">
        <v>94.07</v>
      </c>
      <c r="H560" s="39" t="n">
        <v>45755</v>
      </c>
      <c r="I560" s="7" t="s">
        <v>14651</v>
      </c>
      <c r="J560" s="8" t="str">
        <f aca="false">IF(I560="Open",DATE(2025,12,31)-F560,"-")</f>
        <v>-</v>
      </c>
    </row>
    <row r="561" customFormat="false" ht="15" hidden="false" customHeight="false" outlineLevel="0" collapsed="false">
      <c r="B561" s="7" t="s">
        <v>15206</v>
      </c>
      <c r="C561" s="7" t="s">
        <v>1058</v>
      </c>
      <c r="D561" s="7" t="s">
        <v>339</v>
      </c>
      <c r="E561" s="7" t="s">
        <v>154</v>
      </c>
      <c r="F561" s="39" t="n">
        <v>45686</v>
      </c>
      <c r="G561" s="41" t="n">
        <v>79.5</v>
      </c>
      <c r="H561" s="39" t="n">
        <v>45724</v>
      </c>
      <c r="I561" s="7" t="s">
        <v>14651</v>
      </c>
      <c r="J561" s="8" t="str">
        <f aca="false">IF(I561="Open",DATE(2025,12,31)-F561,"-")</f>
        <v>-</v>
      </c>
    </row>
    <row r="562" customFormat="false" ht="15" hidden="false" customHeight="false" outlineLevel="0" collapsed="false">
      <c r="B562" s="7" t="s">
        <v>15207</v>
      </c>
      <c r="C562" s="7" t="s">
        <v>1059</v>
      </c>
      <c r="D562" s="7" t="s">
        <v>353</v>
      </c>
      <c r="E562" s="7" t="s">
        <v>154</v>
      </c>
      <c r="F562" s="39" t="n">
        <v>45686</v>
      </c>
      <c r="G562" s="41" t="n">
        <v>80.82</v>
      </c>
      <c r="H562" s="39" t="n">
        <v>45774</v>
      </c>
      <c r="I562" s="7" t="s">
        <v>14651</v>
      </c>
      <c r="J562" s="8" t="str">
        <f aca="false">IF(I562="Open",DATE(2025,12,31)-F562,"-")</f>
        <v>-</v>
      </c>
    </row>
    <row r="563" customFormat="false" ht="15" hidden="false" customHeight="false" outlineLevel="0" collapsed="false">
      <c r="B563" s="7" t="s">
        <v>15208</v>
      </c>
      <c r="C563" s="7" t="s">
        <v>1060</v>
      </c>
      <c r="D563" s="7" t="s">
        <v>355</v>
      </c>
      <c r="E563" s="7" t="s">
        <v>154</v>
      </c>
      <c r="F563" s="39" t="n">
        <v>45686</v>
      </c>
      <c r="G563" s="41" t="n">
        <v>87.45</v>
      </c>
      <c r="H563" s="39" t="n">
        <v>45802</v>
      </c>
      <c r="I563" s="7" t="s">
        <v>14651</v>
      </c>
      <c r="J563" s="8" t="str">
        <f aca="false">IF(I563="Open",DATE(2025,12,31)-F563,"-")</f>
        <v>-</v>
      </c>
    </row>
    <row r="564" customFormat="false" ht="15" hidden="false" customHeight="false" outlineLevel="0" collapsed="false">
      <c r="B564" s="7" t="s">
        <v>15209</v>
      </c>
      <c r="C564" s="7" t="s">
        <v>1061</v>
      </c>
      <c r="D564" s="7" t="s">
        <v>357</v>
      </c>
      <c r="E564" s="7" t="s">
        <v>154</v>
      </c>
      <c r="F564" s="39" t="n">
        <v>45686</v>
      </c>
      <c r="G564" s="41" t="n">
        <v>95.93</v>
      </c>
      <c r="H564" s="39" t="n">
        <v>45753</v>
      </c>
      <c r="I564" s="7" t="s">
        <v>14651</v>
      </c>
      <c r="J564" s="8" t="str">
        <f aca="false">IF(I564="Open",DATE(2025,12,31)-F564,"-")</f>
        <v>-</v>
      </c>
    </row>
    <row r="565" customFormat="false" ht="15" hidden="false" customHeight="false" outlineLevel="0" collapsed="false">
      <c r="B565" s="7" t="s">
        <v>15210</v>
      </c>
      <c r="C565" s="7" t="s">
        <v>1062</v>
      </c>
      <c r="D565" s="7" t="s">
        <v>359</v>
      </c>
      <c r="E565" s="7" t="s">
        <v>156</v>
      </c>
      <c r="F565" s="39" t="n">
        <v>45686</v>
      </c>
      <c r="G565" s="41" t="n">
        <v>122.74</v>
      </c>
      <c r="H565" s="39" t="n">
        <v>45702</v>
      </c>
      <c r="I565" s="7" t="s">
        <v>14651</v>
      </c>
      <c r="J565" s="8" t="str">
        <f aca="false">IF(I565="Open",DATE(2025,12,31)-F565,"-")</f>
        <v>-</v>
      </c>
    </row>
    <row r="566" customFormat="false" ht="15" hidden="false" customHeight="false" outlineLevel="0" collapsed="false">
      <c r="B566" s="7" t="s">
        <v>15211</v>
      </c>
      <c r="C566" s="7" t="s">
        <v>1063</v>
      </c>
      <c r="D566" s="7" t="s">
        <v>371</v>
      </c>
      <c r="E566" s="7" t="s">
        <v>154</v>
      </c>
      <c r="F566" s="39" t="n">
        <v>45686</v>
      </c>
      <c r="G566" s="41" t="n">
        <v>111.83</v>
      </c>
      <c r="H566" s="39" t="n">
        <v>45779</v>
      </c>
      <c r="I566" s="7" t="s">
        <v>14651</v>
      </c>
      <c r="J566" s="8" t="str">
        <f aca="false">IF(I566="Open",DATE(2025,12,31)-F566,"-")</f>
        <v>-</v>
      </c>
    </row>
    <row r="567" customFormat="false" ht="15" hidden="false" customHeight="false" outlineLevel="0" collapsed="false">
      <c r="B567" s="7" t="s">
        <v>15212</v>
      </c>
      <c r="C567" s="7" t="s">
        <v>1064</v>
      </c>
      <c r="D567" s="7" t="s">
        <v>379</v>
      </c>
      <c r="E567" s="7" t="s">
        <v>156</v>
      </c>
      <c r="F567" s="39" t="n">
        <v>45686</v>
      </c>
      <c r="G567" s="41" t="n">
        <v>151.98</v>
      </c>
      <c r="H567" s="39" t="n">
        <v>45695</v>
      </c>
      <c r="I567" s="7" t="s">
        <v>14651</v>
      </c>
      <c r="J567" s="8" t="str">
        <f aca="false">IF(I567="Open",DATE(2025,12,31)-F567,"-")</f>
        <v>-</v>
      </c>
    </row>
    <row r="568" customFormat="false" ht="15" hidden="false" customHeight="false" outlineLevel="0" collapsed="false">
      <c r="B568" s="7" t="s">
        <v>15213</v>
      </c>
      <c r="C568" s="7" t="s">
        <v>1065</v>
      </c>
      <c r="D568" s="7" t="s">
        <v>389</v>
      </c>
      <c r="E568" s="7" t="s">
        <v>154</v>
      </c>
      <c r="F568" s="39" t="n">
        <v>45686</v>
      </c>
      <c r="G568" s="41" t="n">
        <v>104.41</v>
      </c>
      <c r="H568" s="39" t="n">
        <v>45723</v>
      </c>
      <c r="I568" s="7" t="s">
        <v>14651</v>
      </c>
      <c r="J568" s="8" t="str">
        <f aca="false">IF(I568="Open",DATE(2025,12,31)-F568,"-")</f>
        <v>-</v>
      </c>
    </row>
    <row r="569" customFormat="false" ht="15" hidden="false" customHeight="false" outlineLevel="0" collapsed="false">
      <c r="B569" s="7" t="s">
        <v>15214</v>
      </c>
      <c r="C569" s="7" t="s">
        <v>1066</v>
      </c>
      <c r="D569" s="7" t="s">
        <v>391</v>
      </c>
      <c r="E569" s="7" t="s">
        <v>156</v>
      </c>
      <c r="F569" s="39" t="n">
        <v>45686</v>
      </c>
      <c r="G569" s="41" t="n">
        <v>147.22</v>
      </c>
      <c r="H569" s="39" t="n">
        <v>45692</v>
      </c>
      <c r="I569" s="7" t="s">
        <v>14651</v>
      </c>
      <c r="J569" s="8" t="str">
        <f aca="false">IF(I569="Open",DATE(2025,12,31)-F569,"-")</f>
        <v>-</v>
      </c>
    </row>
    <row r="570" customFormat="false" ht="15" hidden="false" customHeight="false" outlineLevel="0" collapsed="false">
      <c r="B570" s="7" t="s">
        <v>15215</v>
      </c>
      <c r="C570" s="7" t="s">
        <v>1067</v>
      </c>
      <c r="D570" s="7" t="s">
        <v>393</v>
      </c>
      <c r="E570" s="7" t="s">
        <v>157</v>
      </c>
      <c r="F570" s="39" t="n">
        <v>45686</v>
      </c>
      <c r="G570" s="41" t="n">
        <v>168.3</v>
      </c>
      <c r="H570" s="39" t="n">
        <v>45727</v>
      </c>
      <c r="I570" s="7" t="s">
        <v>14651</v>
      </c>
      <c r="J570" s="8" t="str">
        <f aca="false">IF(I570="Open",DATE(2025,12,31)-F570,"-")</f>
        <v>-</v>
      </c>
    </row>
    <row r="571" customFormat="false" ht="15" hidden="false" customHeight="false" outlineLevel="0" collapsed="false">
      <c r="B571" s="7" t="s">
        <v>15216</v>
      </c>
      <c r="C571" s="7" t="s">
        <v>1068</v>
      </c>
      <c r="D571" s="7" t="s">
        <v>395</v>
      </c>
      <c r="E571" s="7" t="s">
        <v>156</v>
      </c>
      <c r="F571" s="39" t="n">
        <v>45686</v>
      </c>
      <c r="G571" s="41" t="n">
        <v>144.16</v>
      </c>
      <c r="H571" s="39" t="n">
        <v>45699</v>
      </c>
      <c r="I571" s="7" t="s">
        <v>14651</v>
      </c>
      <c r="J571" s="8" t="str">
        <f aca="false">IF(I571="Open",DATE(2025,12,31)-F571,"-")</f>
        <v>-</v>
      </c>
    </row>
    <row r="572" customFormat="false" ht="15" hidden="false" customHeight="false" outlineLevel="0" collapsed="false">
      <c r="B572" s="7" t="s">
        <v>15217</v>
      </c>
      <c r="C572" s="7" t="s">
        <v>1069</v>
      </c>
      <c r="D572" s="7" t="s">
        <v>399</v>
      </c>
      <c r="E572" s="7" t="s">
        <v>154</v>
      </c>
      <c r="F572" s="39" t="n">
        <v>45686</v>
      </c>
      <c r="G572" s="41" t="n">
        <v>87.72</v>
      </c>
      <c r="H572" s="39" t="n">
        <v>45745</v>
      </c>
      <c r="I572" s="7" t="s">
        <v>14651</v>
      </c>
      <c r="J572" s="8" t="str">
        <f aca="false">IF(I572="Open",DATE(2025,12,31)-F572,"-")</f>
        <v>-</v>
      </c>
    </row>
    <row r="573" customFormat="false" ht="15" hidden="false" customHeight="false" outlineLevel="0" collapsed="false">
      <c r="B573" s="7" t="s">
        <v>15218</v>
      </c>
      <c r="C573" s="7" t="s">
        <v>1070</v>
      </c>
      <c r="D573" s="7" t="s">
        <v>401</v>
      </c>
      <c r="E573" s="7" t="s">
        <v>156</v>
      </c>
      <c r="F573" s="39" t="n">
        <v>45686</v>
      </c>
      <c r="G573" s="41" t="n">
        <v>130.56</v>
      </c>
      <c r="H573" s="39" t="n">
        <v>45693</v>
      </c>
      <c r="I573" s="7" t="s">
        <v>14651</v>
      </c>
      <c r="J573" s="8" t="str">
        <f aca="false">IF(I573="Open",DATE(2025,12,31)-F573,"-")</f>
        <v>-</v>
      </c>
    </row>
    <row r="574" customFormat="false" ht="15" hidden="false" customHeight="false" outlineLevel="0" collapsed="false">
      <c r="B574" s="7" t="s">
        <v>15219</v>
      </c>
      <c r="C574" s="7" t="s">
        <v>1071</v>
      </c>
      <c r="D574" s="7" t="s">
        <v>409</v>
      </c>
      <c r="E574" s="7" t="s">
        <v>154</v>
      </c>
      <c r="F574" s="39" t="n">
        <v>45686</v>
      </c>
      <c r="G574" s="41" t="n">
        <v>94.07</v>
      </c>
      <c r="H574" s="39" t="n">
        <v>45745</v>
      </c>
      <c r="I574" s="7" t="s">
        <v>14651</v>
      </c>
      <c r="J574" s="8" t="str">
        <f aca="false">IF(I574="Open",DATE(2025,12,31)-F574,"-")</f>
        <v>-</v>
      </c>
    </row>
    <row r="575" customFormat="false" ht="15" hidden="false" customHeight="false" outlineLevel="0" collapsed="false">
      <c r="B575" s="7" t="s">
        <v>15220</v>
      </c>
      <c r="C575" s="7" t="s">
        <v>1072</v>
      </c>
      <c r="D575" s="7" t="s">
        <v>411</v>
      </c>
      <c r="E575" s="7" t="s">
        <v>154</v>
      </c>
      <c r="F575" s="39" t="n">
        <v>45686</v>
      </c>
      <c r="G575" s="41" t="n">
        <v>121.37</v>
      </c>
      <c r="H575" s="39" t="n">
        <v>45773</v>
      </c>
      <c r="I575" s="7" t="s">
        <v>14651</v>
      </c>
      <c r="J575" s="8" t="str">
        <f aca="false">IF(I575="Open",DATE(2025,12,31)-F575,"-")</f>
        <v>-</v>
      </c>
    </row>
    <row r="576" customFormat="false" ht="15" hidden="false" customHeight="false" outlineLevel="0" collapsed="false">
      <c r="B576" s="7" t="s">
        <v>15221</v>
      </c>
      <c r="C576" s="7" t="s">
        <v>1073</v>
      </c>
      <c r="D576" s="7" t="s">
        <v>288</v>
      </c>
      <c r="E576" s="7" t="s">
        <v>156</v>
      </c>
      <c r="F576" s="39" t="n">
        <v>45687</v>
      </c>
      <c r="G576" s="41" t="n">
        <v>139.74</v>
      </c>
      <c r="H576" s="39" t="n">
        <v>45701</v>
      </c>
      <c r="I576" s="7" t="s">
        <v>14651</v>
      </c>
      <c r="J576" s="8" t="str">
        <f aca="false">IF(I576="Open",DATE(2025,12,31)-F576,"-")</f>
        <v>-</v>
      </c>
    </row>
    <row r="577" customFormat="false" ht="15" hidden="false" customHeight="false" outlineLevel="0" collapsed="false">
      <c r="B577" s="7" t="s">
        <v>15222</v>
      </c>
      <c r="C577" s="7" t="s">
        <v>1074</v>
      </c>
      <c r="D577" s="7" t="s">
        <v>297</v>
      </c>
      <c r="E577" s="7" t="s">
        <v>156</v>
      </c>
      <c r="F577" s="39" t="n">
        <v>45687</v>
      </c>
      <c r="G577" s="41" t="n">
        <v>109.14</v>
      </c>
      <c r="H577" s="39" t="n">
        <v>45700</v>
      </c>
      <c r="I577" s="7" t="s">
        <v>14651</v>
      </c>
      <c r="J577" s="8" t="str">
        <f aca="false">IF(I577="Open",DATE(2025,12,31)-F577,"-")</f>
        <v>-</v>
      </c>
    </row>
    <row r="578" customFormat="false" ht="15" hidden="false" customHeight="false" outlineLevel="0" collapsed="false">
      <c r="B578" s="7" t="s">
        <v>15223</v>
      </c>
      <c r="C578" s="7" t="s">
        <v>1075</v>
      </c>
      <c r="D578" s="7" t="s">
        <v>311</v>
      </c>
      <c r="E578" s="7" t="s">
        <v>154</v>
      </c>
      <c r="F578" s="39" t="n">
        <v>45687</v>
      </c>
      <c r="G578" s="41" t="n">
        <v>87.19</v>
      </c>
      <c r="H578" s="39" t="n">
        <v>45775</v>
      </c>
      <c r="I578" s="7" t="s">
        <v>14651</v>
      </c>
      <c r="J578" s="8" t="str">
        <f aca="false">IF(I578="Open",DATE(2025,12,31)-F578,"-")</f>
        <v>-</v>
      </c>
    </row>
    <row r="579" customFormat="false" ht="15" hidden="false" customHeight="false" outlineLevel="0" collapsed="false">
      <c r="B579" s="7" t="s">
        <v>15224</v>
      </c>
      <c r="C579" s="7" t="s">
        <v>1076</v>
      </c>
      <c r="D579" s="7" t="s">
        <v>313</v>
      </c>
      <c r="E579" s="7" t="s">
        <v>156</v>
      </c>
      <c r="F579" s="39" t="n">
        <v>45687</v>
      </c>
      <c r="G579" s="41" t="n">
        <v>147.56</v>
      </c>
      <c r="H579" s="39" t="n">
        <v>45702</v>
      </c>
      <c r="I579" s="7" t="s">
        <v>14651</v>
      </c>
      <c r="J579" s="8" t="str">
        <f aca="false">IF(I579="Open",DATE(2025,12,31)-F579,"-")</f>
        <v>-</v>
      </c>
    </row>
    <row r="580" customFormat="false" ht="15" hidden="false" customHeight="false" outlineLevel="0" collapsed="false">
      <c r="B580" s="7" t="s">
        <v>15225</v>
      </c>
      <c r="C580" s="7" t="s">
        <v>1077</v>
      </c>
      <c r="D580" s="7" t="s">
        <v>317</v>
      </c>
      <c r="E580" s="7" t="s">
        <v>156</v>
      </c>
      <c r="F580" s="39" t="n">
        <v>45687</v>
      </c>
      <c r="G580" s="41" t="n">
        <v>106.08</v>
      </c>
      <c r="H580" s="39" t="n">
        <v>45697</v>
      </c>
      <c r="I580" s="7" t="s">
        <v>14651</v>
      </c>
      <c r="J580" s="8" t="str">
        <f aca="false">IF(I580="Open",DATE(2025,12,31)-F580,"-")</f>
        <v>-</v>
      </c>
    </row>
    <row r="581" customFormat="false" ht="15" hidden="false" customHeight="false" outlineLevel="0" collapsed="false">
      <c r="B581" s="7" t="s">
        <v>15226</v>
      </c>
      <c r="C581" s="7" t="s">
        <v>1078</v>
      </c>
      <c r="D581" s="7" t="s">
        <v>321</v>
      </c>
      <c r="E581" s="7" t="s">
        <v>154</v>
      </c>
      <c r="F581" s="39" t="n">
        <v>45687</v>
      </c>
      <c r="G581" s="41" t="n">
        <v>115.01</v>
      </c>
      <c r="H581" s="39" t="n">
        <v>45755</v>
      </c>
      <c r="I581" s="7" t="s">
        <v>14651</v>
      </c>
      <c r="J581" s="8" t="str">
        <f aca="false">IF(I581="Open",DATE(2025,12,31)-F581,"-")</f>
        <v>-</v>
      </c>
    </row>
    <row r="582" customFormat="false" ht="15" hidden="false" customHeight="false" outlineLevel="0" collapsed="false">
      <c r="B582" s="7" t="s">
        <v>15227</v>
      </c>
      <c r="C582" s="7" t="s">
        <v>1079</v>
      </c>
      <c r="D582" s="7" t="s">
        <v>325</v>
      </c>
      <c r="E582" s="7" t="s">
        <v>154</v>
      </c>
      <c r="F582" s="39" t="n">
        <v>45687</v>
      </c>
      <c r="G582" s="41" t="n">
        <v>80.3</v>
      </c>
      <c r="H582" s="39" t="n">
        <v>45768</v>
      </c>
      <c r="I582" s="7" t="s">
        <v>14651</v>
      </c>
      <c r="J582" s="8" t="str">
        <f aca="false">IF(I582="Open",DATE(2025,12,31)-F582,"-")</f>
        <v>-</v>
      </c>
    </row>
    <row r="583" customFormat="false" ht="15" hidden="false" customHeight="false" outlineLevel="0" collapsed="false">
      <c r="B583" s="7" t="s">
        <v>15228</v>
      </c>
      <c r="C583" s="7" t="s">
        <v>1080</v>
      </c>
      <c r="D583" s="7" t="s">
        <v>331</v>
      </c>
      <c r="E583" s="7" t="s">
        <v>156</v>
      </c>
      <c r="F583" s="39" t="n">
        <v>45687</v>
      </c>
      <c r="G583" s="41" t="n">
        <v>138.38</v>
      </c>
      <c r="H583" s="39" t="n">
        <v>45697</v>
      </c>
      <c r="I583" s="7" t="s">
        <v>14651</v>
      </c>
      <c r="J583" s="8" t="str">
        <f aca="false">IF(I583="Open",DATE(2025,12,31)-F583,"-")</f>
        <v>-</v>
      </c>
    </row>
    <row r="584" customFormat="false" ht="15" hidden="false" customHeight="false" outlineLevel="0" collapsed="false">
      <c r="B584" s="7" t="s">
        <v>15229</v>
      </c>
      <c r="C584" s="7" t="s">
        <v>1081</v>
      </c>
      <c r="D584" s="7" t="s">
        <v>337</v>
      </c>
      <c r="E584" s="7" t="s">
        <v>154</v>
      </c>
      <c r="F584" s="39" t="n">
        <v>45687</v>
      </c>
      <c r="G584" s="41" t="n">
        <v>77.91</v>
      </c>
      <c r="H584" s="39" t="n">
        <v>45735</v>
      </c>
      <c r="I584" s="7" t="s">
        <v>14651</v>
      </c>
      <c r="J584" s="8" t="str">
        <f aca="false">IF(I584="Open",DATE(2025,12,31)-F584,"-")</f>
        <v>-</v>
      </c>
    </row>
    <row r="585" customFormat="false" ht="15" hidden="false" customHeight="false" outlineLevel="0" collapsed="false">
      <c r="B585" s="7" t="s">
        <v>15230</v>
      </c>
      <c r="C585" s="7" t="s">
        <v>1082</v>
      </c>
      <c r="D585" s="7" t="s">
        <v>341</v>
      </c>
      <c r="E585" s="7" t="s">
        <v>156</v>
      </c>
      <c r="F585" s="39" t="n">
        <v>45687</v>
      </c>
      <c r="G585" s="41" t="n">
        <v>96.56</v>
      </c>
      <c r="H585" s="39" t="n">
        <v>45699</v>
      </c>
      <c r="I585" s="7" t="s">
        <v>14651</v>
      </c>
      <c r="J585" s="8" t="str">
        <f aca="false">IF(I585="Open",DATE(2025,12,31)-F585,"-")</f>
        <v>-</v>
      </c>
    </row>
    <row r="586" customFormat="false" ht="15" hidden="false" customHeight="false" outlineLevel="0" collapsed="false">
      <c r="B586" s="7" t="s">
        <v>15231</v>
      </c>
      <c r="C586" s="7" t="s">
        <v>1083</v>
      </c>
      <c r="D586" s="7" t="s">
        <v>343</v>
      </c>
      <c r="E586" s="7" t="s">
        <v>154</v>
      </c>
      <c r="F586" s="39" t="n">
        <v>45687</v>
      </c>
      <c r="G586" s="41" t="n">
        <v>114.48</v>
      </c>
      <c r="H586" s="39" t="n">
        <v>45719</v>
      </c>
      <c r="I586" s="7" t="s">
        <v>14651</v>
      </c>
      <c r="J586" s="8" t="str">
        <f aca="false">IF(I586="Open",DATE(2025,12,31)-F586,"-")</f>
        <v>-</v>
      </c>
    </row>
    <row r="587" customFormat="false" ht="15" hidden="false" customHeight="false" outlineLevel="0" collapsed="false">
      <c r="B587" s="7" t="s">
        <v>15232</v>
      </c>
      <c r="C587" s="7" t="s">
        <v>1084</v>
      </c>
      <c r="D587" s="7" t="s">
        <v>359</v>
      </c>
      <c r="E587" s="7" t="s">
        <v>156</v>
      </c>
      <c r="F587" s="39" t="n">
        <v>45687</v>
      </c>
      <c r="G587" s="41" t="n">
        <v>126.14</v>
      </c>
      <c r="H587" s="39" t="n">
        <v>45699</v>
      </c>
      <c r="I587" s="7" t="s">
        <v>14651</v>
      </c>
      <c r="J587" s="8" t="str">
        <f aca="false">IF(I587="Open",DATE(2025,12,31)-F587,"-")</f>
        <v>-</v>
      </c>
    </row>
    <row r="588" customFormat="false" ht="15" hidden="false" customHeight="false" outlineLevel="0" collapsed="false">
      <c r="B588" s="7" t="s">
        <v>15233</v>
      </c>
      <c r="C588" s="7" t="s">
        <v>1085</v>
      </c>
      <c r="D588" s="7" t="s">
        <v>363</v>
      </c>
      <c r="E588" s="7" t="s">
        <v>156</v>
      </c>
      <c r="F588" s="39" t="n">
        <v>45687</v>
      </c>
      <c r="G588" s="41" t="n">
        <v>136</v>
      </c>
      <c r="H588" s="39" t="n">
        <v>45703</v>
      </c>
      <c r="I588" s="7" t="s">
        <v>14651</v>
      </c>
      <c r="J588" s="8" t="str">
        <f aca="false">IF(I588="Open",DATE(2025,12,31)-F588,"-")</f>
        <v>-</v>
      </c>
    </row>
    <row r="589" customFormat="false" ht="15" hidden="false" customHeight="false" outlineLevel="0" collapsed="false">
      <c r="B589" s="7" t="s">
        <v>15234</v>
      </c>
      <c r="C589" s="7" t="s">
        <v>1086</v>
      </c>
      <c r="D589" s="7" t="s">
        <v>375</v>
      </c>
      <c r="E589" s="7" t="s">
        <v>156</v>
      </c>
      <c r="F589" s="39" t="n">
        <v>45687</v>
      </c>
      <c r="G589" s="41" t="n">
        <v>100.64</v>
      </c>
      <c r="H589" s="39" t="n">
        <v>45708</v>
      </c>
      <c r="I589" s="7" t="s">
        <v>14651</v>
      </c>
      <c r="J589" s="8" t="str">
        <f aca="false">IF(I589="Open",DATE(2025,12,31)-F589,"-")</f>
        <v>-</v>
      </c>
    </row>
    <row r="590" customFormat="false" ht="15" hidden="false" customHeight="false" outlineLevel="0" collapsed="false">
      <c r="B590" s="7" t="s">
        <v>15235</v>
      </c>
      <c r="C590" s="7" t="s">
        <v>1087</v>
      </c>
      <c r="D590" s="7" t="s">
        <v>377</v>
      </c>
      <c r="E590" s="7" t="s">
        <v>154</v>
      </c>
      <c r="F590" s="39" t="n">
        <v>45687</v>
      </c>
      <c r="G590" s="41" t="n">
        <v>111.83</v>
      </c>
      <c r="H590" s="39" t="n">
        <v>45772</v>
      </c>
      <c r="I590" s="7" t="s">
        <v>14651</v>
      </c>
      <c r="J590" s="8" t="str">
        <f aca="false">IF(I590="Open",DATE(2025,12,31)-F590,"-")</f>
        <v>-</v>
      </c>
    </row>
    <row r="591" customFormat="false" ht="15" hidden="false" customHeight="false" outlineLevel="0" collapsed="false">
      <c r="B591" s="7" t="s">
        <v>15236</v>
      </c>
      <c r="C591" s="7" t="s">
        <v>1088</v>
      </c>
      <c r="D591" s="7" t="s">
        <v>389</v>
      </c>
      <c r="E591" s="7" t="s">
        <v>154</v>
      </c>
      <c r="F591" s="39" t="n">
        <v>45687</v>
      </c>
      <c r="G591" s="41" t="n">
        <v>111.83</v>
      </c>
      <c r="H591" s="39" t="n">
        <v>45736</v>
      </c>
      <c r="I591" s="7" t="s">
        <v>14651</v>
      </c>
      <c r="J591" s="8" t="str">
        <f aca="false">IF(I591="Open",DATE(2025,12,31)-F591,"-")</f>
        <v>-</v>
      </c>
    </row>
    <row r="592" customFormat="false" ht="15" hidden="false" customHeight="false" outlineLevel="0" collapsed="false">
      <c r="B592" s="7" t="s">
        <v>15237</v>
      </c>
      <c r="C592" s="7" t="s">
        <v>1089</v>
      </c>
      <c r="D592" s="7" t="s">
        <v>391</v>
      </c>
      <c r="E592" s="7" t="s">
        <v>156</v>
      </c>
      <c r="F592" s="39" t="n">
        <v>45687</v>
      </c>
      <c r="G592" s="41" t="n">
        <v>149.26</v>
      </c>
      <c r="H592" s="39" t="n">
        <v>45697</v>
      </c>
      <c r="I592" s="7" t="s">
        <v>14651</v>
      </c>
      <c r="J592" s="8" t="str">
        <f aca="false">IF(I592="Open",DATE(2025,12,31)-F592,"-")</f>
        <v>-</v>
      </c>
    </row>
    <row r="593" customFormat="false" ht="15" hidden="false" customHeight="false" outlineLevel="0" collapsed="false">
      <c r="B593" s="7" t="s">
        <v>15238</v>
      </c>
      <c r="C593" s="7" t="s">
        <v>1090</v>
      </c>
      <c r="D593" s="7" t="s">
        <v>395</v>
      </c>
      <c r="E593" s="7" t="s">
        <v>156</v>
      </c>
      <c r="F593" s="39" t="n">
        <v>45687</v>
      </c>
      <c r="G593" s="41" t="n">
        <v>147.9</v>
      </c>
      <c r="H593" s="39" t="n">
        <v>45704</v>
      </c>
      <c r="I593" s="7" t="s">
        <v>14651</v>
      </c>
      <c r="J593" s="8" t="str">
        <f aca="false">IF(I593="Open",DATE(2025,12,31)-F593,"-")</f>
        <v>-</v>
      </c>
    </row>
    <row r="594" customFormat="false" ht="15" hidden="false" customHeight="false" outlineLevel="0" collapsed="false">
      <c r="B594" s="7" t="s">
        <v>15239</v>
      </c>
      <c r="C594" s="7" t="s">
        <v>1091</v>
      </c>
      <c r="D594" s="7" t="s">
        <v>401</v>
      </c>
      <c r="E594" s="7" t="s">
        <v>156</v>
      </c>
      <c r="F594" s="39" t="n">
        <v>45687</v>
      </c>
      <c r="G594" s="41" t="n">
        <v>140.42</v>
      </c>
      <c r="H594" s="39" t="n">
        <v>45698</v>
      </c>
      <c r="I594" s="7" t="s">
        <v>14651</v>
      </c>
      <c r="J594" s="8" t="str">
        <f aca="false">IF(I594="Open",DATE(2025,12,31)-F594,"-")</f>
        <v>-</v>
      </c>
    </row>
    <row r="595" customFormat="false" ht="15" hidden="false" customHeight="false" outlineLevel="0" collapsed="false">
      <c r="B595" s="7" t="s">
        <v>15240</v>
      </c>
      <c r="C595" s="7" t="s">
        <v>1092</v>
      </c>
      <c r="D595" s="7" t="s">
        <v>280</v>
      </c>
      <c r="E595" s="7" t="s">
        <v>157</v>
      </c>
      <c r="F595" s="39" t="n">
        <v>45688</v>
      </c>
      <c r="G595" s="41" t="n">
        <v>166.15</v>
      </c>
      <c r="H595" s="39" t="n">
        <v>45765</v>
      </c>
      <c r="I595" s="7" t="s">
        <v>14651</v>
      </c>
      <c r="J595" s="8" t="str">
        <f aca="false">IF(I595="Open",DATE(2025,12,31)-F595,"-")</f>
        <v>-</v>
      </c>
    </row>
    <row r="596" customFormat="false" ht="15" hidden="false" customHeight="false" outlineLevel="0" collapsed="false">
      <c r="B596" s="7" t="s">
        <v>15241</v>
      </c>
      <c r="C596" s="7" t="s">
        <v>1093</v>
      </c>
      <c r="D596" s="7" t="s">
        <v>288</v>
      </c>
      <c r="E596" s="7" t="s">
        <v>156</v>
      </c>
      <c r="F596" s="39" t="n">
        <v>45688</v>
      </c>
      <c r="G596" s="41" t="n">
        <v>126.48</v>
      </c>
      <c r="H596" s="39" t="n">
        <v>45698</v>
      </c>
      <c r="I596" s="7" t="s">
        <v>14651</v>
      </c>
      <c r="J596" s="8" t="str">
        <f aca="false">IF(I596="Open",DATE(2025,12,31)-F596,"-")</f>
        <v>-</v>
      </c>
    </row>
    <row r="597" customFormat="false" ht="15" hidden="false" customHeight="false" outlineLevel="0" collapsed="false">
      <c r="B597" s="7" t="s">
        <v>15242</v>
      </c>
      <c r="C597" s="7" t="s">
        <v>1094</v>
      </c>
      <c r="D597" s="7" t="s">
        <v>291</v>
      </c>
      <c r="E597" s="7" t="s">
        <v>154</v>
      </c>
      <c r="F597" s="39" t="n">
        <v>45688</v>
      </c>
      <c r="G597" s="41" t="n">
        <v>125.69</v>
      </c>
      <c r="H597" s="39" t="n">
        <v>45793</v>
      </c>
      <c r="I597" s="7" t="s">
        <v>14651</v>
      </c>
      <c r="J597" s="8" t="str">
        <f aca="false">IF(I597="Open",DATE(2025,12,31)-F597,"-")</f>
        <v>-</v>
      </c>
    </row>
    <row r="598" customFormat="false" ht="15" hidden="false" customHeight="false" outlineLevel="0" collapsed="false">
      <c r="B598" s="7" t="s">
        <v>15243</v>
      </c>
      <c r="C598" s="7" t="s">
        <v>1095</v>
      </c>
      <c r="D598" s="7" t="s">
        <v>301</v>
      </c>
      <c r="E598" s="7" t="s">
        <v>157</v>
      </c>
      <c r="F598" s="39" t="n">
        <v>45688</v>
      </c>
      <c r="G598" s="41" t="n">
        <v>148.5</v>
      </c>
      <c r="H598" s="39" t="n">
        <v>45713</v>
      </c>
      <c r="I598" s="7" t="s">
        <v>14651</v>
      </c>
      <c r="J598" s="8" t="str">
        <f aca="false">IF(I598="Open",DATE(2025,12,31)-F598,"-")</f>
        <v>-</v>
      </c>
    </row>
    <row r="599" customFormat="false" ht="15" hidden="false" customHeight="false" outlineLevel="0" collapsed="false">
      <c r="B599" s="7" t="s">
        <v>15244</v>
      </c>
      <c r="C599" s="7" t="s">
        <v>1096</v>
      </c>
      <c r="D599" s="7" t="s">
        <v>305</v>
      </c>
      <c r="E599" s="7" t="s">
        <v>154</v>
      </c>
      <c r="F599" s="39" t="n">
        <v>45688</v>
      </c>
      <c r="G599" s="41" t="n">
        <v>101.23</v>
      </c>
      <c r="H599" s="39" t="n">
        <v>45742</v>
      </c>
      <c r="I599" s="7" t="s">
        <v>14651</v>
      </c>
      <c r="J599" s="8" t="str">
        <f aca="false">IF(I599="Open",DATE(2025,12,31)-F599,"-")</f>
        <v>-</v>
      </c>
    </row>
    <row r="600" customFormat="false" ht="15" hidden="false" customHeight="false" outlineLevel="0" collapsed="false">
      <c r="B600" s="7" t="s">
        <v>15245</v>
      </c>
      <c r="C600" s="7" t="s">
        <v>1097</v>
      </c>
      <c r="D600" s="7" t="s">
        <v>309</v>
      </c>
      <c r="E600" s="7" t="s">
        <v>159</v>
      </c>
      <c r="F600" s="39" t="n">
        <v>45688</v>
      </c>
      <c r="G600" s="41" t="n">
        <v>133.65</v>
      </c>
      <c r="H600" s="39" t="n">
        <v>45725</v>
      </c>
      <c r="I600" s="7" t="s">
        <v>14651</v>
      </c>
      <c r="J600" s="8" t="str">
        <f aca="false">IF(I600="Open",DATE(2025,12,31)-F600,"-")</f>
        <v>-</v>
      </c>
    </row>
    <row r="601" customFormat="false" ht="15" hidden="false" customHeight="false" outlineLevel="0" collapsed="false">
      <c r="B601" s="7" t="s">
        <v>15246</v>
      </c>
      <c r="C601" s="7" t="s">
        <v>1098</v>
      </c>
      <c r="D601" s="7" t="s">
        <v>313</v>
      </c>
      <c r="E601" s="7" t="s">
        <v>156</v>
      </c>
      <c r="F601" s="39" t="n">
        <v>45688</v>
      </c>
      <c r="G601" s="41" t="n">
        <v>123.08</v>
      </c>
      <c r="H601" s="39" t="n">
        <v>45706</v>
      </c>
      <c r="I601" s="7" t="s">
        <v>14651</v>
      </c>
      <c r="J601" s="8" t="str">
        <f aca="false">IF(I601="Open",DATE(2025,12,31)-F601,"-")</f>
        <v>-</v>
      </c>
    </row>
    <row r="602" customFormat="false" ht="15" hidden="false" customHeight="false" outlineLevel="0" collapsed="false">
      <c r="B602" s="7" t="s">
        <v>15247</v>
      </c>
      <c r="C602" s="7" t="s">
        <v>1099</v>
      </c>
      <c r="D602" s="7" t="s">
        <v>319</v>
      </c>
      <c r="E602" s="7" t="s">
        <v>157</v>
      </c>
      <c r="F602" s="39" t="n">
        <v>45688</v>
      </c>
      <c r="G602" s="41" t="n">
        <v>168.3</v>
      </c>
      <c r="H602" s="39" t="n">
        <v>45732</v>
      </c>
      <c r="I602" s="7" t="s">
        <v>14651</v>
      </c>
      <c r="J602" s="8" t="str">
        <f aca="false">IF(I602="Open",DATE(2025,12,31)-F602,"-")</f>
        <v>-</v>
      </c>
    </row>
    <row r="603" customFormat="false" ht="15" hidden="false" customHeight="false" outlineLevel="0" collapsed="false">
      <c r="B603" s="7" t="s">
        <v>15248</v>
      </c>
      <c r="C603" s="7" t="s">
        <v>1100</v>
      </c>
      <c r="D603" s="7" t="s">
        <v>321</v>
      </c>
      <c r="E603" s="7" t="s">
        <v>154</v>
      </c>
      <c r="F603" s="39" t="n">
        <v>45688</v>
      </c>
      <c r="G603" s="41" t="n">
        <v>98.45</v>
      </c>
      <c r="H603" s="39" t="n">
        <v>45776</v>
      </c>
      <c r="I603" s="7" t="s">
        <v>14651</v>
      </c>
      <c r="J603" s="8" t="str">
        <f aca="false">IF(I603="Open",DATE(2025,12,31)-F603,"-")</f>
        <v>-</v>
      </c>
    </row>
    <row r="604" customFormat="false" ht="15" hidden="false" customHeight="false" outlineLevel="0" collapsed="false">
      <c r="B604" s="7" t="s">
        <v>15249</v>
      </c>
      <c r="C604" s="7" t="s">
        <v>1101</v>
      </c>
      <c r="D604" s="7" t="s">
        <v>323</v>
      </c>
      <c r="E604" s="7" t="s">
        <v>159</v>
      </c>
      <c r="F604" s="39" t="n">
        <v>45688</v>
      </c>
      <c r="G604" s="41" t="n">
        <v>145.8</v>
      </c>
      <c r="H604" s="39" t="n">
        <v>45749</v>
      </c>
      <c r="I604" s="7" t="s">
        <v>14651</v>
      </c>
      <c r="J604" s="8" t="str">
        <f aca="false">IF(I604="Open",DATE(2025,12,31)-F604,"-")</f>
        <v>-</v>
      </c>
    </row>
    <row r="605" customFormat="false" ht="15" hidden="false" customHeight="false" outlineLevel="0" collapsed="false">
      <c r="B605" s="7" t="s">
        <v>15250</v>
      </c>
      <c r="C605" s="7" t="s">
        <v>1102</v>
      </c>
      <c r="D605" s="7" t="s">
        <v>327</v>
      </c>
      <c r="E605" s="7" t="s">
        <v>157</v>
      </c>
      <c r="F605" s="39" t="n">
        <v>45688</v>
      </c>
      <c r="G605" s="41" t="n">
        <v>166.65</v>
      </c>
      <c r="H605" s="39" t="n">
        <v>45731</v>
      </c>
      <c r="I605" s="7" t="s">
        <v>14651</v>
      </c>
      <c r="J605" s="8" t="str">
        <f aca="false">IF(I605="Open",DATE(2025,12,31)-F605,"-")</f>
        <v>-</v>
      </c>
    </row>
    <row r="606" customFormat="false" ht="15" hidden="false" customHeight="false" outlineLevel="0" collapsed="false">
      <c r="B606" s="7" t="s">
        <v>15251</v>
      </c>
      <c r="C606" s="7" t="s">
        <v>1103</v>
      </c>
      <c r="D606" s="7" t="s">
        <v>329</v>
      </c>
      <c r="E606" s="7" t="s">
        <v>156</v>
      </c>
      <c r="F606" s="39" t="n">
        <v>45688</v>
      </c>
      <c r="G606" s="41" t="n">
        <v>126.14</v>
      </c>
      <c r="H606" s="39" t="n">
        <v>45697</v>
      </c>
      <c r="I606" s="7" t="s">
        <v>14651</v>
      </c>
      <c r="J606" s="8" t="str">
        <f aca="false">IF(I606="Open",DATE(2025,12,31)-F606,"-")</f>
        <v>-</v>
      </c>
    </row>
    <row r="607" customFormat="false" ht="15" hidden="false" customHeight="false" outlineLevel="0" collapsed="false">
      <c r="B607" s="7" t="s">
        <v>15252</v>
      </c>
      <c r="C607" s="7" t="s">
        <v>1104</v>
      </c>
      <c r="D607" s="7" t="s">
        <v>335</v>
      </c>
      <c r="E607" s="7" t="s">
        <v>154</v>
      </c>
      <c r="F607" s="39" t="n">
        <v>45688</v>
      </c>
      <c r="G607" s="41" t="n">
        <v>96.72</v>
      </c>
      <c r="H607" s="39" t="n">
        <v>45745</v>
      </c>
      <c r="I607" s="7" t="s">
        <v>14651</v>
      </c>
      <c r="J607" s="8" t="str">
        <f aca="false">IF(I607="Open",DATE(2025,12,31)-F607,"-")</f>
        <v>-</v>
      </c>
    </row>
    <row r="608" customFormat="false" ht="15" hidden="false" customHeight="false" outlineLevel="0" collapsed="false">
      <c r="B608" s="7" t="s">
        <v>15253</v>
      </c>
      <c r="C608" s="7" t="s">
        <v>1105</v>
      </c>
      <c r="D608" s="7" t="s">
        <v>339</v>
      </c>
      <c r="E608" s="7" t="s">
        <v>154</v>
      </c>
      <c r="F608" s="39" t="n">
        <v>45688</v>
      </c>
      <c r="G608" s="41" t="n">
        <v>87.98</v>
      </c>
      <c r="H608" s="39" t="n">
        <v>45771</v>
      </c>
      <c r="I608" s="7" t="s">
        <v>14651</v>
      </c>
      <c r="J608" s="8" t="str">
        <f aca="false">IF(I608="Open",DATE(2025,12,31)-F608,"-")</f>
        <v>-</v>
      </c>
    </row>
    <row r="609" customFormat="false" ht="15" hidden="false" customHeight="false" outlineLevel="0" collapsed="false">
      <c r="B609" s="7" t="s">
        <v>15254</v>
      </c>
      <c r="C609" s="7" t="s">
        <v>1106</v>
      </c>
      <c r="D609" s="7" t="s">
        <v>353</v>
      </c>
      <c r="E609" s="7" t="s">
        <v>154</v>
      </c>
      <c r="F609" s="39" t="n">
        <v>45688</v>
      </c>
      <c r="G609" s="41" t="n">
        <v>83.74</v>
      </c>
      <c r="H609" s="39" t="n">
        <v>45733</v>
      </c>
      <c r="I609" s="7" t="s">
        <v>14651</v>
      </c>
      <c r="J609" s="8" t="str">
        <f aca="false">IF(I609="Open",DATE(2025,12,31)-F609,"-")</f>
        <v>-</v>
      </c>
    </row>
    <row r="610" customFormat="false" ht="15" hidden="false" customHeight="false" outlineLevel="0" collapsed="false">
      <c r="B610" s="7" t="s">
        <v>15255</v>
      </c>
      <c r="C610" s="7" t="s">
        <v>1107</v>
      </c>
      <c r="D610" s="7" t="s">
        <v>355</v>
      </c>
      <c r="E610" s="7" t="s">
        <v>154</v>
      </c>
      <c r="F610" s="39" t="n">
        <v>45688</v>
      </c>
      <c r="G610" s="41" t="n">
        <v>82.94</v>
      </c>
      <c r="H610" s="39" t="n">
        <v>45748</v>
      </c>
      <c r="I610" s="7" t="s">
        <v>14651</v>
      </c>
      <c r="J610" s="8" t="str">
        <f aca="false">IF(I610="Open",DATE(2025,12,31)-F610,"-")</f>
        <v>-</v>
      </c>
    </row>
    <row r="611" customFormat="false" ht="15" hidden="false" customHeight="false" outlineLevel="0" collapsed="false">
      <c r="B611" s="7" t="s">
        <v>15256</v>
      </c>
      <c r="C611" s="7" t="s">
        <v>1108</v>
      </c>
      <c r="D611" s="7" t="s">
        <v>357</v>
      </c>
      <c r="E611" s="7" t="s">
        <v>154</v>
      </c>
      <c r="F611" s="39" t="n">
        <v>45688</v>
      </c>
      <c r="G611" s="41" t="n">
        <v>96.19</v>
      </c>
      <c r="H611" s="39" t="n">
        <v>45808</v>
      </c>
      <c r="I611" s="7" t="s">
        <v>14651</v>
      </c>
      <c r="J611" s="8" t="str">
        <f aca="false">IF(I611="Open",DATE(2025,12,31)-F611,"-")</f>
        <v>-</v>
      </c>
    </row>
    <row r="612" customFormat="false" ht="15" hidden="false" customHeight="false" outlineLevel="0" collapsed="false">
      <c r="B612" s="7" t="s">
        <v>15257</v>
      </c>
      <c r="C612" s="7" t="s">
        <v>1109</v>
      </c>
      <c r="D612" s="7" t="s">
        <v>359</v>
      </c>
      <c r="E612" s="7" t="s">
        <v>156</v>
      </c>
      <c r="F612" s="39" t="n">
        <v>45688</v>
      </c>
      <c r="G612" s="41" t="n">
        <v>144.16</v>
      </c>
      <c r="H612" s="39" t="n">
        <v>45714</v>
      </c>
      <c r="I612" s="7" t="s">
        <v>14651</v>
      </c>
      <c r="J612" s="8" t="str">
        <f aca="false">IF(I612="Open",DATE(2025,12,31)-F612,"-")</f>
        <v>-</v>
      </c>
    </row>
    <row r="613" customFormat="false" ht="15" hidden="false" customHeight="false" outlineLevel="0" collapsed="false">
      <c r="B613" s="7" t="s">
        <v>15258</v>
      </c>
      <c r="C613" s="7" t="s">
        <v>1110</v>
      </c>
      <c r="D613" s="7" t="s">
        <v>361</v>
      </c>
      <c r="E613" s="7" t="s">
        <v>157</v>
      </c>
      <c r="F613" s="39" t="n">
        <v>45688</v>
      </c>
      <c r="G613" s="41" t="n">
        <v>174.9</v>
      </c>
      <c r="H613" s="39" t="n">
        <v>45706</v>
      </c>
      <c r="I613" s="7" t="s">
        <v>14651</v>
      </c>
      <c r="J613" s="8" t="str">
        <f aca="false">IF(I613="Open",DATE(2025,12,31)-F613,"-")</f>
        <v>-</v>
      </c>
    </row>
    <row r="614" customFormat="false" ht="15" hidden="false" customHeight="false" outlineLevel="0" collapsed="false">
      <c r="B614" s="7" t="s">
        <v>15259</v>
      </c>
      <c r="C614" s="7" t="s">
        <v>1111</v>
      </c>
      <c r="D614" s="7" t="s">
        <v>371</v>
      </c>
      <c r="E614" s="7" t="s">
        <v>154</v>
      </c>
      <c r="F614" s="39" t="n">
        <v>45688</v>
      </c>
      <c r="G614" s="41" t="n">
        <v>114.75</v>
      </c>
      <c r="H614" s="39" t="n">
        <v>45805</v>
      </c>
      <c r="I614" s="7" t="s">
        <v>14651</v>
      </c>
      <c r="J614" s="8" t="str">
        <f aca="false">IF(I614="Open",DATE(2025,12,31)-F614,"-")</f>
        <v>-</v>
      </c>
    </row>
    <row r="615" customFormat="false" ht="15" hidden="false" customHeight="false" outlineLevel="0" collapsed="false">
      <c r="B615" s="7" t="s">
        <v>15260</v>
      </c>
      <c r="C615" s="7" t="s">
        <v>1112</v>
      </c>
      <c r="D615" s="7" t="s">
        <v>379</v>
      </c>
      <c r="E615" s="7" t="s">
        <v>156</v>
      </c>
      <c r="F615" s="39" t="n">
        <v>45688</v>
      </c>
      <c r="G615" s="41" t="n">
        <v>149.26</v>
      </c>
      <c r="H615" s="39" t="n">
        <v>45698</v>
      </c>
      <c r="I615" s="7" t="s">
        <v>14651</v>
      </c>
      <c r="J615" s="8" t="str">
        <f aca="false">IF(I615="Open",DATE(2025,12,31)-F615,"-")</f>
        <v>-</v>
      </c>
    </row>
    <row r="616" customFormat="false" ht="15" hidden="false" customHeight="false" outlineLevel="0" collapsed="false">
      <c r="B616" s="7" t="s">
        <v>15261</v>
      </c>
      <c r="C616" s="7" t="s">
        <v>1113</v>
      </c>
      <c r="D616" s="7" t="s">
        <v>381</v>
      </c>
      <c r="E616" s="7" t="s">
        <v>157</v>
      </c>
      <c r="F616" s="39" t="n">
        <v>45688</v>
      </c>
      <c r="G616" s="41" t="n">
        <v>179.85</v>
      </c>
      <c r="H616" s="39" t="n">
        <v>45693</v>
      </c>
      <c r="I616" s="7" t="s">
        <v>14651</v>
      </c>
      <c r="J616" s="8" t="str">
        <f aca="false">IF(I616="Open",DATE(2025,12,31)-F616,"-")</f>
        <v>-</v>
      </c>
    </row>
    <row r="617" customFormat="false" ht="15" hidden="false" customHeight="false" outlineLevel="0" collapsed="false">
      <c r="B617" s="7" t="s">
        <v>15262</v>
      </c>
      <c r="C617" s="7" t="s">
        <v>1114</v>
      </c>
      <c r="D617" s="7" t="s">
        <v>389</v>
      </c>
      <c r="E617" s="7" t="s">
        <v>154</v>
      </c>
      <c r="F617" s="39" t="n">
        <v>45688</v>
      </c>
      <c r="G617" s="41" t="n">
        <v>105.73</v>
      </c>
      <c r="H617" s="39" t="n">
        <v>45764</v>
      </c>
      <c r="I617" s="7" t="s">
        <v>14651</v>
      </c>
      <c r="J617" s="8" t="str">
        <f aca="false">IF(I617="Open",DATE(2025,12,31)-F617,"-")</f>
        <v>-</v>
      </c>
    </row>
    <row r="618" customFormat="false" ht="15" hidden="false" customHeight="false" outlineLevel="0" collapsed="false">
      <c r="B618" s="7" t="s">
        <v>15263</v>
      </c>
      <c r="C618" s="7" t="s">
        <v>1115</v>
      </c>
      <c r="D618" s="7" t="s">
        <v>391</v>
      </c>
      <c r="E618" s="7" t="s">
        <v>156</v>
      </c>
      <c r="F618" s="39" t="n">
        <v>45688</v>
      </c>
      <c r="G618" s="41" t="n">
        <v>132.6</v>
      </c>
      <c r="H618" s="39" t="n">
        <v>45702</v>
      </c>
      <c r="I618" s="7" t="s">
        <v>14651</v>
      </c>
      <c r="J618" s="8" t="str">
        <f aca="false">IF(I618="Open",DATE(2025,12,31)-F618,"-")</f>
        <v>-</v>
      </c>
    </row>
    <row r="619" customFormat="false" ht="15" hidden="false" customHeight="false" outlineLevel="0" collapsed="false">
      <c r="B619" s="7" t="s">
        <v>15264</v>
      </c>
      <c r="C619" s="7" t="s">
        <v>1116</v>
      </c>
      <c r="D619" s="7" t="s">
        <v>395</v>
      </c>
      <c r="E619" s="7" t="s">
        <v>156</v>
      </c>
      <c r="F619" s="39" t="n">
        <v>45688</v>
      </c>
      <c r="G619" s="41" t="n">
        <v>125.46</v>
      </c>
      <c r="H619" s="39" t="n">
        <v>45704</v>
      </c>
      <c r="I619" s="7" t="s">
        <v>14651</v>
      </c>
      <c r="J619" s="8" t="str">
        <f aca="false">IF(I619="Open",DATE(2025,12,31)-F619,"-")</f>
        <v>-</v>
      </c>
    </row>
    <row r="620" customFormat="false" ht="15" hidden="false" customHeight="false" outlineLevel="0" collapsed="false">
      <c r="B620" s="7" t="s">
        <v>15265</v>
      </c>
      <c r="C620" s="7" t="s">
        <v>1117</v>
      </c>
      <c r="D620" s="7" t="s">
        <v>399</v>
      </c>
      <c r="E620" s="7" t="s">
        <v>154</v>
      </c>
      <c r="F620" s="39" t="n">
        <v>45688</v>
      </c>
      <c r="G620" s="41" t="n">
        <v>89.04</v>
      </c>
      <c r="H620" s="39" t="n">
        <v>45752</v>
      </c>
      <c r="I620" s="7" t="s">
        <v>14651</v>
      </c>
      <c r="J620" s="8" t="str">
        <f aca="false">IF(I620="Open",DATE(2025,12,31)-F620,"-")</f>
        <v>-</v>
      </c>
    </row>
    <row r="621" customFormat="false" ht="15" hidden="false" customHeight="false" outlineLevel="0" collapsed="false">
      <c r="B621" s="7" t="s">
        <v>15266</v>
      </c>
      <c r="C621" s="7" t="s">
        <v>1118</v>
      </c>
      <c r="D621" s="7" t="s">
        <v>401</v>
      </c>
      <c r="E621" s="7" t="s">
        <v>156</v>
      </c>
      <c r="F621" s="39" t="n">
        <v>45688</v>
      </c>
      <c r="G621" s="41" t="n">
        <v>148.24</v>
      </c>
      <c r="H621" s="39" t="n">
        <v>45707</v>
      </c>
      <c r="I621" s="7" t="s">
        <v>14651</v>
      </c>
      <c r="J621" s="8" t="str">
        <f aca="false">IF(I621="Open",DATE(2025,12,31)-F621,"-")</f>
        <v>-</v>
      </c>
    </row>
    <row r="622" customFormat="false" ht="15" hidden="false" customHeight="false" outlineLevel="0" collapsed="false">
      <c r="B622" s="7" t="s">
        <v>15267</v>
      </c>
      <c r="C622" s="7" t="s">
        <v>1119</v>
      </c>
      <c r="D622" s="7" t="s">
        <v>407</v>
      </c>
      <c r="E622" s="7" t="s">
        <v>159</v>
      </c>
      <c r="F622" s="39" t="n">
        <v>45688</v>
      </c>
      <c r="G622" s="41" t="n">
        <v>133.65</v>
      </c>
      <c r="H622" s="39" t="n">
        <v>45733</v>
      </c>
      <c r="I622" s="7" t="s">
        <v>14651</v>
      </c>
      <c r="J622" s="8" t="str">
        <f aca="false">IF(I622="Open",DATE(2025,12,31)-F622,"-")</f>
        <v>-</v>
      </c>
    </row>
    <row r="623" customFormat="false" ht="15" hidden="false" customHeight="false" outlineLevel="0" collapsed="false">
      <c r="B623" s="7" t="s">
        <v>15268</v>
      </c>
      <c r="C623" s="7" t="s">
        <v>1120</v>
      </c>
      <c r="D623" s="7" t="s">
        <v>409</v>
      </c>
      <c r="E623" s="7" t="s">
        <v>154</v>
      </c>
      <c r="F623" s="39" t="n">
        <v>45688</v>
      </c>
      <c r="G623" s="41" t="n">
        <v>94.07</v>
      </c>
      <c r="H623" s="39" t="n">
        <v>45781</v>
      </c>
      <c r="I623" s="7" t="s">
        <v>14651</v>
      </c>
      <c r="J623" s="8" t="str">
        <f aca="false">IF(I623="Open",DATE(2025,12,31)-F623,"-")</f>
        <v>-</v>
      </c>
    </row>
    <row r="624" customFormat="false" ht="15" hidden="false" customHeight="false" outlineLevel="0" collapsed="false">
      <c r="B624" s="7" t="s">
        <v>15269</v>
      </c>
      <c r="C624" s="7" t="s">
        <v>1121</v>
      </c>
      <c r="D624" s="7" t="s">
        <v>411</v>
      </c>
      <c r="E624" s="7" t="s">
        <v>154</v>
      </c>
      <c r="F624" s="39" t="n">
        <v>45688</v>
      </c>
      <c r="G624" s="41" t="n">
        <v>123.75</v>
      </c>
      <c r="H624" s="39" t="n">
        <v>45755</v>
      </c>
      <c r="I624" s="7" t="s">
        <v>14651</v>
      </c>
      <c r="J624" s="8" t="str">
        <f aca="false">IF(I624="Open",DATE(2025,12,31)-F624,"-")</f>
        <v>-</v>
      </c>
    </row>
    <row r="625" customFormat="false" ht="15" hidden="false" customHeight="false" outlineLevel="0" collapsed="false">
      <c r="B625" s="7" t="s">
        <v>15270</v>
      </c>
      <c r="C625" s="7" t="s">
        <v>1122</v>
      </c>
      <c r="D625" s="7" t="s">
        <v>288</v>
      </c>
      <c r="E625" s="7" t="s">
        <v>156</v>
      </c>
      <c r="F625" s="39" t="n">
        <v>45689</v>
      </c>
      <c r="G625" s="41" t="n">
        <v>140.42</v>
      </c>
      <c r="H625" s="39" t="n">
        <v>45692</v>
      </c>
      <c r="I625" s="7" t="s">
        <v>14651</v>
      </c>
      <c r="J625" s="8" t="str">
        <f aca="false">IF(I625="Open",DATE(2025,12,31)-F625,"-")</f>
        <v>-</v>
      </c>
    </row>
    <row r="626" customFormat="false" ht="15" hidden="false" customHeight="false" outlineLevel="0" collapsed="false">
      <c r="B626" s="7" t="s">
        <v>15271</v>
      </c>
      <c r="C626" s="7" t="s">
        <v>1123</v>
      </c>
      <c r="D626" s="7" t="s">
        <v>321</v>
      </c>
      <c r="E626" s="7" t="s">
        <v>154</v>
      </c>
      <c r="F626" s="39" t="n">
        <v>45689</v>
      </c>
      <c r="G626" s="41" t="n">
        <v>96.99</v>
      </c>
      <c r="H626" s="39" t="n">
        <v>45809</v>
      </c>
      <c r="I626" s="7" t="s">
        <v>14651</v>
      </c>
      <c r="J626" s="8" t="str">
        <f aca="false">IF(I626="Open",DATE(2025,12,31)-F626,"-")</f>
        <v>-</v>
      </c>
    </row>
    <row r="627" customFormat="false" ht="15" hidden="false" customHeight="false" outlineLevel="0" collapsed="false">
      <c r="B627" s="7" t="s">
        <v>15272</v>
      </c>
      <c r="C627" s="7" t="s">
        <v>1124</v>
      </c>
      <c r="D627" s="7" t="s">
        <v>359</v>
      </c>
      <c r="E627" s="7" t="s">
        <v>156</v>
      </c>
      <c r="F627" s="39" t="n">
        <v>45689</v>
      </c>
      <c r="G627" s="41" t="n">
        <v>133.28</v>
      </c>
      <c r="H627" s="39" t="n">
        <v>45703</v>
      </c>
      <c r="I627" s="7" t="s">
        <v>14651</v>
      </c>
      <c r="J627" s="8" t="str">
        <f aca="false">IF(I627="Open",DATE(2025,12,31)-F627,"-")</f>
        <v>-</v>
      </c>
    </row>
    <row r="628" customFormat="false" ht="15" hidden="false" customHeight="false" outlineLevel="0" collapsed="false">
      <c r="B628" s="7" t="s">
        <v>15273</v>
      </c>
      <c r="C628" s="7" t="s">
        <v>1125</v>
      </c>
      <c r="D628" s="7" t="s">
        <v>391</v>
      </c>
      <c r="E628" s="7" t="s">
        <v>156</v>
      </c>
      <c r="F628" s="39" t="n">
        <v>45689</v>
      </c>
      <c r="G628" s="41" t="n">
        <v>141.1</v>
      </c>
      <c r="H628" s="39" t="n">
        <v>45707</v>
      </c>
      <c r="I628" s="7" t="s">
        <v>14651</v>
      </c>
      <c r="J628" s="8" t="str">
        <f aca="false">IF(I628="Open",DATE(2025,12,31)-F628,"-")</f>
        <v>-</v>
      </c>
    </row>
    <row r="629" customFormat="false" ht="15" hidden="false" customHeight="false" outlineLevel="0" collapsed="false">
      <c r="B629" s="7" t="s">
        <v>15274</v>
      </c>
      <c r="C629" s="7" t="s">
        <v>1126</v>
      </c>
      <c r="D629" s="7" t="s">
        <v>395</v>
      </c>
      <c r="E629" s="7" t="s">
        <v>156</v>
      </c>
      <c r="F629" s="39" t="n">
        <v>45689</v>
      </c>
      <c r="G629" s="41" t="n">
        <v>132.26</v>
      </c>
      <c r="H629" s="39" t="n">
        <v>45702</v>
      </c>
      <c r="I629" s="7" t="s">
        <v>14651</v>
      </c>
      <c r="J629" s="8" t="str">
        <f aca="false">IF(I629="Open",DATE(2025,12,31)-F629,"-")</f>
        <v>-</v>
      </c>
    </row>
    <row r="630" customFormat="false" ht="15" hidden="false" customHeight="false" outlineLevel="0" collapsed="false">
      <c r="B630" s="7" t="s">
        <v>15275</v>
      </c>
      <c r="C630" s="7" t="s">
        <v>1127</v>
      </c>
      <c r="D630" s="7" t="s">
        <v>401</v>
      </c>
      <c r="E630" s="7" t="s">
        <v>156</v>
      </c>
      <c r="F630" s="39" t="n">
        <v>45689</v>
      </c>
      <c r="G630" s="41" t="n">
        <v>139.74</v>
      </c>
      <c r="H630" s="39" t="n">
        <v>45706</v>
      </c>
      <c r="I630" s="7" t="s">
        <v>14651</v>
      </c>
      <c r="J630" s="8" t="str">
        <f aca="false">IF(I630="Open",DATE(2025,12,31)-F630,"-")</f>
        <v>-</v>
      </c>
    </row>
    <row r="631" customFormat="false" ht="15" hidden="false" customHeight="false" outlineLevel="0" collapsed="false">
      <c r="B631" s="7" t="s">
        <v>15276</v>
      </c>
      <c r="C631" s="7" t="s">
        <v>1128</v>
      </c>
      <c r="D631" s="7" t="s">
        <v>288</v>
      </c>
      <c r="E631" s="7" t="s">
        <v>156</v>
      </c>
      <c r="F631" s="39" t="n">
        <v>45690</v>
      </c>
      <c r="G631" s="41" t="n">
        <v>140.42</v>
      </c>
      <c r="H631" s="39" t="n">
        <v>45712</v>
      </c>
      <c r="I631" s="7" t="s">
        <v>14651</v>
      </c>
      <c r="J631" s="8" t="str">
        <f aca="false">IF(I631="Open",DATE(2025,12,31)-F631,"-")</f>
        <v>-</v>
      </c>
    </row>
    <row r="632" customFormat="false" ht="15" hidden="false" customHeight="false" outlineLevel="0" collapsed="false">
      <c r="B632" s="7" t="s">
        <v>15277</v>
      </c>
      <c r="C632" s="7" t="s">
        <v>1129</v>
      </c>
      <c r="D632" s="7" t="s">
        <v>321</v>
      </c>
      <c r="E632" s="7" t="s">
        <v>154</v>
      </c>
      <c r="F632" s="39" t="n">
        <v>45690</v>
      </c>
      <c r="G632" s="41" t="n">
        <v>96.46</v>
      </c>
      <c r="H632" s="39" t="n">
        <v>45748</v>
      </c>
      <c r="I632" s="7" t="s">
        <v>14651</v>
      </c>
      <c r="J632" s="8" t="str">
        <f aca="false">IF(I632="Open",DATE(2025,12,31)-F632,"-")</f>
        <v>-</v>
      </c>
    </row>
    <row r="633" customFormat="false" ht="15" hidden="false" customHeight="false" outlineLevel="0" collapsed="false">
      <c r="B633" s="7" t="s">
        <v>15278</v>
      </c>
      <c r="C633" s="7" t="s">
        <v>1130</v>
      </c>
      <c r="D633" s="7" t="s">
        <v>359</v>
      </c>
      <c r="E633" s="7" t="s">
        <v>156</v>
      </c>
      <c r="F633" s="39" t="n">
        <v>45690</v>
      </c>
      <c r="G633" s="41" t="n">
        <v>133.28</v>
      </c>
      <c r="H633" s="39" t="n">
        <v>45703</v>
      </c>
      <c r="I633" s="7" t="s">
        <v>14651</v>
      </c>
      <c r="J633" s="8" t="str">
        <f aca="false">IF(I633="Open",DATE(2025,12,31)-F633,"-")</f>
        <v>-</v>
      </c>
    </row>
    <row r="634" customFormat="false" ht="15" hidden="false" customHeight="false" outlineLevel="0" collapsed="false">
      <c r="B634" s="7" t="s">
        <v>15279</v>
      </c>
      <c r="C634" s="7" t="s">
        <v>1131</v>
      </c>
      <c r="D634" s="7" t="s">
        <v>395</v>
      </c>
      <c r="E634" s="7" t="s">
        <v>156</v>
      </c>
      <c r="F634" s="39" t="n">
        <v>45690</v>
      </c>
      <c r="G634" s="41" t="n">
        <v>128.52</v>
      </c>
      <c r="H634" s="39" t="n">
        <v>45698</v>
      </c>
      <c r="I634" s="7" t="s">
        <v>14651</v>
      </c>
      <c r="J634" s="8" t="str">
        <f aca="false">IF(I634="Open",DATE(2025,12,31)-F634,"-")</f>
        <v>-</v>
      </c>
    </row>
    <row r="635" customFormat="false" ht="15" hidden="false" customHeight="false" outlineLevel="0" collapsed="false">
      <c r="B635" s="7" t="s">
        <v>15280</v>
      </c>
      <c r="C635" s="7" t="s">
        <v>1132</v>
      </c>
      <c r="D635" s="7" t="s">
        <v>401</v>
      </c>
      <c r="E635" s="7" t="s">
        <v>156</v>
      </c>
      <c r="F635" s="39" t="n">
        <v>45690</v>
      </c>
      <c r="G635" s="41" t="n">
        <v>141.1</v>
      </c>
      <c r="H635" s="39" t="n">
        <v>45705</v>
      </c>
      <c r="I635" s="7" t="s">
        <v>14651</v>
      </c>
      <c r="J635" s="8" t="str">
        <f aca="false">IF(I635="Open",DATE(2025,12,31)-F635,"-")</f>
        <v>-</v>
      </c>
    </row>
    <row r="636" customFormat="false" ht="15" hidden="false" customHeight="false" outlineLevel="0" collapsed="false">
      <c r="B636" s="7" t="s">
        <v>15281</v>
      </c>
      <c r="C636" s="7" t="s">
        <v>1133</v>
      </c>
      <c r="D636" s="7" t="s">
        <v>280</v>
      </c>
      <c r="E636" s="7" t="s">
        <v>157</v>
      </c>
      <c r="F636" s="39" t="n">
        <v>45691</v>
      </c>
      <c r="G636" s="41" t="n">
        <v>163.35</v>
      </c>
      <c r="H636" s="39" t="n">
        <v>45721</v>
      </c>
      <c r="I636" s="7" t="s">
        <v>14651</v>
      </c>
      <c r="J636" s="8" t="str">
        <f aca="false">IF(I636="Open",DATE(2025,12,31)-F636,"-")</f>
        <v>-</v>
      </c>
    </row>
    <row r="637" customFormat="false" ht="15" hidden="false" customHeight="false" outlineLevel="0" collapsed="false">
      <c r="B637" s="7" t="s">
        <v>15282</v>
      </c>
      <c r="C637" s="7" t="s">
        <v>1134</v>
      </c>
      <c r="D637" s="7" t="s">
        <v>288</v>
      </c>
      <c r="E637" s="7" t="s">
        <v>156</v>
      </c>
      <c r="F637" s="39" t="n">
        <v>45691</v>
      </c>
      <c r="G637" s="41" t="n">
        <v>126.48</v>
      </c>
      <c r="H637" s="39" t="n">
        <v>45703</v>
      </c>
      <c r="I637" s="7" t="s">
        <v>14651</v>
      </c>
      <c r="J637" s="8" t="str">
        <f aca="false">IF(I637="Open",DATE(2025,12,31)-F637,"-")</f>
        <v>-</v>
      </c>
    </row>
    <row r="638" customFormat="false" ht="15" hidden="false" customHeight="false" outlineLevel="0" collapsed="false">
      <c r="B638" s="7" t="s">
        <v>15283</v>
      </c>
      <c r="C638" s="7" t="s">
        <v>1135</v>
      </c>
      <c r="D638" s="7" t="s">
        <v>291</v>
      </c>
      <c r="E638" s="7" t="s">
        <v>154</v>
      </c>
      <c r="F638" s="39" t="n">
        <v>45691</v>
      </c>
      <c r="G638" s="41" t="n">
        <v>115.17</v>
      </c>
      <c r="H638" s="39" t="n">
        <v>45731</v>
      </c>
      <c r="I638" s="7" t="s">
        <v>14651</v>
      </c>
      <c r="J638" s="8" t="str">
        <f aca="false">IF(I638="Open",DATE(2025,12,31)-F638,"-")</f>
        <v>-</v>
      </c>
    </row>
    <row r="639" customFormat="false" ht="15" hidden="false" customHeight="false" outlineLevel="0" collapsed="false">
      <c r="B639" s="7" t="s">
        <v>15284</v>
      </c>
      <c r="C639" s="7" t="s">
        <v>1136</v>
      </c>
      <c r="D639" s="7" t="s">
        <v>297</v>
      </c>
      <c r="E639" s="7" t="s">
        <v>156</v>
      </c>
      <c r="F639" s="39" t="n">
        <v>45691</v>
      </c>
      <c r="G639" s="41" t="n">
        <v>108.8</v>
      </c>
      <c r="H639" s="39" t="n">
        <v>45703</v>
      </c>
      <c r="I639" s="7" t="s">
        <v>14651</v>
      </c>
      <c r="J639" s="8" t="str">
        <f aca="false">IF(I639="Open",DATE(2025,12,31)-F639,"-")</f>
        <v>-</v>
      </c>
    </row>
    <row r="640" customFormat="false" ht="15" hidden="false" customHeight="false" outlineLevel="0" collapsed="false">
      <c r="B640" s="7" t="s">
        <v>15285</v>
      </c>
      <c r="C640" s="7" t="s">
        <v>1137</v>
      </c>
      <c r="D640" s="7" t="s">
        <v>305</v>
      </c>
      <c r="E640" s="7" t="s">
        <v>154</v>
      </c>
      <c r="F640" s="39" t="n">
        <v>45691</v>
      </c>
      <c r="G640" s="41" t="n">
        <v>102.56</v>
      </c>
      <c r="H640" s="39" t="n">
        <v>45740</v>
      </c>
      <c r="I640" s="7" t="s">
        <v>14651</v>
      </c>
      <c r="J640" s="8" t="str">
        <f aca="false">IF(I640="Open",DATE(2025,12,31)-F640,"-")</f>
        <v>-</v>
      </c>
    </row>
    <row r="641" customFormat="false" ht="15" hidden="false" customHeight="false" outlineLevel="0" collapsed="false">
      <c r="B641" s="7" t="s">
        <v>15286</v>
      </c>
      <c r="C641" s="7" t="s">
        <v>1138</v>
      </c>
      <c r="D641" s="7" t="s">
        <v>309</v>
      </c>
      <c r="E641" s="7" t="s">
        <v>159</v>
      </c>
      <c r="F641" s="39" t="n">
        <v>45691</v>
      </c>
      <c r="G641" s="41" t="n">
        <v>130.95</v>
      </c>
      <c r="H641" s="39" t="n">
        <v>45741</v>
      </c>
      <c r="I641" s="7" t="s">
        <v>14651</v>
      </c>
      <c r="J641" s="8" t="str">
        <f aca="false">IF(I641="Open",DATE(2025,12,31)-F641,"-")</f>
        <v>-</v>
      </c>
    </row>
    <row r="642" customFormat="false" ht="15" hidden="false" customHeight="false" outlineLevel="0" collapsed="false">
      <c r="B642" s="7" t="s">
        <v>15287</v>
      </c>
      <c r="C642" s="7" t="s">
        <v>1139</v>
      </c>
      <c r="D642" s="7" t="s">
        <v>311</v>
      </c>
      <c r="E642" s="7" t="s">
        <v>154</v>
      </c>
      <c r="F642" s="39" t="n">
        <v>45691</v>
      </c>
      <c r="G642" s="41" t="n">
        <v>76.35</v>
      </c>
      <c r="H642" s="39" t="n">
        <v>45766</v>
      </c>
      <c r="I642" s="7" t="s">
        <v>14651</v>
      </c>
      <c r="J642" s="8" t="str">
        <f aca="false">IF(I642="Open",DATE(2025,12,31)-F642,"-")</f>
        <v>-</v>
      </c>
    </row>
    <row r="643" customFormat="false" ht="15" hidden="false" customHeight="false" outlineLevel="0" collapsed="false">
      <c r="B643" s="7" t="s">
        <v>15288</v>
      </c>
      <c r="C643" s="7" t="s">
        <v>1140</v>
      </c>
      <c r="D643" s="7" t="s">
        <v>317</v>
      </c>
      <c r="E643" s="7" t="s">
        <v>156</v>
      </c>
      <c r="F643" s="39" t="n">
        <v>45691</v>
      </c>
      <c r="G643" s="41" t="n">
        <v>105.06</v>
      </c>
      <c r="H643" s="39" t="n">
        <v>45709</v>
      </c>
      <c r="I643" s="7" t="s">
        <v>14651</v>
      </c>
      <c r="J643" s="8" t="str">
        <f aca="false">IF(I643="Open",DATE(2025,12,31)-F643,"-")</f>
        <v>-</v>
      </c>
    </row>
    <row r="644" customFormat="false" ht="15" hidden="false" customHeight="false" outlineLevel="0" collapsed="false">
      <c r="B644" s="7" t="s">
        <v>15289</v>
      </c>
      <c r="C644" s="7" t="s">
        <v>1141</v>
      </c>
      <c r="D644" s="7" t="s">
        <v>321</v>
      </c>
      <c r="E644" s="7" t="s">
        <v>154</v>
      </c>
      <c r="F644" s="39" t="n">
        <v>45691</v>
      </c>
      <c r="G644" s="41" t="n">
        <v>116.33</v>
      </c>
      <c r="H644" s="39" t="n">
        <v>45755</v>
      </c>
      <c r="I644" s="7" t="s">
        <v>14651</v>
      </c>
      <c r="J644" s="8" t="str">
        <f aca="false">IF(I644="Open",DATE(2025,12,31)-F644,"-")</f>
        <v>-</v>
      </c>
    </row>
    <row r="645" customFormat="false" ht="15" hidden="false" customHeight="false" outlineLevel="0" collapsed="false">
      <c r="B645" s="7" t="s">
        <v>15290</v>
      </c>
      <c r="C645" s="7" t="s">
        <v>1142</v>
      </c>
      <c r="D645" s="7" t="s">
        <v>325</v>
      </c>
      <c r="E645" s="7" t="s">
        <v>154</v>
      </c>
      <c r="F645" s="39" t="n">
        <v>45691</v>
      </c>
      <c r="G645" s="41" t="n">
        <v>74.2</v>
      </c>
      <c r="H645" s="39" t="n">
        <v>45747</v>
      </c>
      <c r="I645" s="7" t="s">
        <v>14651</v>
      </c>
      <c r="J645" s="8" t="str">
        <f aca="false">IF(I645="Open",DATE(2025,12,31)-F645,"-")</f>
        <v>-</v>
      </c>
    </row>
    <row r="646" customFormat="false" ht="15" hidden="false" customHeight="false" outlineLevel="0" collapsed="false">
      <c r="B646" s="7" t="s">
        <v>15291</v>
      </c>
      <c r="C646" s="7" t="s">
        <v>1143</v>
      </c>
      <c r="D646" s="7" t="s">
        <v>329</v>
      </c>
      <c r="E646" s="7" t="s">
        <v>156</v>
      </c>
      <c r="F646" s="39" t="n">
        <v>45691</v>
      </c>
      <c r="G646" s="41" t="n">
        <v>128.86</v>
      </c>
      <c r="H646" s="39" t="n">
        <v>45705</v>
      </c>
      <c r="I646" s="7" t="s">
        <v>14651</v>
      </c>
      <c r="J646" s="8" t="str">
        <f aca="false">IF(I646="Open",DATE(2025,12,31)-F646,"-")</f>
        <v>-</v>
      </c>
    </row>
    <row r="647" customFormat="false" ht="15" hidden="false" customHeight="false" outlineLevel="0" collapsed="false">
      <c r="B647" s="7" t="s">
        <v>15292</v>
      </c>
      <c r="C647" s="7" t="s">
        <v>1144</v>
      </c>
      <c r="D647" s="7" t="s">
        <v>331</v>
      </c>
      <c r="E647" s="7" t="s">
        <v>156</v>
      </c>
      <c r="F647" s="39" t="n">
        <v>45691</v>
      </c>
      <c r="G647" s="41" t="n">
        <v>139.74</v>
      </c>
      <c r="H647" s="39" t="n">
        <v>45699</v>
      </c>
      <c r="I647" s="7" t="s">
        <v>14651</v>
      </c>
      <c r="J647" s="8" t="str">
        <f aca="false">IF(I647="Open",DATE(2025,12,31)-F647,"-")</f>
        <v>-</v>
      </c>
    </row>
    <row r="648" customFormat="false" ht="15" hidden="false" customHeight="false" outlineLevel="0" collapsed="false">
      <c r="B648" s="7" t="s">
        <v>15293</v>
      </c>
      <c r="C648" s="7" t="s">
        <v>1145</v>
      </c>
      <c r="D648" s="7" t="s">
        <v>335</v>
      </c>
      <c r="E648" s="7" t="s">
        <v>154</v>
      </c>
      <c r="F648" s="39" t="n">
        <v>45691</v>
      </c>
      <c r="G648" s="41" t="n">
        <v>108.38</v>
      </c>
      <c r="H648" s="39" t="n">
        <v>45761</v>
      </c>
      <c r="I648" s="7" t="s">
        <v>14651</v>
      </c>
      <c r="J648" s="8" t="str">
        <f aca="false">IF(I648="Open",DATE(2025,12,31)-F648,"-")</f>
        <v>-</v>
      </c>
    </row>
    <row r="649" customFormat="false" ht="15" hidden="false" customHeight="false" outlineLevel="0" collapsed="false">
      <c r="B649" s="7" t="s">
        <v>15294</v>
      </c>
      <c r="C649" s="7" t="s">
        <v>1146</v>
      </c>
      <c r="D649" s="7" t="s">
        <v>337</v>
      </c>
      <c r="E649" s="7" t="s">
        <v>154</v>
      </c>
      <c r="F649" s="39" t="n">
        <v>45691</v>
      </c>
      <c r="G649" s="41" t="n">
        <v>77.65</v>
      </c>
      <c r="H649" s="39" t="n">
        <v>45726</v>
      </c>
      <c r="I649" s="7" t="s">
        <v>14651</v>
      </c>
      <c r="J649" s="8" t="str">
        <f aca="false">IF(I649="Open",DATE(2025,12,31)-F649,"-")</f>
        <v>-</v>
      </c>
    </row>
    <row r="650" customFormat="false" ht="15" hidden="false" customHeight="false" outlineLevel="0" collapsed="false">
      <c r="B650" s="7" t="s">
        <v>15295</v>
      </c>
      <c r="C650" s="7" t="s">
        <v>1147</v>
      </c>
      <c r="D650" s="7" t="s">
        <v>339</v>
      </c>
      <c r="E650" s="7" t="s">
        <v>154</v>
      </c>
      <c r="F650" s="39" t="n">
        <v>45691</v>
      </c>
      <c r="G650" s="41" t="n">
        <v>89.97</v>
      </c>
      <c r="H650" s="39" t="n">
        <v>45774</v>
      </c>
      <c r="I650" s="7" t="s">
        <v>14651</v>
      </c>
      <c r="J650" s="8" t="str">
        <f aca="false">IF(I650="Open",DATE(2025,12,31)-F650,"-")</f>
        <v>-</v>
      </c>
    </row>
    <row r="651" customFormat="false" ht="15" hidden="false" customHeight="false" outlineLevel="0" collapsed="false">
      <c r="B651" s="7" t="s">
        <v>15296</v>
      </c>
      <c r="C651" s="7" t="s">
        <v>1148</v>
      </c>
      <c r="D651" s="7" t="s">
        <v>341</v>
      </c>
      <c r="E651" s="7" t="s">
        <v>156</v>
      </c>
      <c r="F651" s="39" t="n">
        <v>45691</v>
      </c>
      <c r="G651" s="41" t="n">
        <v>93.84</v>
      </c>
      <c r="H651" s="39" t="n">
        <v>45704</v>
      </c>
      <c r="I651" s="7" t="s">
        <v>14651</v>
      </c>
      <c r="J651" s="8" t="str">
        <f aca="false">IF(I651="Open",DATE(2025,12,31)-F651,"-")</f>
        <v>-</v>
      </c>
    </row>
    <row r="652" customFormat="false" ht="15" hidden="false" customHeight="false" outlineLevel="0" collapsed="false">
      <c r="B652" s="7" t="s">
        <v>15297</v>
      </c>
      <c r="C652" s="7" t="s">
        <v>1149</v>
      </c>
      <c r="D652" s="7" t="s">
        <v>343</v>
      </c>
      <c r="E652" s="7" t="s">
        <v>154</v>
      </c>
      <c r="F652" s="39" t="n">
        <v>45691</v>
      </c>
      <c r="G652" s="41" t="n">
        <v>102.29</v>
      </c>
      <c r="H652" s="39" t="n">
        <v>45760</v>
      </c>
      <c r="I652" s="7" t="s">
        <v>14651</v>
      </c>
      <c r="J652" s="8" t="str">
        <f aca="false">IF(I652="Open",DATE(2025,12,31)-F652,"-")</f>
        <v>-</v>
      </c>
    </row>
    <row r="653" customFormat="false" ht="15" hidden="false" customHeight="false" outlineLevel="0" collapsed="false">
      <c r="B653" s="7" t="s">
        <v>15298</v>
      </c>
      <c r="C653" s="7" t="s">
        <v>1150</v>
      </c>
      <c r="D653" s="7" t="s">
        <v>353</v>
      </c>
      <c r="E653" s="7" t="s">
        <v>154</v>
      </c>
      <c r="F653" s="39" t="n">
        <v>45691</v>
      </c>
      <c r="G653" s="41" t="n">
        <v>94.87</v>
      </c>
      <c r="H653" s="39" t="n">
        <v>45758</v>
      </c>
      <c r="I653" s="7" t="s">
        <v>14651</v>
      </c>
      <c r="J653" s="8" t="str">
        <f aca="false">IF(I653="Open",DATE(2025,12,31)-F653,"-")</f>
        <v>-</v>
      </c>
    </row>
    <row r="654" customFormat="false" ht="15" hidden="false" customHeight="false" outlineLevel="0" collapsed="false">
      <c r="B654" s="7" t="s">
        <v>15299</v>
      </c>
      <c r="C654" s="7" t="s">
        <v>1151</v>
      </c>
      <c r="D654" s="7" t="s">
        <v>355</v>
      </c>
      <c r="E654" s="7" t="s">
        <v>154</v>
      </c>
      <c r="F654" s="39" t="n">
        <v>45691</v>
      </c>
      <c r="G654" s="41" t="n">
        <v>90.1</v>
      </c>
      <c r="H654" s="39" t="n">
        <v>45768</v>
      </c>
      <c r="I654" s="7" t="s">
        <v>14651</v>
      </c>
      <c r="J654" s="8" t="str">
        <f aca="false">IF(I654="Open",DATE(2025,12,31)-F654,"-")</f>
        <v>-</v>
      </c>
    </row>
    <row r="655" customFormat="false" ht="15" hidden="false" customHeight="false" outlineLevel="0" collapsed="false">
      <c r="B655" s="7" t="s">
        <v>15300</v>
      </c>
      <c r="C655" s="7" t="s">
        <v>1152</v>
      </c>
      <c r="D655" s="7" t="s">
        <v>357</v>
      </c>
      <c r="E655" s="7" t="s">
        <v>154</v>
      </c>
      <c r="F655" s="39" t="n">
        <v>45691</v>
      </c>
      <c r="G655" s="41" t="n">
        <v>85.59</v>
      </c>
      <c r="H655" s="39" t="n">
        <v>45741</v>
      </c>
      <c r="I655" s="7" t="s">
        <v>14651</v>
      </c>
      <c r="J655" s="8" t="str">
        <f aca="false">IF(I655="Open",DATE(2025,12,31)-F655,"-")</f>
        <v>-</v>
      </c>
    </row>
    <row r="656" customFormat="false" ht="15" hidden="false" customHeight="false" outlineLevel="0" collapsed="false">
      <c r="B656" s="7" t="s">
        <v>15301</v>
      </c>
      <c r="C656" s="7" t="s">
        <v>1153</v>
      </c>
      <c r="D656" s="7" t="s">
        <v>359</v>
      </c>
      <c r="E656" s="7" t="s">
        <v>156</v>
      </c>
      <c r="F656" s="39" t="n">
        <v>45691</v>
      </c>
      <c r="G656" s="41" t="n">
        <v>144.5</v>
      </c>
      <c r="H656" s="39" t="n">
        <v>45704</v>
      </c>
      <c r="I656" s="7" t="s">
        <v>14651</v>
      </c>
      <c r="J656" s="8" t="str">
        <f aca="false">IF(I656="Open",DATE(2025,12,31)-F656,"-")</f>
        <v>-</v>
      </c>
    </row>
    <row r="657" customFormat="false" ht="15" hidden="false" customHeight="false" outlineLevel="0" collapsed="false">
      <c r="B657" s="7" t="s">
        <v>15302</v>
      </c>
      <c r="C657" s="7" t="s">
        <v>1154</v>
      </c>
      <c r="D657" s="7" t="s">
        <v>363</v>
      </c>
      <c r="E657" s="7" t="s">
        <v>156</v>
      </c>
      <c r="F657" s="39" t="n">
        <v>45691</v>
      </c>
      <c r="G657" s="41" t="n">
        <v>139.06</v>
      </c>
      <c r="H657" s="39" t="n">
        <v>45701</v>
      </c>
      <c r="I657" s="7" t="s">
        <v>14651</v>
      </c>
      <c r="J657" s="8" t="str">
        <f aca="false">IF(I657="Open",DATE(2025,12,31)-F657,"-")</f>
        <v>-</v>
      </c>
    </row>
    <row r="658" customFormat="false" ht="15" hidden="false" customHeight="false" outlineLevel="0" collapsed="false">
      <c r="B658" s="7" t="s">
        <v>15303</v>
      </c>
      <c r="C658" s="7" t="s">
        <v>1155</v>
      </c>
      <c r="D658" s="7" t="s">
        <v>371</v>
      </c>
      <c r="E658" s="7" t="s">
        <v>154</v>
      </c>
      <c r="F658" s="39" t="n">
        <v>45691</v>
      </c>
      <c r="G658" s="41" t="n">
        <v>114.21</v>
      </c>
      <c r="H658" s="39" t="n">
        <v>45755</v>
      </c>
      <c r="I658" s="7" t="s">
        <v>14651</v>
      </c>
      <c r="J658" s="8" t="str">
        <f aca="false">IF(I658="Open",DATE(2025,12,31)-F658,"-")</f>
        <v>-</v>
      </c>
    </row>
    <row r="659" customFormat="false" ht="15" hidden="false" customHeight="false" outlineLevel="0" collapsed="false">
      <c r="B659" s="7" t="s">
        <v>15304</v>
      </c>
      <c r="C659" s="7" t="s">
        <v>1156</v>
      </c>
      <c r="D659" s="7" t="s">
        <v>375</v>
      </c>
      <c r="E659" s="7" t="s">
        <v>156</v>
      </c>
      <c r="F659" s="39" t="n">
        <v>45691</v>
      </c>
      <c r="G659" s="41" t="n">
        <v>106.08</v>
      </c>
      <c r="H659" s="39" t="n">
        <v>45697</v>
      </c>
      <c r="I659" s="7" t="s">
        <v>14651</v>
      </c>
      <c r="J659" s="8" t="str">
        <f aca="false">IF(I659="Open",DATE(2025,12,31)-F659,"-")</f>
        <v>-</v>
      </c>
    </row>
    <row r="660" customFormat="false" ht="15" hidden="false" customHeight="false" outlineLevel="0" collapsed="false">
      <c r="B660" s="7" t="s">
        <v>15305</v>
      </c>
      <c r="C660" s="7" t="s">
        <v>1157</v>
      </c>
      <c r="D660" s="7" t="s">
        <v>377</v>
      </c>
      <c r="E660" s="7" t="s">
        <v>154</v>
      </c>
      <c r="F660" s="39" t="n">
        <v>45691</v>
      </c>
      <c r="G660" s="41" t="n">
        <v>98.31</v>
      </c>
      <c r="H660" s="39" t="n">
        <v>45776</v>
      </c>
      <c r="I660" s="7" t="s">
        <v>14651</v>
      </c>
      <c r="J660" s="8" t="str">
        <f aca="false">IF(I660="Open",DATE(2025,12,31)-F660,"-")</f>
        <v>-</v>
      </c>
    </row>
    <row r="661" customFormat="false" ht="15" hidden="false" customHeight="false" outlineLevel="0" collapsed="false">
      <c r="B661" s="7" t="s">
        <v>15306</v>
      </c>
      <c r="C661" s="7" t="s">
        <v>1158</v>
      </c>
      <c r="D661" s="7" t="s">
        <v>379</v>
      </c>
      <c r="E661" s="7" t="s">
        <v>156</v>
      </c>
      <c r="F661" s="39" t="n">
        <v>45691</v>
      </c>
      <c r="G661" s="41" t="n">
        <v>162.86</v>
      </c>
      <c r="H661" s="39" t="n">
        <v>45694</v>
      </c>
      <c r="I661" s="7" t="s">
        <v>14651</v>
      </c>
      <c r="J661" s="8" t="str">
        <f aca="false">IF(I661="Open",DATE(2025,12,31)-F661,"-")</f>
        <v>-</v>
      </c>
    </row>
    <row r="662" customFormat="false" ht="15" hidden="false" customHeight="false" outlineLevel="0" collapsed="false">
      <c r="B662" s="7" t="s">
        <v>15307</v>
      </c>
      <c r="C662" s="7" t="s">
        <v>1159</v>
      </c>
      <c r="D662" s="7" t="s">
        <v>389</v>
      </c>
      <c r="E662" s="7" t="s">
        <v>154</v>
      </c>
      <c r="F662" s="39" t="n">
        <v>45691</v>
      </c>
      <c r="G662" s="41" t="n">
        <v>116.6</v>
      </c>
      <c r="H662" s="39" t="n">
        <v>45740</v>
      </c>
      <c r="I662" s="7" t="s">
        <v>14651</v>
      </c>
      <c r="J662" s="8" t="str">
        <f aca="false">IF(I662="Open",DATE(2025,12,31)-F662,"-")</f>
        <v>-</v>
      </c>
    </row>
    <row r="663" customFormat="false" ht="15" hidden="false" customHeight="false" outlineLevel="0" collapsed="false">
      <c r="B663" s="7" t="s">
        <v>15308</v>
      </c>
      <c r="C663" s="7" t="s">
        <v>1160</v>
      </c>
      <c r="D663" s="7" t="s">
        <v>391</v>
      </c>
      <c r="E663" s="7" t="s">
        <v>156</v>
      </c>
      <c r="F663" s="39" t="n">
        <v>45691</v>
      </c>
      <c r="G663" s="41" t="n">
        <v>126.14</v>
      </c>
      <c r="H663" s="39" t="n">
        <v>45703</v>
      </c>
      <c r="I663" s="7" t="s">
        <v>14651</v>
      </c>
      <c r="J663" s="8" t="str">
        <f aca="false">IF(I663="Open",DATE(2025,12,31)-F663,"-")</f>
        <v>-</v>
      </c>
    </row>
    <row r="664" customFormat="false" ht="15" hidden="false" customHeight="false" outlineLevel="0" collapsed="false">
      <c r="B664" s="7" t="s">
        <v>15309</v>
      </c>
      <c r="C664" s="7" t="s">
        <v>1161</v>
      </c>
      <c r="D664" s="7" t="s">
        <v>395</v>
      </c>
      <c r="E664" s="7" t="s">
        <v>156</v>
      </c>
      <c r="F664" s="39" t="n">
        <v>45691</v>
      </c>
      <c r="G664" s="41" t="n">
        <v>123.76</v>
      </c>
      <c r="H664" s="39" t="n">
        <v>45695</v>
      </c>
      <c r="I664" s="7" t="s">
        <v>14651</v>
      </c>
      <c r="J664" s="8" t="str">
        <f aca="false">IF(I664="Open",DATE(2025,12,31)-F664,"-")</f>
        <v>-</v>
      </c>
    </row>
    <row r="665" customFormat="false" ht="15" hidden="false" customHeight="false" outlineLevel="0" collapsed="false">
      <c r="B665" s="7" t="s">
        <v>15310</v>
      </c>
      <c r="C665" s="7" t="s">
        <v>1162</v>
      </c>
      <c r="D665" s="7" t="s">
        <v>399</v>
      </c>
      <c r="E665" s="7" t="s">
        <v>154</v>
      </c>
      <c r="F665" s="39" t="n">
        <v>45691</v>
      </c>
      <c r="G665" s="41" t="n">
        <v>81.88</v>
      </c>
      <c r="H665" s="39" t="n">
        <v>45738</v>
      </c>
      <c r="I665" s="7" t="s">
        <v>14651</v>
      </c>
      <c r="J665" s="8" t="str">
        <f aca="false">IF(I665="Open",DATE(2025,12,31)-F665,"-")</f>
        <v>-</v>
      </c>
    </row>
    <row r="666" customFormat="false" ht="15" hidden="false" customHeight="false" outlineLevel="0" collapsed="false">
      <c r="B666" s="7" t="s">
        <v>15311</v>
      </c>
      <c r="C666" s="7" t="s">
        <v>1163</v>
      </c>
      <c r="D666" s="7" t="s">
        <v>401</v>
      </c>
      <c r="E666" s="7" t="s">
        <v>156</v>
      </c>
      <c r="F666" s="39" t="n">
        <v>45691</v>
      </c>
      <c r="G666" s="41" t="n">
        <v>136</v>
      </c>
      <c r="H666" s="39" t="n">
        <v>45705</v>
      </c>
      <c r="I666" s="7" t="s">
        <v>14651</v>
      </c>
      <c r="J666" s="8" t="str">
        <f aca="false">IF(I666="Open",DATE(2025,12,31)-F666,"-")</f>
        <v>-</v>
      </c>
    </row>
    <row r="667" customFormat="false" ht="15" hidden="false" customHeight="false" outlineLevel="0" collapsed="false">
      <c r="B667" s="7" t="s">
        <v>15312</v>
      </c>
      <c r="C667" s="7" t="s">
        <v>1164</v>
      </c>
      <c r="D667" s="7" t="s">
        <v>409</v>
      </c>
      <c r="E667" s="7" t="s">
        <v>154</v>
      </c>
      <c r="F667" s="39" t="n">
        <v>45691</v>
      </c>
      <c r="G667" s="41" t="n">
        <v>86.92</v>
      </c>
      <c r="H667" s="39" t="n">
        <v>45757</v>
      </c>
      <c r="I667" s="7" t="s">
        <v>14651</v>
      </c>
      <c r="J667" s="8" t="str">
        <f aca="false">IF(I667="Open",DATE(2025,12,31)-F667,"-")</f>
        <v>-</v>
      </c>
    </row>
    <row r="668" customFormat="false" ht="15" hidden="false" customHeight="false" outlineLevel="0" collapsed="false">
      <c r="B668" s="7" t="s">
        <v>15313</v>
      </c>
      <c r="C668" s="7" t="s">
        <v>1165</v>
      </c>
      <c r="D668" s="7" t="s">
        <v>411</v>
      </c>
      <c r="E668" s="7" t="s">
        <v>154</v>
      </c>
      <c r="F668" s="39" t="n">
        <v>45691</v>
      </c>
      <c r="G668" s="41" t="n">
        <v>113.42</v>
      </c>
      <c r="H668" s="39" t="n">
        <v>45754</v>
      </c>
      <c r="I668" s="7" t="s">
        <v>14651</v>
      </c>
      <c r="J668" s="8" t="str">
        <f aca="false">IF(I668="Open",DATE(2025,12,31)-F668,"-")</f>
        <v>-</v>
      </c>
    </row>
    <row r="669" customFormat="false" ht="15" hidden="false" customHeight="false" outlineLevel="0" collapsed="false">
      <c r="B669" s="7" t="s">
        <v>15314</v>
      </c>
      <c r="C669" s="7" t="s">
        <v>1166</v>
      </c>
      <c r="D669" s="7" t="s">
        <v>288</v>
      </c>
      <c r="E669" s="7" t="s">
        <v>156</v>
      </c>
      <c r="F669" s="39" t="n">
        <v>45692</v>
      </c>
      <c r="G669" s="41" t="n">
        <v>130.22</v>
      </c>
      <c r="H669" s="39" t="n">
        <v>45703</v>
      </c>
      <c r="I669" s="7" t="s">
        <v>14651</v>
      </c>
      <c r="J669" s="8" t="str">
        <f aca="false">IF(I669="Open",DATE(2025,12,31)-F669,"-")</f>
        <v>-</v>
      </c>
    </row>
    <row r="670" customFormat="false" ht="15" hidden="false" customHeight="false" outlineLevel="0" collapsed="false">
      <c r="B670" s="7" t="s">
        <v>15315</v>
      </c>
      <c r="C670" s="7" t="s">
        <v>1167</v>
      </c>
      <c r="D670" s="7" t="s">
        <v>301</v>
      </c>
      <c r="E670" s="7" t="s">
        <v>157</v>
      </c>
      <c r="F670" s="39" t="n">
        <v>45692</v>
      </c>
      <c r="G670" s="41" t="n">
        <v>153.45</v>
      </c>
      <c r="H670" s="39" t="n">
        <v>45767</v>
      </c>
      <c r="I670" s="7" t="s">
        <v>14651</v>
      </c>
      <c r="J670" s="8" t="str">
        <f aca="false">IF(I670="Open",DATE(2025,12,31)-F670,"-")</f>
        <v>-</v>
      </c>
    </row>
    <row r="671" customFormat="false" ht="15" hidden="false" customHeight="false" outlineLevel="0" collapsed="false">
      <c r="B671" s="7" t="s">
        <v>15316</v>
      </c>
      <c r="C671" s="7" t="s">
        <v>1168</v>
      </c>
      <c r="D671" s="7" t="s">
        <v>313</v>
      </c>
      <c r="E671" s="7" t="s">
        <v>156</v>
      </c>
      <c r="F671" s="39" t="n">
        <v>45692</v>
      </c>
      <c r="G671" s="41" t="n">
        <v>143.14</v>
      </c>
      <c r="H671" s="39" t="n">
        <v>45705</v>
      </c>
      <c r="I671" s="7" t="s">
        <v>14651</v>
      </c>
      <c r="J671" s="8" t="str">
        <f aca="false">IF(I671="Open",DATE(2025,12,31)-F671,"-")</f>
        <v>-</v>
      </c>
    </row>
    <row r="672" customFormat="false" ht="15" hidden="false" customHeight="false" outlineLevel="0" collapsed="false">
      <c r="B672" s="7" t="s">
        <v>15317</v>
      </c>
      <c r="C672" s="7" t="s">
        <v>1169</v>
      </c>
      <c r="D672" s="7" t="s">
        <v>319</v>
      </c>
      <c r="E672" s="7" t="s">
        <v>157</v>
      </c>
      <c r="F672" s="39" t="n">
        <v>45692</v>
      </c>
      <c r="G672" s="41" t="n">
        <v>151.8</v>
      </c>
      <c r="H672" s="39" t="n">
        <v>45753</v>
      </c>
      <c r="I672" s="7" t="s">
        <v>14651</v>
      </c>
      <c r="J672" s="8" t="str">
        <f aca="false">IF(I672="Open",DATE(2025,12,31)-F672,"-")</f>
        <v>-</v>
      </c>
    </row>
    <row r="673" customFormat="false" ht="15" hidden="false" customHeight="false" outlineLevel="0" collapsed="false">
      <c r="B673" s="7" t="s">
        <v>15318</v>
      </c>
      <c r="C673" s="7" t="s">
        <v>1170</v>
      </c>
      <c r="D673" s="7" t="s">
        <v>321</v>
      </c>
      <c r="E673" s="7" t="s">
        <v>154</v>
      </c>
      <c r="F673" s="39" t="n">
        <v>45692</v>
      </c>
      <c r="G673" s="41" t="n">
        <v>99.98</v>
      </c>
      <c r="H673" s="39" t="n">
        <v>45730</v>
      </c>
      <c r="I673" s="7" t="s">
        <v>14651</v>
      </c>
      <c r="J673" s="8" t="str">
        <f aca="false">IF(I673="Open",DATE(2025,12,31)-F673,"-")</f>
        <v>-</v>
      </c>
    </row>
    <row r="674" customFormat="false" ht="15" hidden="false" customHeight="false" outlineLevel="0" collapsed="false">
      <c r="B674" s="7" t="s">
        <v>15319</v>
      </c>
      <c r="C674" s="7" t="s">
        <v>1171</v>
      </c>
      <c r="D674" s="7" t="s">
        <v>323</v>
      </c>
      <c r="E674" s="7" t="s">
        <v>159</v>
      </c>
      <c r="F674" s="39" t="n">
        <v>45692</v>
      </c>
      <c r="G674" s="41" t="n">
        <v>140.4</v>
      </c>
      <c r="H674" s="39" t="n">
        <v>45733</v>
      </c>
      <c r="I674" s="7" t="s">
        <v>14651</v>
      </c>
      <c r="J674" s="8" t="str">
        <f aca="false">IF(I674="Open",DATE(2025,12,31)-F674,"-")</f>
        <v>-</v>
      </c>
    </row>
    <row r="675" customFormat="false" ht="15" hidden="false" customHeight="false" outlineLevel="0" collapsed="false">
      <c r="B675" s="7" t="s">
        <v>15320</v>
      </c>
      <c r="C675" s="7" t="s">
        <v>1172</v>
      </c>
      <c r="D675" s="7" t="s">
        <v>327</v>
      </c>
      <c r="E675" s="7" t="s">
        <v>157</v>
      </c>
      <c r="F675" s="39" t="n">
        <v>45692</v>
      </c>
      <c r="G675" s="41" t="n">
        <v>151.8</v>
      </c>
      <c r="H675" s="39" t="n">
        <v>45747</v>
      </c>
      <c r="I675" s="7" t="s">
        <v>14651</v>
      </c>
      <c r="J675" s="8" t="str">
        <f aca="false">IF(I675="Open",DATE(2025,12,31)-F675,"-")</f>
        <v>-</v>
      </c>
    </row>
    <row r="676" customFormat="false" ht="15" hidden="false" customHeight="false" outlineLevel="0" collapsed="false">
      <c r="B676" s="7" t="s">
        <v>15321</v>
      </c>
      <c r="C676" s="7" t="s">
        <v>1173</v>
      </c>
      <c r="D676" s="7" t="s">
        <v>329</v>
      </c>
      <c r="E676" s="7" t="s">
        <v>156</v>
      </c>
      <c r="F676" s="39" t="n">
        <v>45692</v>
      </c>
      <c r="G676" s="41" t="n">
        <v>130.56</v>
      </c>
      <c r="H676" s="39" t="n">
        <v>45704</v>
      </c>
      <c r="I676" s="7" t="s">
        <v>14651</v>
      </c>
      <c r="J676" s="8" t="str">
        <f aca="false">IF(I676="Open",DATE(2025,12,31)-F676,"-")</f>
        <v>-</v>
      </c>
    </row>
    <row r="677" customFormat="false" ht="15" hidden="false" customHeight="false" outlineLevel="0" collapsed="false">
      <c r="B677" s="7" t="s">
        <v>15322</v>
      </c>
      <c r="C677" s="7" t="s">
        <v>1174</v>
      </c>
      <c r="D677" s="7" t="s">
        <v>359</v>
      </c>
      <c r="E677" s="7" t="s">
        <v>156</v>
      </c>
      <c r="F677" s="39" t="n">
        <v>45692</v>
      </c>
      <c r="G677" s="41" t="n">
        <v>131.92</v>
      </c>
      <c r="H677" s="39" t="n">
        <v>45713</v>
      </c>
      <c r="I677" s="7" t="s">
        <v>14651</v>
      </c>
      <c r="J677" s="8" t="str">
        <f aca="false">IF(I677="Open",DATE(2025,12,31)-F677,"-")</f>
        <v>-</v>
      </c>
    </row>
    <row r="678" customFormat="false" ht="15" hidden="false" customHeight="false" outlineLevel="0" collapsed="false">
      <c r="B678" s="7" t="s">
        <v>15323</v>
      </c>
      <c r="C678" s="7" t="s">
        <v>1175</v>
      </c>
      <c r="D678" s="7" t="s">
        <v>361</v>
      </c>
      <c r="E678" s="7" t="s">
        <v>157</v>
      </c>
      <c r="F678" s="39" t="n">
        <v>45692</v>
      </c>
      <c r="G678" s="41" t="n">
        <v>181.5</v>
      </c>
      <c r="H678" s="39" t="n">
        <v>45735</v>
      </c>
      <c r="I678" s="7" t="s">
        <v>14651</v>
      </c>
      <c r="J678" s="8" t="str">
        <f aca="false">IF(I678="Open",DATE(2025,12,31)-F678,"-")</f>
        <v>-</v>
      </c>
    </row>
    <row r="679" customFormat="false" ht="15" hidden="false" customHeight="false" outlineLevel="0" collapsed="false">
      <c r="B679" s="7" t="s">
        <v>15324</v>
      </c>
      <c r="C679" s="7" t="s">
        <v>1176</v>
      </c>
      <c r="D679" s="7" t="s">
        <v>381</v>
      </c>
      <c r="E679" s="7" t="s">
        <v>157</v>
      </c>
      <c r="F679" s="39" t="n">
        <v>45692</v>
      </c>
      <c r="G679" s="41" t="n">
        <v>174.9</v>
      </c>
      <c r="H679" s="39" t="n">
        <v>45728</v>
      </c>
      <c r="I679" s="7" t="s">
        <v>14651</v>
      </c>
      <c r="J679" s="8" t="str">
        <f aca="false">IF(I679="Open",DATE(2025,12,31)-F679,"-")</f>
        <v>-</v>
      </c>
    </row>
    <row r="680" customFormat="false" ht="15" hidden="false" customHeight="false" outlineLevel="0" collapsed="false">
      <c r="B680" s="7" t="s">
        <v>15325</v>
      </c>
      <c r="C680" s="7" t="s">
        <v>1177</v>
      </c>
      <c r="D680" s="7" t="s">
        <v>389</v>
      </c>
      <c r="E680" s="7" t="s">
        <v>154</v>
      </c>
      <c r="F680" s="39" t="n">
        <v>45692</v>
      </c>
      <c r="G680" s="41" t="n">
        <v>110.5</v>
      </c>
      <c r="H680" s="39" t="n">
        <v>45768</v>
      </c>
      <c r="I680" s="7" t="s">
        <v>14651</v>
      </c>
      <c r="J680" s="8" t="str">
        <f aca="false">IF(I680="Open",DATE(2025,12,31)-F680,"-")</f>
        <v>-</v>
      </c>
    </row>
    <row r="681" customFormat="false" ht="15" hidden="false" customHeight="false" outlineLevel="0" collapsed="false">
      <c r="B681" s="7" t="s">
        <v>15326</v>
      </c>
      <c r="C681" s="7" t="s">
        <v>1178</v>
      </c>
      <c r="D681" s="7" t="s">
        <v>391</v>
      </c>
      <c r="E681" s="7" t="s">
        <v>156</v>
      </c>
      <c r="F681" s="39" t="n">
        <v>45692</v>
      </c>
      <c r="G681" s="41" t="n">
        <v>126.14</v>
      </c>
      <c r="H681" s="39" t="n">
        <v>45700</v>
      </c>
      <c r="I681" s="7" t="s">
        <v>14651</v>
      </c>
      <c r="J681" s="8" t="str">
        <f aca="false">IF(I681="Open",DATE(2025,12,31)-F681,"-")</f>
        <v>-</v>
      </c>
    </row>
    <row r="682" customFormat="false" ht="15" hidden="false" customHeight="false" outlineLevel="0" collapsed="false">
      <c r="B682" s="7" t="s">
        <v>15327</v>
      </c>
      <c r="C682" s="7" t="s">
        <v>1179</v>
      </c>
      <c r="D682" s="7" t="s">
        <v>395</v>
      </c>
      <c r="E682" s="7" t="s">
        <v>156</v>
      </c>
      <c r="F682" s="39" t="n">
        <v>45692</v>
      </c>
      <c r="G682" s="41" t="n">
        <v>124.1</v>
      </c>
      <c r="H682" s="39" t="n">
        <v>45707</v>
      </c>
      <c r="I682" s="7" t="s">
        <v>14651</v>
      </c>
      <c r="J682" s="8" t="str">
        <f aca="false">IF(I682="Open",DATE(2025,12,31)-F682,"-")</f>
        <v>-</v>
      </c>
    </row>
    <row r="683" customFormat="false" ht="15" hidden="false" customHeight="false" outlineLevel="0" collapsed="false">
      <c r="B683" s="7" t="s">
        <v>15328</v>
      </c>
      <c r="C683" s="7" t="s">
        <v>1180</v>
      </c>
      <c r="D683" s="7" t="s">
        <v>401</v>
      </c>
      <c r="E683" s="7" t="s">
        <v>156</v>
      </c>
      <c r="F683" s="39" t="n">
        <v>45692</v>
      </c>
      <c r="G683" s="41" t="n">
        <v>137.02</v>
      </c>
      <c r="H683" s="39" t="n">
        <v>45708</v>
      </c>
      <c r="I683" s="7" t="s">
        <v>14651</v>
      </c>
      <c r="J683" s="8" t="str">
        <f aca="false">IF(I683="Open",DATE(2025,12,31)-F683,"-")</f>
        <v>-</v>
      </c>
    </row>
    <row r="684" customFormat="false" ht="15" hidden="false" customHeight="false" outlineLevel="0" collapsed="false">
      <c r="B684" s="7" t="s">
        <v>15329</v>
      </c>
      <c r="C684" s="7" t="s">
        <v>1181</v>
      </c>
      <c r="D684" s="7" t="s">
        <v>407</v>
      </c>
      <c r="E684" s="7" t="s">
        <v>159</v>
      </c>
      <c r="F684" s="39" t="n">
        <v>45692</v>
      </c>
      <c r="G684" s="41" t="n">
        <v>129.6</v>
      </c>
      <c r="H684" s="39" t="n">
        <v>45747</v>
      </c>
      <c r="I684" s="7" t="s">
        <v>14651</v>
      </c>
      <c r="J684" s="8" t="str">
        <f aca="false">IF(I684="Open",DATE(2025,12,31)-F684,"-")</f>
        <v>-</v>
      </c>
    </row>
    <row r="685" customFormat="false" ht="15" hidden="false" customHeight="false" outlineLevel="0" collapsed="false">
      <c r="B685" s="7" t="s">
        <v>15330</v>
      </c>
      <c r="C685" s="7" t="s">
        <v>1182</v>
      </c>
      <c r="D685" s="7" t="s">
        <v>280</v>
      </c>
      <c r="E685" s="7" t="s">
        <v>157</v>
      </c>
      <c r="F685" s="39" t="n">
        <v>45693</v>
      </c>
      <c r="G685" s="41" t="n">
        <v>172.42</v>
      </c>
      <c r="H685" s="39" t="n">
        <v>45768</v>
      </c>
      <c r="I685" s="7" t="s">
        <v>14651</v>
      </c>
      <c r="J685" s="8" t="str">
        <f aca="false">IF(I685="Open",DATE(2025,12,31)-F685,"-")</f>
        <v>-</v>
      </c>
    </row>
    <row r="686" customFormat="false" ht="15" hidden="false" customHeight="false" outlineLevel="0" collapsed="false">
      <c r="B686" s="7" t="s">
        <v>15331</v>
      </c>
      <c r="C686" s="7" t="s">
        <v>1183</v>
      </c>
      <c r="D686" s="7" t="s">
        <v>286</v>
      </c>
      <c r="E686" s="7" t="s">
        <v>157</v>
      </c>
      <c r="F686" s="39" t="n">
        <v>45693</v>
      </c>
      <c r="G686" s="41" t="n">
        <v>179.85</v>
      </c>
      <c r="H686" s="39" t="n">
        <v>45720</v>
      </c>
      <c r="I686" s="7" t="s">
        <v>14651</v>
      </c>
      <c r="J686" s="8" t="str">
        <f aca="false">IF(I686="Open",DATE(2025,12,31)-F686,"-")</f>
        <v>-</v>
      </c>
    </row>
    <row r="687" customFormat="false" ht="15" hidden="false" customHeight="false" outlineLevel="0" collapsed="false">
      <c r="B687" s="7" t="s">
        <v>15332</v>
      </c>
      <c r="C687" s="7" t="s">
        <v>1184</v>
      </c>
      <c r="D687" s="7" t="s">
        <v>288</v>
      </c>
      <c r="E687" s="7" t="s">
        <v>156</v>
      </c>
      <c r="F687" s="39" t="n">
        <v>45693</v>
      </c>
      <c r="G687" s="41" t="n">
        <v>149.26</v>
      </c>
      <c r="H687" s="39" t="n">
        <v>45704</v>
      </c>
      <c r="I687" s="7" t="s">
        <v>14651</v>
      </c>
      <c r="J687" s="8" t="str">
        <f aca="false">IF(I687="Open",DATE(2025,12,31)-F687,"-")</f>
        <v>-</v>
      </c>
    </row>
    <row r="688" customFormat="false" ht="15" hidden="false" customHeight="false" outlineLevel="0" collapsed="false">
      <c r="B688" s="7" t="s">
        <v>15333</v>
      </c>
      <c r="C688" s="7" t="s">
        <v>1185</v>
      </c>
      <c r="D688" s="7" t="s">
        <v>291</v>
      </c>
      <c r="E688" s="7" t="s">
        <v>154</v>
      </c>
      <c r="F688" s="39" t="n">
        <v>45693</v>
      </c>
      <c r="G688" s="41" t="n">
        <v>132.76</v>
      </c>
      <c r="H688" s="39" t="n">
        <v>45752</v>
      </c>
      <c r="I688" s="7" t="s">
        <v>14651</v>
      </c>
      <c r="J688" s="8" t="str">
        <f aca="false">IF(I688="Open",DATE(2025,12,31)-F688,"-")</f>
        <v>-</v>
      </c>
    </row>
    <row r="689" customFormat="false" ht="15" hidden="false" customHeight="false" outlineLevel="0" collapsed="false">
      <c r="B689" s="7" t="s">
        <v>15334</v>
      </c>
      <c r="C689" s="7" t="s">
        <v>1186</v>
      </c>
      <c r="D689" s="7" t="s">
        <v>305</v>
      </c>
      <c r="E689" s="7" t="s">
        <v>154</v>
      </c>
      <c r="F689" s="39" t="n">
        <v>45693</v>
      </c>
      <c r="G689" s="41" t="n">
        <v>112.89</v>
      </c>
      <c r="H689" s="39" t="n">
        <v>45780</v>
      </c>
      <c r="I689" s="7" t="s">
        <v>14651</v>
      </c>
      <c r="J689" s="8" t="str">
        <f aca="false">IF(I689="Open",DATE(2025,12,31)-F689,"-")</f>
        <v>-</v>
      </c>
    </row>
    <row r="690" customFormat="false" ht="15" hidden="false" customHeight="false" outlineLevel="0" collapsed="false">
      <c r="B690" s="7" t="s">
        <v>15335</v>
      </c>
      <c r="C690" s="7" t="s">
        <v>1187</v>
      </c>
      <c r="D690" s="7" t="s">
        <v>309</v>
      </c>
      <c r="E690" s="7" t="s">
        <v>159</v>
      </c>
      <c r="F690" s="39" t="n">
        <v>45693</v>
      </c>
      <c r="G690" s="41" t="n">
        <v>135</v>
      </c>
      <c r="H690" s="39" t="n">
        <v>45804</v>
      </c>
      <c r="I690" s="7" t="s">
        <v>14651</v>
      </c>
      <c r="J690" s="8" t="str">
        <f aca="false">IF(I690="Open",DATE(2025,12,31)-F690,"-")</f>
        <v>-</v>
      </c>
    </row>
    <row r="691" customFormat="false" ht="15" hidden="false" customHeight="false" outlineLevel="0" collapsed="false">
      <c r="B691" s="7" t="s">
        <v>15336</v>
      </c>
      <c r="C691" s="7" t="s">
        <v>1188</v>
      </c>
      <c r="D691" s="7" t="s">
        <v>313</v>
      </c>
      <c r="E691" s="7" t="s">
        <v>156</v>
      </c>
      <c r="F691" s="39" t="n">
        <v>45693</v>
      </c>
      <c r="G691" s="41" t="n">
        <v>133.62</v>
      </c>
      <c r="H691" s="39" t="n">
        <v>45705</v>
      </c>
      <c r="I691" s="7" t="s">
        <v>14651</v>
      </c>
      <c r="J691" s="8" t="str">
        <f aca="false">IF(I691="Open",DATE(2025,12,31)-F691,"-")</f>
        <v>-</v>
      </c>
    </row>
    <row r="692" customFormat="false" ht="15" hidden="false" customHeight="false" outlineLevel="0" collapsed="false">
      <c r="B692" s="7" t="s">
        <v>15337</v>
      </c>
      <c r="C692" s="7" t="s">
        <v>1189</v>
      </c>
      <c r="D692" s="7" t="s">
        <v>321</v>
      </c>
      <c r="E692" s="7" t="s">
        <v>154</v>
      </c>
      <c r="F692" s="39" t="n">
        <v>45693</v>
      </c>
      <c r="G692" s="41" t="n">
        <v>113.95</v>
      </c>
      <c r="H692" s="39" t="n">
        <v>45749</v>
      </c>
      <c r="I692" s="7" t="s">
        <v>14651</v>
      </c>
      <c r="J692" s="8" t="str">
        <f aca="false">IF(I692="Open",DATE(2025,12,31)-F692,"-")</f>
        <v>-</v>
      </c>
    </row>
    <row r="693" customFormat="false" ht="15" hidden="false" customHeight="false" outlineLevel="0" collapsed="false">
      <c r="B693" s="7" t="s">
        <v>15338</v>
      </c>
      <c r="C693" s="7" t="s">
        <v>1190</v>
      </c>
      <c r="D693" s="7" t="s">
        <v>329</v>
      </c>
      <c r="E693" s="7" t="s">
        <v>156</v>
      </c>
      <c r="F693" s="39" t="n">
        <v>45693</v>
      </c>
      <c r="G693" s="41" t="n">
        <v>129.88</v>
      </c>
      <c r="H693" s="39" t="n">
        <v>45707</v>
      </c>
      <c r="I693" s="7" t="s">
        <v>14651</v>
      </c>
      <c r="J693" s="8" t="str">
        <f aca="false">IF(I693="Open",DATE(2025,12,31)-F693,"-")</f>
        <v>-</v>
      </c>
    </row>
    <row r="694" customFormat="false" ht="15" hidden="false" customHeight="false" outlineLevel="0" collapsed="false">
      <c r="B694" s="7" t="s">
        <v>15339</v>
      </c>
      <c r="C694" s="7" t="s">
        <v>1191</v>
      </c>
      <c r="D694" s="7" t="s">
        <v>335</v>
      </c>
      <c r="E694" s="7" t="s">
        <v>154</v>
      </c>
      <c r="F694" s="39" t="n">
        <v>45693</v>
      </c>
      <c r="G694" s="41" t="n">
        <v>112.07</v>
      </c>
      <c r="H694" s="39" t="n">
        <v>45741</v>
      </c>
      <c r="I694" s="7" t="s">
        <v>14651</v>
      </c>
      <c r="J694" s="8" t="str">
        <f aca="false">IF(I694="Open",DATE(2025,12,31)-F694,"-")</f>
        <v>-</v>
      </c>
    </row>
    <row r="695" customFormat="false" ht="15" hidden="false" customHeight="false" outlineLevel="0" collapsed="false">
      <c r="B695" s="7" t="s">
        <v>15340</v>
      </c>
      <c r="C695" s="7" t="s">
        <v>1192</v>
      </c>
      <c r="D695" s="7" t="s">
        <v>339</v>
      </c>
      <c r="E695" s="7" t="s">
        <v>154</v>
      </c>
      <c r="F695" s="39" t="n">
        <v>45693</v>
      </c>
      <c r="G695" s="41" t="n">
        <v>93.28</v>
      </c>
      <c r="H695" s="39" t="n">
        <v>45777</v>
      </c>
      <c r="I695" s="7" t="s">
        <v>14651</v>
      </c>
      <c r="J695" s="8" t="str">
        <f aca="false">IF(I695="Open",DATE(2025,12,31)-F695,"-")</f>
        <v>-</v>
      </c>
    </row>
    <row r="696" customFormat="false" ht="15" hidden="false" customHeight="false" outlineLevel="0" collapsed="false">
      <c r="B696" s="7" t="s">
        <v>15341</v>
      </c>
      <c r="C696" s="7" t="s">
        <v>1193</v>
      </c>
      <c r="D696" s="7" t="s">
        <v>353</v>
      </c>
      <c r="E696" s="7" t="s">
        <v>154</v>
      </c>
      <c r="F696" s="39" t="n">
        <v>45693</v>
      </c>
      <c r="G696" s="41" t="n">
        <v>87.72</v>
      </c>
      <c r="H696" s="39" t="n">
        <v>45741</v>
      </c>
      <c r="I696" s="7" t="s">
        <v>14651</v>
      </c>
      <c r="J696" s="8" t="str">
        <f aca="false">IF(I696="Open",DATE(2025,12,31)-F696,"-")</f>
        <v>-</v>
      </c>
    </row>
    <row r="697" customFormat="false" ht="15" hidden="false" customHeight="false" outlineLevel="0" collapsed="false">
      <c r="B697" s="7" t="s">
        <v>15342</v>
      </c>
      <c r="C697" s="7" t="s">
        <v>1194</v>
      </c>
      <c r="D697" s="7" t="s">
        <v>355</v>
      </c>
      <c r="E697" s="7" t="s">
        <v>154</v>
      </c>
      <c r="F697" s="39" t="n">
        <v>45693</v>
      </c>
      <c r="G697" s="41" t="n">
        <v>80.56</v>
      </c>
      <c r="H697" s="39" t="n">
        <v>45762</v>
      </c>
      <c r="I697" s="7" t="s">
        <v>14651</v>
      </c>
      <c r="J697" s="8" t="str">
        <f aca="false">IF(I697="Open",DATE(2025,12,31)-F697,"-")</f>
        <v>-</v>
      </c>
    </row>
    <row r="698" customFormat="false" ht="15" hidden="false" customHeight="false" outlineLevel="0" collapsed="false">
      <c r="B698" s="7" t="s">
        <v>15343</v>
      </c>
      <c r="C698" s="7" t="s">
        <v>1195</v>
      </c>
      <c r="D698" s="7" t="s">
        <v>357</v>
      </c>
      <c r="E698" s="7" t="s">
        <v>154</v>
      </c>
      <c r="F698" s="39" t="n">
        <v>45693</v>
      </c>
      <c r="G698" s="41" t="n">
        <v>87.19</v>
      </c>
      <c r="H698" s="39" t="n">
        <v>45757</v>
      </c>
      <c r="I698" s="7" t="s">
        <v>14651</v>
      </c>
      <c r="J698" s="8" t="str">
        <f aca="false">IF(I698="Open",DATE(2025,12,31)-F698,"-")</f>
        <v>-</v>
      </c>
    </row>
    <row r="699" customFormat="false" ht="15" hidden="false" customHeight="false" outlineLevel="0" collapsed="false">
      <c r="B699" s="7" t="s">
        <v>15344</v>
      </c>
      <c r="C699" s="7" t="s">
        <v>1196</v>
      </c>
      <c r="D699" s="7" t="s">
        <v>359</v>
      </c>
      <c r="E699" s="7" t="s">
        <v>156</v>
      </c>
      <c r="F699" s="39" t="n">
        <v>45693</v>
      </c>
      <c r="G699" s="41" t="n">
        <v>144.84</v>
      </c>
      <c r="H699" s="39" t="n">
        <v>45699</v>
      </c>
      <c r="I699" s="7" t="s">
        <v>14651</v>
      </c>
      <c r="J699" s="8" t="str">
        <f aca="false">IF(I699="Open",DATE(2025,12,31)-F699,"-")</f>
        <v>-</v>
      </c>
    </row>
    <row r="700" customFormat="false" ht="15" hidden="false" customHeight="false" outlineLevel="0" collapsed="false">
      <c r="B700" s="7" t="s">
        <v>15345</v>
      </c>
      <c r="C700" s="7" t="s">
        <v>1197</v>
      </c>
      <c r="D700" s="7" t="s">
        <v>371</v>
      </c>
      <c r="E700" s="7" t="s">
        <v>154</v>
      </c>
      <c r="F700" s="39" t="n">
        <v>45693</v>
      </c>
      <c r="G700" s="41" t="n">
        <v>125.35</v>
      </c>
      <c r="H700" s="39" t="n">
        <v>45775</v>
      </c>
      <c r="I700" s="7" t="s">
        <v>14651</v>
      </c>
      <c r="J700" s="8" t="str">
        <f aca="false">IF(I700="Open",DATE(2025,12,31)-F700,"-")</f>
        <v>-</v>
      </c>
    </row>
    <row r="701" customFormat="false" ht="15" hidden="false" customHeight="false" outlineLevel="0" collapsed="false">
      <c r="B701" s="7" t="s">
        <v>15346</v>
      </c>
      <c r="C701" s="7" t="s">
        <v>1198</v>
      </c>
      <c r="D701" s="7" t="s">
        <v>379</v>
      </c>
      <c r="E701" s="7" t="s">
        <v>156</v>
      </c>
      <c r="F701" s="39" t="n">
        <v>45693</v>
      </c>
      <c r="G701" s="41" t="n">
        <v>164.56</v>
      </c>
      <c r="H701" s="39" t="n">
        <v>45709</v>
      </c>
      <c r="I701" s="7" t="s">
        <v>14651</v>
      </c>
      <c r="J701" s="8" t="str">
        <f aca="false">IF(I701="Open",DATE(2025,12,31)-F701,"-")</f>
        <v>-</v>
      </c>
    </row>
    <row r="702" customFormat="false" ht="15" hidden="false" customHeight="false" outlineLevel="0" collapsed="false">
      <c r="B702" s="7" t="s">
        <v>15347</v>
      </c>
      <c r="C702" s="7" t="s">
        <v>1199</v>
      </c>
      <c r="D702" s="7" t="s">
        <v>389</v>
      </c>
      <c r="E702" s="7" t="s">
        <v>154</v>
      </c>
      <c r="F702" s="39" t="n">
        <v>45693</v>
      </c>
      <c r="G702" s="41" t="n">
        <v>108.73</v>
      </c>
      <c r="H702" s="39" t="n">
        <v>45728</v>
      </c>
      <c r="I702" s="7" t="s">
        <v>14651</v>
      </c>
      <c r="J702" s="8" t="str">
        <f aca="false">IF(I702="Open",DATE(2025,12,31)-F702,"-")</f>
        <v>-</v>
      </c>
    </row>
    <row r="703" customFormat="false" ht="15" hidden="false" customHeight="false" outlineLevel="0" collapsed="false">
      <c r="B703" s="7" t="s">
        <v>15348</v>
      </c>
      <c r="C703" s="7" t="s">
        <v>1200</v>
      </c>
      <c r="D703" s="7" t="s">
        <v>391</v>
      </c>
      <c r="E703" s="7" t="s">
        <v>156</v>
      </c>
      <c r="F703" s="39" t="n">
        <v>45693</v>
      </c>
      <c r="G703" s="41" t="n">
        <v>145.86</v>
      </c>
      <c r="H703" s="39" t="n">
        <v>45704</v>
      </c>
      <c r="I703" s="7" t="s">
        <v>14651</v>
      </c>
      <c r="J703" s="8" t="str">
        <f aca="false">IF(I703="Open",DATE(2025,12,31)-F703,"-")</f>
        <v>-</v>
      </c>
    </row>
    <row r="704" customFormat="false" ht="15" hidden="false" customHeight="false" outlineLevel="0" collapsed="false">
      <c r="B704" s="7" t="s">
        <v>15349</v>
      </c>
      <c r="C704" s="7" t="s">
        <v>1201</v>
      </c>
      <c r="D704" s="7" t="s">
        <v>393</v>
      </c>
      <c r="E704" s="7" t="s">
        <v>157</v>
      </c>
      <c r="F704" s="39" t="n">
        <v>45693</v>
      </c>
      <c r="G704" s="41" t="n">
        <v>179.85</v>
      </c>
      <c r="H704" s="39" t="n">
        <v>45736</v>
      </c>
      <c r="I704" s="7" t="s">
        <v>14651</v>
      </c>
      <c r="J704" s="8" t="str">
        <f aca="false">IF(I704="Open",DATE(2025,12,31)-F704,"-")</f>
        <v>-</v>
      </c>
    </row>
    <row r="705" customFormat="false" ht="15" hidden="false" customHeight="false" outlineLevel="0" collapsed="false">
      <c r="B705" s="7" t="s">
        <v>15350</v>
      </c>
      <c r="C705" s="7" t="s">
        <v>1202</v>
      </c>
      <c r="D705" s="7" t="s">
        <v>395</v>
      </c>
      <c r="E705" s="7" t="s">
        <v>156</v>
      </c>
      <c r="F705" s="39" t="n">
        <v>45693</v>
      </c>
      <c r="G705" s="41" t="n">
        <v>126.14</v>
      </c>
      <c r="H705" s="39" t="n">
        <v>45705</v>
      </c>
      <c r="I705" s="7" t="s">
        <v>14651</v>
      </c>
      <c r="J705" s="8" t="str">
        <f aca="false">IF(I705="Open",DATE(2025,12,31)-F705,"-")</f>
        <v>-</v>
      </c>
    </row>
    <row r="706" customFormat="false" ht="15" hidden="false" customHeight="false" outlineLevel="0" collapsed="false">
      <c r="B706" s="7" t="s">
        <v>15351</v>
      </c>
      <c r="C706" s="7" t="s">
        <v>1203</v>
      </c>
      <c r="D706" s="7" t="s">
        <v>399</v>
      </c>
      <c r="E706" s="7" t="s">
        <v>154</v>
      </c>
      <c r="F706" s="39" t="n">
        <v>45693</v>
      </c>
      <c r="G706" s="41" t="n">
        <v>95.93</v>
      </c>
      <c r="H706" s="39" t="n">
        <v>45753</v>
      </c>
      <c r="I706" s="7" t="s">
        <v>14651</v>
      </c>
      <c r="J706" s="8" t="str">
        <f aca="false">IF(I706="Open",DATE(2025,12,31)-F706,"-")</f>
        <v>-</v>
      </c>
    </row>
    <row r="707" customFormat="false" ht="15" hidden="false" customHeight="false" outlineLevel="0" collapsed="false">
      <c r="B707" s="7" t="s">
        <v>15352</v>
      </c>
      <c r="C707" s="7" t="s">
        <v>1204</v>
      </c>
      <c r="D707" s="7" t="s">
        <v>401</v>
      </c>
      <c r="E707" s="7" t="s">
        <v>156</v>
      </c>
      <c r="F707" s="39" t="n">
        <v>45693</v>
      </c>
      <c r="G707" s="41" t="n">
        <v>129.2</v>
      </c>
      <c r="H707" s="39" t="n">
        <v>45707</v>
      </c>
      <c r="I707" s="7" t="s">
        <v>14651</v>
      </c>
      <c r="J707" s="8" t="str">
        <f aca="false">IF(I707="Open",DATE(2025,12,31)-F707,"-")</f>
        <v>-</v>
      </c>
    </row>
    <row r="708" customFormat="false" ht="15" hidden="false" customHeight="false" outlineLevel="0" collapsed="false">
      <c r="B708" s="7" t="s">
        <v>15353</v>
      </c>
      <c r="C708" s="7" t="s">
        <v>1205</v>
      </c>
      <c r="D708" s="7" t="s">
        <v>409</v>
      </c>
      <c r="E708" s="7" t="s">
        <v>154</v>
      </c>
      <c r="F708" s="39" t="n">
        <v>45693</v>
      </c>
      <c r="G708" s="41" t="n">
        <v>82.41</v>
      </c>
      <c r="H708" s="39" t="n">
        <v>45728</v>
      </c>
      <c r="I708" s="7" t="s">
        <v>14651</v>
      </c>
      <c r="J708" s="8" t="str">
        <f aca="false">IF(I708="Open",DATE(2025,12,31)-F708,"-")</f>
        <v>-</v>
      </c>
    </row>
    <row r="709" customFormat="false" ht="15" hidden="false" customHeight="false" outlineLevel="0" collapsed="false">
      <c r="B709" s="7" t="s">
        <v>15354</v>
      </c>
      <c r="C709" s="7" t="s">
        <v>1206</v>
      </c>
      <c r="D709" s="7" t="s">
        <v>411</v>
      </c>
      <c r="E709" s="7" t="s">
        <v>154</v>
      </c>
      <c r="F709" s="39" t="n">
        <v>45693</v>
      </c>
      <c r="G709" s="41" t="n">
        <v>128.52</v>
      </c>
      <c r="H709" s="39" t="n">
        <v>45746</v>
      </c>
      <c r="I709" s="7" t="s">
        <v>14651</v>
      </c>
      <c r="J709" s="8" t="str">
        <f aca="false">IF(I709="Open",DATE(2025,12,31)-F709,"-")</f>
        <v>-</v>
      </c>
    </row>
    <row r="710" customFormat="false" ht="15" hidden="false" customHeight="false" outlineLevel="0" collapsed="false">
      <c r="B710" s="7" t="s">
        <v>15355</v>
      </c>
      <c r="C710" s="7" t="s">
        <v>1207</v>
      </c>
      <c r="D710" s="7" t="s">
        <v>297</v>
      </c>
      <c r="E710" s="7" t="s">
        <v>156</v>
      </c>
      <c r="F710" s="39" t="n">
        <v>45694</v>
      </c>
      <c r="G710" s="41" t="n">
        <v>93.5</v>
      </c>
      <c r="H710" s="39" t="n">
        <v>45706</v>
      </c>
      <c r="I710" s="7" t="s">
        <v>14651</v>
      </c>
      <c r="J710" s="8" t="str">
        <f aca="false">IF(I710="Open",DATE(2025,12,31)-F710,"-")</f>
        <v>-</v>
      </c>
    </row>
    <row r="711" customFormat="false" ht="15" hidden="false" customHeight="false" outlineLevel="0" collapsed="false">
      <c r="B711" s="7" t="s">
        <v>15356</v>
      </c>
      <c r="C711" s="7" t="s">
        <v>1208</v>
      </c>
      <c r="D711" s="7" t="s">
        <v>313</v>
      </c>
      <c r="E711" s="7" t="s">
        <v>156</v>
      </c>
      <c r="F711" s="39" t="n">
        <v>45694</v>
      </c>
      <c r="G711" s="41" t="n">
        <v>144.5</v>
      </c>
      <c r="H711" s="39" t="n">
        <v>45703</v>
      </c>
      <c r="I711" s="7" t="s">
        <v>14651</v>
      </c>
      <c r="J711" s="8" t="str">
        <f aca="false">IF(I711="Open",DATE(2025,12,31)-F711,"-")</f>
        <v>-</v>
      </c>
    </row>
    <row r="712" customFormat="false" ht="15" hidden="false" customHeight="false" outlineLevel="0" collapsed="false">
      <c r="B712" s="7" t="s">
        <v>15357</v>
      </c>
      <c r="C712" s="7" t="s">
        <v>1209</v>
      </c>
      <c r="D712" s="7" t="s">
        <v>317</v>
      </c>
      <c r="E712" s="7" t="s">
        <v>156</v>
      </c>
      <c r="F712" s="39" t="n">
        <v>45694</v>
      </c>
      <c r="G712" s="41" t="n">
        <v>94.52</v>
      </c>
      <c r="H712" s="39" t="n">
        <v>45698</v>
      </c>
      <c r="I712" s="7" t="s">
        <v>14651</v>
      </c>
      <c r="J712" s="8" t="str">
        <f aca="false">IF(I712="Open",DATE(2025,12,31)-F712,"-")</f>
        <v>-</v>
      </c>
    </row>
    <row r="713" customFormat="false" ht="15" hidden="false" customHeight="false" outlineLevel="0" collapsed="false">
      <c r="B713" s="7" t="s">
        <v>15358</v>
      </c>
      <c r="C713" s="7" t="s">
        <v>1210</v>
      </c>
      <c r="D713" s="7" t="s">
        <v>321</v>
      </c>
      <c r="E713" s="7" t="s">
        <v>154</v>
      </c>
      <c r="F713" s="39" t="n">
        <v>45694</v>
      </c>
      <c r="G713" s="41" t="n">
        <v>110.77</v>
      </c>
      <c r="H713" s="39" t="n">
        <v>45785</v>
      </c>
      <c r="I713" s="7" t="s">
        <v>14651</v>
      </c>
      <c r="J713" s="8" t="str">
        <f aca="false">IF(I713="Open",DATE(2025,12,31)-F713,"-")</f>
        <v>-</v>
      </c>
    </row>
    <row r="714" customFormat="false" ht="15" hidden="false" customHeight="false" outlineLevel="0" collapsed="false">
      <c r="B714" s="7" t="s">
        <v>15359</v>
      </c>
      <c r="C714" s="7" t="s">
        <v>1211</v>
      </c>
      <c r="D714" s="7" t="s">
        <v>325</v>
      </c>
      <c r="E714" s="7" t="s">
        <v>154</v>
      </c>
      <c r="F714" s="39" t="n">
        <v>45694</v>
      </c>
      <c r="G714" s="41" t="n">
        <v>85.59</v>
      </c>
      <c r="H714" s="39" t="n">
        <v>45802</v>
      </c>
      <c r="I714" s="7" t="s">
        <v>14651</v>
      </c>
      <c r="J714" s="8" t="str">
        <f aca="false">IF(I714="Open",DATE(2025,12,31)-F714,"-")</f>
        <v>-</v>
      </c>
    </row>
    <row r="715" customFormat="false" ht="15" hidden="false" customHeight="false" outlineLevel="0" collapsed="false">
      <c r="B715" s="7" t="s">
        <v>15360</v>
      </c>
      <c r="C715" s="7" t="s">
        <v>1212</v>
      </c>
      <c r="D715" s="7" t="s">
        <v>329</v>
      </c>
      <c r="E715" s="7" t="s">
        <v>156</v>
      </c>
      <c r="F715" s="39" t="n">
        <v>45694</v>
      </c>
      <c r="G715" s="41" t="n">
        <v>142.8</v>
      </c>
      <c r="H715" s="39" t="n">
        <v>45714</v>
      </c>
      <c r="I715" s="7" t="s">
        <v>14651</v>
      </c>
      <c r="J715" s="8" t="str">
        <f aca="false">IF(I715="Open",DATE(2025,12,31)-F715,"-")</f>
        <v>-</v>
      </c>
    </row>
    <row r="716" customFormat="false" ht="15" hidden="false" customHeight="false" outlineLevel="0" collapsed="false">
      <c r="B716" s="7" t="s">
        <v>15361</v>
      </c>
      <c r="C716" s="7" t="s">
        <v>1213</v>
      </c>
      <c r="D716" s="7" t="s">
        <v>331</v>
      </c>
      <c r="E716" s="7" t="s">
        <v>156</v>
      </c>
      <c r="F716" s="39" t="n">
        <v>45694</v>
      </c>
      <c r="G716" s="41" t="n">
        <v>126.14</v>
      </c>
      <c r="H716" s="39" t="n">
        <v>45709</v>
      </c>
      <c r="I716" s="7" t="s">
        <v>14651</v>
      </c>
      <c r="J716" s="8" t="str">
        <f aca="false">IF(I716="Open",DATE(2025,12,31)-F716,"-")</f>
        <v>-</v>
      </c>
    </row>
    <row r="717" customFormat="false" ht="15" hidden="false" customHeight="false" outlineLevel="0" collapsed="false">
      <c r="B717" s="7" t="s">
        <v>15362</v>
      </c>
      <c r="C717" s="7" t="s">
        <v>1214</v>
      </c>
      <c r="D717" s="7" t="s">
        <v>337</v>
      </c>
      <c r="E717" s="7" t="s">
        <v>154</v>
      </c>
      <c r="F717" s="39" t="n">
        <v>45694</v>
      </c>
      <c r="G717" s="41" t="n">
        <v>81.88</v>
      </c>
      <c r="H717" s="39" t="n">
        <v>45753</v>
      </c>
      <c r="I717" s="7" t="s">
        <v>14651</v>
      </c>
      <c r="J717" s="8" t="str">
        <f aca="false">IF(I717="Open",DATE(2025,12,31)-F717,"-")</f>
        <v>-</v>
      </c>
    </row>
    <row r="718" customFormat="false" ht="15" hidden="false" customHeight="false" outlineLevel="0" collapsed="false">
      <c r="B718" s="7" t="s">
        <v>15363</v>
      </c>
      <c r="C718" s="7" t="s">
        <v>1215</v>
      </c>
      <c r="D718" s="7" t="s">
        <v>341</v>
      </c>
      <c r="E718" s="7" t="s">
        <v>156</v>
      </c>
      <c r="F718" s="39" t="n">
        <v>45694</v>
      </c>
      <c r="G718" s="41" t="n">
        <v>104.72</v>
      </c>
      <c r="H718" s="39" t="n">
        <v>45698</v>
      </c>
      <c r="I718" s="7" t="s">
        <v>14651</v>
      </c>
      <c r="J718" s="8" t="str">
        <f aca="false">IF(I718="Open",DATE(2025,12,31)-F718,"-")</f>
        <v>-</v>
      </c>
    </row>
    <row r="719" customFormat="false" ht="15" hidden="false" customHeight="false" outlineLevel="0" collapsed="false">
      <c r="B719" s="7" t="s">
        <v>15364</v>
      </c>
      <c r="C719" s="7" t="s">
        <v>1216</v>
      </c>
      <c r="D719" s="7" t="s">
        <v>343</v>
      </c>
      <c r="E719" s="7" t="s">
        <v>154</v>
      </c>
      <c r="F719" s="39" t="n">
        <v>45694</v>
      </c>
      <c r="G719" s="41" t="n">
        <v>106.69</v>
      </c>
      <c r="H719" s="39" t="n">
        <v>45739</v>
      </c>
      <c r="I719" s="7" t="s">
        <v>14651</v>
      </c>
      <c r="J719" s="8" t="str">
        <f aca="false">IF(I719="Open",DATE(2025,12,31)-F719,"-")</f>
        <v>-</v>
      </c>
    </row>
    <row r="720" customFormat="false" ht="15" hidden="false" customHeight="false" outlineLevel="0" collapsed="false">
      <c r="B720" s="7" t="s">
        <v>15365</v>
      </c>
      <c r="C720" s="7" t="s">
        <v>1217</v>
      </c>
      <c r="D720" s="7" t="s">
        <v>359</v>
      </c>
      <c r="E720" s="7" t="s">
        <v>156</v>
      </c>
      <c r="F720" s="39" t="n">
        <v>45694</v>
      </c>
      <c r="G720" s="41" t="n">
        <v>125.12</v>
      </c>
      <c r="H720" s="39" t="n">
        <v>45709</v>
      </c>
      <c r="I720" s="7" t="s">
        <v>14651</v>
      </c>
      <c r="J720" s="8" t="str">
        <f aca="false">IF(I720="Open",DATE(2025,12,31)-F720,"-")</f>
        <v>-</v>
      </c>
    </row>
    <row r="721" customFormat="false" ht="15" hidden="false" customHeight="false" outlineLevel="0" collapsed="false">
      <c r="B721" s="7" t="s">
        <v>15366</v>
      </c>
      <c r="C721" s="7" t="s">
        <v>1218</v>
      </c>
      <c r="D721" s="7" t="s">
        <v>363</v>
      </c>
      <c r="E721" s="7" t="s">
        <v>156</v>
      </c>
      <c r="F721" s="39" t="n">
        <v>45694</v>
      </c>
      <c r="G721" s="41" t="n">
        <v>132.94</v>
      </c>
      <c r="H721" s="39" t="n">
        <v>45698</v>
      </c>
      <c r="I721" s="7" t="s">
        <v>14651</v>
      </c>
      <c r="J721" s="8" t="str">
        <f aca="false">IF(I721="Open",DATE(2025,12,31)-F721,"-")</f>
        <v>-</v>
      </c>
    </row>
    <row r="722" customFormat="false" ht="15" hidden="false" customHeight="false" outlineLevel="0" collapsed="false">
      <c r="B722" s="7" t="s">
        <v>15367</v>
      </c>
      <c r="C722" s="7" t="s">
        <v>1219</v>
      </c>
      <c r="D722" s="7" t="s">
        <v>375</v>
      </c>
      <c r="E722" s="7" t="s">
        <v>156</v>
      </c>
      <c r="F722" s="39" t="n">
        <v>45694</v>
      </c>
      <c r="G722" s="41" t="n">
        <v>94.52</v>
      </c>
      <c r="H722" s="39" t="n">
        <v>45707</v>
      </c>
      <c r="I722" s="7" t="s">
        <v>14651</v>
      </c>
      <c r="J722" s="8" t="str">
        <f aca="false">IF(I722="Open",DATE(2025,12,31)-F722,"-")</f>
        <v>-</v>
      </c>
    </row>
    <row r="723" customFormat="false" ht="15" hidden="false" customHeight="false" outlineLevel="0" collapsed="false">
      <c r="B723" s="7" t="s">
        <v>15368</v>
      </c>
      <c r="C723" s="7" t="s">
        <v>1220</v>
      </c>
      <c r="D723" s="7" t="s">
        <v>377</v>
      </c>
      <c r="E723" s="7" t="s">
        <v>154</v>
      </c>
      <c r="F723" s="39" t="n">
        <v>45694</v>
      </c>
      <c r="G723" s="41" t="n">
        <v>107.06</v>
      </c>
      <c r="H723" s="39" t="n">
        <v>45759</v>
      </c>
      <c r="I723" s="7" t="s">
        <v>14651</v>
      </c>
      <c r="J723" s="8" t="str">
        <f aca="false">IF(I723="Open",DATE(2025,12,31)-F723,"-")</f>
        <v>-</v>
      </c>
    </row>
    <row r="724" customFormat="false" ht="15" hidden="false" customHeight="false" outlineLevel="0" collapsed="false">
      <c r="B724" s="7" t="s">
        <v>15369</v>
      </c>
      <c r="C724" s="7" t="s">
        <v>1221</v>
      </c>
      <c r="D724" s="7" t="s">
        <v>389</v>
      </c>
      <c r="E724" s="7" t="s">
        <v>154</v>
      </c>
      <c r="F724" s="39" t="n">
        <v>45694</v>
      </c>
      <c r="G724" s="41" t="n">
        <v>111.83</v>
      </c>
      <c r="H724" s="39" t="n">
        <v>45738</v>
      </c>
      <c r="I724" s="7" t="s">
        <v>14651</v>
      </c>
      <c r="J724" s="8" t="str">
        <f aca="false">IF(I724="Open",DATE(2025,12,31)-F724,"-")</f>
        <v>-</v>
      </c>
    </row>
    <row r="725" customFormat="false" ht="15" hidden="false" customHeight="false" outlineLevel="0" collapsed="false">
      <c r="B725" s="7" t="s">
        <v>15370</v>
      </c>
      <c r="C725" s="7" t="s">
        <v>1222</v>
      </c>
      <c r="D725" s="7" t="s">
        <v>391</v>
      </c>
      <c r="E725" s="7" t="s">
        <v>156</v>
      </c>
      <c r="F725" s="39" t="n">
        <v>45694</v>
      </c>
      <c r="G725" s="41" t="n">
        <v>140.42</v>
      </c>
      <c r="H725" s="39" t="n">
        <v>45699</v>
      </c>
      <c r="I725" s="7" t="s">
        <v>14651</v>
      </c>
      <c r="J725" s="8" t="str">
        <f aca="false">IF(I725="Open",DATE(2025,12,31)-F725,"-")</f>
        <v>-</v>
      </c>
    </row>
    <row r="726" customFormat="false" ht="15" hidden="false" customHeight="false" outlineLevel="0" collapsed="false">
      <c r="B726" s="7" t="s">
        <v>15371</v>
      </c>
      <c r="C726" s="7" t="s">
        <v>1223</v>
      </c>
      <c r="D726" s="7" t="s">
        <v>395</v>
      </c>
      <c r="E726" s="7" t="s">
        <v>156</v>
      </c>
      <c r="F726" s="39" t="n">
        <v>45694</v>
      </c>
      <c r="G726" s="41" t="n">
        <v>136.34</v>
      </c>
      <c r="H726" s="39" t="n">
        <v>45708</v>
      </c>
      <c r="I726" s="7" t="s">
        <v>14651</v>
      </c>
      <c r="J726" s="8" t="str">
        <f aca="false">IF(I726="Open",DATE(2025,12,31)-F726,"-")</f>
        <v>-</v>
      </c>
    </row>
    <row r="727" customFormat="false" ht="15" hidden="false" customHeight="false" outlineLevel="0" collapsed="false">
      <c r="B727" s="7" t="s">
        <v>15372</v>
      </c>
      <c r="C727" s="7" t="s">
        <v>1224</v>
      </c>
      <c r="D727" s="7" t="s">
        <v>401</v>
      </c>
      <c r="E727" s="7" t="s">
        <v>156</v>
      </c>
      <c r="F727" s="39" t="n">
        <v>45694</v>
      </c>
      <c r="G727" s="41" t="n">
        <v>123.76</v>
      </c>
      <c r="H727" s="39" t="n">
        <v>45714</v>
      </c>
      <c r="I727" s="7" t="s">
        <v>14651</v>
      </c>
      <c r="J727" s="8" t="str">
        <f aca="false">IF(I727="Open",DATE(2025,12,31)-F727,"-")</f>
        <v>-</v>
      </c>
    </row>
    <row r="728" customFormat="false" ht="15" hidden="false" customHeight="false" outlineLevel="0" collapsed="false">
      <c r="B728" s="7" t="s">
        <v>15373</v>
      </c>
      <c r="C728" s="7" t="s">
        <v>1225</v>
      </c>
      <c r="D728" s="7" t="s">
        <v>280</v>
      </c>
      <c r="E728" s="7" t="s">
        <v>157</v>
      </c>
      <c r="F728" s="39" t="n">
        <v>45695</v>
      </c>
      <c r="G728" s="41" t="n">
        <v>165</v>
      </c>
      <c r="H728" s="39" t="n">
        <v>45739</v>
      </c>
      <c r="I728" s="7" t="s">
        <v>14651</v>
      </c>
      <c r="J728" s="8" t="str">
        <f aca="false">IF(I728="Open",DATE(2025,12,31)-F728,"-")</f>
        <v>-</v>
      </c>
    </row>
    <row r="729" customFormat="false" ht="15" hidden="false" customHeight="false" outlineLevel="0" collapsed="false">
      <c r="B729" s="7" t="s">
        <v>15374</v>
      </c>
      <c r="C729" s="7" t="s">
        <v>1226</v>
      </c>
      <c r="D729" s="7" t="s">
        <v>288</v>
      </c>
      <c r="E729" s="7" t="s">
        <v>156</v>
      </c>
      <c r="F729" s="39" t="n">
        <v>45695</v>
      </c>
      <c r="G729" s="41" t="n">
        <v>138.72</v>
      </c>
      <c r="H729" s="39" t="n">
        <v>45705</v>
      </c>
      <c r="I729" s="7" t="s">
        <v>14651</v>
      </c>
      <c r="J729" s="8" t="str">
        <f aca="false">IF(I729="Open",DATE(2025,12,31)-F729,"-")</f>
        <v>-</v>
      </c>
    </row>
    <row r="730" customFormat="false" ht="15" hidden="false" customHeight="false" outlineLevel="0" collapsed="false">
      <c r="B730" s="7" t="s">
        <v>15375</v>
      </c>
      <c r="C730" s="7" t="s">
        <v>1227</v>
      </c>
      <c r="D730" s="7" t="s">
        <v>291</v>
      </c>
      <c r="E730" s="7" t="s">
        <v>154</v>
      </c>
      <c r="F730" s="39" t="n">
        <v>45695</v>
      </c>
      <c r="G730" s="41" t="n">
        <v>131.6</v>
      </c>
      <c r="H730" s="39" t="n">
        <v>45772</v>
      </c>
      <c r="I730" s="7" t="s">
        <v>14651</v>
      </c>
      <c r="J730" s="8" t="str">
        <f aca="false">IF(I730="Open",DATE(2025,12,31)-F730,"-")</f>
        <v>-</v>
      </c>
    </row>
    <row r="731" customFormat="false" ht="15" hidden="false" customHeight="false" outlineLevel="0" collapsed="false">
      <c r="B731" s="7" t="s">
        <v>15376</v>
      </c>
      <c r="C731" s="7" t="s">
        <v>1228</v>
      </c>
      <c r="D731" s="7" t="s">
        <v>301</v>
      </c>
      <c r="E731" s="7" t="s">
        <v>157</v>
      </c>
      <c r="F731" s="39" t="n">
        <v>45695</v>
      </c>
      <c r="G731" s="41" t="n">
        <v>176.55</v>
      </c>
      <c r="H731" s="39" t="n">
        <v>45738</v>
      </c>
      <c r="I731" s="7" t="s">
        <v>14651</v>
      </c>
      <c r="J731" s="8" t="str">
        <f aca="false">IF(I731="Open",DATE(2025,12,31)-F731,"-")</f>
        <v>-</v>
      </c>
    </row>
    <row r="732" customFormat="false" ht="15" hidden="false" customHeight="false" outlineLevel="0" collapsed="false">
      <c r="B732" s="7" t="s">
        <v>15377</v>
      </c>
      <c r="C732" s="7" t="s">
        <v>1229</v>
      </c>
      <c r="D732" s="7" t="s">
        <v>305</v>
      </c>
      <c r="E732" s="7" t="s">
        <v>154</v>
      </c>
      <c r="F732" s="39" t="n">
        <v>45695</v>
      </c>
      <c r="G732" s="41" t="n">
        <v>109.98</v>
      </c>
      <c r="H732" s="39" t="n">
        <v>45741</v>
      </c>
      <c r="I732" s="7" t="s">
        <v>14651</v>
      </c>
      <c r="J732" s="8" t="str">
        <f aca="false">IF(I732="Open",DATE(2025,12,31)-F732,"-")</f>
        <v>-</v>
      </c>
    </row>
    <row r="733" customFormat="false" ht="15" hidden="false" customHeight="false" outlineLevel="0" collapsed="false">
      <c r="B733" s="7" t="s">
        <v>15378</v>
      </c>
      <c r="C733" s="7" t="s">
        <v>1230</v>
      </c>
      <c r="D733" s="7" t="s">
        <v>313</v>
      </c>
      <c r="E733" s="7" t="s">
        <v>156</v>
      </c>
      <c r="F733" s="39" t="n">
        <v>45695</v>
      </c>
      <c r="G733" s="41" t="n">
        <v>122.74</v>
      </c>
      <c r="H733" s="39" t="n">
        <v>45707</v>
      </c>
      <c r="I733" s="7" t="s">
        <v>14651</v>
      </c>
      <c r="J733" s="8" t="str">
        <f aca="false">IF(I733="Open",DATE(2025,12,31)-F733,"-")</f>
        <v>-</v>
      </c>
    </row>
    <row r="734" customFormat="false" ht="15" hidden="false" customHeight="false" outlineLevel="0" collapsed="false">
      <c r="B734" s="7" t="s">
        <v>15379</v>
      </c>
      <c r="C734" s="7" t="s">
        <v>1231</v>
      </c>
      <c r="D734" s="7" t="s">
        <v>319</v>
      </c>
      <c r="E734" s="7" t="s">
        <v>157</v>
      </c>
      <c r="F734" s="39" t="n">
        <v>45695</v>
      </c>
      <c r="G734" s="41" t="n">
        <v>179.85</v>
      </c>
      <c r="H734" s="39" t="n">
        <v>45734</v>
      </c>
      <c r="I734" s="7" t="s">
        <v>14651</v>
      </c>
      <c r="J734" s="8" t="str">
        <f aca="false">IF(I734="Open",DATE(2025,12,31)-F734,"-")</f>
        <v>-</v>
      </c>
    </row>
    <row r="735" customFormat="false" ht="15" hidden="false" customHeight="false" outlineLevel="0" collapsed="false">
      <c r="B735" s="7" t="s">
        <v>15380</v>
      </c>
      <c r="C735" s="7" t="s">
        <v>1232</v>
      </c>
      <c r="D735" s="7" t="s">
        <v>321</v>
      </c>
      <c r="E735" s="7" t="s">
        <v>154</v>
      </c>
      <c r="F735" s="39" t="n">
        <v>45695</v>
      </c>
      <c r="G735" s="41" t="n">
        <v>110.5</v>
      </c>
      <c r="H735" s="39" t="n">
        <v>45730</v>
      </c>
      <c r="I735" s="7" t="s">
        <v>14651</v>
      </c>
      <c r="J735" s="8" t="str">
        <f aca="false">IF(I735="Open",DATE(2025,12,31)-F735,"-")</f>
        <v>-</v>
      </c>
    </row>
    <row r="736" customFormat="false" ht="15" hidden="false" customHeight="false" outlineLevel="0" collapsed="false">
      <c r="B736" s="7" t="s">
        <v>15381</v>
      </c>
      <c r="C736" s="7" t="s">
        <v>1233</v>
      </c>
      <c r="D736" s="7" t="s">
        <v>323</v>
      </c>
      <c r="E736" s="7" t="s">
        <v>159</v>
      </c>
      <c r="F736" s="39" t="n">
        <v>45695</v>
      </c>
      <c r="G736" s="41" t="n">
        <v>132.3</v>
      </c>
      <c r="H736" s="39" t="n">
        <v>45767</v>
      </c>
      <c r="I736" s="7" t="s">
        <v>14651</v>
      </c>
      <c r="J736" s="8" t="str">
        <f aca="false">IF(I736="Open",DATE(2025,12,31)-F736,"-")</f>
        <v>-</v>
      </c>
    </row>
    <row r="737" customFormat="false" ht="15" hidden="false" customHeight="false" outlineLevel="0" collapsed="false">
      <c r="B737" s="7" t="s">
        <v>15382</v>
      </c>
      <c r="C737" s="7" t="s">
        <v>1234</v>
      </c>
      <c r="D737" s="7" t="s">
        <v>327</v>
      </c>
      <c r="E737" s="7" t="s">
        <v>157</v>
      </c>
      <c r="F737" s="39" t="n">
        <v>45695</v>
      </c>
      <c r="G737" s="41" t="n">
        <v>145.69</v>
      </c>
      <c r="H737" s="39" t="n">
        <v>45730</v>
      </c>
      <c r="I737" s="7" t="s">
        <v>14651</v>
      </c>
      <c r="J737" s="8" t="str">
        <f aca="false">IF(I737="Open",DATE(2025,12,31)-F737,"-")</f>
        <v>-</v>
      </c>
    </row>
    <row r="738" customFormat="false" ht="15" hidden="false" customHeight="false" outlineLevel="0" collapsed="false">
      <c r="B738" s="7" t="s">
        <v>15383</v>
      </c>
      <c r="C738" s="7" t="s">
        <v>1235</v>
      </c>
      <c r="D738" s="7" t="s">
        <v>329</v>
      </c>
      <c r="E738" s="7" t="s">
        <v>156</v>
      </c>
      <c r="F738" s="39" t="n">
        <v>45695</v>
      </c>
      <c r="G738" s="41" t="n">
        <v>147.56</v>
      </c>
      <c r="H738" s="39" t="n">
        <v>45703</v>
      </c>
      <c r="I738" s="7" t="s">
        <v>14651</v>
      </c>
      <c r="J738" s="8" t="str">
        <f aca="false">IF(I738="Open",DATE(2025,12,31)-F738,"-")</f>
        <v>-</v>
      </c>
    </row>
    <row r="739" customFormat="false" ht="15" hidden="false" customHeight="false" outlineLevel="0" collapsed="false">
      <c r="B739" s="7" t="s">
        <v>15384</v>
      </c>
      <c r="C739" s="7" t="s">
        <v>1236</v>
      </c>
      <c r="D739" s="7" t="s">
        <v>335</v>
      </c>
      <c r="E739" s="7" t="s">
        <v>154</v>
      </c>
      <c r="F739" s="39" t="n">
        <v>45695</v>
      </c>
      <c r="G739" s="41" t="n">
        <v>102.29</v>
      </c>
      <c r="H739" s="39" t="n">
        <v>45759</v>
      </c>
      <c r="I739" s="7" t="s">
        <v>14651</v>
      </c>
      <c r="J739" s="8" t="str">
        <f aca="false">IF(I739="Open",DATE(2025,12,31)-F739,"-")</f>
        <v>-</v>
      </c>
    </row>
    <row r="740" customFormat="false" ht="15" hidden="false" customHeight="false" outlineLevel="0" collapsed="false">
      <c r="B740" s="7" t="s">
        <v>15385</v>
      </c>
      <c r="C740" s="7" t="s">
        <v>1237</v>
      </c>
      <c r="D740" s="7" t="s">
        <v>339</v>
      </c>
      <c r="E740" s="7" t="s">
        <v>154</v>
      </c>
      <c r="F740" s="39" t="n">
        <v>45695</v>
      </c>
      <c r="G740" s="41" t="n">
        <v>90.9</v>
      </c>
      <c r="H740" s="39" t="n">
        <v>45739</v>
      </c>
      <c r="I740" s="7" t="s">
        <v>14651</v>
      </c>
      <c r="J740" s="8" t="str">
        <f aca="false">IF(I740="Open",DATE(2025,12,31)-F740,"-")</f>
        <v>-</v>
      </c>
    </row>
    <row r="741" customFormat="false" ht="15" hidden="false" customHeight="false" outlineLevel="0" collapsed="false">
      <c r="B741" s="7" t="s">
        <v>15386</v>
      </c>
      <c r="C741" s="7" t="s">
        <v>1238</v>
      </c>
      <c r="D741" s="7" t="s">
        <v>353</v>
      </c>
      <c r="E741" s="7" t="s">
        <v>154</v>
      </c>
      <c r="F741" s="39" t="n">
        <v>45695</v>
      </c>
      <c r="G741" s="41" t="n">
        <v>87.19</v>
      </c>
      <c r="H741" s="39" t="n">
        <v>45730</v>
      </c>
      <c r="I741" s="7" t="s">
        <v>14651</v>
      </c>
      <c r="J741" s="8" t="str">
        <f aca="false">IF(I741="Open",DATE(2025,12,31)-F741,"-")</f>
        <v>-</v>
      </c>
    </row>
    <row r="742" customFormat="false" ht="15" hidden="false" customHeight="false" outlineLevel="0" collapsed="false">
      <c r="B742" s="7" t="s">
        <v>15387</v>
      </c>
      <c r="C742" s="7" t="s">
        <v>1239</v>
      </c>
      <c r="D742" s="7" t="s">
        <v>355</v>
      </c>
      <c r="E742" s="7" t="s">
        <v>154</v>
      </c>
      <c r="F742" s="39" t="n">
        <v>45695</v>
      </c>
      <c r="G742" s="41" t="n">
        <v>81.22</v>
      </c>
      <c r="H742" s="39" t="n">
        <v>45723</v>
      </c>
      <c r="I742" s="7" t="s">
        <v>14651</v>
      </c>
      <c r="J742" s="8" t="str">
        <f aca="false">IF(I742="Open",DATE(2025,12,31)-F742,"-")</f>
        <v>-</v>
      </c>
    </row>
    <row r="743" customFormat="false" ht="15" hidden="false" customHeight="false" outlineLevel="0" collapsed="false">
      <c r="B743" s="7" t="s">
        <v>15388</v>
      </c>
      <c r="C743" s="7" t="s">
        <v>1240</v>
      </c>
      <c r="D743" s="7" t="s">
        <v>357</v>
      </c>
      <c r="E743" s="7" t="s">
        <v>154</v>
      </c>
      <c r="F743" s="39" t="n">
        <v>45695</v>
      </c>
      <c r="G743" s="41" t="n">
        <v>90.37</v>
      </c>
      <c r="H743" s="39" t="n">
        <v>45810</v>
      </c>
      <c r="I743" s="7" t="s">
        <v>14651</v>
      </c>
      <c r="J743" s="8" t="str">
        <f aca="false">IF(I743="Open",DATE(2025,12,31)-F743,"-")</f>
        <v>-</v>
      </c>
    </row>
    <row r="744" customFormat="false" ht="15" hidden="false" customHeight="false" outlineLevel="0" collapsed="false">
      <c r="B744" s="7" t="s">
        <v>15389</v>
      </c>
      <c r="C744" s="7" t="s">
        <v>1241</v>
      </c>
      <c r="D744" s="7" t="s">
        <v>359</v>
      </c>
      <c r="E744" s="7" t="s">
        <v>156</v>
      </c>
      <c r="F744" s="39" t="n">
        <v>45695</v>
      </c>
      <c r="G744" s="41" t="n">
        <v>140.42</v>
      </c>
      <c r="H744" s="39" t="n">
        <v>45708</v>
      </c>
      <c r="I744" s="7" t="s">
        <v>14651</v>
      </c>
      <c r="J744" s="8" t="str">
        <f aca="false">IF(I744="Open",DATE(2025,12,31)-F744,"-")</f>
        <v>-</v>
      </c>
    </row>
    <row r="745" customFormat="false" ht="15" hidden="false" customHeight="false" outlineLevel="0" collapsed="false">
      <c r="B745" s="7" t="s">
        <v>15390</v>
      </c>
      <c r="C745" s="7" t="s">
        <v>1242</v>
      </c>
      <c r="D745" s="7" t="s">
        <v>371</v>
      </c>
      <c r="E745" s="7" t="s">
        <v>154</v>
      </c>
      <c r="F745" s="39" t="n">
        <v>45695</v>
      </c>
      <c r="G745" s="41" t="n">
        <v>134.88</v>
      </c>
      <c r="H745" s="39" t="n">
        <v>45749</v>
      </c>
      <c r="I745" s="7" t="s">
        <v>14651</v>
      </c>
      <c r="J745" s="8" t="str">
        <f aca="false">IF(I745="Open",DATE(2025,12,31)-F745,"-")</f>
        <v>-</v>
      </c>
    </row>
    <row r="746" customFormat="false" ht="15" hidden="false" customHeight="false" outlineLevel="0" collapsed="false">
      <c r="B746" s="7" t="s">
        <v>15391</v>
      </c>
      <c r="C746" s="7" t="s">
        <v>1243</v>
      </c>
      <c r="D746" s="7" t="s">
        <v>379</v>
      </c>
      <c r="E746" s="7" t="s">
        <v>156</v>
      </c>
      <c r="F746" s="39" t="n">
        <v>45695</v>
      </c>
      <c r="G746" s="41" t="n">
        <v>165.58</v>
      </c>
      <c r="H746" s="39" t="n">
        <v>45708</v>
      </c>
      <c r="I746" s="7" t="s">
        <v>14651</v>
      </c>
      <c r="J746" s="8" t="str">
        <f aca="false">IF(I746="Open",DATE(2025,12,31)-F746,"-")</f>
        <v>-</v>
      </c>
    </row>
    <row r="747" customFormat="false" ht="15" hidden="false" customHeight="false" outlineLevel="0" collapsed="false">
      <c r="B747" s="7" t="s">
        <v>15392</v>
      </c>
      <c r="C747" s="7" t="s">
        <v>1244</v>
      </c>
      <c r="D747" s="7" t="s">
        <v>381</v>
      </c>
      <c r="E747" s="7" t="s">
        <v>157</v>
      </c>
      <c r="F747" s="39" t="n">
        <v>45695</v>
      </c>
      <c r="G747" s="41" t="n">
        <v>174.9</v>
      </c>
      <c r="H747" s="39" t="n">
        <v>45729</v>
      </c>
      <c r="I747" s="7" t="s">
        <v>14651</v>
      </c>
      <c r="J747" s="8" t="str">
        <f aca="false">IF(I747="Open",DATE(2025,12,31)-F747,"-")</f>
        <v>-</v>
      </c>
    </row>
    <row r="748" customFormat="false" ht="15" hidden="false" customHeight="false" outlineLevel="0" collapsed="false">
      <c r="B748" s="7" t="s">
        <v>15393</v>
      </c>
      <c r="C748" s="7" t="s">
        <v>1245</v>
      </c>
      <c r="D748" s="7" t="s">
        <v>389</v>
      </c>
      <c r="E748" s="7" t="s">
        <v>154</v>
      </c>
      <c r="F748" s="39" t="n">
        <v>45695</v>
      </c>
      <c r="G748" s="41" t="n">
        <v>111.83</v>
      </c>
      <c r="H748" s="39" t="n">
        <v>45758</v>
      </c>
      <c r="I748" s="7" t="s">
        <v>14651</v>
      </c>
      <c r="J748" s="8" t="str">
        <f aca="false">IF(I748="Open",DATE(2025,12,31)-F748,"-")</f>
        <v>-</v>
      </c>
    </row>
    <row r="749" customFormat="false" ht="15" hidden="false" customHeight="false" outlineLevel="0" collapsed="false">
      <c r="B749" s="7" t="s">
        <v>15394</v>
      </c>
      <c r="C749" s="7" t="s">
        <v>1246</v>
      </c>
      <c r="D749" s="7" t="s">
        <v>391</v>
      </c>
      <c r="E749" s="7" t="s">
        <v>156</v>
      </c>
      <c r="F749" s="39" t="n">
        <v>45695</v>
      </c>
      <c r="G749" s="41" t="n">
        <v>129.88</v>
      </c>
      <c r="H749" s="39" t="n">
        <v>45704</v>
      </c>
      <c r="I749" s="7" t="s">
        <v>14651</v>
      </c>
      <c r="J749" s="8" t="str">
        <f aca="false">IF(I749="Open",DATE(2025,12,31)-F749,"-")</f>
        <v>-</v>
      </c>
    </row>
    <row r="750" customFormat="false" ht="15" hidden="false" customHeight="false" outlineLevel="0" collapsed="false">
      <c r="B750" s="7" t="s">
        <v>15395</v>
      </c>
      <c r="C750" s="7" t="s">
        <v>1247</v>
      </c>
      <c r="D750" s="7" t="s">
        <v>395</v>
      </c>
      <c r="E750" s="7" t="s">
        <v>156</v>
      </c>
      <c r="F750" s="39" t="n">
        <v>45695</v>
      </c>
      <c r="G750" s="41" t="n">
        <v>138.04</v>
      </c>
      <c r="H750" s="39" t="n">
        <v>45709</v>
      </c>
      <c r="I750" s="7" t="s">
        <v>14651</v>
      </c>
      <c r="J750" s="8" t="str">
        <f aca="false">IF(I750="Open",DATE(2025,12,31)-F750,"-")</f>
        <v>-</v>
      </c>
    </row>
    <row r="751" customFormat="false" ht="15" hidden="false" customHeight="false" outlineLevel="0" collapsed="false">
      <c r="B751" s="7" t="s">
        <v>15396</v>
      </c>
      <c r="C751" s="7" t="s">
        <v>1248</v>
      </c>
      <c r="D751" s="7" t="s">
        <v>399</v>
      </c>
      <c r="E751" s="7" t="s">
        <v>154</v>
      </c>
      <c r="F751" s="39" t="n">
        <v>45695</v>
      </c>
      <c r="G751" s="41" t="n">
        <v>85.86</v>
      </c>
      <c r="H751" s="39" t="n">
        <v>45740</v>
      </c>
      <c r="I751" s="7" t="s">
        <v>14651</v>
      </c>
      <c r="J751" s="8" t="str">
        <f aca="false">IF(I751="Open",DATE(2025,12,31)-F751,"-")</f>
        <v>-</v>
      </c>
    </row>
    <row r="752" customFormat="false" ht="15" hidden="false" customHeight="false" outlineLevel="0" collapsed="false">
      <c r="B752" s="7" t="s">
        <v>15397</v>
      </c>
      <c r="C752" s="7" t="s">
        <v>1249</v>
      </c>
      <c r="D752" s="7" t="s">
        <v>401</v>
      </c>
      <c r="E752" s="7" t="s">
        <v>156</v>
      </c>
      <c r="F752" s="39" t="n">
        <v>45695</v>
      </c>
      <c r="G752" s="41" t="n">
        <v>132.26</v>
      </c>
      <c r="H752" s="39" t="n">
        <v>45707</v>
      </c>
      <c r="I752" s="7" t="s">
        <v>14651</v>
      </c>
      <c r="J752" s="8" t="str">
        <f aca="false">IF(I752="Open",DATE(2025,12,31)-F752,"-")</f>
        <v>-</v>
      </c>
    </row>
    <row r="753" customFormat="false" ht="15" hidden="false" customHeight="false" outlineLevel="0" collapsed="false">
      <c r="B753" s="7" t="s">
        <v>15398</v>
      </c>
      <c r="C753" s="7" t="s">
        <v>1250</v>
      </c>
      <c r="D753" s="7" t="s">
        <v>407</v>
      </c>
      <c r="E753" s="7" t="s">
        <v>159</v>
      </c>
      <c r="F753" s="39" t="n">
        <v>45695</v>
      </c>
      <c r="G753" s="41" t="n">
        <v>136.35</v>
      </c>
      <c r="H753" s="39" t="n">
        <v>45750</v>
      </c>
      <c r="I753" s="7" t="s">
        <v>14651</v>
      </c>
      <c r="J753" s="8" t="str">
        <f aca="false">IF(I753="Open",DATE(2025,12,31)-F753,"-")</f>
        <v>-</v>
      </c>
    </row>
    <row r="754" customFormat="false" ht="15" hidden="false" customHeight="false" outlineLevel="0" collapsed="false">
      <c r="B754" s="7" t="s">
        <v>15399</v>
      </c>
      <c r="C754" s="7" t="s">
        <v>1251</v>
      </c>
      <c r="D754" s="7" t="s">
        <v>409</v>
      </c>
      <c r="E754" s="7" t="s">
        <v>154</v>
      </c>
      <c r="F754" s="39" t="n">
        <v>45695</v>
      </c>
      <c r="G754" s="41" t="n">
        <v>88.51</v>
      </c>
      <c r="H754" s="39" t="n">
        <v>45716</v>
      </c>
      <c r="I754" s="7" t="s">
        <v>14651</v>
      </c>
      <c r="J754" s="8" t="str">
        <f aca="false">IF(I754="Open",DATE(2025,12,31)-F754,"-")</f>
        <v>-</v>
      </c>
    </row>
    <row r="755" customFormat="false" ht="15" hidden="false" customHeight="false" outlineLevel="0" collapsed="false">
      <c r="B755" s="7" t="s">
        <v>15400</v>
      </c>
      <c r="C755" s="7" t="s">
        <v>1252</v>
      </c>
      <c r="D755" s="7" t="s">
        <v>411</v>
      </c>
      <c r="E755" s="7" t="s">
        <v>154</v>
      </c>
      <c r="F755" s="39" t="n">
        <v>45695</v>
      </c>
      <c r="G755" s="41" t="n">
        <v>117.39</v>
      </c>
      <c r="H755" s="39" t="n">
        <v>45746</v>
      </c>
      <c r="I755" s="7" t="s">
        <v>14651</v>
      </c>
      <c r="J755" s="8" t="str">
        <f aca="false">IF(I755="Open",DATE(2025,12,31)-F755,"-")</f>
        <v>-</v>
      </c>
    </row>
    <row r="756" customFormat="false" ht="15" hidden="false" customHeight="false" outlineLevel="0" collapsed="false">
      <c r="B756" s="7" t="s">
        <v>15401</v>
      </c>
      <c r="C756" s="7" t="s">
        <v>1253</v>
      </c>
      <c r="D756" s="7" t="s">
        <v>288</v>
      </c>
      <c r="E756" s="7" t="s">
        <v>156</v>
      </c>
      <c r="F756" s="39" t="n">
        <v>45696</v>
      </c>
      <c r="G756" s="41" t="n">
        <v>126.48</v>
      </c>
      <c r="H756" s="39" t="n">
        <v>45709</v>
      </c>
      <c r="I756" s="7" t="s">
        <v>14651</v>
      </c>
      <c r="J756" s="8" t="str">
        <f aca="false">IF(I756="Open",DATE(2025,12,31)-F756,"-")</f>
        <v>-</v>
      </c>
    </row>
    <row r="757" customFormat="false" ht="15" hidden="false" customHeight="false" outlineLevel="0" collapsed="false">
      <c r="B757" s="7" t="s">
        <v>15402</v>
      </c>
      <c r="C757" s="7" t="s">
        <v>1254</v>
      </c>
      <c r="D757" s="7" t="s">
        <v>321</v>
      </c>
      <c r="E757" s="7" t="s">
        <v>154</v>
      </c>
      <c r="F757" s="39" t="n">
        <v>45696</v>
      </c>
      <c r="G757" s="41" t="n">
        <v>107.06</v>
      </c>
      <c r="H757" s="39" t="n">
        <v>45740</v>
      </c>
      <c r="I757" s="7" t="s">
        <v>14651</v>
      </c>
      <c r="J757" s="8" t="str">
        <f aca="false">IF(I757="Open",DATE(2025,12,31)-F757,"-")</f>
        <v>-</v>
      </c>
    </row>
    <row r="758" customFormat="false" ht="15" hidden="false" customHeight="false" outlineLevel="0" collapsed="false">
      <c r="B758" s="7" t="s">
        <v>15403</v>
      </c>
      <c r="C758" s="7" t="s">
        <v>1255</v>
      </c>
      <c r="D758" s="7" t="s">
        <v>359</v>
      </c>
      <c r="E758" s="7" t="s">
        <v>156</v>
      </c>
      <c r="F758" s="39" t="n">
        <v>45696</v>
      </c>
      <c r="G758" s="41" t="n">
        <v>133.96</v>
      </c>
      <c r="H758" s="39" t="n">
        <v>45710</v>
      </c>
      <c r="I758" s="7" t="s">
        <v>14651</v>
      </c>
      <c r="J758" s="8" t="str">
        <f aca="false">IF(I758="Open",DATE(2025,12,31)-F758,"-")</f>
        <v>-</v>
      </c>
    </row>
    <row r="759" customFormat="false" ht="15" hidden="false" customHeight="false" outlineLevel="0" collapsed="false">
      <c r="B759" s="7" t="s">
        <v>15404</v>
      </c>
      <c r="C759" s="7" t="s">
        <v>1256</v>
      </c>
      <c r="D759" s="7" t="s">
        <v>391</v>
      </c>
      <c r="E759" s="7" t="s">
        <v>156</v>
      </c>
      <c r="F759" s="39" t="n">
        <v>45696</v>
      </c>
      <c r="G759" s="41" t="n">
        <v>142.12</v>
      </c>
      <c r="H759" s="39" t="n">
        <v>45708</v>
      </c>
      <c r="I759" s="7" t="s">
        <v>14651</v>
      </c>
      <c r="J759" s="8" t="str">
        <f aca="false">IF(I759="Open",DATE(2025,12,31)-F759,"-")</f>
        <v>-</v>
      </c>
    </row>
    <row r="760" customFormat="false" ht="15" hidden="false" customHeight="false" outlineLevel="0" collapsed="false">
      <c r="B760" s="7" t="s">
        <v>15405</v>
      </c>
      <c r="C760" s="7" t="s">
        <v>1257</v>
      </c>
      <c r="D760" s="7" t="s">
        <v>395</v>
      </c>
      <c r="E760" s="7" t="s">
        <v>156</v>
      </c>
      <c r="F760" s="39" t="n">
        <v>45696</v>
      </c>
      <c r="G760" s="41" t="n">
        <v>132.6</v>
      </c>
      <c r="H760" s="39" t="n">
        <v>45706</v>
      </c>
      <c r="I760" s="7" t="s">
        <v>14651</v>
      </c>
      <c r="J760" s="8" t="str">
        <f aca="false">IF(I760="Open",DATE(2025,12,31)-F760,"-")</f>
        <v>-</v>
      </c>
    </row>
    <row r="761" customFormat="false" ht="15" hidden="false" customHeight="false" outlineLevel="0" collapsed="false">
      <c r="B761" s="7" t="s">
        <v>15406</v>
      </c>
      <c r="C761" s="7" t="s">
        <v>1258</v>
      </c>
      <c r="D761" s="7" t="s">
        <v>401</v>
      </c>
      <c r="E761" s="7" t="s">
        <v>156</v>
      </c>
      <c r="F761" s="39" t="n">
        <v>45696</v>
      </c>
      <c r="G761" s="41" t="n">
        <v>127.16</v>
      </c>
      <c r="H761" s="39" t="n">
        <v>45699</v>
      </c>
      <c r="I761" s="7" t="s">
        <v>14651</v>
      </c>
      <c r="J761" s="8" t="str">
        <f aca="false">IF(I761="Open",DATE(2025,12,31)-F761,"-")</f>
        <v>-</v>
      </c>
    </row>
    <row r="762" customFormat="false" ht="15" hidden="false" customHeight="false" outlineLevel="0" collapsed="false">
      <c r="B762" s="7" t="s">
        <v>15407</v>
      </c>
      <c r="C762" s="7" t="s">
        <v>1259</v>
      </c>
      <c r="D762" s="7" t="s">
        <v>288</v>
      </c>
      <c r="E762" s="7" t="s">
        <v>156</v>
      </c>
      <c r="F762" s="39" t="n">
        <v>45697</v>
      </c>
      <c r="G762" s="41" t="n">
        <v>148.24</v>
      </c>
      <c r="H762" s="39" t="n">
        <v>45704</v>
      </c>
      <c r="I762" s="7" t="s">
        <v>14651</v>
      </c>
      <c r="J762" s="8" t="str">
        <f aca="false">IF(I762="Open",DATE(2025,12,31)-F762,"-")</f>
        <v>-</v>
      </c>
    </row>
    <row r="763" customFormat="false" ht="15" hidden="false" customHeight="false" outlineLevel="0" collapsed="false">
      <c r="B763" s="7" t="s">
        <v>15408</v>
      </c>
      <c r="C763" s="7" t="s">
        <v>1260</v>
      </c>
      <c r="D763" s="7" t="s">
        <v>321</v>
      </c>
      <c r="E763" s="7" t="s">
        <v>154</v>
      </c>
      <c r="F763" s="39" t="n">
        <v>45697</v>
      </c>
      <c r="G763" s="41" t="n">
        <v>101.5</v>
      </c>
      <c r="H763" s="39" t="n">
        <v>45751</v>
      </c>
      <c r="I763" s="7" t="s">
        <v>14651</v>
      </c>
      <c r="J763" s="8" t="str">
        <f aca="false">IF(I763="Open",DATE(2025,12,31)-F763,"-")</f>
        <v>-</v>
      </c>
    </row>
    <row r="764" customFormat="false" ht="15" hidden="false" customHeight="false" outlineLevel="0" collapsed="false">
      <c r="B764" s="7" t="s">
        <v>15409</v>
      </c>
      <c r="C764" s="7" t="s">
        <v>1261</v>
      </c>
      <c r="D764" s="7" t="s">
        <v>391</v>
      </c>
      <c r="E764" s="7" t="s">
        <v>156</v>
      </c>
      <c r="F764" s="39" t="n">
        <v>45697</v>
      </c>
      <c r="G764" s="41" t="n">
        <v>130.22</v>
      </c>
      <c r="H764" s="39" t="n">
        <v>45708</v>
      </c>
      <c r="I764" s="7" t="s">
        <v>14651</v>
      </c>
      <c r="J764" s="8" t="str">
        <f aca="false">IF(I764="Open",DATE(2025,12,31)-F764,"-")</f>
        <v>-</v>
      </c>
    </row>
    <row r="765" customFormat="false" ht="15" hidden="false" customHeight="false" outlineLevel="0" collapsed="false">
      <c r="B765" s="7" t="s">
        <v>15410</v>
      </c>
      <c r="C765" s="7" t="s">
        <v>1262</v>
      </c>
      <c r="D765" s="7" t="s">
        <v>395</v>
      </c>
      <c r="E765" s="7" t="s">
        <v>156</v>
      </c>
      <c r="F765" s="39" t="n">
        <v>45697</v>
      </c>
      <c r="G765" s="41" t="n">
        <v>128.86</v>
      </c>
      <c r="H765" s="39" t="n">
        <v>45707</v>
      </c>
      <c r="I765" s="7" t="s">
        <v>14651</v>
      </c>
      <c r="J765" s="8" t="str">
        <f aca="false">IF(I765="Open",DATE(2025,12,31)-F765,"-")</f>
        <v>-</v>
      </c>
    </row>
    <row r="766" customFormat="false" ht="15" hidden="false" customHeight="false" outlineLevel="0" collapsed="false">
      <c r="B766" s="7" t="s">
        <v>15411</v>
      </c>
      <c r="C766" s="7" t="s">
        <v>1263</v>
      </c>
      <c r="D766" s="7" t="s">
        <v>401</v>
      </c>
      <c r="E766" s="7" t="s">
        <v>156</v>
      </c>
      <c r="F766" s="39" t="n">
        <v>45697</v>
      </c>
      <c r="G766" s="41" t="n">
        <v>149.6</v>
      </c>
      <c r="H766" s="39" t="n">
        <v>45709</v>
      </c>
      <c r="I766" s="7" t="s">
        <v>14651</v>
      </c>
      <c r="J766" s="8" t="str">
        <f aca="false">IF(I766="Open",DATE(2025,12,31)-F766,"-")</f>
        <v>-</v>
      </c>
    </row>
    <row r="767" customFormat="false" ht="15" hidden="false" customHeight="false" outlineLevel="0" collapsed="false">
      <c r="B767" s="7" t="s">
        <v>15412</v>
      </c>
      <c r="C767" s="7" t="s">
        <v>1264</v>
      </c>
      <c r="D767" s="7" t="s">
        <v>280</v>
      </c>
      <c r="E767" s="7" t="s">
        <v>157</v>
      </c>
      <c r="F767" s="39" t="n">
        <v>45698</v>
      </c>
      <c r="G767" s="41" t="n">
        <v>166.65</v>
      </c>
      <c r="H767" s="39" t="n">
        <v>45721</v>
      </c>
      <c r="I767" s="7" t="s">
        <v>14651</v>
      </c>
      <c r="J767" s="8" t="str">
        <f aca="false">IF(I767="Open",DATE(2025,12,31)-F767,"-")</f>
        <v>-</v>
      </c>
    </row>
    <row r="768" customFormat="false" ht="15" hidden="false" customHeight="false" outlineLevel="0" collapsed="false">
      <c r="B768" s="7" t="s">
        <v>15413</v>
      </c>
      <c r="C768" s="7" t="s">
        <v>1265</v>
      </c>
      <c r="D768" s="7" t="s">
        <v>291</v>
      </c>
      <c r="E768" s="7" t="s">
        <v>154</v>
      </c>
      <c r="F768" s="39" t="n">
        <v>45698</v>
      </c>
      <c r="G768" s="41" t="n">
        <v>119.78</v>
      </c>
      <c r="H768" s="39" t="n">
        <v>45732</v>
      </c>
      <c r="I768" s="7" t="s">
        <v>14651</v>
      </c>
      <c r="J768" s="8" t="str">
        <f aca="false">IF(I768="Open",DATE(2025,12,31)-F768,"-")</f>
        <v>-</v>
      </c>
    </row>
    <row r="769" customFormat="false" ht="15" hidden="false" customHeight="false" outlineLevel="0" collapsed="false">
      <c r="B769" s="7" t="s">
        <v>15414</v>
      </c>
      <c r="C769" s="7" t="s">
        <v>1266</v>
      </c>
      <c r="D769" s="7" t="s">
        <v>305</v>
      </c>
      <c r="E769" s="7" t="s">
        <v>154</v>
      </c>
      <c r="F769" s="39" t="n">
        <v>45698</v>
      </c>
      <c r="G769" s="41" t="n">
        <v>103.35</v>
      </c>
      <c r="H769" s="39" t="n">
        <v>45754</v>
      </c>
      <c r="I769" s="7" t="s">
        <v>14651</v>
      </c>
      <c r="J769" s="8" t="str">
        <f aca="false">IF(I769="Open",DATE(2025,12,31)-F769,"-")</f>
        <v>-</v>
      </c>
    </row>
    <row r="770" customFormat="false" ht="15" hidden="false" customHeight="false" outlineLevel="0" collapsed="false">
      <c r="B770" s="7" t="s">
        <v>15415</v>
      </c>
      <c r="C770" s="7" t="s">
        <v>1267</v>
      </c>
      <c r="D770" s="7" t="s">
        <v>309</v>
      </c>
      <c r="E770" s="7" t="s">
        <v>159</v>
      </c>
      <c r="F770" s="39" t="n">
        <v>45698</v>
      </c>
      <c r="G770" s="41" t="n">
        <v>126.9</v>
      </c>
      <c r="H770" s="39" t="n">
        <v>45721</v>
      </c>
      <c r="I770" s="7" t="s">
        <v>14651</v>
      </c>
      <c r="J770" s="8" t="str">
        <f aca="false">IF(I770="Open",DATE(2025,12,31)-F770,"-")</f>
        <v>-</v>
      </c>
    </row>
    <row r="771" customFormat="false" ht="15" hidden="false" customHeight="false" outlineLevel="0" collapsed="false">
      <c r="B771" s="7" t="s">
        <v>15416</v>
      </c>
      <c r="C771" s="7" t="s">
        <v>1268</v>
      </c>
      <c r="D771" s="7" t="s">
        <v>311</v>
      </c>
      <c r="E771" s="7" t="s">
        <v>154</v>
      </c>
      <c r="F771" s="39" t="n">
        <v>45698</v>
      </c>
      <c r="G771" s="41" t="n">
        <v>84.32</v>
      </c>
      <c r="H771" s="39" t="n">
        <v>45722</v>
      </c>
      <c r="I771" s="7" t="s">
        <v>14651</v>
      </c>
      <c r="J771" s="8" t="str">
        <f aca="false">IF(I771="Open",DATE(2025,12,31)-F771,"-")</f>
        <v>-</v>
      </c>
    </row>
    <row r="772" customFormat="false" ht="15" hidden="false" customHeight="false" outlineLevel="0" collapsed="false">
      <c r="B772" s="7" t="s">
        <v>15417</v>
      </c>
      <c r="C772" s="7" t="s">
        <v>1269</v>
      </c>
      <c r="D772" s="7" t="s">
        <v>313</v>
      </c>
      <c r="E772" s="7" t="s">
        <v>156</v>
      </c>
      <c r="F772" s="39" t="n">
        <v>45698</v>
      </c>
      <c r="G772" s="41" t="n">
        <v>129.88</v>
      </c>
      <c r="H772" s="39" t="n">
        <v>45711</v>
      </c>
      <c r="I772" s="7" t="s">
        <v>14651</v>
      </c>
      <c r="J772" s="8" t="str">
        <f aca="false">IF(I772="Open",DATE(2025,12,31)-F772,"-")</f>
        <v>-</v>
      </c>
    </row>
    <row r="773" customFormat="false" ht="15" hidden="false" customHeight="false" outlineLevel="0" collapsed="false">
      <c r="B773" s="7" t="s">
        <v>15418</v>
      </c>
      <c r="C773" s="7" t="s">
        <v>1270</v>
      </c>
      <c r="D773" s="7" t="s">
        <v>317</v>
      </c>
      <c r="E773" s="7" t="s">
        <v>156</v>
      </c>
      <c r="F773" s="39" t="n">
        <v>45698</v>
      </c>
      <c r="G773" s="41" t="n">
        <v>109.14</v>
      </c>
      <c r="H773" s="39" t="n">
        <v>45702</v>
      </c>
      <c r="I773" s="7" t="s">
        <v>14651</v>
      </c>
      <c r="J773" s="8" t="str">
        <f aca="false">IF(I773="Open",DATE(2025,12,31)-F773,"-")</f>
        <v>-</v>
      </c>
    </row>
    <row r="774" customFormat="false" ht="15" hidden="false" customHeight="false" outlineLevel="0" collapsed="false">
      <c r="B774" s="7" t="s">
        <v>15419</v>
      </c>
      <c r="C774" s="7" t="s">
        <v>1271</v>
      </c>
      <c r="D774" s="7" t="s">
        <v>321</v>
      </c>
      <c r="E774" s="7" t="s">
        <v>154</v>
      </c>
      <c r="F774" s="39" t="n">
        <v>45698</v>
      </c>
      <c r="G774" s="41" t="n">
        <v>105.2</v>
      </c>
      <c r="H774" s="39" t="n">
        <v>45807</v>
      </c>
      <c r="I774" s="7" t="s">
        <v>14651</v>
      </c>
      <c r="J774" s="8" t="str">
        <f aca="false">IF(I774="Open",DATE(2025,12,31)-F774,"-")</f>
        <v>-</v>
      </c>
    </row>
    <row r="775" customFormat="false" ht="15" hidden="false" customHeight="false" outlineLevel="0" collapsed="false">
      <c r="B775" s="7" t="s">
        <v>15420</v>
      </c>
      <c r="C775" s="7" t="s">
        <v>1272</v>
      </c>
      <c r="D775" s="7" t="s">
        <v>325</v>
      </c>
      <c r="E775" s="7" t="s">
        <v>154</v>
      </c>
      <c r="F775" s="39" t="n">
        <v>45698</v>
      </c>
      <c r="G775" s="41" t="n">
        <v>79.5</v>
      </c>
      <c r="H775" s="39" t="n">
        <v>45748</v>
      </c>
      <c r="I775" s="7" t="s">
        <v>14651</v>
      </c>
      <c r="J775" s="8" t="str">
        <f aca="false">IF(I775="Open",DATE(2025,12,31)-F775,"-")</f>
        <v>-</v>
      </c>
    </row>
    <row r="776" customFormat="false" ht="15" hidden="false" customHeight="false" outlineLevel="0" collapsed="false">
      <c r="B776" s="7" t="s">
        <v>15421</v>
      </c>
      <c r="C776" s="7" t="s">
        <v>1273</v>
      </c>
      <c r="D776" s="7" t="s">
        <v>329</v>
      </c>
      <c r="E776" s="7" t="s">
        <v>156</v>
      </c>
      <c r="F776" s="39" t="n">
        <v>45698</v>
      </c>
      <c r="G776" s="41" t="n">
        <v>138.38</v>
      </c>
      <c r="H776" s="39" t="n">
        <v>45709</v>
      </c>
      <c r="I776" s="7" t="s">
        <v>14651</v>
      </c>
      <c r="J776" s="8" t="str">
        <f aca="false">IF(I776="Open",DATE(2025,12,31)-F776,"-")</f>
        <v>-</v>
      </c>
    </row>
    <row r="777" customFormat="false" ht="15" hidden="false" customHeight="false" outlineLevel="0" collapsed="false">
      <c r="B777" s="7" t="s">
        <v>15422</v>
      </c>
      <c r="C777" s="7" t="s">
        <v>1274</v>
      </c>
      <c r="D777" s="7" t="s">
        <v>331</v>
      </c>
      <c r="E777" s="7" t="s">
        <v>156</v>
      </c>
      <c r="F777" s="39" t="n">
        <v>45698</v>
      </c>
      <c r="G777" s="41" t="n">
        <v>125.8</v>
      </c>
      <c r="H777" s="39" t="n">
        <v>45704</v>
      </c>
      <c r="I777" s="7" t="s">
        <v>14651</v>
      </c>
      <c r="J777" s="8" t="str">
        <f aca="false">IF(I777="Open",DATE(2025,12,31)-F777,"-")</f>
        <v>-</v>
      </c>
    </row>
    <row r="778" customFormat="false" ht="15" hidden="false" customHeight="false" outlineLevel="0" collapsed="false">
      <c r="B778" s="7" t="s">
        <v>15423</v>
      </c>
      <c r="C778" s="7" t="s">
        <v>1275</v>
      </c>
      <c r="D778" s="7" t="s">
        <v>335</v>
      </c>
      <c r="E778" s="7" t="s">
        <v>154</v>
      </c>
      <c r="F778" s="39" t="n">
        <v>45698</v>
      </c>
      <c r="G778" s="41" t="n">
        <v>115.01</v>
      </c>
      <c r="H778" s="39" t="n">
        <v>45741</v>
      </c>
      <c r="I778" s="7" t="s">
        <v>14651</v>
      </c>
      <c r="J778" s="8" t="str">
        <f aca="false">IF(I778="Open",DATE(2025,12,31)-F778,"-")</f>
        <v>-</v>
      </c>
    </row>
    <row r="779" customFormat="false" ht="15" hidden="false" customHeight="false" outlineLevel="0" collapsed="false">
      <c r="B779" s="7" t="s">
        <v>15424</v>
      </c>
      <c r="C779" s="7" t="s">
        <v>1276</v>
      </c>
      <c r="D779" s="7" t="s">
        <v>337</v>
      </c>
      <c r="E779" s="7" t="s">
        <v>154</v>
      </c>
      <c r="F779" s="39" t="n">
        <v>45698</v>
      </c>
      <c r="G779" s="41" t="n">
        <v>76.85</v>
      </c>
      <c r="H779" s="39" t="n">
        <v>45754</v>
      </c>
      <c r="I779" s="7" t="s">
        <v>14651</v>
      </c>
      <c r="J779" s="8" t="str">
        <f aca="false">IF(I779="Open",DATE(2025,12,31)-F779,"-")</f>
        <v>-</v>
      </c>
    </row>
    <row r="780" customFormat="false" ht="15" hidden="false" customHeight="false" outlineLevel="0" collapsed="false">
      <c r="B780" s="7" t="s">
        <v>15425</v>
      </c>
      <c r="C780" s="7" t="s">
        <v>1277</v>
      </c>
      <c r="D780" s="7" t="s">
        <v>339</v>
      </c>
      <c r="E780" s="7" t="s">
        <v>154</v>
      </c>
      <c r="F780" s="39" t="n">
        <v>45698</v>
      </c>
      <c r="G780" s="41" t="n">
        <v>96.19</v>
      </c>
      <c r="H780" s="39" t="n">
        <v>45759</v>
      </c>
      <c r="I780" s="7" t="s">
        <v>14651</v>
      </c>
      <c r="J780" s="8" t="str">
        <f aca="false">IF(I780="Open",DATE(2025,12,31)-F780,"-")</f>
        <v>-</v>
      </c>
    </row>
    <row r="781" customFormat="false" ht="15" hidden="false" customHeight="false" outlineLevel="0" collapsed="false">
      <c r="B781" s="7" t="s">
        <v>15426</v>
      </c>
      <c r="C781" s="7" t="s">
        <v>1278</v>
      </c>
      <c r="D781" s="7" t="s">
        <v>341</v>
      </c>
      <c r="E781" s="7" t="s">
        <v>156</v>
      </c>
      <c r="F781" s="39" t="n">
        <v>45698</v>
      </c>
      <c r="G781" s="41" t="n">
        <v>94.18</v>
      </c>
      <c r="H781" s="39" t="n">
        <v>45711</v>
      </c>
      <c r="I781" s="7" t="s">
        <v>14651</v>
      </c>
      <c r="J781" s="8" t="str">
        <f aca="false">IF(I781="Open",DATE(2025,12,31)-F781,"-")</f>
        <v>-</v>
      </c>
    </row>
    <row r="782" customFormat="false" ht="15" hidden="false" customHeight="false" outlineLevel="0" collapsed="false">
      <c r="B782" s="7" t="s">
        <v>15427</v>
      </c>
      <c r="C782" s="7" t="s">
        <v>1279</v>
      </c>
      <c r="D782" s="7" t="s">
        <v>343</v>
      </c>
      <c r="E782" s="7" t="s">
        <v>154</v>
      </c>
      <c r="F782" s="39" t="n">
        <v>45698</v>
      </c>
      <c r="G782" s="41" t="n">
        <v>102.03</v>
      </c>
      <c r="H782" s="39" t="n">
        <v>45793</v>
      </c>
      <c r="I782" s="7" t="s">
        <v>14651</v>
      </c>
      <c r="J782" s="8" t="str">
        <f aca="false">IF(I782="Open",DATE(2025,12,31)-F782,"-")</f>
        <v>-</v>
      </c>
    </row>
    <row r="783" customFormat="false" ht="15" hidden="false" customHeight="false" outlineLevel="0" collapsed="false">
      <c r="B783" s="7" t="s">
        <v>15428</v>
      </c>
      <c r="C783" s="7" t="s">
        <v>1280</v>
      </c>
      <c r="D783" s="7" t="s">
        <v>353</v>
      </c>
      <c r="E783" s="7" t="s">
        <v>154</v>
      </c>
      <c r="F783" s="39" t="n">
        <v>45698</v>
      </c>
      <c r="G783" s="41" t="n">
        <v>93.02</v>
      </c>
      <c r="H783" s="39" t="n">
        <v>45720</v>
      </c>
      <c r="I783" s="7" t="s">
        <v>14651</v>
      </c>
      <c r="J783" s="8" t="str">
        <f aca="false">IF(I783="Open",DATE(2025,12,31)-F783,"-")</f>
        <v>-</v>
      </c>
    </row>
    <row r="784" customFormat="false" ht="15" hidden="false" customHeight="false" outlineLevel="0" collapsed="false">
      <c r="B784" s="7" t="s">
        <v>15429</v>
      </c>
      <c r="C784" s="7" t="s">
        <v>1281</v>
      </c>
      <c r="D784" s="7" t="s">
        <v>355</v>
      </c>
      <c r="E784" s="7" t="s">
        <v>154</v>
      </c>
      <c r="F784" s="39" t="n">
        <v>45698</v>
      </c>
      <c r="G784" s="41" t="n">
        <v>94.6</v>
      </c>
      <c r="H784" s="39" t="n">
        <v>45774</v>
      </c>
      <c r="I784" s="7" t="s">
        <v>14651</v>
      </c>
      <c r="J784" s="8" t="str">
        <f aca="false">IF(I784="Open",DATE(2025,12,31)-F784,"-")</f>
        <v>-</v>
      </c>
    </row>
    <row r="785" customFormat="false" ht="15" hidden="false" customHeight="false" outlineLevel="0" collapsed="false">
      <c r="B785" s="7" t="s">
        <v>15430</v>
      </c>
      <c r="C785" s="7" t="s">
        <v>1282</v>
      </c>
      <c r="D785" s="7" t="s">
        <v>357</v>
      </c>
      <c r="E785" s="7" t="s">
        <v>154</v>
      </c>
      <c r="F785" s="39" t="n">
        <v>45698</v>
      </c>
      <c r="G785" s="41" t="n">
        <v>84.8</v>
      </c>
      <c r="H785" s="39" t="n">
        <v>45782</v>
      </c>
      <c r="I785" s="7" t="s">
        <v>14651</v>
      </c>
      <c r="J785" s="8" t="str">
        <f aca="false">IF(I785="Open",DATE(2025,12,31)-F785,"-")</f>
        <v>-</v>
      </c>
    </row>
    <row r="786" customFormat="false" ht="15" hidden="false" customHeight="false" outlineLevel="0" collapsed="false">
      <c r="B786" s="7" t="s">
        <v>15431</v>
      </c>
      <c r="C786" s="7" t="s">
        <v>1283</v>
      </c>
      <c r="D786" s="7" t="s">
        <v>359</v>
      </c>
      <c r="E786" s="7" t="s">
        <v>156</v>
      </c>
      <c r="F786" s="39" t="n">
        <v>45698</v>
      </c>
      <c r="G786" s="41" t="n">
        <v>128.18</v>
      </c>
      <c r="H786" s="39" t="n">
        <v>45715</v>
      </c>
      <c r="I786" s="7" t="s">
        <v>14651</v>
      </c>
      <c r="J786" s="8" t="str">
        <f aca="false">IF(I786="Open",DATE(2025,12,31)-F786,"-")</f>
        <v>-</v>
      </c>
    </row>
    <row r="787" customFormat="false" ht="15" hidden="false" customHeight="false" outlineLevel="0" collapsed="false">
      <c r="B787" s="7" t="s">
        <v>15432</v>
      </c>
      <c r="C787" s="7" t="s">
        <v>1284</v>
      </c>
      <c r="D787" s="7" t="s">
        <v>363</v>
      </c>
      <c r="E787" s="7" t="s">
        <v>156</v>
      </c>
      <c r="F787" s="39" t="n">
        <v>45698</v>
      </c>
      <c r="G787" s="41" t="n">
        <v>141.78</v>
      </c>
      <c r="H787" s="39" t="n">
        <v>45705</v>
      </c>
      <c r="I787" s="7" t="s">
        <v>14651</v>
      </c>
      <c r="J787" s="8" t="str">
        <f aca="false">IF(I787="Open",DATE(2025,12,31)-F787,"-")</f>
        <v>-</v>
      </c>
    </row>
    <row r="788" customFormat="false" ht="15" hidden="false" customHeight="false" outlineLevel="0" collapsed="false">
      <c r="B788" s="7" t="s">
        <v>15433</v>
      </c>
      <c r="C788" s="7" t="s">
        <v>1285</v>
      </c>
      <c r="D788" s="7" t="s">
        <v>371</v>
      </c>
      <c r="E788" s="7" t="s">
        <v>154</v>
      </c>
      <c r="F788" s="39" t="n">
        <v>45698</v>
      </c>
      <c r="G788" s="41" t="n">
        <v>112.62</v>
      </c>
      <c r="H788" s="39" t="n">
        <v>45795</v>
      </c>
      <c r="I788" s="7" t="s">
        <v>14651</v>
      </c>
      <c r="J788" s="8" t="str">
        <f aca="false">IF(I788="Open",DATE(2025,12,31)-F788,"-")</f>
        <v>-</v>
      </c>
    </row>
    <row r="789" customFormat="false" ht="15" hidden="false" customHeight="false" outlineLevel="0" collapsed="false">
      <c r="B789" s="7" t="s">
        <v>15434</v>
      </c>
      <c r="C789" s="7" t="s">
        <v>1286</v>
      </c>
      <c r="D789" s="7" t="s">
        <v>375</v>
      </c>
      <c r="E789" s="7" t="s">
        <v>156</v>
      </c>
      <c r="F789" s="39" t="n">
        <v>45698</v>
      </c>
      <c r="G789" s="41" t="n">
        <v>95.2</v>
      </c>
      <c r="H789" s="39" t="n">
        <v>45709</v>
      </c>
      <c r="I789" s="7" t="s">
        <v>14651</v>
      </c>
      <c r="J789" s="8" t="str">
        <f aca="false">IF(I789="Open",DATE(2025,12,31)-F789,"-")</f>
        <v>-</v>
      </c>
    </row>
    <row r="790" customFormat="false" ht="15" hidden="false" customHeight="false" outlineLevel="0" collapsed="false">
      <c r="B790" s="7" t="s">
        <v>15435</v>
      </c>
      <c r="C790" s="7" t="s">
        <v>1287</v>
      </c>
      <c r="D790" s="7" t="s">
        <v>377</v>
      </c>
      <c r="E790" s="7" t="s">
        <v>154</v>
      </c>
      <c r="F790" s="39" t="n">
        <v>45698</v>
      </c>
      <c r="G790" s="41" t="n">
        <v>103.85</v>
      </c>
      <c r="H790" s="39" t="n">
        <v>45729</v>
      </c>
      <c r="I790" s="7" t="s">
        <v>14651</v>
      </c>
      <c r="J790" s="8" t="str">
        <f aca="false">IF(I790="Open",DATE(2025,12,31)-F790,"-")</f>
        <v>-</v>
      </c>
    </row>
    <row r="791" customFormat="false" ht="15" hidden="false" customHeight="false" outlineLevel="0" collapsed="false">
      <c r="B791" s="7" t="s">
        <v>15436</v>
      </c>
      <c r="C791" s="7" t="s">
        <v>1288</v>
      </c>
      <c r="D791" s="7" t="s">
        <v>379</v>
      </c>
      <c r="E791" s="7" t="s">
        <v>156</v>
      </c>
      <c r="F791" s="39" t="n">
        <v>45698</v>
      </c>
      <c r="G791" s="41" t="n">
        <v>146.2</v>
      </c>
      <c r="H791" s="39" t="n">
        <v>45715</v>
      </c>
      <c r="I791" s="7" t="s">
        <v>14651</v>
      </c>
      <c r="J791" s="8" t="str">
        <f aca="false">IF(I791="Open",DATE(2025,12,31)-F791,"-")</f>
        <v>-</v>
      </c>
    </row>
    <row r="792" customFormat="false" ht="15" hidden="false" customHeight="false" outlineLevel="0" collapsed="false">
      <c r="B792" s="7" t="s">
        <v>15437</v>
      </c>
      <c r="C792" s="7" t="s">
        <v>1289</v>
      </c>
      <c r="D792" s="7" t="s">
        <v>389</v>
      </c>
      <c r="E792" s="7" t="s">
        <v>154</v>
      </c>
      <c r="F792" s="39" t="n">
        <v>45698</v>
      </c>
      <c r="G792" s="41" t="n">
        <v>96.72</v>
      </c>
      <c r="H792" s="39" t="n">
        <v>45770</v>
      </c>
      <c r="I792" s="7" t="s">
        <v>14651</v>
      </c>
      <c r="J792" s="8" t="str">
        <f aca="false">IF(I792="Open",DATE(2025,12,31)-F792,"-")</f>
        <v>-</v>
      </c>
    </row>
    <row r="793" customFormat="false" ht="15" hidden="false" customHeight="false" outlineLevel="0" collapsed="false">
      <c r="B793" s="7" t="s">
        <v>15438</v>
      </c>
      <c r="C793" s="7" t="s">
        <v>1290</v>
      </c>
      <c r="D793" s="7" t="s">
        <v>391</v>
      </c>
      <c r="E793" s="7" t="s">
        <v>156</v>
      </c>
      <c r="F793" s="39" t="n">
        <v>45698</v>
      </c>
      <c r="G793" s="41" t="n">
        <v>127.84</v>
      </c>
      <c r="H793" s="39" t="n">
        <v>45707</v>
      </c>
      <c r="I793" s="7" t="s">
        <v>14651</v>
      </c>
      <c r="J793" s="8" t="str">
        <f aca="false">IF(I793="Open",DATE(2025,12,31)-F793,"-")</f>
        <v>-</v>
      </c>
    </row>
    <row r="794" customFormat="false" ht="15" hidden="false" customHeight="false" outlineLevel="0" collapsed="false">
      <c r="B794" s="7" t="s">
        <v>15439</v>
      </c>
      <c r="C794" s="7" t="s">
        <v>1291</v>
      </c>
      <c r="D794" s="7" t="s">
        <v>395</v>
      </c>
      <c r="E794" s="7" t="s">
        <v>156</v>
      </c>
      <c r="F794" s="39" t="n">
        <v>45698</v>
      </c>
      <c r="G794" s="41" t="n">
        <v>147.9</v>
      </c>
      <c r="H794" s="39" t="n">
        <v>45700</v>
      </c>
      <c r="I794" s="7" t="s">
        <v>14651</v>
      </c>
      <c r="J794" s="8" t="str">
        <f aca="false">IF(I794="Open",DATE(2025,12,31)-F794,"-")</f>
        <v>-</v>
      </c>
    </row>
    <row r="795" customFormat="false" ht="15" hidden="false" customHeight="false" outlineLevel="0" collapsed="false">
      <c r="B795" s="7" t="s">
        <v>15440</v>
      </c>
      <c r="C795" s="7" t="s">
        <v>1292</v>
      </c>
      <c r="D795" s="7" t="s">
        <v>399</v>
      </c>
      <c r="E795" s="7" t="s">
        <v>154</v>
      </c>
      <c r="F795" s="39" t="n">
        <v>45698</v>
      </c>
      <c r="G795" s="41" t="n">
        <v>95.66</v>
      </c>
      <c r="H795" s="39" t="n">
        <v>45756</v>
      </c>
      <c r="I795" s="7" t="s">
        <v>14651</v>
      </c>
      <c r="J795" s="8" t="str">
        <f aca="false">IF(I795="Open",DATE(2025,12,31)-F795,"-")</f>
        <v>-</v>
      </c>
    </row>
    <row r="796" customFormat="false" ht="15" hidden="false" customHeight="false" outlineLevel="0" collapsed="false">
      <c r="B796" s="7" t="s">
        <v>15441</v>
      </c>
      <c r="C796" s="7" t="s">
        <v>1293</v>
      </c>
      <c r="D796" s="7" t="s">
        <v>401</v>
      </c>
      <c r="E796" s="7" t="s">
        <v>156</v>
      </c>
      <c r="F796" s="39" t="n">
        <v>45698</v>
      </c>
      <c r="G796" s="41" t="n">
        <v>127.84</v>
      </c>
      <c r="H796" s="39" t="n">
        <v>45712</v>
      </c>
      <c r="I796" s="7" t="s">
        <v>14651</v>
      </c>
      <c r="J796" s="8" t="str">
        <f aca="false">IF(I796="Open",DATE(2025,12,31)-F796,"-")</f>
        <v>-</v>
      </c>
    </row>
    <row r="797" customFormat="false" ht="15" hidden="false" customHeight="false" outlineLevel="0" collapsed="false">
      <c r="B797" s="7" t="s">
        <v>15442</v>
      </c>
      <c r="C797" s="7" t="s">
        <v>1294</v>
      </c>
      <c r="D797" s="7" t="s">
        <v>409</v>
      </c>
      <c r="E797" s="7" t="s">
        <v>154</v>
      </c>
      <c r="F797" s="39" t="n">
        <v>45698</v>
      </c>
      <c r="G797" s="41" t="n">
        <v>81.09</v>
      </c>
      <c r="H797" s="39" t="n">
        <v>45754</v>
      </c>
      <c r="I797" s="7" t="s">
        <v>14651</v>
      </c>
      <c r="J797" s="8" t="str">
        <f aca="false">IF(I797="Open",DATE(2025,12,31)-F797,"-")</f>
        <v>-</v>
      </c>
    </row>
    <row r="798" customFormat="false" ht="15" hidden="false" customHeight="false" outlineLevel="0" collapsed="false">
      <c r="B798" s="7" t="s">
        <v>15443</v>
      </c>
      <c r="C798" s="7" t="s">
        <v>1295</v>
      </c>
      <c r="D798" s="7" t="s">
        <v>411</v>
      </c>
      <c r="E798" s="7" t="s">
        <v>154</v>
      </c>
      <c r="F798" s="39" t="n">
        <v>45698</v>
      </c>
      <c r="G798" s="41" t="n">
        <v>110.8</v>
      </c>
      <c r="H798" s="39" t="n">
        <v>45738</v>
      </c>
      <c r="I798" s="7" t="s">
        <v>14651</v>
      </c>
      <c r="J798" s="8" t="str">
        <f aca="false">IF(I798="Open",DATE(2025,12,31)-F798,"-")</f>
        <v>-</v>
      </c>
    </row>
    <row r="799" customFormat="false" ht="15" hidden="false" customHeight="false" outlineLevel="0" collapsed="false">
      <c r="B799" s="7" t="s">
        <v>15444</v>
      </c>
      <c r="C799" s="7" t="s">
        <v>1296</v>
      </c>
      <c r="D799" s="7" t="s">
        <v>288</v>
      </c>
      <c r="E799" s="7" t="s">
        <v>156</v>
      </c>
      <c r="F799" s="39" t="n">
        <v>45699</v>
      </c>
      <c r="G799" s="41" t="n">
        <v>147.56</v>
      </c>
      <c r="H799" s="39" t="n">
        <v>45705</v>
      </c>
      <c r="I799" s="7" t="s">
        <v>14651</v>
      </c>
      <c r="J799" s="8" t="str">
        <f aca="false">IF(I799="Open",DATE(2025,12,31)-F799,"-")</f>
        <v>-</v>
      </c>
    </row>
    <row r="800" customFormat="false" ht="15" hidden="false" customHeight="false" outlineLevel="0" collapsed="false">
      <c r="B800" s="7" t="s">
        <v>15445</v>
      </c>
      <c r="C800" s="7" t="s">
        <v>1297</v>
      </c>
      <c r="D800" s="7" t="s">
        <v>301</v>
      </c>
      <c r="E800" s="7" t="s">
        <v>157</v>
      </c>
      <c r="F800" s="39" t="n">
        <v>45699</v>
      </c>
      <c r="G800" s="41" t="n">
        <v>165</v>
      </c>
      <c r="H800" s="39" t="n">
        <v>45754</v>
      </c>
      <c r="I800" s="7" t="s">
        <v>14651</v>
      </c>
      <c r="J800" s="8" t="str">
        <f aca="false">IF(I800="Open",DATE(2025,12,31)-F800,"-")</f>
        <v>-</v>
      </c>
    </row>
    <row r="801" customFormat="false" ht="15" hidden="false" customHeight="false" outlineLevel="0" collapsed="false">
      <c r="B801" s="7" t="s">
        <v>15446</v>
      </c>
      <c r="C801" s="7" t="s">
        <v>1298</v>
      </c>
      <c r="D801" s="7" t="s">
        <v>313</v>
      </c>
      <c r="E801" s="7" t="s">
        <v>156</v>
      </c>
      <c r="F801" s="39" t="n">
        <v>45699</v>
      </c>
      <c r="G801" s="41" t="n">
        <v>131.92</v>
      </c>
      <c r="H801" s="39" t="n">
        <v>45703</v>
      </c>
      <c r="I801" s="7" t="s">
        <v>14651</v>
      </c>
      <c r="J801" s="8" t="str">
        <f aca="false">IF(I801="Open",DATE(2025,12,31)-F801,"-")</f>
        <v>-</v>
      </c>
    </row>
    <row r="802" customFormat="false" ht="15" hidden="false" customHeight="false" outlineLevel="0" collapsed="false">
      <c r="B802" s="7" t="s">
        <v>15447</v>
      </c>
      <c r="C802" s="7" t="s">
        <v>1299</v>
      </c>
      <c r="D802" s="7" t="s">
        <v>319</v>
      </c>
      <c r="E802" s="7" t="s">
        <v>157</v>
      </c>
      <c r="F802" s="39" t="n">
        <v>45699</v>
      </c>
      <c r="G802" s="41" t="n">
        <v>163.35</v>
      </c>
      <c r="H802" s="39" t="n">
        <v>45746</v>
      </c>
      <c r="I802" s="7" t="s">
        <v>14651</v>
      </c>
      <c r="J802" s="8" t="str">
        <f aca="false">IF(I802="Open",DATE(2025,12,31)-F802,"-")</f>
        <v>-</v>
      </c>
    </row>
    <row r="803" customFormat="false" ht="15" hidden="false" customHeight="false" outlineLevel="0" collapsed="false">
      <c r="B803" s="7" t="s">
        <v>15448</v>
      </c>
      <c r="C803" s="7" t="s">
        <v>1300</v>
      </c>
      <c r="D803" s="7" t="s">
        <v>321</v>
      </c>
      <c r="E803" s="7" t="s">
        <v>154</v>
      </c>
      <c r="F803" s="39" t="n">
        <v>45699</v>
      </c>
      <c r="G803" s="41" t="n">
        <v>108.38</v>
      </c>
      <c r="H803" s="39" t="n">
        <v>45726</v>
      </c>
      <c r="I803" s="7" t="s">
        <v>14651</v>
      </c>
      <c r="J803" s="8" t="str">
        <f aca="false">IF(I803="Open",DATE(2025,12,31)-F803,"-")</f>
        <v>-</v>
      </c>
    </row>
    <row r="804" customFormat="false" ht="15" hidden="false" customHeight="false" outlineLevel="0" collapsed="false">
      <c r="B804" s="7" t="s">
        <v>15449</v>
      </c>
      <c r="C804" s="7" t="s">
        <v>1301</v>
      </c>
      <c r="D804" s="7" t="s">
        <v>323</v>
      </c>
      <c r="E804" s="7" t="s">
        <v>159</v>
      </c>
      <c r="F804" s="39" t="n">
        <v>45699</v>
      </c>
      <c r="G804" s="41" t="n">
        <v>135.54</v>
      </c>
      <c r="H804" s="39" t="n">
        <v>45742</v>
      </c>
      <c r="I804" s="7" t="s">
        <v>14651</v>
      </c>
      <c r="J804" s="8" t="str">
        <f aca="false">IF(I804="Open",DATE(2025,12,31)-F804,"-")</f>
        <v>-</v>
      </c>
    </row>
    <row r="805" customFormat="false" ht="15" hidden="false" customHeight="false" outlineLevel="0" collapsed="false">
      <c r="B805" s="7" t="s">
        <v>15450</v>
      </c>
      <c r="C805" s="7" t="s">
        <v>1302</v>
      </c>
      <c r="D805" s="7" t="s">
        <v>327</v>
      </c>
      <c r="E805" s="7" t="s">
        <v>157</v>
      </c>
      <c r="F805" s="39" t="n">
        <v>45699</v>
      </c>
      <c r="G805" s="41" t="n">
        <v>161.7</v>
      </c>
      <c r="H805" s="39" t="n">
        <v>45794</v>
      </c>
      <c r="I805" s="7" t="s">
        <v>14651</v>
      </c>
      <c r="J805" s="8" t="str">
        <f aca="false">IF(I805="Open",DATE(2025,12,31)-F805,"-")</f>
        <v>-</v>
      </c>
    </row>
    <row r="806" customFormat="false" ht="15" hidden="false" customHeight="false" outlineLevel="0" collapsed="false">
      <c r="B806" s="7" t="s">
        <v>15451</v>
      </c>
      <c r="C806" s="7" t="s">
        <v>1303</v>
      </c>
      <c r="D806" s="7" t="s">
        <v>329</v>
      </c>
      <c r="E806" s="7" t="s">
        <v>156</v>
      </c>
      <c r="F806" s="39" t="n">
        <v>45699</v>
      </c>
      <c r="G806" s="41" t="n">
        <v>144.16</v>
      </c>
      <c r="H806" s="39" t="n">
        <v>45713</v>
      </c>
      <c r="I806" s="7" t="s">
        <v>14651</v>
      </c>
      <c r="J806" s="8" t="str">
        <f aca="false">IF(I806="Open",DATE(2025,12,31)-F806,"-")</f>
        <v>-</v>
      </c>
    </row>
    <row r="807" customFormat="false" ht="15" hidden="false" customHeight="false" outlineLevel="0" collapsed="false">
      <c r="B807" s="7" t="s">
        <v>15452</v>
      </c>
      <c r="C807" s="7" t="s">
        <v>1304</v>
      </c>
      <c r="D807" s="7" t="s">
        <v>361</v>
      </c>
      <c r="E807" s="7" t="s">
        <v>157</v>
      </c>
      <c r="F807" s="39" t="n">
        <v>45699</v>
      </c>
      <c r="G807" s="41" t="n">
        <v>174.9</v>
      </c>
      <c r="H807" s="39" t="n">
        <v>45747</v>
      </c>
      <c r="I807" s="7" t="s">
        <v>14651</v>
      </c>
      <c r="J807" s="8" t="str">
        <f aca="false">IF(I807="Open",DATE(2025,12,31)-F807,"-")</f>
        <v>-</v>
      </c>
    </row>
    <row r="808" customFormat="false" ht="15" hidden="false" customHeight="false" outlineLevel="0" collapsed="false">
      <c r="B808" s="7" t="s">
        <v>15453</v>
      </c>
      <c r="C808" s="7" t="s">
        <v>1305</v>
      </c>
      <c r="D808" s="7" t="s">
        <v>381</v>
      </c>
      <c r="E808" s="7" t="s">
        <v>157</v>
      </c>
      <c r="F808" s="39" t="n">
        <v>45699</v>
      </c>
      <c r="G808" s="41" t="n">
        <v>165</v>
      </c>
      <c r="H808" s="39" t="n">
        <v>45720</v>
      </c>
      <c r="I808" s="7" t="s">
        <v>14651</v>
      </c>
      <c r="J808" s="8" t="str">
        <f aca="false">IF(I808="Open",DATE(2025,12,31)-F808,"-")</f>
        <v>-</v>
      </c>
    </row>
    <row r="809" customFormat="false" ht="15" hidden="false" customHeight="false" outlineLevel="0" collapsed="false">
      <c r="B809" s="7" t="s">
        <v>15454</v>
      </c>
      <c r="C809" s="7" t="s">
        <v>1306</v>
      </c>
      <c r="D809" s="7" t="s">
        <v>389</v>
      </c>
      <c r="E809" s="7" t="s">
        <v>154</v>
      </c>
      <c r="F809" s="39" t="n">
        <v>45699</v>
      </c>
      <c r="G809" s="41" t="n">
        <v>103.62</v>
      </c>
      <c r="H809" s="39" t="n">
        <v>45784</v>
      </c>
      <c r="I809" s="7" t="s">
        <v>14651</v>
      </c>
      <c r="J809" s="8" t="str">
        <f aca="false">IF(I809="Open",DATE(2025,12,31)-F809,"-")</f>
        <v>-</v>
      </c>
    </row>
    <row r="810" customFormat="false" ht="15" hidden="false" customHeight="false" outlineLevel="0" collapsed="false">
      <c r="B810" s="7" t="s">
        <v>15455</v>
      </c>
      <c r="C810" s="7" t="s">
        <v>1307</v>
      </c>
      <c r="D810" s="7" t="s">
        <v>391</v>
      </c>
      <c r="E810" s="7" t="s">
        <v>156</v>
      </c>
      <c r="F810" s="39" t="n">
        <v>45699</v>
      </c>
      <c r="G810" s="41" t="n">
        <v>128.52</v>
      </c>
      <c r="H810" s="39" t="n">
        <v>45715</v>
      </c>
      <c r="I810" s="7" t="s">
        <v>14651</v>
      </c>
      <c r="J810" s="8" t="str">
        <f aca="false">IF(I810="Open",DATE(2025,12,31)-F810,"-")</f>
        <v>-</v>
      </c>
    </row>
    <row r="811" customFormat="false" ht="15" hidden="false" customHeight="false" outlineLevel="0" collapsed="false">
      <c r="B811" s="7" t="s">
        <v>15456</v>
      </c>
      <c r="C811" s="7" t="s">
        <v>1308</v>
      </c>
      <c r="D811" s="7" t="s">
        <v>395</v>
      </c>
      <c r="E811" s="7" t="s">
        <v>156</v>
      </c>
      <c r="F811" s="39" t="n">
        <v>45699</v>
      </c>
      <c r="G811" s="41" t="n">
        <v>124.1</v>
      </c>
      <c r="H811" s="39" t="n">
        <v>45717</v>
      </c>
      <c r="I811" s="7" t="s">
        <v>14651</v>
      </c>
      <c r="J811" s="8" t="str">
        <f aca="false">IF(I811="Open",DATE(2025,12,31)-F811,"-")</f>
        <v>-</v>
      </c>
    </row>
    <row r="812" customFormat="false" ht="15" hidden="false" customHeight="false" outlineLevel="0" collapsed="false">
      <c r="B812" s="7" t="s">
        <v>15457</v>
      </c>
      <c r="C812" s="7" t="s">
        <v>1309</v>
      </c>
      <c r="D812" s="7" t="s">
        <v>401</v>
      </c>
      <c r="E812" s="7" t="s">
        <v>156</v>
      </c>
      <c r="F812" s="39" t="n">
        <v>45699</v>
      </c>
      <c r="G812" s="41" t="n">
        <v>143.14</v>
      </c>
      <c r="H812" s="39" t="n">
        <v>45703</v>
      </c>
      <c r="I812" s="7" t="s">
        <v>14651</v>
      </c>
      <c r="J812" s="8" t="str">
        <f aca="false">IF(I812="Open",DATE(2025,12,31)-F812,"-")</f>
        <v>-</v>
      </c>
    </row>
    <row r="813" customFormat="false" ht="15" hidden="false" customHeight="false" outlineLevel="0" collapsed="false">
      <c r="B813" s="7" t="s">
        <v>15458</v>
      </c>
      <c r="C813" s="7" t="s">
        <v>1310</v>
      </c>
      <c r="D813" s="7" t="s">
        <v>407</v>
      </c>
      <c r="E813" s="7" t="s">
        <v>159</v>
      </c>
      <c r="F813" s="39" t="n">
        <v>45699</v>
      </c>
      <c r="G813" s="41" t="n">
        <v>124.2</v>
      </c>
      <c r="H813" s="39" t="n">
        <v>45746</v>
      </c>
      <c r="I813" s="7" t="s">
        <v>14651</v>
      </c>
      <c r="J813" s="8" t="str">
        <f aca="false">IF(I813="Open",DATE(2025,12,31)-F813,"-")</f>
        <v>-</v>
      </c>
    </row>
    <row r="814" customFormat="false" ht="15" hidden="false" customHeight="false" outlineLevel="0" collapsed="false">
      <c r="B814" s="7" t="s">
        <v>15459</v>
      </c>
      <c r="C814" s="7" t="s">
        <v>1311</v>
      </c>
      <c r="D814" s="7" t="s">
        <v>280</v>
      </c>
      <c r="E814" s="7" t="s">
        <v>157</v>
      </c>
      <c r="F814" s="39" t="n">
        <v>45700</v>
      </c>
      <c r="G814" s="41" t="n">
        <v>166.15</v>
      </c>
      <c r="H814" s="39" t="n">
        <v>45753</v>
      </c>
      <c r="I814" s="7" t="s">
        <v>14651</v>
      </c>
      <c r="J814" s="8" t="str">
        <f aca="false">IF(I814="Open",DATE(2025,12,31)-F814,"-")</f>
        <v>-</v>
      </c>
    </row>
    <row r="815" customFormat="false" ht="15" hidden="false" customHeight="false" outlineLevel="0" collapsed="false">
      <c r="B815" s="7" t="s">
        <v>15460</v>
      </c>
      <c r="C815" s="7" t="s">
        <v>1312</v>
      </c>
      <c r="D815" s="7" t="s">
        <v>286</v>
      </c>
      <c r="E815" s="7" t="s">
        <v>157</v>
      </c>
      <c r="F815" s="39" t="n">
        <v>45700</v>
      </c>
      <c r="G815" s="41" t="n">
        <v>181.5</v>
      </c>
      <c r="H815" s="39" t="n">
        <v>45751</v>
      </c>
      <c r="I815" s="7" t="s">
        <v>14651</v>
      </c>
      <c r="J815" s="8" t="str">
        <f aca="false">IF(I815="Open",DATE(2025,12,31)-F815,"-")</f>
        <v>-</v>
      </c>
    </row>
    <row r="816" customFormat="false" ht="15" hidden="false" customHeight="false" outlineLevel="0" collapsed="false">
      <c r="B816" s="7" t="s">
        <v>15461</v>
      </c>
      <c r="C816" s="7" t="s">
        <v>1313</v>
      </c>
      <c r="D816" s="7" t="s">
        <v>288</v>
      </c>
      <c r="E816" s="7" t="s">
        <v>156</v>
      </c>
      <c r="F816" s="39" t="n">
        <v>45700</v>
      </c>
      <c r="G816" s="41" t="n">
        <v>144.16</v>
      </c>
      <c r="H816" s="39" t="n">
        <v>45721</v>
      </c>
      <c r="I816" s="7" t="s">
        <v>14651</v>
      </c>
      <c r="J816" s="8" t="str">
        <f aca="false">IF(I816="Open",DATE(2025,12,31)-F816,"-")</f>
        <v>-</v>
      </c>
    </row>
    <row r="817" customFormat="false" ht="15" hidden="false" customHeight="false" outlineLevel="0" collapsed="false">
      <c r="B817" s="7" t="s">
        <v>15462</v>
      </c>
      <c r="C817" s="7" t="s">
        <v>1314</v>
      </c>
      <c r="D817" s="7" t="s">
        <v>291</v>
      </c>
      <c r="E817" s="7" t="s">
        <v>154</v>
      </c>
      <c r="F817" s="39" t="n">
        <v>45700</v>
      </c>
      <c r="G817" s="41" t="n">
        <v>132.24</v>
      </c>
      <c r="H817" s="39" t="n">
        <v>45807</v>
      </c>
      <c r="I817" s="7" t="s">
        <v>14651</v>
      </c>
      <c r="J817" s="8" t="str">
        <f aca="false">IF(I817="Open",DATE(2025,12,31)-F817,"-")</f>
        <v>-</v>
      </c>
    </row>
    <row r="818" customFormat="false" ht="15" hidden="false" customHeight="false" outlineLevel="0" collapsed="false">
      <c r="B818" s="7" t="s">
        <v>15463</v>
      </c>
      <c r="C818" s="7" t="s">
        <v>1315</v>
      </c>
      <c r="D818" s="7" t="s">
        <v>305</v>
      </c>
      <c r="E818" s="7" t="s">
        <v>154</v>
      </c>
      <c r="F818" s="39" t="n">
        <v>45700</v>
      </c>
      <c r="G818" s="41" t="n">
        <v>112.36</v>
      </c>
      <c r="H818" s="39" t="n">
        <v>45817</v>
      </c>
      <c r="I818" s="7" t="s">
        <v>14651</v>
      </c>
      <c r="J818" s="8" t="str">
        <f aca="false">IF(I818="Open",DATE(2025,12,31)-F818,"-")</f>
        <v>-</v>
      </c>
    </row>
    <row r="819" customFormat="false" ht="15" hidden="false" customHeight="false" outlineLevel="0" collapsed="false">
      <c r="B819" s="7" t="s">
        <v>15464</v>
      </c>
      <c r="C819" s="7" t="s">
        <v>1316</v>
      </c>
      <c r="D819" s="7" t="s">
        <v>309</v>
      </c>
      <c r="E819" s="7" t="s">
        <v>159</v>
      </c>
      <c r="F819" s="39" t="n">
        <v>45700</v>
      </c>
      <c r="G819" s="41" t="n">
        <v>122.85</v>
      </c>
      <c r="H819" s="39" t="n">
        <v>45742</v>
      </c>
      <c r="I819" s="7" t="s">
        <v>14651</v>
      </c>
      <c r="J819" s="8" t="str">
        <f aca="false">IF(I819="Open",DATE(2025,12,31)-F819,"-")</f>
        <v>-</v>
      </c>
    </row>
    <row r="820" customFormat="false" ht="15" hidden="false" customHeight="false" outlineLevel="0" collapsed="false">
      <c r="B820" s="7" t="s">
        <v>15465</v>
      </c>
      <c r="C820" s="7" t="s">
        <v>1317</v>
      </c>
      <c r="D820" s="7" t="s">
        <v>313</v>
      </c>
      <c r="E820" s="7" t="s">
        <v>156</v>
      </c>
      <c r="F820" s="39" t="n">
        <v>45700</v>
      </c>
      <c r="G820" s="41" t="n">
        <v>137.7</v>
      </c>
      <c r="H820" s="39" t="n">
        <v>45710</v>
      </c>
      <c r="I820" s="7" t="s">
        <v>14651</v>
      </c>
      <c r="J820" s="8" t="str">
        <f aca="false">IF(I820="Open",DATE(2025,12,31)-F820,"-")</f>
        <v>-</v>
      </c>
    </row>
    <row r="821" customFormat="false" ht="15" hidden="false" customHeight="false" outlineLevel="0" collapsed="false">
      <c r="B821" s="7" t="s">
        <v>15466</v>
      </c>
      <c r="C821" s="7" t="s">
        <v>1318</v>
      </c>
      <c r="D821" s="7" t="s">
        <v>321</v>
      </c>
      <c r="E821" s="7" t="s">
        <v>154</v>
      </c>
      <c r="F821" s="39" t="n">
        <v>45700</v>
      </c>
      <c r="G821" s="41" t="n">
        <v>116.33</v>
      </c>
      <c r="H821" s="39" t="n">
        <v>45735</v>
      </c>
      <c r="I821" s="7" t="s">
        <v>14651</v>
      </c>
      <c r="J821" s="8" t="str">
        <f aca="false">IF(I821="Open",DATE(2025,12,31)-F821,"-")</f>
        <v>-</v>
      </c>
    </row>
    <row r="822" customFormat="false" ht="15" hidden="false" customHeight="false" outlineLevel="0" collapsed="false">
      <c r="B822" s="7" t="s">
        <v>15467</v>
      </c>
      <c r="C822" s="7" t="s">
        <v>1319</v>
      </c>
      <c r="D822" s="7" t="s">
        <v>329</v>
      </c>
      <c r="E822" s="7" t="s">
        <v>156</v>
      </c>
      <c r="F822" s="39" t="n">
        <v>45700</v>
      </c>
      <c r="G822" s="41" t="n">
        <v>130.9</v>
      </c>
      <c r="H822" s="39" t="n">
        <v>45710</v>
      </c>
      <c r="I822" s="7" t="s">
        <v>14651</v>
      </c>
      <c r="J822" s="8" t="str">
        <f aca="false">IF(I822="Open",DATE(2025,12,31)-F822,"-")</f>
        <v>-</v>
      </c>
    </row>
    <row r="823" customFormat="false" ht="15" hidden="false" customHeight="false" outlineLevel="0" collapsed="false">
      <c r="B823" s="7" t="s">
        <v>15468</v>
      </c>
      <c r="C823" s="7" t="s">
        <v>1320</v>
      </c>
      <c r="D823" s="7" t="s">
        <v>335</v>
      </c>
      <c r="E823" s="7" t="s">
        <v>154</v>
      </c>
      <c r="F823" s="39" t="n">
        <v>45700</v>
      </c>
      <c r="G823" s="41" t="n">
        <v>100.44</v>
      </c>
      <c r="H823" s="39" t="n">
        <v>45755</v>
      </c>
      <c r="I823" s="7" t="s">
        <v>14651</v>
      </c>
      <c r="J823" s="8" t="str">
        <f aca="false">IF(I823="Open",DATE(2025,12,31)-F823,"-")</f>
        <v>-</v>
      </c>
    </row>
    <row r="824" customFormat="false" ht="15" hidden="false" customHeight="false" outlineLevel="0" collapsed="false">
      <c r="B824" s="7" t="s">
        <v>15469</v>
      </c>
      <c r="C824" s="7" t="s">
        <v>1321</v>
      </c>
      <c r="D824" s="7" t="s">
        <v>339</v>
      </c>
      <c r="E824" s="7" t="s">
        <v>154</v>
      </c>
      <c r="F824" s="39" t="n">
        <v>45700</v>
      </c>
      <c r="G824" s="41" t="n">
        <v>79.5</v>
      </c>
      <c r="H824" s="39" t="n">
        <v>45804</v>
      </c>
      <c r="I824" s="7" t="s">
        <v>14651</v>
      </c>
      <c r="J824" s="8" t="str">
        <f aca="false">IF(I824="Open",DATE(2025,12,31)-F824,"-")</f>
        <v>-</v>
      </c>
    </row>
    <row r="825" customFormat="false" ht="15" hidden="false" customHeight="false" outlineLevel="0" collapsed="false">
      <c r="B825" s="7" t="s">
        <v>15470</v>
      </c>
      <c r="C825" s="7" t="s">
        <v>1322</v>
      </c>
      <c r="D825" s="7" t="s">
        <v>353</v>
      </c>
      <c r="E825" s="7" t="s">
        <v>154</v>
      </c>
      <c r="F825" s="39" t="n">
        <v>45700</v>
      </c>
      <c r="G825" s="41" t="n">
        <v>81.88</v>
      </c>
      <c r="H825" s="39" t="n">
        <v>45746</v>
      </c>
      <c r="I825" s="7" t="s">
        <v>14651</v>
      </c>
      <c r="J825" s="8" t="str">
        <f aca="false">IF(I825="Open",DATE(2025,12,31)-F825,"-")</f>
        <v>-</v>
      </c>
    </row>
    <row r="826" customFormat="false" ht="15" hidden="false" customHeight="false" outlineLevel="0" collapsed="false">
      <c r="B826" s="7" t="s">
        <v>15471</v>
      </c>
      <c r="C826" s="7" t="s">
        <v>1323</v>
      </c>
      <c r="D826" s="7" t="s">
        <v>355</v>
      </c>
      <c r="E826" s="7" t="s">
        <v>154</v>
      </c>
      <c r="F826" s="39" t="n">
        <v>45700</v>
      </c>
      <c r="G826" s="41" t="n">
        <v>91.5</v>
      </c>
      <c r="H826" s="39" t="n">
        <v>45809</v>
      </c>
      <c r="I826" s="7" t="s">
        <v>14651</v>
      </c>
      <c r="J826" s="8" t="str">
        <f aca="false">IF(I826="Open",DATE(2025,12,31)-F826,"-")</f>
        <v>-</v>
      </c>
    </row>
    <row r="827" customFormat="false" ht="15" hidden="false" customHeight="false" outlineLevel="0" collapsed="false">
      <c r="B827" s="7" t="s">
        <v>15472</v>
      </c>
      <c r="C827" s="7" t="s">
        <v>1324</v>
      </c>
      <c r="D827" s="7" t="s">
        <v>357</v>
      </c>
      <c r="E827" s="7" t="s">
        <v>154</v>
      </c>
      <c r="F827" s="39" t="n">
        <v>45700</v>
      </c>
      <c r="G827" s="41" t="n">
        <v>89.84</v>
      </c>
      <c r="H827" s="39" t="n">
        <v>45804</v>
      </c>
      <c r="I827" s="7" t="s">
        <v>14651</v>
      </c>
      <c r="J827" s="8" t="str">
        <f aca="false">IF(I827="Open",DATE(2025,12,31)-F827,"-")</f>
        <v>-</v>
      </c>
    </row>
    <row r="828" customFormat="false" ht="15" hidden="false" customHeight="false" outlineLevel="0" collapsed="false">
      <c r="B828" s="7" t="s">
        <v>15473</v>
      </c>
      <c r="C828" s="7" t="s">
        <v>1325</v>
      </c>
      <c r="D828" s="7" t="s">
        <v>359</v>
      </c>
      <c r="E828" s="7" t="s">
        <v>156</v>
      </c>
      <c r="F828" s="39" t="n">
        <v>45700</v>
      </c>
      <c r="G828" s="41" t="n">
        <v>145.52</v>
      </c>
      <c r="H828" s="39" t="n">
        <v>45713</v>
      </c>
      <c r="I828" s="7" t="s">
        <v>14651</v>
      </c>
      <c r="J828" s="8" t="str">
        <f aca="false">IF(I828="Open",DATE(2025,12,31)-F828,"-")</f>
        <v>-</v>
      </c>
    </row>
    <row r="829" customFormat="false" ht="15" hidden="false" customHeight="false" outlineLevel="0" collapsed="false">
      <c r="B829" s="7" t="s">
        <v>15474</v>
      </c>
      <c r="C829" s="7" t="s">
        <v>1326</v>
      </c>
      <c r="D829" s="7" t="s">
        <v>371</v>
      </c>
      <c r="E829" s="7" t="s">
        <v>154</v>
      </c>
      <c r="F829" s="39" t="n">
        <v>45700</v>
      </c>
      <c r="G829" s="41" t="n">
        <v>120.57</v>
      </c>
      <c r="H829" s="39" t="n">
        <v>45802</v>
      </c>
      <c r="I829" s="7" t="s">
        <v>14651</v>
      </c>
      <c r="J829" s="8" t="str">
        <f aca="false">IF(I829="Open",DATE(2025,12,31)-F829,"-")</f>
        <v>-</v>
      </c>
    </row>
    <row r="830" customFormat="false" ht="15" hidden="false" customHeight="false" outlineLevel="0" collapsed="false">
      <c r="B830" s="7" t="s">
        <v>15475</v>
      </c>
      <c r="C830" s="7" t="s">
        <v>1327</v>
      </c>
      <c r="D830" s="7" t="s">
        <v>379</v>
      </c>
      <c r="E830" s="7" t="s">
        <v>156</v>
      </c>
      <c r="F830" s="39" t="n">
        <v>45700</v>
      </c>
      <c r="G830" s="41" t="n">
        <v>145.86</v>
      </c>
      <c r="H830" s="39" t="n">
        <v>45715</v>
      </c>
      <c r="I830" s="7" t="s">
        <v>14651</v>
      </c>
      <c r="J830" s="8" t="str">
        <f aca="false">IF(I830="Open",DATE(2025,12,31)-F830,"-")</f>
        <v>-</v>
      </c>
    </row>
    <row r="831" customFormat="false" ht="15" hidden="false" customHeight="false" outlineLevel="0" collapsed="false">
      <c r="B831" s="7" t="s">
        <v>15476</v>
      </c>
      <c r="C831" s="7" t="s">
        <v>1328</v>
      </c>
      <c r="D831" s="7" t="s">
        <v>389</v>
      </c>
      <c r="E831" s="7" t="s">
        <v>154</v>
      </c>
      <c r="F831" s="39" t="n">
        <v>45700</v>
      </c>
      <c r="G831" s="41" t="n">
        <v>98.84</v>
      </c>
      <c r="H831" s="39" t="n">
        <v>45747</v>
      </c>
      <c r="I831" s="7" t="s">
        <v>14651</v>
      </c>
      <c r="J831" s="8" t="str">
        <f aca="false">IF(I831="Open",DATE(2025,12,31)-F831,"-")</f>
        <v>-</v>
      </c>
    </row>
    <row r="832" customFormat="false" ht="15" hidden="false" customHeight="false" outlineLevel="0" collapsed="false">
      <c r="B832" s="7" t="s">
        <v>15477</v>
      </c>
      <c r="C832" s="7" t="s">
        <v>1329</v>
      </c>
      <c r="D832" s="7" t="s">
        <v>391</v>
      </c>
      <c r="E832" s="7" t="s">
        <v>156</v>
      </c>
      <c r="F832" s="39" t="n">
        <v>45700</v>
      </c>
      <c r="G832" s="41" t="n">
        <v>148.58</v>
      </c>
      <c r="H832" s="39" t="n">
        <v>45709</v>
      </c>
      <c r="I832" s="7" t="s">
        <v>14651</v>
      </c>
      <c r="J832" s="8" t="str">
        <f aca="false">IF(I832="Open",DATE(2025,12,31)-F832,"-")</f>
        <v>-</v>
      </c>
    </row>
    <row r="833" customFormat="false" ht="15" hidden="false" customHeight="false" outlineLevel="0" collapsed="false">
      <c r="B833" s="7" t="s">
        <v>15478</v>
      </c>
      <c r="C833" s="7" t="s">
        <v>1330</v>
      </c>
      <c r="D833" s="7" t="s">
        <v>393</v>
      </c>
      <c r="E833" s="7" t="s">
        <v>157</v>
      </c>
      <c r="F833" s="39" t="n">
        <v>45700</v>
      </c>
      <c r="G833" s="41" t="n">
        <v>179.85</v>
      </c>
      <c r="H833" s="39" t="n">
        <v>45727</v>
      </c>
      <c r="I833" s="7" t="s">
        <v>14651</v>
      </c>
      <c r="J833" s="8" t="str">
        <f aca="false">IF(I833="Open",DATE(2025,12,31)-F833,"-")</f>
        <v>-</v>
      </c>
    </row>
    <row r="834" customFormat="false" ht="15" hidden="false" customHeight="false" outlineLevel="0" collapsed="false">
      <c r="B834" s="7" t="s">
        <v>15479</v>
      </c>
      <c r="C834" s="7" t="s">
        <v>1331</v>
      </c>
      <c r="D834" s="7" t="s">
        <v>395</v>
      </c>
      <c r="E834" s="7" t="s">
        <v>156</v>
      </c>
      <c r="F834" s="39" t="n">
        <v>45700</v>
      </c>
      <c r="G834" s="41" t="n">
        <v>143.82</v>
      </c>
      <c r="H834" s="39" t="n">
        <v>45711</v>
      </c>
      <c r="I834" s="7" t="s">
        <v>14651</v>
      </c>
      <c r="J834" s="8" t="str">
        <f aca="false">IF(I834="Open",DATE(2025,12,31)-F834,"-")</f>
        <v>-</v>
      </c>
    </row>
    <row r="835" customFormat="false" ht="15" hidden="false" customHeight="false" outlineLevel="0" collapsed="false">
      <c r="B835" s="7" t="s">
        <v>15480</v>
      </c>
      <c r="C835" s="7" t="s">
        <v>1332</v>
      </c>
      <c r="D835" s="7" t="s">
        <v>399</v>
      </c>
      <c r="E835" s="7" t="s">
        <v>154</v>
      </c>
      <c r="F835" s="39" t="n">
        <v>45700</v>
      </c>
      <c r="G835" s="41" t="n">
        <v>82.68</v>
      </c>
      <c r="H835" s="39" t="n">
        <v>45767</v>
      </c>
      <c r="I835" s="7" t="s">
        <v>14651</v>
      </c>
      <c r="J835" s="8" t="str">
        <f aca="false">IF(I835="Open",DATE(2025,12,31)-F835,"-")</f>
        <v>-</v>
      </c>
    </row>
    <row r="836" customFormat="false" ht="15" hidden="false" customHeight="false" outlineLevel="0" collapsed="false">
      <c r="B836" s="7" t="s">
        <v>15481</v>
      </c>
      <c r="C836" s="7" t="s">
        <v>1333</v>
      </c>
      <c r="D836" s="7" t="s">
        <v>401</v>
      </c>
      <c r="E836" s="7" t="s">
        <v>156</v>
      </c>
      <c r="F836" s="39" t="n">
        <v>45700</v>
      </c>
      <c r="G836" s="41" t="n">
        <v>125.8</v>
      </c>
      <c r="H836" s="39" t="n">
        <v>45715</v>
      </c>
      <c r="I836" s="7" t="s">
        <v>14651</v>
      </c>
      <c r="J836" s="8" t="str">
        <f aca="false">IF(I836="Open",DATE(2025,12,31)-F836,"-")</f>
        <v>-</v>
      </c>
    </row>
    <row r="837" customFormat="false" ht="15" hidden="false" customHeight="false" outlineLevel="0" collapsed="false">
      <c r="B837" s="7" t="s">
        <v>15482</v>
      </c>
      <c r="C837" s="7" t="s">
        <v>1334</v>
      </c>
      <c r="D837" s="7" t="s">
        <v>409</v>
      </c>
      <c r="E837" s="7" t="s">
        <v>154</v>
      </c>
      <c r="F837" s="39" t="n">
        <v>45700</v>
      </c>
      <c r="G837" s="41" t="n">
        <v>96.19</v>
      </c>
      <c r="H837" s="39" t="n">
        <v>45722</v>
      </c>
      <c r="I837" s="7" t="s">
        <v>14651</v>
      </c>
      <c r="J837" s="8" t="str">
        <f aca="false">IF(I837="Open",DATE(2025,12,31)-F837,"-")</f>
        <v>-</v>
      </c>
    </row>
    <row r="838" customFormat="false" ht="15" hidden="false" customHeight="false" outlineLevel="0" collapsed="false">
      <c r="B838" s="7" t="s">
        <v>15483</v>
      </c>
      <c r="C838" s="7" t="s">
        <v>1335</v>
      </c>
      <c r="D838" s="7" t="s">
        <v>411</v>
      </c>
      <c r="E838" s="7" t="s">
        <v>154</v>
      </c>
      <c r="F838" s="39" t="n">
        <v>45700</v>
      </c>
      <c r="G838" s="41" t="n">
        <v>135.15</v>
      </c>
      <c r="H838" s="39" t="n">
        <v>45762</v>
      </c>
      <c r="I838" s="7" t="s">
        <v>14651</v>
      </c>
      <c r="J838" s="8" t="str">
        <f aca="false">IF(I838="Open",DATE(2025,12,31)-F838,"-")</f>
        <v>-</v>
      </c>
    </row>
    <row r="839" customFormat="false" ht="15" hidden="false" customHeight="false" outlineLevel="0" collapsed="false">
      <c r="B839" s="7" t="s">
        <v>15484</v>
      </c>
      <c r="C839" s="7" t="s">
        <v>1336</v>
      </c>
      <c r="D839" s="7" t="s">
        <v>288</v>
      </c>
      <c r="E839" s="7" t="s">
        <v>156</v>
      </c>
      <c r="F839" s="39" t="n">
        <v>45701</v>
      </c>
      <c r="G839" s="41" t="n">
        <v>147.56</v>
      </c>
      <c r="H839" s="39" t="n">
        <v>45711</v>
      </c>
      <c r="I839" s="7" t="s">
        <v>14651</v>
      </c>
      <c r="J839" s="8" t="str">
        <f aca="false">IF(I839="Open",DATE(2025,12,31)-F839,"-")</f>
        <v>-</v>
      </c>
    </row>
    <row r="840" customFormat="false" ht="15" hidden="false" customHeight="false" outlineLevel="0" collapsed="false">
      <c r="B840" s="7" t="s">
        <v>15485</v>
      </c>
      <c r="C840" s="7" t="s">
        <v>1337</v>
      </c>
      <c r="D840" s="7" t="s">
        <v>297</v>
      </c>
      <c r="E840" s="7" t="s">
        <v>156</v>
      </c>
      <c r="F840" s="39" t="n">
        <v>45701</v>
      </c>
      <c r="G840" s="41" t="n">
        <v>103.36</v>
      </c>
      <c r="H840" s="39" t="n">
        <v>45718</v>
      </c>
      <c r="I840" s="7" t="s">
        <v>14651</v>
      </c>
      <c r="J840" s="8" t="str">
        <f aca="false">IF(I840="Open",DATE(2025,12,31)-F840,"-")</f>
        <v>-</v>
      </c>
    </row>
    <row r="841" customFormat="false" ht="15" hidden="false" customHeight="false" outlineLevel="0" collapsed="false">
      <c r="B841" s="7" t="s">
        <v>15486</v>
      </c>
      <c r="C841" s="7" t="s">
        <v>1338</v>
      </c>
      <c r="D841" s="7" t="s">
        <v>311</v>
      </c>
      <c r="E841" s="7" t="s">
        <v>154</v>
      </c>
      <c r="F841" s="39" t="n">
        <v>45701</v>
      </c>
      <c r="G841" s="41" t="n">
        <v>83.47</v>
      </c>
      <c r="H841" s="39" t="n">
        <v>45770</v>
      </c>
      <c r="I841" s="7" t="s">
        <v>14651</v>
      </c>
      <c r="J841" s="8" t="str">
        <f aca="false">IF(I841="Open",DATE(2025,12,31)-F841,"-")</f>
        <v>-</v>
      </c>
    </row>
    <row r="842" customFormat="false" ht="15" hidden="false" customHeight="false" outlineLevel="0" collapsed="false">
      <c r="B842" s="7" t="s">
        <v>15487</v>
      </c>
      <c r="C842" s="7" t="s">
        <v>1339</v>
      </c>
      <c r="D842" s="7" t="s">
        <v>313</v>
      </c>
      <c r="E842" s="7" t="s">
        <v>156</v>
      </c>
      <c r="F842" s="39" t="n">
        <v>45701</v>
      </c>
      <c r="G842" s="41" t="n">
        <v>126.82</v>
      </c>
      <c r="H842" s="39" t="n">
        <v>45715</v>
      </c>
      <c r="I842" s="7" t="s">
        <v>14651</v>
      </c>
      <c r="J842" s="8" t="str">
        <f aca="false">IF(I842="Open",DATE(2025,12,31)-F842,"-")</f>
        <v>-</v>
      </c>
    </row>
    <row r="843" customFormat="false" ht="15" hidden="false" customHeight="false" outlineLevel="0" collapsed="false">
      <c r="B843" s="7" t="s">
        <v>15488</v>
      </c>
      <c r="C843" s="7" t="s">
        <v>1340</v>
      </c>
      <c r="D843" s="7" t="s">
        <v>317</v>
      </c>
      <c r="E843" s="7" t="s">
        <v>156</v>
      </c>
      <c r="F843" s="39" t="n">
        <v>45701</v>
      </c>
      <c r="G843" s="41" t="n">
        <v>106.42</v>
      </c>
      <c r="H843" s="39" t="n">
        <v>45705</v>
      </c>
      <c r="I843" s="7" t="s">
        <v>14651</v>
      </c>
      <c r="J843" s="8" t="str">
        <f aca="false">IF(I843="Open",DATE(2025,12,31)-F843,"-")</f>
        <v>-</v>
      </c>
    </row>
    <row r="844" customFormat="false" ht="15" hidden="false" customHeight="false" outlineLevel="0" collapsed="false">
      <c r="B844" s="7" t="s">
        <v>15489</v>
      </c>
      <c r="C844" s="7" t="s">
        <v>1341</v>
      </c>
      <c r="D844" s="7" t="s">
        <v>321</v>
      </c>
      <c r="E844" s="7" t="s">
        <v>154</v>
      </c>
      <c r="F844" s="39" t="n">
        <v>45701</v>
      </c>
      <c r="G844" s="41" t="n">
        <v>104.94</v>
      </c>
      <c r="H844" s="39" t="n">
        <v>45812</v>
      </c>
      <c r="I844" s="7" t="s">
        <v>14651</v>
      </c>
      <c r="J844" s="8" t="str">
        <f aca="false">IF(I844="Open",DATE(2025,12,31)-F844,"-")</f>
        <v>-</v>
      </c>
    </row>
    <row r="845" customFormat="false" ht="15" hidden="false" customHeight="false" outlineLevel="0" collapsed="false">
      <c r="B845" s="7" t="s">
        <v>15490</v>
      </c>
      <c r="C845" s="7" t="s">
        <v>1342</v>
      </c>
      <c r="D845" s="7" t="s">
        <v>325</v>
      </c>
      <c r="E845" s="7" t="s">
        <v>154</v>
      </c>
      <c r="F845" s="39" t="n">
        <v>45701</v>
      </c>
      <c r="G845" s="41" t="n">
        <v>70.44</v>
      </c>
      <c r="H845" s="39" t="n">
        <v>45775</v>
      </c>
      <c r="I845" s="7" t="s">
        <v>14651</v>
      </c>
      <c r="J845" s="8" t="str">
        <f aca="false">IF(I845="Open",DATE(2025,12,31)-F845,"-")</f>
        <v>-</v>
      </c>
    </row>
    <row r="846" customFormat="false" ht="15" hidden="false" customHeight="false" outlineLevel="0" collapsed="false">
      <c r="B846" s="7" t="s">
        <v>15491</v>
      </c>
      <c r="C846" s="7" t="s">
        <v>1343</v>
      </c>
      <c r="D846" s="7" t="s">
        <v>329</v>
      </c>
      <c r="E846" s="7" t="s">
        <v>156</v>
      </c>
      <c r="F846" s="39" t="n">
        <v>45701</v>
      </c>
      <c r="G846" s="41" t="n">
        <v>122.4</v>
      </c>
      <c r="H846" s="39" t="n">
        <v>45718</v>
      </c>
      <c r="I846" s="7" t="s">
        <v>14651</v>
      </c>
      <c r="J846" s="8" t="str">
        <f aca="false">IF(I846="Open",DATE(2025,12,31)-F846,"-")</f>
        <v>-</v>
      </c>
    </row>
    <row r="847" customFormat="false" ht="15" hidden="false" customHeight="false" outlineLevel="0" collapsed="false">
      <c r="B847" s="7" t="s">
        <v>15492</v>
      </c>
      <c r="C847" s="7" t="s">
        <v>1344</v>
      </c>
      <c r="D847" s="7" t="s">
        <v>331</v>
      </c>
      <c r="E847" s="7" t="s">
        <v>156</v>
      </c>
      <c r="F847" s="39" t="n">
        <v>45701</v>
      </c>
      <c r="G847" s="41" t="n">
        <v>148.92</v>
      </c>
      <c r="H847" s="39" t="n">
        <v>45719</v>
      </c>
      <c r="I847" s="7" t="s">
        <v>14651</v>
      </c>
      <c r="J847" s="8" t="str">
        <f aca="false">IF(I847="Open",DATE(2025,12,31)-F847,"-")</f>
        <v>-</v>
      </c>
    </row>
    <row r="848" customFormat="false" ht="15" hidden="false" customHeight="false" outlineLevel="0" collapsed="false">
      <c r="B848" s="7" t="s">
        <v>15493</v>
      </c>
      <c r="C848" s="7" t="s">
        <v>1345</v>
      </c>
      <c r="D848" s="7" t="s">
        <v>337</v>
      </c>
      <c r="E848" s="7" t="s">
        <v>154</v>
      </c>
      <c r="F848" s="39" t="n">
        <v>45701</v>
      </c>
      <c r="G848" s="41" t="n">
        <v>75.31</v>
      </c>
      <c r="H848" s="39" t="n">
        <v>45759</v>
      </c>
      <c r="I848" s="7" t="s">
        <v>14651</v>
      </c>
      <c r="J848" s="8" t="str">
        <f aca="false">IF(I848="Open",DATE(2025,12,31)-F848,"-")</f>
        <v>-</v>
      </c>
    </row>
    <row r="849" customFormat="false" ht="15" hidden="false" customHeight="false" outlineLevel="0" collapsed="false">
      <c r="B849" s="7" t="s">
        <v>15494</v>
      </c>
      <c r="C849" s="7" t="s">
        <v>1346</v>
      </c>
      <c r="D849" s="7" t="s">
        <v>341</v>
      </c>
      <c r="E849" s="7" t="s">
        <v>156</v>
      </c>
      <c r="F849" s="39" t="n">
        <v>45701</v>
      </c>
      <c r="G849" s="41" t="n">
        <v>101.66</v>
      </c>
      <c r="H849" s="39" t="n">
        <v>45716</v>
      </c>
      <c r="I849" s="7" t="s">
        <v>14651</v>
      </c>
      <c r="J849" s="8" t="str">
        <f aca="false">IF(I849="Open",DATE(2025,12,31)-F849,"-")</f>
        <v>-</v>
      </c>
    </row>
    <row r="850" customFormat="false" ht="15" hidden="false" customHeight="false" outlineLevel="0" collapsed="false">
      <c r="B850" s="7" t="s">
        <v>15495</v>
      </c>
      <c r="C850" s="7" t="s">
        <v>1347</v>
      </c>
      <c r="D850" s="7" t="s">
        <v>343</v>
      </c>
      <c r="E850" s="7" t="s">
        <v>154</v>
      </c>
      <c r="F850" s="39" t="n">
        <v>45701</v>
      </c>
      <c r="G850" s="41" t="n">
        <v>106.69</v>
      </c>
      <c r="H850" s="39" t="n">
        <v>45782</v>
      </c>
      <c r="I850" s="7" t="s">
        <v>14651</v>
      </c>
      <c r="J850" s="8" t="str">
        <f aca="false">IF(I850="Open",DATE(2025,12,31)-F850,"-")</f>
        <v>-</v>
      </c>
    </row>
    <row r="851" customFormat="false" ht="15" hidden="false" customHeight="false" outlineLevel="0" collapsed="false">
      <c r="B851" s="7" t="s">
        <v>15496</v>
      </c>
      <c r="C851" s="7" t="s">
        <v>1348</v>
      </c>
      <c r="D851" s="7" t="s">
        <v>359</v>
      </c>
      <c r="E851" s="7" t="s">
        <v>156</v>
      </c>
      <c r="F851" s="39" t="n">
        <v>45701</v>
      </c>
      <c r="G851" s="41" t="n">
        <v>145.52</v>
      </c>
      <c r="H851" s="39" t="n">
        <v>45722</v>
      </c>
      <c r="I851" s="7" t="s">
        <v>14651</v>
      </c>
      <c r="J851" s="8" t="str">
        <f aca="false">IF(I851="Open",DATE(2025,12,31)-F851,"-")</f>
        <v>-</v>
      </c>
    </row>
    <row r="852" customFormat="false" ht="15" hidden="false" customHeight="false" outlineLevel="0" collapsed="false">
      <c r="B852" s="7" t="s">
        <v>15497</v>
      </c>
      <c r="C852" s="7" t="s">
        <v>1349</v>
      </c>
      <c r="D852" s="7" t="s">
        <v>363</v>
      </c>
      <c r="E852" s="7" t="s">
        <v>156</v>
      </c>
      <c r="F852" s="39" t="n">
        <v>45701</v>
      </c>
      <c r="G852" s="41" t="n">
        <v>148.24</v>
      </c>
      <c r="H852" s="39" t="n">
        <v>45712</v>
      </c>
      <c r="I852" s="7" t="s">
        <v>14651</v>
      </c>
      <c r="J852" s="8" t="str">
        <f aca="false">IF(I852="Open",DATE(2025,12,31)-F852,"-")</f>
        <v>-</v>
      </c>
    </row>
    <row r="853" customFormat="false" ht="15" hidden="false" customHeight="false" outlineLevel="0" collapsed="false">
      <c r="B853" s="7" t="s">
        <v>15498</v>
      </c>
      <c r="C853" s="7" t="s">
        <v>1350</v>
      </c>
      <c r="D853" s="7" t="s">
        <v>375</v>
      </c>
      <c r="E853" s="7" t="s">
        <v>156</v>
      </c>
      <c r="F853" s="39" t="n">
        <v>45701</v>
      </c>
      <c r="G853" s="41" t="n">
        <v>99.62</v>
      </c>
      <c r="H853" s="39" t="n">
        <v>45713</v>
      </c>
      <c r="I853" s="7" t="s">
        <v>14651</v>
      </c>
      <c r="J853" s="8" t="str">
        <f aca="false">IF(I853="Open",DATE(2025,12,31)-F853,"-")</f>
        <v>-</v>
      </c>
    </row>
    <row r="854" customFormat="false" ht="15" hidden="false" customHeight="false" outlineLevel="0" collapsed="false">
      <c r="B854" s="7" t="s">
        <v>15499</v>
      </c>
      <c r="C854" s="7" t="s">
        <v>1351</v>
      </c>
      <c r="D854" s="7" t="s">
        <v>377</v>
      </c>
      <c r="E854" s="7" t="s">
        <v>154</v>
      </c>
      <c r="F854" s="39" t="n">
        <v>45701</v>
      </c>
      <c r="G854" s="41" t="n">
        <v>114.48</v>
      </c>
      <c r="H854" s="39" t="n">
        <v>45761</v>
      </c>
      <c r="I854" s="7" t="s">
        <v>14651</v>
      </c>
      <c r="J854" s="8" t="str">
        <f aca="false">IF(I854="Open",DATE(2025,12,31)-F854,"-")</f>
        <v>-</v>
      </c>
    </row>
    <row r="855" customFormat="false" ht="15" hidden="false" customHeight="false" outlineLevel="0" collapsed="false">
      <c r="B855" s="7" t="s">
        <v>15500</v>
      </c>
      <c r="C855" s="7" t="s">
        <v>1352</v>
      </c>
      <c r="D855" s="7" t="s">
        <v>389</v>
      </c>
      <c r="E855" s="7" t="s">
        <v>154</v>
      </c>
      <c r="F855" s="39" t="n">
        <v>45701</v>
      </c>
      <c r="G855" s="41" t="n">
        <v>105.13</v>
      </c>
      <c r="H855" s="39" t="n">
        <v>45760</v>
      </c>
      <c r="I855" s="7" t="s">
        <v>14651</v>
      </c>
      <c r="J855" s="8" t="str">
        <f aca="false">IF(I855="Open",DATE(2025,12,31)-F855,"-")</f>
        <v>-</v>
      </c>
    </row>
    <row r="856" customFormat="false" ht="15" hidden="false" customHeight="false" outlineLevel="0" collapsed="false">
      <c r="B856" s="7" t="s">
        <v>15501</v>
      </c>
      <c r="C856" s="7" t="s">
        <v>1353</v>
      </c>
      <c r="D856" s="7" t="s">
        <v>391</v>
      </c>
      <c r="E856" s="7" t="s">
        <v>156</v>
      </c>
      <c r="F856" s="39" t="n">
        <v>45701</v>
      </c>
      <c r="G856" s="41" t="n">
        <v>147.9</v>
      </c>
      <c r="H856" s="39" t="n">
        <v>45706</v>
      </c>
      <c r="I856" s="7" t="s">
        <v>14651</v>
      </c>
      <c r="J856" s="8" t="str">
        <f aca="false">IF(I856="Open",DATE(2025,12,31)-F856,"-")</f>
        <v>-</v>
      </c>
    </row>
    <row r="857" customFormat="false" ht="15" hidden="false" customHeight="false" outlineLevel="0" collapsed="false">
      <c r="B857" s="7" t="s">
        <v>15502</v>
      </c>
      <c r="C857" s="7" t="s">
        <v>1354</v>
      </c>
      <c r="D857" s="7" t="s">
        <v>395</v>
      </c>
      <c r="E857" s="7" t="s">
        <v>156</v>
      </c>
      <c r="F857" s="39" t="n">
        <v>45701</v>
      </c>
      <c r="G857" s="41" t="n">
        <v>126.82</v>
      </c>
      <c r="H857" s="39" t="n">
        <v>45719</v>
      </c>
      <c r="I857" s="7" t="s">
        <v>14651</v>
      </c>
      <c r="J857" s="8" t="str">
        <f aca="false">IF(I857="Open",DATE(2025,12,31)-F857,"-")</f>
        <v>-</v>
      </c>
    </row>
    <row r="858" customFormat="false" ht="15" hidden="false" customHeight="false" outlineLevel="0" collapsed="false">
      <c r="B858" s="7" t="s">
        <v>15503</v>
      </c>
      <c r="C858" s="7" t="s">
        <v>1355</v>
      </c>
      <c r="D858" s="7" t="s">
        <v>401</v>
      </c>
      <c r="E858" s="7" t="s">
        <v>156</v>
      </c>
      <c r="F858" s="39" t="n">
        <v>45701</v>
      </c>
      <c r="G858" s="41" t="n">
        <v>127.5</v>
      </c>
      <c r="H858" s="39" t="n">
        <v>45705</v>
      </c>
      <c r="I858" s="7" t="s">
        <v>14651</v>
      </c>
      <c r="J858" s="8" t="str">
        <f aca="false">IF(I858="Open",DATE(2025,12,31)-F858,"-")</f>
        <v>-</v>
      </c>
    </row>
    <row r="859" customFormat="false" ht="15" hidden="false" customHeight="false" outlineLevel="0" collapsed="false">
      <c r="B859" s="7" t="s">
        <v>15504</v>
      </c>
      <c r="C859" s="7" t="s">
        <v>1356</v>
      </c>
      <c r="D859" s="7" t="s">
        <v>280</v>
      </c>
      <c r="E859" s="7" t="s">
        <v>157</v>
      </c>
      <c r="F859" s="39" t="n">
        <v>45702</v>
      </c>
      <c r="G859" s="41" t="n">
        <v>173.25</v>
      </c>
      <c r="H859" s="39" t="n">
        <v>45758</v>
      </c>
      <c r="I859" s="7" t="s">
        <v>14651</v>
      </c>
      <c r="J859" s="8" t="str">
        <f aca="false">IF(I859="Open",DATE(2025,12,31)-F859,"-")</f>
        <v>-</v>
      </c>
    </row>
    <row r="860" customFormat="false" ht="15" hidden="false" customHeight="false" outlineLevel="0" collapsed="false">
      <c r="B860" s="7" t="s">
        <v>15505</v>
      </c>
      <c r="C860" s="7" t="s">
        <v>1357</v>
      </c>
      <c r="D860" s="7" t="s">
        <v>288</v>
      </c>
      <c r="E860" s="7" t="s">
        <v>156</v>
      </c>
      <c r="F860" s="39" t="n">
        <v>45702</v>
      </c>
      <c r="G860" s="41" t="n">
        <v>128.86</v>
      </c>
      <c r="H860" s="39" t="n">
        <v>45707</v>
      </c>
      <c r="I860" s="7" t="s">
        <v>14651</v>
      </c>
      <c r="J860" s="8" t="str">
        <f aca="false">IF(I860="Open",DATE(2025,12,31)-F860,"-")</f>
        <v>-</v>
      </c>
    </row>
    <row r="861" customFormat="false" ht="15" hidden="false" customHeight="false" outlineLevel="0" collapsed="false">
      <c r="B861" s="7" t="s">
        <v>15506</v>
      </c>
      <c r="C861" s="7" t="s">
        <v>1358</v>
      </c>
      <c r="D861" s="7" t="s">
        <v>291</v>
      </c>
      <c r="E861" s="7" t="s">
        <v>154</v>
      </c>
      <c r="F861" s="39" t="n">
        <v>45702</v>
      </c>
      <c r="G861" s="41" t="n">
        <v>131.97</v>
      </c>
      <c r="H861" s="39" t="n">
        <v>45769</v>
      </c>
      <c r="I861" s="7" t="s">
        <v>14651</v>
      </c>
      <c r="J861" s="8" t="str">
        <f aca="false">IF(I861="Open",DATE(2025,12,31)-F861,"-")</f>
        <v>-</v>
      </c>
    </row>
    <row r="862" customFormat="false" ht="15" hidden="false" customHeight="false" outlineLevel="0" collapsed="false">
      <c r="B862" s="7" t="s">
        <v>15507</v>
      </c>
      <c r="C862" s="7" t="s">
        <v>1359</v>
      </c>
      <c r="D862" s="7" t="s">
        <v>301</v>
      </c>
      <c r="E862" s="7" t="s">
        <v>157</v>
      </c>
      <c r="F862" s="39" t="n">
        <v>45702</v>
      </c>
      <c r="G862" s="41" t="n">
        <v>163.35</v>
      </c>
      <c r="H862" s="39" t="n">
        <v>45758</v>
      </c>
      <c r="I862" s="7" t="s">
        <v>14651</v>
      </c>
      <c r="J862" s="8" t="str">
        <f aca="false">IF(I862="Open",DATE(2025,12,31)-F862,"-")</f>
        <v>-</v>
      </c>
    </row>
    <row r="863" customFormat="false" ht="15" hidden="false" customHeight="false" outlineLevel="0" collapsed="false">
      <c r="B863" s="7" t="s">
        <v>15508</v>
      </c>
      <c r="C863" s="7" t="s">
        <v>1360</v>
      </c>
      <c r="D863" s="7" t="s">
        <v>305</v>
      </c>
      <c r="E863" s="7" t="s">
        <v>154</v>
      </c>
      <c r="F863" s="39" t="n">
        <v>45702</v>
      </c>
      <c r="G863" s="41" t="n">
        <v>104.89</v>
      </c>
      <c r="H863" s="39" t="n">
        <v>45744</v>
      </c>
      <c r="I863" s="7" t="s">
        <v>14651</v>
      </c>
      <c r="J863" s="8" t="str">
        <f aca="false">IF(I863="Open",DATE(2025,12,31)-F863,"-")</f>
        <v>-</v>
      </c>
    </row>
    <row r="864" customFormat="false" ht="15" hidden="false" customHeight="false" outlineLevel="0" collapsed="false">
      <c r="B864" s="7" t="s">
        <v>15509</v>
      </c>
      <c r="C864" s="7" t="s">
        <v>1361</v>
      </c>
      <c r="D864" s="7" t="s">
        <v>309</v>
      </c>
      <c r="E864" s="7" t="s">
        <v>159</v>
      </c>
      <c r="F864" s="39" t="n">
        <v>45702</v>
      </c>
      <c r="G864" s="41" t="n">
        <v>116.78</v>
      </c>
      <c r="H864" s="39" t="n">
        <v>45780</v>
      </c>
      <c r="I864" s="7" t="s">
        <v>14651</v>
      </c>
      <c r="J864" s="8" t="str">
        <f aca="false">IF(I864="Open",DATE(2025,12,31)-F864,"-")</f>
        <v>-</v>
      </c>
    </row>
    <row r="865" customFormat="false" ht="15" hidden="false" customHeight="false" outlineLevel="0" collapsed="false">
      <c r="B865" s="7" t="s">
        <v>15510</v>
      </c>
      <c r="C865" s="7" t="s">
        <v>1362</v>
      </c>
      <c r="D865" s="7" t="s">
        <v>313</v>
      </c>
      <c r="E865" s="7" t="s">
        <v>156</v>
      </c>
      <c r="F865" s="39" t="n">
        <v>45702</v>
      </c>
      <c r="G865" s="41" t="n">
        <v>145.52</v>
      </c>
      <c r="H865" s="39" t="n">
        <v>45721</v>
      </c>
      <c r="I865" s="7" t="s">
        <v>14651</v>
      </c>
      <c r="J865" s="8" t="str">
        <f aca="false">IF(I865="Open",DATE(2025,12,31)-F865,"-")</f>
        <v>-</v>
      </c>
    </row>
    <row r="866" customFormat="false" ht="15" hidden="false" customHeight="false" outlineLevel="0" collapsed="false">
      <c r="B866" s="7" t="s">
        <v>15511</v>
      </c>
      <c r="C866" s="7" t="s">
        <v>1363</v>
      </c>
      <c r="D866" s="7" t="s">
        <v>319</v>
      </c>
      <c r="E866" s="7" t="s">
        <v>157</v>
      </c>
      <c r="F866" s="39" t="n">
        <v>45702</v>
      </c>
      <c r="G866" s="41" t="n">
        <v>156.75</v>
      </c>
      <c r="H866" s="39" t="n">
        <v>45789</v>
      </c>
      <c r="I866" s="7" t="s">
        <v>14651</v>
      </c>
      <c r="J866" s="8" t="str">
        <f aca="false">IF(I866="Open",DATE(2025,12,31)-F866,"-")</f>
        <v>-</v>
      </c>
    </row>
    <row r="867" customFormat="false" ht="15" hidden="false" customHeight="false" outlineLevel="0" collapsed="false">
      <c r="B867" s="7" t="s">
        <v>15512</v>
      </c>
      <c r="C867" s="7" t="s">
        <v>1364</v>
      </c>
      <c r="D867" s="7" t="s">
        <v>321</v>
      </c>
      <c r="E867" s="7" t="s">
        <v>154</v>
      </c>
      <c r="F867" s="39" t="n">
        <v>45702</v>
      </c>
      <c r="G867" s="41" t="n">
        <v>107.06</v>
      </c>
      <c r="H867" s="39" t="n">
        <v>45805</v>
      </c>
      <c r="I867" s="7" t="s">
        <v>14651</v>
      </c>
      <c r="J867" s="8" t="str">
        <f aca="false">IF(I867="Open",DATE(2025,12,31)-F867,"-")</f>
        <v>-</v>
      </c>
    </row>
    <row r="868" customFormat="false" ht="15" hidden="false" customHeight="false" outlineLevel="0" collapsed="false">
      <c r="B868" s="7" t="s">
        <v>15513</v>
      </c>
      <c r="C868" s="7" t="s">
        <v>1365</v>
      </c>
      <c r="D868" s="7" t="s">
        <v>323</v>
      </c>
      <c r="E868" s="7" t="s">
        <v>159</v>
      </c>
      <c r="F868" s="39" t="n">
        <v>45702</v>
      </c>
      <c r="G868" s="41" t="n">
        <v>130.95</v>
      </c>
      <c r="H868" s="39" t="n">
        <v>45744</v>
      </c>
      <c r="I868" s="7" t="s">
        <v>14651</v>
      </c>
      <c r="J868" s="8" t="str">
        <f aca="false">IF(I868="Open",DATE(2025,12,31)-F868,"-")</f>
        <v>-</v>
      </c>
    </row>
    <row r="869" customFormat="false" ht="15" hidden="false" customHeight="false" outlineLevel="0" collapsed="false">
      <c r="B869" s="7" t="s">
        <v>15514</v>
      </c>
      <c r="C869" s="7" t="s">
        <v>1366</v>
      </c>
      <c r="D869" s="7" t="s">
        <v>327</v>
      </c>
      <c r="E869" s="7" t="s">
        <v>157</v>
      </c>
      <c r="F869" s="39" t="n">
        <v>45702</v>
      </c>
      <c r="G869" s="41" t="n">
        <v>163.35</v>
      </c>
      <c r="H869" s="39" t="n">
        <v>45733</v>
      </c>
      <c r="I869" s="7" t="s">
        <v>14651</v>
      </c>
      <c r="J869" s="8" t="str">
        <f aca="false">IF(I869="Open",DATE(2025,12,31)-F869,"-")</f>
        <v>-</v>
      </c>
    </row>
    <row r="870" customFormat="false" ht="15" hidden="false" customHeight="false" outlineLevel="0" collapsed="false">
      <c r="B870" s="7" t="s">
        <v>15515</v>
      </c>
      <c r="C870" s="7" t="s">
        <v>1367</v>
      </c>
      <c r="D870" s="7" t="s">
        <v>329</v>
      </c>
      <c r="E870" s="7" t="s">
        <v>156</v>
      </c>
      <c r="F870" s="39" t="n">
        <v>45702</v>
      </c>
      <c r="G870" s="41" t="n">
        <v>124.1</v>
      </c>
      <c r="H870" s="39" t="n">
        <v>45719</v>
      </c>
      <c r="I870" s="7" t="s">
        <v>14651</v>
      </c>
      <c r="J870" s="8" t="str">
        <f aca="false">IF(I870="Open",DATE(2025,12,31)-F870,"-")</f>
        <v>-</v>
      </c>
    </row>
    <row r="871" customFormat="false" ht="15" hidden="false" customHeight="false" outlineLevel="0" collapsed="false">
      <c r="B871" s="7" t="s">
        <v>15516</v>
      </c>
      <c r="C871" s="7" t="s">
        <v>1368</v>
      </c>
      <c r="D871" s="7" t="s">
        <v>335</v>
      </c>
      <c r="E871" s="7" t="s">
        <v>154</v>
      </c>
      <c r="F871" s="39" t="n">
        <v>45702</v>
      </c>
      <c r="G871" s="41" t="n">
        <v>97.25</v>
      </c>
      <c r="H871" s="39" t="n">
        <v>45805</v>
      </c>
      <c r="I871" s="7" t="s">
        <v>14651</v>
      </c>
      <c r="J871" s="8" t="str">
        <f aca="false">IF(I871="Open",DATE(2025,12,31)-F871,"-")</f>
        <v>-</v>
      </c>
    </row>
    <row r="872" customFormat="false" ht="15" hidden="false" customHeight="false" outlineLevel="0" collapsed="false">
      <c r="B872" s="7" t="s">
        <v>15517</v>
      </c>
      <c r="C872" s="7" t="s">
        <v>1369</v>
      </c>
      <c r="D872" s="7" t="s">
        <v>339</v>
      </c>
      <c r="E872" s="7" t="s">
        <v>154</v>
      </c>
      <c r="F872" s="39" t="n">
        <v>45702</v>
      </c>
      <c r="G872" s="41" t="n">
        <v>96.72</v>
      </c>
      <c r="H872" s="39" t="n">
        <v>45763</v>
      </c>
      <c r="I872" s="7" t="s">
        <v>14651</v>
      </c>
      <c r="J872" s="8" t="str">
        <f aca="false">IF(I872="Open",DATE(2025,12,31)-F872,"-")</f>
        <v>-</v>
      </c>
    </row>
    <row r="873" customFormat="false" ht="15" hidden="false" customHeight="false" outlineLevel="0" collapsed="false">
      <c r="B873" s="7" t="s">
        <v>15518</v>
      </c>
      <c r="C873" s="7" t="s">
        <v>1370</v>
      </c>
      <c r="D873" s="7" t="s">
        <v>353</v>
      </c>
      <c r="E873" s="7" t="s">
        <v>154</v>
      </c>
      <c r="F873" s="39" t="n">
        <v>45702</v>
      </c>
      <c r="G873" s="41" t="n">
        <v>94.34</v>
      </c>
      <c r="H873" s="39" t="n">
        <v>45753</v>
      </c>
      <c r="I873" s="7" t="s">
        <v>14651</v>
      </c>
      <c r="J873" s="8" t="str">
        <f aca="false">IF(I873="Open",DATE(2025,12,31)-F873,"-")</f>
        <v>-</v>
      </c>
    </row>
    <row r="874" customFormat="false" ht="15" hidden="false" customHeight="false" outlineLevel="0" collapsed="false">
      <c r="B874" s="7" t="s">
        <v>15519</v>
      </c>
      <c r="C874" s="7" t="s">
        <v>1371</v>
      </c>
      <c r="D874" s="7" t="s">
        <v>355</v>
      </c>
      <c r="E874" s="7" t="s">
        <v>154</v>
      </c>
      <c r="F874" s="39" t="n">
        <v>45702</v>
      </c>
      <c r="G874" s="41" t="n">
        <v>89.04</v>
      </c>
      <c r="H874" s="39" t="n">
        <v>45777</v>
      </c>
      <c r="I874" s="7" t="s">
        <v>14651</v>
      </c>
      <c r="J874" s="8" t="str">
        <f aca="false">IF(I874="Open",DATE(2025,12,31)-F874,"-")</f>
        <v>-</v>
      </c>
    </row>
    <row r="875" customFormat="false" ht="15" hidden="false" customHeight="false" outlineLevel="0" collapsed="false">
      <c r="B875" s="7" t="s">
        <v>15520</v>
      </c>
      <c r="C875" s="7" t="s">
        <v>1372</v>
      </c>
      <c r="D875" s="7" t="s">
        <v>357</v>
      </c>
      <c r="E875" s="7" t="s">
        <v>154</v>
      </c>
      <c r="F875" s="39" t="n">
        <v>45702</v>
      </c>
      <c r="G875" s="41" t="n">
        <v>92.27</v>
      </c>
      <c r="H875" s="39" t="n">
        <v>45815</v>
      </c>
      <c r="I875" s="7" t="s">
        <v>14651</v>
      </c>
      <c r="J875" s="8" t="str">
        <f aca="false">IF(I875="Open",DATE(2025,12,31)-F875,"-")</f>
        <v>-</v>
      </c>
    </row>
    <row r="876" customFormat="false" ht="15" hidden="false" customHeight="false" outlineLevel="0" collapsed="false">
      <c r="B876" s="7" t="s">
        <v>15521</v>
      </c>
      <c r="C876" s="7" t="s">
        <v>1373</v>
      </c>
      <c r="D876" s="7" t="s">
        <v>359</v>
      </c>
      <c r="E876" s="7" t="s">
        <v>156</v>
      </c>
      <c r="F876" s="39" t="n">
        <v>45702</v>
      </c>
      <c r="G876" s="41" t="n">
        <v>146.88</v>
      </c>
      <c r="H876" s="39" t="n">
        <v>45710</v>
      </c>
      <c r="I876" s="7" t="s">
        <v>14651</v>
      </c>
      <c r="J876" s="8" t="str">
        <f aca="false">IF(I876="Open",DATE(2025,12,31)-F876,"-")</f>
        <v>-</v>
      </c>
    </row>
    <row r="877" customFormat="false" ht="15" hidden="false" customHeight="false" outlineLevel="0" collapsed="false">
      <c r="B877" s="7" t="s">
        <v>15522</v>
      </c>
      <c r="C877" s="7" t="s">
        <v>1374</v>
      </c>
      <c r="D877" s="7" t="s">
        <v>361</v>
      </c>
      <c r="E877" s="7" t="s">
        <v>157</v>
      </c>
      <c r="F877" s="39" t="n">
        <v>45702</v>
      </c>
      <c r="G877" s="41" t="n">
        <v>178.2</v>
      </c>
      <c r="H877" s="39" t="n">
        <v>45739</v>
      </c>
      <c r="I877" s="7" t="s">
        <v>14651</v>
      </c>
      <c r="J877" s="8" t="str">
        <f aca="false">IF(I877="Open",DATE(2025,12,31)-F877,"-")</f>
        <v>-</v>
      </c>
    </row>
    <row r="878" customFormat="false" ht="15" hidden="false" customHeight="false" outlineLevel="0" collapsed="false">
      <c r="B878" s="7" t="s">
        <v>15523</v>
      </c>
      <c r="C878" s="7" t="s">
        <v>1375</v>
      </c>
      <c r="D878" s="7" t="s">
        <v>371</v>
      </c>
      <c r="E878" s="7" t="s">
        <v>154</v>
      </c>
      <c r="F878" s="39" t="n">
        <v>45702</v>
      </c>
      <c r="G878" s="41" t="n">
        <v>126.67</v>
      </c>
      <c r="H878" s="39" t="n">
        <v>45754</v>
      </c>
      <c r="I878" s="7" t="s">
        <v>14651</v>
      </c>
      <c r="J878" s="8" t="str">
        <f aca="false">IF(I878="Open",DATE(2025,12,31)-F878,"-")</f>
        <v>-</v>
      </c>
    </row>
    <row r="879" customFormat="false" ht="15" hidden="false" customHeight="false" outlineLevel="0" collapsed="false">
      <c r="B879" s="7" t="s">
        <v>15524</v>
      </c>
      <c r="C879" s="7" t="s">
        <v>1376</v>
      </c>
      <c r="D879" s="7" t="s">
        <v>379</v>
      </c>
      <c r="E879" s="7" t="s">
        <v>156</v>
      </c>
      <c r="F879" s="39" t="n">
        <v>45702</v>
      </c>
      <c r="G879" s="41" t="n">
        <v>148.24</v>
      </c>
      <c r="H879" s="39" t="n">
        <v>45717</v>
      </c>
      <c r="I879" s="7" t="s">
        <v>14651</v>
      </c>
      <c r="J879" s="8" t="str">
        <f aca="false">IF(I879="Open",DATE(2025,12,31)-F879,"-")</f>
        <v>-</v>
      </c>
    </row>
    <row r="880" customFormat="false" ht="15" hidden="false" customHeight="false" outlineLevel="0" collapsed="false">
      <c r="B880" s="7" t="s">
        <v>15525</v>
      </c>
      <c r="C880" s="7" t="s">
        <v>1377</v>
      </c>
      <c r="D880" s="7" t="s">
        <v>381</v>
      </c>
      <c r="E880" s="7" t="s">
        <v>157</v>
      </c>
      <c r="F880" s="39" t="n">
        <v>45702</v>
      </c>
      <c r="G880" s="41" t="n">
        <v>174.9</v>
      </c>
      <c r="H880" s="39" t="n">
        <v>45720</v>
      </c>
      <c r="I880" s="7" t="s">
        <v>14651</v>
      </c>
      <c r="J880" s="8" t="str">
        <f aca="false">IF(I880="Open",DATE(2025,12,31)-F880,"-")</f>
        <v>-</v>
      </c>
    </row>
    <row r="881" customFormat="false" ht="15" hidden="false" customHeight="false" outlineLevel="0" collapsed="false">
      <c r="B881" s="7" t="s">
        <v>15526</v>
      </c>
      <c r="C881" s="7" t="s">
        <v>1378</v>
      </c>
      <c r="D881" s="7" t="s">
        <v>389</v>
      </c>
      <c r="E881" s="7" t="s">
        <v>154</v>
      </c>
      <c r="F881" s="39" t="n">
        <v>45702</v>
      </c>
      <c r="G881" s="41" t="n">
        <v>116.33</v>
      </c>
      <c r="H881" s="39" t="n">
        <v>45741</v>
      </c>
      <c r="I881" s="7" t="s">
        <v>14651</v>
      </c>
      <c r="J881" s="8" t="str">
        <f aca="false">IF(I881="Open",DATE(2025,12,31)-F881,"-")</f>
        <v>-</v>
      </c>
    </row>
    <row r="882" customFormat="false" ht="15" hidden="false" customHeight="false" outlineLevel="0" collapsed="false">
      <c r="B882" s="7" t="s">
        <v>15527</v>
      </c>
      <c r="C882" s="7" t="s">
        <v>1379</v>
      </c>
      <c r="D882" s="7" t="s">
        <v>391</v>
      </c>
      <c r="E882" s="7" t="s">
        <v>156</v>
      </c>
      <c r="F882" s="39" t="n">
        <v>45702</v>
      </c>
      <c r="G882" s="41" t="n">
        <v>139.4</v>
      </c>
      <c r="H882" s="39" t="n">
        <v>45718</v>
      </c>
      <c r="I882" s="7" t="s">
        <v>14651</v>
      </c>
      <c r="J882" s="8" t="str">
        <f aca="false">IF(I882="Open",DATE(2025,12,31)-F882,"-")</f>
        <v>-</v>
      </c>
    </row>
    <row r="883" customFormat="false" ht="15" hidden="false" customHeight="false" outlineLevel="0" collapsed="false">
      <c r="B883" s="7" t="s">
        <v>15528</v>
      </c>
      <c r="C883" s="7" t="s">
        <v>1380</v>
      </c>
      <c r="D883" s="7" t="s">
        <v>395</v>
      </c>
      <c r="E883" s="7" t="s">
        <v>156</v>
      </c>
      <c r="F883" s="39" t="n">
        <v>45702</v>
      </c>
      <c r="G883" s="41" t="n">
        <v>147.22</v>
      </c>
      <c r="H883" s="39" t="n">
        <v>45707</v>
      </c>
      <c r="I883" s="7" t="s">
        <v>14651</v>
      </c>
      <c r="J883" s="8" t="str">
        <f aca="false">IF(I883="Open",DATE(2025,12,31)-F883,"-")</f>
        <v>-</v>
      </c>
    </row>
    <row r="884" customFormat="false" ht="15" hidden="false" customHeight="false" outlineLevel="0" collapsed="false">
      <c r="B884" s="7" t="s">
        <v>15529</v>
      </c>
      <c r="C884" s="7" t="s">
        <v>1381</v>
      </c>
      <c r="D884" s="7" t="s">
        <v>397</v>
      </c>
      <c r="E884" s="7" t="s">
        <v>159</v>
      </c>
      <c r="F884" s="39" t="n">
        <v>45702</v>
      </c>
      <c r="G884" s="41" t="n">
        <v>132.3</v>
      </c>
      <c r="H884" s="39" t="n">
        <v>45737</v>
      </c>
      <c r="I884" s="7" t="s">
        <v>14651</v>
      </c>
      <c r="J884" s="8" t="str">
        <f aca="false">IF(I884="Open",DATE(2025,12,31)-F884,"-")</f>
        <v>-</v>
      </c>
    </row>
    <row r="885" customFormat="false" ht="15" hidden="false" customHeight="false" outlineLevel="0" collapsed="false">
      <c r="B885" s="7" t="s">
        <v>15530</v>
      </c>
      <c r="C885" s="7" t="s">
        <v>1382</v>
      </c>
      <c r="D885" s="7" t="s">
        <v>399</v>
      </c>
      <c r="E885" s="7" t="s">
        <v>154</v>
      </c>
      <c r="F885" s="39" t="n">
        <v>45702</v>
      </c>
      <c r="G885" s="41" t="n">
        <v>84.27</v>
      </c>
      <c r="H885" s="39" t="n">
        <v>45815</v>
      </c>
      <c r="I885" s="7" t="s">
        <v>14651</v>
      </c>
      <c r="J885" s="8" t="str">
        <f aca="false">IF(I885="Open",DATE(2025,12,31)-F885,"-")</f>
        <v>-</v>
      </c>
    </row>
    <row r="886" customFormat="false" ht="15" hidden="false" customHeight="false" outlineLevel="0" collapsed="false">
      <c r="B886" s="7" t="s">
        <v>15531</v>
      </c>
      <c r="C886" s="7" t="s">
        <v>1383</v>
      </c>
      <c r="D886" s="7" t="s">
        <v>401</v>
      </c>
      <c r="E886" s="7" t="s">
        <v>156</v>
      </c>
      <c r="F886" s="39" t="n">
        <v>45702</v>
      </c>
      <c r="G886" s="41" t="n">
        <v>143.82</v>
      </c>
      <c r="H886" s="39" t="n">
        <v>45712</v>
      </c>
      <c r="I886" s="7" t="s">
        <v>14651</v>
      </c>
      <c r="J886" s="8" t="str">
        <f aca="false">IF(I886="Open",DATE(2025,12,31)-F886,"-")</f>
        <v>-</v>
      </c>
    </row>
    <row r="887" customFormat="false" ht="15" hidden="false" customHeight="false" outlineLevel="0" collapsed="false">
      <c r="B887" s="7" t="s">
        <v>15532</v>
      </c>
      <c r="C887" s="7" t="s">
        <v>1384</v>
      </c>
      <c r="D887" s="7" t="s">
        <v>407</v>
      </c>
      <c r="E887" s="7" t="s">
        <v>159</v>
      </c>
      <c r="F887" s="39" t="n">
        <v>45702</v>
      </c>
      <c r="G887" s="41" t="n">
        <v>122.98</v>
      </c>
      <c r="H887" s="39" t="n">
        <v>45804</v>
      </c>
      <c r="I887" s="7" t="s">
        <v>14651</v>
      </c>
      <c r="J887" s="8" t="str">
        <f aca="false">IF(I887="Open",DATE(2025,12,31)-F887,"-")</f>
        <v>-</v>
      </c>
    </row>
    <row r="888" customFormat="false" ht="15" hidden="false" customHeight="false" outlineLevel="0" collapsed="false">
      <c r="B888" s="7" t="s">
        <v>15533</v>
      </c>
      <c r="C888" s="7" t="s">
        <v>1385</v>
      </c>
      <c r="D888" s="7" t="s">
        <v>409</v>
      </c>
      <c r="E888" s="7" t="s">
        <v>154</v>
      </c>
      <c r="F888" s="39" t="n">
        <v>45702</v>
      </c>
      <c r="G888" s="41" t="n">
        <v>89.84</v>
      </c>
      <c r="H888" s="39" t="n">
        <v>45813</v>
      </c>
      <c r="I888" s="7" t="s">
        <v>14651</v>
      </c>
      <c r="J888" s="8" t="str">
        <f aca="false">IF(I888="Open",DATE(2025,12,31)-F888,"-")</f>
        <v>-</v>
      </c>
    </row>
    <row r="889" customFormat="false" ht="15" hidden="false" customHeight="false" outlineLevel="0" collapsed="false">
      <c r="B889" s="7" t="s">
        <v>15534</v>
      </c>
      <c r="C889" s="7" t="s">
        <v>1386</v>
      </c>
      <c r="D889" s="7" t="s">
        <v>411</v>
      </c>
      <c r="E889" s="7" t="s">
        <v>154</v>
      </c>
      <c r="F889" s="39" t="n">
        <v>45702</v>
      </c>
      <c r="G889" s="41" t="n">
        <v>130.06</v>
      </c>
      <c r="H889" s="39" t="n">
        <v>45751</v>
      </c>
      <c r="I889" s="7" t="s">
        <v>14651</v>
      </c>
      <c r="J889" s="8" t="str">
        <f aca="false">IF(I889="Open",DATE(2025,12,31)-F889,"-")</f>
        <v>-</v>
      </c>
    </row>
    <row r="890" customFormat="false" ht="15" hidden="false" customHeight="false" outlineLevel="0" collapsed="false">
      <c r="B890" s="7" t="s">
        <v>15535</v>
      </c>
      <c r="C890" s="7" t="s">
        <v>1387</v>
      </c>
      <c r="D890" s="7" t="s">
        <v>288</v>
      </c>
      <c r="E890" s="7" t="s">
        <v>156</v>
      </c>
      <c r="F890" s="39" t="n">
        <v>45703</v>
      </c>
      <c r="G890" s="41" t="n">
        <v>130.22</v>
      </c>
      <c r="H890" s="39" t="n">
        <v>45711</v>
      </c>
      <c r="I890" s="7" t="s">
        <v>14651</v>
      </c>
      <c r="J890" s="8" t="str">
        <f aca="false">IF(I890="Open",DATE(2025,12,31)-F890,"-")</f>
        <v>-</v>
      </c>
    </row>
    <row r="891" customFormat="false" ht="15" hidden="false" customHeight="false" outlineLevel="0" collapsed="false">
      <c r="B891" s="7" t="s">
        <v>15536</v>
      </c>
      <c r="C891" s="7" t="s">
        <v>1388</v>
      </c>
      <c r="D891" s="7" t="s">
        <v>321</v>
      </c>
      <c r="E891" s="7" t="s">
        <v>154</v>
      </c>
      <c r="F891" s="39" t="n">
        <v>45703</v>
      </c>
      <c r="G891" s="41" t="n">
        <v>104.15</v>
      </c>
      <c r="H891" s="39" t="n">
        <v>45725</v>
      </c>
      <c r="I891" s="7" t="s">
        <v>14651</v>
      </c>
      <c r="J891" s="8" t="str">
        <f aca="false">IF(I891="Open",DATE(2025,12,31)-F891,"-")</f>
        <v>-</v>
      </c>
    </row>
    <row r="892" customFormat="false" ht="15" hidden="false" customHeight="false" outlineLevel="0" collapsed="false">
      <c r="B892" s="7" t="s">
        <v>15537</v>
      </c>
      <c r="C892" s="7" t="s">
        <v>1389</v>
      </c>
      <c r="D892" s="7" t="s">
        <v>359</v>
      </c>
      <c r="E892" s="7" t="s">
        <v>156</v>
      </c>
      <c r="F892" s="39" t="n">
        <v>45703</v>
      </c>
      <c r="G892" s="41" t="n">
        <v>139.06</v>
      </c>
      <c r="H892" s="39" t="n">
        <v>45726</v>
      </c>
      <c r="I892" s="7" t="s">
        <v>14651</v>
      </c>
      <c r="J892" s="8" t="str">
        <f aca="false">IF(I892="Open",DATE(2025,12,31)-F892,"-")</f>
        <v>-</v>
      </c>
    </row>
    <row r="893" customFormat="false" ht="15" hidden="false" customHeight="false" outlineLevel="0" collapsed="false">
      <c r="B893" s="7" t="s">
        <v>15538</v>
      </c>
      <c r="C893" s="7" t="s">
        <v>1390</v>
      </c>
      <c r="D893" s="7" t="s">
        <v>391</v>
      </c>
      <c r="E893" s="7" t="s">
        <v>156</v>
      </c>
      <c r="F893" s="39" t="n">
        <v>45703</v>
      </c>
      <c r="G893" s="41" t="n">
        <v>126.48</v>
      </c>
      <c r="H893" s="39" t="n">
        <v>45719</v>
      </c>
      <c r="I893" s="7" t="s">
        <v>14651</v>
      </c>
      <c r="J893" s="8" t="str">
        <f aca="false">IF(I893="Open",DATE(2025,12,31)-F893,"-")</f>
        <v>-</v>
      </c>
    </row>
    <row r="894" customFormat="false" ht="15" hidden="false" customHeight="false" outlineLevel="0" collapsed="false">
      <c r="B894" s="7" t="s">
        <v>15539</v>
      </c>
      <c r="C894" s="7" t="s">
        <v>1391</v>
      </c>
      <c r="D894" s="7" t="s">
        <v>395</v>
      </c>
      <c r="E894" s="7" t="s">
        <v>156</v>
      </c>
      <c r="F894" s="39" t="n">
        <v>45703</v>
      </c>
      <c r="G894" s="41" t="n">
        <v>123.42</v>
      </c>
      <c r="H894" s="39" t="n">
        <v>45710</v>
      </c>
      <c r="I894" s="7" t="s">
        <v>14651</v>
      </c>
      <c r="J894" s="8" t="str">
        <f aca="false">IF(I894="Open",DATE(2025,12,31)-F894,"-")</f>
        <v>-</v>
      </c>
    </row>
    <row r="895" customFormat="false" ht="15" hidden="false" customHeight="false" outlineLevel="0" collapsed="false">
      <c r="B895" s="7" t="s">
        <v>15540</v>
      </c>
      <c r="C895" s="7" t="s">
        <v>1392</v>
      </c>
      <c r="D895" s="7" t="s">
        <v>401</v>
      </c>
      <c r="E895" s="7" t="s">
        <v>156</v>
      </c>
      <c r="F895" s="39" t="n">
        <v>45703</v>
      </c>
      <c r="G895" s="41" t="n">
        <v>128.86</v>
      </c>
      <c r="H895" s="39" t="n">
        <v>45711</v>
      </c>
      <c r="I895" s="7" t="s">
        <v>14651</v>
      </c>
      <c r="J895" s="8" t="str">
        <f aca="false">IF(I895="Open",DATE(2025,12,31)-F895,"-")</f>
        <v>-</v>
      </c>
    </row>
    <row r="896" customFormat="false" ht="15" hidden="false" customHeight="false" outlineLevel="0" collapsed="false">
      <c r="B896" s="7" t="s">
        <v>15541</v>
      </c>
      <c r="C896" s="7" t="s">
        <v>1393</v>
      </c>
      <c r="D896" s="7" t="s">
        <v>321</v>
      </c>
      <c r="E896" s="7" t="s">
        <v>154</v>
      </c>
      <c r="F896" s="39" t="n">
        <v>45704</v>
      </c>
      <c r="G896" s="41" t="n">
        <v>102.03</v>
      </c>
      <c r="H896" s="39" t="n">
        <v>45798</v>
      </c>
      <c r="I896" s="7" t="s">
        <v>14651</v>
      </c>
      <c r="J896" s="8" t="str">
        <f aca="false">IF(I896="Open",DATE(2025,12,31)-F896,"-")</f>
        <v>-</v>
      </c>
    </row>
    <row r="897" customFormat="false" ht="15" hidden="false" customHeight="false" outlineLevel="0" collapsed="false">
      <c r="B897" s="7" t="s">
        <v>15542</v>
      </c>
      <c r="C897" s="7" t="s">
        <v>1394</v>
      </c>
      <c r="D897" s="7" t="s">
        <v>359</v>
      </c>
      <c r="E897" s="7" t="s">
        <v>156</v>
      </c>
      <c r="F897" s="39" t="n">
        <v>45704</v>
      </c>
      <c r="G897" s="41" t="n">
        <v>141.1</v>
      </c>
      <c r="H897" s="39" t="n">
        <v>45711</v>
      </c>
      <c r="I897" s="7" t="s">
        <v>14651</v>
      </c>
      <c r="J897" s="8" t="str">
        <f aca="false">IF(I897="Open",DATE(2025,12,31)-F897,"-")</f>
        <v>-</v>
      </c>
    </row>
    <row r="898" customFormat="false" ht="15" hidden="false" customHeight="false" outlineLevel="0" collapsed="false">
      <c r="B898" s="7" t="s">
        <v>15543</v>
      </c>
      <c r="C898" s="7" t="s">
        <v>1395</v>
      </c>
      <c r="D898" s="7" t="s">
        <v>391</v>
      </c>
      <c r="E898" s="7" t="s">
        <v>156</v>
      </c>
      <c r="F898" s="39" t="n">
        <v>45704</v>
      </c>
      <c r="G898" s="41" t="n">
        <v>130.56</v>
      </c>
      <c r="H898" s="39" t="n">
        <v>45715</v>
      </c>
      <c r="I898" s="7" t="s">
        <v>14651</v>
      </c>
      <c r="J898" s="8" t="str">
        <f aca="false">IF(I898="Open",DATE(2025,12,31)-F898,"-")</f>
        <v>-</v>
      </c>
    </row>
    <row r="899" customFormat="false" ht="15" hidden="false" customHeight="false" outlineLevel="0" collapsed="false">
      <c r="B899" s="7" t="s">
        <v>15544</v>
      </c>
      <c r="C899" s="7" t="s">
        <v>1396</v>
      </c>
      <c r="D899" s="7" t="s">
        <v>395</v>
      </c>
      <c r="E899" s="7" t="s">
        <v>156</v>
      </c>
      <c r="F899" s="39" t="n">
        <v>45704</v>
      </c>
      <c r="G899" s="41" t="n">
        <v>131.24</v>
      </c>
      <c r="H899" s="39" t="n">
        <v>45719</v>
      </c>
      <c r="I899" s="7" t="s">
        <v>14651</v>
      </c>
      <c r="J899" s="8" t="str">
        <f aca="false">IF(I899="Open",DATE(2025,12,31)-F899,"-")</f>
        <v>-</v>
      </c>
    </row>
    <row r="900" customFormat="false" ht="15" hidden="false" customHeight="false" outlineLevel="0" collapsed="false">
      <c r="B900" s="7" t="s">
        <v>15545</v>
      </c>
      <c r="C900" s="7" t="s">
        <v>1397</v>
      </c>
      <c r="D900" s="7" t="s">
        <v>401</v>
      </c>
      <c r="E900" s="7" t="s">
        <v>156</v>
      </c>
      <c r="F900" s="39" t="n">
        <v>45704</v>
      </c>
      <c r="G900" s="41" t="n">
        <v>124.78</v>
      </c>
      <c r="H900" s="39" t="n">
        <v>45718</v>
      </c>
      <c r="I900" s="7" t="s">
        <v>14651</v>
      </c>
      <c r="J900" s="8" t="str">
        <f aca="false">IF(I900="Open",DATE(2025,12,31)-F900,"-")</f>
        <v>-</v>
      </c>
    </row>
    <row r="901" customFormat="false" ht="15" hidden="false" customHeight="false" outlineLevel="0" collapsed="false">
      <c r="B901" s="7" t="s">
        <v>15546</v>
      </c>
      <c r="C901" s="7" t="s">
        <v>1398</v>
      </c>
      <c r="D901" s="7" t="s">
        <v>280</v>
      </c>
      <c r="E901" s="7" t="s">
        <v>157</v>
      </c>
      <c r="F901" s="39" t="n">
        <v>45705</v>
      </c>
      <c r="G901" s="41" t="n">
        <v>161.7</v>
      </c>
      <c r="H901" s="39" t="n">
        <v>45764</v>
      </c>
      <c r="I901" s="7" t="s">
        <v>14651</v>
      </c>
      <c r="J901" s="8" t="str">
        <f aca="false">IF(I901="Open",DATE(2025,12,31)-F901,"-")</f>
        <v>-</v>
      </c>
    </row>
    <row r="902" customFormat="false" ht="15" hidden="false" customHeight="false" outlineLevel="0" collapsed="false">
      <c r="B902" s="7" t="s">
        <v>15547</v>
      </c>
      <c r="C902" s="7" t="s">
        <v>1399</v>
      </c>
      <c r="D902" s="7" t="s">
        <v>288</v>
      </c>
      <c r="E902" s="7" t="s">
        <v>156</v>
      </c>
      <c r="F902" s="39" t="n">
        <v>45705</v>
      </c>
      <c r="G902" s="41" t="n">
        <v>132.6</v>
      </c>
      <c r="H902" s="39" t="n">
        <v>45720</v>
      </c>
      <c r="I902" s="7" t="s">
        <v>14651</v>
      </c>
      <c r="J902" s="8" t="str">
        <f aca="false">IF(I902="Open",DATE(2025,12,31)-F902,"-")</f>
        <v>-</v>
      </c>
    </row>
    <row r="903" customFormat="false" ht="15" hidden="false" customHeight="false" outlineLevel="0" collapsed="false">
      <c r="B903" s="7" t="s">
        <v>15548</v>
      </c>
      <c r="C903" s="7" t="s">
        <v>1400</v>
      </c>
      <c r="D903" s="7" t="s">
        <v>291</v>
      </c>
      <c r="E903" s="7" t="s">
        <v>154</v>
      </c>
      <c r="F903" s="39" t="n">
        <v>45705</v>
      </c>
      <c r="G903" s="41" t="n">
        <v>112.89</v>
      </c>
      <c r="H903" s="39" t="n">
        <v>45798</v>
      </c>
      <c r="I903" s="7" t="s">
        <v>14651</v>
      </c>
      <c r="J903" s="8" t="str">
        <f aca="false">IF(I903="Open",DATE(2025,12,31)-F903,"-")</f>
        <v>-</v>
      </c>
    </row>
    <row r="904" customFormat="false" ht="15" hidden="false" customHeight="false" outlineLevel="0" collapsed="false">
      <c r="B904" s="7" t="s">
        <v>15549</v>
      </c>
      <c r="C904" s="7" t="s">
        <v>1401</v>
      </c>
      <c r="D904" s="7" t="s">
        <v>297</v>
      </c>
      <c r="E904" s="7" t="s">
        <v>156</v>
      </c>
      <c r="F904" s="39" t="n">
        <v>45705</v>
      </c>
      <c r="G904" s="41" t="n">
        <v>107.78</v>
      </c>
      <c r="H904" s="39" t="n">
        <v>45722</v>
      </c>
      <c r="I904" s="7" t="s">
        <v>14651</v>
      </c>
      <c r="J904" s="8" t="str">
        <f aca="false">IF(I904="Open",DATE(2025,12,31)-F904,"-")</f>
        <v>-</v>
      </c>
    </row>
    <row r="905" customFormat="false" ht="15" hidden="false" customHeight="false" outlineLevel="0" collapsed="false">
      <c r="B905" s="7" t="s">
        <v>15550</v>
      </c>
      <c r="C905" s="7" t="s">
        <v>1402</v>
      </c>
      <c r="D905" s="7" t="s">
        <v>305</v>
      </c>
      <c r="E905" s="7" t="s">
        <v>154</v>
      </c>
      <c r="F905" s="39" t="n">
        <v>45705</v>
      </c>
      <c r="G905" s="41" t="n">
        <v>99.11</v>
      </c>
      <c r="H905" s="39" t="n">
        <v>45779</v>
      </c>
      <c r="I905" s="7" t="s">
        <v>14651</v>
      </c>
      <c r="J905" s="8" t="str">
        <f aca="false">IF(I905="Open",DATE(2025,12,31)-F905,"-")</f>
        <v>-</v>
      </c>
    </row>
    <row r="906" customFormat="false" ht="15" hidden="false" customHeight="false" outlineLevel="0" collapsed="false">
      <c r="B906" s="7" t="s">
        <v>15551</v>
      </c>
      <c r="C906" s="7" t="s">
        <v>1403</v>
      </c>
      <c r="D906" s="7" t="s">
        <v>309</v>
      </c>
      <c r="E906" s="7" t="s">
        <v>159</v>
      </c>
      <c r="F906" s="39" t="n">
        <v>45705</v>
      </c>
      <c r="G906" s="41" t="n">
        <v>114.21</v>
      </c>
      <c r="H906" s="39" t="n">
        <v>45757</v>
      </c>
      <c r="I906" s="7" t="s">
        <v>14651</v>
      </c>
      <c r="J906" s="8" t="str">
        <f aca="false">IF(I906="Open",DATE(2025,12,31)-F906,"-")</f>
        <v>-</v>
      </c>
    </row>
    <row r="907" customFormat="false" ht="15" hidden="false" customHeight="false" outlineLevel="0" collapsed="false">
      <c r="B907" s="7" t="s">
        <v>15552</v>
      </c>
      <c r="C907" s="7" t="s">
        <v>1404</v>
      </c>
      <c r="D907" s="7" t="s">
        <v>311</v>
      </c>
      <c r="E907" s="7" t="s">
        <v>154</v>
      </c>
      <c r="F907" s="39" t="n">
        <v>45705</v>
      </c>
      <c r="G907" s="41" t="n">
        <v>77.38</v>
      </c>
      <c r="H907" s="39" t="n">
        <v>45779</v>
      </c>
      <c r="I907" s="7" t="s">
        <v>14651</v>
      </c>
      <c r="J907" s="8" t="str">
        <f aca="false">IF(I907="Open",DATE(2025,12,31)-F907,"-")</f>
        <v>-</v>
      </c>
    </row>
    <row r="908" customFormat="false" ht="15" hidden="false" customHeight="false" outlineLevel="0" collapsed="false">
      <c r="B908" s="7" t="s">
        <v>15553</v>
      </c>
      <c r="C908" s="7" t="s">
        <v>1405</v>
      </c>
      <c r="D908" s="7" t="s">
        <v>313</v>
      </c>
      <c r="E908" s="7" t="s">
        <v>156</v>
      </c>
      <c r="F908" s="39" t="n">
        <v>45705</v>
      </c>
      <c r="G908" s="41" t="n">
        <v>134.98</v>
      </c>
      <c r="H908" s="39" t="n">
        <v>45716</v>
      </c>
      <c r="I908" s="7" t="s">
        <v>14651</v>
      </c>
      <c r="J908" s="8" t="str">
        <f aca="false">IF(I908="Open",DATE(2025,12,31)-F908,"-")</f>
        <v>-</v>
      </c>
    </row>
    <row r="909" customFormat="false" ht="15" hidden="false" customHeight="false" outlineLevel="0" collapsed="false">
      <c r="B909" s="7" t="s">
        <v>15554</v>
      </c>
      <c r="C909" s="7" t="s">
        <v>1406</v>
      </c>
      <c r="D909" s="7" t="s">
        <v>317</v>
      </c>
      <c r="E909" s="7" t="s">
        <v>156</v>
      </c>
      <c r="F909" s="39" t="n">
        <v>45705</v>
      </c>
      <c r="G909" s="41" t="n">
        <v>105.74</v>
      </c>
      <c r="H909" s="39" t="n">
        <v>45712</v>
      </c>
      <c r="I909" s="7" t="s">
        <v>14651</v>
      </c>
      <c r="J909" s="8" t="str">
        <f aca="false">IF(I909="Open",DATE(2025,12,31)-F909,"-")</f>
        <v>-</v>
      </c>
    </row>
    <row r="910" customFormat="false" ht="15" hidden="false" customHeight="false" outlineLevel="0" collapsed="false">
      <c r="B910" s="7" t="s">
        <v>15555</v>
      </c>
      <c r="C910" s="7" t="s">
        <v>1407</v>
      </c>
      <c r="D910" s="7" t="s">
        <v>321</v>
      </c>
      <c r="E910" s="7" t="s">
        <v>154</v>
      </c>
      <c r="F910" s="39" t="n">
        <v>45705</v>
      </c>
      <c r="G910" s="41" t="n">
        <v>104.94</v>
      </c>
      <c r="H910" s="39" t="n">
        <v>45746</v>
      </c>
      <c r="I910" s="7" t="s">
        <v>14651</v>
      </c>
      <c r="J910" s="8" t="str">
        <f aca="false">IF(I910="Open",DATE(2025,12,31)-F910,"-")</f>
        <v>-</v>
      </c>
    </row>
    <row r="911" customFormat="false" ht="15" hidden="false" customHeight="false" outlineLevel="0" collapsed="false">
      <c r="B911" s="7" t="s">
        <v>15556</v>
      </c>
      <c r="C911" s="7" t="s">
        <v>1408</v>
      </c>
      <c r="D911" s="7" t="s">
        <v>325</v>
      </c>
      <c r="E911" s="7" t="s">
        <v>154</v>
      </c>
      <c r="F911" s="39" t="n">
        <v>45705</v>
      </c>
      <c r="G911" s="41" t="n">
        <v>80.3</v>
      </c>
      <c r="H911" s="39" t="n">
        <v>45811</v>
      </c>
      <c r="I911" s="7" t="s">
        <v>14651</v>
      </c>
      <c r="J911" s="8" t="str">
        <f aca="false">IF(I911="Open",DATE(2025,12,31)-F911,"-")</f>
        <v>-</v>
      </c>
    </row>
    <row r="912" customFormat="false" ht="15" hidden="false" customHeight="false" outlineLevel="0" collapsed="false">
      <c r="B912" s="7" t="s">
        <v>15557</v>
      </c>
      <c r="C912" s="7" t="s">
        <v>1409</v>
      </c>
      <c r="D912" s="7" t="s">
        <v>329</v>
      </c>
      <c r="E912" s="7" t="s">
        <v>156</v>
      </c>
      <c r="F912" s="39" t="n">
        <v>45705</v>
      </c>
      <c r="G912" s="41" t="n">
        <v>129.54</v>
      </c>
      <c r="H912" s="39" t="n">
        <v>45717</v>
      </c>
      <c r="I912" s="7" t="s">
        <v>14651</v>
      </c>
      <c r="J912" s="8" t="str">
        <f aca="false">IF(I912="Open",DATE(2025,12,31)-F912,"-")</f>
        <v>-</v>
      </c>
    </row>
    <row r="913" customFormat="false" ht="15" hidden="false" customHeight="false" outlineLevel="0" collapsed="false">
      <c r="B913" s="7" t="s">
        <v>15558</v>
      </c>
      <c r="C913" s="7" t="s">
        <v>1410</v>
      </c>
      <c r="D913" s="7" t="s">
        <v>331</v>
      </c>
      <c r="E913" s="7" t="s">
        <v>156</v>
      </c>
      <c r="F913" s="39" t="n">
        <v>45705</v>
      </c>
      <c r="G913" s="41" t="n">
        <v>123.08</v>
      </c>
      <c r="H913" s="39" t="n">
        <v>45716</v>
      </c>
      <c r="I913" s="7" t="s">
        <v>14651</v>
      </c>
      <c r="J913" s="8" t="str">
        <f aca="false">IF(I913="Open",DATE(2025,12,31)-F913,"-")</f>
        <v>-</v>
      </c>
    </row>
    <row r="914" customFormat="false" ht="15" hidden="false" customHeight="false" outlineLevel="0" collapsed="false">
      <c r="B914" s="7" t="s">
        <v>15559</v>
      </c>
      <c r="C914" s="7" t="s">
        <v>1411</v>
      </c>
      <c r="D914" s="7" t="s">
        <v>335</v>
      </c>
      <c r="E914" s="7" t="s">
        <v>154</v>
      </c>
      <c r="F914" s="39" t="n">
        <v>45705</v>
      </c>
      <c r="G914" s="41" t="n">
        <v>111.83</v>
      </c>
      <c r="H914" s="39" t="n">
        <v>45772</v>
      </c>
      <c r="I914" s="7" t="s">
        <v>14651</v>
      </c>
      <c r="J914" s="8" t="str">
        <f aca="false">IF(I914="Open",DATE(2025,12,31)-F914,"-")</f>
        <v>-</v>
      </c>
    </row>
    <row r="915" customFormat="false" ht="15" hidden="false" customHeight="false" outlineLevel="0" collapsed="false">
      <c r="B915" s="7" t="s">
        <v>15560</v>
      </c>
      <c r="C915" s="7" t="s">
        <v>1412</v>
      </c>
      <c r="D915" s="7" t="s">
        <v>337</v>
      </c>
      <c r="E915" s="7" t="s">
        <v>154</v>
      </c>
      <c r="F915" s="39" t="n">
        <v>45705</v>
      </c>
      <c r="G915" s="41" t="n">
        <v>75.26</v>
      </c>
      <c r="H915" s="39" t="n">
        <v>45734</v>
      </c>
      <c r="I915" s="7" t="s">
        <v>14651</v>
      </c>
      <c r="J915" s="8" t="str">
        <f aca="false">IF(I915="Open",DATE(2025,12,31)-F915,"-")</f>
        <v>-</v>
      </c>
    </row>
    <row r="916" customFormat="false" ht="15" hidden="false" customHeight="false" outlineLevel="0" collapsed="false">
      <c r="B916" s="7" t="s">
        <v>15561</v>
      </c>
      <c r="C916" s="7" t="s">
        <v>1413</v>
      </c>
      <c r="D916" s="7" t="s">
        <v>339</v>
      </c>
      <c r="E916" s="7" t="s">
        <v>154</v>
      </c>
      <c r="F916" s="39" t="n">
        <v>45705</v>
      </c>
      <c r="G916" s="41" t="n">
        <v>88.51</v>
      </c>
      <c r="H916" s="39" t="n">
        <v>45758</v>
      </c>
      <c r="I916" s="7" t="s">
        <v>14651</v>
      </c>
      <c r="J916" s="8" t="str">
        <f aca="false">IF(I916="Open",DATE(2025,12,31)-F916,"-")</f>
        <v>-</v>
      </c>
    </row>
    <row r="917" customFormat="false" ht="15" hidden="false" customHeight="false" outlineLevel="0" collapsed="false">
      <c r="B917" s="7" t="s">
        <v>15562</v>
      </c>
      <c r="C917" s="7" t="s">
        <v>1414</v>
      </c>
      <c r="D917" s="7" t="s">
        <v>341</v>
      </c>
      <c r="E917" s="7" t="s">
        <v>156</v>
      </c>
      <c r="F917" s="39" t="n">
        <v>45705</v>
      </c>
      <c r="G917" s="41" t="n">
        <v>105.74</v>
      </c>
      <c r="H917" s="39" t="n">
        <v>45708</v>
      </c>
      <c r="I917" s="7" t="s">
        <v>14651</v>
      </c>
      <c r="J917" s="8" t="str">
        <f aca="false">IF(I917="Open",DATE(2025,12,31)-F917,"-")</f>
        <v>-</v>
      </c>
    </row>
    <row r="918" customFormat="false" ht="15" hidden="false" customHeight="false" outlineLevel="0" collapsed="false">
      <c r="B918" s="7" t="s">
        <v>15563</v>
      </c>
      <c r="C918" s="7" t="s">
        <v>1415</v>
      </c>
      <c r="D918" s="7" t="s">
        <v>343</v>
      </c>
      <c r="E918" s="7" t="s">
        <v>154</v>
      </c>
      <c r="F918" s="39" t="n">
        <v>45705</v>
      </c>
      <c r="G918" s="41" t="n">
        <v>99.11</v>
      </c>
      <c r="H918" s="39" t="n">
        <v>45772</v>
      </c>
      <c r="I918" s="7" t="s">
        <v>14651</v>
      </c>
      <c r="J918" s="8" t="str">
        <f aca="false">IF(I918="Open",DATE(2025,12,31)-F918,"-")</f>
        <v>-</v>
      </c>
    </row>
    <row r="919" customFormat="false" ht="15" hidden="false" customHeight="false" outlineLevel="0" collapsed="false">
      <c r="B919" s="7" t="s">
        <v>15564</v>
      </c>
      <c r="C919" s="7" t="s">
        <v>1416</v>
      </c>
      <c r="D919" s="7" t="s">
        <v>353</v>
      </c>
      <c r="E919" s="7" t="s">
        <v>154</v>
      </c>
      <c r="F919" s="39" t="n">
        <v>45705</v>
      </c>
      <c r="G919" s="41" t="n">
        <v>90.37</v>
      </c>
      <c r="H919" s="39" t="n">
        <v>45820</v>
      </c>
      <c r="I919" s="7" t="s">
        <v>14651</v>
      </c>
      <c r="J919" s="8" t="str">
        <f aca="false">IF(I919="Open",DATE(2025,12,31)-F919,"-")</f>
        <v>-</v>
      </c>
    </row>
    <row r="920" customFormat="false" ht="15" hidden="false" customHeight="false" outlineLevel="0" collapsed="false">
      <c r="B920" s="7" t="s">
        <v>15565</v>
      </c>
      <c r="C920" s="7" t="s">
        <v>1417</v>
      </c>
      <c r="D920" s="7" t="s">
        <v>355</v>
      </c>
      <c r="E920" s="7" t="s">
        <v>154</v>
      </c>
      <c r="F920" s="39" t="n">
        <v>45705</v>
      </c>
      <c r="G920" s="41" t="n">
        <v>91.95</v>
      </c>
      <c r="H920" s="39" t="n">
        <v>45762</v>
      </c>
      <c r="I920" s="7" t="s">
        <v>14651</v>
      </c>
      <c r="J920" s="8" t="str">
        <f aca="false">IF(I920="Open",DATE(2025,12,31)-F920,"-")</f>
        <v>-</v>
      </c>
    </row>
    <row r="921" customFormat="false" ht="15" hidden="false" customHeight="false" outlineLevel="0" collapsed="false">
      <c r="B921" s="7" t="s">
        <v>15566</v>
      </c>
      <c r="C921" s="7" t="s">
        <v>1418</v>
      </c>
      <c r="D921" s="7" t="s">
        <v>357</v>
      </c>
      <c r="E921" s="7" t="s">
        <v>154</v>
      </c>
      <c r="F921" s="39" t="n">
        <v>45705</v>
      </c>
      <c r="G921" s="41" t="n">
        <v>94.6</v>
      </c>
      <c r="H921" s="39" t="n">
        <v>45749</v>
      </c>
      <c r="I921" s="7" t="s">
        <v>14651</v>
      </c>
      <c r="J921" s="8" t="str">
        <f aca="false">IF(I921="Open",DATE(2025,12,31)-F921,"-")</f>
        <v>-</v>
      </c>
    </row>
    <row r="922" customFormat="false" ht="15" hidden="false" customHeight="false" outlineLevel="0" collapsed="false">
      <c r="B922" s="7" t="s">
        <v>15567</v>
      </c>
      <c r="C922" s="7" t="s">
        <v>1419</v>
      </c>
      <c r="D922" s="7" t="s">
        <v>359</v>
      </c>
      <c r="E922" s="7" t="s">
        <v>156</v>
      </c>
      <c r="F922" s="39" t="n">
        <v>45705</v>
      </c>
      <c r="G922" s="41" t="n">
        <v>130.56</v>
      </c>
      <c r="H922" s="39" t="n">
        <v>45714</v>
      </c>
      <c r="I922" s="7" t="s">
        <v>14651</v>
      </c>
      <c r="J922" s="8" t="str">
        <f aca="false">IF(I922="Open",DATE(2025,12,31)-F922,"-")</f>
        <v>-</v>
      </c>
    </row>
    <row r="923" customFormat="false" ht="15" hidden="false" customHeight="false" outlineLevel="0" collapsed="false">
      <c r="B923" s="7" t="s">
        <v>15568</v>
      </c>
      <c r="C923" s="7" t="s">
        <v>1420</v>
      </c>
      <c r="D923" s="7" t="s">
        <v>371</v>
      </c>
      <c r="E923" s="7" t="s">
        <v>154</v>
      </c>
      <c r="F923" s="39" t="n">
        <v>45705</v>
      </c>
      <c r="G923" s="41" t="n">
        <v>135.15</v>
      </c>
      <c r="H923" s="39" t="n">
        <v>45749</v>
      </c>
      <c r="I923" s="7" t="s">
        <v>14651</v>
      </c>
      <c r="J923" s="8" t="str">
        <f aca="false">IF(I923="Open",DATE(2025,12,31)-F923,"-")</f>
        <v>-</v>
      </c>
    </row>
    <row r="924" customFormat="false" ht="15" hidden="false" customHeight="false" outlineLevel="0" collapsed="false">
      <c r="B924" s="7" t="s">
        <v>15569</v>
      </c>
      <c r="C924" s="7" t="s">
        <v>1421</v>
      </c>
      <c r="D924" s="7" t="s">
        <v>375</v>
      </c>
      <c r="E924" s="7" t="s">
        <v>156</v>
      </c>
      <c r="F924" s="39" t="n">
        <v>45705</v>
      </c>
      <c r="G924" s="41" t="n">
        <v>104.04</v>
      </c>
      <c r="H924" s="39" t="n">
        <v>45714</v>
      </c>
      <c r="I924" s="7" t="s">
        <v>14651</v>
      </c>
      <c r="J924" s="8" t="str">
        <f aca="false">IF(I924="Open",DATE(2025,12,31)-F924,"-")</f>
        <v>-</v>
      </c>
    </row>
    <row r="925" customFormat="false" ht="15" hidden="false" customHeight="false" outlineLevel="0" collapsed="false">
      <c r="B925" s="7" t="s">
        <v>15570</v>
      </c>
      <c r="C925" s="7" t="s">
        <v>1422</v>
      </c>
      <c r="D925" s="7" t="s">
        <v>377</v>
      </c>
      <c r="E925" s="7" t="s">
        <v>154</v>
      </c>
      <c r="F925" s="39" t="n">
        <v>45705</v>
      </c>
      <c r="G925" s="41" t="n">
        <v>105.73</v>
      </c>
      <c r="H925" s="39" t="n">
        <v>45747</v>
      </c>
      <c r="I925" s="7" t="s">
        <v>14651</v>
      </c>
      <c r="J925" s="8" t="str">
        <f aca="false">IF(I925="Open",DATE(2025,12,31)-F925,"-")</f>
        <v>-</v>
      </c>
    </row>
    <row r="926" customFormat="false" ht="15" hidden="false" customHeight="false" outlineLevel="0" collapsed="false">
      <c r="B926" s="7" t="s">
        <v>15571</v>
      </c>
      <c r="C926" s="7" t="s">
        <v>1423</v>
      </c>
      <c r="D926" s="7" t="s">
        <v>379</v>
      </c>
      <c r="E926" s="7" t="s">
        <v>156</v>
      </c>
      <c r="F926" s="39" t="n">
        <v>45705</v>
      </c>
      <c r="G926" s="41" t="n">
        <v>153</v>
      </c>
      <c r="H926" s="39" t="n">
        <v>45708</v>
      </c>
      <c r="I926" s="7" t="s">
        <v>14651</v>
      </c>
      <c r="J926" s="8" t="str">
        <f aca="false">IF(I926="Open",DATE(2025,12,31)-F926,"-")</f>
        <v>-</v>
      </c>
    </row>
    <row r="927" customFormat="false" ht="15" hidden="false" customHeight="false" outlineLevel="0" collapsed="false">
      <c r="B927" s="7" t="s">
        <v>15572</v>
      </c>
      <c r="C927" s="7" t="s">
        <v>1424</v>
      </c>
      <c r="D927" s="7" t="s">
        <v>389</v>
      </c>
      <c r="E927" s="7" t="s">
        <v>154</v>
      </c>
      <c r="F927" s="39" t="n">
        <v>45705</v>
      </c>
      <c r="G927" s="41" t="n">
        <v>115.54</v>
      </c>
      <c r="H927" s="39" t="n">
        <v>45790</v>
      </c>
      <c r="I927" s="7" t="s">
        <v>14651</v>
      </c>
      <c r="J927" s="8" t="str">
        <f aca="false">IF(I927="Open",DATE(2025,12,31)-F927,"-")</f>
        <v>-</v>
      </c>
    </row>
    <row r="928" customFormat="false" ht="15" hidden="false" customHeight="false" outlineLevel="0" collapsed="false">
      <c r="B928" s="7" t="s">
        <v>15573</v>
      </c>
      <c r="C928" s="7" t="s">
        <v>1425</v>
      </c>
      <c r="D928" s="7" t="s">
        <v>391</v>
      </c>
      <c r="E928" s="7" t="s">
        <v>156</v>
      </c>
      <c r="F928" s="39" t="n">
        <v>45705</v>
      </c>
      <c r="G928" s="41" t="n">
        <v>136.34</v>
      </c>
      <c r="H928" s="39" t="n">
        <v>45715</v>
      </c>
      <c r="I928" s="7" t="s">
        <v>14651</v>
      </c>
      <c r="J928" s="8" t="str">
        <f aca="false">IF(I928="Open",DATE(2025,12,31)-F928,"-")</f>
        <v>-</v>
      </c>
    </row>
    <row r="929" customFormat="false" ht="15" hidden="false" customHeight="false" outlineLevel="0" collapsed="false">
      <c r="B929" s="7" t="s">
        <v>15574</v>
      </c>
      <c r="C929" s="7" t="s">
        <v>1426</v>
      </c>
      <c r="D929" s="7" t="s">
        <v>395</v>
      </c>
      <c r="E929" s="7" t="s">
        <v>156</v>
      </c>
      <c r="F929" s="39" t="n">
        <v>45705</v>
      </c>
      <c r="G929" s="41" t="n">
        <v>145.86</v>
      </c>
      <c r="H929" s="39" t="n">
        <v>45721</v>
      </c>
      <c r="I929" s="7" t="s">
        <v>14651</v>
      </c>
      <c r="J929" s="8" t="str">
        <f aca="false">IF(I929="Open",DATE(2025,12,31)-F929,"-")</f>
        <v>-</v>
      </c>
    </row>
    <row r="930" customFormat="false" ht="15" hidden="false" customHeight="false" outlineLevel="0" collapsed="false">
      <c r="B930" s="7" t="s">
        <v>15575</v>
      </c>
      <c r="C930" s="7" t="s">
        <v>1427</v>
      </c>
      <c r="D930" s="7" t="s">
        <v>399</v>
      </c>
      <c r="E930" s="7" t="s">
        <v>154</v>
      </c>
      <c r="F930" s="39" t="n">
        <v>45705</v>
      </c>
      <c r="G930" s="41" t="n">
        <v>82.52</v>
      </c>
      <c r="H930" s="39" t="n">
        <v>45750</v>
      </c>
      <c r="I930" s="7" t="s">
        <v>14651</v>
      </c>
      <c r="J930" s="8" t="str">
        <f aca="false">IF(I930="Open",DATE(2025,12,31)-F930,"-")</f>
        <v>-</v>
      </c>
    </row>
    <row r="931" customFormat="false" ht="15" hidden="false" customHeight="false" outlineLevel="0" collapsed="false">
      <c r="B931" s="7" t="s">
        <v>15576</v>
      </c>
      <c r="C931" s="7" t="s">
        <v>1428</v>
      </c>
      <c r="D931" s="7" t="s">
        <v>401</v>
      </c>
      <c r="E931" s="7" t="s">
        <v>156</v>
      </c>
      <c r="F931" s="39" t="n">
        <v>45705</v>
      </c>
      <c r="G931" s="41" t="n">
        <v>136</v>
      </c>
      <c r="H931" s="39" t="n">
        <v>45721</v>
      </c>
      <c r="I931" s="7" t="s">
        <v>14651</v>
      </c>
      <c r="J931" s="8" t="str">
        <f aca="false">IF(I931="Open",DATE(2025,12,31)-F931,"-")</f>
        <v>-</v>
      </c>
    </row>
    <row r="932" customFormat="false" ht="15" hidden="false" customHeight="false" outlineLevel="0" collapsed="false">
      <c r="B932" s="7" t="s">
        <v>15577</v>
      </c>
      <c r="C932" s="7" t="s">
        <v>1429</v>
      </c>
      <c r="D932" s="7" t="s">
        <v>409</v>
      </c>
      <c r="E932" s="7" t="s">
        <v>154</v>
      </c>
      <c r="F932" s="39" t="n">
        <v>45705</v>
      </c>
      <c r="G932" s="41" t="n">
        <v>86.66</v>
      </c>
      <c r="H932" s="39" t="n">
        <v>45768</v>
      </c>
      <c r="I932" s="7" t="s">
        <v>14651</v>
      </c>
      <c r="J932" s="8" t="str">
        <f aca="false">IF(I932="Open",DATE(2025,12,31)-F932,"-")</f>
        <v>-</v>
      </c>
    </row>
    <row r="933" customFormat="false" ht="15" hidden="false" customHeight="false" outlineLevel="0" collapsed="false">
      <c r="B933" s="7" t="s">
        <v>15578</v>
      </c>
      <c r="C933" s="7" t="s">
        <v>1430</v>
      </c>
      <c r="D933" s="7" t="s">
        <v>411</v>
      </c>
      <c r="E933" s="7" t="s">
        <v>154</v>
      </c>
      <c r="F933" s="39" t="n">
        <v>45705</v>
      </c>
      <c r="G933" s="41" t="n">
        <v>135.94</v>
      </c>
      <c r="H933" s="39" t="n">
        <v>45818</v>
      </c>
      <c r="I933" s="7" t="s">
        <v>14651</v>
      </c>
      <c r="J933" s="8" t="str">
        <f aca="false">IF(I933="Open",DATE(2025,12,31)-F933,"-")</f>
        <v>-</v>
      </c>
    </row>
    <row r="934" customFormat="false" ht="15" hidden="false" customHeight="false" outlineLevel="0" collapsed="false">
      <c r="B934" s="7" t="s">
        <v>15579</v>
      </c>
      <c r="C934" s="7" t="s">
        <v>1431</v>
      </c>
      <c r="D934" s="7" t="s">
        <v>288</v>
      </c>
      <c r="E934" s="7" t="s">
        <v>156</v>
      </c>
      <c r="F934" s="39" t="n">
        <v>45706</v>
      </c>
      <c r="G934" s="41" t="n">
        <v>141.78</v>
      </c>
      <c r="H934" s="39" t="n">
        <v>45711</v>
      </c>
      <c r="I934" s="7" t="s">
        <v>14651</v>
      </c>
      <c r="J934" s="8" t="str">
        <f aca="false">IF(I934="Open",DATE(2025,12,31)-F934,"-")</f>
        <v>-</v>
      </c>
    </row>
    <row r="935" customFormat="false" ht="15" hidden="false" customHeight="false" outlineLevel="0" collapsed="false">
      <c r="B935" s="7" t="s">
        <v>15580</v>
      </c>
      <c r="C935" s="7" t="s">
        <v>1432</v>
      </c>
      <c r="D935" s="7" t="s">
        <v>301</v>
      </c>
      <c r="E935" s="7" t="s">
        <v>157</v>
      </c>
      <c r="F935" s="39" t="n">
        <v>45706</v>
      </c>
      <c r="G935" s="41" t="n">
        <v>165</v>
      </c>
      <c r="H935" s="39" t="n">
        <v>45790</v>
      </c>
      <c r="I935" s="7" t="s">
        <v>14651</v>
      </c>
      <c r="J935" s="8" t="str">
        <f aca="false">IF(I935="Open",DATE(2025,12,31)-F935,"-")</f>
        <v>-</v>
      </c>
    </row>
    <row r="936" customFormat="false" ht="15" hidden="false" customHeight="false" outlineLevel="0" collapsed="false">
      <c r="B936" s="7" t="s">
        <v>15581</v>
      </c>
      <c r="C936" s="7" t="s">
        <v>1433</v>
      </c>
      <c r="D936" s="7" t="s">
        <v>313</v>
      </c>
      <c r="E936" s="7" t="s">
        <v>156</v>
      </c>
      <c r="F936" s="39" t="n">
        <v>45706</v>
      </c>
      <c r="G936" s="41" t="n">
        <v>130.56</v>
      </c>
      <c r="H936" s="39" t="n">
        <v>45712</v>
      </c>
      <c r="I936" s="7" t="s">
        <v>14651</v>
      </c>
      <c r="J936" s="8" t="str">
        <f aca="false">IF(I936="Open",DATE(2025,12,31)-F936,"-")</f>
        <v>-</v>
      </c>
    </row>
    <row r="937" customFormat="false" ht="15" hidden="false" customHeight="false" outlineLevel="0" collapsed="false">
      <c r="B937" s="7" t="s">
        <v>15582</v>
      </c>
      <c r="C937" s="7" t="s">
        <v>1434</v>
      </c>
      <c r="D937" s="7" t="s">
        <v>319</v>
      </c>
      <c r="E937" s="7" t="s">
        <v>157</v>
      </c>
      <c r="F937" s="39" t="n">
        <v>45706</v>
      </c>
      <c r="G937" s="41" t="n">
        <v>166.65</v>
      </c>
      <c r="H937" s="39" t="n">
        <v>45766</v>
      </c>
      <c r="I937" s="7" t="s">
        <v>14651</v>
      </c>
      <c r="J937" s="8" t="str">
        <f aca="false">IF(I937="Open",DATE(2025,12,31)-F937,"-")</f>
        <v>-</v>
      </c>
    </row>
    <row r="938" customFormat="false" ht="15" hidden="false" customHeight="false" outlineLevel="0" collapsed="false">
      <c r="B938" s="7" t="s">
        <v>15583</v>
      </c>
      <c r="C938" s="7" t="s">
        <v>1435</v>
      </c>
      <c r="D938" s="7" t="s">
        <v>321</v>
      </c>
      <c r="E938" s="7" t="s">
        <v>154</v>
      </c>
      <c r="F938" s="39" t="n">
        <v>45706</v>
      </c>
      <c r="G938" s="41" t="n">
        <v>111.04</v>
      </c>
      <c r="H938" s="39" t="n">
        <v>45787</v>
      </c>
      <c r="I938" s="7" t="s">
        <v>14651</v>
      </c>
      <c r="J938" s="8" t="str">
        <f aca="false">IF(I938="Open",DATE(2025,12,31)-F938,"-")</f>
        <v>-</v>
      </c>
    </row>
    <row r="939" customFormat="false" ht="15" hidden="false" customHeight="false" outlineLevel="0" collapsed="false">
      <c r="B939" s="7" t="s">
        <v>15584</v>
      </c>
      <c r="C939" s="7" t="s">
        <v>1436</v>
      </c>
      <c r="D939" s="7" t="s">
        <v>323</v>
      </c>
      <c r="E939" s="7" t="s">
        <v>159</v>
      </c>
      <c r="F939" s="39" t="n">
        <v>45706</v>
      </c>
      <c r="G939" s="41" t="n">
        <v>145.8</v>
      </c>
      <c r="H939" s="39" t="n">
        <v>45776</v>
      </c>
      <c r="I939" s="7" t="s">
        <v>14651</v>
      </c>
      <c r="J939" s="8" t="str">
        <f aca="false">IF(I939="Open",DATE(2025,12,31)-F939,"-")</f>
        <v>-</v>
      </c>
    </row>
    <row r="940" customFormat="false" ht="15" hidden="false" customHeight="false" outlineLevel="0" collapsed="false">
      <c r="B940" s="7" t="s">
        <v>15585</v>
      </c>
      <c r="C940" s="7" t="s">
        <v>1437</v>
      </c>
      <c r="D940" s="7" t="s">
        <v>327</v>
      </c>
      <c r="E940" s="7" t="s">
        <v>157</v>
      </c>
      <c r="F940" s="39" t="n">
        <v>45706</v>
      </c>
      <c r="G940" s="41" t="n">
        <v>169.95</v>
      </c>
      <c r="H940" s="39" t="n">
        <v>45752</v>
      </c>
      <c r="I940" s="7" t="s">
        <v>14651</v>
      </c>
      <c r="J940" s="8" t="str">
        <f aca="false">IF(I940="Open",DATE(2025,12,31)-F940,"-")</f>
        <v>-</v>
      </c>
    </row>
    <row r="941" customFormat="false" ht="15" hidden="false" customHeight="false" outlineLevel="0" collapsed="false">
      <c r="B941" s="7" t="s">
        <v>15586</v>
      </c>
      <c r="C941" s="7" t="s">
        <v>1438</v>
      </c>
      <c r="D941" s="7" t="s">
        <v>329</v>
      </c>
      <c r="E941" s="7" t="s">
        <v>156</v>
      </c>
      <c r="F941" s="39" t="n">
        <v>45706</v>
      </c>
      <c r="G941" s="41" t="n">
        <v>146.2</v>
      </c>
      <c r="H941" s="39" t="n">
        <v>45726</v>
      </c>
      <c r="I941" s="7" t="s">
        <v>14651</v>
      </c>
      <c r="J941" s="8" t="str">
        <f aca="false">IF(I941="Open",DATE(2025,12,31)-F941,"-")</f>
        <v>-</v>
      </c>
    </row>
    <row r="942" customFormat="false" ht="15" hidden="false" customHeight="false" outlineLevel="0" collapsed="false">
      <c r="B942" s="7" t="s">
        <v>15587</v>
      </c>
      <c r="C942" s="7" t="s">
        <v>1439</v>
      </c>
      <c r="D942" s="7" t="s">
        <v>359</v>
      </c>
      <c r="E942" s="7" t="s">
        <v>156</v>
      </c>
      <c r="F942" s="39" t="n">
        <v>45706</v>
      </c>
      <c r="G942" s="41" t="n">
        <v>132.6</v>
      </c>
      <c r="H942" s="39" t="n">
        <v>45722</v>
      </c>
      <c r="I942" s="7" t="s">
        <v>14651</v>
      </c>
      <c r="J942" s="8" t="str">
        <f aca="false">IF(I942="Open",DATE(2025,12,31)-F942,"-")</f>
        <v>-</v>
      </c>
    </row>
    <row r="943" customFormat="false" ht="15" hidden="false" customHeight="false" outlineLevel="0" collapsed="false">
      <c r="B943" s="7" t="s">
        <v>15588</v>
      </c>
      <c r="C943" s="7" t="s">
        <v>1440</v>
      </c>
      <c r="D943" s="7" t="s">
        <v>361</v>
      </c>
      <c r="E943" s="7" t="s">
        <v>157</v>
      </c>
      <c r="F943" s="39" t="n">
        <v>45706</v>
      </c>
      <c r="G943" s="41" t="n">
        <v>151.8</v>
      </c>
      <c r="H943" s="39" t="n">
        <v>45742</v>
      </c>
      <c r="I943" s="7" t="s">
        <v>14651</v>
      </c>
      <c r="J943" s="8" t="str">
        <f aca="false">IF(I943="Open",DATE(2025,12,31)-F943,"-")</f>
        <v>-</v>
      </c>
    </row>
    <row r="944" customFormat="false" ht="15" hidden="false" customHeight="false" outlineLevel="0" collapsed="false">
      <c r="B944" s="7" t="s">
        <v>15589</v>
      </c>
      <c r="C944" s="7" t="s">
        <v>1441</v>
      </c>
      <c r="D944" s="7" t="s">
        <v>381</v>
      </c>
      <c r="E944" s="7" t="s">
        <v>157</v>
      </c>
      <c r="F944" s="39" t="n">
        <v>45706</v>
      </c>
      <c r="G944" s="41" t="n">
        <v>168.3</v>
      </c>
      <c r="H944" s="39" t="n">
        <v>45760</v>
      </c>
      <c r="I944" s="7" t="s">
        <v>14651</v>
      </c>
      <c r="J944" s="8" t="str">
        <f aca="false">IF(I944="Open",DATE(2025,12,31)-F944,"-")</f>
        <v>-</v>
      </c>
    </row>
    <row r="945" customFormat="false" ht="15" hidden="false" customHeight="false" outlineLevel="0" collapsed="false">
      <c r="B945" s="7" t="s">
        <v>15590</v>
      </c>
      <c r="C945" s="7" t="s">
        <v>1442</v>
      </c>
      <c r="D945" s="7" t="s">
        <v>389</v>
      </c>
      <c r="E945" s="7" t="s">
        <v>154</v>
      </c>
      <c r="F945" s="39" t="n">
        <v>45706</v>
      </c>
      <c r="G945" s="41" t="n">
        <v>99.64</v>
      </c>
      <c r="H945" s="39" t="n">
        <v>45778</v>
      </c>
      <c r="I945" s="7" t="s">
        <v>14651</v>
      </c>
      <c r="J945" s="8" t="str">
        <f aca="false">IF(I945="Open",DATE(2025,12,31)-F945,"-")</f>
        <v>-</v>
      </c>
    </row>
    <row r="946" customFormat="false" ht="15" hidden="false" customHeight="false" outlineLevel="0" collapsed="false">
      <c r="B946" s="7" t="s">
        <v>15591</v>
      </c>
      <c r="C946" s="7" t="s">
        <v>1443</v>
      </c>
      <c r="D946" s="7" t="s">
        <v>391</v>
      </c>
      <c r="E946" s="7" t="s">
        <v>156</v>
      </c>
      <c r="F946" s="39" t="n">
        <v>45706</v>
      </c>
      <c r="G946" s="41" t="n">
        <v>136.68</v>
      </c>
      <c r="H946" s="39" t="n">
        <v>45712</v>
      </c>
      <c r="I946" s="7" t="s">
        <v>14651</v>
      </c>
      <c r="J946" s="8" t="str">
        <f aca="false">IF(I946="Open",DATE(2025,12,31)-F946,"-")</f>
        <v>-</v>
      </c>
    </row>
    <row r="947" customFormat="false" ht="15" hidden="false" customHeight="false" outlineLevel="0" collapsed="false">
      <c r="B947" s="7" t="s">
        <v>15592</v>
      </c>
      <c r="C947" s="7" t="s">
        <v>1444</v>
      </c>
      <c r="D947" s="7" t="s">
        <v>395</v>
      </c>
      <c r="E947" s="7" t="s">
        <v>156</v>
      </c>
      <c r="F947" s="39" t="n">
        <v>45706</v>
      </c>
      <c r="G947" s="41" t="n">
        <v>126.48</v>
      </c>
      <c r="H947" s="39" t="n">
        <v>45716</v>
      </c>
      <c r="I947" s="7" t="s">
        <v>14651</v>
      </c>
      <c r="J947" s="8" t="str">
        <f aca="false">IF(I947="Open",DATE(2025,12,31)-F947,"-")</f>
        <v>-</v>
      </c>
    </row>
    <row r="948" customFormat="false" ht="15" hidden="false" customHeight="false" outlineLevel="0" collapsed="false">
      <c r="B948" s="7" t="s">
        <v>15593</v>
      </c>
      <c r="C948" s="7" t="s">
        <v>1445</v>
      </c>
      <c r="D948" s="7" t="s">
        <v>397</v>
      </c>
      <c r="E948" s="7" t="s">
        <v>159</v>
      </c>
      <c r="F948" s="39" t="n">
        <v>45706</v>
      </c>
      <c r="G948" s="41" t="n">
        <v>148.5</v>
      </c>
      <c r="H948" s="39" t="n">
        <v>45770</v>
      </c>
      <c r="I948" s="7" t="s">
        <v>14651</v>
      </c>
      <c r="J948" s="8" t="str">
        <f aca="false">IF(I948="Open",DATE(2025,12,31)-F948,"-")</f>
        <v>-</v>
      </c>
    </row>
    <row r="949" customFormat="false" ht="15" hidden="false" customHeight="false" outlineLevel="0" collapsed="false">
      <c r="B949" s="7" t="s">
        <v>15594</v>
      </c>
      <c r="C949" s="7" t="s">
        <v>1446</v>
      </c>
      <c r="D949" s="7" t="s">
        <v>401</v>
      </c>
      <c r="E949" s="7" t="s">
        <v>156</v>
      </c>
      <c r="F949" s="39" t="n">
        <v>45706</v>
      </c>
      <c r="G949" s="41" t="n">
        <v>126.14</v>
      </c>
      <c r="H949" s="39" t="n">
        <v>45714</v>
      </c>
      <c r="I949" s="7" t="s">
        <v>14651</v>
      </c>
      <c r="J949" s="8" t="str">
        <f aca="false">IF(I949="Open",DATE(2025,12,31)-F949,"-")</f>
        <v>-</v>
      </c>
    </row>
    <row r="950" customFormat="false" ht="15" hidden="false" customHeight="false" outlineLevel="0" collapsed="false">
      <c r="B950" s="7" t="s">
        <v>15595</v>
      </c>
      <c r="C950" s="7" t="s">
        <v>1447</v>
      </c>
      <c r="D950" s="7" t="s">
        <v>407</v>
      </c>
      <c r="E950" s="7" t="s">
        <v>159</v>
      </c>
      <c r="F950" s="39" t="n">
        <v>45706</v>
      </c>
      <c r="G950" s="41" t="n">
        <v>124.2</v>
      </c>
      <c r="H950" s="39" t="n">
        <v>45721</v>
      </c>
      <c r="I950" s="7" t="s">
        <v>14651</v>
      </c>
      <c r="J950" s="8" t="str">
        <f aca="false">IF(I950="Open",DATE(2025,12,31)-F950,"-")</f>
        <v>-</v>
      </c>
    </row>
    <row r="951" customFormat="false" ht="15" hidden="false" customHeight="false" outlineLevel="0" collapsed="false">
      <c r="B951" s="7" t="s">
        <v>15596</v>
      </c>
      <c r="C951" s="7" t="s">
        <v>1448</v>
      </c>
      <c r="D951" s="7" t="s">
        <v>280</v>
      </c>
      <c r="E951" s="7" t="s">
        <v>157</v>
      </c>
      <c r="F951" s="39" t="n">
        <v>45707</v>
      </c>
      <c r="G951" s="41" t="n">
        <v>158.4</v>
      </c>
      <c r="H951" s="39" t="n">
        <v>45731</v>
      </c>
      <c r="I951" s="7" t="s">
        <v>14651</v>
      </c>
      <c r="J951" s="8" t="str">
        <f aca="false">IF(I951="Open",DATE(2025,12,31)-F951,"-")</f>
        <v>-</v>
      </c>
    </row>
    <row r="952" customFormat="false" ht="15" hidden="false" customHeight="false" outlineLevel="0" collapsed="false">
      <c r="B952" s="7" t="s">
        <v>15597</v>
      </c>
      <c r="C952" s="7" t="s">
        <v>1449</v>
      </c>
      <c r="D952" s="7" t="s">
        <v>286</v>
      </c>
      <c r="E952" s="7" t="s">
        <v>157</v>
      </c>
      <c r="F952" s="39" t="n">
        <v>45707</v>
      </c>
      <c r="G952" s="41" t="n">
        <v>155.1</v>
      </c>
      <c r="H952" s="39" t="n">
        <v>45749</v>
      </c>
      <c r="I952" s="7" t="s">
        <v>14651</v>
      </c>
      <c r="J952" s="8" t="str">
        <f aca="false">IF(I952="Open",DATE(2025,12,31)-F952,"-")</f>
        <v>-</v>
      </c>
    </row>
    <row r="953" customFormat="false" ht="15" hidden="false" customHeight="false" outlineLevel="0" collapsed="false">
      <c r="B953" s="7" t="s">
        <v>15598</v>
      </c>
      <c r="C953" s="7" t="s">
        <v>1450</v>
      </c>
      <c r="D953" s="7" t="s">
        <v>288</v>
      </c>
      <c r="E953" s="7" t="s">
        <v>156</v>
      </c>
      <c r="F953" s="39" t="n">
        <v>45707</v>
      </c>
      <c r="G953" s="41" t="n">
        <v>126.82</v>
      </c>
      <c r="H953" s="39" t="n">
        <v>45711</v>
      </c>
      <c r="I953" s="7" t="s">
        <v>14651</v>
      </c>
      <c r="J953" s="8" t="str">
        <f aca="false">IF(I953="Open",DATE(2025,12,31)-F953,"-")</f>
        <v>-</v>
      </c>
    </row>
    <row r="954" customFormat="false" ht="15" hidden="false" customHeight="false" outlineLevel="0" collapsed="false">
      <c r="B954" s="7" t="s">
        <v>15599</v>
      </c>
      <c r="C954" s="7" t="s">
        <v>1451</v>
      </c>
      <c r="D954" s="7" t="s">
        <v>291</v>
      </c>
      <c r="E954" s="7" t="s">
        <v>154</v>
      </c>
      <c r="F954" s="39" t="n">
        <v>45707</v>
      </c>
      <c r="G954" s="41" t="n">
        <v>114.48</v>
      </c>
      <c r="H954" s="39" t="n">
        <v>45811</v>
      </c>
      <c r="I954" s="7" t="s">
        <v>14651</v>
      </c>
      <c r="J954" s="8" t="str">
        <f aca="false">IF(I954="Open",DATE(2025,12,31)-F954,"-")</f>
        <v>-</v>
      </c>
    </row>
    <row r="955" customFormat="false" ht="15" hidden="false" customHeight="false" outlineLevel="0" collapsed="false">
      <c r="B955" s="7" t="s">
        <v>15600</v>
      </c>
      <c r="C955" s="7" t="s">
        <v>1452</v>
      </c>
      <c r="D955" s="7" t="s">
        <v>305</v>
      </c>
      <c r="E955" s="7" t="s">
        <v>154</v>
      </c>
      <c r="F955" s="39" t="n">
        <v>45707</v>
      </c>
      <c r="G955" s="41" t="n">
        <v>101.28</v>
      </c>
      <c r="H955" s="39" t="n">
        <v>45752</v>
      </c>
      <c r="I955" s="7" t="s">
        <v>14651</v>
      </c>
      <c r="J955" s="8" t="str">
        <f aca="false">IF(I955="Open",DATE(2025,12,31)-F955,"-")</f>
        <v>-</v>
      </c>
    </row>
    <row r="956" customFormat="false" ht="15" hidden="false" customHeight="false" outlineLevel="0" collapsed="false">
      <c r="B956" s="7" t="s">
        <v>15601</v>
      </c>
      <c r="C956" s="7" t="s">
        <v>1453</v>
      </c>
      <c r="D956" s="7" t="s">
        <v>309</v>
      </c>
      <c r="E956" s="7" t="s">
        <v>159</v>
      </c>
      <c r="F956" s="39" t="n">
        <v>45707</v>
      </c>
      <c r="G956" s="41" t="n">
        <v>136.35</v>
      </c>
      <c r="H956" s="39" t="n">
        <v>45734</v>
      </c>
      <c r="I956" s="7" t="s">
        <v>14651</v>
      </c>
      <c r="J956" s="8" t="str">
        <f aca="false">IF(I956="Open",DATE(2025,12,31)-F956,"-")</f>
        <v>-</v>
      </c>
    </row>
    <row r="957" customFormat="false" ht="15" hidden="false" customHeight="false" outlineLevel="0" collapsed="false">
      <c r="B957" s="7" t="s">
        <v>15602</v>
      </c>
      <c r="C957" s="7" t="s">
        <v>1454</v>
      </c>
      <c r="D957" s="7" t="s">
        <v>313</v>
      </c>
      <c r="E957" s="7" t="s">
        <v>156</v>
      </c>
      <c r="F957" s="39" t="n">
        <v>45707</v>
      </c>
      <c r="G957" s="41" t="n">
        <v>146.54</v>
      </c>
      <c r="H957" s="39" t="n">
        <v>45715</v>
      </c>
      <c r="I957" s="7" t="s">
        <v>14651</v>
      </c>
      <c r="J957" s="8" t="str">
        <f aca="false">IF(I957="Open",DATE(2025,12,31)-F957,"-")</f>
        <v>-</v>
      </c>
    </row>
    <row r="958" customFormat="false" ht="15" hidden="false" customHeight="false" outlineLevel="0" collapsed="false">
      <c r="B958" s="7" t="s">
        <v>15603</v>
      </c>
      <c r="C958" s="7" t="s">
        <v>1455</v>
      </c>
      <c r="D958" s="7" t="s">
        <v>329</v>
      </c>
      <c r="E958" s="7" t="s">
        <v>156</v>
      </c>
      <c r="F958" s="39" t="n">
        <v>45707</v>
      </c>
      <c r="G958" s="41" t="n">
        <v>129.2</v>
      </c>
      <c r="H958" s="39" t="n">
        <v>45723</v>
      </c>
      <c r="I958" s="7" t="s">
        <v>14651</v>
      </c>
      <c r="J958" s="8" t="str">
        <f aca="false">IF(I958="Open",DATE(2025,12,31)-F958,"-")</f>
        <v>-</v>
      </c>
    </row>
    <row r="959" customFormat="false" ht="15" hidden="false" customHeight="false" outlineLevel="0" collapsed="false">
      <c r="B959" s="7" t="s">
        <v>15604</v>
      </c>
      <c r="C959" s="7" t="s">
        <v>1456</v>
      </c>
      <c r="D959" s="7" t="s">
        <v>335</v>
      </c>
      <c r="E959" s="7" t="s">
        <v>154</v>
      </c>
      <c r="F959" s="39" t="n">
        <v>45707</v>
      </c>
      <c r="G959" s="41" t="n">
        <v>98.05</v>
      </c>
      <c r="H959" s="39" t="n">
        <v>45811</v>
      </c>
      <c r="I959" s="7" t="s">
        <v>14651</v>
      </c>
      <c r="J959" s="8" t="str">
        <f aca="false">IF(I959="Open",DATE(2025,12,31)-F959,"-")</f>
        <v>-</v>
      </c>
    </row>
    <row r="960" customFormat="false" ht="15" hidden="false" customHeight="false" outlineLevel="0" collapsed="false">
      <c r="B960" s="7" t="s">
        <v>15605</v>
      </c>
      <c r="C960" s="7" t="s">
        <v>1457</v>
      </c>
      <c r="D960" s="7" t="s">
        <v>339</v>
      </c>
      <c r="E960" s="7" t="s">
        <v>154</v>
      </c>
      <c r="F960" s="39" t="n">
        <v>45707</v>
      </c>
      <c r="G960" s="41" t="n">
        <v>82.41</v>
      </c>
      <c r="H960" s="39" t="n">
        <v>45757</v>
      </c>
      <c r="I960" s="7" t="s">
        <v>14651</v>
      </c>
      <c r="J960" s="8" t="str">
        <f aca="false">IF(I960="Open",DATE(2025,12,31)-F960,"-")</f>
        <v>-</v>
      </c>
    </row>
    <row r="961" customFormat="false" ht="15" hidden="false" customHeight="false" outlineLevel="0" collapsed="false">
      <c r="B961" s="7" t="s">
        <v>15606</v>
      </c>
      <c r="C961" s="7" t="s">
        <v>1458</v>
      </c>
      <c r="D961" s="7" t="s">
        <v>353</v>
      </c>
      <c r="E961" s="7" t="s">
        <v>154</v>
      </c>
      <c r="F961" s="39" t="n">
        <v>45707</v>
      </c>
      <c r="G961" s="41" t="n">
        <v>84.53</v>
      </c>
      <c r="H961" s="39" t="n">
        <v>45778</v>
      </c>
      <c r="I961" s="7" t="s">
        <v>14651</v>
      </c>
      <c r="J961" s="8" t="str">
        <f aca="false">IF(I961="Open",DATE(2025,12,31)-F961,"-")</f>
        <v>-</v>
      </c>
    </row>
    <row r="962" customFormat="false" ht="15" hidden="false" customHeight="false" outlineLevel="0" collapsed="false">
      <c r="B962" s="7" t="s">
        <v>15607</v>
      </c>
      <c r="C962" s="7" t="s">
        <v>1459</v>
      </c>
      <c r="D962" s="7" t="s">
        <v>355</v>
      </c>
      <c r="E962" s="7" t="s">
        <v>154</v>
      </c>
      <c r="F962" s="39" t="n">
        <v>45707</v>
      </c>
      <c r="G962" s="41" t="n">
        <v>85.59</v>
      </c>
      <c r="H962" s="39" t="n">
        <v>45828</v>
      </c>
      <c r="I962" s="7" t="s">
        <v>14651</v>
      </c>
      <c r="J962" s="8" t="str">
        <f aca="false">IF(I962="Open",DATE(2025,12,31)-F962,"-")</f>
        <v>-</v>
      </c>
    </row>
    <row r="963" customFormat="false" ht="15" hidden="false" customHeight="false" outlineLevel="0" collapsed="false">
      <c r="B963" s="7" t="s">
        <v>15608</v>
      </c>
      <c r="C963" s="7" t="s">
        <v>1460</v>
      </c>
      <c r="D963" s="7" t="s">
        <v>357</v>
      </c>
      <c r="E963" s="7" t="s">
        <v>154</v>
      </c>
      <c r="F963" s="39" t="n">
        <v>45707</v>
      </c>
      <c r="G963" s="41" t="n">
        <v>85.59</v>
      </c>
      <c r="H963" s="39" t="n">
        <v>45777</v>
      </c>
      <c r="I963" s="7" t="s">
        <v>14651</v>
      </c>
      <c r="J963" s="8" t="str">
        <f aca="false">IF(I963="Open",DATE(2025,12,31)-F963,"-")</f>
        <v>-</v>
      </c>
    </row>
    <row r="964" customFormat="false" ht="15" hidden="false" customHeight="false" outlineLevel="0" collapsed="false">
      <c r="B964" s="7" t="s">
        <v>15609</v>
      </c>
      <c r="C964" s="7" t="s">
        <v>1461</v>
      </c>
      <c r="D964" s="7" t="s">
        <v>359</v>
      </c>
      <c r="E964" s="7" t="s">
        <v>156</v>
      </c>
      <c r="F964" s="39" t="n">
        <v>45707</v>
      </c>
      <c r="G964" s="41" t="n">
        <v>127.5</v>
      </c>
      <c r="H964" s="39" t="n">
        <v>45725</v>
      </c>
      <c r="I964" s="7" t="s">
        <v>14651</v>
      </c>
      <c r="J964" s="8" t="str">
        <f aca="false">IF(I964="Open",DATE(2025,12,31)-F964,"-")</f>
        <v>-</v>
      </c>
    </row>
    <row r="965" customFormat="false" ht="15" hidden="false" customHeight="false" outlineLevel="0" collapsed="false">
      <c r="B965" s="7" t="s">
        <v>15610</v>
      </c>
      <c r="C965" s="7" t="s">
        <v>1462</v>
      </c>
      <c r="D965" s="7" t="s">
        <v>371</v>
      </c>
      <c r="E965" s="7" t="s">
        <v>154</v>
      </c>
      <c r="F965" s="39" t="n">
        <v>45707</v>
      </c>
      <c r="G965" s="41" t="n">
        <v>121.37</v>
      </c>
      <c r="H965" s="39" t="n">
        <v>45748</v>
      </c>
      <c r="I965" s="7" t="s">
        <v>14651</v>
      </c>
      <c r="J965" s="8" t="str">
        <f aca="false">IF(I965="Open",DATE(2025,12,31)-F965,"-")</f>
        <v>-</v>
      </c>
    </row>
    <row r="966" customFormat="false" ht="15" hidden="false" customHeight="false" outlineLevel="0" collapsed="false">
      <c r="B966" s="7" t="s">
        <v>15611</v>
      </c>
      <c r="C966" s="7" t="s">
        <v>1463</v>
      </c>
      <c r="D966" s="7" t="s">
        <v>379</v>
      </c>
      <c r="E966" s="7" t="s">
        <v>156</v>
      </c>
      <c r="F966" s="39" t="n">
        <v>45707</v>
      </c>
      <c r="G966" s="41" t="n">
        <v>146.88</v>
      </c>
      <c r="H966" s="39" t="n">
        <v>45718</v>
      </c>
      <c r="I966" s="7" t="s">
        <v>14651</v>
      </c>
      <c r="J966" s="8" t="str">
        <f aca="false">IF(I966="Open",DATE(2025,12,31)-F966,"-")</f>
        <v>-</v>
      </c>
    </row>
    <row r="967" customFormat="false" ht="15" hidden="false" customHeight="false" outlineLevel="0" collapsed="false">
      <c r="B967" s="7" t="s">
        <v>15612</v>
      </c>
      <c r="C967" s="7" t="s">
        <v>1464</v>
      </c>
      <c r="D967" s="7" t="s">
        <v>389</v>
      </c>
      <c r="E967" s="7" t="s">
        <v>154</v>
      </c>
      <c r="F967" s="39" t="n">
        <v>45707</v>
      </c>
      <c r="G967" s="41" t="n">
        <v>99.11</v>
      </c>
      <c r="H967" s="39" t="n">
        <v>45722</v>
      </c>
      <c r="I967" s="7" t="s">
        <v>14651</v>
      </c>
      <c r="J967" s="8" t="str">
        <f aca="false">IF(I967="Open",DATE(2025,12,31)-F967,"-")</f>
        <v>-</v>
      </c>
    </row>
    <row r="968" customFormat="false" ht="15" hidden="false" customHeight="false" outlineLevel="0" collapsed="false">
      <c r="B968" s="7" t="s">
        <v>15613</v>
      </c>
      <c r="C968" s="7" t="s">
        <v>1465</v>
      </c>
      <c r="D968" s="7" t="s">
        <v>391</v>
      </c>
      <c r="E968" s="7" t="s">
        <v>156</v>
      </c>
      <c r="F968" s="39" t="n">
        <v>45707</v>
      </c>
      <c r="G968" s="41" t="n">
        <v>123.42</v>
      </c>
      <c r="H968" s="39" t="n">
        <v>45721</v>
      </c>
      <c r="I968" s="7" t="s">
        <v>14651</v>
      </c>
      <c r="J968" s="8" t="str">
        <f aca="false">IF(I968="Open",DATE(2025,12,31)-F968,"-")</f>
        <v>-</v>
      </c>
    </row>
    <row r="969" customFormat="false" ht="15" hidden="false" customHeight="false" outlineLevel="0" collapsed="false">
      <c r="B969" s="7" t="s">
        <v>15614</v>
      </c>
      <c r="C969" s="7" t="s">
        <v>1466</v>
      </c>
      <c r="D969" s="7" t="s">
        <v>393</v>
      </c>
      <c r="E969" s="7" t="s">
        <v>157</v>
      </c>
      <c r="F969" s="39" t="n">
        <v>45707</v>
      </c>
      <c r="G969" s="41" t="n">
        <v>166.65</v>
      </c>
      <c r="H969" s="39" t="n">
        <v>45748</v>
      </c>
      <c r="I969" s="7" t="s">
        <v>14651</v>
      </c>
      <c r="J969" s="8" t="str">
        <f aca="false">IF(I969="Open",DATE(2025,12,31)-F969,"-")</f>
        <v>-</v>
      </c>
    </row>
    <row r="970" customFormat="false" ht="15" hidden="false" customHeight="false" outlineLevel="0" collapsed="false">
      <c r="B970" s="7" t="s">
        <v>15615</v>
      </c>
      <c r="C970" s="7" t="s">
        <v>1467</v>
      </c>
      <c r="D970" s="7" t="s">
        <v>395</v>
      </c>
      <c r="E970" s="7" t="s">
        <v>156</v>
      </c>
      <c r="F970" s="39" t="n">
        <v>45707</v>
      </c>
      <c r="G970" s="41" t="n">
        <v>140.42</v>
      </c>
      <c r="H970" s="39" t="n">
        <v>45721</v>
      </c>
      <c r="I970" s="7" t="s">
        <v>14651</v>
      </c>
      <c r="J970" s="8" t="str">
        <f aca="false">IF(I970="Open",DATE(2025,12,31)-F970,"-")</f>
        <v>-</v>
      </c>
    </row>
    <row r="971" customFormat="false" ht="15" hidden="false" customHeight="false" outlineLevel="0" collapsed="false">
      <c r="B971" s="7" t="s">
        <v>15616</v>
      </c>
      <c r="C971" s="7" t="s">
        <v>1468</v>
      </c>
      <c r="D971" s="7" t="s">
        <v>399</v>
      </c>
      <c r="E971" s="7" t="s">
        <v>154</v>
      </c>
      <c r="F971" s="39" t="n">
        <v>45707</v>
      </c>
      <c r="G971" s="41" t="n">
        <v>91.69</v>
      </c>
      <c r="H971" s="39" t="n">
        <v>45812</v>
      </c>
      <c r="I971" s="7" t="s">
        <v>14651</v>
      </c>
      <c r="J971" s="8" t="str">
        <f aca="false">IF(I971="Open",DATE(2025,12,31)-F971,"-")</f>
        <v>-</v>
      </c>
    </row>
    <row r="972" customFormat="false" ht="15" hidden="false" customHeight="false" outlineLevel="0" collapsed="false">
      <c r="B972" s="7" t="s">
        <v>15617</v>
      </c>
      <c r="C972" s="7" t="s">
        <v>1469</v>
      </c>
      <c r="D972" s="7" t="s">
        <v>401</v>
      </c>
      <c r="E972" s="7" t="s">
        <v>156</v>
      </c>
      <c r="F972" s="39" t="n">
        <v>45707</v>
      </c>
      <c r="G972" s="41" t="n">
        <v>137.36</v>
      </c>
      <c r="H972" s="39" t="n">
        <v>45729</v>
      </c>
      <c r="I972" s="7" t="s">
        <v>14651</v>
      </c>
      <c r="J972" s="8" t="str">
        <f aca="false">IF(I972="Open",DATE(2025,12,31)-F972,"-")</f>
        <v>-</v>
      </c>
    </row>
    <row r="973" customFormat="false" ht="15" hidden="false" customHeight="false" outlineLevel="0" collapsed="false">
      <c r="B973" s="7" t="s">
        <v>15618</v>
      </c>
      <c r="C973" s="7" t="s">
        <v>1470</v>
      </c>
      <c r="D973" s="7" t="s">
        <v>409</v>
      </c>
      <c r="E973" s="7" t="s">
        <v>154</v>
      </c>
      <c r="F973" s="39" t="n">
        <v>45707</v>
      </c>
      <c r="G973" s="41" t="n">
        <v>91.69</v>
      </c>
      <c r="H973" s="39" t="n">
        <v>45790</v>
      </c>
      <c r="I973" s="7" t="s">
        <v>14651</v>
      </c>
      <c r="J973" s="8" t="str">
        <f aca="false">IF(I973="Open",DATE(2025,12,31)-F973,"-")</f>
        <v>-</v>
      </c>
    </row>
    <row r="974" customFormat="false" ht="15" hidden="false" customHeight="false" outlineLevel="0" collapsed="false">
      <c r="B974" s="7" t="s">
        <v>15619</v>
      </c>
      <c r="C974" s="7" t="s">
        <v>1471</v>
      </c>
      <c r="D974" s="7" t="s">
        <v>411</v>
      </c>
      <c r="E974" s="7" t="s">
        <v>154</v>
      </c>
      <c r="F974" s="39" t="n">
        <v>45707</v>
      </c>
      <c r="G974" s="41" t="n">
        <v>127.73</v>
      </c>
      <c r="H974" s="39" t="n">
        <v>45748</v>
      </c>
      <c r="I974" s="7" t="s">
        <v>14651</v>
      </c>
      <c r="J974" s="8" t="str">
        <f aca="false">IF(I974="Open",DATE(2025,12,31)-F974,"-")</f>
        <v>-</v>
      </c>
    </row>
    <row r="975" customFormat="false" ht="15" hidden="false" customHeight="false" outlineLevel="0" collapsed="false">
      <c r="B975" s="7" t="s">
        <v>15620</v>
      </c>
      <c r="C975" s="7" t="s">
        <v>1472</v>
      </c>
      <c r="D975" s="7" t="s">
        <v>288</v>
      </c>
      <c r="E975" s="7" t="s">
        <v>156</v>
      </c>
      <c r="F975" s="39" t="n">
        <v>45708</v>
      </c>
      <c r="G975" s="41" t="n">
        <v>138.72</v>
      </c>
      <c r="H975" s="39" t="n">
        <v>45722</v>
      </c>
      <c r="I975" s="7" t="s">
        <v>14651</v>
      </c>
      <c r="J975" s="8" t="str">
        <f aca="false">IF(I975="Open",DATE(2025,12,31)-F975,"-")</f>
        <v>-</v>
      </c>
    </row>
    <row r="976" customFormat="false" ht="15" hidden="false" customHeight="false" outlineLevel="0" collapsed="false">
      <c r="B976" s="7" t="s">
        <v>15621</v>
      </c>
      <c r="C976" s="7" t="s">
        <v>1473</v>
      </c>
      <c r="D976" s="7" t="s">
        <v>297</v>
      </c>
      <c r="E976" s="7" t="s">
        <v>156</v>
      </c>
      <c r="F976" s="39" t="n">
        <v>45708</v>
      </c>
      <c r="G976" s="41" t="n">
        <v>93.84</v>
      </c>
      <c r="H976" s="39" t="n">
        <v>45730</v>
      </c>
      <c r="I976" s="7" t="s">
        <v>14651</v>
      </c>
      <c r="J976" s="8" t="str">
        <f aca="false">IF(I976="Open",DATE(2025,12,31)-F976,"-")</f>
        <v>-</v>
      </c>
    </row>
    <row r="977" customFormat="false" ht="15" hidden="false" customHeight="false" outlineLevel="0" collapsed="false">
      <c r="B977" s="7" t="s">
        <v>15622</v>
      </c>
      <c r="C977" s="7" t="s">
        <v>1474</v>
      </c>
      <c r="D977" s="7" t="s">
        <v>311</v>
      </c>
      <c r="E977" s="7" t="s">
        <v>154</v>
      </c>
      <c r="F977" s="39" t="n">
        <v>45708</v>
      </c>
      <c r="G977" s="41" t="n">
        <v>73.41</v>
      </c>
      <c r="H977" s="39" t="n">
        <v>45778</v>
      </c>
      <c r="I977" s="7" t="s">
        <v>14651</v>
      </c>
      <c r="J977" s="8" t="str">
        <f aca="false">IF(I977="Open",DATE(2025,12,31)-F977,"-")</f>
        <v>-</v>
      </c>
    </row>
    <row r="978" customFormat="false" ht="15" hidden="false" customHeight="false" outlineLevel="0" collapsed="false">
      <c r="B978" s="7" t="s">
        <v>15623</v>
      </c>
      <c r="C978" s="7" t="s">
        <v>1475</v>
      </c>
      <c r="D978" s="7" t="s">
        <v>313</v>
      </c>
      <c r="E978" s="7" t="s">
        <v>156</v>
      </c>
      <c r="F978" s="39" t="n">
        <v>45708</v>
      </c>
      <c r="G978" s="41" t="n">
        <v>127.84</v>
      </c>
      <c r="H978" s="39" t="n">
        <v>45711</v>
      </c>
      <c r="I978" s="7" t="s">
        <v>14651</v>
      </c>
      <c r="J978" s="8" t="str">
        <f aca="false">IF(I978="Open",DATE(2025,12,31)-F978,"-")</f>
        <v>-</v>
      </c>
    </row>
    <row r="979" customFormat="false" ht="15" hidden="false" customHeight="false" outlineLevel="0" collapsed="false">
      <c r="B979" s="7" t="s">
        <v>15624</v>
      </c>
      <c r="C979" s="7" t="s">
        <v>1476</v>
      </c>
      <c r="D979" s="7" t="s">
        <v>317</v>
      </c>
      <c r="E979" s="7" t="s">
        <v>156</v>
      </c>
      <c r="F979" s="39" t="n">
        <v>45708</v>
      </c>
      <c r="G979" s="41" t="n">
        <v>95.88</v>
      </c>
      <c r="H979" s="39" t="n">
        <v>45719</v>
      </c>
      <c r="I979" s="7" t="s">
        <v>14651</v>
      </c>
      <c r="J979" s="8" t="str">
        <f aca="false">IF(I979="Open",DATE(2025,12,31)-F979,"-")</f>
        <v>-</v>
      </c>
    </row>
    <row r="980" customFormat="false" ht="15" hidden="false" customHeight="false" outlineLevel="0" collapsed="false">
      <c r="B980" s="7" t="s">
        <v>15625</v>
      </c>
      <c r="C980" s="7" t="s">
        <v>1477</v>
      </c>
      <c r="D980" s="7" t="s">
        <v>321</v>
      </c>
      <c r="E980" s="7" t="s">
        <v>154</v>
      </c>
      <c r="F980" s="39" t="n">
        <v>45708</v>
      </c>
      <c r="G980" s="41" t="n">
        <v>96.19</v>
      </c>
      <c r="H980" s="39" t="n">
        <v>45773</v>
      </c>
      <c r="I980" s="7" t="s">
        <v>14651</v>
      </c>
      <c r="J980" s="8" t="str">
        <f aca="false">IF(I980="Open",DATE(2025,12,31)-F980,"-")</f>
        <v>-</v>
      </c>
    </row>
    <row r="981" customFormat="false" ht="15" hidden="false" customHeight="false" outlineLevel="0" collapsed="false">
      <c r="B981" s="7" t="s">
        <v>15626</v>
      </c>
      <c r="C981" s="7" t="s">
        <v>1478</v>
      </c>
      <c r="D981" s="7" t="s">
        <v>325</v>
      </c>
      <c r="E981" s="7" t="s">
        <v>154</v>
      </c>
      <c r="F981" s="39" t="n">
        <v>45708</v>
      </c>
      <c r="G981" s="41" t="n">
        <v>83.79</v>
      </c>
      <c r="H981" s="39" t="n">
        <v>45779</v>
      </c>
      <c r="I981" s="7" t="s">
        <v>14651</v>
      </c>
      <c r="J981" s="8" t="str">
        <f aca="false">IF(I981="Open",DATE(2025,12,31)-F981,"-")</f>
        <v>-</v>
      </c>
    </row>
    <row r="982" customFormat="false" ht="15" hidden="false" customHeight="false" outlineLevel="0" collapsed="false">
      <c r="B982" s="7" t="s">
        <v>15627</v>
      </c>
      <c r="C982" s="7" t="s">
        <v>1479</v>
      </c>
      <c r="D982" s="7" t="s">
        <v>329</v>
      </c>
      <c r="E982" s="7" t="s">
        <v>156</v>
      </c>
      <c r="F982" s="39" t="n">
        <v>45708</v>
      </c>
      <c r="G982" s="41" t="n">
        <v>140.76</v>
      </c>
      <c r="H982" s="39" t="n">
        <v>45718</v>
      </c>
      <c r="I982" s="7" t="s">
        <v>14651</v>
      </c>
      <c r="J982" s="8" t="str">
        <f aca="false">IF(I982="Open",DATE(2025,12,31)-F982,"-")</f>
        <v>-</v>
      </c>
    </row>
    <row r="983" customFormat="false" ht="15" hidden="false" customHeight="false" outlineLevel="0" collapsed="false">
      <c r="B983" s="7" t="s">
        <v>15628</v>
      </c>
      <c r="C983" s="7" t="s">
        <v>1480</v>
      </c>
      <c r="D983" s="7" t="s">
        <v>331</v>
      </c>
      <c r="E983" s="7" t="s">
        <v>156</v>
      </c>
      <c r="F983" s="39" t="n">
        <v>45708</v>
      </c>
      <c r="G983" s="41" t="n">
        <v>140.76</v>
      </c>
      <c r="H983" s="39" t="n">
        <v>45712</v>
      </c>
      <c r="I983" s="7" t="s">
        <v>14651</v>
      </c>
      <c r="J983" s="8" t="str">
        <f aca="false">IF(I983="Open",DATE(2025,12,31)-F983,"-")</f>
        <v>-</v>
      </c>
    </row>
    <row r="984" customFormat="false" ht="15" hidden="false" customHeight="false" outlineLevel="0" collapsed="false">
      <c r="B984" s="7" t="s">
        <v>15629</v>
      </c>
      <c r="C984" s="7" t="s">
        <v>1481</v>
      </c>
      <c r="D984" s="7" t="s">
        <v>337</v>
      </c>
      <c r="E984" s="7" t="s">
        <v>154</v>
      </c>
      <c r="F984" s="39" t="n">
        <v>45708</v>
      </c>
      <c r="G984" s="41" t="n">
        <v>77.38</v>
      </c>
      <c r="H984" s="39" t="n">
        <v>45737</v>
      </c>
      <c r="I984" s="7" t="s">
        <v>14651</v>
      </c>
      <c r="J984" s="8" t="str">
        <f aca="false">IF(I984="Open",DATE(2025,12,31)-F984,"-")</f>
        <v>-</v>
      </c>
    </row>
    <row r="985" customFormat="false" ht="15" hidden="false" customHeight="false" outlineLevel="0" collapsed="false">
      <c r="B985" s="7" t="s">
        <v>15630</v>
      </c>
      <c r="C985" s="7" t="s">
        <v>1482</v>
      </c>
      <c r="D985" s="7" t="s">
        <v>341</v>
      </c>
      <c r="E985" s="7" t="s">
        <v>156</v>
      </c>
      <c r="F985" s="39" t="n">
        <v>45708</v>
      </c>
      <c r="G985" s="41" t="n">
        <v>96.9</v>
      </c>
      <c r="H985" s="39" t="n">
        <v>45717</v>
      </c>
      <c r="I985" s="7" t="s">
        <v>14651</v>
      </c>
      <c r="J985" s="8" t="str">
        <f aca="false">IF(I985="Open",DATE(2025,12,31)-F985,"-")</f>
        <v>-</v>
      </c>
    </row>
    <row r="986" customFormat="false" ht="15" hidden="false" customHeight="false" outlineLevel="0" collapsed="false">
      <c r="B986" s="7" t="s">
        <v>15631</v>
      </c>
      <c r="C986" s="7" t="s">
        <v>1483</v>
      </c>
      <c r="D986" s="7" t="s">
        <v>343</v>
      </c>
      <c r="E986" s="7" t="s">
        <v>154</v>
      </c>
      <c r="F986" s="39" t="n">
        <v>45708</v>
      </c>
      <c r="G986" s="41" t="n">
        <v>98.71</v>
      </c>
      <c r="H986" s="39" t="n">
        <v>45751</v>
      </c>
      <c r="I986" s="7" t="s">
        <v>14651</v>
      </c>
      <c r="J986" s="8" t="str">
        <f aca="false">IF(I986="Open",DATE(2025,12,31)-F986,"-")</f>
        <v>-</v>
      </c>
    </row>
    <row r="987" customFormat="false" ht="15" hidden="false" customHeight="false" outlineLevel="0" collapsed="false">
      <c r="B987" s="7" t="s">
        <v>15632</v>
      </c>
      <c r="C987" s="7" t="s">
        <v>1484</v>
      </c>
      <c r="D987" s="7" t="s">
        <v>359</v>
      </c>
      <c r="E987" s="7" t="s">
        <v>156</v>
      </c>
      <c r="F987" s="39" t="n">
        <v>45708</v>
      </c>
      <c r="G987" s="41" t="n">
        <v>127.16</v>
      </c>
      <c r="H987" s="39" t="n">
        <v>45717</v>
      </c>
      <c r="I987" s="7" t="s">
        <v>14651</v>
      </c>
      <c r="J987" s="8" t="str">
        <f aca="false">IF(I987="Open",DATE(2025,12,31)-F987,"-")</f>
        <v>-</v>
      </c>
    </row>
    <row r="988" customFormat="false" ht="15" hidden="false" customHeight="false" outlineLevel="0" collapsed="false">
      <c r="B988" s="7" t="s">
        <v>15633</v>
      </c>
      <c r="C988" s="7" t="s">
        <v>1485</v>
      </c>
      <c r="D988" s="7" t="s">
        <v>363</v>
      </c>
      <c r="E988" s="7" t="s">
        <v>156</v>
      </c>
      <c r="F988" s="39" t="n">
        <v>45708</v>
      </c>
      <c r="G988" s="41" t="n">
        <v>144.16</v>
      </c>
      <c r="H988" s="39" t="n">
        <v>45726</v>
      </c>
      <c r="I988" s="7" t="s">
        <v>14651</v>
      </c>
      <c r="J988" s="8" t="str">
        <f aca="false">IF(I988="Open",DATE(2025,12,31)-F988,"-")</f>
        <v>-</v>
      </c>
    </row>
    <row r="989" customFormat="false" ht="15" hidden="false" customHeight="false" outlineLevel="0" collapsed="false">
      <c r="B989" s="7" t="s">
        <v>15634</v>
      </c>
      <c r="C989" s="7" t="s">
        <v>1486</v>
      </c>
      <c r="D989" s="7" t="s">
        <v>375</v>
      </c>
      <c r="E989" s="7" t="s">
        <v>156</v>
      </c>
      <c r="F989" s="39" t="n">
        <v>45708</v>
      </c>
      <c r="G989" s="41" t="n">
        <v>93.84</v>
      </c>
      <c r="H989" s="39" t="n">
        <v>45709</v>
      </c>
      <c r="I989" s="7" t="s">
        <v>14651</v>
      </c>
      <c r="J989" s="8" t="str">
        <f aca="false">IF(I989="Open",DATE(2025,12,31)-F989,"-")</f>
        <v>-</v>
      </c>
    </row>
    <row r="990" customFormat="false" ht="15" hidden="false" customHeight="false" outlineLevel="0" collapsed="false">
      <c r="B990" s="7" t="s">
        <v>15635</v>
      </c>
      <c r="C990" s="7" t="s">
        <v>1487</v>
      </c>
      <c r="D990" s="7" t="s">
        <v>377</v>
      </c>
      <c r="E990" s="7" t="s">
        <v>154</v>
      </c>
      <c r="F990" s="39" t="n">
        <v>45708</v>
      </c>
      <c r="G990" s="41" t="n">
        <v>113.42</v>
      </c>
      <c r="H990" s="39" t="n">
        <v>45767</v>
      </c>
      <c r="I990" s="7" t="s">
        <v>14651</v>
      </c>
      <c r="J990" s="8" t="str">
        <f aca="false">IF(I990="Open",DATE(2025,12,31)-F990,"-")</f>
        <v>-</v>
      </c>
    </row>
    <row r="991" customFormat="false" ht="15" hidden="false" customHeight="false" outlineLevel="0" collapsed="false">
      <c r="B991" s="7" t="s">
        <v>15636</v>
      </c>
      <c r="C991" s="7" t="s">
        <v>1488</v>
      </c>
      <c r="D991" s="7" t="s">
        <v>389</v>
      </c>
      <c r="E991" s="7" t="s">
        <v>154</v>
      </c>
      <c r="F991" s="39" t="n">
        <v>45708</v>
      </c>
      <c r="G991" s="41" t="n">
        <v>103.09</v>
      </c>
      <c r="H991" s="39" t="n">
        <v>45765</v>
      </c>
      <c r="I991" s="7" t="s">
        <v>14651</v>
      </c>
      <c r="J991" s="8" t="str">
        <f aca="false">IF(I991="Open",DATE(2025,12,31)-F991,"-")</f>
        <v>-</v>
      </c>
    </row>
    <row r="992" customFormat="false" ht="15" hidden="false" customHeight="false" outlineLevel="0" collapsed="false">
      <c r="B992" s="7" t="s">
        <v>15637</v>
      </c>
      <c r="C992" s="7" t="s">
        <v>1489</v>
      </c>
      <c r="D992" s="7" t="s">
        <v>391</v>
      </c>
      <c r="E992" s="7" t="s">
        <v>156</v>
      </c>
      <c r="F992" s="39" t="n">
        <v>45708</v>
      </c>
      <c r="G992" s="41" t="n">
        <v>146.2</v>
      </c>
      <c r="H992" s="39" t="n">
        <v>45721</v>
      </c>
      <c r="I992" s="7" t="s">
        <v>14651</v>
      </c>
      <c r="J992" s="8" t="str">
        <f aca="false">IF(I992="Open",DATE(2025,12,31)-F992,"-")</f>
        <v>-</v>
      </c>
    </row>
    <row r="993" customFormat="false" ht="15" hidden="false" customHeight="false" outlineLevel="0" collapsed="false">
      <c r="B993" s="7" t="s">
        <v>15638</v>
      </c>
      <c r="C993" s="7" t="s">
        <v>1490</v>
      </c>
      <c r="D993" s="7" t="s">
        <v>395</v>
      </c>
      <c r="E993" s="7" t="s">
        <v>156</v>
      </c>
      <c r="F993" s="39" t="n">
        <v>45708</v>
      </c>
      <c r="G993" s="41" t="n">
        <v>127.5</v>
      </c>
      <c r="H993" s="39" t="n">
        <v>45716</v>
      </c>
      <c r="I993" s="7" t="s">
        <v>14651</v>
      </c>
      <c r="J993" s="8" t="str">
        <f aca="false">IF(I993="Open",DATE(2025,12,31)-F993,"-")</f>
        <v>-</v>
      </c>
    </row>
    <row r="994" customFormat="false" ht="15" hidden="false" customHeight="false" outlineLevel="0" collapsed="false">
      <c r="B994" s="7" t="s">
        <v>15639</v>
      </c>
      <c r="C994" s="7" t="s">
        <v>1491</v>
      </c>
      <c r="D994" s="7" t="s">
        <v>401</v>
      </c>
      <c r="E994" s="7" t="s">
        <v>156</v>
      </c>
      <c r="F994" s="39" t="n">
        <v>45708</v>
      </c>
      <c r="G994" s="41" t="n">
        <v>129.88</v>
      </c>
      <c r="H994" s="39" t="n">
        <v>45723</v>
      </c>
      <c r="I994" s="7" t="s">
        <v>14651</v>
      </c>
      <c r="J994" s="8" t="str">
        <f aca="false">IF(I994="Open",DATE(2025,12,31)-F994,"-")</f>
        <v>-</v>
      </c>
    </row>
    <row r="995" customFormat="false" ht="15" hidden="false" customHeight="false" outlineLevel="0" collapsed="false">
      <c r="B995" s="7" t="s">
        <v>15640</v>
      </c>
      <c r="C995" s="7" t="s">
        <v>1492</v>
      </c>
      <c r="D995" s="7" t="s">
        <v>280</v>
      </c>
      <c r="E995" s="7" t="s">
        <v>157</v>
      </c>
      <c r="F995" s="39" t="n">
        <v>45709</v>
      </c>
      <c r="G995" s="41" t="n">
        <v>174.9</v>
      </c>
      <c r="H995" s="39" t="n">
        <v>45748</v>
      </c>
      <c r="I995" s="7" t="s">
        <v>14651</v>
      </c>
      <c r="J995" s="8" t="str">
        <f aca="false">IF(I995="Open",DATE(2025,12,31)-F995,"-")</f>
        <v>-</v>
      </c>
    </row>
    <row r="996" customFormat="false" ht="15" hidden="false" customHeight="false" outlineLevel="0" collapsed="false">
      <c r="B996" s="7" t="s">
        <v>15641</v>
      </c>
      <c r="C996" s="7" t="s">
        <v>1493</v>
      </c>
      <c r="D996" s="7" t="s">
        <v>288</v>
      </c>
      <c r="E996" s="7" t="s">
        <v>156</v>
      </c>
      <c r="F996" s="39" t="n">
        <v>45709</v>
      </c>
      <c r="G996" s="41" t="n">
        <v>125.46</v>
      </c>
      <c r="H996" s="39" t="n">
        <v>45722</v>
      </c>
      <c r="I996" s="7" t="s">
        <v>14651</v>
      </c>
      <c r="J996" s="8" t="str">
        <f aca="false">IF(I996="Open",DATE(2025,12,31)-F996,"-")</f>
        <v>-</v>
      </c>
    </row>
    <row r="997" customFormat="false" ht="15" hidden="false" customHeight="false" outlineLevel="0" collapsed="false">
      <c r="B997" s="7" t="s">
        <v>15642</v>
      </c>
      <c r="C997" s="7" t="s">
        <v>1494</v>
      </c>
      <c r="D997" s="7" t="s">
        <v>291</v>
      </c>
      <c r="E997" s="7" t="s">
        <v>154</v>
      </c>
      <c r="F997" s="39" t="n">
        <v>45709</v>
      </c>
      <c r="G997" s="41" t="n">
        <v>134.62</v>
      </c>
      <c r="H997" s="39" t="n">
        <v>45813</v>
      </c>
      <c r="I997" s="7" t="s">
        <v>14651</v>
      </c>
      <c r="J997" s="8" t="str">
        <f aca="false">IF(I997="Open",DATE(2025,12,31)-F997,"-")</f>
        <v>-</v>
      </c>
    </row>
    <row r="998" customFormat="false" ht="15" hidden="false" customHeight="false" outlineLevel="0" collapsed="false">
      <c r="B998" s="7" t="s">
        <v>15643</v>
      </c>
      <c r="C998" s="7" t="s">
        <v>1495</v>
      </c>
      <c r="D998" s="7" t="s">
        <v>301</v>
      </c>
      <c r="E998" s="7" t="s">
        <v>157</v>
      </c>
      <c r="F998" s="39" t="n">
        <v>45709</v>
      </c>
      <c r="G998" s="41" t="n">
        <v>168.3</v>
      </c>
      <c r="H998" s="39" t="n">
        <v>45755</v>
      </c>
      <c r="I998" s="7" t="s">
        <v>14651</v>
      </c>
      <c r="J998" s="8" t="str">
        <f aca="false">IF(I998="Open",DATE(2025,12,31)-F998,"-")</f>
        <v>-</v>
      </c>
    </row>
    <row r="999" customFormat="false" ht="15" hidden="false" customHeight="false" outlineLevel="0" collapsed="false">
      <c r="B999" s="7" t="s">
        <v>15644</v>
      </c>
      <c r="C999" s="7" t="s">
        <v>1496</v>
      </c>
      <c r="D999" s="7" t="s">
        <v>305</v>
      </c>
      <c r="E999" s="7" t="s">
        <v>154</v>
      </c>
      <c r="F999" s="39" t="n">
        <v>45709</v>
      </c>
      <c r="G999" s="41" t="n">
        <v>99.38</v>
      </c>
      <c r="H999" s="39" t="n">
        <v>45767</v>
      </c>
      <c r="I999" s="7" t="s">
        <v>14651</v>
      </c>
      <c r="J999" s="8" t="str">
        <f aca="false">IF(I999="Open",DATE(2025,12,31)-F999,"-")</f>
        <v>-</v>
      </c>
    </row>
    <row r="1000" customFormat="false" ht="15" hidden="false" customHeight="false" outlineLevel="0" collapsed="false">
      <c r="B1000" s="7" t="s">
        <v>15645</v>
      </c>
      <c r="C1000" s="7" t="s">
        <v>1497</v>
      </c>
      <c r="D1000" s="7" t="s">
        <v>309</v>
      </c>
      <c r="E1000" s="7" t="s">
        <v>159</v>
      </c>
      <c r="F1000" s="39" t="n">
        <v>45709</v>
      </c>
      <c r="G1000" s="41" t="n">
        <v>122.85</v>
      </c>
      <c r="H1000" s="39" t="n">
        <v>45730</v>
      </c>
      <c r="I1000" s="7" t="s">
        <v>14651</v>
      </c>
      <c r="J1000" s="8" t="str">
        <f aca="false">IF(I1000="Open",DATE(2025,12,31)-F1000,"-")</f>
        <v>-</v>
      </c>
    </row>
    <row r="1001" customFormat="false" ht="15" hidden="false" customHeight="false" outlineLevel="0" collapsed="false">
      <c r="B1001" s="7" t="s">
        <v>15646</v>
      </c>
      <c r="C1001" s="7" t="s">
        <v>1498</v>
      </c>
      <c r="D1001" s="7" t="s">
        <v>313</v>
      </c>
      <c r="E1001" s="7" t="s">
        <v>156</v>
      </c>
      <c r="F1001" s="39" t="n">
        <v>45709</v>
      </c>
      <c r="G1001" s="41" t="n">
        <v>148.92</v>
      </c>
      <c r="H1001" s="39" t="n">
        <v>45720</v>
      </c>
      <c r="I1001" s="7" t="s">
        <v>14651</v>
      </c>
      <c r="J1001" s="8" t="str">
        <f aca="false">IF(I1001="Open",DATE(2025,12,31)-F1001,"-")</f>
        <v>-</v>
      </c>
    </row>
    <row r="1002" customFormat="false" ht="15" hidden="false" customHeight="false" outlineLevel="0" collapsed="false">
      <c r="B1002" s="7" t="s">
        <v>15647</v>
      </c>
      <c r="C1002" s="7" t="s">
        <v>1499</v>
      </c>
      <c r="D1002" s="7" t="s">
        <v>319</v>
      </c>
      <c r="E1002" s="7" t="s">
        <v>157</v>
      </c>
      <c r="F1002" s="39" t="n">
        <v>45709</v>
      </c>
      <c r="G1002" s="41" t="n">
        <v>144.21</v>
      </c>
      <c r="H1002" s="39" t="n">
        <v>45749</v>
      </c>
      <c r="I1002" s="7" t="s">
        <v>14651</v>
      </c>
      <c r="J1002" s="8" t="str">
        <f aca="false">IF(I1002="Open",DATE(2025,12,31)-F1002,"-")</f>
        <v>-</v>
      </c>
    </row>
    <row r="1003" customFormat="false" ht="15" hidden="false" customHeight="false" outlineLevel="0" collapsed="false">
      <c r="B1003" s="7" t="s">
        <v>15648</v>
      </c>
      <c r="C1003" s="7" t="s">
        <v>1500</v>
      </c>
      <c r="D1003" s="7" t="s">
        <v>321</v>
      </c>
      <c r="E1003" s="7" t="s">
        <v>154</v>
      </c>
      <c r="F1003" s="39" t="n">
        <v>45709</v>
      </c>
      <c r="G1003" s="41" t="n">
        <v>100.97</v>
      </c>
      <c r="H1003" s="39" t="n">
        <v>45769</v>
      </c>
      <c r="I1003" s="7" t="s">
        <v>14651</v>
      </c>
      <c r="J1003" s="8" t="str">
        <f aca="false">IF(I1003="Open",DATE(2025,12,31)-F1003,"-")</f>
        <v>-</v>
      </c>
    </row>
    <row r="1004" customFormat="false" ht="15" hidden="false" customHeight="false" outlineLevel="0" collapsed="false">
      <c r="B1004" s="7" t="s">
        <v>15649</v>
      </c>
      <c r="C1004" s="7" t="s">
        <v>1501</v>
      </c>
      <c r="D1004" s="7" t="s">
        <v>323</v>
      </c>
      <c r="E1004" s="7" t="s">
        <v>159</v>
      </c>
      <c r="F1004" s="39" t="n">
        <v>45709</v>
      </c>
      <c r="G1004" s="41" t="n">
        <v>140.4</v>
      </c>
      <c r="H1004" s="39" t="n">
        <v>45750</v>
      </c>
      <c r="I1004" s="7" t="s">
        <v>14651</v>
      </c>
      <c r="J1004" s="8" t="str">
        <f aca="false">IF(I1004="Open",DATE(2025,12,31)-F1004,"-")</f>
        <v>-</v>
      </c>
    </row>
    <row r="1005" customFormat="false" ht="15" hidden="false" customHeight="false" outlineLevel="0" collapsed="false">
      <c r="B1005" s="7" t="s">
        <v>15650</v>
      </c>
      <c r="C1005" s="7" t="s">
        <v>1502</v>
      </c>
      <c r="D1005" s="7" t="s">
        <v>327</v>
      </c>
      <c r="E1005" s="7" t="s">
        <v>157</v>
      </c>
      <c r="F1005" s="39" t="n">
        <v>45709</v>
      </c>
      <c r="G1005" s="41" t="n">
        <v>166.65</v>
      </c>
      <c r="H1005" s="39" t="n">
        <v>45747</v>
      </c>
      <c r="I1005" s="7" t="s">
        <v>14651</v>
      </c>
      <c r="J1005" s="8" t="str">
        <f aca="false">IF(I1005="Open",DATE(2025,12,31)-F1005,"-")</f>
        <v>-</v>
      </c>
    </row>
    <row r="1006" customFormat="false" ht="15" hidden="false" customHeight="false" outlineLevel="0" collapsed="false">
      <c r="B1006" s="7" t="s">
        <v>15651</v>
      </c>
      <c r="C1006" s="7" t="s">
        <v>1503</v>
      </c>
      <c r="D1006" s="7" t="s">
        <v>329</v>
      </c>
      <c r="E1006" s="7" t="s">
        <v>156</v>
      </c>
      <c r="F1006" s="39" t="n">
        <v>45709</v>
      </c>
      <c r="G1006" s="41" t="n">
        <v>131.58</v>
      </c>
      <c r="H1006" s="39" t="n">
        <v>45721</v>
      </c>
      <c r="I1006" s="7" t="s">
        <v>14651</v>
      </c>
      <c r="J1006" s="8" t="str">
        <f aca="false">IF(I1006="Open",DATE(2025,12,31)-F1006,"-")</f>
        <v>-</v>
      </c>
    </row>
    <row r="1007" customFormat="false" ht="15" hidden="false" customHeight="false" outlineLevel="0" collapsed="false">
      <c r="B1007" s="7" t="s">
        <v>15652</v>
      </c>
      <c r="C1007" s="7" t="s">
        <v>1504</v>
      </c>
      <c r="D1007" s="7" t="s">
        <v>335</v>
      </c>
      <c r="E1007" s="7" t="s">
        <v>154</v>
      </c>
      <c r="F1007" s="39" t="n">
        <v>45709</v>
      </c>
      <c r="G1007" s="41" t="n">
        <v>97.52</v>
      </c>
      <c r="H1007" s="39" t="n">
        <v>45826</v>
      </c>
      <c r="I1007" s="7" t="s">
        <v>14651</v>
      </c>
      <c r="J1007" s="8" t="str">
        <f aca="false">IF(I1007="Open",DATE(2025,12,31)-F1007,"-")</f>
        <v>-</v>
      </c>
    </row>
    <row r="1008" customFormat="false" ht="15" hidden="false" customHeight="false" outlineLevel="0" collapsed="false">
      <c r="B1008" s="7" t="s">
        <v>15653</v>
      </c>
      <c r="C1008" s="7" t="s">
        <v>1505</v>
      </c>
      <c r="D1008" s="7" t="s">
        <v>339</v>
      </c>
      <c r="E1008" s="7" t="s">
        <v>154</v>
      </c>
      <c r="F1008" s="39" t="n">
        <v>45709</v>
      </c>
      <c r="G1008" s="41" t="n">
        <v>85.59</v>
      </c>
      <c r="H1008" s="39" t="n">
        <v>45795</v>
      </c>
      <c r="I1008" s="7" t="s">
        <v>14651</v>
      </c>
      <c r="J1008" s="8" t="str">
        <f aca="false">IF(I1008="Open",DATE(2025,12,31)-F1008,"-")</f>
        <v>-</v>
      </c>
    </row>
    <row r="1009" customFormat="false" ht="15" hidden="false" customHeight="false" outlineLevel="0" collapsed="false">
      <c r="B1009" s="7" t="s">
        <v>15654</v>
      </c>
      <c r="C1009" s="7" t="s">
        <v>1506</v>
      </c>
      <c r="D1009" s="7" t="s">
        <v>353</v>
      </c>
      <c r="E1009" s="7" t="s">
        <v>154</v>
      </c>
      <c r="F1009" s="39" t="n">
        <v>45709</v>
      </c>
      <c r="G1009" s="41" t="n">
        <v>94.34</v>
      </c>
      <c r="H1009" s="39" t="n">
        <v>45776</v>
      </c>
      <c r="I1009" s="7" t="s">
        <v>14651</v>
      </c>
      <c r="J1009" s="8" t="str">
        <f aca="false">IF(I1009="Open",DATE(2025,12,31)-F1009,"-")</f>
        <v>-</v>
      </c>
    </row>
    <row r="1010" customFormat="false" ht="15" hidden="false" customHeight="false" outlineLevel="0" collapsed="false">
      <c r="B1010" s="7" t="s">
        <v>15655</v>
      </c>
      <c r="C1010" s="7" t="s">
        <v>1507</v>
      </c>
      <c r="D1010" s="7" t="s">
        <v>355</v>
      </c>
      <c r="E1010" s="7" t="s">
        <v>154</v>
      </c>
      <c r="F1010" s="39" t="n">
        <v>45709</v>
      </c>
      <c r="G1010" s="41" t="n">
        <v>80.56</v>
      </c>
      <c r="H1010" s="39" t="n">
        <v>45755</v>
      </c>
      <c r="I1010" s="7" t="s">
        <v>14651</v>
      </c>
      <c r="J1010" s="8" t="str">
        <f aca="false">IF(I1010="Open",DATE(2025,12,31)-F1010,"-")</f>
        <v>-</v>
      </c>
    </row>
    <row r="1011" customFormat="false" ht="15" hidden="false" customHeight="false" outlineLevel="0" collapsed="false">
      <c r="B1011" s="7" t="s">
        <v>15656</v>
      </c>
      <c r="C1011" s="7" t="s">
        <v>1508</v>
      </c>
      <c r="D1011" s="7" t="s">
        <v>357</v>
      </c>
      <c r="E1011" s="7" t="s">
        <v>154</v>
      </c>
      <c r="F1011" s="39" t="n">
        <v>45709</v>
      </c>
      <c r="G1011" s="41" t="n">
        <v>94.6</v>
      </c>
      <c r="H1011" s="39" t="n">
        <v>45777</v>
      </c>
      <c r="I1011" s="7" t="s">
        <v>14651</v>
      </c>
      <c r="J1011" s="8" t="str">
        <f aca="false">IF(I1011="Open",DATE(2025,12,31)-F1011,"-")</f>
        <v>-</v>
      </c>
    </row>
    <row r="1012" customFormat="false" ht="15" hidden="false" customHeight="false" outlineLevel="0" collapsed="false">
      <c r="B1012" s="7" t="s">
        <v>15657</v>
      </c>
      <c r="C1012" s="7" t="s">
        <v>1509</v>
      </c>
      <c r="D1012" s="7" t="s">
        <v>359</v>
      </c>
      <c r="E1012" s="7" t="s">
        <v>156</v>
      </c>
      <c r="F1012" s="39" t="n">
        <v>45709</v>
      </c>
      <c r="G1012" s="41" t="n">
        <v>124.44</v>
      </c>
      <c r="H1012" s="39" t="n">
        <v>45732</v>
      </c>
      <c r="I1012" s="7" t="s">
        <v>14651</v>
      </c>
      <c r="J1012" s="8" t="str">
        <f aca="false">IF(I1012="Open",DATE(2025,12,31)-F1012,"-")</f>
        <v>-</v>
      </c>
    </row>
    <row r="1013" customFormat="false" ht="15" hidden="false" customHeight="false" outlineLevel="0" collapsed="false">
      <c r="B1013" s="7" t="s">
        <v>15658</v>
      </c>
      <c r="C1013" s="7" t="s">
        <v>1510</v>
      </c>
      <c r="D1013" s="7" t="s">
        <v>361</v>
      </c>
      <c r="E1013" s="7" t="s">
        <v>157</v>
      </c>
      <c r="F1013" s="39" t="n">
        <v>45709</v>
      </c>
      <c r="G1013" s="41" t="n">
        <v>179.85</v>
      </c>
      <c r="H1013" s="39" t="n">
        <v>45728</v>
      </c>
      <c r="I1013" s="7" t="s">
        <v>14651</v>
      </c>
      <c r="J1013" s="8" t="str">
        <f aca="false">IF(I1013="Open",DATE(2025,12,31)-F1013,"-")</f>
        <v>-</v>
      </c>
    </row>
    <row r="1014" customFormat="false" ht="15" hidden="false" customHeight="false" outlineLevel="0" collapsed="false">
      <c r="B1014" s="7" t="s">
        <v>15659</v>
      </c>
      <c r="C1014" s="7" t="s">
        <v>1511</v>
      </c>
      <c r="D1014" s="7" t="s">
        <v>371</v>
      </c>
      <c r="E1014" s="7" t="s">
        <v>154</v>
      </c>
      <c r="F1014" s="39" t="n">
        <v>45709</v>
      </c>
      <c r="G1014" s="41" t="n">
        <v>127.2</v>
      </c>
      <c r="H1014" s="39" t="n">
        <v>45756</v>
      </c>
      <c r="I1014" s="7" t="s">
        <v>14651</v>
      </c>
      <c r="J1014" s="8" t="str">
        <f aca="false">IF(I1014="Open",DATE(2025,12,31)-F1014,"-")</f>
        <v>-</v>
      </c>
    </row>
    <row r="1015" customFormat="false" ht="15" hidden="false" customHeight="false" outlineLevel="0" collapsed="false">
      <c r="B1015" s="7" t="s">
        <v>15660</v>
      </c>
      <c r="C1015" s="7" t="s">
        <v>1512</v>
      </c>
      <c r="D1015" s="7" t="s">
        <v>379</v>
      </c>
      <c r="E1015" s="7" t="s">
        <v>156</v>
      </c>
      <c r="F1015" s="39" t="n">
        <v>45709</v>
      </c>
      <c r="G1015" s="41" t="n">
        <v>157.42</v>
      </c>
      <c r="H1015" s="39" t="n">
        <v>45722</v>
      </c>
      <c r="I1015" s="7" t="s">
        <v>14651</v>
      </c>
      <c r="J1015" s="8" t="str">
        <f aca="false">IF(I1015="Open",DATE(2025,12,31)-F1015,"-")</f>
        <v>-</v>
      </c>
    </row>
    <row r="1016" customFormat="false" ht="15" hidden="false" customHeight="false" outlineLevel="0" collapsed="false">
      <c r="B1016" s="7" t="s">
        <v>15661</v>
      </c>
      <c r="C1016" s="7" t="s">
        <v>1513</v>
      </c>
      <c r="D1016" s="7" t="s">
        <v>381</v>
      </c>
      <c r="E1016" s="7" t="s">
        <v>157</v>
      </c>
      <c r="F1016" s="39" t="n">
        <v>45709</v>
      </c>
      <c r="G1016" s="41" t="n">
        <v>167.64</v>
      </c>
      <c r="H1016" s="39" t="n">
        <v>45747</v>
      </c>
      <c r="I1016" s="7" t="s">
        <v>14651</v>
      </c>
      <c r="J1016" s="8" t="str">
        <f aca="false">IF(I1016="Open",DATE(2025,12,31)-F1016,"-")</f>
        <v>-</v>
      </c>
    </row>
    <row r="1017" customFormat="false" ht="15" hidden="false" customHeight="false" outlineLevel="0" collapsed="false">
      <c r="B1017" s="7" t="s">
        <v>15662</v>
      </c>
      <c r="C1017" s="7" t="s">
        <v>1514</v>
      </c>
      <c r="D1017" s="7" t="s">
        <v>389</v>
      </c>
      <c r="E1017" s="7" t="s">
        <v>154</v>
      </c>
      <c r="F1017" s="39" t="n">
        <v>45709</v>
      </c>
      <c r="G1017" s="41" t="n">
        <v>102.82</v>
      </c>
      <c r="H1017" s="39" t="n">
        <v>45784</v>
      </c>
      <c r="I1017" s="7" t="s">
        <v>14651</v>
      </c>
      <c r="J1017" s="8" t="str">
        <f aca="false">IF(I1017="Open",DATE(2025,12,31)-F1017,"-")</f>
        <v>-</v>
      </c>
    </row>
    <row r="1018" customFormat="false" ht="15" hidden="false" customHeight="false" outlineLevel="0" collapsed="false">
      <c r="B1018" s="7" t="s">
        <v>15663</v>
      </c>
      <c r="C1018" s="7" t="s">
        <v>1515</v>
      </c>
      <c r="D1018" s="7" t="s">
        <v>391</v>
      </c>
      <c r="E1018" s="7" t="s">
        <v>156</v>
      </c>
      <c r="F1018" s="39" t="n">
        <v>45709</v>
      </c>
      <c r="G1018" s="41" t="n">
        <v>133.62</v>
      </c>
      <c r="H1018" s="39" t="n">
        <v>45720</v>
      </c>
      <c r="I1018" s="7" t="s">
        <v>14651</v>
      </c>
      <c r="J1018" s="8" t="str">
        <f aca="false">IF(I1018="Open",DATE(2025,12,31)-F1018,"-")</f>
        <v>-</v>
      </c>
    </row>
    <row r="1019" customFormat="false" ht="15" hidden="false" customHeight="false" outlineLevel="0" collapsed="false">
      <c r="B1019" s="7" t="s">
        <v>15664</v>
      </c>
      <c r="C1019" s="7" t="s">
        <v>1516</v>
      </c>
      <c r="D1019" s="7" t="s">
        <v>395</v>
      </c>
      <c r="E1019" s="7" t="s">
        <v>156</v>
      </c>
      <c r="F1019" s="39" t="n">
        <v>45709</v>
      </c>
      <c r="G1019" s="41" t="n">
        <v>124.78</v>
      </c>
      <c r="H1019" s="39" t="n">
        <v>45723</v>
      </c>
      <c r="I1019" s="7" t="s">
        <v>14651</v>
      </c>
      <c r="J1019" s="8" t="str">
        <f aca="false">IF(I1019="Open",DATE(2025,12,31)-F1019,"-")</f>
        <v>-</v>
      </c>
    </row>
    <row r="1020" customFormat="false" ht="15" hidden="false" customHeight="false" outlineLevel="0" collapsed="false">
      <c r="B1020" s="7" t="s">
        <v>15665</v>
      </c>
      <c r="C1020" s="7" t="s">
        <v>1517</v>
      </c>
      <c r="D1020" s="7" t="s">
        <v>397</v>
      </c>
      <c r="E1020" s="7" t="s">
        <v>159</v>
      </c>
      <c r="F1020" s="39" t="n">
        <v>45709</v>
      </c>
      <c r="G1020" s="41" t="n">
        <v>129.6</v>
      </c>
      <c r="H1020" s="39" t="n">
        <v>45752</v>
      </c>
      <c r="I1020" s="7" t="s">
        <v>14651</v>
      </c>
      <c r="J1020" s="8" t="str">
        <f aca="false">IF(I1020="Open",DATE(2025,12,31)-F1020,"-")</f>
        <v>-</v>
      </c>
    </row>
    <row r="1021" customFormat="false" ht="15" hidden="false" customHeight="false" outlineLevel="0" collapsed="false">
      <c r="B1021" s="7" t="s">
        <v>15666</v>
      </c>
      <c r="C1021" s="7" t="s">
        <v>1518</v>
      </c>
      <c r="D1021" s="7" t="s">
        <v>399</v>
      </c>
      <c r="E1021" s="7" t="s">
        <v>154</v>
      </c>
      <c r="F1021" s="39" t="n">
        <v>45709</v>
      </c>
      <c r="G1021" s="41" t="n">
        <v>91.43</v>
      </c>
      <c r="H1021" s="39" t="n">
        <v>45803</v>
      </c>
      <c r="I1021" s="7" t="s">
        <v>14651</v>
      </c>
      <c r="J1021" s="8" t="str">
        <f aca="false">IF(I1021="Open",DATE(2025,12,31)-F1021,"-")</f>
        <v>-</v>
      </c>
    </row>
    <row r="1022" customFormat="false" ht="15" hidden="false" customHeight="false" outlineLevel="0" collapsed="false">
      <c r="B1022" s="7" t="s">
        <v>15667</v>
      </c>
      <c r="C1022" s="7" t="s">
        <v>1519</v>
      </c>
      <c r="D1022" s="7" t="s">
        <v>401</v>
      </c>
      <c r="E1022" s="7" t="s">
        <v>156</v>
      </c>
      <c r="F1022" s="39" t="n">
        <v>45709</v>
      </c>
      <c r="G1022" s="41" t="n">
        <v>123.76</v>
      </c>
      <c r="H1022" s="39" t="n">
        <v>45724</v>
      </c>
      <c r="I1022" s="7" t="s">
        <v>14651</v>
      </c>
      <c r="J1022" s="8" t="str">
        <f aca="false">IF(I1022="Open",DATE(2025,12,31)-F1022,"-")</f>
        <v>-</v>
      </c>
    </row>
    <row r="1023" customFormat="false" ht="15" hidden="false" customHeight="false" outlineLevel="0" collapsed="false">
      <c r="B1023" s="7" t="s">
        <v>15668</v>
      </c>
      <c r="C1023" s="7" t="s">
        <v>1520</v>
      </c>
      <c r="D1023" s="7" t="s">
        <v>407</v>
      </c>
      <c r="E1023" s="7" t="s">
        <v>159</v>
      </c>
      <c r="F1023" s="39" t="n">
        <v>45709</v>
      </c>
      <c r="G1023" s="41" t="n">
        <v>136.35</v>
      </c>
      <c r="H1023" s="39" t="n">
        <v>45732</v>
      </c>
      <c r="I1023" s="7" t="s">
        <v>14651</v>
      </c>
      <c r="J1023" s="8" t="str">
        <f aca="false">IF(I1023="Open",DATE(2025,12,31)-F1023,"-")</f>
        <v>-</v>
      </c>
    </row>
    <row r="1024" customFormat="false" ht="15" hidden="false" customHeight="false" outlineLevel="0" collapsed="false">
      <c r="B1024" s="7" t="s">
        <v>15669</v>
      </c>
      <c r="C1024" s="7" t="s">
        <v>1521</v>
      </c>
      <c r="D1024" s="7" t="s">
        <v>409</v>
      </c>
      <c r="E1024" s="7" t="s">
        <v>154</v>
      </c>
      <c r="F1024" s="39" t="n">
        <v>45709</v>
      </c>
      <c r="G1024" s="41" t="n">
        <v>88.43</v>
      </c>
      <c r="H1024" s="39" t="n">
        <v>45755</v>
      </c>
      <c r="I1024" s="7" t="s">
        <v>14651</v>
      </c>
      <c r="J1024" s="8" t="str">
        <f aca="false">IF(I1024="Open",DATE(2025,12,31)-F1024,"-")</f>
        <v>-</v>
      </c>
    </row>
    <row r="1025" customFormat="false" ht="15" hidden="false" customHeight="false" outlineLevel="0" collapsed="false">
      <c r="B1025" s="7" t="s">
        <v>15670</v>
      </c>
      <c r="C1025" s="7" t="s">
        <v>1522</v>
      </c>
      <c r="D1025" s="7" t="s">
        <v>411</v>
      </c>
      <c r="E1025" s="7" t="s">
        <v>154</v>
      </c>
      <c r="F1025" s="39" t="n">
        <v>45709</v>
      </c>
      <c r="G1025" s="41" t="n">
        <v>130.12</v>
      </c>
      <c r="H1025" s="39" t="n">
        <v>45794</v>
      </c>
      <c r="I1025" s="7" t="s">
        <v>14651</v>
      </c>
      <c r="J1025" s="8" t="str">
        <f aca="false">IF(I1025="Open",DATE(2025,12,31)-F1025,"-")</f>
        <v>-</v>
      </c>
    </row>
    <row r="1026" customFormat="false" ht="15" hidden="false" customHeight="false" outlineLevel="0" collapsed="false">
      <c r="B1026" s="7" t="s">
        <v>15671</v>
      </c>
      <c r="C1026" s="7" t="s">
        <v>1523</v>
      </c>
      <c r="D1026" s="7" t="s">
        <v>288</v>
      </c>
      <c r="E1026" s="7" t="s">
        <v>156</v>
      </c>
      <c r="F1026" s="39" t="n">
        <v>45710</v>
      </c>
      <c r="G1026" s="41" t="n">
        <v>144.84</v>
      </c>
      <c r="H1026" s="39" t="n">
        <v>45725</v>
      </c>
      <c r="I1026" s="7" t="s">
        <v>14651</v>
      </c>
      <c r="J1026" s="8" t="str">
        <f aca="false">IF(I1026="Open",DATE(2025,12,31)-F1026,"-")</f>
        <v>-</v>
      </c>
    </row>
    <row r="1027" customFormat="false" ht="15" hidden="false" customHeight="false" outlineLevel="0" collapsed="false">
      <c r="B1027" s="7" t="s">
        <v>15672</v>
      </c>
      <c r="C1027" s="7" t="s">
        <v>1524</v>
      </c>
      <c r="D1027" s="7" t="s">
        <v>321</v>
      </c>
      <c r="E1027" s="7" t="s">
        <v>154</v>
      </c>
      <c r="F1027" s="39" t="n">
        <v>45710</v>
      </c>
      <c r="G1027" s="41" t="n">
        <v>103.32</v>
      </c>
      <c r="H1027" s="39" t="n">
        <v>45747</v>
      </c>
      <c r="I1027" s="7" t="s">
        <v>14651</v>
      </c>
      <c r="J1027" s="8" t="str">
        <f aca="false">IF(I1027="Open",DATE(2025,12,31)-F1027,"-")</f>
        <v>-</v>
      </c>
    </row>
    <row r="1028" customFormat="false" ht="15" hidden="false" customHeight="false" outlineLevel="0" collapsed="false">
      <c r="B1028" s="7" t="s">
        <v>15673</v>
      </c>
      <c r="C1028" s="7" t="s">
        <v>1525</v>
      </c>
      <c r="D1028" s="7" t="s">
        <v>359</v>
      </c>
      <c r="E1028" s="7" t="s">
        <v>156</v>
      </c>
      <c r="F1028" s="39" t="n">
        <v>45710</v>
      </c>
      <c r="G1028" s="41" t="n">
        <v>126.82</v>
      </c>
      <c r="H1028" s="39" t="n">
        <v>45717</v>
      </c>
      <c r="I1028" s="7" t="s">
        <v>14651</v>
      </c>
      <c r="J1028" s="8" t="str">
        <f aca="false">IF(I1028="Open",DATE(2025,12,31)-F1028,"-")</f>
        <v>-</v>
      </c>
    </row>
    <row r="1029" customFormat="false" ht="15" hidden="false" customHeight="false" outlineLevel="0" collapsed="false">
      <c r="B1029" s="7" t="s">
        <v>15674</v>
      </c>
      <c r="C1029" s="7" t="s">
        <v>1526</v>
      </c>
      <c r="D1029" s="7" t="s">
        <v>391</v>
      </c>
      <c r="E1029" s="7" t="s">
        <v>156</v>
      </c>
      <c r="F1029" s="39" t="n">
        <v>45710</v>
      </c>
      <c r="G1029" s="41" t="n">
        <v>142.12</v>
      </c>
      <c r="H1029" s="39" t="n">
        <v>45723</v>
      </c>
      <c r="I1029" s="7" t="s">
        <v>14651</v>
      </c>
      <c r="J1029" s="8" t="str">
        <f aca="false">IF(I1029="Open",DATE(2025,12,31)-F1029,"-")</f>
        <v>-</v>
      </c>
    </row>
    <row r="1030" customFormat="false" ht="15" hidden="false" customHeight="false" outlineLevel="0" collapsed="false">
      <c r="B1030" s="7" t="s">
        <v>15675</v>
      </c>
      <c r="C1030" s="7" t="s">
        <v>1527</v>
      </c>
      <c r="D1030" s="7" t="s">
        <v>395</v>
      </c>
      <c r="E1030" s="7" t="s">
        <v>156</v>
      </c>
      <c r="F1030" s="39" t="n">
        <v>45710</v>
      </c>
      <c r="G1030" s="41" t="n">
        <v>127.5</v>
      </c>
      <c r="H1030" s="39" t="n">
        <v>45722</v>
      </c>
      <c r="I1030" s="7" t="s">
        <v>14651</v>
      </c>
      <c r="J1030" s="8" t="str">
        <f aca="false">IF(I1030="Open",DATE(2025,12,31)-F1030,"-")</f>
        <v>-</v>
      </c>
    </row>
    <row r="1031" customFormat="false" ht="15" hidden="false" customHeight="false" outlineLevel="0" collapsed="false">
      <c r="B1031" s="7" t="s">
        <v>15676</v>
      </c>
      <c r="C1031" s="7" t="s">
        <v>1528</v>
      </c>
      <c r="D1031" s="7" t="s">
        <v>401</v>
      </c>
      <c r="E1031" s="7" t="s">
        <v>156</v>
      </c>
      <c r="F1031" s="39" t="n">
        <v>45710</v>
      </c>
      <c r="G1031" s="41" t="n">
        <v>134.98</v>
      </c>
      <c r="H1031" s="39" t="n">
        <v>45726</v>
      </c>
      <c r="I1031" s="7" t="s">
        <v>14651</v>
      </c>
      <c r="J1031" s="8" t="str">
        <f aca="false">IF(I1031="Open",DATE(2025,12,31)-F1031,"-")</f>
        <v>-</v>
      </c>
    </row>
    <row r="1032" customFormat="false" ht="15" hidden="false" customHeight="false" outlineLevel="0" collapsed="false">
      <c r="B1032" s="7" t="s">
        <v>15677</v>
      </c>
      <c r="C1032" s="7" t="s">
        <v>1529</v>
      </c>
      <c r="D1032" s="7" t="s">
        <v>288</v>
      </c>
      <c r="E1032" s="7" t="s">
        <v>156</v>
      </c>
      <c r="F1032" s="39" t="n">
        <v>45711</v>
      </c>
      <c r="G1032" s="41" t="n">
        <v>125.46</v>
      </c>
      <c r="H1032" s="39" t="n">
        <v>45734</v>
      </c>
      <c r="I1032" s="7" t="s">
        <v>14651</v>
      </c>
      <c r="J1032" s="8" t="str">
        <f aca="false">IF(I1032="Open",DATE(2025,12,31)-F1032,"-")</f>
        <v>-</v>
      </c>
    </row>
    <row r="1033" customFormat="false" ht="15" hidden="false" customHeight="false" outlineLevel="0" collapsed="false">
      <c r="B1033" s="7" t="s">
        <v>15678</v>
      </c>
      <c r="C1033" s="7" t="s">
        <v>1530</v>
      </c>
      <c r="D1033" s="7" t="s">
        <v>321</v>
      </c>
      <c r="E1033" s="7" t="s">
        <v>154</v>
      </c>
      <c r="F1033" s="39" t="n">
        <v>45711</v>
      </c>
      <c r="G1033" s="41" t="n">
        <v>113.15</v>
      </c>
      <c r="H1033" s="39" t="n">
        <v>45756</v>
      </c>
      <c r="I1033" s="7" t="s">
        <v>14651</v>
      </c>
      <c r="J1033" s="8" t="str">
        <f aca="false">IF(I1033="Open",DATE(2025,12,31)-F1033,"-")</f>
        <v>-</v>
      </c>
    </row>
    <row r="1034" customFormat="false" ht="15" hidden="false" customHeight="false" outlineLevel="0" collapsed="false">
      <c r="B1034" s="7" t="s">
        <v>15679</v>
      </c>
      <c r="C1034" s="7" t="s">
        <v>1531</v>
      </c>
      <c r="D1034" s="7" t="s">
        <v>359</v>
      </c>
      <c r="E1034" s="7" t="s">
        <v>156</v>
      </c>
      <c r="F1034" s="39" t="n">
        <v>45711</v>
      </c>
      <c r="G1034" s="41" t="n">
        <v>134.64</v>
      </c>
      <c r="H1034" s="39" t="n">
        <v>45712</v>
      </c>
      <c r="I1034" s="7" t="s">
        <v>14651</v>
      </c>
      <c r="J1034" s="8" t="str">
        <f aca="false">IF(I1034="Open",DATE(2025,12,31)-F1034,"-")</f>
        <v>-</v>
      </c>
    </row>
    <row r="1035" customFormat="false" ht="15" hidden="false" customHeight="false" outlineLevel="0" collapsed="false">
      <c r="B1035" s="7" t="s">
        <v>15680</v>
      </c>
      <c r="C1035" s="7" t="s">
        <v>1532</v>
      </c>
      <c r="D1035" s="7" t="s">
        <v>391</v>
      </c>
      <c r="E1035" s="7" t="s">
        <v>156</v>
      </c>
      <c r="F1035" s="39" t="n">
        <v>45711</v>
      </c>
      <c r="G1035" s="41" t="n">
        <v>126.14</v>
      </c>
      <c r="H1035" s="39" t="n">
        <v>45726</v>
      </c>
      <c r="I1035" s="7" t="s">
        <v>14651</v>
      </c>
      <c r="J1035" s="8" t="str">
        <f aca="false">IF(I1035="Open",DATE(2025,12,31)-F1035,"-")</f>
        <v>-</v>
      </c>
    </row>
    <row r="1036" customFormat="false" ht="15" hidden="false" customHeight="false" outlineLevel="0" collapsed="false">
      <c r="B1036" s="7" t="s">
        <v>15681</v>
      </c>
      <c r="C1036" s="7" t="s">
        <v>1533</v>
      </c>
      <c r="D1036" s="7" t="s">
        <v>395</v>
      </c>
      <c r="E1036" s="7" t="s">
        <v>156</v>
      </c>
      <c r="F1036" s="39" t="n">
        <v>45711</v>
      </c>
      <c r="G1036" s="41" t="n">
        <v>123.76</v>
      </c>
      <c r="H1036" s="39" t="n">
        <v>45721</v>
      </c>
      <c r="I1036" s="7" t="s">
        <v>14651</v>
      </c>
      <c r="J1036" s="8" t="str">
        <f aca="false">IF(I1036="Open",DATE(2025,12,31)-F1036,"-")</f>
        <v>-</v>
      </c>
    </row>
    <row r="1037" customFormat="false" ht="15" hidden="false" customHeight="false" outlineLevel="0" collapsed="false">
      <c r="B1037" s="7" t="s">
        <v>15682</v>
      </c>
      <c r="C1037" s="7" t="s">
        <v>1534</v>
      </c>
      <c r="D1037" s="7" t="s">
        <v>401</v>
      </c>
      <c r="E1037" s="7" t="s">
        <v>156</v>
      </c>
      <c r="F1037" s="39" t="n">
        <v>45711</v>
      </c>
      <c r="G1037" s="41" t="n">
        <v>135.66</v>
      </c>
      <c r="H1037" s="39" t="n">
        <v>45721</v>
      </c>
      <c r="I1037" s="7" t="s">
        <v>14651</v>
      </c>
      <c r="J1037" s="8" t="str">
        <f aca="false">IF(I1037="Open",DATE(2025,12,31)-F1037,"-")</f>
        <v>-</v>
      </c>
    </row>
    <row r="1038" customFormat="false" ht="15" hidden="false" customHeight="false" outlineLevel="0" collapsed="false">
      <c r="B1038" s="7" t="s">
        <v>15683</v>
      </c>
      <c r="C1038" s="7" t="s">
        <v>1535</v>
      </c>
      <c r="D1038" s="7" t="s">
        <v>280</v>
      </c>
      <c r="E1038" s="7" t="s">
        <v>157</v>
      </c>
      <c r="F1038" s="39" t="n">
        <v>45712</v>
      </c>
      <c r="G1038" s="41" t="n">
        <v>155.1</v>
      </c>
      <c r="H1038" s="39" t="n">
        <v>45733</v>
      </c>
      <c r="I1038" s="7" t="s">
        <v>14651</v>
      </c>
      <c r="J1038" s="8" t="str">
        <f aca="false">IF(I1038="Open",DATE(2025,12,31)-F1038,"-")</f>
        <v>-</v>
      </c>
    </row>
    <row r="1039" customFormat="false" ht="15" hidden="false" customHeight="false" outlineLevel="0" collapsed="false">
      <c r="B1039" s="7" t="s">
        <v>15684</v>
      </c>
      <c r="C1039" s="7" t="s">
        <v>1536</v>
      </c>
      <c r="D1039" s="7" t="s">
        <v>288</v>
      </c>
      <c r="E1039" s="7" t="s">
        <v>156</v>
      </c>
      <c r="F1039" s="39" t="n">
        <v>45712</v>
      </c>
      <c r="G1039" s="41" t="n">
        <v>125.8</v>
      </c>
      <c r="H1039" s="39" t="n">
        <v>45724</v>
      </c>
      <c r="I1039" s="7" t="s">
        <v>14651</v>
      </c>
      <c r="J1039" s="8" t="str">
        <f aca="false">IF(I1039="Open",DATE(2025,12,31)-F1039,"-")</f>
        <v>-</v>
      </c>
    </row>
    <row r="1040" customFormat="false" ht="15" hidden="false" customHeight="false" outlineLevel="0" collapsed="false">
      <c r="B1040" s="7" t="s">
        <v>15685</v>
      </c>
      <c r="C1040" s="7" t="s">
        <v>1537</v>
      </c>
      <c r="D1040" s="7" t="s">
        <v>291</v>
      </c>
      <c r="E1040" s="7" t="s">
        <v>154</v>
      </c>
      <c r="F1040" s="39" t="n">
        <v>45712</v>
      </c>
      <c r="G1040" s="41" t="n">
        <v>133.03</v>
      </c>
      <c r="H1040" s="39" t="n">
        <v>45757</v>
      </c>
      <c r="I1040" s="7" t="s">
        <v>14651</v>
      </c>
      <c r="J1040" s="8" t="str">
        <f aca="false">IF(I1040="Open",DATE(2025,12,31)-F1040,"-")</f>
        <v>-</v>
      </c>
    </row>
    <row r="1041" customFormat="false" ht="15" hidden="false" customHeight="false" outlineLevel="0" collapsed="false">
      <c r="B1041" s="7" t="s">
        <v>15686</v>
      </c>
      <c r="C1041" s="7" t="s">
        <v>1538</v>
      </c>
      <c r="D1041" s="7" t="s">
        <v>297</v>
      </c>
      <c r="E1041" s="7" t="s">
        <v>156</v>
      </c>
      <c r="F1041" s="39" t="n">
        <v>45712</v>
      </c>
      <c r="G1041" s="41" t="n">
        <v>111.86</v>
      </c>
      <c r="H1041" s="39" t="n">
        <v>45718</v>
      </c>
      <c r="I1041" s="7" t="s">
        <v>14651</v>
      </c>
      <c r="J1041" s="8" t="str">
        <f aca="false">IF(I1041="Open",DATE(2025,12,31)-F1041,"-")</f>
        <v>-</v>
      </c>
    </row>
    <row r="1042" customFormat="false" ht="15" hidden="false" customHeight="false" outlineLevel="0" collapsed="false">
      <c r="B1042" s="7" t="s">
        <v>15687</v>
      </c>
      <c r="C1042" s="7" t="s">
        <v>1539</v>
      </c>
      <c r="D1042" s="7" t="s">
        <v>305</v>
      </c>
      <c r="E1042" s="7" t="s">
        <v>154</v>
      </c>
      <c r="F1042" s="39" t="n">
        <v>45712</v>
      </c>
      <c r="G1042" s="41" t="n">
        <v>101.23</v>
      </c>
      <c r="H1042" s="39" t="n">
        <v>45827</v>
      </c>
      <c r="I1042" s="7" t="s">
        <v>14651</v>
      </c>
      <c r="J1042" s="8" t="str">
        <f aca="false">IF(I1042="Open",DATE(2025,12,31)-F1042,"-")</f>
        <v>-</v>
      </c>
    </row>
    <row r="1043" customFormat="false" ht="15" hidden="false" customHeight="false" outlineLevel="0" collapsed="false">
      <c r="B1043" s="7" t="s">
        <v>15688</v>
      </c>
      <c r="C1043" s="7" t="s">
        <v>1540</v>
      </c>
      <c r="D1043" s="7" t="s">
        <v>309</v>
      </c>
      <c r="E1043" s="7" t="s">
        <v>159</v>
      </c>
      <c r="F1043" s="39" t="n">
        <v>45712</v>
      </c>
      <c r="G1043" s="41" t="n">
        <v>133.65</v>
      </c>
      <c r="H1043" s="39" t="n">
        <v>45741</v>
      </c>
      <c r="I1043" s="7" t="s">
        <v>14651</v>
      </c>
      <c r="J1043" s="8" t="str">
        <f aca="false">IF(I1043="Open",DATE(2025,12,31)-F1043,"-")</f>
        <v>-</v>
      </c>
    </row>
    <row r="1044" customFormat="false" ht="15" hidden="false" customHeight="false" outlineLevel="0" collapsed="false">
      <c r="B1044" s="7" t="s">
        <v>15689</v>
      </c>
      <c r="C1044" s="7" t="s">
        <v>1541</v>
      </c>
      <c r="D1044" s="7" t="s">
        <v>311</v>
      </c>
      <c r="E1044" s="7" t="s">
        <v>154</v>
      </c>
      <c r="F1044" s="39" t="n">
        <v>45712</v>
      </c>
      <c r="G1044" s="41" t="n">
        <v>82.68</v>
      </c>
      <c r="H1044" s="39" t="n">
        <v>45764</v>
      </c>
      <c r="I1044" s="7" t="s">
        <v>14651</v>
      </c>
      <c r="J1044" s="8" t="str">
        <f aca="false">IF(I1044="Open",DATE(2025,12,31)-F1044,"-")</f>
        <v>-</v>
      </c>
    </row>
    <row r="1045" customFormat="false" ht="15" hidden="false" customHeight="false" outlineLevel="0" collapsed="false">
      <c r="B1045" s="7" t="s">
        <v>15690</v>
      </c>
      <c r="C1045" s="7" t="s">
        <v>1542</v>
      </c>
      <c r="D1045" s="7" t="s">
        <v>313</v>
      </c>
      <c r="E1045" s="7" t="s">
        <v>156</v>
      </c>
      <c r="F1045" s="39" t="n">
        <v>45712</v>
      </c>
      <c r="G1045" s="41" t="n">
        <v>141.44</v>
      </c>
      <c r="H1045" s="39" t="n">
        <v>45720</v>
      </c>
      <c r="I1045" s="7" t="s">
        <v>14651</v>
      </c>
      <c r="J1045" s="8" t="str">
        <f aca="false">IF(I1045="Open",DATE(2025,12,31)-F1045,"-")</f>
        <v>-</v>
      </c>
    </row>
    <row r="1046" customFormat="false" ht="15" hidden="false" customHeight="false" outlineLevel="0" collapsed="false">
      <c r="B1046" s="7" t="s">
        <v>15691</v>
      </c>
      <c r="C1046" s="7" t="s">
        <v>1543</v>
      </c>
      <c r="D1046" s="7" t="s">
        <v>317</v>
      </c>
      <c r="E1046" s="7" t="s">
        <v>156</v>
      </c>
      <c r="F1046" s="39" t="n">
        <v>45712</v>
      </c>
      <c r="G1046" s="41" t="n">
        <v>110.84</v>
      </c>
      <c r="H1046" s="39" t="n">
        <v>45731</v>
      </c>
      <c r="I1046" s="7" t="s">
        <v>14651</v>
      </c>
      <c r="J1046" s="8" t="str">
        <f aca="false">IF(I1046="Open",DATE(2025,12,31)-F1046,"-")</f>
        <v>-</v>
      </c>
    </row>
    <row r="1047" customFormat="false" ht="15" hidden="false" customHeight="false" outlineLevel="0" collapsed="false">
      <c r="B1047" s="7" t="s">
        <v>15692</v>
      </c>
      <c r="C1047" s="7" t="s">
        <v>1544</v>
      </c>
      <c r="D1047" s="7" t="s">
        <v>321</v>
      </c>
      <c r="E1047" s="7" t="s">
        <v>154</v>
      </c>
      <c r="F1047" s="39" t="n">
        <v>45712</v>
      </c>
      <c r="G1047" s="41" t="n">
        <v>108.65</v>
      </c>
      <c r="H1047" s="39" t="n">
        <v>45761</v>
      </c>
      <c r="I1047" s="7" t="s">
        <v>14651</v>
      </c>
      <c r="J1047" s="8" t="str">
        <f aca="false">IF(I1047="Open",DATE(2025,12,31)-F1047,"-")</f>
        <v>-</v>
      </c>
    </row>
    <row r="1048" customFormat="false" ht="15" hidden="false" customHeight="false" outlineLevel="0" collapsed="false">
      <c r="B1048" s="7" t="s">
        <v>15693</v>
      </c>
      <c r="C1048" s="7" t="s">
        <v>1545</v>
      </c>
      <c r="D1048" s="7" t="s">
        <v>325</v>
      </c>
      <c r="E1048" s="7" t="s">
        <v>154</v>
      </c>
      <c r="F1048" s="39" t="n">
        <v>45712</v>
      </c>
      <c r="G1048" s="41" t="n">
        <v>82.15</v>
      </c>
      <c r="H1048" s="39" t="n">
        <v>45768</v>
      </c>
      <c r="I1048" s="7" t="s">
        <v>14651</v>
      </c>
      <c r="J1048" s="8" t="str">
        <f aca="false">IF(I1048="Open",DATE(2025,12,31)-F1048,"-")</f>
        <v>-</v>
      </c>
    </row>
    <row r="1049" customFormat="false" ht="15" hidden="false" customHeight="false" outlineLevel="0" collapsed="false">
      <c r="B1049" s="7" t="s">
        <v>15694</v>
      </c>
      <c r="C1049" s="7" t="s">
        <v>1546</v>
      </c>
      <c r="D1049" s="7" t="s">
        <v>329</v>
      </c>
      <c r="E1049" s="7" t="s">
        <v>156</v>
      </c>
      <c r="F1049" s="39" t="n">
        <v>45712</v>
      </c>
      <c r="G1049" s="41" t="n">
        <v>148.58</v>
      </c>
      <c r="H1049" s="39" t="n">
        <v>45728</v>
      </c>
      <c r="I1049" s="7" t="s">
        <v>14651</v>
      </c>
      <c r="J1049" s="8" t="str">
        <f aca="false">IF(I1049="Open",DATE(2025,12,31)-F1049,"-")</f>
        <v>-</v>
      </c>
    </row>
    <row r="1050" customFormat="false" ht="15" hidden="false" customHeight="false" outlineLevel="0" collapsed="false">
      <c r="B1050" s="7" t="s">
        <v>15695</v>
      </c>
      <c r="C1050" s="7" t="s">
        <v>1547</v>
      </c>
      <c r="D1050" s="7" t="s">
        <v>331</v>
      </c>
      <c r="E1050" s="7" t="s">
        <v>156</v>
      </c>
      <c r="F1050" s="39" t="n">
        <v>45712</v>
      </c>
      <c r="G1050" s="41" t="n">
        <v>131.24</v>
      </c>
      <c r="H1050" s="39" t="n">
        <v>45721</v>
      </c>
      <c r="I1050" s="7" t="s">
        <v>14651</v>
      </c>
      <c r="J1050" s="8" t="str">
        <f aca="false">IF(I1050="Open",DATE(2025,12,31)-F1050,"-")</f>
        <v>-</v>
      </c>
    </row>
    <row r="1051" customFormat="false" ht="15" hidden="false" customHeight="false" outlineLevel="0" collapsed="false">
      <c r="B1051" s="7" t="s">
        <v>15696</v>
      </c>
      <c r="C1051" s="7" t="s">
        <v>1548</v>
      </c>
      <c r="D1051" s="7" t="s">
        <v>335</v>
      </c>
      <c r="E1051" s="7" t="s">
        <v>154</v>
      </c>
      <c r="F1051" s="39" t="n">
        <v>45712</v>
      </c>
      <c r="G1051" s="41" t="n">
        <v>105.47</v>
      </c>
      <c r="H1051" s="39" t="n">
        <v>45813</v>
      </c>
      <c r="I1051" s="7" t="s">
        <v>14651</v>
      </c>
      <c r="J1051" s="8" t="str">
        <f aca="false">IF(I1051="Open",DATE(2025,12,31)-F1051,"-")</f>
        <v>-</v>
      </c>
    </row>
    <row r="1052" customFormat="false" ht="15" hidden="false" customHeight="false" outlineLevel="0" collapsed="false">
      <c r="B1052" s="7" t="s">
        <v>15697</v>
      </c>
      <c r="C1052" s="7" t="s">
        <v>1549</v>
      </c>
      <c r="D1052" s="7" t="s">
        <v>337</v>
      </c>
      <c r="E1052" s="7" t="s">
        <v>154</v>
      </c>
      <c r="F1052" s="39" t="n">
        <v>45712</v>
      </c>
      <c r="G1052" s="41" t="n">
        <v>78.18</v>
      </c>
      <c r="H1052" s="39" t="n">
        <v>45771</v>
      </c>
      <c r="I1052" s="7" t="s">
        <v>14651</v>
      </c>
      <c r="J1052" s="8" t="str">
        <f aca="false">IF(I1052="Open",DATE(2025,12,31)-F1052,"-")</f>
        <v>-</v>
      </c>
    </row>
    <row r="1053" customFormat="false" ht="15" hidden="false" customHeight="false" outlineLevel="0" collapsed="false">
      <c r="B1053" s="7" t="s">
        <v>15698</v>
      </c>
      <c r="C1053" s="7" t="s">
        <v>1550</v>
      </c>
      <c r="D1053" s="7" t="s">
        <v>339</v>
      </c>
      <c r="E1053" s="7" t="s">
        <v>154</v>
      </c>
      <c r="F1053" s="39" t="n">
        <v>45712</v>
      </c>
      <c r="G1053" s="41" t="n">
        <v>84.53</v>
      </c>
      <c r="H1053" s="39" t="n">
        <v>45766</v>
      </c>
      <c r="I1053" s="7" t="s">
        <v>14651</v>
      </c>
      <c r="J1053" s="8" t="str">
        <f aca="false">IF(I1053="Open",DATE(2025,12,31)-F1053,"-")</f>
        <v>-</v>
      </c>
    </row>
    <row r="1054" customFormat="false" ht="15" hidden="false" customHeight="false" outlineLevel="0" collapsed="false">
      <c r="B1054" s="7" t="s">
        <v>15699</v>
      </c>
      <c r="C1054" s="7" t="s">
        <v>1551</v>
      </c>
      <c r="D1054" s="7" t="s">
        <v>341</v>
      </c>
      <c r="E1054" s="7" t="s">
        <v>156</v>
      </c>
      <c r="F1054" s="39" t="n">
        <v>45712</v>
      </c>
      <c r="G1054" s="41" t="n">
        <v>102.34</v>
      </c>
      <c r="H1054" s="39" t="n">
        <v>45723</v>
      </c>
      <c r="I1054" s="7" t="s">
        <v>14651</v>
      </c>
      <c r="J1054" s="8" t="str">
        <f aca="false">IF(I1054="Open",DATE(2025,12,31)-F1054,"-")</f>
        <v>-</v>
      </c>
    </row>
    <row r="1055" customFormat="false" ht="15" hidden="false" customHeight="false" outlineLevel="0" collapsed="false">
      <c r="B1055" s="7" t="s">
        <v>15700</v>
      </c>
      <c r="C1055" s="7" t="s">
        <v>1552</v>
      </c>
      <c r="D1055" s="7" t="s">
        <v>343</v>
      </c>
      <c r="E1055" s="7" t="s">
        <v>154</v>
      </c>
      <c r="F1055" s="39" t="n">
        <v>45712</v>
      </c>
      <c r="G1055" s="41" t="n">
        <v>109.71</v>
      </c>
      <c r="H1055" s="39" t="n">
        <v>45791</v>
      </c>
      <c r="I1055" s="7" t="s">
        <v>14651</v>
      </c>
      <c r="J1055" s="8" t="str">
        <f aca="false">IF(I1055="Open",DATE(2025,12,31)-F1055,"-")</f>
        <v>-</v>
      </c>
    </row>
    <row r="1056" customFormat="false" ht="15" hidden="false" customHeight="false" outlineLevel="0" collapsed="false">
      <c r="B1056" s="7" t="s">
        <v>15701</v>
      </c>
      <c r="C1056" s="7" t="s">
        <v>1553</v>
      </c>
      <c r="D1056" s="7" t="s">
        <v>353</v>
      </c>
      <c r="E1056" s="7" t="s">
        <v>154</v>
      </c>
      <c r="F1056" s="39" t="n">
        <v>45712</v>
      </c>
      <c r="G1056" s="41" t="n">
        <v>82.41</v>
      </c>
      <c r="H1056" s="39" t="n">
        <v>45761</v>
      </c>
      <c r="I1056" s="7" t="s">
        <v>14651</v>
      </c>
      <c r="J1056" s="8" t="str">
        <f aca="false">IF(I1056="Open",DATE(2025,12,31)-F1056,"-")</f>
        <v>-</v>
      </c>
    </row>
    <row r="1057" customFormat="false" ht="15" hidden="false" customHeight="false" outlineLevel="0" collapsed="false">
      <c r="B1057" s="7" t="s">
        <v>15702</v>
      </c>
      <c r="C1057" s="7" t="s">
        <v>1554</v>
      </c>
      <c r="D1057" s="7" t="s">
        <v>355</v>
      </c>
      <c r="E1057" s="7" t="s">
        <v>154</v>
      </c>
      <c r="F1057" s="39" t="n">
        <v>45712</v>
      </c>
      <c r="G1057" s="41" t="n">
        <v>94.34</v>
      </c>
      <c r="H1057" s="39" t="n">
        <v>45770</v>
      </c>
      <c r="I1057" s="7" t="s">
        <v>14651</v>
      </c>
      <c r="J1057" s="8" t="str">
        <f aca="false">IF(I1057="Open",DATE(2025,12,31)-F1057,"-")</f>
        <v>-</v>
      </c>
    </row>
    <row r="1058" customFormat="false" ht="15" hidden="false" customHeight="false" outlineLevel="0" collapsed="false">
      <c r="B1058" s="7" t="s">
        <v>15703</v>
      </c>
      <c r="C1058" s="7" t="s">
        <v>1555</v>
      </c>
      <c r="D1058" s="7" t="s">
        <v>357</v>
      </c>
      <c r="E1058" s="7" t="s">
        <v>154</v>
      </c>
      <c r="F1058" s="39" t="n">
        <v>45712</v>
      </c>
      <c r="G1058" s="41" t="n">
        <v>92.75</v>
      </c>
      <c r="H1058" s="39" t="n">
        <v>45752</v>
      </c>
      <c r="I1058" s="7" t="s">
        <v>14651</v>
      </c>
      <c r="J1058" s="8" t="str">
        <f aca="false">IF(I1058="Open",DATE(2025,12,31)-F1058,"-")</f>
        <v>-</v>
      </c>
    </row>
    <row r="1059" customFormat="false" ht="15" hidden="false" customHeight="false" outlineLevel="0" collapsed="false">
      <c r="B1059" s="7" t="s">
        <v>15704</v>
      </c>
      <c r="C1059" s="7" t="s">
        <v>1556</v>
      </c>
      <c r="D1059" s="7" t="s">
        <v>359</v>
      </c>
      <c r="E1059" s="7" t="s">
        <v>156</v>
      </c>
      <c r="F1059" s="39" t="n">
        <v>45712</v>
      </c>
      <c r="G1059" s="41" t="n">
        <v>125.12</v>
      </c>
      <c r="H1059" s="39" t="n">
        <v>45728</v>
      </c>
      <c r="I1059" s="7" t="s">
        <v>14651</v>
      </c>
      <c r="J1059" s="8" t="str">
        <f aca="false">IF(I1059="Open",DATE(2025,12,31)-F1059,"-")</f>
        <v>-</v>
      </c>
    </row>
    <row r="1060" customFormat="false" ht="15" hidden="false" customHeight="false" outlineLevel="0" collapsed="false">
      <c r="B1060" s="7" t="s">
        <v>15705</v>
      </c>
      <c r="C1060" s="7" t="s">
        <v>1557</v>
      </c>
      <c r="D1060" s="7" t="s">
        <v>363</v>
      </c>
      <c r="E1060" s="7" t="s">
        <v>156</v>
      </c>
      <c r="F1060" s="39" t="n">
        <v>45712</v>
      </c>
      <c r="G1060" s="41" t="n">
        <v>145.86</v>
      </c>
      <c r="H1060" s="39" t="n">
        <v>45720</v>
      </c>
      <c r="I1060" s="7" t="s">
        <v>14651</v>
      </c>
      <c r="J1060" s="8" t="str">
        <f aca="false">IF(I1060="Open",DATE(2025,12,31)-F1060,"-")</f>
        <v>-</v>
      </c>
    </row>
    <row r="1061" customFormat="false" ht="15" hidden="false" customHeight="false" outlineLevel="0" collapsed="false">
      <c r="B1061" s="7" t="s">
        <v>15706</v>
      </c>
      <c r="C1061" s="7" t="s">
        <v>1558</v>
      </c>
      <c r="D1061" s="7" t="s">
        <v>371</v>
      </c>
      <c r="E1061" s="7" t="s">
        <v>154</v>
      </c>
      <c r="F1061" s="39" t="n">
        <v>45712</v>
      </c>
      <c r="G1061" s="41" t="n">
        <v>117.13</v>
      </c>
      <c r="H1061" s="39" t="n">
        <v>45762</v>
      </c>
      <c r="I1061" s="7" t="s">
        <v>14651</v>
      </c>
      <c r="J1061" s="8" t="str">
        <f aca="false">IF(I1061="Open",DATE(2025,12,31)-F1061,"-")</f>
        <v>-</v>
      </c>
    </row>
    <row r="1062" customFormat="false" ht="15" hidden="false" customHeight="false" outlineLevel="0" collapsed="false">
      <c r="B1062" s="7" t="s">
        <v>15707</v>
      </c>
      <c r="C1062" s="7" t="s">
        <v>1559</v>
      </c>
      <c r="D1062" s="7" t="s">
        <v>375</v>
      </c>
      <c r="E1062" s="7" t="s">
        <v>156</v>
      </c>
      <c r="F1062" s="39" t="n">
        <v>45712</v>
      </c>
      <c r="G1062" s="41" t="n">
        <v>97.58</v>
      </c>
      <c r="H1062" s="39" t="n">
        <v>45735</v>
      </c>
      <c r="I1062" s="7" t="s">
        <v>14651</v>
      </c>
      <c r="J1062" s="8" t="str">
        <f aca="false">IF(I1062="Open",DATE(2025,12,31)-F1062,"-")</f>
        <v>-</v>
      </c>
    </row>
    <row r="1063" customFormat="false" ht="15" hidden="false" customHeight="false" outlineLevel="0" collapsed="false">
      <c r="B1063" s="7" t="s">
        <v>15708</v>
      </c>
      <c r="C1063" s="7" t="s">
        <v>1560</v>
      </c>
      <c r="D1063" s="7" t="s">
        <v>377</v>
      </c>
      <c r="E1063" s="7" t="s">
        <v>154</v>
      </c>
      <c r="F1063" s="39" t="n">
        <v>45712</v>
      </c>
      <c r="G1063" s="41" t="n">
        <v>103.62</v>
      </c>
      <c r="H1063" s="39" t="n">
        <v>45775</v>
      </c>
      <c r="I1063" s="7" t="s">
        <v>14651</v>
      </c>
      <c r="J1063" s="8" t="str">
        <f aca="false">IF(I1063="Open",DATE(2025,12,31)-F1063,"-")</f>
        <v>-</v>
      </c>
    </row>
    <row r="1064" customFormat="false" ht="15" hidden="false" customHeight="false" outlineLevel="0" collapsed="false">
      <c r="B1064" s="7" t="s">
        <v>15709</v>
      </c>
      <c r="C1064" s="7" t="s">
        <v>1561</v>
      </c>
      <c r="D1064" s="7" t="s">
        <v>379</v>
      </c>
      <c r="E1064" s="7" t="s">
        <v>156</v>
      </c>
      <c r="F1064" s="39" t="n">
        <v>45712</v>
      </c>
      <c r="G1064" s="41" t="n">
        <v>152.66</v>
      </c>
      <c r="H1064" s="39" t="n">
        <v>45719</v>
      </c>
      <c r="I1064" s="7" t="s">
        <v>14651</v>
      </c>
      <c r="J1064" s="8" t="str">
        <f aca="false">IF(I1064="Open",DATE(2025,12,31)-F1064,"-")</f>
        <v>-</v>
      </c>
    </row>
    <row r="1065" customFormat="false" ht="15" hidden="false" customHeight="false" outlineLevel="0" collapsed="false">
      <c r="B1065" s="7" t="s">
        <v>15710</v>
      </c>
      <c r="C1065" s="7" t="s">
        <v>1562</v>
      </c>
      <c r="D1065" s="7" t="s">
        <v>389</v>
      </c>
      <c r="E1065" s="7" t="s">
        <v>154</v>
      </c>
      <c r="F1065" s="39" t="n">
        <v>45712</v>
      </c>
      <c r="G1065" s="41" t="n">
        <v>100.7</v>
      </c>
      <c r="H1065" s="39" t="n">
        <v>45766</v>
      </c>
      <c r="I1065" s="7" t="s">
        <v>14651</v>
      </c>
      <c r="J1065" s="8" t="str">
        <f aca="false">IF(I1065="Open",DATE(2025,12,31)-F1065,"-")</f>
        <v>-</v>
      </c>
    </row>
    <row r="1066" customFormat="false" ht="15" hidden="false" customHeight="false" outlineLevel="0" collapsed="false">
      <c r="B1066" s="7" t="s">
        <v>15711</v>
      </c>
      <c r="C1066" s="7" t="s">
        <v>1563</v>
      </c>
      <c r="D1066" s="7" t="s">
        <v>391</v>
      </c>
      <c r="E1066" s="7" t="s">
        <v>156</v>
      </c>
      <c r="F1066" s="39" t="n">
        <v>45712</v>
      </c>
      <c r="G1066" s="41" t="n">
        <v>146.2</v>
      </c>
      <c r="H1066" s="39" t="n">
        <v>45726</v>
      </c>
      <c r="I1066" s="7" t="s">
        <v>14651</v>
      </c>
      <c r="J1066" s="8" t="str">
        <f aca="false">IF(I1066="Open",DATE(2025,12,31)-F1066,"-")</f>
        <v>-</v>
      </c>
    </row>
    <row r="1067" customFormat="false" ht="15" hidden="false" customHeight="false" outlineLevel="0" collapsed="false">
      <c r="B1067" s="7" t="s">
        <v>15712</v>
      </c>
      <c r="C1067" s="7" t="s">
        <v>1564</v>
      </c>
      <c r="D1067" s="7" t="s">
        <v>395</v>
      </c>
      <c r="E1067" s="7" t="s">
        <v>156</v>
      </c>
      <c r="F1067" s="39" t="n">
        <v>45712</v>
      </c>
      <c r="G1067" s="41" t="n">
        <v>141.44</v>
      </c>
      <c r="H1067" s="39" t="n">
        <v>45723</v>
      </c>
      <c r="I1067" s="7" t="s">
        <v>14651</v>
      </c>
      <c r="J1067" s="8" t="str">
        <f aca="false">IF(I1067="Open",DATE(2025,12,31)-F1067,"-")</f>
        <v>-</v>
      </c>
    </row>
    <row r="1068" customFormat="false" ht="15" hidden="false" customHeight="false" outlineLevel="0" collapsed="false">
      <c r="B1068" s="7" t="s">
        <v>15713</v>
      </c>
      <c r="C1068" s="7" t="s">
        <v>1565</v>
      </c>
      <c r="D1068" s="7" t="s">
        <v>399</v>
      </c>
      <c r="E1068" s="7" t="s">
        <v>154</v>
      </c>
      <c r="F1068" s="39" t="n">
        <v>45712</v>
      </c>
      <c r="G1068" s="41" t="n">
        <v>89.04</v>
      </c>
      <c r="H1068" s="39" t="n">
        <v>45754</v>
      </c>
      <c r="I1068" s="7" t="s">
        <v>14651</v>
      </c>
      <c r="J1068" s="8" t="str">
        <f aca="false">IF(I1068="Open",DATE(2025,12,31)-F1068,"-")</f>
        <v>-</v>
      </c>
    </row>
    <row r="1069" customFormat="false" ht="15" hidden="false" customHeight="false" outlineLevel="0" collapsed="false">
      <c r="B1069" s="7" t="s">
        <v>15714</v>
      </c>
      <c r="C1069" s="7" t="s">
        <v>1566</v>
      </c>
      <c r="D1069" s="7" t="s">
        <v>401</v>
      </c>
      <c r="E1069" s="7" t="s">
        <v>156</v>
      </c>
      <c r="F1069" s="39" t="n">
        <v>45712</v>
      </c>
      <c r="G1069" s="41" t="n">
        <v>148.58</v>
      </c>
      <c r="H1069" s="39" t="n">
        <v>45720</v>
      </c>
      <c r="I1069" s="7" t="s">
        <v>14651</v>
      </c>
      <c r="J1069" s="8" t="str">
        <f aca="false">IF(I1069="Open",DATE(2025,12,31)-F1069,"-")</f>
        <v>-</v>
      </c>
    </row>
    <row r="1070" customFormat="false" ht="15" hidden="false" customHeight="false" outlineLevel="0" collapsed="false">
      <c r="B1070" s="7" t="s">
        <v>15715</v>
      </c>
      <c r="C1070" s="7" t="s">
        <v>1567</v>
      </c>
      <c r="D1070" s="7" t="s">
        <v>409</v>
      </c>
      <c r="E1070" s="7" t="s">
        <v>154</v>
      </c>
      <c r="F1070" s="39" t="n">
        <v>45712</v>
      </c>
      <c r="G1070" s="41" t="n">
        <v>91.69</v>
      </c>
      <c r="H1070" s="39" t="n">
        <v>45748</v>
      </c>
      <c r="I1070" s="7" t="s">
        <v>14651</v>
      </c>
      <c r="J1070" s="8" t="str">
        <f aca="false">IF(I1070="Open",DATE(2025,12,31)-F1070,"-")</f>
        <v>-</v>
      </c>
    </row>
    <row r="1071" customFormat="false" ht="15" hidden="false" customHeight="false" outlineLevel="0" collapsed="false">
      <c r="B1071" s="7" t="s">
        <v>15716</v>
      </c>
      <c r="C1071" s="7" t="s">
        <v>1568</v>
      </c>
      <c r="D1071" s="7" t="s">
        <v>411</v>
      </c>
      <c r="E1071" s="7" t="s">
        <v>154</v>
      </c>
      <c r="F1071" s="39" t="n">
        <v>45712</v>
      </c>
      <c r="G1071" s="41" t="n">
        <v>124.02</v>
      </c>
      <c r="H1071" s="39" t="n">
        <v>45764</v>
      </c>
      <c r="I1071" s="7" t="s">
        <v>14651</v>
      </c>
      <c r="J1071" s="8" t="str">
        <f aca="false">IF(I1071="Open",DATE(2025,12,31)-F1071,"-")</f>
        <v>-</v>
      </c>
    </row>
    <row r="1072" customFormat="false" ht="15" hidden="false" customHeight="false" outlineLevel="0" collapsed="false">
      <c r="B1072" s="7" t="s">
        <v>15717</v>
      </c>
      <c r="C1072" s="7" t="s">
        <v>1569</v>
      </c>
      <c r="D1072" s="7" t="s">
        <v>288</v>
      </c>
      <c r="E1072" s="7" t="s">
        <v>156</v>
      </c>
      <c r="F1072" s="39" t="n">
        <v>45713</v>
      </c>
      <c r="G1072" s="41" t="n">
        <v>137.7</v>
      </c>
      <c r="H1072" s="39" t="n">
        <v>45731</v>
      </c>
      <c r="I1072" s="7" t="s">
        <v>14651</v>
      </c>
      <c r="J1072" s="8" t="str">
        <f aca="false">IF(I1072="Open",DATE(2025,12,31)-F1072,"-")</f>
        <v>-</v>
      </c>
    </row>
    <row r="1073" customFormat="false" ht="15" hidden="false" customHeight="false" outlineLevel="0" collapsed="false">
      <c r="B1073" s="7" t="s">
        <v>15718</v>
      </c>
      <c r="C1073" s="7" t="s">
        <v>1570</v>
      </c>
      <c r="D1073" s="7" t="s">
        <v>301</v>
      </c>
      <c r="E1073" s="7" t="s">
        <v>157</v>
      </c>
      <c r="F1073" s="39" t="n">
        <v>45713</v>
      </c>
      <c r="G1073" s="41" t="n">
        <v>156.75</v>
      </c>
      <c r="H1073" s="39" t="n">
        <v>45755</v>
      </c>
      <c r="I1073" s="7" t="s">
        <v>14651</v>
      </c>
      <c r="J1073" s="8" t="str">
        <f aca="false">IF(I1073="Open",DATE(2025,12,31)-F1073,"-")</f>
        <v>-</v>
      </c>
    </row>
    <row r="1074" customFormat="false" ht="15" hidden="false" customHeight="false" outlineLevel="0" collapsed="false">
      <c r="B1074" s="7" t="s">
        <v>15719</v>
      </c>
      <c r="C1074" s="7" t="s">
        <v>1571</v>
      </c>
      <c r="D1074" s="7" t="s">
        <v>313</v>
      </c>
      <c r="E1074" s="7" t="s">
        <v>156</v>
      </c>
      <c r="F1074" s="39" t="n">
        <v>45713</v>
      </c>
      <c r="G1074" s="41" t="n">
        <v>126.48</v>
      </c>
      <c r="H1074" s="39" t="n">
        <v>45725</v>
      </c>
      <c r="I1074" s="7" t="s">
        <v>14651</v>
      </c>
      <c r="J1074" s="8" t="str">
        <f aca="false">IF(I1074="Open",DATE(2025,12,31)-F1074,"-")</f>
        <v>-</v>
      </c>
    </row>
    <row r="1075" customFormat="false" ht="15" hidden="false" customHeight="false" outlineLevel="0" collapsed="false">
      <c r="B1075" s="7" t="s">
        <v>15720</v>
      </c>
      <c r="C1075" s="7" t="s">
        <v>1572</v>
      </c>
      <c r="D1075" s="7" t="s">
        <v>319</v>
      </c>
      <c r="E1075" s="7" t="s">
        <v>157</v>
      </c>
      <c r="F1075" s="39" t="n">
        <v>45713</v>
      </c>
      <c r="G1075" s="41" t="n">
        <v>150.15</v>
      </c>
      <c r="H1075" s="39" t="n">
        <v>45778</v>
      </c>
      <c r="I1075" s="7" t="s">
        <v>14651</v>
      </c>
      <c r="J1075" s="8" t="str">
        <f aca="false">IF(I1075="Open",DATE(2025,12,31)-F1075,"-")</f>
        <v>-</v>
      </c>
    </row>
    <row r="1076" customFormat="false" ht="15" hidden="false" customHeight="false" outlineLevel="0" collapsed="false">
      <c r="B1076" s="7" t="s">
        <v>15721</v>
      </c>
      <c r="C1076" s="7" t="s">
        <v>1573</v>
      </c>
      <c r="D1076" s="7" t="s">
        <v>321</v>
      </c>
      <c r="E1076" s="7" t="s">
        <v>154</v>
      </c>
      <c r="F1076" s="39" t="n">
        <v>45713</v>
      </c>
      <c r="G1076" s="41" t="n">
        <v>109.44</v>
      </c>
      <c r="H1076" s="39" t="n">
        <v>45748</v>
      </c>
      <c r="I1076" s="7" t="s">
        <v>14651</v>
      </c>
      <c r="J1076" s="8" t="str">
        <f aca="false">IF(I1076="Open",DATE(2025,12,31)-F1076,"-")</f>
        <v>-</v>
      </c>
    </row>
    <row r="1077" customFormat="false" ht="15" hidden="false" customHeight="false" outlineLevel="0" collapsed="false">
      <c r="B1077" s="7" t="s">
        <v>15722</v>
      </c>
      <c r="C1077" s="7" t="s">
        <v>1574</v>
      </c>
      <c r="D1077" s="7" t="s">
        <v>323</v>
      </c>
      <c r="E1077" s="7" t="s">
        <v>159</v>
      </c>
      <c r="F1077" s="39" t="n">
        <v>45713</v>
      </c>
      <c r="G1077" s="41" t="n">
        <v>130.95</v>
      </c>
      <c r="H1077" s="39" t="n">
        <v>45731</v>
      </c>
      <c r="I1077" s="7" t="s">
        <v>14651</v>
      </c>
      <c r="J1077" s="8" t="str">
        <f aca="false">IF(I1077="Open",DATE(2025,12,31)-F1077,"-")</f>
        <v>-</v>
      </c>
    </row>
    <row r="1078" customFormat="false" ht="15" hidden="false" customHeight="false" outlineLevel="0" collapsed="false">
      <c r="B1078" s="7" t="s">
        <v>15723</v>
      </c>
      <c r="C1078" s="7" t="s">
        <v>1575</v>
      </c>
      <c r="D1078" s="7" t="s">
        <v>327</v>
      </c>
      <c r="E1078" s="7" t="s">
        <v>157</v>
      </c>
      <c r="F1078" s="39" t="n">
        <v>45713</v>
      </c>
      <c r="G1078" s="41" t="n">
        <v>147.34</v>
      </c>
      <c r="H1078" s="39" t="n">
        <v>45749</v>
      </c>
      <c r="I1078" s="7" t="s">
        <v>14651</v>
      </c>
      <c r="J1078" s="8" t="str">
        <f aca="false">IF(I1078="Open",DATE(2025,12,31)-F1078,"-")</f>
        <v>-</v>
      </c>
    </row>
    <row r="1079" customFormat="false" ht="15" hidden="false" customHeight="false" outlineLevel="0" collapsed="false">
      <c r="B1079" s="7" t="s">
        <v>15724</v>
      </c>
      <c r="C1079" s="7" t="s">
        <v>1576</v>
      </c>
      <c r="D1079" s="7" t="s">
        <v>329</v>
      </c>
      <c r="E1079" s="7" t="s">
        <v>156</v>
      </c>
      <c r="F1079" s="39" t="n">
        <v>45713</v>
      </c>
      <c r="G1079" s="41" t="n">
        <v>136</v>
      </c>
      <c r="H1079" s="39" t="n">
        <v>45726</v>
      </c>
      <c r="I1079" s="7" t="s">
        <v>14651</v>
      </c>
      <c r="J1079" s="8" t="str">
        <f aca="false">IF(I1079="Open",DATE(2025,12,31)-F1079,"-")</f>
        <v>-</v>
      </c>
    </row>
    <row r="1080" customFormat="false" ht="15" hidden="false" customHeight="false" outlineLevel="0" collapsed="false">
      <c r="B1080" s="7" t="s">
        <v>15725</v>
      </c>
      <c r="C1080" s="7" t="s">
        <v>1577</v>
      </c>
      <c r="D1080" s="7" t="s">
        <v>359</v>
      </c>
      <c r="E1080" s="7" t="s">
        <v>156</v>
      </c>
      <c r="F1080" s="39" t="n">
        <v>45713</v>
      </c>
      <c r="G1080" s="41" t="n">
        <v>124.78</v>
      </c>
      <c r="H1080" s="39" t="n">
        <v>45731</v>
      </c>
      <c r="I1080" s="7" t="s">
        <v>14651</v>
      </c>
      <c r="J1080" s="8" t="str">
        <f aca="false">IF(I1080="Open",DATE(2025,12,31)-F1080,"-")</f>
        <v>-</v>
      </c>
    </row>
    <row r="1081" customFormat="false" ht="15" hidden="false" customHeight="false" outlineLevel="0" collapsed="false">
      <c r="B1081" s="7" t="s">
        <v>15726</v>
      </c>
      <c r="C1081" s="7" t="s">
        <v>1578</v>
      </c>
      <c r="D1081" s="7" t="s">
        <v>361</v>
      </c>
      <c r="E1081" s="7" t="s">
        <v>157</v>
      </c>
      <c r="F1081" s="39" t="n">
        <v>45713</v>
      </c>
      <c r="G1081" s="41" t="n">
        <v>160.05</v>
      </c>
      <c r="H1081" s="39" t="n">
        <v>45768</v>
      </c>
      <c r="I1081" s="7" t="s">
        <v>14651</v>
      </c>
      <c r="J1081" s="8" t="str">
        <f aca="false">IF(I1081="Open",DATE(2025,12,31)-F1081,"-")</f>
        <v>-</v>
      </c>
    </row>
    <row r="1082" customFormat="false" ht="15" hidden="false" customHeight="false" outlineLevel="0" collapsed="false">
      <c r="B1082" s="7" t="s">
        <v>15727</v>
      </c>
      <c r="C1082" s="7" t="s">
        <v>1579</v>
      </c>
      <c r="D1082" s="7" t="s">
        <v>381</v>
      </c>
      <c r="E1082" s="7" t="s">
        <v>157</v>
      </c>
      <c r="F1082" s="39" t="n">
        <v>45713</v>
      </c>
      <c r="G1082" s="41" t="n">
        <v>173.25</v>
      </c>
      <c r="H1082" s="39" t="n">
        <v>45757</v>
      </c>
      <c r="I1082" s="7" t="s">
        <v>14651</v>
      </c>
      <c r="J1082" s="8" t="str">
        <f aca="false">IF(I1082="Open",DATE(2025,12,31)-F1082,"-")</f>
        <v>-</v>
      </c>
    </row>
    <row r="1083" customFormat="false" ht="15" hidden="false" customHeight="false" outlineLevel="0" collapsed="false">
      <c r="B1083" s="7" t="s">
        <v>15728</v>
      </c>
      <c r="C1083" s="7" t="s">
        <v>1580</v>
      </c>
      <c r="D1083" s="7" t="s">
        <v>389</v>
      </c>
      <c r="E1083" s="7" t="s">
        <v>154</v>
      </c>
      <c r="F1083" s="39" t="n">
        <v>45713</v>
      </c>
      <c r="G1083" s="41" t="n">
        <v>109.5</v>
      </c>
      <c r="H1083" s="39" t="n">
        <v>45776</v>
      </c>
      <c r="I1083" s="7" t="s">
        <v>14651</v>
      </c>
      <c r="J1083" s="8" t="str">
        <f aca="false">IF(I1083="Open",DATE(2025,12,31)-F1083,"-")</f>
        <v>-</v>
      </c>
    </row>
    <row r="1084" customFormat="false" ht="15" hidden="false" customHeight="false" outlineLevel="0" collapsed="false">
      <c r="B1084" s="7" t="s">
        <v>15729</v>
      </c>
      <c r="C1084" s="7" t="s">
        <v>1581</v>
      </c>
      <c r="D1084" s="7" t="s">
        <v>391</v>
      </c>
      <c r="E1084" s="7" t="s">
        <v>156</v>
      </c>
      <c r="F1084" s="39" t="n">
        <v>45713</v>
      </c>
      <c r="G1084" s="41" t="n">
        <v>140.76</v>
      </c>
      <c r="H1084" s="39" t="n">
        <v>45724</v>
      </c>
      <c r="I1084" s="7" t="s">
        <v>14651</v>
      </c>
      <c r="J1084" s="8" t="str">
        <f aca="false">IF(I1084="Open",DATE(2025,12,31)-F1084,"-")</f>
        <v>-</v>
      </c>
    </row>
    <row r="1085" customFormat="false" ht="15" hidden="false" customHeight="false" outlineLevel="0" collapsed="false">
      <c r="B1085" s="7" t="s">
        <v>15730</v>
      </c>
      <c r="C1085" s="7" t="s">
        <v>1582</v>
      </c>
      <c r="D1085" s="7" t="s">
        <v>395</v>
      </c>
      <c r="E1085" s="7" t="s">
        <v>156</v>
      </c>
      <c r="F1085" s="39" t="n">
        <v>45713</v>
      </c>
      <c r="G1085" s="41" t="n">
        <v>139.06</v>
      </c>
      <c r="H1085" s="39" t="n">
        <v>45731</v>
      </c>
      <c r="I1085" s="7" t="s">
        <v>14651</v>
      </c>
      <c r="J1085" s="8" t="str">
        <f aca="false">IF(I1085="Open",DATE(2025,12,31)-F1085,"-")</f>
        <v>-</v>
      </c>
    </row>
    <row r="1086" customFormat="false" ht="15" hidden="false" customHeight="false" outlineLevel="0" collapsed="false">
      <c r="B1086" s="7" t="s">
        <v>15731</v>
      </c>
      <c r="C1086" s="7" t="s">
        <v>1583</v>
      </c>
      <c r="D1086" s="7" t="s">
        <v>397</v>
      </c>
      <c r="E1086" s="7" t="s">
        <v>159</v>
      </c>
      <c r="F1086" s="39" t="n">
        <v>45713</v>
      </c>
      <c r="G1086" s="41" t="n">
        <v>140.4</v>
      </c>
      <c r="H1086" s="39" t="n">
        <v>45783</v>
      </c>
      <c r="I1086" s="7" t="s">
        <v>14651</v>
      </c>
      <c r="J1086" s="8" t="str">
        <f aca="false">IF(I1086="Open",DATE(2025,12,31)-F1086,"-")</f>
        <v>-</v>
      </c>
    </row>
    <row r="1087" customFormat="false" ht="15" hidden="false" customHeight="false" outlineLevel="0" collapsed="false">
      <c r="B1087" s="7" t="s">
        <v>15732</v>
      </c>
      <c r="C1087" s="7" t="s">
        <v>1584</v>
      </c>
      <c r="D1087" s="7" t="s">
        <v>401</v>
      </c>
      <c r="E1087" s="7" t="s">
        <v>156</v>
      </c>
      <c r="F1087" s="39" t="n">
        <v>45713</v>
      </c>
      <c r="G1087" s="41" t="n">
        <v>148.24</v>
      </c>
      <c r="H1087" s="39" t="n">
        <v>45716</v>
      </c>
      <c r="I1087" s="7" t="s">
        <v>14651</v>
      </c>
      <c r="J1087" s="8" t="str">
        <f aca="false">IF(I1087="Open",DATE(2025,12,31)-F1087,"-")</f>
        <v>-</v>
      </c>
    </row>
    <row r="1088" customFormat="false" ht="15" hidden="false" customHeight="false" outlineLevel="0" collapsed="false">
      <c r="B1088" s="7" t="s">
        <v>15733</v>
      </c>
      <c r="C1088" s="7" t="s">
        <v>1585</v>
      </c>
      <c r="D1088" s="7" t="s">
        <v>407</v>
      </c>
      <c r="E1088" s="7" t="s">
        <v>159</v>
      </c>
      <c r="F1088" s="39" t="n">
        <v>45713</v>
      </c>
      <c r="G1088" s="41" t="n">
        <v>129.6</v>
      </c>
      <c r="H1088" s="39" t="n">
        <v>45756</v>
      </c>
      <c r="I1088" s="7" t="s">
        <v>14651</v>
      </c>
      <c r="J1088" s="8" t="str">
        <f aca="false">IF(I1088="Open",DATE(2025,12,31)-F1088,"-")</f>
        <v>-</v>
      </c>
    </row>
    <row r="1089" customFormat="false" ht="15" hidden="false" customHeight="false" outlineLevel="0" collapsed="false">
      <c r="B1089" s="7" t="s">
        <v>15734</v>
      </c>
      <c r="C1089" s="7" t="s">
        <v>1586</v>
      </c>
      <c r="D1089" s="7" t="s">
        <v>280</v>
      </c>
      <c r="E1089" s="7" t="s">
        <v>157</v>
      </c>
      <c r="F1089" s="39" t="n">
        <v>45714</v>
      </c>
      <c r="G1089" s="41" t="n">
        <v>160.05</v>
      </c>
      <c r="H1089" s="39" t="n">
        <v>45781</v>
      </c>
      <c r="I1089" s="7" t="s">
        <v>14651</v>
      </c>
      <c r="J1089" s="8" t="str">
        <f aca="false">IF(I1089="Open",DATE(2025,12,31)-F1089,"-")</f>
        <v>-</v>
      </c>
    </row>
    <row r="1090" customFormat="false" ht="15" hidden="false" customHeight="false" outlineLevel="0" collapsed="false">
      <c r="B1090" s="7" t="s">
        <v>15735</v>
      </c>
      <c r="C1090" s="7" t="s">
        <v>1587</v>
      </c>
      <c r="D1090" s="7" t="s">
        <v>286</v>
      </c>
      <c r="E1090" s="7" t="s">
        <v>157</v>
      </c>
      <c r="F1090" s="39" t="n">
        <v>45714</v>
      </c>
      <c r="G1090" s="41" t="n">
        <v>150.15</v>
      </c>
      <c r="H1090" s="39" t="n">
        <v>45784</v>
      </c>
      <c r="I1090" s="7" t="s">
        <v>14651</v>
      </c>
      <c r="J1090" s="8" t="str">
        <f aca="false">IF(I1090="Open",DATE(2025,12,31)-F1090,"-")</f>
        <v>-</v>
      </c>
    </row>
    <row r="1091" customFormat="false" ht="15" hidden="false" customHeight="false" outlineLevel="0" collapsed="false">
      <c r="B1091" s="7" t="s">
        <v>15736</v>
      </c>
      <c r="C1091" s="7" t="s">
        <v>1588</v>
      </c>
      <c r="D1091" s="7" t="s">
        <v>288</v>
      </c>
      <c r="E1091" s="7" t="s">
        <v>156</v>
      </c>
      <c r="F1091" s="39" t="n">
        <v>45714</v>
      </c>
      <c r="G1091" s="41" t="n">
        <v>136.34</v>
      </c>
      <c r="H1091" s="39" t="n">
        <v>45722</v>
      </c>
      <c r="I1091" s="7" t="s">
        <v>14651</v>
      </c>
      <c r="J1091" s="8" t="str">
        <f aca="false">IF(I1091="Open",DATE(2025,12,31)-F1091,"-")</f>
        <v>-</v>
      </c>
    </row>
    <row r="1092" customFormat="false" ht="15" hidden="false" customHeight="false" outlineLevel="0" collapsed="false">
      <c r="B1092" s="7" t="s">
        <v>15737</v>
      </c>
      <c r="C1092" s="7" t="s">
        <v>1589</v>
      </c>
      <c r="D1092" s="7" t="s">
        <v>291</v>
      </c>
      <c r="E1092" s="7" t="s">
        <v>154</v>
      </c>
      <c r="F1092" s="39" t="n">
        <v>45714</v>
      </c>
      <c r="G1092" s="41" t="n">
        <v>130.83</v>
      </c>
      <c r="H1092" s="39" t="n">
        <v>45784</v>
      </c>
      <c r="I1092" s="7" t="s">
        <v>14651</v>
      </c>
      <c r="J1092" s="8" t="str">
        <f aca="false">IF(I1092="Open",DATE(2025,12,31)-F1092,"-")</f>
        <v>-</v>
      </c>
    </row>
    <row r="1093" customFormat="false" ht="15" hidden="false" customHeight="false" outlineLevel="0" collapsed="false">
      <c r="B1093" s="7" t="s">
        <v>15738</v>
      </c>
      <c r="C1093" s="7" t="s">
        <v>1590</v>
      </c>
      <c r="D1093" s="7" t="s">
        <v>305</v>
      </c>
      <c r="E1093" s="7" t="s">
        <v>154</v>
      </c>
      <c r="F1093" s="39" t="n">
        <v>45714</v>
      </c>
      <c r="G1093" s="41" t="n">
        <v>96.72</v>
      </c>
      <c r="H1093" s="39" t="n">
        <v>45749</v>
      </c>
      <c r="I1093" s="7" t="s">
        <v>14651</v>
      </c>
      <c r="J1093" s="8" t="str">
        <f aca="false">IF(I1093="Open",DATE(2025,12,31)-F1093,"-")</f>
        <v>-</v>
      </c>
    </row>
    <row r="1094" customFormat="false" ht="15" hidden="false" customHeight="false" outlineLevel="0" collapsed="false">
      <c r="B1094" s="7" t="s">
        <v>15739</v>
      </c>
      <c r="C1094" s="7" t="s">
        <v>1591</v>
      </c>
      <c r="D1094" s="7" t="s">
        <v>309</v>
      </c>
      <c r="E1094" s="7" t="s">
        <v>159</v>
      </c>
      <c r="F1094" s="39" t="n">
        <v>45714</v>
      </c>
      <c r="G1094" s="41" t="n">
        <v>134.32</v>
      </c>
      <c r="H1094" s="39" t="n">
        <v>45729</v>
      </c>
      <c r="I1094" s="7" t="s">
        <v>14651</v>
      </c>
      <c r="J1094" s="8" t="str">
        <f aca="false">IF(I1094="Open",DATE(2025,12,31)-F1094,"-")</f>
        <v>-</v>
      </c>
    </row>
    <row r="1095" customFormat="false" ht="15" hidden="false" customHeight="false" outlineLevel="0" collapsed="false">
      <c r="B1095" s="7" t="s">
        <v>15740</v>
      </c>
      <c r="C1095" s="7" t="s">
        <v>1592</v>
      </c>
      <c r="D1095" s="7" t="s">
        <v>313</v>
      </c>
      <c r="E1095" s="7" t="s">
        <v>156</v>
      </c>
      <c r="F1095" s="39" t="n">
        <v>45714</v>
      </c>
      <c r="G1095" s="41" t="n">
        <v>137.02</v>
      </c>
      <c r="H1095" s="39" t="n">
        <v>45723</v>
      </c>
      <c r="I1095" s="7" t="s">
        <v>14651</v>
      </c>
      <c r="J1095" s="8" t="str">
        <f aca="false">IF(I1095="Open",DATE(2025,12,31)-F1095,"-")</f>
        <v>-</v>
      </c>
    </row>
    <row r="1096" customFormat="false" ht="15" hidden="false" customHeight="false" outlineLevel="0" collapsed="false">
      <c r="B1096" s="7" t="s">
        <v>15741</v>
      </c>
      <c r="C1096" s="7" t="s">
        <v>1593</v>
      </c>
      <c r="D1096" s="7" t="s">
        <v>321</v>
      </c>
      <c r="E1096" s="7" t="s">
        <v>154</v>
      </c>
      <c r="F1096" s="39" t="n">
        <v>45714</v>
      </c>
      <c r="G1096" s="41" t="n">
        <v>111.83</v>
      </c>
      <c r="H1096" s="39" t="n">
        <v>45834</v>
      </c>
      <c r="I1096" s="7" t="s">
        <v>14651</v>
      </c>
      <c r="J1096" s="8" t="str">
        <f aca="false">IF(I1096="Open",DATE(2025,12,31)-F1096,"-")</f>
        <v>-</v>
      </c>
    </row>
    <row r="1097" customFormat="false" ht="15" hidden="false" customHeight="false" outlineLevel="0" collapsed="false">
      <c r="B1097" s="7" t="s">
        <v>15742</v>
      </c>
      <c r="C1097" s="7" t="s">
        <v>1594</v>
      </c>
      <c r="D1097" s="7" t="s">
        <v>329</v>
      </c>
      <c r="E1097" s="7" t="s">
        <v>156</v>
      </c>
      <c r="F1097" s="39" t="n">
        <v>45714</v>
      </c>
      <c r="G1097" s="41" t="n">
        <v>142.8</v>
      </c>
      <c r="H1097" s="39" t="n">
        <v>45728</v>
      </c>
      <c r="I1097" s="7" t="s">
        <v>14651</v>
      </c>
      <c r="J1097" s="8" t="str">
        <f aca="false">IF(I1097="Open",DATE(2025,12,31)-F1097,"-")</f>
        <v>-</v>
      </c>
    </row>
    <row r="1098" customFormat="false" ht="15" hidden="false" customHeight="false" outlineLevel="0" collapsed="false">
      <c r="B1098" s="7" t="s">
        <v>15743</v>
      </c>
      <c r="C1098" s="7" t="s">
        <v>1595</v>
      </c>
      <c r="D1098" s="7" t="s">
        <v>335</v>
      </c>
      <c r="E1098" s="7" t="s">
        <v>154</v>
      </c>
      <c r="F1098" s="39" t="n">
        <v>45714</v>
      </c>
      <c r="G1098" s="41" t="n">
        <v>99.48</v>
      </c>
      <c r="H1098" s="39" t="n">
        <v>45761</v>
      </c>
      <c r="I1098" s="7" t="s">
        <v>14651</v>
      </c>
      <c r="J1098" s="8" t="str">
        <f aca="false">IF(I1098="Open",DATE(2025,12,31)-F1098,"-")</f>
        <v>-</v>
      </c>
    </row>
    <row r="1099" customFormat="false" ht="15" hidden="false" customHeight="false" outlineLevel="0" collapsed="false">
      <c r="B1099" s="7" t="s">
        <v>15744</v>
      </c>
      <c r="C1099" s="7" t="s">
        <v>1596</v>
      </c>
      <c r="D1099" s="7" t="s">
        <v>339</v>
      </c>
      <c r="E1099" s="7" t="s">
        <v>154</v>
      </c>
      <c r="F1099" s="39" t="n">
        <v>45714</v>
      </c>
      <c r="G1099" s="41" t="n">
        <v>93.55</v>
      </c>
      <c r="H1099" s="39" t="n">
        <v>45760</v>
      </c>
      <c r="I1099" s="7" t="s">
        <v>14651</v>
      </c>
      <c r="J1099" s="8" t="str">
        <f aca="false">IF(I1099="Open",DATE(2025,12,31)-F1099,"-")</f>
        <v>-</v>
      </c>
    </row>
    <row r="1100" customFormat="false" ht="15" hidden="false" customHeight="false" outlineLevel="0" collapsed="false">
      <c r="B1100" s="7" t="s">
        <v>15745</v>
      </c>
      <c r="C1100" s="7" t="s">
        <v>1597</v>
      </c>
      <c r="D1100" s="7" t="s">
        <v>353</v>
      </c>
      <c r="E1100" s="7" t="s">
        <v>154</v>
      </c>
      <c r="F1100" s="39" t="n">
        <v>45714</v>
      </c>
      <c r="G1100" s="41" t="n">
        <v>83.47</v>
      </c>
      <c r="H1100" s="39" t="n">
        <v>45772</v>
      </c>
      <c r="I1100" s="7" t="s">
        <v>14651</v>
      </c>
      <c r="J1100" s="8" t="str">
        <f aca="false">IF(I1100="Open",DATE(2025,12,31)-F1100,"-")</f>
        <v>-</v>
      </c>
    </row>
    <row r="1101" customFormat="false" ht="15" hidden="false" customHeight="false" outlineLevel="0" collapsed="false">
      <c r="B1101" s="7" t="s">
        <v>15746</v>
      </c>
      <c r="C1101" s="7" t="s">
        <v>1598</v>
      </c>
      <c r="D1101" s="7" t="s">
        <v>355</v>
      </c>
      <c r="E1101" s="7" t="s">
        <v>154</v>
      </c>
      <c r="F1101" s="39" t="n">
        <v>45714</v>
      </c>
      <c r="G1101" s="41" t="n">
        <v>87.9</v>
      </c>
      <c r="H1101" s="39" t="n">
        <v>45768</v>
      </c>
      <c r="I1101" s="7" t="s">
        <v>14651</v>
      </c>
      <c r="J1101" s="8" t="str">
        <f aca="false">IF(I1101="Open",DATE(2025,12,31)-F1101,"-")</f>
        <v>-</v>
      </c>
    </row>
    <row r="1102" customFormat="false" ht="15" hidden="false" customHeight="false" outlineLevel="0" collapsed="false">
      <c r="B1102" s="7" t="s">
        <v>15747</v>
      </c>
      <c r="C1102" s="7" t="s">
        <v>1599</v>
      </c>
      <c r="D1102" s="7" t="s">
        <v>357</v>
      </c>
      <c r="E1102" s="7" t="s">
        <v>154</v>
      </c>
      <c r="F1102" s="39" t="n">
        <v>45714</v>
      </c>
      <c r="G1102" s="41" t="n">
        <v>91.43</v>
      </c>
      <c r="H1102" s="39" t="n">
        <v>45752</v>
      </c>
      <c r="I1102" s="7" t="s">
        <v>14651</v>
      </c>
      <c r="J1102" s="8" t="str">
        <f aca="false">IF(I1102="Open",DATE(2025,12,31)-F1102,"-")</f>
        <v>-</v>
      </c>
    </row>
    <row r="1103" customFormat="false" ht="15" hidden="false" customHeight="false" outlineLevel="0" collapsed="false">
      <c r="B1103" s="7" t="s">
        <v>15748</v>
      </c>
      <c r="C1103" s="7" t="s">
        <v>1600</v>
      </c>
      <c r="D1103" s="7" t="s">
        <v>359</v>
      </c>
      <c r="E1103" s="7" t="s">
        <v>156</v>
      </c>
      <c r="F1103" s="39" t="n">
        <v>45714</v>
      </c>
      <c r="G1103" s="41" t="n">
        <v>139.06</v>
      </c>
      <c r="H1103" s="39" t="n">
        <v>45726</v>
      </c>
      <c r="I1103" s="7" t="s">
        <v>14651</v>
      </c>
      <c r="J1103" s="8" t="str">
        <f aca="false">IF(I1103="Open",DATE(2025,12,31)-F1103,"-")</f>
        <v>-</v>
      </c>
    </row>
    <row r="1104" customFormat="false" ht="15" hidden="false" customHeight="false" outlineLevel="0" collapsed="false">
      <c r="B1104" s="7" t="s">
        <v>15749</v>
      </c>
      <c r="C1104" s="7" t="s">
        <v>1601</v>
      </c>
      <c r="D1104" s="7" t="s">
        <v>371</v>
      </c>
      <c r="E1104" s="7" t="s">
        <v>154</v>
      </c>
      <c r="F1104" s="39" t="n">
        <v>45714</v>
      </c>
      <c r="G1104" s="41" t="n">
        <v>128.52</v>
      </c>
      <c r="H1104" s="39" t="n">
        <v>45834</v>
      </c>
      <c r="I1104" s="7" t="s">
        <v>14651</v>
      </c>
      <c r="J1104" s="8" t="str">
        <f aca="false">IF(I1104="Open",DATE(2025,12,31)-F1104,"-")</f>
        <v>-</v>
      </c>
    </row>
    <row r="1105" customFormat="false" ht="15" hidden="false" customHeight="false" outlineLevel="0" collapsed="false">
      <c r="B1105" s="7" t="s">
        <v>15750</v>
      </c>
      <c r="C1105" s="7" t="s">
        <v>1602</v>
      </c>
      <c r="D1105" s="7" t="s">
        <v>379</v>
      </c>
      <c r="E1105" s="7" t="s">
        <v>156</v>
      </c>
      <c r="F1105" s="39" t="n">
        <v>45714</v>
      </c>
      <c r="G1105" s="41" t="n">
        <v>146.2</v>
      </c>
      <c r="H1105" s="39" t="n">
        <v>45725</v>
      </c>
      <c r="I1105" s="7" t="s">
        <v>14651</v>
      </c>
      <c r="J1105" s="8" t="str">
        <f aca="false">IF(I1105="Open",DATE(2025,12,31)-F1105,"-")</f>
        <v>-</v>
      </c>
    </row>
    <row r="1106" customFormat="false" ht="15" hidden="false" customHeight="false" outlineLevel="0" collapsed="false">
      <c r="B1106" s="7" t="s">
        <v>15751</v>
      </c>
      <c r="C1106" s="7" t="s">
        <v>1603</v>
      </c>
      <c r="D1106" s="7" t="s">
        <v>389</v>
      </c>
      <c r="E1106" s="7" t="s">
        <v>154</v>
      </c>
      <c r="F1106" s="39" t="n">
        <v>45714</v>
      </c>
      <c r="G1106" s="41" t="n">
        <v>97.25</v>
      </c>
      <c r="H1106" s="39" t="n">
        <v>45830</v>
      </c>
      <c r="I1106" s="7" t="s">
        <v>14651</v>
      </c>
      <c r="J1106" s="8" t="str">
        <f aca="false">IF(I1106="Open",DATE(2025,12,31)-F1106,"-")</f>
        <v>-</v>
      </c>
    </row>
    <row r="1107" customFormat="false" ht="15" hidden="false" customHeight="false" outlineLevel="0" collapsed="false">
      <c r="B1107" s="7" t="s">
        <v>15752</v>
      </c>
      <c r="C1107" s="7" t="s">
        <v>1604</v>
      </c>
      <c r="D1107" s="7" t="s">
        <v>391</v>
      </c>
      <c r="E1107" s="7" t="s">
        <v>156</v>
      </c>
      <c r="F1107" s="39" t="n">
        <v>45714</v>
      </c>
      <c r="G1107" s="41" t="n">
        <v>133.28</v>
      </c>
      <c r="H1107" s="39" t="n">
        <v>45715</v>
      </c>
      <c r="I1107" s="7" t="s">
        <v>14651</v>
      </c>
      <c r="J1107" s="8" t="str">
        <f aca="false">IF(I1107="Open",DATE(2025,12,31)-F1107,"-")</f>
        <v>-</v>
      </c>
    </row>
    <row r="1108" customFormat="false" ht="15" hidden="false" customHeight="false" outlineLevel="0" collapsed="false">
      <c r="B1108" s="7" t="s">
        <v>15753</v>
      </c>
      <c r="C1108" s="7" t="s">
        <v>1605</v>
      </c>
      <c r="D1108" s="7" t="s">
        <v>393</v>
      </c>
      <c r="E1108" s="7" t="s">
        <v>157</v>
      </c>
      <c r="F1108" s="39" t="n">
        <v>45714</v>
      </c>
      <c r="G1108" s="41" t="n">
        <v>166.65</v>
      </c>
      <c r="H1108" s="39" t="n">
        <v>45757</v>
      </c>
      <c r="I1108" s="7" t="s">
        <v>14651</v>
      </c>
      <c r="J1108" s="8" t="str">
        <f aca="false">IF(I1108="Open",DATE(2025,12,31)-F1108,"-")</f>
        <v>-</v>
      </c>
    </row>
    <row r="1109" customFormat="false" ht="15" hidden="false" customHeight="false" outlineLevel="0" collapsed="false">
      <c r="B1109" s="7" t="s">
        <v>15754</v>
      </c>
      <c r="C1109" s="7" t="s">
        <v>1606</v>
      </c>
      <c r="D1109" s="7" t="s">
        <v>395</v>
      </c>
      <c r="E1109" s="7" t="s">
        <v>156</v>
      </c>
      <c r="F1109" s="39" t="n">
        <v>45714</v>
      </c>
      <c r="G1109" s="41" t="n">
        <v>144.16</v>
      </c>
      <c r="H1109" s="39" t="n">
        <v>45722</v>
      </c>
      <c r="I1109" s="7" t="s">
        <v>14651</v>
      </c>
      <c r="J1109" s="8" t="str">
        <f aca="false">IF(I1109="Open",DATE(2025,12,31)-F1109,"-")</f>
        <v>-</v>
      </c>
    </row>
    <row r="1110" customFormat="false" ht="15" hidden="false" customHeight="false" outlineLevel="0" collapsed="false">
      <c r="B1110" s="7" t="s">
        <v>15755</v>
      </c>
      <c r="C1110" s="7" t="s">
        <v>1607</v>
      </c>
      <c r="D1110" s="7" t="s">
        <v>399</v>
      </c>
      <c r="E1110" s="7" t="s">
        <v>154</v>
      </c>
      <c r="F1110" s="39" t="n">
        <v>45714</v>
      </c>
      <c r="G1110" s="41" t="n">
        <v>82.15</v>
      </c>
      <c r="H1110" s="39" t="n">
        <v>45828</v>
      </c>
      <c r="I1110" s="7" t="s">
        <v>14651</v>
      </c>
      <c r="J1110" s="8" t="str">
        <f aca="false">IF(I1110="Open",DATE(2025,12,31)-F1110,"-")</f>
        <v>-</v>
      </c>
    </row>
    <row r="1111" customFormat="false" ht="15" hidden="false" customHeight="false" outlineLevel="0" collapsed="false">
      <c r="B1111" s="7" t="s">
        <v>15756</v>
      </c>
      <c r="C1111" s="7" t="s">
        <v>1608</v>
      </c>
      <c r="D1111" s="7" t="s">
        <v>401</v>
      </c>
      <c r="E1111" s="7" t="s">
        <v>156</v>
      </c>
      <c r="F1111" s="39" t="n">
        <v>45714</v>
      </c>
      <c r="G1111" s="41" t="n">
        <v>144.16</v>
      </c>
      <c r="H1111" s="39" t="n">
        <v>45726</v>
      </c>
      <c r="I1111" s="7" t="s">
        <v>14651</v>
      </c>
      <c r="J1111" s="8" t="str">
        <f aca="false">IF(I1111="Open",DATE(2025,12,31)-F1111,"-")</f>
        <v>-</v>
      </c>
    </row>
    <row r="1112" customFormat="false" ht="15" hidden="false" customHeight="false" outlineLevel="0" collapsed="false">
      <c r="B1112" s="7" t="s">
        <v>15757</v>
      </c>
      <c r="C1112" s="7" t="s">
        <v>1609</v>
      </c>
      <c r="D1112" s="7" t="s">
        <v>409</v>
      </c>
      <c r="E1112" s="7" t="s">
        <v>154</v>
      </c>
      <c r="F1112" s="39" t="n">
        <v>45714</v>
      </c>
      <c r="G1112" s="41" t="n">
        <v>96.19</v>
      </c>
      <c r="H1112" s="39" t="n">
        <v>45775</v>
      </c>
      <c r="I1112" s="7" t="s">
        <v>14651</v>
      </c>
      <c r="J1112" s="8" t="str">
        <f aca="false">IF(I1112="Open",DATE(2025,12,31)-F1112,"-")</f>
        <v>-</v>
      </c>
    </row>
    <row r="1113" customFormat="false" ht="15" hidden="false" customHeight="false" outlineLevel="0" collapsed="false">
      <c r="B1113" s="7" t="s">
        <v>15758</v>
      </c>
      <c r="C1113" s="7" t="s">
        <v>1610</v>
      </c>
      <c r="D1113" s="7" t="s">
        <v>288</v>
      </c>
      <c r="E1113" s="7" t="s">
        <v>156</v>
      </c>
      <c r="F1113" s="39" t="n">
        <v>45715</v>
      </c>
      <c r="G1113" s="41" t="n">
        <v>133.28</v>
      </c>
      <c r="H1113" s="39" t="n">
        <v>45725</v>
      </c>
      <c r="I1113" s="7" t="s">
        <v>14651</v>
      </c>
      <c r="J1113" s="8" t="str">
        <f aca="false">IF(I1113="Open",DATE(2025,12,31)-F1113,"-")</f>
        <v>-</v>
      </c>
    </row>
    <row r="1114" customFormat="false" ht="15" hidden="false" customHeight="false" outlineLevel="0" collapsed="false">
      <c r="B1114" s="7" t="s">
        <v>15759</v>
      </c>
      <c r="C1114" s="7" t="s">
        <v>1611</v>
      </c>
      <c r="D1114" s="7" t="s">
        <v>297</v>
      </c>
      <c r="E1114" s="7" t="s">
        <v>156</v>
      </c>
      <c r="F1114" s="39" t="n">
        <v>45715</v>
      </c>
      <c r="G1114" s="41" t="n">
        <v>96.22</v>
      </c>
      <c r="H1114" s="39" t="n">
        <v>45724</v>
      </c>
      <c r="I1114" s="7" t="s">
        <v>14651</v>
      </c>
      <c r="J1114" s="8" t="str">
        <f aca="false">IF(I1114="Open",DATE(2025,12,31)-F1114,"-")</f>
        <v>-</v>
      </c>
    </row>
    <row r="1115" customFormat="false" ht="15" hidden="false" customHeight="false" outlineLevel="0" collapsed="false">
      <c r="B1115" s="7" t="s">
        <v>15760</v>
      </c>
      <c r="C1115" s="7" t="s">
        <v>1612</v>
      </c>
      <c r="D1115" s="7" t="s">
        <v>311</v>
      </c>
      <c r="E1115" s="7" t="s">
        <v>154</v>
      </c>
      <c r="F1115" s="39" t="n">
        <v>45715</v>
      </c>
      <c r="G1115" s="41" t="n">
        <v>75</v>
      </c>
      <c r="H1115" s="39" t="n">
        <v>45774</v>
      </c>
      <c r="I1115" s="7" t="s">
        <v>14651</v>
      </c>
      <c r="J1115" s="8" t="str">
        <f aca="false">IF(I1115="Open",DATE(2025,12,31)-F1115,"-")</f>
        <v>-</v>
      </c>
    </row>
    <row r="1116" customFormat="false" ht="15" hidden="false" customHeight="false" outlineLevel="0" collapsed="false">
      <c r="B1116" s="7" t="s">
        <v>15761</v>
      </c>
      <c r="C1116" s="7" t="s">
        <v>1613</v>
      </c>
      <c r="D1116" s="7" t="s">
        <v>313</v>
      </c>
      <c r="E1116" s="7" t="s">
        <v>156</v>
      </c>
      <c r="F1116" s="39" t="n">
        <v>45715</v>
      </c>
      <c r="G1116" s="41" t="n">
        <v>126.14</v>
      </c>
      <c r="H1116" s="39" t="n">
        <v>45724</v>
      </c>
      <c r="I1116" s="7" t="s">
        <v>14651</v>
      </c>
      <c r="J1116" s="8" t="str">
        <f aca="false">IF(I1116="Open",DATE(2025,12,31)-F1116,"-")</f>
        <v>-</v>
      </c>
    </row>
    <row r="1117" customFormat="false" ht="15" hidden="false" customHeight="false" outlineLevel="0" collapsed="false">
      <c r="B1117" s="7" t="s">
        <v>15762</v>
      </c>
      <c r="C1117" s="7" t="s">
        <v>1614</v>
      </c>
      <c r="D1117" s="7" t="s">
        <v>317</v>
      </c>
      <c r="E1117" s="7" t="s">
        <v>156</v>
      </c>
      <c r="F1117" s="39" t="n">
        <v>45715</v>
      </c>
      <c r="G1117" s="41" t="n">
        <v>96.9</v>
      </c>
      <c r="H1117" s="39" t="n">
        <v>45725</v>
      </c>
      <c r="I1117" s="7" t="s">
        <v>14651</v>
      </c>
      <c r="J1117" s="8" t="str">
        <f aca="false">IF(I1117="Open",DATE(2025,12,31)-F1117,"-")</f>
        <v>-</v>
      </c>
    </row>
    <row r="1118" customFormat="false" ht="15" hidden="false" customHeight="false" outlineLevel="0" collapsed="false">
      <c r="B1118" s="7" t="s">
        <v>15763</v>
      </c>
      <c r="C1118" s="7" t="s">
        <v>1615</v>
      </c>
      <c r="D1118" s="7" t="s">
        <v>321</v>
      </c>
      <c r="E1118" s="7" t="s">
        <v>154</v>
      </c>
      <c r="F1118" s="39" t="n">
        <v>45715</v>
      </c>
      <c r="G1118" s="41" t="n">
        <v>107.32</v>
      </c>
      <c r="H1118" s="39" t="n">
        <v>45765</v>
      </c>
      <c r="I1118" s="7" t="s">
        <v>14651</v>
      </c>
      <c r="J1118" s="8" t="str">
        <f aca="false">IF(I1118="Open",DATE(2025,12,31)-F1118,"-")</f>
        <v>-</v>
      </c>
    </row>
    <row r="1119" customFormat="false" ht="15" hidden="false" customHeight="false" outlineLevel="0" collapsed="false">
      <c r="B1119" s="7" t="s">
        <v>15764</v>
      </c>
      <c r="C1119" s="7" t="s">
        <v>1616</v>
      </c>
      <c r="D1119" s="7" t="s">
        <v>325</v>
      </c>
      <c r="E1119" s="7" t="s">
        <v>154</v>
      </c>
      <c r="F1119" s="39" t="n">
        <v>45715</v>
      </c>
      <c r="G1119" s="41" t="n">
        <v>87.19</v>
      </c>
      <c r="H1119" s="39" t="n">
        <v>45788</v>
      </c>
      <c r="I1119" s="7" t="s">
        <v>14651</v>
      </c>
      <c r="J1119" s="8" t="str">
        <f aca="false">IF(I1119="Open",DATE(2025,12,31)-F1119,"-")</f>
        <v>-</v>
      </c>
    </row>
    <row r="1120" customFormat="false" ht="15" hidden="false" customHeight="false" outlineLevel="0" collapsed="false">
      <c r="B1120" s="7" t="s">
        <v>15765</v>
      </c>
      <c r="C1120" s="7" t="s">
        <v>1617</v>
      </c>
      <c r="D1120" s="7" t="s">
        <v>329</v>
      </c>
      <c r="E1120" s="7" t="s">
        <v>156</v>
      </c>
      <c r="F1120" s="39" t="n">
        <v>45715</v>
      </c>
      <c r="G1120" s="41" t="n">
        <v>124.44</v>
      </c>
      <c r="H1120" s="39" t="n">
        <v>45729</v>
      </c>
      <c r="I1120" s="7" t="s">
        <v>14651</v>
      </c>
      <c r="J1120" s="8" t="str">
        <f aca="false">IF(I1120="Open",DATE(2025,12,31)-F1120,"-")</f>
        <v>-</v>
      </c>
    </row>
    <row r="1121" customFormat="false" ht="15" hidden="false" customHeight="false" outlineLevel="0" collapsed="false">
      <c r="B1121" s="7" t="s">
        <v>15766</v>
      </c>
      <c r="C1121" s="7" t="s">
        <v>1618</v>
      </c>
      <c r="D1121" s="7" t="s">
        <v>331</v>
      </c>
      <c r="E1121" s="7" t="s">
        <v>156</v>
      </c>
      <c r="F1121" s="39" t="n">
        <v>45715</v>
      </c>
      <c r="G1121" s="41" t="n">
        <v>127.84</v>
      </c>
      <c r="H1121" s="39" t="n">
        <v>45735</v>
      </c>
      <c r="I1121" s="7" t="s">
        <v>14651</v>
      </c>
      <c r="J1121" s="8" t="str">
        <f aca="false">IF(I1121="Open",DATE(2025,12,31)-F1121,"-")</f>
        <v>-</v>
      </c>
    </row>
    <row r="1122" customFormat="false" ht="15" hidden="false" customHeight="false" outlineLevel="0" collapsed="false">
      <c r="B1122" s="7" t="s">
        <v>15767</v>
      </c>
      <c r="C1122" s="7" t="s">
        <v>1619</v>
      </c>
      <c r="D1122" s="7" t="s">
        <v>337</v>
      </c>
      <c r="E1122" s="7" t="s">
        <v>154</v>
      </c>
      <c r="F1122" s="39" t="n">
        <v>45715</v>
      </c>
      <c r="G1122" s="41" t="n">
        <v>77.12</v>
      </c>
      <c r="H1122" s="39" t="n">
        <v>45769</v>
      </c>
      <c r="I1122" s="7" t="s">
        <v>14651</v>
      </c>
      <c r="J1122" s="8" t="str">
        <f aca="false">IF(I1122="Open",DATE(2025,12,31)-F1122,"-")</f>
        <v>-</v>
      </c>
    </row>
    <row r="1123" customFormat="false" ht="15" hidden="false" customHeight="false" outlineLevel="0" collapsed="false">
      <c r="B1123" s="7" t="s">
        <v>15768</v>
      </c>
      <c r="C1123" s="7" t="s">
        <v>1620</v>
      </c>
      <c r="D1123" s="7" t="s">
        <v>341</v>
      </c>
      <c r="E1123" s="7" t="s">
        <v>156</v>
      </c>
      <c r="F1123" s="39" t="n">
        <v>45715</v>
      </c>
      <c r="G1123" s="41" t="n">
        <v>97.58</v>
      </c>
      <c r="H1123" s="39" t="n">
        <v>45727</v>
      </c>
      <c r="I1123" s="7" t="s">
        <v>14651</v>
      </c>
      <c r="J1123" s="8" t="str">
        <f aca="false">IF(I1123="Open",DATE(2025,12,31)-F1123,"-")</f>
        <v>-</v>
      </c>
    </row>
    <row r="1124" customFormat="false" ht="15" hidden="false" customHeight="false" outlineLevel="0" collapsed="false">
      <c r="B1124" s="7" t="s">
        <v>15769</v>
      </c>
      <c r="C1124" s="7" t="s">
        <v>1621</v>
      </c>
      <c r="D1124" s="7" t="s">
        <v>343</v>
      </c>
      <c r="E1124" s="7" t="s">
        <v>154</v>
      </c>
      <c r="F1124" s="39" t="n">
        <v>45715</v>
      </c>
      <c r="G1124" s="41" t="n">
        <v>105.73</v>
      </c>
      <c r="H1124" s="39" t="n">
        <v>45785</v>
      </c>
      <c r="I1124" s="7" t="s">
        <v>14651</v>
      </c>
      <c r="J1124" s="8" t="str">
        <f aca="false">IF(I1124="Open",DATE(2025,12,31)-F1124,"-")</f>
        <v>-</v>
      </c>
    </row>
    <row r="1125" customFormat="false" ht="15" hidden="false" customHeight="false" outlineLevel="0" collapsed="false">
      <c r="B1125" s="7" t="s">
        <v>15770</v>
      </c>
      <c r="C1125" s="7" t="s">
        <v>1622</v>
      </c>
      <c r="D1125" s="7" t="s">
        <v>359</v>
      </c>
      <c r="E1125" s="7" t="s">
        <v>156</v>
      </c>
      <c r="F1125" s="39" t="n">
        <v>45715</v>
      </c>
      <c r="G1125" s="41" t="n">
        <v>141.1</v>
      </c>
      <c r="H1125" s="39" t="n">
        <v>45729</v>
      </c>
      <c r="I1125" s="7" t="s">
        <v>14651</v>
      </c>
      <c r="J1125" s="8" t="str">
        <f aca="false">IF(I1125="Open",DATE(2025,12,31)-F1125,"-")</f>
        <v>-</v>
      </c>
    </row>
    <row r="1126" customFormat="false" ht="15" hidden="false" customHeight="false" outlineLevel="0" collapsed="false">
      <c r="B1126" s="7" t="s">
        <v>15771</v>
      </c>
      <c r="C1126" s="7" t="s">
        <v>1623</v>
      </c>
      <c r="D1126" s="7" t="s">
        <v>363</v>
      </c>
      <c r="E1126" s="7" t="s">
        <v>156</v>
      </c>
      <c r="F1126" s="39" t="n">
        <v>45715</v>
      </c>
      <c r="G1126" s="41" t="n">
        <v>144.5</v>
      </c>
      <c r="H1126" s="39" t="n">
        <v>45722</v>
      </c>
      <c r="I1126" s="7" t="s">
        <v>14651</v>
      </c>
      <c r="J1126" s="8" t="str">
        <f aca="false">IF(I1126="Open",DATE(2025,12,31)-F1126,"-")</f>
        <v>-</v>
      </c>
    </row>
    <row r="1127" customFormat="false" ht="15" hidden="false" customHeight="false" outlineLevel="0" collapsed="false">
      <c r="B1127" s="7" t="s">
        <v>15772</v>
      </c>
      <c r="C1127" s="7" t="s">
        <v>1624</v>
      </c>
      <c r="D1127" s="7" t="s">
        <v>375</v>
      </c>
      <c r="E1127" s="7" t="s">
        <v>156</v>
      </c>
      <c r="F1127" s="39" t="n">
        <v>45715</v>
      </c>
      <c r="G1127" s="41" t="n">
        <v>98.26</v>
      </c>
      <c r="H1127" s="39" t="n">
        <v>45729</v>
      </c>
      <c r="I1127" s="7" t="s">
        <v>14651</v>
      </c>
      <c r="J1127" s="8" t="str">
        <f aca="false">IF(I1127="Open",DATE(2025,12,31)-F1127,"-")</f>
        <v>-</v>
      </c>
    </row>
    <row r="1128" customFormat="false" ht="15" hidden="false" customHeight="false" outlineLevel="0" collapsed="false">
      <c r="B1128" s="7" t="s">
        <v>15773</v>
      </c>
      <c r="C1128" s="7" t="s">
        <v>1625</v>
      </c>
      <c r="D1128" s="7" t="s">
        <v>377</v>
      </c>
      <c r="E1128" s="7" t="s">
        <v>154</v>
      </c>
      <c r="F1128" s="39" t="n">
        <v>45715</v>
      </c>
      <c r="G1128" s="41" t="n">
        <v>108.92</v>
      </c>
      <c r="H1128" s="39" t="n">
        <v>45730</v>
      </c>
      <c r="I1128" s="7" t="s">
        <v>14651</v>
      </c>
      <c r="J1128" s="8" t="str">
        <f aca="false">IF(I1128="Open",DATE(2025,12,31)-F1128,"-")</f>
        <v>-</v>
      </c>
    </row>
    <row r="1129" customFormat="false" ht="15" hidden="false" customHeight="false" outlineLevel="0" collapsed="false">
      <c r="B1129" s="7" t="s">
        <v>15774</v>
      </c>
      <c r="C1129" s="7" t="s">
        <v>1626</v>
      </c>
      <c r="D1129" s="7" t="s">
        <v>389</v>
      </c>
      <c r="E1129" s="7" t="s">
        <v>154</v>
      </c>
      <c r="F1129" s="39" t="n">
        <v>45715</v>
      </c>
      <c r="G1129" s="41" t="n">
        <v>109.71</v>
      </c>
      <c r="H1129" s="39" t="n">
        <v>45772</v>
      </c>
      <c r="I1129" s="7" t="s">
        <v>14651</v>
      </c>
      <c r="J1129" s="8" t="str">
        <f aca="false">IF(I1129="Open",DATE(2025,12,31)-F1129,"-")</f>
        <v>-</v>
      </c>
    </row>
    <row r="1130" customFormat="false" ht="15" hidden="false" customHeight="false" outlineLevel="0" collapsed="false">
      <c r="B1130" s="7" t="s">
        <v>15775</v>
      </c>
      <c r="C1130" s="7" t="s">
        <v>1627</v>
      </c>
      <c r="D1130" s="7" t="s">
        <v>391</v>
      </c>
      <c r="E1130" s="7" t="s">
        <v>156</v>
      </c>
      <c r="F1130" s="39" t="n">
        <v>45715</v>
      </c>
      <c r="G1130" s="41" t="n">
        <v>134.64</v>
      </c>
      <c r="H1130" s="39" t="n">
        <v>45725</v>
      </c>
      <c r="I1130" s="7" t="s">
        <v>14651</v>
      </c>
      <c r="J1130" s="8" t="str">
        <f aca="false">IF(I1130="Open",DATE(2025,12,31)-F1130,"-")</f>
        <v>-</v>
      </c>
    </row>
    <row r="1131" customFormat="false" ht="15" hidden="false" customHeight="false" outlineLevel="0" collapsed="false">
      <c r="B1131" s="7" t="s">
        <v>15776</v>
      </c>
      <c r="C1131" s="7" t="s">
        <v>1628</v>
      </c>
      <c r="D1131" s="7" t="s">
        <v>395</v>
      </c>
      <c r="E1131" s="7" t="s">
        <v>156</v>
      </c>
      <c r="F1131" s="39" t="n">
        <v>45715</v>
      </c>
      <c r="G1131" s="41" t="n">
        <v>125.46</v>
      </c>
      <c r="H1131" s="39" t="n">
        <v>45728</v>
      </c>
      <c r="I1131" s="7" t="s">
        <v>14651</v>
      </c>
      <c r="J1131" s="8" t="str">
        <f aca="false">IF(I1131="Open",DATE(2025,12,31)-F1131,"-")</f>
        <v>-</v>
      </c>
    </row>
    <row r="1132" customFormat="false" ht="15" hidden="false" customHeight="false" outlineLevel="0" collapsed="false">
      <c r="B1132" s="7" t="s">
        <v>15777</v>
      </c>
      <c r="C1132" s="7" t="s">
        <v>1629</v>
      </c>
      <c r="D1132" s="7" t="s">
        <v>401</v>
      </c>
      <c r="E1132" s="7" t="s">
        <v>156</v>
      </c>
      <c r="F1132" s="39" t="n">
        <v>45715</v>
      </c>
      <c r="G1132" s="41" t="n">
        <v>129.88</v>
      </c>
      <c r="H1132" s="39" t="n">
        <v>45738</v>
      </c>
      <c r="I1132" s="7" t="s">
        <v>14651</v>
      </c>
      <c r="J1132" s="8" t="str">
        <f aca="false">IF(I1132="Open",DATE(2025,12,31)-F1132,"-")</f>
        <v>-</v>
      </c>
    </row>
    <row r="1133" customFormat="false" ht="15" hidden="false" customHeight="false" outlineLevel="0" collapsed="false">
      <c r="B1133" s="7" t="s">
        <v>15778</v>
      </c>
      <c r="C1133" s="7" t="s">
        <v>1630</v>
      </c>
      <c r="D1133" s="7" t="s">
        <v>280</v>
      </c>
      <c r="E1133" s="7" t="s">
        <v>157</v>
      </c>
      <c r="F1133" s="39" t="n">
        <v>45716</v>
      </c>
      <c r="G1133" s="41" t="n">
        <v>155.1</v>
      </c>
      <c r="H1133" s="39" t="n">
        <v>45738</v>
      </c>
      <c r="I1133" s="7" t="s">
        <v>14651</v>
      </c>
      <c r="J1133" s="8" t="str">
        <f aca="false">IF(I1133="Open",DATE(2025,12,31)-F1133,"-")</f>
        <v>-</v>
      </c>
    </row>
    <row r="1134" customFormat="false" ht="15" hidden="false" customHeight="false" outlineLevel="0" collapsed="false">
      <c r="B1134" s="7" t="s">
        <v>15779</v>
      </c>
      <c r="C1134" s="7" t="s">
        <v>1631</v>
      </c>
      <c r="D1134" s="7" t="s">
        <v>288</v>
      </c>
      <c r="E1134" s="7" t="s">
        <v>156</v>
      </c>
      <c r="F1134" s="39" t="n">
        <v>45716</v>
      </c>
      <c r="G1134" s="41" t="n">
        <v>142.12</v>
      </c>
      <c r="H1134" s="39" t="n">
        <v>45736</v>
      </c>
      <c r="I1134" s="7" t="s">
        <v>14651</v>
      </c>
      <c r="J1134" s="8" t="str">
        <f aca="false">IF(I1134="Open",DATE(2025,12,31)-F1134,"-")</f>
        <v>-</v>
      </c>
    </row>
    <row r="1135" customFormat="false" ht="15" hidden="false" customHeight="false" outlineLevel="0" collapsed="false">
      <c r="B1135" s="7" t="s">
        <v>15780</v>
      </c>
      <c r="C1135" s="7" t="s">
        <v>1632</v>
      </c>
      <c r="D1135" s="7" t="s">
        <v>291</v>
      </c>
      <c r="E1135" s="7" t="s">
        <v>154</v>
      </c>
      <c r="F1135" s="39" t="n">
        <v>45716</v>
      </c>
      <c r="G1135" s="41" t="n">
        <v>126.94</v>
      </c>
      <c r="H1135" s="39" t="n">
        <v>45751</v>
      </c>
      <c r="I1135" s="7" t="s">
        <v>14651</v>
      </c>
      <c r="J1135" s="8" t="str">
        <f aca="false">IF(I1135="Open",DATE(2025,12,31)-F1135,"-")</f>
        <v>-</v>
      </c>
    </row>
    <row r="1136" customFormat="false" ht="15" hidden="false" customHeight="false" outlineLevel="0" collapsed="false">
      <c r="B1136" s="7" t="s">
        <v>15781</v>
      </c>
      <c r="C1136" s="7" t="s">
        <v>1633</v>
      </c>
      <c r="D1136" s="7" t="s">
        <v>301</v>
      </c>
      <c r="E1136" s="7" t="s">
        <v>157</v>
      </c>
      <c r="F1136" s="39" t="n">
        <v>45716</v>
      </c>
      <c r="G1136" s="41" t="n">
        <v>164.5</v>
      </c>
      <c r="H1136" s="39" t="n">
        <v>45756</v>
      </c>
      <c r="I1136" s="7" t="s">
        <v>14651</v>
      </c>
      <c r="J1136" s="8" t="str">
        <f aca="false">IF(I1136="Open",DATE(2025,12,31)-F1136,"-")</f>
        <v>-</v>
      </c>
    </row>
    <row r="1137" customFormat="false" ht="15" hidden="false" customHeight="false" outlineLevel="0" collapsed="false">
      <c r="B1137" s="7" t="s">
        <v>15782</v>
      </c>
      <c r="C1137" s="7" t="s">
        <v>1634</v>
      </c>
      <c r="D1137" s="7" t="s">
        <v>305</v>
      </c>
      <c r="E1137" s="7" t="s">
        <v>154</v>
      </c>
      <c r="F1137" s="39" t="n">
        <v>45716</v>
      </c>
      <c r="G1137" s="41" t="n">
        <v>100.97</v>
      </c>
      <c r="H1137" s="39" t="n">
        <v>45757</v>
      </c>
      <c r="I1137" s="7" t="s">
        <v>14651</v>
      </c>
      <c r="J1137" s="8" t="str">
        <f aca="false">IF(I1137="Open",DATE(2025,12,31)-F1137,"-")</f>
        <v>-</v>
      </c>
    </row>
    <row r="1138" customFormat="false" ht="15" hidden="false" customHeight="false" outlineLevel="0" collapsed="false">
      <c r="B1138" s="7" t="s">
        <v>15783</v>
      </c>
      <c r="C1138" s="7" t="s">
        <v>1635</v>
      </c>
      <c r="D1138" s="7" t="s">
        <v>309</v>
      </c>
      <c r="E1138" s="7" t="s">
        <v>159</v>
      </c>
      <c r="F1138" s="39" t="n">
        <v>45716</v>
      </c>
      <c r="G1138" s="41" t="n">
        <v>139.05</v>
      </c>
      <c r="H1138" s="39" t="n">
        <v>45765</v>
      </c>
      <c r="I1138" s="7" t="s">
        <v>14651</v>
      </c>
      <c r="J1138" s="8" t="str">
        <f aca="false">IF(I1138="Open",DATE(2025,12,31)-F1138,"-")</f>
        <v>-</v>
      </c>
    </row>
    <row r="1139" customFormat="false" ht="15" hidden="false" customHeight="false" outlineLevel="0" collapsed="false">
      <c r="B1139" s="7" t="s">
        <v>15784</v>
      </c>
      <c r="C1139" s="7" t="s">
        <v>1636</v>
      </c>
      <c r="D1139" s="7" t="s">
        <v>313</v>
      </c>
      <c r="E1139" s="7" t="s">
        <v>156</v>
      </c>
      <c r="F1139" s="39" t="n">
        <v>45716</v>
      </c>
      <c r="G1139" s="41" t="n">
        <v>146.54</v>
      </c>
      <c r="H1139" s="39" t="n">
        <v>45734</v>
      </c>
      <c r="I1139" s="7" t="s">
        <v>14651</v>
      </c>
      <c r="J1139" s="8" t="str">
        <f aca="false">IF(I1139="Open",DATE(2025,12,31)-F1139,"-")</f>
        <v>-</v>
      </c>
    </row>
    <row r="1140" customFormat="false" ht="15" hidden="false" customHeight="false" outlineLevel="0" collapsed="false">
      <c r="B1140" s="7" t="s">
        <v>15785</v>
      </c>
      <c r="C1140" s="7" t="s">
        <v>1637</v>
      </c>
      <c r="D1140" s="7" t="s">
        <v>319</v>
      </c>
      <c r="E1140" s="7" t="s">
        <v>157</v>
      </c>
      <c r="F1140" s="39" t="n">
        <v>45716</v>
      </c>
      <c r="G1140" s="41" t="n">
        <v>145.69</v>
      </c>
      <c r="H1140" s="39" t="n">
        <v>45753</v>
      </c>
      <c r="I1140" s="7" t="s">
        <v>14651</v>
      </c>
      <c r="J1140" s="8" t="str">
        <f aca="false">IF(I1140="Open",DATE(2025,12,31)-F1140,"-")</f>
        <v>-</v>
      </c>
    </row>
    <row r="1141" customFormat="false" ht="15" hidden="false" customHeight="false" outlineLevel="0" collapsed="false">
      <c r="B1141" s="7" t="s">
        <v>15786</v>
      </c>
      <c r="C1141" s="7" t="s">
        <v>1638</v>
      </c>
      <c r="D1141" s="7" t="s">
        <v>323</v>
      </c>
      <c r="E1141" s="7" t="s">
        <v>159</v>
      </c>
      <c r="F1141" s="39" t="n">
        <v>45716</v>
      </c>
      <c r="G1141" s="41" t="n">
        <v>144.45</v>
      </c>
      <c r="H1141" s="39" t="n">
        <v>45783</v>
      </c>
      <c r="I1141" s="7" t="s">
        <v>14651</v>
      </c>
      <c r="J1141" s="8" t="str">
        <f aca="false">IF(I1141="Open",DATE(2025,12,31)-F1141,"-")</f>
        <v>-</v>
      </c>
    </row>
    <row r="1142" customFormat="false" ht="15" hidden="false" customHeight="false" outlineLevel="0" collapsed="false">
      <c r="B1142" s="7" t="s">
        <v>15787</v>
      </c>
      <c r="C1142" s="7" t="s">
        <v>1639</v>
      </c>
      <c r="D1142" s="7" t="s">
        <v>327</v>
      </c>
      <c r="E1142" s="7" t="s">
        <v>157</v>
      </c>
      <c r="F1142" s="39" t="n">
        <v>45716</v>
      </c>
      <c r="G1142" s="41" t="n">
        <v>153.45</v>
      </c>
      <c r="H1142" s="39" t="n">
        <v>45778</v>
      </c>
      <c r="I1142" s="7" t="s">
        <v>14651</v>
      </c>
      <c r="J1142" s="8" t="str">
        <f aca="false">IF(I1142="Open",DATE(2025,12,31)-F1142,"-")</f>
        <v>-</v>
      </c>
    </row>
    <row r="1143" customFormat="false" ht="15" hidden="false" customHeight="false" outlineLevel="0" collapsed="false">
      <c r="B1143" s="7" t="s">
        <v>15788</v>
      </c>
      <c r="C1143" s="7" t="s">
        <v>1640</v>
      </c>
      <c r="D1143" s="7" t="s">
        <v>329</v>
      </c>
      <c r="E1143" s="7" t="s">
        <v>156</v>
      </c>
      <c r="F1143" s="39" t="n">
        <v>45716</v>
      </c>
      <c r="G1143" s="41" t="n">
        <v>127.16</v>
      </c>
      <c r="H1143" s="39" t="n">
        <v>45718</v>
      </c>
      <c r="I1143" s="7" t="s">
        <v>14651</v>
      </c>
      <c r="J1143" s="8" t="str">
        <f aca="false">IF(I1143="Open",DATE(2025,12,31)-F1143,"-")</f>
        <v>-</v>
      </c>
    </row>
    <row r="1144" customFormat="false" ht="15" hidden="false" customHeight="false" outlineLevel="0" collapsed="false">
      <c r="B1144" s="7" t="s">
        <v>15789</v>
      </c>
      <c r="C1144" s="7" t="s">
        <v>1641</v>
      </c>
      <c r="D1144" s="7" t="s">
        <v>335</v>
      </c>
      <c r="E1144" s="7" t="s">
        <v>154</v>
      </c>
      <c r="F1144" s="39" t="n">
        <v>45716</v>
      </c>
      <c r="G1144" s="41" t="n">
        <v>115.81</v>
      </c>
      <c r="H1144" s="39" t="n">
        <v>45766</v>
      </c>
      <c r="I1144" s="7" t="s">
        <v>14651</v>
      </c>
      <c r="J1144" s="8" t="str">
        <f aca="false">IF(I1144="Open",DATE(2025,12,31)-F1144,"-")</f>
        <v>-</v>
      </c>
    </row>
    <row r="1145" customFormat="false" ht="15" hidden="false" customHeight="false" outlineLevel="0" collapsed="false">
      <c r="B1145" s="7" t="s">
        <v>15790</v>
      </c>
      <c r="C1145" s="7" t="s">
        <v>1642</v>
      </c>
      <c r="D1145" s="7" t="s">
        <v>339</v>
      </c>
      <c r="E1145" s="7" t="s">
        <v>154</v>
      </c>
      <c r="F1145" s="39" t="n">
        <v>45716</v>
      </c>
      <c r="G1145" s="41" t="n">
        <v>85.86</v>
      </c>
      <c r="H1145" s="39" t="n">
        <v>45782</v>
      </c>
      <c r="I1145" s="7" t="s">
        <v>14651</v>
      </c>
      <c r="J1145" s="8" t="str">
        <f aca="false">IF(I1145="Open",DATE(2025,12,31)-F1145,"-")</f>
        <v>-</v>
      </c>
    </row>
    <row r="1146" customFormat="false" ht="15" hidden="false" customHeight="false" outlineLevel="0" collapsed="false">
      <c r="B1146" s="7" t="s">
        <v>15791</v>
      </c>
      <c r="C1146" s="7" t="s">
        <v>1643</v>
      </c>
      <c r="D1146" s="7" t="s">
        <v>353</v>
      </c>
      <c r="E1146" s="7" t="s">
        <v>154</v>
      </c>
      <c r="F1146" s="39" t="n">
        <v>45716</v>
      </c>
      <c r="G1146" s="41" t="n">
        <v>78.15</v>
      </c>
      <c r="H1146" s="39" t="n">
        <v>45764</v>
      </c>
      <c r="I1146" s="7" t="s">
        <v>14651</v>
      </c>
      <c r="J1146" s="8" t="str">
        <f aca="false">IF(I1146="Open",DATE(2025,12,31)-F1146,"-")</f>
        <v>-</v>
      </c>
    </row>
    <row r="1147" customFormat="false" ht="15" hidden="false" customHeight="false" outlineLevel="0" collapsed="false">
      <c r="B1147" s="7" t="s">
        <v>15792</v>
      </c>
      <c r="C1147" s="7" t="s">
        <v>1644</v>
      </c>
      <c r="D1147" s="7" t="s">
        <v>355</v>
      </c>
      <c r="E1147" s="7" t="s">
        <v>154</v>
      </c>
      <c r="F1147" s="39" t="n">
        <v>45716</v>
      </c>
      <c r="G1147" s="41" t="n">
        <v>83.21</v>
      </c>
      <c r="H1147" s="39" t="n">
        <v>45773</v>
      </c>
      <c r="I1147" s="7" t="s">
        <v>14651</v>
      </c>
      <c r="J1147" s="8" t="str">
        <f aca="false">IF(I1147="Open",DATE(2025,12,31)-F1147,"-")</f>
        <v>-</v>
      </c>
    </row>
    <row r="1148" customFormat="false" ht="15" hidden="false" customHeight="false" outlineLevel="0" collapsed="false">
      <c r="B1148" s="7" t="s">
        <v>15793</v>
      </c>
      <c r="C1148" s="7" t="s">
        <v>1645</v>
      </c>
      <c r="D1148" s="7" t="s">
        <v>357</v>
      </c>
      <c r="E1148" s="7" t="s">
        <v>154</v>
      </c>
      <c r="F1148" s="39" t="n">
        <v>45716</v>
      </c>
      <c r="G1148" s="41" t="n">
        <v>85.09</v>
      </c>
      <c r="H1148" s="39" t="n">
        <v>45772</v>
      </c>
      <c r="I1148" s="7" t="s">
        <v>14651</v>
      </c>
      <c r="J1148" s="8" t="str">
        <f aca="false">IF(I1148="Open",DATE(2025,12,31)-F1148,"-")</f>
        <v>-</v>
      </c>
    </row>
    <row r="1149" customFormat="false" ht="15" hidden="false" customHeight="false" outlineLevel="0" collapsed="false">
      <c r="B1149" s="7" t="s">
        <v>15794</v>
      </c>
      <c r="C1149" s="7" t="s">
        <v>1646</v>
      </c>
      <c r="D1149" s="7" t="s">
        <v>359</v>
      </c>
      <c r="E1149" s="7" t="s">
        <v>156</v>
      </c>
      <c r="F1149" s="39" t="n">
        <v>45716</v>
      </c>
      <c r="G1149" s="41" t="n">
        <v>148.92</v>
      </c>
      <c r="H1149" s="39" t="n">
        <v>45731</v>
      </c>
      <c r="I1149" s="7" t="s">
        <v>14651</v>
      </c>
      <c r="J1149" s="8" t="str">
        <f aca="false">IF(I1149="Open",DATE(2025,12,31)-F1149,"-")</f>
        <v>-</v>
      </c>
    </row>
    <row r="1150" customFormat="false" ht="15" hidden="false" customHeight="false" outlineLevel="0" collapsed="false">
      <c r="B1150" s="7" t="s">
        <v>15795</v>
      </c>
      <c r="C1150" s="7" t="s">
        <v>1647</v>
      </c>
      <c r="D1150" s="7" t="s">
        <v>361</v>
      </c>
      <c r="E1150" s="7" t="s">
        <v>157</v>
      </c>
      <c r="F1150" s="39" t="n">
        <v>45716</v>
      </c>
      <c r="G1150" s="41" t="n">
        <v>165</v>
      </c>
      <c r="H1150" s="39" t="n">
        <v>45753</v>
      </c>
      <c r="I1150" s="7" t="s">
        <v>14651</v>
      </c>
      <c r="J1150" s="8" t="str">
        <f aca="false">IF(I1150="Open",DATE(2025,12,31)-F1150,"-")</f>
        <v>-</v>
      </c>
    </row>
    <row r="1151" customFormat="false" ht="15" hidden="false" customHeight="false" outlineLevel="0" collapsed="false">
      <c r="B1151" s="7" t="s">
        <v>15796</v>
      </c>
      <c r="C1151" s="7" t="s">
        <v>1648</v>
      </c>
      <c r="D1151" s="7" t="s">
        <v>371</v>
      </c>
      <c r="E1151" s="7" t="s">
        <v>154</v>
      </c>
      <c r="F1151" s="39" t="n">
        <v>45716</v>
      </c>
      <c r="G1151" s="41" t="n">
        <v>117.93</v>
      </c>
      <c r="H1151" s="39" t="n">
        <v>45764</v>
      </c>
      <c r="I1151" s="7" t="s">
        <v>14651</v>
      </c>
      <c r="J1151" s="8" t="str">
        <f aca="false">IF(I1151="Open",DATE(2025,12,31)-F1151,"-")</f>
        <v>-</v>
      </c>
    </row>
    <row r="1152" customFormat="false" ht="15" hidden="false" customHeight="false" outlineLevel="0" collapsed="false">
      <c r="B1152" s="7" t="s">
        <v>15797</v>
      </c>
      <c r="C1152" s="7" t="s">
        <v>1649</v>
      </c>
      <c r="D1152" s="7" t="s">
        <v>379</v>
      </c>
      <c r="E1152" s="7" t="s">
        <v>156</v>
      </c>
      <c r="F1152" s="39" t="n">
        <v>45716</v>
      </c>
      <c r="G1152" s="41" t="n">
        <v>163.54</v>
      </c>
      <c r="H1152" s="39" t="n">
        <v>45728</v>
      </c>
      <c r="I1152" s="7" t="s">
        <v>14651</v>
      </c>
      <c r="J1152" s="8" t="str">
        <f aca="false">IF(I1152="Open",DATE(2025,12,31)-F1152,"-")</f>
        <v>-</v>
      </c>
    </row>
    <row r="1153" customFormat="false" ht="15" hidden="false" customHeight="false" outlineLevel="0" collapsed="false">
      <c r="B1153" s="7" t="s">
        <v>15798</v>
      </c>
      <c r="C1153" s="7" t="s">
        <v>1650</v>
      </c>
      <c r="D1153" s="7" t="s">
        <v>381</v>
      </c>
      <c r="E1153" s="7" t="s">
        <v>157</v>
      </c>
      <c r="F1153" s="39" t="n">
        <v>45716</v>
      </c>
      <c r="G1153" s="41" t="n">
        <v>176.55</v>
      </c>
      <c r="H1153" s="39" t="n">
        <v>45743</v>
      </c>
      <c r="I1153" s="7" t="s">
        <v>14651</v>
      </c>
      <c r="J1153" s="8" t="str">
        <f aca="false">IF(I1153="Open",DATE(2025,12,31)-F1153,"-")</f>
        <v>-</v>
      </c>
    </row>
    <row r="1154" customFormat="false" ht="15" hidden="false" customHeight="false" outlineLevel="0" collapsed="false">
      <c r="B1154" s="7" t="s">
        <v>15799</v>
      </c>
      <c r="C1154" s="7" t="s">
        <v>1651</v>
      </c>
      <c r="D1154" s="7" t="s">
        <v>389</v>
      </c>
      <c r="E1154" s="7" t="s">
        <v>154</v>
      </c>
      <c r="F1154" s="39" t="n">
        <v>45716</v>
      </c>
      <c r="G1154" s="41" t="n">
        <v>114.75</v>
      </c>
      <c r="H1154" s="39" t="n">
        <v>45759</v>
      </c>
      <c r="I1154" s="7" t="s">
        <v>14651</v>
      </c>
      <c r="J1154" s="8" t="str">
        <f aca="false">IF(I1154="Open",DATE(2025,12,31)-F1154,"-")</f>
        <v>-</v>
      </c>
    </row>
    <row r="1155" customFormat="false" ht="15" hidden="false" customHeight="false" outlineLevel="0" collapsed="false">
      <c r="B1155" s="7" t="s">
        <v>15800</v>
      </c>
      <c r="C1155" s="7" t="s">
        <v>1652</v>
      </c>
      <c r="D1155" s="7" t="s">
        <v>391</v>
      </c>
      <c r="E1155" s="7" t="s">
        <v>156</v>
      </c>
      <c r="F1155" s="39" t="n">
        <v>45716</v>
      </c>
      <c r="G1155" s="41" t="n">
        <v>145.86</v>
      </c>
      <c r="H1155" s="39" t="n">
        <v>45733</v>
      </c>
      <c r="I1155" s="7" t="s">
        <v>14651</v>
      </c>
      <c r="J1155" s="8" t="str">
        <f aca="false">IF(I1155="Open",DATE(2025,12,31)-F1155,"-")</f>
        <v>-</v>
      </c>
    </row>
    <row r="1156" customFormat="false" ht="15" hidden="false" customHeight="false" outlineLevel="0" collapsed="false">
      <c r="B1156" s="7" t="s">
        <v>15801</v>
      </c>
      <c r="C1156" s="7" t="s">
        <v>1653</v>
      </c>
      <c r="D1156" s="7" t="s">
        <v>395</v>
      </c>
      <c r="E1156" s="7" t="s">
        <v>156</v>
      </c>
      <c r="F1156" s="39" t="n">
        <v>45716</v>
      </c>
      <c r="G1156" s="41" t="n">
        <v>138.72</v>
      </c>
      <c r="H1156" s="39" t="n">
        <v>45719</v>
      </c>
      <c r="I1156" s="7" t="s">
        <v>14651</v>
      </c>
      <c r="J1156" s="8" t="str">
        <f aca="false">IF(I1156="Open",DATE(2025,12,31)-F1156,"-")</f>
        <v>-</v>
      </c>
    </row>
    <row r="1157" customFormat="false" ht="15" hidden="false" customHeight="false" outlineLevel="0" collapsed="false">
      <c r="B1157" s="7" t="s">
        <v>15802</v>
      </c>
      <c r="C1157" s="7" t="s">
        <v>1654</v>
      </c>
      <c r="D1157" s="7" t="s">
        <v>397</v>
      </c>
      <c r="E1157" s="7" t="s">
        <v>159</v>
      </c>
      <c r="F1157" s="39" t="n">
        <v>45716</v>
      </c>
      <c r="G1157" s="41" t="n">
        <v>125.55</v>
      </c>
      <c r="H1157" s="39" t="n">
        <v>45788</v>
      </c>
      <c r="I1157" s="7" t="s">
        <v>14651</v>
      </c>
      <c r="J1157" s="8" t="str">
        <f aca="false">IF(I1157="Open",DATE(2025,12,31)-F1157,"-")</f>
        <v>-</v>
      </c>
    </row>
    <row r="1158" customFormat="false" ht="15" hidden="false" customHeight="false" outlineLevel="0" collapsed="false">
      <c r="B1158" s="7" t="s">
        <v>15803</v>
      </c>
      <c r="C1158" s="7" t="s">
        <v>1655</v>
      </c>
      <c r="D1158" s="7" t="s">
        <v>399</v>
      </c>
      <c r="E1158" s="7" t="s">
        <v>154</v>
      </c>
      <c r="F1158" s="39" t="n">
        <v>45716</v>
      </c>
      <c r="G1158" s="41" t="n">
        <v>83.21</v>
      </c>
      <c r="H1158" s="39" t="n">
        <v>45794</v>
      </c>
      <c r="I1158" s="7" t="s">
        <v>14651</v>
      </c>
      <c r="J1158" s="8" t="str">
        <f aca="false">IF(I1158="Open",DATE(2025,12,31)-F1158,"-")</f>
        <v>-</v>
      </c>
    </row>
    <row r="1159" customFormat="false" ht="15" hidden="false" customHeight="false" outlineLevel="0" collapsed="false">
      <c r="B1159" s="7" t="s">
        <v>15804</v>
      </c>
      <c r="C1159" s="7" t="s">
        <v>1656</v>
      </c>
      <c r="D1159" s="7" t="s">
        <v>401</v>
      </c>
      <c r="E1159" s="7" t="s">
        <v>156</v>
      </c>
      <c r="F1159" s="39" t="n">
        <v>45716</v>
      </c>
      <c r="G1159" s="41" t="n">
        <v>141.78</v>
      </c>
      <c r="H1159" s="39" t="n">
        <v>45725</v>
      </c>
      <c r="I1159" s="7" t="s">
        <v>14651</v>
      </c>
      <c r="J1159" s="8" t="str">
        <f aca="false">IF(I1159="Open",DATE(2025,12,31)-F1159,"-")</f>
        <v>-</v>
      </c>
    </row>
    <row r="1160" customFormat="false" ht="15" hidden="false" customHeight="false" outlineLevel="0" collapsed="false">
      <c r="B1160" s="7" t="s">
        <v>15805</v>
      </c>
      <c r="C1160" s="7" t="s">
        <v>1657</v>
      </c>
      <c r="D1160" s="7" t="s">
        <v>407</v>
      </c>
      <c r="E1160" s="7" t="s">
        <v>159</v>
      </c>
      <c r="F1160" s="39" t="n">
        <v>45716</v>
      </c>
      <c r="G1160" s="41" t="n">
        <v>143.1</v>
      </c>
      <c r="H1160" s="39" t="n">
        <v>45781</v>
      </c>
      <c r="I1160" s="7" t="s">
        <v>14651</v>
      </c>
      <c r="J1160" s="8" t="str">
        <f aca="false">IF(I1160="Open",DATE(2025,12,31)-F1160,"-")</f>
        <v>-</v>
      </c>
    </row>
    <row r="1161" customFormat="false" ht="15" hidden="false" customHeight="false" outlineLevel="0" collapsed="false">
      <c r="B1161" s="7" t="s">
        <v>15806</v>
      </c>
      <c r="C1161" s="7" t="s">
        <v>1658</v>
      </c>
      <c r="D1161" s="7" t="s">
        <v>409</v>
      </c>
      <c r="E1161" s="7" t="s">
        <v>154</v>
      </c>
      <c r="F1161" s="39" t="n">
        <v>45716</v>
      </c>
      <c r="G1161" s="41" t="n">
        <v>87.98</v>
      </c>
      <c r="H1161" s="39" t="n">
        <v>45792</v>
      </c>
      <c r="I1161" s="7" t="s">
        <v>14651</v>
      </c>
      <c r="J1161" s="8" t="str">
        <f aca="false">IF(I1161="Open",DATE(2025,12,31)-F1161,"-")</f>
        <v>-</v>
      </c>
    </row>
    <row r="1162" customFormat="false" ht="15" hidden="false" customHeight="false" outlineLevel="0" collapsed="false">
      <c r="B1162" s="7" t="s">
        <v>15807</v>
      </c>
      <c r="C1162" s="7" t="s">
        <v>1659</v>
      </c>
      <c r="D1162" s="7" t="s">
        <v>288</v>
      </c>
      <c r="E1162" s="7" t="s">
        <v>156</v>
      </c>
      <c r="F1162" s="39" t="n">
        <v>45717</v>
      </c>
      <c r="G1162" s="41" t="n">
        <v>125.8</v>
      </c>
      <c r="H1162" s="39" t="n">
        <v>45738</v>
      </c>
      <c r="I1162" s="7" t="s">
        <v>14651</v>
      </c>
      <c r="J1162" s="8" t="str">
        <f aca="false">IF(I1162="Open",DATE(2025,12,31)-F1162,"-")</f>
        <v>-</v>
      </c>
    </row>
    <row r="1163" customFormat="false" ht="15" hidden="false" customHeight="false" outlineLevel="0" collapsed="false">
      <c r="B1163" s="7" t="s">
        <v>15808</v>
      </c>
      <c r="C1163" s="7" t="s">
        <v>1660</v>
      </c>
      <c r="D1163" s="7" t="s">
        <v>321</v>
      </c>
      <c r="E1163" s="7" t="s">
        <v>154</v>
      </c>
      <c r="F1163" s="39" t="n">
        <v>45717</v>
      </c>
      <c r="G1163" s="41" t="n">
        <v>103.09</v>
      </c>
      <c r="H1163" s="39" t="n">
        <v>45834</v>
      </c>
      <c r="I1163" s="7" t="s">
        <v>14651</v>
      </c>
      <c r="J1163" s="8" t="str">
        <f aca="false">IF(I1163="Open",DATE(2025,12,31)-F1163,"-")</f>
        <v>-</v>
      </c>
    </row>
    <row r="1164" customFormat="false" ht="15" hidden="false" customHeight="false" outlineLevel="0" collapsed="false">
      <c r="B1164" s="7" t="s">
        <v>15809</v>
      </c>
      <c r="C1164" s="7" t="s">
        <v>1661</v>
      </c>
      <c r="D1164" s="7" t="s">
        <v>359</v>
      </c>
      <c r="E1164" s="7" t="s">
        <v>156</v>
      </c>
      <c r="F1164" s="39" t="n">
        <v>45717</v>
      </c>
      <c r="G1164" s="41" t="n">
        <v>126.82</v>
      </c>
      <c r="H1164" s="39" t="n">
        <v>45727</v>
      </c>
      <c r="I1164" s="7" t="s">
        <v>14651</v>
      </c>
      <c r="J1164" s="8" t="str">
        <f aca="false">IF(I1164="Open",DATE(2025,12,31)-F1164,"-")</f>
        <v>-</v>
      </c>
    </row>
    <row r="1165" customFormat="false" ht="15" hidden="false" customHeight="false" outlineLevel="0" collapsed="false">
      <c r="B1165" s="7" t="s">
        <v>15810</v>
      </c>
      <c r="C1165" s="7" t="s">
        <v>1662</v>
      </c>
      <c r="D1165" s="7" t="s">
        <v>391</v>
      </c>
      <c r="E1165" s="7" t="s">
        <v>156</v>
      </c>
      <c r="F1165" s="39" t="n">
        <v>45717</v>
      </c>
      <c r="G1165" s="41" t="n">
        <v>133.28</v>
      </c>
      <c r="H1165" s="39" t="n">
        <v>45731</v>
      </c>
      <c r="I1165" s="7" t="s">
        <v>14651</v>
      </c>
      <c r="J1165" s="8" t="str">
        <f aca="false">IF(I1165="Open",DATE(2025,12,31)-F1165,"-")</f>
        <v>-</v>
      </c>
    </row>
    <row r="1166" customFormat="false" ht="15" hidden="false" customHeight="false" outlineLevel="0" collapsed="false">
      <c r="B1166" s="7" t="s">
        <v>15811</v>
      </c>
      <c r="C1166" s="7" t="s">
        <v>1663</v>
      </c>
      <c r="D1166" s="7" t="s">
        <v>395</v>
      </c>
      <c r="E1166" s="7" t="s">
        <v>156</v>
      </c>
      <c r="F1166" s="39" t="n">
        <v>45717</v>
      </c>
      <c r="G1166" s="41" t="n">
        <v>146.2</v>
      </c>
      <c r="H1166" s="39" t="n">
        <v>45727</v>
      </c>
      <c r="I1166" s="7" t="s">
        <v>14651</v>
      </c>
      <c r="J1166" s="8" t="str">
        <f aca="false">IF(I1166="Open",DATE(2025,12,31)-F1166,"-")</f>
        <v>-</v>
      </c>
    </row>
    <row r="1167" customFormat="false" ht="15" hidden="false" customHeight="false" outlineLevel="0" collapsed="false">
      <c r="B1167" s="7" t="s">
        <v>15812</v>
      </c>
      <c r="C1167" s="7" t="s">
        <v>1664</v>
      </c>
      <c r="D1167" s="7" t="s">
        <v>401</v>
      </c>
      <c r="E1167" s="7" t="s">
        <v>156</v>
      </c>
      <c r="F1167" s="39" t="n">
        <v>45717</v>
      </c>
      <c r="G1167" s="41" t="n">
        <v>148.24</v>
      </c>
      <c r="H1167" s="39" t="n">
        <v>45730</v>
      </c>
      <c r="I1167" s="7" t="s">
        <v>14651</v>
      </c>
      <c r="J1167" s="8" t="str">
        <f aca="false">IF(I1167="Open",DATE(2025,12,31)-F1167,"-")</f>
        <v>-</v>
      </c>
    </row>
    <row r="1168" customFormat="false" ht="15" hidden="false" customHeight="false" outlineLevel="0" collapsed="false">
      <c r="B1168" s="7" t="s">
        <v>15813</v>
      </c>
      <c r="C1168" s="7" t="s">
        <v>1665</v>
      </c>
      <c r="D1168" s="7" t="s">
        <v>288</v>
      </c>
      <c r="E1168" s="7" t="s">
        <v>156</v>
      </c>
      <c r="F1168" s="39" t="n">
        <v>45718</v>
      </c>
      <c r="G1168" s="41" t="n">
        <v>135.32</v>
      </c>
      <c r="H1168" s="39" t="n">
        <v>45728</v>
      </c>
      <c r="I1168" s="7" t="s">
        <v>14651</v>
      </c>
      <c r="J1168" s="8" t="str">
        <f aca="false">IF(I1168="Open",DATE(2025,12,31)-F1168,"-")</f>
        <v>-</v>
      </c>
    </row>
    <row r="1169" customFormat="false" ht="15" hidden="false" customHeight="false" outlineLevel="0" collapsed="false">
      <c r="B1169" s="7" t="s">
        <v>15814</v>
      </c>
      <c r="C1169" s="7" t="s">
        <v>1666</v>
      </c>
      <c r="D1169" s="7" t="s">
        <v>321</v>
      </c>
      <c r="E1169" s="7" t="s">
        <v>154</v>
      </c>
      <c r="F1169" s="39" t="n">
        <v>45718</v>
      </c>
      <c r="G1169" s="41" t="n">
        <v>104.15</v>
      </c>
      <c r="H1169" s="39" t="n">
        <v>45764</v>
      </c>
      <c r="I1169" s="7" t="s">
        <v>14651</v>
      </c>
      <c r="J1169" s="8" t="str">
        <f aca="false">IF(I1169="Open",DATE(2025,12,31)-F1169,"-")</f>
        <v>-</v>
      </c>
    </row>
    <row r="1170" customFormat="false" ht="15" hidden="false" customHeight="false" outlineLevel="0" collapsed="false">
      <c r="B1170" s="7" t="s">
        <v>15815</v>
      </c>
      <c r="C1170" s="7" t="s">
        <v>1667</v>
      </c>
      <c r="D1170" s="7" t="s">
        <v>359</v>
      </c>
      <c r="E1170" s="7" t="s">
        <v>156</v>
      </c>
      <c r="F1170" s="39" t="n">
        <v>45718</v>
      </c>
      <c r="G1170" s="41" t="n">
        <v>143.14</v>
      </c>
      <c r="H1170" s="39" t="n">
        <v>45720</v>
      </c>
      <c r="I1170" s="7" t="s">
        <v>14651</v>
      </c>
      <c r="J1170" s="8" t="str">
        <f aca="false">IF(I1170="Open",DATE(2025,12,31)-F1170,"-")</f>
        <v>-</v>
      </c>
    </row>
    <row r="1171" customFormat="false" ht="15" hidden="false" customHeight="false" outlineLevel="0" collapsed="false">
      <c r="B1171" s="7" t="s">
        <v>15816</v>
      </c>
      <c r="C1171" s="7" t="s">
        <v>1668</v>
      </c>
      <c r="D1171" s="7" t="s">
        <v>391</v>
      </c>
      <c r="E1171" s="7" t="s">
        <v>156</v>
      </c>
      <c r="F1171" s="39" t="n">
        <v>45718</v>
      </c>
      <c r="G1171" s="41" t="n">
        <v>126.82</v>
      </c>
      <c r="H1171" s="39" t="n">
        <v>45731</v>
      </c>
      <c r="I1171" s="7" t="s">
        <v>14651</v>
      </c>
      <c r="J1171" s="8" t="str">
        <f aca="false">IF(I1171="Open",DATE(2025,12,31)-F1171,"-")</f>
        <v>-</v>
      </c>
    </row>
    <row r="1172" customFormat="false" ht="15" hidden="false" customHeight="false" outlineLevel="0" collapsed="false">
      <c r="B1172" s="7" t="s">
        <v>15817</v>
      </c>
      <c r="C1172" s="7" t="s">
        <v>1669</v>
      </c>
      <c r="D1172" s="7" t="s">
        <v>395</v>
      </c>
      <c r="E1172" s="7" t="s">
        <v>156</v>
      </c>
      <c r="F1172" s="39" t="n">
        <v>45718</v>
      </c>
      <c r="G1172" s="41" t="n">
        <v>138.72</v>
      </c>
      <c r="H1172" s="39" t="n">
        <v>45731</v>
      </c>
      <c r="I1172" s="7" t="s">
        <v>14651</v>
      </c>
      <c r="J1172" s="8" t="str">
        <f aca="false">IF(I1172="Open",DATE(2025,12,31)-F1172,"-")</f>
        <v>-</v>
      </c>
    </row>
    <row r="1173" customFormat="false" ht="15" hidden="false" customHeight="false" outlineLevel="0" collapsed="false">
      <c r="B1173" s="7" t="s">
        <v>15818</v>
      </c>
      <c r="C1173" s="7" t="s">
        <v>1670</v>
      </c>
      <c r="D1173" s="7" t="s">
        <v>280</v>
      </c>
      <c r="E1173" s="7" t="s">
        <v>157</v>
      </c>
      <c r="F1173" s="39" t="n">
        <v>45719</v>
      </c>
      <c r="G1173" s="41" t="n">
        <v>176.55</v>
      </c>
      <c r="H1173" s="39" t="n">
        <v>45780</v>
      </c>
      <c r="I1173" s="7" t="s">
        <v>14651</v>
      </c>
      <c r="J1173" s="8" t="str">
        <f aca="false">IF(I1173="Open",DATE(2025,12,31)-F1173,"-")</f>
        <v>-</v>
      </c>
    </row>
    <row r="1174" customFormat="false" ht="15" hidden="false" customHeight="false" outlineLevel="0" collapsed="false">
      <c r="B1174" s="7" t="s">
        <v>15819</v>
      </c>
      <c r="C1174" s="7" t="s">
        <v>1671</v>
      </c>
      <c r="D1174" s="7" t="s">
        <v>288</v>
      </c>
      <c r="E1174" s="7" t="s">
        <v>156</v>
      </c>
      <c r="F1174" s="39" t="n">
        <v>45719</v>
      </c>
      <c r="G1174" s="41" t="n">
        <v>126.48</v>
      </c>
      <c r="H1174" s="39" t="n">
        <v>45725</v>
      </c>
      <c r="I1174" s="7" t="s">
        <v>14651</v>
      </c>
      <c r="J1174" s="8" t="str">
        <f aca="false">IF(I1174="Open",DATE(2025,12,31)-F1174,"-")</f>
        <v>-</v>
      </c>
    </row>
    <row r="1175" customFormat="false" ht="15" hidden="false" customHeight="false" outlineLevel="0" collapsed="false">
      <c r="B1175" s="7" t="s">
        <v>15820</v>
      </c>
      <c r="C1175" s="7" t="s">
        <v>1672</v>
      </c>
      <c r="D1175" s="7" t="s">
        <v>291</v>
      </c>
      <c r="E1175" s="7" t="s">
        <v>154</v>
      </c>
      <c r="F1175" s="39" t="n">
        <v>45719</v>
      </c>
      <c r="G1175" s="41" t="n">
        <v>126.4</v>
      </c>
      <c r="H1175" s="39" t="n">
        <v>45780</v>
      </c>
      <c r="I1175" s="7" t="s">
        <v>14651</v>
      </c>
      <c r="J1175" s="8" t="str">
        <f aca="false">IF(I1175="Open",DATE(2025,12,31)-F1175,"-")</f>
        <v>-</v>
      </c>
    </row>
    <row r="1176" customFormat="false" ht="15" hidden="false" customHeight="false" outlineLevel="0" collapsed="false">
      <c r="B1176" s="7" t="s">
        <v>15821</v>
      </c>
      <c r="C1176" s="7" t="s">
        <v>1673</v>
      </c>
      <c r="D1176" s="7" t="s">
        <v>297</v>
      </c>
      <c r="E1176" s="7" t="s">
        <v>156</v>
      </c>
      <c r="F1176" s="39" t="n">
        <v>45719</v>
      </c>
      <c r="G1176" s="41" t="n">
        <v>102</v>
      </c>
      <c r="H1176" s="39" t="n">
        <v>45736</v>
      </c>
      <c r="I1176" s="7" t="s">
        <v>14651</v>
      </c>
      <c r="J1176" s="8" t="str">
        <f aca="false">IF(I1176="Open",DATE(2025,12,31)-F1176,"-")</f>
        <v>-</v>
      </c>
    </row>
    <row r="1177" customFormat="false" ht="15" hidden="false" customHeight="false" outlineLevel="0" collapsed="false">
      <c r="B1177" s="7" t="s">
        <v>15822</v>
      </c>
      <c r="C1177" s="7" t="s">
        <v>1674</v>
      </c>
      <c r="D1177" s="7" t="s">
        <v>305</v>
      </c>
      <c r="E1177" s="7" t="s">
        <v>154</v>
      </c>
      <c r="F1177" s="39" t="n">
        <v>45719</v>
      </c>
      <c r="G1177" s="41" t="n">
        <v>98.05</v>
      </c>
      <c r="H1177" s="39" t="n">
        <v>45792</v>
      </c>
      <c r="I1177" s="7" t="s">
        <v>14651</v>
      </c>
      <c r="J1177" s="8" t="str">
        <f aca="false">IF(I1177="Open",DATE(2025,12,31)-F1177,"-")</f>
        <v>-</v>
      </c>
    </row>
    <row r="1178" customFormat="false" ht="15" hidden="false" customHeight="false" outlineLevel="0" collapsed="false">
      <c r="B1178" s="7" t="s">
        <v>15823</v>
      </c>
      <c r="C1178" s="7" t="s">
        <v>1675</v>
      </c>
      <c r="D1178" s="7" t="s">
        <v>309</v>
      </c>
      <c r="E1178" s="7" t="s">
        <v>159</v>
      </c>
      <c r="F1178" s="39" t="n">
        <v>45719</v>
      </c>
      <c r="G1178" s="41" t="n">
        <v>145.8</v>
      </c>
      <c r="H1178" s="39" t="n">
        <v>45795</v>
      </c>
      <c r="I1178" s="7" t="s">
        <v>14651</v>
      </c>
      <c r="J1178" s="8" t="str">
        <f aca="false">IF(I1178="Open",DATE(2025,12,31)-F1178,"-")</f>
        <v>-</v>
      </c>
    </row>
    <row r="1179" customFormat="false" ht="15" hidden="false" customHeight="false" outlineLevel="0" collapsed="false">
      <c r="B1179" s="7" t="s">
        <v>15824</v>
      </c>
      <c r="C1179" s="7" t="s">
        <v>1676</v>
      </c>
      <c r="D1179" s="7" t="s">
        <v>311</v>
      </c>
      <c r="E1179" s="7" t="s">
        <v>154</v>
      </c>
      <c r="F1179" s="39" t="n">
        <v>45719</v>
      </c>
      <c r="G1179" s="41" t="n">
        <v>77.38</v>
      </c>
      <c r="H1179" s="39" t="n">
        <v>45750</v>
      </c>
      <c r="I1179" s="7" t="s">
        <v>14651</v>
      </c>
      <c r="J1179" s="8" t="str">
        <f aca="false">IF(I1179="Open",DATE(2025,12,31)-F1179,"-")</f>
        <v>-</v>
      </c>
    </row>
    <row r="1180" customFormat="false" ht="15" hidden="false" customHeight="false" outlineLevel="0" collapsed="false">
      <c r="B1180" s="7" t="s">
        <v>15825</v>
      </c>
      <c r="C1180" s="7" t="s">
        <v>1677</v>
      </c>
      <c r="D1180" s="7" t="s">
        <v>313</v>
      </c>
      <c r="E1180" s="7" t="s">
        <v>156</v>
      </c>
      <c r="F1180" s="39" t="n">
        <v>45719</v>
      </c>
      <c r="G1180" s="41" t="n">
        <v>136.68</v>
      </c>
      <c r="H1180" s="39" t="n">
        <v>45727</v>
      </c>
      <c r="I1180" s="7" t="s">
        <v>14651</v>
      </c>
      <c r="J1180" s="8" t="str">
        <f aca="false">IF(I1180="Open",DATE(2025,12,31)-F1180,"-")</f>
        <v>-</v>
      </c>
    </row>
    <row r="1181" customFormat="false" ht="15" hidden="false" customHeight="false" outlineLevel="0" collapsed="false">
      <c r="B1181" s="7" t="s">
        <v>15826</v>
      </c>
      <c r="C1181" s="7" t="s">
        <v>1678</v>
      </c>
      <c r="D1181" s="7" t="s">
        <v>317</v>
      </c>
      <c r="E1181" s="7" t="s">
        <v>156</v>
      </c>
      <c r="F1181" s="39" t="n">
        <v>45719</v>
      </c>
      <c r="G1181" s="41" t="n">
        <v>107.78</v>
      </c>
      <c r="H1181" s="39" t="n">
        <v>45726</v>
      </c>
      <c r="I1181" s="7" t="s">
        <v>14651</v>
      </c>
      <c r="J1181" s="8" t="str">
        <f aca="false">IF(I1181="Open",DATE(2025,12,31)-F1181,"-")</f>
        <v>-</v>
      </c>
    </row>
    <row r="1182" customFormat="false" ht="15" hidden="false" customHeight="false" outlineLevel="0" collapsed="false">
      <c r="B1182" s="7" t="s">
        <v>15827</v>
      </c>
      <c r="C1182" s="7" t="s">
        <v>1679</v>
      </c>
      <c r="D1182" s="7" t="s">
        <v>321</v>
      </c>
      <c r="E1182" s="7" t="s">
        <v>154</v>
      </c>
      <c r="F1182" s="39" t="n">
        <v>45719</v>
      </c>
      <c r="G1182" s="41" t="n">
        <v>111.04</v>
      </c>
      <c r="H1182" s="39" t="n">
        <v>45820</v>
      </c>
      <c r="I1182" s="7" t="s">
        <v>14651</v>
      </c>
      <c r="J1182" s="8" t="str">
        <f aca="false">IF(I1182="Open",DATE(2025,12,31)-F1182,"-")</f>
        <v>-</v>
      </c>
    </row>
    <row r="1183" customFormat="false" ht="15" hidden="false" customHeight="false" outlineLevel="0" collapsed="false">
      <c r="B1183" s="7" t="s">
        <v>15828</v>
      </c>
      <c r="C1183" s="7" t="s">
        <v>1680</v>
      </c>
      <c r="D1183" s="7" t="s">
        <v>325</v>
      </c>
      <c r="E1183" s="7" t="s">
        <v>154</v>
      </c>
      <c r="F1183" s="39" t="n">
        <v>45719</v>
      </c>
      <c r="G1183" s="41" t="n">
        <v>73.14</v>
      </c>
      <c r="H1183" s="39" t="n">
        <v>45812</v>
      </c>
      <c r="I1183" s="7" t="s">
        <v>14651</v>
      </c>
      <c r="J1183" s="8" t="str">
        <f aca="false">IF(I1183="Open",DATE(2025,12,31)-F1183,"-")</f>
        <v>-</v>
      </c>
    </row>
    <row r="1184" customFormat="false" ht="15" hidden="false" customHeight="false" outlineLevel="0" collapsed="false">
      <c r="B1184" s="7" t="s">
        <v>15829</v>
      </c>
      <c r="C1184" s="7" t="s">
        <v>1681</v>
      </c>
      <c r="D1184" s="7" t="s">
        <v>329</v>
      </c>
      <c r="E1184" s="7" t="s">
        <v>156</v>
      </c>
      <c r="F1184" s="39" t="n">
        <v>45719</v>
      </c>
      <c r="G1184" s="41" t="n">
        <v>128.86</v>
      </c>
      <c r="H1184" s="39" t="n">
        <v>45730</v>
      </c>
      <c r="I1184" s="7" t="s">
        <v>14651</v>
      </c>
      <c r="J1184" s="8" t="str">
        <f aca="false">IF(I1184="Open",DATE(2025,12,31)-F1184,"-")</f>
        <v>-</v>
      </c>
    </row>
    <row r="1185" customFormat="false" ht="15" hidden="false" customHeight="false" outlineLevel="0" collapsed="false">
      <c r="B1185" s="7" t="s">
        <v>15830</v>
      </c>
      <c r="C1185" s="7" t="s">
        <v>1682</v>
      </c>
      <c r="D1185" s="7" t="s">
        <v>331</v>
      </c>
      <c r="E1185" s="7" t="s">
        <v>156</v>
      </c>
      <c r="F1185" s="39" t="n">
        <v>45719</v>
      </c>
      <c r="G1185" s="41" t="n">
        <v>146.2</v>
      </c>
      <c r="H1185" s="39" t="n">
        <v>45725</v>
      </c>
      <c r="I1185" s="7" t="s">
        <v>14651</v>
      </c>
      <c r="J1185" s="8" t="str">
        <f aca="false">IF(I1185="Open",DATE(2025,12,31)-F1185,"-")</f>
        <v>-</v>
      </c>
    </row>
    <row r="1186" customFormat="false" ht="15" hidden="false" customHeight="false" outlineLevel="0" collapsed="false">
      <c r="B1186" s="7" t="s">
        <v>15831</v>
      </c>
      <c r="C1186" s="7" t="s">
        <v>1683</v>
      </c>
      <c r="D1186" s="7" t="s">
        <v>335</v>
      </c>
      <c r="E1186" s="7" t="s">
        <v>154</v>
      </c>
      <c r="F1186" s="39" t="n">
        <v>45719</v>
      </c>
      <c r="G1186" s="41" t="n">
        <v>110.5</v>
      </c>
      <c r="H1186" s="39" t="n">
        <v>45752</v>
      </c>
      <c r="I1186" s="7" t="s">
        <v>14651</v>
      </c>
      <c r="J1186" s="8" t="str">
        <f aca="false">IF(I1186="Open",DATE(2025,12,31)-F1186,"-")</f>
        <v>-</v>
      </c>
    </row>
    <row r="1187" customFormat="false" ht="15" hidden="false" customHeight="false" outlineLevel="0" collapsed="false">
      <c r="B1187" s="7" t="s">
        <v>15832</v>
      </c>
      <c r="C1187" s="7" t="s">
        <v>1684</v>
      </c>
      <c r="D1187" s="7" t="s">
        <v>339</v>
      </c>
      <c r="E1187" s="7" t="s">
        <v>154</v>
      </c>
      <c r="F1187" s="39" t="n">
        <v>45719</v>
      </c>
      <c r="G1187" s="41" t="n">
        <v>83.21</v>
      </c>
      <c r="H1187" s="39" t="n">
        <v>45781</v>
      </c>
      <c r="I1187" s="7" t="s">
        <v>14651</v>
      </c>
      <c r="J1187" s="8" t="str">
        <f aca="false">IF(I1187="Open",DATE(2025,12,31)-F1187,"-")</f>
        <v>-</v>
      </c>
    </row>
    <row r="1188" customFormat="false" ht="15" hidden="false" customHeight="false" outlineLevel="0" collapsed="false">
      <c r="B1188" s="7" t="s">
        <v>15833</v>
      </c>
      <c r="C1188" s="7" t="s">
        <v>1685</v>
      </c>
      <c r="D1188" s="7" t="s">
        <v>341</v>
      </c>
      <c r="E1188" s="7" t="s">
        <v>156</v>
      </c>
      <c r="F1188" s="39" t="n">
        <v>45719</v>
      </c>
      <c r="G1188" s="41" t="n">
        <v>93.84</v>
      </c>
      <c r="H1188" s="39" t="n">
        <v>45736</v>
      </c>
      <c r="I1188" s="7" t="s">
        <v>14651</v>
      </c>
      <c r="J1188" s="8" t="str">
        <f aca="false">IF(I1188="Open",DATE(2025,12,31)-F1188,"-")</f>
        <v>-</v>
      </c>
    </row>
    <row r="1189" customFormat="false" ht="15" hidden="false" customHeight="false" outlineLevel="0" collapsed="false">
      <c r="B1189" s="7" t="s">
        <v>15834</v>
      </c>
      <c r="C1189" s="7" t="s">
        <v>1686</v>
      </c>
      <c r="D1189" s="7" t="s">
        <v>343</v>
      </c>
      <c r="E1189" s="7" t="s">
        <v>154</v>
      </c>
      <c r="F1189" s="39" t="n">
        <v>45719</v>
      </c>
      <c r="G1189" s="41" t="n">
        <v>100.97</v>
      </c>
      <c r="H1189" s="39" t="n">
        <v>45754</v>
      </c>
      <c r="I1189" s="7" t="s">
        <v>14651</v>
      </c>
      <c r="J1189" s="8" t="str">
        <f aca="false">IF(I1189="Open",DATE(2025,12,31)-F1189,"-")</f>
        <v>-</v>
      </c>
    </row>
    <row r="1190" customFormat="false" ht="15" hidden="false" customHeight="false" outlineLevel="0" collapsed="false">
      <c r="B1190" s="7" t="s">
        <v>15835</v>
      </c>
      <c r="C1190" s="7" t="s">
        <v>1687</v>
      </c>
      <c r="D1190" s="7" t="s">
        <v>353</v>
      </c>
      <c r="E1190" s="7" t="s">
        <v>154</v>
      </c>
      <c r="F1190" s="39" t="n">
        <v>45719</v>
      </c>
      <c r="G1190" s="41" t="n">
        <v>90.37</v>
      </c>
      <c r="H1190" s="39" t="n">
        <v>45825</v>
      </c>
      <c r="I1190" s="7" t="s">
        <v>14651</v>
      </c>
      <c r="J1190" s="8" t="str">
        <f aca="false">IF(I1190="Open",DATE(2025,12,31)-F1190,"-")</f>
        <v>-</v>
      </c>
    </row>
    <row r="1191" customFormat="false" ht="15" hidden="false" customHeight="false" outlineLevel="0" collapsed="false">
      <c r="B1191" s="7" t="s">
        <v>15836</v>
      </c>
      <c r="C1191" s="7" t="s">
        <v>1688</v>
      </c>
      <c r="D1191" s="7" t="s">
        <v>355</v>
      </c>
      <c r="E1191" s="7" t="s">
        <v>154</v>
      </c>
      <c r="F1191" s="39" t="n">
        <v>45719</v>
      </c>
      <c r="G1191" s="41" t="n">
        <v>83.21</v>
      </c>
      <c r="H1191" s="39" t="n">
        <v>45764</v>
      </c>
      <c r="I1191" s="7" t="s">
        <v>14651</v>
      </c>
      <c r="J1191" s="8" t="str">
        <f aca="false">IF(I1191="Open",DATE(2025,12,31)-F1191,"-")</f>
        <v>-</v>
      </c>
    </row>
    <row r="1192" customFormat="false" ht="15" hidden="false" customHeight="false" outlineLevel="0" collapsed="false">
      <c r="B1192" s="7" t="s">
        <v>15837</v>
      </c>
      <c r="C1192" s="7" t="s">
        <v>1689</v>
      </c>
      <c r="D1192" s="7" t="s">
        <v>357</v>
      </c>
      <c r="E1192" s="7" t="s">
        <v>154</v>
      </c>
      <c r="F1192" s="39" t="n">
        <v>45719</v>
      </c>
      <c r="G1192" s="41" t="n">
        <v>82.68</v>
      </c>
      <c r="H1192" s="39" t="n">
        <v>45755</v>
      </c>
      <c r="I1192" s="7" t="s">
        <v>14651</v>
      </c>
      <c r="J1192" s="8" t="str">
        <f aca="false">IF(I1192="Open",DATE(2025,12,31)-F1192,"-")</f>
        <v>-</v>
      </c>
    </row>
    <row r="1193" customFormat="false" ht="15" hidden="false" customHeight="false" outlineLevel="0" collapsed="false">
      <c r="B1193" s="7" t="s">
        <v>15838</v>
      </c>
      <c r="C1193" s="7" t="s">
        <v>1690</v>
      </c>
      <c r="D1193" s="7" t="s">
        <v>359</v>
      </c>
      <c r="E1193" s="7" t="s">
        <v>156</v>
      </c>
      <c r="F1193" s="39" t="n">
        <v>45719</v>
      </c>
      <c r="G1193" s="41" t="n">
        <v>149.26</v>
      </c>
      <c r="H1193" s="39" t="n">
        <v>45731</v>
      </c>
      <c r="I1193" s="7" t="s">
        <v>14651</v>
      </c>
      <c r="J1193" s="8" t="str">
        <f aca="false">IF(I1193="Open",DATE(2025,12,31)-F1193,"-")</f>
        <v>-</v>
      </c>
    </row>
    <row r="1194" customFormat="false" ht="15" hidden="false" customHeight="false" outlineLevel="0" collapsed="false">
      <c r="B1194" s="7" t="s">
        <v>15839</v>
      </c>
      <c r="C1194" s="7" t="s">
        <v>1691</v>
      </c>
      <c r="D1194" s="7" t="s">
        <v>363</v>
      </c>
      <c r="E1194" s="7" t="s">
        <v>156</v>
      </c>
      <c r="F1194" s="39" t="n">
        <v>45719</v>
      </c>
      <c r="G1194" s="41" t="n">
        <v>133.28</v>
      </c>
      <c r="H1194" s="39" t="n">
        <v>45726</v>
      </c>
      <c r="I1194" s="7" t="s">
        <v>14651</v>
      </c>
      <c r="J1194" s="8" t="str">
        <f aca="false">IF(I1194="Open",DATE(2025,12,31)-F1194,"-")</f>
        <v>-</v>
      </c>
    </row>
    <row r="1195" customFormat="false" ht="15" hidden="false" customHeight="false" outlineLevel="0" collapsed="false">
      <c r="B1195" s="7" t="s">
        <v>15840</v>
      </c>
      <c r="C1195" s="7" t="s">
        <v>1692</v>
      </c>
      <c r="D1195" s="7" t="s">
        <v>371</v>
      </c>
      <c r="E1195" s="7" t="s">
        <v>154</v>
      </c>
      <c r="F1195" s="39" t="n">
        <v>45719</v>
      </c>
      <c r="G1195" s="41" t="n">
        <v>114.21</v>
      </c>
      <c r="H1195" s="39" t="n">
        <v>45792</v>
      </c>
      <c r="I1195" s="7" t="s">
        <v>14651</v>
      </c>
      <c r="J1195" s="8" t="str">
        <f aca="false">IF(I1195="Open",DATE(2025,12,31)-F1195,"-")</f>
        <v>-</v>
      </c>
    </row>
    <row r="1196" customFormat="false" ht="15" hidden="false" customHeight="false" outlineLevel="0" collapsed="false">
      <c r="B1196" s="7" t="s">
        <v>15841</v>
      </c>
      <c r="C1196" s="7" t="s">
        <v>1693</v>
      </c>
      <c r="D1196" s="7" t="s">
        <v>375</v>
      </c>
      <c r="E1196" s="7" t="s">
        <v>156</v>
      </c>
      <c r="F1196" s="39" t="n">
        <v>45719</v>
      </c>
      <c r="G1196" s="41" t="n">
        <v>111.18</v>
      </c>
      <c r="H1196" s="39" t="n">
        <v>45723</v>
      </c>
      <c r="I1196" s="7" t="s">
        <v>14651</v>
      </c>
      <c r="J1196" s="8" t="str">
        <f aca="false">IF(I1196="Open",DATE(2025,12,31)-F1196,"-")</f>
        <v>-</v>
      </c>
    </row>
    <row r="1197" customFormat="false" ht="15" hidden="false" customHeight="false" outlineLevel="0" collapsed="false">
      <c r="B1197" s="7" t="s">
        <v>15842</v>
      </c>
      <c r="C1197" s="7" t="s">
        <v>1694</v>
      </c>
      <c r="D1197" s="7" t="s">
        <v>377</v>
      </c>
      <c r="E1197" s="7" t="s">
        <v>154</v>
      </c>
      <c r="F1197" s="39" t="n">
        <v>45719</v>
      </c>
      <c r="G1197" s="41" t="n">
        <v>112.1</v>
      </c>
      <c r="H1197" s="39" t="n">
        <v>45825</v>
      </c>
      <c r="I1197" s="7" t="s">
        <v>14651</v>
      </c>
      <c r="J1197" s="8" t="str">
        <f aca="false">IF(I1197="Open",DATE(2025,12,31)-F1197,"-")</f>
        <v>-</v>
      </c>
    </row>
    <row r="1198" customFormat="false" ht="15" hidden="false" customHeight="false" outlineLevel="0" collapsed="false">
      <c r="B1198" s="7" t="s">
        <v>15843</v>
      </c>
      <c r="C1198" s="7" t="s">
        <v>1695</v>
      </c>
      <c r="D1198" s="7" t="s">
        <v>379</v>
      </c>
      <c r="E1198" s="7" t="s">
        <v>156</v>
      </c>
      <c r="F1198" s="39" t="n">
        <v>45719</v>
      </c>
      <c r="G1198" s="41" t="n">
        <v>164.56</v>
      </c>
      <c r="H1198" s="39" t="n">
        <v>45727</v>
      </c>
      <c r="I1198" s="7" t="s">
        <v>14651</v>
      </c>
      <c r="J1198" s="8" t="str">
        <f aca="false">IF(I1198="Open",DATE(2025,12,31)-F1198,"-")</f>
        <v>-</v>
      </c>
    </row>
    <row r="1199" customFormat="false" ht="15" hidden="false" customHeight="false" outlineLevel="0" collapsed="false">
      <c r="B1199" s="7" t="s">
        <v>15844</v>
      </c>
      <c r="C1199" s="7" t="s">
        <v>1696</v>
      </c>
      <c r="D1199" s="7" t="s">
        <v>389</v>
      </c>
      <c r="E1199" s="7" t="s">
        <v>154</v>
      </c>
      <c r="F1199" s="39" t="n">
        <v>45719</v>
      </c>
      <c r="G1199" s="41" t="n">
        <v>108.92</v>
      </c>
      <c r="H1199" s="39" t="n">
        <v>45762</v>
      </c>
      <c r="I1199" s="7" t="s">
        <v>14651</v>
      </c>
      <c r="J1199" s="8" t="str">
        <f aca="false">IF(I1199="Open",DATE(2025,12,31)-F1199,"-")</f>
        <v>-</v>
      </c>
    </row>
    <row r="1200" customFormat="false" ht="15" hidden="false" customHeight="false" outlineLevel="0" collapsed="false">
      <c r="B1200" s="7" t="s">
        <v>15845</v>
      </c>
      <c r="C1200" s="7" t="s">
        <v>1697</v>
      </c>
      <c r="D1200" s="7" t="s">
        <v>391</v>
      </c>
      <c r="E1200" s="7" t="s">
        <v>156</v>
      </c>
      <c r="F1200" s="39" t="n">
        <v>45719</v>
      </c>
      <c r="G1200" s="41" t="n">
        <v>135.32</v>
      </c>
      <c r="H1200" s="39" t="n">
        <v>45727</v>
      </c>
      <c r="I1200" s="7" t="s">
        <v>14651</v>
      </c>
      <c r="J1200" s="8" t="str">
        <f aca="false">IF(I1200="Open",DATE(2025,12,31)-F1200,"-")</f>
        <v>-</v>
      </c>
    </row>
    <row r="1201" customFormat="false" ht="15" hidden="false" customHeight="false" outlineLevel="0" collapsed="false">
      <c r="B1201" s="7" t="s">
        <v>15846</v>
      </c>
      <c r="C1201" s="7" t="s">
        <v>1698</v>
      </c>
      <c r="D1201" s="7" t="s">
        <v>395</v>
      </c>
      <c r="E1201" s="7" t="s">
        <v>156</v>
      </c>
      <c r="F1201" s="39" t="n">
        <v>45719</v>
      </c>
      <c r="G1201" s="41" t="n">
        <v>129.54</v>
      </c>
      <c r="H1201" s="39" t="n">
        <v>45745</v>
      </c>
      <c r="I1201" s="7" t="s">
        <v>14651</v>
      </c>
      <c r="J1201" s="8" t="str">
        <f aca="false">IF(I1201="Open",DATE(2025,12,31)-F1201,"-")</f>
        <v>-</v>
      </c>
    </row>
    <row r="1202" customFormat="false" ht="15" hidden="false" customHeight="false" outlineLevel="0" collapsed="false">
      <c r="B1202" s="7" t="s">
        <v>15847</v>
      </c>
      <c r="C1202" s="7" t="s">
        <v>1699</v>
      </c>
      <c r="D1202" s="7" t="s">
        <v>399</v>
      </c>
      <c r="E1202" s="7" t="s">
        <v>154</v>
      </c>
      <c r="F1202" s="39" t="n">
        <v>45719</v>
      </c>
      <c r="G1202" s="41" t="n">
        <v>92.22</v>
      </c>
      <c r="H1202" s="39" t="n">
        <v>45837</v>
      </c>
      <c r="I1202" s="7" t="s">
        <v>14651</v>
      </c>
      <c r="J1202" s="8" t="str">
        <f aca="false">IF(I1202="Open",DATE(2025,12,31)-F1202,"-")</f>
        <v>-</v>
      </c>
    </row>
    <row r="1203" customFormat="false" ht="15" hidden="false" customHeight="false" outlineLevel="0" collapsed="false">
      <c r="B1203" s="7" t="s">
        <v>15848</v>
      </c>
      <c r="C1203" s="7" t="s">
        <v>1700</v>
      </c>
      <c r="D1203" s="7" t="s">
        <v>401</v>
      </c>
      <c r="E1203" s="7" t="s">
        <v>156</v>
      </c>
      <c r="F1203" s="39" t="n">
        <v>45719</v>
      </c>
      <c r="G1203" s="41" t="n">
        <v>140.08</v>
      </c>
      <c r="H1203" s="39" t="n">
        <v>45733</v>
      </c>
      <c r="I1203" s="7" t="s">
        <v>14651</v>
      </c>
      <c r="J1203" s="8" t="str">
        <f aca="false">IF(I1203="Open",DATE(2025,12,31)-F1203,"-")</f>
        <v>-</v>
      </c>
    </row>
    <row r="1204" customFormat="false" ht="15" hidden="false" customHeight="false" outlineLevel="0" collapsed="false">
      <c r="B1204" s="7" t="s">
        <v>15849</v>
      </c>
      <c r="C1204" s="7" t="s">
        <v>1701</v>
      </c>
      <c r="D1204" s="7" t="s">
        <v>409</v>
      </c>
      <c r="E1204" s="7" t="s">
        <v>154</v>
      </c>
      <c r="F1204" s="39" t="n">
        <v>45719</v>
      </c>
      <c r="G1204" s="41" t="n">
        <v>80.56</v>
      </c>
      <c r="H1204" s="39" t="n">
        <v>45803</v>
      </c>
      <c r="I1204" s="7" t="s">
        <v>14651</v>
      </c>
      <c r="J1204" s="8" t="str">
        <f aca="false">IF(I1204="Open",DATE(2025,12,31)-F1204,"-")</f>
        <v>-</v>
      </c>
    </row>
    <row r="1205" customFormat="false" ht="15" hidden="false" customHeight="false" outlineLevel="0" collapsed="false">
      <c r="B1205" s="7" t="s">
        <v>15850</v>
      </c>
      <c r="C1205" s="7" t="s">
        <v>1702</v>
      </c>
      <c r="D1205" s="7" t="s">
        <v>288</v>
      </c>
      <c r="E1205" s="7" t="s">
        <v>156</v>
      </c>
      <c r="F1205" s="39" t="n">
        <v>45720</v>
      </c>
      <c r="G1205" s="41" t="n">
        <v>147.56</v>
      </c>
      <c r="H1205" s="39" t="n">
        <v>45727</v>
      </c>
      <c r="I1205" s="7" t="s">
        <v>14651</v>
      </c>
      <c r="J1205" s="8" t="str">
        <f aca="false">IF(I1205="Open",DATE(2025,12,31)-F1205,"-")</f>
        <v>-</v>
      </c>
    </row>
    <row r="1206" customFormat="false" ht="15" hidden="false" customHeight="false" outlineLevel="0" collapsed="false">
      <c r="B1206" s="7" t="s">
        <v>15851</v>
      </c>
      <c r="C1206" s="7" t="s">
        <v>1703</v>
      </c>
      <c r="D1206" s="7" t="s">
        <v>301</v>
      </c>
      <c r="E1206" s="7" t="s">
        <v>157</v>
      </c>
      <c r="F1206" s="39" t="n">
        <v>45720</v>
      </c>
      <c r="G1206" s="41" t="n">
        <v>174.9</v>
      </c>
      <c r="H1206" s="39" t="n">
        <v>45794</v>
      </c>
      <c r="I1206" s="7" t="s">
        <v>14651</v>
      </c>
      <c r="J1206" s="8" t="str">
        <f aca="false">IF(I1206="Open",DATE(2025,12,31)-F1206,"-")</f>
        <v>-</v>
      </c>
    </row>
    <row r="1207" customFormat="false" ht="15" hidden="false" customHeight="false" outlineLevel="0" collapsed="false">
      <c r="B1207" s="7" t="s">
        <v>15852</v>
      </c>
      <c r="C1207" s="7" t="s">
        <v>1704</v>
      </c>
      <c r="D1207" s="7" t="s">
        <v>313</v>
      </c>
      <c r="E1207" s="7" t="s">
        <v>156</v>
      </c>
      <c r="F1207" s="39" t="n">
        <v>45720</v>
      </c>
      <c r="G1207" s="41" t="n">
        <v>139.06</v>
      </c>
      <c r="H1207" s="39" t="n">
        <v>45740</v>
      </c>
      <c r="I1207" s="7" t="s">
        <v>14651</v>
      </c>
      <c r="J1207" s="8" t="str">
        <f aca="false">IF(I1207="Open",DATE(2025,12,31)-F1207,"-")</f>
        <v>-</v>
      </c>
    </row>
    <row r="1208" customFormat="false" ht="15" hidden="false" customHeight="false" outlineLevel="0" collapsed="false">
      <c r="B1208" s="7" t="s">
        <v>15853</v>
      </c>
      <c r="C1208" s="7" t="s">
        <v>1705</v>
      </c>
      <c r="D1208" s="7" t="s">
        <v>319</v>
      </c>
      <c r="E1208" s="7" t="s">
        <v>157</v>
      </c>
      <c r="F1208" s="39" t="n">
        <v>45720</v>
      </c>
      <c r="G1208" s="41" t="n">
        <v>161.37</v>
      </c>
      <c r="H1208" s="39" t="n">
        <v>45756</v>
      </c>
      <c r="I1208" s="7" t="s">
        <v>14651</v>
      </c>
      <c r="J1208" s="8" t="str">
        <f aca="false">IF(I1208="Open",DATE(2025,12,31)-F1208,"-")</f>
        <v>-</v>
      </c>
    </row>
    <row r="1209" customFormat="false" ht="15" hidden="false" customHeight="false" outlineLevel="0" collapsed="false">
      <c r="B1209" s="7" t="s">
        <v>15854</v>
      </c>
      <c r="C1209" s="7" t="s">
        <v>1706</v>
      </c>
      <c r="D1209" s="7" t="s">
        <v>321</v>
      </c>
      <c r="E1209" s="7" t="s">
        <v>154</v>
      </c>
      <c r="F1209" s="39" t="n">
        <v>45720</v>
      </c>
      <c r="G1209" s="41" t="n">
        <v>101.23</v>
      </c>
      <c r="H1209" s="39" t="n">
        <v>45830</v>
      </c>
      <c r="I1209" s="7" t="s">
        <v>14651</v>
      </c>
      <c r="J1209" s="8" t="str">
        <f aca="false">IF(I1209="Open",DATE(2025,12,31)-F1209,"-")</f>
        <v>-</v>
      </c>
    </row>
    <row r="1210" customFormat="false" ht="15" hidden="false" customHeight="false" outlineLevel="0" collapsed="false">
      <c r="B1210" s="7" t="s">
        <v>15855</v>
      </c>
      <c r="C1210" s="7" t="s">
        <v>1707</v>
      </c>
      <c r="D1210" s="7" t="s">
        <v>323</v>
      </c>
      <c r="E1210" s="7" t="s">
        <v>159</v>
      </c>
      <c r="F1210" s="39" t="n">
        <v>45720</v>
      </c>
      <c r="G1210" s="41" t="n">
        <v>122.98</v>
      </c>
      <c r="H1210" s="39" t="n">
        <v>45755</v>
      </c>
      <c r="I1210" s="7" t="s">
        <v>14651</v>
      </c>
      <c r="J1210" s="8" t="str">
        <f aca="false">IF(I1210="Open",DATE(2025,12,31)-F1210,"-")</f>
        <v>-</v>
      </c>
    </row>
    <row r="1211" customFormat="false" ht="15" hidden="false" customHeight="false" outlineLevel="0" collapsed="false">
      <c r="B1211" s="7" t="s">
        <v>15856</v>
      </c>
      <c r="C1211" s="7" t="s">
        <v>1708</v>
      </c>
      <c r="D1211" s="7" t="s">
        <v>327</v>
      </c>
      <c r="E1211" s="7" t="s">
        <v>157</v>
      </c>
      <c r="F1211" s="39" t="n">
        <v>45720</v>
      </c>
      <c r="G1211" s="41" t="n">
        <v>171.6</v>
      </c>
      <c r="H1211" s="39" t="n">
        <v>45757</v>
      </c>
      <c r="I1211" s="7" t="s">
        <v>14651</v>
      </c>
      <c r="J1211" s="8" t="str">
        <f aca="false">IF(I1211="Open",DATE(2025,12,31)-F1211,"-")</f>
        <v>-</v>
      </c>
    </row>
    <row r="1212" customFormat="false" ht="15" hidden="false" customHeight="false" outlineLevel="0" collapsed="false">
      <c r="B1212" s="7" t="s">
        <v>15857</v>
      </c>
      <c r="C1212" s="7" t="s">
        <v>1709</v>
      </c>
      <c r="D1212" s="7" t="s">
        <v>329</v>
      </c>
      <c r="E1212" s="7" t="s">
        <v>156</v>
      </c>
      <c r="F1212" s="39" t="n">
        <v>45720</v>
      </c>
      <c r="G1212" s="41" t="n">
        <v>142.12</v>
      </c>
      <c r="H1212" s="39" t="n">
        <v>45735</v>
      </c>
      <c r="I1212" s="7" t="s">
        <v>14651</v>
      </c>
      <c r="J1212" s="8" t="str">
        <f aca="false">IF(I1212="Open",DATE(2025,12,31)-F1212,"-")</f>
        <v>-</v>
      </c>
    </row>
    <row r="1213" customFormat="false" ht="15" hidden="false" customHeight="false" outlineLevel="0" collapsed="false">
      <c r="B1213" s="7" t="s">
        <v>15858</v>
      </c>
      <c r="C1213" s="7" t="s">
        <v>1710</v>
      </c>
      <c r="D1213" s="7" t="s">
        <v>359</v>
      </c>
      <c r="E1213" s="7" t="s">
        <v>156</v>
      </c>
      <c r="F1213" s="39" t="n">
        <v>45720</v>
      </c>
      <c r="G1213" s="41" t="n">
        <v>131.92</v>
      </c>
      <c r="H1213" s="39" t="n">
        <v>45731</v>
      </c>
      <c r="I1213" s="7" t="s">
        <v>14651</v>
      </c>
      <c r="J1213" s="8" t="str">
        <f aca="false">IF(I1213="Open",DATE(2025,12,31)-F1213,"-")</f>
        <v>-</v>
      </c>
    </row>
    <row r="1214" customFormat="false" ht="15" hidden="false" customHeight="false" outlineLevel="0" collapsed="false">
      <c r="B1214" s="7" t="s">
        <v>15859</v>
      </c>
      <c r="C1214" s="7" t="s">
        <v>1711</v>
      </c>
      <c r="D1214" s="7" t="s">
        <v>361</v>
      </c>
      <c r="E1214" s="7" t="s">
        <v>157</v>
      </c>
      <c r="F1214" s="39" t="n">
        <v>45720</v>
      </c>
      <c r="G1214" s="41" t="n">
        <v>179.85</v>
      </c>
      <c r="H1214" s="39" t="n">
        <v>45805</v>
      </c>
      <c r="I1214" s="7" t="s">
        <v>14651</v>
      </c>
      <c r="J1214" s="8" t="str">
        <f aca="false">IF(I1214="Open",DATE(2025,12,31)-F1214,"-")</f>
        <v>-</v>
      </c>
    </row>
    <row r="1215" customFormat="false" ht="15" hidden="false" customHeight="false" outlineLevel="0" collapsed="false">
      <c r="B1215" s="7" t="s">
        <v>15860</v>
      </c>
      <c r="C1215" s="7" t="s">
        <v>1712</v>
      </c>
      <c r="D1215" s="7" t="s">
        <v>381</v>
      </c>
      <c r="E1215" s="7" t="s">
        <v>157</v>
      </c>
      <c r="F1215" s="39" t="n">
        <v>45720</v>
      </c>
      <c r="G1215" s="41" t="n">
        <v>148.5</v>
      </c>
      <c r="H1215" s="39" t="n">
        <v>45764</v>
      </c>
      <c r="I1215" s="7" t="s">
        <v>14651</v>
      </c>
      <c r="J1215" s="8" t="str">
        <f aca="false">IF(I1215="Open",DATE(2025,12,31)-F1215,"-")</f>
        <v>-</v>
      </c>
    </row>
    <row r="1216" customFormat="false" ht="15" hidden="false" customHeight="false" outlineLevel="0" collapsed="false">
      <c r="B1216" s="7" t="s">
        <v>15861</v>
      </c>
      <c r="C1216" s="7" t="s">
        <v>1713</v>
      </c>
      <c r="D1216" s="7" t="s">
        <v>389</v>
      </c>
      <c r="E1216" s="7" t="s">
        <v>154</v>
      </c>
      <c r="F1216" s="39" t="n">
        <v>45720</v>
      </c>
      <c r="G1216" s="41" t="n">
        <v>107.32</v>
      </c>
      <c r="H1216" s="39" t="n">
        <v>45768</v>
      </c>
      <c r="I1216" s="7" t="s">
        <v>14651</v>
      </c>
      <c r="J1216" s="8" t="str">
        <f aca="false">IF(I1216="Open",DATE(2025,12,31)-F1216,"-")</f>
        <v>-</v>
      </c>
    </row>
    <row r="1217" customFormat="false" ht="15" hidden="false" customHeight="false" outlineLevel="0" collapsed="false">
      <c r="B1217" s="7" t="s">
        <v>15862</v>
      </c>
      <c r="C1217" s="7" t="s">
        <v>1714</v>
      </c>
      <c r="D1217" s="7" t="s">
        <v>391</v>
      </c>
      <c r="E1217" s="7" t="s">
        <v>156</v>
      </c>
      <c r="F1217" s="39" t="n">
        <v>45720</v>
      </c>
      <c r="G1217" s="41" t="n">
        <v>125.46</v>
      </c>
      <c r="H1217" s="39" t="n">
        <v>45740</v>
      </c>
      <c r="I1217" s="7" t="s">
        <v>14651</v>
      </c>
      <c r="J1217" s="8" t="str">
        <f aca="false">IF(I1217="Open",DATE(2025,12,31)-F1217,"-")</f>
        <v>-</v>
      </c>
    </row>
    <row r="1218" customFormat="false" ht="15" hidden="false" customHeight="false" outlineLevel="0" collapsed="false">
      <c r="B1218" s="7" t="s">
        <v>15863</v>
      </c>
      <c r="C1218" s="7" t="s">
        <v>1715</v>
      </c>
      <c r="D1218" s="7" t="s">
        <v>395</v>
      </c>
      <c r="E1218" s="7" t="s">
        <v>156</v>
      </c>
      <c r="F1218" s="39" t="n">
        <v>45720</v>
      </c>
      <c r="G1218" s="41" t="n">
        <v>137.02</v>
      </c>
      <c r="H1218" s="39" t="n">
        <v>45733</v>
      </c>
      <c r="I1218" s="7" t="s">
        <v>14651</v>
      </c>
      <c r="J1218" s="8" t="str">
        <f aca="false">IF(I1218="Open",DATE(2025,12,31)-F1218,"-")</f>
        <v>-</v>
      </c>
    </row>
    <row r="1219" customFormat="false" ht="15" hidden="false" customHeight="false" outlineLevel="0" collapsed="false">
      <c r="B1219" s="7" t="s">
        <v>15864</v>
      </c>
      <c r="C1219" s="7" t="s">
        <v>1716</v>
      </c>
      <c r="D1219" s="7" t="s">
        <v>397</v>
      </c>
      <c r="E1219" s="7" t="s">
        <v>159</v>
      </c>
      <c r="F1219" s="39" t="n">
        <v>45720</v>
      </c>
      <c r="G1219" s="41" t="n">
        <v>133.65</v>
      </c>
      <c r="H1219" s="39" t="n">
        <v>45751</v>
      </c>
      <c r="I1219" s="7" t="s">
        <v>14651</v>
      </c>
      <c r="J1219" s="8" t="str">
        <f aca="false">IF(I1219="Open",DATE(2025,12,31)-F1219,"-")</f>
        <v>-</v>
      </c>
    </row>
    <row r="1220" customFormat="false" ht="15" hidden="false" customHeight="false" outlineLevel="0" collapsed="false">
      <c r="B1220" s="7" t="s">
        <v>15865</v>
      </c>
      <c r="C1220" s="7" t="s">
        <v>1717</v>
      </c>
      <c r="D1220" s="7" t="s">
        <v>401</v>
      </c>
      <c r="E1220" s="7" t="s">
        <v>156</v>
      </c>
      <c r="F1220" s="39" t="n">
        <v>45720</v>
      </c>
      <c r="G1220" s="41" t="n">
        <v>128.86</v>
      </c>
      <c r="H1220" s="39" t="n">
        <v>45734</v>
      </c>
      <c r="I1220" s="7" t="s">
        <v>14651</v>
      </c>
      <c r="J1220" s="8" t="str">
        <f aca="false">IF(I1220="Open",DATE(2025,12,31)-F1220,"-")</f>
        <v>-</v>
      </c>
    </row>
    <row r="1221" customFormat="false" ht="15" hidden="false" customHeight="false" outlineLevel="0" collapsed="false">
      <c r="B1221" s="7" t="s">
        <v>15866</v>
      </c>
      <c r="C1221" s="7" t="s">
        <v>1718</v>
      </c>
      <c r="D1221" s="7" t="s">
        <v>407</v>
      </c>
      <c r="E1221" s="7" t="s">
        <v>159</v>
      </c>
      <c r="F1221" s="39" t="n">
        <v>45720</v>
      </c>
      <c r="G1221" s="41" t="n">
        <v>140.4</v>
      </c>
      <c r="H1221" s="39" t="n">
        <v>45767</v>
      </c>
      <c r="I1221" s="7" t="s">
        <v>14651</v>
      </c>
      <c r="J1221" s="8" t="str">
        <f aca="false">IF(I1221="Open",DATE(2025,12,31)-F1221,"-")</f>
        <v>-</v>
      </c>
    </row>
    <row r="1222" customFormat="false" ht="15" hidden="false" customHeight="false" outlineLevel="0" collapsed="false">
      <c r="B1222" s="7" t="s">
        <v>15867</v>
      </c>
      <c r="C1222" s="7" t="s">
        <v>1719</v>
      </c>
      <c r="D1222" s="7" t="s">
        <v>280</v>
      </c>
      <c r="E1222" s="7" t="s">
        <v>157</v>
      </c>
      <c r="F1222" s="39" t="n">
        <v>45721</v>
      </c>
      <c r="G1222" s="41" t="n">
        <v>165</v>
      </c>
      <c r="H1222" s="39" t="n">
        <v>45765</v>
      </c>
      <c r="I1222" s="7" t="s">
        <v>14651</v>
      </c>
      <c r="J1222" s="8" t="str">
        <f aca="false">IF(I1222="Open",DATE(2025,12,31)-F1222,"-")</f>
        <v>-</v>
      </c>
    </row>
    <row r="1223" customFormat="false" ht="15" hidden="false" customHeight="false" outlineLevel="0" collapsed="false">
      <c r="B1223" s="7" t="s">
        <v>15868</v>
      </c>
      <c r="C1223" s="7" t="s">
        <v>1720</v>
      </c>
      <c r="D1223" s="7" t="s">
        <v>286</v>
      </c>
      <c r="E1223" s="7" t="s">
        <v>157</v>
      </c>
      <c r="F1223" s="39" t="n">
        <v>45721</v>
      </c>
      <c r="G1223" s="41" t="n">
        <v>174.9</v>
      </c>
      <c r="H1223" s="39" t="n">
        <v>45758</v>
      </c>
      <c r="I1223" s="7" t="s">
        <v>14651</v>
      </c>
      <c r="J1223" s="8" t="str">
        <f aca="false">IF(I1223="Open",DATE(2025,12,31)-F1223,"-")</f>
        <v>-</v>
      </c>
    </row>
    <row r="1224" customFormat="false" ht="15" hidden="false" customHeight="false" outlineLevel="0" collapsed="false">
      <c r="B1224" s="7" t="s">
        <v>15869</v>
      </c>
      <c r="C1224" s="7" t="s">
        <v>1721</v>
      </c>
      <c r="D1224" s="7" t="s">
        <v>288</v>
      </c>
      <c r="E1224" s="7" t="s">
        <v>156</v>
      </c>
      <c r="F1224" s="39" t="n">
        <v>45721</v>
      </c>
      <c r="G1224" s="41" t="n">
        <v>144.16</v>
      </c>
      <c r="H1224" s="39" t="n">
        <v>45735</v>
      </c>
      <c r="I1224" s="7" t="s">
        <v>14651</v>
      </c>
      <c r="J1224" s="8" t="str">
        <f aca="false">IF(I1224="Open",DATE(2025,12,31)-F1224,"-")</f>
        <v>-</v>
      </c>
    </row>
    <row r="1225" customFormat="false" ht="15" hidden="false" customHeight="false" outlineLevel="0" collapsed="false">
      <c r="B1225" s="7" t="s">
        <v>15870</v>
      </c>
      <c r="C1225" s="7" t="s">
        <v>1722</v>
      </c>
      <c r="D1225" s="7" t="s">
        <v>291</v>
      </c>
      <c r="E1225" s="7" t="s">
        <v>154</v>
      </c>
      <c r="F1225" s="39" t="n">
        <v>45721</v>
      </c>
      <c r="G1225" s="41" t="n">
        <v>124.55</v>
      </c>
      <c r="H1225" s="39" t="n">
        <v>45782</v>
      </c>
      <c r="I1225" s="7" t="s">
        <v>14651</v>
      </c>
      <c r="J1225" s="8" t="str">
        <f aca="false">IF(I1225="Open",DATE(2025,12,31)-F1225,"-")</f>
        <v>-</v>
      </c>
    </row>
    <row r="1226" customFormat="false" ht="15" hidden="false" customHeight="false" outlineLevel="0" collapsed="false">
      <c r="B1226" s="7" t="s">
        <v>15871</v>
      </c>
      <c r="C1226" s="7" t="s">
        <v>1723</v>
      </c>
      <c r="D1226" s="7" t="s">
        <v>305</v>
      </c>
      <c r="E1226" s="7" t="s">
        <v>154</v>
      </c>
      <c r="F1226" s="39" t="n">
        <v>45721</v>
      </c>
      <c r="G1226" s="41" t="n">
        <v>101.5</v>
      </c>
      <c r="H1226" s="39" t="n">
        <v>45792</v>
      </c>
      <c r="I1226" s="7" t="s">
        <v>14651</v>
      </c>
      <c r="J1226" s="8" t="str">
        <f aca="false">IF(I1226="Open",DATE(2025,12,31)-F1226,"-")</f>
        <v>-</v>
      </c>
    </row>
    <row r="1227" customFormat="false" ht="15" hidden="false" customHeight="false" outlineLevel="0" collapsed="false">
      <c r="B1227" s="7" t="s">
        <v>15872</v>
      </c>
      <c r="C1227" s="7" t="s">
        <v>1724</v>
      </c>
      <c r="D1227" s="7" t="s">
        <v>309</v>
      </c>
      <c r="E1227" s="7" t="s">
        <v>159</v>
      </c>
      <c r="F1227" s="39" t="n">
        <v>45721</v>
      </c>
      <c r="G1227" s="41" t="n">
        <v>130.95</v>
      </c>
      <c r="H1227" s="39" t="n">
        <v>45758</v>
      </c>
      <c r="I1227" s="7" t="s">
        <v>14651</v>
      </c>
      <c r="J1227" s="8" t="str">
        <f aca="false">IF(I1227="Open",DATE(2025,12,31)-F1227,"-")</f>
        <v>-</v>
      </c>
    </row>
    <row r="1228" customFormat="false" ht="15" hidden="false" customHeight="false" outlineLevel="0" collapsed="false">
      <c r="B1228" s="7" t="s">
        <v>15873</v>
      </c>
      <c r="C1228" s="7" t="s">
        <v>1725</v>
      </c>
      <c r="D1228" s="7" t="s">
        <v>313</v>
      </c>
      <c r="E1228" s="7" t="s">
        <v>156</v>
      </c>
      <c r="F1228" s="39" t="n">
        <v>45721</v>
      </c>
      <c r="G1228" s="41" t="n">
        <v>130.9</v>
      </c>
      <c r="H1228" s="39" t="n">
        <v>45736</v>
      </c>
      <c r="I1228" s="7" t="s">
        <v>14651</v>
      </c>
      <c r="J1228" s="8" t="str">
        <f aca="false">IF(I1228="Open",DATE(2025,12,31)-F1228,"-")</f>
        <v>-</v>
      </c>
    </row>
    <row r="1229" customFormat="false" ht="15" hidden="false" customHeight="false" outlineLevel="0" collapsed="false">
      <c r="B1229" s="7" t="s">
        <v>15874</v>
      </c>
      <c r="C1229" s="7" t="s">
        <v>1726</v>
      </c>
      <c r="D1229" s="7" t="s">
        <v>321</v>
      </c>
      <c r="E1229" s="7" t="s">
        <v>154</v>
      </c>
      <c r="F1229" s="39" t="n">
        <v>45721</v>
      </c>
      <c r="G1229" s="41" t="n">
        <v>99.38</v>
      </c>
      <c r="H1229" s="39" t="n">
        <v>45783</v>
      </c>
      <c r="I1229" s="7" t="s">
        <v>14651</v>
      </c>
      <c r="J1229" s="8" t="str">
        <f aca="false">IF(I1229="Open",DATE(2025,12,31)-F1229,"-")</f>
        <v>-</v>
      </c>
    </row>
    <row r="1230" customFormat="false" ht="15" hidden="false" customHeight="false" outlineLevel="0" collapsed="false">
      <c r="B1230" s="7" t="s">
        <v>15875</v>
      </c>
      <c r="C1230" s="7" t="s">
        <v>1727</v>
      </c>
      <c r="D1230" s="7" t="s">
        <v>329</v>
      </c>
      <c r="E1230" s="7" t="s">
        <v>156</v>
      </c>
      <c r="F1230" s="39" t="n">
        <v>45721</v>
      </c>
      <c r="G1230" s="41" t="n">
        <v>127.5</v>
      </c>
      <c r="H1230" s="39" t="n">
        <v>45730</v>
      </c>
      <c r="I1230" s="7" t="s">
        <v>14651</v>
      </c>
      <c r="J1230" s="8" t="str">
        <f aca="false">IF(I1230="Open",DATE(2025,12,31)-F1230,"-")</f>
        <v>-</v>
      </c>
    </row>
    <row r="1231" customFormat="false" ht="15" hidden="false" customHeight="false" outlineLevel="0" collapsed="false">
      <c r="B1231" s="7" t="s">
        <v>15876</v>
      </c>
      <c r="C1231" s="7" t="s">
        <v>1728</v>
      </c>
      <c r="D1231" s="7" t="s">
        <v>335</v>
      </c>
      <c r="E1231" s="7" t="s">
        <v>154</v>
      </c>
      <c r="F1231" s="39" t="n">
        <v>45721</v>
      </c>
      <c r="G1231" s="41" t="n">
        <v>100.44</v>
      </c>
      <c r="H1231" s="39" t="n">
        <v>45814</v>
      </c>
      <c r="I1231" s="7" t="s">
        <v>14651</v>
      </c>
      <c r="J1231" s="8" t="str">
        <f aca="false">IF(I1231="Open",DATE(2025,12,31)-F1231,"-")</f>
        <v>-</v>
      </c>
    </row>
    <row r="1232" customFormat="false" ht="15" hidden="false" customHeight="false" outlineLevel="0" collapsed="false">
      <c r="B1232" s="7" t="s">
        <v>15877</v>
      </c>
      <c r="C1232" s="7" t="s">
        <v>1729</v>
      </c>
      <c r="D1232" s="7" t="s">
        <v>339</v>
      </c>
      <c r="E1232" s="7" t="s">
        <v>154</v>
      </c>
      <c r="F1232" s="39" t="n">
        <v>45721</v>
      </c>
      <c r="G1232" s="41" t="n">
        <v>94.34</v>
      </c>
      <c r="H1232" s="39" t="n">
        <v>45787</v>
      </c>
      <c r="I1232" s="7" t="s">
        <v>14651</v>
      </c>
      <c r="J1232" s="8" t="str">
        <f aca="false">IF(I1232="Open",DATE(2025,12,31)-F1232,"-")</f>
        <v>-</v>
      </c>
    </row>
    <row r="1233" customFormat="false" ht="15" hidden="false" customHeight="false" outlineLevel="0" collapsed="false">
      <c r="B1233" s="7" t="s">
        <v>15878</v>
      </c>
      <c r="C1233" s="7" t="s">
        <v>1730</v>
      </c>
      <c r="D1233" s="7" t="s">
        <v>353</v>
      </c>
      <c r="E1233" s="7" t="s">
        <v>154</v>
      </c>
      <c r="F1233" s="39" t="n">
        <v>45721</v>
      </c>
      <c r="G1233" s="41" t="n">
        <v>90.47</v>
      </c>
      <c r="H1233" s="39" t="n">
        <v>45809</v>
      </c>
      <c r="I1233" s="7" t="s">
        <v>14651</v>
      </c>
      <c r="J1233" s="8" t="str">
        <f aca="false">IF(I1233="Open",DATE(2025,12,31)-F1233,"-")</f>
        <v>-</v>
      </c>
    </row>
    <row r="1234" customFormat="false" ht="15" hidden="false" customHeight="false" outlineLevel="0" collapsed="false">
      <c r="B1234" s="7" t="s">
        <v>15879</v>
      </c>
      <c r="C1234" s="7" t="s">
        <v>1731</v>
      </c>
      <c r="D1234" s="7" t="s">
        <v>355</v>
      </c>
      <c r="E1234" s="7" t="s">
        <v>154</v>
      </c>
      <c r="F1234" s="39" t="n">
        <v>45721</v>
      </c>
      <c r="G1234" s="41" t="n">
        <v>93.57</v>
      </c>
      <c r="H1234" s="39" t="n">
        <v>45823</v>
      </c>
      <c r="I1234" s="7" t="s">
        <v>14651</v>
      </c>
      <c r="J1234" s="8" t="str">
        <f aca="false">IF(I1234="Open",DATE(2025,12,31)-F1234,"-")</f>
        <v>-</v>
      </c>
    </row>
    <row r="1235" customFormat="false" ht="15" hidden="false" customHeight="false" outlineLevel="0" collapsed="false">
      <c r="B1235" s="7" t="s">
        <v>15880</v>
      </c>
      <c r="C1235" s="7" t="s">
        <v>1732</v>
      </c>
      <c r="D1235" s="7" t="s">
        <v>357</v>
      </c>
      <c r="E1235" s="7" t="s">
        <v>154</v>
      </c>
      <c r="F1235" s="39" t="n">
        <v>45721</v>
      </c>
      <c r="G1235" s="41" t="n">
        <v>94.6</v>
      </c>
      <c r="H1235" s="39" t="n">
        <v>45797</v>
      </c>
      <c r="I1235" s="7" t="s">
        <v>14651</v>
      </c>
      <c r="J1235" s="8" t="str">
        <f aca="false">IF(I1235="Open",DATE(2025,12,31)-F1235,"-")</f>
        <v>-</v>
      </c>
    </row>
    <row r="1236" customFormat="false" ht="15" hidden="false" customHeight="false" outlineLevel="0" collapsed="false">
      <c r="B1236" s="7" t="s">
        <v>15881</v>
      </c>
      <c r="C1236" s="7" t="s">
        <v>1733</v>
      </c>
      <c r="D1236" s="7" t="s">
        <v>359</v>
      </c>
      <c r="E1236" s="7" t="s">
        <v>156</v>
      </c>
      <c r="F1236" s="39" t="n">
        <v>45721</v>
      </c>
      <c r="G1236" s="41" t="n">
        <v>132.6</v>
      </c>
      <c r="H1236" s="39" t="n">
        <v>45734</v>
      </c>
      <c r="I1236" s="7" t="s">
        <v>14651</v>
      </c>
      <c r="J1236" s="8" t="str">
        <f aca="false">IF(I1236="Open",DATE(2025,12,31)-F1236,"-")</f>
        <v>-</v>
      </c>
    </row>
    <row r="1237" customFormat="false" ht="15" hidden="false" customHeight="false" outlineLevel="0" collapsed="false">
      <c r="B1237" s="7" t="s">
        <v>15882</v>
      </c>
      <c r="C1237" s="7" t="s">
        <v>1734</v>
      </c>
      <c r="D1237" s="7" t="s">
        <v>371</v>
      </c>
      <c r="E1237" s="7" t="s">
        <v>154</v>
      </c>
      <c r="F1237" s="39" t="n">
        <v>45721</v>
      </c>
      <c r="G1237" s="41" t="n">
        <v>133.03</v>
      </c>
      <c r="H1237" s="39" t="n">
        <v>45776</v>
      </c>
      <c r="I1237" s="7" t="s">
        <v>14651</v>
      </c>
      <c r="J1237" s="8" t="str">
        <f aca="false">IF(I1237="Open",DATE(2025,12,31)-F1237,"-")</f>
        <v>-</v>
      </c>
    </row>
    <row r="1238" customFormat="false" ht="15" hidden="false" customHeight="false" outlineLevel="0" collapsed="false">
      <c r="B1238" s="7" t="s">
        <v>15883</v>
      </c>
      <c r="C1238" s="7" t="s">
        <v>1735</v>
      </c>
      <c r="D1238" s="7" t="s">
        <v>379</v>
      </c>
      <c r="E1238" s="7" t="s">
        <v>156</v>
      </c>
      <c r="F1238" s="39" t="n">
        <v>45721</v>
      </c>
      <c r="G1238" s="41" t="n">
        <v>148.58</v>
      </c>
      <c r="H1238" s="39" t="n">
        <v>45741</v>
      </c>
      <c r="I1238" s="7" t="s">
        <v>14651</v>
      </c>
      <c r="J1238" s="8" t="str">
        <f aca="false">IF(I1238="Open",DATE(2025,12,31)-F1238,"-")</f>
        <v>-</v>
      </c>
    </row>
    <row r="1239" customFormat="false" ht="15" hidden="false" customHeight="false" outlineLevel="0" collapsed="false">
      <c r="B1239" s="7" t="s">
        <v>15884</v>
      </c>
      <c r="C1239" s="7" t="s">
        <v>1736</v>
      </c>
      <c r="D1239" s="7" t="s">
        <v>389</v>
      </c>
      <c r="E1239" s="7" t="s">
        <v>154</v>
      </c>
      <c r="F1239" s="39" t="n">
        <v>45721</v>
      </c>
      <c r="G1239" s="41" t="n">
        <v>100.75</v>
      </c>
      <c r="H1239" s="39" t="n">
        <v>45776</v>
      </c>
      <c r="I1239" s="7" t="s">
        <v>14651</v>
      </c>
      <c r="J1239" s="8" t="str">
        <f aca="false">IF(I1239="Open",DATE(2025,12,31)-F1239,"-")</f>
        <v>-</v>
      </c>
    </row>
    <row r="1240" customFormat="false" ht="15" hidden="false" customHeight="false" outlineLevel="0" collapsed="false">
      <c r="B1240" s="7" t="s">
        <v>15885</v>
      </c>
      <c r="C1240" s="7" t="s">
        <v>1737</v>
      </c>
      <c r="D1240" s="7" t="s">
        <v>391</v>
      </c>
      <c r="E1240" s="7" t="s">
        <v>156</v>
      </c>
      <c r="F1240" s="39" t="n">
        <v>45721</v>
      </c>
      <c r="G1240" s="41" t="n">
        <v>136.68</v>
      </c>
      <c r="H1240" s="39" t="n">
        <v>45730</v>
      </c>
      <c r="I1240" s="7" t="s">
        <v>14651</v>
      </c>
      <c r="J1240" s="8" t="str">
        <f aca="false">IF(I1240="Open",DATE(2025,12,31)-F1240,"-")</f>
        <v>-</v>
      </c>
    </row>
    <row r="1241" customFormat="false" ht="15" hidden="false" customHeight="false" outlineLevel="0" collapsed="false">
      <c r="B1241" s="7" t="s">
        <v>15886</v>
      </c>
      <c r="C1241" s="7" t="s">
        <v>1738</v>
      </c>
      <c r="D1241" s="7" t="s">
        <v>393</v>
      </c>
      <c r="E1241" s="7" t="s">
        <v>157</v>
      </c>
      <c r="F1241" s="39" t="n">
        <v>45721</v>
      </c>
      <c r="G1241" s="41" t="n">
        <v>150.15</v>
      </c>
      <c r="H1241" s="39" t="n">
        <v>45800</v>
      </c>
      <c r="I1241" s="7" t="s">
        <v>14651</v>
      </c>
      <c r="J1241" s="8" t="str">
        <f aca="false">IF(I1241="Open",DATE(2025,12,31)-F1241,"-")</f>
        <v>-</v>
      </c>
    </row>
    <row r="1242" customFormat="false" ht="15" hidden="false" customHeight="false" outlineLevel="0" collapsed="false">
      <c r="B1242" s="7" t="s">
        <v>15887</v>
      </c>
      <c r="C1242" s="7" t="s">
        <v>1739</v>
      </c>
      <c r="D1242" s="7" t="s">
        <v>395</v>
      </c>
      <c r="E1242" s="7" t="s">
        <v>156</v>
      </c>
      <c r="F1242" s="39" t="n">
        <v>45721</v>
      </c>
      <c r="G1242" s="41" t="n">
        <v>143.48</v>
      </c>
      <c r="H1242" s="39" t="n">
        <v>45727</v>
      </c>
      <c r="I1242" s="7" t="s">
        <v>14651</v>
      </c>
      <c r="J1242" s="8" t="str">
        <f aca="false">IF(I1242="Open",DATE(2025,12,31)-F1242,"-")</f>
        <v>-</v>
      </c>
    </row>
    <row r="1243" customFormat="false" ht="15" hidden="false" customHeight="false" outlineLevel="0" collapsed="false">
      <c r="B1243" s="7" t="s">
        <v>15888</v>
      </c>
      <c r="C1243" s="7" t="s">
        <v>1740</v>
      </c>
      <c r="D1243" s="7" t="s">
        <v>399</v>
      </c>
      <c r="E1243" s="7" t="s">
        <v>154</v>
      </c>
      <c r="F1243" s="39" t="n">
        <v>45721</v>
      </c>
      <c r="G1243" s="41" t="n">
        <v>86.12</v>
      </c>
      <c r="H1243" s="39" t="n">
        <v>45789</v>
      </c>
      <c r="I1243" s="7" t="s">
        <v>14651</v>
      </c>
      <c r="J1243" s="8" t="str">
        <f aca="false">IF(I1243="Open",DATE(2025,12,31)-F1243,"-")</f>
        <v>-</v>
      </c>
    </row>
    <row r="1244" customFormat="false" ht="15" hidden="false" customHeight="false" outlineLevel="0" collapsed="false">
      <c r="B1244" s="7" t="s">
        <v>15889</v>
      </c>
      <c r="C1244" s="7" t="s">
        <v>1741</v>
      </c>
      <c r="D1244" s="7" t="s">
        <v>401</v>
      </c>
      <c r="E1244" s="7" t="s">
        <v>156</v>
      </c>
      <c r="F1244" s="39" t="n">
        <v>45721</v>
      </c>
      <c r="G1244" s="41" t="n">
        <v>140.76</v>
      </c>
      <c r="H1244" s="39" t="n">
        <v>45727</v>
      </c>
      <c r="I1244" s="7" t="s">
        <v>14651</v>
      </c>
      <c r="J1244" s="8" t="str">
        <f aca="false">IF(I1244="Open",DATE(2025,12,31)-F1244,"-")</f>
        <v>-</v>
      </c>
    </row>
    <row r="1245" customFormat="false" ht="15" hidden="false" customHeight="false" outlineLevel="0" collapsed="false">
      <c r="B1245" s="7" t="s">
        <v>15890</v>
      </c>
      <c r="C1245" s="7" t="s">
        <v>1742</v>
      </c>
      <c r="D1245" s="7" t="s">
        <v>409</v>
      </c>
      <c r="E1245" s="7" t="s">
        <v>154</v>
      </c>
      <c r="F1245" s="39" t="n">
        <v>45721</v>
      </c>
      <c r="G1245" s="41" t="n">
        <v>85.86</v>
      </c>
      <c r="H1245" s="39" t="n">
        <v>45775</v>
      </c>
      <c r="I1245" s="7" t="s">
        <v>14651</v>
      </c>
      <c r="J1245" s="8" t="str">
        <f aca="false">IF(I1245="Open",DATE(2025,12,31)-F1245,"-")</f>
        <v>-</v>
      </c>
    </row>
    <row r="1246" customFormat="false" ht="15" hidden="false" customHeight="false" outlineLevel="0" collapsed="false">
      <c r="B1246" s="7" t="s">
        <v>15891</v>
      </c>
      <c r="C1246" s="7" t="s">
        <v>1743</v>
      </c>
      <c r="D1246" s="7" t="s">
        <v>411</v>
      </c>
      <c r="E1246" s="7" t="s">
        <v>154</v>
      </c>
      <c r="F1246" s="39" t="n">
        <v>45721</v>
      </c>
      <c r="G1246" s="41" t="n">
        <v>117.93</v>
      </c>
      <c r="H1246" s="39" t="n">
        <v>45792</v>
      </c>
      <c r="I1246" s="7" t="s">
        <v>14651</v>
      </c>
      <c r="J1246" s="8" t="str">
        <f aca="false">IF(I1246="Open",DATE(2025,12,31)-F1246,"-")</f>
        <v>-</v>
      </c>
    </row>
    <row r="1247" customFormat="false" ht="15" hidden="false" customHeight="false" outlineLevel="0" collapsed="false">
      <c r="B1247" s="7" t="s">
        <v>15892</v>
      </c>
      <c r="C1247" s="7" t="s">
        <v>1744</v>
      </c>
      <c r="D1247" s="7" t="s">
        <v>288</v>
      </c>
      <c r="E1247" s="7" t="s">
        <v>156</v>
      </c>
      <c r="F1247" s="39" t="n">
        <v>45722</v>
      </c>
      <c r="G1247" s="41" t="n">
        <v>131.58</v>
      </c>
      <c r="H1247" s="39" t="n">
        <v>45740</v>
      </c>
      <c r="I1247" s="7" t="s">
        <v>14651</v>
      </c>
      <c r="J1247" s="8" t="str">
        <f aca="false">IF(I1247="Open",DATE(2025,12,31)-F1247,"-")</f>
        <v>-</v>
      </c>
    </row>
    <row r="1248" customFormat="false" ht="15" hidden="false" customHeight="false" outlineLevel="0" collapsed="false">
      <c r="B1248" s="7" t="s">
        <v>15893</v>
      </c>
      <c r="C1248" s="7" t="s">
        <v>1745</v>
      </c>
      <c r="D1248" s="7" t="s">
        <v>297</v>
      </c>
      <c r="E1248" s="7" t="s">
        <v>156</v>
      </c>
      <c r="F1248" s="39" t="n">
        <v>45722</v>
      </c>
      <c r="G1248" s="41" t="n">
        <v>100.3</v>
      </c>
      <c r="H1248" s="39" t="n">
        <v>45740</v>
      </c>
      <c r="I1248" s="7" t="s">
        <v>14651</v>
      </c>
      <c r="J1248" s="8" t="str">
        <f aca="false">IF(I1248="Open",DATE(2025,12,31)-F1248,"-")</f>
        <v>-</v>
      </c>
    </row>
    <row r="1249" customFormat="false" ht="15" hidden="false" customHeight="false" outlineLevel="0" collapsed="false">
      <c r="B1249" s="7" t="s">
        <v>15894</v>
      </c>
      <c r="C1249" s="7" t="s">
        <v>1746</v>
      </c>
      <c r="D1249" s="7" t="s">
        <v>311</v>
      </c>
      <c r="E1249" s="7" t="s">
        <v>154</v>
      </c>
      <c r="F1249" s="39" t="n">
        <v>45722</v>
      </c>
      <c r="G1249" s="41" t="n">
        <v>77.91</v>
      </c>
      <c r="H1249" s="39" t="n">
        <v>45773</v>
      </c>
      <c r="I1249" s="7" t="s">
        <v>14651</v>
      </c>
      <c r="J1249" s="8" t="str">
        <f aca="false">IF(I1249="Open",DATE(2025,12,31)-F1249,"-")</f>
        <v>-</v>
      </c>
    </row>
    <row r="1250" customFormat="false" ht="15" hidden="false" customHeight="false" outlineLevel="0" collapsed="false">
      <c r="B1250" s="7" t="s">
        <v>15895</v>
      </c>
      <c r="C1250" s="7" t="s">
        <v>1747</v>
      </c>
      <c r="D1250" s="7" t="s">
        <v>313</v>
      </c>
      <c r="E1250" s="7" t="s">
        <v>156</v>
      </c>
      <c r="F1250" s="39" t="n">
        <v>45722</v>
      </c>
      <c r="G1250" s="41" t="n">
        <v>148.92</v>
      </c>
      <c r="H1250" s="39" t="n">
        <v>45732</v>
      </c>
      <c r="I1250" s="7" t="s">
        <v>14651</v>
      </c>
      <c r="J1250" s="8" t="str">
        <f aca="false">IF(I1250="Open",DATE(2025,12,31)-F1250,"-")</f>
        <v>-</v>
      </c>
    </row>
    <row r="1251" customFormat="false" ht="15" hidden="false" customHeight="false" outlineLevel="0" collapsed="false">
      <c r="B1251" s="7" t="s">
        <v>15896</v>
      </c>
      <c r="C1251" s="7" t="s">
        <v>1748</v>
      </c>
      <c r="D1251" s="7" t="s">
        <v>317</v>
      </c>
      <c r="E1251" s="7" t="s">
        <v>156</v>
      </c>
      <c r="F1251" s="39" t="n">
        <v>45722</v>
      </c>
      <c r="G1251" s="41" t="n">
        <v>106.42</v>
      </c>
      <c r="H1251" s="39" t="n">
        <v>45730</v>
      </c>
      <c r="I1251" s="7" t="s">
        <v>14651</v>
      </c>
      <c r="J1251" s="8" t="str">
        <f aca="false">IF(I1251="Open",DATE(2025,12,31)-F1251,"-")</f>
        <v>-</v>
      </c>
    </row>
    <row r="1252" customFormat="false" ht="15" hidden="false" customHeight="false" outlineLevel="0" collapsed="false">
      <c r="B1252" s="7" t="s">
        <v>15897</v>
      </c>
      <c r="C1252" s="7" t="s">
        <v>1749</v>
      </c>
      <c r="D1252" s="7" t="s">
        <v>321</v>
      </c>
      <c r="E1252" s="7" t="s">
        <v>154</v>
      </c>
      <c r="F1252" s="39" t="n">
        <v>45722</v>
      </c>
      <c r="G1252" s="41" t="n">
        <v>113.69</v>
      </c>
      <c r="H1252" s="39" t="n">
        <v>45772</v>
      </c>
      <c r="I1252" s="7" t="s">
        <v>14651</v>
      </c>
      <c r="J1252" s="8" t="str">
        <f aca="false">IF(I1252="Open",DATE(2025,12,31)-F1252,"-")</f>
        <v>-</v>
      </c>
    </row>
    <row r="1253" customFormat="false" ht="15" hidden="false" customHeight="false" outlineLevel="0" collapsed="false">
      <c r="B1253" s="7" t="s">
        <v>15898</v>
      </c>
      <c r="C1253" s="7" t="s">
        <v>1750</v>
      </c>
      <c r="D1253" s="7" t="s">
        <v>325</v>
      </c>
      <c r="E1253" s="7" t="s">
        <v>154</v>
      </c>
      <c r="F1253" s="39" t="n">
        <v>45722</v>
      </c>
      <c r="G1253" s="41" t="n">
        <v>80.72</v>
      </c>
      <c r="H1253" s="39" t="n">
        <v>45754</v>
      </c>
      <c r="I1253" s="7" t="s">
        <v>14651</v>
      </c>
      <c r="J1253" s="8" t="str">
        <f aca="false">IF(I1253="Open",DATE(2025,12,31)-F1253,"-")</f>
        <v>-</v>
      </c>
    </row>
    <row r="1254" customFormat="false" ht="15" hidden="false" customHeight="false" outlineLevel="0" collapsed="false">
      <c r="B1254" s="7" t="s">
        <v>15899</v>
      </c>
      <c r="C1254" s="7" t="s">
        <v>1751</v>
      </c>
      <c r="D1254" s="7" t="s">
        <v>329</v>
      </c>
      <c r="E1254" s="7" t="s">
        <v>156</v>
      </c>
      <c r="F1254" s="39" t="n">
        <v>45722</v>
      </c>
      <c r="G1254" s="41" t="n">
        <v>133.96</v>
      </c>
      <c r="H1254" s="39" t="n">
        <v>45734</v>
      </c>
      <c r="I1254" s="7" t="s">
        <v>14651</v>
      </c>
      <c r="J1254" s="8" t="str">
        <f aca="false">IF(I1254="Open",DATE(2025,12,31)-F1254,"-")</f>
        <v>-</v>
      </c>
    </row>
    <row r="1255" customFormat="false" ht="15" hidden="false" customHeight="false" outlineLevel="0" collapsed="false">
      <c r="B1255" s="7" t="s">
        <v>15900</v>
      </c>
      <c r="C1255" s="7" t="s">
        <v>1752</v>
      </c>
      <c r="D1255" s="7" t="s">
        <v>331</v>
      </c>
      <c r="E1255" s="7" t="s">
        <v>156</v>
      </c>
      <c r="F1255" s="39" t="n">
        <v>45722</v>
      </c>
      <c r="G1255" s="41" t="n">
        <v>139.4</v>
      </c>
      <c r="H1255" s="39" t="n">
        <v>45737</v>
      </c>
      <c r="I1255" s="7" t="s">
        <v>14651</v>
      </c>
      <c r="J1255" s="8" t="str">
        <f aca="false">IF(I1255="Open",DATE(2025,12,31)-F1255,"-")</f>
        <v>-</v>
      </c>
    </row>
    <row r="1256" customFormat="false" ht="15" hidden="false" customHeight="false" outlineLevel="0" collapsed="false">
      <c r="B1256" s="7" t="s">
        <v>15901</v>
      </c>
      <c r="C1256" s="7" t="s">
        <v>1753</v>
      </c>
      <c r="D1256" s="7" t="s">
        <v>337</v>
      </c>
      <c r="E1256" s="7" t="s">
        <v>154</v>
      </c>
      <c r="F1256" s="39" t="n">
        <v>45722</v>
      </c>
      <c r="G1256" s="41" t="n">
        <v>79.23</v>
      </c>
      <c r="H1256" s="39" t="n">
        <v>45814</v>
      </c>
      <c r="I1256" s="7" t="s">
        <v>14651</v>
      </c>
      <c r="J1256" s="8" t="str">
        <f aca="false">IF(I1256="Open",DATE(2025,12,31)-F1256,"-")</f>
        <v>-</v>
      </c>
    </row>
    <row r="1257" customFormat="false" ht="15" hidden="false" customHeight="false" outlineLevel="0" collapsed="false">
      <c r="B1257" s="7" t="s">
        <v>15902</v>
      </c>
      <c r="C1257" s="7" t="s">
        <v>1754</v>
      </c>
      <c r="D1257" s="7" t="s">
        <v>341</v>
      </c>
      <c r="E1257" s="7" t="s">
        <v>156</v>
      </c>
      <c r="F1257" s="39" t="n">
        <v>45722</v>
      </c>
      <c r="G1257" s="41" t="n">
        <v>92.82</v>
      </c>
      <c r="H1257" s="39" t="n">
        <v>45739</v>
      </c>
      <c r="I1257" s="7" t="s">
        <v>14651</v>
      </c>
      <c r="J1257" s="8" t="str">
        <f aca="false">IF(I1257="Open",DATE(2025,12,31)-F1257,"-")</f>
        <v>-</v>
      </c>
    </row>
    <row r="1258" customFormat="false" ht="15" hidden="false" customHeight="false" outlineLevel="0" collapsed="false">
      <c r="B1258" s="7" t="s">
        <v>15903</v>
      </c>
      <c r="C1258" s="7" t="s">
        <v>1755</v>
      </c>
      <c r="D1258" s="7" t="s">
        <v>343</v>
      </c>
      <c r="E1258" s="7" t="s">
        <v>154</v>
      </c>
      <c r="F1258" s="39" t="n">
        <v>45722</v>
      </c>
      <c r="G1258" s="41" t="n">
        <v>99.91</v>
      </c>
      <c r="H1258" s="39" t="n">
        <v>45777</v>
      </c>
      <c r="I1258" s="7" t="s">
        <v>14651</v>
      </c>
      <c r="J1258" s="8" t="str">
        <f aca="false">IF(I1258="Open",DATE(2025,12,31)-F1258,"-")</f>
        <v>-</v>
      </c>
    </row>
    <row r="1259" customFormat="false" ht="15" hidden="false" customHeight="false" outlineLevel="0" collapsed="false">
      <c r="B1259" s="7" t="s">
        <v>15904</v>
      </c>
      <c r="C1259" s="7" t="s">
        <v>1756</v>
      </c>
      <c r="D1259" s="7" t="s">
        <v>359</v>
      </c>
      <c r="E1259" s="7" t="s">
        <v>156</v>
      </c>
      <c r="F1259" s="39" t="n">
        <v>45722</v>
      </c>
      <c r="G1259" s="41" t="n">
        <v>125.12</v>
      </c>
      <c r="H1259" s="39" t="n">
        <v>45733</v>
      </c>
      <c r="I1259" s="7" t="s">
        <v>14651</v>
      </c>
      <c r="J1259" s="8" t="str">
        <f aca="false">IF(I1259="Open",DATE(2025,12,31)-F1259,"-")</f>
        <v>-</v>
      </c>
    </row>
    <row r="1260" customFormat="false" ht="15" hidden="false" customHeight="false" outlineLevel="0" collapsed="false">
      <c r="B1260" s="7" t="s">
        <v>15905</v>
      </c>
      <c r="C1260" s="7" t="s">
        <v>1757</v>
      </c>
      <c r="D1260" s="7" t="s">
        <v>363</v>
      </c>
      <c r="E1260" s="7" t="s">
        <v>156</v>
      </c>
      <c r="F1260" s="39" t="n">
        <v>45722</v>
      </c>
      <c r="G1260" s="41" t="n">
        <v>132.26</v>
      </c>
      <c r="H1260" s="39" t="n">
        <v>45736</v>
      </c>
      <c r="I1260" s="7" t="s">
        <v>14651</v>
      </c>
      <c r="J1260" s="8" t="str">
        <f aca="false">IF(I1260="Open",DATE(2025,12,31)-F1260,"-")</f>
        <v>-</v>
      </c>
    </row>
    <row r="1261" customFormat="false" ht="15" hidden="false" customHeight="false" outlineLevel="0" collapsed="false">
      <c r="B1261" s="7" t="s">
        <v>15906</v>
      </c>
      <c r="C1261" s="7" t="s">
        <v>1758</v>
      </c>
      <c r="D1261" s="7" t="s">
        <v>375</v>
      </c>
      <c r="E1261" s="7" t="s">
        <v>156</v>
      </c>
      <c r="F1261" s="39" t="n">
        <v>45722</v>
      </c>
      <c r="G1261" s="41" t="n">
        <v>98.94</v>
      </c>
      <c r="H1261" s="39" t="n">
        <v>45725</v>
      </c>
      <c r="I1261" s="7" t="s">
        <v>14651</v>
      </c>
      <c r="J1261" s="8" t="str">
        <f aca="false">IF(I1261="Open",DATE(2025,12,31)-F1261,"-")</f>
        <v>-</v>
      </c>
    </row>
    <row r="1262" customFormat="false" ht="15" hidden="false" customHeight="false" outlineLevel="0" collapsed="false">
      <c r="B1262" s="7" t="s">
        <v>15907</v>
      </c>
      <c r="C1262" s="7" t="s">
        <v>1759</v>
      </c>
      <c r="D1262" s="7" t="s">
        <v>377</v>
      </c>
      <c r="E1262" s="7" t="s">
        <v>154</v>
      </c>
      <c r="F1262" s="39" t="n">
        <v>45722</v>
      </c>
      <c r="G1262" s="41" t="n">
        <v>109.71</v>
      </c>
      <c r="H1262" s="39" t="n">
        <v>45753</v>
      </c>
      <c r="I1262" s="7" t="s">
        <v>14651</v>
      </c>
      <c r="J1262" s="8" t="str">
        <f aca="false">IF(I1262="Open",DATE(2025,12,31)-F1262,"-")</f>
        <v>-</v>
      </c>
    </row>
    <row r="1263" customFormat="false" ht="15" hidden="false" customHeight="false" outlineLevel="0" collapsed="false">
      <c r="B1263" s="7" t="s">
        <v>15908</v>
      </c>
      <c r="C1263" s="7" t="s">
        <v>1760</v>
      </c>
      <c r="D1263" s="7" t="s">
        <v>389</v>
      </c>
      <c r="E1263" s="7" t="s">
        <v>154</v>
      </c>
      <c r="F1263" s="39" t="n">
        <v>45722</v>
      </c>
      <c r="G1263" s="41" t="n">
        <v>109.18</v>
      </c>
      <c r="H1263" s="39" t="n">
        <v>45759</v>
      </c>
      <c r="I1263" s="7" t="s">
        <v>14651</v>
      </c>
      <c r="J1263" s="8" t="str">
        <f aca="false">IF(I1263="Open",DATE(2025,12,31)-F1263,"-")</f>
        <v>-</v>
      </c>
    </row>
    <row r="1264" customFormat="false" ht="15" hidden="false" customHeight="false" outlineLevel="0" collapsed="false">
      <c r="B1264" s="7" t="s">
        <v>15909</v>
      </c>
      <c r="C1264" s="7" t="s">
        <v>1761</v>
      </c>
      <c r="D1264" s="7" t="s">
        <v>391</v>
      </c>
      <c r="E1264" s="7" t="s">
        <v>156</v>
      </c>
      <c r="F1264" s="39" t="n">
        <v>45722</v>
      </c>
      <c r="G1264" s="41" t="n">
        <v>130.22</v>
      </c>
      <c r="H1264" s="39" t="n">
        <v>45726</v>
      </c>
      <c r="I1264" s="7" t="s">
        <v>14651</v>
      </c>
      <c r="J1264" s="8" t="str">
        <f aca="false">IF(I1264="Open",DATE(2025,12,31)-F1264,"-")</f>
        <v>-</v>
      </c>
    </row>
    <row r="1265" customFormat="false" ht="15" hidden="false" customHeight="false" outlineLevel="0" collapsed="false">
      <c r="B1265" s="7" t="s">
        <v>15910</v>
      </c>
      <c r="C1265" s="7" t="s">
        <v>1762</v>
      </c>
      <c r="D1265" s="7" t="s">
        <v>395</v>
      </c>
      <c r="E1265" s="7" t="s">
        <v>156</v>
      </c>
      <c r="F1265" s="39" t="n">
        <v>45722</v>
      </c>
      <c r="G1265" s="41" t="n">
        <v>143.48</v>
      </c>
      <c r="H1265" s="39" t="n">
        <v>45740</v>
      </c>
      <c r="I1265" s="7" t="s">
        <v>14651</v>
      </c>
      <c r="J1265" s="8" t="str">
        <f aca="false">IF(I1265="Open",DATE(2025,12,31)-F1265,"-")</f>
        <v>-</v>
      </c>
    </row>
    <row r="1266" customFormat="false" ht="15" hidden="false" customHeight="false" outlineLevel="0" collapsed="false">
      <c r="B1266" s="7" t="s">
        <v>15911</v>
      </c>
      <c r="C1266" s="7" t="s">
        <v>1763</v>
      </c>
      <c r="D1266" s="7" t="s">
        <v>401</v>
      </c>
      <c r="E1266" s="7" t="s">
        <v>156</v>
      </c>
      <c r="F1266" s="39" t="n">
        <v>45722</v>
      </c>
      <c r="G1266" s="41" t="n">
        <v>139.06</v>
      </c>
      <c r="H1266" s="39" t="n">
        <v>45746</v>
      </c>
      <c r="I1266" s="7" t="s">
        <v>14651</v>
      </c>
      <c r="J1266" s="8" t="str">
        <f aca="false">IF(I1266="Open",DATE(2025,12,31)-F1266,"-")</f>
        <v>-</v>
      </c>
    </row>
    <row r="1267" customFormat="false" ht="15" hidden="false" customHeight="false" outlineLevel="0" collapsed="false">
      <c r="B1267" s="7" t="s">
        <v>15912</v>
      </c>
      <c r="C1267" s="7" t="s">
        <v>1764</v>
      </c>
      <c r="D1267" s="7" t="s">
        <v>280</v>
      </c>
      <c r="E1267" s="7" t="s">
        <v>157</v>
      </c>
      <c r="F1267" s="39" t="n">
        <v>45723</v>
      </c>
      <c r="G1267" s="41" t="n">
        <v>176.55</v>
      </c>
      <c r="H1267" s="39" t="n">
        <v>45758</v>
      </c>
      <c r="I1267" s="7" t="s">
        <v>14651</v>
      </c>
      <c r="J1267" s="8" t="str">
        <f aca="false">IF(I1267="Open",DATE(2025,12,31)-F1267,"-")</f>
        <v>-</v>
      </c>
    </row>
    <row r="1268" customFormat="false" ht="15" hidden="false" customHeight="false" outlineLevel="0" collapsed="false">
      <c r="B1268" s="7" t="s">
        <v>15913</v>
      </c>
      <c r="C1268" s="7" t="s">
        <v>1765</v>
      </c>
      <c r="D1268" s="7" t="s">
        <v>288</v>
      </c>
      <c r="E1268" s="7" t="s">
        <v>156</v>
      </c>
      <c r="F1268" s="39" t="n">
        <v>45723</v>
      </c>
      <c r="G1268" s="41" t="n">
        <v>133.96</v>
      </c>
      <c r="H1268" s="39" t="n">
        <v>45737</v>
      </c>
      <c r="I1268" s="7" t="s">
        <v>14651</v>
      </c>
      <c r="J1268" s="8" t="str">
        <f aca="false">IF(I1268="Open",DATE(2025,12,31)-F1268,"-")</f>
        <v>-</v>
      </c>
    </row>
    <row r="1269" customFormat="false" ht="15" hidden="false" customHeight="false" outlineLevel="0" collapsed="false">
      <c r="B1269" s="7" t="s">
        <v>15914</v>
      </c>
      <c r="C1269" s="7" t="s">
        <v>1766</v>
      </c>
      <c r="D1269" s="7" t="s">
        <v>291</v>
      </c>
      <c r="E1269" s="7" t="s">
        <v>154</v>
      </c>
      <c r="F1269" s="39" t="n">
        <v>45723</v>
      </c>
      <c r="G1269" s="41" t="n">
        <v>133.82</v>
      </c>
      <c r="H1269" s="39" t="n">
        <v>45822</v>
      </c>
      <c r="I1269" s="7" t="s">
        <v>14651</v>
      </c>
      <c r="J1269" s="8" t="str">
        <f aca="false">IF(I1269="Open",DATE(2025,12,31)-F1269,"-")</f>
        <v>-</v>
      </c>
    </row>
    <row r="1270" customFormat="false" ht="15" hidden="false" customHeight="false" outlineLevel="0" collapsed="false">
      <c r="B1270" s="7" t="s">
        <v>15915</v>
      </c>
      <c r="C1270" s="7" t="s">
        <v>1767</v>
      </c>
      <c r="D1270" s="7" t="s">
        <v>301</v>
      </c>
      <c r="E1270" s="7" t="s">
        <v>157</v>
      </c>
      <c r="F1270" s="39" t="n">
        <v>45723</v>
      </c>
      <c r="G1270" s="41" t="n">
        <v>158.4</v>
      </c>
      <c r="H1270" s="39" t="n">
        <v>45768</v>
      </c>
      <c r="I1270" s="7" t="s">
        <v>14651</v>
      </c>
      <c r="J1270" s="8" t="str">
        <f aca="false">IF(I1270="Open",DATE(2025,12,31)-F1270,"-")</f>
        <v>-</v>
      </c>
    </row>
    <row r="1271" customFormat="false" ht="15" hidden="false" customHeight="false" outlineLevel="0" collapsed="false">
      <c r="B1271" s="7" t="s">
        <v>15916</v>
      </c>
      <c r="C1271" s="7" t="s">
        <v>1768</v>
      </c>
      <c r="D1271" s="7" t="s">
        <v>305</v>
      </c>
      <c r="E1271" s="7" t="s">
        <v>154</v>
      </c>
      <c r="F1271" s="39" t="n">
        <v>45723</v>
      </c>
      <c r="G1271" s="41" t="n">
        <v>108.12</v>
      </c>
      <c r="H1271" s="39" t="n">
        <v>45743</v>
      </c>
      <c r="I1271" s="7" t="s">
        <v>14651</v>
      </c>
      <c r="J1271" s="8" t="str">
        <f aca="false">IF(I1271="Open",DATE(2025,12,31)-F1271,"-")</f>
        <v>-</v>
      </c>
    </row>
    <row r="1272" customFormat="false" ht="15" hidden="false" customHeight="false" outlineLevel="0" collapsed="false">
      <c r="B1272" s="7" t="s">
        <v>15917</v>
      </c>
      <c r="C1272" s="7" t="s">
        <v>1769</v>
      </c>
      <c r="D1272" s="7" t="s">
        <v>309</v>
      </c>
      <c r="E1272" s="7" t="s">
        <v>159</v>
      </c>
      <c r="F1272" s="39" t="n">
        <v>45723</v>
      </c>
      <c r="G1272" s="41" t="n">
        <v>143.1</v>
      </c>
      <c r="H1272" s="39" t="n">
        <v>45801</v>
      </c>
      <c r="I1272" s="7" t="s">
        <v>14651</v>
      </c>
      <c r="J1272" s="8" t="str">
        <f aca="false">IF(I1272="Open",DATE(2025,12,31)-F1272,"-")</f>
        <v>-</v>
      </c>
    </row>
    <row r="1273" customFormat="false" ht="15" hidden="false" customHeight="false" outlineLevel="0" collapsed="false">
      <c r="B1273" s="7" t="s">
        <v>15918</v>
      </c>
      <c r="C1273" s="7" t="s">
        <v>1770</v>
      </c>
      <c r="D1273" s="7" t="s">
        <v>313</v>
      </c>
      <c r="E1273" s="7" t="s">
        <v>156</v>
      </c>
      <c r="F1273" s="39" t="n">
        <v>45723</v>
      </c>
      <c r="G1273" s="41" t="n">
        <v>136.68</v>
      </c>
      <c r="H1273" s="39" t="n">
        <v>45740</v>
      </c>
      <c r="I1273" s="7" t="s">
        <v>14651</v>
      </c>
      <c r="J1273" s="8" t="str">
        <f aca="false">IF(I1273="Open",DATE(2025,12,31)-F1273,"-")</f>
        <v>-</v>
      </c>
    </row>
    <row r="1274" customFormat="false" ht="15" hidden="false" customHeight="false" outlineLevel="0" collapsed="false">
      <c r="B1274" s="7" t="s">
        <v>15919</v>
      </c>
      <c r="C1274" s="7" t="s">
        <v>1771</v>
      </c>
      <c r="D1274" s="7" t="s">
        <v>319</v>
      </c>
      <c r="E1274" s="7" t="s">
        <v>157</v>
      </c>
      <c r="F1274" s="39" t="n">
        <v>45723</v>
      </c>
      <c r="G1274" s="41" t="n">
        <v>176.55</v>
      </c>
      <c r="H1274" s="39" t="n">
        <v>45743</v>
      </c>
      <c r="I1274" s="7" t="s">
        <v>14651</v>
      </c>
      <c r="J1274" s="8" t="str">
        <f aca="false">IF(I1274="Open",DATE(2025,12,31)-F1274,"-")</f>
        <v>-</v>
      </c>
    </row>
    <row r="1275" customFormat="false" ht="15" hidden="false" customHeight="false" outlineLevel="0" collapsed="false">
      <c r="B1275" s="7" t="s">
        <v>15920</v>
      </c>
      <c r="C1275" s="7" t="s">
        <v>1772</v>
      </c>
      <c r="D1275" s="7" t="s">
        <v>321</v>
      </c>
      <c r="E1275" s="7" t="s">
        <v>154</v>
      </c>
      <c r="F1275" s="39" t="n">
        <v>45723</v>
      </c>
      <c r="G1275" s="41" t="n">
        <v>100.7</v>
      </c>
      <c r="H1275" s="39" t="n">
        <v>45769</v>
      </c>
      <c r="I1275" s="7" t="s">
        <v>14651</v>
      </c>
      <c r="J1275" s="8" t="str">
        <f aca="false">IF(I1275="Open",DATE(2025,12,31)-F1275,"-")</f>
        <v>-</v>
      </c>
    </row>
    <row r="1276" customFormat="false" ht="15" hidden="false" customHeight="false" outlineLevel="0" collapsed="false">
      <c r="B1276" s="7" t="s">
        <v>15921</v>
      </c>
      <c r="C1276" s="7" t="s">
        <v>1773</v>
      </c>
      <c r="D1276" s="7" t="s">
        <v>323</v>
      </c>
      <c r="E1276" s="7" t="s">
        <v>159</v>
      </c>
      <c r="F1276" s="39" t="n">
        <v>45723</v>
      </c>
      <c r="G1276" s="41" t="n">
        <v>117.99</v>
      </c>
      <c r="H1276" s="39" t="n">
        <v>45755</v>
      </c>
      <c r="I1276" s="7" t="s">
        <v>14651</v>
      </c>
      <c r="J1276" s="8" t="str">
        <f aca="false">IF(I1276="Open",DATE(2025,12,31)-F1276,"-")</f>
        <v>-</v>
      </c>
    </row>
    <row r="1277" customFormat="false" ht="15" hidden="false" customHeight="false" outlineLevel="0" collapsed="false">
      <c r="B1277" s="7" t="s">
        <v>15922</v>
      </c>
      <c r="C1277" s="7" t="s">
        <v>1774</v>
      </c>
      <c r="D1277" s="7" t="s">
        <v>327</v>
      </c>
      <c r="E1277" s="7" t="s">
        <v>157</v>
      </c>
      <c r="F1277" s="39" t="n">
        <v>45723</v>
      </c>
      <c r="G1277" s="41" t="n">
        <v>170.77</v>
      </c>
      <c r="H1277" s="39" t="n">
        <v>45817</v>
      </c>
      <c r="I1277" s="7" t="s">
        <v>14651</v>
      </c>
      <c r="J1277" s="8" t="str">
        <f aca="false">IF(I1277="Open",DATE(2025,12,31)-F1277,"-")</f>
        <v>-</v>
      </c>
    </row>
    <row r="1278" customFormat="false" ht="15" hidden="false" customHeight="false" outlineLevel="0" collapsed="false">
      <c r="B1278" s="7" t="s">
        <v>15923</v>
      </c>
      <c r="C1278" s="7" t="s">
        <v>1775</v>
      </c>
      <c r="D1278" s="7" t="s">
        <v>329</v>
      </c>
      <c r="E1278" s="7" t="s">
        <v>156</v>
      </c>
      <c r="F1278" s="39" t="n">
        <v>45723</v>
      </c>
      <c r="G1278" s="41" t="n">
        <v>143.48</v>
      </c>
      <c r="H1278" s="39" t="n">
        <v>45729</v>
      </c>
      <c r="I1278" s="7" t="s">
        <v>14651</v>
      </c>
      <c r="J1278" s="8" t="str">
        <f aca="false">IF(I1278="Open",DATE(2025,12,31)-F1278,"-")</f>
        <v>-</v>
      </c>
    </row>
    <row r="1279" customFormat="false" ht="15" hidden="false" customHeight="false" outlineLevel="0" collapsed="false">
      <c r="B1279" s="7" t="s">
        <v>15924</v>
      </c>
      <c r="C1279" s="7" t="s">
        <v>1776</v>
      </c>
      <c r="D1279" s="7" t="s">
        <v>335</v>
      </c>
      <c r="E1279" s="7" t="s">
        <v>154</v>
      </c>
      <c r="F1279" s="39" t="n">
        <v>45723</v>
      </c>
      <c r="G1279" s="41" t="n">
        <v>94.6</v>
      </c>
      <c r="H1279" s="39" t="n">
        <v>45763</v>
      </c>
      <c r="I1279" s="7" t="s">
        <v>14651</v>
      </c>
      <c r="J1279" s="8" t="str">
        <f aca="false">IF(I1279="Open",DATE(2025,12,31)-F1279,"-")</f>
        <v>-</v>
      </c>
    </row>
    <row r="1280" customFormat="false" ht="15" hidden="false" customHeight="false" outlineLevel="0" collapsed="false">
      <c r="B1280" s="7" t="s">
        <v>15925</v>
      </c>
      <c r="C1280" s="7" t="s">
        <v>1777</v>
      </c>
      <c r="D1280" s="7" t="s">
        <v>339</v>
      </c>
      <c r="E1280" s="7" t="s">
        <v>154</v>
      </c>
      <c r="F1280" s="39" t="n">
        <v>45723</v>
      </c>
      <c r="G1280" s="41" t="n">
        <v>95.93</v>
      </c>
      <c r="H1280" s="39" t="n">
        <v>45832</v>
      </c>
      <c r="I1280" s="7" t="s">
        <v>14651</v>
      </c>
      <c r="J1280" s="8" t="str">
        <f aca="false">IF(I1280="Open",DATE(2025,12,31)-F1280,"-")</f>
        <v>-</v>
      </c>
    </row>
    <row r="1281" customFormat="false" ht="15" hidden="false" customHeight="false" outlineLevel="0" collapsed="false">
      <c r="B1281" s="7" t="s">
        <v>15926</v>
      </c>
      <c r="C1281" s="7" t="s">
        <v>1778</v>
      </c>
      <c r="D1281" s="7" t="s">
        <v>353</v>
      </c>
      <c r="E1281" s="7" t="s">
        <v>154</v>
      </c>
      <c r="F1281" s="39" t="n">
        <v>45723</v>
      </c>
      <c r="G1281" s="41" t="n">
        <v>89.7</v>
      </c>
      <c r="H1281" s="39" t="n">
        <v>45779</v>
      </c>
      <c r="I1281" s="7" t="s">
        <v>14651</v>
      </c>
      <c r="J1281" s="8" t="str">
        <f aca="false">IF(I1281="Open",DATE(2025,12,31)-F1281,"-")</f>
        <v>-</v>
      </c>
    </row>
    <row r="1282" customFormat="false" ht="15" hidden="false" customHeight="false" outlineLevel="0" collapsed="false">
      <c r="B1282" s="7" t="s">
        <v>15927</v>
      </c>
      <c r="C1282" s="7" t="s">
        <v>1779</v>
      </c>
      <c r="D1282" s="7" t="s">
        <v>355</v>
      </c>
      <c r="E1282" s="7" t="s">
        <v>154</v>
      </c>
      <c r="F1282" s="39" t="n">
        <v>45723</v>
      </c>
      <c r="G1282" s="41" t="n">
        <v>86.12</v>
      </c>
      <c r="H1282" s="39" t="n">
        <v>45760</v>
      </c>
      <c r="I1282" s="7" t="s">
        <v>14651</v>
      </c>
      <c r="J1282" s="8" t="str">
        <f aca="false">IF(I1282="Open",DATE(2025,12,31)-F1282,"-")</f>
        <v>-</v>
      </c>
    </row>
    <row r="1283" customFormat="false" ht="15" hidden="false" customHeight="false" outlineLevel="0" collapsed="false">
      <c r="B1283" s="7" t="s">
        <v>15928</v>
      </c>
      <c r="C1283" s="7" t="s">
        <v>1780</v>
      </c>
      <c r="D1283" s="7" t="s">
        <v>357</v>
      </c>
      <c r="E1283" s="7" t="s">
        <v>154</v>
      </c>
      <c r="F1283" s="39" t="n">
        <v>45723</v>
      </c>
      <c r="G1283" s="41" t="n">
        <v>85.86</v>
      </c>
      <c r="H1283" s="39" t="n">
        <v>45781</v>
      </c>
      <c r="I1283" s="7" t="s">
        <v>14651</v>
      </c>
      <c r="J1283" s="8" t="str">
        <f aca="false">IF(I1283="Open",DATE(2025,12,31)-F1283,"-")</f>
        <v>-</v>
      </c>
    </row>
    <row r="1284" customFormat="false" ht="15" hidden="false" customHeight="false" outlineLevel="0" collapsed="false">
      <c r="B1284" s="7" t="s">
        <v>15929</v>
      </c>
      <c r="C1284" s="7" t="s">
        <v>1781</v>
      </c>
      <c r="D1284" s="7" t="s">
        <v>359</v>
      </c>
      <c r="E1284" s="7" t="s">
        <v>156</v>
      </c>
      <c r="F1284" s="39" t="n">
        <v>45723</v>
      </c>
      <c r="G1284" s="41" t="n">
        <v>134.98</v>
      </c>
      <c r="H1284" s="39" t="n">
        <v>45734</v>
      </c>
      <c r="I1284" s="7" t="s">
        <v>14651</v>
      </c>
      <c r="J1284" s="8" t="str">
        <f aca="false">IF(I1284="Open",DATE(2025,12,31)-F1284,"-")</f>
        <v>-</v>
      </c>
    </row>
    <row r="1285" customFormat="false" ht="15" hidden="false" customHeight="false" outlineLevel="0" collapsed="false">
      <c r="B1285" s="7" t="s">
        <v>15930</v>
      </c>
      <c r="C1285" s="7" t="s">
        <v>1782</v>
      </c>
      <c r="D1285" s="7" t="s">
        <v>361</v>
      </c>
      <c r="E1285" s="7" t="s">
        <v>157</v>
      </c>
      <c r="F1285" s="39" t="n">
        <v>45723</v>
      </c>
      <c r="G1285" s="41" t="n">
        <v>166.65</v>
      </c>
      <c r="H1285" s="39" t="n">
        <v>45757</v>
      </c>
      <c r="I1285" s="7" t="s">
        <v>14651</v>
      </c>
      <c r="J1285" s="8" t="str">
        <f aca="false">IF(I1285="Open",DATE(2025,12,31)-F1285,"-")</f>
        <v>-</v>
      </c>
    </row>
    <row r="1286" customFormat="false" ht="15" hidden="false" customHeight="false" outlineLevel="0" collapsed="false">
      <c r="B1286" s="7" t="s">
        <v>15931</v>
      </c>
      <c r="C1286" s="7" t="s">
        <v>1783</v>
      </c>
      <c r="D1286" s="7" t="s">
        <v>371</v>
      </c>
      <c r="E1286" s="7" t="s">
        <v>154</v>
      </c>
      <c r="F1286" s="39" t="n">
        <v>45723</v>
      </c>
      <c r="G1286" s="41" t="n">
        <v>124.55</v>
      </c>
      <c r="H1286" s="39" t="n">
        <v>45774</v>
      </c>
      <c r="I1286" s="7" t="s">
        <v>14651</v>
      </c>
      <c r="J1286" s="8" t="str">
        <f aca="false">IF(I1286="Open",DATE(2025,12,31)-F1286,"-")</f>
        <v>-</v>
      </c>
    </row>
    <row r="1287" customFormat="false" ht="15" hidden="false" customHeight="false" outlineLevel="0" collapsed="false">
      <c r="B1287" s="7" t="s">
        <v>15932</v>
      </c>
      <c r="C1287" s="7" t="s">
        <v>1784</v>
      </c>
      <c r="D1287" s="7" t="s">
        <v>379</v>
      </c>
      <c r="E1287" s="7" t="s">
        <v>156</v>
      </c>
      <c r="F1287" s="39" t="n">
        <v>45723</v>
      </c>
      <c r="G1287" s="41" t="n">
        <v>166.6</v>
      </c>
      <c r="H1287" s="39" t="n">
        <v>45740</v>
      </c>
      <c r="I1287" s="7" t="s">
        <v>14651</v>
      </c>
      <c r="J1287" s="8" t="str">
        <f aca="false">IF(I1287="Open",DATE(2025,12,31)-F1287,"-")</f>
        <v>-</v>
      </c>
    </row>
    <row r="1288" customFormat="false" ht="15" hidden="false" customHeight="false" outlineLevel="0" collapsed="false">
      <c r="B1288" s="7" t="s">
        <v>15933</v>
      </c>
      <c r="C1288" s="7" t="s">
        <v>1785</v>
      </c>
      <c r="D1288" s="7" t="s">
        <v>381</v>
      </c>
      <c r="E1288" s="7" t="s">
        <v>157</v>
      </c>
      <c r="F1288" s="39" t="n">
        <v>45723</v>
      </c>
      <c r="G1288" s="41" t="n">
        <v>169.95</v>
      </c>
      <c r="H1288" s="39" t="n">
        <v>45755</v>
      </c>
      <c r="I1288" s="7" t="s">
        <v>14651</v>
      </c>
      <c r="J1288" s="8" t="str">
        <f aca="false">IF(I1288="Open",DATE(2025,12,31)-F1288,"-")</f>
        <v>-</v>
      </c>
    </row>
    <row r="1289" customFormat="false" ht="15" hidden="false" customHeight="false" outlineLevel="0" collapsed="false">
      <c r="B1289" s="7" t="s">
        <v>15934</v>
      </c>
      <c r="C1289" s="7" t="s">
        <v>1786</v>
      </c>
      <c r="D1289" s="7" t="s">
        <v>389</v>
      </c>
      <c r="E1289" s="7" t="s">
        <v>154</v>
      </c>
      <c r="F1289" s="39" t="n">
        <v>45723</v>
      </c>
      <c r="G1289" s="41" t="n">
        <v>102.56</v>
      </c>
      <c r="H1289" s="39" t="n">
        <v>45809</v>
      </c>
      <c r="I1289" s="7" t="s">
        <v>14651</v>
      </c>
      <c r="J1289" s="8" t="str">
        <f aca="false">IF(I1289="Open",DATE(2025,12,31)-F1289,"-")</f>
        <v>-</v>
      </c>
    </row>
    <row r="1290" customFormat="false" ht="15" hidden="false" customHeight="false" outlineLevel="0" collapsed="false">
      <c r="B1290" s="7" t="s">
        <v>15935</v>
      </c>
      <c r="C1290" s="7" t="s">
        <v>1787</v>
      </c>
      <c r="D1290" s="7" t="s">
        <v>391</v>
      </c>
      <c r="E1290" s="7" t="s">
        <v>156</v>
      </c>
      <c r="F1290" s="39" t="n">
        <v>45723</v>
      </c>
      <c r="G1290" s="41" t="n">
        <v>130.9</v>
      </c>
      <c r="H1290" s="39" t="n">
        <v>45732</v>
      </c>
      <c r="I1290" s="7" t="s">
        <v>14651</v>
      </c>
      <c r="J1290" s="8" t="str">
        <f aca="false">IF(I1290="Open",DATE(2025,12,31)-F1290,"-")</f>
        <v>-</v>
      </c>
    </row>
    <row r="1291" customFormat="false" ht="15" hidden="false" customHeight="false" outlineLevel="0" collapsed="false">
      <c r="B1291" s="7" t="s">
        <v>15936</v>
      </c>
      <c r="C1291" s="7" t="s">
        <v>1788</v>
      </c>
      <c r="D1291" s="7" t="s">
        <v>395</v>
      </c>
      <c r="E1291" s="7" t="s">
        <v>156</v>
      </c>
      <c r="F1291" s="39" t="n">
        <v>45723</v>
      </c>
      <c r="G1291" s="41" t="n">
        <v>122.74</v>
      </c>
      <c r="H1291" s="39" t="n">
        <v>45738</v>
      </c>
      <c r="I1291" s="7" t="s">
        <v>14651</v>
      </c>
      <c r="J1291" s="8" t="str">
        <f aca="false">IF(I1291="Open",DATE(2025,12,31)-F1291,"-")</f>
        <v>-</v>
      </c>
    </row>
    <row r="1292" customFormat="false" ht="15" hidden="false" customHeight="false" outlineLevel="0" collapsed="false">
      <c r="B1292" s="7" t="s">
        <v>15937</v>
      </c>
      <c r="C1292" s="7" t="s">
        <v>1789</v>
      </c>
      <c r="D1292" s="7" t="s">
        <v>397</v>
      </c>
      <c r="E1292" s="7" t="s">
        <v>159</v>
      </c>
      <c r="F1292" s="39" t="n">
        <v>45723</v>
      </c>
      <c r="G1292" s="41" t="n">
        <v>125.55</v>
      </c>
      <c r="H1292" s="39" t="n">
        <v>45745</v>
      </c>
      <c r="I1292" s="7" t="s">
        <v>14651</v>
      </c>
      <c r="J1292" s="8" t="str">
        <f aca="false">IF(I1292="Open",DATE(2025,12,31)-F1292,"-")</f>
        <v>-</v>
      </c>
    </row>
    <row r="1293" customFormat="false" ht="15" hidden="false" customHeight="false" outlineLevel="0" collapsed="false">
      <c r="B1293" s="7" t="s">
        <v>15938</v>
      </c>
      <c r="C1293" s="7" t="s">
        <v>1790</v>
      </c>
      <c r="D1293" s="7" t="s">
        <v>399</v>
      </c>
      <c r="E1293" s="7" t="s">
        <v>154</v>
      </c>
      <c r="F1293" s="39" t="n">
        <v>45723</v>
      </c>
      <c r="G1293" s="41" t="n">
        <v>91.69</v>
      </c>
      <c r="H1293" s="39" t="n">
        <v>45821</v>
      </c>
      <c r="I1293" s="7" t="s">
        <v>14651</v>
      </c>
      <c r="J1293" s="8" t="str">
        <f aca="false">IF(I1293="Open",DATE(2025,12,31)-F1293,"-")</f>
        <v>-</v>
      </c>
    </row>
    <row r="1294" customFormat="false" ht="15" hidden="false" customHeight="false" outlineLevel="0" collapsed="false">
      <c r="B1294" s="7" t="s">
        <v>15939</v>
      </c>
      <c r="C1294" s="7" t="s">
        <v>1791</v>
      </c>
      <c r="D1294" s="7" t="s">
        <v>401</v>
      </c>
      <c r="E1294" s="7" t="s">
        <v>156</v>
      </c>
      <c r="F1294" s="39" t="n">
        <v>45723</v>
      </c>
      <c r="G1294" s="41" t="n">
        <v>130.56</v>
      </c>
      <c r="H1294" s="39" t="n">
        <v>45735</v>
      </c>
      <c r="I1294" s="7" t="s">
        <v>14651</v>
      </c>
      <c r="J1294" s="8" t="str">
        <f aca="false">IF(I1294="Open",DATE(2025,12,31)-F1294,"-")</f>
        <v>-</v>
      </c>
    </row>
    <row r="1295" customFormat="false" ht="15" hidden="false" customHeight="false" outlineLevel="0" collapsed="false">
      <c r="B1295" s="7" t="s">
        <v>15940</v>
      </c>
      <c r="C1295" s="7" t="s">
        <v>1792</v>
      </c>
      <c r="D1295" s="7" t="s">
        <v>407</v>
      </c>
      <c r="E1295" s="7" t="s">
        <v>159</v>
      </c>
      <c r="F1295" s="39" t="n">
        <v>45723</v>
      </c>
      <c r="G1295" s="41" t="n">
        <v>137.7</v>
      </c>
      <c r="H1295" s="39" t="n">
        <v>45775</v>
      </c>
      <c r="I1295" s="7" t="s">
        <v>14651</v>
      </c>
      <c r="J1295" s="8" t="str">
        <f aca="false">IF(I1295="Open",DATE(2025,12,31)-F1295,"-")</f>
        <v>-</v>
      </c>
    </row>
    <row r="1296" customFormat="false" ht="15" hidden="false" customHeight="false" outlineLevel="0" collapsed="false">
      <c r="B1296" s="7" t="s">
        <v>15941</v>
      </c>
      <c r="C1296" s="7" t="s">
        <v>1793</v>
      </c>
      <c r="D1296" s="7" t="s">
        <v>409</v>
      </c>
      <c r="E1296" s="7" t="s">
        <v>154</v>
      </c>
      <c r="F1296" s="39" t="n">
        <v>45723</v>
      </c>
      <c r="G1296" s="41" t="n">
        <v>82.94</v>
      </c>
      <c r="H1296" s="39" t="n">
        <v>45758</v>
      </c>
      <c r="I1296" s="7" t="s">
        <v>14651</v>
      </c>
      <c r="J1296" s="8" t="str">
        <f aca="false">IF(I1296="Open",DATE(2025,12,31)-F1296,"-")</f>
        <v>-</v>
      </c>
    </row>
    <row r="1297" customFormat="false" ht="15" hidden="false" customHeight="false" outlineLevel="0" collapsed="false">
      <c r="B1297" s="7" t="s">
        <v>15942</v>
      </c>
      <c r="C1297" s="7" t="s">
        <v>1794</v>
      </c>
      <c r="D1297" s="7" t="s">
        <v>411</v>
      </c>
      <c r="E1297" s="7" t="s">
        <v>154</v>
      </c>
      <c r="F1297" s="39" t="n">
        <v>45723</v>
      </c>
      <c r="G1297" s="41" t="n">
        <v>117.39</v>
      </c>
      <c r="H1297" s="39" t="n">
        <v>45802</v>
      </c>
      <c r="I1297" s="7" t="s">
        <v>14651</v>
      </c>
      <c r="J1297" s="8" t="str">
        <f aca="false">IF(I1297="Open",DATE(2025,12,31)-F1297,"-")</f>
        <v>-</v>
      </c>
    </row>
    <row r="1298" customFormat="false" ht="15" hidden="false" customHeight="false" outlineLevel="0" collapsed="false">
      <c r="B1298" s="7" t="s">
        <v>15943</v>
      </c>
      <c r="C1298" s="7" t="s">
        <v>1795</v>
      </c>
      <c r="D1298" s="7" t="s">
        <v>288</v>
      </c>
      <c r="E1298" s="7" t="s">
        <v>156</v>
      </c>
      <c r="F1298" s="39" t="n">
        <v>45724</v>
      </c>
      <c r="G1298" s="41" t="n">
        <v>144.84</v>
      </c>
      <c r="H1298" s="39" t="n">
        <v>45736</v>
      </c>
      <c r="I1298" s="7" t="s">
        <v>14651</v>
      </c>
      <c r="J1298" s="8" t="str">
        <f aca="false">IF(I1298="Open",DATE(2025,12,31)-F1298,"-")</f>
        <v>-</v>
      </c>
    </row>
    <row r="1299" customFormat="false" ht="15" hidden="false" customHeight="false" outlineLevel="0" collapsed="false">
      <c r="B1299" s="7" t="s">
        <v>15944</v>
      </c>
      <c r="C1299" s="7" t="s">
        <v>1796</v>
      </c>
      <c r="D1299" s="7" t="s">
        <v>321</v>
      </c>
      <c r="E1299" s="7" t="s">
        <v>154</v>
      </c>
      <c r="F1299" s="39" t="n">
        <v>45724</v>
      </c>
      <c r="G1299" s="41" t="n">
        <v>108.65</v>
      </c>
      <c r="H1299" s="39" t="n">
        <v>45762</v>
      </c>
      <c r="I1299" s="7" t="s">
        <v>14651</v>
      </c>
      <c r="J1299" s="8" t="str">
        <f aca="false">IF(I1299="Open",DATE(2025,12,31)-F1299,"-")</f>
        <v>-</v>
      </c>
    </row>
    <row r="1300" customFormat="false" ht="15" hidden="false" customHeight="false" outlineLevel="0" collapsed="false">
      <c r="B1300" s="7" t="s">
        <v>15945</v>
      </c>
      <c r="C1300" s="7" t="s">
        <v>1797</v>
      </c>
      <c r="D1300" s="7" t="s">
        <v>359</v>
      </c>
      <c r="E1300" s="7" t="s">
        <v>156</v>
      </c>
      <c r="F1300" s="39" t="n">
        <v>45724</v>
      </c>
      <c r="G1300" s="41" t="n">
        <v>139.06</v>
      </c>
      <c r="H1300" s="39" t="n">
        <v>45736</v>
      </c>
      <c r="I1300" s="7" t="s">
        <v>14651</v>
      </c>
      <c r="J1300" s="8" t="str">
        <f aca="false">IF(I1300="Open",DATE(2025,12,31)-F1300,"-")</f>
        <v>-</v>
      </c>
    </row>
    <row r="1301" customFormat="false" ht="15" hidden="false" customHeight="false" outlineLevel="0" collapsed="false">
      <c r="B1301" s="7" t="s">
        <v>15946</v>
      </c>
      <c r="C1301" s="7" t="s">
        <v>1798</v>
      </c>
      <c r="D1301" s="7" t="s">
        <v>391</v>
      </c>
      <c r="E1301" s="7" t="s">
        <v>156</v>
      </c>
      <c r="F1301" s="39" t="n">
        <v>45724</v>
      </c>
      <c r="G1301" s="41" t="n">
        <v>140.08</v>
      </c>
      <c r="H1301" s="39" t="n">
        <v>45732</v>
      </c>
      <c r="I1301" s="7" t="s">
        <v>14651</v>
      </c>
      <c r="J1301" s="8" t="str">
        <f aca="false">IF(I1301="Open",DATE(2025,12,31)-F1301,"-")</f>
        <v>-</v>
      </c>
    </row>
    <row r="1302" customFormat="false" ht="15" hidden="false" customHeight="false" outlineLevel="0" collapsed="false">
      <c r="B1302" s="7" t="s">
        <v>15947</v>
      </c>
      <c r="C1302" s="7" t="s">
        <v>1799</v>
      </c>
      <c r="D1302" s="7" t="s">
        <v>395</v>
      </c>
      <c r="E1302" s="7" t="s">
        <v>156</v>
      </c>
      <c r="F1302" s="39" t="n">
        <v>45724</v>
      </c>
      <c r="G1302" s="41" t="n">
        <v>127.5</v>
      </c>
      <c r="H1302" s="39" t="n">
        <v>45739</v>
      </c>
      <c r="I1302" s="7" t="s">
        <v>14651</v>
      </c>
      <c r="J1302" s="8" t="str">
        <f aca="false">IF(I1302="Open",DATE(2025,12,31)-F1302,"-")</f>
        <v>-</v>
      </c>
    </row>
    <row r="1303" customFormat="false" ht="15" hidden="false" customHeight="false" outlineLevel="0" collapsed="false">
      <c r="B1303" s="7" t="s">
        <v>15948</v>
      </c>
      <c r="C1303" s="7" t="s">
        <v>1800</v>
      </c>
      <c r="D1303" s="7" t="s">
        <v>401</v>
      </c>
      <c r="E1303" s="7" t="s">
        <v>156</v>
      </c>
      <c r="F1303" s="39" t="n">
        <v>45724</v>
      </c>
      <c r="G1303" s="41" t="n">
        <v>125.46</v>
      </c>
      <c r="H1303" s="39" t="n">
        <v>45729</v>
      </c>
      <c r="I1303" s="7" t="s">
        <v>14651</v>
      </c>
      <c r="J1303" s="8" t="str">
        <f aca="false">IF(I1303="Open",DATE(2025,12,31)-F1303,"-")</f>
        <v>-</v>
      </c>
    </row>
    <row r="1304" customFormat="false" ht="15" hidden="false" customHeight="false" outlineLevel="0" collapsed="false">
      <c r="B1304" s="7" t="s">
        <v>15949</v>
      </c>
      <c r="C1304" s="7" t="s">
        <v>1801</v>
      </c>
      <c r="D1304" s="7" t="s">
        <v>288</v>
      </c>
      <c r="E1304" s="7" t="s">
        <v>156</v>
      </c>
      <c r="F1304" s="39" t="n">
        <v>45725</v>
      </c>
      <c r="G1304" s="41" t="n">
        <v>141.44</v>
      </c>
      <c r="H1304" s="39" t="n">
        <v>45733</v>
      </c>
      <c r="I1304" s="7" t="s">
        <v>14651</v>
      </c>
      <c r="J1304" s="8" t="str">
        <f aca="false">IF(I1304="Open",DATE(2025,12,31)-F1304,"-")</f>
        <v>-</v>
      </c>
    </row>
    <row r="1305" customFormat="false" ht="15" hidden="false" customHeight="false" outlineLevel="0" collapsed="false">
      <c r="B1305" s="7" t="s">
        <v>15950</v>
      </c>
      <c r="C1305" s="7" t="s">
        <v>1802</v>
      </c>
      <c r="D1305" s="7" t="s">
        <v>321</v>
      </c>
      <c r="E1305" s="7" t="s">
        <v>154</v>
      </c>
      <c r="F1305" s="39" t="n">
        <v>45725</v>
      </c>
      <c r="G1305" s="41" t="n">
        <v>95.61</v>
      </c>
      <c r="H1305" s="39" t="n">
        <v>45819</v>
      </c>
      <c r="I1305" s="7" t="s">
        <v>14651</v>
      </c>
      <c r="J1305" s="8" t="str">
        <f aca="false">IF(I1305="Open",DATE(2025,12,31)-F1305,"-")</f>
        <v>-</v>
      </c>
    </row>
    <row r="1306" customFormat="false" ht="15" hidden="false" customHeight="false" outlineLevel="0" collapsed="false">
      <c r="B1306" s="7" t="s">
        <v>15951</v>
      </c>
      <c r="C1306" s="7" t="s">
        <v>1803</v>
      </c>
      <c r="D1306" s="7" t="s">
        <v>359</v>
      </c>
      <c r="E1306" s="7" t="s">
        <v>156</v>
      </c>
      <c r="F1306" s="39" t="n">
        <v>45725</v>
      </c>
      <c r="G1306" s="41" t="n">
        <v>148.92</v>
      </c>
      <c r="H1306" s="39" t="n">
        <v>45732</v>
      </c>
      <c r="I1306" s="7" t="s">
        <v>14651</v>
      </c>
      <c r="J1306" s="8" t="str">
        <f aca="false">IF(I1306="Open",DATE(2025,12,31)-F1306,"-")</f>
        <v>-</v>
      </c>
    </row>
    <row r="1307" customFormat="false" ht="15" hidden="false" customHeight="false" outlineLevel="0" collapsed="false">
      <c r="B1307" s="7" t="s">
        <v>15952</v>
      </c>
      <c r="C1307" s="7" t="s">
        <v>1804</v>
      </c>
      <c r="D1307" s="7" t="s">
        <v>395</v>
      </c>
      <c r="E1307" s="7" t="s">
        <v>156</v>
      </c>
      <c r="F1307" s="39" t="n">
        <v>45725</v>
      </c>
      <c r="G1307" s="41" t="n">
        <v>126.48</v>
      </c>
      <c r="H1307" s="39" t="n">
        <v>45728</v>
      </c>
      <c r="I1307" s="7" t="s">
        <v>14651</v>
      </c>
      <c r="J1307" s="8" t="str">
        <f aca="false">IF(I1307="Open",DATE(2025,12,31)-F1307,"-")</f>
        <v>-</v>
      </c>
    </row>
    <row r="1308" customFormat="false" ht="15" hidden="false" customHeight="false" outlineLevel="0" collapsed="false">
      <c r="B1308" s="7" t="s">
        <v>15953</v>
      </c>
      <c r="C1308" s="7" t="s">
        <v>1805</v>
      </c>
      <c r="D1308" s="7" t="s">
        <v>401</v>
      </c>
      <c r="E1308" s="7" t="s">
        <v>156</v>
      </c>
      <c r="F1308" s="39" t="n">
        <v>45725</v>
      </c>
      <c r="G1308" s="41" t="n">
        <v>130.9</v>
      </c>
      <c r="H1308" s="39" t="n">
        <v>45737</v>
      </c>
      <c r="I1308" s="7" t="s">
        <v>14651</v>
      </c>
      <c r="J1308" s="8" t="str">
        <f aca="false">IF(I1308="Open",DATE(2025,12,31)-F1308,"-")</f>
        <v>-</v>
      </c>
    </row>
    <row r="1309" customFormat="false" ht="15" hidden="false" customHeight="false" outlineLevel="0" collapsed="false">
      <c r="B1309" s="7" t="s">
        <v>15954</v>
      </c>
      <c r="C1309" s="7" t="s">
        <v>1806</v>
      </c>
      <c r="D1309" s="7" t="s">
        <v>280</v>
      </c>
      <c r="E1309" s="7" t="s">
        <v>157</v>
      </c>
      <c r="F1309" s="39" t="n">
        <v>45726</v>
      </c>
      <c r="G1309" s="41" t="n">
        <v>163.35</v>
      </c>
      <c r="H1309" s="39" t="n">
        <v>45753</v>
      </c>
      <c r="I1309" s="7" t="s">
        <v>14651</v>
      </c>
      <c r="J1309" s="8" t="str">
        <f aca="false">IF(I1309="Open",DATE(2025,12,31)-F1309,"-")</f>
        <v>-</v>
      </c>
    </row>
    <row r="1310" customFormat="false" ht="15" hidden="false" customHeight="false" outlineLevel="0" collapsed="false">
      <c r="B1310" s="7" t="s">
        <v>15955</v>
      </c>
      <c r="C1310" s="7" t="s">
        <v>1807</v>
      </c>
      <c r="D1310" s="7" t="s">
        <v>288</v>
      </c>
      <c r="E1310" s="7" t="s">
        <v>156</v>
      </c>
      <c r="F1310" s="39" t="n">
        <v>45726</v>
      </c>
      <c r="G1310" s="41" t="n">
        <v>145.18</v>
      </c>
      <c r="H1310" s="39" t="n">
        <v>45738</v>
      </c>
      <c r="I1310" s="7" t="s">
        <v>14651</v>
      </c>
      <c r="J1310" s="8" t="str">
        <f aca="false">IF(I1310="Open",DATE(2025,12,31)-F1310,"-")</f>
        <v>-</v>
      </c>
    </row>
    <row r="1311" customFormat="false" ht="15" hidden="false" customHeight="false" outlineLevel="0" collapsed="false">
      <c r="B1311" s="7" t="s">
        <v>15956</v>
      </c>
      <c r="C1311" s="7" t="s">
        <v>1808</v>
      </c>
      <c r="D1311" s="7" t="s">
        <v>291</v>
      </c>
      <c r="E1311" s="7" t="s">
        <v>154</v>
      </c>
      <c r="F1311" s="39" t="n">
        <v>45726</v>
      </c>
      <c r="G1311" s="41" t="n">
        <v>130.38</v>
      </c>
      <c r="H1311" s="39" t="n">
        <v>45830</v>
      </c>
      <c r="I1311" s="7" t="s">
        <v>14651</v>
      </c>
      <c r="J1311" s="8" t="str">
        <f aca="false">IF(I1311="Open",DATE(2025,12,31)-F1311,"-")</f>
        <v>-</v>
      </c>
    </row>
    <row r="1312" customFormat="false" ht="15" hidden="false" customHeight="false" outlineLevel="0" collapsed="false">
      <c r="B1312" s="7" t="s">
        <v>15957</v>
      </c>
      <c r="C1312" s="7" t="s">
        <v>1809</v>
      </c>
      <c r="D1312" s="7" t="s">
        <v>297</v>
      </c>
      <c r="E1312" s="7" t="s">
        <v>156</v>
      </c>
      <c r="F1312" s="39" t="n">
        <v>45726</v>
      </c>
      <c r="G1312" s="41" t="n">
        <v>95.88</v>
      </c>
      <c r="H1312" s="39" t="n">
        <v>45732</v>
      </c>
      <c r="I1312" s="7" t="s">
        <v>14651</v>
      </c>
      <c r="J1312" s="8" t="str">
        <f aca="false">IF(I1312="Open",DATE(2025,12,31)-F1312,"-")</f>
        <v>-</v>
      </c>
    </row>
    <row r="1313" customFormat="false" ht="15" hidden="false" customHeight="false" outlineLevel="0" collapsed="false">
      <c r="B1313" s="7" t="s">
        <v>15958</v>
      </c>
      <c r="C1313" s="7" t="s">
        <v>1810</v>
      </c>
      <c r="D1313" s="7" t="s">
        <v>305</v>
      </c>
      <c r="E1313" s="7" t="s">
        <v>154</v>
      </c>
      <c r="F1313" s="39" t="n">
        <v>45726</v>
      </c>
      <c r="G1313" s="41" t="n">
        <v>112.89</v>
      </c>
      <c r="H1313" s="39" t="n">
        <v>45761</v>
      </c>
      <c r="I1313" s="7" t="s">
        <v>14651</v>
      </c>
      <c r="J1313" s="8" t="str">
        <f aca="false">IF(I1313="Open",DATE(2025,12,31)-F1313,"-")</f>
        <v>-</v>
      </c>
    </row>
    <row r="1314" customFormat="false" ht="15" hidden="false" customHeight="false" outlineLevel="0" collapsed="false">
      <c r="B1314" s="7" t="s">
        <v>15959</v>
      </c>
      <c r="C1314" s="7" t="s">
        <v>1811</v>
      </c>
      <c r="D1314" s="7" t="s">
        <v>309</v>
      </c>
      <c r="E1314" s="7" t="s">
        <v>159</v>
      </c>
      <c r="F1314" s="39" t="n">
        <v>45726</v>
      </c>
      <c r="G1314" s="41" t="n">
        <v>128.25</v>
      </c>
      <c r="H1314" s="39" t="n">
        <v>45777</v>
      </c>
      <c r="I1314" s="7" t="s">
        <v>14651</v>
      </c>
      <c r="J1314" s="8" t="str">
        <f aca="false">IF(I1314="Open",DATE(2025,12,31)-F1314,"-")</f>
        <v>-</v>
      </c>
    </row>
    <row r="1315" customFormat="false" ht="15" hidden="false" customHeight="false" outlineLevel="0" collapsed="false">
      <c r="B1315" s="7" t="s">
        <v>15960</v>
      </c>
      <c r="C1315" s="7" t="s">
        <v>1812</v>
      </c>
      <c r="D1315" s="7" t="s">
        <v>311</v>
      </c>
      <c r="E1315" s="7" t="s">
        <v>154</v>
      </c>
      <c r="F1315" s="39" t="n">
        <v>45726</v>
      </c>
      <c r="G1315" s="41" t="n">
        <v>83.21</v>
      </c>
      <c r="H1315" s="39" t="n">
        <v>45757</v>
      </c>
      <c r="I1315" s="7" t="s">
        <v>14651</v>
      </c>
      <c r="J1315" s="8" t="str">
        <f aca="false">IF(I1315="Open",DATE(2025,12,31)-F1315,"-")</f>
        <v>-</v>
      </c>
    </row>
    <row r="1316" customFormat="false" ht="15" hidden="false" customHeight="false" outlineLevel="0" collapsed="false">
      <c r="B1316" s="7" t="s">
        <v>15961</v>
      </c>
      <c r="C1316" s="7" t="s">
        <v>1813</v>
      </c>
      <c r="D1316" s="7" t="s">
        <v>313</v>
      </c>
      <c r="E1316" s="7" t="s">
        <v>156</v>
      </c>
      <c r="F1316" s="39" t="n">
        <v>45726</v>
      </c>
      <c r="G1316" s="41" t="n">
        <v>143.48</v>
      </c>
      <c r="H1316" s="39" t="n">
        <v>45744</v>
      </c>
      <c r="I1316" s="7" t="s">
        <v>14651</v>
      </c>
      <c r="J1316" s="8" t="str">
        <f aca="false">IF(I1316="Open",DATE(2025,12,31)-F1316,"-")</f>
        <v>-</v>
      </c>
    </row>
    <row r="1317" customFormat="false" ht="15" hidden="false" customHeight="false" outlineLevel="0" collapsed="false">
      <c r="B1317" s="7" t="s">
        <v>15962</v>
      </c>
      <c r="C1317" s="7" t="s">
        <v>1814</v>
      </c>
      <c r="D1317" s="7" t="s">
        <v>317</v>
      </c>
      <c r="E1317" s="7" t="s">
        <v>156</v>
      </c>
      <c r="F1317" s="39" t="n">
        <v>45726</v>
      </c>
      <c r="G1317" s="41" t="n">
        <v>101.32</v>
      </c>
      <c r="H1317" s="39" t="n">
        <v>45733</v>
      </c>
      <c r="I1317" s="7" t="s">
        <v>14651</v>
      </c>
      <c r="J1317" s="8" t="str">
        <f aca="false">IF(I1317="Open",DATE(2025,12,31)-F1317,"-")</f>
        <v>-</v>
      </c>
    </row>
    <row r="1318" customFormat="false" ht="15" hidden="false" customHeight="false" outlineLevel="0" collapsed="false">
      <c r="B1318" s="7" t="s">
        <v>15963</v>
      </c>
      <c r="C1318" s="7" t="s">
        <v>1815</v>
      </c>
      <c r="D1318" s="7" t="s">
        <v>321</v>
      </c>
      <c r="E1318" s="7" t="s">
        <v>154</v>
      </c>
      <c r="F1318" s="39" t="n">
        <v>45726</v>
      </c>
      <c r="G1318" s="41" t="n">
        <v>99.22</v>
      </c>
      <c r="H1318" s="39" t="n">
        <v>45778</v>
      </c>
      <c r="I1318" s="7" t="s">
        <v>14651</v>
      </c>
      <c r="J1318" s="8" t="str">
        <f aca="false">IF(I1318="Open",DATE(2025,12,31)-F1318,"-")</f>
        <v>-</v>
      </c>
    </row>
    <row r="1319" customFormat="false" ht="15" hidden="false" customHeight="false" outlineLevel="0" collapsed="false">
      <c r="B1319" s="7" t="s">
        <v>15964</v>
      </c>
      <c r="C1319" s="7" t="s">
        <v>1816</v>
      </c>
      <c r="D1319" s="7" t="s">
        <v>325</v>
      </c>
      <c r="E1319" s="7" t="s">
        <v>154</v>
      </c>
      <c r="F1319" s="39" t="n">
        <v>45726</v>
      </c>
      <c r="G1319" s="41" t="n">
        <v>86.39</v>
      </c>
      <c r="H1319" s="39" t="n">
        <v>45829</v>
      </c>
      <c r="I1319" s="7" t="s">
        <v>14651</v>
      </c>
      <c r="J1319" s="8" t="str">
        <f aca="false">IF(I1319="Open",DATE(2025,12,31)-F1319,"-")</f>
        <v>-</v>
      </c>
    </row>
    <row r="1320" customFormat="false" ht="15" hidden="false" customHeight="false" outlineLevel="0" collapsed="false">
      <c r="B1320" s="7" t="s">
        <v>15965</v>
      </c>
      <c r="C1320" s="7" t="s">
        <v>1817</v>
      </c>
      <c r="D1320" s="7" t="s">
        <v>329</v>
      </c>
      <c r="E1320" s="7" t="s">
        <v>156</v>
      </c>
      <c r="F1320" s="39" t="n">
        <v>45726</v>
      </c>
      <c r="G1320" s="41" t="n">
        <v>139.74</v>
      </c>
      <c r="H1320" s="39" t="n">
        <v>45744</v>
      </c>
      <c r="I1320" s="7" t="s">
        <v>14651</v>
      </c>
      <c r="J1320" s="8" t="str">
        <f aca="false">IF(I1320="Open",DATE(2025,12,31)-F1320,"-")</f>
        <v>-</v>
      </c>
    </row>
    <row r="1321" customFormat="false" ht="15" hidden="false" customHeight="false" outlineLevel="0" collapsed="false">
      <c r="B1321" s="7" t="s">
        <v>15966</v>
      </c>
      <c r="C1321" s="7" t="s">
        <v>1818</v>
      </c>
      <c r="D1321" s="7" t="s">
        <v>331</v>
      </c>
      <c r="E1321" s="7" t="s">
        <v>156</v>
      </c>
      <c r="F1321" s="39" t="n">
        <v>45726</v>
      </c>
      <c r="G1321" s="41" t="n">
        <v>145.86</v>
      </c>
      <c r="H1321" s="39" t="n">
        <v>45734</v>
      </c>
      <c r="I1321" s="7" t="s">
        <v>14651</v>
      </c>
      <c r="J1321" s="8" t="str">
        <f aca="false">IF(I1321="Open",DATE(2025,12,31)-F1321,"-")</f>
        <v>-</v>
      </c>
    </row>
    <row r="1322" customFormat="false" ht="15" hidden="false" customHeight="false" outlineLevel="0" collapsed="false">
      <c r="B1322" s="7" t="s">
        <v>15967</v>
      </c>
      <c r="C1322" s="7" t="s">
        <v>1819</v>
      </c>
      <c r="D1322" s="7" t="s">
        <v>335</v>
      </c>
      <c r="E1322" s="7" t="s">
        <v>154</v>
      </c>
      <c r="F1322" s="39" t="n">
        <v>45726</v>
      </c>
      <c r="G1322" s="41" t="n">
        <v>108.92</v>
      </c>
      <c r="H1322" s="39" t="n">
        <v>45774</v>
      </c>
      <c r="I1322" s="7" t="s">
        <v>14651</v>
      </c>
      <c r="J1322" s="8" t="str">
        <f aca="false">IF(I1322="Open",DATE(2025,12,31)-F1322,"-")</f>
        <v>-</v>
      </c>
    </row>
    <row r="1323" customFormat="false" ht="15" hidden="false" customHeight="false" outlineLevel="0" collapsed="false">
      <c r="B1323" s="7" t="s">
        <v>15968</v>
      </c>
      <c r="C1323" s="7" t="s">
        <v>1820</v>
      </c>
      <c r="D1323" s="7" t="s">
        <v>337</v>
      </c>
      <c r="E1323" s="7" t="s">
        <v>154</v>
      </c>
      <c r="F1323" s="39" t="n">
        <v>45726</v>
      </c>
      <c r="G1323" s="41" t="n">
        <v>76.06</v>
      </c>
      <c r="H1323" s="39" t="n">
        <v>45797</v>
      </c>
      <c r="I1323" s="7" t="s">
        <v>14651</v>
      </c>
      <c r="J1323" s="8" t="str">
        <f aca="false">IF(I1323="Open",DATE(2025,12,31)-F1323,"-")</f>
        <v>-</v>
      </c>
    </row>
    <row r="1324" customFormat="false" ht="15" hidden="false" customHeight="false" outlineLevel="0" collapsed="false">
      <c r="B1324" s="7" t="s">
        <v>15969</v>
      </c>
      <c r="C1324" s="7" t="s">
        <v>1821</v>
      </c>
      <c r="D1324" s="7" t="s">
        <v>339</v>
      </c>
      <c r="E1324" s="7" t="s">
        <v>154</v>
      </c>
      <c r="F1324" s="39" t="n">
        <v>45726</v>
      </c>
      <c r="G1324" s="41" t="n">
        <v>79.77</v>
      </c>
      <c r="H1324" s="39" t="n">
        <v>45759</v>
      </c>
      <c r="I1324" s="7" t="s">
        <v>14651</v>
      </c>
      <c r="J1324" s="8" t="str">
        <f aca="false">IF(I1324="Open",DATE(2025,12,31)-F1324,"-")</f>
        <v>-</v>
      </c>
    </row>
    <row r="1325" customFormat="false" ht="15" hidden="false" customHeight="false" outlineLevel="0" collapsed="false">
      <c r="B1325" s="7" t="s">
        <v>15970</v>
      </c>
      <c r="C1325" s="7" t="s">
        <v>1822</v>
      </c>
      <c r="D1325" s="7" t="s">
        <v>341</v>
      </c>
      <c r="E1325" s="7" t="s">
        <v>156</v>
      </c>
      <c r="F1325" s="39" t="n">
        <v>45726</v>
      </c>
      <c r="G1325" s="41" t="n">
        <v>101.66</v>
      </c>
      <c r="H1325" s="39" t="n">
        <v>45736</v>
      </c>
      <c r="I1325" s="7" t="s">
        <v>14651</v>
      </c>
      <c r="J1325" s="8" t="str">
        <f aca="false">IF(I1325="Open",DATE(2025,12,31)-F1325,"-")</f>
        <v>-</v>
      </c>
    </row>
    <row r="1326" customFormat="false" ht="15" hidden="false" customHeight="false" outlineLevel="0" collapsed="false">
      <c r="B1326" s="7" t="s">
        <v>15971</v>
      </c>
      <c r="C1326" s="7" t="s">
        <v>1823</v>
      </c>
      <c r="D1326" s="7" t="s">
        <v>343</v>
      </c>
      <c r="E1326" s="7" t="s">
        <v>154</v>
      </c>
      <c r="F1326" s="39" t="n">
        <v>45726</v>
      </c>
      <c r="G1326" s="41" t="n">
        <v>94.34</v>
      </c>
      <c r="H1326" s="39" t="n">
        <v>45765</v>
      </c>
      <c r="I1326" s="7" t="s">
        <v>14651</v>
      </c>
      <c r="J1326" s="8" t="str">
        <f aca="false">IF(I1326="Open",DATE(2025,12,31)-F1326,"-")</f>
        <v>-</v>
      </c>
    </row>
    <row r="1327" customFormat="false" ht="15" hidden="false" customHeight="false" outlineLevel="0" collapsed="false">
      <c r="B1327" s="7" t="s">
        <v>15972</v>
      </c>
      <c r="C1327" s="7" t="s">
        <v>1824</v>
      </c>
      <c r="D1327" s="7" t="s">
        <v>353</v>
      </c>
      <c r="E1327" s="7" t="s">
        <v>154</v>
      </c>
      <c r="F1327" s="39" t="n">
        <v>45726</v>
      </c>
      <c r="G1327" s="41" t="n">
        <v>90.37</v>
      </c>
      <c r="H1327" s="39" t="n">
        <v>45781</v>
      </c>
      <c r="I1327" s="7" t="s">
        <v>14651</v>
      </c>
      <c r="J1327" s="8" t="str">
        <f aca="false">IF(I1327="Open",DATE(2025,12,31)-F1327,"-")</f>
        <v>-</v>
      </c>
    </row>
    <row r="1328" customFormat="false" ht="15" hidden="false" customHeight="false" outlineLevel="0" collapsed="false">
      <c r="B1328" s="7" t="s">
        <v>15973</v>
      </c>
      <c r="C1328" s="7" t="s">
        <v>1825</v>
      </c>
      <c r="D1328" s="7" t="s">
        <v>355</v>
      </c>
      <c r="E1328" s="7" t="s">
        <v>154</v>
      </c>
      <c r="F1328" s="39" t="n">
        <v>45726</v>
      </c>
      <c r="G1328" s="41" t="n">
        <v>90.63</v>
      </c>
      <c r="H1328" s="39" t="n">
        <v>45843</v>
      </c>
      <c r="I1328" s="7" t="s">
        <v>14651</v>
      </c>
      <c r="J1328" s="8" t="str">
        <f aca="false">IF(I1328="Open",DATE(2025,12,31)-F1328,"-")</f>
        <v>-</v>
      </c>
    </row>
    <row r="1329" customFormat="false" ht="15" hidden="false" customHeight="false" outlineLevel="0" collapsed="false">
      <c r="B1329" s="7" t="s">
        <v>15974</v>
      </c>
      <c r="C1329" s="7" t="s">
        <v>1826</v>
      </c>
      <c r="D1329" s="7" t="s">
        <v>357</v>
      </c>
      <c r="E1329" s="7" t="s">
        <v>154</v>
      </c>
      <c r="F1329" s="39" t="n">
        <v>45726</v>
      </c>
      <c r="G1329" s="41" t="n">
        <v>89.2</v>
      </c>
      <c r="H1329" s="39" t="n">
        <v>45767</v>
      </c>
      <c r="I1329" s="7" t="s">
        <v>14651</v>
      </c>
      <c r="J1329" s="8" t="str">
        <f aca="false">IF(I1329="Open",DATE(2025,12,31)-F1329,"-")</f>
        <v>-</v>
      </c>
    </row>
    <row r="1330" customFormat="false" ht="15" hidden="false" customHeight="false" outlineLevel="0" collapsed="false">
      <c r="B1330" s="7" t="s">
        <v>15975</v>
      </c>
      <c r="C1330" s="7" t="s">
        <v>1827</v>
      </c>
      <c r="D1330" s="7" t="s">
        <v>359</v>
      </c>
      <c r="E1330" s="7" t="s">
        <v>156</v>
      </c>
      <c r="F1330" s="39" t="n">
        <v>45726</v>
      </c>
      <c r="G1330" s="41" t="n">
        <v>128.86</v>
      </c>
      <c r="H1330" s="39" t="n">
        <v>45746</v>
      </c>
      <c r="I1330" s="7" t="s">
        <v>14651</v>
      </c>
      <c r="J1330" s="8" t="str">
        <f aca="false">IF(I1330="Open",DATE(2025,12,31)-F1330,"-")</f>
        <v>-</v>
      </c>
    </row>
    <row r="1331" customFormat="false" ht="15" hidden="false" customHeight="false" outlineLevel="0" collapsed="false">
      <c r="B1331" s="7" t="s">
        <v>15976</v>
      </c>
      <c r="C1331" s="7" t="s">
        <v>1828</v>
      </c>
      <c r="D1331" s="7" t="s">
        <v>363</v>
      </c>
      <c r="E1331" s="7" t="s">
        <v>156</v>
      </c>
      <c r="F1331" s="39" t="n">
        <v>45726</v>
      </c>
      <c r="G1331" s="41" t="n">
        <v>143.14</v>
      </c>
      <c r="H1331" s="39" t="n">
        <v>45737</v>
      </c>
      <c r="I1331" s="7" t="s">
        <v>14651</v>
      </c>
      <c r="J1331" s="8" t="str">
        <f aca="false">IF(I1331="Open",DATE(2025,12,31)-F1331,"-")</f>
        <v>-</v>
      </c>
    </row>
    <row r="1332" customFormat="false" ht="15" hidden="false" customHeight="false" outlineLevel="0" collapsed="false">
      <c r="B1332" s="7" t="s">
        <v>15977</v>
      </c>
      <c r="C1332" s="7" t="s">
        <v>1829</v>
      </c>
      <c r="D1332" s="7" t="s">
        <v>371</v>
      </c>
      <c r="E1332" s="7" t="s">
        <v>154</v>
      </c>
      <c r="F1332" s="39" t="n">
        <v>45726</v>
      </c>
      <c r="G1332" s="41" t="n">
        <v>116.07</v>
      </c>
      <c r="H1332" s="39" t="n">
        <v>45818</v>
      </c>
      <c r="I1332" s="7" t="s">
        <v>14651</v>
      </c>
      <c r="J1332" s="8" t="str">
        <f aca="false">IF(I1332="Open",DATE(2025,12,31)-F1332,"-")</f>
        <v>-</v>
      </c>
    </row>
    <row r="1333" customFormat="false" ht="15" hidden="false" customHeight="false" outlineLevel="0" collapsed="false">
      <c r="B1333" s="7" t="s">
        <v>15978</v>
      </c>
      <c r="C1333" s="7" t="s">
        <v>1830</v>
      </c>
      <c r="D1333" s="7" t="s">
        <v>375</v>
      </c>
      <c r="E1333" s="7" t="s">
        <v>156</v>
      </c>
      <c r="F1333" s="39" t="n">
        <v>45726</v>
      </c>
      <c r="G1333" s="41" t="n">
        <v>94.52</v>
      </c>
      <c r="H1333" s="39" t="n">
        <v>45738</v>
      </c>
      <c r="I1333" s="7" t="s">
        <v>14651</v>
      </c>
      <c r="J1333" s="8" t="str">
        <f aca="false">IF(I1333="Open",DATE(2025,12,31)-F1333,"-")</f>
        <v>-</v>
      </c>
    </row>
    <row r="1334" customFormat="false" ht="15" hidden="false" customHeight="false" outlineLevel="0" collapsed="false">
      <c r="B1334" s="7" t="s">
        <v>15979</v>
      </c>
      <c r="C1334" s="7" t="s">
        <v>1831</v>
      </c>
      <c r="D1334" s="7" t="s">
        <v>377</v>
      </c>
      <c r="E1334" s="7" t="s">
        <v>154</v>
      </c>
      <c r="F1334" s="39" t="n">
        <v>45726</v>
      </c>
      <c r="G1334" s="41" t="n">
        <v>104.68</v>
      </c>
      <c r="H1334" s="39" t="n">
        <v>45785</v>
      </c>
      <c r="I1334" s="7" t="s">
        <v>14651</v>
      </c>
      <c r="J1334" s="8" t="str">
        <f aca="false">IF(I1334="Open",DATE(2025,12,31)-F1334,"-")</f>
        <v>-</v>
      </c>
    </row>
    <row r="1335" customFormat="false" ht="15" hidden="false" customHeight="false" outlineLevel="0" collapsed="false">
      <c r="B1335" s="7" t="s">
        <v>15980</v>
      </c>
      <c r="C1335" s="7" t="s">
        <v>1832</v>
      </c>
      <c r="D1335" s="7" t="s">
        <v>379</v>
      </c>
      <c r="E1335" s="7" t="s">
        <v>156</v>
      </c>
      <c r="F1335" s="39" t="n">
        <v>45726</v>
      </c>
      <c r="G1335" s="41" t="n">
        <v>148.92</v>
      </c>
      <c r="H1335" s="39" t="n">
        <v>45739</v>
      </c>
      <c r="I1335" s="7" t="s">
        <v>14651</v>
      </c>
      <c r="J1335" s="8" t="str">
        <f aca="false">IF(I1335="Open",DATE(2025,12,31)-F1335,"-")</f>
        <v>-</v>
      </c>
    </row>
    <row r="1336" customFormat="false" ht="15" hidden="false" customHeight="false" outlineLevel="0" collapsed="false">
      <c r="B1336" s="7" t="s">
        <v>15981</v>
      </c>
      <c r="C1336" s="7" t="s">
        <v>1833</v>
      </c>
      <c r="D1336" s="7" t="s">
        <v>389</v>
      </c>
      <c r="E1336" s="7" t="s">
        <v>154</v>
      </c>
      <c r="F1336" s="39" t="n">
        <v>45726</v>
      </c>
      <c r="G1336" s="41" t="n">
        <v>111.04</v>
      </c>
      <c r="H1336" s="39" t="n">
        <v>45798</v>
      </c>
      <c r="I1336" s="7" t="s">
        <v>14651</v>
      </c>
      <c r="J1336" s="8" t="str">
        <f aca="false">IF(I1336="Open",DATE(2025,12,31)-F1336,"-")</f>
        <v>-</v>
      </c>
    </row>
    <row r="1337" customFormat="false" ht="15" hidden="false" customHeight="false" outlineLevel="0" collapsed="false">
      <c r="B1337" s="7" t="s">
        <v>15982</v>
      </c>
      <c r="C1337" s="7" t="s">
        <v>1834</v>
      </c>
      <c r="D1337" s="7" t="s">
        <v>391</v>
      </c>
      <c r="E1337" s="7" t="s">
        <v>156</v>
      </c>
      <c r="F1337" s="39" t="n">
        <v>45726</v>
      </c>
      <c r="G1337" s="41" t="n">
        <v>147.22</v>
      </c>
      <c r="H1337" s="39" t="n">
        <v>45739</v>
      </c>
      <c r="I1337" s="7" t="s">
        <v>14651</v>
      </c>
      <c r="J1337" s="8" t="str">
        <f aca="false">IF(I1337="Open",DATE(2025,12,31)-F1337,"-")</f>
        <v>-</v>
      </c>
    </row>
    <row r="1338" customFormat="false" ht="15" hidden="false" customHeight="false" outlineLevel="0" collapsed="false">
      <c r="B1338" s="7" t="s">
        <v>15983</v>
      </c>
      <c r="C1338" s="7" t="s">
        <v>1835</v>
      </c>
      <c r="D1338" s="7" t="s">
        <v>395</v>
      </c>
      <c r="E1338" s="7" t="s">
        <v>156</v>
      </c>
      <c r="F1338" s="39" t="n">
        <v>45726</v>
      </c>
      <c r="G1338" s="41" t="n">
        <v>126.48</v>
      </c>
      <c r="H1338" s="39" t="n">
        <v>45736</v>
      </c>
      <c r="I1338" s="7" t="s">
        <v>14651</v>
      </c>
      <c r="J1338" s="8" t="str">
        <f aca="false">IF(I1338="Open",DATE(2025,12,31)-F1338,"-")</f>
        <v>-</v>
      </c>
    </row>
    <row r="1339" customFormat="false" ht="15" hidden="false" customHeight="false" outlineLevel="0" collapsed="false">
      <c r="B1339" s="7" t="s">
        <v>15984</v>
      </c>
      <c r="C1339" s="7" t="s">
        <v>1836</v>
      </c>
      <c r="D1339" s="7" t="s">
        <v>401</v>
      </c>
      <c r="E1339" s="7" t="s">
        <v>156</v>
      </c>
      <c r="F1339" s="39" t="n">
        <v>45726</v>
      </c>
      <c r="G1339" s="41" t="n">
        <v>136</v>
      </c>
      <c r="H1339" s="39" t="n">
        <v>45733</v>
      </c>
      <c r="I1339" s="7" t="s">
        <v>14651</v>
      </c>
      <c r="J1339" s="8" t="str">
        <f aca="false">IF(I1339="Open",DATE(2025,12,31)-F1339,"-")</f>
        <v>-</v>
      </c>
    </row>
    <row r="1340" customFormat="false" ht="15" hidden="false" customHeight="false" outlineLevel="0" collapsed="false">
      <c r="B1340" s="7" t="s">
        <v>15985</v>
      </c>
      <c r="C1340" s="7" t="s">
        <v>1837</v>
      </c>
      <c r="D1340" s="7" t="s">
        <v>409</v>
      </c>
      <c r="E1340" s="7" t="s">
        <v>154</v>
      </c>
      <c r="F1340" s="39" t="n">
        <v>45726</v>
      </c>
      <c r="G1340" s="41" t="n">
        <v>90.37</v>
      </c>
      <c r="H1340" s="39" t="n">
        <v>45837</v>
      </c>
      <c r="I1340" s="7" t="s">
        <v>14651</v>
      </c>
      <c r="J1340" s="8" t="str">
        <f aca="false">IF(I1340="Open",DATE(2025,12,31)-F1340,"-")</f>
        <v>-</v>
      </c>
    </row>
    <row r="1341" customFormat="false" ht="15" hidden="false" customHeight="false" outlineLevel="0" collapsed="false">
      <c r="B1341" s="7" t="s">
        <v>15986</v>
      </c>
      <c r="C1341" s="7" t="s">
        <v>1838</v>
      </c>
      <c r="D1341" s="7" t="s">
        <v>411</v>
      </c>
      <c r="E1341" s="7" t="s">
        <v>154</v>
      </c>
      <c r="F1341" s="39" t="n">
        <v>45726</v>
      </c>
      <c r="G1341" s="41" t="n">
        <v>119.25</v>
      </c>
      <c r="H1341" s="39" t="n">
        <v>45758</v>
      </c>
      <c r="I1341" s="7" t="s">
        <v>14651</v>
      </c>
      <c r="J1341" s="8" t="str">
        <f aca="false">IF(I1341="Open",DATE(2025,12,31)-F1341,"-")</f>
        <v>-</v>
      </c>
    </row>
    <row r="1342" customFormat="false" ht="15" hidden="false" customHeight="false" outlineLevel="0" collapsed="false">
      <c r="B1342" s="7" t="s">
        <v>15987</v>
      </c>
      <c r="C1342" s="7" t="s">
        <v>1839</v>
      </c>
      <c r="D1342" s="7" t="s">
        <v>288</v>
      </c>
      <c r="E1342" s="7" t="s">
        <v>156</v>
      </c>
      <c r="F1342" s="39" t="n">
        <v>45727</v>
      </c>
      <c r="G1342" s="41" t="n">
        <v>144.84</v>
      </c>
      <c r="H1342" s="39" t="n">
        <v>45736</v>
      </c>
      <c r="I1342" s="7" t="s">
        <v>14651</v>
      </c>
      <c r="J1342" s="8" t="str">
        <f aca="false">IF(I1342="Open",DATE(2025,12,31)-F1342,"-")</f>
        <v>-</v>
      </c>
    </row>
    <row r="1343" customFormat="false" ht="15" hidden="false" customHeight="false" outlineLevel="0" collapsed="false">
      <c r="B1343" s="7" t="s">
        <v>15988</v>
      </c>
      <c r="C1343" s="7" t="s">
        <v>1840</v>
      </c>
      <c r="D1343" s="7" t="s">
        <v>301</v>
      </c>
      <c r="E1343" s="7" t="s">
        <v>157</v>
      </c>
      <c r="F1343" s="39" t="n">
        <v>45727</v>
      </c>
      <c r="G1343" s="41" t="n">
        <v>173.25</v>
      </c>
      <c r="H1343" s="39" t="n">
        <v>45775</v>
      </c>
      <c r="I1343" s="7" t="s">
        <v>14651</v>
      </c>
      <c r="J1343" s="8" t="str">
        <f aca="false">IF(I1343="Open",DATE(2025,12,31)-F1343,"-")</f>
        <v>-</v>
      </c>
    </row>
    <row r="1344" customFormat="false" ht="15" hidden="false" customHeight="false" outlineLevel="0" collapsed="false">
      <c r="B1344" s="7" t="s">
        <v>15989</v>
      </c>
      <c r="C1344" s="7" t="s">
        <v>1841</v>
      </c>
      <c r="D1344" s="7" t="s">
        <v>313</v>
      </c>
      <c r="E1344" s="7" t="s">
        <v>156</v>
      </c>
      <c r="F1344" s="39" t="n">
        <v>45727</v>
      </c>
      <c r="G1344" s="41" t="n">
        <v>133.62</v>
      </c>
      <c r="H1344" s="39" t="n">
        <v>45739</v>
      </c>
      <c r="I1344" s="7" t="s">
        <v>14651</v>
      </c>
      <c r="J1344" s="8" t="str">
        <f aca="false">IF(I1344="Open",DATE(2025,12,31)-F1344,"-")</f>
        <v>-</v>
      </c>
    </row>
    <row r="1345" customFormat="false" ht="15" hidden="false" customHeight="false" outlineLevel="0" collapsed="false">
      <c r="B1345" s="7" t="s">
        <v>15990</v>
      </c>
      <c r="C1345" s="7" t="s">
        <v>1842</v>
      </c>
      <c r="D1345" s="7" t="s">
        <v>319</v>
      </c>
      <c r="E1345" s="7" t="s">
        <v>157</v>
      </c>
      <c r="F1345" s="39" t="n">
        <v>45727</v>
      </c>
      <c r="G1345" s="41" t="n">
        <v>169.95</v>
      </c>
      <c r="H1345" s="39" t="n">
        <v>45791</v>
      </c>
      <c r="I1345" s="7" t="s">
        <v>14651</v>
      </c>
      <c r="J1345" s="8" t="str">
        <f aca="false">IF(I1345="Open",DATE(2025,12,31)-F1345,"-")</f>
        <v>-</v>
      </c>
    </row>
    <row r="1346" customFormat="false" ht="15" hidden="false" customHeight="false" outlineLevel="0" collapsed="false">
      <c r="B1346" s="7" t="s">
        <v>15991</v>
      </c>
      <c r="C1346" s="7" t="s">
        <v>1843</v>
      </c>
      <c r="D1346" s="7" t="s">
        <v>321</v>
      </c>
      <c r="E1346" s="7" t="s">
        <v>154</v>
      </c>
      <c r="F1346" s="39" t="n">
        <v>45727</v>
      </c>
      <c r="G1346" s="41" t="n">
        <v>96.14</v>
      </c>
      <c r="H1346" s="39" t="n">
        <v>45831</v>
      </c>
      <c r="I1346" s="7" t="s">
        <v>14651</v>
      </c>
      <c r="J1346" s="8" t="str">
        <f aca="false">IF(I1346="Open",DATE(2025,12,31)-F1346,"-")</f>
        <v>-</v>
      </c>
    </row>
    <row r="1347" customFormat="false" ht="15" hidden="false" customHeight="false" outlineLevel="0" collapsed="false">
      <c r="B1347" s="7" t="s">
        <v>15992</v>
      </c>
      <c r="C1347" s="7" t="s">
        <v>1844</v>
      </c>
      <c r="D1347" s="7" t="s">
        <v>323</v>
      </c>
      <c r="E1347" s="7" t="s">
        <v>159</v>
      </c>
      <c r="F1347" s="39" t="n">
        <v>45727</v>
      </c>
      <c r="G1347" s="41" t="n">
        <v>126.9</v>
      </c>
      <c r="H1347" s="39" t="n">
        <v>45816</v>
      </c>
      <c r="I1347" s="7" t="s">
        <v>14651</v>
      </c>
      <c r="J1347" s="8" t="str">
        <f aca="false">IF(I1347="Open",DATE(2025,12,31)-F1347,"-")</f>
        <v>-</v>
      </c>
    </row>
    <row r="1348" customFormat="false" ht="15" hidden="false" customHeight="false" outlineLevel="0" collapsed="false">
      <c r="B1348" s="7" t="s">
        <v>15993</v>
      </c>
      <c r="C1348" s="7" t="s">
        <v>1845</v>
      </c>
      <c r="D1348" s="7" t="s">
        <v>327</v>
      </c>
      <c r="E1348" s="7" t="s">
        <v>157</v>
      </c>
      <c r="F1348" s="39" t="n">
        <v>45727</v>
      </c>
      <c r="G1348" s="41" t="n">
        <v>161.7</v>
      </c>
      <c r="H1348" s="39" t="n">
        <v>45824</v>
      </c>
      <c r="I1348" s="7" t="s">
        <v>14651</v>
      </c>
      <c r="J1348" s="8" t="str">
        <f aca="false">IF(I1348="Open",DATE(2025,12,31)-F1348,"-")</f>
        <v>-</v>
      </c>
    </row>
    <row r="1349" customFormat="false" ht="15" hidden="false" customHeight="false" outlineLevel="0" collapsed="false">
      <c r="B1349" s="7" t="s">
        <v>15994</v>
      </c>
      <c r="C1349" s="7" t="s">
        <v>1846</v>
      </c>
      <c r="D1349" s="7" t="s">
        <v>329</v>
      </c>
      <c r="E1349" s="7" t="s">
        <v>156</v>
      </c>
      <c r="F1349" s="39" t="n">
        <v>45727</v>
      </c>
      <c r="G1349" s="41" t="n">
        <v>138.38</v>
      </c>
      <c r="H1349" s="39" t="n">
        <v>45744</v>
      </c>
      <c r="I1349" s="7" t="s">
        <v>14651</v>
      </c>
      <c r="J1349" s="8" t="str">
        <f aca="false">IF(I1349="Open",DATE(2025,12,31)-F1349,"-")</f>
        <v>-</v>
      </c>
    </row>
    <row r="1350" customFormat="false" ht="15" hidden="false" customHeight="false" outlineLevel="0" collapsed="false">
      <c r="B1350" s="7" t="s">
        <v>15995</v>
      </c>
      <c r="C1350" s="7" t="s">
        <v>1847</v>
      </c>
      <c r="D1350" s="7" t="s">
        <v>361</v>
      </c>
      <c r="E1350" s="7" t="s">
        <v>157</v>
      </c>
      <c r="F1350" s="39" t="n">
        <v>45727</v>
      </c>
      <c r="G1350" s="41" t="n">
        <v>169.95</v>
      </c>
      <c r="H1350" s="39" t="n">
        <v>45788</v>
      </c>
      <c r="I1350" s="7" t="s">
        <v>14651</v>
      </c>
      <c r="J1350" s="8" t="str">
        <f aca="false">IF(I1350="Open",DATE(2025,12,31)-F1350,"-")</f>
        <v>-</v>
      </c>
    </row>
    <row r="1351" customFormat="false" ht="15" hidden="false" customHeight="false" outlineLevel="0" collapsed="false">
      <c r="B1351" s="7" t="s">
        <v>15996</v>
      </c>
      <c r="C1351" s="7" t="s">
        <v>1848</v>
      </c>
      <c r="D1351" s="7" t="s">
        <v>381</v>
      </c>
      <c r="E1351" s="7" t="s">
        <v>157</v>
      </c>
      <c r="F1351" s="39" t="n">
        <v>45727</v>
      </c>
      <c r="G1351" s="41" t="n">
        <v>163.35</v>
      </c>
      <c r="H1351" s="39" t="n">
        <v>45752</v>
      </c>
      <c r="I1351" s="7" t="s">
        <v>14651</v>
      </c>
      <c r="J1351" s="8" t="str">
        <f aca="false">IF(I1351="Open",DATE(2025,12,31)-F1351,"-")</f>
        <v>-</v>
      </c>
    </row>
    <row r="1352" customFormat="false" ht="15" hidden="false" customHeight="false" outlineLevel="0" collapsed="false">
      <c r="B1352" s="7" t="s">
        <v>15997</v>
      </c>
      <c r="C1352" s="7" t="s">
        <v>1849</v>
      </c>
      <c r="D1352" s="7" t="s">
        <v>389</v>
      </c>
      <c r="E1352" s="7" t="s">
        <v>154</v>
      </c>
      <c r="F1352" s="39" t="n">
        <v>45727</v>
      </c>
      <c r="G1352" s="41" t="n">
        <v>111.04</v>
      </c>
      <c r="H1352" s="39" t="n">
        <v>45770</v>
      </c>
      <c r="I1352" s="7" t="s">
        <v>14651</v>
      </c>
      <c r="J1352" s="8" t="str">
        <f aca="false">IF(I1352="Open",DATE(2025,12,31)-F1352,"-")</f>
        <v>-</v>
      </c>
    </row>
    <row r="1353" customFormat="false" ht="15" hidden="false" customHeight="false" outlineLevel="0" collapsed="false">
      <c r="B1353" s="7" t="s">
        <v>15998</v>
      </c>
      <c r="C1353" s="7" t="s">
        <v>1850</v>
      </c>
      <c r="D1353" s="7" t="s">
        <v>391</v>
      </c>
      <c r="E1353" s="7" t="s">
        <v>156</v>
      </c>
      <c r="F1353" s="39" t="n">
        <v>45727</v>
      </c>
      <c r="G1353" s="41" t="n">
        <v>144.16</v>
      </c>
      <c r="H1353" s="39" t="n">
        <v>45738</v>
      </c>
      <c r="I1353" s="7" t="s">
        <v>14651</v>
      </c>
      <c r="J1353" s="8" t="str">
        <f aca="false">IF(I1353="Open",DATE(2025,12,31)-F1353,"-")</f>
        <v>-</v>
      </c>
    </row>
    <row r="1354" customFormat="false" ht="15" hidden="false" customHeight="false" outlineLevel="0" collapsed="false">
      <c r="B1354" s="7" t="s">
        <v>15999</v>
      </c>
      <c r="C1354" s="7" t="s">
        <v>1851</v>
      </c>
      <c r="D1354" s="7" t="s">
        <v>395</v>
      </c>
      <c r="E1354" s="7" t="s">
        <v>156</v>
      </c>
      <c r="F1354" s="39" t="n">
        <v>45727</v>
      </c>
      <c r="G1354" s="41" t="n">
        <v>136.68</v>
      </c>
      <c r="H1354" s="39" t="n">
        <v>45736</v>
      </c>
      <c r="I1354" s="7" t="s">
        <v>14651</v>
      </c>
      <c r="J1354" s="8" t="str">
        <f aca="false">IF(I1354="Open",DATE(2025,12,31)-F1354,"-")</f>
        <v>-</v>
      </c>
    </row>
    <row r="1355" customFormat="false" ht="15" hidden="false" customHeight="false" outlineLevel="0" collapsed="false">
      <c r="B1355" s="7" t="s">
        <v>16000</v>
      </c>
      <c r="C1355" s="7" t="s">
        <v>1852</v>
      </c>
      <c r="D1355" s="7" t="s">
        <v>397</v>
      </c>
      <c r="E1355" s="7" t="s">
        <v>159</v>
      </c>
      <c r="F1355" s="39" t="n">
        <v>45727</v>
      </c>
      <c r="G1355" s="41" t="n">
        <v>124.2</v>
      </c>
      <c r="H1355" s="39" t="n">
        <v>45766</v>
      </c>
      <c r="I1355" s="7" t="s">
        <v>14651</v>
      </c>
      <c r="J1355" s="8" t="str">
        <f aca="false">IF(I1355="Open",DATE(2025,12,31)-F1355,"-")</f>
        <v>-</v>
      </c>
    </row>
    <row r="1356" customFormat="false" ht="15" hidden="false" customHeight="false" outlineLevel="0" collapsed="false">
      <c r="B1356" s="7" t="s">
        <v>16001</v>
      </c>
      <c r="C1356" s="7" t="s">
        <v>1853</v>
      </c>
      <c r="D1356" s="7" t="s">
        <v>401</v>
      </c>
      <c r="E1356" s="7" t="s">
        <v>156</v>
      </c>
      <c r="F1356" s="39" t="n">
        <v>45727</v>
      </c>
      <c r="G1356" s="41" t="n">
        <v>125.12</v>
      </c>
      <c r="H1356" s="39" t="n">
        <v>45736</v>
      </c>
      <c r="I1356" s="7" t="s">
        <v>14651</v>
      </c>
      <c r="J1356" s="8" t="str">
        <f aca="false">IF(I1356="Open",DATE(2025,12,31)-F1356,"-")</f>
        <v>-</v>
      </c>
    </row>
    <row r="1357" customFormat="false" ht="15" hidden="false" customHeight="false" outlineLevel="0" collapsed="false">
      <c r="B1357" s="7" t="s">
        <v>16002</v>
      </c>
      <c r="C1357" s="7" t="s">
        <v>1854</v>
      </c>
      <c r="D1357" s="7" t="s">
        <v>407</v>
      </c>
      <c r="E1357" s="7" t="s">
        <v>159</v>
      </c>
      <c r="F1357" s="39" t="n">
        <v>45727</v>
      </c>
      <c r="G1357" s="41" t="n">
        <v>126.9</v>
      </c>
      <c r="H1357" s="39" t="n">
        <v>45769</v>
      </c>
      <c r="I1357" s="7" t="s">
        <v>14651</v>
      </c>
      <c r="J1357" s="8" t="str">
        <f aca="false">IF(I1357="Open",DATE(2025,12,31)-F1357,"-")</f>
        <v>-</v>
      </c>
    </row>
    <row r="1358" customFormat="false" ht="15" hidden="false" customHeight="false" outlineLevel="0" collapsed="false">
      <c r="B1358" s="7" t="s">
        <v>16003</v>
      </c>
      <c r="C1358" s="7" t="s">
        <v>1855</v>
      </c>
      <c r="D1358" s="7" t="s">
        <v>280</v>
      </c>
      <c r="E1358" s="7" t="s">
        <v>157</v>
      </c>
      <c r="F1358" s="39" t="n">
        <v>45728</v>
      </c>
      <c r="G1358" s="41" t="n">
        <v>179.85</v>
      </c>
      <c r="H1358" s="39" t="n">
        <v>45776</v>
      </c>
      <c r="I1358" s="7" t="s">
        <v>14651</v>
      </c>
      <c r="J1358" s="8" t="str">
        <f aca="false">IF(I1358="Open",DATE(2025,12,31)-F1358,"-")</f>
        <v>-</v>
      </c>
    </row>
    <row r="1359" customFormat="false" ht="15" hidden="false" customHeight="false" outlineLevel="0" collapsed="false">
      <c r="B1359" s="7" t="s">
        <v>16004</v>
      </c>
      <c r="C1359" s="7" t="s">
        <v>1856</v>
      </c>
      <c r="D1359" s="7" t="s">
        <v>286</v>
      </c>
      <c r="E1359" s="7" t="s">
        <v>157</v>
      </c>
      <c r="F1359" s="39" t="n">
        <v>45728</v>
      </c>
      <c r="G1359" s="41" t="n">
        <v>173.25</v>
      </c>
      <c r="H1359" s="39" t="n">
        <v>45773</v>
      </c>
      <c r="I1359" s="7" t="s">
        <v>14651</v>
      </c>
      <c r="J1359" s="8" t="str">
        <f aca="false">IF(I1359="Open",DATE(2025,12,31)-F1359,"-")</f>
        <v>-</v>
      </c>
    </row>
    <row r="1360" customFormat="false" ht="15" hidden="false" customHeight="false" outlineLevel="0" collapsed="false">
      <c r="B1360" s="7" t="s">
        <v>16005</v>
      </c>
      <c r="C1360" s="7" t="s">
        <v>1857</v>
      </c>
      <c r="D1360" s="7" t="s">
        <v>288</v>
      </c>
      <c r="E1360" s="7" t="s">
        <v>156</v>
      </c>
      <c r="F1360" s="39" t="n">
        <v>45728</v>
      </c>
      <c r="G1360" s="41" t="n">
        <v>140.76</v>
      </c>
      <c r="H1360" s="39" t="n">
        <v>45746</v>
      </c>
      <c r="I1360" s="7" t="s">
        <v>14651</v>
      </c>
      <c r="J1360" s="8" t="str">
        <f aca="false">IF(I1360="Open",DATE(2025,12,31)-F1360,"-")</f>
        <v>-</v>
      </c>
    </row>
    <row r="1361" customFormat="false" ht="15" hidden="false" customHeight="false" outlineLevel="0" collapsed="false">
      <c r="B1361" s="7" t="s">
        <v>16006</v>
      </c>
      <c r="C1361" s="7" t="s">
        <v>1858</v>
      </c>
      <c r="D1361" s="7" t="s">
        <v>291</v>
      </c>
      <c r="E1361" s="7" t="s">
        <v>154</v>
      </c>
      <c r="F1361" s="39" t="n">
        <v>45728</v>
      </c>
      <c r="G1361" s="41" t="n">
        <v>113.95</v>
      </c>
      <c r="H1361" s="39" t="n">
        <v>45830</v>
      </c>
      <c r="I1361" s="7" t="s">
        <v>14651</v>
      </c>
      <c r="J1361" s="8" t="str">
        <f aca="false">IF(I1361="Open",DATE(2025,12,31)-F1361,"-")</f>
        <v>-</v>
      </c>
    </row>
    <row r="1362" customFormat="false" ht="15" hidden="false" customHeight="false" outlineLevel="0" collapsed="false">
      <c r="B1362" s="7" t="s">
        <v>16007</v>
      </c>
      <c r="C1362" s="7" t="s">
        <v>1859</v>
      </c>
      <c r="D1362" s="7" t="s">
        <v>305</v>
      </c>
      <c r="E1362" s="7" t="s">
        <v>154</v>
      </c>
      <c r="F1362" s="39" t="n">
        <v>45728</v>
      </c>
      <c r="G1362" s="41" t="n">
        <v>106</v>
      </c>
      <c r="H1362" s="39" t="n">
        <v>45772</v>
      </c>
      <c r="I1362" s="7" t="s">
        <v>14651</v>
      </c>
      <c r="J1362" s="8" t="str">
        <f aca="false">IF(I1362="Open",DATE(2025,12,31)-F1362,"-")</f>
        <v>-</v>
      </c>
    </row>
    <row r="1363" customFormat="false" ht="15" hidden="false" customHeight="false" outlineLevel="0" collapsed="false">
      <c r="B1363" s="7" t="s">
        <v>16008</v>
      </c>
      <c r="C1363" s="7" t="s">
        <v>1860</v>
      </c>
      <c r="D1363" s="7" t="s">
        <v>309</v>
      </c>
      <c r="E1363" s="7" t="s">
        <v>159</v>
      </c>
      <c r="F1363" s="39" t="n">
        <v>45728</v>
      </c>
      <c r="G1363" s="41" t="n">
        <v>137.7</v>
      </c>
      <c r="H1363" s="39" t="n">
        <v>45762</v>
      </c>
      <c r="I1363" s="7" t="s">
        <v>14651</v>
      </c>
      <c r="J1363" s="8" t="str">
        <f aca="false">IF(I1363="Open",DATE(2025,12,31)-F1363,"-")</f>
        <v>-</v>
      </c>
    </row>
    <row r="1364" customFormat="false" ht="15" hidden="false" customHeight="false" outlineLevel="0" collapsed="false">
      <c r="B1364" s="7" t="s">
        <v>16009</v>
      </c>
      <c r="C1364" s="7" t="s">
        <v>1861</v>
      </c>
      <c r="D1364" s="7" t="s">
        <v>313</v>
      </c>
      <c r="E1364" s="7" t="s">
        <v>156</v>
      </c>
      <c r="F1364" s="39" t="n">
        <v>45728</v>
      </c>
      <c r="G1364" s="41" t="n">
        <v>137.36</v>
      </c>
      <c r="H1364" s="39" t="n">
        <v>45746</v>
      </c>
      <c r="I1364" s="7" t="s">
        <v>14651</v>
      </c>
      <c r="J1364" s="8" t="str">
        <f aca="false">IF(I1364="Open",DATE(2025,12,31)-F1364,"-")</f>
        <v>-</v>
      </c>
    </row>
    <row r="1365" customFormat="false" ht="15" hidden="false" customHeight="false" outlineLevel="0" collapsed="false">
      <c r="B1365" s="7" t="s">
        <v>16010</v>
      </c>
      <c r="C1365" s="7" t="s">
        <v>1862</v>
      </c>
      <c r="D1365" s="7" t="s">
        <v>321</v>
      </c>
      <c r="E1365" s="7" t="s">
        <v>154</v>
      </c>
      <c r="F1365" s="39" t="n">
        <v>45728</v>
      </c>
      <c r="G1365" s="41" t="n">
        <v>104.15</v>
      </c>
      <c r="H1365" s="39" t="n">
        <v>45790</v>
      </c>
      <c r="I1365" s="7" t="s">
        <v>14651</v>
      </c>
      <c r="J1365" s="8" t="str">
        <f aca="false">IF(I1365="Open",DATE(2025,12,31)-F1365,"-")</f>
        <v>-</v>
      </c>
    </row>
    <row r="1366" customFormat="false" ht="15" hidden="false" customHeight="false" outlineLevel="0" collapsed="false">
      <c r="B1366" s="7" t="s">
        <v>16011</v>
      </c>
      <c r="C1366" s="7" t="s">
        <v>1863</v>
      </c>
      <c r="D1366" s="7" t="s">
        <v>329</v>
      </c>
      <c r="E1366" s="7" t="s">
        <v>156</v>
      </c>
      <c r="F1366" s="39" t="n">
        <v>45728</v>
      </c>
      <c r="G1366" s="41" t="n">
        <v>131.24</v>
      </c>
      <c r="H1366" s="39" t="n">
        <v>45739</v>
      </c>
      <c r="I1366" s="7" t="s">
        <v>14651</v>
      </c>
      <c r="J1366" s="8" t="str">
        <f aca="false">IF(I1366="Open",DATE(2025,12,31)-F1366,"-")</f>
        <v>-</v>
      </c>
    </row>
    <row r="1367" customFormat="false" ht="15" hidden="false" customHeight="false" outlineLevel="0" collapsed="false">
      <c r="B1367" s="7" t="s">
        <v>16012</v>
      </c>
      <c r="C1367" s="7" t="s">
        <v>1864</v>
      </c>
      <c r="D1367" s="7" t="s">
        <v>335</v>
      </c>
      <c r="E1367" s="7" t="s">
        <v>154</v>
      </c>
      <c r="F1367" s="39" t="n">
        <v>45728</v>
      </c>
      <c r="G1367" s="41" t="n">
        <v>103.35</v>
      </c>
      <c r="H1367" s="39" t="n">
        <v>45791</v>
      </c>
      <c r="I1367" s="7" t="s">
        <v>14651</v>
      </c>
      <c r="J1367" s="8" t="str">
        <f aca="false">IF(I1367="Open",DATE(2025,12,31)-F1367,"-")</f>
        <v>-</v>
      </c>
    </row>
    <row r="1368" customFormat="false" ht="15" hidden="false" customHeight="false" outlineLevel="0" collapsed="false">
      <c r="B1368" s="7" t="s">
        <v>16013</v>
      </c>
      <c r="C1368" s="7" t="s">
        <v>1865</v>
      </c>
      <c r="D1368" s="7" t="s">
        <v>339</v>
      </c>
      <c r="E1368" s="7" t="s">
        <v>154</v>
      </c>
      <c r="F1368" s="39" t="n">
        <v>45728</v>
      </c>
      <c r="G1368" s="41" t="n">
        <v>85.86</v>
      </c>
      <c r="H1368" s="39" t="n">
        <v>45811</v>
      </c>
      <c r="I1368" s="7" t="s">
        <v>14651</v>
      </c>
      <c r="J1368" s="8" t="str">
        <f aca="false">IF(I1368="Open",DATE(2025,12,31)-F1368,"-")</f>
        <v>-</v>
      </c>
    </row>
    <row r="1369" customFormat="false" ht="15" hidden="false" customHeight="false" outlineLevel="0" collapsed="false">
      <c r="B1369" s="7" t="s">
        <v>16014</v>
      </c>
      <c r="C1369" s="7" t="s">
        <v>1866</v>
      </c>
      <c r="D1369" s="7" t="s">
        <v>353</v>
      </c>
      <c r="E1369" s="7" t="s">
        <v>154</v>
      </c>
      <c r="F1369" s="39" t="n">
        <v>45728</v>
      </c>
      <c r="G1369" s="41" t="n">
        <v>79.5</v>
      </c>
      <c r="H1369" s="39" t="n">
        <v>45813</v>
      </c>
      <c r="I1369" s="7" t="s">
        <v>14651</v>
      </c>
      <c r="J1369" s="8" t="str">
        <f aca="false">IF(I1369="Open",DATE(2025,12,31)-F1369,"-")</f>
        <v>-</v>
      </c>
    </row>
    <row r="1370" customFormat="false" ht="15" hidden="false" customHeight="false" outlineLevel="0" collapsed="false">
      <c r="B1370" s="7" t="s">
        <v>16015</v>
      </c>
      <c r="C1370" s="7" t="s">
        <v>1867</v>
      </c>
      <c r="D1370" s="7" t="s">
        <v>355</v>
      </c>
      <c r="E1370" s="7" t="s">
        <v>154</v>
      </c>
      <c r="F1370" s="39" t="n">
        <v>45728</v>
      </c>
      <c r="G1370" s="41" t="n">
        <v>79.77</v>
      </c>
      <c r="H1370" s="39" t="n">
        <v>45789</v>
      </c>
      <c r="I1370" s="7" t="s">
        <v>14651</v>
      </c>
      <c r="J1370" s="8" t="str">
        <f aca="false">IF(I1370="Open",DATE(2025,12,31)-F1370,"-")</f>
        <v>-</v>
      </c>
    </row>
    <row r="1371" customFormat="false" ht="15" hidden="false" customHeight="false" outlineLevel="0" collapsed="false">
      <c r="B1371" s="7" t="s">
        <v>16016</v>
      </c>
      <c r="C1371" s="7" t="s">
        <v>1868</v>
      </c>
      <c r="D1371" s="7" t="s">
        <v>357</v>
      </c>
      <c r="E1371" s="7" t="s">
        <v>154</v>
      </c>
      <c r="F1371" s="39" t="n">
        <v>45728</v>
      </c>
      <c r="G1371" s="41" t="n">
        <v>79.5</v>
      </c>
      <c r="H1371" s="39" t="n">
        <v>45842</v>
      </c>
      <c r="I1371" s="7" t="s">
        <v>14651</v>
      </c>
      <c r="J1371" s="8" t="str">
        <f aca="false">IF(I1371="Open",DATE(2025,12,31)-F1371,"-")</f>
        <v>-</v>
      </c>
    </row>
    <row r="1372" customFormat="false" ht="15" hidden="false" customHeight="false" outlineLevel="0" collapsed="false">
      <c r="B1372" s="7" t="s">
        <v>16017</v>
      </c>
      <c r="C1372" s="7" t="s">
        <v>1869</v>
      </c>
      <c r="D1372" s="7" t="s">
        <v>359</v>
      </c>
      <c r="E1372" s="7" t="s">
        <v>156</v>
      </c>
      <c r="F1372" s="39" t="n">
        <v>45728</v>
      </c>
      <c r="G1372" s="41" t="n">
        <v>130.9</v>
      </c>
      <c r="H1372" s="39" t="n">
        <v>45745</v>
      </c>
      <c r="I1372" s="7" t="s">
        <v>14651</v>
      </c>
      <c r="J1372" s="8" t="str">
        <f aca="false">IF(I1372="Open",DATE(2025,12,31)-F1372,"-")</f>
        <v>-</v>
      </c>
    </row>
    <row r="1373" customFormat="false" ht="15" hidden="false" customHeight="false" outlineLevel="0" collapsed="false">
      <c r="B1373" s="7" t="s">
        <v>16018</v>
      </c>
      <c r="C1373" s="7" t="s">
        <v>1870</v>
      </c>
      <c r="D1373" s="7" t="s">
        <v>371</v>
      </c>
      <c r="E1373" s="7" t="s">
        <v>154</v>
      </c>
      <c r="F1373" s="39" t="n">
        <v>45728</v>
      </c>
      <c r="G1373" s="41" t="n">
        <v>131.7</v>
      </c>
      <c r="H1373" s="39" t="n">
        <v>45784</v>
      </c>
      <c r="I1373" s="7" t="s">
        <v>14651</v>
      </c>
      <c r="J1373" s="8" t="str">
        <f aca="false">IF(I1373="Open",DATE(2025,12,31)-F1373,"-")</f>
        <v>-</v>
      </c>
    </row>
    <row r="1374" customFormat="false" ht="15" hidden="false" customHeight="false" outlineLevel="0" collapsed="false">
      <c r="B1374" s="7" t="s">
        <v>16019</v>
      </c>
      <c r="C1374" s="7" t="s">
        <v>1871</v>
      </c>
      <c r="D1374" s="7" t="s">
        <v>379</v>
      </c>
      <c r="E1374" s="7" t="s">
        <v>156</v>
      </c>
      <c r="F1374" s="39" t="n">
        <v>45728</v>
      </c>
      <c r="G1374" s="41" t="n">
        <v>160.82</v>
      </c>
      <c r="H1374" s="39" t="n">
        <v>45746</v>
      </c>
      <c r="I1374" s="7" t="s">
        <v>14651</v>
      </c>
      <c r="J1374" s="8" t="str">
        <f aca="false">IF(I1374="Open",DATE(2025,12,31)-F1374,"-")</f>
        <v>-</v>
      </c>
    </row>
    <row r="1375" customFormat="false" ht="15" hidden="false" customHeight="false" outlineLevel="0" collapsed="false">
      <c r="B1375" s="7" t="s">
        <v>16020</v>
      </c>
      <c r="C1375" s="7" t="s">
        <v>1872</v>
      </c>
      <c r="D1375" s="7" t="s">
        <v>389</v>
      </c>
      <c r="E1375" s="7" t="s">
        <v>154</v>
      </c>
      <c r="F1375" s="39" t="n">
        <v>45728</v>
      </c>
      <c r="G1375" s="41" t="n">
        <v>105.2</v>
      </c>
      <c r="H1375" s="39" t="n">
        <v>45803</v>
      </c>
      <c r="I1375" s="7" t="s">
        <v>14651</v>
      </c>
      <c r="J1375" s="8" t="str">
        <f aca="false">IF(I1375="Open",DATE(2025,12,31)-F1375,"-")</f>
        <v>-</v>
      </c>
    </row>
    <row r="1376" customFormat="false" ht="15" hidden="false" customHeight="false" outlineLevel="0" collapsed="false">
      <c r="B1376" s="7" t="s">
        <v>16021</v>
      </c>
      <c r="C1376" s="7" t="s">
        <v>1873</v>
      </c>
      <c r="D1376" s="7" t="s">
        <v>391</v>
      </c>
      <c r="E1376" s="7" t="s">
        <v>156</v>
      </c>
      <c r="F1376" s="39" t="n">
        <v>45728</v>
      </c>
      <c r="G1376" s="41" t="n">
        <v>146.54</v>
      </c>
      <c r="H1376" s="39" t="n">
        <v>45738</v>
      </c>
      <c r="I1376" s="7" t="s">
        <v>14651</v>
      </c>
      <c r="J1376" s="8" t="str">
        <f aca="false">IF(I1376="Open",DATE(2025,12,31)-F1376,"-")</f>
        <v>-</v>
      </c>
    </row>
    <row r="1377" customFormat="false" ht="15" hidden="false" customHeight="false" outlineLevel="0" collapsed="false">
      <c r="B1377" s="7" t="s">
        <v>16022</v>
      </c>
      <c r="C1377" s="7" t="s">
        <v>1874</v>
      </c>
      <c r="D1377" s="7" t="s">
        <v>393</v>
      </c>
      <c r="E1377" s="7" t="s">
        <v>157</v>
      </c>
      <c r="F1377" s="39" t="n">
        <v>45728</v>
      </c>
      <c r="G1377" s="41" t="n">
        <v>158.4</v>
      </c>
      <c r="H1377" s="39" t="n">
        <v>45796</v>
      </c>
      <c r="I1377" s="7" t="s">
        <v>14651</v>
      </c>
      <c r="J1377" s="8" t="str">
        <f aca="false">IF(I1377="Open",DATE(2025,12,31)-F1377,"-")</f>
        <v>-</v>
      </c>
    </row>
    <row r="1378" customFormat="false" ht="15" hidden="false" customHeight="false" outlineLevel="0" collapsed="false">
      <c r="B1378" s="7" t="s">
        <v>16023</v>
      </c>
      <c r="C1378" s="7" t="s">
        <v>1875</v>
      </c>
      <c r="D1378" s="7" t="s">
        <v>395</v>
      </c>
      <c r="E1378" s="7" t="s">
        <v>156</v>
      </c>
      <c r="F1378" s="39" t="n">
        <v>45728</v>
      </c>
      <c r="G1378" s="41" t="n">
        <v>128.18</v>
      </c>
      <c r="H1378" s="39" t="n">
        <v>45742</v>
      </c>
      <c r="I1378" s="7" t="s">
        <v>14651</v>
      </c>
      <c r="J1378" s="8" t="str">
        <f aca="false">IF(I1378="Open",DATE(2025,12,31)-F1378,"-")</f>
        <v>-</v>
      </c>
    </row>
    <row r="1379" customFormat="false" ht="15" hidden="false" customHeight="false" outlineLevel="0" collapsed="false">
      <c r="B1379" s="7" t="s">
        <v>16024</v>
      </c>
      <c r="C1379" s="7" t="s">
        <v>1876</v>
      </c>
      <c r="D1379" s="7" t="s">
        <v>399</v>
      </c>
      <c r="E1379" s="7" t="s">
        <v>154</v>
      </c>
      <c r="F1379" s="39" t="n">
        <v>45728</v>
      </c>
      <c r="G1379" s="41" t="n">
        <v>87.98</v>
      </c>
      <c r="H1379" s="39" t="n">
        <v>45846</v>
      </c>
      <c r="I1379" s="7" t="s">
        <v>14651</v>
      </c>
      <c r="J1379" s="8" t="str">
        <f aca="false">IF(I1379="Open",DATE(2025,12,31)-F1379,"-")</f>
        <v>-</v>
      </c>
    </row>
    <row r="1380" customFormat="false" ht="15" hidden="false" customHeight="false" outlineLevel="0" collapsed="false">
      <c r="B1380" s="7" t="s">
        <v>16025</v>
      </c>
      <c r="C1380" s="7" t="s">
        <v>1877</v>
      </c>
      <c r="D1380" s="7" t="s">
        <v>401</v>
      </c>
      <c r="E1380" s="7" t="s">
        <v>156</v>
      </c>
      <c r="F1380" s="39" t="n">
        <v>45728</v>
      </c>
      <c r="G1380" s="41" t="n">
        <v>141.44</v>
      </c>
      <c r="H1380" s="39" t="n">
        <v>45745</v>
      </c>
      <c r="I1380" s="7" t="s">
        <v>14651</v>
      </c>
      <c r="J1380" s="8" t="str">
        <f aca="false">IF(I1380="Open",DATE(2025,12,31)-F1380,"-")</f>
        <v>-</v>
      </c>
    </row>
    <row r="1381" customFormat="false" ht="15" hidden="false" customHeight="false" outlineLevel="0" collapsed="false">
      <c r="B1381" s="7" t="s">
        <v>16026</v>
      </c>
      <c r="C1381" s="7" t="s">
        <v>1878</v>
      </c>
      <c r="D1381" s="7" t="s">
        <v>409</v>
      </c>
      <c r="E1381" s="7" t="s">
        <v>154</v>
      </c>
      <c r="F1381" s="39" t="n">
        <v>45728</v>
      </c>
      <c r="G1381" s="41" t="n">
        <v>90.9</v>
      </c>
      <c r="H1381" s="39" t="n">
        <v>45778</v>
      </c>
      <c r="I1381" s="7" t="s">
        <v>14651</v>
      </c>
      <c r="J1381" s="8" t="str">
        <f aca="false">IF(I1381="Open",DATE(2025,12,31)-F1381,"-")</f>
        <v>-</v>
      </c>
    </row>
    <row r="1382" customFormat="false" ht="15" hidden="false" customHeight="false" outlineLevel="0" collapsed="false">
      <c r="B1382" s="7" t="s">
        <v>16027</v>
      </c>
      <c r="C1382" s="7" t="s">
        <v>1879</v>
      </c>
      <c r="D1382" s="7" t="s">
        <v>411</v>
      </c>
      <c r="E1382" s="7" t="s">
        <v>154</v>
      </c>
      <c r="F1382" s="39" t="n">
        <v>45728</v>
      </c>
      <c r="G1382" s="41" t="n">
        <v>120.84</v>
      </c>
      <c r="H1382" s="39" t="n">
        <v>45781</v>
      </c>
      <c r="I1382" s="7" t="s">
        <v>14651</v>
      </c>
      <c r="J1382" s="8" t="str">
        <f aca="false">IF(I1382="Open",DATE(2025,12,31)-F1382,"-")</f>
        <v>-</v>
      </c>
    </row>
    <row r="1383" customFormat="false" ht="15" hidden="false" customHeight="false" outlineLevel="0" collapsed="false">
      <c r="B1383" s="7" t="s">
        <v>16028</v>
      </c>
      <c r="C1383" s="7" t="s">
        <v>1880</v>
      </c>
      <c r="D1383" s="7" t="s">
        <v>288</v>
      </c>
      <c r="E1383" s="7" t="s">
        <v>156</v>
      </c>
      <c r="F1383" s="39" t="n">
        <v>45729</v>
      </c>
      <c r="G1383" s="41" t="n">
        <v>131.58</v>
      </c>
      <c r="H1383" s="39" t="n">
        <v>45739</v>
      </c>
      <c r="I1383" s="7" t="s">
        <v>14651</v>
      </c>
      <c r="J1383" s="8" t="str">
        <f aca="false">IF(I1383="Open",DATE(2025,12,31)-F1383,"-")</f>
        <v>-</v>
      </c>
    </row>
    <row r="1384" customFormat="false" ht="15" hidden="false" customHeight="false" outlineLevel="0" collapsed="false">
      <c r="B1384" s="7" t="s">
        <v>16029</v>
      </c>
      <c r="C1384" s="7" t="s">
        <v>1881</v>
      </c>
      <c r="D1384" s="7" t="s">
        <v>297</v>
      </c>
      <c r="E1384" s="7" t="s">
        <v>156</v>
      </c>
      <c r="F1384" s="39" t="n">
        <v>45729</v>
      </c>
      <c r="G1384" s="41" t="n">
        <v>110.84</v>
      </c>
      <c r="H1384" s="39" t="n">
        <v>45730</v>
      </c>
      <c r="I1384" s="7" t="s">
        <v>14651</v>
      </c>
      <c r="J1384" s="8" t="str">
        <f aca="false">IF(I1384="Open",DATE(2025,12,31)-F1384,"-")</f>
        <v>-</v>
      </c>
    </row>
    <row r="1385" customFormat="false" ht="15" hidden="false" customHeight="false" outlineLevel="0" collapsed="false">
      <c r="B1385" s="7" t="s">
        <v>16030</v>
      </c>
      <c r="C1385" s="7" t="s">
        <v>1882</v>
      </c>
      <c r="D1385" s="7" t="s">
        <v>311</v>
      </c>
      <c r="E1385" s="7" t="s">
        <v>154</v>
      </c>
      <c r="F1385" s="39" t="n">
        <v>45729</v>
      </c>
      <c r="G1385" s="41" t="n">
        <v>83.47</v>
      </c>
      <c r="H1385" s="39" t="n">
        <v>45779</v>
      </c>
      <c r="I1385" s="7" t="s">
        <v>14651</v>
      </c>
      <c r="J1385" s="8" t="str">
        <f aca="false">IF(I1385="Open",DATE(2025,12,31)-F1385,"-")</f>
        <v>-</v>
      </c>
    </row>
    <row r="1386" customFormat="false" ht="15" hidden="false" customHeight="false" outlineLevel="0" collapsed="false">
      <c r="B1386" s="7" t="s">
        <v>16031</v>
      </c>
      <c r="C1386" s="7" t="s">
        <v>1883</v>
      </c>
      <c r="D1386" s="7" t="s">
        <v>313</v>
      </c>
      <c r="E1386" s="7" t="s">
        <v>156</v>
      </c>
      <c r="F1386" s="39" t="n">
        <v>45729</v>
      </c>
      <c r="G1386" s="41" t="n">
        <v>139.74</v>
      </c>
      <c r="H1386" s="39" t="n">
        <v>45739</v>
      </c>
      <c r="I1386" s="7" t="s">
        <v>14651</v>
      </c>
      <c r="J1386" s="8" t="str">
        <f aca="false">IF(I1386="Open",DATE(2025,12,31)-F1386,"-")</f>
        <v>-</v>
      </c>
    </row>
    <row r="1387" customFormat="false" ht="15" hidden="false" customHeight="false" outlineLevel="0" collapsed="false">
      <c r="B1387" s="7" t="s">
        <v>16032</v>
      </c>
      <c r="C1387" s="7" t="s">
        <v>1884</v>
      </c>
      <c r="D1387" s="7" t="s">
        <v>317</v>
      </c>
      <c r="E1387" s="7" t="s">
        <v>156</v>
      </c>
      <c r="F1387" s="39" t="n">
        <v>45729</v>
      </c>
      <c r="G1387" s="41" t="n">
        <v>102.34</v>
      </c>
      <c r="H1387" s="39" t="n">
        <v>45740</v>
      </c>
      <c r="I1387" s="7" t="s">
        <v>14651</v>
      </c>
      <c r="J1387" s="8" t="str">
        <f aca="false">IF(I1387="Open",DATE(2025,12,31)-F1387,"-")</f>
        <v>-</v>
      </c>
    </row>
    <row r="1388" customFormat="false" ht="15" hidden="false" customHeight="false" outlineLevel="0" collapsed="false">
      <c r="B1388" s="7" t="s">
        <v>16033</v>
      </c>
      <c r="C1388" s="7" t="s">
        <v>1885</v>
      </c>
      <c r="D1388" s="7" t="s">
        <v>321</v>
      </c>
      <c r="E1388" s="7" t="s">
        <v>154</v>
      </c>
      <c r="F1388" s="39" t="n">
        <v>45729</v>
      </c>
      <c r="G1388" s="41" t="n">
        <v>102.29</v>
      </c>
      <c r="H1388" s="39" t="n">
        <v>45810</v>
      </c>
      <c r="I1388" s="7" t="s">
        <v>14651</v>
      </c>
      <c r="J1388" s="8" t="str">
        <f aca="false">IF(I1388="Open",DATE(2025,12,31)-F1388,"-")</f>
        <v>-</v>
      </c>
    </row>
    <row r="1389" customFormat="false" ht="15" hidden="false" customHeight="false" outlineLevel="0" collapsed="false">
      <c r="B1389" s="7" t="s">
        <v>16034</v>
      </c>
      <c r="C1389" s="7" t="s">
        <v>1886</v>
      </c>
      <c r="D1389" s="7" t="s">
        <v>325</v>
      </c>
      <c r="E1389" s="7" t="s">
        <v>154</v>
      </c>
      <c r="F1389" s="39" t="n">
        <v>45729</v>
      </c>
      <c r="G1389" s="41" t="n">
        <v>82.15</v>
      </c>
      <c r="H1389" s="39" t="n">
        <v>45744</v>
      </c>
      <c r="I1389" s="7" t="s">
        <v>14651</v>
      </c>
      <c r="J1389" s="8" t="str">
        <f aca="false">IF(I1389="Open",DATE(2025,12,31)-F1389,"-")</f>
        <v>-</v>
      </c>
    </row>
    <row r="1390" customFormat="false" ht="15" hidden="false" customHeight="false" outlineLevel="0" collapsed="false">
      <c r="B1390" s="7" t="s">
        <v>16035</v>
      </c>
      <c r="C1390" s="7" t="s">
        <v>1887</v>
      </c>
      <c r="D1390" s="7" t="s">
        <v>329</v>
      </c>
      <c r="E1390" s="7" t="s">
        <v>156</v>
      </c>
      <c r="F1390" s="39" t="n">
        <v>45729</v>
      </c>
      <c r="G1390" s="41" t="n">
        <v>142.8</v>
      </c>
      <c r="H1390" s="39" t="n">
        <v>45739</v>
      </c>
      <c r="I1390" s="7" t="s">
        <v>14651</v>
      </c>
      <c r="J1390" s="8" t="str">
        <f aca="false">IF(I1390="Open",DATE(2025,12,31)-F1390,"-")</f>
        <v>-</v>
      </c>
    </row>
    <row r="1391" customFormat="false" ht="15" hidden="false" customHeight="false" outlineLevel="0" collapsed="false">
      <c r="B1391" s="7" t="s">
        <v>16036</v>
      </c>
      <c r="C1391" s="7" t="s">
        <v>1888</v>
      </c>
      <c r="D1391" s="7" t="s">
        <v>331</v>
      </c>
      <c r="E1391" s="7" t="s">
        <v>156</v>
      </c>
      <c r="F1391" s="39" t="n">
        <v>45729</v>
      </c>
      <c r="G1391" s="41" t="n">
        <v>134.3</v>
      </c>
      <c r="H1391" s="39" t="n">
        <v>45750</v>
      </c>
      <c r="I1391" s="7" t="s">
        <v>14651</v>
      </c>
      <c r="J1391" s="8" t="str">
        <f aca="false">IF(I1391="Open",DATE(2025,12,31)-F1391,"-")</f>
        <v>-</v>
      </c>
    </row>
    <row r="1392" customFormat="false" ht="15" hidden="false" customHeight="false" outlineLevel="0" collapsed="false">
      <c r="B1392" s="7" t="s">
        <v>16037</v>
      </c>
      <c r="C1392" s="7" t="s">
        <v>1889</v>
      </c>
      <c r="D1392" s="7" t="s">
        <v>337</v>
      </c>
      <c r="E1392" s="7" t="s">
        <v>154</v>
      </c>
      <c r="F1392" s="39" t="n">
        <v>45729</v>
      </c>
      <c r="G1392" s="41" t="n">
        <v>76.85</v>
      </c>
      <c r="H1392" s="39" t="n">
        <v>45831</v>
      </c>
      <c r="I1392" s="7" t="s">
        <v>14651</v>
      </c>
      <c r="J1392" s="8" t="str">
        <f aca="false">IF(I1392="Open",DATE(2025,12,31)-F1392,"-")</f>
        <v>-</v>
      </c>
    </row>
    <row r="1393" customFormat="false" ht="15" hidden="false" customHeight="false" outlineLevel="0" collapsed="false">
      <c r="B1393" s="7" t="s">
        <v>16038</v>
      </c>
      <c r="C1393" s="7" t="s">
        <v>1890</v>
      </c>
      <c r="D1393" s="7" t="s">
        <v>341</v>
      </c>
      <c r="E1393" s="7" t="s">
        <v>156</v>
      </c>
      <c r="F1393" s="39" t="n">
        <v>45729</v>
      </c>
      <c r="G1393" s="41" t="n">
        <v>103.02</v>
      </c>
      <c r="H1393" s="39" t="n">
        <v>45748</v>
      </c>
      <c r="I1393" s="7" t="s">
        <v>14651</v>
      </c>
      <c r="J1393" s="8" t="str">
        <f aca="false">IF(I1393="Open",DATE(2025,12,31)-F1393,"-")</f>
        <v>-</v>
      </c>
    </row>
    <row r="1394" customFormat="false" ht="15" hidden="false" customHeight="false" outlineLevel="0" collapsed="false">
      <c r="B1394" s="7" t="s">
        <v>16039</v>
      </c>
      <c r="C1394" s="7" t="s">
        <v>1891</v>
      </c>
      <c r="D1394" s="7" t="s">
        <v>343</v>
      </c>
      <c r="E1394" s="7" t="s">
        <v>154</v>
      </c>
      <c r="F1394" s="39" t="n">
        <v>45729</v>
      </c>
      <c r="G1394" s="41" t="n">
        <v>104.68</v>
      </c>
      <c r="H1394" s="39" t="n">
        <v>45790</v>
      </c>
      <c r="I1394" s="7" t="s">
        <v>14651</v>
      </c>
      <c r="J1394" s="8" t="str">
        <f aca="false">IF(I1394="Open",DATE(2025,12,31)-F1394,"-")</f>
        <v>-</v>
      </c>
    </row>
    <row r="1395" customFormat="false" ht="15" hidden="false" customHeight="false" outlineLevel="0" collapsed="false">
      <c r="B1395" s="7" t="s">
        <v>16040</v>
      </c>
      <c r="C1395" s="7" t="s">
        <v>1892</v>
      </c>
      <c r="D1395" s="7" t="s">
        <v>359</v>
      </c>
      <c r="E1395" s="7" t="s">
        <v>156</v>
      </c>
      <c r="F1395" s="39" t="n">
        <v>45729</v>
      </c>
      <c r="G1395" s="41" t="n">
        <v>135.32</v>
      </c>
      <c r="H1395" s="39" t="n">
        <v>45748</v>
      </c>
      <c r="I1395" s="7" t="s">
        <v>14651</v>
      </c>
      <c r="J1395" s="8" t="str">
        <f aca="false">IF(I1395="Open",DATE(2025,12,31)-F1395,"-")</f>
        <v>-</v>
      </c>
    </row>
    <row r="1396" customFormat="false" ht="15" hidden="false" customHeight="false" outlineLevel="0" collapsed="false">
      <c r="B1396" s="7" t="s">
        <v>16041</v>
      </c>
      <c r="C1396" s="7" t="s">
        <v>1893</v>
      </c>
      <c r="D1396" s="7" t="s">
        <v>363</v>
      </c>
      <c r="E1396" s="7" t="s">
        <v>156</v>
      </c>
      <c r="F1396" s="39" t="n">
        <v>45729</v>
      </c>
      <c r="G1396" s="41" t="n">
        <v>138.04</v>
      </c>
      <c r="H1396" s="39" t="n">
        <v>45747</v>
      </c>
      <c r="I1396" s="7" t="s">
        <v>14651</v>
      </c>
      <c r="J1396" s="8" t="str">
        <f aca="false">IF(I1396="Open",DATE(2025,12,31)-F1396,"-")</f>
        <v>-</v>
      </c>
    </row>
    <row r="1397" customFormat="false" ht="15" hidden="false" customHeight="false" outlineLevel="0" collapsed="false">
      <c r="B1397" s="7" t="s">
        <v>16042</v>
      </c>
      <c r="C1397" s="7" t="s">
        <v>1894</v>
      </c>
      <c r="D1397" s="7" t="s">
        <v>375</v>
      </c>
      <c r="E1397" s="7" t="s">
        <v>156</v>
      </c>
      <c r="F1397" s="39" t="n">
        <v>45729</v>
      </c>
      <c r="G1397" s="41" t="n">
        <v>102.34</v>
      </c>
      <c r="H1397" s="39" t="n">
        <v>45740</v>
      </c>
      <c r="I1397" s="7" t="s">
        <v>14651</v>
      </c>
      <c r="J1397" s="8" t="str">
        <f aca="false">IF(I1397="Open",DATE(2025,12,31)-F1397,"-")</f>
        <v>-</v>
      </c>
    </row>
    <row r="1398" customFormat="false" ht="15" hidden="false" customHeight="false" outlineLevel="0" collapsed="false">
      <c r="B1398" s="7" t="s">
        <v>16043</v>
      </c>
      <c r="C1398" s="7" t="s">
        <v>1895</v>
      </c>
      <c r="D1398" s="7" t="s">
        <v>377</v>
      </c>
      <c r="E1398" s="7" t="s">
        <v>154</v>
      </c>
      <c r="F1398" s="39" t="n">
        <v>45729</v>
      </c>
      <c r="G1398" s="41" t="n">
        <v>104.41</v>
      </c>
      <c r="H1398" s="39" t="n">
        <v>45815</v>
      </c>
      <c r="I1398" s="7" t="s">
        <v>14651</v>
      </c>
      <c r="J1398" s="8" t="str">
        <f aca="false">IF(I1398="Open",DATE(2025,12,31)-F1398,"-")</f>
        <v>-</v>
      </c>
    </row>
    <row r="1399" customFormat="false" ht="15" hidden="false" customHeight="false" outlineLevel="0" collapsed="false">
      <c r="B1399" s="7" t="s">
        <v>16044</v>
      </c>
      <c r="C1399" s="7" t="s">
        <v>1896</v>
      </c>
      <c r="D1399" s="7" t="s">
        <v>389</v>
      </c>
      <c r="E1399" s="7" t="s">
        <v>154</v>
      </c>
      <c r="F1399" s="39" t="n">
        <v>45729</v>
      </c>
      <c r="G1399" s="41" t="n">
        <v>97.78</v>
      </c>
      <c r="H1399" s="39" t="n">
        <v>45788</v>
      </c>
      <c r="I1399" s="7" t="s">
        <v>14651</v>
      </c>
      <c r="J1399" s="8" t="str">
        <f aca="false">IF(I1399="Open",DATE(2025,12,31)-F1399,"-")</f>
        <v>-</v>
      </c>
    </row>
    <row r="1400" customFormat="false" ht="15" hidden="false" customHeight="false" outlineLevel="0" collapsed="false">
      <c r="B1400" s="7" t="s">
        <v>16045</v>
      </c>
      <c r="C1400" s="7" t="s">
        <v>1897</v>
      </c>
      <c r="D1400" s="7" t="s">
        <v>391</v>
      </c>
      <c r="E1400" s="7" t="s">
        <v>156</v>
      </c>
      <c r="F1400" s="39" t="n">
        <v>45729</v>
      </c>
      <c r="G1400" s="41" t="n">
        <v>127.5</v>
      </c>
      <c r="H1400" s="39" t="n">
        <v>45738</v>
      </c>
      <c r="I1400" s="7" t="s">
        <v>14651</v>
      </c>
      <c r="J1400" s="8" t="str">
        <f aca="false">IF(I1400="Open",DATE(2025,12,31)-F1400,"-")</f>
        <v>-</v>
      </c>
    </row>
    <row r="1401" customFormat="false" ht="15" hidden="false" customHeight="false" outlineLevel="0" collapsed="false">
      <c r="B1401" s="7" t="s">
        <v>16046</v>
      </c>
      <c r="C1401" s="7" t="s">
        <v>1898</v>
      </c>
      <c r="D1401" s="7" t="s">
        <v>395</v>
      </c>
      <c r="E1401" s="7" t="s">
        <v>156</v>
      </c>
      <c r="F1401" s="39" t="n">
        <v>45729</v>
      </c>
      <c r="G1401" s="41" t="n">
        <v>143.48</v>
      </c>
      <c r="H1401" s="39" t="n">
        <v>45735</v>
      </c>
      <c r="I1401" s="7" t="s">
        <v>14651</v>
      </c>
      <c r="J1401" s="8" t="str">
        <f aca="false">IF(I1401="Open",DATE(2025,12,31)-F1401,"-")</f>
        <v>-</v>
      </c>
    </row>
    <row r="1402" customFormat="false" ht="15" hidden="false" customHeight="false" outlineLevel="0" collapsed="false">
      <c r="B1402" s="7" t="s">
        <v>16047</v>
      </c>
      <c r="C1402" s="7" t="s">
        <v>1899</v>
      </c>
      <c r="D1402" s="7" t="s">
        <v>401</v>
      </c>
      <c r="E1402" s="7" t="s">
        <v>156</v>
      </c>
      <c r="F1402" s="39" t="n">
        <v>45729</v>
      </c>
      <c r="G1402" s="41" t="n">
        <v>144.84</v>
      </c>
      <c r="H1402" s="39" t="n">
        <v>45736</v>
      </c>
      <c r="I1402" s="7" t="s">
        <v>14651</v>
      </c>
      <c r="J1402" s="8" t="str">
        <f aca="false">IF(I1402="Open",DATE(2025,12,31)-F1402,"-")</f>
        <v>-</v>
      </c>
    </row>
    <row r="1403" customFormat="false" ht="15" hidden="false" customHeight="false" outlineLevel="0" collapsed="false">
      <c r="B1403" s="7" t="s">
        <v>16048</v>
      </c>
      <c r="C1403" s="7" t="s">
        <v>1900</v>
      </c>
      <c r="D1403" s="7" t="s">
        <v>280</v>
      </c>
      <c r="E1403" s="7" t="s">
        <v>157</v>
      </c>
      <c r="F1403" s="39" t="n">
        <v>45730</v>
      </c>
      <c r="G1403" s="41" t="n">
        <v>163.35</v>
      </c>
      <c r="H1403" s="39" t="n">
        <v>45749</v>
      </c>
      <c r="I1403" s="7" t="s">
        <v>14651</v>
      </c>
      <c r="J1403" s="8" t="str">
        <f aca="false">IF(I1403="Open",DATE(2025,12,31)-F1403,"-")</f>
        <v>-</v>
      </c>
    </row>
    <row r="1404" customFormat="false" ht="15" hidden="false" customHeight="false" outlineLevel="0" collapsed="false">
      <c r="B1404" s="7" t="s">
        <v>16049</v>
      </c>
      <c r="C1404" s="7" t="s">
        <v>1901</v>
      </c>
      <c r="D1404" s="7" t="s">
        <v>288</v>
      </c>
      <c r="E1404" s="7" t="s">
        <v>156</v>
      </c>
      <c r="F1404" s="39" t="n">
        <v>45730</v>
      </c>
      <c r="G1404" s="41" t="n">
        <v>141.1</v>
      </c>
      <c r="H1404" s="39" t="n">
        <v>45749</v>
      </c>
      <c r="I1404" s="7" t="s">
        <v>14651</v>
      </c>
      <c r="J1404" s="8" t="str">
        <f aca="false">IF(I1404="Open",DATE(2025,12,31)-F1404,"-")</f>
        <v>-</v>
      </c>
    </row>
    <row r="1405" customFormat="false" ht="15" hidden="false" customHeight="false" outlineLevel="0" collapsed="false">
      <c r="B1405" s="7" t="s">
        <v>16050</v>
      </c>
      <c r="C1405" s="7" t="s">
        <v>1902</v>
      </c>
      <c r="D1405" s="7" t="s">
        <v>291</v>
      </c>
      <c r="E1405" s="7" t="s">
        <v>154</v>
      </c>
      <c r="F1405" s="39" t="n">
        <v>45730</v>
      </c>
      <c r="G1405" s="41" t="n">
        <v>113.42</v>
      </c>
      <c r="H1405" s="39" t="n">
        <v>45823</v>
      </c>
      <c r="I1405" s="7" t="s">
        <v>14651</v>
      </c>
      <c r="J1405" s="8" t="str">
        <f aca="false">IF(I1405="Open",DATE(2025,12,31)-F1405,"-")</f>
        <v>-</v>
      </c>
    </row>
    <row r="1406" customFormat="false" ht="15" hidden="false" customHeight="false" outlineLevel="0" collapsed="false">
      <c r="B1406" s="7" t="s">
        <v>16051</v>
      </c>
      <c r="C1406" s="7" t="s">
        <v>1903</v>
      </c>
      <c r="D1406" s="7" t="s">
        <v>301</v>
      </c>
      <c r="E1406" s="7" t="s">
        <v>157</v>
      </c>
      <c r="F1406" s="39" t="n">
        <v>45730</v>
      </c>
      <c r="G1406" s="41" t="n">
        <v>168.3</v>
      </c>
      <c r="H1406" s="39" t="n">
        <v>45761</v>
      </c>
      <c r="I1406" s="7" t="s">
        <v>14651</v>
      </c>
      <c r="J1406" s="8" t="str">
        <f aca="false">IF(I1406="Open",DATE(2025,12,31)-F1406,"-")</f>
        <v>-</v>
      </c>
    </row>
    <row r="1407" customFormat="false" ht="15" hidden="false" customHeight="false" outlineLevel="0" collapsed="false">
      <c r="B1407" s="7" t="s">
        <v>16052</v>
      </c>
      <c r="C1407" s="7" t="s">
        <v>1904</v>
      </c>
      <c r="D1407" s="7" t="s">
        <v>305</v>
      </c>
      <c r="E1407" s="7" t="s">
        <v>154</v>
      </c>
      <c r="F1407" s="39" t="n">
        <v>45730</v>
      </c>
      <c r="G1407" s="41" t="n">
        <v>101.5</v>
      </c>
      <c r="H1407" s="39" t="n">
        <v>45787</v>
      </c>
      <c r="I1407" s="7" t="s">
        <v>14651</v>
      </c>
      <c r="J1407" s="8" t="str">
        <f aca="false">IF(I1407="Open",DATE(2025,12,31)-F1407,"-")</f>
        <v>-</v>
      </c>
    </row>
    <row r="1408" customFormat="false" ht="15" hidden="false" customHeight="false" outlineLevel="0" collapsed="false">
      <c r="B1408" s="7" t="s">
        <v>16053</v>
      </c>
      <c r="C1408" s="7" t="s">
        <v>1905</v>
      </c>
      <c r="D1408" s="7" t="s">
        <v>309</v>
      </c>
      <c r="E1408" s="7" t="s">
        <v>159</v>
      </c>
      <c r="F1408" s="39" t="n">
        <v>45730</v>
      </c>
      <c r="G1408" s="41" t="n">
        <v>129.6</v>
      </c>
      <c r="H1408" s="39" t="n">
        <v>45799</v>
      </c>
      <c r="I1408" s="7" t="s">
        <v>14651</v>
      </c>
      <c r="J1408" s="8" t="str">
        <f aca="false">IF(I1408="Open",DATE(2025,12,31)-F1408,"-")</f>
        <v>-</v>
      </c>
    </row>
    <row r="1409" customFormat="false" ht="15" hidden="false" customHeight="false" outlineLevel="0" collapsed="false">
      <c r="B1409" s="7" t="s">
        <v>16054</v>
      </c>
      <c r="C1409" s="7" t="s">
        <v>1906</v>
      </c>
      <c r="D1409" s="7" t="s">
        <v>313</v>
      </c>
      <c r="E1409" s="7" t="s">
        <v>156</v>
      </c>
      <c r="F1409" s="39" t="n">
        <v>45730</v>
      </c>
      <c r="G1409" s="41" t="n">
        <v>142.46</v>
      </c>
      <c r="H1409" s="39" t="n">
        <v>45742</v>
      </c>
      <c r="I1409" s="7" t="s">
        <v>14651</v>
      </c>
      <c r="J1409" s="8" t="str">
        <f aca="false">IF(I1409="Open",DATE(2025,12,31)-F1409,"-")</f>
        <v>-</v>
      </c>
    </row>
    <row r="1410" customFormat="false" ht="15" hidden="false" customHeight="false" outlineLevel="0" collapsed="false">
      <c r="B1410" s="7" t="s">
        <v>16055</v>
      </c>
      <c r="C1410" s="7" t="s">
        <v>1907</v>
      </c>
      <c r="D1410" s="7" t="s">
        <v>319</v>
      </c>
      <c r="E1410" s="7" t="s">
        <v>157</v>
      </c>
      <c r="F1410" s="39" t="n">
        <v>45730</v>
      </c>
      <c r="G1410" s="41" t="n">
        <v>173.25</v>
      </c>
      <c r="H1410" s="39" t="n">
        <v>45767</v>
      </c>
      <c r="I1410" s="7" t="s">
        <v>14651</v>
      </c>
      <c r="J1410" s="8" t="str">
        <f aca="false">IF(I1410="Open",DATE(2025,12,31)-F1410,"-")</f>
        <v>-</v>
      </c>
    </row>
    <row r="1411" customFormat="false" ht="15" hidden="false" customHeight="false" outlineLevel="0" collapsed="false">
      <c r="B1411" s="7" t="s">
        <v>16056</v>
      </c>
      <c r="C1411" s="7" t="s">
        <v>1908</v>
      </c>
      <c r="D1411" s="7" t="s">
        <v>321</v>
      </c>
      <c r="E1411" s="7" t="s">
        <v>154</v>
      </c>
      <c r="F1411" s="39" t="n">
        <v>45730</v>
      </c>
      <c r="G1411" s="41" t="n">
        <v>116.33</v>
      </c>
      <c r="H1411" s="39" t="n">
        <v>45805</v>
      </c>
      <c r="I1411" s="7" t="s">
        <v>14651</v>
      </c>
      <c r="J1411" s="8" t="str">
        <f aca="false">IF(I1411="Open",DATE(2025,12,31)-F1411,"-")</f>
        <v>-</v>
      </c>
    </row>
    <row r="1412" customFormat="false" ht="15" hidden="false" customHeight="false" outlineLevel="0" collapsed="false">
      <c r="B1412" s="7" t="s">
        <v>16057</v>
      </c>
      <c r="C1412" s="7" t="s">
        <v>1909</v>
      </c>
      <c r="D1412" s="7" t="s">
        <v>323</v>
      </c>
      <c r="E1412" s="7" t="s">
        <v>159</v>
      </c>
      <c r="F1412" s="39" t="n">
        <v>45730</v>
      </c>
      <c r="G1412" s="41" t="n">
        <v>132.3</v>
      </c>
      <c r="H1412" s="39" t="n">
        <v>45835</v>
      </c>
      <c r="I1412" s="7" t="s">
        <v>14651</v>
      </c>
      <c r="J1412" s="8" t="str">
        <f aca="false">IF(I1412="Open",DATE(2025,12,31)-F1412,"-")</f>
        <v>-</v>
      </c>
    </row>
    <row r="1413" customFormat="false" ht="15" hidden="false" customHeight="false" outlineLevel="0" collapsed="false">
      <c r="B1413" s="7" t="s">
        <v>16058</v>
      </c>
      <c r="C1413" s="7" t="s">
        <v>1910</v>
      </c>
      <c r="D1413" s="7" t="s">
        <v>327</v>
      </c>
      <c r="E1413" s="7" t="s">
        <v>157</v>
      </c>
      <c r="F1413" s="39" t="n">
        <v>45730</v>
      </c>
      <c r="G1413" s="41" t="n">
        <v>156.75</v>
      </c>
      <c r="H1413" s="39" t="n">
        <v>45788</v>
      </c>
      <c r="I1413" s="7" t="s">
        <v>14651</v>
      </c>
      <c r="J1413" s="8" t="str">
        <f aca="false">IF(I1413="Open",DATE(2025,12,31)-F1413,"-")</f>
        <v>-</v>
      </c>
    </row>
    <row r="1414" customFormat="false" ht="15" hidden="false" customHeight="false" outlineLevel="0" collapsed="false">
      <c r="B1414" s="7" t="s">
        <v>16059</v>
      </c>
      <c r="C1414" s="7" t="s">
        <v>1911</v>
      </c>
      <c r="D1414" s="7" t="s">
        <v>329</v>
      </c>
      <c r="E1414" s="7" t="s">
        <v>156</v>
      </c>
      <c r="F1414" s="39" t="n">
        <v>45730</v>
      </c>
      <c r="G1414" s="41" t="n">
        <v>141.44</v>
      </c>
      <c r="H1414" s="39" t="n">
        <v>45741</v>
      </c>
      <c r="I1414" s="7" t="s">
        <v>14651</v>
      </c>
      <c r="J1414" s="8" t="str">
        <f aca="false">IF(I1414="Open",DATE(2025,12,31)-F1414,"-")</f>
        <v>-</v>
      </c>
    </row>
    <row r="1415" customFormat="false" ht="15" hidden="false" customHeight="false" outlineLevel="0" collapsed="false">
      <c r="B1415" s="7" t="s">
        <v>16060</v>
      </c>
      <c r="C1415" s="7" t="s">
        <v>1912</v>
      </c>
      <c r="D1415" s="7" t="s">
        <v>335</v>
      </c>
      <c r="E1415" s="7" t="s">
        <v>154</v>
      </c>
      <c r="F1415" s="39" t="n">
        <v>45730</v>
      </c>
      <c r="G1415" s="41" t="n">
        <v>115.54</v>
      </c>
      <c r="H1415" s="39" t="n">
        <v>45777</v>
      </c>
      <c r="I1415" s="7" t="s">
        <v>14651</v>
      </c>
      <c r="J1415" s="8" t="str">
        <f aca="false">IF(I1415="Open",DATE(2025,12,31)-F1415,"-")</f>
        <v>-</v>
      </c>
    </row>
    <row r="1416" customFormat="false" ht="15" hidden="false" customHeight="false" outlineLevel="0" collapsed="false">
      <c r="B1416" s="7" t="s">
        <v>16061</v>
      </c>
      <c r="C1416" s="7" t="s">
        <v>1913</v>
      </c>
      <c r="D1416" s="7" t="s">
        <v>339</v>
      </c>
      <c r="E1416" s="7" t="s">
        <v>154</v>
      </c>
      <c r="F1416" s="39" t="n">
        <v>45730</v>
      </c>
      <c r="G1416" s="41" t="n">
        <v>91.16</v>
      </c>
      <c r="H1416" s="39" t="n">
        <v>45777</v>
      </c>
      <c r="I1416" s="7" t="s">
        <v>14651</v>
      </c>
      <c r="J1416" s="8" t="str">
        <f aca="false">IF(I1416="Open",DATE(2025,12,31)-F1416,"-")</f>
        <v>-</v>
      </c>
    </row>
    <row r="1417" customFormat="false" ht="15" hidden="false" customHeight="false" outlineLevel="0" collapsed="false">
      <c r="B1417" s="7" t="s">
        <v>16062</v>
      </c>
      <c r="C1417" s="7" t="s">
        <v>1914</v>
      </c>
      <c r="D1417" s="7" t="s">
        <v>353</v>
      </c>
      <c r="E1417" s="7" t="s">
        <v>154</v>
      </c>
      <c r="F1417" s="39" t="n">
        <v>45730</v>
      </c>
      <c r="G1417" s="41" t="n">
        <v>81.35</v>
      </c>
      <c r="H1417" s="39" t="n">
        <v>45779</v>
      </c>
      <c r="I1417" s="7" t="s">
        <v>14651</v>
      </c>
      <c r="J1417" s="8" t="str">
        <f aca="false">IF(I1417="Open",DATE(2025,12,31)-F1417,"-")</f>
        <v>-</v>
      </c>
    </row>
    <row r="1418" customFormat="false" ht="15" hidden="false" customHeight="false" outlineLevel="0" collapsed="false">
      <c r="B1418" s="7" t="s">
        <v>16063</v>
      </c>
      <c r="C1418" s="7" t="s">
        <v>1915</v>
      </c>
      <c r="D1418" s="7" t="s">
        <v>355</v>
      </c>
      <c r="E1418" s="7" t="s">
        <v>154</v>
      </c>
      <c r="F1418" s="39" t="n">
        <v>45730</v>
      </c>
      <c r="G1418" s="41" t="n">
        <v>86.39</v>
      </c>
      <c r="H1418" s="39" t="n">
        <v>45817</v>
      </c>
      <c r="I1418" s="7" t="s">
        <v>14651</v>
      </c>
      <c r="J1418" s="8" t="str">
        <f aca="false">IF(I1418="Open",DATE(2025,12,31)-F1418,"-")</f>
        <v>-</v>
      </c>
    </row>
    <row r="1419" customFormat="false" ht="15" hidden="false" customHeight="false" outlineLevel="0" collapsed="false">
      <c r="B1419" s="7" t="s">
        <v>16064</v>
      </c>
      <c r="C1419" s="7" t="s">
        <v>1916</v>
      </c>
      <c r="D1419" s="7" t="s">
        <v>357</v>
      </c>
      <c r="E1419" s="7" t="s">
        <v>154</v>
      </c>
      <c r="F1419" s="39" t="n">
        <v>45730</v>
      </c>
      <c r="G1419" s="41" t="n">
        <v>91.95</v>
      </c>
      <c r="H1419" s="39" t="n">
        <v>45789</v>
      </c>
      <c r="I1419" s="7" t="s">
        <v>14651</v>
      </c>
      <c r="J1419" s="8" t="str">
        <f aca="false">IF(I1419="Open",DATE(2025,12,31)-F1419,"-")</f>
        <v>-</v>
      </c>
    </row>
    <row r="1420" customFormat="false" ht="15" hidden="false" customHeight="false" outlineLevel="0" collapsed="false">
      <c r="B1420" s="7" t="s">
        <v>16065</v>
      </c>
      <c r="C1420" s="7" t="s">
        <v>1917</v>
      </c>
      <c r="D1420" s="7" t="s">
        <v>359</v>
      </c>
      <c r="E1420" s="7" t="s">
        <v>156</v>
      </c>
      <c r="F1420" s="39" t="n">
        <v>45730</v>
      </c>
      <c r="G1420" s="41" t="n">
        <v>138.72</v>
      </c>
      <c r="H1420" s="39" t="n">
        <v>45750</v>
      </c>
      <c r="I1420" s="7" t="s">
        <v>14651</v>
      </c>
      <c r="J1420" s="8" t="str">
        <f aca="false">IF(I1420="Open",DATE(2025,12,31)-F1420,"-")</f>
        <v>-</v>
      </c>
    </row>
    <row r="1421" customFormat="false" ht="15" hidden="false" customHeight="false" outlineLevel="0" collapsed="false">
      <c r="B1421" s="7" t="s">
        <v>16066</v>
      </c>
      <c r="C1421" s="7" t="s">
        <v>1918</v>
      </c>
      <c r="D1421" s="7" t="s">
        <v>361</v>
      </c>
      <c r="E1421" s="7" t="s">
        <v>157</v>
      </c>
      <c r="F1421" s="39" t="n">
        <v>45730</v>
      </c>
      <c r="G1421" s="41" t="n">
        <v>179.85</v>
      </c>
      <c r="H1421" s="39" t="n">
        <v>45798</v>
      </c>
      <c r="I1421" s="7" t="s">
        <v>14651</v>
      </c>
      <c r="J1421" s="8" t="str">
        <f aca="false">IF(I1421="Open",DATE(2025,12,31)-F1421,"-")</f>
        <v>-</v>
      </c>
    </row>
    <row r="1422" customFormat="false" ht="15" hidden="false" customHeight="false" outlineLevel="0" collapsed="false">
      <c r="B1422" s="7" t="s">
        <v>16067</v>
      </c>
      <c r="C1422" s="7" t="s">
        <v>1919</v>
      </c>
      <c r="D1422" s="7" t="s">
        <v>371</v>
      </c>
      <c r="E1422" s="7" t="s">
        <v>154</v>
      </c>
      <c r="F1422" s="39" t="n">
        <v>45730</v>
      </c>
      <c r="G1422" s="41" t="n">
        <v>112.36</v>
      </c>
      <c r="H1422" s="39" t="n">
        <v>45828</v>
      </c>
      <c r="I1422" s="7" t="s">
        <v>14651</v>
      </c>
      <c r="J1422" s="8" t="str">
        <f aca="false">IF(I1422="Open",DATE(2025,12,31)-F1422,"-")</f>
        <v>-</v>
      </c>
    </row>
    <row r="1423" customFormat="false" ht="15" hidden="false" customHeight="false" outlineLevel="0" collapsed="false">
      <c r="B1423" s="7" t="s">
        <v>16068</v>
      </c>
      <c r="C1423" s="7" t="s">
        <v>1920</v>
      </c>
      <c r="D1423" s="7" t="s">
        <v>379</v>
      </c>
      <c r="E1423" s="7" t="s">
        <v>156</v>
      </c>
      <c r="F1423" s="39" t="n">
        <v>45730</v>
      </c>
      <c r="G1423" s="41" t="n">
        <v>158.44</v>
      </c>
      <c r="H1423" s="39" t="n">
        <v>45742</v>
      </c>
      <c r="I1423" s="7" t="s">
        <v>14651</v>
      </c>
      <c r="J1423" s="8" t="str">
        <f aca="false">IF(I1423="Open",DATE(2025,12,31)-F1423,"-")</f>
        <v>-</v>
      </c>
    </row>
    <row r="1424" customFormat="false" ht="15" hidden="false" customHeight="false" outlineLevel="0" collapsed="false">
      <c r="B1424" s="7" t="s">
        <v>16069</v>
      </c>
      <c r="C1424" s="7" t="s">
        <v>1921</v>
      </c>
      <c r="D1424" s="7" t="s">
        <v>381</v>
      </c>
      <c r="E1424" s="7" t="s">
        <v>157</v>
      </c>
      <c r="F1424" s="39" t="n">
        <v>45730</v>
      </c>
      <c r="G1424" s="41" t="n">
        <v>171.6</v>
      </c>
      <c r="H1424" s="39" t="n">
        <v>45770</v>
      </c>
      <c r="I1424" s="7" t="s">
        <v>14651</v>
      </c>
      <c r="J1424" s="8" t="str">
        <f aca="false">IF(I1424="Open",DATE(2025,12,31)-F1424,"-")</f>
        <v>-</v>
      </c>
    </row>
    <row r="1425" customFormat="false" ht="15" hidden="false" customHeight="false" outlineLevel="0" collapsed="false">
      <c r="B1425" s="7" t="s">
        <v>16070</v>
      </c>
      <c r="C1425" s="7" t="s">
        <v>1922</v>
      </c>
      <c r="D1425" s="7" t="s">
        <v>389</v>
      </c>
      <c r="E1425" s="7" t="s">
        <v>154</v>
      </c>
      <c r="F1425" s="39" t="n">
        <v>45730</v>
      </c>
      <c r="G1425" s="41" t="n">
        <v>116.6</v>
      </c>
      <c r="H1425" s="39" t="n">
        <v>45791</v>
      </c>
      <c r="I1425" s="7" t="s">
        <v>14651</v>
      </c>
      <c r="J1425" s="8" t="str">
        <f aca="false">IF(I1425="Open",DATE(2025,12,31)-F1425,"-")</f>
        <v>-</v>
      </c>
    </row>
    <row r="1426" customFormat="false" ht="15" hidden="false" customHeight="false" outlineLevel="0" collapsed="false">
      <c r="B1426" s="7" t="s">
        <v>16071</v>
      </c>
      <c r="C1426" s="7" t="s">
        <v>1923</v>
      </c>
      <c r="D1426" s="7" t="s">
        <v>391</v>
      </c>
      <c r="E1426" s="7" t="s">
        <v>156</v>
      </c>
      <c r="F1426" s="39" t="n">
        <v>45730</v>
      </c>
      <c r="G1426" s="41" t="n">
        <v>124.1</v>
      </c>
      <c r="H1426" s="39" t="n">
        <v>45734</v>
      </c>
      <c r="I1426" s="7" t="s">
        <v>14651</v>
      </c>
      <c r="J1426" s="8" t="str">
        <f aca="false">IF(I1426="Open",DATE(2025,12,31)-F1426,"-")</f>
        <v>-</v>
      </c>
    </row>
    <row r="1427" customFormat="false" ht="15" hidden="false" customHeight="false" outlineLevel="0" collapsed="false">
      <c r="B1427" s="7" t="s">
        <v>16072</v>
      </c>
      <c r="C1427" s="7" t="s">
        <v>1924</v>
      </c>
      <c r="D1427" s="7" t="s">
        <v>395</v>
      </c>
      <c r="E1427" s="7" t="s">
        <v>156</v>
      </c>
      <c r="F1427" s="39" t="n">
        <v>45730</v>
      </c>
      <c r="G1427" s="41" t="n">
        <v>149.6</v>
      </c>
      <c r="H1427" s="39" t="n">
        <v>45745</v>
      </c>
      <c r="I1427" s="7" t="s">
        <v>14651</v>
      </c>
      <c r="J1427" s="8" t="str">
        <f aca="false">IF(I1427="Open",DATE(2025,12,31)-F1427,"-")</f>
        <v>-</v>
      </c>
    </row>
    <row r="1428" customFormat="false" ht="15" hidden="false" customHeight="false" outlineLevel="0" collapsed="false">
      <c r="B1428" s="7" t="s">
        <v>16073</v>
      </c>
      <c r="C1428" s="7" t="s">
        <v>1925</v>
      </c>
      <c r="D1428" s="7" t="s">
        <v>397</v>
      </c>
      <c r="E1428" s="7" t="s">
        <v>159</v>
      </c>
      <c r="F1428" s="39" t="n">
        <v>45730</v>
      </c>
      <c r="G1428" s="41" t="n">
        <v>147.15</v>
      </c>
      <c r="H1428" s="39" t="n">
        <v>45835</v>
      </c>
      <c r="I1428" s="7" t="s">
        <v>14651</v>
      </c>
      <c r="J1428" s="8" t="str">
        <f aca="false">IF(I1428="Open",DATE(2025,12,31)-F1428,"-")</f>
        <v>-</v>
      </c>
    </row>
    <row r="1429" customFormat="false" ht="15" hidden="false" customHeight="false" outlineLevel="0" collapsed="false">
      <c r="B1429" s="7" t="s">
        <v>16074</v>
      </c>
      <c r="C1429" s="7" t="s">
        <v>1926</v>
      </c>
      <c r="D1429" s="7" t="s">
        <v>399</v>
      </c>
      <c r="E1429" s="7" t="s">
        <v>154</v>
      </c>
      <c r="F1429" s="39" t="n">
        <v>45730</v>
      </c>
      <c r="G1429" s="41" t="n">
        <v>86.39</v>
      </c>
      <c r="H1429" s="39" t="n">
        <v>45785</v>
      </c>
      <c r="I1429" s="7" t="s">
        <v>14651</v>
      </c>
      <c r="J1429" s="8" t="str">
        <f aca="false">IF(I1429="Open",DATE(2025,12,31)-F1429,"-")</f>
        <v>-</v>
      </c>
    </row>
    <row r="1430" customFormat="false" ht="15" hidden="false" customHeight="false" outlineLevel="0" collapsed="false">
      <c r="B1430" s="7" t="s">
        <v>16075</v>
      </c>
      <c r="C1430" s="7" t="s">
        <v>1927</v>
      </c>
      <c r="D1430" s="7" t="s">
        <v>401</v>
      </c>
      <c r="E1430" s="7" t="s">
        <v>156</v>
      </c>
      <c r="F1430" s="39" t="n">
        <v>45730</v>
      </c>
      <c r="G1430" s="41" t="n">
        <v>136.68</v>
      </c>
      <c r="H1430" s="39" t="n">
        <v>45737</v>
      </c>
      <c r="I1430" s="7" t="s">
        <v>14651</v>
      </c>
      <c r="J1430" s="8" t="str">
        <f aca="false">IF(I1430="Open",DATE(2025,12,31)-F1430,"-")</f>
        <v>-</v>
      </c>
    </row>
    <row r="1431" customFormat="false" ht="15" hidden="false" customHeight="false" outlineLevel="0" collapsed="false">
      <c r="B1431" s="7" t="s">
        <v>16076</v>
      </c>
      <c r="C1431" s="7" t="s">
        <v>1928</v>
      </c>
      <c r="D1431" s="7" t="s">
        <v>407</v>
      </c>
      <c r="E1431" s="7" t="s">
        <v>159</v>
      </c>
      <c r="F1431" s="39" t="n">
        <v>45730</v>
      </c>
      <c r="G1431" s="41" t="n">
        <v>140.4</v>
      </c>
      <c r="H1431" s="39" t="n">
        <v>45832</v>
      </c>
      <c r="I1431" s="7" t="s">
        <v>14651</v>
      </c>
      <c r="J1431" s="8" t="str">
        <f aca="false">IF(I1431="Open",DATE(2025,12,31)-F1431,"-")</f>
        <v>-</v>
      </c>
    </row>
    <row r="1432" customFormat="false" ht="15" hidden="false" customHeight="false" outlineLevel="0" collapsed="false">
      <c r="B1432" s="7" t="s">
        <v>16077</v>
      </c>
      <c r="C1432" s="7" t="s">
        <v>1929</v>
      </c>
      <c r="D1432" s="7" t="s">
        <v>409</v>
      </c>
      <c r="E1432" s="7" t="s">
        <v>154</v>
      </c>
      <c r="F1432" s="39" t="n">
        <v>45730</v>
      </c>
      <c r="G1432" s="41" t="n">
        <v>86.92</v>
      </c>
      <c r="H1432" s="39" t="n">
        <v>45836</v>
      </c>
      <c r="I1432" s="7" t="s">
        <v>14651</v>
      </c>
      <c r="J1432" s="8" t="str">
        <f aca="false">IF(I1432="Open",DATE(2025,12,31)-F1432,"-")</f>
        <v>-</v>
      </c>
    </row>
    <row r="1433" customFormat="false" ht="15" hidden="false" customHeight="false" outlineLevel="0" collapsed="false">
      <c r="B1433" s="7" t="s">
        <v>16078</v>
      </c>
      <c r="C1433" s="7" t="s">
        <v>1930</v>
      </c>
      <c r="D1433" s="7" t="s">
        <v>411</v>
      </c>
      <c r="E1433" s="7" t="s">
        <v>154</v>
      </c>
      <c r="F1433" s="39" t="n">
        <v>45730</v>
      </c>
      <c r="G1433" s="41" t="n">
        <v>122.43</v>
      </c>
      <c r="H1433" s="39" t="n">
        <v>45827</v>
      </c>
      <c r="I1433" s="7" t="s">
        <v>14651</v>
      </c>
      <c r="J1433" s="8" t="str">
        <f aca="false">IF(I1433="Open",DATE(2025,12,31)-F1433,"-")</f>
        <v>-</v>
      </c>
    </row>
    <row r="1434" customFormat="false" ht="15" hidden="false" customHeight="false" outlineLevel="0" collapsed="false">
      <c r="B1434" s="7" t="s">
        <v>16079</v>
      </c>
      <c r="C1434" s="7" t="s">
        <v>1931</v>
      </c>
      <c r="D1434" s="7" t="s">
        <v>288</v>
      </c>
      <c r="E1434" s="7" t="s">
        <v>156</v>
      </c>
      <c r="F1434" s="39" t="n">
        <v>45731</v>
      </c>
      <c r="G1434" s="41" t="n">
        <v>138.04</v>
      </c>
      <c r="H1434" s="39" t="n">
        <v>45740</v>
      </c>
      <c r="I1434" s="7" t="s">
        <v>14651</v>
      </c>
      <c r="J1434" s="8" t="str">
        <f aca="false">IF(I1434="Open",DATE(2025,12,31)-F1434,"-")</f>
        <v>-</v>
      </c>
    </row>
    <row r="1435" customFormat="false" ht="15" hidden="false" customHeight="false" outlineLevel="0" collapsed="false">
      <c r="B1435" s="7" t="s">
        <v>16080</v>
      </c>
      <c r="C1435" s="7" t="s">
        <v>1932</v>
      </c>
      <c r="D1435" s="7" t="s">
        <v>321</v>
      </c>
      <c r="E1435" s="7" t="s">
        <v>154</v>
      </c>
      <c r="F1435" s="39" t="n">
        <v>45731</v>
      </c>
      <c r="G1435" s="41" t="n">
        <v>98.31</v>
      </c>
      <c r="H1435" s="39" t="n">
        <v>45782</v>
      </c>
      <c r="I1435" s="7" t="s">
        <v>14651</v>
      </c>
      <c r="J1435" s="8" t="str">
        <f aca="false">IF(I1435="Open",DATE(2025,12,31)-F1435,"-")</f>
        <v>-</v>
      </c>
    </row>
    <row r="1436" customFormat="false" ht="15" hidden="false" customHeight="false" outlineLevel="0" collapsed="false">
      <c r="B1436" s="7" t="s">
        <v>16081</v>
      </c>
      <c r="C1436" s="7" t="s">
        <v>1933</v>
      </c>
      <c r="D1436" s="7" t="s">
        <v>359</v>
      </c>
      <c r="E1436" s="7" t="s">
        <v>156</v>
      </c>
      <c r="F1436" s="39" t="n">
        <v>45731</v>
      </c>
      <c r="G1436" s="41" t="n">
        <v>147.22</v>
      </c>
      <c r="H1436" s="39" t="n">
        <v>45741</v>
      </c>
      <c r="I1436" s="7" t="s">
        <v>14651</v>
      </c>
      <c r="J1436" s="8" t="str">
        <f aca="false">IF(I1436="Open",DATE(2025,12,31)-F1436,"-")</f>
        <v>-</v>
      </c>
    </row>
    <row r="1437" customFormat="false" ht="15" hidden="false" customHeight="false" outlineLevel="0" collapsed="false">
      <c r="B1437" s="7" t="s">
        <v>16082</v>
      </c>
      <c r="C1437" s="7" t="s">
        <v>1934</v>
      </c>
      <c r="D1437" s="7" t="s">
        <v>391</v>
      </c>
      <c r="E1437" s="7" t="s">
        <v>156</v>
      </c>
      <c r="F1437" s="39" t="n">
        <v>45731</v>
      </c>
      <c r="G1437" s="41" t="n">
        <v>143.48</v>
      </c>
      <c r="H1437" s="39" t="n">
        <v>45744</v>
      </c>
      <c r="I1437" s="7" t="s">
        <v>14651</v>
      </c>
      <c r="J1437" s="8" t="str">
        <f aca="false">IF(I1437="Open",DATE(2025,12,31)-F1437,"-")</f>
        <v>-</v>
      </c>
    </row>
    <row r="1438" customFormat="false" ht="15" hidden="false" customHeight="false" outlineLevel="0" collapsed="false">
      <c r="B1438" s="7" t="s">
        <v>16083</v>
      </c>
      <c r="C1438" s="7" t="s">
        <v>1935</v>
      </c>
      <c r="D1438" s="7" t="s">
        <v>395</v>
      </c>
      <c r="E1438" s="7" t="s">
        <v>156</v>
      </c>
      <c r="F1438" s="39" t="n">
        <v>45731</v>
      </c>
      <c r="G1438" s="41" t="n">
        <v>126.82</v>
      </c>
      <c r="H1438" s="39" t="n">
        <v>45744</v>
      </c>
      <c r="I1438" s="7" t="s">
        <v>14651</v>
      </c>
      <c r="J1438" s="8" t="str">
        <f aca="false">IF(I1438="Open",DATE(2025,12,31)-F1438,"-")</f>
        <v>-</v>
      </c>
    </row>
    <row r="1439" customFormat="false" ht="15" hidden="false" customHeight="false" outlineLevel="0" collapsed="false">
      <c r="B1439" s="7" t="s">
        <v>16084</v>
      </c>
      <c r="C1439" s="7" t="s">
        <v>1936</v>
      </c>
      <c r="D1439" s="7" t="s">
        <v>401</v>
      </c>
      <c r="E1439" s="7" t="s">
        <v>156</v>
      </c>
      <c r="F1439" s="39" t="n">
        <v>45731</v>
      </c>
      <c r="G1439" s="41" t="n">
        <v>142.12</v>
      </c>
      <c r="H1439" s="39" t="n">
        <v>45738</v>
      </c>
      <c r="I1439" s="7" t="s">
        <v>14651</v>
      </c>
      <c r="J1439" s="8" t="str">
        <f aca="false">IF(I1439="Open",DATE(2025,12,31)-F1439,"-")</f>
        <v>-</v>
      </c>
    </row>
    <row r="1440" customFormat="false" ht="15" hidden="false" customHeight="false" outlineLevel="0" collapsed="false">
      <c r="B1440" s="7" t="s">
        <v>16085</v>
      </c>
      <c r="C1440" s="7" t="s">
        <v>1937</v>
      </c>
      <c r="D1440" s="7" t="s">
        <v>288</v>
      </c>
      <c r="E1440" s="7" t="s">
        <v>156</v>
      </c>
      <c r="F1440" s="39" t="n">
        <v>45732</v>
      </c>
      <c r="G1440" s="41" t="n">
        <v>126.48</v>
      </c>
      <c r="H1440" s="39" t="n">
        <v>45734</v>
      </c>
      <c r="I1440" s="7" t="s">
        <v>14651</v>
      </c>
      <c r="J1440" s="8" t="str">
        <f aca="false">IF(I1440="Open",DATE(2025,12,31)-F1440,"-")</f>
        <v>-</v>
      </c>
    </row>
    <row r="1441" customFormat="false" ht="15" hidden="false" customHeight="false" outlineLevel="0" collapsed="false">
      <c r="B1441" s="7" t="s">
        <v>16086</v>
      </c>
      <c r="C1441" s="7" t="s">
        <v>1938</v>
      </c>
      <c r="D1441" s="7" t="s">
        <v>321</v>
      </c>
      <c r="E1441" s="7" t="s">
        <v>154</v>
      </c>
      <c r="F1441" s="39" t="n">
        <v>45732</v>
      </c>
      <c r="G1441" s="41" t="n">
        <v>116.07</v>
      </c>
      <c r="H1441" s="39" t="n">
        <v>45833</v>
      </c>
      <c r="I1441" s="7" t="s">
        <v>14651</v>
      </c>
      <c r="J1441" s="8" t="str">
        <f aca="false">IF(I1441="Open",DATE(2025,12,31)-F1441,"-")</f>
        <v>-</v>
      </c>
    </row>
    <row r="1442" customFormat="false" ht="15" hidden="false" customHeight="false" outlineLevel="0" collapsed="false">
      <c r="B1442" s="7" t="s">
        <v>16087</v>
      </c>
      <c r="C1442" s="7" t="s">
        <v>1939</v>
      </c>
      <c r="D1442" s="7" t="s">
        <v>359</v>
      </c>
      <c r="E1442" s="7" t="s">
        <v>156</v>
      </c>
      <c r="F1442" s="39" t="n">
        <v>45732</v>
      </c>
      <c r="G1442" s="41" t="n">
        <v>142.8</v>
      </c>
      <c r="H1442" s="39" t="n">
        <v>45756</v>
      </c>
      <c r="I1442" s="7" t="s">
        <v>14651</v>
      </c>
      <c r="J1442" s="8" t="str">
        <f aca="false">IF(I1442="Open",DATE(2025,12,31)-F1442,"-")</f>
        <v>-</v>
      </c>
    </row>
    <row r="1443" customFormat="false" ht="15" hidden="false" customHeight="false" outlineLevel="0" collapsed="false">
      <c r="B1443" s="7" t="s">
        <v>16088</v>
      </c>
      <c r="C1443" s="7" t="s">
        <v>1940</v>
      </c>
      <c r="D1443" s="7" t="s">
        <v>391</v>
      </c>
      <c r="E1443" s="7" t="s">
        <v>156</v>
      </c>
      <c r="F1443" s="39" t="n">
        <v>45732</v>
      </c>
      <c r="G1443" s="41" t="n">
        <v>142.46</v>
      </c>
      <c r="H1443" s="39" t="n">
        <v>45751</v>
      </c>
      <c r="I1443" s="7" t="s">
        <v>14651</v>
      </c>
      <c r="J1443" s="8" t="str">
        <f aca="false">IF(I1443="Open",DATE(2025,12,31)-F1443,"-")</f>
        <v>-</v>
      </c>
    </row>
    <row r="1444" customFormat="false" ht="15" hidden="false" customHeight="false" outlineLevel="0" collapsed="false">
      <c r="B1444" s="7" t="s">
        <v>16089</v>
      </c>
      <c r="C1444" s="7" t="s">
        <v>1941</v>
      </c>
      <c r="D1444" s="7" t="s">
        <v>395</v>
      </c>
      <c r="E1444" s="7" t="s">
        <v>156</v>
      </c>
      <c r="F1444" s="39" t="n">
        <v>45732</v>
      </c>
      <c r="G1444" s="41" t="n">
        <v>126.14</v>
      </c>
      <c r="H1444" s="39" t="n">
        <v>45739</v>
      </c>
      <c r="I1444" s="7" t="s">
        <v>14651</v>
      </c>
      <c r="J1444" s="8" t="str">
        <f aca="false">IF(I1444="Open",DATE(2025,12,31)-F1444,"-")</f>
        <v>-</v>
      </c>
    </row>
    <row r="1445" customFormat="false" ht="15" hidden="false" customHeight="false" outlineLevel="0" collapsed="false">
      <c r="B1445" s="7" t="s">
        <v>16090</v>
      </c>
      <c r="C1445" s="7" t="s">
        <v>1942</v>
      </c>
      <c r="D1445" s="7" t="s">
        <v>401</v>
      </c>
      <c r="E1445" s="7" t="s">
        <v>156</v>
      </c>
      <c r="F1445" s="39" t="n">
        <v>45732</v>
      </c>
      <c r="G1445" s="41" t="n">
        <v>139.06</v>
      </c>
      <c r="H1445" s="39" t="n">
        <v>45743</v>
      </c>
      <c r="I1445" s="7" t="s">
        <v>14651</v>
      </c>
      <c r="J1445" s="8" t="str">
        <f aca="false">IF(I1445="Open",DATE(2025,12,31)-F1445,"-")</f>
        <v>-</v>
      </c>
    </row>
    <row r="1446" customFormat="false" ht="15" hidden="false" customHeight="false" outlineLevel="0" collapsed="false">
      <c r="B1446" s="7" t="s">
        <v>16091</v>
      </c>
      <c r="C1446" s="7" t="s">
        <v>1943</v>
      </c>
      <c r="D1446" s="7" t="s">
        <v>280</v>
      </c>
      <c r="E1446" s="7" t="s">
        <v>157</v>
      </c>
      <c r="F1446" s="39" t="n">
        <v>45733</v>
      </c>
      <c r="G1446" s="41" t="n">
        <v>159.88</v>
      </c>
      <c r="H1446" s="39" t="n">
        <v>45799</v>
      </c>
      <c r="I1446" s="7" t="s">
        <v>14651</v>
      </c>
      <c r="J1446" s="8" t="str">
        <f aca="false">IF(I1446="Open",DATE(2025,12,31)-F1446,"-")</f>
        <v>-</v>
      </c>
    </row>
    <row r="1447" customFormat="false" ht="15" hidden="false" customHeight="false" outlineLevel="0" collapsed="false">
      <c r="B1447" s="7" t="s">
        <v>16092</v>
      </c>
      <c r="C1447" s="7" t="s">
        <v>1944</v>
      </c>
      <c r="D1447" s="7" t="s">
        <v>288</v>
      </c>
      <c r="E1447" s="7" t="s">
        <v>156</v>
      </c>
      <c r="F1447" s="39" t="n">
        <v>45733</v>
      </c>
      <c r="G1447" s="41" t="n">
        <v>124.44</v>
      </c>
      <c r="H1447" s="39" t="n">
        <v>45744</v>
      </c>
      <c r="I1447" s="7" t="s">
        <v>14651</v>
      </c>
      <c r="J1447" s="8" t="str">
        <f aca="false">IF(I1447="Open",DATE(2025,12,31)-F1447,"-")</f>
        <v>-</v>
      </c>
    </row>
    <row r="1448" customFormat="false" ht="15" hidden="false" customHeight="false" outlineLevel="0" collapsed="false">
      <c r="B1448" s="7" t="s">
        <v>16093</v>
      </c>
      <c r="C1448" s="7" t="s">
        <v>1945</v>
      </c>
      <c r="D1448" s="7" t="s">
        <v>291</v>
      </c>
      <c r="E1448" s="7" t="s">
        <v>154</v>
      </c>
      <c r="F1448" s="39" t="n">
        <v>45733</v>
      </c>
      <c r="G1448" s="41" t="n">
        <v>132.24</v>
      </c>
      <c r="H1448" s="39" t="n">
        <v>45773</v>
      </c>
      <c r="I1448" s="7" t="s">
        <v>14651</v>
      </c>
      <c r="J1448" s="8" t="str">
        <f aca="false">IF(I1448="Open",DATE(2025,12,31)-F1448,"-")</f>
        <v>-</v>
      </c>
    </row>
    <row r="1449" customFormat="false" ht="15" hidden="false" customHeight="false" outlineLevel="0" collapsed="false">
      <c r="B1449" s="7" t="s">
        <v>16094</v>
      </c>
      <c r="C1449" s="7" t="s">
        <v>1946</v>
      </c>
      <c r="D1449" s="7" t="s">
        <v>297</v>
      </c>
      <c r="E1449" s="7" t="s">
        <v>156</v>
      </c>
      <c r="F1449" s="39" t="n">
        <v>45733</v>
      </c>
      <c r="G1449" s="41" t="n">
        <v>95.54</v>
      </c>
      <c r="H1449" s="39" t="n">
        <v>45736</v>
      </c>
      <c r="I1449" s="7" t="s">
        <v>14651</v>
      </c>
      <c r="J1449" s="8" t="str">
        <f aca="false">IF(I1449="Open",DATE(2025,12,31)-F1449,"-")</f>
        <v>-</v>
      </c>
    </row>
    <row r="1450" customFormat="false" ht="15" hidden="false" customHeight="false" outlineLevel="0" collapsed="false">
      <c r="B1450" s="7" t="s">
        <v>16095</v>
      </c>
      <c r="C1450" s="7" t="s">
        <v>1947</v>
      </c>
      <c r="D1450" s="7" t="s">
        <v>305</v>
      </c>
      <c r="E1450" s="7" t="s">
        <v>154</v>
      </c>
      <c r="F1450" s="39" t="n">
        <v>45733</v>
      </c>
      <c r="G1450" s="41" t="n">
        <v>98.84</v>
      </c>
      <c r="H1450" s="39" t="n">
        <v>45771</v>
      </c>
      <c r="I1450" s="7" t="s">
        <v>14651</v>
      </c>
      <c r="J1450" s="8" t="str">
        <f aca="false">IF(I1450="Open",DATE(2025,12,31)-F1450,"-")</f>
        <v>-</v>
      </c>
    </row>
    <row r="1451" customFormat="false" ht="15" hidden="false" customHeight="false" outlineLevel="0" collapsed="false">
      <c r="B1451" s="7" t="s">
        <v>16096</v>
      </c>
      <c r="C1451" s="7" t="s">
        <v>1948</v>
      </c>
      <c r="D1451" s="7" t="s">
        <v>309</v>
      </c>
      <c r="E1451" s="7" t="s">
        <v>159</v>
      </c>
      <c r="F1451" s="39" t="n">
        <v>45733</v>
      </c>
      <c r="G1451" s="41" t="n">
        <v>147.15</v>
      </c>
      <c r="H1451" s="39" t="n">
        <v>45774</v>
      </c>
      <c r="I1451" s="7" t="s">
        <v>14651</v>
      </c>
      <c r="J1451" s="8" t="str">
        <f aca="false">IF(I1451="Open",DATE(2025,12,31)-F1451,"-")</f>
        <v>-</v>
      </c>
    </row>
    <row r="1452" customFormat="false" ht="15" hidden="false" customHeight="false" outlineLevel="0" collapsed="false">
      <c r="B1452" s="7" t="s">
        <v>16097</v>
      </c>
      <c r="C1452" s="7" t="s">
        <v>1949</v>
      </c>
      <c r="D1452" s="7" t="s">
        <v>311</v>
      </c>
      <c r="E1452" s="7" t="s">
        <v>154</v>
      </c>
      <c r="F1452" s="39" t="n">
        <v>45733</v>
      </c>
      <c r="G1452" s="41" t="n">
        <v>75</v>
      </c>
      <c r="H1452" s="39" t="n">
        <v>45846</v>
      </c>
      <c r="I1452" s="7" t="s">
        <v>14651</v>
      </c>
      <c r="J1452" s="8" t="str">
        <f aca="false">IF(I1452="Open",DATE(2025,12,31)-F1452,"-")</f>
        <v>-</v>
      </c>
    </row>
    <row r="1453" customFormat="false" ht="15" hidden="false" customHeight="false" outlineLevel="0" collapsed="false">
      <c r="B1453" s="7" t="s">
        <v>16098</v>
      </c>
      <c r="C1453" s="7" t="s">
        <v>1950</v>
      </c>
      <c r="D1453" s="7" t="s">
        <v>313</v>
      </c>
      <c r="E1453" s="7" t="s">
        <v>156</v>
      </c>
      <c r="F1453" s="39" t="n">
        <v>45733</v>
      </c>
      <c r="G1453" s="41" t="n">
        <v>127.84</v>
      </c>
      <c r="H1453" s="39" t="n">
        <v>45739</v>
      </c>
      <c r="I1453" s="7" t="s">
        <v>14651</v>
      </c>
      <c r="J1453" s="8" t="str">
        <f aca="false">IF(I1453="Open",DATE(2025,12,31)-F1453,"-")</f>
        <v>-</v>
      </c>
    </row>
    <row r="1454" customFormat="false" ht="15" hidden="false" customHeight="false" outlineLevel="0" collapsed="false">
      <c r="B1454" s="7" t="s">
        <v>16099</v>
      </c>
      <c r="C1454" s="7" t="s">
        <v>1951</v>
      </c>
      <c r="D1454" s="7" t="s">
        <v>317</v>
      </c>
      <c r="E1454" s="7" t="s">
        <v>156</v>
      </c>
      <c r="F1454" s="39" t="n">
        <v>45733</v>
      </c>
      <c r="G1454" s="41" t="n">
        <v>100.64</v>
      </c>
      <c r="H1454" s="39" t="n">
        <v>45737</v>
      </c>
      <c r="I1454" s="7" t="s">
        <v>14651</v>
      </c>
      <c r="J1454" s="8" t="str">
        <f aca="false">IF(I1454="Open",DATE(2025,12,31)-F1454,"-")</f>
        <v>-</v>
      </c>
    </row>
    <row r="1455" customFormat="false" ht="15" hidden="false" customHeight="false" outlineLevel="0" collapsed="false">
      <c r="B1455" s="7" t="s">
        <v>16100</v>
      </c>
      <c r="C1455" s="7" t="s">
        <v>1952</v>
      </c>
      <c r="D1455" s="7" t="s">
        <v>321</v>
      </c>
      <c r="E1455" s="7" t="s">
        <v>154</v>
      </c>
      <c r="F1455" s="39" t="n">
        <v>45733</v>
      </c>
      <c r="G1455" s="41" t="n">
        <v>113.69</v>
      </c>
      <c r="H1455" s="39" t="n">
        <v>45760</v>
      </c>
      <c r="I1455" s="7" t="s">
        <v>14651</v>
      </c>
      <c r="J1455" s="8" t="str">
        <f aca="false">IF(I1455="Open",DATE(2025,12,31)-F1455,"-")</f>
        <v>-</v>
      </c>
    </row>
    <row r="1456" customFormat="false" ht="15" hidden="false" customHeight="false" outlineLevel="0" collapsed="false">
      <c r="B1456" s="7" t="s">
        <v>16101</v>
      </c>
      <c r="C1456" s="7" t="s">
        <v>1953</v>
      </c>
      <c r="D1456" s="7" t="s">
        <v>325</v>
      </c>
      <c r="E1456" s="7" t="s">
        <v>154</v>
      </c>
      <c r="F1456" s="39" t="n">
        <v>45733</v>
      </c>
      <c r="G1456" s="41" t="n">
        <v>84</v>
      </c>
      <c r="H1456" s="39" t="n">
        <v>45819</v>
      </c>
      <c r="I1456" s="7" t="s">
        <v>14651</v>
      </c>
      <c r="J1456" s="8" t="str">
        <f aca="false">IF(I1456="Open",DATE(2025,12,31)-F1456,"-")</f>
        <v>-</v>
      </c>
    </row>
    <row r="1457" customFormat="false" ht="15" hidden="false" customHeight="false" outlineLevel="0" collapsed="false">
      <c r="B1457" s="7" t="s">
        <v>16102</v>
      </c>
      <c r="C1457" s="7" t="s">
        <v>1954</v>
      </c>
      <c r="D1457" s="7" t="s">
        <v>329</v>
      </c>
      <c r="E1457" s="7" t="s">
        <v>156</v>
      </c>
      <c r="F1457" s="39" t="n">
        <v>45733</v>
      </c>
      <c r="G1457" s="41" t="n">
        <v>142.12</v>
      </c>
      <c r="H1457" s="39" t="n">
        <v>45734</v>
      </c>
      <c r="I1457" s="7" t="s">
        <v>14651</v>
      </c>
      <c r="J1457" s="8" t="str">
        <f aca="false">IF(I1457="Open",DATE(2025,12,31)-F1457,"-")</f>
        <v>-</v>
      </c>
    </row>
    <row r="1458" customFormat="false" ht="15" hidden="false" customHeight="false" outlineLevel="0" collapsed="false">
      <c r="B1458" s="7" t="s">
        <v>16103</v>
      </c>
      <c r="C1458" s="7" t="s">
        <v>1955</v>
      </c>
      <c r="D1458" s="7" t="s">
        <v>331</v>
      </c>
      <c r="E1458" s="7" t="s">
        <v>156</v>
      </c>
      <c r="F1458" s="39" t="n">
        <v>45733</v>
      </c>
      <c r="G1458" s="41" t="n">
        <v>138.04</v>
      </c>
      <c r="H1458" s="39" t="n">
        <v>45746</v>
      </c>
      <c r="I1458" s="7" t="s">
        <v>14651</v>
      </c>
      <c r="J1458" s="8" t="str">
        <f aca="false">IF(I1458="Open",DATE(2025,12,31)-F1458,"-")</f>
        <v>-</v>
      </c>
    </row>
    <row r="1459" customFormat="false" ht="15" hidden="false" customHeight="false" outlineLevel="0" collapsed="false">
      <c r="B1459" s="7" t="s">
        <v>16104</v>
      </c>
      <c r="C1459" s="7" t="s">
        <v>1956</v>
      </c>
      <c r="D1459" s="7" t="s">
        <v>335</v>
      </c>
      <c r="E1459" s="7" t="s">
        <v>154</v>
      </c>
      <c r="F1459" s="39" t="n">
        <v>45733</v>
      </c>
      <c r="G1459" s="41" t="n">
        <v>106.93</v>
      </c>
      <c r="H1459" s="39" t="n">
        <v>45751</v>
      </c>
      <c r="I1459" s="7" t="s">
        <v>14651</v>
      </c>
      <c r="J1459" s="8" t="str">
        <f aca="false">IF(I1459="Open",DATE(2025,12,31)-F1459,"-")</f>
        <v>-</v>
      </c>
    </row>
    <row r="1460" customFormat="false" ht="15" hidden="false" customHeight="false" outlineLevel="0" collapsed="false">
      <c r="B1460" s="7" t="s">
        <v>16105</v>
      </c>
      <c r="C1460" s="7" t="s">
        <v>1957</v>
      </c>
      <c r="D1460" s="7" t="s">
        <v>337</v>
      </c>
      <c r="E1460" s="7" t="s">
        <v>154</v>
      </c>
      <c r="F1460" s="39" t="n">
        <v>45733</v>
      </c>
      <c r="G1460" s="41" t="n">
        <v>78.7</v>
      </c>
      <c r="H1460" s="39" t="n">
        <v>45828</v>
      </c>
      <c r="I1460" s="7" t="s">
        <v>14651</v>
      </c>
      <c r="J1460" s="8" t="str">
        <f aca="false">IF(I1460="Open",DATE(2025,12,31)-F1460,"-")</f>
        <v>-</v>
      </c>
    </row>
    <row r="1461" customFormat="false" ht="15" hidden="false" customHeight="false" outlineLevel="0" collapsed="false">
      <c r="B1461" s="7" t="s">
        <v>16106</v>
      </c>
      <c r="C1461" s="7" t="s">
        <v>1958</v>
      </c>
      <c r="D1461" s="7" t="s">
        <v>339</v>
      </c>
      <c r="E1461" s="7" t="s">
        <v>154</v>
      </c>
      <c r="F1461" s="39" t="n">
        <v>45733</v>
      </c>
      <c r="G1461" s="41" t="n">
        <v>83.74</v>
      </c>
      <c r="H1461" s="39" t="n">
        <v>45826</v>
      </c>
      <c r="I1461" s="7" t="s">
        <v>14651</v>
      </c>
      <c r="J1461" s="8" t="str">
        <f aca="false">IF(I1461="Open",DATE(2025,12,31)-F1461,"-")</f>
        <v>-</v>
      </c>
    </row>
    <row r="1462" customFormat="false" ht="15" hidden="false" customHeight="false" outlineLevel="0" collapsed="false">
      <c r="B1462" s="7" t="s">
        <v>16107</v>
      </c>
      <c r="C1462" s="7" t="s">
        <v>1959</v>
      </c>
      <c r="D1462" s="7" t="s">
        <v>341</v>
      </c>
      <c r="E1462" s="7" t="s">
        <v>156</v>
      </c>
      <c r="F1462" s="39" t="n">
        <v>45733</v>
      </c>
      <c r="G1462" s="41" t="n">
        <v>92.48</v>
      </c>
      <c r="H1462" s="39" t="n">
        <v>45738</v>
      </c>
      <c r="I1462" s="7" t="s">
        <v>14651</v>
      </c>
      <c r="J1462" s="8" t="str">
        <f aca="false">IF(I1462="Open",DATE(2025,12,31)-F1462,"-")</f>
        <v>-</v>
      </c>
    </row>
    <row r="1463" customFormat="false" ht="15" hidden="false" customHeight="false" outlineLevel="0" collapsed="false">
      <c r="B1463" s="7" t="s">
        <v>16108</v>
      </c>
      <c r="C1463" s="7" t="s">
        <v>1960</v>
      </c>
      <c r="D1463" s="7" t="s">
        <v>343</v>
      </c>
      <c r="E1463" s="7" t="s">
        <v>154</v>
      </c>
      <c r="F1463" s="39" t="n">
        <v>45733</v>
      </c>
      <c r="G1463" s="41" t="n">
        <v>115.81</v>
      </c>
      <c r="H1463" s="39" t="n">
        <v>45778</v>
      </c>
      <c r="I1463" s="7" t="s">
        <v>14651</v>
      </c>
      <c r="J1463" s="8" t="str">
        <f aca="false">IF(I1463="Open",DATE(2025,12,31)-F1463,"-")</f>
        <v>-</v>
      </c>
    </row>
    <row r="1464" customFormat="false" ht="15" hidden="false" customHeight="false" outlineLevel="0" collapsed="false">
      <c r="B1464" s="7" t="s">
        <v>16109</v>
      </c>
      <c r="C1464" s="7" t="s">
        <v>1961</v>
      </c>
      <c r="D1464" s="7" t="s">
        <v>353</v>
      </c>
      <c r="E1464" s="7" t="s">
        <v>154</v>
      </c>
      <c r="F1464" s="39" t="n">
        <v>45733</v>
      </c>
      <c r="G1464" s="41" t="n">
        <v>95.13</v>
      </c>
      <c r="H1464" s="39" t="n">
        <v>45777</v>
      </c>
      <c r="I1464" s="7" t="s">
        <v>14651</v>
      </c>
      <c r="J1464" s="8" t="str">
        <f aca="false">IF(I1464="Open",DATE(2025,12,31)-F1464,"-")</f>
        <v>-</v>
      </c>
    </row>
    <row r="1465" customFormat="false" ht="15" hidden="false" customHeight="false" outlineLevel="0" collapsed="false">
      <c r="B1465" s="7" t="s">
        <v>16110</v>
      </c>
      <c r="C1465" s="7" t="s">
        <v>1962</v>
      </c>
      <c r="D1465" s="7" t="s">
        <v>355</v>
      </c>
      <c r="E1465" s="7" t="s">
        <v>154</v>
      </c>
      <c r="F1465" s="39" t="n">
        <v>45733</v>
      </c>
      <c r="G1465" s="41" t="n">
        <v>82.41</v>
      </c>
      <c r="H1465" s="39" t="n">
        <v>45772</v>
      </c>
      <c r="I1465" s="7" t="s">
        <v>14651</v>
      </c>
      <c r="J1465" s="8" t="str">
        <f aca="false">IF(I1465="Open",DATE(2025,12,31)-F1465,"-")</f>
        <v>-</v>
      </c>
    </row>
    <row r="1466" customFormat="false" ht="15" hidden="false" customHeight="false" outlineLevel="0" collapsed="false">
      <c r="B1466" s="7" t="s">
        <v>16111</v>
      </c>
      <c r="C1466" s="7" t="s">
        <v>1963</v>
      </c>
      <c r="D1466" s="7" t="s">
        <v>357</v>
      </c>
      <c r="E1466" s="7" t="s">
        <v>154</v>
      </c>
      <c r="F1466" s="39" t="n">
        <v>45733</v>
      </c>
      <c r="G1466" s="41" t="n">
        <v>91.69</v>
      </c>
      <c r="H1466" s="39" t="n">
        <v>45816</v>
      </c>
      <c r="I1466" s="7" t="s">
        <v>14651</v>
      </c>
      <c r="J1466" s="8" t="str">
        <f aca="false">IF(I1466="Open",DATE(2025,12,31)-F1466,"-")</f>
        <v>-</v>
      </c>
    </row>
    <row r="1467" customFormat="false" ht="15" hidden="false" customHeight="false" outlineLevel="0" collapsed="false">
      <c r="B1467" s="7" t="s">
        <v>16112</v>
      </c>
      <c r="C1467" s="7" t="s">
        <v>1964</v>
      </c>
      <c r="D1467" s="7" t="s">
        <v>359</v>
      </c>
      <c r="E1467" s="7" t="s">
        <v>156</v>
      </c>
      <c r="F1467" s="39" t="n">
        <v>45733</v>
      </c>
      <c r="G1467" s="41" t="n">
        <v>140.08</v>
      </c>
      <c r="H1467" s="39" t="n">
        <v>45734</v>
      </c>
      <c r="I1467" s="7" t="s">
        <v>14651</v>
      </c>
      <c r="J1467" s="8" t="str">
        <f aca="false">IF(I1467="Open",DATE(2025,12,31)-F1467,"-")</f>
        <v>-</v>
      </c>
    </row>
    <row r="1468" customFormat="false" ht="15" hidden="false" customHeight="false" outlineLevel="0" collapsed="false">
      <c r="B1468" s="7" t="s">
        <v>16113</v>
      </c>
      <c r="C1468" s="7" t="s">
        <v>1965</v>
      </c>
      <c r="D1468" s="7" t="s">
        <v>363</v>
      </c>
      <c r="E1468" s="7" t="s">
        <v>156</v>
      </c>
      <c r="F1468" s="39" t="n">
        <v>45733</v>
      </c>
      <c r="G1468" s="41" t="n">
        <v>127.16</v>
      </c>
      <c r="H1468" s="39" t="n">
        <v>45745</v>
      </c>
      <c r="I1468" s="7" t="s">
        <v>14651</v>
      </c>
      <c r="J1468" s="8" t="str">
        <f aca="false">IF(I1468="Open",DATE(2025,12,31)-F1468,"-")</f>
        <v>-</v>
      </c>
    </row>
    <row r="1469" customFormat="false" ht="15" hidden="false" customHeight="false" outlineLevel="0" collapsed="false">
      <c r="B1469" s="7" t="s">
        <v>16114</v>
      </c>
      <c r="C1469" s="7" t="s">
        <v>1966</v>
      </c>
      <c r="D1469" s="7" t="s">
        <v>371</v>
      </c>
      <c r="E1469" s="7" t="s">
        <v>154</v>
      </c>
      <c r="F1469" s="39" t="n">
        <v>45733</v>
      </c>
      <c r="G1469" s="41" t="n">
        <v>124.81</v>
      </c>
      <c r="H1469" s="39" t="n">
        <v>45784</v>
      </c>
      <c r="I1469" s="7" t="s">
        <v>14651</v>
      </c>
      <c r="J1469" s="8" t="str">
        <f aca="false">IF(I1469="Open",DATE(2025,12,31)-F1469,"-")</f>
        <v>-</v>
      </c>
    </row>
    <row r="1470" customFormat="false" ht="15" hidden="false" customHeight="false" outlineLevel="0" collapsed="false">
      <c r="B1470" s="7" t="s">
        <v>16115</v>
      </c>
      <c r="C1470" s="7" t="s">
        <v>1967</v>
      </c>
      <c r="D1470" s="7" t="s">
        <v>375</v>
      </c>
      <c r="E1470" s="7" t="s">
        <v>156</v>
      </c>
      <c r="F1470" s="39" t="n">
        <v>45733</v>
      </c>
      <c r="G1470" s="41" t="n">
        <v>92.14</v>
      </c>
      <c r="H1470" s="39" t="n">
        <v>45739</v>
      </c>
      <c r="I1470" s="7" t="s">
        <v>14651</v>
      </c>
      <c r="J1470" s="8" t="str">
        <f aca="false">IF(I1470="Open",DATE(2025,12,31)-F1470,"-")</f>
        <v>-</v>
      </c>
    </row>
    <row r="1471" customFormat="false" ht="15" hidden="false" customHeight="false" outlineLevel="0" collapsed="false">
      <c r="B1471" s="7" t="s">
        <v>16116</v>
      </c>
      <c r="C1471" s="7" t="s">
        <v>1968</v>
      </c>
      <c r="D1471" s="7" t="s">
        <v>377</v>
      </c>
      <c r="E1471" s="7" t="s">
        <v>154</v>
      </c>
      <c r="F1471" s="39" t="n">
        <v>45733</v>
      </c>
      <c r="G1471" s="41" t="n">
        <v>111.04</v>
      </c>
      <c r="H1471" s="39" t="n">
        <v>45775</v>
      </c>
      <c r="I1471" s="7" t="s">
        <v>14651</v>
      </c>
      <c r="J1471" s="8" t="str">
        <f aca="false">IF(I1471="Open",DATE(2025,12,31)-F1471,"-")</f>
        <v>-</v>
      </c>
    </row>
    <row r="1472" customFormat="false" ht="15" hidden="false" customHeight="false" outlineLevel="0" collapsed="false">
      <c r="B1472" s="7" t="s">
        <v>16117</v>
      </c>
      <c r="C1472" s="7" t="s">
        <v>1969</v>
      </c>
      <c r="D1472" s="7" t="s">
        <v>379</v>
      </c>
      <c r="E1472" s="7" t="s">
        <v>156</v>
      </c>
      <c r="F1472" s="39" t="n">
        <v>45733</v>
      </c>
      <c r="G1472" s="41" t="n">
        <v>153</v>
      </c>
      <c r="H1472" s="39" t="n">
        <v>45739</v>
      </c>
      <c r="I1472" s="7" t="s">
        <v>14651</v>
      </c>
      <c r="J1472" s="8" t="str">
        <f aca="false">IF(I1472="Open",DATE(2025,12,31)-F1472,"-")</f>
        <v>-</v>
      </c>
    </row>
    <row r="1473" customFormat="false" ht="15" hidden="false" customHeight="false" outlineLevel="0" collapsed="false">
      <c r="B1473" s="7" t="s">
        <v>16118</v>
      </c>
      <c r="C1473" s="7" t="s">
        <v>1970</v>
      </c>
      <c r="D1473" s="7" t="s">
        <v>389</v>
      </c>
      <c r="E1473" s="7" t="s">
        <v>154</v>
      </c>
      <c r="F1473" s="39" t="n">
        <v>45733</v>
      </c>
      <c r="G1473" s="41" t="n">
        <v>95.88</v>
      </c>
      <c r="H1473" s="39" t="n">
        <v>45768</v>
      </c>
      <c r="I1473" s="7" t="s">
        <v>14651</v>
      </c>
      <c r="J1473" s="8" t="str">
        <f aca="false">IF(I1473="Open",DATE(2025,12,31)-F1473,"-")</f>
        <v>-</v>
      </c>
    </row>
    <row r="1474" customFormat="false" ht="15" hidden="false" customHeight="false" outlineLevel="0" collapsed="false">
      <c r="B1474" s="7" t="s">
        <v>16119</v>
      </c>
      <c r="C1474" s="7" t="s">
        <v>1971</v>
      </c>
      <c r="D1474" s="7" t="s">
        <v>391</v>
      </c>
      <c r="E1474" s="7" t="s">
        <v>156</v>
      </c>
      <c r="F1474" s="39" t="n">
        <v>45733</v>
      </c>
      <c r="G1474" s="41" t="n">
        <v>141.44</v>
      </c>
      <c r="H1474" s="39" t="n">
        <v>45740</v>
      </c>
      <c r="I1474" s="7" t="s">
        <v>14651</v>
      </c>
      <c r="J1474" s="8" t="str">
        <f aca="false">IF(I1474="Open",DATE(2025,12,31)-F1474,"-")</f>
        <v>-</v>
      </c>
    </row>
    <row r="1475" customFormat="false" ht="15" hidden="false" customHeight="false" outlineLevel="0" collapsed="false">
      <c r="B1475" s="7" t="s">
        <v>16120</v>
      </c>
      <c r="C1475" s="7" t="s">
        <v>1972</v>
      </c>
      <c r="D1475" s="7" t="s">
        <v>395</v>
      </c>
      <c r="E1475" s="7" t="s">
        <v>156</v>
      </c>
      <c r="F1475" s="39" t="n">
        <v>45733</v>
      </c>
      <c r="G1475" s="41" t="n">
        <v>141.78</v>
      </c>
      <c r="H1475" s="39" t="n">
        <v>45744</v>
      </c>
      <c r="I1475" s="7" t="s">
        <v>14651</v>
      </c>
      <c r="J1475" s="8" t="str">
        <f aca="false">IF(I1475="Open",DATE(2025,12,31)-F1475,"-")</f>
        <v>-</v>
      </c>
    </row>
    <row r="1476" customFormat="false" ht="15" hidden="false" customHeight="false" outlineLevel="0" collapsed="false">
      <c r="B1476" s="7" t="s">
        <v>16121</v>
      </c>
      <c r="C1476" s="7" t="s">
        <v>1973</v>
      </c>
      <c r="D1476" s="7" t="s">
        <v>399</v>
      </c>
      <c r="E1476" s="7" t="s">
        <v>154</v>
      </c>
      <c r="F1476" s="39" t="n">
        <v>45733</v>
      </c>
      <c r="G1476" s="41" t="n">
        <v>90.37</v>
      </c>
      <c r="H1476" s="39" t="n">
        <v>45776</v>
      </c>
      <c r="I1476" s="7" t="s">
        <v>14651</v>
      </c>
      <c r="J1476" s="8" t="str">
        <f aca="false">IF(I1476="Open",DATE(2025,12,31)-F1476,"-")</f>
        <v>-</v>
      </c>
    </row>
    <row r="1477" customFormat="false" ht="15" hidden="false" customHeight="false" outlineLevel="0" collapsed="false">
      <c r="B1477" s="7" t="s">
        <v>16122</v>
      </c>
      <c r="C1477" s="7" t="s">
        <v>1974</v>
      </c>
      <c r="D1477" s="7" t="s">
        <v>401</v>
      </c>
      <c r="E1477" s="7" t="s">
        <v>156</v>
      </c>
      <c r="F1477" s="39" t="n">
        <v>45733</v>
      </c>
      <c r="G1477" s="41" t="n">
        <v>123.76</v>
      </c>
      <c r="H1477" s="39" t="n">
        <v>45743</v>
      </c>
      <c r="I1477" s="7" t="s">
        <v>14651</v>
      </c>
      <c r="J1477" s="8" t="str">
        <f aca="false">IF(I1477="Open",DATE(2025,12,31)-F1477,"-")</f>
        <v>-</v>
      </c>
    </row>
    <row r="1478" customFormat="false" ht="15" hidden="false" customHeight="false" outlineLevel="0" collapsed="false">
      <c r="B1478" s="7" t="s">
        <v>16123</v>
      </c>
      <c r="C1478" s="7" t="s">
        <v>1975</v>
      </c>
      <c r="D1478" s="7" t="s">
        <v>409</v>
      </c>
      <c r="E1478" s="7" t="s">
        <v>154</v>
      </c>
      <c r="F1478" s="39" t="n">
        <v>45733</v>
      </c>
      <c r="G1478" s="41" t="n">
        <v>94.87</v>
      </c>
      <c r="H1478" s="39" t="n">
        <v>45832</v>
      </c>
      <c r="I1478" s="7" t="s">
        <v>14651</v>
      </c>
      <c r="J1478" s="8" t="str">
        <f aca="false">IF(I1478="Open",DATE(2025,12,31)-F1478,"-")</f>
        <v>-</v>
      </c>
    </row>
    <row r="1479" customFormat="false" ht="15" hidden="false" customHeight="false" outlineLevel="0" collapsed="false">
      <c r="B1479" s="7" t="s">
        <v>16124</v>
      </c>
      <c r="C1479" s="7" t="s">
        <v>1976</v>
      </c>
      <c r="D1479" s="7" t="s">
        <v>411</v>
      </c>
      <c r="E1479" s="7" t="s">
        <v>154</v>
      </c>
      <c r="F1479" s="39" t="n">
        <v>45733</v>
      </c>
      <c r="G1479" s="41" t="n">
        <v>111.3</v>
      </c>
      <c r="H1479" s="39" t="n">
        <v>45824</v>
      </c>
      <c r="I1479" s="7" t="s">
        <v>14651</v>
      </c>
      <c r="J1479" s="8" t="str">
        <f aca="false">IF(I1479="Open",DATE(2025,12,31)-F1479,"-")</f>
        <v>-</v>
      </c>
    </row>
    <row r="1480" customFormat="false" ht="15" hidden="false" customHeight="false" outlineLevel="0" collapsed="false">
      <c r="B1480" s="7" t="s">
        <v>16125</v>
      </c>
      <c r="C1480" s="7" t="s">
        <v>1977</v>
      </c>
      <c r="D1480" s="7" t="s">
        <v>288</v>
      </c>
      <c r="E1480" s="7" t="s">
        <v>156</v>
      </c>
      <c r="F1480" s="39" t="n">
        <v>45734</v>
      </c>
      <c r="G1480" s="41" t="n">
        <v>130.9</v>
      </c>
      <c r="H1480" s="39" t="n">
        <v>45745</v>
      </c>
      <c r="I1480" s="7" t="s">
        <v>14651</v>
      </c>
      <c r="J1480" s="8" t="str">
        <f aca="false">IF(I1480="Open",DATE(2025,12,31)-F1480,"-")</f>
        <v>-</v>
      </c>
    </row>
    <row r="1481" customFormat="false" ht="15" hidden="false" customHeight="false" outlineLevel="0" collapsed="false">
      <c r="B1481" s="7" t="s">
        <v>16126</v>
      </c>
      <c r="C1481" s="7" t="s">
        <v>1978</v>
      </c>
      <c r="D1481" s="7" t="s">
        <v>301</v>
      </c>
      <c r="E1481" s="7" t="s">
        <v>157</v>
      </c>
      <c r="F1481" s="39" t="n">
        <v>45734</v>
      </c>
      <c r="G1481" s="41" t="n">
        <v>158.4</v>
      </c>
      <c r="H1481" s="39" t="n">
        <v>45796</v>
      </c>
      <c r="I1481" s="7" t="s">
        <v>14651</v>
      </c>
      <c r="J1481" s="8" t="str">
        <f aca="false">IF(I1481="Open",DATE(2025,12,31)-F1481,"-")</f>
        <v>-</v>
      </c>
    </row>
    <row r="1482" customFormat="false" ht="15" hidden="false" customHeight="false" outlineLevel="0" collapsed="false">
      <c r="B1482" s="7" t="s">
        <v>16127</v>
      </c>
      <c r="C1482" s="7" t="s">
        <v>1979</v>
      </c>
      <c r="D1482" s="7" t="s">
        <v>319</v>
      </c>
      <c r="E1482" s="7" t="s">
        <v>157</v>
      </c>
      <c r="F1482" s="39" t="n">
        <v>45734</v>
      </c>
      <c r="G1482" s="41" t="n">
        <v>148.5</v>
      </c>
      <c r="H1482" s="39" t="n">
        <v>45759</v>
      </c>
      <c r="I1482" s="7" t="s">
        <v>14651</v>
      </c>
      <c r="J1482" s="8" t="str">
        <f aca="false">IF(I1482="Open",DATE(2025,12,31)-F1482,"-")</f>
        <v>-</v>
      </c>
    </row>
    <row r="1483" customFormat="false" ht="15" hidden="false" customHeight="false" outlineLevel="0" collapsed="false">
      <c r="B1483" s="7" t="s">
        <v>16128</v>
      </c>
      <c r="C1483" s="7" t="s">
        <v>1980</v>
      </c>
      <c r="D1483" s="7" t="s">
        <v>321</v>
      </c>
      <c r="E1483" s="7" t="s">
        <v>154</v>
      </c>
      <c r="F1483" s="39" t="n">
        <v>45734</v>
      </c>
      <c r="G1483" s="41" t="n">
        <v>112.62</v>
      </c>
      <c r="H1483" s="39" t="n">
        <v>45847</v>
      </c>
      <c r="I1483" s="7" t="s">
        <v>14651</v>
      </c>
      <c r="J1483" s="8" t="str">
        <f aca="false">IF(I1483="Open",DATE(2025,12,31)-F1483,"-")</f>
        <v>-</v>
      </c>
    </row>
    <row r="1484" customFormat="false" ht="15" hidden="false" customHeight="false" outlineLevel="0" collapsed="false">
      <c r="B1484" s="7" t="s">
        <v>16129</v>
      </c>
      <c r="C1484" s="7" t="s">
        <v>1981</v>
      </c>
      <c r="D1484" s="7" t="s">
        <v>323</v>
      </c>
      <c r="E1484" s="7" t="s">
        <v>159</v>
      </c>
      <c r="F1484" s="39" t="n">
        <v>45734</v>
      </c>
      <c r="G1484" s="41" t="n">
        <v>126.9</v>
      </c>
      <c r="H1484" s="39" t="n">
        <v>45766</v>
      </c>
      <c r="I1484" s="7" t="s">
        <v>14651</v>
      </c>
      <c r="J1484" s="8" t="str">
        <f aca="false">IF(I1484="Open",DATE(2025,12,31)-F1484,"-")</f>
        <v>-</v>
      </c>
    </row>
    <row r="1485" customFormat="false" ht="15" hidden="false" customHeight="false" outlineLevel="0" collapsed="false">
      <c r="B1485" s="7" t="s">
        <v>16130</v>
      </c>
      <c r="C1485" s="7" t="s">
        <v>1982</v>
      </c>
      <c r="D1485" s="7" t="s">
        <v>327</v>
      </c>
      <c r="E1485" s="7" t="s">
        <v>157</v>
      </c>
      <c r="F1485" s="39" t="n">
        <v>45734</v>
      </c>
      <c r="G1485" s="41" t="n">
        <v>155.1</v>
      </c>
      <c r="H1485" s="39" t="n">
        <v>45751</v>
      </c>
      <c r="I1485" s="7" t="s">
        <v>14651</v>
      </c>
      <c r="J1485" s="8" t="str">
        <f aca="false">IF(I1485="Open",DATE(2025,12,31)-F1485,"-")</f>
        <v>-</v>
      </c>
    </row>
    <row r="1486" customFormat="false" ht="15" hidden="false" customHeight="false" outlineLevel="0" collapsed="false">
      <c r="B1486" s="7" t="s">
        <v>16131</v>
      </c>
      <c r="C1486" s="7" t="s">
        <v>1983</v>
      </c>
      <c r="D1486" s="7" t="s">
        <v>329</v>
      </c>
      <c r="E1486" s="7" t="s">
        <v>156</v>
      </c>
      <c r="F1486" s="39" t="n">
        <v>45734</v>
      </c>
      <c r="G1486" s="41" t="n">
        <v>146.54</v>
      </c>
      <c r="H1486" s="39" t="n">
        <v>45744</v>
      </c>
      <c r="I1486" s="7" t="s">
        <v>14651</v>
      </c>
      <c r="J1486" s="8" t="str">
        <f aca="false">IF(I1486="Open",DATE(2025,12,31)-F1486,"-")</f>
        <v>-</v>
      </c>
    </row>
    <row r="1487" customFormat="false" ht="15" hidden="false" customHeight="false" outlineLevel="0" collapsed="false">
      <c r="B1487" s="7" t="s">
        <v>16132</v>
      </c>
      <c r="C1487" s="7" t="s">
        <v>1984</v>
      </c>
      <c r="D1487" s="7" t="s">
        <v>359</v>
      </c>
      <c r="E1487" s="7" t="s">
        <v>156</v>
      </c>
      <c r="F1487" s="39" t="n">
        <v>45734</v>
      </c>
      <c r="G1487" s="41" t="n">
        <v>144.84</v>
      </c>
      <c r="H1487" s="39" t="n">
        <v>45737</v>
      </c>
      <c r="I1487" s="7" t="s">
        <v>14651</v>
      </c>
      <c r="J1487" s="8" t="str">
        <f aca="false">IF(I1487="Open",DATE(2025,12,31)-F1487,"-")</f>
        <v>-</v>
      </c>
    </row>
    <row r="1488" customFormat="false" ht="15" hidden="false" customHeight="false" outlineLevel="0" collapsed="false">
      <c r="B1488" s="7" t="s">
        <v>16133</v>
      </c>
      <c r="C1488" s="7" t="s">
        <v>1985</v>
      </c>
      <c r="D1488" s="7" t="s">
        <v>361</v>
      </c>
      <c r="E1488" s="7" t="s">
        <v>157</v>
      </c>
      <c r="F1488" s="39" t="n">
        <v>45734</v>
      </c>
      <c r="G1488" s="41" t="n">
        <v>142.56</v>
      </c>
      <c r="H1488" s="39" t="n">
        <v>45758</v>
      </c>
      <c r="I1488" s="7" t="s">
        <v>14651</v>
      </c>
      <c r="J1488" s="8" t="str">
        <f aca="false">IF(I1488="Open",DATE(2025,12,31)-F1488,"-")</f>
        <v>-</v>
      </c>
    </row>
    <row r="1489" customFormat="false" ht="15" hidden="false" customHeight="false" outlineLevel="0" collapsed="false">
      <c r="B1489" s="7" t="s">
        <v>16134</v>
      </c>
      <c r="C1489" s="7" t="s">
        <v>1986</v>
      </c>
      <c r="D1489" s="7" t="s">
        <v>381</v>
      </c>
      <c r="E1489" s="7" t="s">
        <v>157</v>
      </c>
      <c r="F1489" s="39" t="n">
        <v>45734</v>
      </c>
      <c r="G1489" s="41" t="n">
        <v>150.15</v>
      </c>
      <c r="H1489" s="39" t="n">
        <v>45778</v>
      </c>
      <c r="I1489" s="7" t="s">
        <v>14651</v>
      </c>
      <c r="J1489" s="8" t="str">
        <f aca="false">IF(I1489="Open",DATE(2025,12,31)-F1489,"-")</f>
        <v>-</v>
      </c>
    </row>
    <row r="1490" customFormat="false" ht="15" hidden="false" customHeight="false" outlineLevel="0" collapsed="false">
      <c r="B1490" s="7" t="s">
        <v>16135</v>
      </c>
      <c r="C1490" s="7" t="s">
        <v>1987</v>
      </c>
      <c r="D1490" s="7" t="s">
        <v>389</v>
      </c>
      <c r="E1490" s="7" t="s">
        <v>154</v>
      </c>
      <c r="F1490" s="39" t="n">
        <v>45734</v>
      </c>
      <c r="G1490" s="41" t="n">
        <v>99.22</v>
      </c>
      <c r="H1490" s="39" t="n">
        <v>45842</v>
      </c>
      <c r="I1490" s="7" t="s">
        <v>14651</v>
      </c>
      <c r="J1490" s="8" t="str">
        <f aca="false">IF(I1490="Open",DATE(2025,12,31)-F1490,"-")</f>
        <v>-</v>
      </c>
    </row>
    <row r="1491" customFormat="false" ht="15" hidden="false" customHeight="false" outlineLevel="0" collapsed="false">
      <c r="B1491" s="7" t="s">
        <v>16136</v>
      </c>
      <c r="C1491" s="7" t="s">
        <v>1988</v>
      </c>
      <c r="D1491" s="7" t="s">
        <v>391</v>
      </c>
      <c r="E1491" s="7" t="s">
        <v>156</v>
      </c>
      <c r="F1491" s="39" t="n">
        <v>45734</v>
      </c>
      <c r="G1491" s="41" t="n">
        <v>149.26</v>
      </c>
      <c r="H1491" s="39" t="n">
        <v>45745</v>
      </c>
      <c r="I1491" s="7" t="s">
        <v>14651</v>
      </c>
      <c r="J1491" s="8" t="str">
        <f aca="false">IF(I1491="Open",DATE(2025,12,31)-F1491,"-")</f>
        <v>-</v>
      </c>
    </row>
    <row r="1492" customFormat="false" ht="15" hidden="false" customHeight="false" outlineLevel="0" collapsed="false">
      <c r="B1492" s="7" t="s">
        <v>16137</v>
      </c>
      <c r="C1492" s="7" t="s">
        <v>1989</v>
      </c>
      <c r="D1492" s="7" t="s">
        <v>395</v>
      </c>
      <c r="E1492" s="7" t="s">
        <v>156</v>
      </c>
      <c r="F1492" s="39" t="n">
        <v>45734</v>
      </c>
      <c r="G1492" s="41" t="n">
        <v>140.42</v>
      </c>
      <c r="H1492" s="39" t="n">
        <v>45738</v>
      </c>
      <c r="I1492" s="7" t="s">
        <v>14651</v>
      </c>
      <c r="J1492" s="8" t="str">
        <f aca="false">IF(I1492="Open",DATE(2025,12,31)-F1492,"-")</f>
        <v>-</v>
      </c>
    </row>
    <row r="1493" customFormat="false" ht="15" hidden="false" customHeight="false" outlineLevel="0" collapsed="false">
      <c r="B1493" s="7" t="s">
        <v>16138</v>
      </c>
      <c r="C1493" s="7" t="s">
        <v>1990</v>
      </c>
      <c r="D1493" s="7" t="s">
        <v>397</v>
      </c>
      <c r="E1493" s="7" t="s">
        <v>159</v>
      </c>
      <c r="F1493" s="39" t="n">
        <v>45734</v>
      </c>
      <c r="G1493" s="41" t="n">
        <v>136.35</v>
      </c>
      <c r="H1493" s="39" t="n">
        <v>45783</v>
      </c>
      <c r="I1493" s="7" t="s">
        <v>14651</v>
      </c>
      <c r="J1493" s="8" t="str">
        <f aca="false">IF(I1493="Open",DATE(2025,12,31)-F1493,"-")</f>
        <v>-</v>
      </c>
    </row>
    <row r="1494" customFormat="false" ht="15" hidden="false" customHeight="false" outlineLevel="0" collapsed="false">
      <c r="B1494" s="7" t="s">
        <v>16139</v>
      </c>
      <c r="C1494" s="7" t="s">
        <v>1991</v>
      </c>
      <c r="D1494" s="7" t="s">
        <v>401</v>
      </c>
      <c r="E1494" s="7" t="s">
        <v>156</v>
      </c>
      <c r="F1494" s="39" t="n">
        <v>45734</v>
      </c>
      <c r="G1494" s="41" t="n">
        <v>132.26</v>
      </c>
      <c r="H1494" s="39" t="n">
        <v>45752</v>
      </c>
      <c r="I1494" s="7" t="s">
        <v>14651</v>
      </c>
      <c r="J1494" s="8" t="str">
        <f aca="false">IF(I1494="Open",DATE(2025,12,31)-F1494,"-")</f>
        <v>-</v>
      </c>
    </row>
    <row r="1495" customFormat="false" ht="15" hidden="false" customHeight="false" outlineLevel="0" collapsed="false">
      <c r="B1495" s="7" t="s">
        <v>16140</v>
      </c>
      <c r="C1495" s="7" t="s">
        <v>1992</v>
      </c>
      <c r="D1495" s="7" t="s">
        <v>407</v>
      </c>
      <c r="E1495" s="7" t="s">
        <v>159</v>
      </c>
      <c r="F1495" s="39" t="n">
        <v>45734</v>
      </c>
      <c r="G1495" s="41" t="n">
        <v>129.6</v>
      </c>
      <c r="H1495" s="39" t="n">
        <v>45781</v>
      </c>
      <c r="I1495" s="7" t="s">
        <v>14651</v>
      </c>
      <c r="J1495" s="8" t="str">
        <f aca="false">IF(I1495="Open",DATE(2025,12,31)-F1495,"-")</f>
        <v>-</v>
      </c>
    </row>
    <row r="1496" customFormat="false" ht="15" hidden="false" customHeight="false" outlineLevel="0" collapsed="false">
      <c r="B1496" s="7" t="s">
        <v>16141</v>
      </c>
      <c r="C1496" s="7" t="s">
        <v>1993</v>
      </c>
      <c r="D1496" s="7" t="s">
        <v>280</v>
      </c>
      <c r="E1496" s="7" t="s">
        <v>157</v>
      </c>
      <c r="F1496" s="39" t="n">
        <v>45735</v>
      </c>
      <c r="G1496" s="41" t="n">
        <v>164.5</v>
      </c>
      <c r="H1496" s="39" t="n">
        <v>45776</v>
      </c>
      <c r="I1496" s="7" t="s">
        <v>14651</v>
      </c>
      <c r="J1496" s="8" t="str">
        <f aca="false">IF(I1496="Open",DATE(2025,12,31)-F1496,"-")</f>
        <v>-</v>
      </c>
    </row>
    <row r="1497" customFormat="false" ht="15" hidden="false" customHeight="false" outlineLevel="0" collapsed="false">
      <c r="B1497" s="7" t="s">
        <v>16142</v>
      </c>
      <c r="C1497" s="7" t="s">
        <v>1994</v>
      </c>
      <c r="D1497" s="7" t="s">
        <v>286</v>
      </c>
      <c r="E1497" s="7" t="s">
        <v>157</v>
      </c>
      <c r="F1497" s="39" t="n">
        <v>45735</v>
      </c>
      <c r="G1497" s="41" t="n">
        <v>163.35</v>
      </c>
      <c r="H1497" s="39" t="n">
        <v>45774</v>
      </c>
      <c r="I1497" s="7" t="s">
        <v>14651</v>
      </c>
      <c r="J1497" s="8" t="str">
        <f aca="false">IF(I1497="Open",DATE(2025,12,31)-F1497,"-")</f>
        <v>-</v>
      </c>
    </row>
    <row r="1498" customFormat="false" ht="15" hidden="false" customHeight="false" outlineLevel="0" collapsed="false">
      <c r="B1498" s="7" t="s">
        <v>16143</v>
      </c>
      <c r="C1498" s="7" t="s">
        <v>1995</v>
      </c>
      <c r="D1498" s="7" t="s">
        <v>288</v>
      </c>
      <c r="E1498" s="7" t="s">
        <v>156</v>
      </c>
      <c r="F1498" s="39" t="n">
        <v>45735</v>
      </c>
      <c r="G1498" s="41" t="n">
        <v>131.24</v>
      </c>
      <c r="H1498" s="39" t="n">
        <v>45749</v>
      </c>
      <c r="I1498" s="7" t="s">
        <v>14651</v>
      </c>
      <c r="J1498" s="8" t="str">
        <f aca="false">IF(I1498="Open",DATE(2025,12,31)-F1498,"-")</f>
        <v>-</v>
      </c>
    </row>
    <row r="1499" customFormat="false" ht="15" hidden="false" customHeight="false" outlineLevel="0" collapsed="false">
      <c r="B1499" s="7" t="s">
        <v>16144</v>
      </c>
      <c r="C1499" s="7" t="s">
        <v>1996</v>
      </c>
      <c r="D1499" s="7" t="s">
        <v>291</v>
      </c>
      <c r="E1499" s="7" t="s">
        <v>154</v>
      </c>
      <c r="F1499" s="39" t="n">
        <v>45735</v>
      </c>
      <c r="G1499" s="41" t="n">
        <v>116.6</v>
      </c>
      <c r="H1499" s="39" t="n">
        <v>45776</v>
      </c>
      <c r="I1499" s="7" t="s">
        <v>14651</v>
      </c>
      <c r="J1499" s="8" t="str">
        <f aca="false">IF(I1499="Open",DATE(2025,12,31)-F1499,"-")</f>
        <v>-</v>
      </c>
    </row>
    <row r="1500" customFormat="false" ht="15" hidden="false" customHeight="false" outlineLevel="0" collapsed="false">
      <c r="B1500" s="7" t="s">
        <v>16145</v>
      </c>
      <c r="C1500" s="7" t="s">
        <v>1997</v>
      </c>
      <c r="D1500" s="7" t="s">
        <v>305</v>
      </c>
      <c r="E1500" s="7" t="s">
        <v>154</v>
      </c>
      <c r="F1500" s="39" t="n">
        <v>45735</v>
      </c>
      <c r="G1500" s="41" t="n">
        <v>112.6</v>
      </c>
      <c r="H1500" s="39" t="n">
        <v>45806</v>
      </c>
      <c r="I1500" s="7" t="s">
        <v>14651</v>
      </c>
      <c r="J1500" s="8" t="str">
        <f aca="false">IF(I1500="Open",DATE(2025,12,31)-F1500,"-")</f>
        <v>-</v>
      </c>
    </row>
    <row r="1501" customFormat="false" ht="15" hidden="false" customHeight="false" outlineLevel="0" collapsed="false">
      <c r="B1501" s="7" t="s">
        <v>16146</v>
      </c>
      <c r="C1501" s="7" t="s">
        <v>1998</v>
      </c>
      <c r="D1501" s="7" t="s">
        <v>309</v>
      </c>
      <c r="E1501" s="7" t="s">
        <v>159</v>
      </c>
      <c r="F1501" s="39" t="n">
        <v>45735</v>
      </c>
      <c r="G1501" s="41" t="n">
        <v>140.4</v>
      </c>
      <c r="H1501" s="39" t="n">
        <v>45798</v>
      </c>
      <c r="I1501" s="7" t="s">
        <v>14651</v>
      </c>
      <c r="J1501" s="8" t="str">
        <f aca="false">IF(I1501="Open",DATE(2025,12,31)-F1501,"-")</f>
        <v>-</v>
      </c>
    </row>
    <row r="1502" customFormat="false" ht="15" hidden="false" customHeight="false" outlineLevel="0" collapsed="false">
      <c r="B1502" s="7" t="s">
        <v>16147</v>
      </c>
      <c r="C1502" s="7" t="s">
        <v>1999</v>
      </c>
      <c r="D1502" s="7" t="s">
        <v>313</v>
      </c>
      <c r="E1502" s="7" t="s">
        <v>156</v>
      </c>
      <c r="F1502" s="39" t="n">
        <v>45735</v>
      </c>
      <c r="G1502" s="41" t="n">
        <v>141.78</v>
      </c>
      <c r="H1502" s="39" t="n">
        <v>45758</v>
      </c>
      <c r="I1502" s="7" t="s">
        <v>14651</v>
      </c>
      <c r="J1502" s="8" t="str">
        <f aca="false">IF(I1502="Open",DATE(2025,12,31)-F1502,"-")</f>
        <v>-</v>
      </c>
    </row>
    <row r="1503" customFormat="false" ht="15" hidden="false" customHeight="false" outlineLevel="0" collapsed="false">
      <c r="B1503" s="7" t="s">
        <v>16148</v>
      </c>
      <c r="C1503" s="7" t="s">
        <v>2000</v>
      </c>
      <c r="D1503" s="7" t="s">
        <v>321</v>
      </c>
      <c r="E1503" s="7" t="s">
        <v>154</v>
      </c>
      <c r="F1503" s="39" t="n">
        <v>45735</v>
      </c>
      <c r="G1503" s="41" t="n">
        <v>100.97</v>
      </c>
      <c r="H1503" s="39" t="n">
        <v>45792</v>
      </c>
      <c r="I1503" s="7" t="s">
        <v>14651</v>
      </c>
      <c r="J1503" s="8" t="str">
        <f aca="false">IF(I1503="Open",DATE(2025,12,31)-F1503,"-")</f>
        <v>-</v>
      </c>
    </row>
    <row r="1504" customFormat="false" ht="15" hidden="false" customHeight="false" outlineLevel="0" collapsed="false">
      <c r="B1504" s="7" t="s">
        <v>16149</v>
      </c>
      <c r="C1504" s="7" t="s">
        <v>2001</v>
      </c>
      <c r="D1504" s="7" t="s">
        <v>329</v>
      </c>
      <c r="E1504" s="7" t="s">
        <v>156</v>
      </c>
      <c r="F1504" s="39" t="n">
        <v>45735</v>
      </c>
      <c r="G1504" s="41" t="n">
        <v>147.56</v>
      </c>
      <c r="H1504" s="39" t="n">
        <v>45744</v>
      </c>
      <c r="I1504" s="7" t="s">
        <v>14651</v>
      </c>
      <c r="J1504" s="8" t="str">
        <f aca="false">IF(I1504="Open",DATE(2025,12,31)-F1504,"-")</f>
        <v>-</v>
      </c>
    </row>
    <row r="1505" customFormat="false" ht="15" hidden="false" customHeight="false" outlineLevel="0" collapsed="false">
      <c r="B1505" s="7" t="s">
        <v>16150</v>
      </c>
      <c r="C1505" s="7" t="s">
        <v>2002</v>
      </c>
      <c r="D1505" s="7" t="s">
        <v>335</v>
      </c>
      <c r="E1505" s="7" t="s">
        <v>154</v>
      </c>
      <c r="F1505" s="39" t="n">
        <v>45735</v>
      </c>
      <c r="G1505" s="41" t="n">
        <v>110.77</v>
      </c>
      <c r="H1505" s="39" t="n">
        <v>45783</v>
      </c>
      <c r="I1505" s="7" t="s">
        <v>14651</v>
      </c>
      <c r="J1505" s="8" t="str">
        <f aca="false">IF(I1505="Open",DATE(2025,12,31)-F1505,"-")</f>
        <v>-</v>
      </c>
    </row>
    <row r="1506" customFormat="false" ht="15" hidden="false" customHeight="false" outlineLevel="0" collapsed="false">
      <c r="B1506" s="7" t="s">
        <v>16151</v>
      </c>
      <c r="C1506" s="7" t="s">
        <v>2003</v>
      </c>
      <c r="D1506" s="7" t="s">
        <v>339</v>
      </c>
      <c r="E1506" s="7" t="s">
        <v>154</v>
      </c>
      <c r="F1506" s="39" t="n">
        <v>45735</v>
      </c>
      <c r="G1506" s="41" t="n">
        <v>95.13</v>
      </c>
      <c r="H1506" s="39" t="n">
        <v>45796</v>
      </c>
      <c r="I1506" s="7" t="s">
        <v>14651</v>
      </c>
      <c r="J1506" s="8" t="str">
        <f aca="false">IF(I1506="Open",DATE(2025,12,31)-F1506,"-")</f>
        <v>-</v>
      </c>
    </row>
    <row r="1507" customFormat="false" ht="15" hidden="false" customHeight="false" outlineLevel="0" collapsed="false">
      <c r="B1507" s="7" t="s">
        <v>16152</v>
      </c>
      <c r="C1507" s="7" t="s">
        <v>2004</v>
      </c>
      <c r="D1507" s="7" t="s">
        <v>353</v>
      </c>
      <c r="E1507" s="7" t="s">
        <v>154</v>
      </c>
      <c r="F1507" s="39" t="n">
        <v>45735</v>
      </c>
      <c r="G1507" s="41" t="n">
        <v>82.94</v>
      </c>
      <c r="H1507" s="39" t="n">
        <v>45833</v>
      </c>
      <c r="I1507" s="7" t="s">
        <v>14651</v>
      </c>
      <c r="J1507" s="8" t="str">
        <f aca="false">IF(I1507="Open",DATE(2025,12,31)-F1507,"-")</f>
        <v>-</v>
      </c>
    </row>
    <row r="1508" customFormat="false" ht="15" hidden="false" customHeight="false" outlineLevel="0" collapsed="false">
      <c r="B1508" s="7" t="s">
        <v>16153</v>
      </c>
      <c r="C1508" s="7" t="s">
        <v>2005</v>
      </c>
      <c r="D1508" s="7" t="s">
        <v>355</v>
      </c>
      <c r="E1508" s="7" t="s">
        <v>154</v>
      </c>
      <c r="F1508" s="39" t="n">
        <v>45735</v>
      </c>
      <c r="G1508" s="41" t="n">
        <v>93.55</v>
      </c>
      <c r="H1508" s="39" t="n">
        <v>45818</v>
      </c>
      <c r="I1508" s="7" t="s">
        <v>14651</v>
      </c>
      <c r="J1508" s="8" t="str">
        <f aca="false">IF(I1508="Open",DATE(2025,12,31)-F1508,"-")</f>
        <v>-</v>
      </c>
    </row>
    <row r="1509" customFormat="false" ht="15" hidden="false" customHeight="false" outlineLevel="0" collapsed="false">
      <c r="B1509" s="7" t="s">
        <v>16154</v>
      </c>
      <c r="C1509" s="7" t="s">
        <v>2006</v>
      </c>
      <c r="D1509" s="7" t="s">
        <v>357</v>
      </c>
      <c r="E1509" s="7" t="s">
        <v>154</v>
      </c>
      <c r="F1509" s="39" t="n">
        <v>45735</v>
      </c>
      <c r="G1509" s="41" t="n">
        <v>87.66</v>
      </c>
      <c r="H1509" s="39" t="n">
        <v>45814</v>
      </c>
      <c r="I1509" s="7" t="s">
        <v>14651</v>
      </c>
      <c r="J1509" s="8" t="str">
        <f aca="false">IF(I1509="Open",DATE(2025,12,31)-F1509,"-")</f>
        <v>-</v>
      </c>
    </row>
    <row r="1510" customFormat="false" ht="15" hidden="false" customHeight="false" outlineLevel="0" collapsed="false">
      <c r="B1510" s="7" t="s">
        <v>16155</v>
      </c>
      <c r="C1510" s="7" t="s">
        <v>2007</v>
      </c>
      <c r="D1510" s="7" t="s">
        <v>359</v>
      </c>
      <c r="E1510" s="7" t="s">
        <v>156</v>
      </c>
      <c r="F1510" s="39" t="n">
        <v>45735</v>
      </c>
      <c r="G1510" s="41" t="n">
        <v>131.92</v>
      </c>
      <c r="H1510" s="39" t="n">
        <v>45751</v>
      </c>
      <c r="I1510" s="7" t="s">
        <v>14651</v>
      </c>
      <c r="J1510" s="8" t="str">
        <f aca="false">IF(I1510="Open",DATE(2025,12,31)-F1510,"-")</f>
        <v>-</v>
      </c>
    </row>
    <row r="1511" customFormat="false" ht="15" hidden="false" customHeight="false" outlineLevel="0" collapsed="false">
      <c r="B1511" s="7" t="s">
        <v>16156</v>
      </c>
      <c r="C1511" s="7" t="s">
        <v>2008</v>
      </c>
      <c r="D1511" s="7" t="s">
        <v>371</v>
      </c>
      <c r="E1511" s="7" t="s">
        <v>154</v>
      </c>
      <c r="F1511" s="39" t="n">
        <v>45735</v>
      </c>
      <c r="G1511" s="41" t="n">
        <v>127.2</v>
      </c>
      <c r="H1511" s="39" t="n">
        <v>45820</v>
      </c>
      <c r="I1511" s="7" t="s">
        <v>14651</v>
      </c>
      <c r="J1511" s="8" t="str">
        <f aca="false">IF(I1511="Open",DATE(2025,12,31)-F1511,"-")</f>
        <v>-</v>
      </c>
    </row>
    <row r="1512" customFormat="false" ht="15" hidden="false" customHeight="false" outlineLevel="0" collapsed="false">
      <c r="B1512" s="7" t="s">
        <v>16157</v>
      </c>
      <c r="C1512" s="7" t="s">
        <v>2009</v>
      </c>
      <c r="D1512" s="7" t="s">
        <v>379</v>
      </c>
      <c r="E1512" s="7" t="s">
        <v>156</v>
      </c>
      <c r="F1512" s="39" t="n">
        <v>45735</v>
      </c>
      <c r="G1512" s="41" t="n">
        <v>144.84</v>
      </c>
      <c r="H1512" s="39" t="n">
        <v>45749</v>
      </c>
      <c r="I1512" s="7" t="s">
        <v>14651</v>
      </c>
      <c r="J1512" s="8" t="str">
        <f aca="false">IF(I1512="Open",DATE(2025,12,31)-F1512,"-")</f>
        <v>-</v>
      </c>
    </row>
    <row r="1513" customFormat="false" ht="15" hidden="false" customHeight="false" outlineLevel="0" collapsed="false">
      <c r="B1513" s="7" t="s">
        <v>16158</v>
      </c>
      <c r="C1513" s="7" t="s">
        <v>2010</v>
      </c>
      <c r="D1513" s="7" t="s">
        <v>389</v>
      </c>
      <c r="E1513" s="7" t="s">
        <v>154</v>
      </c>
      <c r="F1513" s="39" t="n">
        <v>45735</v>
      </c>
      <c r="G1513" s="41" t="n">
        <v>111.56</v>
      </c>
      <c r="H1513" s="39" t="n">
        <v>45772</v>
      </c>
      <c r="I1513" s="7" t="s">
        <v>14651</v>
      </c>
      <c r="J1513" s="8" t="str">
        <f aca="false">IF(I1513="Open",DATE(2025,12,31)-F1513,"-")</f>
        <v>-</v>
      </c>
    </row>
    <row r="1514" customFormat="false" ht="15" hidden="false" customHeight="false" outlineLevel="0" collapsed="false">
      <c r="B1514" s="7" t="s">
        <v>16159</v>
      </c>
      <c r="C1514" s="7" t="s">
        <v>2011</v>
      </c>
      <c r="D1514" s="7" t="s">
        <v>391</v>
      </c>
      <c r="E1514" s="7" t="s">
        <v>156</v>
      </c>
      <c r="F1514" s="39" t="n">
        <v>45735</v>
      </c>
      <c r="G1514" s="41" t="n">
        <v>133.28</v>
      </c>
      <c r="H1514" s="39" t="n">
        <v>45745</v>
      </c>
      <c r="I1514" s="7" t="s">
        <v>14651</v>
      </c>
      <c r="J1514" s="8" t="str">
        <f aca="false">IF(I1514="Open",DATE(2025,12,31)-F1514,"-")</f>
        <v>-</v>
      </c>
    </row>
    <row r="1515" customFormat="false" ht="15" hidden="false" customHeight="false" outlineLevel="0" collapsed="false">
      <c r="B1515" s="7" t="s">
        <v>16160</v>
      </c>
      <c r="C1515" s="7" t="s">
        <v>2012</v>
      </c>
      <c r="D1515" s="7" t="s">
        <v>393</v>
      </c>
      <c r="E1515" s="7" t="s">
        <v>157</v>
      </c>
      <c r="F1515" s="39" t="n">
        <v>45735</v>
      </c>
      <c r="G1515" s="41" t="n">
        <v>176.55</v>
      </c>
      <c r="H1515" s="39" t="n">
        <v>45765</v>
      </c>
      <c r="I1515" s="7" t="s">
        <v>14651</v>
      </c>
      <c r="J1515" s="8" t="str">
        <f aca="false">IF(I1515="Open",DATE(2025,12,31)-F1515,"-")</f>
        <v>-</v>
      </c>
    </row>
    <row r="1516" customFormat="false" ht="15" hidden="false" customHeight="false" outlineLevel="0" collapsed="false">
      <c r="B1516" s="7" t="s">
        <v>16161</v>
      </c>
      <c r="C1516" s="7" t="s">
        <v>2013</v>
      </c>
      <c r="D1516" s="7" t="s">
        <v>395</v>
      </c>
      <c r="E1516" s="7" t="s">
        <v>156</v>
      </c>
      <c r="F1516" s="39" t="n">
        <v>45735</v>
      </c>
      <c r="G1516" s="41" t="n">
        <v>147.56</v>
      </c>
      <c r="H1516" s="39" t="n">
        <v>45751</v>
      </c>
      <c r="I1516" s="7" t="s">
        <v>14651</v>
      </c>
      <c r="J1516" s="8" t="str">
        <f aca="false">IF(I1516="Open",DATE(2025,12,31)-F1516,"-")</f>
        <v>-</v>
      </c>
    </row>
    <row r="1517" customFormat="false" ht="15" hidden="false" customHeight="false" outlineLevel="0" collapsed="false">
      <c r="B1517" s="7" t="s">
        <v>16162</v>
      </c>
      <c r="C1517" s="7" t="s">
        <v>2014</v>
      </c>
      <c r="D1517" s="7" t="s">
        <v>399</v>
      </c>
      <c r="E1517" s="7" t="s">
        <v>154</v>
      </c>
      <c r="F1517" s="39" t="n">
        <v>45735</v>
      </c>
      <c r="G1517" s="41" t="n">
        <v>80.03</v>
      </c>
      <c r="H1517" s="39" t="n">
        <v>45797</v>
      </c>
      <c r="I1517" s="7" t="s">
        <v>14651</v>
      </c>
      <c r="J1517" s="8" t="str">
        <f aca="false">IF(I1517="Open",DATE(2025,12,31)-F1517,"-")</f>
        <v>-</v>
      </c>
    </row>
    <row r="1518" customFormat="false" ht="15" hidden="false" customHeight="false" outlineLevel="0" collapsed="false">
      <c r="B1518" s="7" t="s">
        <v>16163</v>
      </c>
      <c r="C1518" s="7" t="s">
        <v>2015</v>
      </c>
      <c r="D1518" s="7" t="s">
        <v>401</v>
      </c>
      <c r="E1518" s="7" t="s">
        <v>156</v>
      </c>
      <c r="F1518" s="39" t="n">
        <v>45735</v>
      </c>
      <c r="G1518" s="41" t="n">
        <v>134.98</v>
      </c>
      <c r="H1518" s="39" t="n">
        <v>45736</v>
      </c>
      <c r="I1518" s="7" t="s">
        <v>14651</v>
      </c>
      <c r="J1518" s="8" t="str">
        <f aca="false">IF(I1518="Open",DATE(2025,12,31)-F1518,"-")</f>
        <v>-</v>
      </c>
    </row>
    <row r="1519" customFormat="false" ht="15" hidden="false" customHeight="false" outlineLevel="0" collapsed="false">
      <c r="B1519" s="7" t="s">
        <v>16164</v>
      </c>
      <c r="C1519" s="7" t="s">
        <v>2016</v>
      </c>
      <c r="D1519" s="7" t="s">
        <v>409</v>
      </c>
      <c r="E1519" s="7" t="s">
        <v>154</v>
      </c>
      <c r="F1519" s="39" t="n">
        <v>45735</v>
      </c>
      <c r="G1519" s="41" t="n">
        <v>87.72</v>
      </c>
      <c r="H1519" s="39" t="n">
        <v>45794</v>
      </c>
      <c r="I1519" s="7" t="s">
        <v>14651</v>
      </c>
      <c r="J1519" s="8" t="str">
        <f aca="false">IF(I1519="Open",DATE(2025,12,31)-F1519,"-")</f>
        <v>-</v>
      </c>
    </row>
    <row r="1520" customFormat="false" ht="15" hidden="false" customHeight="false" outlineLevel="0" collapsed="false">
      <c r="B1520" s="7" t="s">
        <v>16165</v>
      </c>
      <c r="C1520" s="7" t="s">
        <v>2017</v>
      </c>
      <c r="D1520" s="7" t="s">
        <v>411</v>
      </c>
      <c r="E1520" s="7" t="s">
        <v>154</v>
      </c>
      <c r="F1520" s="39" t="n">
        <v>45735</v>
      </c>
      <c r="G1520" s="41" t="n">
        <v>112.62</v>
      </c>
      <c r="H1520" s="39" t="n">
        <v>45762</v>
      </c>
      <c r="I1520" s="7" t="s">
        <v>14651</v>
      </c>
      <c r="J1520" s="8" t="str">
        <f aca="false">IF(I1520="Open",DATE(2025,12,31)-F1520,"-")</f>
        <v>-</v>
      </c>
    </row>
    <row r="1521" customFormat="false" ht="15" hidden="false" customHeight="false" outlineLevel="0" collapsed="false">
      <c r="B1521" s="7" t="s">
        <v>16166</v>
      </c>
      <c r="C1521" s="7" t="s">
        <v>2018</v>
      </c>
      <c r="D1521" s="7" t="s">
        <v>288</v>
      </c>
      <c r="E1521" s="7" t="s">
        <v>156</v>
      </c>
      <c r="F1521" s="39" t="n">
        <v>45736</v>
      </c>
      <c r="G1521" s="41" t="n">
        <v>140.76</v>
      </c>
      <c r="H1521" s="39" t="n">
        <v>45745</v>
      </c>
      <c r="I1521" s="7" t="s">
        <v>14651</v>
      </c>
      <c r="J1521" s="8" t="str">
        <f aca="false">IF(I1521="Open",DATE(2025,12,31)-F1521,"-")</f>
        <v>-</v>
      </c>
    </row>
    <row r="1522" customFormat="false" ht="15" hidden="false" customHeight="false" outlineLevel="0" collapsed="false">
      <c r="B1522" s="7" t="s">
        <v>16167</v>
      </c>
      <c r="C1522" s="7" t="s">
        <v>2019</v>
      </c>
      <c r="D1522" s="7" t="s">
        <v>297</v>
      </c>
      <c r="E1522" s="7" t="s">
        <v>156</v>
      </c>
      <c r="F1522" s="39" t="n">
        <v>45736</v>
      </c>
      <c r="G1522" s="41" t="n">
        <v>103.7</v>
      </c>
      <c r="H1522" s="39" t="n">
        <v>45740</v>
      </c>
      <c r="I1522" s="7" t="s">
        <v>14651</v>
      </c>
      <c r="J1522" s="8" t="str">
        <f aca="false">IF(I1522="Open",DATE(2025,12,31)-F1522,"-")</f>
        <v>-</v>
      </c>
    </row>
    <row r="1523" customFormat="false" ht="15" hidden="false" customHeight="false" outlineLevel="0" collapsed="false">
      <c r="B1523" s="7" t="s">
        <v>16168</v>
      </c>
      <c r="C1523" s="7" t="s">
        <v>2020</v>
      </c>
      <c r="D1523" s="7" t="s">
        <v>311</v>
      </c>
      <c r="E1523" s="7" t="s">
        <v>154</v>
      </c>
      <c r="F1523" s="39" t="n">
        <v>45736</v>
      </c>
      <c r="G1523" s="41" t="n">
        <v>81.75</v>
      </c>
      <c r="H1523" s="39" t="n">
        <v>45787</v>
      </c>
      <c r="I1523" s="7" t="s">
        <v>14651</v>
      </c>
      <c r="J1523" s="8" t="str">
        <f aca="false">IF(I1523="Open",DATE(2025,12,31)-F1523,"-")</f>
        <v>-</v>
      </c>
    </row>
    <row r="1524" customFormat="false" ht="15" hidden="false" customHeight="false" outlineLevel="0" collapsed="false">
      <c r="B1524" s="7" t="s">
        <v>16169</v>
      </c>
      <c r="C1524" s="7" t="s">
        <v>2021</v>
      </c>
      <c r="D1524" s="7" t="s">
        <v>313</v>
      </c>
      <c r="E1524" s="7" t="s">
        <v>156</v>
      </c>
      <c r="F1524" s="39" t="n">
        <v>45736</v>
      </c>
      <c r="G1524" s="41" t="n">
        <v>145.18</v>
      </c>
      <c r="H1524" s="39" t="n">
        <v>45752</v>
      </c>
      <c r="I1524" s="7" t="s">
        <v>14651</v>
      </c>
      <c r="J1524" s="8" t="str">
        <f aca="false">IF(I1524="Open",DATE(2025,12,31)-F1524,"-")</f>
        <v>-</v>
      </c>
    </row>
    <row r="1525" customFormat="false" ht="15" hidden="false" customHeight="false" outlineLevel="0" collapsed="false">
      <c r="B1525" s="7" t="s">
        <v>16170</v>
      </c>
      <c r="C1525" s="7" t="s">
        <v>2022</v>
      </c>
      <c r="D1525" s="7" t="s">
        <v>317</v>
      </c>
      <c r="E1525" s="7" t="s">
        <v>156</v>
      </c>
      <c r="F1525" s="39" t="n">
        <v>45736</v>
      </c>
      <c r="G1525" s="41" t="n">
        <v>102.68</v>
      </c>
      <c r="H1525" s="39" t="n">
        <v>45748</v>
      </c>
      <c r="I1525" s="7" t="s">
        <v>14651</v>
      </c>
      <c r="J1525" s="8" t="str">
        <f aca="false">IF(I1525="Open",DATE(2025,12,31)-F1525,"-")</f>
        <v>-</v>
      </c>
    </row>
    <row r="1526" customFormat="false" ht="15" hidden="false" customHeight="false" outlineLevel="0" collapsed="false">
      <c r="B1526" s="7" t="s">
        <v>16171</v>
      </c>
      <c r="C1526" s="7" t="s">
        <v>2023</v>
      </c>
      <c r="D1526" s="7" t="s">
        <v>321</v>
      </c>
      <c r="E1526" s="7" t="s">
        <v>154</v>
      </c>
      <c r="F1526" s="39" t="n">
        <v>45736</v>
      </c>
      <c r="G1526" s="41" t="n">
        <v>99.38</v>
      </c>
      <c r="H1526" s="39" t="n">
        <v>45812</v>
      </c>
      <c r="I1526" s="7" t="s">
        <v>14651</v>
      </c>
      <c r="J1526" s="8" t="str">
        <f aca="false">IF(I1526="Open",DATE(2025,12,31)-F1526,"-")</f>
        <v>-</v>
      </c>
    </row>
    <row r="1527" customFormat="false" ht="15" hidden="false" customHeight="false" outlineLevel="0" collapsed="false">
      <c r="B1527" s="7" t="s">
        <v>16172</v>
      </c>
      <c r="C1527" s="7" t="s">
        <v>2024</v>
      </c>
      <c r="D1527" s="7" t="s">
        <v>325</v>
      </c>
      <c r="E1527" s="7" t="s">
        <v>154</v>
      </c>
      <c r="F1527" s="39" t="n">
        <v>45736</v>
      </c>
      <c r="G1527" s="41" t="n">
        <v>76.32</v>
      </c>
      <c r="H1527" s="39" t="n">
        <v>45854</v>
      </c>
      <c r="I1527" s="7" t="s">
        <v>14651</v>
      </c>
      <c r="J1527" s="8" t="str">
        <f aca="false">IF(I1527="Open",DATE(2025,12,31)-F1527,"-")</f>
        <v>-</v>
      </c>
    </row>
    <row r="1528" customFormat="false" ht="15" hidden="false" customHeight="false" outlineLevel="0" collapsed="false">
      <c r="B1528" s="7" t="s">
        <v>16173</v>
      </c>
      <c r="C1528" s="7" t="s">
        <v>2025</v>
      </c>
      <c r="D1528" s="7" t="s">
        <v>329</v>
      </c>
      <c r="E1528" s="7" t="s">
        <v>156</v>
      </c>
      <c r="F1528" s="39" t="n">
        <v>45736</v>
      </c>
      <c r="G1528" s="41" t="n">
        <v>129.88</v>
      </c>
      <c r="H1528" s="39" t="n">
        <v>45750</v>
      </c>
      <c r="I1528" s="7" t="s">
        <v>14651</v>
      </c>
      <c r="J1528" s="8" t="str">
        <f aca="false">IF(I1528="Open",DATE(2025,12,31)-F1528,"-")</f>
        <v>-</v>
      </c>
    </row>
    <row r="1529" customFormat="false" ht="15" hidden="false" customHeight="false" outlineLevel="0" collapsed="false">
      <c r="B1529" s="7" t="s">
        <v>16174</v>
      </c>
      <c r="C1529" s="7" t="s">
        <v>2026</v>
      </c>
      <c r="D1529" s="7" t="s">
        <v>331</v>
      </c>
      <c r="E1529" s="7" t="s">
        <v>156</v>
      </c>
      <c r="F1529" s="39" t="n">
        <v>45736</v>
      </c>
      <c r="G1529" s="41" t="n">
        <v>132.6</v>
      </c>
      <c r="H1529" s="39" t="n">
        <v>45758</v>
      </c>
      <c r="I1529" s="7" t="s">
        <v>14651</v>
      </c>
      <c r="J1529" s="8" t="str">
        <f aca="false">IF(I1529="Open",DATE(2025,12,31)-F1529,"-")</f>
        <v>-</v>
      </c>
    </row>
    <row r="1530" customFormat="false" ht="15" hidden="false" customHeight="false" outlineLevel="0" collapsed="false">
      <c r="B1530" s="7" t="s">
        <v>16175</v>
      </c>
      <c r="C1530" s="7" t="s">
        <v>2027</v>
      </c>
      <c r="D1530" s="7" t="s">
        <v>337</v>
      </c>
      <c r="E1530" s="7" t="s">
        <v>154</v>
      </c>
      <c r="F1530" s="39" t="n">
        <v>45736</v>
      </c>
      <c r="G1530" s="41" t="n">
        <v>80.03</v>
      </c>
      <c r="H1530" s="39" t="n">
        <v>45857</v>
      </c>
      <c r="I1530" s="7" t="s">
        <v>14651</v>
      </c>
      <c r="J1530" s="8" t="str">
        <f aca="false">IF(I1530="Open",DATE(2025,12,31)-F1530,"-")</f>
        <v>-</v>
      </c>
    </row>
    <row r="1531" customFormat="false" ht="15" hidden="false" customHeight="false" outlineLevel="0" collapsed="false">
      <c r="B1531" s="7" t="s">
        <v>16176</v>
      </c>
      <c r="C1531" s="7" t="s">
        <v>2028</v>
      </c>
      <c r="D1531" s="7" t="s">
        <v>341</v>
      </c>
      <c r="E1531" s="7" t="s">
        <v>156</v>
      </c>
      <c r="F1531" s="39" t="n">
        <v>45736</v>
      </c>
      <c r="G1531" s="41" t="n">
        <v>92.48</v>
      </c>
      <c r="H1531" s="39" t="n">
        <v>45744</v>
      </c>
      <c r="I1531" s="7" t="s">
        <v>14651</v>
      </c>
      <c r="J1531" s="8" t="str">
        <f aca="false">IF(I1531="Open",DATE(2025,12,31)-F1531,"-")</f>
        <v>-</v>
      </c>
    </row>
    <row r="1532" customFormat="false" ht="15" hidden="false" customHeight="false" outlineLevel="0" collapsed="false">
      <c r="B1532" s="7" t="s">
        <v>16177</v>
      </c>
      <c r="C1532" s="7" t="s">
        <v>2029</v>
      </c>
      <c r="D1532" s="7" t="s">
        <v>343</v>
      </c>
      <c r="E1532" s="7" t="s">
        <v>154</v>
      </c>
      <c r="F1532" s="39" t="n">
        <v>45736</v>
      </c>
      <c r="G1532" s="41" t="n">
        <v>106</v>
      </c>
      <c r="H1532" s="39" t="n">
        <v>45775</v>
      </c>
      <c r="I1532" s="7" t="s">
        <v>14651</v>
      </c>
      <c r="J1532" s="8" t="str">
        <f aca="false">IF(I1532="Open",DATE(2025,12,31)-F1532,"-")</f>
        <v>-</v>
      </c>
    </row>
    <row r="1533" customFormat="false" ht="15" hidden="false" customHeight="false" outlineLevel="0" collapsed="false">
      <c r="B1533" s="7" t="s">
        <v>16178</v>
      </c>
      <c r="C1533" s="7" t="s">
        <v>2030</v>
      </c>
      <c r="D1533" s="7" t="s">
        <v>359</v>
      </c>
      <c r="E1533" s="7" t="s">
        <v>156</v>
      </c>
      <c r="F1533" s="39" t="n">
        <v>45736</v>
      </c>
      <c r="G1533" s="41" t="n">
        <v>126.48</v>
      </c>
      <c r="H1533" s="39" t="n">
        <v>45747</v>
      </c>
      <c r="I1533" s="7" t="s">
        <v>14651</v>
      </c>
      <c r="J1533" s="8" t="str">
        <f aca="false">IF(I1533="Open",DATE(2025,12,31)-F1533,"-")</f>
        <v>-</v>
      </c>
    </row>
    <row r="1534" customFormat="false" ht="15" hidden="false" customHeight="false" outlineLevel="0" collapsed="false">
      <c r="B1534" s="7" t="s">
        <v>16179</v>
      </c>
      <c r="C1534" s="7" t="s">
        <v>2031</v>
      </c>
      <c r="D1534" s="7" t="s">
        <v>363</v>
      </c>
      <c r="E1534" s="7" t="s">
        <v>156</v>
      </c>
      <c r="F1534" s="39" t="n">
        <v>45736</v>
      </c>
      <c r="G1534" s="41" t="n">
        <v>146.2</v>
      </c>
      <c r="H1534" s="39" t="n">
        <v>45743</v>
      </c>
      <c r="I1534" s="7" t="s">
        <v>14651</v>
      </c>
      <c r="J1534" s="8" t="str">
        <f aca="false">IF(I1534="Open",DATE(2025,12,31)-F1534,"-")</f>
        <v>-</v>
      </c>
    </row>
    <row r="1535" customFormat="false" ht="15" hidden="false" customHeight="false" outlineLevel="0" collapsed="false">
      <c r="B1535" s="7" t="s">
        <v>16180</v>
      </c>
      <c r="C1535" s="7" t="s">
        <v>2032</v>
      </c>
      <c r="D1535" s="7" t="s">
        <v>375</v>
      </c>
      <c r="E1535" s="7" t="s">
        <v>156</v>
      </c>
      <c r="F1535" s="39" t="n">
        <v>45736</v>
      </c>
      <c r="G1535" s="41" t="n">
        <v>107.44</v>
      </c>
      <c r="H1535" s="39" t="n">
        <v>45755</v>
      </c>
      <c r="I1535" s="7" t="s">
        <v>14651</v>
      </c>
      <c r="J1535" s="8" t="str">
        <f aca="false">IF(I1535="Open",DATE(2025,12,31)-F1535,"-")</f>
        <v>-</v>
      </c>
    </row>
    <row r="1536" customFormat="false" ht="15" hidden="false" customHeight="false" outlineLevel="0" collapsed="false">
      <c r="B1536" s="7" t="s">
        <v>16181</v>
      </c>
      <c r="C1536" s="7" t="s">
        <v>2033</v>
      </c>
      <c r="D1536" s="7" t="s">
        <v>377</v>
      </c>
      <c r="E1536" s="7" t="s">
        <v>154</v>
      </c>
      <c r="F1536" s="39" t="n">
        <v>45736</v>
      </c>
      <c r="G1536" s="41" t="n">
        <v>106.27</v>
      </c>
      <c r="H1536" s="39" t="n">
        <v>45848</v>
      </c>
      <c r="I1536" s="7" t="s">
        <v>14651</v>
      </c>
      <c r="J1536" s="8" t="str">
        <f aca="false">IF(I1536="Open",DATE(2025,12,31)-F1536,"-")</f>
        <v>-</v>
      </c>
    </row>
    <row r="1537" customFormat="false" ht="15" hidden="false" customHeight="false" outlineLevel="0" collapsed="false">
      <c r="B1537" s="7" t="s">
        <v>16182</v>
      </c>
      <c r="C1537" s="7" t="s">
        <v>2034</v>
      </c>
      <c r="D1537" s="7" t="s">
        <v>389</v>
      </c>
      <c r="E1537" s="7" t="s">
        <v>154</v>
      </c>
      <c r="F1537" s="39" t="n">
        <v>45736</v>
      </c>
      <c r="G1537" s="41" t="n">
        <v>96.19</v>
      </c>
      <c r="H1537" s="39" t="n">
        <v>45783</v>
      </c>
      <c r="I1537" s="7" t="s">
        <v>14651</v>
      </c>
      <c r="J1537" s="8" t="str">
        <f aca="false">IF(I1537="Open",DATE(2025,12,31)-F1537,"-")</f>
        <v>-</v>
      </c>
    </row>
    <row r="1538" customFormat="false" ht="15" hidden="false" customHeight="false" outlineLevel="0" collapsed="false">
      <c r="B1538" s="7" t="s">
        <v>16183</v>
      </c>
      <c r="C1538" s="7" t="s">
        <v>2035</v>
      </c>
      <c r="D1538" s="7" t="s">
        <v>391</v>
      </c>
      <c r="E1538" s="7" t="s">
        <v>156</v>
      </c>
      <c r="F1538" s="39" t="n">
        <v>45736</v>
      </c>
      <c r="G1538" s="41" t="n">
        <v>125.46</v>
      </c>
      <c r="H1538" s="39" t="n">
        <v>45747</v>
      </c>
      <c r="I1538" s="7" t="s">
        <v>14651</v>
      </c>
      <c r="J1538" s="8" t="str">
        <f aca="false">IF(I1538="Open",DATE(2025,12,31)-F1538,"-")</f>
        <v>-</v>
      </c>
    </row>
    <row r="1539" customFormat="false" ht="15" hidden="false" customHeight="false" outlineLevel="0" collapsed="false">
      <c r="B1539" s="7" t="s">
        <v>16184</v>
      </c>
      <c r="C1539" s="7" t="s">
        <v>2036</v>
      </c>
      <c r="D1539" s="7" t="s">
        <v>395</v>
      </c>
      <c r="E1539" s="7" t="s">
        <v>156</v>
      </c>
      <c r="F1539" s="39" t="n">
        <v>45736</v>
      </c>
      <c r="G1539" s="41" t="n">
        <v>145.52</v>
      </c>
      <c r="H1539" s="39" t="n">
        <v>45745</v>
      </c>
      <c r="I1539" s="7" t="s">
        <v>14651</v>
      </c>
      <c r="J1539" s="8" t="str">
        <f aca="false">IF(I1539="Open",DATE(2025,12,31)-F1539,"-")</f>
        <v>-</v>
      </c>
    </row>
    <row r="1540" customFormat="false" ht="15" hidden="false" customHeight="false" outlineLevel="0" collapsed="false">
      <c r="B1540" s="7" t="s">
        <v>16185</v>
      </c>
      <c r="C1540" s="7" t="s">
        <v>2037</v>
      </c>
      <c r="D1540" s="7" t="s">
        <v>401</v>
      </c>
      <c r="E1540" s="7" t="s">
        <v>156</v>
      </c>
      <c r="F1540" s="39" t="n">
        <v>45736</v>
      </c>
      <c r="G1540" s="41" t="n">
        <v>146.54</v>
      </c>
      <c r="H1540" s="39" t="n">
        <v>45748</v>
      </c>
      <c r="I1540" s="7" t="s">
        <v>14651</v>
      </c>
      <c r="J1540" s="8" t="str">
        <f aca="false">IF(I1540="Open",DATE(2025,12,31)-F1540,"-")</f>
        <v>-</v>
      </c>
    </row>
    <row r="1541" customFormat="false" ht="15" hidden="false" customHeight="false" outlineLevel="0" collapsed="false">
      <c r="B1541" s="7" t="s">
        <v>16186</v>
      </c>
      <c r="C1541" s="7" t="s">
        <v>2038</v>
      </c>
      <c r="D1541" s="7" t="s">
        <v>288</v>
      </c>
      <c r="E1541" s="7" t="s">
        <v>156</v>
      </c>
      <c r="F1541" s="39" t="n">
        <v>45737</v>
      </c>
      <c r="G1541" s="41" t="n">
        <v>139.74</v>
      </c>
      <c r="H1541" s="39" t="n">
        <v>45746</v>
      </c>
      <c r="I1541" s="7" t="s">
        <v>14651</v>
      </c>
      <c r="J1541" s="8" t="str">
        <f aca="false">IF(I1541="Open",DATE(2025,12,31)-F1541,"-")</f>
        <v>-</v>
      </c>
    </row>
    <row r="1542" customFormat="false" ht="15" hidden="false" customHeight="false" outlineLevel="0" collapsed="false">
      <c r="B1542" s="7" t="s">
        <v>16187</v>
      </c>
      <c r="C1542" s="7" t="s">
        <v>2039</v>
      </c>
      <c r="D1542" s="7" t="s">
        <v>291</v>
      </c>
      <c r="E1542" s="7" t="s">
        <v>154</v>
      </c>
      <c r="F1542" s="39" t="n">
        <v>45737</v>
      </c>
      <c r="G1542" s="41" t="n">
        <v>118.45</v>
      </c>
      <c r="H1542" s="39" t="n">
        <v>45818</v>
      </c>
      <c r="I1542" s="7" t="s">
        <v>14651</v>
      </c>
      <c r="J1542" s="8" t="str">
        <f aca="false">IF(I1542="Open",DATE(2025,12,31)-F1542,"-")</f>
        <v>-</v>
      </c>
    </row>
    <row r="1543" customFormat="false" ht="15" hidden="false" customHeight="false" outlineLevel="0" collapsed="false">
      <c r="B1543" s="7" t="s">
        <v>16188</v>
      </c>
      <c r="C1543" s="7" t="s">
        <v>2040</v>
      </c>
      <c r="D1543" s="7" t="s">
        <v>301</v>
      </c>
      <c r="E1543" s="7" t="s">
        <v>157</v>
      </c>
      <c r="F1543" s="39" t="n">
        <v>45737</v>
      </c>
      <c r="G1543" s="41" t="n">
        <v>169.95</v>
      </c>
      <c r="H1543" s="39" t="n">
        <v>45766</v>
      </c>
      <c r="I1543" s="7" t="s">
        <v>14651</v>
      </c>
      <c r="J1543" s="8" t="str">
        <f aca="false">IF(I1543="Open",DATE(2025,12,31)-F1543,"-")</f>
        <v>-</v>
      </c>
    </row>
    <row r="1544" customFormat="false" ht="15" hidden="false" customHeight="false" outlineLevel="0" collapsed="false">
      <c r="B1544" s="7" t="s">
        <v>16189</v>
      </c>
      <c r="C1544" s="7" t="s">
        <v>2041</v>
      </c>
      <c r="D1544" s="7" t="s">
        <v>305</v>
      </c>
      <c r="E1544" s="7" t="s">
        <v>154</v>
      </c>
      <c r="F1544" s="39" t="n">
        <v>45737</v>
      </c>
      <c r="G1544" s="41" t="n">
        <v>97.78</v>
      </c>
      <c r="H1544" s="39" t="n">
        <v>45834</v>
      </c>
      <c r="I1544" s="7" t="s">
        <v>14651</v>
      </c>
      <c r="J1544" s="8" t="str">
        <f aca="false">IF(I1544="Open",DATE(2025,12,31)-F1544,"-")</f>
        <v>-</v>
      </c>
    </row>
    <row r="1545" customFormat="false" ht="15" hidden="false" customHeight="false" outlineLevel="0" collapsed="false">
      <c r="B1545" s="7" t="s">
        <v>16190</v>
      </c>
      <c r="C1545" s="7" t="s">
        <v>2042</v>
      </c>
      <c r="D1545" s="7" t="s">
        <v>309</v>
      </c>
      <c r="E1545" s="7" t="s">
        <v>159</v>
      </c>
      <c r="F1545" s="39" t="n">
        <v>45737</v>
      </c>
      <c r="G1545" s="41" t="n">
        <v>124.2</v>
      </c>
      <c r="H1545" s="39" t="n">
        <v>45790</v>
      </c>
      <c r="I1545" s="7" t="s">
        <v>14651</v>
      </c>
      <c r="J1545" s="8" t="str">
        <f aca="false">IF(I1545="Open",DATE(2025,12,31)-F1545,"-")</f>
        <v>-</v>
      </c>
    </row>
    <row r="1546" customFormat="false" ht="15" hidden="false" customHeight="false" outlineLevel="0" collapsed="false">
      <c r="B1546" s="7" t="s">
        <v>16191</v>
      </c>
      <c r="C1546" s="7" t="s">
        <v>2043</v>
      </c>
      <c r="D1546" s="7" t="s">
        <v>313</v>
      </c>
      <c r="E1546" s="7" t="s">
        <v>156</v>
      </c>
      <c r="F1546" s="39" t="n">
        <v>45737</v>
      </c>
      <c r="G1546" s="41" t="n">
        <v>129.88</v>
      </c>
      <c r="H1546" s="39" t="n">
        <v>45743</v>
      </c>
      <c r="I1546" s="7" t="s">
        <v>14651</v>
      </c>
      <c r="J1546" s="8" t="str">
        <f aca="false">IF(I1546="Open",DATE(2025,12,31)-F1546,"-")</f>
        <v>-</v>
      </c>
    </row>
    <row r="1547" customFormat="false" ht="15" hidden="false" customHeight="false" outlineLevel="0" collapsed="false">
      <c r="B1547" s="7" t="s">
        <v>16192</v>
      </c>
      <c r="C1547" s="7" t="s">
        <v>2044</v>
      </c>
      <c r="D1547" s="7" t="s">
        <v>319</v>
      </c>
      <c r="E1547" s="7" t="s">
        <v>157</v>
      </c>
      <c r="F1547" s="39" t="n">
        <v>45737</v>
      </c>
      <c r="G1547" s="41" t="n">
        <v>166.65</v>
      </c>
      <c r="H1547" s="39" t="n">
        <v>45810</v>
      </c>
      <c r="I1547" s="7" t="s">
        <v>14651</v>
      </c>
      <c r="J1547" s="8" t="str">
        <f aca="false">IF(I1547="Open",DATE(2025,12,31)-F1547,"-")</f>
        <v>-</v>
      </c>
    </row>
    <row r="1548" customFormat="false" ht="15" hidden="false" customHeight="false" outlineLevel="0" collapsed="false">
      <c r="B1548" s="7" t="s">
        <v>16193</v>
      </c>
      <c r="C1548" s="7" t="s">
        <v>2045</v>
      </c>
      <c r="D1548" s="7" t="s">
        <v>321</v>
      </c>
      <c r="E1548" s="7" t="s">
        <v>154</v>
      </c>
      <c r="F1548" s="39" t="n">
        <v>45737</v>
      </c>
      <c r="G1548" s="41" t="n">
        <v>110.8</v>
      </c>
      <c r="H1548" s="39" t="n">
        <v>45788</v>
      </c>
      <c r="I1548" s="7" t="s">
        <v>14651</v>
      </c>
      <c r="J1548" s="8" t="str">
        <f aca="false">IF(I1548="Open",DATE(2025,12,31)-F1548,"-")</f>
        <v>-</v>
      </c>
    </row>
    <row r="1549" customFormat="false" ht="15" hidden="false" customHeight="false" outlineLevel="0" collapsed="false">
      <c r="B1549" s="7" t="s">
        <v>16194</v>
      </c>
      <c r="C1549" s="7" t="s">
        <v>2046</v>
      </c>
      <c r="D1549" s="7" t="s">
        <v>323</v>
      </c>
      <c r="E1549" s="7" t="s">
        <v>159</v>
      </c>
      <c r="F1549" s="39" t="n">
        <v>45737</v>
      </c>
      <c r="G1549" s="41" t="n">
        <v>114.21</v>
      </c>
      <c r="H1549" s="39" t="n">
        <v>45791</v>
      </c>
      <c r="I1549" s="7" t="s">
        <v>14651</v>
      </c>
      <c r="J1549" s="8" t="str">
        <f aca="false">IF(I1549="Open",DATE(2025,12,31)-F1549,"-")</f>
        <v>-</v>
      </c>
    </row>
    <row r="1550" customFormat="false" ht="15" hidden="false" customHeight="false" outlineLevel="0" collapsed="false">
      <c r="B1550" s="7" t="s">
        <v>16195</v>
      </c>
      <c r="C1550" s="7" t="s">
        <v>2047</v>
      </c>
      <c r="D1550" s="7" t="s">
        <v>327</v>
      </c>
      <c r="E1550" s="7" t="s">
        <v>157</v>
      </c>
      <c r="F1550" s="39" t="n">
        <v>45737</v>
      </c>
      <c r="G1550" s="41" t="n">
        <v>161.7</v>
      </c>
      <c r="H1550" s="39" t="n">
        <v>45769</v>
      </c>
      <c r="I1550" s="7" t="s">
        <v>14651</v>
      </c>
      <c r="J1550" s="8" t="str">
        <f aca="false">IF(I1550="Open",DATE(2025,12,31)-F1550,"-")</f>
        <v>-</v>
      </c>
    </row>
    <row r="1551" customFormat="false" ht="15" hidden="false" customHeight="false" outlineLevel="0" collapsed="false">
      <c r="B1551" s="7" t="s">
        <v>16196</v>
      </c>
      <c r="C1551" s="7" t="s">
        <v>2048</v>
      </c>
      <c r="D1551" s="7" t="s">
        <v>329</v>
      </c>
      <c r="E1551" s="7" t="s">
        <v>156</v>
      </c>
      <c r="F1551" s="39" t="n">
        <v>45737</v>
      </c>
      <c r="G1551" s="41" t="n">
        <v>141.44</v>
      </c>
      <c r="H1551" s="39" t="n">
        <v>45749</v>
      </c>
      <c r="I1551" s="7" t="s">
        <v>14651</v>
      </c>
      <c r="J1551" s="8" t="str">
        <f aca="false">IF(I1551="Open",DATE(2025,12,31)-F1551,"-")</f>
        <v>-</v>
      </c>
    </row>
    <row r="1552" customFormat="false" ht="15" hidden="false" customHeight="false" outlineLevel="0" collapsed="false">
      <c r="B1552" s="7" t="s">
        <v>16197</v>
      </c>
      <c r="C1552" s="7" t="s">
        <v>2049</v>
      </c>
      <c r="D1552" s="7" t="s">
        <v>335</v>
      </c>
      <c r="E1552" s="7" t="s">
        <v>154</v>
      </c>
      <c r="F1552" s="39" t="n">
        <v>45737</v>
      </c>
      <c r="G1552" s="41" t="n">
        <v>109.98</v>
      </c>
      <c r="H1552" s="39" t="n">
        <v>45780</v>
      </c>
      <c r="I1552" s="7" t="s">
        <v>14651</v>
      </c>
      <c r="J1552" s="8" t="str">
        <f aca="false">IF(I1552="Open",DATE(2025,12,31)-F1552,"-")</f>
        <v>-</v>
      </c>
    </row>
    <row r="1553" customFormat="false" ht="15" hidden="false" customHeight="false" outlineLevel="0" collapsed="false">
      <c r="B1553" s="7" t="s">
        <v>16198</v>
      </c>
      <c r="C1553" s="7" t="s">
        <v>2050</v>
      </c>
      <c r="D1553" s="7" t="s">
        <v>339</v>
      </c>
      <c r="E1553" s="7" t="s">
        <v>154</v>
      </c>
      <c r="F1553" s="39" t="n">
        <v>45737</v>
      </c>
      <c r="G1553" s="41" t="n">
        <v>85.33</v>
      </c>
      <c r="H1553" s="39" t="n">
        <v>45775</v>
      </c>
      <c r="I1553" s="7" t="s">
        <v>14651</v>
      </c>
      <c r="J1553" s="8" t="str">
        <f aca="false">IF(I1553="Open",DATE(2025,12,31)-F1553,"-")</f>
        <v>-</v>
      </c>
    </row>
    <row r="1554" customFormat="false" ht="15" hidden="false" customHeight="false" outlineLevel="0" collapsed="false">
      <c r="B1554" s="7" t="s">
        <v>16199</v>
      </c>
      <c r="C1554" s="7" t="s">
        <v>2051</v>
      </c>
      <c r="D1554" s="7" t="s">
        <v>353</v>
      </c>
      <c r="E1554" s="7" t="s">
        <v>154</v>
      </c>
      <c r="F1554" s="39" t="n">
        <v>45737</v>
      </c>
      <c r="G1554" s="41" t="n">
        <v>93.81</v>
      </c>
      <c r="H1554" s="39" t="n">
        <v>45797</v>
      </c>
      <c r="I1554" s="7" t="s">
        <v>14651</v>
      </c>
      <c r="J1554" s="8" t="str">
        <f aca="false">IF(I1554="Open",DATE(2025,12,31)-F1554,"-")</f>
        <v>-</v>
      </c>
    </row>
    <row r="1555" customFormat="false" ht="15" hidden="false" customHeight="false" outlineLevel="0" collapsed="false">
      <c r="B1555" s="7" t="s">
        <v>16200</v>
      </c>
      <c r="C1555" s="7" t="s">
        <v>2052</v>
      </c>
      <c r="D1555" s="7" t="s">
        <v>355</v>
      </c>
      <c r="E1555" s="7" t="s">
        <v>154</v>
      </c>
      <c r="F1555" s="39" t="n">
        <v>45737</v>
      </c>
      <c r="G1555" s="41" t="n">
        <v>90.23</v>
      </c>
      <c r="H1555" s="39" t="n">
        <v>45848</v>
      </c>
      <c r="I1555" s="7" t="s">
        <v>14651</v>
      </c>
      <c r="J1555" s="8" t="str">
        <f aca="false">IF(I1555="Open",DATE(2025,12,31)-F1555,"-")</f>
        <v>-</v>
      </c>
    </row>
    <row r="1556" customFormat="false" ht="15" hidden="false" customHeight="false" outlineLevel="0" collapsed="false">
      <c r="B1556" s="7" t="s">
        <v>16201</v>
      </c>
      <c r="C1556" s="7" t="s">
        <v>2053</v>
      </c>
      <c r="D1556" s="7" t="s">
        <v>357</v>
      </c>
      <c r="E1556" s="7" t="s">
        <v>154</v>
      </c>
      <c r="F1556" s="39" t="n">
        <v>45737</v>
      </c>
      <c r="G1556" s="41" t="n">
        <v>90.74</v>
      </c>
      <c r="H1556" s="39" t="n">
        <v>45824</v>
      </c>
      <c r="I1556" s="7" t="s">
        <v>14651</v>
      </c>
      <c r="J1556" s="8" t="str">
        <f aca="false">IF(I1556="Open",DATE(2025,12,31)-F1556,"-")</f>
        <v>-</v>
      </c>
    </row>
    <row r="1557" customFormat="false" ht="15" hidden="false" customHeight="false" outlineLevel="0" collapsed="false">
      <c r="B1557" s="7" t="s">
        <v>16202</v>
      </c>
      <c r="C1557" s="7" t="s">
        <v>2054</v>
      </c>
      <c r="D1557" s="7" t="s">
        <v>359</v>
      </c>
      <c r="E1557" s="7" t="s">
        <v>156</v>
      </c>
      <c r="F1557" s="39" t="n">
        <v>45737</v>
      </c>
      <c r="G1557" s="41" t="n">
        <v>130.9</v>
      </c>
      <c r="H1557" s="39" t="n">
        <v>45756</v>
      </c>
      <c r="I1557" s="7" t="s">
        <v>14651</v>
      </c>
      <c r="J1557" s="8" t="str">
        <f aca="false">IF(I1557="Open",DATE(2025,12,31)-F1557,"-")</f>
        <v>-</v>
      </c>
    </row>
    <row r="1558" customFormat="false" ht="15" hidden="false" customHeight="false" outlineLevel="0" collapsed="false">
      <c r="B1558" s="7" t="s">
        <v>16203</v>
      </c>
      <c r="C1558" s="7" t="s">
        <v>2055</v>
      </c>
      <c r="D1558" s="7" t="s">
        <v>361</v>
      </c>
      <c r="E1558" s="7" t="s">
        <v>157</v>
      </c>
      <c r="F1558" s="39" t="n">
        <v>45737</v>
      </c>
      <c r="G1558" s="41" t="n">
        <v>155.1</v>
      </c>
      <c r="H1558" s="39" t="n">
        <v>45815</v>
      </c>
      <c r="I1558" s="7" t="s">
        <v>14651</v>
      </c>
      <c r="J1558" s="8" t="str">
        <f aca="false">IF(I1558="Open",DATE(2025,12,31)-F1558,"-")</f>
        <v>-</v>
      </c>
    </row>
    <row r="1559" customFormat="false" ht="15" hidden="false" customHeight="false" outlineLevel="0" collapsed="false">
      <c r="B1559" s="7" t="s">
        <v>16204</v>
      </c>
      <c r="C1559" s="7" t="s">
        <v>2056</v>
      </c>
      <c r="D1559" s="7" t="s">
        <v>371</v>
      </c>
      <c r="E1559" s="7" t="s">
        <v>154</v>
      </c>
      <c r="F1559" s="39" t="n">
        <v>45737</v>
      </c>
      <c r="G1559" s="41" t="n">
        <v>133.56</v>
      </c>
      <c r="H1559" s="39" t="n">
        <v>45787</v>
      </c>
      <c r="I1559" s="7" t="s">
        <v>14651</v>
      </c>
      <c r="J1559" s="8" t="str">
        <f aca="false">IF(I1559="Open",DATE(2025,12,31)-F1559,"-")</f>
        <v>-</v>
      </c>
    </row>
    <row r="1560" customFormat="false" ht="15" hidden="false" customHeight="false" outlineLevel="0" collapsed="false">
      <c r="B1560" s="7" t="s">
        <v>16205</v>
      </c>
      <c r="C1560" s="7" t="s">
        <v>2057</v>
      </c>
      <c r="D1560" s="7" t="s">
        <v>379</v>
      </c>
      <c r="E1560" s="7" t="s">
        <v>156</v>
      </c>
      <c r="F1560" s="39" t="n">
        <v>45737</v>
      </c>
      <c r="G1560" s="41" t="n">
        <v>148.58</v>
      </c>
      <c r="H1560" s="39" t="n">
        <v>45752</v>
      </c>
      <c r="I1560" s="7" t="s">
        <v>14651</v>
      </c>
      <c r="J1560" s="8" t="str">
        <f aca="false">IF(I1560="Open",DATE(2025,12,31)-F1560,"-")</f>
        <v>-</v>
      </c>
    </row>
    <row r="1561" customFormat="false" ht="15" hidden="false" customHeight="false" outlineLevel="0" collapsed="false">
      <c r="B1561" s="7" t="s">
        <v>16206</v>
      </c>
      <c r="C1561" s="7" t="s">
        <v>2058</v>
      </c>
      <c r="D1561" s="7" t="s">
        <v>381</v>
      </c>
      <c r="E1561" s="7" t="s">
        <v>157</v>
      </c>
      <c r="F1561" s="39" t="n">
        <v>45737</v>
      </c>
      <c r="G1561" s="41" t="n">
        <v>176.55</v>
      </c>
      <c r="H1561" s="39" t="n">
        <v>45769</v>
      </c>
      <c r="I1561" s="7" t="s">
        <v>14651</v>
      </c>
      <c r="J1561" s="8" t="str">
        <f aca="false">IF(I1561="Open",DATE(2025,12,31)-F1561,"-")</f>
        <v>-</v>
      </c>
    </row>
    <row r="1562" customFormat="false" ht="15" hidden="false" customHeight="false" outlineLevel="0" collapsed="false">
      <c r="B1562" s="7" t="s">
        <v>16207</v>
      </c>
      <c r="C1562" s="7" t="s">
        <v>2059</v>
      </c>
      <c r="D1562" s="7" t="s">
        <v>389</v>
      </c>
      <c r="E1562" s="7" t="s">
        <v>154</v>
      </c>
      <c r="F1562" s="39" t="n">
        <v>45737</v>
      </c>
      <c r="G1562" s="41" t="n">
        <v>96.72</v>
      </c>
      <c r="H1562" s="39" t="n">
        <v>45793</v>
      </c>
      <c r="I1562" s="7" t="s">
        <v>14651</v>
      </c>
      <c r="J1562" s="8" t="str">
        <f aca="false">IF(I1562="Open",DATE(2025,12,31)-F1562,"-")</f>
        <v>-</v>
      </c>
    </row>
    <row r="1563" customFormat="false" ht="15" hidden="false" customHeight="false" outlineLevel="0" collapsed="false">
      <c r="B1563" s="7" t="s">
        <v>16208</v>
      </c>
      <c r="C1563" s="7" t="s">
        <v>2060</v>
      </c>
      <c r="D1563" s="7" t="s">
        <v>391</v>
      </c>
      <c r="E1563" s="7" t="s">
        <v>156</v>
      </c>
      <c r="F1563" s="39" t="n">
        <v>45737</v>
      </c>
      <c r="G1563" s="41" t="n">
        <v>145.52</v>
      </c>
      <c r="H1563" s="39" t="n">
        <v>45746</v>
      </c>
      <c r="I1563" s="7" t="s">
        <v>14651</v>
      </c>
      <c r="J1563" s="8" t="str">
        <f aca="false">IF(I1563="Open",DATE(2025,12,31)-F1563,"-")</f>
        <v>-</v>
      </c>
    </row>
    <row r="1564" customFormat="false" ht="15" hidden="false" customHeight="false" outlineLevel="0" collapsed="false">
      <c r="B1564" s="7" t="s">
        <v>16209</v>
      </c>
      <c r="C1564" s="7" t="s">
        <v>2061</v>
      </c>
      <c r="D1564" s="7" t="s">
        <v>395</v>
      </c>
      <c r="E1564" s="7" t="s">
        <v>156</v>
      </c>
      <c r="F1564" s="39" t="n">
        <v>45737</v>
      </c>
      <c r="G1564" s="41" t="n">
        <v>138.04</v>
      </c>
      <c r="H1564" s="39" t="n">
        <v>45746</v>
      </c>
      <c r="I1564" s="7" t="s">
        <v>14651</v>
      </c>
      <c r="J1564" s="8" t="str">
        <f aca="false">IF(I1564="Open",DATE(2025,12,31)-F1564,"-")</f>
        <v>-</v>
      </c>
    </row>
    <row r="1565" customFormat="false" ht="15" hidden="false" customHeight="false" outlineLevel="0" collapsed="false">
      <c r="B1565" s="7" t="s">
        <v>16210</v>
      </c>
      <c r="C1565" s="7" t="s">
        <v>2062</v>
      </c>
      <c r="D1565" s="7" t="s">
        <v>397</v>
      </c>
      <c r="E1565" s="7" t="s">
        <v>159</v>
      </c>
      <c r="F1565" s="39" t="n">
        <v>45737</v>
      </c>
      <c r="G1565" s="41" t="n">
        <v>140.4</v>
      </c>
      <c r="H1565" s="39" t="n">
        <v>45786</v>
      </c>
      <c r="I1565" s="7" t="s">
        <v>14651</v>
      </c>
      <c r="J1565" s="8" t="str">
        <f aca="false">IF(I1565="Open",DATE(2025,12,31)-F1565,"-")</f>
        <v>-</v>
      </c>
    </row>
    <row r="1566" customFormat="false" ht="15" hidden="false" customHeight="false" outlineLevel="0" collapsed="false">
      <c r="B1566" s="7" t="s">
        <v>16211</v>
      </c>
      <c r="C1566" s="7" t="s">
        <v>2063</v>
      </c>
      <c r="D1566" s="7" t="s">
        <v>399</v>
      </c>
      <c r="E1566" s="7" t="s">
        <v>154</v>
      </c>
      <c r="F1566" s="39" t="n">
        <v>45737</v>
      </c>
      <c r="G1566" s="41" t="n">
        <v>80.82</v>
      </c>
      <c r="H1566" s="39" t="n">
        <v>45774</v>
      </c>
      <c r="I1566" s="7" t="s">
        <v>14651</v>
      </c>
      <c r="J1566" s="8" t="str">
        <f aca="false">IF(I1566="Open",DATE(2025,12,31)-F1566,"-")</f>
        <v>-</v>
      </c>
    </row>
    <row r="1567" customFormat="false" ht="15" hidden="false" customHeight="false" outlineLevel="0" collapsed="false">
      <c r="B1567" s="7" t="s">
        <v>16212</v>
      </c>
      <c r="C1567" s="7" t="s">
        <v>2064</v>
      </c>
      <c r="D1567" s="7" t="s">
        <v>401</v>
      </c>
      <c r="E1567" s="7" t="s">
        <v>156</v>
      </c>
      <c r="F1567" s="39" t="n">
        <v>45737</v>
      </c>
      <c r="G1567" s="41" t="n">
        <v>138.38</v>
      </c>
      <c r="H1567" s="39" t="n">
        <v>45751</v>
      </c>
      <c r="I1567" s="7" t="s">
        <v>14651</v>
      </c>
      <c r="J1567" s="8" t="str">
        <f aca="false">IF(I1567="Open",DATE(2025,12,31)-F1567,"-")</f>
        <v>-</v>
      </c>
    </row>
    <row r="1568" customFormat="false" ht="15" hidden="false" customHeight="false" outlineLevel="0" collapsed="false">
      <c r="B1568" s="7" t="s">
        <v>16213</v>
      </c>
      <c r="C1568" s="7" t="s">
        <v>2065</v>
      </c>
      <c r="D1568" s="7" t="s">
        <v>407</v>
      </c>
      <c r="E1568" s="7" t="s">
        <v>159</v>
      </c>
      <c r="F1568" s="39" t="n">
        <v>45737</v>
      </c>
      <c r="G1568" s="41" t="n">
        <v>116.78</v>
      </c>
      <c r="H1568" s="39" t="n">
        <v>45817</v>
      </c>
      <c r="I1568" s="7" t="s">
        <v>14651</v>
      </c>
      <c r="J1568" s="8" t="str">
        <f aca="false">IF(I1568="Open",DATE(2025,12,31)-F1568,"-")</f>
        <v>-</v>
      </c>
    </row>
    <row r="1569" customFormat="false" ht="15" hidden="false" customHeight="false" outlineLevel="0" collapsed="false">
      <c r="B1569" s="7" t="s">
        <v>16214</v>
      </c>
      <c r="C1569" s="7" t="s">
        <v>2066</v>
      </c>
      <c r="D1569" s="7" t="s">
        <v>409</v>
      </c>
      <c r="E1569" s="7" t="s">
        <v>154</v>
      </c>
      <c r="F1569" s="39" t="n">
        <v>45737</v>
      </c>
      <c r="G1569" s="41" t="n">
        <v>83.21</v>
      </c>
      <c r="H1569" s="39" t="n">
        <v>45804</v>
      </c>
      <c r="I1569" s="7" t="s">
        <v>14651</v>
      </c>
      <c r="J1569" s="8" t="str">
        <f aca="false">IF(I1569="Open",DATE(2025,12,31)-F1569,"-")</f>
        <v>-</v>
      </c>
    </row>
    <row r="1570" customFormat="false" ht="15" hidden="false" customHeight="false" outlineLevel="0" collapsed="false">
      <c r="B1570" s="7" t="s">
        <v>16215</v>
      </c>
      <c r="C1570" s="7" t="s">
        <v>2067</v>
      </c>
      <c r="D1570" s="7" t="s">
        <v>411</v>
      </c>
      <c r="E1570" s="7" t="s">
        <v>154</v>
      </c>
      <c r="F1570" s="39" t="n">
        <v>45737</v>
      </c>
      <c r="G1570" s="41" t="n">
        <v>135.42</v>
      </c>
      <c r="H1570" s="39" t="n">
        <v>45788</v>
      </c>
      <c r="I1570" s="7" t="s">
        <v>14651</v>
      </c>
      <c r="J1570" s="8" t="str">
        <f aca="false">IF(I1570="Open",DATE(2025,12,31)-F1570,"-")</f>
        <v>-</v>
      </c>
    </row>
    <row r="1571" customFormat="false" ht="15" hidden="false" customHeight="false" outlineLevel="0" collapsed="false">
      <c r="B1571" s="7" t="s">
        <v>16216</v>
      </c>
      <c r="C1571" s="7" t="s">
        <v>2068</v>
      </c>
      <c r="D1571" s="7" t="s">
        <v>288</v>
      </c>
      <c r="E1571" s="7" t="s">
        <v>156</v>
      </c>
      <c r="F1571" s="39" t="n">
        <v>45738</v>
      </c>
      <c r="G1571" s="41" t="n">
        <v>141.44</v>
      </c>
      <c r="H1571" s="39" t="n">
        <v>45744</v>
      </c>
      <c r="I1571" s="7" t="s">
        <v>14651</v>
      </c>
      <c r="J1571" s="8" t="str">
        <f aca="false">IF(I1571="Open",DATE(2025,12,31)-F1571,"-")</f>
        <v>-</v>
      </c>
    </row>
    <row r="1572" customFormat="false" ht="15" hidden="false" customHeight="false" outlineLevel="0" collapsed="false">
      <c r="B1572" s="7" t="s">
        <v>16217</v>
      </c>
      <c r="C1572" s="7" t="s">
        <v>2069</v>
      </c>
      <c r="D1572" s="7" t="s">
        <v>321</v>
      </c>
      <c r="E1572" s="7" t="s">
        <v>154</v>
      </c>
      <c r="F1572" s="39" t="n">
        <v>45738</v>
      </c>
      <c r="G1572" s="41" t="n">
        <v>111.04</v>
      </c>
      <c r="H1572" s="39" t="n">
        <v>45789</v>
      </c>
      <c r="I1572" s="7" t="s">
        <v>14651</v>
      </c>
      <c r="J1572" s="8" t="str">
        <f aca="false">IF(I1572="Open",DATE(2025,12,31)-F1572,"-")</f>
        <v>-</v>
      </c>
    </row>
    <row r="1573" customFormat="false" ht="15" hidden="false" customHeight="false" outlineLevel="0" collapsed="false">
      <c r="B1573" s="7" t="s">
        <v>16218</v>
      </c>
      <c r="C1573" s="7" t="s">
        <v>2070</v>
      </c>
      <c r="D1573" s="7" t="s">
        <v>359</v>
      </c>
      <c r="E1573" s="7" t="s">
        <v>156</v>
      </c>
      <c r="F1573" s="39" t="n">
        <v>45738</v>
      </c>
      <c r="G1573" s="41" t="n">
        <v>125.46</v>
      </c>
      <c r="H1573" s="39" t="n">
        <v>45758</v>
      </c>
      <c r="I1573" s="7" t="s">
        <v>14651</v>
      </c>
      <c r="J1573" s="8" t="str">
        <f aca="false">IF(I1573="Open",DATE(2025,12,31)-F1573,"-")</f>
        <v>-</v>
      </c>
    </row>
    <row r="1574" customFormat="false" ht="15" hidden="false" customHeight="false" outlineLevel="0" collapsed="false">
      <c r="B1574" s="7" t="s">
        <v>16219</v>
      </c>
      <c r="C1574" s="7" t="s">
        <v>2071</v>
      </c>
      <c r="D1574" s="7" t="s">
        <v>391</v>
      </c>
      <c r="E1574" s="7" t="s">
        <v>156</v>
      </c>
      <c r="F1574" s="39" t="n">
        <v>45738</v>
      </c>
      <c r="G1574" s="41" t="n">
        <v>125.12</v>
      </c>
      <c r="H1574" s="39" t="n">
        <v>45755</v>
      </c>
      <c r="I1574" s="7" t="s">
        <v>14651</v>
      </c>
      <c r="J1574" s="8" t="str">
        <f aca="false">IF(I1574="Open",DATE(2025,12,31)-F1574,"-")</f>
        <v>-</v>
      </c>
    </row>
    <row r="1575" customFormat="false" ht="15" hidden="false" customHeight="false" outlineLevel="0" collapsed="false">
      <c r="B1575" s="7" t="s">
        <v>16220</v>
      </c>
      <c r="C1575" s="7" t="s">
        <v>2072</v>
      </c>
      <c r="D1575" s="7" t="s">
        <v>395</v>
      </c>
      <c r="E1575" s="7" t="s">
        <v>156</v>
      </c>
      <c r="F1575" s="39" t="n">
        <v>45738</v>
      </c>
      <c r="G1575" s="41" t="n">
        <v>133.28</v>
      </c>
      <c r="H1575" s="39" t="n">
        <v>45754</v>
      </c>
      <c r="I1575" s="7" t="s">
        <v>14651</v>
      </c>
      <c r="J1575" s="8" t="str">
        <f aca="false">IF(I1575="Open",DATE(2025,12,31)-F1575,"-")</f>
        <v>-</v>
      </c>
    </row>
    <row r="1576" customFormat="false" ht="15" hidden="false" customHeight="false" outlineLevel="0" collapsed="false">
      <c r="B1576" s="7" t="s">
        <v>16221</v>
      </c>
      <c r="C1576" s="7" t="s">
        <v>2073</v>
      </c>
      <c r="D1576" s="7" t="s">
        <v>401</v>
      </c>
      <c r="E1576" s="7" t="s">
        <v>156</v>
      </c>
      <c r="F1576" s="39" t="n">
        <v>45738</v>
      </c>
      <c r="G1576" s="41" t="n">
        <v>138.72</v>
      </c>
      <c r="H1576" s="39" t="n">
        <v>45754</v>
      </c>
      <c r="I1576" s="7" t="s">
        <v>14651</v>
      </c>
      <c r="J1576" s="8" t="str">
        <f aca="false">IF(I1576="Open",DATE(2025,12,31)-F1576,"-")</f>
        <v>-</v>
      </c>
    </row>
    <row r="1577" customFormat="false" ht="15" hidden="false" customHeight="false" outlineLevel="0" collapsed="false">
      <c r="B1577" s="7" t="s">
        <v>16222</v>
      </c>
      <c r="C1577" s="7" t="s">
        <v>2074</v>
      </c>
      <c r="D1577" s="7" t="s">
        <v>288</v>
      </c>
      <c r="E1577" s="7" t="s">
        <v>156</v>
      </c>
      <c r="F1577" s="39" t="n">
        <v>45739</v>
      </c>
      <c r="G1577" s="41" t="n">
        <v>140.08</v>
      </c>
      <c r="H1577" s="39" t="n">
        <v>45748</v>
      </c>
      <c r="I1577" s="7" t="s">
        <v>14651</v>
      </c>
      <c r="J1577" s="8" t="str">
        <f aca="false">IF(I1577="Open",DATE(2025,12,31)-F1577,"-")</f>
        <v>-</v>
      </c>
    </row>
    <row r="1578" customFormat="false" ht="15" hidden="false" customHeight="false" outlineLevel="0" collapsed="false">
      <c r="B1578" s="7" t="s">
        <v>16223</v>
      </c>
      <c r="C1578" s="7" t="s">
        <v>2075</v>
      </c>
      <c r="D1578" s="7" t="s">
        <v>321</v>
      </c>
      <c r="E1578" s="7" t="s">
        <v>154</v>
      </c>
      <c r="F1578" s="39" t="n">
        <v>45739</v>
      </c>
      <c r="G1578" s="41" t="n">
        <v>98.31</v>
      </c>
      <c r="H1578" s="39" t="n">
        <v>45825</v>
      </c>
      <c r="I1578" s="7" t="s">
        <v>14651</v>
      </c>
      <c r="J1578" s="8" t="str">
        <f aca="false">IF(I1578="Open",DATE(2025,12,31)-F1578,"-")</f>
        <v>-</v>
      </c>
    </row>
    <row r="1579" customFormat="false" ht="15" hidden="false" customHeight="false" outlineLevel="0" collapsed="false">
      <c r="B1579" s="7" t="s">
        <v>16224</v>
      </c>
      <c r="C1579" s="7" t="s">
        <v>2076</v>
      </c>
      <c r="D1579" s="7" t="s">
        <v>359</v>
      </c>
      <c r="E1579" s="7" t="s">
        <v>156</v>
      </c>
      <c r="F1579" s="39" t="n">
        <v>45739</v>
      </c>
      <c r="G1579" s="41" t="n">
        <v>144.5</v>
      </c>
      <c r="H1579" s="39" t="n">
        <v>45753</v>
      </c>
      <c r="I1579" s="7" t="s">
        <v>14651</v>
      </c>
      <c r="J1579" s="8" t="str">
        <f aca="false">IF(I1579="Open",DATE(2025,12,31)-F1579,"-")</f>
        <v>-</v>
      </c>
    </row>
    <row r="1580" customFormat="false" ht="15" hidden="false" customHeight="false" outlineLevel="0" collapsed="false">
      <c r="B1580" s="7" t="s">
        <v>16225</v>
      </c>
      <c r="C1580" s="7" t="s">
        <v>2077</v>
      </c>
      <c r="D1580" s="7" t="s">
        <v>391</v>
      </c>
      <c r="E1580" s="7" t="s">
        <v>156</v>
      </c>
      <c r="F1580" s="39" t="n">
        <v>45739</v>
      </c>
      <c r="G1580" s="41" t="n">
        <v>134.64</v>
      </c>
      <c r="H1580" s="39" t="n">
        <v>45754</v>
      </c>
      <c r="I1580" s="7" t="s">
        <v>14651</v>
      </c>
      <c r="J1580" s="8" t="str">
        <f aca="false">IF(I1580="Open",DATE(2025,12,31)-F1580,"-")</f>
        <v>-</v>
      </c>
    </row>
    <row r="1581" customFormat="false" ht="15" hidden="false" customHeight="false" outlineLevel="0" collapsed="false">
      <c r="B1581" s="7" t="s">
        <v>16226</v>
      </c>
      <c r="C1581" s="7" t="s">
        <v>2078</v>
      </c>
      <c r="D1581" s="7" t="s">
        <v>395</v>
      </c>
      <c r="E1581" s="7" t="s">
        <v>156</v>
      </c>
      <c r="F1581" s="39" t="n">
        <v>45739</v>
      </c>
      <c r="G1581" s="41" t="n">
        <v>134.64</v>
      </c>
      <c r="H1581" s="39" t="n">
        <v>45751</v>
      </c>
      <c r="I1581" s="7" t="s">
        <v>14651</v>
      </c>
      <c r="J1581" s="8" t="str">
        <f aca="false">IF(I1581="Open",DATE(2025,12,31)-F1581,"-")</f>
        <v>-</v>
      </c>
    </row>
    <row r="1582" customFormat="false" ht="15" hidden="false" customHeight="false" outlineLevel="0" collapsed="false">
      <c r="B1582" s="7" t="s">
        <v>16227</v>
      </c>
      <c r="C1582" s="7" t="s">
        <v>2079</v>
      </c>
      <c r="D1582" s="7" t="s">
        <v>401</v>
      </c>
      <c r="E1582" s="7" t="s">
        <v>156</v>
      </c>
      <c r="F1582" s="39" t="n">
        <v>45739</v>
      </c>
      <c r="G1582" s="41" t="n">
        <v>130.56</v>
      </c>
      <c r="H1582" s="39" t="n">
        <v>45755</v>
      </c>
      <c r="I1582" s="7" t="s">
        <v>14651</v>
      </c>
      <c r="J1582" s="8" t="str">
        <f aca="false">IF(I1582="Open",DATE(2025,12,31)-F1582,"-")</f>
        <v>-</v>
      </c>
    </row>
    <row r="1583" customFormat="false" ht="15" hidden="false" customHeight="false" outlineLevel="0" collapsed="false">
      <c r="B1583" s="7" t="s">
        <v>16228</v>
      </c>
      <c r="C1583" s="7" t="s">
        <v>2080</v>
      </c>
      <c r="D1583" s="7" t="s">
        <v>280</v>
      </c>
      <c r="E1583" s="7" t="s">
        <v>157</v>
      </c>
      <c r="F1583" s="39" t="n">
        <v>45740</v>
      </c>
      <c r="G1583" s="41" t="n">
        <v>178.2</v>
      </c>
      <c r="H1583" s="39" t="n">
        <v>45780</v>
      </c>
      <c r="I1583" s="7" t="s">
        <v>14651</v>
      </c>
      <c r="J1583" s="8" t="str">
        <f aca="false">IF(I1583="Open",DATE(2025,12,31)-F1583,"-")</f>
        <v>-</v>
      </c>
    </row>
    <row r="1584" customFormat="false" ht="15" hidden="false" customHeight="false" outlineLevel="0" collapsed="false">
      <c r="B1584" s="7" t="s">
        <v>16229</v>
      </c>
      <c r="C1584" s="7" t="s">
        <v>2081</v>
      </c>
      <c r="D1584" s="7" t="s">
        <v>288</v>
      </c>
      <c r="E1584" s="7" t="s">
        <v>156</v>
      </c>
      <c r="F1584" s="39" t="n">
        <v>45740</v>
      </c>
      <c r="G1584" s="41" t="n">
        <v>147.22</v>
      </c>
      <c r="H1584" s="39" t="n">
        <v>45747</v>
      </c>
      <c r="I1584" s="7" t="s">
        <v>14651</v>
      </c>
      <c r="J1584" s="8" t="str">
        <f aca="false">IF(I1584="Open",DATE(2025,12,31)-F1584,"-")</f>
        <v>-</v>
      </c>
    </row>
    <row r="1585" customFormat="false" ht="15" hidden="false" customHeight="false" outlineLevel="0" collapsed="false">
      <c r="B1585" s="7" t="s">
        <v>16230</v>
      </c>
      <c r="C1585" s="7" t="s">
        <v>2082</v>
      </c>
      <c r="D1585" s="7" t="s">
        <v>291</v>
      </c>
      <c r="E1585" s="7" t="s">
        <v>154</v>
      </c>
      <c r="F1585" s="39" t="n">
        <v>45740</v>
      </c>
      <c r="G1585" s="41" t="n">
        <v>126.4</v>
      </c>
      <c r="H1585" s="39" t="n">
        <v>45824</v>
      </c>
      <c r="I1585" s="7" t="s">
        <v>14651</v>
      </c>
      <c r="J1585" s="8" t="str">
        <f aca="false">IF(I1585="Open",DATE(2025,12,31)-F1585,"-")</f>
        <v>-</v>
      </c>
    </row>
    <row r="1586" customFormat="false" ht="15" hidden="false" customHeight="false" outlineLevel="0" collapsed="false">
      <c r="B1586" s="7" t="s">
        <v>16231</v>
      </c>
      <c r="C1586" s="7" t="s">
        <v>2083</v>
      </c>
      <c r="D1586" s="7" t="s">
        <v>297</v>
      </c>
      <c r="E1586" s="7" t="s">
        <v>156</v>
      </c>
      <c r="F1586" s="39" t="n">
        <v>45740</v>
      </c>
      <c r="G1586" s="41" t="n">
        <v>109.14</v>
      </c>
      <c r="H1586" s="39" t="n">
        <v>45757</v>
      </c>
      <c r="I1586" s="7" t="s">
        <v>14651</v>
      </c>
      <c r="J1586" s="8" t="str">
        <f aca="false">IF(I1586="Open",DATE(2025,12,31)-F1586,"-")</f>
        <v>-</v>
      </c>
    </row>
    <row r="1587" customFormat="false" ht="15" hidden="false" customHeight="false" outlineLevel="0" collapsed="false">
      <c r="B1587" s="7" t="s">
        <v>16232</v>
      </c>
      <c r="C1587" s="7" t="s">
        <v>2084</v>
      </c>
      <c r="D1587" s="7" t="s">
        <v>307</v>
      </c>
      <c r="E1587" s="7" t="s">
        <v>157</v>
      </c>
      <c r="F1587" s="39" t="n">
        <v>45740</v>
      </c>
      <c r="G1587" s="41" t="n">
        <v>174.9</v>
      </c>
      <c r="H1587" s="39" t="n">
        <v>45830</v>
      </c>
      <c r="I1587" s="7" t="s">
        <v>14651</v>
      </c>
      <c r="J1587" s="8" t="str">
        <f aca="false">IF(I1587="Open",DATE(2025,12,31)-F1587,"-")</f>
        <v>-</v>
      </c>
    </row>
    <row r="1588" customFormat="false" ht="15" hidden="false" customHeight="false" outlineLevel="0" collapsed="false">
      <c r="B1588" s="7" t="s">
        <v>16233</v>
      </c>
      <c r="C1588" s="7" t="s">
        <v>2085</v>
      </c>
      <c r="D1588" s="7" t="s">
        <v>309</v>
      </c>
      <c r="E1588" s="7" t="s">
        <v>159</v>
      </c>
      <c r="F1588" s="39" t="n">
        <v>45740</v>
      </c>
      <c r="G1588" s="41" t="n">
        <v>144.45</v>
      </c>
      <c r="H1588" s="39" t="n">
        <v>45854</v>
      </c>
      <c r="I1588" s="7" t="s">
        <v>14651</v>
      </c>
      <c r="J1588" s="8" t="str">
        <f aca="false">IF(I1588="Open",DATE(2025,12,31)-F1588,"-")</f>
        <v>-</v>
      </c>
    </row>
    <row r="1589" customFormat="false" ht="15" hidden="false" customHeight="false" outlineLevel="0" collapsed="false">
      <c r="B1589" s="7" t="s">
        <v>16234</v>
      </c>
      <c r="C1589" s="7" t="s">
        <v>2086</v>
      </c>
      <c r="D1589" s="7" t="s">
        <v>311</v>
      </c>
      <c r="E1589" s="7" t="s">
        <v>154</v>
      </c>
      <c r="F1589" s="39" t="n">
        <v>45740</v>
      </c>
      <c r="G1589" s="41" t="n">
        <v>77.91</v>
      </c>
      <c r="H1589" s="39" t="n">
        <v>45814</v>
      </c>
      <c r="I1589" s="7" t="s">
        <v>14651</v>
      </c>
      <c r="J1589" s="8" t="str">
        <f aca="false">IF(I1589="Open",DATE(2025,12,31)-F1589,"-")</f>
        <v>-</v>
      </c>
    </row>
    <row r="1590" customFormat="false" ht="15" hidden="false" customHeight="false" outlineLevel="0" collapsed="false">
      <c r="B1590" s="7" t="s">
        <v>16235</v>
      </c>
      <c r="C1590" s="7" t="s">
        <v>2087</v>
      </c>
      <c r="D1590" s="7" t="s">
        <v>313</v>
      </c>
      <c r="E1590" s="7" t="s">
        <v>156</v>
      </c>
      <c r="F1590" s="39" t="n">
        <v>45740</v>
      </c>
      <c r="G1590" s="41" t="n">
        <v>132.94</v>
      </c>
      <c r="H1590" s="39" t="n">
        <v>45756</v>
      </c>
      <c r="I1590" s="7" t="s">
        <v>14651</v>
      </c>
      <c r="J1590" s="8" t="str">
        <f aca="false">IF(I1590="Open",DATE(2025,12,31)-F1590,"-")</f>
        <v>-</v>
      </c>
    </row>
    <row r="1591" customFormat="false" ht="15" hidden="false" customHeight="false" outlineLevel="0" collapsed="false">
      <c r="B1591" s="7" t="s">
        <v>16236</v>
      </c>
      <c r="C1591" s="7" t="s">
        <v>2088</v>
      </c>
      <c r="D1591" s="7" t="s">
        <v>317</v>
      </c>
      <c r="E1591" s="7" t="s">
        <v>156</v>
      </c>
      <c r="F1591" s="39" t="n">
        <v>45740</v>
      </c>
      <c r="G1591" s="41" t="n">
        <v>101.32</v>
      </c>
      <c r="H1591" s="39" t="n">
        <v>45751</v>
      </c>
      <c r="I1591" s="7" t="s">
        <v>14651</v>
      </c>
      <c r="J1591" s="8" t="str">
        <f aca="false">IF(I1591="Open",DATE(2025,12,31)-F1591,"-")</f>
        <v>-</v>
      </c>
    </row>
    <row r="1592" customFormat="false" ht="15" hidden="false" customHeight="false" outlineLevel="0" collapsed="false">
      <c r="B1592" s="7" t="s">
        <v>16237</v>
      </c>
      <c r="C1592" s="7" t="s">
        <v>2089</v>
      </c>
      <c r="D1592" s="7" t="s">
        <v>321</v>
      </c>
      <c r="E1592" s="7" t="s">
        <v>154</v>
      </c>
      <c r="F1592" s="39" t="n">
        <v>45740</v>
      </c>
      <c r="G1592" s="41" t="n">
        <v>115.01</v>
      </c>
      <c r="H1592" s="39" t="n">
        <v>45784</v>
      </c>
      <c r="I1592" s="7" t="s">
        <v>14651</v>
      </c>
      <c r="J1592" s="8" t="str">
        <f aca="false">IF(I1592="Open",DATE(2025,12,31)-F1592,"-")</f>
        <v>-</v>
      </c>
    </row>
    <row r="1593" customFormat="false" ht="15" hidden="false" customHeight="false" outlineLevel="0" collapsed="false">
      <c r="B1593" s="7" t="s">
        <v>16238</v>
      </c>
      <c r="C1593" s="7" t="s">
        <v>2090</v>
      </c>
      <c r="D1593" s="7" t="s">
        <v>325</v>
      </c>
      <c r="E1593" s="7" t="s">
        <v>154</v>
      </c>
      <c r="F1593" s="39" t="n">
        <v>45740</v>
      </c>
      <c r="G1593" s="41" t="n">
        <v>84.83</v>
      </c>
      <c r="H1593" s="39" t="n">
        <v>45793</v>
      </c>
      <c r="I1593" s="7" t="s">
        <v>14651</v>
      </c>
      <c r="J1593" s="8" t="str">
        <f aca="false">IF(I1593="Open",DATE(2025,12,31)-F1593,"-")</f>
        <v>-</v>
      </c>
    </row>
    <row r="1594" customFormat="false" ht="15" hidden="false" customHeight="false" outlineLevel="0" collapsed="false">
      <c r="B1594" s="7" t="s">
        <v>16239</v>
      </c>
      <c r="C1594" s="7" t="s">
        <v>2091</v>
      </c>
      <c r="D1594" s="7" t="s">
        <v>331</v>
      </c>
      <c r="E1594" s="7" t="s">
        <v>156</v>
      </c>
      <c r="F1594" s="39" t="n">
        <v>45740</v>
      </c>
      <c r="G1594" s="41" t="n">
        <v>146.54</v>
      </c>
      <c r="H1594" s="39" t="n">
        <v>45757</v>
      </c>
      <c r="I1594" s="7" t="s">
        <v>14651</v>
      </c>
      <c r="J1594" s="8" t="str">
        <f aca="false">IF(I1594="Open",DATE(2025,12,31)-F1594,"-")</f>
        <v>-</v>
      </c>
    </row>
    <row r="1595" customFormat="false" ht="15" hidden="false" customHeight="false" outlineLevel="0" collapsed="false">
      <c r="B1595" s="7" t="s">
        <v>16240</v>
      </c>
      <c r="C1595" s="7" t="s">
        <v>2092</v>
      </c>
      <c r="D1595" s="7" t="s">
        <v>335</v>
      </c>
      <c r="E1595" s="7" t="s">
        <v>154</v>
      </c>
      <c r="F1595" s="39" t="n">
        <v>45740</v>
      </c>
      <c r="G1595" s="41" t="n">
        <v>98.31</v>
      </c>
      <c r="H1595" s="39" t="n">
        <v>45757</v>
      </c>
      <c r="I1595" s="7" t="s">
        <v>14651</v>
      </c>
      <c r="J1595" s="8" t="str">
        <f aca="false">IF(I1595="Open",DATE(2025,12,31)-F1595,"-")</f>
        <v>-</v>
      </c>
    </row>
    <row r="1596" customFormat="false" ht="15" hidden="false" customHeight="false" outlineLevel="0" collapsed="false">
      <c r="B1596" s="7" t="s">
        <v>16241</v>
      </c>
      <c r="C1596" s="7" t="s">
        <v>2093</v>
      </c>
      <c r="D1596" s="7" t="s">
        <v>337</v>
      </c>
      <c r="E1596" s="7" t="s">
        <v>154</v>
      </c>
      <c r="F1596" s="39" t="n">
        <v>45740</v>
      </c>
      <c r="G1596" s="41" t="n">
        <v>85.33</v>
      </c>
      <c r="H1596" s="39" t="n">
        <v>45791</v>
      </c>
      <c r="I1596" s="7" t="s">
        <v>14651</v>
      </c>
      <c r="J1596" s="8" t="str">
        <f aca="false">IF(I1596="Open",DATE(2025,12,31)-F1596,"-")</f>
        <v>-</v>
      </c>
    </row>
    <row r="1597" customFormat="false" ht="15" hidden="false" customHeight="false" outlineLevel="0" collapsed="false">
      <c r="B1597" s="7" t="s">
        <v>16242</v>
      </c>
      <c r="C1597" s="7" t="s">
        <v>2094</v>
      </c>
      <c r="D1597" s="7" t="s">
        <v>339</v>
      </c>
      <c r="E1597" s="7" t="s">
        <v>154</v>
      </c>
      <c r="F1597" s="39" t="n">
        <v>45740</v>
      </c>
      <c r="G1597" s="41" t="n">
        <v>95.93</v>
      </c>
      <c r="H1597" s="39" t="n">
        <v>45792</v>
      </c>
      <c r="I1597" s="7" t="s">
        <v>14651</v>
      </c>
      <c r="J1597" s="8" t="str">
        <f aca="false">IF(I1597="Open",DATE(2025,12,31)-F1597,"-")</f>
        <v>-</v>
      </c>
    </row>
    <row r="1598" customFormat="false" ht="15" hidden="false" customHeight="false" outlineLevel="0" collapsed="false">
      <c r="B1598" s="7" t="s">
        <v>16243</v>
      </c>
      <c r="C1598" s="7" t="s">
        <v>2095</v>
      </c>
      <c r="D1598" s="7" t="s">
        <v>341</v>
      </c>
      <c r="E1598" s="7" t="s">
        <v>156</v>
      </c>
      <c r="F1598" s="39" t="n">
        <v>45740</v>
      </c>
      <c r="G1598" s="41" t="n">
        <v>100.3</v>
      </c>
      <c r="H1598" s="39" t="n">
        <v>45748</v>
      </c>
      <c r="I1598" s="7" t="s">
        <v>14651</v>
      </c>
      <c r="J1598" s="8" t="str">
        <f aca="false">IF(I1598="Open",DATE(2025,12,31)-F1598,"-")</f>
        <v>-</v>
      </c>
    </row>
    <row r="1599" customFormat="false" ht="15" hidden="false" customHeight="false" outlineLevel="0" collapsed="false">
      <c r="B1599" s="7" t="s">
        <v>16244</v>
      </c>
      <c r="C1599" s="7" t="s">
        <v>2096</v>
      </c>
      <c r="D1599" s="7" t="s">
        <v>343</v>
      </c>
      <c r="E1599" s="7" t="s">
        <v>154</v>
      </c>
      <c r="F1599" s="39" t="n">
        <v>45740</v>
      </c>
      <c r="G1599" s="41" t="n">
        <v>97.18</v>
      </c>
      <c r="H1599" s="39" t="n">
        <v>45811</v>
      </c>
      <c r="I1599" s="7" t="s">
        <v>14651</v>
      </c>
      <c r="J1599" s="8" t="str">
        <f aca="false">IF(I1599="Open",DATE(2025,12,31)-F1599,"-")</f>
        <v>-</v>
      </c>
    </row>
    <row r="1600" customFormat="false" ht="15" hidden="false" customHeight="false" outlineLevel="0" collapsed="false">
      <c r="B1600" s="7" t="s">
        <v>16245</v>
      </c>
      <c r="C1600" s="7" t="s">
        <v>2097</v>
      </c>
      <c r="D1600" s="7" t="s">
        <v>353</v>
      </c>
      <c r="E1600" s="7" t="s">
        <v>154</v>
      </c>
      <c r="F1600" s="39" t="n">
        <v>45740</v>
      </c>
      <c r="G1600" s="41" t="n">
        <v>88.25</v>
      </c>
      <c r="H1600" s="39" t="n">
        <v>45786</v>
      </c>
      <c r="I1600" s="7" t="s">
        <v>14651</v>
      </c>
      <c r="J1600" s="8" t="str">
        <f aca="false">IF(I1600="Open",DATE(2025,12,31)-F1600,"-")</f>
        <v>-</v>
      </c>
    </row>
    <row r="1601" customFormat="false" ht="15" hidden="false" customHeight="false" outlineLevel="0" collapsed="false">
      <c r="B1601" s="7" t="s">
        <v>16246</v>
      </c>
      <c r="C1601" s="7" t="s">
        <v>2098</v>
      </c>
      <c r="D1601" s="7" t="s">
        <v>355</v>
      </c>
      <c r="E1601" s="7" t="s">
        <v>154</v>
      </c>
      <c r="F1601" s="39" t="n">
        <v>45740</v>
      </c>
      <c r="G1601" s="41" t="n">
        <v>84.27</v>
      </c>
      <c r="H1601" s="39" t="n">
        <v>45803</v>
      </c>
      <c r="I1601" s="7" t="s">
        <v>14651</v>
      </c>
      <c r="J1601" s="8" t="str">
        <f aca="false">IF(I1601="Open",DATE(2025,12,31)-F1601,"-")</f>
        <v>-</v>
      </c>
    </row>
    <row r="1602" customFormat="false" ht="15" hidden="false" customHeight="false" outlineLevel="0" collapsed="false">
      <c r="B1602" s="7" t="s">
        <v>16247</v>
      </c>
      <c r="C1602" s="7" t="s">
        <v>2099</v>
      </c>
      <c r="D1602" s="7" t="s">
        <v>357</v>
      </c>
      <c r="E1602" s="7" t="s">
        <v>154</v>
      </c>
      <c r="F1602" s="39" t="n">
        <v>45740</v>
      </c>
      <c r="G1602" s="41" t="n">
        <v>80.03</v>
      </c>
      <c r="H1602" s="39" t="n">
        <v>45767</v>
      </c>
      <c r="I1602" s="7" t="s">
        <v>14651</v>
      </c>
      <c r="J1602" s="8" t="str">
        <f aca="false">IF(I1602="Open",DATE(2025,12,31)-F1602,"-")</f>
        <v>-</v>
      </c>
    </row>
    <row r="1603" customFormat="false" ht="15" hidden="false" customHeight="false" outlineLevel="0" collapsed="false">
      <c r="B1603" s="7" t="s">
        <v>16248</v>
      </c>
      <c r="C1603" s="7" t="s">
        <v>2100</v>
      </c>
      <c r="D1603" s="7" t="s">
        <v>359</v>
      </c>
      <c r="E1603" s="7" t="s">
        <v>156</v>
      </c>
      <c r="F1603" s="39" t="n">
        <v>45740</v>
      </c>
      <c r="G1603" s="41" t="n">
        <v>132.26</v>
      </c>
      <c r="H1603" s="39" t="n">
        <v>45748</v>
      </c>
      <c r="I1603" s="7" t="s">
        <v>14651</v>
      </c>
      <c r="J1603" s="8" t="str">
        <f aca="false">IF(I1603="Open",DATE(2025,12,31)-F1603,"-")</f>
        <v>-</v>
      </c>
    </row>
    <row r="1604" customFormat="false" ht="15" hidden="false" customHeight="false" outlineLevel="0" collapsed="false">
      <c r="B1604" s="7" t="s">
        <v>16249</v>
      </c>
      <c r="C1604" s="7" t="s">
        <v>2101</v>
      </c>
      <c r="D1604" s="7" t="s">
        <v>363</v>
      </c>
      <c r="E1604" s="7" t="s">
        <v>156</v>
      </c>
      <c r="F1604" s="39" t="n">
        <v>45740</v>
      </c>
      <c r="G1604" s="41" t="n">
        <v>124.44</v>
      </c>
      <c r="H1604" s="39" t="n">
        <v>45757</v>
      </c>
      <c r="I1604" s="7" t="s">
        <v>14651</v>
      </c>
      <c r="J1604" s="8" t="str">
        <f aca="false">IF(I1604="Open",DATE(2025,12,31)-F1604,"-")</f>
        <v>-</v>
      </c>
    </row>
    <row r="1605" customFormat="false" ht="15" hidden="false" customHeight="false" outlineLevel="0" collapsed="false">
      <c r="B1605" s="7" t="s">
        <v>16250</v>
      </c>
      <c r="C1605" s="7" t="s">
        <v>2102</v>
      </c>
      <c r="D1605" s="7" t="s">
        <v>371</v>
      </c>
      <c r="E1605" s="7" t="s">
        <v>154</v>
      </c>
      <c r="F1605" s="39" t="n">
        <v>45740</v>
      </c>
      <c r="G1605" s="41" t="n">
        <v>132.5</v>
      </c>
      <c r="H1605" s="39" t="n">
        <v>45813</v>
      </c>
      <c r="I1605" s="7" t="s">
        <v>14651</v>
      </c>
      <c r="J1605" s="8" t="str">
        <f aca="false">IF(I1605="Open",DATE(2025,12,31)-F1605,"-")</f>
        <v>-</v>
      </c>
    </row>
    <row r="1606" customFormat="false" ht="15" hidden="false" customHeight="false" outlineLevel="0" collapsed="false">
      <c r="B1606" s="7" t="s">
        <v>16251</v>
      </c>
      <c r="C1606" s="7" t="s">
        <v>2103</v>
      </c>
      <c r="D1606" s="7" t="s">
        <v>375</v>
      </c>
      <c r="E1606" s="7" t="s">
        <v>156</v>
      </c>
      <c r="F1606" s="39" t="n">
        <v>45740</v>
      </c>
      <c r="G1606" s="41" t="n">
        <v>102.34</v>
      </c>
      <c r="H1606" s="39" t="n">
        <v>45758</v>
      </c>
      <c r="I1606" s="7" t="s">
        <v>14651</v>
      </c>
      <c r="J1606" s="8" t="str">
        <f aca="false">IF(I1606="Open",DATE(2025,12,31)-F1606,"-")</f>
        <v>-</v>
      </c>
    </row>
    <row r="1607" customFormat="false" ht="15" hidden="false" customHeight="false" outlineLevel="0" collapsed="false">
      <c r="B1607" s="7" t="s">
        <v>16252</v>
      </c>
      <c r="C1607" s="7" t="s">
        <v>2104</v>
      </c>
      <c r="D1607" s="7" t="s">
        <v>377</v>
      </c>
      <c r="E1607" s="7" t="s">
        <v>154</v>
      </c>
      <c r="F1607" s="39" t="n">
        <v>45740</v>
      </c>
      <c r="G1607" s="41" t="n">
        <v>100.7</v>
      </c>
      <c r="H1607" s="39" t="n">
        <v>45846</v>
      </c>
      <c r="I1607" s="7" t="s">
        <v>14651</v>
      </c>
      <c r="J1607" s="8" t="str">
        <f aca="false">IF(I1607="Open",DATE(2025,12,31)-F1607,"-")</f>
        <v>-</v>
      </c>
    </row>
    <row r="1608" customFormat="false" ht="15" hidden="false" customHeight="false" outlineLevel="0" collapsed="false">
      <c r="B1608" s="7" t="s">
        <v>16253</v>
      </c>
      <c r="C1608" s="7" t="s">
        <v>2105</v>
      </c>
      <c r="D1608" s="7" t="s">
        <v>379</v>
      </c>
      <c r="E1608" s="7" t="s">
        <v>156</v>
      </c>
      <c r="F1608" s="39" t="n">
        <v>45740</v>
      </c>
      <c r="G1608" s="41" t="n">
        <v>163.88</v>
      </c>
      <c r="H1608" s="39" t="n">
        <v>45758</v>
      </c>
      <c r="I1608" s="7" t="s">
        <v>14651</v>
      </c>
      <c r="J1608" s="8" t="str">
        <f aca="false">IF(I1608="Open",DATE(2025,12,31)-F1608,"-")</f>
        <v>-</v>
      </c>
    </row>
    <row r="1609" customFormat="false" ht="15" hidden="false" customHeight="false" outlineLevel="0" collapsed="false">
      <c r="B1609" s="7" t="s">
        <v>16254</v>
      </c>
      <c r="C1609" s="7" t="s">
        <v>2106</v>
      </c>
      <c r="D1609" s="7" t="s">
        <v>389</v>
      </c>
      <c r="E1609" s="7" t="s">
        <v>154</v>
      </c>
      <c r="F1609" s="39" t="n">
        <v>45740</v>
      </c>
      <c r="G1609" s="41" t="n">
        <v>107.59</v>
      </c>
      <c r="H1609" s="39" t="n">
        <v>45775</v>
      </c>
      <c r="I1609" s="7" t="s">
        <v>14651</v>
      </c>
      <c r="J1609" s="8" t="str">
        <f aca="false">IF(I1609="Open",DATE(2025,12,31)-F1609,"-")</f>
        <v>-</v>
      </c>
    </row>
    <row r="1610" customFormat="false" ht="15" hidden="false" customHeight="false" outlineLevel="0" collapsed="false">
      <c r="B1610" s="7" t="s">
        <v>16255</v>
      </c>
      <c r="C1610" s="7" t="s">
        <v>2107</v>
      </c>
      <c r="D1610" s="7" t="s">
        <v>395</v>
      </c>
      <c r="E1610" s="7" t="s">
        <v>156</v>
      </c>
      <c r="F1610" s="39" t="n">
        <v>45740</v>
      </c>
      <c r="G1610" s="41" t="n">
        <v>136.34</v>
      </c>
      <c r="H1610" s="39" t="n">
        <v>45755</v>
      </c>
      <c r="I1610" s="7" t="s">
        <v>14651</v>
      </c>
      <c r="J1610" s="8" t="str">
        <f aca="false">IF(I1610="Open",DATE(2025,12,31)-F1610,"-")</f>
        <v>-</v>
      </c>
    </row>
    <row r="1611" customFormat="false" ht="15" hidden="false" customHeight="false" outlineLevel="0" collapsed="false">
      <c r="B1611" s="7" t="s">
        <v>16256</v>
      </c>
      <c r="C1611" s="7" t="s">
        <v>2108</v>
      </c>
      <c r="D1611" s="7" t="s">
        <v>399</v>
      </c>
      <c r="E1611" s="7" t="s">
        <v>154</v>
      </c>
      <c r="F1611" s="39" t="n">
        <v>45740</v>
      </c>
      <c r="G1611" s="41" t="n">
        <v>86.92</v>
      </c>
      <c r="H1611" s="39" t="n">
        <v>45758</v>
      </c>
      <c r="I1611" s="7" t="s">
        <v>14651</v>
      </c>
      <c r="J1611" s="8" t="str">
        <f aca="false">IF(I1611="Open",DATE(2025,12,31)-F1611,"-")</f>
        <v>-</v>
      </c>
    </row>
    <row r="1612" customFormat="false" ht="15" hidden="false" customHeight="false" outlineLevel="0" collapsed="false">
      <c r="B1612" s="7" t="s">
        <v>16257</v>
      </c>
      <c r="C1612" s="7" t="s">
        <v>2109</v>
      </c>
      <c r="D1612" s="7" t="s">
        <v>401</v>
      </c>
      <c r="E1612" s="7" t="s">
        <v>156</v>
      </c>
      <c r="F1612" s="39" t="n">
        <v>45740</v>
      </c>
      <c r="G1612" s="41" t="n">
        <v>130.22</v>
      </c>
      <c r="H1612" s="39" t="n">
        <v>45749</v>
      </c>
      <c r="I1612" s="7" t="s">
        <v>14651</v>
      </c>
      <c r="J1612" s="8" t="str">
        <f aca="false">IF(I1612="Open",DATE(2025,12,31)-F1612,"-")</f>
        <v>-</v>
      </c>
    </row>
    <row r="1613" customFormat="false" ht="15" hidden="false" customHeight="false" outlineLevel="0" collapsed="false">
      <c r="B1613" s="7" t="s">
        <v>16258</v>
      </c>
      <c r="C1613" s="7" t="s">
        <v>2110</v>
      </c>
      <c r="D1613" s="7" t="s">
        <v>409</v>
      </c>
      <c r="E1613" s="7" t="s">
        <v>154</v>
      </c>
      <c r="F1613" s="39" t="n">
        <v>45740</v>
      </c>
      <c r="G1613" s="41" t="n">
        <v>92.75</v>
      </c>
      <c r="H1613" s="39" t="n">
        <v>45792</v>
      </c>
      <c r="I1613" s="7" t="s">
        <v>14651</v>
      </c>
      <c r="J1613" s="8" t="str">
        <f aca="false">IF(I1613="Open",DATE(2025,12,31)-F1613,"-")</f>
        <v>-</v>
      </c>
    </row>
    <row r="1614" customFormat="false" ht="15" hidden="false" customHeight="false" outlineLevel="0" collapsed="false">
      <c r="B1614" s="7" t="s">
        <v>16259</v>
      </c>
      <c r="C1614" s="7" t="s">
        <v>2111</v>
      </c>
      <c r="D1614" s="7" t="s">
        <v>411</v>
      </c>
      <c r="E1614" s="7" t="s">
        <v>154</v>
      </c>
      <c r="F1614" s="39" t="n">
        <v>45740</v>
      </c>
      <c r="G1614" s="41" t="n">
        <v>112.89</v>
      </c>
      <c r="H1614" s="39" t="n">
        <v>45777</v>
      </c>
      <c r="I1614" s="7" t="s">
        <v>14651</v>
      </c>
      <c r="J1614" s="8" t="str">
        <f aca="false">IF(I1614="Open",DATE(2025,12,31)-F1614,"-")</f>
        <v>-</v>
      </c>
    </row>
    <row r="1615" customFormat="false" ht="15" hidden="false" customHeight="false" outlineLevel="0" collapsed="false">
      <c r="B1615" s="7" t="s">
        <v>16260</v>
      </c>
      <c r="C1615" s="7" t="s">
        <v>2112</v>
      </c>
      <c r="D1615" s="7" t="s">
        <v>288</v>
      </c>
      <c r="E1615" s="7" t="s">
        <v>156</v>
      </c>
      <c r="F1615" s="39" t="n">
        <v>45741</v>
      </c>
      <c r="G1615" s="41" t="n">
        <v>123.76</v>
      </c>
      <c r="H1615" s="39" t="n">
        <v>45757</v>
      </c>
      <c r="I1615" s="7" t="s">
        <v>14651</v>
      </c>
      <c r="J1615" s="8" t="str">
        <f aca="false">IF(I1615="Open",DATE(2025,12,31)-F1615,"-")</f>
        <v>-</v>
      </c>
    </row>
    <row r="1616" customFormat="false" ht="15" hidden="false" customHeight="false" outlineLevel="0" collapsed="false">
      <c r="B1616" s="7" t="s">
        <v>16261</v>
      </c>
      <c r="C1616" s="7" t="s">
        <v>2113</v>
      </c>
      <c r="D1616" s="7" t="s">
        <v>301</v>
      </c>
      <c r="E1616" s="7" t="s">
        <v>157</v>
      </c>
      <c r="F1616" s="39" t="n">
        <v>45741</v>
      </c>
      <c r="G1616" s="41" t="n">
        <v>159.88</v>
      </c>
      <c r="H1616" s="39" t="n">
        <v>45769</v>
      </c>
      <c r="I1616" s="7" t="s">
        <v>14651</v>
      </c>
      <c r="J1616" s="8" t="str">
        <f aca="false">IF(I1616="Open",DATE(2025,12,31)-F1616,"-")</f>
        <v>-</v>
      </c>
    </row>
    <row r="1617" customFormat="false" ht="15" hidden="false" customHeight="false" outlineLevel="0" collapsed="false">
      <c r="B1617" s="7" t="s">
        <v>16262</v>
      </c>
      <c r="C1617" s="7" t="s">
        <v>2114</v>
      </c>
      <c r="D1617" s="7" t="s">
        <v>313</v>
      </c>
      <c r="E1617" s="7" t="s">
        <v>156</v>
      </c>
      <c r="F1617" s="39" t="n">
        <v>45741</v>
      </c>
      <c r="G1617" s="41" t="n">
        <v>136</v>
      </c>
      <c r="H1617" s="39" t="n">
        <v>45755</v>
      </c>
      <c r="I1617" s="7" t="s">
        <v>14651</v>
      </c>
      <c r="J1617" s="8" t="str">
        <f aca="false">IF(I1617="Open",DATE(2025,12,31)-F1617,"-")</f>
        <v>-</v>
      </c>
    </row>
    <row r="1618" customFormat="false" ht="15" hidden="false" customHeight="false" outlineLevel="0" collapsed="false">
      <c r="B1618" s="7" t="s">
        <v>16263</v>
      </c>
      <c r="C1618" s="7" t="s">
        <v>2115</v>
      </c>
      <c r="D1618" s="7" t="s">
        <v>319</v>
      </c>
      <c r="E1618" s="7" t="s">
        <v>157</v>
      </c>
      <c r="F1618" s="39" t="n">
        <v>45741</v>
      </c>
      <c r="G1618" s="41" t="n">
        <v>153.45</v>
      </c>
      <c r="H1618" s="39" t="n">
        <v>45823</v>
      </c>
      <c r="I1618" s="7" t="s">
        <v>14651</v>
      </c>
      <c r="J1618" s="8" t="str">
        <f aca="false">IF(I1618="Open",DATE(2025,12,31)-F1618,"-")</f>
        <v>-</v>
      </c>
    </row>
    <row r="1619" customFormat="false" ht="15" hidden="false" customHeight="false" outlineLevel="0" collapsed="false">
      <c r="B1619" s="7" t="s">
        <v>16264</v>
      </c>
      <c r="C1619" s="7" t="s">
        <v>2116</v>
      </c>
      <c r="D1619" s="7" t="s">
        <v>321</v>
      </c>
      <c r="E1619" s="7" t="s">
        <v>154</v>
      </c>
      <c r="F1619" s="39" t="n">
        <v>45741</v>
      </c>
      <c r="G1619" s="41" t="n">
        <v>95.66</v>
      </c>
      <c r="H1619" s="39" t="n">
        <v>45797</v>
      </c>
      <c r="I1619" s="7" t="s">
        <v>14651</v>
      </c>
      <c r="J1619" s="8" t="str">
        <f aca="false">IF(I1619="Open",DATE(2025,12,31)-F1619,"-")</f>
        <v>-</v>
      </c>
    </row>
    <row r="1620" customFormat="false" ht="15" hidden="false" customHeight="false" outlineLevel="0" collapsed="false">
      <c r="B1620" s="7" t="s">
        <v>16265</v>
      </c>
      <c r="C1620" s="7" t="s">
        <v>2117</v>
      </c>
      <c r="D1620" s="7" t="s">
        <v>323</v>
      </c>
      <c r="E1620" s="7" t="s">
        <v>159</v>
      </c>
      <c r="F1620" s="39" t="n">
        <v>45741</v>
      </c>
      <c r="G1620" s="41" t="n">
        <v>137.7</v>
      </c>
      <c r="H1620" s="39" t="n">
        <v>45766</v>
      </c>
      <c r="I1620" s="7" t="s">
        <v>14651</v>
      </c>
      <c r="J1620" s="8" t="str">
        <f aca="false">IF(I1620="Open",DATE(2025,12,31)-F1620,"-")</f>
        <v>-</v>
      </c>
    </row>
    <row r="1621" customFormat="false" ht="15" hidden="false" customHeight="false" outlineLevel="0" collapsed="false">
      <c r="B1621" s="7" t="s">
        <v>16266</v>
      </c>
      <c r="C1621" s="7" t="s">
        <v>2118</v>
      </c>
      <c r="D1621" s="7" t="s">
        <v>327</v>
      </c>
      <c r="E1621" s="7" t="s">
        <v>157</v>
      </c>
      <c r="F1621" s="39" t="n">
        <v>45741</v>
      </c>
      <c r="G1621" s="41" t="n">
        <v>174.9</v>
      </c>
      <c r="H1621" s="39" t="n">
        <v>45793</v>
      </c>
      <c r="I1621" s="7" t="s">
        <v>14651</v>
      </c>
      <c r="J1621" s="8" t="str">
        <f aca="false">IF(I1621="Open",DATE(2025,12,31)-F1621,"-")</f>
        <v>-</v>
      </c>
    </row>
    <row r="1622" customFormat="false" ht="15" hidden="false" customHeight="false" outlineLevel="0" collapsed="false">
      <c r="B1622" s="7" t="s">
        <v>16267</v>
      </c>
      <c r="C1622" s="7" t="s">
        <v>2119</v>
      </c>
      <c r="D1622" s="7" t="s">
        <v>329</v>
      </c>
      <c r="E1622" s="7" t="s">
        <v>156</v>
      </c>
      <c r="F1622" s="39" t="n">
        <v>45741</v>
      </c>
      <c r="G1622" s="41" t="n">
        <v>135.66</v>
      </c>
      <c r="H1622" s="39" t="n">
        <v>45752</v>
      </c>
      <c r="I1622" s="7" t="s">
        <v>14651</v>
      </c>
      <c r="J1622" s="8" t="str">
        <f aca="false">IF(I1622="Open",DATE(2025,12,31)-F1622,"-")</f>
        <v>-</v>
      </c>
    </row>
    <row r="1623" customFormat="false" ht="15" hidden="false" customHeight="false" outlineLevel="0" collapsed="false">
      <c r="B1623" s="7" t="s">
        <v>16268</v>
      </c>
      <c r="C1623" s="7" t="s">
        <v>2120</v>
      </c>
      <c r="D1623" s="7" t="s">
        <v>359</v>
      </c>
      <c r="E1623" s="7" t="s">
        <v>156</v>
      </c>
      <c r="F1623" s="39" t="n">
        <v>45741</v>
      </c>
      <c r="G1623" s="41" t="n">
        <v>131.58</v>
      </c>
      <c r="H1623" s="39" t="n">
        <v>45756</v>
      </c>
      <c r="I1623" s="7" t="s">
        <v>14651</v>
      </c>
      <c r="J1623" s="8" t="str">
        <f aca="false">IF(I1623="Open",DATE(2025,12,31)-F1623,"-")</f>
        <v>-</v>
      </c>
    </row>
    <row r="1624" customFormat="false" ht="15" hidden="false" customHeight="false" outlineLevel="0" collapsed="false">
      <c r="B1624" s="7" t="s">
        <v>16269</v>
      </c>
      <c r="C1624" s="7" t="s">
        <v>2121</v>
      </c>
      <c r="D1624" s="7" t="s">
        <v>361</v>
      </c>
      <c r="E1624" s="7" t="s">
        <v>157</v>
      </c>
      <c r="F1624" s="39" t="n">
        <v>45741</v>
      </c>
      <c r="G1624" s="41" t="n">
        <v>179.85</v>
      </c>
      <c r="H1624" s="39" t="n">
        <v>45784</v>
      </c>
      <c r="I1624" s="7" t="s">
        <v>14651</v>
      </c>
      <c r="J1624" s="8" t="str">
        <f aca="false">IF(I1624="Open",DATE(2025,12,31)-F1624,"-")</f>
        <v>-</v>
      </c>
    </row>
    <row r="1625" customFormat="false" ht="15" hidden="false" customHeight="false" outlineLevel="0" collapsed="false">
      <c r="B1625" s="7" t="s">
        <v>16270</v>
      </c>
      <c r="C1625" s="7" t="s">
        <v>2122</v>
      </c>
      <c r="D1625" s="7" t="s">
        <v>381</v>
      </c>
      <c r="E1625" s="7" t="s">
        <v>157</v>
      </c>
      <c r="F1625" s="39" t="n">
        <v>45741</v>
      </c>
      <c r="G1625" s="41" t="n">
        <v>181.5</v>
      </c>
      <c r="H1625" s="39" t="n">
        <v>45768</v>
      </c>
      <c r="I1625" s="7" t="s">
        <v>14651</v>
      </c>
      <c r="J1625" s="8" t="str">
        <f aca="false">IF(I1625="Open",DATE(2025,12,31)-F1625,"-")</f>
        <v>-</v>
      </c>
    </row>
    <row r="1626" customFormat="false" ht="15" hidden="false" customHeight="false" outlineLevel="0" collapsed="false">
      <c r="B1626" s="7" t="s">
        <v>16271</v>
      </c>
      <c r="C1626" s="7" t="s">
        <v>2123</v>
      </c>
      <c r="D1626" s="7" t="s">
        <v>389</v>
      </c>
      <c r="E1626" s="7" t="s">
        <v>154</v>
      </c>
      <c r="F1626" s="39" t="n">
        <v>45741</v>
      </c>
      <c r="G1626" s="41" t="n">
        <v>104.68</v>
      </c>
      <c r="H1626" s="39" t="n">
        <v>45857</v>
      </c>
      <c r="I1626" s="7" t="s">
        <v>14651</v>
      </c>
      <c r="J1626" s="8" t="str">
        <f aca="false">IF(I1626="Open",DATE(2025,12,31)-F1626,"-")</f>
        <v>-</v>
      </c>
    </row>
    <row r="1627" customFormat="false" ht="15" hidden="false" customHeight="false" outlineLevel="0" collapsed="false">
      <c r="B1627" s="7" t="s">
        <v>16272</v>
      </c>
      <c r="C1627" s="7" t="s">
        <v>2124</v>
      </c>
      <c r="D1627" s="7" t="s">
        <v>391</v>
      </c>
      <c r="E1627" s="7" t="s">
        <v>156</v>
      </c>
      <c r="F1627" s="39" t="n">
        <v>45741</v>
      </c>
      <c r="G1627" s="41" t="n">
        <v>142.46</v>
      </c>
      <c r="H1627" s="39" t="n">
        <v>45757</v>
      </c>
      <c r="I1627" s="7" t="s">
        <v>14651</v>
      </c>
      <c r="J1627" s="8" t="str">
        <f aca="false">IF(I1627="Open",DATE(2025,12,31)-F1627,"-")</f>
        <v>-</v>
      </c>
    </row>
    <row r="1628" customFormat="false" ht="15" hidden="false" customHeight="false" outlineLevel="0" collapsed="false">
      <c r="B1628" s="7" t="s">
        <v>16273</v>
      </c>
      <c r="C1628" s="7" t="s">
        <v>2125</v>
      </c>
      <c r="D1628" s="7" t="s">
        <v>395</v>
      </c>
      <c r="E1628" s="7" t="s">
        <v>156</v>
      </c>
      <c r="F1628" s="39" t="n">
        <v>45741</v>
      </c>
      <c r="G1628" s="41" t="n">
        <v>142.8</v>
      </c>
      <c r="H1628" s="39" t="n">
        <v>45757</v>
      </c>
      <c r="I1628" s="7" t="s">
        <v>14651</v>
      </c>
      <c r="J1628" s="8" t="str">
        <f aca="false">IF(I1628="Open",DATE(2025,12,31)-F1628,"-")</f>
        <v>-</v>
      </c>
    </row>
    <row r="1629" customFormat="false" ht="15" hidden="false" customHeight="false" outlineLevel="0" collapsed="false">
      <c r="B1629" s="7" t="s">
        <v>16274</v>
      </c>
      <c r="C1629" s="7" t="s">
        <v>2126</v>
      </c>
      <c r="D1629" s="7" t="s">
        <v>397</v>
      </c>
      <c r="E1629" s="7" t="s">
        <v>159</v>
      </c>
      <c r="F1629" s="39" t="n">
        <v>45741</v>
      </c>
      <c r="G1629" s="41" t="n">
        <v>132.3</v>
      </c>
      <c r="H1629" s="39" t="n">
        <v>45785</v>
      </c>
      <c r="I1629" s="7" t="s">
        <v>14651</v>
      </c>
      <c r="J1629" s="8" t="str">
        <f aca="false">IF(I1629="Open",DATE(2025,12,31)-F1629,"-")</f>
        <v>-</v>
      </c>
    </row>
    <row r="1630" customFormat="false" ht="15" hidden="false" customHeight="false" outlineLevel="0" collapsed="false">
      <c r="B1630" s="7" t="s">
        <v>16275</v>
      </c>
      <c r="C1630" s="7" t="s">
        <v>2127</v>
      </c>
      <c r="D1630" s="7" t="s">
        <v>401</v>
      </c>
      <c r="E1630" s="7" t="s">
        <v>156</v>
      </c>
      <c r="F1630" s="39" t="n">
        <v>45741</v>
      </c>
      <c r="G1630" s="41" t="n">
        <v>142.8</v>
      </c>
      <c r="H1630" s="39" t="n">
        <v>45756</v>
      </c>
      <c r="I1630" s="7" t="s">
        <v>14651</v>
      </c>
      <c r="J1630" s="8" t="str">
        <f aca="false">IF(I1630="Open",DATE(2025,12,31)-F1630,"-")</f>
        <v>-</v>
      </c>
    </row>
    <row r="1631" customFormat="false" ht="15" hidden="false" customHeight="false" outlineLevel="0" collapsed="false">
      <c r="B1631" s="7" t="s">
        <v>16276</v>
      </c>
      <c r="C1631" s="7" t="s">
        <v>2128</v>
      </c>
      <c r="D1631" s="7" t="s">
        <v>407</v>
      </c>
      <c r="E1631" s="7" t="s">
        <v>159</v>
      </c>
      <c r="F1631" s="39" t="n">
        <v>45741</v>
      </c>
      <c r="G1631" s="41" t="n">
        <v>130.54</v>
      </c>
      <c r="H1631" s="39" t="n">
        <v>45814</v>
      </c>
      <c r="I1631" s="7" t="s">
        <v>14651</v>
      </c>
      <c r="J1631" s="8" t="str">
        <f aca="false">IF(I1631="Open",DATE(2025,12,31)-F1631,"-")</f>
        <v>-</v>
      </c>
    </row>
    <row r="1632" customFormat="false" ht="15" hidden="false" customHeight="false" outlineLevel="0" collapsed="false">
      <c r="B1632" s="7" t="s">
        <v>16277</v>
      </c>
      <c r="C1632" s="7" t="s">
        <v>2129</v>
      </c>
      <c r="D1632" s="7" t="s">
        <v>286</v>
      </c>
      <c r="E1632" s="7" t="s">
        <v>157</v>
      </c>
      <c r="F1632" s="39" t="n">
        <v>45742</v>
      </c>
      <c r="G1632" s="41" t="n">
        <v>161.7</v>
      </c>
      <c r="H1632" s="39" t="n">
        <v>45786</v>
      </c>
      <c r="I1632" s="7" t="s">
        <v>14651</v>
      </c>
      <c r="J1632" s="8" t="str">
        <f aca="false">IF(I1632="Open",DATE(2025,12,31)-F1632,"-")</f>
        <v>-</v>
      </c>
    </row>
    <row r="1633" customFormat="false" ht="15" hidden="false" customHeight="false" outlineLevel="0" collapsed="false">
      <c r="B1633" s="7" t="s">
        <v>16278</v>
      </c>
      <c r="C1633" s="7" t="s">
        <v>2130</v>
      </c>
      <c r="D1633" s="7" t="s">
        <v>288</v>
      </c>
      <c r="E1633" s="7" t="s">
        <v>156</v>
      </c>
      <c r="F1633" s="39" t="n">
        <v>45742</v>
      </c>
      <c r="G1633" s="41" t="n">
        <v>148.24</v>
      </c>
      <c r="H1633" s="39" t="n">
        <v>45756</v>
      </c>
      <c r="I1633" s="7" t="s">
        <v>14651</v>
      </c>
      <c r="J1633" s="8" t="str">
        <f aca="false">IF(I1633="Open",DATE(2025,12,31)-F1633,"-")</f>
        <v>-</v>
      </c>
    </row>
    <row r="1634" customFormat="false" ht="15" hidden="false" customHeight="false" outlineLevel="0" collapsed="false">
      <c r="B1634" s="7" t="s">
        <v>16279</v>
      </c>
      <c r="C1634" s="7" t="s">
        <v>2131</v>
      </c>
      <c r="D1634" s="7" t="s">
        <v>291</v>
      </c>
      <c r="E1634" s="7" t="s">
        <v>154</v>
      </c>
      <c r="F1634" s="39" t="n">
        <v>45742</v>
      </c>
      <c r="G1634" s="41" t="n">
        <v>120.05</v>
      </c>
      <c r="H1634" s="39" t="n">
        <v>45818</v>
      </c>
      <c r="I1634" s="7" t="s">
        <v>14651</v>
      </c>
      <c r="J1634" s="8" t="str">
        <f aca="false">IF(I1634="Open",DATE(2025,12,31)-F1634,"-")</f>
        <v>-</v>
      </c>
    </row>
    <row r="1635" customFormat="false" ht="15" hidden="false" customHeight="false" outlineLevel="0" collapsed="false">
      <c r="B1635" s="7" t="s">
        <v>16280</v>
      </c>
      <c r="C1635" s="7" t="s">
        <v>2132</v>
      </c>
      <c r="D1635" s="7" t="s">
        <v>305</v>
      </c>
      <c r="E1635" s="7" t="s">
        <v>154</v>
      </c>
      <c r="F1635" s="39" t="n">
        <v>45742</v>
      </c>
      <c r="G1635" s="41" t="n">
        <v>109.18</v>
      </c>
      <c r="H1635" s="39" t="n">
        <v>45782</v>
      </c>
      <c r="I1635" s="7" t="s">
        <v>14651</v>
      </c>
      <c r="J1635" s="8" t="str">
        <f aca="false">IF(I1635="Open",DATE(2025,12,31)-F1635,"-")</f>
        <v>-</v>
      </c>
    </row>
    <row r="1636" customFormat="false" ht="15" hidden="false" customHeight="false" outlineLevel="0" collapsed="false">
      <c r="B1636" s="7" t="s">
        <v>16281</v>
      </c>
      <c r="C1636" s="7" t="s">
        <v>2133</v>
      </c>
      <c r="D1636" s="7" t="s">
        <v>307</v>
      </c>
      <c r="E1636" s="7" t="s">
        <v>157</v>
      </c>
      <c r="F1636" s="39" t="n">
        <v>45742</v>
      </c>
      <c r="G1636" s="41" t="n">
        <v>174.9</v>
      </c>
      <c r="H1636" s="39" t="n">
        <v>45823</v>
      </c>
      <c r="I1636" s="7" t="s">
        <v>14651</v>
      </c>
      <c r="J1636" s="8" t="str">
        <f aca="false">IF(I1636="Open",DATE(2025,12,31)-F1636,"-")</f>
        <v>-</v>
      </c>
    </row>
    <row r="1637" customFormat="false" ht="15" hidden="false" customHeight="false" outlineLevel="0" collapsed="false">
      <c r="B1637" s="7" t="s">
        <v>16282</v>
      </c>
      <c r="C1637" s="7" t="s">
        <v>2134</v>
      </c>
      <c r="D1637" s="7" t="s">
        <v>309</v>
      </c>
      <c r="E1637" s="7" t="s">
        <v>159</v>
      </c>
      <c r="F1637" s="39" t="n">
        <v>45742</v>
      </c>
      <c r="G1637" s="41" t="n">
        <v>133.65</v>
      </c>
      <c r="H1637" s="39" t="n">
        <v>45757</v>
      </c>
      <c r="I1637" s="7" t="s">
        <v>14651</v>
      </c>
      <c r="J1637" s="8" t="str">
        <f aca="false">IF(I1637="Open",DATE(2025,12,31)-F1637,"-")</f>
        <v>-</v>
      </c>
    </row>
    <row r="1638" customFormat="false" ht="15" hidden="false" customHeight="false" outlineLevel="0" collapsed="false">
      <c r="B1638" s="7" t="s">
        <v>16283</v>
      </c>
      <c r="C1638" s="7" t="s">
        <v>2135</v>
      </c>
      <c r="D1638" s="7" t="s">
        <v>313</v>
      </c>
      <c r="E1638" s="7" t="s">
        <v>156</v>
      </c>
      <c r="F1638" s="39" t="n">
        <v>45742</v>
      </c>
      <c r="G1638" s="41" t="n">
        <v>140.76</v>
      </c>
      <c r="H1638" s="39" t="n">
        <v>45747</v>
      </c>
      <c r="I1638" s="7" t="s">
        <v>14651</v>
      </c>
      <c r="J1638" s="8" t="str">
        <f aca="false">IF(I1638="Open",DATE(2025,12,31)-F1638,"-")</f>
        <v>-</v>
      </c>
    </row>
    <row r="1639" customFormat="false" ht="15" hidden="false" customHeight="false" outlineLevel="0" collapsed="false">
      <c r="B1639" s="7" t="s">
        <v>16284</v>
      </c>
      <c r="C1639" s="7" t="s">
        <v>2136</v>
      </c>
      <c r="D1639" s="7" t="s">
        <v>321</v>
      </c>
      <c r="E1639" s="7" t="s">
        <v>154</v>
      </c>
      <c r="F1639" s="39" t="n">
        <v>45742</v>
      </c>
      <c r="G1639" s="41" t="n">
        <v>109.71</v>
      </c>
      <c r="H1639" s="39" t="n">
        <v>45780</v>
      </c>
      <c r="I1639" s="7" t="s">
        <v>14651</v>
      </c>
      <c r="J1639" s="8" t="str">
        <f aca="false">IF(I1639="Open",DATE(2025,12,31)-F1639,"-")</f>
        <v>-</v>
      </c>
    </row>
    <row r="1640" customFormat="false" ht="15" hidden="false" customHeight="false" outlineLevel="0" collapsed="false">
      <c r="B1640" s="7" t="s">
        <v>16285</v>
      </c>
      <c r="C1640" s="7" t="s">
        <v>2137</v>
      </c>
      <c r="D1640" s="7" t="s">
        <v>335</v>
      </c>
      <c r="E1640" s="7" t="s">
        <v>154</v>
      </c>
      <c r="F1640" s="39" t="n">
        <v>45742</v>
      </c>
      <c r="G1640" s="41" t="n">
        <v>92.8</v>
      </c>
      <c r="H1640" s="39" t="n">
        <v>45853</v>
      </c>
      <c r="I1640" s="7" t="s">
        <v>14651</v>
      </c>
      <c r="J1640" s="8" t="str">
        <f aca="false">IF(I1640="Open",DATE(2025,12,31)-F1640,"-")</f>
        <v>-</v>
      </c>
    </row>
    <row r="1641" customFormat="false" ht="15" hidden="false" customHeight="false" outlineLevel="0" collapsed="false">
      <c r="B1641" s="7" t="s">
        <v>16286</v>
      </c>
      <c r="C1641" s="7" t="s">
        <v>2138</v>
      </c>
      <c r="D1641" s="7" t="s">
        <v>339</v>
      </c>
      <c r="E1641" s="7" t="s">
        <v>154</v>
      </c>
      <c r="F1641" s="39" t="n">
        <v>45742</v>
      </c>
      <c r="G1641" s="41" t="n">
        <v>87.45</v>
      </c>
      <c r="H1641" s="39" t="n">
        <v>45789</v>
      </c>
      <c r="I1641" s="7" t="s">
        <v>14651</v>
      </c>
      <c r="J1641" s="8" t="str">
        <f aca="false">IF(I1641="Open",DATE(2025,12,31)-F1641,"-")</f>
        <v>-</v>
      </c>
    </row>
    <row r="1642" customFormat="false" ht="15" hidden="false" customHeight="false" outlineLevel="0" collapsed="false">
      <c r="B1642" s="7" t="s">
        <v>16287</v>
      </c>
      <c r="C1642" s="7" t="s">
        <v>2139</v>
      </c>
      <c r="D1642" s="7" t="s">
        <v>355</v>
      </c>
      <c r="E1642" s="7" t="s">
        <v>154</v>
      </c>
      <c r="F1642" s="39" t="n">
        <v>45742</v>
      </c>
      <c r="G1642" s="41" t="n">
        <v>80.56</v>
      </c>
      <c r="H1642" s="39" t="n">
        <v>45814</v>
      </c>
      <c r="I1642" s="7" t="s">
        <v>14651</v>
      </c>
      <c r="J1642" s="8" t="str">
        <f aca="false">IF(I1642="Open",DATE(2025,12,31)-F1642,"-")</f>
        <v>-</v>
      </c>
    </row>
    <row r="1643" customFormat="false" ht="15" hidden="false" customHeight="false" outlineLevel="0" collapsed="false">
      <c r="B1643" s="7" t="s">
        <v>16288</v>
      </c>
      <c r="C1643" s="7" t="s">
        <v>2140</v>
      </c>
      <c r="D1643" s="7" t="s">
        <v>357</v>
      </c>
      <c r="E1643" s="7" t="s">
        <v>154</v>
      </c>
      <c r="F1643" s="39" t="n">
        <v>45742</v>
      </c>
      <c r="G1643" s="41" t="n">
        <v>80.72</v>
      </c>
      <c r="H1643" s="39" t="n">
        <v>45788</v>
      </c>
      <c r="I1643" s="7" t="s">
        <v>14651</v>
      </c>
      <c r="J1643" s="8" t="str">
        <f aca="false">IF(I1643="Open",DATE(2025,12,31)-F1643,"-")</f>
        <v>-</v>
      </c>
    </row>
    <row r="1644" customFormat="false" ht="15" hidden="false" customHeight="false" outlineLevel="0" collapsed="false">
      <c r="B1644" s="7" t="s">
        <v>16289</v>
      </c>
      <c r="C1644" s="7" t="s">
        <v>2141</v>
      </c>
      <c r="D1644" s="7" t="s">
        <v>359</v>
      </c>
      <c r="E1644" s="7" t="s">
        <v>156</v>
      </c>
      <c r="F1644" s="39" t="n">
        <v>45742</v>
      </c>
      <c r="G1644" s="41" t="n">
        <v>148.58</v>
      </c>
      <c r="H1644" s="39" t="n">
        <v>45763</v>
      </c>
      <c r="I1644" s="7" t="s">
        <v>14651</v>
      </c>
      <c r="J1644" s="8" t="str">
        <f aca="false">IF(I1644="Open",DATE(2025,12,31)-F1644,"-")</f>
        <v>-</v>
      </c>
    </row>
    <row r="1645" customFormat="false" ht="15" hidden="false" customHeight="false" outlineLevel="0" collapsed="false">
      <c r="B1645" s="7" t="s">
        <v>16290</v>
      </c>
      <c r="C1645" s="7" t="s">
        <v>2142</v>
      </c>
      <c r="D1645" s="7" t="s">
        <v>371</v>
      </c>
      <c r="E1645" s="7" t="s">
        <v>154</v>
      </c>
      <c r="F1645" s="39" t="n">
        <v>45742</v>
      </c>
      <c r="G1645" s="41" t="n">
        <v>120.57</v>
      </c>
      <c r="H1645" s="39" t="n">
        <v>45791</v>
      </c>
      <c r="I1645" s="7" t="s">
        <v>14651</v>
      </c>
      <c r="J1645" s="8" t="str">
        <f aca="false">IF(I1645="Open",DATE(2025,12,31)-F1645,"-")</f>
        <v>-</v>
      </c>
    </row>
    <row r="1646" customFormat="false" ht="15" hidden="false" customHeight="false" outlineLevel="0" collapsed="false">
      <c r="B1646" s="7" t="s">
        <v>16291</v>
      </c>
      <c r="C1646" s="7" t="s">
        <v>2143</v>
      </c>
      <c r="D1646" s="7" t="s">
        <v>379</v>
      </c>
      <c r="E1646" s="7" t="s">
        <v>156</v>
      </c>
      <c r="F1646" s="39" t="n">
        <v>45742</v>
      </c>
      <c r="G1646" s="41" t="n">
        <v>168.3</v>
      </c>
      <c r="H1646" s="39" t="n">
        <v>45758</v>
      </c>
      <c r="I1646" s="7" t="s">
        <v>14651</v>
      </c>
      <c r="J1646" s="8" t="str">
        <f aca="false">IF(I1646="Open",DATE(2025,12,31)-F1646,"-")</f>
        <v>-</v>
      </c>
    </row>
    <row r="1647" customFormat="false" ht="15" hidden="false" customHeight="false" outlineLevel="0" collapsed="false">
      <c r="B1647" s="7" t="s">
        <v>16292</v>
      </c>
      <c r="C1647" s="7" t="s">
        <v>2144</v>
      </c>
      <c r="D1647" s="7" t="s">
        <v>389</v>
      </c>
      <c r="E1647" s="7" t="s">
        <v>154</v>
      </c>
      <c r="F1647" s="39" t="n">
        <v>45742</v>
      </c>
      <c r="G1647" s="41" t="n">
        <v>99.38</v>
      </c>
      <c r="H1647" s="39" t="n">
        <v>45850</v>
      </c>
      <c r="I1647" s="7" t="s">
        <v>14651</v>
      </c>
      <c r="J1647" s="8" t="str">
        <f aca="false">IF(I1647="Open",DATE(2025,12,31)-F1647,"-")</f>
        <v>-</v>
      </c>
    </row>
    <row r="1648" customFormat="false" ht="15" hidden="false" customHeight="false" outlineLevel="0" collapsed="false">
      <c r="B1648" s="7" t="s">
        <v>16293</v>
      </c>
      <c r="C1648" s="7" t="s">
        <v>2145</v>
      </c>
      <c r="D1648" s="7" t="s">
        <v>391</v>
      </c>
      <c r="E1648" s="7" t="s">
        <v>156</v>
      </c>
      <c r="F1648" s="39" t="n">
        <v>45742</v>
      </c>
      <c r="G1648" s="41" t="n">
        <v>124.44</v>
      </c>
      <c r="H1648" s="39" t="n">
        <v>45746</v>
      </c>
      <c r="I1648" s="7" t="s">
        <v>14651</v>
      </c>
      <c r="J1648" s="8" t="str">
        <f aca="false">IF(I1648="Open",DATE(2025,12,31)-F1648,"-")</f>
        <v>-</v>
      </c>
    </row>
    <row r="1649" customFormat="false" ht="15" hidden="false" customHeight="false" outlineLevel="0" collapsed="false">
      <c r="B1649" s="7" t="s">
        <v>16294</v>
      </c>
      <c r="C1649" s="7" t="s">
        <v>2146</v>
      </c>
      <c r="D1649" s="7" t="s">
        <v>393</v>
      </c>
      <c r="E1649" s="7" t="s">
        <v>157</v>
      </c>
      <c r="F1649" s="39" t="n">
        <v>45742</v>
      </c>
      <c r="G1649" s="41" t="n">
        <v>173.25</v>
      </c>
      <c r="H1649" s="39" t="n">
        <v>45781</v>
      </c>
      <c r="I1649" s="7" t="s">
        <v>14651</v>
      </c>
      <c r="J1649" s="8" t="str">
        <f aca="false">IF(I1649="Open",DATE(2025,12,31)-F1649,"-")</f>
        <v>-</v>
      </c>
    </row>
    <row r="1650" customFormat="false" ht="15" hidden="false" customHeight="false" outlineLevel="0" collapsed="false">
      <c r="B1650" s="7" t="s">
        <v>16295</v>
      </c>
      <c r="C1650" s="7" t="s">
        <v>2147</v>
      </c>
      <c r="D1650" s="7" t="s">
        <v>395</v>
      </c>
      <c r="E1650" s="7" t="s">
        <v>156</v>
      </c>
      <c r="F1650" s="39" t="n">
        <v>45742</v>
      </c>
      <c r="G1650" s="41" t="n">
        <v>143.48</v>
      </c>
      <c r="H1650" s="39" t="n">
        <v>45759</v>
      </c>
      <c r="I1650" s="7" t="s">
        <v>14651</v>
      </c>
      <c r="J1650" s="8" t="str">
        <f aca="false">IF(I1650="Open",DATE(2025,12,31)-F1650,"-")</f>
        <v>-</v>
      </c>
    </row>
    <row r="1651" customFormat="false" ht="15" hidden="false" customHeight="false" outlineLevel="0" collapsed="false">
      <c r="B1651" s="7" t="s">
        <v>16296</v>
      </c>
      <c r="C1651" s="7" t="s">
        <v>2148</v>
      </c>
      <c r="D1651" s="7" t="s">
        <v>399</v>
      </c>
      <c r="E1651" s="7" t="s">
        <v>154</v>
      </c>
      <c r="F1651" s="39" t="n">
        <v>45742</v>
      </c>
      <c r="G1651" s="41" t="n">
        <v>84.27</v>
      </c>
      <c r="H1651" s="39" t="n">
        <v>45775</v>
      </c>
      <c r="I1651" s="7" t="s">
        <v>14651</v>
      </c>
      <c r="J1651" s="8" t="str">
        <f aca="false">IF(I1651="Open",DATE(2025,12,31)-F1651,"-")</f>
        <v>-</v>
      </c>
    </row>
    <row r="1652" customFormat="false" ht="15" hidden="false" customHeight="false" outlineLevel="0" collapsed="false">
      <c r="B1652" s="7" t="s">
        <v>16297</v>
      </c>
      <c r="C1652" s="7" t="s">
        <v>2149</v>
      </c>
      <c r="D1652" s="7" t="s">
        <v>401</v>
      </c>
      <c r="E1652" s="7" t="s">
        <v>156</v>
      </c>
      <c r="F1652" s="39" t="n">
        <v>45742</v>
      </c>
      <c r="G1652" s="41" t="n">
        <v>149.6</v>
      </c>
      <c r="H1652" s="39" t="n">
        <v>45757</v>
      </c>
      <c r="I1652" s="7" t="s">
        <v>14651</v>
      </c>
      <c r="J1652" s="8" t="str">
        <f aca="false">IF(I1652="Open",DATE(2025,12,31)-F1652,"-")</f>
        <v>-</v>
      </c>
    </row>
    <row r="1653" customFormat="false" ht="15" hidden="false" customHeight="false" outlineLevel="0" collapsed="false">
      <c r="B1653" s="7" t="s">
        <v>16298</v>
      </c>
      <c r="C1653" s="7" t="s">
        <v>2150</v>
      </c>
      <c r="D1653" s="7" t="s">
        <v>409</v>
      </c>
      <c r="E1653" s="7" t="s">
        <v>154</v>
      </c>
      <c r="F1653" s="39" t="n">
        <v>45742</v>
      </c>
      <c r="G1653" s="41" t="n">
        <v>82.68</v>
      </c>
      <c r="H1653" s="39" t="n">
        <v>45781</v>
      </c>
      <c r="I1653" s="7" t="s">
        <v>14651</v>
      </c>
      <c r="J1653" s="8" t="str">
        <f aca="false">IF(I1653="Open",DATE(2025,12,31)-F1653,"-")</f>
        <v>-</v>
      </c>
    </row>
    <row r="1654" customFormat="false" ht="15" hidden="false" customHeight="false" outlineLevel="0" collapsed="false">
      <c r="B1654" s="7" t="s">
        <v>16299</v>
      </c>
      <c r="C1654" s="7" t="s">
        <v>2151</v>
      </c>
      <c r="D1654" s="7" t="s">
        <v>411</v>
      </c>
      <c r="E1654" s="7" t="s">
        <v>154</v>
      </c>
      <c r="F1654" s="39" t="n">
        <v>45742</v>
      </c>
      <c r="G1654" s="41" t="n">
        <v>116.33</v>
      </c>
      <c r="H1654" s="39" t="n">
        <v>45818</v>
      </c>
      <c r="I1654" s="7" t="s">
        <v>14651</v>
      </c>
      <c r="J1654" s="8" t="str">
        <f aca="false">IF(I1654="Open",DATE(2025,12,31)-F1654,"-")</f>
        <v>-</v>
      </c>
    </row>
    <row r="1655" customFormat="false" ht="15" hidden="false" customHeight="false" outlineLevel="0" collapsed="false">
      <c r="B1655" s="7" t="s">
        <v>16300</v>
      </c>
      <c r="C1655" s="7" t="s">
        <v>2152</v>
      </c>
      <c r="D1655" s="7" t="s">
        <v>288</v>
      </c>
      <c r="E1655" s="7" t="s">
        <v>156</v>
      </c>
      <c r="F1655" s="39" t="n">
        <v>45743</v>
      </c>
      <c r="G1655" s="41" t="n">
        <v>125.46</v>
      </c>
      <c r="H1655" s="39" t="n">
        <v>45753</v>
      </c>
      <c r="I1655" s="7" t="s">
        <v>14651</v>
      </c>
      <c r="J1655" s="8" t="str">
        <f aca="false">IF(I1655="Open",DATE(2025,12,31)-F1655,"-")</f>
        <v>-</v>
      </c>
    </row>
    <row r="1656" customFormat="false" ht="15" hidden="false" customHeight="false" outlineLevel="0" collapsed="false">
      <c r="B1656" s="7" t="s">
        <v>16301</v>
      </c>
      <c r="C1656" s="7" t="s">
        <v>2153</v>
      </c>
      <c r="D1656" s="7" t="s">
        <v>297</v>
      </c>
      <c r="E1656" s="7" t="s">
        <v>156</v>
      </c>
      <c r="F1656" s="39" t="n">
        <v>45743</v>
      </c>
      <c r="G1656" s="41" t="n">
        <v>104.38</v>
      </c>
      <c r="H1656" s="39" t="n">
        <v>45753</v>
      </c>
      <c r="I1656" s="7" t="s">
        <v>14651</v>
      </c>
      <c r="J1656" s="8" t="str">
        <f aca="false">IF(I1656="Open",DATE(2025,12,31)-F1656,"-")</f>
        <v>-</v>
      </c>
    </row>
    <row r="1657" customFormat="false" ht="15" hidden="false" customHeight="false" outlineLevel="0" collapsed="false">
      <c r="B1657" s="7" t="s">
        <v>16302</v>
      </c>
      <c r="C1657" s="7" t="s">
        <v>2154</v>
      </c>
      <c r="D1657" s="7" t="s">
        <v>311</v>
      </c>
      <c r="E1657" s="7" t="s">
        <v>154</v>
      </c>
      <c r="F1657" s="39" t="n">
        <v>45743</v>
      </c>
      <c r="G1657" s="41" t="n">
        <v>73.51</v>
      </c>
      <c r="H1657" s="39" t="n">
        <v>45792</v>
      </c>
      <c r="I1657" s="7" t="s">
        <v>14651</v>
      </c>
      <c r="J1657" s="8" t="str">
        <f aca="false">IF(I1657="Open",DATE(2025,12,31)-F1657,"-")</f>
        <v>-</v>
      </c>
    </row>
    <row r="1658" customFormat="false" ht="15" hidden="false" customHeight="false" outlineLevel="0" collapsed="false">
      <c r="B1658" s="7" t="s">
        <v>16303</v>
      </c>
      <c r="C1658" s="7" t="s">
        <v>2155</v>
      </c>
      <c r="D1658" s="7" t="s">
        <v>313</v>
      </c>
      <c r="E1658" s="7" t="s">
        <v>156</v>
      </c>
      <c r="F1658" s="39" t="n">
        <v>45743</v>
      </c>
      <c r="G1658" s="41" t="n">
        <v>142.12</v>
      </c>
      <c r="H1658" s="39" t="n">
        <v>45761</v>
      </c>
      <c r="I1658" s="7" t="s">
        <v>14651</v>
      </c>
      <c r="J1658" s="8" t="str">
        <f aca="false">IF(I1658="Open",DATE(2025,12,31)-F1658,"-")</f>
        <v>-</v>
      </c>
    </row>
    <row r="1659" customFormat="false" ht="15" hidden="false" customHeight="false" outlineLevel="0" collapsed="false">
      <c r="B1659" s="7" t="s">
        <v>16304</v>
      </c>
      <c r="C1659" s="7" t="s">
        <v>2156</v>
      </c>
      <c r="D1659" s="7" t="s">
        <v>317</v>
      </c>
      <c r="E1659" s="7" t="s">
        <v>156</v>
      </c>
      <c r="F1659" s="39" t="n">
        <v>45743</v>
      </c>
      <c r="G1659" s="41" t="n">
        <v>102</v>
      </c>
      <c r="H1659" s="39" t="n">
        <v>45755</v>
      </c>
      <c r="I1659" s="7" t="s">
        <v>14651</v>
      </c>
      <c r="J1659" s="8" t="str">
        <f aca="false">IF(I1659="Open",DATE(2025,12,31)-F1659,"-")</f>
        <v>-</v>
      </c>
    </row>
    <row r="1660" customFormat="false" ht="15" hidden="false" customHeight="false" outlineLevel="0" collapsed="false">
      <c r="B1660" s="7" t="s">
        <v>16305</v>
      </c>
      <c r="C1660" s="7" t="s">
        <v>2157</v>
      </c>
      <c r="D1660" s="7" t="s">
        <v>321</v>
      </c>
      <c r="E1660" s="7" t="s">
        <v>154</v>
      </c>
      <c r="F1660" s="39" t="n">
        <v>45743</v>
      </c>
      <c r="G1660" s="41" t="n">
        <v>96.19</v>
      </c>
      <c r="H1660" s="39" t="n">
        <v>45836</v>
      </c>
      <c r="I1660" s="7" t="s">
        <v>14651</v>
      </c>
      <c r="J1660" s="8" t="str">
        <f aca="false">IF(I1660="Open",DATE(2025,12,31)-F1660,"-")</f>
        <v>-</v>
      </c>
    </row>
    <row r="1661" customFormat="false" ht="15" hidden="false" customHeight="false" outlineLevel="0" collapsed="false">
      <c r="B1661" s="7" t="s">
        <v>16306</v>
      </c>
      <c r="C1661" s="7" t="s">
        <v>2158</v>
      </c>
      <c r="D1661" s="7" t="s">
        <v>325</v>
      </c>
      <c r="E1661" s="7" t="s">
        <v>154</v>
      </c>
      <c r="F1661" s="39" t="n">
        <v>45743</v>
      </c>
      <c r="G1661" s="41" t="n">
        <v>74.54</v>
      </c>
      <c r="H1661" s="39" t="n">
        <v>45781</v>
      </c>
      <c r="I1661" s="7" t="s">
        <v>14651</v>
      </c>
      <c r="J1661" s="8" t="str">
        <f aca="false">IF(I1661="Open",DATE(2025,12,31)-F1661,"-")</f>
        <v>-</v>
      </c>
    </row>
    <row r="1662" customFormat="false" ht="15" hidden="false" customHeight="false" outlineLevel="0" collapsed="false">
      <c r="B1662" s="7" t="s">
        <v>16307</v>
      </c>
      <c r="C1662" s="7" t="s">
        <v>2159</v>
      </c>
      <c r="D1662" s="7" t="s">
        <v>329</v>
      </c>
      <c r="E1662" s="7" t="s">
        <v>156</v>
      </c>
      <c r="F1662" s="39" t="n">
        <v>45743</v>
      </c>
      <c r="G1662" s="41" t="n">
        <v>141.78</v>
      </c>
      <c r="H1662" s="39" t="n">
        <v>45760</v>
      </c>
      <c r="I1662" s="7" t="s">
        <v>14651</v>
      </c>
      <c r="J1662" s="8" t="str">
        <f aca="false">IF(I1662="Open",DATE(2025,12,31)-F1662,"-")</f>
        <v>-</v>
      </c>
    </row>
    <row r="1663" customFormat="false" ht="15" hidden="false" customHeight="false" outlineLevel="0" collapsed="false">
      <c r="B1663" s="7" t="s">
        <v>16308</v>
      </c>
      <c r="C1663" s="7" t="s">
        <v>2160</v>
      </c>
      <c r="D1663" s="7" t="s">
        <v>331</v>
      </c>
      <c r="E1663" s="7" t="s">
        <v>156</v>
      </c>
      <c r="F1663" s="39" t="n">
        <v>45743</v>
      </c>
      <c r="G1663" s="41" t="n">
        <v>133.28</v>
      </c>
      <c r="H1663" s="39" t="n">
        <v>45762</v>
      </c>
      <c r="I1663" s="7" t="s">
        <v>14651</v>
      </c>
      <c r="J1663" s="8" t="str">
        <f aca="false">IF(I1663="Open",DATE(2025,12,31)-F1663,"-")</f>
        <v>-</v>
      </c>
    </row>
    <row r="1664" customFormat="false" ht="15" hidden="false" customHeight="false" outlineLevel="0" collapsed="false">
      <c r="B1664" s="7" t="s">
        <v>16309</v>
      </c>
      <c r="C1664" s="7" t="s">
        <v>2161</v>
      </c>
      <c r="D1664" s="7" t="s">
        <v>337</v>
      </c>
      <c r="E1664" s="7" t="s">
        <v>154</v>
      </c>
      <c r="F1664" s="39" t="n">
        <v>45743</v>
      </c>
      <c r="G1664" s="41" t="n">
        <v>72.61</v>
      </c>
      <c r="H1664" s="39" t="n">
        <v>45784</v>
      </c>
      <c r="I1664" s="7" t="s">
        <v>14651</v>
      </c>
      <c r="J1664" s="8" t="str">
        <f aca="false">IF(I1664="Open",DATE(2025,12,31)-F1664,"-")</f>
        <v>-</v>
      </c>
    </row>
    <row r="1665" customFormat="false" ht="15" hidden="false" customHeight="false" outlineLevel="0" collapsed="false">
      <c r="B1665" s="7" t="s">
        <v>16310</v>
      </c>
      <c r="C1665" s="7" t="s">
        <v>2162</v>
      </c>
      <c r="D1665" s="7" t="s">
        <v>341</v>
      </c>
      <c r="E1665" s="7" t="s">
        <v>156</v>
      </c>
      <c r="F1665" s="39" t="n">
        <v>45743</v>
      </c>
      <c r="G1665" s="41" t="n">
        <v>105.74</v>
      </c>
      <c r="H1665" s="39" t="n">
        <v>45754</v>
      </c>
      <c r="I1665" s="7" t="s">
        <v>14651</v>
      </c>
      <c r="J1665" s="8" t="str">
        <f aca="false">IF(I1665="Open",DATE(2025,12,31)-F1665,"-")</f>
        <v>-</v>
      </c>
    </row>
    <row r="1666" customFormat="false" ht="15" hidden="false" customHeight="false" outlineLevel="0" collapsed="false">
      <c r="B1666" s="7" t="s">
        <v>16311</v>
      </c>
      <c r="C1666" s="7" t="s">
        <v>2163</v>
      </c>
      <c r="D1666" s="7" t="s">
        <v>343</v>
      </c>
      <c r="E1666" s="7" t="s">
        <v>154</v>
      </c>
      <c r="F1666" s="39" t="n">
        <v>45743</v>
      </c>
      <c r="G1666" s="41" t="n">
        <v>106.8</v>
      </c>
      <c r="H1666" s="39" t="n">
        <v>45792</v>
      </c>
      <c r="I1666" s="7" t="s">
        <v>14651</v>
      </c>
      <c r="J1666" s="8" t="str">
        <f aca="false">IF(I1666="Open",DATE(2025,12,31)-F1666,"-")</f>
        <v>-</v>
      </c>
    </row>
    <row r="1667" customFormat="false" ht="15" hidden="false" customHeight="false" outlineLevel="0" collapsed="false">
      <c r="B1667" s="7" t="s">
        <v>16312</v>
      </c>
      <c r="C1667" s="7" t="s">
        <v>2164</v>
      </c>
      <c r="D1667" s="7" t="s">
        <v>359</v>
      </c>
      <c r="E1667" s="7" t="s">
        <v>156</v>
      </c>
      <c r="F1667" s="39" t="n">
        <v>45743</v>
      </c>
      <c r="G1667" s="41" t="n">
        <v>130.56</v>
      </c>
      <c r="H1667" s="39" t="n">
        <v>45746</v>
      </c>
      <c r="I1667" s="7" t="s">
        <v>14651</v>
      </c>
      <c r="J1667" s="8" t="str">
        <f aca="false">IF(I1667="Open",DATE(2025,12,31)-F1667,"-")</f>
        <v>-</v>
      </c>
    </row>
    <row r="1668" customFormat="false" ht="15" hidden="false" customHeight="false" outlineLevel="0" collapsed="false">
      <c r="B1668" s="7" t="s">
        <v>16313</v>
      </c>
      <c r="C1668" s="7" t="s">
        <v>2165</v>
      </c>
      <c r="D1668" s="7" t="s">
        <v>363</v>
      </c>
      <c r="E1668" s="7" t="s">
        <v>156</v>
      </c>
      <c r="F1668" s="39" t="n">
        <v>45743</v>
      </c>
      <c r="G1668" s="41" t="n">
        <v>140.08</v>
      </c>
      <c r="H1668" s="39" t="n">
        <v>45752</v>
      </c>
      <c r="I1668" s="7" t="s">
        <v>14651</v>
      </c>
      <c r="J1668" s="8" t="str">
        <f aca="false">IF(I1668="Open",DATE(2025,12,31)-F1668,"-")</f>
        <v>-</v>
      </c>
    </row>
    <row r="1669" customFormat="false" ht="15" hidden="false" customHeight="false" outlineLevel="0" collapsed="false">
      <c r="B1669" s="7" t="s">
        <v>16314</v>
      </c>
      <c r="C1669" s="7" t="s">
        <v>2166</v>
      </c>
      <c r="D1669" s="7" t="s">
        <v>375</v>
      </c>
      <c r="E1669" s="7" t="s">
        <v>156</v>
      </c>
      <c r="F1669" s="39" t="n">
        <v>45743</v>
      </c>
      <c r="G1669" s="41" t="n">
        <v>98.6</v>
      </c>
      <c r="H1669" s="39" t="n">
        <v>45751</v>
      </c>
      <c r="I1669" s="7" t="s">
        <v>14651</v>
      </c>
      <c r="J1669" s="8" t="str">
        <f aca="false">IF(I1669="Open",DATE(2025,12,31)-F1669,"-")</f>
        <v>-</v>
      </c>
    </row>
    <row r="1670" customFormat="false" ht="15" hidden="false" customHeight="false" outlineLevel="0" collapsed="false">
      <c r="B1670" s="7" t="s">
        <v>16315</v>
      </c>
      <c r="C1670" s="7" t="s">
        <v>2167</v>
      </c>
      <c r="D1670" s="7" t="s">
        <v>377</v>
      </c>
      <c r="E1670" s="7" t="s">
        <v>154</v>
      </c>
      <c r="F1670" s="39" t="n">
        <v>45743</v>
      </c>
      <c r="G1670" s="41" t="n">
        <v>101.5</v>
      </c>
      <c r="H1670" s="39" t="n">
        <v>45786</v>
      </c>
      <c r="I1670" s="7" t="s">
        <v>14651</v>
      </c>
      <c r="J1670" s="8" t="str">
        <f aca="false">IF(I1670="Open",DATE(2025,12,31)-F1670,"-")</f>
        <v>-</v>
      </c>
    </row>
    <row r="1671" customFormat="false" ht="15" hidden="false" customHeight="false" outlineLevel="0" collapsed="false">
      <c r="B1671" s="7" t="s">
        <v>16316</v>
      </c>
      <c r="C1671" s="7" t="s">
        <v>2168</v>
      </c>
      <c r="D1671" s="7" t="s">
        <v>389</v>
      </c>
      <c r="E1671" s="7" t="s">
        <v>154</v>
      </c>
      <c r="F1671" s="39" t="n">
        <v>45743</v>
      </c>
      <c r="G1671" s="41" t="n">
        <v>115.81</v>
      </c>
      <c r="H1671" s="39" t="n">
        <v>45829</v>
      </c>
      <c r="I1671" s="7" t="s">
        <v>14651</v>
      </c>
      <c r="J1671" s="8" t="str">
        <f aca="false">IF(I1671="Open",DATE(2025,12,31)-F1671,"-")</f>
        <v>-</v>
      </c>
    </row>
    <row r="1672" customFormat="false" ht="15" hidden="false" customHeight="false" outlineLevel="0" collapsed="false">
      <c r="B1672" s="7" t="s">
        <v>16317</v>
      </c>
      <c r="C1672" s="7" t="s">
        <v>2169</v>
      </c>
      <c r="D1672" s="7" t="s">
        <v>391</v>
      </c>
      <c r="E1672" s="7" t="s">
        <v>156</v>
      </c>
      <c r="F1672" s="39" t="n">
        <v>45743</v>
      </c>
      <c r="G1672" s="41" t="n">
        <v>132.94</v>
      </c>
      <c r="H1672" s="39" t="n">
        <v>45757</v>
      </c>
      <c r="I1672" s="7" t="s">
        <v>14651</v>
      </c>
      <c r="J1672" s="8" t="str">
        <f aca="false">IF(I1672="Open",DATE(2025,12,31)-F1672,"-")</f>
        <v>-</v>
      </c>
    </row>
    <row r="1673" customFormat="false" ht="15" hidden="false" customHeight="false" outlineLevel="0" collapsed="false">
      <c r="B1673" s="7" t="s">
        <v>16318</v>
      </c>
      <c r="C1673" s="7" t="s">
        <v>2170</v>
      </c>
      <c r="D1673" s="7" t="s">
        <v>395</v>
      </c>
      <c r="E1673" s="7" t="s">
        <v>156</v>
      </c>
      <c r="F1673" s="39" t="n">
        <v>45743</v>
      </c>
      <c r="G1673" s="41" t="n">
        <v>135.66</v>
      </c>
      <c r="H1673" s="39" t="n">
        <v>45753</v>
      </c>
      <c r="I1673" s="7" t="s">
        <v>14651</v>
      </c>
      <c r="J1673" s="8" t="str">
        <f aca="false">IF(I1673="Open",DATE(2025,12,31)-F1673,"-")</f>
        <v>-</v>
      </c>
    </row>
    <row r="1674" customFormat="false" ht="15" hidden="false" customHeight="false" outlineLevel="0" collapsed="false">
      <c r="B1674" s="7" t="s">
        <v>16319</v>
      </c>
      <c r="C1674" s="7" t="s">
        <v>2171</v>
      </c>
      <c r="D1674" s="7" t="s">
        <v>401</v>
      </c>
      <c r="E1674" s="7" t="s">
        <v>156</v>
      </c>
      <c r="F1674" s="39" t="n">
        <v>45743</v>
      </c>
      <c r="G1674" s="41" t="n">
        <v>127.5</v>
      </c>
      <c r="H1674" s="39" t="n">
        <v>45757</v>
      </c>
      <c r="I1674" s="7" t="s">
        <v>14651</v>
      </c>
      <c r="J1674" s="8" t="str">
        <f aca="false">IF(I1674="Open",DATE(2025,12,31)-F1674,"-")</f>
        <v>-</v>
      </c>
    </row>
    <row r="1675" customFormat="false" ht="15" hidden="false" customHeight="false" outlineLevel="0" collapsed="false">
      <c r="B1675" s="7" t="s">
        <v>16320</v>
      </c>
      <c r="C1675" s="7" t="s">
        <v>2172</v>
      </c>
      <c r="D1675" s="7" t="s">
        <v>280</v>
      </c>
      <c r="E1675" s="7" t="s">
        <v>157</v>
      </c>
      <c r="F1675" s="39" t="n">
        <v>45744</v>
      </c>
      <c r="G1675" s="41" t="n">
        <v>181.5</v>
      </c>
      <c r="H1675" s="39" t="n">
        <v>45786</v>
      </c>
      <c r="I1675" s="7" t="s">
        <v>14651</v>
      </c>
      <c r="J1675" s="8" t="str">
        <f aca="false">IF(I1675="Open",DATE(2025,12,31)-F1675,"-")</f>
        <v>-</v>
      </c>
    </row>
    <row r="1676" customFormat="false" ht="15" hidden="false" customHeight="false" outlineLevel="0" collapsed="false">
      <c r="B1676" s="7" t="s">
        <v>16321</v>
      </c>
      <c r="C1676" s="7" t="s">
        <v>2173</v>
      </c>
      <c r="D1676" s="7" t="s">
        <v>288</v>
      </c>
      <c r="E1676" s="7" t="s">
        <v>156</v>
      </c>
      <c r="F1676" s="39" t="n">
        <v>45744</v>
      </c>
      <c r="G1676" s="41" t="n">
        <v>143.82</v>
      </c>
      <c r="H1676" s="39" t="n">
        <v>45747</v>
      </c>
      <c r="I1676" s="7" t="s">
        <v>14651</v>
      </c>
      <c r="J1676" s="8" t="str">
        <f aca="false">IF(I1676="Open",DATE(2025,12,31)-F1676,"-")</f>
        <v>-</v>
      </c>
    </row>
    <row r="1677" customFormat="false" ht="15" hidden="false" customHeight="false" outlineLevel="0" collapsed="false">
      <c r="B1677" s="7" t="s">
        <v>16322</v>
      </c>
      <c r="C1677" s="7" t="s">
        <v>2174</v>
      </c>
      <c r="D1677" s="7" t="s">
        <v>291</v>
      </c>
      <c r="E1677" s="7" t="s">
        <v>154</v>
      </c>
      <c r="F1677" s="39" t="n">
        <v>45744</v>
      </c>
      <c r="G1677" s="41" t="n">
        <v>135.15</v>
      </c>
      <c r="H1677" s="39" t="n">
        <v>45802</v>
      </c>
      <c r="I1677" s="7" t="s">
        <v>14651</v>
      </c>
      <c r="J1677" s="8" t="str">
        <f aca="false">IF(I1677="Open",DATE(2025,12,31)-F1677,"-")</f>
        <v>-</v>
      </c>
    </row>
    <row r="1678" customFormat="false" ht="15" hidden="false" customHeight="false" outlineLevel="0" collapsed="false">
      <c r="B1678" s="7" t="s">
        <v>16323</v>
      </c>
      <c r="C1678" s="7" t="s">
        <v>2175</v>
      </c>
      <c r="D1678" s="7" t="s">
        <v>301</v>
      </c>
      <c r="E1678" s="7" t="s">
        <v>157</v>
      </c>
      <c r="F1678" s="39" t="n">
        <v>45744</v>
      </c>
      <c r="G1678" s="41" t="n">
        <v>148.5</v>
      </c>
      <c r="H1678" s="39" t="n">
        <v>45838</v>
      </c>
      <c r="I1678" s="7" t="s">
        <v>14651</v>
      </c>
      <c r="J1678" s="8" t="str">
        <f aca="false">IF(I1678="Open",DATE(2025,12,31)-F1678,"-")</f>
        <v>-</v>
      </c>
    </row>
    <row r="1679" customFormat="false" ht="15" hidden="false" customHeight="false" outlineLevel="0" collapsed="false">
      <c r="B1679" s="7" t="s">
        <v>16324</v>
      </c>
      <c r="C1679" s="7" t="s">
        <v>2176</v>
      </c>
      <c r="D1679" s="7" t="s">
        <v>305</v>
      </c>
      <c r="E1679" s="7" t="s">
        <v>154</v>
      </c>
      <c r="F1679" s="39" t="n">
        <v>45744</v>
      </c>
      <c r="G1679" s="41" t="n">
        <v>110.77</v>
      </c>
      <c r="H1679" s="39" t="n">
        <v>45835</v>
      </c>
      <c r="I1679" s="7" t="s">
        <v>14651</v>
      </c>
      <c r="J1679" s="8" t="str">
        <f aca="false">IF(I1679="Open",DATE(2025,12,31)-F1679,"-")</f>
        <v>-</v>
      </c>
    </row>
    <row r="1680" customFormat="false" ht="15" hidden="false" customHeight="false" outlineLevel="0" collapsed="false">
      <c r="B1680" s="7" t="s">
        <v>16325</v>
      </c>
      <c r="C1680" s="7" t="s">
        <v>2177</v>
      </c>
      <c r="D1680" s="7" t="s">
        <v>307</v>
      </c>
      <c r="E1680" s="7" t="s">
        <v>157</v>
      </c>
      <c r="F1680" s="39" t="n">
        <v>45744</v>
      </c>
      <c r="G1680" s="41" t="n">
        <v>169.95</v>
      </c>
      <c r="H1680" s="39" t="n">
        <v>45782</v>
      </c>
      <c r="I1680" s="7" t="s">
        <v>14651</v>
      </c>
      <c r="J1680" s="8" t="str">
        <f aca="false">IF(I1680="Open",DATE(2025,12,31)-F1680,"-")</f>
        <v>-</v>
      </c>
    </row>
    <row r="1681" customFormat="false" ht="15" hidden="false" customHeight="false" outlineLevel="0" collapsed="false">
      <c r="B1681" s="7" t="s">
        <v>16326</v>
      </c>
      <c r="C1681" s="7" t="s">
        <v>2178</v>
      </c>
      <c r="D1681" s="7" t="s">
        <v>309</v>
      </c>
      <c r="E1681" s="7" t="s">
        <v>159</v>
      </c>
      <c r="F1681" s="39" t="n">
        <v>45744</v>
      </c>
      <c r="G1681" s="41" t="n">
        <v>144.45</v>
      </c>
      <c r="H1681" s="39" t="n">
        <v>45846</v>
      </c>
      <c r="I1681" s="7" t="s">
        <v>14651</v>
      </c>
      <c r="J1681" s="8" t="str">
        <f aca="false">IF(I1681="Open",DATE(2025,12,31)-F1681,"-")</f>
        <v>-</v>
      </c>
    </row>
    <row r="1682" customFormat="false" ht="15" hidden="false" customHeight="false" outlineLevel="0" collapsed="false">
      <c r="B1682" s="7" t="s">
        <v>16327</v>
      </c>
      <c r="C1682" s="7" t="s">
        <v>2179</v>
      </c>
      <c r="D1682" s="7" t="s">
        <v>313</v>
      </c>
      <c r="E1682" s="7" t="s">
        <v>156</v>
      </c>
      <c r="F1682" s="39" t="n">
        <v>45744</v>
      </c>
      <c r="G1682" s="41" t="n">
        <v>128.86</v>
      </c>
      <c r="H1682" s="39" t="n">
        <v>45762</v>
      </c>
      <c r="I1682" s="7" t="s">
        <v>14651</v>
      </c>
      <c r="J1682" s="8" t="str">
        <f aca="false">IF(I1682="Open",DATE(2025,12,31)-F1682,"-")</f>
        <v>-</v>
      </c>
    </row>
    <row r="1683" customFormat="false" ht="15" hidden="false" customHeight="false" outlineLevel="0" collapsed="false">
      <c r="B1683" s="7" t="s">
        <v>16328</v>
      </c>
      <c r="C1683" s="7" t="s">
        <v>2180</v>
      </c>
      <c r="D1683" s="7" t="s">
        <v>321</v>
      </c>
      <c r="E1683" s="7" t="s">
        <v>154</v>
      </c>
      <c r="F1683" s="39" t="n">
        <v>45744</v>
      </c>
      <c r="G1683" s="41" t="n">
        <v>93.57</v>
      </c>
      <c r="H1683" s="39" t="n">
        <v>45816</v>
      </c>
      <c r="I1683" s="7" t="s">
        <v>14651</v>
      </c>
      <c r="J1683" s="8" t="str">
        <f aca="false">IF(I1683="Open",DATE(2025,12,31)-F1683,"-")</f>
        <v>-</v>
      </c>
    </row>
    <row r="1684" customFormat="false" ht="15" hidden="false" customHeight="false" outlineLevel="0" collapsed="false">
      <c r="B1684" s="7" t="s">
        <v>16329</v>
      </c>
      <c r="C1684" s="7" t="s">
        <v>2181</v>
      </c>
      <c r="D1684" s="7" t="s">
        <v>323</v>
      </c>
      <c r="E1684" s="7" t="s">
        <v>159</v>
      </c>
      <c r="F1684" s="39" t="n">
        <v>45744</v>
      </c>
      <c r="G1684" s="41" t="n">
        <v>125.55</v>
      </c>
      <c r="H1684" s="39" t="n">
        <v>45782</v>
      </c>
      <c r="I1684" s="7" t="s">
        <v>14651</v>
      </c>
      <c r="J1684" s="8" t="str">
        <f aca="false">IF(I1684="Open",DATE(2025,12,31)-F1684,"-")</f>
        <v>-</v>
      </c>
    </row>
    <row r="1685" customFormat="false" ht="15" hidden="false" customHeight="false" outlineLevel="0" collapsed="false">
      <c r="B1685" s="7" t="s">
        <v>16330</v>
      </c>
      <c r="C1685" s="7" t="s">
        <v>2182</v>
      </c>
      <c r="D1685" s="7" t="s">
        <v>327</v>
      </c>
      <c r="E1685" s="7" t="s">
        <v>157</v>
      </c>
      <c r="F1685" s="39" t="n">
        <v>45744</v>
      </c>
      <c r="G1685" s="41" t="n">
        <v>174.9</v>
      </c>
      <c r="H1685" s="39" t="n">
        <v>45791</v>
      </c>
      <c r="I1685" s="7" t="s">
        <v>14651</v>
      </c>
      <c r="J1685" s="8" t="str">
        <f aca="false">IF(I1685="Open",DATE(2025,12,31)-F1685,"-")</f>
        <v>-</v>
      </c>
    </row>
    <row r="1686" customFormat="false" ht="15" hidden="false" customHeight="false" outlineLevel="0" collapsed="false">
      <c r="B1686" s="7" t="s">
        <v>16331</v>
      </c>
      <c r="C1686" s="7" t="s">
        <v>2183</v>
      </c>
      <c r="D1686" s="7" t="s">
        <v>329</v>
      </c>
      <c r="E1686" s="7" t="s">
        <v>156</v>
      </c>
      <c r="F1686" s="39" t="n">
        <v>45744</v>
      </c>
      <c r="G1686" s="41" t="n">
        <v>138.38</v>
      </c>
      <c r="H1686" s="39" t="n">
        <v>45752</v>
      </c>
      <c r="I1686" s="7" t="s">
        <v>14651</v>
      </c>
      <c r="J1686" s="8" t="str">
        <f aca="false">IF(I1686="Open",DATE(2025,12,31)-F1686,"-")</f>
        <v>-</v>
      </c>
    </row>
    <row r="1687" customFormat="false" ht="15" hidden="false" customHeight="false" outlineLevel="0" collapsed="false">
      <c r="B1687" s="7" t="s">
        <v>16332</v>
      </c>
      <c r="C1687" s="7" t="s">
        <v>2184</v>
      </c>
      <c r="D1687" s="7" t="s">
        <v>335</v>
      </c>
      <c r="E1687" s="7" t="s">
        <v>154</v>
      </c>
      <c r="F1687" s="39" t="n">
        <v>45744</v>
      </c>
      <c r="G1687" s="41" t="n">
        <v>106</v>
      </c>
      <c r="H1687" s="39" t="n">
        <v>45835</v>
      </c>
      <c r="I1687" s="7" t="s">
        <v>14651</v>
      </c>
      <c r="J1687" s="8" t="str">
        <f aca="false">IF(I1687="Open",DATE(2025,12,31)-F1687,"-")</f>
        <v>-</v>
      </c>
    </row>
    <row r="1688" customFormat="false" ht="15" hidden="false" customHeight="false" outlineLevel="0" collapsed="false">
      <c r="B1688" s="7" t="s">
        <v>16333</v>
      </c>
      <c r="C1688" s="7" t="s">
        <v>2185</v>
      </c>
      <c r="D1688" s="7" t="s">
        <v>339</v>
      </c>
      <c r="E1688" s="7" t="s">
        <v>154</v>
      </c>
      <c r="F1688" s="39" t="n">
        <v>45744</v>
      </c>
      <c r="G1688" s="41" t="n">
        <v>93.81</v>
      </c>
      <c r="H1688" s="39" t="n">
        <v>45806</v>
      </c>
      <c r="I1688" s="7" t="s">
        <v>14651</v>
      </c>
      <c r="J1688" s="8" t="str">
        <f aca="false">IF(I1688="Open",DATE(2025,12,31)-F1688,"-")</f>
        <v>-</v>
      </c>
    </row>
    <row r="1689" customFormat="false" ht="15" hidden="false" customHeight="false" outlineLevel="0" collapsed="false">
      <c r="B1689" s="7" t="s">
        <v>16334</v>
      </c>
      <c r="C1689" s="7" t="s">
        <v>2186</v>
      </c>
      <c r="D1689" s="7" t="s">
        <v>353</v>
      </c>
      <c r="E1689" s="7" t="s">
        <v>154</v>
      </c>
      <c r="F1689" s="39" t="n">
        <v>45744</v>
      </c>
      <c r="G1689" s="41" t="n">
        <v>96.72</v>
      </c>
      <c r="H1689" s="39" t="n">
        <v>45843</v>
      </c>
      <c r="I1689" s="7" t="s">
        <v>14651</v>
      </c>
      <c r="J1689" s="8" t="str">
        <f aca="false">IF(I1689="Open",DATE(2025,12,31)-F1689,"-")</f>
        <v>-</v>
      </c>
    </row>
    <row r="1690" customFormat="false" ht="15" hidden="false" customHeight="false" outlineLevel="0" collapsed="false">
      <c r="B1690" s="7" t="s">
        <v>16335</v>
      </c>
      <c r="C1690" s="7" t="s">
        <v>2187</v>
      </c>
      <c r="D1690" s="7" t="s">
        <v>355</v>
      </c>
      <c r="E1690" s="7" t="s">
        <v>154</v>
      </c>
      <c r="F1690" s="39" t="n">
        <v>45744</v>
      </c>
      <c r="G1690" s="41" t="n">
        <v>93.81</v>
      </c>
      <c r="H1690" s="39" t="n">
        <v>45787</v>
      </c>
      <c r="I1690" s="7" t="s">
        <v>14651</v>
      </c>
      <c r="J1690" s="8" t="str">
        <f aca="false">IF(I1690="Open",DATE(2025,12,31)-F1690,"-")</f>
        <v>-</v>
      </c>
    </row>
    <row r="1691" customFormat="false" ht="15" hidden="false" customHeight="false" outlineLevel="0" collapsed="false">
      <c r="B1691" s="7" t="s">
        <v>16336</v>
      </c>
      <c r="C1691" s="7" t="s">
        <v>2188</v>
      </c>
      <c r="D1691" s="7" t="s">
        <v>357</v>
      </c>
      <c r="E1691" s="7" t="s">
        <v>154</v>
      </c>
      <c r="F1691" s="39" t="n">
        <v>45744</v>
      </c>
      <c r="G1691" s="41" t="n">
        <v>94.34</v>
      </c>
      <c r="H1691" s="39" t="n">
        <v>45772</v>
      </c>
      <c r="I1691" s="7" t="s">
        <v>14651</v>
      </c>
      <c r="J1691" s="8" t="str">
        <f aca="false">IF(I1691="Open",DATE(2025,12,31)-F1691,"-")</f>
        <v>-</v>
      </c>
    </row>
    <row r="1692" customFormat="false" ht="15" hidden="false" customHeight="false" outlineLevel="0" collapsed="false">
      <c r="B1692" s="7" t="s">
        <v>16337</v>
      </c>
      <c r="C1692" s="7" t="s">
        <v>2189</v>
      </c>
      <c r="D1692" s="7" t="s">
        <v>359</v>
      </c>
      <c r="E1692" s="7" t="s">
        <v>156</v>
      </c>
      <c r="F1692" s="39" t="n">
        <v>45744</v>
      </c>
      <c r="G1692" s="41" t="n">
        <v>138.38</v>
      </c>
      <c r="H1692" s="39" t="n">
        <v>45753</v>
      </c>
      <c r="I1692" s="7" t="s">
        <v>14651</v>
      </c>
      <c r="J1692" s="8" t="str">
        <f aca="false">IF(I1692="Open",DATE(2025,12,31)-F1692,"-")</f>
        <v>-</v>
      </c>
    </row>
    <row r="1693" customFormat="false" ht="15" hidden="false" customHeight="false" outlineLevel="0" collapsed="false">
      <c r="B1693" s="7" t="s">
        <v>16338</v>
      </c>
      <c r="C1693" s="7" t="s">
        <v>2190</v>
      </c>
      <c r="D1693" s="7" t="s">
        <v>361</v>
      </c>
      <c r="E1693" s="7" t="s">
        <v>157</v>
      </c>
      <c r="F1693" s="39" t="n">
        <v>45744</v>
      </c>
      <c r="G1693" s="41" t="n">
        <v>153.45</v>
      </c>
      <c r="H1693" s="39" t="n">
        <v>45774</v>
      </c>
      <c r="I1693" s="7" t="s">
        <v>14651</v>
      </c>
      <c r="J1693" s="8" t="str">
        <f aca="false">IF(I1693="Open",DATE(2025,12,31)-F1693,"-")</f>
        <v>-</v>
      </c>
    </row>
    <row r="1694" customFormat="false" ht="15" hidden="false" customHeight="false" outlineLevel="0" collapsed="false">
      <c r="B1694" s="7" t="s">
        <v>16339</v>
      </c>
      <c r="C1694" s="7" t="s">
        <v>2191</v>
      </c>
      <c r="D1694" s="7" t="s">
        <v>371</v>
      </c>
      <c r="E1694" s="7" t="s">
        <v>154</v>
      </c>
      <c r="F1694" s="39" t="n">
        <v>45744</v>
      </c>
      <c r="G1694" s="41" t="n">
        <v>125.08</v>
      </c>
      <c r="H1694" s="39" t="n">
        <v>45788</v>
      </c>
      <c r="I1694" s="7" t="s">
        <v>14651</v>
      </c>
      <c r="J1694" s="8" t="str">
        <f aca="false">IF(I1694="Open",DATE(2025,12,31)-F1694,"-")</f>
        <v>-</v>
      </c>
    </row>
    <row r="1695" customFormat="false" ht="15" hidden="false" customHeight="false" outlineLevel="0" collapsed="false">
      <c r="B1695" s="7" t="s">
        <v>16340</v>
      </c>
      <c r="C1695" s="7" t="s">
        <v>2192</v>
      </c>
      <c r="D1695" s="7" t="s">
        <v>379</v>
      </c>
      <c r="E1695" s="7" t="s">
        <v>156</v>
      </c>
      <c r="F1695" s="39" t="n">
        <v>45744</v>
      </c>
      <c r="G1695" s="41" t="n">
        <v>144.16</v>
      </c>
      <c r="H1695" s="39" t="n">
        <v>45766</v>
      </c>
      <c r="I1695" s="7" t="s">
        <v>14651</v>
      </c>
      <c r="J1695" s="8" t="str">
        <f aca="false">IF(I1695="Open",DATE(2025,12,31)-F1695,"-")</f>
        <v>-</v>
      </c>
    </row>
    <row r="1696" customFormat="false" ht="15" hidden="false" customHeight="false" outlineLevel="0" collapsed="false">
      <c r="B1696" s="7" t="s">
        <v>16341</v>
      </c>
      <c r="C1696" s="7" t="s">
        <v>2193</v>
      </c>
      <c r="D1696" s="7" t="s">
        <v>381</v>
      </c>
      <c r="E1696" s="7" t="s">
        <v>157</v>
      </c>
      <c r="F1696" s="39" t="n">
        <v>45744</v>
      </c>
      <c r="G1696" s="41" t="n">
        <v>159.88</v>
      </c>
      <c r="H1696" s="39" t="n">
        <v>45779</v>
      </c>
      <c r="I1696" s="7" t="s">
        <v>14651</v>
      </c>
      <c r="J1696" s="8" t="str">
        <f aca="false">IF(I1696="Open",DATE(2025,12,31)-F1696,"-")</f>
        <v>-</v>
      </c>
    </row>
    <row r="1697" customFormat="false" ht="15" hidden="false" customHeight="false" outlineLevel="0" collapsed="false">
      <c r="B1697" s="7" t="s">
        <v>16342</v>
      </c>
      <c r="C1697" s="7" t="s">
        <v>2194</v>
      </c>
      <c r="D1697" s="7" t="s">
        <v>391</v>
      </c>
      <c r="E1697" s="7" t="s">
        <v>156</v>
      </c>
      <c r="F1697" s="39" t="n">
        <v>45744</v>
      </c>
      <c r="G1697" s="41" t="n">
        <v>147.56</v>
      </c>
      <c r="H1697" s="39" t="n">
        <v>45756</v>
      </c>
      <c r="I1697" s="7" t="s">
        <v>14651</v>
      </c>
      <c r="J1697" s="8" t="str">
        <f aca="false">IF(I1697="Open",DATE(2025,12,31)-F1697,"-")</f>
        <v>-</v>
      </c>
    </row>
    <row r="1698" customFormat="false" ht="15" hidden="false" customHeight="false" outlineLevel="0" collapsed="false">
      <c r="B1698" s="7" t="s">
        <v>16343</v>
      </c>
      <c r="C1698" s="7" t="s">
        <v>2195</v>
      </c>
      <c r="D1698" s="7" t="s">
        <v>395</v>
      </c>
      <c r="E1698" s="7" t="s">
        <v>156</v>
      </c>
      <c r="F1698" s="39" t="n">
        <v>45744</v>
      </c>
      <c r="G1698" s="41" t="n">
        <v>130.22</v>
      </c>
      <c r="H1698" s="39" t="n">
        <v>45761</v>
      </c>
      <c r="I1698" s="7" t="s">
        <v>14651</v>
      </c>
      <c r="J1698" s="8" t="str">
        <f aca="false">IF(I1698="Open",DATE(2025,12,31)-F1698,"-")</f>
        <v>-</v>
      </c>
    </row>
    <row r="1699" customFormat="false" ht="15" hidden="false" customHeight="false" outlineLevel="0" collapsed="false">
      <c r="B1699" s="7" t="s">
        <v>16344</v>
      </c>
      <c r="C1699" s="7" t="s">
        <v>2196</v>
      </c>
      <c r="D1699" s="7" t="s">
        <v>397</v>
      </c>
      <c r="E1699" s="7" t="s">
        <v>159</v>
      </c>
      <c r="F1699" s="39" t="n">
        <v>45744</v>
      </c>
      <c r="G1699" s="41" t="n">
        <v>125.55</v>
      </c>
      <c r="H1699" s="39" t="n">
        <v>45790</v>
      </c>
      <c r="I1699" s="7" t="s">
        <v>14651</v>
      </c>
      <c r="J1699" s="8" t="str">
        <f aca="false">IF(I1699="Open",DATE(2025,12,31)-F1699,"-")</f>
        <v>-</v>
      </c>
    </row>
    <row r="1700" customFormat="false" ht="15" hidden="false" customHeight="false" outlineLevel="0" collapsed="false">
      <c r="B1700" s="7" t="s">
        <v>16345</v>
      </c>
      <c r="C1700" s="7" t="s">
        <v>2197</v>
      </c>
      <c r="D1700" s="7" t="s">
        <v>399</v>
      </c>
      <c r="E1700" s="7" t="s">
        <v>154</v>
      </c>
      <c r="F1700" s="39" t="n">
        <v>45744</v>
      </c>
      <c r="G1700" s="41" t="n">
        <v>84.27</v>
      </c>
      <c r="H1700" s="39" t="n">
        <v>45782</v>
      </c>
      <c r="I1700" s="7" t="s">
        <v>14651</v>
      </c>
      <c r="J1700" s="8" t="str">
        <f aca="false">IF(I1700="Open",DATE(2025,12,31)-F1700,"-")</f>
        <v>-</v>
      </c>
    </row>
    <row r="1701" customFormat="false" ht="15" hidden="false" customHeight="false" outlineLevel="0" collapsed="false">
      <c r="B1701" s="7" t="s">
        <v>16346</v>
      </c>
      <c r="C1701" s="7" t="s">
        <v>2198</v>
      </c>
      <c r="D1701" s="7" t="s">
        <v>401</v>
      </c>
      <c r="E1701" s="7" t="s">
        <v>156</v>
      </c>
      <c r="F1701" s="39" t="n">
        <v>45744</v>
      </c>
      <c r="G1701" s="41" t="n">
        <v>127.16</v>
      </c>
      <c r="H1701" s="39" t="n">
        <v>45756</v>
      </c>
      <c r="I1701" s="7" t="s">
        <v>14651</v>
      </c>
      <c r="J1701" s="8" t="str">
        <f aca="false">IF(I1701="Open",DATE(2025,12,31)-F1701,"-")</f>
        <v>-</v>
      </c>
    </row>
    <row r="1702" customFormat="false" ht="15" hidden="false" customHeight="false" outlineLevel="0" collapsed="false">
      <c r="B1702" s="7" t="s">
        <v>16347</v>
      </c>
      <c r="C1702" s="7" t="s">
        <v>2199</v>
      </c>
      <c r="D1702" s="7" t="s">
        <v>407</v>
      </c>
      <c r="E1702" s="7" t="s">
        <v>159</v>
      </c>
      <c r="F1702" s="39" t="n">
        <v>45744</v>
      </c>
      <c r="G1702" s="41" t="n">
        <v>130.54</v>
      </c>
      <c r="H1702" s="39" t="n">
        <v>45778</v>
      </c>
      <c r="I1702" s="7" t="s">
        <v>14651</v>
      </c>
      <c r="J1702" s="8" t="str">
        <f aca="false">IF(I1702="Open",DATE(2025,12,31)-F1702,"-")</f>
        <v>-</v>
      </c>
    </row>
    <row r="1703" customFormat="false" ht="15" hidden="false" customHeight="false" outlineLevel="0" collapsed="false">
      <c r="B1703" s="7" t="s">
        <v>16348</v>
      </c>
      <c r="C1703" s="7" t="s">
        <v>2200</v>
      </c>
      <c r="D1703" s="7" t="s">
        <v>409</v>
      </c>
      <c r="E1703" s="7" t="s">
        <v>154</v>
      </c>
      <c r="F1703" s="39" t="n">
        <v>45744</v>
      </c>
      <c r="G1703" s="41" t="n">
        <v>94.07</v>
      </c>
      <c r="H1703" s="39" t="n">
        <v>45759</v>
      </c>
      <c r="I1703" s="7" t="s">
        <v>14651</v>
      </c>
      <c r="J1703" s="8" t="str">
        <f aca="false">IF(I1703="Open",DATE(2025,12,31)-F1703,"-")</f>
        <v>-</v>
      </c>
    </row>
    <row r="1704" customFormat="false" ht="15" hidden="false" customHeight="false" outlineLevel="0" collapsed="false">
      <c r="B1704" s="7" t="s">
        <v>16349</v>
      </c>
      <c r="C1704" s="7" t="s">
        <v>2201</v>
      </c>
      <c r="D1704" s="7" t="s">
        <v>411</v>
      </c>
      <c r="E1704" s="7" t="s">
        <v>154</v>
      </c>
      <c r="F1704" s="39" t="n">
        <v>45744</v>
      </c>
      <c r="G1704" s="41" t="n">
        <v>125.08</v>
      </c>
      <c r="H1704" s="39" t="n">
        <v>45820</v>
      </c>
      <c r="I1704" s="7" t="s">
        <v>14651</v>
      </c>
      <c r="J1704" s="8" t="str">
        <f aca="false">IF(I1704="Open",DATE(2025,12,31)-F1704,"-")</f>
        <v>-</v>
      </c>
    </row>
    <row r="1705" customFormat="false" ht="15" hidden="false" customHeight="false" outlineLevel="0" collapsed="false">
      <c r="B1705" s="7" t="s">
        <v>16350</v>
      </c>
      <c r="C1705" s="7" t="s">
        <v>2202</v>
      </c>
      <c r="D1705" s="7" t="s">
        <v>288</v>
      </c>
      <c r="E1705" s="7" t="s">
        <v>156</v>
      </c>
      <c r="F1705" s="39" t="n">
        <v>45745</v>
      </c>
      <c r="G1705" s="41" t="n">
        <v>148.92</v>
      </c>
      <c r="H1705" s="39" t="n">
        <v>45753</v>
      </c>
      <c r="I1705" s="7" t="s">
        <v>14651</v>
      </c>
      <c r="J1705" s="8" t="str">
        <f aca="false">IF(I1705="Open",DATE(2025,12,31)-F1705,"-")</f>
        <v>-</v>
      </c>
    </row>
    <row r="1706" customFormat="false" ht="15" hidden="false" customHeight="false" outlineLevel="0" collapsed="false">
      <c r="B1706" s="7" t="s">
        <v>16351</v>
      </c>
      <c r="C1706" s="7" t="s">
        <v>2203</v>
      </c>
      <c r="D1706" s="7" t="s">
        <v>321</v>
      </c>
      <c r="E1706" s="7" t="s">
        <v>154</v>
      </c>
      <c r="F1706" s="39" t="n">
        <v>45745</v>
      </c>
      <c r="G1706" s="41" t="n">
        <v>116.33</v>
      </c>
      <c r="H1706" s="39" t="n">
        <v>45808</v>
      </c>
      <c r="I1706" s="7" t="s">
        <v>14651</v>
      </c>
      <c r="J1706" s="8" t="str">
        <f aca="false">IF(I1706="Open",DATE(2025,12,31)-F1706,"-")</f>
        <v>-</v>
      </c>
    </row>
    <row r="1707" customFormat="false" ht="15" hidden="false" customHeight="false" outlineLevel="0" collapsed="false">
      <c r="B1707" s="7" t="s">
        <v>16352</v>
      </c>
      <c r="C1707" s="7" t="s">
        <v>2204</v>
      </c>
      <c r="D1707" s="7" t="s">
        <v>359</v>
      </c>
      <c r="E1707" s="7" t="s">
        <v>156</v>
      </c>
      <c r="F1707" s="39" t="n">
        <v>45745</v>
      </c>
      <c r="G1707" s="41" t="n">
        <v>139.4</v>
      </c>
      <c r="H1707" s="39" t="n">
        <v>45752</v>
      </c>
      <c r="I1707" s="7" t="s">
        <v>14651</v>
      </c>
      <c r="J1707" s="8" t="str">
        <f aca="false">IF(I1707="Open",DATE(2025,12,31)-F1707,"-")</f>
        <v>-</v>
      </c>
    </row>
    <row r="1708" customFormat="false" ht="15" hidden="false" customHeight="false" outlineLevel="0" collapsed="false">
      <c r="B1708" s="7" t="s">
        <v>16353</v>
      </c>
      <c r="C1708" s="7" t="s">
        <v>2205</v>
      </c>
      <c r="D1708" s="7" t="s">
        <v>391</v>
      </c>
      <c r="E1708" s="7" t="s">
        <v>156</v>
      </c>
      <c r="F1708" s="39" t="n">
        <v>45745</v>
      </c>
      <c r="G1708" s="41" t="n">
        <v>125.46</v>
      </c>
      <c r="H1708" s="39" t="n">
        <v>45755</v>
      </c>
      <c r="I1708" s="7" t="s">
        <v>14651</v>
      </c>
      <c r="J1708" s="8" t="str">
        <f aca="false">IF(I1708="Open",DATE(2025,12,31)-F1708,"-")</f>
        <v>-</v>
      </c>
    </row>
    <row r="1709" customFormat="false" ht="15" hidden="false" customHeight="false" outlineLevel="0" collapsed="false">
      <c r="B1709" s="7" t="s">
        <v>16354</v>
      </c>
      <c r="C1709" s="7" t="s">
        <v>2206</v>
      </c>
      <c r="D1709" s="7" t="s">
        <v>395</v>
      </c>
      <c r="E1709" s="7" t="s">
        <v>156</v>
      </c>
      <c r="F1709" s="39" t="n">
        <v>45745</v>
      </c>
      <c r="G1709" s="41" t="n">
        <v>147.22</v>
      </c>
      <c r="H1709" s="39" t="n">
        <v>45746</v>
      </c>
      <c r="I1709" s="7" t="s">
        <v>14651</v>
      </c>
      <c r="J1709" s="8" t="str">
        <f aca="false">IF(I1709="Open",DATE(2025,12,31)-F1709,"-")</f>
        <v>-</v>
      </c>
    </row>
    <row r="1710" customFormat="false" ht="15" hidden="false" customHeight="false" outlineLevel="0" collapsed="false">
      <c r="B1710" s="7" t="s">
        <v>16355</v>
      </c>
      <c r="C1710" s="7" t="s">
        <v>2207</v>
      </c>
      <c r="D1710" s="7" t="s">
        <v>401</v>
      </c>
      <c r="E1710" s="7" t="s">
        <v>156</v>
      </c>
      <c r="F1710" s="39" t="n">
        <v>45745</v>
      </c>
      <c r="G1710" s="41" t="n">
        <v>147.56</v>
      </c>
      <c r="H1710" s="39" t="n">
        <v>45746</v>
      </c>
      <c r="I1710" s="7" t="s">
        <v>14651</v>
      </c>
      <c r="J1710" s="8" t="str">
        <f aca="false">IF(I1710="Open",DATE(2025,12,31)-F1710,"-")</f>
        <v>-</v>
      </c>
    </row>
    <row r="1711" customFormat="false" ht="15" hidden="false" customHeight="false" outlineLevel="0" collapsed="false">
      <c r="B1711" s="7" t="s">
        <v>16356</v>
      </c>
      <c r="C1711" s="7" t="s">
        <v>2208</v>
      </c>
      <c r="D1711" s="7" t="s">
        <v>288</v>
      </c>
      <c r="E1711" s="7" t="s">
        <v>156</v>
      </c>
      <c r="F1711" s="39" t="n">
        <v>45746</v>
      </c>
      <c r="G1711" s="41" t="n">
        <v>128.18</v>
      </c>
      <c r="H1711" s="39" t="n">
        <v>45753</v>
      </c>
      <c r="I1711" s="7" t="s">
        <v>14651</v>
      </c>
      <c r="J1711" s="8" t="str">
        <f aca="false">IF(I1711="Open",DATE(2025,12,31)-F1711,"-")</f>
        <v>-</v>
      </c>
    </row>
    <row r="1712" customFormat="false" ht="15" hidden="false" customHeight="false" outlineLevel="0" collapsed="false">
      <c r="B1712" s="7" t="s">
        <v>16357</v>
      </c>
      <c r="C1712" s="7" t="s">
        <v>2209</v>
      </c>
      <c r="D1712" s="7" t="s">
        <v>321</v>
      </c>
      <c r="E1712" s="7" t="s">
        <v>154</v>
      </c>
      <c r="F1712" s="39" t="n">
        <v>45746</v>
      </c>
      <c r="G1712" s="41" t="n">
        <v>110.8</v>
      </c>
      <c r="H1712" s="39" t="n">
        <v>45783</v>
      </c>
      <c r="I1712" s="7" t="s">
        <v>14651</v>
      </c>
      <c r="J1712" s="8" t="str">
        <f aca="false">IF(I1712="Open",DATE(2025,12,31)-F1712,"-")</f>
        <v>-</v>
      </c>
    </row>
    <row r="1713" customFormat="false" ht="15" hidden="false" customHeight="false" outlineLevel="0" collapsed="false">
      <c r="B1713" s="7" t="s">
        <v>16358</v>
      </c>
      <c r="C1713" s="7" t="s">
        <v>2210</v>
      </c>
      <c r="D1713" s="7" t="s">
        <v>359</v>
      </c>
      <c r="E1713" s="7" t="s">
        <v>156</v>
      </c>
      <c r="F1713" s="39" t="n">
        <v>45746</v>
      </c>
      <c r="G1713" s="41" t="n">
        <v>123.76</v>
      </c>
      <c r="H1713" s="39" t="n">
        <v>45753</v>
      </c>
      <c r="I1713" s="7" t="s">
        <v>14651</v>
      </c>
      <c r="J1713" s="8" t="str">
        <f aca="false">IF(I1713="Open",DATE(2025,12,31)-F1713,"-")</f>
        <v>-</v>
      </c>
    </row>
    <row r="1714" customFormat="false" ht="15" hidden="false" customHeight="false" outlineLevel="0" collapsed="false">
      <c r="B1714" s="7" t="s">
        <v>16359</v>
      </c>
      <c r="C1714" s="7" t="s">
        <v>2211</v>
      </c>
      <c r="D1714" s="7" t="s">
        <v>391</v>
      </c>
      <c r="E1714" s="7" t="s">
        <v>156</v>
      </c>
      <c r="F1714" s="39" t="n">
        <v>45746</v>
      </c>
      <c r="G1714" s="41" t="n">
        <v>123.08</v>
      </c>
      <c r="H1714" s="39" t="n">
        <v>45757</v>
      </c>
      <c r="I1714" s="7" t="s">
        <v>14651</v>
      </c>
      <c r="J1714" s="8" t="str">
        <f aca="false">IF(I1714="Open",DATE(2025,12,31)-F1714,"-")</f>
        <v>-</v>
      </c>
    </row>
    <row r="1715" customFormat="false" ht="15" hidden="false" customHeight="false" outlineLevel="0" collapsed="false">
      <c r="B1715" s="7" t="s">
        <v>16360</v>
      </c>
      <c r="C1715" s="7" t="s">
        <v>2212</v>
      </c>
      <c r="D1715" s="7" t="s">
        <v>395</v>
      </c>
      <c r="E1715" s="7" t="s">
        <v>156</v>
      </c>
      <c r="F1715" s="39" t="n">
        <v>45746</v>
      </c>
      <c r="G1715" s="41" t="n">
        <v>128.86</v>
      </c>
      <c r="H1715" s="39" t="n">
        <v>45759</v>
      </c>
      <c r="I1715" s="7" t="s">
        <v>14651</v>
      </c>
      <c r="J1715" s="8" t="str">
        <f aca="false">IF(I1715="Open",DATE(2025,12,31)-F1715,"-")</f>
        <v>-</v>
      </c>
    </row>
    <row r="1716" customFormat="false" ht="15" hidden="false" customHeight="false" outlineLevel="0" collapsed="false">
      <c r="B1716" s="7" t="s">
        <v>16361</v>
      </c>
      <c r="C1716" s="7" t="s">
        <v>2213</v>
      </c>
      <c r="D1716" s="7" t="s">
        <v>401</v>
      </c>
      <c r="E1716" s="7" t="s">
        <v>156</v>
      </c>
      <c r="F1716" s="39" t="n">
        <v>45746</v>
      </c>
      <c r="G1716" s="41" t="n">
        <v>133.96</v>
      </c>
      <c r="H1716" s="39" t="n">
        <v>45758</v>
      </c>
      <c r="I1716" s="7" t="s">
        <v>14651</v>
      </c>
      <c r="J1716" s="8" t="str">
        <f aca="false">IF(I1716="Open",DATE(2025,12,31)-F1716,"-")</f>
        <v>-</v>
      </c>
    </row>
    <row r="1717" customFormat="false" ht="15" hidden="false" customHeight="false" outlineLevel="0" collapsed="false">
      <c r="B1717" s="7" t="s">
        <v>16362</v>
      </c>
      <c r="C1717" s="7" t="s">
        <v>2214</v>
      </c>
      <c r="D1717" s="7" t="s">
        <v>280</v>
      </c>
      <c r="E1717" s="7" t="s">
        <v>157</v>
      </c>
      <c r="F1717" s="39" t="n">
        <v>45747</v>
      </c>
      <c r="G1717" s="41" t="n">
        <v>156.75</v>
      </c>
      <c r="H1717" s="39" t="n">
        <v>45801</v>
      </c>
      <c r="I1717" s="7" t="s">
        <v>14651</v>
      </c>
      <c r="J1717" s="8" t="str">
        <f aca="false">IF(I1717="Open",DATE(2025,12,31)-F1717,"-")</f>
        <v>-</v>
      </c>
    </row>
    <row r="1718" customFormat="false" ht="15" hidden="false" customHeight="false" outlineLevel="0" collapsed="false">
      <c r="B1718" s="7" t="s">
        <v>16363</v>
      </c>
      <c r="C1718" s="7" t="s">
        <v>2215</v>
      </c>
      <c r="D1718" s="7" t="s">
        <v>288</v>
      </c>
      <c r="E1718" s="7" t="s">
        <v>156</v>
      </c>
      <c r="F1718" s="39" t="n">
        <v>45747</v>
      </c>
      <c r="G1718" s="41" t="n">
        <v>128.86</v>
      </c>
      <c r="H1718" s="39" t="n">
        <v>45758</v>
      </c>
      <c r="I1718" s="7" t="s">
        <v>14651</v>
      </c>
      <c r="J1718" s="8" t="str">
        <f aca="false">IF(I1718="Open",DATE(2025,12,31)-F1718,"-")</f>
        <v>-</v>
      </c>
    </row>
    <row r="1719" customFormat="false" ht="15" hidden="false" customHeight="false" outlineLevel="0" collapsed="false">
      <c r="B1719" s="7" t="s">
        <v>16364</v>
      </c>
      <c r="C1719" s="7" t="s">
        <v>2216</v>
      </c>
      <c r="D1719" s="7" t="s">
        <v>291</v>
      </c>
      <c r="E1719" s="7" t="s">
        <v>154</v>
      </c>
      <c r="F1719" s="39" t="n">
        <v>45747</v>
      </c>
      <c r="G1719" s="41" t="n">
        <v>133.3</v>
      </c>
      <c r="H1719" s="39" t="n">
        <v>45793</v>
      </c>
      <c r="I1719" s="7" t="s">
        <v>14651</v>
      </c>
      <c r="J1719" s="8" t="str">
        <f aca="false">IF(I1719="Open",DATE(2025,12,31)-F1719,"-")</f>
        <v>-</v>
      </c>
    </row>
    <row r="1720" customFormat="false" ht="15" hidden="false" customHeight="false" outlineLevel="0" collapsed="false">
      <c r="B1720" s="7" t="s">
        <v>16365</v>
      </c>
      <c r="C1720" s="7" t="s">
        <v>2217</v>
      </c>
      <c r="D1720" s="7" t="s">
        <v>297</v>
      </c>
      <c r="E1720" s="7" t="s">
        <v>156</v>
      </c>
      <c r="F1720" s="39" t="n">
        <v>45747</v>
      </c>
      <c r="G1720" s="41" t="n">
        <v>92.82</v>
      </c>
      <c r="H1720" s="39" t="n">
        <v>45759</v>
      </c>
      <c r="I1720" s="7" t="s">
        <v>14651</v>
      </c>
      <c r="J1720" s="8" t="str">
        <f aca="false">IF(I1720="Open",DATE(2025,12,31)-F1720,"-")</f>
        <v>-</v>
      </c>
    </row>
    <row r="1721" customFormat="false" ht="15" hidden="false" customHeight="false" outlineLevel="0" collapsed="false">
      <c r="B1721" s="7" t="s">
        <v>16366</v>
      </c>
      <c r="C1721" s="7" t="s">
        <v>2218</v>
      </c>
      <c r="D1721" s="7" t="s">
        <v>305</v>
      </c>
      <c r="E1721" s="7" t="s">
        <v>154</v>
      </c>
      <c r="F1721" s="39" t="n">
        <v>45747</v>
      </c>
      <c r="G1721" s="41" t="n">
        <v>108.38</v>
      </c>
      <c r="H1721" s="39" t="n">
        <v>45801</v>
      </c>
      <c r="I1721" s="7" t="s">
        <v>14651</v>
      </c>
      <c r="J1721" s="8" t="str">
        <f aca="false">IF(I1721="Open",DATE(2025,12,31)-F1721,"-")</f>
        <v>-</v>
      </c>
    </row>
    <row r="1722" customFormat="false" ht="15" hidden="false" customHeight="false" outlineLevel="0" collapsed="false">
      <c r="B1722" s="7" t="s">
        <v>16367</v>
      </c>
      <c r="C1722" s="7" t="s">
        <v>2219</v>
      </c>
      <c r="D1722" s="7" t="s">
        <v>307</v>
      </c>
      <c r="E1722" s="7" t="s">
        <v>157</v>
      </c>
      <c r="F1722" s="39" t="n">
        <v>45747</v>
      </c>
      <c r="G1722" s="41" t="n">
        <v>163.35</v>
      </c>
      <c r="H1722" s="39" t="n">
        <v>45792</v>
      </c>
      <c r="I1722" s="7" t="s">
        <v>14651</v>
      </c>
      <c r="J1722" s="8" t="str">
        <f aca="false">IF(I1722="Open",DATE(2025,12,31)-F1722,"-")</f>
        <v>-</v>
      </c>
    </row>
    <row r="1723" customFormat="false" ht="15" hidden="false" customHeight="false" outlineLevel="0" collapsed="false">
      <c r="B1723" s="7" t="s">
        <v>16368</v>
      </c>
      <c r="C1723" s="7" t="s">
        <v>2220</v>
      </c>
      <c r="D1723" s="7" t="s">
        <v>309</v>
      </c>
      <c r="E1723" s="7" t="s">
        <v>159</v>
      </c>
      <c r="F1723" s="39" t="n">
        <v>45747</v>
      </c>
      <c r="G1723" s="41" t="n">
        <v>119.2</v>
      </c>
      <c r="H1723" s="39" t="n">
        <v>45794</v>
      </c>
      <c r="I1723" s="7" t="s">
        <v>14651</v>
      </c>
      <c r="J1723" s="8" t="str">
        <f aca="false">IF(I1723="Open",DATE(2025,12,31)-F1723,"-")</f>
        <v>-</v>
      </c>
    </row>
    <row r="1724" customFormat="false" ht="15" hidden="false" customHeight="false" outlineLevel="0" collapsed="false">
      <c r="B1724" s="7" t="s">
        <v>16369</v>
      </c>
      <c r="C1724" s="7" t="s">
        <v>2221</v>
      </c>
      <c r="D1724" s="7" t="s">
        <v>311</v>
      </c>
      <c r="E1724" s="7" t="s">
        <v>154</v>
      </c>
      <c r="F1724" s="39" t="n">
        <v>45747</v>
      </c>
      <c r="G1724" s="41" t="n">
        <v>78.15</v>
      </c>
      <c r="H1724" s="39" t="n">
        <v>45832</v>
      </c>
      <c r="I1724" s="7" t="s">
        <v>14651</v>
      </c>
      <c r="J1724" s="8" t="str">
        <f aca="false">IF(I1724="Open",DATE(2025,12,31)-F1724,"-")</f>
        <v>-</v>
      </c>
    </row>
    <row r="1725" customFormat="false" ht="15" hidden="false" customHeight="false" outlineLevel="0" collapsed="false">
      <c r="B1725" s="7" t="s">
        <v>16370</v>
      </c>
      <c r="C1725" s="7" t="s">
        <v>2222</v>
      </c>
      <c r="D1725" s="7" t="s">
        <v>313</v>
      </c>
      <c r="E1725" s="7" t="s">
        <v>156</v>
      </c>
      <c r="F1725" s="39" t="n">
        <v>45747</v>
      </c>
      <c r="G1725" s="41" t="n">
        <v>134.98</v>
      </c>
      <c r="H1725" s="39" t="n">
        <v>45753</v>
      </c>
      <c r="I1725" s="7" t="s">
        <v>14651</v>
      </c>
      <c r="J1725" s="8" t="str">
        <f aca="false">IF(I1725="Open",DATE(2025,12,31)-F1725,"-")</f>
        <v>-</v>
      </c>
    </row>
    <row r="1726" customFormat="false" ht="15" hidden="false" customHeight="false" outlineLevel="0" collapsed="false">
      <c r="B1726" s="7" t="s">
        <v>16371</v>
      </c>
      <c r="C1726" s="7" t="s">
        <v>2223</v>
      </c>
      <c r="D1726" s="7" t="s">
        <v>317</v>
      </c>
      <c r="E1726" s="7" t="s">
        <v>156</v>
      </c>
      <c r="F1726" s="39" t="n">
        <v>45747</v>
      </c>
      <c r="G1726" s="41" t="n">
        <v>96.22</v>
      </c>
      <c r="H1726" s="39" t="n">
        <v>45764</v>
      </c>
      <c r="I1726" s="7" t="s">
        <v>14651</v>
      </c>
      <c r="J1726" s="8" t="str">
        <f aca="false">IF(I1726="Open",DATE(2025,12,31)-F1726,"-")</f>
        <v>-</v>
      </c>
    </row>
    <row r="1727" customFormat="false" ht="15" hidden="false" customHeight="false" outlineLevel="0" collapsed="false">
      <c r="B1727" s="7" t="s">
        <v>16372</v>
      </c>
      <c r="C1727" s="7" t="s">
        <v>2224</v>
      </c>
      <c r="D1727" s="7" t="s">
        <v>321</v>
      </c>
      <c r="E1727" s="7" t="s">
        <v>154</v>
      </c>
      <c r="F1727" s="39" t="n">
        <v>45747</v>
      </c>
      <c r="G1727" s="41" t="n">
        <v>112.36</v>
      </c>
      <c r="H1727" s="39" t="n">
        <v>45855</v>
      </c>
      <c r="I1727" s="7" t="s">
        <v>14651</v>
      </c>
      <c r="J1727" s="8" t="str">
        <f aca="false">IF(I1727="Open",DATE(2025,12,31)-F1727,"-")</f>
        <v>-</v>
      </c>
    </row>
    <row r="1728" customFormat="false" ht="15" hidden="false" customHeight="false" outlineLevel="0" collapsed="false">
      <c r="B1728" s="7" t="s">
        <v>16373</v>
      </c>
      <c r="C1728" s="7" t="s">
        <v>2225</v>
      </c>
      <c r="D1728" s="7" t="s">
        <v>325</v>
      </c>
      <c r="E1728" s="7" t="s">
        <v>154</v>
      </c>
      <c r="F1728" s="39" t="n">
        <v>45747</v>
      </c>
      <c r="G1728" s="41" t="n">
        <v>80.82</v>
      </c>
      <c r="H1728" s="39" t="n">
        <v>45865</v>
      </c>
      <c r="I1728" s="7" t="s">
        <v>14651</v>
      </c>
      <c r="J1728" s="8" t="str">
        <f aca="false">IF(I1728="Open",DATE(2025,12,31)-F1728,"-")</f>
        <v>-</v>
      </c>
    </row>
    <row r="1729" customFormat="false" ht="15" hidden="false" customHeight="false" outlineLevel="0" collapsed="false">
      <c r="B1729" s="7" t="s">
        <v>16374</v>
      </c>
      <c r="C1729" s="7" t="s">
        <v>2226</v>
      </c>
      <c r="D1729" s="7" t="s">
        <v>329</v>
      </c>
      <c r="E1729" s="7" t="s">
        <v>156</v>
      </c>
      <c r="F1729" s="39" t="n">
        <v>45747</v>
      </c>
      <c r="G1729" s="41" t="n">
        <v>133.62</v>
      </c>
      <c r="H1729" s="39" t="n">
        <v>45758</v>
      </c>
      <c r="I1729" s="7" t="s">
        <v>14651</v>
      </c>
      <c r="J1729" s="8" t="str">
        <f aca="false">IF(I1729="Open",DATE(2025,12,31)-F1729,"-")</f>
        <v>-</v>
      </c>
    </row>
    <row r="1730" customFormat="false" ht="15" hidden="false" customHeight="false" outlineLevel="0" collapsed="false">
      <c r="B1730" s="7" t="s">
        <v>16375</v>
      </c>
      <c r="C1730" s="7" t="s">
        <v>2227</v>
      </c>
      <c r="D1730" s="7" t="s">
        <v>331</v>
      </c>
      <c r="E1730" s="7" t="s">
        <v>156</v>
      </c>
      <c r="F1730" s="39" t="n">
        <v>45747</v>
      </c>
      <c r="G1730" s="41" t="n">
        <v>128.18</v>
      </c>
      <c r="H1730" s="39" t="n">
        <v>45761</v>
      </c>
      <c r="I1730" s="7" t="s">
        <v>14651</v>
      </c>
      <c r="J1730" s="8" t="str">
        <f aca="false">IF(I1730="Open",DATE(2025,12,31)-F1730,"-")</f>
        <v>-</v>
      </c>
    </row>
    <row r="1731" customFormat="false" ht="15" hidden="false" customHeight="false" outlineLevel="0" collapsed="false">
      <c r="B1731" s="7" t="s">
        <v>16376</v>
      </c>
      <c r="C1731" s="7" t="s">
        <v>2228</v>
      </c>
      <c r="D1731" s="7" t="s">
        <v>335</v>
      </c>
      <c r="E1731" s="7" t="s">
        <v>154</v>
      </c>
      <c r="F1731" s="39" t="n">
        <v>45747</v>
      </c>
      <c r="G1731" s="41" t="n">
        <v>95.66</v>
      </c>
      <c r="H1731" s="39" t="n">
        <v>45810</v>
      </c>
      <c r="I1731" s="7" t="s">
        <v>14651</v>
      </c>
      <c r="J1731" s="8" t="str">
        <f aca="false">IF(I1731="Open",DATE(2025,12,31)-F1731,"-")</f>
        <v>-</v>
      </c>
    </row>
    <row r="1732" customFormat="false" ht="15" hidden="false" customHeight="false" outlineLevel="0" collapsed="false">
      <c r="B1732" s="7" t="s">
        <v>16377</v>
      </c>
      <c r="C1732" s="7" t="s">
        <v>2229</v>
      </c>
      <c r="D1732" s="7" t="s">
        <v>337</v>
      </c>
      <c r="E1732" s="7" t="s">
        <v>154</v>
      </c>
      <c r="F1732" s="39" t="n">
        <v>45747</v>
      </c>
      <c r="G1732" s="41" t="n">
        <v>75.53</v>
      </c>
      <c r="H1732" s="39" t="n">
        <v>45812</v>
      </c>
      <c r="I1732" s="7" t="s">
        <v>14651</v>
      </c>
      <c r="J1732" s="8" t="str">
        <f aca="false">IF(I1732="Open",DATE(2025,12,31)-F1732,"-")</f>
        <v>-</v>
      </c>
    </row>
    <row r="1733" customFormat="false" ht="15" hidden="false" customHeight="false" outlineLevel="0" collapsed="false">
      <c r="B1733" s="7" t="s">
        <v>16378</v>
      </c>
      <c r="C1733" s="7" t="s">
        <v>2230</v>
      </c>
      <c r="D1733" s="7" t="s">
        <v>339</v>
      </c>
      <c r="E1733" s="7" t="s">
        <v>154</v>
      </c>
      <c r="F1733" s="39" t="n">
        <v>45747</v>
      </c>
      <c r="G1733" s="41" t="n">
        <v>95.93</v>
      </c>
      <c r="H1733" s="39" t="n">
        <v>45795</v>
      </c>
      <c r="I1733" s="7" t="s">
        <v>14651</v>
      </c>
      <c r="J1733" s="8" t="str">
        <f aca="false">IF(I1733="Open",DATE(2025,12,31)-F1733,"-")</f>
        <v>-</v>
      </c>
    </row>
    <row r="1734" customFormat="false" ht="15" hidden="false" customHeight="false" outlineLevel="0" collapsed="false">
      <c r="B1734" s="7" t="s">
        <v>16379</v>
      </c>
      <c r="C1734" s="7" t="s">
        <v>2231</v>
      </c>
      <c r="D1734" s="7" t="s">
        <v>341</v>
      </c>
      <c r="E1734" s="7" t="s">
        <v>156</v>
      </c>
      <c r="F1734" s="39" t="n">
        <v>45747</v>
      </c>
      <c r="G1734" s="41" t="n">
        <v>110.16</v>
      </c>
      <c r="H1734" s="39" t="n">
        <v>45757</v>
      </c>
      <c r="I1734" s="7" t="s">
        <v>14651</v>
      </c>
      <c r="J1734" s="8" t="str">
        <f aca="false">IF(I1734="Open",DATE(2025,12,31)-F1734,"-")</f>
        <v>-</v>
      </c>
    </row>
    <row r="1735" customFormat="false" ht="15" hidden="false" customHeight="false" outlineLevel="0" collapsed="false">
      <c r="B1735" s="7" t="s">
        <v>16380</v>
      </c>
      <c r="C1735" s="7" t="s">
        <v>2232</v>
      </c>
      <c r="D1735" s="7" t="s">
        <v>343</v>
      </c>
      <c r="E1735" s="7" t="s">
        <v>154</v>
      </c>
      <c r="F1735" s="39" t="n">
        <v>45747</v>
      </c>
      <c r="G1735" s="41" t="n">
        <v>116.33</v>
      </c>
      <c r="H1735" s="39" t="n">
        <v>45780</v>
      </c>
      <c r="I1735" s="7" t="s">
        <v>14651</v>
      </c>
      <c r="J1735" s="8" t="str">
        <f aca="false">IF(I1735="Open",DATE(2025,12,31)-F1735,"-")</f>
        <v>-</v>
      </c>
    </row>
    <row r="1736" customFormat="false" ht="15" hidden="false" customHeight="false" outlineLevel="0" collapsed="false">
      <c r="B1736" s="7" t="s">
        <v>16381</v>
      </c>
      <c r="C1736" s="7" t="s">
        <v>2233</v>
      </c>
      <c r="D1736" s="7" t="s">
        <v>353</v>
      </c>
      <c r="E1736" s="7" t="s">
        <v>154</v>
      </c>
      <c r="F1736" s="39" t="n">
        <v>45747</v>
      </c>
      <c r="G1736" s="41" t="n">
        <v>86.92</v>
      </c>
      <c r="H1736" s="39" t="n">
        <v>45864</v>
      </c>
      <c r="I1736" s="7" t="s">
        <v>14651</v>
      </c>
      <c r="J1736" s="8" t="str">
        <f aca="false">IF(I1736="Open",DATE(2025,12,31)-F1736,"-")</f>
        <v>-</v>
      </c>
    </row>
    <row r="1737" customFormat="false" ht="15" hidden="false" customHeight="false" outlineLevel="0" collapsed="false">
      <c r="B1737" s="7" t="s">
        <v>16382</v>
      </c>
      <c r="C1737" s="7" t="s">
        <v>2234</v>
      </c>
      <c r="D1737" s="7" t="s">
        <v>355</v>
      </c>
      <c r="E1737" s="7" t="s">
        <v>154</v>
      </c>
      <c r="F1737" s="39" t="n">
        <v>45747</v>
      </c>
      <c r="G1737" s="41" t="n">
        <v>91.69</v>
      </c>
      <c r="H1737" s="39" t="n">
        <v>45811</v>
      </c>
      <c r="I1737" s="7" t="s">
        <v>14651</v>
      </c>
      <c r="J1737" s="8" t="str">
        <f aca="false">IF(I1737="Open",DATE(2025,12,31)-F1737,"-")</f>
        <v>-</v>
      </c>
    </row>
    <row r="1738" customFormat="false" ht="15" hidden="false" customHeight="false" outlineLevel="0" collapsed="false">
      <c r="B1738" s="7" t="s">
        <v>16383</v>
      </c>
      <c r="C1738" s="7" t="s">
        <v>2235</v>
      </c>
      <c r="D1738" s="7" t="s">
        <v>357</v>
      </c>
      <c r="E1738" s="7" t="s">
        <v>154</v>
      </c>
      <c r="F1738" s="39" t="n">
        <v>45747</v>
      </c>
      <c r="G1738" s="41" t="n">
        <v>81.09</v>
      </c>
      <c r="H1738" s="39" t="n">
        <v>45762</v>
      </c>
      <c r="I1738" s="7" t="s">
        <v>14651</v>
      </c>
      <c r="J1738" s="8" t="str">
        <f aca="false">IF(I1738="Open",DATE(2025,12,31)-F1738,"-")</f>
        <v>-</v>
      </c>
    </row>
    <row r="1739" customFormat="false" ht="15" hidden="false" customHeight="false" outlineLevel="0" collapsed="false">
      <c r="B1739" s="7" t="s">
        <v>16384</v>
      </c>
      <c r="C1739" s="7" t="s">
        <v>2236</v>
      </c>
      <c r="D1739" s="7" t="s">
        <v>359</v>
      </c>
      <c r="E1739" s="7" t="s">
        <v>156</v>
      </c>
      <c r="F1739" s="39" t="n">
        <v>45747</v>
      </c>
      <c r="G1739" s="41" t="n">
        <v>133.62</v>
      </c>
      <c r="H1739" s="39" t="n">
        <v>45760</v>
      </c>
      <c r="I1739" s="7" t="s">
        <v>14651</v>
      </c>
      <c r="J1739" s="8" t="str">
        <f aca="false">IF(I1739="Open",DATE(2025,12,31)-F1739,"-")</f>
        <v>-</v>
      </c>
    </row>
    <row r="1740" customFormat="false" ht="15" hidden="false" customHeight="false" outlineLevel="0" collapsed="false">
      <c r="B1740" s="7" t="s">
        <v>16385</v>
      </c>
      <c r="C1740" s="7" t="s">
        <v>2237</v>
      </c>
      <c r="D1740" s="7" t="s">
        <v>363</v>
      </c>
      <c r="E1740" s="7" t="s">
        <v>156</v>
      </c>
      <c r="F1740" s="39" t="n">
        <v>45747</v>
      </c>
      <c r="G1740" s="41" t="n">
        <v>128.86</v>
      </c>
      <c r="H1740" s="39" t="n">
        <v>45755</v>
      </c>
      <c r="I1740" s="7" t="s">
        <v>14651</v>
      </c>
      <c r="J1740" s="8" t="str">
        <f aca="false">IF(I1740="Open",DATE(2025,12,31)-F1740,"-")</f>
        <v>-</v>
      </c>
    </row>
    <row r="1741" customFormat="false" ht="15" hidden="false" customHeight="false" outlineLevel="0" collapsed="false">
      <c r="B1741" s="7" t="s">
        <v>16386</v>
      </c>
      <c r="C1741" s="7" t="s">
        <v>2238</v>
      </c>
      <c r="D1741" s="7" t="s">
        <v>371</v>
      </c>
      <c r="E1741" s="7" t="s">
        <v>154</v>
      </c>
      <c r="F1741" s="39" t="n">
        <v>45747</v>
      </c>
      <c r="G1741" s="41" t="n">
        <v>127.73</v>
      </c>
      <c r="H1741" s="39" t="n">
        <v>45804</v>
      </c>
      <c r="I1741" s="7" t="s">
        <v>14651</v>
      </c>
      <c r="J1741" s="8" t="str">
        <f aca="false">IF(I1741="Open",DATE(2025,12,31)-F1741,"-")</f>
        <v>-</v>
      </c>
    </row>
    <row r="1742" customFormat="false" ht="15" hidden="false" customHeight="false" outlineLevel="0" collapsed="false">
      <c r="B1742" s="7" t="s">
        <v>16387</v>
      </c>
      <c r="C1742" s="7" t="s">
        <v>2239</v>
      </c>
      <c r="D1742" s="7" t="s">
        <v>375</v>
      </c>
      <c r="E1742" s="7" t="s">
        <v>156</v>
      </c>
      <c r="F1742" s="39" t="n">
        <v>45747</v>
      </c>
      <c r="G1742" s="41" t="n">
        <v>103.36</v>
      </c>
      <c r="H1742" s="39" t="n">
        <v>45761</v>
      </c>
      <c r="I1742" s="7" t="s">
        <v>14651</v>
      </c>
      <c r="J1742" s="8" t="str">
        <f aca="false">IF(I1742="Open",DATE(2025,12,31)-F1742,"-")</f>
        <v>-</v>
      </c>
    </row>
    <row r="1743" customFormat="false" ht="15" hidden="false" customHeight="false" outlineLevel="0" collapsed="false">
      <c r="B1743" s="7" t="s">
        <v>16388</v>
      </c>
      <c r="C1743" s="7" t="s">
        <v>2240</v>
      </c>
      <c r="D1743" s="7" t="s">
        <v>377</v>
      </c>
      <c r="E1743" s="7" t="s">
        <v>154</v>
      </c>
      <c r="F1743" s="39" t="n">
        <v>45747</v>
      </c>
      <c r="G1743" s="41" t="n">
        <v>105.2</v>
      </c>
      <c r="H1743" s="39" t="n">
        <v>45825</v>
      </c>
      <c r="I1743" s="7" t="s">
        <v>14651</v>
      </c>
      <c r="J1743" s="8" t="str">
        <f aca="false">IF(I1743="Open",DATE(2025,12,31)-F1743,"-")</f>
        <v>-</v>
      </c>
    </row>
    <row r="1744" customFormat="false" ht="15" hidden="false" customHeight="false" outlineLevel="0" collapsed="false">
      <c r="B1744" s="7" t="s">
        <v>16389</v>
      </c>
      <c r="C1744" s="7" t="s">
        <v>2241</v>
      </c>
      <c r="D1744" s="7" t="s">
        <v>379</v>
      </c>
      <c r="E1744" s="7" t="s">
        <v>156</v>
      </c>
      <c r="F1744" s="39" t="n">
        <v>45747</v>
      </c>
      <c r="G1744" s="41" t="n">
        <v>148.58</v>
      </c>
      <c r="H1744" s="39" t="n">
        <v>45750</v>
      </c>
      <c r="I1744" s="7" t="s">
        <v>14651</v>
      </c>
      <c r="J1744" s="8" t="str">
        <f aca="false">IF(I1744="Open",DATE(2025,12,31)-F1744,"-")</f>
        <v>-</v>
      </c>
    </row>
    <row r="1745" customFormat="false" ht="15" hidden="false" customHeight="false" outlineLevel="0" collapsed="false">
      <c r="B1745" s="7" t="s">
        <v>16390</v>
      </c>
      <c r="C1745" s="7" t="s">
        <v>2242</v>
      </c>
      <c r="D1745" s="7" t="s">
        <v>391</v>
      </c>
      <c r="E1745" s="7" t="s">
        <v>156</v>
      </c>
      <c r="F1745" s="39" t="n">
        <v>45747</v>
      </c>
      <c r="G1745" s="41" t="n">
        <v>124.44</v>
      </c>
      <c r="H1745" s="39" t="n">
        <v>45750</v>
      </c>
      <c r="I1745" s="7" t="s">
        <v>14651</v>
      </c>
      <c r="J1745" s="8" t="str">
        <f aca="false">IF(I1745="Open",DATE(2025,12,31)-F1745,"-")</f>
        <v>-</v>
      </c>
    </row>
    <row r="1746" customFormat="false" ht="15" hidden="false" customHeight="false" outlineLevel="0" collapsed="false">
      <c r="B1746" s="7" t="s">
        <v>16391</v>
      </c>
      <c r="C1746" s="7" t="s">
        <v>2243</v>
      </c>
      <c r="D1746" s="7" t="s">
        <v>395</v>
      </c>
      <c r="E1746" s="7" t="s">
        <v>156</v>
      </c>
      <c r="F1746" s="39" t="n">
        <v>45747</v>
      </c>
      <c r="G1746" s="41" t="n">
        <v>123.42</v>
      </c>
      <c r="H1746" s="39" t="n">
        <v>45760</v>
      </c>
      <c r="I1746" s="7" t="s">
        <v>14651</v>
      </c>
      <c r="J1746" s="8" t="str">
        <f aca="false">IF(I1746="Open",DATE(2025,12,31)-F1746,"-")</f>
        <v>-</v>
      </c>
    </row>
    <row r="1747" customFormat="false" ht="15" hidden="false" customHeight="false" outlineLevel="0" collapsed="false">
      <c r="B1747" s="7" t="s">
        <v>16392</v>
      </c>
      <c r="C1747" s="7" t="s">
        <v>2244</v>
      </c>
      <c r="D1747" s="7" t="s">
        <v>399</v>
      </c>
      <c r="E1747" s="7" t="s">
        <v>154</v>
      </c>
      <c r="F1747" s="39" t="n">
        <v>45747</v>
      </c>
      <c r="G1747" s="41" t="n">
        <v>96.19</v>
      </c>
      <c r="H1747" s="39" t="n">
        <v>45807</v>
      </c>
      <c r="I1747" s="7" t="s">
        <v>14651</v>
      </c>
      <c r="J1747" s="8" t="str">
        <f aca="false">IF(I1747="Open",DATE(2025,12,31)-F1747,"-")</f>
        <v>-</v>
      </c>
    </row>
    <row r="1748" customFormat="false" ht="15" hidden="false" customHeight="false" outlineLevel="0" collapsed="false">
      <c r="B1748" s="7" t="s">
        <v>16393</v>
      </c>
      <c r="C1748" s="7" t="s">
        <v>2245</v>
      </c>
      <c r="D1748" s="7" t="s">
        <v>401</v>
      </c>
      <c r="E1748" s="7" t="s">
        <v>156</v>
      </c>
      <c r="F1748" s="39" t="n">
        <v>45747</v>
      </c>
      <c r="G1748" s="41" t="n">
        <v>143.82</v>
      </c>
      <c r="H1748" s="39" t="n">
        <v>45753</v>
      </c>
      <c r="I1748" s="7" t="s">
        <v>14651</v>
      </c>
      <c r="J1748" s="8" t="str">
        <f aca="false">IF(I1748="Open",DATE(2025,12,31)-F1748,"-")</f>
        <v>-</v>
      </c>
    </row>
    <row r="1749" customFormat="false" ht="15" hidden="false" customHeight="false" outlineLevel="0" collapsed="false">
      <c r="B1749" s="7" t="s">
        <v>16394</v>
      </c>
      <c r="C1749" s="7" t="s">
        <v>2246</v>
      </c>
      <c r="D1749" s="7" t="s">
        <v>409</v>
      </c>
      <c r="E1749" s="7" t="s">
        <v>154</v>
      </c>
      <c r="F1749" s="39" t="n">
        <v>45747</v>
      </c>
      <c r="G1749" s="41" t="n">
        <v>92.48</v>
      </c>
      <c r="H1749" s="39" t="n">
        <v>45829</v>
      </c>
      <c r="I1749" s="7" t="s">
        <v>14651</v>
      </c>
      <c r="J1749" s="8" t="str">
        <f aca="false">IF(I1749="Open",DATE(2025,12,31)-F1749,"-")</f>
        <v>-</v>
      </c>
    </row>
    <row r="1750" customFormat="false" ht="15" hidden="false" customHeight="false" outlineLevel="0" collapsed="false">
      <c r="B1750" s="7" t="s">
        <v>16395</v>
      </c>
      <c r="C1750" s="7" t="s">
        <v>2247</v>
      </c>
      <c r="D1750" s="7" t="s">
        <v>411</v>
      </c>
      <c r="E1750" s="7" t="s">
        <v>154</v>
      </c>
      <c r="F1750" s="39" t="n">
        <v>45747</v>
      </c>
      <c r="G1750" s="41" t="n">
        <v>124.15</v>
      </c>
      <c r="H1750" s="39" t="n">
        <v>45792</v>
      </c>
      <c r="I1750" s="7" t="s">
        <v>14651</v>
      </c>
      <c r="J1750" s="8" t="str">
        <f aca="false">IF(I1750="Open",DATE(2025,12,31)-F1750,"-")</f>
        <v>-</v>
      </c>
    </row>
    <row r="1751" customFormat="false" ht="15" hidden="false" customHeight="false" outlineLevel="0" collapsed="false">
      <c r="B1751" s="7" t="s">
        <v>16396</v>
      </c>
      <c r="C1751" s="7" t="s">
        <v>2248</v>
      </c>
      <c r="D1751" s="7" t="s">
        <v>288</v>
      </c>
      <c r="E1751" s="7" t="s">
        <v>156</v>
      </c>
      <c r="F1751" s="39" t="n">
        <v>45748</v>
      </c>
      <c r="G1751" s="41" t="n">
        <v>132.26</v>
      </c>
      <c r="H1751" s="39" t="n">
        <v>45756</v>
      </c>
      <c r="I1751" s="7" t="s">
        <v>14651</v>
      </c>
      <c r="J1751" s="8" t="str">
        <f aca="false">IF(I1751="Open",DATE(2025,12,31)-F1751,"-")</f>
        <v>-</v>
      </c>
    </row>
    <row r="1752" customFormat="false" ht="15" hidden="false" customHeight="false" outlineLevel="0" collapsed="false">
      <c r="B1752" s="7" t="s">
        <v>16397</v>
      </c>
      <c r="C1752" s="7" t="s">
        <v>2249</v>
      </c>
      <c r="D1752" s="7" t="s">
        <v>301</v>
      </c>
      <c r="E1752" s="7" t="s">
        <v>157</v>
      </c>
      <c r="F1752" s="39" t="n">
        <v>45748</v>
      </c>
      <c r="G1752" s="41" t="n">
        <v>147.34</v>
      </c>
      <c r="H1752" s="39" t="n">
        <v>45764</v>
      </c>
      <c r="I1752" s="7" t="s">
        <v>14651</v>
      </c>
      <c r="J1752" s="8" t="str">
        <f aca="false">IF(I1752="Open",DATE(2025,12,31)-F1752,"-")</f>
        <v>-</v>
      </c>
    </row>
    <row r="1753" customFormat="false" ht="15" hidden="false" customHeight="false" outlineLevel="0" collapsed="false">
      <c r="B1753" s="7" t="s">
        <v>16398</v>
      </c>
      <c r="C1753" s="7" t="s">
        <v>2250</v>
      </c>
      <c r="D1753" s="7" t="s">
        <v>313</v>
      </c>
      <c r="E1753" s="7" t="s">
        <v>156</v>
      </c>
      <c r="F1753" s="39" t="n">
        <v>45748</v>
      </c>
      <c r="G1753" s="41" t="n">
        <v>141.78</v>
      </c>
      <c r="H1753" s="39" t="n">
        <v>45765</v>
      </c>
      <c r="I1753" s="7" t="s">
        <v>14651</v>
      </c>
      <c r="J1753" s="8" t="str">
        <f aca="false">IF(I1753="Open",DATE(2025,12,31)-F1753,"-")</f>
        <v>-</v>
      </c>
    </row>
    <row r="1754" customFormat="false" ht="15" hidden="false" customHeight="false" outlineLevel="0" collapsed="false">
      <c r="B1754" s="7" t="s">
        <v>16399</v>
      </c>
      <c r="C1754" s="7" t="s">
        <v>2251</v>
      </c>
      <c r="D1754" s="7" t="s">
        <v>319</v>
      </c>
      <c r="E1754" s="7" t="s">
        <v>157</v>
      </c>
      <c r="F1754" s="39" t="n">
        <v>45748</v>
      </c>
      <c r="G1754" s="41" t="n">
        <v>156.75</v>
      </c>
      <c r="H1754" s="39" t="n">
        <v>45788</v>
      </c>
      <c r="I1754" s="7" t="s">
        <v>14651</v>
      </c>
      <c r="J1754" s="8" t="str">
        <f aca="false">IF(I1754="Open",DATE(2025,12,31)-F1754,"-")</f>
        <v>-</v>
      </c>
    </row>
    <row r="1755" customFormat="false" ht="15" hidden="false" customHeight="false" outlineLevel="0" collapsed="false">
      <c r="B1755" s="7" t="s">
        <v>16400</v>
      </c>
      <c r="C1755" s="7" t="s">
        <v>2252</v>
      </c>
      <c r="D1755" s="7" t="s">
        <v>321</v>
      </c>
      <c r="E1755" s="7" t="s">
        <v>154</v>
      </c>
      <c r="F1755" s="39" t="n">
        <v>45748</v>
      </c>
      <c r="G1755" s="41" t="n">
        <v>115.27</v>
      </c>
      <c r="H1755" s="39" t="n">
        <v>45823</v>
      </c>
      <c r="I1755" s="7" t="s">
        <v>14651</v>
      </c>
      <c r="J1755" s="8" t="str">
        <f aca="false">IF(I1755="Open",DATE(2025,12,31)-F1755,"-")</f>
        <v>-</v>
      </c>
    </row>
    <row r="1756" customFormat="false" ht="15" hidden="false" customHeight="false" outlineLevel="0" collapsed="false">
      <c r="B1756" s="7" t="s">
        <v>16401</v>
      </c>
      <c r="C1756" s="7" t="s">
        <v>2253</v>
      </c>
      <c r="D1756" s="7" t="s">
        <v>323</v>
      </c>
      <c r="E1756" s="7" t="s">
        <v>159</v>
      </c>
      <c r="F1756" s="39" t="n">
        <v>45748</v>
      </c>
      <c r="G1756" s="41" t="n">
        <v>126.9</v>
      </c>
      <c r="H1756" s="39" t="n">
        <v>45786</v>
      </c>
      <c r="I1756" s="7" t="s">
        <v>14651</v>
      </c>
      <c r="J1756" s="8" t="str">
        <f aca="false">IF(I1756="Open",DATE(2025,12,31)-F1756,"-")</f>
        <v>-</v>
      </c>
    </row>
    <row r="1757" customFormat="false" ht="15" hidden="false" customHeight="false" outlineLevel="0" collapsed="false">
      <c r="B1757" s="7" t="s">
        <v>16402</v>
      </c>
      <c r="C1757" s="7" t="s">
        <v>2254</v>
      </c>
      <c r="D1757" s="7" t="s">
        <v>327</v>
      </c>
      <c r="E1757" s="7" t="s">
        <v>157</v>
      </c>
      <c r="F1757" s="39" t="n">
        <v>45748</v>
      </c>
      <c r="G1757" s="41" t="n">
        <v>160.05</v>
      </c>
      <c r="H1757" s="39" t="n">
        <v>45828</v>
      </c>
      <c r="I1757" s="7" t="s">
        <v>14651</v>
      </c>
      <c r="J1757" s="8" t="str">
        <f aca="false">IF(I1757="Open",DATE(2025,12,31)-F1757,"-")</f>
        <v>-</v>
      </c>
    </row>
    <row r="1758" customFormat="false" ht="15" hidden="false" customHeight="false" outlineLevel="0" collapsed="false">
      <c r="B1758" s="7" t="s">
        <v>16403</v>
      </c>
      <c r="C1758" s="7" t="s">
        <v>2255</v>
      </c>
      <c r="D1758" s="7" t="s">
        <v>329</v>
      </c>
      <c r="E1758" s="7" t="s">
        <v>156</v>
      </c>
      <c r="F1758" s="39" t="n">
        <v>45748</v>
      </c>
      <c r="G1758" s="41" t="n">
        <v>129.88</v>
      </c>
      <c r="H1758" s="39" t="n">
        <v>45761</v>
      </c>
      <c r="I1758" s="7" t="s">
        <v>14651</v>
      </c>
      <c r="J1758" s="8" t="str">
        <f aca="false">IF(I1758="Open",DATE(2025,12,31)-F1758,"-")</f>
        <v>-</v>
      </c>
    </row>
    <row r="1759" customFormat="false" ht="15" hidden="false" customHeight="false" outlineLevel="0" collapsed="false">
      <c r="B1759" s="7" t="s">
        <v>16404</v>
      </c>
      <c r="C1759" s="7" t="s">
        <v>2256</v>
      </c>
      <c r="D1759" s="7" t="s">
        <v>359</v>
      </c>
      <c r="E1759" s="7" t="s">
        <v>156</v>
      </c>
      <c r="F1759" s="39" t="n">
        <v>45748</v>
      </c>
      <c r="G1759" s="41" t="n">
        <v>135.66</v>
      </c>
      <c r="H1759" s="39" t="n">
        <v>45764</v>
      </c>
      <c r="I1759" s="7" t="s">
        <v>14651</v>
      </c>
      <c r="J1759" s="8" t="str">
        <f aca="false">IF(I1759="Open",DATE(2025,12,31)-F1759,"-")</f>
        <v>-</v>
      </c>
    </row>
    <row r="1760" customFormat="false" ht="15" hidden="false" customHeight="false" outlineLevel="0" collapsed="false">
      <c r="B1760" s="7" t="s">
        <v>16405</v>
      </c>
      <c r="C1760" s="7" t="s">
        <v>2257</v>
      </c>
      <c r="D1760" s="7" t="s">
        <v>361</v>
      </c>
      <c r="E1760" s="7" t="s">
        <v>157</v>
      </c>
      <c r="F1760" s="39" t="n">
        <v>45748</v>
      </c>
      <c r="G1760" s="41" t="n">
        <v>171.6</v>
      </c>
      <c r="H1760" s="39" t="n">
        <v>45784</v>
      </c>
      <c r="I1760" s="7" t="s">
        <v>14651</v>
      </c>
      <c r="J1760" s="8" t="str">
        <f aca="false">IF(I1760="Open",DATE(2025,12,31)-F1760,"-")</f>
        <v>-</v>
      </c>
    </row>
    <row r="1761" customFormat="false" ht="15" hidden="false" customHeight="false" outlineLevel="0" collapsed="false">
      <c r="B1761" s="7" t="s">
        <v>16406</v>
      </c>
      <c r="C1761" s="7" t="s">
        <v>2258</v>
      </c>
      <c r="D1761" s="7" t="s">
        <v>381</v>
      </c>
      <c r="E1761" s="7" t="s">
        <v>157</v>
      </c>
      <c r="F1761" s="39" t="n">
        <v>45748</v>
      </c>
      <c r="G1761" s="41" t="n">
        <v>158.4</v>
      </c>
      <c r="H1761" s="39" t="n">
        <v>45788</v>
      </c>
      <c r="I1761" s="7" t="s">
        <v>14651</v>
      </c>
      <c r="J1761" s="8" t="str">
        <f aca="false">IF(I1761="Open",DATE(2025,12,31)-F1761,"-")</f>
        <v>-</v>
      </c>
    </row>
    <row r="1762" customFormat="false" ht="15" hidden="false" customHeight="false" outlineLevel="0" collapsed="false">
      <c r="B1762" s="7" t="s">
        <v>16407</v>
      </c>
      <c r="C1762" s="7" t="s">
        <v>2259</v>
      </c>
      <c r="D1762" s="7" t="s">
        <v>389</v>
      </c>
      <c r="E1762" s="7" t="s">
        <v>154</v>
      </c>
      <c r="F1762" s="39" t="n">
        <v>45748</v>
      </c>
      <c r="G1762" s="41" t="n">
        <v>115.54</v>
      </c>
      <c r="H1762" s="39" t="n">
        <v>45785</v>
      </c>
      <c r="I1762" s="7" t="s">
        <v>14651</v>
      </c>
      <c r="J1762" s="8" t="str">
        <f aca="false">IF(I1762="Open",DATE(2025,12,31)-F1762,"-")</f>
        <v>-</v>
      </c>
    </row>
    <row r="1763" customFormat="false" ht="15" hidden="false" customHeight="false" outlineLevel="0" collapsed="false">
      <c r="B1763" s="7" t="s">
        <v>16408</v>
      </c>
      <c r="C1763" s="7" t="s">
        <v>2260</v>
      </c>
      <c r="D1763" s="7" t="s">
        <v>391</v>
      </c>
      <c r="E1763" s="7" t="s">
        <v>156</v>
      </c>
      <c r="F1763" s="39" t="n">
        <v>45748</v>
      </c>
      <c r="G1763" s="41" t="n">
        <v>124.1</v>
      </c>
      <c r="H1763" s="39" t="n">
        <v>45764</v>
      </c>
      <c r="I1763" s="7" t="s">
        <v>14651</v>
      </c>
      <c r="J1763" s="8" t="str">
        <f aca="false">IF(I1763="Open",DATE(2025,12,31)-F1763,"-")</f>
        <v>-</v>
      </c>
    </row>
    <row r="1764" customFormat="false" ht="15" hidden="false" customHeight="false" outlineLevel="0" collapsed="false">
      <c r="B1764" s="7" t="s">
        <v>16409</v>
      </c>
      <c r="C1764" s="7" t="s">
        <v>2261</v>
      </c>
      <c r="D1764" s="7" t="s">
        <v>395</v>
      </c>
      <c r="E1764" s="7" t="s">
        <v>156</v>
      </c>
      <c r="F1764" s="39" t="n">
        <v>45748</v>
      </c>
      <c r="G1764" s="41" t="n">
        <v>124.44</v>
      </c>
      <c r="H1764" s="39" t="n">
        <v>45757</v>
      </c>
      <c r="I1764" s="7" t="s">
        <v>14651</v>
      </c>
      <c r="J1764" s="8" t="str">
        <f aca="false">IF(I1764="Open",DATE(2025,12,31)-F1764,"-")</f>
        <v>-</v>
      </c>
    </row>
    <row r="1765" customFormat="false" ht="15" hidden="false" customHeight="false" outlineLevel="0" collapsed="false">
      <c r="B1765" s="7" t="s">
        <v>16410</v>
      </c>
      <c r="C1765" s="7" t="s">
        <v>2262</v>
      </c>
      <c r="D1765" s="7" t="s">
        <v>397</v>
      </c>
      <c r="E1765" s="7" t="s">
        <v>159</v>
      </c>
      <c r="F1765" s="39" t="n">
        <v>45748</v>
      </c>
      <c r="G1765" s="41" t="n">
        <v>147.15</v>
      </c>
      <c r="H1765" s="39" t="n">
        <v>45781</v>
      </c>
      <c r="I1765" s="7" t="s">
        <v>14651</v>
      </c>
      <c r="J1765" s="8" t="str">
        <f aca="false">IF(I1765="Open",DATE(2025,12,31)-F1765,"-")</f>
        <v>-</v>
      </c>
    </row>
    <row r="1766" customFormat="false" ht="15" hidden="false" customHeight="false" outlineLevel="0" collapsed="false">
      <c r="B1766" s="7" t="s">
        <v>16411</v>
      </c>
      <c r="C1766" s="7" t="s">
        <v>2263</v>
      </c>
      <c r="D1766" s="7" t="s">
        <v>401</v>
      </c>
      <c r="E1766" s="7" t="s">
        <v>156</v>
      </c>
      <c r="F1766" s="39" t="n">
        <v>45748</v>
      </c>
      <c r="G1766" s="41" t="n">
        <v>141.44</v>
      </c>
      <c r="H1766" s="39" t="n">
        <v>45757</v>
      </c>
      <c r="I1766" s="7" t="s">
        <v>14651</v>
      </c>
      <c r="J1766" s="8" t="str">
        <f aca="false">IF(I1766="Open",DATE(2025,12,31)-F1766,"-")</f>
        <v>-</v>
      </c>
    </row>
    <row r="1767" customFormat="false" ht="15" hidden="false" customHeight="false" outlineLevel="0" collapsed="false">
      <c r="B1767" s="7" t="s">
        <v>16412</v>
      </c>
      <c r="C1767" s="7" t="s">
        <v>2264</v>
      </c>
      <c r="D1767" s="7" t="s">
        <v>407</v>
      </c>
      <c r="E1767" s="7" t="s">
        <v>159</v>
      </c>
      <c r="F1767" s="39" t="n">
        <v>45748</v>
      </c>
      <c r="G1767" s="41" t="n">
        <v>135</v>
      </c>
      <c r="H1767" s="39" t="n">
        <v>45801</v>
      </c>
      <c r="I1767" s="7" t="s">
        <v>14651</v>
      </c>
      <c r="J1767" s="8" t="str">
        <f aca="false">IF(I1767="Open",DATE(2025,12,31)-F1767,"-")</f>
        <v>-</v>
      </c>
    </row>
    <row r="1768" customFormat="false" ht="15" hidden="false" customHeight="false" outlineLevel="0" collapsed="false">
      <c r="B1768" s="7" t="s">
        <v>16413</v>
      </c>
      <c r="C1768" s="7" t="s">
        <v>2265</v>
      </c>
      <c r="D1768" s="7" t="s">
        <v>280</v>
      </c>
      <c r="E1768" s="7" t="s">
        <v>157</v>
      </c>
      <c r="F1768" s="39" t="n">
        <v>45749</v>
      </c>
      <c r="G1768" s="41" t="n">
        <v>170.77</v>
      </c>
      <c r="H1768" s="39" t="n">
        <v>45801</v>
      </c>
      <c r="I1768" s="7" t="s">
        <v>14651</v>
      </c>
      <c r="J1768" s="8" t="str">
        <f aca="false">IF(I1768="Open",DATE(2025,12,31)-F1768,"-")</f>
        <v>-</v>
      </c>
    </row>
    <row r="1769" customFormat="false" ht="15" hidden="false" customHeight="false" outlineLevel="0" collapsed="false">
      <c r="B1769" s="7" t="s">
        <v>16414</v>
      </c>
      <c r="C1769" s="7" t="s">
        <v>2266</v>
      </c>
      <c r="D1769" s="7" t="s">
        <v>286</v>
      </c>
      <c r="E1769" s="7" t="s">
        <v>157</v>
      </c>
      <c r="F1769" s="39" t="n">
        <v>45749</v>
      </c>
      <c r="G1769" s="41" t="n">
        <v>160.05</v>
      </c>
      <c r="H1769" s="39" t="n">
        <v>45776</v>
      </c>
      <c r="I1769" s="7" t="s">
        <v>14651</v>
      </c>
      <c r="J1769" s="8" t="str">
        <f aca="false">IF(I1769="Open",DATE(2025,12,31)-F1769,"-")</f>
        <v>-</v>
      </c>
    </row>
    <row r="1770" customFormat="false" ht="15" hidden="false" customHeight="false" outlineLevel="0" collapsed="false">
      <c r="B1770" s="7" t="s">
        <v>16415</v>
      </c>
      <c r="C1770" s="7" t="s">
        <v>2267</v>
      </c>
      <c r="D1770" s="7" t="s">
        <v>288</v>
      </c>
      <c r="E1770" s="7" t="s">
        <v>156</v>
      </c>
      <c r="F1770" s="39" t="n">
        <v>45749</v>
      </c>
      <c r="G1770" s="41" t="n">
        <v>130.22</v>
      </c>
      <c r="H1770" s="39" t="n">
        <v>45765</v>
      </c>
      <c r="I1770" s="7" t="s">
        <v>14651</v>
      </c>
      <c r="J1770" s="8" t="str">
        <f aca="false">IF(I1770="Open",DATE(2025,12,31)-F1770,"-")</f>
        <v>-</v>
      </c>
    </row>
    <row r="1771" customFormat="false" ht="15" hidden="false" customHeight="false" outlineLevel="0" collapsed="false">
      <c r="B1771" s="7" t="s">
        <v>16416</v>
      </c>
      <c r="C1771" s="7" t="s">
        <v>2268</v>
      </c>
      <c r="D1771" s="7" t="s">
        <v>291</v>
      </c>
      <c r="E1771" s="7" t="s">
        <v>154</v>
      </c>
      <c r="F1771" s="39" t="n">
        <v>45749</v>
      </c>
      <c r="G1771" s="41" t="n">
        <v>117.13</v>
      </c>
      <c r="H1771" s="39" t="n">
        <v>45861</v>
      </c>
      <c r="I1771" s="7" t="s">
        <v>14651</v>
      </c>
      <c r="J1771" s="8" t="str">
        <f aca="false">IF(I1771="Open",DATE(2025,12,31)-F1771,"-")</f>
        <v>-</v>
      </c>
    </row>
    <row r="1772" customFormat="false" ht="15" hidden="false" customHeight="false" outlineLevel="0" collapsed="false">
      <c r="B1772" s="7" t="s">
        <v>16417</v>
      </c>
      <c r="C1772" s="7" t="s">
        <v>2269</v>
      </c>
      <c r="D1772" s="7" t="s">
        <v>305</v>
      </c>
      <c r="E1772" s="7" t="s">
        <v>154</v>
      </c>
      <c r="F1772" s="39" t="n">
        <v>45749</v>
      </c>
      <c r="G1772" s="41" t="n">
        <v>104.15</v>
      </c>
      <c r="H1772" s="39" t="n">
        <v>45802</v>
      </c>
      <c r="I1772" s="7" t="s">
        <v>14651</v>
      </c>
      <c r="J1772" s="8" t="str">
        <f aca="false">IF(I1772="Open",DATE(2025,12,31)-F1772,"-")</f>
        <v>-</v>
      </c>
    </row>
    <row r="1773" customFormat="false" ht="15" hidden="false" customHeight="false" outlineLevel="0" collapsed="false">
      <c r="B1773" s="7" t="s">
        <v>16418</v>
      </c>
      <c r="C1773" s="7" t="s">
        <v>2270</v>
      </c>
      <c r="D1773" s="7" t="s">
        <v>307</v>
      </c>
      <c r="E1773" s="7" t="s">
        <v>157</v>
      </c>
      <c r="F1773" s="39" t="n">
        <v>45749</v>
      </c>
      <c r="G1773" s="41" t="n">
        <v>160.05</v>
      </c>
      <c r="H1773" s="39" t="n">
        <v>45809</v>
      </c>
      <c r="I1773" s="7" t="s">
        <v>14651</v>
      </c>
      <c r="J1773" s="8" t="str">
        <f aca="false">IF(I1773="Open",DATE(2025,12,31)-F1773,"-")</f>
        <v>-</v>
      </c>
    </row>
    <row r="1774" customFormat="false" ht="15" hidden="false" customHeight="false" outlineLevel="0" collapsed="false">
      <c r="B1774" s="7" t="s">
        <v>16419</v>
      </c>
      <c r="C1774" s="7" t="s">
        <v>2271</v>
      </c>
      <c r="D1774" s="7" t="s">
        <v>309</v>
      </c>
      <c r="E1774" s="7" t="s">
        <v>159</v>
      </c>
      <c r="F1774" s="39" t="n">
        <v>45749</v>
      </c>
      <c r="G1774" s="41" t="n">
        <v>144.45</v>
      </c>
      <c r="H1774" s="39" t="n">
        <v>45806</v>
      </c>
      <c r="I1774" s="7" t="s">
        <v>14651</v>
      </c>
      <c r="J1774" s="8" t="str">
        <f aca="false">IF(I1774="Open",DATE(2025,12,31)-F1774,"-")</f>
        <v>-</v>
      </c>
    </row>
    <row r="1775" customFormat="false" ht="15" hidden="false" customHeight="false" outlineLevel="0" collapsed="false">
      <c r="B1775" s="7" t="s">
        <v>16420</v>
      </c>
      <c r="C1775" s="7" t="s">
        <v>2272</v>
      </c>
      <c r="D1775" s="7" t="s">
        <v>313</v>
      </c>
      <c r="E1775" s="7" t="s">
        <v>156</v>
      </c>
      <c r="F1775" s="39" t="n">
        <v>45749</v>
      </c>
      <c r="G1775" s="41" t="n">
        <v>126.14</v>
      </c>
      <c r="H1775" s="39" t="n">
        <v>45756</v>
      </c>
      <c r="I1775" s="7" t="s">
        <v>14651</v>
      </c>
      <c r="J1775" s="8" t="str">
        <f aca="false">IF(I1775="Open",DATE(2025,12,31)-F1775,"-")</f>
        <v>-</v>
      </c>
    </row>
    <row r="1776" customFormat="false" ht="15" hidden="false" customHeight="false" outlineLevel="0" collapsed="false">
      <c r="B1776" s="7" t="s">
        <v>16421</v>
      </c>
      <c r="C1776" s="7" t="s">
        <v>2273</v>
      </c>
      <c r="D1776" s="7" t="s">
        <v>321</v>
      </c>
      <c r="E1776" s="7" t="s">
        <v>154</v>
      </c>
      <c r="F1776" s="39" t="n">
        <v>45749</v>
      </c>
      <c r="G1776" s="41" t="n">
        <v>100.97</v>
      </c>
      <c r="H1776" s="39" t="n">
        <v>45801</v>
      </c>
      <c r="I1776" s="7" t="s">
        <v>14651</v>
      </c>
      <c r="J1776" s="8" t="str">
        <f aca="false">IF(I1776="Open",DATE(2025,12,31)-F1776,"-")</f>
        <v>-</v>
      </c>
    </row>
    <row r="1777" customFormat="false" ht="15" hidden="false" customHeight="false" outlineLevel="0" collapsed="false">
      <c r="B1777" s="7" t="s">
        <v>16422</v>
      </c>
      <c r="C1777" s="7" t="s">
        <v>2274</v>
      </c>
      <c r="D1777" s="7" t="s">
        <v>329</v>
      </c>
      <c r="E1777" s="7" t="s">
        <v>156</v>
      </c>
      <c r="F1777" s="39" t="n">
        <v>45749</v>
      </c>
      <c r="G1777" s="41" t="n">
        <v>143.48</v>
      </c>
      <c r="H1777" s="39" t="n">
        <v>45758</v>
      </c>
      <c r="I1777" s="7" t="s">
        <v>14651</v>
      </c>
      <c r="J1777" s="8" t="str">
        <f aca="false">IF(I1777="Open",DATE(2025,12,31)-F1777,"-")</f>
        <v>-</v>
      </c>
    </row>
    <row r="1778" customFormat="false" ht="15" hidden="false" customHeight="false" outlineLevel="0" collapsed="false">
      <c r="B1778" s="7" t="s">
        <v>16423</v>
      </c>
      <c r="C1778" s="7" t="s">
        <v>2275</v>
      </c>
      <c r="D1778" s="7" t="s">
        <v>335</v>
      </c>
      <c r="E1778" s="7" t="s">
        <v>154</v>
      </c>
      <c r="F1778" s="39" t="n">
        <v>45749</v>
      </c>
      <c r="G1778" s="41" t="n">
        <v>104.94</v>
      </c>
      <c r="H1778" s="39" t="n">
        <v>45796</v>
      </c>
      <c r="I1778" s="7" t="s">
        <v>14651</v>
      </c>
      <c r="J1778" s="8" t="str">
        <f aca="false">IF(I1778="Open",DATE(2025,12,31)-F1778,"-")</f>
        <v>-</v>
      </c>
    </row>
    <row r="1779" customFormat="false" ht="15" hidden="false" customHeight="false" outlineLevel="0" collapsed="false">
      <c r="B1779" s="7" t="s">
        <v>16424</v>
      </c>
      <c r="C1779" s="7" t="s">
        <v>2276</v>
      </c>
      <c r="D1779" s="7" t="s">
        <v>339</v>
      </c>
      <c r="E1779" s="7" t="s">
        <v>154</v>
      </c>
      <c r="F1779" s="39" t="n">
        <v>45749</v>
      </c>
      <c r="G1779" s="41" t="n">
        <v>91.95</v>
      </c>
      <c r="H1779" s="39" t="n">
        <v>45854</v>
      </c>
      <c r="I1779" s="7" t="s">
        <v>14651</v>
      </c>
      <c r="J1779" s="8" t="str">
        <f aca="false">IF(I1779="Open",DATE(2025,12,31)-F1779,"-")</f>
        <v>-</v>
      </c>
    </row>
    <row r="1780" customFormat="false" ht="15" hidden="false" customHeight="false" outlineLevel="0" collapsed="false">
      <c r="B1780" s="7" t="s">
        <v>16425</v>
      </c>
      <c r="C1780" s="7" t="s">
        <v>2277</v>
      </c>
      <c r="D1780" s="7" t="s">
        <v>353</v>
      </c>
      <c r="E1780" s="7" t="s">
        <v>154</v>
      </c>
      <c r="F1780" s="39" t="n">
        <v>45749</v>
      </c>
      <c r="G1780" s="41" t="n">
        <v>94.34</v>
      </c>
      <c r="H1780" s="39" t="n">
        <v>45853</v>
      </c>
      <c r="I1780" s="7" t="s">
        <v>14651</v>
      </c>
      <c r="J1780" s="8" t="str">
        <f aca="false">IF(I1780="Open",DATE(2025,12,31)-F1780,"-")</f>
        <v>-</v>
      </c>
    </row>
    <row r="1781" customFormat="false" ht="15" hidden="false" customHeight="false" outlineLevel="0" collapsed="false">
      <c r="B1781" s="7" t="s">
        <v>16426</v>
      </c>
      <c r="C1781" s="7" t="s">
        <v>2278</v>
      </c>
      <c r="D1781" s="7" t="s">
        <v>355</v>
      </c>
      <c r="E1781" s="7" t="s">
        <v>154</v>
      </c>
      <c r="F1781" s="39" t="n">
        <v>45749</v>
      </c>
      <c r="G1781" s="41" t="n">
        <v>79.69</v>
      </c>
      <c r="H1781" s="39" t="n">
        <v>45800</v>
      </c>
      <c r="I1781" s="7" t="s">
        <v>14651</v>
      </c>
      <c r="J1781" s="8" t="str">
        <f aca="false">IF(I1781="Open",DATE(2025,12,31)-F1781,"-")</f>
        <v>-</v>
      </c>
    </row>
    <row r="1782" customFormat="false" ht="15" hidden="false" customHeight="false" outlineLevel="0" collapsed="false">
      <c r="B1782" s="7" t="s">
        <v>16427</v>
      </c>
      <c r="C1782" s="7" t="s">
        <v>2279</v>
      </c>
      <c r="D1782" s="7" t="s">
        <v>357</v>
      </c>
      <c r="E1782" s="7" t="s">
        <v>154</v>
      </c>
      <c r="F1782" s="39" t="n">
        <v>45749</v>
      </c>
      <c r="G1782" s="41" t="n">
        <v>85.06</v>
      </c>
      <c r="H1782" s="39" t="n">
        <v>45822</v>
      </c>
      <c r="I1782" s="7" t="s">
        <v>14651</v>
      </c>
      <c r="J1782" s="8" t="str">
        <f aca="false">IF(I1782="Open",DATE(2025,12,31)-F1782,"-")</f>
        <v>-</v>
      </c>
    </row>
    <row r="1783" customFormat="false" ht="15" hidden="false" customHeight="false" outlineLevel="0" collapsed="false">
      <c r="B1783" s="7" t="s">
        <v>16428</v>
      </c>
      <c r="C1783" s="7" t="s">
        <v>2280</v>
      </c>
      <c r="D1783" s="7" t="s">
        <v>359</v>
      </c>
      <c r="E1783" s="7" t="s">
        <v>156</v>
      </c>
      <c r="F1783" s="39" t="n">
        <v>45749</v>
      </c>
      <c r="G1783" s="41" t="n">
        <v>127.5</v>
      </c>
      <c r="H1783" s="39" t="n">
        <v>45763</v>
      </c>
      <c r="I1783" s="7" t="s">
        <v>14651</v>
      </c>
      <c r="J1783" s="8" t="str">
        <f aca="false">IF(I1783="Open",DATE(2025,12,31)-F1783,"-")</f>
        <v>-</v>
      </c>
    </row>
    <row r="1784" customFormat="false" ht="15" hidden="false" customHeight="false" outlineLevel="0" collapsed="false">
      <c r="B1784" s="7" t="s">
        <v>16429</v>
      </c>
      <c r="C1784" s="7" t="s">
        <v>2281</v>
      </c>
      <c r="D1784" s="7" t="s">
        <v>371</v>
      </c>
      <c r="E1784" s="7" t="s">
        <v>154</v>
      </c>
      <c r="F1784" s="39" t="n">
        <v>45749</v>
      </c>
      <c r="G1784" s="41" t="n">
        <v>119.25</v>
      </c>
      <c r="H1784" s="39" t="n">
        <v>45801</v>
      </c>
      <c r="I1784" s="7" t="s">
        <v>14651</v>
      </c>
      <c r="J1784" s="8" t="str">
        <f aca="false">IF(I1784="Open",DATE(2025,12,31)-F1784,"-")</f>
        <v>-</v>
      </c>
    </row>
    <row r="1785" customFormat="false" ht="15" hidden="false" customHeight="false" outlineLevel="0" collapsed="false">
      <c r="B1785" s="7" t="s">
        <v>16430</v>
      </c>
      <c r="C1785" s="7" t="s">
        <v>2282</v>
      </c>
      <c r="D1785" s="7" t="s">
        <v>379</v>
      </c>
      <c r="E1785" s="7" t="s">
        <v>156</v>
      </c>
      <c r="F1785" s="39" t="n">
        <v>45749</v>
      </c>
      <c r="G1785" s="41" t="n">
        <v>159.8</v>
      </c>
      <c r="H1785" s="39" t="n">
        <v>45754</v>
      </c>
      <c r="I1785" s="7" t="s">
        <v>14651</v>
      </c>
      <c r="J1785" s="8" t="str">
        <f aca="false">IF(I1785="Open",DATE(2025,12,31)-F1785,"-")</f>
        <v>-</v>
      </c>
    </row>
    <row r="1786" customFormat="false" ht="15" hidden="false" customHeight="false" outlineLevel="0" collapsed="false">
      <c r="B1786" s="7" t="s">
        <v>16431</v>
      </c>
      <c r="C1786" s="7" t="s">
        <v>2283</v>
      </c>
      <c r="D1786" s="7" t="s">
        <v>389</v>
      </c>
      <c r="E1786" s="7" t="s">
        <v>154</v>
      </c>
      <c r="F1786" s="39" t="n">
        <v>45749</v>
      </c>
      <c r="G1786" s="41" t="n">
        <v>115.01</v>
      </c>
      <c r="H1786" s="39" t="n">
        <v>45801</v>
      </c>
      <c r="I1786" s="7" t="s">
        <v>14651</v>
      </c>
      <c r="J1786" s="8" t="str">
        <f aca="false">IF(I1786="Open",DATE(2025,12,31)-F1786,"-")</f>
        <v>-</v>
      </c>
    </row>
    <row r="1787" customFormat="false" ht="15" hidden="false" customHeight="false" outlineLevel="0" collapsed="false">
      <c r="B1787" s="7" t="s">
        <v>16432</v>
      </c>
      <c r="C1787" s="7" t="s">
        <v>2284</v>
      </c>
      <c r="D1787" s="7" t="s">
        <v>391</v>
      </c>
      <c r="E1787" s="7" t="s">
        <v>156</v>
      </c>
      <c r="F1787" s="39" t="n">
        <v>45749</v>
      </c>
      <c r="G1787" s="41" t="n">
        <v>126.48</v>
      </c>
      <c r="H1787" s="39" t="n">
        <v>45758</v>
      </c>
      <c r="I1787" s="7" t="s">
        <v>14651</v>
      </c>
      <c r="J1787" s="8" t="str">
        <f aca="false">IF(I1787="Open",DATE(2025,12,31)-F1787,"-")</f>
        <v>-</v>
      </c>
    </row>
    <row r="1788" customFormat="false" ht="15" hidden="false" customHeight="false" outlineLevel="0" collapsed="false">
      <c r="B1788" s="7" t="s">
        <v>16433</v>
      </c>
      <c r="C1788" s="7" t="s">
        <v>2285</v>
      </c>
      <c r="D1788" s="7" t="s">
        <v>393</v>
      </c>
      <c r="E1788" s="7" t="s">
        <v>157</v>
      </c>
      <c r="F1788" s="39" t="n">
        <v>45749</v>
      </c>
      <c r="G1788" s="41" t="n">
        <v>148.5</v>
      </c>
      <c r="H1788" s="39" t="n">
        <v>45792</v>
      </c>
      <c r="I1788" s="7" t="s">
        <v>14651</v>
      </c>
      <c r="J1788" s="8" t="str">
        <f aca="false">IF(I1788="Open",DATE(2025,12,31)-F1788,"-")</f>
        <v>-</v>
      </c>
    </row>
    <row r="1789" customFormat="false" ht="15" hidden="false" customHeight="false" outlineLevel="0" collapsed="false">
      <c r="B1789" s="7" t="s">
        <v>16434</v>
      </c>
      <c r="C1789" s="7" t="s">
        <v>2286</v>
      </c>
      <c r="D1789" s="7" t="s">
        <v>395</v>
      </c>
      <c r="E1789" s="7" t="s">
        <v>156</v>
      </c>
      <c r="F1789" s="39" t="n">
        <v>45749</v>
      </c>
      <c r="G1789" s="41" t="n">
        <v>131.58</v>
      </c>
      <c r="H1789" s="39" t="n">
        <v>45758</v>
      </c>
      <c r="I1789" s="7" t="s">
        <v>14651</v>
      </c>
      <c r="J1789" s="8" t="str">
        <f aca="false">IF(I1789="Open",DATE(2025,12,31)-F1789,"-")</f>
        <v>-</v>
      </c>
    </row>
    <row r="1790" customFormat="false" ht="15" hidden="false" customHeight="false" outlineLevel="0" collapsed="false">
      <c r="B1790" s="7" t="s">
        <v>16435</v>
      </c>
      <c r="C1790" s="7" t="s">
        <v>2287</v>
      </c>
      <c r="D1790" s="7" t="s">
        <v>399</v>
      </c>
      <c r="E1790" s="7" t="s">
        <v>154</v>
      </c>
      <c r="F1790" s="39" t="n">
        <v>45749</v>
      </c>
      <c r="G1790" s="41" t="n">
        <v>84.53</v>
      </c>
      <c r="H1790" s="39" t="n">
        <v>45796</v>
      </c>
      <c r="I1790" s="7" t="s">
        <v>14651</v>
      </c>
      <c r="J1790" s="8" t="str">
        <f aca="false">IF(I1790="Open",DATE(2025,12,31)-F1790,"-")</f>
        <v>-</v>
      </c>
    </row>
    <row r="1791" customFormat="false" ht="15" hidden="false" customHeight="false" outlineLevel="0" collapsed="false">
      <c r="B1791" s="7" t="s">
        <v>16436</v>
      </c>
      <c r="C1791" s="7" t="s">
        <v>2288</v>
      </c>
      <c r="D1791" s="7" t="s">
        <v>401</v>
      </c>
      <c r="E1791" s="7" t="s">
        <v>156</v>
      </c>
      <c r="F1791" s="39" t="n">
        <v>45749</v>
      </c>
      <c r="G1791" s="41" t="n">
        <v>138.04</v>
      </c>
      <c r="H1791" s="39" t="n">
        <v>45757</v>
      </c>
      <c r="I1791" s="7" t="s">
        <v>14651</v>
      </c>
      <c r="J1791" s="8" t="str">
        <f aca="false">IF(I1791="Open",DATE(2025,12,31)-F1791,"-")</f>
        <v>-</v>
      </c>
    </row>
    <row r="1792" customFormat="false" ht="15" hidden="false" customHeight="false" outlineLevel="0" collapsed="false">
      <c r="B1792" s="7" t="s">
        <v>16437</v>
      </c>
      <c r="C1792" s="7" t="s">
        <v>2289</v>
      </c>
      <c r="D1792" s="7" t="s">
        <v>409</v>
      </c>
      <c r="E1792" s="7" t="s">
        <v>154</v>
      </c>
      <c r="F1792" s="39" t="n">
        <v>45749</v>
      </c>
      <c r="G1792" s="41" t="n">
        <v>95.4</v>
      </c>
      <c r="H1792" s="39" t="n">
        <v>45811</v>
      </c>
      <c r="I1792" s="7" t="s">
        <v>14651</v>
      </c>
      <c r="J1792" s="8" t="str">
        <f aca="false">IF(I1792="Open",DATE(2025,12,31)-F1792,"-")</f>
        <v>-</v>
      </c>
    </row>
    <row r="1793" customFormat="false" ht="15" hidden="false" customHeight="false" outlineLevel="0" collapsed="false">
      <c r="B1793" s="7" t="s">
        <v>16438</v>
      </c>
      <c r="C1793" s="7" t="s">
        <v>2290</v>
      </c>
      <c r="D1793" s="7" t="s">
        <v>411</v>
      </c>
      <c r="E1793" s="7" t="s">
        <v>154</v>
      </c>
      <c r="F1793" s="39" t="n">
        <v>45749</v>
      </c>
      <c r="G1793" s="41" t="n">
        <v>125.45</v>
      </c>
      <c r="H1793" s="39" t="n">
        <v>45805</v>
      </c>
      <c r="I1793" s="7" t="s">
        <v>14651</v>
      </c>
      <c r="J1793" s="8" t="str">
        <f aca="false">IF(I1793="Open",DATE(2025,12,31)-F1793,"-")</f>
        <v>-</v>
      </c>
    </row>
    <row r="1794" customFormat="false" ht="15" hidden="false" customHeight="false" outlineLevel="0" collapsed="false">
      <c r="B1794" s="7" t="s">
        <v>16439</v>
      </c>
      <c r="C1794" s="7" t="s">
        <v>2291</v>
      </c>
      <c r="D1794" s="7" t="s">
        <v>288</v>
      </c>
      <c r="E1794" s="7" t="s">
        <v>156</v>
      </c>
      <c r="F1794" s="39" t="n">
        <v>45750</v>
      </c>
      <c r="G1794" s="41" t="n">
        <v>137.36</v>
      </c>
      <c r="H1794" s="39" t="n">
        <v>45759</v>
      </c>
      <c r="I1794" s="7" t="s">
        <v>14651</v>
      </c>
      <c r="J1794" s="8" t="str">
        <f aca="false">IF(I1794="Open",DATE(2025,12,31)-F1794,"-")</f>
        <v>-</v>
      </c>
    </row>
    <row r="1795" customFormat="false" ht="15" hidden="false" customHeight="false" outlineLevel="0" collapsed="false">
      <c r="B1795" s="7" t="s">
        <v>16440</v>
      </c>
      <c r="C1795" s="7" t="s">
        <v>2292</v>
      </c>
      <c r="D1795" s="7" t="s">
        <v>297</v>
      </c>
      <c r="E1795" s="7" t="s">
        <v>156</v>
      </c>
      <c r="F1795" s="39" t="n">
        <v>45750</v>
      </c>
      <c r="G1795" s="41" t="n">
        <v>108.8</v>
      </c>
      <c r="H1795" s="39" t="n">
        <v>45761</v>
      </c>
      <c r="I1795" s="7" t="s">
        <v>14651</v>
      </c>
      <c r="J1795" s="8" t="str">
        <f aca="false">IF(I1795="Open",DATE(2025,12,31)-F1795,"-")</f>
        <v>-</v>
      </c>
    </row>
    <row r="1796" customFormat="false" ht="15" hidden="false" customHeight="false" outlineLevel="0" collapsed="false">
      <c r="B1796" s="7" t="s">
        <v>16441</v>
      </c>
      <c r="C1796" s="7" t="s">
        <v>2293</v>
      </c>
      <c r="D1796" s="7" t="s">
        <v>311</v>
      </c>
      <c r="E1796" s="7" t="s">
        <v>154</v>
      </c>
      <c r="F1796" s="39" t="n">
        <v>45750</v>
      </c>
      <c r="G1796" s="41" t="n">
        <v>72.34</v>
      </c>
      <c r="H1796" s="39" t="n">
        <v>45807</v>
      </c>
      <c r="I1796" s="7" t="s">
        <v>14651</v>
      </c>
      <c r="J1796" s="8" t="str">
        <f aca="false">IF(I1796="Open",DATE(2025,12,31)-F1796,"-")</f>
        <v>-</v>
      </c>
    </row>
    <row r="1797" customFormat="false" ht="15" hidden="false" customHeight="false" outlineLevel="0" collapsed="false">
      <c r="B1797" s="7" t="s">
        <v>16442</v>
      </c>
      <c r="C1797" s="7" t="s">
        <v>2294</v>
      </c>
      <c r="D1797" s="7" t="s">
        <v>313</v>
      </c>
      <c r="E1797" s="7" t="s">
        <v>156</v>
      </c>
      <c r="F1797" s="39" t="n">
        <v>45750</v>
      </c>
      <c r="G1797" s="41" t="n">
        <v>128.52</v>
      </c>
      <c r="H1797" s="39" t="n">
        <v>45761</v>
      </c>
      <c r="I1797" s="7" t="s">
        <v>14651</v>
      </c>
      <c r="J1797" s="8" t="str">
        <f aca="false">IF(I1797="Open",DATE(2025,12,31)-F1797,"-")</f>
        <v>-</v>
      </c>
    </row>
    <row r="1798" customFormat="false" ht="15" hidden="false" customHeight="false" outlineLevel="0" collapsed="false">
      <c r="B1798" s="7" t="s">
        <v>16443</v>
      </c>
      <c r="C1798" s="7" t="s">
        <v>2295</v>
      </c>
      <c r="D1798" s="7" t="s">
        <v>317</v>
      </c>
      <c r="E1798" s="7" t="s">
        <v>156</v>
      </c>
      <c r="F1798" s="39" t="n">
        <v>45750</v>
      </c>
      <c r="G1798" s="41" t="n">
        <v>92.14</v>
      </c>
      <c r="H1798" s="39" t="n">
        <v>45762</v>
      </c>
      <c r="I1798" s="7" t="s">
        <v>14651</v>
      </c>
      <c r="J1798" s="8" t="str">
        <f aca="false">IF(I1798="Open",DATE(2025,12,31)-F1798,"-")</f>
        <v>-</v>
      </c>
    </row>
    <row r="1799" customFormat="false" ht="15" hidden="false" customHeight="false" outlineLevel="0" collapsed="false">
      <c r="B1799" s="7" t="s">
        <v>16444</v>
      </c>
      <c r="C1799" s="7" t="s">
        <v>2296</v>
      </c>
      <c r="D1799" s="7" t="s">
        <v>321</v>
      </c>
      <c r="E1799" s="7" t="s">
        <v>154</v>
      </c>
      <c r="F1799" s="39" t="n">
        <v>45750</v>
      </c>
      <c r="G1799" s="41" t="n">
        <v>109.71</v>
      </c>
      <c r="H1799" s="39" t="n">
        <v>45800</v>
      </c>
      <c r="I1799" s="7" t="s">
        <v>14651</v>
      </c>
      <c r="J1799" s="8" t="str">
        <f aca="false">IF(I1799="Open",DATE(2025,12,31)-F1799,"-")</f>
        <v>-</v>
      </c>
    </row>
    <row r="1800" customFormat="false" ht="15" hidden="false" customHeight="false" outlineLevel="0" collapsed="false">
      <c r="B1800" s="7" t="s">
        <v>16445</v>
      </c>
      <c r="C1800" s="7" t="s">
        <v>2297</v>
      </c>
      <c r="D1800" s="7" t="s">
        <v>325</v>
      </c>
      <c r="E1800" s="7" t="s">
        <v>154</v>
      </c>
      <c r="F1800" s="39" t="n">
        <v>45750</v>
      </c>
      <c r="G1800" s="41" t="n">
        <v>74.73</v>
      </c>
      <c r="H1800" s="39" t="n">
        <v>45786</v>
      </c>
      <c r="I1800" s="7" t="s">
        <v>14651</v>
      </c>
      <c r="J1800" s="8" t="str">
        <f aca="false">IF(I1800="Open",DATE(2025,12,31)-F1800,"-")</f>
        <v>-</v>
      </c>
    </row>
    <row r="1801" customFormat="false" ht="15" hidden="false" customHeight="false" outlineLevel="0" collapsed="false">
      <c r="B1801" s="7" t="s">
        <v>16446</v>
      </c>
      <c r="C1801" s="7" t="s">
        <v>2298</v>
      </c>
      <c r="D1801" s="7" t="s">
        <v>329</v>
      </c>
      <c r="E1801" s="7" t="s">
        <v>156</v>
      </c>
      <c r="F1801" s="39" t="n">
        <v>45750</v>
      </c>
      <c r="G1801" s="41" t="n">
        <v>147.9</v>
      </c>
      <c r="H1801" s="39" t="n">
        <v>45752</v>
      </c>
      <c r="I1801" s="7" t="s">
        <v>14651</v>
      </c>
      <c r="J1801" s="8" t="str">
        <f aca="false">IF(I1801="Open",DATE(2025,12,31)-F1801,"-")</f>
        <v>-</v>
      </c>
    </row>
    <row r="1802" customFormat="false" ht="15" hidden="false" customHeight="false" outlineLevel="0" collapsed="false">
      <c r="B1802" s="7" t="s">
        <v>16447</v>
      </c>
      <c r="C1802" s="7" t="s">
        <v>2299</v>
      </c>
      <c r="D1802" s="7" t="s">
        <v>331</v>
      </c>
      <c r="E1802" s="7" t="s">
        <v>156</v>
      </c>
      <c r="F1802" s="39" t="n">
        <v>45750</v>
      </c>
      <c r="G1802" s="41" t="n">
        <v>126.48</v>
      </c>
      <c r="H1802" s="39" t="n">
        <v>45759</v>
      </c>
      <c r="I1802" s="7" t="s">
        <v>14651</v>
      </c>
      <c r="J1802" s="8" t="str">
        <f aca="false">IF(I1802="Open",DATE(2025,12,31)-F1802,"-")</f>
        <v>-</v>
      </c>
    </row>
    <row r="1803" customFormat="false" ht="15" hidden="false" customHeight="false" outlineLevel="0" collapsed="false">
      <c r="B1803" s="7" t="s">
        <v>16448</v>
      </c>
      <c r="C1803" s="7" t="s">
        <v>2300</v>
      </c>
      <c r="D1803" s="7" t="s">
        <v>337</v>
      </c>
      <c r="E1803" s="7" t="s">
        <v>154</v>
      </c>
      <c r="F1803" s="39" t="n">
        <v>45750</v>
      </c>
      <c r="G1803" s="41" t="n">
        <v>77.38</v>
      </c>
      <c r="H1803" s="39" t="n">
        <v>45849</v>
      </c>
      <c r="I1803" s="7" t="s">
        <v>14651</v>
      </c>
      <c r="J1803" s="8" t="str">
        <f aca="false">IF(I1803="Open",DATE(2025,12,31)-F1803,"-")</f>
        <v>-</v>
      </c>
    </row>
    <row r="1804" customFormat="false" ht="15" hidden="false" customHeight="false" outlineLevel="0" collapsed="false">
      <c r="B1804" s="7" t="s">
        <v>16449</v>
      </c>
      <c r="C1804" s="7" t="s">
        <v>2301</v>
      </c>
      <c r="D1804" s="7" t="s">
        <v>341</v>
      </c>
      <c r="E1804" s="7" t="s">
        <v>156</v>
      </c>
      <c r="F1804" s="39" t="n">
        <v>45750</v>
      </c>
      <c r="G1804" s="41" t="n">
        <v>111.86</v>
      </c>
      <c r="H1804" s="39" t="n">
        <v>45755</v>
      </c>
      <c r="I1804" s="7" t="s">
        <v>14651</v>
      </c>
      <c r="J1804" s="8" t="str">
        <f aca="false">IF(I1804="Open",DATE(2025,12,31)-F1804,"-")</f>
        <v>-</v>
      </c>
    </row>
    <row r="1805" customFormat="false" ht="15" hidden="false" customHeight="false" outlineLevel="0" collapsed="false">
      <c r="B1805" s="7" t="s">
        <v>16450</v>
      </c>
      <c r="C1805" s="7" t="s">
        <v>2302</v>
      </c>
      <c r="D1805" s="7" t="s">
        <v>343</v>
      </c>
      <c r="E1805" s="7" t="s">
        <v>154</v>
      </c>
      <c r="F1805" s="39" t="n">
        <v>45750</v>
      </c>
      <c r="G1805" s="41" t="n">
        <v>110.77</v>
      </c>
      <c r="H1805" s="39" t="n">
        <v>45815</v>
      </c>
      <c r="I1805" s="7" t="s">
        <v>14651</v>
      </c>
      <c r="J1805" s="8" t="str">
        <f aca="false">IF(I1805="Open",DATE(2025,12,31)-F1805,"-")</f>
        <v>-</v>
      </c>
    </row>
    <row r="1806" customFormat="false" ht="15" hidden="false" customHeight="false" outlineLevel="0" collapsed="false">
      <c r="B1806" s="7" t="s">
        <v>16451</v>
      </c>
      <c r="C1806" s="7" t="s">
        <v>2303</v>
      </c>
      <c r="D1806" s="7" t="s">
        <v>359</v>
      </c>
      <c r="E1806" s="7" t="s">
        <v>156</v>
      </c>
      <c r="F1806" s="39" t="n">
        <v>45750</v>
      </c>
      <c r="G1806" s="41" t="n">
        <v>144.16</v>
      </c>
      <c r="H1806" s="39" t="n">
        <v>45767</v>
      </c>
      <c r="I1806" s="7" t="s">
        <v>14651</v>
      </c>
      <c r="J1806" s="8" t="str">
        <f aca="false">IF(I1806="Open",DATE(2025,12,31)-F1806,"-")</f>
        <v>-</v>
      </c>
    </row>
    <row r="1807" customFormat="false" ht="15" hidden="false" customHeight="false" outlineLevel="0" collapsed="false">
      <c r="B1807" s="7" t="s">
        <v>16452</v>
      </c>
      <c r="C1807" s="7" t="s">
        <v>2304</v>
      </c>
      <c r="D1807" s="7" t="s">
        <v>363</v>
      </c>
      <c r="E1807" s="7" t="s">
        <v>156</v>
      </c>
      <c r="F1807" s="39" t="n">
        <v>45750</v>
      </c>
      <c r="G1807" s="41" t="n">
        <v>148.92</v>
      </c>
      <c r="H1807" s="39" t="n">
        <v>45760</v>
      </c>
      <c r="I1807" s="7" t="s">
        <v>14651</v>
      </c>
      <c r="J1807" s="8" t="str">
        <f aca="false">IF(I1807="Open",DATE(2025,12,31)-F1807,"-")</f>
        <v>-</v>
      </c>
    </row>
    <row r="1808" customFormat="false" ht="15" hidden="false" customHeight="false" outlineLevel="0" collapsed="false">
      <c r="B1808" s="7" t="s">
        <v>16453</v>
      </c>
      <c r="C1808" s="7" t="s">
        <v>2305</v>
      </c>
      <c r="D1808" s="7" t="s">
        <v>375</v>
      </c>
      <c r="E1808" s="7" t="s">
        <v>156</v>
      </c>
      <c r="F1808" s="39" t="n">
        <v>45750</v>
      </c>
      <c r="G1808" s="41" t="n">
        <v>94.52</v>
      </c>
      <c r="H1808" s="39" t="n">
        <v>45766</v>
      </c>
      <c r="I1808" s="7" t="s">
        <v>14651</v>
      </c>
      <c r="J1808" s="8" t="str">
        <f aca="false">IF(I1808="Open",DATE(2025,12,31)-F1808,"-")</f>
        <v>-</v>
      </c>
    </row>
    <row r="1809" customFormat="false" ht="15" hidden="false" customHeight="false" outlineLevel="0" collapsed="false">
      <c r="B1809" s="7" t="s">
        <v>16454</v>
      </c>
      <c r="C1809" s="7" t="s">
        <v>2306</v>
      </c>
      <c r="D1809" s="7" t="s">
        <v>377</v>
      </c>
      <c r="E1809" s="7" t="s">
        <v>154</v>
      </c>
      <c r="F1809" s="39" t="n">
        <v>45750</v>
      </c>
      <c r="G1809" s="41" t="n">
        <v>99.91</v>
      </c>
      <c r="H1809" s="39" t="n">
        <v>45785</v>
      </c>
      <c r="I1809" s="7" t="s">
        <v>14651</v>
      </c>
      <c r="J1809" s="8" t="str">
        <f aca="false">IF(I1809="Open",DATE(2025,12,31)-F1809,"-")</f>
        <v>-</v>
      </c>
    </row>
    <row r="1810" customFormat="false" ht="15" hidden="false" customHeight="false" outlineLevel="0" collapsed="false">
      <c r="B1810" s="7" t="s">
        <v>16455</v>
      </c>
      <c r="C1810" s="7" t="s">
        <v>2307</v>
      </c>
      <c r="D1810" s="7" t="s">
        <v>389</v>
      </c>
      <c r="E1810" s="7" t="s">
        <v>154</v>
      </c>
      <c r="F1810" s="39" t="n">
        <v>45750</v>
      </c>
      <c r="G1810" s="41" t="n">
        <v>116.33</v>
      </c>
      <c r="H1810" s="39" t="n">
        <v>45792</v>
      </c>
      <c r="I1810" s="7" t="s">
        <v>14651</v>
      </c>
      <c r="J1810" s="8" t="str">
        <f aca="false">IF(I1810="Open",DATE(2025,12,31)-F1810,"-")</f>
        <v>-</v>
      </c>
    </row>
    <row r="1811" customFormat="false" ht="15" hidden="false" customHeight="false" outlineLevel="0" collapsed="false">
      <c r="B1811" s="7" t="s">
        <v>16456</v>
      </c>
      <c r="C1811" s="7" t="s">
        <v>2308</v>
      </c>
      <c r="D1811" s="7" t="s">
        <v>391</v>
      </c>
      <c r="E1811" s="7" t="s">
        <v>156</v>
      </c>
      <c r="F1811" s="39" t="n">
        <v>45750</v>
      </c>
      <c r="G1811" s="41" t="n">
        <v>142.8</v>
      </c>
      <c r="H1811" s="39" t="n">
        <v>45753</v>
      </c>
      <c r="I1811" s="7" t="s">
        <v>14651</v>
      </c>
      <c r="J1811" s="8" t="str">
        <f aca="false">IF(I1811="Open",DATE(2025,12,31)-F1811,"-")</f>
        <v>-</v>
      </c>
    </row>
    <row r="1812" customFormat="false" ht="15" hidden="false" customHeight="false" outlineLevel="0" collapsed="false">
      <c r="B1812" s="7" t="s">
        <v>16457</v>
      </c>
      <c r="C1812" s="7" t="s">
        <v>2309</v>
      </c>
      <c r="D1812" s="7" t="s">
        <v>395</v>
      </c>
      <c r="E1812" s="7" t="s">
        <v>156</v>
      </c>
      <c r="F1812" s="39" t="n">
        <v>45750</v>
      </c>
      <c r="G1812" s="41" t="n">
        <v>147.22</v>
      </c>
      <c r="H1812" s="39" t="n">
        <v>45764</v>
      </c>
      <c r="I1812" s="7" t="s">
        <v>14651</v>
      </c>
      <c r="J1812" s="8" t="str">
        <f aca="false">IF(I1812="Open",DATE(2025,12,31)-F1812,"-")</f>
        <v>-</v>
      </c>
    </row>
    <row r="1813" customFormat="false" ht="15" hidden="false" customHeight="false" outlineLevel="0" collapsed="false">
      <c r="B1813" s="7" t="s">
        <v>16458</v>
      </c>
      <c r="C1813" s="7" t="s">
        <v>2310</v>
      </c>
      <c r="D1813" s="7" t="s">
        <v>401</v>
      </c>
      <c r="E1813" s="7" t="s">
        <v>156</v>
      </c>
      <c r="F1813" s="39" t="n">
        <v>45750</v>
      </c>
      <c r="G1813" s="41" t="n">
        <v>141.78</v>
      </c>
      <c r="H1813" s="39" t="n">
        <v>45766</v>
      </c>
      <c r="I1813" s="7" t="s">
        <v>14651</v>
      </c>
      <c r="J1813" s="8" t="str">
        <f aca="false">IF(I1813="Open",DATE(2025,12,31)-F1813,"-")</f>
        <v>-</v>
      </c>
    </row>
    <row r="1814" customFormat="false" ht="15" hidden="false" customHeight="false" outlineLevel="0" collapsed="false">
      <c r="B1814" s="7" t="s">
        <v>16459</v>
      </c>
      <c r="C1814" s="7" t="s">
        <v>2311</v>
      </c>
      <c r="D1814" s="7" t="s">
        <v>280</v>
      </c>
      <c r="E1814" s="7" t="s">
        <v>157</v>
      </c>
      <c r="F1814" s="39" t="n">
        <v>45751</v>
      </c>
      <c r="G1814" s="41" t="n">
        <v>155.1</v>
      </c>
      <c r="H1814" s="39" t="n">
        <v>45791</v>
      </c>
      <c r="I1814" s="7" t="s">
        <v>14651</v>
      </c>
      <c r="J1814" s="8" t="str">
        <f aca="false">IF(I1814="Open",DATE(2025,12,31)-F1814,"-")</f>
        <v>-</v>
      </c>
    </row>
    <row r="1815" customFormat="false" ht="15" hidden="false" customHeight="false" outlineLevel="0" collapsed="false">
      <c r="B1815" s="7" t="s">
        <v>16460</v>
      </c>
      <c r="C1815" s="7" t="s">
        <v>2312</v>
      </c>
      <c r="D1815" s="7" t="s">
        <v>288</v>
      </c>
      <c r="E1815" s="7" t="s">
        <v>156</v>
      </c>
      <c r="F1815" s="39" t="n">
        <v>45751</v>
      </c>
      <c r="G1815" s="41" t="n">
        <v>123.42</v>
      </c>
      <c r="H1815" s="39" t="n">
        <v>45774</v>
      </c>
      <c r="I1815" s="7" t="s">
        <v>14651</v>
      </c>
      <c r="J1815" s="8" t="str">
        <f aca="false">IF(I1815="Open",DATE(2025,12,31)-F1815,"-")</f>
        <v>-</v>
      </c>
    </row>
    <row r="1816" customFormat="false" ht="15" hidden="false" customHeight="false" outlineLevel="0" collapsed="false">
      <c r="B1816" s="7" t="s">
        <v>16461</v>
      </c>
      <c r="C1816" s="7" t="s">
        <v>2313</v>
      </c>
      <c r="D1816" s="7" t="s">
        <v>291</v>
      </c>
      <c r="E1816" s="7" t="s">
        <v>154</v>
      </c>
      <c r="F1816" s="39" t="n">
        <v>45751</v>
      </c>
      <c r="G1816" s="41" t="n">
        <v>118.72</v>
      </c>
      <c r="H1816" s="39" t="n">
        <v>45792</v>
      </c>
      <c r="I1816" s="7" t="s">
        <v>14651</v>
      </c>
      <c r="J1816" s="8" t="str">
        <f aca="false">IF(I1816="Open",DATE(2025,12,31)-F1816,"-")</f>
        <v>-</v>
      </c>
    </row>
    <row r="1817" customFormat="false" ht="15" hidden="false" customHeight="false" outlineLevel="0" collapsed="false">
      <c r="B1817" s="7" t="s">
        <v>16462</v>
      </c>
      <c r="C1817" s="7" t="s">
        <v>2314</v>
      </c>
      <c r="D1817" s="7" t="s">
        <v>305</v>
      </c>
      <c r="E1817" s="7" t="s">
        <v>154</v>
      </c>
      <c r="F1817" s="39" t="n">
        <v>45751</v>
      </c>
      <c r="G1817" s="41" t="n">
        <v>101.76</v>
      </c>
      <c r="H1817" s="39" t="n">
        <v>45809</v>
      </c>
      <c r="I1817" s="7" t="s">
        <v>14651</v>
      </c>
      <c r="J1817" s="8" t="str">
        <f aca="false">IF(I1817="Open",DATE(2025,12,31)-F1817,"-")</f>
        <v>-</v>
      </c>
    </row>
    <row r="1818" customFormat="false" ht="15" hidden="false" customHeight="false" outlineLevel="0" collapsed="false">
      <c r="B1818" s="7" t="s">
        <v>16463</v>
      </c>
      <c r="C1818" s="7" t="s">
        <v>2315</v>
      </c>
      <c r="D1818" s="7" t="s">
        <v>307</v>
      </c>
      <c r="E1818" s="7" t="s">
        <v>157</v>
      </c>
      <c r="F1818" s="39" t="n">
        <v>45751</v>
      </c>
      <c r="G1818" s="41" t="n">
        <v>151.8</v>
      </c>
      <c r="H1818" s="39" t="n">
        <v>45788</v>
      </c>
      <c r="I1818" s="7" t="s">
        <v>14651</v>
      </c>
      <c r="J1818" s="8" t="str">
        <f aca="false">IF(I1818="Open",DATE(2025,12,31)-F1818,"-")</f>
        <v>-</v>
      </c>
    </row>
    <row r="1819" customFormat="false" ht="15" hidden="false" customHeight="false" outlineLevel="0" collapsed="false">
      <c r="B1819" s="7" t="s">
        <v>16464</v>
      </c>
      <c r="C1819" s="7" t="s">
        <v>2316</v>
      </c>
      <c r="D1819" s="7" t="s">
        <v>309</v>
      </c>
      <c r="E1819" s="7" t="s">
        <v>159</v>
      </c>
      <c r="F1819" s="39" t="n">
        <v>45751</v>
      </c>
      <c r="G1819" s="41" t="n">
        <v>126.9</v>
      </c>
      <c r="H1819" s="39" t="n">
        <v>45792</v>
      </c>
      <c r="I1819" s="7" t="s">
        <v>14651</v>
      </c>
      <c r="J1819" s="8" t="str">
        <f aca="false">IF(I1819="Open",DATE(2025,12,31)-F1819,"-")</f>
        <v>-</v>
      </c>
    </row>
    <row r="1820" customFormat="false" ht="15" hidden="false" customHeight="false" outlineLevel="0" collapsed="false">
      <c r="B1820" s="7" t="s">
        <v>16465</v>
      </c>
      <c r="C1820" s="7" t="s">
        <v>2317</v>
      </c>
      <c r="D1820" s="7" t="s">
        <v>313</v>
      </c>
      <c r="E1820" s="7" t="s">
        <v>156</v>
      </c>
      <c r="F1820" s="39" t="n">
        <v>45751</v>
      </c>
      <c r="G1820" s="41" t="n">
        <v>123.08</v>
      </c>
      <c r="H1820" s="39" t="n">
        <v>45767</v>
      </c>
      <c r="I1820" s="7" t="s">
        <v>14651</v>
      </c>
      <c r="J1820" s="8" t="str">
        <f aca="false">IF(I1820="Open",DATE(2025,12,31)-F1820,"-")</f>
        <v>-</v>
      </c>
    </row>
    <row r="1821" customFormat="false" ht="15" hidden="false" customHeight="false" outlineLevel="0" collapsed="false">
      <c r="B1821" s="7" t="s">
        <v>16466</v>
      </c>
      <c r="C1821" s="7" t="s">
        <v>2318</v>
      </c>
      <c r="D1821" s="7" t="s">
        <v>319</v>
      </c>
      <c r="E1821" s="7" t="s">
        <v>157</v>
      </c>
      <c r="F1821" s="39" t="n">
        <v>45751</v>
      </c>
      <c r="G1821" s="41" t="n">
        <v>179.85</v>
      </c>
      <c r="H1821" s="39" t="n">
        <v>45831</v>
      </c>
      <c r="I1821" s="7" t="s">
        <v>14651</v>
      </c>
      <c r="J1821" s="8" t="str">
        <f aca="false">IF(I1821="Open",DATE(2025,12,31)-F1821,"-")</f>
        <v>-</v>
      </c>
    </row>
    <row r="1822" customFormat="false" ht="15" hidden="false" customHeight="false" outlineLevel="0" collapsed="false">
      <c r="B1822" s="7" t="s">
        <v>16467</v>
      </c>
      <c r="C1822" s="7" t="s">
        <v>2319</v>
      </c>
      <c r="D1822" s="7" t="s">
        <v>321</v>
      </c>
      <c r="E1822" s="7" t="s">
        <v>154</v>
      </c>
      <c r="F1822" s="39" t="n">
        <v>45751</v>
      </c>
      <c r="G1822" s="41" t="n">
        <v>105.47</v>
      </c>
      <c r="H1822" s="39" t="n">
        <v>45804</v>
      </c>
      <c r="I1822" s="7" t="s">
        <v>14651</v>
      </c>
      <c r="J1822" s="8" t="str">
        <f aca="false">IF(I1822="Open",DATE(2025,12,31)-F1822,"-")</f>
        <v>-</v>
      </c>
    </row>
    <row r="1823" customFormat="false" ht="15" hidden="false" customHeight="false" outlineLevel="0" collapsed="false">
      <c r="B1823" s="7" t="s">
        <v>16468</v>
      </c>
      <c r="C1823" s="7" t="s">
        <v>2320</v>
      </c>
      <c r="D1823" s="7" t="s">
        <v>323</v>
      </c>
      <c r="E1823" s="7" t="s">
        <v>159</v>
      </c>
      <c r="F1823" s="39" t="n">
        <v>45751</v>
      </c>
      <c r="G1823" s="41" t="n">
        <v>140.4</v>
      </c>
      <c r="H1823" s="39" t="n">
        <v>45782</v>
      </c>
      <c r="I1823" s="7" t="s">
        <v>14651</v>
      </c>
      <c r="J1823" s="8" t="str">
        <f aca="false">IF(I1823="Open",DATE(2025,12,31)-F1823,"-")</f>
        <v>-</v>
      </c>
    </row>
    <row r="1824" customFormat="false" ht="15" hidden="false" customHeight="false" outlineLevel="0" collapsed="false">
      <c r="B1824" s="7" t="s">
        <v>16469</v>
      </c>
      <c r="C1824" s="7" t="s">
        <v>2321</v>
      </c>
      <c r="D1824" s="7" t="s">
        <v>327</v>
      </c>
      <c r="E1824" s="7" t="s">
        <v>157</v>
      </c>
      <c r="F1824" s="39" t="n">
        <v>45751</v>
      </c>
      <c r="G1824" s="41" t="n">
        <v>151.97</v>
      </c>
      <c r="H1824" s="39" t="n">
        <v>45777</v>
      </c>
      <c r="I1824" s="7" t="s">
        <v>14651</v>
      </c>
      <c r="J1824" s="8" t="str">
        <f aca="false">IF(I1824="Open",DATE(2025,12,31)-F1824,"-")</f>
        <v>-</v>
      </c>
    </row>
    <row r="1825" customFormat="false" ht="15" hidden="false" customHeight="false" outlineLevel="0" collapsed="false">
      <c r="B1825" s="7" t="s">
        <v>16470</v>
      </c>
      <c r="C1825" s="7" t="s">
        <v>2322</v>
      </c>
      <c r="D1825" s="7" t="s">
        <v>329</v>
      </c>
      <c r="E1825" s="7" t="s">
        <v>156</v>
      </c>
      <c r="F1825" s="39" t="n">
        <v>45751</v>
      </c>
      <c r="G1825" s="41" t="n">
        <v>129.54</v>
      </c>
      <c r="H1825" s="39" t="n">
        <v>45758</v>
      </c>
      <c r="I1825" s="7" t="s">
        <v>14651</v>
      </c>
      <c r="J1825" s="8" t="str">
        <f aca="false">IF(I1825="Open",DATE(2025,12,31)-F1825,"-")</f>
        <v>-</v>
      </c>
    </row>
    <row r="1826" customFormat="false" ht="15" hidden="false" customHeight="false" outlineLevel="0" collapsed="false">
      <c r="B1826" s="7" t="s">
        <v>16471</v>
      </c>
      <c r="C1826" s="7" t="s">
        <v>2323</v>
      </c>
      <c r="D1826" s="7" t="s">
        <v>335</v>
      </c>
      <c r="E1826" s="7" t="s">
        <v>154</v>
      </c>
      <c r="F1826" s="39" t="n">
        <v>45751</v>
      </c>
      <c r="G1826" s="41" t="n">
        <v>105.2</v>
      </c>
      <c r="H1826" s="39" t="n">
        <v>45820</v>
      </c>
      <c r="I1826" s="7" t="s">
        <v>14651</v>
      </c>
      <c r="J1826" s="8" t="str">
        <f aca="false">IF(I1826="Open",DATE(2025,12,31)-F1826,"-")</f>
        <v>-</v>
      </c>
    </row>
    <row r="1827" customFormat="false" ht="15" hidden="false" customHeight="false" outlineLevel="0" collapsed="false">
      <c r="B1827" s="7" t="s">
        <v>16472</v>
      </c>
      <c r="C1827" s="7" t="s">
        <v>2324</v>
      </c>
      <c r="D1827" s="7" t="s">
        <v>339</v>
      </c>
      <c r="E1827" s="7" t="s">
        <v>154</v>
      </c>
      <c r="F1827" s="39" t="n">
        <v>45751</v>
      </c>
      <c r="G1827" s="41" t="n">
        <v>80.56</v>
      </c>
      <c r="H1827" s="39" t="n">
        <v>45866</v>
      </c>
      <c r="I1827" s="7" t="s">
        <v>14651</v>
      </c>
      <c r="J1827" s="8" t="str">
        <f aca="false">IF(I1827="Open",DATE(2025,12,31)-F1827,"-")</f>
        <v>-</v>
      </c>
    </row>
    <row r="1828" customFormat="false" ht="15" hidden="false" customHeight="false" outlineLevel="0" collapsed="false">
      <c r="B1828" s="7" t="s">
        <v>16473</v>
      </c>
      <c r="C1828" s="7" t="s">
        <v>2325</v>
      </c>
      <c r="D1828" s="7" t="s">
        <v>353</v>
      </c>
      <c r="E1828" s="7" t="s">
        <v>154</v>
      </c>
      <c r="F1828" s="39" t="n">
        <v>45751</v>
      </c>
      <c r="G1828" s="41" t="n">
        <v>96.46</v>
      </c>
      <c r="H1828" s="39" t="n">
        <v>45821</v>
      </c>
      <c r="I1828" s="7" t="s">
        <v>14651</v>
      </c>
      <c r="J1828" s="8" t="str">
        <f aca="false">IF(I1828="Open",DATE(2025,12,31)-F1828,"-")</f>
        <v>-</v>
      </c>
    </row>
    <row r="1829" customFormat="false" ht="15" hidden="false" customHeight="false" outlineLevel="0" collapsed="false">
      <c r="B1829" s="7" t="s">
        <v>16474</v>
      </c>
      <c r="C1829" s="7" t="s">
        <v>2326</v>
      </c>
      <c r="D1829" s="7" t="s">
        <v>355</v>
      </c>
      <c r="E1829" s="7" t="s">
        <v>154</v>
      </c>
      <c r="F1829" s="39" t="n">
        <v>45751</v>
      </c>
      <c r="G1829" s="41" t="n">
        <v>90.9</v>
      </c>
      <c r="H1829" s="39" t="n">
        <v>45805</v>
      </c>
      <c r="I1829" s="7" t="s">
        <v>14651</v>
      </c>
      <c r="J1829" s="8" t="str">
        <f aca="false">IF(I1829="Open",DATE(2025,12,31)-F1829,"-")</f>
        <v>-</v>
      </c>
    </row>
    <row r="1830" customFormat="false" ht="15" hidden="false" customHeight="false" outlineLevel="0" collapsed="false">
      <c r="B1830" s="7" t="s">
        <v>16475</v>
      </c>
      <c r="C1830" s="7" t="s">
        <v>2327</v>
      </c>
      <c r="D1830" s="7" t="s">
        <v>357</v>
      </c>
      <c r="E1830" s="7" t="s">
        <v>154</v>
      </c>
      <c r="F1830" s="39" t="n">
        <v>45751</v>
      </c>
      <c r="G1830" s="41" t="n">
        <v>90.63</v>
      </c>
      <c r="H1830" s="39" t="n">
        <v>45796</v>
      </c>
      <c r="I1830" s="7" t="s">
        <v>14651</v>
      </c>
      <c r="J1830" s="8" t="str">
        <f aca="false">IF(I1830="Open",DATE(2025,12,31)-F1830,"-")</f>
        <v>-</v>
      </c>
    </row>
    <row r="1831" customFormat="false" ht="15" hidden="false" customHeight="false" outlineLevel="0" collapsed="false">
      <c r="B1831" s="7" t="s">
        <v>16476</v>
      </c>
      <c r="C1831" s="7" t="s">
        <v>2328</v>
      </c>
      <c r="D1831" s="7" t="s">
        <v>359</v>
      </c>
      <c r="E1831" s="7" t="s">
        <v>156</v>
      </c>
      <c r="F1831" s="39" t="n">
        <v>45751</v>
      </c>
      <c r="G1831" s="41" t="n">
        <v>126.82</v>
      </c>
      <c r="H1831" s="39" t="n">
        <v>45759</v>
      </c>
      <c r="I1831" s="7" t="s">
        <v>14651</v>
      </c>
      <c r="J1831" s="8" t="str">
        <f aca="false">IF(I1831="Open",DATE(2025,12,31)-F1831,"-")</f>
        <v>-</v>
      </c>
    </row>
    <row r="1832" customFormat="false" ht="15" hidden="false" customHeight="false" outlineLevel="0" collapsed="false">
      <c r="B1832" s="7" t="s">
        <v>16477</v>
      </c>
      <c r="C1832" s="7" t="s">
        <v>2329</v>
      </c>
      <c r="D1832" s="7" t="s">
        <v>361</v>
      </c>
      <c r="E1832" s="7" t="s">
        <v>157</v>
      </c>
      <c r="F1832" s="39" t="n">
        <v>45751</v>
      </c>
      <c r="G1832" s="41" t="n">
        <v>176.55</v>
      </c>
      <c r="H1832" s="39" t="n">
        <v>45791</v>
      </c>
      <c r="I1832" s="7" t="s">
        <v>14651</v>
      </c>
      <c r="J1832" s="8" t="str">
        <f aca="false">IF(I1832="Open",DATE(2025,12,31)-F1832,"-")</f>
        <v>-</v>
      </c>
    </row>
    <row r="1833" customFormat="false" ht="15" hidden="false" customHeight="false" outlineLevel="0" collapsed="false">
      <c r="B1833" s="7" t="s">
        <v>16478</v>
      </c>
      <c r="C1833" s="7" t="s">
        <v>2330</v>
      </c>
      <c r="D1833" s="7" t="s">
        <v>371</v>
      </c>
      <c r="E1833" s="7" t="s">
        <v>154</v>
      </c>
      <c r="F1833" s="39" t="n">
        <v>45751</v>
      </c>
      <c r="G1833" s="41" t="n">
        <v>128.52</v>
      </c>
      <c r="H1833" s="39" t="n">
        <v>45824</v>
      </c>
      <c r="I1833" s="7" t="s">
        <v>14651</v>
      </c>
      <c r="J1833" s="8" t="str">
        <f aca="false">IF(I1833="Open",DATE(2025,12,31)-F1833,"-")</f>
        <v>-</v>
      </c>
    </row>
    <row r="1834" customFormat="false" ht="15" hidden="false" customHeight="false" outlineLevel="0" collapsed="false">
      <c r="B1834" s="7" t="s">
        <v>16479</v>
      </c>
      <c r="C1834" s="7" t="s">
        <v>2331</v>
      </c>
      <c r="D1834" s="7" t="s">
        <v>379</v>
      </c>
      <c r="E1834" s="7" t="s">
        <v>156</v>
      </c>
      <c r="F1834" s="39" t="n">
        <v>45751</v>
      </c>
      <c r="G1834" s="41" t="n">
        <v>154.02</v>
      </c>
      <c r="H1834" s="39" t="n">
        <v>45764</v>
      </c>
      <c r="I1834" s="7" t="s">
        <v>14651</v>
      </c>
      <c r="J1834" s="8" t="str">
        <f aca="false">IF(I1834="Open",DATE(2025,12,31)-F1834,"-")</f>
        <v>-</v>
      </c>
    </row>
    <row r="1835" customFormat="false" ht="15" hidden="false" customHeight="false" outlineLevel="0" collapsed="false">
      <c r="B1835" s="7" t="s">
        <v>16480</v>
      </c>
      <c r="C1835" s="7" t="s">
        <v>2332</v>
      </c>
      <c r="D1835" s="7" t="s">
        <v>381</v>
      </c>
      <c r="E1835" s="7" t="s">
        <v>157</v>
      </c>
      <c r="F1835" s="39" t="n">
        <v>45751</v>
      </c>
      <c r="G1835" s="41" t="n">
        <v>158.4</v>
      </c>
      <c r="H1835" s="39" t="n">
        <v>45828</v>
      </c>
      <c r="I1835" s="7" t="s">
        <v>14651</v>
      </c>
      <c r="J1835" s="8" t="str">
        <f aca="false">IF(I1835="Open",DATE(2025,12,31)-F1835,"-")</f>
        <v>-</v>
      </c>
    </row>
    <row r="1836" customFormat="false" ht="15" hidden="false" customHeight="false" outlineLevel="0" collapsed="false">
      <c r="B1836" s="7" t="s">
        <v>16481</v>
      </c>
      <c r="C1836" s="7" t="s">
        <v>2333</v>
      </c>
      <c r="D1836" s="7" t="s">
        <v>389</v>
      </c>
      <c r="E1836" s="7" t="s">
        <v>154</v>
      </c>
      <c r="F1836" s="39" t="n">
        <v>45751</v>
      </c>
      <c r="G1836" s="41" t="n">
        <v>115.01</v>
      </c>
      <c r="H1836" s="39" t="n">
        <v>45837</v>
      </c>
      <c r="I1836" s="7" t="s">
        <v>14651</v>
      </c>
      <c r="J1836" s="8" t="str">
        <f aca="false">IF(I1836="Open",DATE(2025,12,31)-F1836,"-")</f>
        <v>-</v>
      </c>
    </row>
    <row r="1837" customFormat="false" ht="15" hidden="false" customHeight="false" outlineLevel="0" collapsed="false">
      <c r="B1837" s="7" t="s">
        <v>16482</v>
      </c>
      <c r="C1837" s="7" t="s">
        <v>2334</v>
      </c>
      <c r="D1837" s="7" t="s">
        <v>391</v>
      </c>
      <c r="E1837" s="7" t="s">
        <v>156</v>
      </c>
      <c r="F1837" s="39" t="n">
        <v>45751</v>
      </c>
      <c r="G1837" s="41" t="n">
        <v>136</v>
      </c>
      <c r="H1837" s="39" t="n">
        <v>45763</v>
      </c>
      <c r="I1837" s="7" t="s">
        <v>14651</v>
      </c>
      <c r="J1837" s="8" t="str">
        <f aca="false">IF(I1837="Open",DATE(2025,12,31)-F1837,"-")</f>
        <v>-</v>
      </c>
    </row>
    <row r="1838" customFormat="false" ht="15" hidden="false" customHeight="false" outlineLevel="0" collapsed="false">
      <c r="B1838" s="7" t="s">
        <v>16483</v>
      </c>
      <c r="C1838" s="7" t="s">
        <v>2335</v>
      </c>
      <c r="D1838" s="7" t="s">
        <v>395</v>
      </c>
      <c r="E1838" s="7" t="s">
        <v>156</v>
      </c>
      <c r="F1838" s="39" t="n">
        <v>45751</v>
      </c>
      <c r="G1838" s="41" t="n">
        <v>137.7</v>
      </c>
      <c r="H1838" s="39" t="n">
        <v>45769</v>
      </c>
      <c r="I1838" s="7" t="s">
        <v>14651</v>
      </c>
      <c r="J1838" s="8" t="str">
        <f aca="false">IF(I1838="Open",DATE(2025,12,31)-F1838,"-")</f>
        <v>-</v>
      </c>
    </row>
    <row r="1839" customFormat="false" ht="15" hidden="false" customHeight="false" outlineLevel="0" collapsed="false">
      <c r="B1839" s="7" t="s">
        <v>16484</v>
      </c>
      <c r="C1839" s="7" t="s">
        <v>2336</v>
      </c>
      <c r="D1839" s="7" t="s">
        <v>397</v>
      </c>
      <c r="E1839" s="7" t="s">
        <v>159</v>
      </c>
      <c r="F1839" s="39" t="n">
        <v>45751</v>
      </c>
      <c r="G1839" s="41" t="n">
        <v>144.45</v>
      </c>
      <c r="H1839" s="39" t="n">
        <v>45803</v>
      </c>
      <c r="I1839" s="7" t="s">
        <v>14651</v>
      </c>
      <c r="J1839" s="8" t="str">
        <f aca="false">IF(I1839="Open",DATE(2025,12,31)-F1839,"-")</f>
        <v>-</v>
      </c>
    </row>
    <row r="1840" customFormat="false" ht="15" hidden="false" customHeight="false" outlineLevel="0" collapsed="false">
      <c r="B1840" s="7" t="s">
        <v>16485</v>
      </c>
      <c r="C1840" s="7" t="s">
        <v>2337</v>
      </c>
      <c r="D1840" s="7" t="s">
        <v>399</v>
      </c>
      <c r="E1840" s="7" t="s">
        <v>154</v>
      </c>
      <c r="F1840" s="39" t="n">
        <v>45751</v>
      </c>
      <c r="G1840" s="41" t="n">
        <v>93.81</v>
      </c>
      <c r="H1840" s="39" t="n">
        <v>45833</v>
      </c>
      <c r="I1840" s="7" t="s">
        <v>14651</v>
      </c>
      <c r="J1840" s="8" t="str">
        <f aca="false">IF(I1840="Open",DATE(2025,12,31)-F1840,"-")</f>
        <v>-</v>
      </c>
    </row>
    <row r="1841" customFormat="false" ht="15" hidden="false" customHeight="false" outlineLevel="0" collapsed="false">
      <c r="B1841" s="7" t="s">
        <v>16486</v>
      </c>
      <c r="C1841" s="7" t="s">
        <v>2338</v>
      </c>
      <c r="D1841" s="7" t="s">
        <v>401</v>
      </c>
      <c r="E1841" s="7" t="s">
        <v>156</v>
      </c>
      <c r="F1841" s="39" t="n">
        <v>45751</v>
      </c>
      <c r="G1841" s="41" t="n">
        <v>125.46</v>
      </c>
      <c r="H1841" s="39" t="n">
        <v>45760</v>
      </c>
      <c r="I1841" s="7" t="s">
        <v>14651</v>
      </c>
      <c r="J1841" s="8" t="str">
        <f aca="false">IF(I1841="Open",DATE(2025,12,31)-F1841,"-")</f>
        <v>-</v>
      </c>
    </row>
    <row r="1842" customFormat="false" ht="15" hidden="false" customHeight="false" outlineLevel="0" collapsed="false">
      <c r="B1842" s="7" t="s">
        <v>16487</v>
      </c>
      <c r="C1842" s="7" t="s">
        <v>2339</v>
      </c>
      <c r="D1842" s="7" t="s">
        <v>407</v>
      </c>
      <c r="E1842" s="7" t="s">
        <v>159</v>
      </c>
      <c r="F1842" s="39" t="n">
        <v>45751</v>
      </c>
      <c r="G1842" s="41" t="n">
        <v>121.77</v>
      </c>
      <c r="H1842" s="39" t="n">
        <v>45833</v>
      </c>
      <c r="I1842" s="7" t="s">
        <v>14651</v>
      </c>
      <c r="J1842" s="8" t="str">
        <f aca="false">IF(I1842="Open",DATE(2025,12,31)-F1842,"-")</f>
        <v>-</v>
      </c>
    </row>
    <row r="1843" customFormat="false" ht="15" hidden="false" customHeight="false" outlineLevel="0" collapsed="false">
      <c r="B1843" s="7" t="s">
        <v>16488</v>
      </c>
      <c r="C1843" s="7" t="s">
        <v>2340</v>
      </c>
      <c r="D1843" s="7" t="s">
        <v>409</v>
      </c>
      <c r="E1843" s="7" t="s">
        <v>154</v>
      </c>
      <c r="F1843" s="39" t="n">
        <v>45751</v>
      </c>
      <c r="G1843" s="41" t="n">
        <v>87.19</v>
      </c>
      <c r="H1843" s="39" t="n">
        <v>45815</v>
      </c>
      <c r="I1843" s="7" t="s">
        <v>14651</v>
      </c>
      <c r="J1843" s="8" t="str">
        <f aca="false">IF(I1843="Open",DATE(2025,12,31)-F1843,"-")</f>
        <v>-</v>
      </c>
    </row>
    <row r="1844" customFormat="false" ht="15" hidden="false" customHeight="false" outlineLevel="0" collapsed="false">
      <c r="B1844" s="7" t="s">
        <v>16489</v>
      </c>
      <c r="C1844" s="7" t="s">
        <v>2341</v>
      </c>
      <c r="D1844" s="7" t="s">
        <v>411</v>
      </c>
      <c r="E1844" s="7" t="s">
        <v>154</v>
      </c>
      <c r="F1844" s="39" t="n">
        <v>45751</v>
      </c>
      <c r="G1844" s="41" t="n">
        <v>135.42</v>
      </c>
      <c r="H1844" s="39" t="n">
        <v>45814</v>
      </c>
      <c r="I1844" s="7" t="s">
        <v>14651</v>
      </c>
      <c r="J1844" s="8" t="str">
        <f aca="false">IF(I1844="Open",DATE(2025,12,31)-F1844,"-")</f>
        <v>-</v>
      </c>
    </row>
    <row r="1845" customFormat="false" ht="15" hidden="false" customHeight="false" outlineLevel="0" collapsed="false">
      <c r="B1845" s="7" t="s">
        <v>16490</v>
      </c>
      <c r="C1845" s="7" t="s">
        <v>2342</v>
      </c>
      <c r="D1845" s="7" t="s">
        <v>288</v>
      </c>
      <c r="E1845" s="7" t="s">
        <v>156</v>
      </c>
      <c r="F1845" s="39" t="n">
        <v>45752</v>
      </c>
      <c r="G1845" s="41" t="n">
        <v>142.8</v>
      </c>
      <c r="H1845" s="39" t="n">
        <v>45771</v>
      </c>
      <c r="I1845" s="7" t="s">
        <v>14651</v>
      </c>
      <c r="J1845" s="8" t="str">
        <f aca="false">IF(I1845="Open",DATE(2025,12,31)-F1845,"-")</f>
        <v>-</v>
      </c>
    </row>
    <row r="1846" customFormat="false" ht="15" hidden="false" customHeight="false" outlineLevel="0" collapsed="false">
      <c r="B1846" s="7" t="s">
        <v>16491</v>
      </c>
      <c r="C1846" s="7" t="s">
        <v>2343</v>
      </c>
      <c r="D1846" s="7" t="s">
        <v>321</v>
      </c>
      <c r="E1846" s="7" t="s">
        <v>154</v>
      </c>
      <c r="F1846" s="39" t="n">
        <v>45752</v>
      </c>
      <c r="G1846" s="41" t="n">
        <v>110.24</v>
      </c>
      <c r="H1846" s="39" t="n">
        <v>45780</v>
      </c>
      <c r="I1846" s="7" t="s">
        <v>14651</v>
      </c>
      <c r="J1846" s="8" t="str">
        <f aca="false">IF(I1846="Open",DATE(2025,12,31)-F1846,"-")</f>
        <v>-</v>
      </c>
    </row>
    <row r="1847" customFormat="false" ht="15" hidden="false" customHeight="false" outlineLevel="0" collapsed="false">
      <c r="B1847" s="7" t="s">
        <v>16492</v>
      </c>
      <c r="C1847" s="7" t="s">
        <v>2344</v>
      </c>
      <c r="D1847" s="7" t="s">
        <v>359</v>
      </c>
      <c r="E1847" s="7" t="s">
        <v>156</v>
      </c>
      <c r="F1847" s="39" t="n">
        <v>45752</v>
      </c>
      <c r="G1847" s="41" t="n">
        <v>128.18</v>
      </c>
      <c r="H1847" s="39" t="n">
        <v>45757</v>
      </c>
      <c r="I1847" s="7" t="s">
        <v>14651</v>
      </c>
      <c r="J1847" s="8" t="str">
        <f aca="false">IF(I1847="Open",DATE(2025,12,31)-F1847,"-")</f>
        <v>-</v>
      </c>
    </row>
    <row r="1848" customFormat="false" ht="15" hidden="false" customHeight="false" outlineLevel="0" collapsed="false">
      <c r="B1848" s="7" t="s">
        <v>16493</v>
      </c>
      <c r="C1848" s="7" t="s">
        <v>2345</v>
      </c>
      <c r="D1848" s="7" t="s">
        <v>391</v>
      </c>
      <c r="E1848" s="7" t="s">
        <v>156</v>
      </c>
      <c r="F1848" s="39" t="n">
        <v>45752</v>
      </c>
      <c r="G1848" s="41" t="n">
        <v>143.14</v>
      </c>
      <c r="H1848" s="39" t="n">
        <v>45764</v>
      </c>
      <c r="I1848" s="7" t="s">
        <v>14651</v>
      </c>
      <c r="J1848" s="8" t="str">
        <f aca="false">IF(I1848="Open",DATE(2025,12,31)-F1848,"-")</f>
        <v>-</v>
      </c>
    </row>
    <row r="1849" customFormat="false" ht="15" hidden="false" customHeight="false" outlineLevel="0" collapsed="false">
      <c r="B1849" s="7" t="s">
        <v>16494</v>
      </c>
      <c r="C1849" s="7" t="s">
        <v>2346</v>
      </c>
      <c r="D1849" s="7" t="s">
        <v>395</v>
      </c>
      <c r="E1849" s="7" t="s">
        <v>156</v>
      </c>
      <c r="F1849" s="39" t="n">
        <v>45752</v>
      </c>
      <c r="G1849" s="41" t="n">
        <v>135.66</v>
      </c>
      <c r="H1849" s="39" t="n">
        <v>45755</v>
      </c>
      <c r="I1849" s="7" t="s">
        <v>14651</v>
      </c>
      <c r="J1849" s="8" t="str">
        <f aca="false">IF(I1849="Open",DATE(2025,12,31)-F1849,"-")</f>
        <v>-</v>
      </c>
    </row>
    <row r="1850" customFormat="false" ht="15" hidden="false" customHeight="false" outlineLevel="0" collapsed="false">
      <c r="B1850" s="7" t="s">
        <v>16495</v>
      </c>
      <c r="C1850" s="7" t="s">
        <v>2347</v>
      </c>
      <c r="D1850" s="7" t="s">
        <v>401</v>
      </c>
      <c r="E1850" s="7" t="s">
        <v>156</v>
      </c>
      <c r="F1850" s="39" t="n">
        <v>45752</v>
      </c>
      <c r="G1850" s="41" t="n">
        <v>123.42</v>
      </c>
      <c r="H1850" s="39" t="n">
        <v>45753</v>
      </c>
      <c r="I1850" s="7" t="s">
        <v>14651</v>
      </c>
      <c r="J1850" s="8" t="str">
        <f aca="false">IF(I1850="Open",DATE(2025,12,31)-F1850,"-")</f>
        <v>-</v>
      </c>
    </row>
    <row r="1851" customFormat="false" ht="15" hidden="false" customHeight="false" outlineLevel="0" collapsed="false">
      <c r="B1851" s="7" t="s">
        <v>16496</v>
      </c>
      <c r="C1851" s="7" t="s">
        <v>2348</v>
      </c>
      <c r="D1851" s="7" t="s">
        <v>288</v>
      </c>
      <c r="E1851" s="7" t="s">
        <v>156</v>
      </c>
      <c r="F1851" s="39" t="n">
        <v>45753</v>
      </c>
      <c r="G1851" s="41" t="n">
        <v>135.32</v>
      </c>
      <c r="H1851" s="39" t="n">
        <v>45760</v>
      </c>
      <c r="I1851" s="7" t="s">
        <v>14651</v>
      </c>
      <c r="J1851" s="8" t="str">
        <f aca="false">IF(I1851="Open",DATE(2025,12,31)-F1851,"-")</f>
        <v>-</v>
      </c>
    </row>
    <row r="1852" customFormat="false" ht="15" hidden="false" customHeight="false" outlineLevel="0" collapsed="false">
      <c r="B1852" s="7" t="s">
        <v>16497</v>
      </c>
      <c r="C1852" s="7" t="s">
        <v>2349</v>
      </c>
      <c r="D1852" s="7" t="s">
        <v>359</v>
      </c>
      <c r="E1852" s="7" t="s">
        <v>156</v>
      </c>
      <c r="F1852" s="39" t="n">
        <v>45753</v>
      </c>
      <c r="G1852" s="41" t="n">
        <v>143.82</v>
      </c>
      <c r="H1852" s="39" t="n">
        <v>45765</v>
      </c>
      <c r="I1852" s="7" t="s">
        <v>14651</v>
      </c>
      <c r="J1852" s="8" t="str">
        <f aca="false">IF(I1852="Open",DATE(2025,12,31)-F1852,"-")</f>
        <v>-</v>
      </c>
    </row>
    <row r="1853" customFormat="false" ht="15" hidden="false" customHeight="false" outlineLevel="0" collapsed="false">
      <c r="B1853" s="7" t="s">
        <v>16498</v>
      </c>
      <c r="C1853" s="7" t="s">
        <v>2350</v>
      </c>
      <c r="D1853" s="7" t="s">
        <v>391</v>
      </c>
      <c r="E1853" s="7" t="s">
        <v>156</v>
      </c>
      <c r="F1853" s="39" t="n">
        <v>45753</v>
      </c>
      <c r="G1853" s="41" t="n">
        <v>146.88</v>
      </c>
      <c r="H1853" s="39" t="n">
        <v>45761</v>
      </c>
      <c r="I1853" s="7" t="s">
        <v>14651</v>
      </c>
      <c r="J1853" s="8" t="str">
        <f aca="false">IF(I1853="Open",DATE(2025,12,31)-F1853,"-")</f>
        <v>-</v>
      </c>
    </row>
    <row r="1854" customFormat="false" ht="15" hidden="false" customHeight="false" outlineLevel="0" collapsed="false">
      <c r="B1854" s="7" t="s">
        <v>16499</v>
      </c>
      <c r="C1854" s="7" t="s">
        <v>2351</v>
      </c>
      <c r="D1854" s="7" t="s">
        <v>395</v>
      </c>
      <c r="E1854" s="7" t="s">
        <v>156</v>
      </c>
      <c r="F1854" s="39" t="n">
        <v>45753</v>
      </c>
      <c r="G1854" s="41" t="n">
        <v>124.78</v>
      </c>
      <c r="H1854" s="39" t="n">
        <v>45764</v>
      </c>
      <c r="I1854" s="7" t="s">
        <v>14651</v>
      </c>
      <c r="J1854" s="8" t="str">
        <f aca="false">IF(I1854="Open",DATE(2025,12,31)-F1854,"-")</f>
        <v>-</v>
      </c>
    </row>
    <row r="1855" customFormat="false" ht="15" hidden="false" customHeight="false" outlineLevel="0" collapsed="false">
      <c r="B1855" s="7" t="s">
        <v>16500</v>
      </c>
      <c r="C1855" s="7" t="s">
        <v>2352</v>
      </c>
      <c r="D1855" s="7" t="s">
        <v>401</v>
      </c>
      <c r="E1855" s="7" t="s">
        <v>156</v>
      </c>
      <c r="F1855" s="39" t="n">
        <v>45753</v>
      </c>
      <c r="G1855" s="41" t="n">
        <v>148.24</v>
      </c>
      <c r="H1855" s="39" t="n">
        <v>45769</v>
      </c>
      <c r="I1855" s="7" t="s">
        <v>14651</v>
      </c>
      <c r="J1855" s="8" t="str">
        <f aca="false">IF(I1855="Open",DATE(2025,12,31)-F1855,"-")</f>
        <v>-</v>
      </c>
    </row>
    <row r="1856" customFormat="false" ht="15" hidden="false" customHeight="false" outlineLevel="0" collapsed="false">
      <c r="B1856" s="7" t="s">
        <v>16501</v>
      </c>
      <c r="C1856" s="7" t="s">
        <v>2353</v>
      </c>
      <c r="D1856" s="7" t="s">
        <v>280</v>
      </c>
      <c r="E1856" s="7" t="s">
        <v>157</v>
      </c>
      <c r="F1856" s="39" t="n">
        <v>45754</v>
      </c>
      <c r="G1856" s="41" t="n">
        <v>165</v>
      </c>
      <c r="H1856" s="39" t="n">
        <v>45800</v>
      </c>
      <c r="I1856" s="7" t="s">
        <v>14651</v>
      </c>
      <c r="J1856" s="8" t="str">
        <f aca="false">IF(I1856="Open",DATE(2025,12,31)-F1856,"-")</f>
        <v>-</v>
      </c>
    </row>
    <row r="1857" customFormat="false" ht="15" hidden="false" customHeight="false" outlineLevel="0" collapsed="false">
      <c r="B1857" s="7" t="s">
        <v>16502</v>
      </c>
      <c r="C1857" s="7" t="s">
        <v>2354</v>
      </c>
      <c r="D1857" s="7" t="s">
        <v>288</v>
      </c>
      <c r="E1857" s="7" t="s">
        <v>156</v>
      </c>
      <c r="F1857" s="39" t="n">
        <v>45754</v>
      </c>
      <c r="G1857" s="41" t="n">
        <v>138.04</v>
      </c>
      <c r="H1857" s="39" t="n">
        <v>45775</v>
      </c>
      <c r="I1857" s="7" t="s">
        <v>14651</v>
      </c>
      <c r="J1857" s="8" t="str">
        <f aca="false">IF(I1857="Open",DATE(2025,12,31)-F1857,"-")</f>
        <v>-</v>
      </c>
    </row>
    <row r="1858" customFormat="false" ht="15" hidden="false" customHeight="false" outlineLevel="0" collapsed="false">
      <c r="B1858" s="7" t="s">
        <v>16503</v>
      </c>
      <c r="C1858" s="7" t="s">
        <v>2355</v>
      </c>
      <c r="D1858" s="7" t="s">
        <v>291</v>
      </c>
      <c r="E1858" s="7" t="s">
        <v>154</v>
      </c>
      <c r="F1858" s="39" t="n">
        <v>45754</v>
      </c>
      <c r="G1858" s="41" t="n">
        <v>111.56</v>
      </c>
      <c r="H1858" s="39" t="n">
        <v>45853</v>
      </c>
      <c r="I1858" s="7" t="s">
        <v>14651</v>
      </c>
      <c r="J1858" s="8" t="str">
        <f aca="false">IF(I1858="Open",DATE(2025,12,31)-F1858,"-")</f>
        <v>-</v>
      </c>
    </row>
    <row r="1859" customFormat="false" ht="15" hidden="false" customHeight="false" outlineLevel="0" collapsed="false">
      <c r="B1859" s="7" t="s">
        <v>16504</v>
      </c>
      <c r="C1859" s="7" t="s">
        <v>2356</v>
      </c>
      <c r="D1859" s="7" t="s">
        <v>297</v>
      </c>
      <c r="E1859" s="7" t="s">
        <v>156</v>
      </c>
      <c r="F1859" s="39" t="n">
        <v>45754</v>
      </c>
      <c r="G1859" s="41" t="n">
        <v>97.58</v>
      </c>
      <c r="H1859" s="39" t="n">
        <v>45771</v>
      </c>
      <c r="I1859" s="7" t="s">
        <v>14651</v>
      </c>
      <c r="J1859" s="8" t="str">
        <f aca="false">IF(I1859="Open",DATE(2025,12,31)-F1859,"-")</f>
        <v>-</v>
      </c>
    </row>
    <row r="1860" customFormat="false" ht="15" hidden="false" customHeight="false" outlineLevel="0" collapsed="false">
      <c r="B1860" s="7" t="s">
        <v>16505</v>
      </c>
      <c r="C1860" s="7" t="s">
        <v>2357</v>
      </c>
      <c r="D1860" s="7" t="s">
        <v>305</v>
      </c>
      <c r="E1860" s="7" t="s">
        <v>154</v>
      </c>
      <c r="F1860" s="39" t="n">
        <v>45754</v>
      </c>
      <c r="G1860" s="41" t="n">
        <v>116.07</v>
      </c>
      <c r="H1860" s="39" t="n">
        <v>45868</v>
      </c>
      <c r="I1860" s="7" t="s">
        <v>14651</v>
      </c>
      <c r="J1860" s="8" t="str">
        <f aca="false">IF(I1860="Open",DATE(2025,12,31)-F1860,"-")</f>
        <v>-</v>
      </c>
    </row>
    <row r="1861" customFormat="false" ht="15" hidden="false" customHeight="false" outlineLevel="0" collapsed="false">
      <c r="B1861" s="7" t="s">
        <v>16506</v>
      </c>
      <c r="C1861" s="7" t="s">
        <v>2358</v>
      </c>
      <c r="D1861" s="7" t="s">
        <v>307</v>
      </c>
      <c r="E1861" s="7" t="s">
        <v>157</v>
      </c>
      <c r="F1861" s="39" t="n">
        <v>45754</v>
      </c>
      <c r="G1861" s="41" t="n">
        <v>165</v>
      </c>
      <c r="H1861" s="39" t="n">
        <v>45825</v>
      </c>
      <c r="I1861" s="7" t="s">
        <v>14651</v>
      </c>
      <c r="J1861" s="8" t="str">
        <f aca="false">IF(I1861="Open",DATE(2025,12,31)-F1861,"-")</f>
        <v>-</v>
      </c>
    </row>
    <row r="1862" customFormat="false" ht="15" hidden="false" customHeight="false" outlineLevel="0" collapsed="false">
      <c r="B1862" s="7" t="s">
        <v>16507</v>
      </c>
      <c r="C1862" s="7" t="s">
        <v>2359</v>
      </c>
      <c r="D1862" s="7" t="s">
        <v>309</v>
      </c>
      <c r="E1862" s="7" t="s">
        <v>159</v>
      </c>
      <c r="F1862" s="39" t="n">
        <v>45754</v>
      </c>
      <c r="G1862" s="41" t="n">
        <v>137.7</v>
      </c>
      <c r="H1862" s="39" t="n">
        <v>45810</v>
      </c>
      <c r="I1862" s="7" t="s">
        <v>14651</v>
      </c>
      <c r="J1862" s="8" t="str">
        <f aca="false">IF(I1862="Open",DATE(2025,12,31)-F1862,"-")</f>
        <v>-</v>
      </c>
    </row>
    <row r="1863" customFormat="false" ht="15" hidden="false" customHeight="false" outlineLevel="0" collapsed="false">
      <c r="B1863" s="7" t="s">
        <v>16508</v>
      </c>
      <c r="C1863" s="7" t="s">
        <v>2360</v>
      </c>
      <c r="D1863" s="7" t="s">
        <v>311</v>
      </c>
      <c r="E1863" s="7" t="s">
        <v>154</v>
      </c>
      <c r="F1863" s="39" t="n">
        <v>45754</v>
      </c>
      <c r="G1863" s="41" t="n">
        <v>74.47</v>
      </c>
      <c r="H1863" s="39" t="n">
        <v>45864</v>
      </c>
      <c r="I1863" s="7" t="s">
        <v>14651</v>
      </c>
      <c r="J1863" s="8" t="str">
        <f aca="false">IF(I1863="Open",DATE(2025,12,31)-F1863,"-")</f>
        <v>-</v>
      </c>
    </row>
    <row r="1864" customFormat="false" ht="15" hidden="false" customHeight="false" outlineLevel="0" collapsed="false">
      <c r="B1864" s="7" t="s">
        <v>16509</v>
      </c>
      <c r="C1864" s="7" t="s">
        <v>2361</v>
      </c>
      <c r="D1864" s="7" t="s">
        <v>313</v>
      </c>
      <c r="E1864" s="7" t="s">
        <v>156</v>
      </c>
      <c r="F1864" s="39" t="n">
        <v>45754</v>
      </c>
      <c r="G1864" s="41" t="n">
        <v>128.18</v>
      </c>
      <c r="H1864" s="39" t="n">
        <v>45772</v>
      </c>
      <c r="I1864" s="7" t="s">
        <v>14651</v>
      </c>
      <c r="J1864" s="8" t="str">
        <f aca="false">IF(I1864="Open",DATE(2025,12,31)-F1864,"-")</f>
        <v>-</v>
      </c>
    </row>
    <row r="1865" customFormat="false" ht="15" hidden="false" customHeight="false" outlineLevel="0" collapsed="false">
      <c r="B1865" s="7" t="s">
        <v>16510</v>
      </c>
      <c r="C1865" s="7" t="s">
        <v>2362</v>
      </c>
      <c r="D1865" s="7" t="s">
        <v>317</v>
      </c>
      <c r="E1865" s="7" t="s">
        <v>156</v>
      </c>
      <c r="F1865" s="39" t="n">
        <v>45754</v>
      </c>
      <c r="G1865" s="41" t="n">
        <v>111.86</v>
      </c>
      <c r="H1865" s="39" t="n">
        <v>45757</v>
      </c>
      <c r="I1865" s="7" t="s">
        <v>14651</v>
      </c>
      <c r="J1865" s="8" t="str">
        <f aca="false">IF(I1865="Open",DATE(2025,12,31)-F1865,"-")</f>
        <v>-</v>
      </c>
    </row>
    <row r="1866" customFormat="false" ht="15" hidden="false" customHeight="false" outlineLevel="0" collapsed="false">
      <c r="B1866" s="7" t="s">
        <v>16511</v>
      </c>
      <c r="C1866" s="7" t="s">
        <v>2363</v>
      </c>
      <c r="D1866" s="7" t="s">
        <v>321</v>
      </c>
      <c r="E1866" s="7" t="s">
        <v>154</v>
      </c>
      <c r="F1866" s="39" t="n">
        <v>45754</v>
      </c>
      <c r="G1866" s="41" t="n">
        <v>98.31</v>
      </c>
      <c r="H1866" s="39" t="n">
        <v>45816</v>
      </c>
      <c r="I1866" s="7" t="s">
        <v>14651</v>
      </c>
      <c r="J1866" s="8" t="str">
        <f aca="false">IF(I1866="Open",DATE(2025,12,31)-F1866,"-")</f>
        <v>-</v>
      </c>
    </row>
    <row r="1867" customFormat="false" ht="15" hidden="false" customHeight="false" outlineLevel="0" collapsed="false">
      <c r="B1867" s="7" t="s">
        <v>16512</v>
      </c>
      <c r="C1867" s="7" t="s">
        <v>2364</v>
      </c>
      <c r="D1867" s="7" t="s">
        <v>325</v>
      </c>
      <c r="E1867" s="7" t="s">
        <v>154</v>
      </c>
      <c r="F1867" s="39" t="n">
        <v>45754</v>
      </c>
      <c r="G1867" s="41" t="n">
        <v>80.3</v>
      </c>
      <c r="H1867" s="39" t="n">
        <v>45830</v>
      </c>
      <c r="I1867" s="7" t="s">
        <v>14651</v>
      </c>
      <c r="J1867" s="8" t="str">
        <f aca="false">IF(I1867="Open",DATE(2025,12,31)-F1867,"-")</f>
        <v>-</v>
      </c>
    </row>
    <row r="1868" customFormat="false" ht="15" hidden="false" customHeight="false" outlineLevel="0" collapsed="false">
      <c r="B1868" s="7" t="s">
        <v>16513</v>
      </c>
      <c r="C1868" s="7" t="s">
        <v>2365</v>
      </c>
      <c r="D1868" s="7" t="s">
        <v>329</v>
      </c>
      <c r="E1868" s="7" t="s">
        <v>156</v>
      </c>
      <c r="F1868" s="39" t="n">
        <v>45754</v>
      </c>
      <c r="G1868" s="41" t="n">
        <v>125.46</v>
      </c>
      <c r="H1868" s="39" t="n">
        <v>45765</v>
      </c>
      <c r="I1868" s="7" t="s">
        <v>14651</v>
      </c>
      <c r="J1868" s="8" t="str">
        <f aca="false">IF(I1868="Open",DATE(2025,12,31)-F1868,"-")</f>
        <v>-</v>
      </c>
    </row>
    <row r="1869" customFormat="false" ht="15" hidden="false" customHeight="false" outlineLevel="0" collapsed="false">
      <c r="B1869" s="7" t="s">
        <v>16514</v>
      </c>
      <c r="C1869" s="7" t="s">
        <v>2366</v>
      </c>
      <c r="D1869" s="7" t="s">
        <v>331</v>
      </c>
      <c r="E1869" s="7" t="s">
        <v>156</v>
      </c>
      <c r="F1869" s="39" t="n">
        <v>45754</v>
      </c>
      <c r="G1869" s="41" t="n">
        <v>130.9</v>
      </c>
      <c r="H1869" s="39" t="n">
        <v>45767</v>
      </c>
      <c r="I1869" s="7" t="s">
        <v>14651</v>
      </c>
      <c r="J1869" s="8" t="str">
        <f aca="false">IF(I1869="Open",DATE(2025,12,31)-F1869,"-")</f>
        <v>-</v>
      </c>
    </row>
    <row r="1870" customFormat="false" ht="15" hidden="false" customHeight="false" outlineLevel="0" collapsed="false">
      <c r="B1870" s="7" t="s">
        <v>16515</v>
      </c>
      <c r="C1870" s="7" t="s">
        <v>2367</v>
      </c>
      <c r="D1870" s="7" t="s">
        <v>335</v>
      </c>
      <c r="E1870" s="7" t="s">
        <v>154</v>
      </c>
      <c r="F1870" s="39" t="n">
        <v>45754</v>
      </c>
      <c r="G1870" s="41" t="n">
        <v>107.06</v>
      </c>
      <c r="H1870" s="39" t="n">
        <v>45858</v>
      </c>
      <c r="I1870" s="7" t="s">
        <v>14651</v>
      </c>
      <c r="J1870" s="8" t="str">
        <f aca="false">IF(I1870="Open",DATE(2025,12,31)-F1870,"-")</f>
        <v>-</v>
      </c>
    </row>
    <row r="1871" customFormat="false" ht="15" hidden="false" customHeight="false" outlineLevel="0" collapsed="false">
      <c r="B1871" s="7" t="s">
        <v>16516</v>
      </c>
      <c r="C1871" s="7" t="s">
        <v>2368</v>
      </c>
      <c r="D1871" s="7" t="s">
        <v>337</v>
      </c>
      <c r="E1871" s="7" t="s">
        <v>154</v>
      </c>
      <c r="F1871" s="39" t="n">
        <v>45754</v>
      </c>
      <c r="G1871" s="41" t="n">
        <v>74.47</v>
      </c>
      <c r="H1871" s="39" t="n">
        <v>45808</v>
      </c>
      <c r="I1871" s="7" t="s">
        <v>14651</v>
      </c>
      <c r="J1871" s="8" t="str">
        <f aca="false">IF(I1871="Open",DATE(2025,12,31)-F1871,"-")</f>
        <v>-</v>
      </c>
    </row>
    <row r="1872" customFormat="false" ht="15" hidden="false" customHeight="false" outlineLevel="0" collapsed="false">
      <c r="B1872" s="7" t="s">
        <v>16517</v>
      </c>
      <c r="C1872" s="7" t="s">
        <v>2369</v>
      </c>
      <c r="D1872" s="7" t="s">
        <v>339</v>
      </c>
      <c r="E1872" s="7" t="s">
        <v>154</v>
      </c>
      <c r="F1872" s="39" t="n">
        <v>45754</v>
      </c>
      <c r="G1872" s="41" t="n">
        <v>87.98</v>
      </c>
      <c r="H1872" s="39" t="n">
        <v>45867</v>
      </c>
      <c r="I1872" s="7" t="s">
        <v>14651</v>
      </c>
      <c r="J1872" s="8" t="str">
        <f aca="false">IF(I1872="Open",DATE(2025,12,31)-F1872,"-")</f>
        <v>-</v>
      </c>
    </row>
    <row r="1873" customFormat="false" ht="15" hidden="false" customHeight="false" outlineLevel="0" collapsed="false">
      <c r="B1873" s="7" t="s">
        <v>16518</v>
      </c>
      <c r="C1873" s="7" t="s">
        <v>2370</v>
      </c>
      <c r="D1873" s="7" t="s">
        <v>341</v>
      </c>
      <c r="E1873" s="7" t="s">
        <v>156</v>
      </c>
      <c r="F1873" s="39" t="n">
        <v>45754</v>
      </c>
      <c r="G1873" s="41" t="n">
        <v>112.2</v>
      </c>
      <c r="H1873" s="39" t="n">
        <v>45765</v>
      </c>
      <c r="I1873" s="7" t="s">
        <v>14651</v>
      </c>
      <c r="J1873" s="8" t="str">
        <f aca="false">IF(I1873="Open",DATE(2025,12,31)-F1873,"-")</f>
        <v>-</v>
      </c>
    </row>
    <row r="1874" customFormat="false" ht="15" hidden="false" customHeight="false" outlineLevel="0" collapsed="false">
      <c r="B1874" s="7" t="s">
        <v>16519</v>
      </c>
      <c r="C1874" s="7" t="s">
        <v>2371</v>
      </c>
      <c r="D1874" s="7" t="s">
        <v>343</v>
      </c>
      <c r="E1874" s="7" t="s">
        <v>154</v>
      </c>
      <c r="F1874" s="39" t="n">
        <v>45754</v>
      </c>
      <c r="G1874" s="41" t="n">
        <v>101.55</v>
      </c>
      <c r="H1874" s="39" t="n">
        <v>45797</v>
      </c>
      <c r="I1874" s="7" t="s">
        <v>14651</v>
      </c>
      <c r="J1874" s="8" t="str">
        <f aca="false">IF(I1874="Open",DATE(2025,12,31)-F1874,"-")</f>
        <v>-</v>
      </c>
    </row>
    <row r="1875" customFormat="false" ht="15" hidden="false" customHeight="false" outlineLevel="0" collapsed="false">
      <c r="B1875" s="7" t="s">
        <v>16520</v>
      </c>
      <c r="C1875" s="7" t="s">
        <v>2372</v>
      </c>
      <c r="D1875" s="7" t="s">
        <v>351</v>
      </c>
      <c r="E1875" s="7" t="s">
        <v>154</v>
      </c>
      <c r="F1875" s="39" t="n">
        <v>45754</v>
      </c>
      <c r="G1875" s="41" t="n">
        <v>73.94</v>
      </c>
      <c r="H1875" s="39" t="n">
        <v>45795</v>
      </c>
      <c r="I1875" s="7" t="s">
        <v>14651</v>
      </c>
      <c r="J1875" s="8" t="str">
        <f aca="false">IF(I1875="Open",DATE(2025,12,31)-F1875,"-")</f>
        <v>-</v>
      </c>
    </row>
    <row r="1876" customFormat="false" ht="15" hidden="false" customHeight="false" outlineLevel="0" collapsed="false">
      <c r="B1876" s="7" t="s">
        <v>16521</v>
      </c>
      <c r="C1876" s="7" t="s">
        <v>2373</v>
      </c>
      <c r="D1876" s="7" t="s">
        <v>353</v>
      </c>
      <c r="E1876" s="7" t="s">
        <v>154</v>
      </c>
      <c r="F1876" s="39" t="n">
        <v>45754</v>
      </c>
      <c r="G1876" s="41" t="n">
        <v>81.35</v>
      </c>
      <c r="H1876" s="39" t="n">
        <v>45873</v>
      </c>
      <c r="I1876" s="7" t="s">
        <v>14651</v>
      </c>
      <c r="J1876" s="8" t="str">
        <f aca="false">IF(I1876="Open",DATE(2025,12,31)-F1876,"-")</f>
        <v>-</v>
      </c>
    </row>
    <row r="1877" customFormat="false" ht="15" hidden="false" customHeight="false" outlineLevel="0" collapsed="false">
      <c r="B1877" s="7" t="s">
        <v>16522</v>
      </c>
      <c r="C1877" s="7" t="s">
        <v>2374</v>
      </c>
      <c r="D1877" s="7" t="s">
        <v>355</v>
      </c>
      <c r="E1877" s="7" t="s">
        <v>154</v>
      </c>
      <c r="F1877" s="39" t="n">
        <v>45754</v>
      </c>
      <c r="G1877" s="41" t="n">
        <v>80.56</v>
      </c>
      <c r="H1877" s="39" t="n">
        <v>45789</v>
      </c>
      <c r="I1877" s="7" t="s">
        <v>14651</v>
      </c>
      <c r="J1877" s="8" t="str">
        <f aca="false">IF(I1877="Open",DATE(2025,12,31)-F1877,"-")</f>
        <v>-</v>
      </c>
    </row>
    <row r="1878" customFormat="false" ht="15" hidden="false" customHeight="false" outlineLevel="0" collapsed="false">
      <c r="B1878" s="7" t="s">
        <v>16523</v>
      </c>
      <c r="C1878" s="7" t="s">
        <v>2375</v>
      </c>
      <c r="D1878" s="7" t="s">
        <v>357</v>
      </c>
      <c r="E1878" s="7" t="s">
        <v>154</v>
      </c>
      <c r="F1878" s="39" t="n">
        <v>45754</v>
      </c>
      <c r="G1878" s="41" t="n">
        <v>87.4</v>
      </c>
      <c r="H1878" s="39" t="n">
        <v>45786</v>
      </c>
      <c r="I1878" s="7" t="s">
        <v>14651</v>
      </c>
      <c r="J1878" s="8" t="str">
        <f aca="false">IF(I1878="Open",DATE(2025,12,31)-F1878,"-")</f>
        <v>-</v>
      </c>
    </row>
    <row r="1879" customFormat="false" ht="15" hidden="false" customHeight="false" outlineLevel="0" collapsed="false">
      <c r="B1879" s="7" t="s">
        <v>16524</v>
      </c>
      <c r="C1879" s="7" t="s">
        <v>2376</v>
      </c>
      <c r="D1879" s="7" t="s">
        <v>359</v>
      </c>
      <c r="E1879" s="7" t="s">
        <v>156</v>
      </c>
      <c r="F1879" s="39" t="n">
        <v>45754</v>
      </c>
      <c r="G1879" s="41" t="n">
        <v>145.18</v>
      </c>
      <c r="H1879" s="39" t="n">
        <v>45758</v>
      </c>
      <c r="I1879" s="7" t="s">
        <v>14651</v>
      </c>
      <c r="J1879" s="8" t="str">
        <f aca="false">IF(I1879="Open",DATE(2025,12,31)-F1879,"-")</f>
        <v>-</v>
      </c>
    </row>
    <row r="1880" customFormat="false" ht="15" hidden="false" customHeight="false" outlineLevel="0" collapsed="false">
      <c r="B1880" s="7" t="s">
        <v>16525</v>
      </c>
      <c r="C1880" s="7" t="s">
        <v>2377</v>
      </c>
      <c r="D1880" s="7" t="s">
        <v>363</v>
      </c>
      <c r="E1880" s="7" t="s">
        <v>156</v>
      </c>
      <c r="F1880" s="39" t="n">
        <v>45754</v>
      </c>
      <c r="G1880" s="41" t="n">
        <v>141.78</v>
      </c>
      <c r="H1880" s="39" t="n">
        <v>45767</v>
      </c>
      <c r="I1880" s="7" t="s">
        <v>14651</v>
      </c>
      <c r="J1880" s="8" t="str">
        <f aca="false">IF(I1880="Open",DATE(2025,12,31)-F1880,"-")</f>
        <v>-</v>
      </c>
    </row>
    <row r="1881" customFormat="false" ht="15" hidden="false" customHeight="false" outlineLevel="0" collapsed="false">
      <c r="B1881" s="7" t="s">
        <v>16526</v>
      </c>
      <c r="C1881" s="7" t="s">
        <v>2378</v>
      </c>
      <c r="D1881" s="7" t="s">
        <v>371</v>
      </c>
      <c r="E1881" s="7" t="s">
        <v>154</v>
      </c>
      <c r="F1881" s="39" t="n">
        <v>45754</v>
      </c>
      <c r="G1881" s="41" t="n">
        <v>130.91</v>
      </c>
      <c r="H1881" s="39" t="n">
        <v>45840</v>
      </c>
      <c r="I1881" s="7" t="s">
        <v>14651</v>
      </c>
      <c r="J1881" s="8" t="str">
        <f aca="false">IF(I1881="Open",DATE(2025,12,31)-F1881,"-")</f>
        <v>-</v>
      </c>
    </row>
    <row r="1882" customFormat="false" ht="15" hidden="false" customHeight="false" outlineLevel="0" collapsed="false">
      <c r="B1882" s="7" t="s">
        <v>16527</v>
      </c>
      <c r="C1882" s="7" t="s">
        <v>2379</v>
      </c>
      <c r="D1882" s="7" t="s">
        <v>375</v>
      </c>
      <c r="E1882" s="7" t="s">
        <v>156</v>
      </c>
      <c r="F1882" s="39" t="n">
        <v>45754</v>
      </c>
      <c r="G1882" s="41" t="n">
        <v>101.66</v>
      </c>
      <c r="H1882" s="39" t="n">
        <v>45769</v>
      </c>
      <c r="I1882" s="7" t="s">
        <v>14651</v>
      </c>
      <c r="J1882" s="8" t="str">
        <f aca="false">IF(I1882="Open",DATE(2025,12,31)-F1882,"-")</f>
        <v>-</v>
      </c>
    </row>
    <row r="1883" customFormat="false" ht="15" hidden="false" customHeight="false" outlineLevel="0" collapsed="false">
      <c r="B1883" s="7" t="s">
        <v>16528</v>
      </c>
      <c r="C1883" s="7" t="s">
        <v>2380</v>
      </c>
      <c r="D1883" s="7" t="s">
        <v>377</v>
      </c>
      <c r="E1883" s="7" t="s">
        <v>154</v>
      </c>
      <c r="F1883" s="39" t="n">
        <v>45754</v>
      </c>
      <c r="G1883" s="41" t="n">
        <v>105.73</v>
      </c>
      <c r="H1883" s="39" t="n">
        <v>45852</v>
      </c>
      <c r="I1883" s="7" t="s">
        <v>14651</v>
      </c>
      <c r="J1883" s="8" t="str">
        <f aca="false">IF(I1883="Open",DATE(2025,12,31)-F1883,"-")</f>
        <v>-</v>
      </c>
    </row>
    <row r="1884" customFormat="false" ht="15" hidden="false" customHeight="false" outlineLevel="0" collapsed="false">
      <c r="B1884" s="7" t="s">
        <v>16529</v>
      </c>
      <c r="C1884" s="7" t="s">
        <v>2381</v>
      </c>
      <c r="D1884" s="7" t="s">
        <v>379</v>
      </c>
      <c r="E1884" s="7" t="s">
        <v>156</v>
      </c>
      <c r="F1884" s="39" t="n">
        <v>45754</v>
      </c>
      <c r="G1884" s="41" t="n">
        <v>146.2</v>
      </c>
      <c r="H1884" s="39" t="n">
        <v>45762</v>
      </c>
      <c r="I1884" s="7" t="s">
        <v>14651</v>
      </c>
      <c r="J1884" s="8" t="str">
        <f aca="false">IF(I1884="Open",DATE(2025,12,31)-F1884,"-")</f>
        <v>-</v>
      </c>
    </row>
    <row r="1885" customFormat="false" ht="15" hidden="false" customHeight="false" outlineLevel="0" collapsed="false">
      <c r="B1885" s="7" t="s">
        <v>16530</v>
      </c>
      <c r="C1885" s="7" t="s">
        <v>2382</v>
      </c>
      <c r="D1885" s="7" t="s">
        <v>389</v>
      </c>
      <c r="E1885" s="7" t="s">
        <v>154</v>
      </c>
      <c r="F1885" s="39" t="n">
        <v>45754</v>
      </c>
      <c r="G1885" s="41" t="n">
        <v>105.39</v>
      </c>
      <c r="H1885" s="39" t="n">
        <v>45815</v>
      </c>
      <c r="I1885" s="7" t="s">
        <v>14651</v>
      </c>
      <c r="J1885" s="8" t="str">
        <f aca="false">IF(I1885="Open",DATE(2025,12,31)-F1885,"-")</f>
        <v>-</v>
      </c>
    </row>
    <row r="1886" customFormat="false" ht="15" hidden="false" customHeight="false" outlineLevel="0" collapsed="false">
      <c r="B1886" s="7" t="s">
        <v>16531</v>
      </c>
      <c r="C1886" s="7" t="s">
        <v>2383</v>
      </c>
      <c r="D1886" s="7" t="s">
        <v>391</v>
      </c>
      <c r="E1886" s="7" t="s">
        <v>156</v>
      </c>
      <c r="F1886" s="39" t="n">
        <v>45754</v>
      </c>
      <c r="G1886" s="41" t="n">
        <v>123.76</v>
      </c>
      <c r="H1886" s="39" t="n">
        <v>45765</v>
      </c>
      <c r="I1886" s="7" t="s">
        <v>14651</v>
      </c>
      <c r="J1886" s="8" t="str">
        <f aca="false">IF(I1886="Open",DATE(2025,12,31)-F1886,"-")</f>
        <v>-</v>
      </c>
    </row>
    <row r="1887" customFormat="false" ht="15" hidden="false" customHeight="false" outlineLevel="0" collapsed="false">
      <c r="B1887" s="7" t="s">
        <v>16532</v>
      </c>
      <c r="C1887" s="7" t="s">
        <v>2384</v>
      </c>
      <c r="D1887" s="7" t="s">
        <v>395</v>
      </c>
      <c r="E1887" s="7" t="s">
        <v>156</v>
      </c>
      <c r="F1887" s="39" t="n">
        <v>45754</v>
      </c>
      <c r="G1887" s="41" t="n">
        <v>148.92</v>
      </c>
      <c r="H1887" s="39" t="n">
        <v>45771</v>
      </c>
      <c r="I1887" s="7" t="s">
        <v>14651</v>
      </c>
      <c r="J1887" s="8" t="str">
        <f aca="false">IF(I1887="Open",DATE(2025,12,31)-F1887,"-")</f>
        <v>-</v>
      </c>
    </row>
    <row r="1888" customFormat="false" ht="15" hidden="false" customHeight="false" outlineLevel="0" collapsed="false">
      <c r="B1888" s="7" t="s">
        <v>16533</v>
      </c>
      <c r="C1888" s="7" t="s">
        <v>2385</v>
      </c>
      <c r="D1888" s="7" t="s">
        <v>399</v>
      </c>
      <c r="E1888" s="7" t="s">
        <v>154</v>
      </c>
      <c r="F1888" s="39" t="n">
        <v>45754</v>
      </c>
      <c r="G1888" s="41" t="n">
        <v>79.69</v>
      </c>
      <c r="H1888" s="39" t="n">
        <v>45875</v>
      </c>
      <c r="I1888" s="7" t="s">
        <v>14651</v>
      </c>
      <c r="J1888" s="8" t="str">
        <f aca="false">IF(I1888="Open",DATE(2025,12,31)-F1888,"-")</f>
        <v>-</v>
      </c>
    </row>
    <row r="1889" customFormat="false" ht="15" hidden="false" customHeight="false" outlineLevel="0" collapsed="false">
      <c r="B1889" s="7" t="s">
        <v>16534</v>
      </c>
      <c r="C1889" s="7" t="s">
        <v>2386</v>
      </c>
      <c r="D1889" s="7" t="s">
        <v>401</v>
      </c>
      <c r="E1889" s="7" t="s">
        <v>156</v>
      </c>
      <c r="F1889" s="39" t="n">
        <v>45754</v>
      </c>
      <c r="G1889" s="41" t="n">
        <v>124.44</v>
      </c>
      <c r="H1889" s="39" t="n">
        <v>45764</v>
      </c>
      <c r="I1889" s="7" t="s">
        <v>14651</v>
      </c>
      <c r="J1889" s="8" t="str">
        <f aca="false">IF(I1889="Open",DATE(2025,12,31)-F1889,"-")</f>
        <v>-</v>
      </c>
    </row>
    <row r="1890" customFormat="false" ht="15" hidden="false" customHeight="false" outlineLevel="0" collapsed="false">
      <c r="B1890" s="7" t="s">
        <v>16535</v>
      </c>
      <c r="C1890" s="7" t="s">
        <v>2387</v>
      </c>
      <c r="D1890" s="7" t="s">
        <v>409</v>
      </c>
      <c r="E1890" s="7" t="s">
        <v>154</v>
      </c>
      <c r="F1890" s="39" t="n">
        <v>45754</v>
      </c>
      <c r="G1890" s="41" t="n">
        <v>93.55</v>
      </c>
      <c r="H1890" s="39" t="n">
        <v>45790</v>
      </c>
      <c r="I1890" s="7" t="s">
        <v>14651</v>
      </c>
      <c r="J1890" s="8" t="str">
        <f aca="false">IF(I1890="Open",DATE(2025,12,31)-F1890,"-")</f>
        <v>-</v>
      </c>
    </row>
    <row r="1891" customFormat="false" ht="15" hidden="false" customHeight="false" outlineLevel="0" collapsed="false">
      <c r="B1891" s="7" t="s">
        <v>16536</v>
      </c>
      <c r="C1891" s="7" t="s">
        <v>2388</v>
      </c>
      <c r="D1891" s="7" t="s">
        <v>411</v>
      </c>
      <c r="E1891" s="7" t="s">
        <v>154</v>
      </c>
      <c r="F1891" s="39" t="n">
        <v>45754</v>
      </c>
      <c r="G1891" s="41" t="n">
        <v>123.49</v>
      </c>
      <c r="H1891" s="39" t="n">
        <v>45797</v>
      </c>
      <c r="I1891" s="7" t="s">
        <v>14651</v>
      </c>
      <c r="J1891" s="8" t="str">
        <f aca="false">IF(I1891="Open",DATE(2025,12,31)-F1891,"-")</f>
        <v>-</v>
      </c>
    </row>
    <row r="1892" customFormat="false" ht="15" hidden="false" customHeight="false" outlineLevel="0" collapsed="false">
      <c r="B1892" s="7" t="s">
        <v>16537</v>
      </c>
      <c r="C1892" s="7" t="s">
        <v>2389</v>
      </c>
      <c r="D1892" s="7" t="s">
        <v>288</v>
      </c>
      <c r="E1892" s="7" t="s">
        <v>156</v>
      </c>
      <c r="F1892" s="39" t="n">
        <v>45755</v>
      </c>
      <c r="G1892" s="41" t="n">
        <v>145.86</v>
      </c>
      <c r="H1892" s="39" t="n">
        <v>45764</v>
      </c>
      <c r="I1892" s="7" t="s">
        <v>14651</v>
      </c>
      <c r="J1892" s="8" t="str">
        <f aca="false">IF(I1892="Open",DATE(2025,12,31)-F1892,"-")</f>
        <v>-</v>
      </c>
    </row>
    <row r="1893" customFormat="false" ht="15" hidden="false" customHeight="false" outlineLevel="0" collapsed="false">
      <c r="B1893" s="7" t="s">
        <v>16538</v>
      </c>
      <c r="C1893" s="7" t="s">
        <v>2390</v>
      </c>
      <c r="D1893" s="7" t="s">
        <v>301</v>
      </c>
      <c r="E1893" s="7" t="s">
        <v>157</v>
      </c>
      <c r="F1893" s="39" t="n">
        <v>45755</v>
      </c>
      <c r="G1893" s="41" t="n">
        <v>150.15</v>
      </c>
      <c r="H1893" s="39" t="n">
        <v>45793</v>
      </c>
      <c r="I1893" s="7" t="s">
        <v>14651</v>
      </c>
      <c r="J1893" s="8" t="str">
        <f aca="false">IF(I1893="Open",DATE(2025,12,31)-F1893,"-")</f>
        <v>-</v>
      </c>
    </row>
    <row r="1894" customFormat="false" ht="15" hidden="false" customHeight="false" outlineLevel="0" collapsed="false">
      <c r="B1894" s="7" t="s">
        <v>16539</v>
      </c>
      <c r="C1894" s="7" t="s">
        <v>2391</v>
      </c>
      <c r="D1894" s="7" t="s">
        <v>313</v>
      </c>
      <c r="E1894" s="7" t="s">
        <v>156</v>
      </c>
      <c r="F1894" s="39" t="n">
        <v>45755</v>
      </c>
      <c r="G1894" s="41" t="n">
        <v>132.94</v>
      </c>
      <c r="H1894" s="39" t="n">
        <v>45771</v>
      </c>
      <c r="I1894" s="7" t="s">
        <v>14651</v>
      </c>
      <c r="J1894" s="8" t="str">
        <f aca="false">IF(I1894="Open",DATE(2025,12,31)-F1894,"-")</f>
        <v>-</v>
      </c>
    </row>
    <row r="1895" customFormat="false" ht="15" hidden="false" customHeight="false" outlineLevel="0" collapsed="false">
      <c r="B1895" s="7" t="s">
        <v>16540</v>
      </c>
      <c r="C1895" s="7" t="s">
        <v>2392</v>
      </c>
      <c r="D1895" s="7" t="s">
        <v>319</v>
      </c>
      <c r="E1895" s="7" t="s">
        <v>157</v>
      </c>
      <c r="F1895" s="39" t="n">
        <v>45755</v>
      </c>
      <c r="G1895" s="41" t="n">
        <v>163.35</v>
      </c>
      <c r="H1895" s="39" t="n">
        <v>45792</v>
      </c>
      <c r="I1895" s="7" t="s">
        <v>14651</v>
      </c>
      <c r="J1895" s="8" t="str">
        <f aca="false">IF(I1895="Open",DATE(2025,12,31)-F1895,"-")</f>
        <v>-</v>
      </c>
    </row>
    <row r="1896" customFormat="false" ht="15" hidden="false" customHeight="false" outlineLevel="0" collapsed="false">
      <c r="B1896" s="7" t="s">
        <v>16541</v>
      </c>
      <c r="C1896" s="7" t="s">
        <v>2393</v>
      </c>
      <c r="D1896" s="7" t="s">
        <v>321</v>
      </c>
      <c r="E1896" s="7" t="s">
        <v>154</v>
      </c>
      <c r="F1896" s="39" t="n">
        <v>45755</v>
      </c>
      <c r="G1896" s="41" t="n">
        <v>113.69</v>
      </c>
      <c r="H1896" s="39" t="n">
        <v>45807</v>
      </c>
      <c r="I1896" s="7" t="s">
        <v>14651</v>
      </c>
      <c r="J1896" s="8" t="str">
        <f aca="false">IF(I1896="Open",DATE(2025,12,31)-F1896,"-")</f>
        <v>-</v>
      </c>
    </row>
    <row r="1897" customFormat="false" ht="15" hidden="false" customHeight="false" outlineLevel="0" collapsed="false">
      <c r="B1897" s="7" t="s">
        <v>16542</v>
      </c>
      <c r="C1897" s="7" t="s">
        <v>2394</v>
      </c>
      <c r="D1897" s="7" t="s">
        <v>323</v>
      </c>
      <c r="E1897" s="7" t="s">
        <v>159</v>
      </c>
      <c r="F1897" s="39" t="n">
        <v>45755</v>
      </c>
      <c r="G1897" s="41" t="n">
        <v>135</v>
      </c>
      <c r="H1897" s="39" t="n">
        <v>45770</v>
      </c>
      <c r="I1897" s="7" t="s">
        <v>14651</v>
      </c>
      <c r="J1897" s="8" t="str">
        <f aca="false">IF(I1897="Open",DATE(2025,12,31)-F1897,"-")</f>
        <v>-</v>
      </c>
    </row>
    <row r="1898" customFormat="false" ht="15" hidden="false" customHeight="false" outlineLevel="0" collapsed="false">
      <c r="B1898" s="7" t="s">
        <v>16543</v>
      </c>
      <c r="C1898" s="7" t="s">
        <v>2395</v>
      </c>
      <c r="D1898" s="7" t="s">
        <v>327</v>
      </c>
      <c r="E1898" s="7" t="s">
        <v>157</v>
      </c>
      <c r="F1898" s="39" t="n">
        <v>45755</v>
      </c>
      <c r="G1898" s="41" t="n">
        <v>165</v>
      </c>
      <c r="H1898" s="39" t="n">
        <v>45763</v>
      </c>
      <c r="I1898" s="7" t="s">
        <v>14651</v>
      </c>
      <c r="J1898" s="8" t="str">
        <f aca="false">IF(I1898="Open",DATE(2025,12,31)-F1898,"-")</f>
        <v>-</v>
      </c>
    </row>
    <row r="1899" customFormat="false" ht="15" hidden="false" customHeight="false" outlineLevel="0" collapsed="false">
      <c r="B1899" s="7" t="s">
        <v>16544</v>
      </c>
      <c r="C1899" s="7" t="s">
        <v>2396</v>
      </c>
      <c r="D1899" s="7" t="s">
        <v>329</v>
      </c>
      <c r="E1899" s="7" t="s">
        <v>156</v>
      </c>
      <c r="F1899" s="39" t="n">
        <v>45755</v>
      </c>
      <c r="G1899" s="41" t="n">
        <v>140.42</v>
      </c>
      <c r="H1899" s="39" t="n">
        <v>45766</v>
      </c>
      <c r="I1899" s="7" t="s">
        <v>14651</v>
      </c>
      <c r="J1899" s="8" t="str">
        <f aca="false">IF(I1899="Open",DATE(2025,12,31)-F1899,"-")</f>
        <v>-</v>
      </c>
    </row>
    <row r="1900" customFormat="false" ht="15" hidden="false" customHeight="false" outlineLevel="0" collapsed="false">
      <c r="B1900" s="7" t="s">
        <v>16545</v>
      </c>
      <c r="C1900" s="7" t="s">
        <v>2397</v>
      </c>
      <c r="D1900" s="7" t="s">
        <v>359</v>
      </c>
      <c r="E1900" s="7" t="s">
        <v>156</v>
      </c>
      <c r="F1900" s="39" t="n">
        <v>45755</v>
      </c>
      <c r="G1900" s="41" t="n">
        <v>135.32</v>
      </c>
      <c r="H1900" s="39" t="n">
        <v>45764</v>
      </c>
      <c r="I1900" s="7" t="s">
        <v>14651</v>
      </c>
      <c r="J1900" s="8" t="str">
        <f aca="false">IF(I1900="Open",DATE(2025,12,31)-F1900,"-")</f>
        <v>-</v>
      </c>
    </row>
    <row r="1901" customFormat="false" ht="15" hidden="false" customHeight="false" outlineLevel="0" collapsed="false">
      <c r="B1901" s="7" t="s">
        <v>16546</v>
      </c>
      <c r="C1901" s="7" t="s">
        <v>2398</v>
      </c>
      <c r="D1901" s="7" t="s">
        <v>361</v>
      </c>
      <c r="E1901" s="7" t="s">
        <v>157</v>
      </c>
      <c r="F1901" s="39" t="n">
        <v>45755</v>
      </c>
      <c r="G1901" s="41" t="n">
        <v>161.7</v>
      </c>
      <c r="H1901" s="39" t="n">
        <v>45793</v>
      </c>
      <c r="I1901" s="7" t="s">
        <v>14651</v>
      </c>
      <c r="J1901" s="8" t="str">
        <f aca="false">IF(I1901="Open",DATE(2025,12,31)-F1901,"-")</f>
        <v>-</v>
      </c>
    </row>
    <row r="1902" customFormat="false" ht="15" hidden="false" customHeight="false" outlineLevel="0" collapsed="false">
      <c r="B1902" s="7" t="s">
        <v>16547</v>
      </c>
      <c r="C1902" s="7" t="s">
        <v>2399</v>
      </c>
      <c r="D1902" s="7" t="s">
        <v>381</v>
      </c>
      <c r="E1902" s="7" t="s">
        <v>157</v>
      </c>
      <c r="F1902" s="39" t="n">
        <v>45755</v>
      </c>
      <c r="G1902" s="41" t="n">
        <v>168.3</v>
      </c>
      <c r="H1902" s="39" t="n">
        <v>45792</v>
      </c>
      <c r="I1902" s="7" t="s">
        <v>14651</v>
      </c>
      <c r="J1902" s="8" t="str">
        <f aca="false">IF(I1902="Open",DATE(2025,12,31)-F1902,"-")</f>
        <v>-</v>
      </c>
    </row>
    <row r="1903" customFormat="false" ht="15" hidden="false" customHeight="false" outlineLevel="0" collapsed="false">
      <c r="B1903" s="7" t="s">
        <v>16548</v>
      </c>
      <c r="C1903" s="7" t="s">
        <v>2400</v>
      </c>
      <c r="D1903" s="7" t="s">
        <v>389</v>
      </c>
      <c r="E1903" s="7" t="s">
        <v>154</v>
      </c>
      <c r="F1903" s="39" t="n">
        <v>45755</v>
      </c>
      <c r="G1903" s="41" t="n">
        <v>99.22</v>
      </c>
      <c r="H1903" s="39" t="n">
        <v>45812</v>
      </c>
      <c r="I1903" s="7" t="s">
        <v>14651</v>
      </c>
      <c r="J1903" s="8" t="str">
        <f aca="false">IF(I1903="Open",DATE(2025,12,31)-F1903,"-")</f>
        <v>-</v>
      </c>
    </row>
    <row r="1904" customFormat="false" ht="15" hidden="false" customHeight="false" outlineLevel="0" collapsed="false">
      <c r="B1904" s="7" t="s">
        <v>16549</v>
      </c>
      <c r="C1904" s="7" t="s">
        <v>2401</v>
      </c>
      <c r="D1904" s="7" t="s">
        <v>391</v>
      </c>
      <c r="E1904" s="7" t="s">
        <v>156</v>
      </c>
      <c r="F1904" s="39" t="n">
        <v>45755</v>
      </c>
      <c r="G1904" s="41" t="n">
        <v>145.18</v>
      </c>
      <c r="H1904" s="39" t="n">
        <v>45770</v>
      </c>
      <c r="I1904" s="7" t="s">
        <v>14651</v>
      </c>
      <c r="J1904" s="8" t="str">
        <f aca="false">IF(I1904="Open",DATE(2025,12,31)-F1904,"-")</f>
        <v>-</v>
      </c>
    </row>
    <row r="1905" customFormat="false" ht="15" hidden="false" customHeight="false" outlineLevel="0" collapsed="false">
      <c r="B1905" s="7" t="s">
        <v>16550</v>
      </c>
      <c r="C1905" s="7" t="s">
        <v>2402</v>
      </c>
      <c r="D1905" s="7" t="s">
        <v>395</v>
      </c>
      <c r="E1905" s="7" t="s">
        <v>156</v>
      </c>
      <c r="F1905" s="39" t="n">
        <v>45755</v>
      </c>
      <c r="G1905" s="41" t="n">
        <v>123.08</v>
      </c>
      <c r="H1905" s="39" t="n">
        <v>45761</v>
      </c>
      <c r="I1905" s="7" t="s">
        <v>14651</v>
      </c>
      <c r="J1905" s="8" t="str">
        <f aca="false">IF(I1905="Open",DATE(2025,12,31)-F1905,"-")</f>
        <v>-</v>
      </c>
    </row>
    <row r="1906" customFormat="false" ht="15" hidden="false" customHeight="false" outlineLevel="0" collapsed="false">
      <c r="B1906" s="7" t="s">
        <v>16551</v>
      </c>
      <c r="C1906" s="7" t="s">
        <v>2403</v>
      </c>
      <c r="D1906" s="7" t="s">
        <v>397</v>
      </c>
      <c r="E1906" s="7" t="s">
        <v>159</v>
      </c>
      <c r="F1906" s="39" t="n">
        <v>45755</v>
      </c>
      <c r="G1906" s="41" t="n">
        <v>124.2</v>
      </c>
      <c r="H1906" s="39" t="n">
        <v>45789</v>
      </c>
      <c r="I1906" s="7" t="s">
        <v>14651</v>
      </c>
      <c r="J1906" s="8" t="str">
        <f aca="false">IF(I1906="Open",DATE(2025,12,31)-F1906,"-")</f>
        <v>-</v>
      </c>
    </row>
    <row r="1907" customFormat="false" ht="15" hidden="false" customHeight="false" outlineLevel="0" collapsed="false">
      <c r="B1907" s="7" t="s">
        <v>16552</v>
      </c>
      <c r="C1907" s="7" t="s">
        <v>2404</v>
      </c>
      <c r="D1907" s="7" t="s">
        <v>401</v>
      </c>
      <c r="E1907" s="7" t="s">
        <v>156</v>
      </c>
      <c r="F1907" s="39" t="n">
        <v>45755</v>
      </c>
      <c r="G1907" s="41" t="n">
        <v>131.92</v>
      </c>
      <c r="H1907" s="39" t="n">
        <v>45774</v>
      </c>
      <c r="I1907" s="7" t="s">
        <v>14651</v>
      </c>
      <c r="J1907" s="8" t="str">
        <f aca="false">IF(I1907="Open",DATE(2025,12,31)-F1907,"-")</f>
        <v>-</v>
      </c>
    </row>
    <row r="1908" customFormat="false" ht="15" hidden="false" customHeight="false" outlineLevel="0" collapsed="false">
      <c r="B1908" s="7" t="s">
        <v>16553</v>
      </c>
      <c r="C1908" s="7" t="s">
        <v>2405</v>
      </c>
      <c r="D1908" s="7" t="s">
        <v>407</v>
      </c>
      <c r="E1908" s="7" t="s">
        <v>159</v>
      </c>
      <c r="F1908" s="39" t="n">
        <v>45755</v>
      </c>
      <c r="G1908" s="41" t="n">
        <v>139.05</v>
      </c>
      <c r="H1908" s="39" t="n">
        <v>45837</v>
      </c>
      <c r="I1908" s="7" t="s">
        <v>14651</v>
      </c>
      <c r="J1908" s="8" t="str">
        <f aca="false">IF(I1908="Open",DATE(2025,12,31)-F1908,"-")</f>
        <v>-</v>
      </c>
    </row>
    <row r="1909" customFormat="false" ht="15" hidden="false" customHeight="false" outlineLevel="0" collapsed="false">
      <c r="B1909" s="7" t="s">
        <v>16554</v>
      </c>
      <c r="C1909" s="7" t="s">
        <v>2406</v>
      </c>
      <c r="D1909" s="7" t="s">
        <v>280</v>
      </c>
      <c r="E1909" s="7" t="s">
        <v>157</v>
      </c>
      <c r="F1909" s="39" t="n">
        <v>45756</v>
      </c>
      <c r="G1909" s="41" t="n">
        <v>150.15</v>
      </c>
      <c r="H1909" s="39" t="n">
        <v>45821</v>
      </c>
      <c r="I1909" s="7" t="s">
        <v>14651</v>
      </c>
      <c r="J1909" s="8" t="str">
        <f aca="false">IF(I1909="Open",DATE(2025,12,31)-F1909,"-")</f>
        <v>-</v>
      </c>
    </row>
    <row r="1910" customFormat="false" ht="15" hidden="false" customHeight="false" outlineLevel="0" collapsed="false">
      <c r="B1910" s="7" t="s">
        <v>16555</v>
      </c>
      <c r="C1910" s="7" t="s">
        <v>2407</v>
      </c>
      <c r="D1910" s="7" t="s">
        <v>286</v>
      </c>
      <c r="E1910" s="7" t="s">
        <v>157</v>
      </c>
      <c r="F1910" s="39" t="n">
        <v>45756</v>
      </c>
      <c r="G1910" s="41" t="n">
        <v>148.5</v>
      </c>
      <c r="H1910" s="39" t="n">
        <v>45803</v>
      </c>
      <c r="I1910" s="7" t="s">
        <v>14651</v>
      </c>
      <c r="J1910" s="8" t="str">
        <f aca="false">IF(I1910="Open",DATE(2025,12,31)-F1910,"-")</f>
        <v>-</v>
      </c>
    </row>
    <row r="1911" customFormat="false" ht="15" hidden="false" customHeight="false" outlineLevel="0" collapsed="false">
      <c r="B1911" s="7" t="s">
        <v>16556</v>
      </c>
      <c r="C1911" s="7" t="s">
        <v>2408</v>
      </c>
      <c r="D1911" s="7" t="s">
        <v>288</v>
      </c>
      <c r="E1911" s="7" t="s">
        <v>156</v>
      </c>
      <c r="F1911" s="39" t="n">
        <v>45756</v>
      </c>
      <c r="G1911" s="41" t="n">
        <v>145.86</v>
      </c>
      <c r="H1911" s="39" t="n">
        <v>45771</v>
      </c>
      <c r="I1911" s="7" t="s">
        <v>14651</v>
      </c>
      <c r="J1911" s="8" t="str">
        <f aca="false">IF(I1911="Open",DATE(2025,12,31)-F1911,"-")</f>
        <v>-</v>
      </c>
    </row>
    <row r="1912" customFormat="false" ht="15" hidden="false" customHeight="false" outlineLevel="0" collapsed="false">
      <c r="B1912" s="7" t="s">
        <v>16557</v>
      </c>
      <c r="C1912" s="7" t="s">
        <v>2409</v>
      </c>
      <c r="D1912" s="7" t="s">
        <v>291</v>
      </c>
      <c r="E1912" s="7" t="s">
        <v>154</v>
      </c>
      <c r="F1912" s="39" t="n">
        <v>45756</v>
      </c>
      <c r="G1912" s="41" t="n">
        <v>117.93</v>
      </c>
      <c r="H1912" s="39" t="n">
        <v>45811</v>
      </c>
      <c r="I1912" s="7" t="s">
        <v>14651</v>
      </c>
      <c r="J1912" s="8" t="str">
        <f aca="false">IF(I1912="Open",DATE(2025,12,31)-F1912,"-")</f>
        <v>-</v>
      </c>
    </row>
    <row r="1913" customFormat="false" ht="15" hidden="false" customHeight="false" outlineLevel="0" collapsed="false">
      <c r="B1913" s="7" t="s">
        <v>16558</v>
      </c>
      <c r="C1913" s="7" t="s">
        <v>2410</v>
      </c>
      <c r="D1913" s="7" t="s">
        <v>305</v>
      </c>
      <c r="E1913" s="7" t="s">
        <v>154</v>
      </c>
      <c r="F1913" s="39" t="n">
        <v>45756</v>
      </c>
      <c r="G1913" s="41" t="n">
        <v>116.33</v>
      </c>
      <c r="H1913" s="39" t="n">
        <v>45805</v>
      </c>
      <c r="I1913" s="7" t="s">
        <v>14651</v>
      </c>
      <c r="J1913" s="8" t="str">
        <f aca="false">IF(I1913="Open",DATE(2025,12,31)-F1913,"-")</f>
        <v>-</v>
      </c>
    </row>
    <row r="1914" customFormat="false" ht="15" hidden="false" customHeight="false" outlineLevel="0" collapsed="false">
      <c r="B1914" s="7" t="s">
        <v>16559</v>
      </c>
      <c r="C1914" s="7" t="s">
        <v>2411</v>
      </c>
      <c r="D1914" s="7" t="s">
        <v>307</v>
      </c>
      <c r="E1914" s="7" t="s">
        <v>157</v>
      </c>
      <c r="F1914" s="39" t="n">
        <v>45756</v>
      </c>
      <c r="G1914" s="41" t="n">
        <v>158.23</v>
      </c>
      <c r="H1914" s="39" t="n">
        <v>45801</v>
      </c>
      <c r="I1914" s="7" t="s">
        <v>14651</v>
      </c>
      <c r="J1914" s="8" t="str">
        <f aca="false">IF(I1914="Open",DATE(2025,12,31)-F1914,"-")</f>
        <v>-</v>
      </c>
    </row>
    <row r="1915" customFormat="false" ht="15" hidden="false" customHeight="false" outlineLevel="0" collapsed="false">
      <c r="B1915" s="7" t="s">
        <v>16560</v>
      </c>
      <c r="C1915" s="7" t="s">
        <v>2412</v>
      </c>
      <c r="D1915" s="7" t="s">
        <v>309</v>
      </c>
      <c r="E1915" s="7" t="s">
        <v>159</v>
      </c>
      <c r="F1915" s="39" t="n">
        <v>45756</v>
      </c>
      <c r="G1915" s="41" t="n">
        <v>140.4</v>
      </c>
      <c r="H1915" s="39" t="n">
        <v>45785</v>
      </c>
      <c r="I1915" s="7" t="s">
        <v>14651</v>
      </c>
      <c r="J1915" s="8" t="str">
        <f aca="false">IF(I1915="Open",DATE(2025,12,31)-F1915,"-")</f>
        <v>-</v>
      </c>
    </row>
    <row r="1916" customFormat="false" ht="15" hidden="false" customHeight="false" outlineLevel="0" collapsed="false">
      <c r="B1916" s="7" t="s">
        <v>16561</v>
      </c>
      <c r="C1916" s="7" t="s">
        <v>2413</v>
      </c>
      <c r="D1916" s="7" t="s">
        <v>313</v>
      </c>
      <c r="E1916" s="7" t="s">
        <v>156</v>
      </c>
      <c r="F1916" s="39" t="n">
        <v>45756</v>
      </c>
      <c r="G1916" s="41" t="n">
        <v>143.14</v>
      </c>
      <c r="H1916" s="39" t="n">
        <v>45768</v>
      </c>
      <c r="I1916" s="7" t="s">
        <v>14651</v>
      </c>
      <c r="J1916" s="8" t="str">
        <f aca="false">IF(I1916="Open",DATE(2025,12,31)-F1916,"-")</f>
        <v>-</v>
      </c>
    </row>
    <row r="1917" customFormat="false" ht="15" hidden="false" customHeight="false" outlineLevel="0" collapsed="false">
      <c r="B1917" s="7" t="s">
        <v>16562</v>
      </c>
      <c r="C1917" s="7" t="s">
        <v>2414</v>
      </c>
      <c r="D1917" s="7" t="s">
        <v>321</v>
      </c>
      <c r="E1917" s="7" t="s">
        <v>154</v>
      </c>
      <c r="F1917" s="39" t="n">
        <v>45756</v>
      </c>
      <c r="G1917" s="41" t="n">
        <v>103.09</v>
      </c>
      <c r="H1917" s="39" t="n">
        <v>45799</v>
      </c>
      <c r="I1917" s="7" t="s">
        <v>14651</v>
      </c>
      <c r="J1917" s="8" t="str">
        <f aca="false">IF(I1917="Open",DATE(2025,12,31)-F1917,"-")</f>
        <v>-</v>
      </c>
    </row>
    <row r="1918" customFormat="false" ht="15" hidden="false" customHeight="false" outlineLevel="0" collapsed="false">
      <c r="B1918" s="7" t="s">
        <v>16563</v>
      </c>
      <c r="C1918" s="7" t="s">
        <v>2415</v>
      </c>
      <c r="D1918" s="7" t="s">
        <v>329</v>
      </c>
      <c r="E1918" s="7" t="s">
        <v>156</v>
      </c>
      <c r="F1918" s="39" t="n">
        <v>45756</v>
      </c>
      <c r="G1918" s="41" t="n">
        <v>145.52</v>
      </c>
      <c r="H1918" s="39" t="n">
        <v>45766</v>
      </c>
      <c r="I1918" s="7" t="s">
        <v>14651</v>
      </c>
      <c r="J1918" s="8" t="str">
        <f aca="false">IF(I1918="Open",DATE(2025,12,31)-F1918,"-")</f>
        <v>-</v>
      </c>
    </row>
    <row r="1919" customFormat="false" ht="15" hidden="false" customHeight="false" outlineLevel="0" collapsed="false">
      <c r="B1919" s="7" t="s">
        <v>16564</v>
      </c>
      <c r="C1919" s="7" t="s">
        <v>2416</v>
      </c>
      <c r="D1919" s="7" t="s">
        <v>335</v>
      </c>
      <c r="E1919" s="7" t="s">
        <v>154</v>
      </c>
      <c r="F1919" s="39" t="n">
        <v>45756</v>
      </c>
      <c r="G1919" s="41" t="n">
        <v>103.59</v>
      </c>
      <c r="H1919" s="39" t="n">
        <v>45841</v>
      </c>
      <c r="I1919" s="7" t="s">
        <v>14651</v>
      </c>
      <c r="J1919" s="8" t="str">
        <f aca="false">IF(I1919="Open",DATE(2025,12,31)-F1919,"-")</f>
        <v>-</v>
      </c>
    </row>
    <row r="1920" customFormat="false" ht="15" hidden="false" customHeight="false" outlineLevel="0" collapsed="false">
      <c r="B1920" s="7" t="s">
        <v>16565</v>
      </c>
      <c r="C1920" s="7" t="s">
        <v>2417</v>
      </c>
      <c r="D1920" s="7" t="s">
        <v>339</v>
      </c>
      <c r="E1920" s="7" t="s">
        <v>154</v>
      </c>
      <c r="F1920" s="39" t="n">
        <v>45756</v>
      </c>
      <c r="G1920" s="41" t="n">
        <v>96.99</v>
      </c>
      <c r="H1920" s="39" t="n">
        <v>45808</v>
      </c>
      <c r="I1920" s="7" t="s">
        <v>14651</v>
      </c>
      <c r="J1920" s="8" t="str">
        <f aca="false">IF(I1920="Open",DATE(2025,12,31)-F1920,"-")</f>
        <v>-</v>
      </c>
    </row>
    <row r="1921" customFormat="false" ht="15" hidden="false" customHeight="false" outlineLevel="0" collapsed="false">
      <c r="B1921" s="7" t="s">
        <v>16566</v>
      </c>
      <c r="C1921" s="7" t="s">
        <v>2418</v>
      </c>
      <c r="D1921" s="7" t="s">
        <v>353</v>
      </c>
      <c r="E1921" s="7" t="s">
        <v>154</v>
      </c>
      <c r="F1921" s="39" t="n">
        <v>45756</v>
      </c>
      <c r="G1921" s="41" t="n">
        <v>92.75</v>
      </c>
      <c r="H1921" s="39" t="n">
        <v>45813</v>
      </c>
      <c r="I1921" s="7" t="s">
        <v>14651</v>
      </c>
      <c r="J1921" s="8" t="str">
        <f aca="false">IF(I1921="Open",DATE(2025,12,31)-F1921,"-")</f>
        <v>-</v>
      </c>
    </row>
    <row r="1922" customFormat="false" ht="15" hidden="false" customHeight="false" outlineLevel="0" collapsed="false">
      <c r="B1922" s="7" t="s">
        <v>16567</v>
      </c>
      <c r="C1922" s="7" t="s">
        <v>2419</v>
      </c>
      <c r="D1922" s="7" t="s">
        <v>355</v>
      </c>
      <c r="E1922" s="7" t="s">
        <v>154</v>
      </c>
      <c r="F1922" s="39" t="n">
        <v>45756</v>
      </c>
      <c r="G1922" s="41" t="n">
        <v>78.65</v>
      </c>
      <c r="H1922" s="39" t="n">
        <v>45797</v>
      </c>
      <c r="I1922" s="7" t="s">
        <v>14651</v>
      </c>
      <c r="J1922" s="8" t="str">
        <f aca="false">IF(I1922="Open",DATE(2025,12,31)-F1922,"-")</f>
        <v>-</v>
      </c>
    </row>
    <row r="1923" customFormat="false" ht="15" hidden="false" customHeight="false" outlineLevel="0" collapsed="false">
      <c r="B1923" s="7" t="s">
        <v>16568</v>
      </c>
      <c r="C1923" s="7" t="s">
        <v>2420</v>
      </c>
      <c r="D1923" s="7" t="s">
        <v>357</v>
      </c>
      <c r="E1923" s="7" t="s">
        <v>154</v>
      </c>
      <c r="F1923" s="39" t="n">
        <v>45756</v>
      </c>
      <c r="G1923" s="41" t="n">
        <v>93.55</v>
      </c>
      <c r="H1923" s="39" t="n">
        <v>45794</v>
      </c>
      <c r="I1923" s="7" t="s">
        <v>14651</v>
      </c>
      <c r="J1923" s="8" t="str">
        <f aca="false">IF(I1923="Open",DATE(2025,12,31)-F1923,"-")</f>
        <v>-</v>
      </c>
    </row>
    <row r="1924" customFormat="false" ht="15" hidden="false" customHeight="false" outlineLevel="0" collapsed="false">
      <c r="B1924" s="7" t="s">
        <v>16569</v>
      </c>
      <c r="C1924" s="7" t="s">
        <v>2421</v>
      </c>
      <c r="D1924" s="7" t="s">
        <v>359</v>
      </c>
      <c r="E1924" s="7" t="s">
        <v>156</v>
      </c>
      <c r="F1924" s="39" t="n">
        <v>45756</v>
      </c>
      <c r="G1924" s="41" t="n">
        <v>144.16</v>
      </c>
      <c r="H1924" s="39" t="n">
        <v>45770</v>
      </c>
      <c r="I1924" s="7" t="s">
        <v>14651</v>
      </c>
      <c r="J1924" s="8" t="str">
        <f aca="false">IF(I1924="Open",DATE(2025,12,31)-F1924,"-")</f>
        <v>-</v>
      </c>
    </row>
    <row r="1925" customFormat="false" ht="15" hidden="false" customHeight="false" outlineLevel="0" collapsed="false">
      <c r="B1925" s="7" t="s">
        <v>16570</v>
      </c>
      <c r="C1925" s="7" t="s">
        <v>2422</v>
      </c>
      <c r="D1925" s="7" t="s">
        <v>371</v>
      </c>
      <c r="E1925" s="7" t="s">
        <v>154</v>
      </c>
      <c r="F1925" s="39" t="n">
        <v>45756</v>
      </c>
      <c r="G1925" s="41" t="n">
        <v>131.18</v>
      </c>
      <c r="H1925" s="39" t="n">
        <v>45833</v>
      </c>
      <c r="I1925" s="7" t="s">
        <v>14651</v>
      </c>
      <c r="J1925" s="8" t="str">
        <f aca="false">IF(I1925="Open",DATE(2025,12,31)-F1925,"-")</f>
        <v>-</v>
      </c>
    </row>
    <row r="1926" customFormat="false" ht="15" hidden="false" customHeight="false" outlineLevel="0" collapsed="false">
      <c r="B1926" s="7" t="s">
        <v>16571</v>
      </c>
      <c r="C1926" s="7" t="s">
        <v>2423</v>
      </c>
      <c r="D1926" s="7" t="s">
        <v>379</v>
      </c>
      <c r="E1926" s="7" t="s">
        <v>156</v>
      </c>
      <c r="F1926" s="39" t="n">
        <v>45756</v>
      </c>
      <c r="G1926" s="41" t="n">
        <v>149.26</v>
      </c>
      <c r="H1926" s="39" t="n">
        <v>45777</v>
      </c>
      <c r="I1926" s="7" t="s">
        <v>14651</v>
      </c>
      <c r="J1926" s="8" t="str">
        <f aca="false">IF(I1926="Open",DATE(2025,12,31)-F1926,"-")</f>
        <v>-</v>
      </c>
    </row>
    <row r="1927" customFormat="false" ht="15" hidden="false" customHeight="false" outlineLevel="0" collapsed="false">
      <c r="B1927" s="7" t="s">
        <v>16572</v>
      </c>
      <c r="C1927" s="7" t="s">
        <v>2424</v>
      </c>
      <c r="D1927" s="7" t="s">
        <v>389</v>
      </c>
      <c r="E1927" s="7" t="s">
        <v>154</v>
      </c>
      <c r="F1927" s="39" t="n">
        <v>45756</v>
      </c>
      <c r="G1927" s="41" t="n">
        <v>104.94</v>
      </c>
      <c r="H1927" s="39" t="n">
        <v>45788</v>
      </c>
      <c r="I1927" s="7" t="s">
        <v>14651</v>
      </c>
      <c r="J1927" s="8" t="str">
        <f aca="false">IF(I1927="Open",DATE(2025,12,31)-F1927,"-")</f>
        <v>-</v>
      </c>
    </row>
    <row r="1928" customFormat="false" ht="15" hidden="false" customHeight="false" outlineLevel="0" collapsed="false">
      <c r="B1928" s="7" t="s">
        <v>16573</v>
      </c>
      <c r="C1928" s="7" t="s">
        <v>2425</v>
      </c>
      <c r="D1928" s="7" t="s">
        <v>391</v>
      </c>
      <c r="E1928" s="7" t="s">
        <v>156</v>
      </c>
      <c r="F1928" s="39" t="n">
        <v>45756</v>
      </c>
      <c r="G1928" s="41" t="n">
        <v>122.74</v>
      </c>
      <c r="H1928" s="39" t="n">
        <v>45771</v>
      </c>
      <c r="I1928" s="7" t="s">
        <v>14651</v>
      </c>
      <c r="J1928" s="8" t="str">
        <f aca="false">IF(I1928="Open",DATE(2025,12,31)-F1928,"-")</f>
        <v>-</v>
      </c>
    </row>
    <row r="1929" customFormat="false" ht="15" hidden="false" customHeight="false" outlineLevel="0" collapsed="false">
      <c r="B1929" s="7" t="s">
        <v>16574</v>
      </c>
      <c r="C1929" s="7" t="s">
        <v>2426</v>
      </c>
      <c r="D1929" s="7" t="s">
        <v>393</v>
      </c>
      <c r="E1929" s="7" t="s">
        <v>157</v>
      </c>
      <c r="F1929" s="39" t="n">
        <v>45756</v>
      </c>
      <c r="G1929" s="41" t="n">
        <v>168.3</v>
      </c>
      <c r="H1929" s="39" t="n">
        <v>45785</v>
      </c>
      <c r="I1929" s="7" t="s">
        <v>14651</v>
      </c>
      <c r="J1929" s="8" t="str">
        <f aca="false">IF(I1929="Open",DATE(2025,12,31)-F1929,"-")</f>
        <v>-</v>
      </c>
    </row>
    <row r="1930" customFormat="false" ht="15" hidden="false" customHeight="false" outlineLevel="0" collapsed="false">
      <c r="B1930" s="7" t="s">
        <v>16575</v>
      </c>
      <c r="C1930" s="7" t="s">
        <v>2427</v>
      </c>
      <c r="D1930" s="7" t="s">
        <v>395</v>
      </c>
      <c r="E1930" s="7" t="s">
        <v>156</v>
      </c>
      <c r="F1930" s="39" t="n">
        <v>45756</v>
      </c>
      <c r="G1930" s="41" t="n">
        <v>142.46</v>
      </c>
      <c r="H1930" s="39" t="n">
        <v>45771</v>
      </c>
      <c r="I1930" s="7" t="s">
        <v>14651</v>
      </c>
      <c r="J1930" s="8" t="str">
        <f aca="false">IF(I1930="Open",DATE(2025,12,31)-F1930,"-")</f>
        <v>-</v>
      </c>
    </row>
    <row r="1931" customFormat="false" ht="15" hidden="false" customHeight="false" outlineLevel="0" collapsed="false">
      <c r="B1931" s="7" t="s">
        <v>16576</v>
      </c>
      <c r="C1931" s="7" t="s">
        <v>2428</v>
      </c>
      <c r="D1931" s="7" t="s">
        <v>399</v>
      </c>
      <c r="E1931" s="7" t="s">
        <v>154</v>
      </c>
      <c r="F1931" s="39" t="n">
        <v>45756</v>
      </c>
      <c r="G1931" s="41" t="n">
        <v>89.04</v>
      </c>
      <c r="H1931" s="39" t="n">
        <v>45817</v>
      </c>
      <c r="I1931" s="7" t="s">
        <v>14651</v>
      </c>
      <c r="J1931" s="8" t="str">
        <f aca="false">IF(I1931="Open",DATE(2025,12,31)-F1931,"-")</f>
        <v>-</v>
      </c>
    </row>
    <row r="1932" customFormat="false" ht="15" hidden="false" customHeight="false" outlineLevel="0" collapsed="false">
      <c r="B1932" s="7" t="s">
        <v>16577</v>
      </c>
      <c r="C1932" s="7" t="s">
        <v>2429</v>
      </c>
      <c r="D1932" s="7" t="s">
        <v>401</v>
      </c>
      <c r="E1932" s="7" t="s">
        <v>156</v>
      </c>
      <c r="F1932" s="39" t="n">
        <v>45756</v>
      </c>
      <c r="G1932" s="41" t="n">
        <v>134.3</v>
      </c>
      <c r="H1932" s="39" t="n">
        <v>45771</v>
      </c>
      <c r="I1932" s="7" t="s">
        <v>14651</v>
      </c>
      <c r="J1932" s="8" t="str">
        <f aca="false">IF(I1932="Open",DATE(2025,12,31)-F1932,"-")</f>
        <v>-</v>
      </c>
    </row>
    <row r="1933" customFormat="false" ht="15" hidden="false" customHeight="false" outlineLevel="0" collapsed="false">
      <c r="B1933" s="7" t="s">
        <v>16578</v>
      </c>
      <c r="C1933" s="7" t="s">
        <v>2430</v>
      </c>
      <c r="D1933" s="7" t="s">
        <v>409</v>
      </c>
      <c r="E1933" s="7" t="s">
        <v>154</v>
      </c>
      <c r="F1933" s="39" t="n">
        <v>45756</v>
      </c>
      <c r="G1933" s="41" t="n">
        <v>86.12</v>
      </c>
      <c r="H1933" s="39" t="n">
        <v>45815</v>
      </c>
      <c r="I1933" s="7" t="s">
        <v>14651</v>
      </c>
      <c r="J1933" s="8" t="str">
        <f aca="false">IF(I1933="Open",DATE(2025,12,31)-F1933,"-")</f>
        <v>-</v>
      </c>
    </row>
    <row r="1934" customFormat="false" ht="15" hidden="false" customHeight="false" outlineLevel="0" collapsed="false">
      <c r="B1934" s="7" t="s">
        <v>16579</v>
      </c>
      <c r="C1934" s="7" t="s">
        <v>2431</v>
      </c>
      <c r="D1934" s="7" t="s">
        <v>411</v>
      </c>
      <c r="E1934" s="7" t="s">
        <v>154</v>
      </c>
      <c r="F1934" s="39" t="n">
        <v>45756</v>
      </c>
      <c r="G1934" s="41" t="n">
        <v>115.01</v>
      </c>
      <c r="H1934" s="39" t="n">
        <v>45789</v>
      </c>
      <c r="I1934" s="7" t="s">
        <v>14651</v>
      </c>
      <c r="J1934" s="8" t="str">
        <f aca="false">IF(I1934="Open",DATE(2025,12,31)-F1934,"-")</f>
        <v>-</v>
      </c>
    </row>
    <row r="1935" customFormat="false" ht="15" hidden="false" customHeight="false" outlineLevel="0" collapsed="false">
      <c r="B1935" s="7" t="s">
        <v>16580</v>
      </c>
      <c r="C1935" s="7" t="s">
        <v>2432</v>
      </c>
      <c r="D1935" s="7" t="s">
        <v>288</v>
      </c>
      <c r="E1935" s="7" t="s">
        <v>156</v>
      </c>
      <c r="F1935" s="39" t="n">
        <v>45757</v>
      </c>
      <c r="G1935" s="41" t="n">
        <v>134.3</v>
      </c>
      <c r="H1935" s="39" t="n">
        <v>45767</v>
      </c>
      <c r="I1935" s="7" t="s">
        <v>14651</v>
      </c>
      <c r="J1935" s="8" t="str">
        <f aca="false">IF(I1935="Open",DATE(2025,12,31)-F1935,"-")</f>
        <v>-</v>
      </c>
    </row>
    <row r="1936" customFormat="false" ht="15" hidden="false" customHeight="false" outlineLevel="0" collapsed="false">
      <c r="B1936" s="7" t="s">
        <v>16581</v>
      </c>
      <c r="C1936" s="7" t="s">
        <v>2433</v>
      </c>
      <c r="D1936" s="7" t="s">
        <v>297</v>
      </c>
      <c r="E1936" s="7" t="s">
        <v>156</v>
      </c>
      <c r="F1936" s="39" t="n">
        <v>45757</v>
      </c>
      <c r="G1936" s="41" t="n">
        <v>93.16</v>
      </c>
      <c r="H1936" s="39" t="n">
        <v>45764</v>
      </c>
      <c r="I1936" s="7" t="s">
        <v>14651</v>
      </c>
      <c r="J1936" s="8" t="str">
        <f aca="false">IF(I1936="Open",DATE(2025,12,31)-F1936,"-")</f>
        <v>-</v>
      </c>
    </row>
    <row r="1937" customFormat="false" ht="15" hidden="false" customHeight="false" outlineLevel="0" collapsed="false">
      <c r="B1937" s="7" t="s">
        <v>16582</v>
      </c>
      <c r="C1937" s="7" t="s">
        <v>2434</v>
      </c>
      <c r="D1937" s="7" t="s">
        <v>311</v>
      </c>
      <c r="E1937" s="7" t="s">
        <v>154</v>
      </c>
      <c r="F1937" s="39" t="n">
        <v>45757</v>
      </c>
      <c r="G1937" s="41" t="n">
        <v>84.53</v>
      </c>
      <c r="H1937" s="39" t="n">
        <v>45867</v>
      </c>
      <c r="I1937" s="7" t="s">
        <v>14651</v>
      </c>
      <c r="J1937" s="8" t="str">
        <f aca="false">IF(I1937="Open",DATE(2025,12,31)-F1937,"-")</f>
        <v>-</v>
      </c>
    </row>
    <row r="1938" customFormat="false" ht="15" hidden="false" customHeight="false" outlineLevel="0" collapsed="false">
      <c r="B1938" s="7" t="s">
        <v>16583</v>
      </c>
      <c r="C1938" s="7" t="s">
        <v>2435</v>
      </c>
      <c r="D1938" s="7" t="s">
        <v>313</v>
      </c>
      <c r="E1938" s="7" t="s">
        <v>156</v>
      </c>
      <c r="F1938" s="39" t="n">
        <v>45757</v>
      </c>
      <c r="G1938" s="41" t="n">
        <v>138.72</v>
      </c>
      <c r="H1938" s="39" t="n">
        <v>45758</v>
      </c>
      <c r="I1938" s="7" t="s">
        <v>14651</v>
      </c>
      <c r="J1938" s="8" t="str">
        <f aca="false">IF(I1938="Open",DATE(2025,12,31)-F1938,"-")</f>
        <v>-</v>
      </c>
    </row>
    <row r="1939" customFormat="false" ht="15" hidden="false" customHeight="false" outlineLevel="0" collapsed="false">
      <c r="B1939" s="7" t="s">
        <v>16584</v>
      </c>
      <c r="C1939" s="7" t="s">
        <v>2436</v>
      </c>
      <c r="D1939" s="7" t="s">
        <v>317</v>
      </c>
      <c r="E1939" s="7" t="s">
        <v>156</v>
      </c>
      <c r="F1939" s="39" t="n">
        <v>45757</v>
      </c>
      <c r="G1939" s="41" t="n">
        <v>95.88</v>
      </c>
      <c r="H1939" s="39" t="n">
        <v>45765</v>
      </c>
      <c r="I1939" s="7" t="s">
        <v>14651</v>
      </c>
      <c r="J1939" s="8" t="str">
        <f aca="false">IF(I1939="Open",DATE(2025,12,31)-F1939,"-")</f>
        <v>-</v>
      </c>
    </row>
    <row r="1940" customFormat="false" ht="15" hidden="false" customHeight="false" outlineLevel="0" collapsed="false">
      <c r="B1940" s="7" t="s">
        <v>16585</v>
      </c>
      <c r="C1940" s="7" t="s">
        <v>2437</v>
      </c>
      <c r="D1940" s="7" t="s">
        <v>321</v>
      </c>
      <c r="E1940" s="7" t="s">
        <v>154</v>
      </c>
      <c r="F1940" s="39" t="n">
        <v>45757</v>
      </c>
      <c r="G1940" s="41" t="n">
        <v>105.2</v>
      </c>
      <c r="H1940" s="39" t="n">
        <v>45834</v>
      </c>
      <c r="I1940" s="7" t="s">
        <v>14651</v>
      </c>
      <c r="J1940" s="8" t="str">
        <f aca="false">IF(I1940="Open",DATE(2025,12,31)-F1940,"-")</f>
        <v>-</v>
      </c>
    </row>
    <row r="1941" customFormat="false" ht="15" hidden="false" customHeight="false" outlineLevel="0" collapsed="false">
      <c r="B1941" s="7" t="s">
        <v>16586</v>
      </c>
      <c r="C1941" s="7" t="s">
        <v>2438</v>
      </c>
      <c r="D1941" s="7" t="s">
        <v>325</v>
      </c>
      <c r="E1941" s="7" t="s">
        <v>154</v>
      </c>
      <c r="F1941" s="39" t="n">
        <v>45757</v>
      </c>
      <c r="G1941" s="41" t="n">
        <v>81.88</v>
      </c>
      <c r="H1941" s="39" t="n">
        <v>45808</v>
      </c>
      <c r="I1941" s="7" t="s">
        <v>14651</v>
      </c>
      <c r="J1941" s="8" t="str">
        <f aca="false">IF(I1941="Open",DATE(2025,12,31)-F1941,"-")</f>
        <v>-</v>
      </c>
    </row>
    <row r="1942" customFormat="false" ht="15" hidden="false" customHeight="false" outlineLevel="0" collapsed="false">
      <c r="B1942" s="7" t="s">
        <v>16587</v>
      </c>
      <c r="C1942" s="7" t="s">
        <v>2439</v>
      </c>
      <c r="D1942" s="7" t="s">
        <v>329</v>
      </c>
      <c r="E1942" s="7" t="s">
        <v>156</v>
      </c>
      <c r="F1942" s="39" t="n">
        <v>45757</v>
      </c>
      <c r="G1942" s="41" t="n">
        <v>126.14</v>
      </c>
      <c r="H1942" s="39" t="n">
        <v>45777</v>
      </c>
      <c r="I1942" s="7" t="s">
        <v>14651</v>
      </c>
      <c r="J1942" s="8" t="str">
        <f aca="false">IF(I1942="Open",DATE(2025,12,31)-F1942,"-")</f>
        <v>-</v>
      </c>
    </row>
    <row r="1943" customFormat="false" ht="15" hidden="false" customHeight="false" outlineLevel="0" collapsed="false">
      <c r="B1943" s="7" t="s">
        <v>16588</v>
      </c>
      <c r="C1943" s="7" t="s">
        <v>2440</v>
      </c>
      <c r="D1943" s="7" t="s">
        <v>331</v>
      </c>
      <c r="E1943" s="7" t="s">
        <v>156</v>
      </c>
      <c r="F1943" s="39" t="n">
        <v>45757</v>
      </c>
      <c r="G1943" s="41" t="n">
        <v>140.42</v>
      </c>
      <c r="H1943" s="39" t="n">
        <v>45766</v>
      </c>
      <c r="I1943" s="7" t="s">
        <v>14651</v>
      </c>
      <c r="J1943" s="8" t="str">
        <f aca="false">IF(I1943="Open",DATE(2025,12,31)-F1943,"-")</f>
        <v>-</v>
      </c>
    </row>
    <row r="1944" customFormat="false" ht="15" hidden="false" customHeight="false" outlineLevel="0" collapsed="false">
      <c r="B1944" s="7" t="s">
        <v>16589</v>
      </c>
      <c r="C1944" s="7" t="s">
        <v>2441</v>
      </c>
      <c r="D1944" s="7" t="s">
        <v>337</v>
      </c>
      <c r="E1944" s="7" t="s">
        <v>154</v>
      </c>
      <c r="F1944" s="39" t="n">
        <v>45757</v>
      </c>
      <c r="G1944" s="41" t="n">
        <v>84.32</v>
      </c>
      <c r="H1944" s="39" t="n">
        <v>45871</v>
      </c>
      <c r="I1944" s="7" t="s">
        <v>14651</v>
      </c>
      <c r="J1944" s="8" t="str">
        <f aca="false">IF(I1944="Open",DATE(2025,12,31)-F1944,"-")</f>
        <v>-</v>
      </c>
    </row>
    <row r="1945" customFormat="false" ht="15" hidden="false" customHeight="false" outlineLevel="0" collapsed="false">
      <c r="B1945" s="7" t="s">
        <v>16590</v>
      </c>
      <c r="C1945" s="7" t="s">
        <v>2442</v>
      </c>
      <c r="D1945" s="7" t="s">
        <v>341</v>
      </c>
      <c r="E1945" s="7" t="s">
        <v>156</v>
      </c>
      <c r="F1945" s="39" t="n">
        <v>45757</v>
      </c>
      <c r="G1945" s="41" t="n">
        <v>109.48</v>
      </c>
      <c r="H1945" s="39" t="n">
        <v>45760</v>
      </c>
      <c r="I1945" s="7" t="s">
        <v>14651</v>
      </c>
      <c r="J1945" s="8" t="str">
        <f aca="false">IF(I1945="Open",DATE(2025,12,31)-F1945,"-")</f>
        <v>-</v>
      </c>
    </row>
    <row r="1946" customFormat="false" ht="15" hidden="false" customHeight="false" outlineLevel="0" collapsed="false">
      <c r="B1946" s="7" t="s">
        <v>16591</v>
      </c>
      <c r="C1946" s="7" t="s">
        <v>2443</v>
      </c>
      <c r="D1946" s="7" t="s">
        <v>343</v>
      </c>
      <c r="E1946" s="7" t="s">
        <v>154</v>
      </c>
      <c r="F1946" s="39" t="n">
        <v>45757</v>
      </c>
      <c r="G1946" s="41" t="n">
        <v>113.69</v>
      </c>
      <c r="H1946" s="39" t="n">
        <v>45807</v>
      </c>
      <c r="I1946" s="7" t="s">
        <v>14651</v>
      </c>
      <c r="J1946" s="8" t="str">
        <f aca="false">IF(I1946="Open",DATE(2025,12,31)-F1946,"-")</f>
        <v>-</v>
      </c>
    </row>
    <row r="1947" customFormat="false" ht="15" hidden="false" customHeight="false" outlineLevel="0" collapsed="false">
      <c r="B1947" s="7" t="s">
        <v>16592</v>
      </c>
      <c r="C1947" s="7" t="s">
        <v>2444</v>
      </c>
      <c r="D1947" s="7" t="s">
        <v>351</v>
      </c>
      <c r="E1947" s="7" t="s">
        <v>154</v>
      </c>
      <c r="F1947" s="39" t="n">
        <v>45757</v>
      </c>
      <c r="G1947" s="41" t="n">
        <v>75.05</v>
      </c>
      <c r="H1947" s="39" t="n">
        <v>45800</v>
      </c>
      <c r="I1947" s="7" t="s">
        <v>14651</v>
      </c>
      <c r="J1947" s="8" t="str">
        <f aca="false">IF(I1947="Open",DATE(2025,12,31)-F1947,"-")</f>
        <v>-</v>
      </c>
    </row>
    <row r="1948" customFormat="false" ht="15" hidden="false" customHeight="false" outlineLevel="0" collapsed="false">
      <c r="B1948" s="7" t="s">
        <v>16593</v>
      </c>
      <c r="C1948" s="7" t="s">
        <v>2445</v>
      </c>
      <c r="D1948" s="7" t="s">
        <v>359</v>
      </c>
      <c r="E1948" s="7" t="s">
        <v>156</v>
      </c>
      <c r="F1948" s="39" t="n">
        <v>45757</v>
      </c>
      <c r="G1948" s="41" t="n">
        <v>147.9</v>
      </c>
      <c r="H1948" s="39" t="n">
        <v>45772</v>
      </c>
      <c r="I1948" s="7" t="s">
        <v>14651</v>
      </c>
      <c r="J1948" s="8" t="str">
        <f aca="false">IF(I1948="Open",DATE(2025,12,31)-F1948,"-")</f>
        <v>-</v>
      </c>
    </row>
    <row r="1949" customFormat="false" ht="15" hidden="false" customHeight="false" outlineLevel="0" collapsed="false">
      <c r="B1949" s="7" t="s">
        <v>16594</v>
      </c>
      <c r="C1949" s="7" t="s">
        <v>2446</v>
      </c>
      <c r="D1949" s="7" t="s">
        <v>363</v>
      </c>
      <c r="E1949" s="7" t="s">
        <v>156</v>
      </c>
      <c r="F1949" s="39" t="n">
        <v>45757</v>
      </c>
      <c r="G1949" s="41" t="n">
        <v>125.46</v>
      </c>
      <c r="H1949" s="39" t="n">
        <v>45769</v>
      </c>
      <c r="I1949" s="7" t="s">
        <v>14651</v>
      </c>
      <c r="J1949" s="8" t="str">
        <f aca="false">IF(I1949="Open",DATE(2025,12,31)-F1949,"-")</f>
        <v>-</v>
      </c>
    </row>
    <row r="1950" customFormat="false" ht="15" hidden="false" customHeight="false" outlineLevel="0" collapsed="false">
      <c r="B1950" s="7" t="s">
        <v>16595</v>
      </c>
      <c r="C1950" s="7" t="s">
        <v>2447</v>
      </c>
      <c r="D1950" s="7" t="s">
        <v>375</v>
      </c>
      <c r="E1950" s="7" t="s">
        <v>156</v>
      </c>
      <c r="F1950" s="39" t="n">
        <v>45757</v>
      </c>
      <c r="G1950" s="41" t="n">
        <v>102.34</v>
      </c>
      <c r="H1950" s="39" t="n">
        <v>45766</v>
      </c>
      <c r="I1950" s="7" t="s">
        <v>14651</v>
      </c>
      <c r="J1950" s="8" t="str">
        <f aca="false">IF(I1950="Open",DATE(2025,12,31)-F1950,"-")</f>
        <v>-</v>
      </c>
    </row>
    <row r="1951" customFormat="false" ht="15" hidden="false" customHeight="false" outlineLevel="0" collapsed="false">
      <c r="B1951" s="7" t="s">
        <v>16596</v>
      </c>
      <c r="C1951" s="7" t="s">
        <v>2448</v>
      </c>
      <c r="D1951" s="7" t="s">
        <v>377</v>
      </c>
      <c r="E1951" s="7" t="s">
        <v>154</v>
      </c>
      <c r="F1951" s="39" t="n">
        <v>45757</v>
      </c>
      <c r="G1951" s="41" t="n">
        <v>115.27</v>
      </c>
      <c r="H1951" s="39" t="n">
        <v>45802</v>
      </c>
      <c r="I1951" s="7" t="s">
        <v>14651</v>
      </c>
      <c r="J1951" s="8" t="str">
        <f aca="false">IF(I1951="Open",DATE(2025,12,31)-F1951,"-")</f>
        <v>-</v>
      </c>
    </row>
    <row r="1952" customFormat="false" ht="15" hidden="false" customHeight="false" outlineLevel="0" collapsed="false">
      <c r="B1952" s="7" t="s">
        <v>16597</v>
      </c>
      <c r="C1952" s="7" t="s">
        <v>2449</v>
      </c>
      <c r="D1952" s="7" t="s">
        <v>389</v>
      </c>
      <c r="E1952" s="7" t="s">
        <v>154</v>
      </c>
      <c r="F1952" s="39" t="n">
        <v>45757</v>
      </c>
      <c r="G1952" s="41" t="n">
        <v>100.44</v>
      </c>
      <c r="H1952" s="39" t="n">
        <v>45782</v>
      </c>
      <c r="I1952" s="7" t="s">
        <v>14651</v>
      </c>
      <c r="J1952" s="8" t="str">
        <f aca="false">IF(I1952="Open",DATE(2025,12,31)-F1952,"-")</f>
        <v>-</v>
      </c>
    </row>
    <row r="1953" customFormat="false" ht="15" hidden="false" customHeight="false" outlineLevel="0" collapsed="false">
      <c r="B1953" s="7" t="s">
        <v>16598</v>
      </c>
      <c r="C1953" s="7" t="s">
        <v>2450</v>
      </c>
      <c r="D1953" s="7" t="s">
        <v>391</v>
      </c>
      <c r="E1953" s="7" t="s">
        <v>156</v>
      </c>
      <c r="F1953" s="39" t="n">
        <v>45757</v>
      </c>
      <c r="G1953" s="41" t="n">
        <v>131.24</v>
      </c>
      <c r="H1953" s="39" t="n">
        <v>45767</v>
      </c>
      <c r="I1953" s="7" t="s">
        <v>14651</v>
      </c>
      <c r="J1953" s="8" t="str">
        <f aca="false">IF(I1953="Open",DATE(2025,12,31)-F1953,"-")</f>
        <v>-</v>
      </c>
    </row>
    <row r="1954" customFormat="false" ht="15" hidden="false" customHeight="false" outlineLevel="0" collapsed="false">
      <c r="B1954" s="7" t="s">
        <v>16599</v>
      </c>
      <c r="C1954" s="7" t="s">
        <v>2451</v>
      </c>
      <c r="D1954" s="7" t="s">
        <v>395</v>
      </c>
      <c r="E1954" s="7" t="s">
        <v>156</v>
      </c>
      <c r="F1954" s="39" t="n">
        <v>45757</v>
      </c>
      <c r="G1954" s="41" t="n">
        <v>142.8</v>
      </c>
      <c r="H1954" s="39" t="n">
        <v>45770</v>
      </c>
      <c r="I1954" s="7" t="s">
        <v>14651</v>
      </c>
      <c r="J1954" s="8" t="str">
        <f aca="false">IF(I1954="Open",DATE(2025,12,31)-F1954,"-")</f>
        <v>-</v>
      </c>
    </row>
    <row r="1955" customFormat="false" ht="15" hidden="false" customHeight="false" outlineLevel="0" collapsed="false">
      <c r="B1955" s="7" t="s">
        <v>16600</v>
      </c>
      <c r="C1955" s="7" t="s">
        <v>2452</v>
      </c>
      <c r="D1955" s="7" t="s">
        <v>401</v>
      </c>
      <c r="E1955" s="7" t="s">
        <v>156</v>
      </c>
      <c r="F1955" s="39" t="n">
        <v>45757</v>
      </c>
      <c r="G1955" s="41" t="n">
        <v>126.48</v>
      </c>
      <c r="H1955" s="39" t="n">
        <v>45764</v>
      </c>
      <c r="I1955" s="7" t="s">
        <v>14651</v>
      </c>
      <c r="J1955" s="8" t="str">
        <f aca="false">IF(I1955="Open",DATE(2025,12,31)-F1955,"-")</f>
        <v>-</v>
      </c>
    </row>
    <row r="1956" customFormat="false" ht="15" hidden="false" customHeight="false" outlineLevel="0" collapsed="false">
      <c r="B1956" s="7" t="s">
        <v>16601</v>
      </c>
      <c r="C1956" s="7" t="s">
        <v>2453</v>
      </c>
      <c r="D1956" s="7" t="s">
        <v>280</v>
      </c>
      <c r="E1956" s="7" t="s">
        <v>157</v>
      </c>
      <c r="F1956" s="39" t="n">
        <v>45758</v>
      </c>
      <c r="G1956" s="41" t="n">
        <v>163.35</v>
      </c>
      <c r="H1956" s="39" t="n">
        <v>45790</v>
      </c>
      <c r="I1956" s="7" t="s">
        <v>14651</v>
      </c>
      <c r="J1956" s="8" t="str">
        <f aca="false">IF(I1956="Open",DATE(2025,12,31)-F1956,"-")</f>
        <v>-</v>
      </c>
    </row>
    <row r="1957" customFormat="false" ht="15" hidden="false" customHeight="false" outlineLevel="0" collapsed="false">
      <c r="B1957" s="7" t="s">
        <v>16602</v>
      </c>
      <c r="C1957" s="7" t="s">
        <v>2454</v>
      </c>
      <c r="D1957" s="7" t="s">
        <v>288</v>
      </c>
      <c r="E1957" s="7" t="s">
        <v>156</v>
      </c>
      <c r="F1957" s="39" t="n">
        <v>45758</v>
      </c>
      <c r="G1957" s="41" t="n">
        <v>135.66</v>
      </c>
      <c r="H1957" s="39" t="n">
        <v>45775</v>
      </c>
      <c r="I1957" s="7" t="s">
        <v>14651</v>
      </c>
      <c r="J1957" s="8" t="str">
        <f aca="false">IF(I1957="Open",DATE(2025,12,31)-F1957,"-")</f>
        <v>-</v>
      </c>
    </row>
    <row r="1958" customFormat="false" ht="15" hidden="false" customHeight="false" outlineLevel="0" collapsed="false">
      <c r="B1958" s="7" t="s">
        <v>16603</v>
      </c>
      <c r="C1958" s="7" t="s">
        <v>2455</v>
      </c>
      <c r="D1958" s="7" t="s">
        <v>291</v>
      </c>
      <c r="E1958" s="7" t="s">
        <v>154</v>
      </c>
      <c r="F1958" s="39" t="n">
        <v>45758</v>
      </c>
      <c r="G1958" s="41" t="n">
        <v>119.25</v>
      </c>
      <c r="H1958" s="39" t="n">
        <v>45803</v>
      </c>
      <c r="I1958" s="7" t="s">
        <v>14651</v>
      </c>
      <c r="J1958" s="8" t="str">
        <f aca="false">IF(I1958="Open",DATE(2025,12,31)-F1958,"-")</f>
        <v>-</v>
      </c>
    </row>
    <row r="1959" customFormat="false" ht="15" hidden="false" customHeight="false" outlineLevel="0" collapsed="false">
      <c r="B1959" s="7" t="s">
        <v>16604</v>
      </c>
      <c r="C1959" s="7" t="s">
        <v>2456</v>
      </c>
      <c r="D1959" s="7" t="s">
        <v>301</v>
      </c>
      <c r="E1959" s="7" t="s">
        <v>157</v>
      </c>
      <c r="F1959" s="39" t="n">
        <v>45758</v>
      </c>
      <c r="G1959" s="41" t="n">
        <v>179.85</v>
      </c>
      <c r="H1959" s="39" t="n">
        <v>45808</v>
      </c>
      <c r="I1959" s="7" t="s">
        <v>14651</v>
      </c>
      <c r="J1959" s="8" t="str">
        <f aca="false">IF(I1959="Open",DATE(2025,12,31)-F1959,"-")</f>
        <v>-</v>
      </c>
    </row>
    <row r="1960" customFormat="false" ht="15" hidden="false" customHeight="false" outlineLevel="0" collapsed="false">
      <c r="B1960" s="7" t="s">
        <v>16605</v>
      </c>
      <c r="C1960" s="7" t="s">
        <v>2457</v>
      </c>
      <c r="D1960" s="7" t="s">
        <v>305</v>
      </c>
      <c r="E1960" s="7" t="s">
        <v>154</v>
      </c>
      <c r="F1960" s="39" t="n">
        <v>45758</v>
      </c>
      <c r="G1960" s="41" t="n">
        <v>103.09</v>
      </c>
      <c r="H1960" s="39" t="n">
        <v>45826</v>
      </c>
      <c r="I1960" s="7" t="s">
        <v>14651</v>
      </c>
      <c r="J1960" s="8" t="str">
        <f aca="false">IF(I1960="Open",DATE(2025,12,31)-F1960,"-")</f>
        <v>-</v>
      </c>
    </row>
    <row r="1961" customFormat="false" ht="15" hidden="false" customHeight="false" outlineLevel="0" collapsed="false">
      <c r="B1961" s="7" t="s">
        <v>16606</v>
      </c>
      <c r="C1961" s="7" t="s">
        <v>2458</v>
      </c>
      <c r="D1961" s="7" t="s">
        <v>307</v>
      </c>
      <c r="E1961" s="7" t="s">
        <v>157</v>
      </c>
      <c r="F1961" s="39" t="n">
        <v>45758</v>
      </c>
      <c r="G1961" s="41" t="n">
        <v>148.5</v>
      </c>
      <c r="H1961" s="39" t="n">
        <v>45805</v>
      </c>
      <c r="I1961" s="7" t="s">
        <v>14651</v>
      </c>
      <c r="J1961" s="8" t="str">
        <f aca="false">IF(I1961="Open",DATE(2025,12,31)-F1961,"-")</f>
        <v>-</v>
      </c>
    </row>
    <row r="1962" customFormat="false" ht="15" hidden="false" customHeight="false" outlineLevel="0" collapsed="false">
      <c r="B1962" s="7" t="s">
        <v>16607</v>
      </c>
      <c r="C1962" s="7" t="s">
        <v>2459</v>
      </c>
      <c r="D1962" s="7" t="s">
        <v>309</v>
      </c>
      <c r="E1962" s="7" t="s">
        <v>159</v>
      </c>
      <c r="F1962" s="39" t="n">
        <v>45758</v>
      </c>
      <c r="G1962" s="41" t="n">
        <v>144.45</v>
      </c>
      <c r="H1962" s="39" t="n">
        <v>45792</v>
      </c>
      <c r="I1962" s="7" t="s">
        <v>14651</v>
      </c>
      <c r="J1962" s="8" t="str">
        <f aca="false">IF(I1962="Open",DATE(2025,12,31)-F1962,"-")</f>
        <v>-</v>
      </c>
    </row>
    <row r="1963" customFormat="false" ht="15" hidden="false" customHeight="false" outlineLevel="0" collapsed="false">
      <c r="B1963" s="7" t="s">
        <v>16608</v>
      </c>
      <c r="C1963" s="7" t="s">
        <v>2460</v>
      </c>
      <c r="D1963" s="7" t="s">
        <v>313</v>
      </c>
      <c r="E1963" s="7" t="s">
        <v>156</v>
      </c>
      <c r="F1963" s="39" t="n">
        <v>45758</v>
      </c>
      <c r="G1963" s="41" t="n">
        <v>141.1</v>
      </c>
      <c r="H1963" s="39" t="n">
        <v>45771</v>
      </c>
      <c r="I1963" s="7" t="s">
        <v>14651</v>
      </c>
      <c r="J1963" s="8" t="str">
        <f aca="false">IF(I1963="Open",DATE(2025,12,31)-F1963,"-")</f>
        <v>-</v>
      </c>
    </row>
    <row r="1964" customFormat="false" ht="15" hidden="false" customHeight="false" outlineLevel="0" collapsed="false">
      <c r="B1964" s="7" t="s">
        <v>16609</v>
      </c>
      <c r="C1964" s="7" t="s">
        <v>2461</v>
      </c>
      <c r="D1964" s="7" t="s">
        <v>319</v>
      </c>
      <c r="E1964" s="7" t="s">
        <v>157</v>
      </c>
      <c r="F1964" s="39" t="n">
        <v>45758</v>
      </c>
      <c r="G1964" s="41" t="n">
        <v>166.65</v>
      </c>
      <c r="H1964" s="39" t="n">
        <v>45843</v>
      </c>
      <c r="I1964" s="7" t="s">
        <v>14651</v>
      </c>
      <c r="J1964" s="8" t="str">
        <f aca="false">IF(I1964="Open",DATE(2025,12,31)-F1964,"-")</f>
        <v>-</v>
      </c>
    </row>
    <row r="1965" customFormat="false" ht="15" hidden="false" customHeight="false" outlineLevel="0" collapsed="false">
      <c r="B1965" s="7" t="s">
        <v>16610</v>
      </c>
      <c r="C1965" s="7" t="s">
        <v>2462</v>
      </c>
      <c r="D1965" s="7" t="s">
        <v>321</v>
      </c>
      <c r="E1965" s="7" t="s">
        <v>154</v>
      </c>
      <c r="F1965" s="39" t="n">
        <v>45758</v>
      </c>
      <c r="G1965" s="41" t="n">
        <v>99.98</v>
      </c>
      <c r="H1965" s="39" t="n">
        <v>45812</v>
      </c>
      <c r="I1965" s="7" t="s">
        <v>14651</v>
      </c>
      <c r="J1965" s="8" t="str">
        <f aca="false">IF(I1965="Open",DATE(2025,12,31)-F1965,"-")</f>
        <v>-</v>
      </c>
    </row>
    <row r="1966" customFormat="false" ht="15" hidden="false" customHeight="false" outlineLevel="0" collapsed="false">
      <c r="B1966" s="7" t="s">
        <v>16611</v>
      </c>
      <c r="C1966" s="7" t="s">
        <v>2463</v>
      </c>
      <c r="D1966" s="7" t="s">
        <v>323</v>
      </c>
      <c r="E1966" s="7" t="s">
        <v>159</v>
      </c>
      <c r="F1966" s="39" t="n">
        <v>45758</v>
      </c>
      <c r="G1966" s="41" t="n">
        <v>144.45</v>
      </c>
      <c r="H1966" s="39" t="n">
        <v>45773</v>
      </c>
      <c r="I1966" s="7" t="s">
        <v>14651</v>
      </c>
      <c r="J1966" s="8" t="str">
        <f aca="false">IF(I1966="Open",DATE(2025,12,31)-F1966,"-")</f>
        <v>-</v>
      </c>
    </row>
    <row r="1967" customFormat="false" ht="15" hidden="false" customHeight="false" outlineLevel="0" collapsed="false">
      <c r="B1967" s="7" t="s">
        <v>16612</v>
      </c>
      <c r="C1967" s="7" t="s">
        <v>2464</v>
      </c>
      <c r="D1967" s="7" t="s">
        <v>327</v>
      </c>
      <c r="E1967" s="7" t="s">
        <v>157</v>
      </c>
      <c r="F1967" s="39" t="n">
        <v>45758</v>
      </c>
      <c r="G1967" s="41" t="n">
        <v>178.2</v>
      </c>
      <c r="H1967" s="39" t="n">
        <v>45790</v>
      </c>
      <c r="I1967" s="7" t="s">
        <v>14651</v>
      </c>
      <c r="J1967" s="8" t="str">
        <f aca="false">IF(I1967="Open",DATE(2025,12,31)-F1967,"-")</f>
        <v>-</v>
      </c>
    </row>
    <row r="1968" customFormat="false" ht="15" hidden="false" customHeight="false" outlineLevel="0" collapsed="false">
      <c r="B1968" s="7" t="s">
        <v>16613</v>
      </c>
      <c r="C1968" s="7" t="s">
        <v>2465</v>
      </c>
      <c r="D1968" s="7" t="s">
        <v>329</v>
      </c>
      <c r="E1968" s="7" t="s">
        <v>156</v>
      </c>
      <c r="F1968" s="39" t="n">
        <v>45758</v>
      </c>
      <c r="G1968" s="41" t="n">
        <v>129.2</v>
      </c>
      <c r="H1968" s="39" t="n">
        <v>45767</v>
      </c>
      <c r="I1968" s="7" t="s">
        <v>14651</v>
      </c>
      <c r="J1968" s="8" t="str">
        <f aca="false">IF(I1968="Open",DATE(2025,12,31)-F1968,"-")</f>
        <v>-</v>
      </c>
    </row>
    <row r="1969" customFormat="false" ht="15" hidden="false" customHeight="false" outlineLevel="0" collapsed="false">
      <c r="B1969" s="7" t="s">
        <v>16614</v>
      </c>
      <c r="C1969" s="7" t="s">
        <v>2466</v>
      </c>
      <c r="D1969" s="7" t="s">
        <v>335</v>
      </c>
      <c r="E1969" s="7" t="s">
        <v>154</v>
      </c>
      <c r="F1969" s="39" t="n">
        <v>45758</v>
      </c>
      <c r="G1969" s="41" t="n">
        <v>100.44</v>
      </c>
      <c r="H1969" s="39" t="n">
        <v>45811</v>
      </c>
      <c r="I1969" s="7" t="s">
        <v>14651</v>
      </c>
      <c r="J1969" s="8" t="str">
        <f aca="false">IF(I1969="Open",DATE(2025,12,31)-F1969,"-")</f>
        <v>-</v>
      </c>
    </row>
    <row r="1970" customFormat="false" ht="15" hidden="false" customHeight="false" outlineLevel="0" collapsed="false">
      <c r="B1970" s="7" t="s">
        <v>16615</v>
      </c>
      <c r="C1970" s="7" t="s">
        <v>2467</v>
      </c>
      <c r="D1970" s="7" t="s">
        <v>339</v>
      </c>
      <c r="E1970" s="7" t="s">
        <v>154</v>
      </c>
      <c r="F1970" s="39" t="n">
        <v>45758</v>
      </c>
      <c r="G1970" s="41" t="n">
        <v>95.66</v>
      </c>
      <c r="H1970" s="39" t="n">
        <v>45840</v>
      </c>
      <c r="I1970" s="7" t="s">
        <v>14651</v>
      </c>
      <c r="J1970" s="8" t="str">
        <f aca="false">IF(I1970="Open",DATE(2025,12,31)-F1970,"-")</f>
        <v>-</v>
      </c>
    </row>
    <row r="1971" customFormat="false" ht="15" hidden="false" customHeight="false" outlineLevel="0" collapsed="false">
      <c r="B1971" s="7" t="s">
        <v>16616</v>
      </c>
      <c r="C1971" s="7" t="s">
        <v>2468</v>
      </c>
      <c r="D1971" s="7" t="s">
        <v>353</v>
      </c>
      <c r="E1971" s="7" t="s">
        <v>154</v>
      </c>
      <c r="F1971" s="39" t="n">
        <v>45758</v>
      </c>
      <c r="G1971" s="41" t="n">
        <v>90.23</v>
      </c>
      <c r="H1971" s="39" t="n">
        <v>45829</v>
      </c>
      <c r="I1971" s="7" t="s">
        <v>14651</v>
      </c>
      <c r="J1971" s="8" t="str">
        <f aca="false">IF(I1971="Open",DATE(2025,12,31)-F1971,"-")</f>
        <v>-</v>
      </c>
    </row>
    <row r="1972" customFormat="false" ht="15" hidden="false" customHeight="false" outlineLevel="0" collapsed="false">
      <c r="B1972" s="7" t="s">
        <v>16617</v>
      </c>
      <c r="C1972" s="7" t="s">
        <v>2469</v>
      </c>
      <c r="D1972" s="7" t="s">
        <v>355</v>
      </c>
      <c r="E1972" s="7" t="s">
        <v>154</v>
      </c>
      <c r="F1972" s="39" t="n">
        <v>45758</v>
      </c>
      <c r="G1972" s="41" t="n">
        <v>94.87</v>
      </c>
      <c r="H1972" s="39" t="n">
        <v>45834</v>
      </c>
      <c r="I1972" s="7" t="s">
        <v>14651</v>
      </c>
      <c r="J1972" s="8" t="str">
        <f aca="false">IF(I1972="Open",DATE(2025,12,31)-F1972,"-")</f>
        <v>-</v>
      </c>
    </row>
    <row r="1973" customFormat="false" ht="15" hidden="false" customHeight="false" outlineLevel="0" collapsed="false">
      <c r="B1973" s="7" t="s">
        <v>16618</v>
      </c>
      <c r="C1973" s="7" t="s">
        <v>2470</v>
      </c>
      <c r="D1973" s="7" t="s">
        <v>357</v>
      </c>
      <c r="E1973" s="7" t="s">
        <v>154</v>
      </c>
      <c r="F1973" s="39" t="n">
        <v>45758</v>
      </c>
      <c r="G1973" s="41" t="n">
        <v>87.72</v>
      </c>
      <c r="H1973" s="39" t="n">
        <v>45806</v>
      </c>
      <c r="I1973" s="7" t="s">
        <v>14651</v>
      </c>
      <c r="J1973" s="8" t="str">
        <f aca="false">IF(I1973="Open",DATE(2025,12,31)-F1973,"-")</f>
        <v>-</v>
      </c>
    </row>
    <row r="1974" customFormat="false" ht="15" hidden="false" customHeight="false" outlineLevel="0" collapsed="false">
      <c r="B1974" s="7" t="s">
        <v>16619</v>
      </c>
      <c r="C1974" s="7" t="s">
        <v>2471</v>
      </c>
      <c r="D1974" s="7" t="s">
        <v>359</v>
      </c>
      <c r="E1974" s="7" t="s">
        <v>156</v>
      </c>
      <c r="F1974" s="39" t="n">
        <v>45758</v>
      </c>
      <c r="G1974" s="41" t="n">
        <v>141.78</v>
      </c>
      <c r="H1974" s="39" t="n">
        <v>45772</v>
      </c>
      <c r="I1974" s="7" t="s">
        <v>14651</v>
      </c>
      <c r="J1974" s="8" t="str">
        <f aca="false">IF(I1974="Open",DATE(2025,12,31)-F1974,"-")</f>
        <v>-</v>
      </c>
    </row>
    <row r="1975" customFormat="false" ht="15" hidden="false" customHeight="false" outlineLevel="0" collapsed="false">
      <c r="B1975" s="7" t="s">
        <v>16620</v>
      </c>
      <c r="C1975" s="7" t="s">
        <v>2472</v>
      </c>
      <c r="D1975" s="7" t="s">
        <v>361</v>
      </c>
      <c r="E1975" s="7" t="s">
        <v>157</v>
      </c>
      <c r="F1975" s="39" t="n">
        <v>45758</v>
      </c>
      <c r="G1975" s="41" t="n">
        <v>174.9</v>
      </c>
      <c r="H1975" s="39" t="n">
        <v>45829</v>
      </c>
      <c r="I1975" s="7" t="s">
        <v>14651</v>
      </c>
      <c r="J1975" s="8" t="str">
        <f aca="false">IF(I1975="Open",DATE(2025,12,31)-F1975,"-")</f>
        <v>-</v>
      </c>
    </row>
    <row r="1976" customFormat="false" ht="15" hidden="false" customHeight="false" outlineLevel="0" collapsed="false">
      <c r="B1976" s="7" t="s">
        <v>16621</v>
      </c>
      <c r="C1976" s="7" t="s">
        <v>2473</v>
      </c>
      <c r="D1976" s="7" t="s">
        <v>371</v>
      </c>
      <c r="E1976" s="7" t="s">
        <v>154</v>
      </c>
      <c r="F1976" s="39" t="n">
        <v>45758</v>
      </c>
      <c r="G1976" s="41" t="n">
        <v>120.05</v>
      </c>
      <c r="H1976" s="39" t="n">
        <v>45851</v>
      </c>
      <c r="I1976" s="7" t="s">
        <v>14651</v>
      </c>
      <c r="J1976" s="8" t="str">
        <f aca="false">IF(I1976="Open",DATE(2025,12,31)-F1976,"-")</f>
        <v>-</v>
      </c>
    </row>
    <row r="1977" customFormat="false" ht="15" hidden="false" customHeight="false" outlineLevel="0" collapsed="false">
      <c r="B1977" s="7" t="s">
        <v>16622</v>
      </c>
      <c r="C1977" s="7" t="s">
        <v>2474</v>
      </c>
      <c r="D1977" s="7" t="s">
        <v>379</v>
      </c>
      <c r="E1977" s="7" t="s">
        <v>156</v>
      </c>
      <c r="F1977" s="39" t="n">
        <v>45758</v>
      </c>
      <c r="G1977" s="41" t="n">
        <v>166.26</v>
      </c>
      <c r="H1977" s="39" t="n">
        <v>45768</v>
      </c>
      <c r="I1977" s="7" t="s">
        <v>14651</v>
      </c>
      <c r="J1977" s="8" t="str">
        <f aca="false">IF(I1977="Open",DATE(2025,12,31)-F1977,"-")</f>
        <v>-</v>
      </c>
    </row>
    <row r="1978" customFormat="false" ht="15" hidden="false" customHeight="false" outlineLevel="0" collapsed="false">
      <c r="B1978" s="7" t="s">
        <v>16623</v>
      </c>
      <c r="C1978" s="7" t="s">
        <v>2475</v>
      </c>
      <c r="D1978" s="7" t="s">
        <v>381</v>
      </c>
      <c r="E1978" s="7" t="s">
        <v>157</v>
      </c>
      <c r="F1978" s="39" t="n">
        <v>45758</v>
      </c>
      <c r="G1978" s="41" t="n">
        <v>150.15</v>
      </c>
      <c r="H1978" s="39" t="n">
        <v>45795</v>
      </c>
      <c r="I1978" s="7" t="s">
        <v>14651</v>
      </c>
      <c r="J1978" s="8" t="str">
        <f aca="false">IF(I1978="Open",DATE(2025,12,31)-F1978,"-")</f>
        <v>-</v>
      </c>
    </row>
    <row r="1979" customFormat="false" ht="15" hidden="false" customHeight="false" outlineLevel="0" collapsed="false">
      <c r="B1979" s="7" t="s">
        <v>16624</v>
      </c>
      <c r="C1979" s="7" t="s">
        <v>2476</v>
      </c>
      <c r="D1979" s="7" t="s">
        <v>385</v>
      </c>
      <c r="E1979" s="7" t="s">
        <v>156</v>
      </c>
      <c r="F1979" s="39" t="n">
        <v>45758</v>
      </c>
      <c r="G1979" s="41" t="n">
        <v>143.82</v>
      </c>
      <c r="H1979" s="39" t="n">
        <v>45775</v>
      </c>
      <c r="I1979" s="7" t="s">
        <v>14651</v>
      </c>
      <c r="J1979" s="8" t="str">
        <f aca="false">IF(I1979="Open",DATE(2025,12,31)-F1979,"-")</f>
        <v>-</v>
      </c>
    </row>
    <row r="1980" customFormat="false" ht="15" hidden="false" customHeight="false" outlineLevel="0" collapsed="false">
      <c r="B1980" s="7" t="s">
        <v>16625</v>
      </c>
      <c r="C1980" s="7" t="s">
        <v>2477</v>
      </c>
      <c r="D1980" s="7" t="s">
        <v>389</v>
      </c>
      <c r="E1980" s="7" t="s">
        <v>154</v>
      </c>
      <c r="F1980" s="39" t="n">
        <v>45758</v>
      </c>
      <c r="G1980" s="41" t="n">
        <v>105.39</v>
      </c>
      <c r="H1980" s="39" t="n">
        <v>45843</v>
      </c>
      <c r="I1980" s="7" t="s">
        <v>14651</v>
      </c>
      <c r="J1980" s="8" t="str">
        <f aca="false">IF(I1980="Open",DATE(2025,12,31)-F1980,"-")</f>
        <v>-</v>
      </c>
    </row>
    <row r="1981" customFormat="false" ht="15" hidden="false" customHeight="false" outlineLevel="0" collapsed="false">
      <c r="B1981" s="7" t="s">
        <v>16626</v>
      </c>
      <c r="C1981" s="7" t="s">
        <v>2478</v>
      </c>
      <c r="D1981" s="7" t="s">
        <v>391</v>
      </c>
      <c r="E1981" s="7" t="s">
        <v>156</v>
      </c>
      <c r="F1981" s="39" t="n">
        <v>45758</v>
      </c>
      <c r="G1981" s="41" t="n">
        <v>126.82</v>
      </c>
      <c r="H1981" s="39" t="n">
        <v>45769</v>
      </c>
      <c r="I1981" s="7" t="s">
        <v>14651</v>
      </c>
      <c r="J1981" s="8" t="str">
        <f aca="false">IF(I1981="Open",DATE(2025,12,31)-F1981,"-")</f>
        <v>-</v>
      </c>
    </row>
    <row r="1982" customFormat="false" ht="15" hidden="false" customHeight="false" outlineLevel="0" collapsed="false">
      <c r="B1982" s="7" t="s">
        <v>16627</v>
      </c>
      <c r="C1982" s="7" t="s">
        <v>2479</v>
      </c>
      <c r="D1982" s="7" t="s">
        <v>395</v>
      </c>
      <c r="E1982" s="7" t="s">
        <v>156</v>
      </c>
      <c r="F1982" s="39" t="n">
        <v>45758</v>
      </c>
      <c r="G1982" s="41" t="n">
        <v>144.84</v>
      </c>
      <c r="H1982" s="39" t="n">
        <v>45766</v>
      </c>
      <c r="I1982" s="7" t="s">
        <v>14651</v>
      </c>
      <c r="J1982" s="8" t="str">
        <f aca="false">IF(I1982="Open",DATE(2025,12,31)-F1982,"-")</f>
        <v>-</v>
      </c>
    </row>
    <row r="1983" customFormat="false" ht="15" hidden="false" customHeight="false" outlineLevel="0" collapsed="false">
      <c r="B1983" s="7" t="s">
        <v>16628</v>
      </c>
      <c r="C1983" s="7" t="s">
        <v>2480</v>
      </c>
      <c r="D1983" s="7" t="s">
        <v>397</v>
      </c>
      <c r="E1983" s="7" t="s">
        <v>159</v>
      </c>
      <c r="F1983" s="39" t="n">
        <v>45758</v>
      </c>
      <c r="G1983" s="41" t="n">
        <v>140.4</v>
      </c>
      <c r="H1983" s="39" t="n">
        <v>45776</v>
      </c>
      <c r="I1983" s="7" t="s">
        <v>14651</v>
      </c>
      <c r="J1983" s="8" t="str">
        <f aca="false">IF(I1983="Open",DATE(2025,12,31)-F1983,"-")</f>
        <v>-</v>
      </c>
    </row>
    <row r="1984" customFormat="false" ht="15" hidden="false" customHeight="false" outlineLevel="0" collapsed="false">
      <c r="B1984" s="7" t="s">
        <v>16629</v>
      </c>
      <c r="C1984" s="7" t="s">
        <v>2481</v>
      </c>
      <c r="D1984" s="7" t="s">
        <v>399</v>
      </c>
      <c r="E1984" s="7" t="s">
        <v>154</v>
      </c>
      <c r="F1984" s="39" t="n">
        <v>45758</v>
      </c>
      <c r="G1984" s="41" t="n">
        <v>87.98</v>
      </c>
      <c r="H1984" s="39" t="n">
        <v>45814</v>
      </c>
      <c r="I1984" s="7" t="s">
        <v>14651</v>
      </c>
      <c r="J1984" s="8" t="str">
        <f aca="false">IF(I1984="Open",DATE(2025,12,31)-F1984,"-")</f>
        <v>-</v>
      </c>
    </row>
    <row r="1985" customFormat="false" ht="15" hidden="false" customHeight="false" outlineLevel="0" collapsed="false">
      <c r="B1985" s="7" t="s">
        <v>16630</v>
      </c>
      <c r="C1985" s="7" t="s">
        <v>2482</v>
      </c>
      <c r="D1985" s="7" t="s">
        <v>401</v>
      </c>
      <c r="E1985" s="7" t="s">
        <v>156</v>
      </c>
      <c r="F1985" s="39" t="n">
        <v>45758</v>
      </c>
      <c r="G1985" s="41" t="n">
        <v>141.1</v>
      </c>
      <c r="H1985" s="39" t="n">
        <v>45764</v>
      </c>
      <c r="I1985" s="7" t="s">
        <v>14651</v>
      </c>
      <c r="J1985" s="8" t="str">
        <f aca="false">IF(I1985="Open",DATE(2025,12,31)-F1985,"-")</f>
        <v>-</v>
      </c>
    </row>
    <row r="1986" customFormat="false" ht="15" hidden="false" customHeight="false" outlineLevel="0" collapsed="false">
      <c r="B1986" s="7" t="s">
        <v>16631</v>
      </c>
      <c r="C1986" s="7" t="s">
        <v>2483</v>
      </c>
      <c r="D1986" s="7" t="s">
        <v>407</v>
      </c>
      <c r="E1986" s="7" t="s">
        <v>159</v>
      </c>
      <c r="F1986" s="39" t="n">
        <v>45758</v>
      </c>
      <c r="G1986" s="41" t="n">
        <v>126.9</v>
      </c>
      <c r="H1986" s="39" t="n">
        <v>45841</v>
      </c>
      <c r="I1986" s="7" t="s">
        <v>14651</v>
      </c>
      <c r="J1986" s="8" t="str">
        <f aca="false">IF(I1986="Open",DATE(2025,12,31)-F1986,"-")</f>
        <v>-</v>
      </c>
    </row>
    <row r="1987" customFormat="false" ht="15" hidden="false" customHeight="false" outlineLevel="0" collapsed="false">
      <c r="B1987" s="7" t="s">
        <v>16632</v>
      </c>
      <c r="C1987" s="7" t="s">
        <v>2484</v>
      </c>
      <c r="D1987" s="7" t="s">
        <v>409</v>
      </c>
      <c r="E1987" s="7" t="s">
        <v>154</v>
      </c>
      <c r="F1987" s="39" t="n">
        <v>45758</v>
      </c>
      <c r="G1987" s="41" t="n">
        <v>94.87</v>
      </c>
      <c r="H1987" s="39" t="n">
        <v>45793</v>
      </c>
      <c r="I1987" s="7" t="s">
        <v>14651</v>
      </c>
      <c r="J1987" s="8" t="str">
        <f aca="false">IF(I1987="Open",DATE(2025,12,31)-F1987,"-")</f>
        <v>-</v>
      </c>
    </row>
    <row r="1988" customFormat="false" ht="15" hidden="false" customHeight="false" outlineLevel="0" collapsed="false">
      <c r="B1988" s="7" t="s">
        <v>16633</v>
      </c>
      <c r="C1988" s="7" t="s">
        <v>2485</v>
      </c>
      <c r="D1988" s="7" t="s">
        <v>411</v>
      </c>
      <c r="E1988" s="7" t="s">
        <v>154</v>
      </c>
      <c r="F1988" s="39" t="n">
        <v>45758</v>
      </c>
      <c r="G1988" s="41" t="n">
        <v>116.87</v>
      </c>
      <c r="H1988" s="39" t="n">
        <v>45815</v>
      </c>
      <c r="I1988" s="7" t="s">
        <v>14651</v>
      </c>
      <c r="J1988" s="8" t="str">
        <f aca="false">IF(I1988="Open",DATE(2025,12,31)-F1988,"-")</f>
        <v>-</v>
      </c>
    </row>
    <row r="1989" customFormat="false" ht="15" hidden="false" customHeight="false" outlineLevel="0" collapsed="false">
      <c r="B1989" s="7" t="s">
        <v>16634</v>
      </c>
      <c r="C1989" s="7" t="s">
        <v>2486</v>
      </c>
      <c r="D1989" s="7" t="s">
        <v>288</v>
      </c>
      <c r="E1989" s="7" t="s">
        <v>156</v>
      </c>
      <c r="F1989" s="39" t="n">
        <v>45759</v>
      </c>
      <c r="G1989" s="41" t="n">
        <v>140.08</v>
      </c>
      <c r="H1989" s="39" t="n">
        <v>45771</v>
      </c>
      <c r="I1989" s="7" t="s">
        <v>14651</v>
      </c>
      <c r="J1989" s="8" t="str">
        <f aca="false">IF(I1989="Open",DATE(2025,12,31)-F1989,"-")</f>
        <v>-</v>
      </c>
    </row>
    <row r="1990" customFormat="false" ht="15" hidden="false" customHeight="false" outlineLevel="0" collapsed="false">
      <c r="B1990" s="7" t="s">
        <v>16635</v>
      </c>
      <c r="C1990" s="7" t="s">
        <v>2487</v>
      </c>
      <c r="D1990" s="7" t="s">
        <v>321</v>
      </c>
      <c r="E1990" s="7" t="s">
        <v>154</v>
      </c>
      <c r="F1990" s="39" t="n">
        <v>45759</v>
      </c>
      <c r="G1990" s="41" t="n">
        <v>116.07</v>
      </c>
      <c r="H1990" s="39" t="n">
        <v>45817</v>
      </c>
      <c r="I1990" s="7" t="s">
        <v>14651</v>
      </c>
      <c r="J1990" s="8" t="str">
        <f aca="false">IF(I1990="Open",DATE(2025,12,31)-F1990,"-")</f>
        <v>-</v>
      </c>
    </row>
    <row r="1991" customFormat="false" ht="15" hidden="false" customHeight="false" outlineLevel="0" collapsed="false">
      <c r="B1991" s="7" t="s">
        <v>16636</v>
      </c>
      <c r="C1991" s="7" t="s">
        <v>2488</v>
      </c>
      <c r="D1991" s="7" t="s">
        <v>359</v>
      </c>
      <c r="E1991" s="7" t="s">
        <v>156</v>
      </c>
      <c r="F1991" s="39" t="n">
        <v>45759</v>
      </c>
      <c r="G1991" s="41" t="n">
        <v>127.16</v>
      </c>
      <c r="H1991" s="39" t="n">
        <v>45772</v>
      </c>
      <c r="I1991" s="7" t="s">
        <v>14651</v>
      </c>
      <c r="J1991" s="8" t="str">
        <f aca="false">IF(I1991="Open",DATE(2025,12,31)-F1991,"-")</f>
        <v>-</v>
      </c>
    </row>
    <row r="1992" customFormat="false" ht="15" hidden="false" customHeight="false" outlineLevel="0" collapsed="false">
      <c r="B1992" s="7" t="s">
        <v>16637</v>
      </c>
      <c r="C1992" s="7" t="s">
        <v>2489</v>
      </c>
      <c r="D1992" s="7" t="s">
        <v>391</v>
      </c>
      <c r="E1992" s="7" t="s">
        <v>156</v>
      </c>
      <c r="F1992" s="39" t="n">
        <v>45759</v>
      </c>
      <c r="G1992" s="41" t="n">
        <v>129.54</v>
      </c>
      <c r="H1992" s="39" t="n">
        <v>45762</v>
      </c>
      <c r="I1992" s="7" t="s">
        <v>14651</v>
      </c>
      <c r="J1992" s="8" t="str">
        <f aca="false">IF(I1992="Open",DATE(2025,12,31)-F1992,"-")</f>
        <v>-</v>
      </c>
    </row>
    <row r="1993" customFormat="false" ht="15" hidden="false" customHeight="false" outlineLevel="0" collapsed="false">
      <c r="B1993" s="7" t="s">
        <v>16638</v>
      </c>
      <c r="C1993" s="7" t="s">
        <v>2490</v>
      </c>
      <c r="D1993" s="7" t="s">
        <v>395</v>
      </c>
      <c r="E1993" s="7" t="s">
        <v>156</v>
      </c>
      <c r="F1993" s="39" t="n">
        <v>45759</v>
      </c>
      <c r="G1993" s="41" t="n">
        <v>148.24</v>
      </c>
      <c r="H1993" s="39" t="n">
        <v>45767</v>
      </c>
      <c r="I1993" s="7" t="s">
        <v>14651</v>
      </c>
      <c r="J1993" s="8" t="str">
        <f aca="false">IF(I1993="Open",DATE(2025,12,31)-F1993,"-")</f>
        <v>-</v>
      </c>
    </row>
    <row r="1994" customFormat="false" ht="15" hidden="false" customHeight="false" outlineLevel="0" collapsed="false">
      <c r="B1994" s="7" t="s">
        <v>16639</v>
      </c>
      <c r="C1994" s="7" t="s">
        <v>2491</v>
      </c>
      <c r="D1994" s="7" t="s">
        <v>401</v>
      </c>
      <c r="E1994" s="7" t="s">
        <v>156</v>
      </c>
      <c r="F1994" s="39" t="n">
        <v>45759</v>
      </c>
      <c r="G1994" s="41" t="n">
        <v>134.3</v>
      </c>
      <c r="H1994" s="39" t="n">
        <v>45773</v>
      </c>
      <c r="I1994" s="7" t="s">
        <v>14651</v>
      </c>
      <c r="J1994" s="8" t="str">
        <f aca="false">IF(I1994="Open",DATE(2025,12,31)-F1994,"-")</f>
        <v>-</v>
      </c>
    </row>
    <row r="1995" customFormat="false" ht="15" hidden="false" customHeight="false" outlineLevel="0" collapsed="false">
      <c r="B1995" s="7" t="s">
        <v>16640</v>
      </c>
      <c r="C1995" s="7" t="s">
        <v>2492</v>
      </c>
      <c r="D1995" s="7" t="s">
        <v>288</v>
      </c>
      <c r="E1995" s="7" t="s">
        <v>156</v>
      </c>
      <c r="F1995" s="39" t="n">
        <v>45760</v>
      </c>
      <c r="G1995" s="41" t="n">
        <v>140.76</v>
      </c>
      <c r="H1995" s="39" t="n">
        <v>45777</v>
      </c>
      <c r="I1995" s="7" t="s">
        <v>14651</v>
      </c>
      <c r="J1995" s="8" t="str">
        <f aca="false">IF(I1995="Open",DATE(2025,12,31)-F1995,"-")</f>
        <v>-</v>
      </c>
    </row>
    <row r="1996" customFormat="false" ht="15" hidden="false" customHeight="false" outlineLevel="0" collapsed="false">
      <c r="B1996" s="7" t="s">
        <v>16641</v>
      </c>
      <c r="C1996" s="7" t="s">
        <v>2493</v>
      </c>
      <c r="D1996" s="7" t="s">
        <v>321</v>
      </c>
      <c r="E1996" s="7" t="s">
        <v>154</v>
      </c>
      <c r="F1996" s="39" t="n">
        <v>45760</v>
      </c>
      <c r="G1996" s="41" t="n">
        <v>99.38</v>
      </c>
      <c r="H1996" s="39" t="n">
        <v>45830</v>
      </c>
      <c r="I1996" s="7" t="s">
        <v>14651</v>
      </c>
      <c r="J1996" s="8" t="str">
        <f aca="false">IF(I1996="Open",DATE(2025,12,31)-F1996,"-")</f>
        <v>-</v>
      </c>
    </row>
    <row r="1997" customFormat="false" ht="15" hidden="false" customHeight="false" outlineLevel="0" collapsed="false">
      <c r="B1997" s="7" t="s">
        <v>16642</v>
      </c>
      <c r="C1997" s="7" t="s">
        <v>2494</v>
      </c>
      <c r="D1997" s="7" t="s">
        <v>359</v>
      </c>
      <c r="E1997" s="7" t="s">
        <v>156</v>
      </c>
      <c r="F1997" s="39" t="n">
        <v>45760</v>
      </c>
      <c r="G1997" s="41" t="n">
        <v>130.22</v>
      </c>
      <c r="H1997" s="39" t="n">
        <v>45761</v>
      </c>
      <c r="I1997" s="7" t="s">
        <v>14651</v>
      </c>
      <c r="J1997" s="8" t="str">
        <f aca="false">IF(I1997="Open",DATE(2025,12,31)-F1997,"-")</f>
        <v>-</v>
      </c>
    </row>
    <row r="1998" customFormat="false" ht="15" hidden="false" customHeight="false" outlineLevel="0" collapsed="false">
      <c r="B1998" s="7" t="s">
        <v>16643</v>
      </c>
      <c r="C1998" s="7" t="s">
        <v>2495</v>
      </c>
      <c r="D1998" s="7" t="s">
        <v>391</v>
      </c>
      <c r="E1998" s="7" t="s">
        <v>156</v>
      </c>
      <c r="F1998" s="39" t="n">
        <v>45760</v>
      </c>
      <c r="G1998" s="41" t="n">
        <v>145.86</v>
      </c>
      <c r="H1998" s="39" t="n">
        <v>45773</v>
      </c>
      <c r="I1998" s="7" t="s">
        <v>14651</v>
      </c>
      <c r="J1998" s="8" t="str">
        <f aca="false">IF(I1998="Open",DATE(2025,12,31)-F1998,"-")</f>
        <v>-</v>
      </c>
    </row>
    <row r="1999" customFormat="false" ht="15" hidden="false" customHeight="false" outlineLevel="0" collapsed="false">
      <c r="B1999" s="7" t="s">
        <v>16644</v>
      </c>
      <c r="C1999" s="7" t="s">
        <v>2496</v>
      </c>
      <c r="D1999" s="7" t="s">
        <v>395</v>
      </c>
      <c r="E1999" s="7" t="s">
        <v>156</v>
      </c>
      <c r="F1999" s="39" t="n">
        <v>45760</v>
      </c>
      <c r="G1999" s="41" t="n">
        <v>130.22</v>
      </c>
      <c r="H1999" s="39" t="n">
        <v>45766</v>
      </c>
      <c r="I1999" s="7" t="s">
        <v>14651</v>
      </c>
      <c r="J1999" s="8" t="str">
        <f aca="false">IF(I1999="Open",DATE(2025,12,31)-F1999,"-")</f>
        <v>-</v>
      </c>
    </row>
    <row r="2000" customFormat="false" ht="15" hidden="false" customHeight="false" outlineLevel="0" collapsed="false">
      <c r="B2000" s="7" t="s">
        <v>16645</v>
      </c>
      <c r="C2000" s="7" t="s">
        <v>2497</v>
      </c>
      <c r="D2000" s="7" t="s">
        <v>401</v>
      </c>
      <c r="E2000" s="7" t="s">
        <v>156</v>
      </c>
      <c r="F2000" s="39" t="n">
        <v>45760</v>
      </c>
      <c r="G2000" s="41" t="n">
        <v>133.62</v>
      </c>
      <c r="H2000" s="39" t="n">
        <v>45770</v>
      </c>
      <c r="I2000" s="7" t="s">
        <v>14651</v>
      </c>
      <c r="J2000" s="8" t="str">
        <f aca="false">IF(I2000="Open",DATE(2025,12,31)-F2000,"-")</f>
        <v>-</v>
      </c>
    </row>
    <row r="2001" customFormat="false" ht="15" hidden="false" customHeight="false" outlineLevel="0" collapsed="false">
      <c r="B2001" s="7" t="s">
        <v>16646</v>
      </c>
      <c r="C2001" s="7" t="s">
        <v>2498</v>
      </c>
      <c r="D2001" s="7" t="s">
        <v>280</v>
      </c>
      <c r="E2001" s="7" t="s">
        <v>157</v>
      </c>
      <c r="F2001" s="39" t="n">
        <v>45761</v>
      </c>
      <c r="G2001" s="41" t="n">
        <v>156.75</v>
      </c>
      <c r="H2001" s="39" t="n">
        <v>45805</v>
      </c>
      <c r="I2001" s="7" t="s">
        <v>14651</v>
      </c>
      <c r="J2001" s="8" t="str">
        <f aca="false">IF(I2001="Open",DATE(2025,12,31)-F2001,"-")</f>
        <v>-</v>
      </c>
    </row>
    <row r="2002" customFormat="false" ht="15" hidden="false" customHeight="false" outlineLevel="0" collapsed="false">
      <c r="B2002" s="7" t="s">
        <v>16647</v>
      </c>
      <c r="C2002" s="7" t="s">
        <v>2499</v>
      </c>
      <c r="D2002" s="7" t="s">
        <v>288</v>
      </c>
      <c r="E2002" s="7" t="s">
        <v>156</v>
      </c>
      <c r="F2002" s="39" t="n">
        <v>45761</v>
      </c>
      <c r="G2002" s="41" t="n">
        <v>132.6</v>
      </c>
      <c r="H2002" s="39" t="n">
        <v>45771</v>
      </c>
      <c r="I2002" s="7" t="s">
        <v>14651</v>
      </c>
      <c r="J2002" s="8" t="str">
        <f aca="false">IF(I2002="Open",DATE(2025,12,31)-F2002,"-")</f>
        <v>-</v>
      </c>
    </row>
    <row r="2003" customFormat="false" ht="15" hidden="false" customHeight="false" outlineLevel="0" collapsed="false">
      <c r="B2003" s="7" t="s">
        <v>16648</v>
      </c>
      <c r="C2003" s="7" t="s">
        <v>2500</v>
      </c>
      <c r="D2003" s="7" t="s">
        <v>291</v>
      </c>
      <c r="E2003" s="7" t="s">
        <v>154</v>
      </c>
      <c r="F2003" s="39" t="n">
        <v>45761</v>
      </c>
      <c r="G2003" s="41" t="n">
        <v>111.56</v>
      </c>
      <c r="H2003" s="39" t="n">
        <v>45849</v>
      </c>
      <c r="I2003" s="7" t="s">
        <v>14651</v>
      </c>
      <c r="J2003" s="8" t="str">
        <f aca="false">IF(I2003="Open",DATE(2025,12,31)-F2003,"-")</f>
        <v>-</v>
      </c>
    </row>
    <row r="2004" customFormat="false" ht="15" hidden="false" customHeight="false" outlineLevel="0" collapsed="false">
      <c r="B2004" s="7" t="s">
        <v>16649</v>
      </c>
      <c r="C2004" s="7" t="s">
        <v>2501</v>
      </c>
      <c r="D2004" s="7" t="s">
        <v>297</v>
      </c>
      <c r="E2004" s="7" t="s">
        <v>156</v>
      </c>
      <c r="F2004" s="39" t="n">
        <v>45761</v>
      </c>
      <c r="G2004" s="41" t="n">
        <v>106.08</v>
      </c>
      <c r="H2004" s="39" t="n">
        <v>45774</v>
      </c>
      <c r="I2004" s="7" t="s">
        <v>14651</v>
      </c>
      <c r="J2004" s="8" t="str">
        <f aca="false">IF(I2004="Open",DATE(2025,12,31)-F2004,"-")</f>
        <v>-</v>
      </c>
    </row>
    <row r="2005" customFormat="false" ht="15" hidden="false" customHeight="false" outlineLevel="0" collapsed="false">
      <c r="B2005" s="7" t="s">
        <v>16650</v>
      </c>
      <c r="C2005" s="7" t="s">
        <v>2502</v>
      </c>
      <c r="D2005" s="7" t="s">
        <v>305</v>
      </c>
      <c r="E2005" s="7" t="s">
        <v>154</v>
      </c>
      <c r="F2005" s="39" t="n">
        <v>45761</v>
      </c>
      <c r="G2005" s="41" t="n">
        <v>110.5</v>
      </c>
      <c r="H2005" s="39" t="n">
        <v>45826</v>
      </c>
      <c r="I2005" s="7" t="s">
        <v>14651</v>
      </c>
      <c r="J2005" s="8" t="str">
        <f aca="false">IF(I2005="Open",DATE(2025,12,31)-F2005,"-")</f>
        <v>-</v>
      </c>
    </row>
    <row r="2006" customFormat="false" ht="15" hidden="false" customHeight="false" outlineLevel="0" collapsed="false">
      <c r="B2006" s="7" t="s">
        <v>16651</v>
      </c>
      <c r="C2006" s="7" t="s">
        <v>2503</v>
      </c>
      <c r="D2006" s="7" t="s">
        <v>307</v>
      </c>
      <c r="E2006" s="7" t="s">
        <v>157</v>
      </c>
      <c r="F2006" s="39" t="n">
        <v>45761</v>
      </c>
      <c r="G2006" s="41" t="n">
        <v>151.8</v>
      </c>
      <c r="H2006" s="39" t="n">
        <v>45791</v>
      </c>
      <c r="I2006" s="7" t="s">
        <v>14651</v>
      </c>
      <c r="J2006" s="8" t="str">
        <f aca="false">IF(I2006="Open",DATE(2025,12,31)-F2006,"-")</f>
        <v>-</v>
      </c>
    </row>
    <row r="2007" customFormat="false" ht="15" hidden="false" customHeight="false" outlineLevel="0" collapsed="false">
      <c r="B2007" s="7" t="s">
        <v>16652</v>
      </c>
      <c r="C2007" s="7" t="s">
        <v>2504</v>
      </c>
      <c r="D2007" s="7" t="s">
        <v>309</v>
      </c>
      <c r="E2007" s="7" t="s">
        <v>159</v>
      </c>
      <c r="F2007" s="39" t="n">
        <v>45761</v>
      </c>
      <c r="G2007" s="41" t="n">
        <v>128.25</v>
      </c>
      <c r="H2007" s="39" t="n">
        <v>45818</v>
      </c>
      <c r="I2007" s="7" t="s">
        <v>14651</v>
      </c>
      <c r="J2007" s="8" t="str">
        <f aca="false">IF(I2007="Open",DATE(2025,12,31)-F2007,"-")</f>
        <v>-</v>
      </c>
    </row>
    <row r="2008" customFormat="false" ht="15" hidden="false" customHeight="false" outlineLevel="0" collapsed="false">
      <c r="B2008" s="7" t="s">
        <v>16653</v>
      </c>
      <c r="C2008" s="7" t="s">
        <v>2505</v>
      </c>
      <c r="D2008" s="7" t="s">
        <v>311</v>
      </c>
      <c r="E2008" s="7" t="s">
        <v>154</v>
      </c>
      <c r="F2008" s="39" t="n">
        <v>45761</v>
      </c>
      <c r="G2008" s="41" t="n">
        <v>86.39</v>
      </c>
      <c r="H2008" s="39" t="n">
        <v>45802</v>
      </c>
      <c r="I2008" s="7" t="s">
        <v>14651</v>
      </c>
      <c r="J2008" s="8" t="str">
        <f aca="false">IF(I2008="Open",DATE(2025,12,31)-F2008,"-")</f>
        <v>-</v>
      </c>
    </row>
    <row r="2009" customFormat="false" ht="15" hidden="false" customHeight="false" outlineLevel="0" collapsed="false">
      <c r="B2009" s="7" t="s">
        <v>16654</v>
      </c>
      <c r="C2009" s="7" t="s">
        <v>2506</v>
      </c>
      <c r="D2009" s="7" t="s">
        <v>313</v>
      </c>
      <c r="E2009" s="7" t="s">
        <v>156</v>
      </c>
      <c r="F2009" s="39" t="n">
        <v>45761</v>
      </c>
      <c r="G2009" s="41" t="n">
        <v>142.8</v>
      </c>
      <c r="H2009" s="39" t="n">
        <v>45764</v>
      </c>
      <c r="I2009" s="7" t="s">
        <v>14651</v>
      </c>
      <c r="J2009" s="8" t="str">
        <f aca="false">IF(I2009="Open",DATE(2025,12,31)-F2009,"-")</f>
        <v>-</v>
      </c>
    </row>
    <row r="2010" customFormat="false" ht="15" hidden="false" customHeight="false" outlineLevel="0" collapsed="false">
      <c r="B2010" s="7" t="s">
        <v>16655</v>
      </c>
      <c r="C2010" s="7" t="s">
        <v>2507</v>
      </c>
      <c r="D2010" s="7" t="s">
        <v>317</v>
      </c>
      <c r="E2010" s="7" t="s">
        <v>156</v>
      </c>
      <c r="F2010" s="39" t="n">
        <v>45761</v>
      </c>
      <c r="G2010" s="41" t="n">
        <v>104.38</v>
      </c>
      <c r="H2010" s="39" t="n">
        <v>45774</v>
      </c>
      <c r="I2010" s="7" t="s">
        <v>14651</v>
      </c>
      <c r="J2010" s="8" t="str">
        <f aca="false">IF(I2010="Open",DATE(2025,12,31)-F2010,"-")</f>
        <v>-</v>
      </c>
    </row>
    <row r="2011" customFormat="false" ht="15" hidden="false" customHeight="false" outlineLevel="0" collapsed="false">
      <c r="B2011" s="7" t="s">
        <v>16656</v>
      </c>
      <c r="C2011" s="7" t="s">
        <v>2508</v>
      </c>
      <c r="D2011" s="7" t="s">
        <v>321</v>
      </c>
      <c r="E2011" s="7" t="s">
        <v>154</v>
      </c>
      <c r="F2011" s="39" t="n">
        <v>45761</v>
      </c>
      <c r="G2011" s="41" t="n">
        <v>103.35</v>
      </c>
      <c r="H2011" s="39" t="n">
        <v>45800</v>
      </c>
      <c r="I2011" s="7" t="s">
        <v>14651</v>
      </c>
      <c r="J2011" s="8" t="str">
        <f aca="false">IF(I2011="Open",DATE(2025,12,31)-F2011,"-")</f>
        <v>-</v>
      </c>
    </row>
    <row r="2012" customFormat="false" ht="15" hidden="false" customHeight="false" outlineLevel="0" collapsed="false">
      <c r="B2012" s="7" t="s">
        <v>16657</v>
      </c>
      <c r="C2012" s="7" t="s">
        <v>2509</v>
      </c>
      <c r="D2012" s="7" t="s">
        <v>325</v>
      </c>
      <c r="E2012" s="7" t="s">
        <v>154</v>
      </c>
      <c r="F2012" s="39" t="n">
        <v>45761</v>
      </c>
      <c r="G2012" s="41" t="n">
        <v>80.82</v>
      </c>
      <c r="H2012" s="39" t="n">
        <v>45864</v>
      </c>
      <c r="I2012" s="7" t="s">
        <v>14651</v>
      </c>
      <c r="J2012" s="8" t="str">
        <f aca="false">IF(I2012="Open",DATE(2025,12,31)-F2012,"-")</f>
        <v>-</v>
      </c>
    </row>
    <row r="2013" customFormat="false" ht="15" hidden="false" customHeight="false" outlineLevel="0" collapsed="false">
      <c r="B2013" s="7" t="s">
        <v>16658</v>
      </c>
      <c r="C2013" s="7" t="s">
        <v>2510</v>
      </c>
      <c r="D2013" s="7" t="s">
        <v>329</v>
      </c>
      <c r="E2013" s="7" t="s">
        <v>156</v>
      </c>
      <c r="F2013" s="39" t="n">
        <v>45761</v>
      </c>
      <c r="G2013" s="41" t="n">
        <v>147.56</v>
      </c>
      <c r="H2013" s="39" t="n">
        <v>45764</v>
      </c>
      <c r="I2013" s="7" t="s">
        <v>14651</v>
      </c>
      <c r="J2013" s="8" t="str">
        <f aca="false">IF(I2013="Open",DATE(2025,12,31)-F2013,"-")</f>
        <v>-</v>
      </c>
    </row>
    <row r="2014" customFormat="false" ht="15" hidden="false" customHeight="false" outlineLevel="0" collapsed="false">
      <c r="B2014" s="7" t="s">
        <v>16659</v>
      </c>
      <c r="C2014" s="7" t="s">
        <v>2511</v>
      </c>
      <c r="D2014" s="7" t="s">
        <v>331</v>
      </c>
      <c r="E2014" s="7" t="s">
        <v>156</v>
      </c>
      <c r="F2014" s="39" t="n">
        <v>45761</v>
      </c>
      <c r="G2014" s="41" t="n">
        <v>130.9</v>
      </c>
      <c r="H2014" s="39" t="n">
        <v>45777</v>
      </c>
      <c r="I2014" s="7" t="s">
        <v>14651</v>
      </c>
      <c r="J2014" s="8" t="str">
        <f aca="false">IF(I2014="Open",DATE(2025,12,31)-F2014,"-")</f>
        <v>-</v>
      </c>
    </row>
    <row r="2015" customFormat="false" ht="15" hidden="false" customHeight="false" outlineLevel="0" collapsed="false">
      <c r="B2015" s="7" t="s">
        <v>16660</v>
      </c>
      <c r="C2015" s="7" t="s">
        <v>2512</v>
      </c>
      <c r="D2015" s="7" t="s">
        <v>335</v>
      </c>
      <c r="E2015" s="7" t="s">
        <v>154</v>
      </c>
      <c r="F2015" s="39" t="n">
        <v>45761</v>
      </c>
      <c r="G2015" s="41" t="n">
        <v>94.84</v>
      </c>
      <c r="H2015" s="39" t="n">
        <v>45787</v>
      </c>
      <c r="I2015" s="7" t="s">
        <v>14651</v>
      </c>
      <c r="J2015" s="8" t="str">
        <f aca="false">IF(I2015="Open",DATE(2025,12,31)-F2015,"-")</f>
        <v>-</v>
      </c>
    </row>
    <row r="2016" customFormat="false" ht="15" hidden="false" customHeight="false" outlineLevel="0" collapsed="false">
      <c r="B2016" s="7" t="s">
        <v>16661</v>
      </c>
      <c r="C2016" s="7" t="s">
        <v>2513</v>
      </c>
      <c r="D2016" s="7" t="s">
        <v>337</v>
      </c>
      <c r="E2016" s="7" t="s">
        <v>154</v>
      </c>
      <c r="F2016" s="39" t="n">
        <v>45761</v>
      </c>
      <c r="G2016" s="41" t="n">
        <v>85.33</v>
      </c>
      <c r="H2016" s="39" t="n">
        <v>45812</v>
      </c>
      <c r="I2016" s="7" t="s">
        <v>14651</v>
      </c>
      <c r="J2016" s="8" t="str">
        <f aca="false">IF(I2016="Open",DATE(2025,12,31)-F2016,"-")</f>
        <v>-</v>
      </c>
    </row>
    <row r="2017" customFormat="false" ht="15" hidden="false" customHeight="false" outlineLevel="0" collapsed="false">
      <c r="B2017" s="7" t="s">
        <v>16662</v>
      </c>
      <c r="C2017" s="7" t="s">
        <v>2514</v>
      </c>
      <c r="D2017" s="7" t="s">
        <v>339</v>
      </c>
      <c r="E2017" s="7" t="s">
        <v>154</v>
      </c>
      <c r="F2017" s="39" t="n">
        <v>45761</v>
      </c>
      <c r="G2017" s="41" t="n">
        <v>95.93</v>
      </c>
      <c r="H2017" s="39" t="n">
        <v>45866</v>
      </c>
      <c r="I2017" s="7" t="s">
        <v>14651</v>
      </c>
      <c r="J2017" s="8" t="str">
        <f aca="false">IF(I2017="Open",DATE(2025,12,31)-F2017,"-")</f>
        <v>-</v>
      </c>
    </row>
    <row r="2018" customFormat="false" ht="15" hidden="false" customHeight="false" outlineLevel="0" collapsed="false">
      <c r="B2018" s="7" t="s">
        <v>16663</v>
      </c>
      <c r="C2018" s="7" t="s">
        <v>2515</v>
      </c>
      <c r="D2018" s="7" t="s">
        <v>341</v>
      </c>
      <c r="E2018" s="7" t="s">
        <v>156</v>
      </c>
      <c r="F2018" s="39" t="n">
        <v>45761</v>
      </c>
      <c r="G2018" s="41" t="n">
        <v>104.38</v>
      </c>
      <c r="H2018" s="39" t="n">
        <v>45773</v>
      </c>
      <c r="I2018" s="7" t="s">
        <v>14651</v>
      </c>
      <c r="J2018" s="8" t="str">
        <f aca="false">IF(I2018="Open",DATE(2025,12,31)-F2018,"-")</f>
        <v>-</v>
      </c>
    </row>
    <row r="2019" customFormat="false" ht="15" hidden="false" customHeight="false" outlineLevel="0" collapsed="false">
      <c r="B2019" s="7" t="s">
        <v>16664</v>
      </c>
      <c r="C2019" s="7" t="s">
        <v>2516</v>
      </c>
      <c r="D2019" s="7" t="s">
        <v>343</v>
      </c>
      <c r="E2019" s="7" t="s">
        <v>154</v>
      </c>
      <c r="F2019" s="39" t="n">
        <v>45761</v>
      </c>
      <c r="G2019" s="41" t="n">
        <v>102.03</v>
      </c>
      <c r="H2019" s="39" t="n">
        <v>45800</v>
      </c>
      <c r="I2019" s="7" t="s">
        <v>14651</v>
      </c>
      <c r="J2019" s="8" t="str">
        <f aca="false">IF(I2019="Open",DATE(2025,12,31)-F2019,"-")</f>
        <v>-</v>
      </c>
    </row>
    <row r="2020" customFormat="false" ht="15" hidden="false" customHeight="false" outlineLevel="0" collapsed="false">
      <c r="B2020" s="7" t="s">
        <v>16665</v>
      </c>
      <c r="C2020" s="7" t="s">
        <v>2517</v>
      </c>
      <c r="D2020" s="7" t="s">
        <v>351</v>
      </c>
      <c r="E2020" s="7" t="s">
        <v>154</v>
      </c>
      <c r="F2020" s="39" t="n">
        <v>45761</v>
      </c>
      <c r="G2020" s="41" t="n">
        <v>87.45</v>
      </c>
      <c r="H2020" s="39" t="n">
        <v>45795</v>
      </c>
      <c r="I2020" s="7" t="s">
        <v>14651</v>
      </c>
      <c r="J2020" s="8" t="str">
        <f aca="false">IF(I2020="Open",DATE(2025,12,31)-F2020,"-")</f>
        <v>-</v>
      </c>
    </row>
    <row r="2021" customFormat="false" ht="15" hidden="false" customHeight="false" outlineLevel="0" collapsed="false">
      <c r="B2021" s="7" t="s">
        <v>16666</v>
      </c>
      <c r="C2021" s="7" t="s">
        <v>2518</v>
      </c>
      <c r="D2021" s="7" t="s">
        <v>353</v>
      </c>
      <c r="E2021" s="7" t="s">
        <v>154</v>
      </c>
      <c r="F2021" s="39" t="n">
        <v>45761</v>
      </c>
      <c r="G2021" s="41" t="n">
        <v>94.6</v>
      </c>
      <c r="H2021" s="39" t="n">
        <v>45844</v>
      </c>
      <c r="I2021" s="7" t="s">
        <v>14651</v>
      </c>
      <c r="J2021" s="8" t="str">
        <f aca="false">IF(I2021="Open",DATE(2025,12,31)-F2021,"-")</f>
        <v>-</v>
      </c>
    </row>
    <row r="2022" customFormat="false" ht="15" hidden="false" customHeight="false" outlineLevel="0" collapsed="false">
      <c r="B2022" s="7" t="s">
        <v>16667</v>
      </c>
      <c r="C2022" s="7" t="s">
        <v>2519</v>
      </c>
      <c r="D2022" s="7" t="s">
        <v>355</v>
      </c>
      <c r="E2022" s="7" t="s">
        <v>154</v>
      </c>
      <c r="F2022" s="39" t="n">
        <v>45761</v>
      </c>
      <c r="G2022" s="41" t="n">
        <v>80.56</v>
      </c>
      <c r="H2022" s="39" t="n">
        <v>45814</v>
      </c>
      <c r="I2022" s="7" t="s">
        <v>14651</v>
      </c>
      <c r="J2022" s="8" t="str">
        <f aca="false">IF(I2022="Open",DATE(2025,12,31)-F2022,"-")</f>
        <v>-</v>
      </c>
    </row>
    <row r="2023" customFormat="false" ht="15" hidden="false" customHeight="false" outlineLevel="0" collapsed="false">
      <c r="B2023" s="7" t="s">
        <v>16668</v>
      </c>
      <c r="C2023" s="7" t="s">
        <v>2520</v>
      </c>
      <c r="D2023" s="7" t="s">
        <v>357</v>
      </c>
      <c r="E2023" s="7" t="s">
        <v>154</v>
      </c>
      <c r="F2023" s="39" t="n">
        <v>45761</v>
      </c>
      <c r="G2023" s="41" t="n">
        <v>80.03</v>
      </c>
      <c r="H2023" s="39" t="n">
        <v>45788</v>
      </c>
      <c r="I2023" s="7" t="s">
        <v>14651</v>
      </c>
      <c r="J2023" s="8" t="str">
        <f aca="false">IF(I2023="Open",DATE(2025,12,31)-F2023,"-")</f>
        <v>-</v>
      </c>
    </row>
    <row r="2024" customFormat="false" ht="15" hidden="false" customHeight="false" outlineLevel="0" collapsed="false">
      <c r="B2024" s="7" t="s">
        <v>16669</v>
      </c>
      <c r="C2024" s="7" t="s">
        <v>2521</v>
      </c>
      <c r="D2024" s="7" t="s">
        <v>359</v>
      </c>
      <c r="E2024" s="7" t="s">
        <v>156</v>
      </c>
      <c r="F2024" s="39" t="n">
        <v>45761</v>
      </c>
      <c r="G2024" s="41" t="n">
        <v>134.3</v>
      </c>
      <c r="H2024" s="39" t="n">
        <v>45772</v>
      </c>
      <c r="I2024" s="7" t="s">
        <v>14651</v>
      </c>
      <c r="J2024" s="8" t="str">
        <f aca="false">IF(I2024="Open",DATE(2025,12,31)-F2024,"-")</f>
        <v>-</v>
      </c>
    </row>
    <row r="2025" customFormat="false" ht="15" hidden="false" customHeight="false" outlineLevel="0" collapsed="false">
      <c r="B2025" s="7" t="s">
        <v>16670</v>
      </c>
      <c r="C2025" s="7" t="s">
        <v>2522</v>
      </c>
      <c r="D2025" s="7" t="s">
        <v>363</v>
      </c>
      <c r="E2025" s="7" t="s">
        <v>156</v>
      </c>
      <c r="F2025" s="39" t="n">
        <v>45761</v>
      </c>
      <c r="G2025" s="41" t="n">
        <v>123.42</v>
      </c>
      <c r="H2025" s="39" t="n">
        <v>45773</v>
      </c>
      <c r="I2025" s="7" t="s">
        <v>14651</v>
      </c>
      <c r="J2025" s="8" t="str">
        <f aca="false">IF(I2025="Open",DATE(2025,12,31)-F2025,"-")</f>
        <v>-</v>
      </c>
    </row>
    <row r="2026" customFormat="false" ht="15" hidden="false" customHeight="false" outlineLevel="0" collapsed="false">
      <c r="B2026" s="7" t="s">
        <v>16671</v>
      </c>
      <c r="C2026" s="7" t="s">
        <v>2523</v>
      </c>
      <c r="D2026" s="7" t="s">
        <v>371</v>
      </c>
      <c r="E2026" s="7" t="s">
        <v>154</v>
      </c>
      <c r="F2026" s="39" t="n">
        <v>45761</v>
      </c>
      <c r="G2026" s="41" t="n">
        <v>123.23</v>
      </c>
      <c r="H2026" s="39" t="n">
        <v>45809</v>
      </c>
      <c r="I2026" s="7" t="s">
        <v>14651</v>
      </c>
      <c r="J2026" s="8" t="str">
        <f aca="false">IF(I2026="Open",DATE(2025,12,31)-F2026,"-")</f>
        <v>-</v>
      </c>
    </row>
    <row r="2027" customFormat="false" ht="15" hidden="false" customHeight="false" outlineLevel="0" collapsed="false">
      <c r="B2027" s="7" t="s">
        <v>16672</v>
      </c>
      <c r="C2027" s="7" t="s">
        <v>2524</v>
      </c>
      <c r="D2027" s="7" t="s">
        <v>375</v>
      </c>
      <c r="E2027" s="7" t="s">
        <v>156</v>
      </c>
      <c r="F2027" s="39" t="n">
        <v>45761</v>
      </c>
      <c r="G2027" s="41" t="n">
        <v>109.48</v>
      </c>
      <c r="H2027" s="39" t="n">
        <v>45777</v>
      </c>
      <c r="I2027" s="7" t="s">
        <v>14651</v>
      </c>
      <c r="J2027" s="8" t="str">
        <f aca="false">IF(I2027="Open",DATE(2025,12,31)-F2027,"-")</f>
        <v>-</v>
      </c>
    </row>
    <row r="2028" customFormat="false" ht="15" hidden="false" customHeight="false" outlineLevel="0" collapsed="false">
      <c r="B2028" s="7" t="s">
        <v>16673</v>
      </c>
      <c r="C2028" s="7" t="s">
        <v>2525</v>
      </c>
      <c r="D2028" s="7" t="s">
        <v>377</v>
      </c>
      <c r="E2028" s="7" t="s">
        <v>154</v>
      </c>
      <c r="F2028" s="39" t="n">
        <v>45761</v>
      </c>
      <c r="G2028" s="41" t="n">
        <v>113.69</v>
      </c>
      <c r="H2028" s="39" t="n">
        <v>45837</v>
      </c>
      <c r="I2028" s="7" t="s">
        <v>14651</v>
      </c>
      <c r="J2028" s="8" t="str">
        <f aca="false">IF(I2028="Open",DATE(2025,12,31)-F2028,"-")</f>
        <v>-</v>
      </c>
    </row>
    <row r="2029" customFormat="false" ht="15" hidden="false" customHeight="false" outlineLevel="0" collapsed="false">
      <c r="B2029" s="7" t="s">
        <v>16674</v>
      </c>
      <c r="C2029" s="7" t="s">
        <v>2526</v>
      </c>
      <c r="D2029" s="7" t="s">
        <v>379</v>
      </c>
      <c r="E2029" s="7" t="s">
        <v>156</v>
      </c>
      <c r="F2029" s="39" t="n">
        <v>45761</v>
      </c>
      <c r="G2029" s="41" t="n">
        <v>158.78</v>
      </c>
      <c r="H2029" s="39" t="n">
        <v>45769</v>
      </c>
      <c r="I2029" s="7" t="s">
        <v>14651</v>
      </c>
      <c r="J2029" s="8" t="str">
        <f aca="false">IF(I2029="Open",DATE(2025,12,31)-F2029,"-")</f>
        <v>-</v>
      </c>
    </row>
    <row r="2030" customFormat="false" ht="15" hidden="false" customHeight="false" outlineLevel="0" collapsed="false">
      <c r="B2030" s="7" t="s">
        <v>16675</v>
      </c>
      <c r="C2030" s="7" t="s">
        <v>2527</v>
      </c>
      <c r="D2030" s="7" t="s">
        <v>385</v>
      </c>
      <c r="E2030" s="7" t="s">
        <v>156</v>
      </c>
      <c r="F2030" s="39" t="n">
        <v>45761</v>
      </c>
      <c r="G2030" s="41" t="n">
        <v>138.38</v>
      </c>
      <c r="H2030" s="39" t="n">
        <v>45779</v>
      </c>
      <c r="I2030" s="7" t="s">
        <v>14651</v>
      </c>
      <c r="J2030" s="8" t="str">
        <f aca="false">IF(I2030="Open",DATE(2025,12,31)-F2030,"-")</f>
        <v>-</v>
      </c>
    </row>
    <row r="2031" customFormat="false" ht="15" hidden="false" customHeight="false" outlineLevel="0" collapsed="false">
      <c r="B2031" s="7" t="s">
        <v>16676</v>
      </c>
      <c r="C2031" s="7" t="s">
        <v>2528</v>
      </c>
      <c r="D2031" s="7" t="s">
        <v>389</v>
      </c>
      <c r="E2031" s="7" t="s">
        <v>154</v>
      </c>
      <c r="F2031" s="39" t="n">
        <v>45761</v>
      </c>
      <c r="G2031" s="41" t="n">
        <v>106.53</v>
      </c>
      <c r="H2031" s="39" t="n">
        <v>45776</v>
      </c>
      <c r="I2031" s="7" t="s">
        <v>14651</v>
      </c>
      <c r="J2031" s="8" t="str">
        <f aca="false">IF(I2031="Open",DATE(2025,12,31)-F2031,"-")</f>
        <v>-</v>
      </c>
    </row>
    <row r="2032" customFormat="false" ht="15" hidden="false" customHeight="false" outlineLevel="0" collapsed="false">
      <c r="B2032" s="7" t="s">
        <v>16677</v>
      </c>
      <c r="C2032" s="7" t="s">
        <v>2529</v>
      </c>
      <c r="D2032" s="7" t="s">
        <v>391</v>
      </c>
      <c r="E2032" s="7" t="s">
        <v>156</v>
      </c>
      <c r="F2032" s="39" t="n">
        <v>45761</v>
      </c>
      <c r="G2032" s="41" t="n">
        <v>124.44</v>
      </c>
      <c r="H2032" s="39" t="n">
        <v>45762</v>
      </c>
      <c r="I2032" s="7" t="s">
        <v>14651</v>
      </c>
      <c r="J2032" s="8" t="str">
        <f aca="false">IF(I2032="Open",DATE(2025,12,31)-F2032,"-")</f>
        <v>-</v>
      </c>
    </row>
    <row r="2033" customFormat="false" ht="15" hidden="false" customHeight="false" outlineLevel="0" collapsed="false">
      <c r="B2033" s="7" t="s">
        <v>16678</v>
      </c>
      <c r="C2033" s="7" t="s">
        <v>2530</v>
      </c>
      <c r="D2033" s="7" t="s">
        <v>395</v>
      </c>
      <c r="E2033" s="7" t="s">
        <v>156</v>
      </c>
      <c r="F2033" s="39" t="n">
        <v>45761</v>
      </c>
      <c r="G2033" s="41" t="n">
        <v>146.54</v>
      </c>
      <c r="H2033" s="39" t="n">
        <v>45772</v>
      </c>
      <c r="I2033" s="7" t="s">
        <v>14651</v>
      </c>
      <c r="J2033" s="8" t="str">
        <f aca="false">IF(I2033="Open",DATE(2025,12,31)-F2033,"-")</f>
        <v>-</v>
      </c>
    </row>
    <row r="2034" customFormat="false" ht="15" hidden="false" customHeight="false" outlineLevel="0" collapsed="false">
      <c r="B2034" s="7" t="s">
        <v>16679</v>
      </c>
      <c r="C2034" s="7" t="s">
        <v>2531</v>
      </c>
      <c r="D2034" s="7" t="s">
        <v>399</v>
      </c>
      <c r="E2034" s="7" t="s">
        <v>154</v>
      </c>
      <c r="F2034" s="39" t="n">
        <v>45761</v>
      </c>
      <c r="G2034" s="41" t="n">
        <v>91.43</v>
      </c>
      <c r="H2034" s="39" t="n">
        <v>45814</v>
      </c>
      <c r="I2034" s="7" t="s">
        <v>14651</v>
      </c>
      <c r="J2034" s="8" t="str">
        <f aca="false">IF(I2034="Open",DATE(2025,12,31)-F2034,"-")</f>
        <v>-</v>
      </c>
    </row>
    <row r="2035" customFormat="false" ht="15" hidden="false" customHeight="false" outlineLevel="0" collapsed="false">
      <c r="B2035" s="7" t="s">
        <v>16680</v>
      </c>
      <c r="C2035" s="7" t="s">
        <v>2532</v>
      </c>
      <c r="D2035" s="7" t="s">
        <v>401</v>
      </c>
      <c r="E2035" s="7" t="s">
        <v>156</v>
      </c>
      <c r="F2035" s="39" t="n">
        <v>45761</v>
      </c>
      <c r="G2035" s="41" t="n">
        <v>148.24</v>
      </c>
      <c r="H2035" s="39" t="n">
        <v>45774</v>
      </c>
      <c r="I2035" s="7" t="s">
        <v>14651</v>
      </c>
      <c r="J2035" s="8" t="str">
        <f aca="false">IF(I2035="Open",DATE(2025,12,31)-F2035,"-")</f>
        <v>-</v>
      </c>
    </row>
    <row r="2036" customFormat="false" ht="15" hidden="false" customHeight="false" outlineLevel="0" collapsed="false">
      <c r="B2036" s="7" t="s">
        <v>16681</v>
      </c>
      <c r="C2036" s="7" t="s">
        <v>2533</v>
      </c>
      <c r="D2036" s="7" t="s">
        <v>409</v>
      </c>
      <c r="E2036" s="7" t="s">
        <v>154</v>
      </c>
      <c r="F2036" s="39" t="n">
        <v>45761</v>
      </c>
      <c r="G2036" s="41" t="n">
        <v>80.82</v>
      </c>
      <c r="H2036" s="39" t="n">
        <v>45809</v>
      </c>
      <c r="I2036" s="7" t="s">
        <v>14651</v>
      </c>
      <c r="J2036" s="8" t="str">
        <f aca="false">IF(I2036="Open",DATE(2025,12,31)-F2036,"-")</f>
        <v>-</v>
      </c>
    </row>
    <row r="2037" customFormat="false" ht="15" hidden="false" customHeight="false" outlineLevel="0" collapsed="false">
      <c r="B2037" s="7" t="s">
        <v>16682</v>
      </c>
      <c r="C2037" s="7" t="s">
        <v>2534</v>
      </c>
      <c r="D2037" s="7" t="s">
        <v>411</v>
      </c>
      <c r="E2037" s="7" t="s">
        <v>154</v>
      </c>
      <c r="F2037" s="39" t="n">
        <v>45761</v>
      </c>
      <c r="G2037" s="41" t="n">
        <v>122.43</v>
      </c>
      <c r="H2037" s="39" t="n">
        <v>45799</v>
      </c>
      <c r="I2037" s="7" t="s">
        <v>14651</v>
      </c>
      <c r="J2037" s="8" t="str">
        <f aca="false">IF(I2037="Open",DATE(2025,12,31)-F2037,"-")</f>
        <v>-</v>
      </c>
    </row>
    <row r="2038" customFormat="false" ht="15" hidden="false" customHeight="false" outlineLevel="0" collapsed="false">
      <c r="B2038" s="7" t="s">
        <v>16683</v>
      </c>
      <c r="C2038" s="7" t="s">
        <v>2535</v>
      </c>
      <c r="D2038" s="7" t="s">
        <v>288</v>
      </c>
      <c r="E2038" s="7" t="s">
        <v>156</v>
      </c>
      <c r="F2038" s="39" t="n">
        <v>45762</v>
      </c>
      <c r="G2038" s="41" t="n">
        <v>122.4</v>
      </c>
      <c r="H2038" s="39" t="n">
        <v>45774</v>
      </c>
      <c r="I2038" s="7" t="s">
        <v>14651</v>
      </c>
      <c r="J2038" s="8" t="str">
        <f aca="false">IF(I2038="Open",DATE(2025,12,31)-F2038,"-")</f>
        <v>-</v>
      </c>
    </row>
    <row r="2039" customFormat="false" ht="15" hidden="false" customHeight="false" outlineLevel="0" collapsed="false">
      <c r="B2039" s="7" t="s">
        <v>16684</v>
      </c>
      <c r="C2039" s="7" t="s">
        <v>2536</v>
      </c>
      <c r="D2039" s="7" t="s">
        <v>301</v>
      </c>
      <c r="E2039" s="7" t="s">
        <v>157</v>
      </c>
      <c r="F2039" s="39" t="n">
        <v>45762</v>
      </c>
      <c r="G2039" s="41" t="n">
        <v>179.85</v>
      </c>
      <c r="H2039" s="39" t="n">
        <v>45806</v>
      </c>
      <c r="I2039" s="7" t="s">
        <v>14651</v>
      </c>
      <c r="J2039" s="8" t="str">
        <f aca="false">IF(I2039="Open",DATE(2025,12,31)-F2039,"-")</f>
        <v>-</v>
      </c>
    </row>
    <row r="2040" customFormat="false" ht="15" hidden="false" customHeight="false" outlineLevel="0" collapsed="false">
      <c r="B2040" s="7" t="s">
        <v>16685</v>
      </c>
      <c r="C2040" s="7" t="s">
        <v>2537</v>
      </c>
      <c r="D2040" s="7" t="s">
        <v>313</v>
      </c>
      <c r="E2040" s="7" t="s">
        <v>156</v>
      </c>
      <c r="F2040" s="39" t="n">
        <v>45762</v>
      </c>
      <c r="G2040" s="41" t="n">
        <v>142.46</v>
      </c>
      <c r="H2040" s="39" t="n">
        <v>45778</v>
      </c>
      <c r="I2040" s="7" t="s">
        <v>14651</v>
      </c>
      <c r="J2040" s="8" t="str">
        <f aca="false">IF(I2040="Open",DATE(2025,12,31)-F2040,"-")</f>
        <v>-</v>
      </c>
    </row>
    <row r="2041" customFormat="false" ht="15" hidden="false" customHeight="false" outlineLevel="0" collapsed="false">
      <c r="B2041" s="7" t="s">
        <v>16686</v>
      </c>
      <c r="C2041" s="7" t="s">
        <v>2538</v>
      </c>
      <c r="D2041" s="7" t="s">
        <v>319</v>
      </c>
      <c r="E2041" s="7" t="s">
        <v>157</v>
      </c>
      <c r="F2041" s="39" t="n">
        <v>45762</v>
      </c>
      <c r="G2041" s="41" t="n">
        <v>155.1</v>
      </c>
      <c r="H2041" s="39" t="n">
        <v>45804</v>
      </c>
      <c r="I2041" s="7" t="s">
        <v>14651</v>
      </c>
      <c r="J2041" s="8" t="str">
        <f aca="false">IF(I2041="Open",DATE(2025,12,31)-F2041,"-")</f>
        <v>-</v>
      </c>
    </row>
    <row r="2042" customFormat="false" ht="15" hidden="false" customHeight="false" outlineLevel="0" collapsed="false">
      <c r="B2042" s="7" t="s">
        <v>16687</v>
      </c>
      <c r="C2042" s="7" t="s">
        <v>2539</v>
      </c>
      <c r="D2042" s="7" t="s">
        <v>321</v>
      </c>
      <c r="E2042" s="7" t="s">
        <v>154</v>
      </c>
      <c r="F2042" s="39" t="n">
        <v>45762</v>
      </c>
      <c r="G2042" s="41" t="n">
        <v>99.22</v>
      </c>
      <c r="H2042" s="39" t="n">
        <v>45778</v>
      </c>
      <c r="I2042" s="7" t="s">
        <v>14651</v>
      </c>
      <c r="J2042" s="8" t="str">
        <f aca="false">IF(I2042="Open",DATE(2025,12,31)-F2042,"-")</f>
        <v>-</v>
      </c>
    </row>
    <row r="2043" customFormat="false" ht="15" hidden="false" customHeight="false" outlineLevel="0" collapsed="false">
      <c r="B2043" s="7" t="s">
        <v>16688</v>
      </c>
      <c r="C2043" s="7" t="s">
        <v>2540</v>
      </c>
      <c r="D2043" s="7" t="s">
        <v>323</v>
      </c>
      <c r="E2043" s="7" t="s">
        <v>159</v>
      </c>
      <c r="F2043" s="39" t="n">
        <v>45762</v>
      </c>
      <c r="G2043" s="41" t="n">
        <v>147.15</v>
      </c>
      <c r="H2043" s="39" t="n">
        <v>45811</v>
      </c>
      <c r="I2043" s="7" t="s">
        <v>14651</v>
      </c>
      <c r="J2043" s="8" t="str">
        <f aca="false">IF(I2043="Open",DATE(2025,12,31)-F2043,"-")</f>
        <v>-</v>
      </c>
    </row>
    <row r="2044" customFormat="false" ht="15" hidden="false" customHeight="false" outlineLevel="0" collapsed="false">
      <c r="B2044" s="7" t="s">
        <v>16689</v>
      </c>
      <c r="C2044" s="7" t="s">
        <v>2541</v>
      </c>
      <c r="D2044" s="7" t="s">
        <v>327</v>
      </c>
      <c r="E2044" s="7" t="s">
        <v>157</v>
      </c>
      <c r="F2044" s="39" t="n">
        <v>45762</v>
      </c>
      <c r="G2044" s="41" t="n">
        <v>155.1</v>
      </c>
      <c r="H2044" s="39" t="n">
        <v>45851</v>
      </c>
      <c r="I2044" s="7" t="s">
        <v>14651</v>
      </c>
      <c r="J2044" s="8" t="str">
        <f aca="false">IF(I2044="Open",DATE(2025,12,31)-F2044,"-")</f>
        <v>-</v>
      </c>
    </row>
    <row r="2045" customFormat="false" ht="15" hidden="false" customHeight="false" outlineLevel="0" collapsed="false">
      <c r="B2045" s="7" t="s">
        <v>16690</v>
      </c>
      <c r="C2045" s="7" t="s">
        <v>2542</v>
      </c>
      <c r="D2045" s="7" t="s">
        <v>329</v>
      </c>
      <c r="E2045" s="7" t="s">
        <v>156</v>
      </c>
      <c r="F2045" s="39" t="n">
        <v>45762</v>
      </c>
      <c r="G2045" s="41" t="n">
        <v>124.78</v>
      </c>
      <c r="H2045" s="39" t="n">
        <v>45769</v>
      </c>
      <c r="I2045" s="7" t="s">
        <v>14651</v>
      </c>
      <c r="J2045" s="8" t="str">
        <f aca="false">IF(I2045="Open",DATE(2025,12,31)-F2045,"-")</f>
        <v>-</v>
      </c>
    </row>
    <row r="2046" customFormat="false" ht="15" hidden="false" customHeight="false" outlineLevel="0" collapsed="false">
      <c r="B2046" s="7" t="s">
        <v>16691</v>
      </c>
      <c r="C2046" s="7" t="s">
        <v>2543</v>
      </c>
      <c r="D2046" s="7" t="s">
        <v>359</v>
      </c>
      <c r="E2046" s="7" t="s">
        <v>156</v>
      </c>
      <c r="F2046" s="39" t="n">
        <v>45762</v>
      </c>
      <c r="G2046" s="41" t="n">
        <v>143.48</v>
      </c>
      <c r="H2046" s="39" t="n">
        <v>45774</v>
      </c>
      <c r="I2046" s="7" t="s">
        <v>14651</v>
      </c>
      <c r="J2046" s="8" t="str">
        <f aca="false">IF(I2046="Open",DATE(2025,12,31)-F2046,"-")</f>
        <v>-</v>
      </c>
    </row>
    <row r="2047" customFormat="false" ht="15" hidden="false" customHeight="false" outlineLevel="0" collapsed="false">
      <c r="B2047" s="7" t="s">
        <v>16692</v>
      </c>
      <c r="C2047" s="7" t="s">
        <v>2544</v>
      </c>
      <c r="D2047" s="7" t="s">
        <v>361</v>
      </c>
      <c r="E2047" s="7" t="s">
        <v>157</v>
      </c>
      <c r="F2047" s="39" t="n">
        <v>45762</v>
      </c>
      <c r="G2047" s="41" t="n">
        <v>169.95</v>
      </c>
      <c r="H2047" s="39" t="n">
        <v>45840</v>
      </c>
      <c r="I2047" s="7" t="s">
        <v>14651</v>
      </c>
      <c r="J2047" s="8" t="str">
        <f aca="false">IF(I2047="Open",DATE(2025,12,31)-F2047,"-")</f>
        <v>-</v>
      </c>
    </row>
    <row r="2048" customFormat="false" ht="15" hidden="false" customHeight="false" outlineLevel="0" collapsed="false">
      <c r="B2048" s="7" t="s">
        <v>16693</v>
      </c>
      <c r="C2048" s="7" t="s">
        <v>2545</v>
      </c>
      <c r="D2048" s="7" t="s">
        <v>381</v>
      </c>
      <c r="E2048" s="7" t="s">
        <v>157</v>
      </c>
      <c r="F2048" s="39" t="n">
        <v>45762</v>
      </c>
      <c r="G2048" s="41" t="n">
        <v>163.35</v>
      </c>
      <c r="H2048" s="39" t="n">
        <v>45778</v>
      </c>
      <c r="I2048" s="7" t="s">
        <v>14651</v>
      </c>
      <c r="J2048" s="8" t="str">
        <f aca="false">IF(I2048="Open",DATE(2025,12,31)-F2048,"-")</f>
        <v>-</v>
      </c>
    </row>
    <row r="2049" customFormat="false" ht="15" hidden="false" customHeight="false" outlineLevel="0" collapsed="false">
      <c r="B2049" s="7" t="s">
        <v>16694</v>
      </c>
      <c r="C2049" s="7" t="s">
        <v>2546</v>
      </c>
      <c r="D2049" s="7" t="s">
        <v>389</v>
      </c>
      <c r="E2049" s="7" t="s">
        <v>154</v>
      </c>
      <c r="F2049" s="39" t="n">
        <v>45762</v>
      </c>
      <c r="G2049" s="41" t="n">
        <v>109.98</v>
      </c>
      <c r="H2049" s="39" t="n">
        <v>45871</v>
      </c>
      <c r="I2049" s="7" t="s">
        <v>14651</v>
      </c>
      <c r="J2049" s="8" t="str">
        <f aca="false">IF(I2049="Open",DATE(2025,12,31)-F2049,"-")</f>
        <v>-</v>
      </c>
    </row>
    <row r="2050" customFormat="false" ht="15" hidden="false" customHeight="false" outlineLevel="0" collapsed="false">
      <c r="B2050" s="7" t="s">
        <v>16695</v>
      </c>
      <c r="C2050" s="7" t="s">
        <v>2547</v>
      </c>
      <c r="D2050" s="7" t="s">
        <v>391</v>
      </c>
      <c r="E2050" s="7" t="s">
        <v>156</v>
      </c>
      <c r="F2050" s="39" t="n">
        <v>45762</v>
      </c>
      <c r="G2050" s="41" t="n">
        <v>145.18</v>
      </c>
      <c r="H2050" s="39" t="n">
        <v>45767</v>
      </c>
      <c r="I2050" s="7" t="s">
        <v>14651</v>
      </c>
      <c r="J2050" s="8" t="str">
        <f aca="false">IF(I2050="Open",DATE(2025,12,31)-F2050,"-")</f>
        <v>-</v>
      </c>
    </row>
    <row r="2051" customFormat="false" ht="15" hidden="false" customHeight="false" outlineLevel="0" collapsed="false">
      <c r="B2051" s="7" t="s">
        <v>16696</v>
      </c>
      <c r="C2051" s="7" t="s">
        <v>2548</v>
      </c>
      <c r="D2051" s="7" t="s">
        <v>395</v>
      </c>
      <c r="E2051" s="7" t="s">
        <v>156</v>
      </c>
      <c r="F2051" s="39" t="n">
        <v>45762</v>
      </c>
      <c r="G2051" s="41" t="n">
        <v>146.54</v>
      </c>
      <c r="H2051" s="39" t="n">
        <v>45776</v>
      </c>
      <c r="I2051" s="7" t="s">
        <v>14651</v>
      </c>
      <c r="J2051" s="8" t="str">
        <f aca="false">IF(I2051="Open",DATE(2025,12,31)-F2051,"-")</f>
        <v>-</v>
      </c>
    </row>
    <row r="2052" customFormat="false" ht="15" hidden="false" customHeight="false" outlineLevel="0" collapsed="false">
      <c r="B2052" s="7" t="s">
        <v>16697</v>
      </c>
      <c r="C2052" s="7" t="s">
        <v>2549</v>
      </c>
      <c r="D2052" s="7" t="s">
        <v>397</v>
      </c>
      <c r="E2052" s="7" t="s">
        <v>159</v>
      </c>
      <c r="F2052" s="39" t="n">
        <v>45762</v>
      </c>
      <c r="G2052" s="41" t="n">
        <v>132.3</v>
      </c>
      <c r="H2052" s="39" t="n">
        <v>45814</v>
      </c>
      <c r="I2052" s="7" t="s">
        <v>14651</v>
      </c>
      <c r="J2052" s="8" t="str">
        <f aca="false">IF(I2052="Open",DATE(2025,12,31)-F2052,"-")</f>
        <v>-</v>
      </c>
    </row>
    <row r="2053" customFormat="false" ht="15" hidden="false" customHeight="false" outlineLevel="0" collapsed="false">
      <c r="B2053" s="7" t="s">
        <v>16698</v>
      </c>
      <c r="C2053" s="7" t="s">
        <v>2550</v>
      </c>
      <c r="D2053" s="7" t="s">
        <v>401</v>
      </c>
      <c r="E2053" s="7" t="s">
        <v>156</v>
      </c>
      <c r="F2053" s="39" t="n">
        <v>45762</v>
      </c>
      <c r="G2053" s="41" t="n">
        <v>139.06</v>
      </c>
      <c r="H2053" s="39" t="n">
        <v>45774</v>
      </c>
      <c r="I2053" s="7" t="s">
        <v>14651</v>
      </c>
      <c r="J2053" s="8" t="str">
        <f aca="false">IF(I2053="Open",DATE(2025,12,31)-F2053,"-")</f>
        <v>-</v>
      </c>
    </row>
    <row r="2054" customFormat="false" ht="15" hidden="false" customHeight="false" outlineLevel="0" collapsed="false">
      <c r="B2054" s="7" t="s">
        <v>16699</v>
      </c>
      <c r="C2054" s="7" t="s">
        <v>2551</v>
      </c>
      <c r="D2054" s="7" t="s">
        <v>407</v>
      </c>
      <c r="E2054" s="7" t="s">
        <v>159</v>
      </c>
      <c r="F2054" s="39" t="n">
        <v>45762</v>
      </c>
      <c r="G2054" s="41" t="n">
        <v>122.85</v>
      </c>
      <c r="H2054" s="39" t="n">
        <v>45807</v>
      </c>
      <c r="I2054" s="7" t="s">
        <v>14651</v>
      </c>
      <c r="J2054" s="8" t="str">
        <f aca="false">IF(I2054="Open",DATE(2025,12,31)-F2054,"-")</f>
        <v>-</v>
      </c>
    </row>
    <row r="2055" customFormat="false" ht="15" hidden="false" customHeight="false" outlineLevel="0" collapsed="false">
      <c r="B2055" s="7" t="s">
        <v>16700</v>
      </c>
      <c r="C2055" s="7" t="s">
        <v>2552</v>
      </c>
      <c r="D2055" s="7" t="s">
        <v>280</v>
      </c>
      <c r="E2055" s="7" t="s">
        <v>157</v>
      </c>
      <c r="F2055" s="39" t="n">
        <v>45763</v>
      </c>
      <c r="G2055" s="41" t="n">
        <v>155.1</v>
      </c>
      <c r="H2055" s="39" t="n">
        <v>45794</v>
      </c>
      <c r="I2055" s="7" t="s">
        <v>14651</v>
      </c>
      <c r="J2055" s="8" t="str">
        <f aca="false">IF(I2055="Open",DATE(2025,12,31)-F2055,"-")</f>
        <v>-</v>
      </c>
    </row>
    <row r="2056" customFormat="false" ht="15" hidden="false" customHeight="false" outlineLevel="0" collapsed="false">
      <c r="B2056" s="7" t="s">
        <v>16701</v>
      </c>
      <c r="C2056" s="7" t="s">
        <v>2553</v>
      </c>
      <c r="D2056" s="7" t="s">
        <v>286</v>
      </c>
      <c r="E2056" s="7" t="s">
        <v>157</v>
      </c>
      <c r="F2056" s="39" t="n">
        <v>45763</v>
      </c>
      <c r="G2056" s="41" t="n">
        <v>165</v>
      </c>
      <c r="H2056" s="39" t="n">
        <v>45831</v>
      </c>
      <c r="I2056" s="7" t="s">
        <v>14651</v>
      </c>
      <c r="J2056" s="8" t="str">
        <f aca="false">IF(I2056="Open",DATE(2025,12,31)-F2056,"-")</f>
        <v>-</v>
      </c>
    </row>
    <row r="2057" customFormat="false" ht="15" hidden="false" customHeight="false" outlineLevel="0" collapsed="false">
      <c r="B2057" s="7" t="s">
        <v>16702</v>
      </c>
      <c r="C2057" s="7" t="s">
        <v>2554</v>
      </c>
      <c r="D2057" s="7" t="s">
        <v>288</v>
      </c>
      <c r="E2057" s="7" t="s">
        <v>156</v>
      </c>
      <c r="F2057" s="39" t="n">
        <v>45763</v>
      </c>
      <c r="G2057" s="41" t="n">
        <v>130.22</v>
      </c>
      <c r="H2057" s="39" t="n">
        <v>45767</v>
      </c>
      <c r="I2057" s="7" t="s">
        <v>14651</v>
      </c>
      <c r="J2057" s="8" t="str">
        <f aca="false">IF(I2057="Open",DATE(2025,12,31)-F2057,"-")</f>
        <v>-</v>
      </c>
    </row>
    <row r="2058" customFormat="false" ht="15" hidden="false" customHeight="false" outlineLevel="0" collapsed="false">
      <c r="B2058" s="7" t="s">
        <v>16703</v>
      </c>
      <c r="C2058" s="7" t="s">
        <v>2555</v>
      </c>
      <c r="D2058" s="7" t="s">
        <v>291</v>
      </c>
      <c r="E2058" s="7" t="s">
        <v>154</v>
      </c>
      <c r="F2058" s="39" t="n">
        <v>45763</v>
      </c>
      <c r="G2058" s="41" t="n">
        <v>119.52</v>
      </c>
      <c r="H2058" s="39" t="n">
        <v>45817</v>
      </c>
      <c r="I2058" s="7" t="s">
        <v>14651</v>
      </c>
      <c r="J2058" s="8" t="str">
        <f aca="false">IF(I2058="Open",DATE(2025,12,31)-F2058,"-")</f>
        <v>-</v>
      </c>
    </row>
    <row r="2059" customFormat="false" ht="15" hidden="false" customHeight="false" outlineLevel="0" collapsed="false">
      <c r="B2059" s="7" t="s">
        <v>16704</v>
      </c>
      <c r="C2059" s="7" t="s">
        <v>2556</v>
      </c>
      <c r="D2059" s="7" t="s">
        <v>305</v>
      </c>
      <c r="E2059" s="7" t="s">
        <v>154</v>
      </c>
      <c r="F2059" s="39" t="n">
        <v>45763</v>
      </c>
      <c r="G2059" s="41" t="n">
        <v>114.48</v>
      </c>
      <c r="H2059" s="39" t="n">
        <v>45818</v>
      </c>
      <c r="I2059" s="7" t="s">
        <v>14651</v>
      </c>
      <c r="J2059" s="8" t="str">
        <f aca="false">IF(I2059="Open",DATE(2025,12,31)-F2059,"-")</f>
        <v>-</v>
      </c>
    </row>
    <row r="2060" customFormat="false" ht="15" hidden="false" customHeight="false" outlineLevel="0" collapsed="false">
      <c r="B2060" s="7" t="s">
        <v>16705</v>
      </c>
      <c r="C2060" s="7" t="s">
        <v>2557</v>
      </c>
      <c r="D2060" s="7" t="s">
        <v>307</v>
      </c>
      <c r="E2060" s="7" t="s">
        <v>157</v>
      </c>
      <c r="F2060" s="39" t="n">
        <v>45763</v>
      </c>
      <c r="G2060" s="41" t="n">
        <v>150.48</v>
      </c>
      <c r="H2060" s="39" t="n">
        <v>45832</v>
      </c>
      <c r="I2060" s="7" t="s">
        <v>14651</v>
      </c>
      <c r="J2060" s="8" t="str">
        <f aca="false">IF(I2060="Open",DATE(2025,12,31)-F2060,"-")</f>
        <v>-</v>
      </c>
    </row>
    <row r="2061" customFormat="false" ht="15" hidden="false" customHeight="false" outlineLevel="0" collapsed="false">
      <c r="B2061" s="7" t="s">
        <v>16706</v>
      </c>
      <c r="C2061" s="7" t="s">
        <v>2558</v>
      </c>
      <c r="D2061" s="7" t="s">
        <v>309</v>
      </c>
      <c r="E2061" s="7" t="s">
        <v>159</v>
      </c>
      <c r="F2061" s="39" t="n">
        <v>45763</v>
      </c>
      <c r="G2061" s="41" t="n">
        <v>122.85</v>
      </c>
      <c r="H2061" s="39" t="n">
        <v>45786</v>
      </c>
      <c r="I2061" s="7" t="s">
        <v>14651</v>
      </c>
      <c r="J2061" s="8" t="str">
        <f aca="false">IF(I2061="Open",DATE(2025,12,31)-F2061,"-")</f>
        <v>-</v>
      </c>
    </row>
    <row r="2062" customFormat="false" ht="15" hidden="false" customHeight="false" outlineLevel="0" collapsed="false">
      <c r="B2062" s="7" t="s">
        <v>16707</v>
      </c>
      <c r="C2062" s="7" t="s">
        <v>2559</v>
      </c>
      <c r="D2062" s="7" t="s">
        <v>313</v>
      </c>
      <c r="E2062" s="7" t="s">
        <v>156</v>
      </c>
      <c r="F2062" s="39" t="n">
        <v>45763</v>
      </c>
      <c r="G2062" s="41" t="n">
        <v>125.12</v>
      </c>
      <c r="H2062" s="39" t="n">
        <v>45777</v>
      </c>
      <c r="I2062" s="7" t="s">
        <v>14651</v>
      </c>
      <c r="J2062" s="8" t="str">
        <f aca="false">IF(I2062="Open",DATE(2025,12,31)-F2062,"-")</f>
        <v>-</v>
      </c>
    </row>
    <row r="2063" customFormat="false" ht="15" hidden="false" customHeight="false" outlineLevel="0" collapsed="false">
      <c r="B2063" s="7" t="s">
        <v>16708</v>
      </c>
      <c r="C2063" s="7" t="s">
        <v>2560</v>
      </c>
      <c r="D2063" s="7" t="s">
        <v>321</v>
      </c>
      <c r="E2063" s="7" t="s">
        <v>154</v>
      </c>
      <c r="F2063" s="39" t="n">
        <v>45763</v>
      </c>
      <c r="G2063" s="41" t="n">
        <v>97.68</v>
      </c>
      <c r="H2063" s="39" t="n">
        <v>45830</v>
      </c>
      <c r="I2063" s="7" t="s">
        <v>14651</v>
      </c>
      <c r="J2063" s="8" t="str">
        <f aca="false">IF(I2063="Open",DATE(2025,12,31)-F2063,"-")</f>
        <v>-</v>
      </c>
    </row>
    <row r="2064" customFormat="false" ht="15" hidden="false" customHeight="false" outlineLevel="0" collapsed="false">
      <c r="B2064" s="7" t="s">
        <v>16709</v>
      </c>
      <c r="C2064" s="7" t="s">
        <v>2561</v>
      </c>
      <c r="D2064" s="7" t="s">
        <v>329</v>
      </c>
      <c r="E2064" s="7" t="s">
        <v>156</v>
      </c>
      <c r="F2064" s="39" t="n">
        <v>45763</v>
      </c>
      <c r="G2064" s="41" t="n">
        <v>136</v>
      </c>
      <c r="H2064" s="39" t="n">
        <v>45766</v>
      </c>
      <c r="I2064" s="7" t="s">
        <v>14651</v>
      </c>
      <c r="J2064" s="8" t="str">
        <f aca="false">IF(I2064="Open",DATE(2025,12,31)-F2064,"-")</f>
        <v>-</v>
      </c>
    </row>
    <row r="2065" customFormat="false" ht="15" hidden="false" customHeight="false" outlineLevel="0" collapsed="false">
      <c r="B2065" s="7" t="s">
        <v>16710</v>
      </c>
      <c r="C2065" s="7" t="s">
        <v>2562</v>
      </c>
      <c r="D2065" s="7" t="s">
        <v>335</v>
      </c>
      <c r="E2065" s="7" t="s">
        <v>154</v>
      </c>
      <c r="F2065" s="39" t="n">
        <v>45763</v>
      </c>
      <c r="G2065" s="41" t="n">
        <v>99.11</v>
      </c>
      <c r="H2065" s="39" t="n">
        <v>45814</v>
      </c>
      <c r="I2065" s="7" t="s">
        <v>14651</v>
      </c>
      <c r="J2065" s="8" t="str">
        <f aca="false">IF(I2065="Open",DATE(2025,12,31)-F2065,"-")</f>
        <v>-</v>
      </c>
    </row>
    <row r="2066" customFormat="false" ht="15" hidden="false" customHeight="false" outlineLevel="0" collapsed="false">
      <c r="B2066" s="7" t="s">
        <v>16711</v>
      </c>
      <c r="C2066" s="7" t="s">
        <v>2563</v>
      </c>
      <c r="D2066" s="7" t="s">
        <v>339</v>
      </c>
      <c r="E2066" s="7" t="s">
        <v>154</v>
      </c>
      <c r="F2066" s="39" t="n">
        <v>45763</v>
      </c>
      <c r="G2066" s="41" t="n">
        <v>81.09</v>
      </c>
      <c r="H2066" s="39" t="n">
        <v>45842</v>
      </c>
      <c r="I2066" s="7" t="s">
        <v>14651</v>
      </c>
      <c r="J2066" s="8" t="str">
        <f aca="false">IF(I2066="Open",DATE(2025,12,31)-F2066,"-")</f>
        <v>-</v>
      </c>
    </row>
    <row r="2067" customFormat="false" ht="15" hidden="false" customHeight="false" outlineLevel="0" collapsed="false">
      <c r="B2067" s="7" t="s">
        <v>16712</v>
      </c>
      <c r="C2067" s="7" t="s">
        <v>2564</v>
      </c>
      <c r="D2067" s="7" t="s">
        <v>353</v>
      </c>
      <c r="E2067" s="7" t="s">
        <v>154</v>
      </c>
      <c r="F2067" s="39" t="n">
        <v>45763</v>
      </c>
      <c r="G2067" s="41" t="n">
        <v>89.84</v>
      </c>
      <c r="H2067" s="39" t="n">
        <v>45877</v>
      </c>
      <c r="I2067" s="7" t="s">
        <v>14651</v>
      </c>
      <c r="J2067" s="8" t="str">
        <f aca="false">IF(I2067="Open",DATE(2025,12,31)-F2067,"-")</f>
        <v>-</v>
      </c>
    </row>
    <row r="2068" customFormat="false" ht="15" hidden="false" customHeight="false" outlineLevel="0" collapsed="false">
      <c r="B2068" s="7" t="s">
        <v>16713</v>
      </c>
      <c r="C2068" s="7" t="s">
        <v>2565</v>
      </c>
      <c r="D2068" s="7" t="s">
        <v>355</v>
      </c>
      <c r="E2068" s="7" t="s">
        <v>154</v>
      </c>
      <c r="F2068" s="39" t="n">
        <v>45763</v>
      </c>
      <c r="G2068" s="41" t="n">
        <v>90.63</v>
      </c>
      <c r="H2068" s="39" t="n">
        <v>45819</v>
      </c>
      <c r="I2068" s="7" t="s">
        <v>14651</v>
      </c>
      <c r="J2068" s="8" t="str">
        <f aca="false">IF(I2068="Open",DATE(2025,12,31)-F2068,"-")</f>
        <v>-</v>
      </c>
    </row>
    <row r="2069" customFormat="false" ht="15" hidden="false" customHeight="false" outlineLevel="0" collapsed="false">
      <c r="B2069" s="7" t="s">
        <v>16714</v>
      </c>
      <c r="C2069" s="7" t="s">
        <v>2566</v>
      </c>
      <c r="D2069" s="7" t="s">
        <v>357</v>
      </c>
      <c r="E2069" s="7" t="s">
        <v>154</v>
      </c>
      <c r="F2069" s="39" t="n">
        <v>45763</v>
      </c>
      <c r="G2069" s="41" t="n">
        <v>94.87</v>
      </c>
      <c r="H2069" s="39" t="n">
        <v>45879</v>
      </c>
      <c r="I2069" s="7" t="s">
        <v>14651</v>
      </c>
      <c r="J2069" s="8" t="str">
        <f aca="false">IF(I2069="Open",DATE(2025,12,31)-F2069,"-")</f>
        <v>-</v>
      </c>
    </row>
    <row r="2070" customFormat="false" ht="15" hidden="false" customHeight="false" outlineLevel="0" collapsed="false">
      <c r="B2070" s="7" t="s">
        <v>16715</v>
      </c>
      <c r="C2070" s="7" t="s">
        <v>2567</v>
      </c>
      <c r="D2070" s="7" t="s">
        <v>359</v>
      </c>
      <c r="E2070" s="7" t="s">
        <v>156</v>
      </c>
      <c r="F2070" s="39" t="n">
        <v>45763</v>
      </c>
      <c r="G2070" s="41" t="n">
        <v>142.8</v>
      </c>
      <c r="H2070" s="39" t="n">
        <v>45776</v>
      </c>
      <c r="I2070" s="7" t="s">
        <v>14651</v>
      </c>
      <c r="J2070" s="8" t="str">
        <f aca="false">IF(I2070="Open",DATE(2025,12,31)-F2070,"-")</f>
        <v>-</v>
      </c>
    </row>
    <row r="2071" customFormat="false" ht="15" hidden="false" customHeight="false" outlineLevel="0" collapsed="false">
      <c r="B2071" s="7" t="s">
        <v>16716</v>
      </c>
      <c r="C2071" s="7" t="s">
        <v>2568</v>
      </c>
      <c r="D2071" s="7" t="s">
        <v>371</v>
      </c>
      <c r="E2071" s="7" t="s">
        <v>154</v>
      </c>
      <c r="F2071" s="39" t="n">
        <v>45763</v>
      </c>
      <c r="G2071" s="41" t="n">
        <v>110.53</v>
      </c>
      <c r="H2071" s="39" t="n">
        <v>45793</v>
      </c>
      <c r="I2071" s="7" t="s">
        <v>14651</v>
      </c>
      <c r="J2071" s="8" t="str">
        <f aca="false">IF(I2071="Open",DATE(2025,12,31)-F2071,"-")</f>
        <v>-</v>
      </c>
    </row>
    <row r="2072" customFormat="false" ht="15" hidden="false" customHeight="false" outlineLevel="0" collapsed="false">
      <c r="B2072" s="7" t="s">
        <v>16717</v>
      </c>
      <c r="C2072" s="7" t="s">
        <v>2569</v>
      </c>
      <c r="D2072" s="7" t="s">
        <v>379</v>
      </c>
      <c r="E2072" s="7" t="s">
        <v>156</v>
      </c>
      <c r="F2072" s="39" t="n">
        <v>45763</v>
      </c>
      <c r="G2072" s="41" t="n">
        <v>146.54</v>
      </c>
      <c r="H2072" s="39" t="n">
        <v>45779</v>
      </c>
      <c r="I2072" s="7" t="s">
        <v>14651</v>
      </c>
      <c r="J2072" s="8" t="str">
        <f aca="false">IF(I2072="Open",DATE(2025,12,31)-F2072,"-")</f>
        <v>-</v>
      </c>
    </row>
    <row r="2073" customFormat="false" ht="15" hidden="false" customHeight="false" outlineLevel="0" collapsed="false">
      <c r="B2073" s="7" t="s">
        <v>16718</v>
      </c>
      <c r="C2073" s="7" t="s">
        <v>2570</v>
      </c>
      <c r="D2073" s="7" t="s">
        <v>385</v>
      </c>
      <c r="E2073" s="7" t="s">
        <v>156</v>
      </c>
      <c r="F2073" s="39" t="n">
        <v>45763</v>
      </c>
      <c r="G2073" s="41" t="n">
        <v>141.1</v>
      </c>
      <c r="H2073" s="39" t="n">
        <v>45770</v>
      </c>
      <c r="I2073" s="7" t="s">
        <v>14651</v>
      </c>
      <c r="J2073" s="8" t="str">
        <f aca="false">IF(I2073="Open",DATE(2025,12,31)-F2073,"-")</f>
        <v>-</v>
      </c>
    </row>
    <row r="2074" customFormat="false" ht="15" hidden="false" customHeight="false" outlineLevel="0" collapsed="false">
      <c r="B2074" s="7" t="s">
        <v>16719</v>
      </c>
      <c r="C2074" s="7" t="s">
        <v>2571</v>
      </c>
      <c r="D2074" s="7" t="s">
        <v>389</v>
      </c>
      <c r="E2074" s="7" t="s">
        <v>154</v>
      </c>
      <c r="F2074" s="39" t="n">
        <v>45763</v>
      </c>
      <c r="G2074" s="41" t="n">
        <v>108.12</v>
      </c>
      <c r="H2074" s="39" t="n">
        <v>45798</v>
      </c>
      <c r="I2074" s="7" t="s">
        <v>14651</v>
      </c>
      <c r="J2074" s="8" t="str">
        <f aca="false">IF(I2074="Open",DATE(2025,12,31)-F2074,"-")</f>
        <v>-</v>
      </c>
    </row>
    <row r="2075" customFormat="false" ht="15" hidden="false" customHeight="false" outlineLevel="0" collapsed="false">
      <c r="B2075" s="7" t="s">
        <v>16720</v>
      </c>
      <c r="C2075" s="7" t="s">
        <v>2572</v>
      </c>
      <c r="D2075" s="7" t="s">
        <v>391</v>
      </c>
      <c r="E2075" s="7" t="s">
        <v>156</v>
      </c>
      <c r="F2075" s="39" t="n">
        <v>45763</v>
      </c>
      <c r="G2075" s="41" t="n">
        <v>148.92</v>
      </c>
      <c r="H2075" s="39" t="n">
        <v>45783</v>
      </c>
      <c r="I2075" s="7" t="s">
        <v>14651</v>
      </c>
      <c r="J2075" s="8" t="str">
        <f aca="false">IF(I2075="Open",DATE(2025,12,31)-F2075,"-")</f>
        <v>-</v>
      </c>
    </row>
    <row r="2076" customFormat="false" ht="15" hidden="false" customHeight="false" outlineLevel="0" collapsed="false">
      <c r="B2076" s="7" t="s">
        <v>16721</v>
      </c>
      <c r="C2076" s="7" t="s">
        <v>2573</v>
      </c>
      <c r="D2076" s="7" t="s">
        <v>393</v>
      </c>
      <c r="E2076" s="7" t="s">
        <v>157</v>
      </c>
      <c r="F2076" s="39" t="n">
        <v>45763</v>
      </c>
      <c r="G2076" s="41" t="n">
        <v>171.6</v>
      </c>
      <c r="H2076" s="39" t="n">
        <v>45805</v>
      </c>
      <c r="I2076" s="7" t="s">
        <v>14651</v>
      </c>
      <c r="J2076" s="8" t="str">
        <f aca="false">IF(I2076="Open",DATE(2025,12,31)-F2076,"-")</f>
        <v>-</v>
      </c>
    </row>
    <row r="2077" customFormat="false" ht="15" hidden="false" customHeight="false" outlineLevel="0" collapsed="false">
      <c r="B2077" s="7" t="s">
        <v>16722</v>
      </c>
      <c r="C2077" s="7" t="s">
        <v>2574</v>
      </c>
      <c r="D2077" s="7" t="s">
        <v>399</v>
      </c>
      <c r="E2077" s="7" t="s">
        <v>154</v>
      </c>
      <c r="F2077" s="39" t="n">
        <v>45763</v>
      </c>
      <c r="G2077" s="41" t="n">
        <v>93.81</v>
      </c>
      <c r="H2077" s="39" t="n">
        <v>45851</v>
      </c>
      <c r="I2077" s="7" t="s">
        <v>14651</v>
      </c>
      <c r="J2077" s="8" t="str">
        <f aca="false">IF(I2077="Open",DATE(2025,12,31)-F2077,"-")</f>
        <v>-</v>
      </c>
    </row>
    <row r="2078" customFormat="false" ht="15" hidden="false" customHeight="false" outlineLevel="0" collapsed="false">
      <c r="B2078" s="7" t="s">
        <v>16723</v>
      </c>
      <c r="C2078" s="7" t="s">
        <v>2575</v>
      </c>
      <c r="D2078" s="7" t="s">
        <v>401</v>
      </c>
      <c r="E2078" s="7" t="s">
        <v>156</v>
      </c>
      <c r="F2078" s="39" t="n">
        <v>45763</v>
      </c>
      <c r="G2078" s="41" t="n">
        <v>123.08</v>
      </c>
      <c r="H2078" s="39" t="n">
        <v>45775</v>
      </c>
      <c r="I2078" s="7" t="s">
        <v>14651</v>
      </c>
      <c r="J2078" s="8" t="str">
        <f aca="false">IF(I2078="Open",DATE(2025,12,31)-F2078,"-")</f>
        <v>-</v>
      </c>
    </row>
    <row r="2079" customFormat="false" ht="15" hidden="false" customHeight="false" outlineLevel="0" collapsed="false">
      <c r="B2079" s="7" t="s">
        <v>16724</v>
      </c>
      <c r="C2079" s="7" t="s">
        <v>2576</v>
      </c>
      <c r="D2079" s="7" t="s">
        <v>409</v>
      </c>
      <c r="E2079" s="7" t="s">
        <v>154</v>
      </c>
      <c r="F2079" s="39" t="n">
        <v>45763</v>
      </c>
      <c r="G2079" s="41" t="n">
        <v>83.74</v>
      </c>
      <c r="H2079" s="39" t="n">
        <v>45810</v>
      </c>
      <c r="I2079" s="7" t="s">
        <v>14651</v>
      </c>
      <c r="J2079" s="8" t="str">
        <f aca="false">IF(I2079="Open",DATE(2025,12,31)-F2079,"-")</f>
        <v>-</v>
      </c>
    </row>
    <row r="2080" customFormat="false" ht="15" hidden="false" customHeight="false" outlineLevel="0" collapsed="false">
      <c r="B2080" s="7" t="s">
        <v>16725</v>
      </c>
      <c r="C2080" s="7" t="s">
        <v>2577</v>
      </c>
      <c r="D2080" s="7" t="s">
        <v>411</v>
      </c>
      <c r="E2080" s="7" t="s">
        <v>154</v>
      </c>
      <c r="F2080" s="39" t="n">
        <v>45763</v>
      </c>
      <c r="G2080" s="41" t="n">
        <v>124.55</v>
      </c>
      <c r="H2080" s="39" t="n">
        <v>45846</v>
      </c>
      <c r="I2080" s="7" t="s">
        <v>14651</v>
      </c>
      <c r="J2080" s="8" t="str">
        <f aca="false">IF(I2080="Open",DATE(2025,12,31)-F2080,"-")</f>
        <v>-</v>
      </c>
    </row>
    <row r="2081" customFormat="false" ht="15" hidden="false" customHeight="false" outlineLevel="0" collapsed="false">
      <c r="B2081" s="7" t="s">
        <v>16726</v>
      </c>
      <c r="C2081" s="7" t="s">
        <v>2578</v>
      </c>
      <c r="D2081" s="7" t="s">
        <v>288</v>
      </c>
      <c r="E2081" s="7" t="s">
        <v>156</v>
      </c>
      <c r="F2081" s="39" t="n">
        <v>45764</v>
      </c>
      <c r="G2081" s="41" t="n">
        <v>126.48</v>
      </c>
      <c r="H2081" s="39" t="n">
        <v>45771</v>
      </c>
      <c r="I2081" s="7" t="s">
        <v>14651</v>
      </c>
      <c r="J2081" s="8" t="str">
        <f aca="false">IF(I2081="Open",DATE(2025,12,31)-F2081,"-")</f>
        <v>-</v>
      </c>
    </row>
    <row r="2082" customFormat="false" ht="15" hidden="false" customHeight="false" outlineLevel="0" collapsed="false">
      <c r="B2082" s="7" t="s">
        <v>16727</v>
      </c>
      <c r="C2082" s="7" t="s">
        <v>2579</v>
      </c>
      <c r="D2082" s="7" t="s">
        <v>297</v>
      </c>
      <c r="E2082" s="7" t="s">
        <v>156</v>
      </c>
      <c r="F2082" s="39" t="n">
        <v>45764</v>
      </c>
      <c r="G2082" s="41" t="n">
        <v>110.16</v>
      </c>
      <c r="H2082" s="39" t="n">
        <v>45776</v>
      </c>
      <c r="I2082" s="7" t="s">
        <v>14651</v>
      </c>
      <c r="J2082" s="8" t="str">
        <f aca="false">IF(I2082="Open",DATE(2025,12,31)-F2082,"-")</f>
        <v>-</v>
      </c>
    </row>
    <row r="2083" customFormat="false" ht="15" hidden="false" customHeight="false" outlineLevel="0" collapsed="false">
      <c r="B2083" s="7" t="s">
        <v>16728</v>
      </c>
      <c r="C2083" s="7" t="s">
        <v>2580</v>
      </c>
      <c r="D2083" s="7" t="s">
        <v>313</v>
      </c>
      <c r="E2083" s="7" t="s">
        <v>156</v>
      </c>
      <c r="F2083" s="39" t="n">
        <v>45764</v>
      </c>
      <c r="G2083" s="41" t="n">
        <v>138.38</v>
      </c>
      <c r="H2083" s="39" t="n">
        <v>45772</v>
      </c>
      <c r="I2083" s="7" t="s">
        <v>14651</v>
      </c>
      <c r="J2083" s="8" t="str">
        <f aca="false">IF(I2083="Open",DATE(2025,12,31)-F2083,"-")</f>
        <v>-</v>
      </c>
    </row>
    <row r="2084" customFormat="false" ht="15" hidden="false" customHeight="false" outlineLevel="0" collapsed="false">
      <c r="B2084" s="7" t="s">
        <v>16729</v>
      </c>
      <c r="C2084" s="7" t="s">
        <v>2581</v>
      </c>
      <c r="D2084" s="7" t="s">
        <v>317</v>
      </c>
      <c r="E2084" s="7" t="s">
        <v>156</v>
      </c>
      <c r="F2084" s="39" t="n">
        <v>45764</v>
      </c>
      <c r="G2084" s="41" t="n">
        <v>108.8</v>
      </c>
      <c r="H2084" s="39" t="n">
        <v>45765</v>
      </c>
      <c r="I2084" s="7" t="s">
        <v>14651</v>
      </c>
      <c r="J2084" s="8" t="str">
        <f aca="false">IF(I2084="Open",DATE(2025,12,31)-F2084,"-")</f>
        <v>-</v>
      </c>
    </row>
    <row r="2085" customFormat="false" ht="15" hidden="false" customHeight="false" outlineLevel="0" collapsed="false">
      <c r="B2085" s="7" t="s">
        <v>16730</v>
      </c>
      <c r="C2085" s="7" t="s">
        <v>2582</v>
      </c>
      <c r="D2085" s="7" t="s">
        <v>321</v>
      </c>
      <c r="E2085" s="7" t="s">
        <v>154</v>
      </c>
      <c r="F2085" s="39" t="n">
        <v>45764</v>
      </c>
      <c r="G2085" s="41" t="n">
        <v>108.65</v>
      </c>
      <c r="H2085" s="39" t="n">
        <v>45811</v>
      </c>
      <c r="I2085" s="7" t="s">
        <v>14651</v>
      </c>
      <c r="J2085" s="8" t="str">
        <f aca="false">IF(I2085="Open",DATE(2025,12,31)-F2085,"-")</f>
        <v>-</v>
      </c>
    </row>
    <row r="2086" customFormat="false" ht="15" hidden="false" customHeight="false" outlineLevel="0" collapsed="false">
      <c r="B2086" s="7" t="s">
        <v>16731</v>
      </c>
      <c r="C2086" s="7" t="s">
        <v>2583</v>
      </c>
      <c r="D2086" s="7" t="s">
        <v>325</v>
      </c>
      <c r="E2086" s="7" t="s">
        <v>154</v>
      </c>
      <c r="F2086" s="39" t="n">
        <v>45764</v>
      </c>
      <c r="G2086" s="41" t="n">
        <v>85.06</v>
      </c>
      <c r="H2086" s="39" t="n">
        <v>45880</v>
      </c>
      <c r="I2086" s="7" t="s">
        <v>14651</v>
      </c>
      <c r="J2086" s="8" t="str">
        <f aca="false">IF(I2086="Open",DATE(2025,12,31)-F2086,"-")</f>
        <v>-</v>
      </c>
    </row>
    <row r="2087" customFormat="false" ht="15" hidden="false" customHeight="false" outlineLevel="0" collapsed="false">
      <c r="B2087" s="7" t="s">
        <v>16732</v>
      </c>
      <c r="C2087" s="7" t="s">
        <v>2584</v>
      </c>
      <c r="D2087" s="7" t="s">
        <v>329</v>
      </c>
      <c r="E2087" s="7" t="s">
        <v>156</v>
      </c>
      <c r="F2087" s="39" t="n">
        <v>45764</v>
      </c>
      <c r="G2087" s="41" t="n">
        <v>137.36</v>
      </c>
      <c r="H2087" s="39" t="n">
        <v>45774</v>
      </c>
      <c r="I2087" s="7" t="s">
        <v>14651</v>
      </c>
      <c r="J2087" s="8" t="str">
        <f aca="false">IF(I2087="Open",DATE(2025,12,31)-F2087,"-")</f>
        <v>-</v>
      </c>
    </row>
    <row r="2088" customFormat="false" ht="15" hidden="false" customHeight="false" outlineLevel="0" collapsed="false">
      <c r="B2088" s="7" t="s">
        <v>16733</v>
      </c>
      <c r="C2088" s="7" t="s">
        <v>2585</v>
      </c>
      <c r="D2088" s="7" t="s">
        <v>331</v>
      </c>
      <c r="E2088" s="7" t="s">
        <v>156</v>
      </c>
      <c r="F2088" s="39" t="n">
        <v>45764</v>
      </c>
      <c r="G2088" s="41" t="n">
        <v>135.66</v>
      </c>
      <c r="H2088" s="39" t="n">
        <v>45778</v>
      </c>
      <c r="I2088" s="7" t="s">
        <v>14651</v>
      </c>
      <c r="J2088" s="8" t="str">
        <f aca="false">IF(I2088="Open",DATE(2025,12,31)-F2088,"-")</f>
        <v>-</v>
      </c>
    </row>
    <row r="2089" customFormat="false" ht="15" hidden="false" customHeight="false" outlineLevel="0" collapsed="false">
      <c r="B2089" s="7" t="s">
        <v>16734</v>
      </c>
      <c r="C2089" s="7" t="s">
        <v>2586</v>
      </c>
      <c r="D2089" s="7" t="s">
        <v>337</v>
      </c>
      <c r="E2089" s="7" t="s">
        <v>154</v>
      </c>
      <c r="F2089" s="39" t="n">
        <v>45764</v>
      </c>
      <c r="G2089" s="41" t="n">
        <v>82.41</v>
      </c>
      <c r="H2089" s="39" t="n">
        <v>45833</v>
      </c>
      <c r="I2089" s="7" t="s">
        <v>14651</v>
      </c>
      <c r="J2089" s="8" t="str">
        <f aca="false">IF(I2089="Open",DATE(2025,12,31)-F2089,"-")</f>
        <v>-</v>
      </c>
    </row>
    <row r="2090" customFormat="false" ht="15" hidden="false" customHeight="false" outlineLevel="0" collapsed="false">
      <c r="B2090" s="7" t="s">
        <v>16735</v>
      </c>
      <c r="C2090" s="7" t="s">
        <v>2587</v>
      </c>
      <c r="D2090" s="7" t="s">
        <v>341</v>
      </c>
      <c r="E2090" s="7" t="s">
        <v>156</v>
      </c>
      <c r="F2090" s="39" t="n">
        <v>45764</v>
      </c>
      <c r="G2090" s="41" t="n">
        <v>106.42</v>
      </c>
      <c r="H2090" s="39" t="n">
        <v>45775</v>
      </c>
      <c r="I2090" s="7" t="s">
        <v>14651</v>
      </c>
      <c r="J2090" s="8" t="str">
        <f aca="false">IF(I2090="Open",DATE(2025,12,31)-F2090,"-")</f>
        <v>-</v>
      </c>
    </row>
    <row r="2091" customFormat="false" ht="15" hidden="false" customHeight="false" outlineLevel="0" collapsed="false">
      <c r="B2091" s="7" t="s">
        <v>16736</v>
      </c>
      <c r="C2091" s="7" t="s">
        <v>2588</v>
      </c>
      <c r="D2091" s="7" t="s">
        <v>343</v>
      </c>
      <c r="E2091" s="7" t="s">
        <v>154</v>
      </c>
      <c r="F2091" s="39" t="n">
        <v>45764</v>
      </c>
      <c r="G2091" s="41" t="n">
        <v>102.03</v>
      </c>
      <c r="H2091" s="39" t="n">
        <v>45806</v>
      </c>
      <c r="I2091" s="7" t="s">
        <v>14651</v>
      </c>
      <c r="J2091" s="8" t="str">
        <f aca="false">IF(I2091="Open",DATE(2025,12,31)-F2091,"-")</f>
        <v>-</v>
      </c>
    </row>
    <row r="2092" customFormat="false" ht="15" hidden="false" customHeight="false" outlineLevel="0" collapsed="false">
      <c r="B2092" s="7" t="s">
        <v>16737</v>
      </c>
      <c r="C2092" s="7" t="s">
        <v>2589</v>
      </c>
      <c r="D2092" s="7" t="s">
        <v>351</v>
      </c>
      <c r="E2092" s="7" t="s">
        <v>154</v>
      </c>
      <c r="F2092" s="39" t="n">
        <v>45764</v>
      </c>
      <c r="G2092" s="41" t="n">
        <v>78.18</v>
      </c>
      <c r="H2092" s="39" t="n">
        <v>45842</v>
      </c>
      <c r="I2092" s="7" t="s">
        <v>14651</v>
      </c>
      <c r="J2092" s="8" t="str">
        <f aca="false">IF(I2092="Open",DATE(2025,12,31)-F2092,"-")</f>
        <v>-</v>
      </c>
    </row>
    <row r="2093" customFormat="false" ht="15" hidden="false" customHeight="false" outlineLevel="0" collapsed="false">
      <c r="B2093" s="7" t="s">
        <v>16738</v>
      </c>
      <c r="C2093" s="7" t="s">
        <v>2590</v>
      </c>
      <c r="D2093" s="7" t="s">
        <v>359</v>
      </c>
      <c r="E2093" s="7" t="s">
        <v>156</v>
      </c>
      <c r="F2093" s="39" t="n">
        <v>45764</v>
      </c>
      <c r="G2093" s="41" t="n">
        <v>147.9</v>
      </c>
      <c r="H2093" s="39" t="n">
        <v>45778</v>
      </c>
      <c r="I2093" s="7" t="s">
        <v>14651</v>
      </c>
      <c r="J2093" s="8" t="str">
        <f aca="false">IF(I2093="Open",DATE(2025,12,31)-F2093,"-")</f>
        <v>-</v>
      </c>
    </row>
    <row r="2094" customFormat="false" ht="15" hidden="false" customHeight="false" outlineLevel="0" collapsed="false">
      <c r="B2094" s="7" t="s">
        <v>16739</v>
      </c>
      <c r="C2094" s="7" t="s">
        <v>2591</v>
      </c>
      <c r="D2094" s="7" t="s">
        <v>363</v>
      </c>
      <c r="E2094" s="7" t="s">
        <v>156</v>
      </c>
      <c r="F2094" s="39" t="n">
        <v>45764</v>
      </c>
      <c r="G2094" s="41" t="n">
        <v>123.08</v>
      </c>
      <c r="H2094" s="39" t="n">
        <v>45785</v>
      </c>
      <c r="I2094" s="7" t="s">
        <v>14651</v>
      </c>
      <c r="J2094" s="8" t="str">
        <f aca="false">IF(I2094="Open",DATE(2025,12,31)-F2094,"-")</f>
        <v>-</v>
      </c>
    </row>
    <row r="2095" customFormat="false" ht="15" hidden="false" customHeight="false" outlineLevel="0" collapsed="false">
      <c r="B2095" s="7" t="s">
        <v>16740</v>
      </c>
      <c r="C2095" s="7" t="s">
        <v>2592</v>
      </c>
      <c r="D2095" s="7" t="s">
        <v>375</v>
      </c>
      <c r="E2095" s="7" t="s">
        <v>156</v>
      </c>
      <c r="F2095" s="39" t="n">
        <v>45764</v>
      </c>
      <c r="G2095" s="41" t="n">
        <v>98.94</v>
      </c>
      <c r="H2095" s="39" t="n">
        <v>45765</v>
      </c>
      <c r="I2095" s="7" t="s">
        <v>14651</v>
      </c>
      <c r="J2095" s="8" t="str">
        <f aca="false">IF(I2095="Open",DATE(2025,12,31)-F2095,"-")</f>
        <v>-</v>
      </c>
    </row>
    <row r="2096" customFormat="false" ht="15" hidden="false" customHeight="false" outlineLevel="0" collapsed="false">
      <c r="B2096" s="7" t="s">
        <v>16741</v>
      </c>
      <c r="C2096" s="7" t="s">
        <v>2593</v>
      </c>
      <c r="D2096" s="7" t="s">
        <v>377</v>
      </c>
      <c r="E2096" s="7" t="s">
        <v>154</v>
      </c>
      <c r="F2096" s="39" t="n">
        <v>45764</v>
      </c>
      <c r="G2096" s="41" t="n">
        <v>114.75</v>
      </c>
      <c r="H2096" s="39" t="n">
        <v>45817</v>
      </c>
      <c r="I2096" s="7" t="s">
        <v>14651</v>
      </c>
      <c r="J2096" s="8" t="str">
        <f aca="false">IF(I2096="Open",DATE(2025,12,31)-F2096,"-")</f>
        <v>-</v>
      </c>
    </row>
    <row r="2097" customFormat="false" ht="15" hidden="false" customHeight="false" outlineLevel="0" collapsed="false">
      <c r="B2097" s="7" t="s">
        <v>16742</v>
      </c>
      <c r="C2097" s="7" t="s">
        <v>2594</v>
      </c>
      <c r="D2097" s="7" t="s">
        <v>389</v>
      </c>
      <c r="E2097" s="7" t="s">
        <v>154</v>
      </c>
      <c r="F2097" s="39" t="n">
        <v>45764</v>
      </c>
      <c r="G2097" s="41" t="n">
        <v>109.76</v>
      </c>
      <c r="H2097" s="39" t="n">
        <v>45885</v>
      </c>
      <c r="I2097" s="7" t="s">
        <v>14651</v>
      </c>
      <c r="J2097" s="8" t="str">
        <f aca="false">IF(I2097="Open",DATE(2025,12,31)-F2097,"-")</f>
        <v>-</v>
      </c>
    </row>
    <row r="2098" customFormat="false" ht="15" hidden="false" customHeight="false" outlineLevel="0" collapsed="false">
      <c r="B2098" s="7" t="s">
        <v>16743</v>
      </c>
      <c r="C2098" s="7" t="s">
        <v>2595</v>
      </c>
      <c r="D2098" s="7" t="s">
        <v>391</v>
      </c>
      <c r="E2098" s="7" t="s">
        <v>156</v>
      </c>
      <c r="F2098" s="39" t="n">
        <v>45764</v>
      </c>
      <c r="G2098" s="41" t="n">
        <v>130.22</v>
      </c>
      <c r="H2098" s="39" t="n">
        <v>45776</v>
      </c>
      <c r="I2098" s="7" t="s">
        <v>14651</v>
      </c>
      <c r="J2098" s="8" t="str">
        <f aca="false">IF(I2098="Open",DATE(2025,12,31)-F2098,"-")</f>
        <v>-</v>
      </c>
    </row>
    <row r="2099" customFormat="false" ht="15" hidden="false" customHeight="false" outlineLevel="0" collapsed="false">
      <c r="B2099" s="7" t="s">
        <v>16744</v>
      </c>
      <c r="C2099" s="7" t="s">
        <v>2596</v>
      </c>
      <c r="D2099" s="7" t="s">
        <v>395</v>
      </c>
      <c r="E2099" s="7" t="s">
        <v>156</v>
      </c>
      <c r="F2099" s="39" t="n">
        <v>45764</v>
      </c>
      <c r="G2099" s="41" t="n">
        <v>145.18</v>
      </c>
      <c r="H2099" s="39" t="n">
        <v>45779</v>
      </c>
      <c r="I2099" s="7" t="s">
        <v>14651</v>
      </c>
      <c r="J2099" s="8" t="str">
        <f aca="false">IF(I2099="Open",DATE(2025,12,31)-F2099,"-")</f>
        <v>-</v>
      </c>
    </row>
    <row r="2100" customFormat="false" ht="15" hidden="false" customHeight="false" outlineLevel="0" collapsed="false">
      <c r="B2100" s="7" t="s">
        <v>16745</v>
      </c>
      <c r="C2100" s="7" t="s">
        <v>2597</v>
      </c>
      <c r="D2100" s="7" t="s">
        <v>401</v>
      </c>
      <c r="E2100" s="7" t="s">
        <v>156</v>
      </c>
      <c r="F2100" s="39" t="n">
        <v>45764</v>
      </c>
      <c r="G2100" s="41" t="n">
        <v>144.16</v>
      </c>
      <c r="H2100" s="39" t="n">
        <v>45773</v>
      </c>
      <c r="I2100" s="7" t="s">
        <v>14651</v>
      </c>
      <c r="J2100" s="8" t="str">
        <f aca="false">IF(I2100="Open",DATE(2025,12,31)-F2100,"-")</f>
        <v>-</v>
      </c>
    </row>
    <row r="2101" customFormat="false" ht="15" hidden="false" customHeight="false" outlineLevel="0" collapsed="false">
      <c r="B2101" s="7" t="s">
        <v>16746</v>
      </c>
      <c r="C2101" s="7" t="s">
        <v>2598</v>
      </c>
      <c r="D2101" s="7" t="s">
        <v>280</v>
      </c>
      <c r="E2101" s="7" t="s">
        <v>157</v>
      </c>
      <c r="F2101" s="39" t="n">
        <v>45765</v>
      </c>
      <c r="G2101" s="41" t="n">
        <v>168.3</v>
      </c>
      <c r="H2101" s="39" t="n">
        <v>45814</v>
      </c>
      <c r="I2101" s="7" t="s">
        <v>14651</v>
      </c>
      <c r="J2101" s="8" t="str">
        <f aca="false">IF(I2101="Open",DATE(2025,12,31)-F2101,"-")</f>
        <v>-</v>
      </c>
    </row>
    <row r="2102" customFormat="false" ht="15" hidden="false" customHeight="false" outlineLevel="0" collapsed="false">
      <c r="B2102" s="7" t="s">
        <v>16747</v>
      </c>
      <c r="C2102" s="7" t="s">
        <v>2599</v>
      </c>
      <c r="D2102" s="7" t="s">
        <v>288</v>
      </c>
      <c r="E2102" s="7" t="s">
        <v>156</v>
      </c>
      <c r="F2102" s="39" t="n">
        <v>45765</v>
      </c>
      <c r="G2102" s="41" t="n">
        <v>140.42</v>
      </c>
      <c r="H2102" s="39" t="n">
        <v>45772</v>
      </c>
      <c r="I2102" s="7" t="s">
        <v>14651</v>
      </c>
      <c r="J2102" s="8" t="str">
        <f aca="false">IF(I2102="Open",DATE(2025,12,31)-F2102,"-")</f>
        <v>-</v>
      </c>
    </row>
    <row r="2103" customFormat="false" ht="15" hidden="false" customHeight="false" outlineLevel="0" collapsed="false">
      <c r="B2103" s="7" t="s">
        <v>16748</v>
      </c>
      <c r="C2103" s="7" t="s">
        <v>2600</v>
      </c>
      <c r="D2103" s="7" t="s">
        <v>291</v>
      </c>
      <c r="E2103" s="7" t="s">
        <v>154</v>
      </c>
      <c r="F2103" s="39" t="n">
        <v>45765</v>
      </c>
      <c r="G2103" s="41" t="n">
        <v>126.4</v>
      </c>
      <c r="H2103" s="39" t="n">
        <v>45815</v>
      </c>
      <c r="I2103" s="7" t="s">
        <v>14651</v>
      </c>
      <c r="J2103" s="8" t="str">
        <f aca="false">IF(I2103="Open",DATE(2025,12,31)-F2103,"-")</f>
        <v>-</v>
      </c>
    </row>
    <row r="2104" customFormat="false" ht="15" hidden="false" customHeight="false" outlineLevel="0" collapsed="false">
      <c r="B2104" s="7" t="s">
        <v>16749</v>
      </c>
      <c r="C2104" s="7" t="s">
        <v>2601</v>
      </c>
      <c r="D2104" s="7" t="s">
        <v>301</v>
      </c>
      <c r="E2104" s="7" t="s">
        <v>157</v>
      </c>
      <c r="F2104" s="39" t="n">
        <v>45765</v>
      </c>
      <c r="G2104" s="41" t="n">
        <v>181.5</v>
      </c>
      <c r="H2104" s="39" t="n">
        <v>45795</v>
      </c>
      <c r="I2104" s="7" t="s">
        <v>14651</v>
      </c>
      <c r="J2104" s="8" t="str">
        <f aca="false">IF(I2104="Open",DATE(2025,12,31)-F2104,"-")</f>
        <v>-</v>
      </c>
    </row>
    <row r="2105" customFormat="false" ht="15" hidden="false" customHeight="false" outlineLevel="0" collapsed="false">
      <c r="B2105" s="7" t="s">
        <v>16750</v>
      </c>
      <c r="C2105" s="7" t="s">
        <v>2602</v>
      </c>
      <c r="D2105" s="7" t="s">
        <v>307</v>
      </c>
      <c r="E2105" s="7" t="s">
        <v>157</v>
      </c>
      <c r="F2105" s="39" t="n">
        <v>45765</v>
      </c>
      <c r="G2105" s="41" t="n">
        <v>160.05</v>
      </c>
      <c r="H2105" s="39" t="n">
        <v>45836</v>
      </c>
      <c r="I2105" s="7" t="s">
        <v>14651</v>
      </c>
      <c r="J2105" s="8" t="str">
        <f aca="false">IF(I2105="Open",DATE(2025,12,31)-F2105,"-")</f>
        <v>-</v>
      </c>
    </row>
    <row r="2106" customFormat="false" ht="15" hidden="false" customHeight="false" outlineLevel="0" collapsed="false">
      <c r="B2106" s="7" t="s">
        <v>16751</v>
      </c>
      <c r="C2106" s="7" t="s">
        <v>2603</v>
      </c>
      <c r="D2106" s="7" t="s">
        <v>309</v>
      </c>
      <c r="E2106" s="7" t="s">
        <v>159</v>
      </c>
      <c r="F2106" s="39" t="n">
        <v>45765</v>
      </c>
      <c r="G2106" s="41" t="n">
        <v>135.54</v>
      </c>
      <c r="H2106" s="39" t="n">
        <v>45814</v>
      </c>
      <c r="I2106" s="7" t="s">
        <v>14651</v>
      </c>
      <c r="J2106" s="8" t="str">
        <f aca="false">IF(I2106="Open",DATE(2025,12,31)-F2106,"-")</f>
        <v>-</v>
      </c>
    </row>
    <row r="2107" customFormat="false" ht="15" hidden="false" customHeight="false" outlineLevel="0" collapsed="false">
      <c r="B2107" s="7" t="s">
        <v>16752</v>
      </c>
      <c r="C2107" s="7" t="s">
        <v>2604</v>
      </c>
      <c r="D2107" s="7" t="s">
        <v>313</v>
      </c>
      <c r="E2107" s="7" t="s">
        <v>156</v>
      </c>
      <c r="F2107" s="39" t="n">
        <v>45765</v>
      </c>
      <c r="G2107" s="41" t="n">
        <v>133.96</v>
      </c>
      <c r="H2107" s="39" t="n">
        <v>45786</v>
      </c>
      <c r="I2107" s="7" t="s">
        <v>14651</v>
      </c>
      <c r="J2107" s="8" t="str">
        <f aca="false">IF(I2107="Open",DATE(2025,12,31)-F2107,"-")</f>
        <v>-</v>
      </c>
    </row>
    <row r="2108" customFormat="false" ht="15" hidden="false" customHeight="false" outlineLevel="0" collapsed="false">
      <c r="B2108" s="7" t="s">
        <v>16753</v>
      </c>
      <c r="C2108" s="7" t="s">
        <v>2605</v>
      </c>
      <c r="D2108" s="7" t="s">
        <v>319</v>
      </c>
      <c r="E2108" s="7" t="s">
        <v>157</v>
      </c>
      <c r="F2108" s="39" t="n">
        <v>45765</v>
      </c>
      <c r="G2108" s="41" t="n">
        <v>155.1</v>
      </c>
      <c r="H2108" s="39" t="n">
        <v>45836</v>
      </c>
      <c r="I2108" s="7" t="s">
        <v>14651</v>
      </c>
      <c r="J2108" s="8" t="str">
        <f aca="false">IF(I2108="Open",DATE(2025,12,31)-F2108,"-")</f>
        <v>-</v>
      </c>
    </row>
    <row r="2109" customFormat="false" ht="15" hidden="false" customHeight="false" outlineLevel="0" collapsed="false">
      <c r="B2109" s="7" t="s">
        <v>16754</v>
      </c>
      <c r="C2109" s="7" t="s">
        <v>2606</v>
      </c>
      <c r="D2109" s="7" t="s">
        <v>321</v>
      </c>
      <c r="E2109" s="7" t="s">
        <v>154</v>
      </c>
      <c r="F2109" s="39" t="n">
        <v>45765</v>
      </c>
      <c r="G2109" s="41" t="n">
        <v>102.82</v>
      </c>
      <c r="H2109" s="39" t="n">
        <v>45800</v>
      </c>
      <c r="I2109" s="7" t="s">
        <v>14651</v>
      </c>
      <c r="J2109" s="8" t="str">
        <f aca="false">IF(I2109="Open",DATE(2025,12,31)-F2109,"-")</f>
        <v>-</v>
      </c>
    </row>
    <row r="2110" customFormat="false" ht="15" hidden="false" customHeight="false" outlineLevel="0" collapsed="false">
      <c r="B2110" s="7" t="s">
        <v>16755</v>
      </c>
      <c r="C2110" s="7" t="s">
        <v>2607</v>
      </c>
      <c r="D2110" s="7" t="s">
        <v>323</v>
      </c>
      <c r="E2110" s="7" t="s">
        <v>159</v>
      </c>
      <c r="F2110" s="39" t="n">
        <v>45765</v>
      </c>
      <c r="G2110" s="41" t="n">
        <v>128.25</v>
      </c>
      <c r="H2110" s="39" t="n">
        <v>45874</v>
      </c>
      <c r="I2110" s="7" t="s">
        <v>14651</v>
      </c>
      <c r="J2110" s="8" t="str">
        <f aca="false">IF(I2110="Open",DATE(2025,12,31)-F2110,"-")</f>
        <v>-</v>
      </c>
    </row>
    <row r="2111" customFormat="false" ht="15" hidden="false" customHeight="false" outlineLevel="0" collapsed="false">
      <c r="B2111" s="7" t="s">
        <v>16756</v>
      </c>
      <c r="C2111" s="7" t="s">
        <v>2608</v>
      </c>
      <c r="D2111" s="7" t="s">
        <v>327</v>
      </c>
      <c r="E2111" s="7" t="s">
        <v>157</v>
      </c>
      <c r="F2111" s="39" t="n">
        <v>45765</v>
      </c>
      <c r="G2111" s="41" t="n">
        <v>165</v>
      </c>
      <c r="H2111" s="39" t="n">
        <v>45795</v>
      </c>
      <c r="I2111" s="7" t="s">
        <v>14651</v>
      </c>
      <c r="J2111" s="8" t="str">
        <f aca="false">IF(I2111="Open",DATE(2025,12,31)-F2111,"-")</f>
        <v>-</v>
      </c>
    </row>
    <row r="2112" customFormat="false" ht="15" hidden="false" customHeight="false" outlineLevel="0" collapsed="false">
      <c r="B2112" s="7" t="s">
        <v>16757</v>
      </c>
      <c r="C2112" s="7" t="s">
        <v>2609</v>
      </c>
      <c r="D2112" s="7" t="s">
        <v>329</v>
      </c>
      <c r="E2112" s="7" t="s">
        <v>156</v>
      </c>
      <c r="F2112" s="39" t="n">
        <v>45765</v>
      </c>
      <c r="G2112" s="41" t="n">
        <v>147.56</v>
      </c>
      <c r="H2112" s="39" t="n">
        <v>45779</v>
      </c>
      <c r="I2112" s="7" t="s">
        <v>14651</v>
      </c>
      <c r="J2112" s="8" t="str">
        <f aca="false">IF(I2112="Open",DATE(2025,12,31)-F2112,"-")</f>
        <v>-</v>
      </c>
    </row>
    <row r="2113" customFormat="false" ht="15" hidden="false" customHeight="false" outlineLevel="0" collapsed="false">
      <c r="B2113" s="7" t="s">
        <v>16758</v>
      </c>
      <c r="C2113" s="7" t="s">
        <v>2610</v>
      </c>
      <c r="D2113" s="7" t="s">
        <v>335</v>
      </c>
      <c r="E2113" s="7" t="s">
        <v>154</v>
      </c>
      <c r="F2113" s="39" t="n">
        <v>45765</v>
      </c>
      <c r="G2113" s="41" t="n">
        <v>109.76</v>
      </c>
      <c r="H2113" s="39" t="n">
        <v>45839</v>
      </c>
      <c r="I2113" s="7" t="s">
        <v>14651</v>
      </c>
      <c r="J2113" s="8" t="str">
        <f aca="false">IF(I2113="Open",DATE(2025,12,31)-F2113,"-")</f>
        <v>-</v>
      </c>
    </row>
    <row r="2114" customFormat="false" ht="15" hidden="false" customHeight="false" outlineLevel="0" collapsed="false">
      <c r="B2114" s="7" t="s">
        <v>16759</v>
      </c>
      <c r="C2114" s="7" t="s">
        <v>2611</v>
      </c>
      <c r="D2114" s="7" t="s">
        <v>339</v>
      </c>
      <c r="E2114" s="7" t="s">
        <v>154</v>
      </c>
      <c r="F2114" s="39" t="n">
        <v>45765</v>
      </c>
      <c r="G2114" s="41" t="n">
        <v>90.37</v>
      </c>
      <c r="H2114" s="39" t="n">
        <v>45875</v>
      </c>
      <c r="I2114" s="7" t="s">
        <v>14651</v>
      </c>
      <c r="J2114" s="8" t="str">
        <f aca="false">IF(I2114="Open",DATE(2025,12,31)-F2114,"-")</f>
        <v>-</v>
      </c>
    </row>
    <row r="2115" customFormat="false" ht="15" hidden="false" customHeight="false" outlineLevel="0" collapsed="false">
      <c r="B2115" s="7" t="s">
        <v>16760</v>
      </c>
      <c r="C2115" s="7" t="s">
        <v>2612</v>
      </c>
      <c r="D2115" s="7" t="s">
        <v>353</v>
      </c>
      <c r="E2115" s="7" t="s">
        <v>154</v>
      </c>
      <c r="F2115" s="39" t="n">
        <v>45765</v>
      </c>
      <c r="G2115" s="41" t="n">
        <v>91.27</v>
      </c>
      <c r="H2115" s="39" t="n">
        <v>45824</v>
      </c>
      <c r="I2115" s="7" t="s">
        <v>14651</v>
      </c>
      <c r="J2115" s="8" t="str">
        <f aca="false">IF(I2115="Open",DATE(2025,12,31)-F2115,"-")</f>
        <v>-</v>
      </c>
    </row>
    <row r="2116" customFormat="false" ht="15" hidden="false" customHeight="false" outlineLevel="0" collapsed="false">
      <c r="B2116" s="7" t="s">
        <v>16761</v>
      </c>
      <c r="C2116" s="7" t="s">
        <v>2613</v>
      </c>
      <c r="D2116" s="7" t="s">
        <v>355</v>
      </c>
      <c r="E2116" s="7" t="s">
        <v>154</v>
      </c>
      <c r="F2116" s="39" t="n">
        <v>45765</v>
      </c>
      <c r="G2116" s="41" t="n">
        <v>90.63</v>
      </c>
      <c r="H2116" s="39" t="n">
        <v>45814</v>
      </c>
      <c r="I2116" s="7" t="s">
        <v>14651</v>
      </c>
      <c r="J2116" s="8" t="str">
        <f aca="false">IF(I2116="Open",DATE(2025,12,31)-F2116,"-")</f>
        <v>-</v>
      </c>
    </row>
    <row r="2117" customFormat="false" ht="15" hidden="false" customHeight="false" outlineLevel="0" collapsed="false">
      <c r="B2117" s="7" t="s">
        <v>16762</v>
      </c>
      <c r="C2117" s="7" t="s">
        <v>2614</v>
      </c>
      <c r="D2117" s="7" t="s">
        <v>357</v>
      </c>
      <c r="E2117" s="7" t="s">
        <v>154</v>
      </c>
      <c r="F2117" s="39" t="n">
        <v>45765</v>
      </c>
      <c r="G2117" s="41" t="n">
        <v>82.15</v>
      </c>
      <c r="H2117" s="39" t="n">
        <v>45804</v>
      </c>
      <c r="I2117" s="7" t="s">
        <v>14651</v>
      </c>
      <c r="J2117" s="8" t="str">
        <f aca="false">IF(I2117="Open",DATE(2025,12,31)-F2117,"-")</f>
        <v>-</v>
      </c>
    </row>
    <row r="2118" customFormat="false" ht="15" hidden="false" customHeight="false" outlineLevel="0" collapsed="false">
      <c r="B2118" s="7" t="s">
        <v>16763</v>
      </c>
      <c r="C2118" s="7" t="s">
        <v>2615</v>
      </c>
      <c r="D2118" s="7" t="s">
        <v>359</v>
      </c>
      <c r="E2118" s="7" t="s">
        <v>156</v>
      </c>
      <c r="F2118" s="39" t="n">
        <v>45765</v>
      </c>
      <c r="G2118" s="41" t="n">
        <v>136</v>
      </c>
      <c r="H2118" s="39" t="n">
        <v>45767</v>
      </c>
      <c r="I2118" s="7" t="s">
        <v>14651</v>
      </c>
      <c r="J2118" s="8" t="str">
        <f aca="false">IF(I2118="Open",DATE(2025,12,31)-F2118,"-")</f>
        <v>-</v>
      </c>
    </row>
    <row r="2119" customFormat="false" ht="15" hidden="false" customHeight="false" outlineLevel="0" collapsed="false">
      <c r="B2119" s="7" t="s">
        <v>16764</v>
      </c>
      <c r="C2119" s="7" t="s">
        <v>2616</v>
      </c>
      <c r="D2119" s="7" t="s">
        <v>361</v>
      </c>
      <c r="E2119" s="7" t="s">
        <v>157</v>
      </c>
      <c r="F2119" s="39" t="n">
        <v>45765</v>
      </c>
      <c r="G2119" s="41" t="n">
        <v>161.37</v>
      </c>
      <c r="H2119" s="39" t="n">
        <v>45784</v>
      </c>
      <c r="I2119" s="7" t="s">
        <v>14651</v>
      </c>
      <c r="J2119" s="8" t="str">
        <f aca="false">IF(I2119="Open",DATE(2025,12,31)-F2119,"-")</f>
        <v>-</v>
      </c>
    </row>
    <row r="2120" customFormat="false" ht="15" hidden="false" customHeight="false" outlineLevel="0" collapsed="false">
      <c r="B2120" s="7" t="s">
        <v>16765</v>
      </c>
      <c r="C2120" s="7" t="s">
        <v>2617</v>
      </c>
      <c r="D2120" s="7" t="s">
        <v>365</v>
      </c>
      <c r="E2120" s="7" t="s">
        <v>154</v>
      </c>
      <c r="F2120" s="39" t="n">
        <v>45765</v>
      </c>
      <c r="G2120" s="41" t="n">
        <v>113.42</v>
      </c>
      <c r="H2120" s="39" t="n">
        <v>45807</v>
      </c>
      <c r="I2120" s="7" t="s">
        <v>14651</v>
      </c>
      <c r="J2120" s="8" t="str">
        <f aca="false">IF(I2120="Open",DATE(2025,12,31)-F2120,"-")</f>
        <v>-</v>
      </c>
    </row>
    <row r="2121" customFormat="false" ht="15" hidden="false" customHeight="false" outlineLevel="0" collapsed="false">
      <c r="B2121" s="7" t="s">
        <v>16766</v>
      </c>
      <c r="C2121" s="7" t="s">
        <v>2618</v>
      </c>
      <c r="D2121" s="7" t="s">
        <v>371</v>
      </c>
      <c r="E2121" s="7" t="s">
        <v>154</v>
      </c>
      <c r="F2121" s="39" t="n">
        <v>45765</v>
      </c>
      <c r="G2121" s="41" t="n">
        <v>130.38</v>
      </c>
      <c r="H2121" s="39" t="n">
        <v>45807</v>
      </c>
      <c r="I2121" s="7" t="s">
        <v>14651</v>
      </c>
      <c r="J2121" s="8" t="str">
        <f aca="false">IF(I2121="Open",DATE(2025,12,31)-F2121,"-")</f>
        <v>-</v>
      </c>
    </row>
    <row r="2122" customFormat="false" ht="15" hidden="false" customHeight="false" outlineLevel="0" collapsed="false">
      <c r="B2122" s="7" t="s">
        <v>16767</v>
      </c>
      <c r="C2122" s="7" t="s">
        <v>2619</v>
      </c>
      <c r="D2122" s="7" t="s">
        <v>379</v>
      </c>
      <c r="E2122" s="7" t="s">
        <v>156</v>
      </c>
      <c r="F2122" s="39" t="n">
        <v>45765</v>
      </c>
      <c r="G2122" s="41" t="n">
        <v>153.68</v>
      </c>
      <c r="H2122" s="39" t="n">
        <v>45784</v>
      </c>
      <c r="I2122" s="7" t="s">
        <v>14651</v>
      </c>
      <c r="J2122" s="8" t="str">
        <f aca="false">IF(I2122="Open",DATE(2025,12,31)-F2122,"-")</f>
        <v>-</v>
      </c>
    </row>
    <row r="2123" customFormat="false" ht="15" hidden="false" customHeight="false" outlineLevel="0" collapsed="false">
      <c r="B2123" s="7" t="s">
        <v>16768</v>
      </c>
      <c r="C2123" s="7" t="s">
        <v>2620</v>
      </c>
      <c r="D2123" s="7" t="s">
        <v>381</v>
      </c>
      <c r="E2123" s="7" t="s">
        <v>157</v>
      </c>
      <c r="F2123" s="39" t="n">
        <v>45765</v>
      </c>
      <c r="G2123" s="41" t="n">
        <v>160.05</v>
      </c>
      <c r="H2123" s="39" t="n">
        <v>45801</v>
      </c>
      <c r="I2123" s="7" t="s">
        <v>14651</v>
      </c>
      <c r="J2123" s="8" t="str">
        <f aca="false">IF(I2123="Open",DATE(2025,12,31)-F2123,"-")</f>
        <v>-</v>
      </c>
    </row>
    <row r="2124" customFormat="false" ht="15" hidden="false" customHeight="false" outlineLevel="0" collapsed="false">
      <c r="B2124" s="7" t="s">
        <v>16769</v>
      </c>
      <c r="C2124" s="7" t="s">
        <v>2621</v>
      </c>
      <c r="D2124" s="7" t="s">
        <v>385</v>
      </c>
      <c r="E2124" s="7" t="s">
        <v>156</v>
      </c>
      <c r="F2124" s="39" t="n">
        <v>45765</v>
      </c>
      <c r="G2124" s="41" t="n">
        <v>140.42</v>
      </c>
      <c r="H2124" s="39" t="n">
        <v>45786</v>
      </c>
      <c r="I2124" s="7" t="s">
        <v>14651</v>
      </c>
      <c r="J2124" s="8" t="str">
        <f aca="false">IF(I2124="Open",DATE(2025,12,31)-F2124,"-")</f>
        <v>-</v>
      </c>
    </row>
    <row r="2125" customFormat="false" ht="15" hidden="false" customHeight="false" outlineLevel="0" collapsed="false">
      <c r="B2125" s="7" t="s">
        <v>16770</v>
      </c>
      <c r="C2125" s="7" t="s">
        <v>2622</v>
      </c>
      <c r="D2125" s="7" t="s">
        <v>389</v>
      </c>
      <c r="E2125" s="7" t="s">
        <v>154</v>
      </c>
      <c r="F2125" s="39" t="n">
        <v>45765</v>
      </c>
      <c r="G2125" s="41" t="n">
        <v>104.41</v>
      </c>
      <c r="H2125" s="39" t="n">
        <v>45818</v>
      </c>
      <c r="I2125" s="7" t="s">
        <v>14651</v>
      </c>
      <c r="J2125" s="8" t="str">
        <f aca="false">IF(I2125="Open",DATE(2025,12,31)-F2125,"-")</f>
        <v>-</v>
      </c>
    </row>
    <row r="2126" customFormat="false" ht="15" hidden="false" customHeight="false" outlineLevel="0" collapsed="false">
      <c r="B2126" s="7" t="s">
        <v>16771</v>
      </c>
      <c r="C2126" s="7" t="s">
        <v>2623</v>
      </c>
      <c r="D2126" s="7" t="s">
        <v>391</v>
      </c>
      <c r="E2126" s="7" t="s">
        <v>156</v>
      </c>
      <c r="F2126" s="39" t="n">
        <v>45765</v>
      </c>
      <c r="G2126" s="41" t="n">
        <v>133.62</v>
      </c>
      <c r="H2126" s="39" t="n">
        <v>45771</v>
      </c>
      <c r="I2126" s="7" t="s">
        <v>14651</v>
      </c>
      <c r="J2126" s="8" t="str">
        <f aca="false">IF(I2126="Open",DATE(2025,12,31)-F2126,"-")</f>
        <v>-</v>
      </c>
    </row>
    <row r="2127" customFormat="false" ht="15" hidden="false" customHeight="false" outlineLevel="0" collapsed="false">
      <c r="B2127" s="7" t="s">
        <v>16772</v>
      </c>
      <c r="C2127" s="7" t="s">
        <v>2624</v>
      </c>
      <c r="D2127" s="7" t="s">
        <v>395</v>
      </c>
      <c r="E2127" s="7" t="s">
        <v>156</v>
      </c>
      <c r="F2127" s="39" t="n">
        <v>45765</v>
      </c>
      <c r="G2127" s="41" t="n">
        <v>145.52</v>
      </c>
      <c r="H2127" s="39" t="n">
        <v>45767</v>
      </c>
      <c r="I2127" s="7" t="s">
        <v>14651</v>
      </c>
      <c r="J2127" s="8" t="str">
        <f aca="false">IF(I2127="Open",DATE(2025,12,31)-F2127,"-")</f>
        <v>-</v>
      </c>
    </row>
    <row r="2128" customFormat="false" ht="15" hidden="false" customHeight="false" outlineLevel="0" collapsed="false">
      <c r="B2128" s="7" t="s">
        <v>16773</v>
      </c>
      <c r="C2128" s="7" t="s">
        <v>2625</v>
      </c>
      <c r="D2128" s="7" t="s">
        <v>397</v>
      </c>
      <c r="E2128" s="7" t="s">
        <v>159</v>
      </c>
      <c r="F2128" s="39" t="n">
        <v>45765</v>
      </c>
      <c r="G2128" s="41" t="n">
        <v>114.21</v>
      </c>
      <c r="H2128" s="39" t="n">
        <v>45810</v>
      </c>
      <c r="I2128" s="7" t="s">
        <v>14651</v>
      </c>
      <c r="J2128" s="8" t="str">
        <f aca="false">IF(I2128="Open",DATE(2025,12,31)-F2128,"-")</f>
        <v>-</v>
      </c>
    </row>
    <row r="2129" customFormat="false" ht="15" hidden="false" customHeight="false" outlineLevel="0" collapsed="false">
      <c r="B2129" s="7" t="s">
        <v>16774</v>
      </c>
      <c r="C2129" s="7" t="s">
        <v>2626</v>
      </c>
      <c r="D2129" s="7" t="s">
        <v>399</v>
      </c>
      <c r="E2129" s="7" t="s">
        <v>154</v>
      </c>
      <c r="F2129" s="39" t="n">
        <v>45765</v>
      </c>
      <c r="G2129" s="41" t="n">
        <v>91</v>
      </c>
      <c r="H2129" s="39" t="n">
        <v>45820</v>
      </c>
      <c r="I2129" s="7" t="s">
        <v>14651</v>
      </c>
      <c r="J2129" s="8" t="str">
        <f aca="false">IF(I2129="Open",DATE(2025,12,31)-F2129,"-")</f>
        <v>-</v>
      </c>
    </row>
    <row r="2130" customFormat="false" ht="15" hidden="false" customHeight="false" outlineLevel="0" collapsed="false">
      <c r="B2130" s="7" t="s">
        <v>16775</v>
      </c>
      <c r="C2130" s="7" t="s">
        <v>2627</v>
      </c>
      <c r="D2130" s="7" t="s">
        <v>401</v>
      </c>
      <c r="E2130" s="7" t="s">
        <v>156</v>
      </c>
      <c r="F2130" s="39" t="n">
        <v>45765</v>
      </c>
      <c r="G2130" s="41" t="n">
        <v>130.9</v>
      </c>
      <c r="H2130" s="39" t="n">
        <v>45774</v>
      </c>
      <c r="I2130" s="7" t="s">
        <v>14651</v>
      </c>
      <c r="J2130" s="8" t="str">
        <f aca="false">IF(I2130="Open",DATE(2025,12,31)-F2130,"-")</f>
        <v>-</v>
      </c>
    </row>
    <row r="2131" customFormat="false" ht="15" hidden="false" customHeight="false" outlineLevel="0" collapsed="false">
      <c r="B2131" s="7" t="s">
        <v>16776</v>
      </c>
      <c r="C2131" s="7" t="s">
        <v>2628</v>
      </c>
      <c r="D2131" s="7" t="s">
        <v>407</v>
      </c>
      <c r="E2131" s="7" t="s">
        <v>159</v>
      </c>
      <c r="F2131" s="39" t="n">
        <v>45765</v>
      </c>
      <c r="G2131" s="41" t="n">
        <v>122.85</v>
      </c>
      <c r="H2131" s="39" t="n">
        <v>45837</v>
      </c>
      <c r="I2131" s="7" t="s">
        <v>14651</v>
      </c>
      <c r="J2131" s="8" t="str">
        <f aca="false">IF(I2131="Open",DATE(2025,12,31)-F2131,"-")</f>
        <v>-</v>
      </c>
    </row>
    <row r="2132" customFormat="false" ht="15" hidden="false" customHeight="false" outlineLevel="0" collapsed="false">
      <c r="B2132" s="7" t="s">
        <v>16777</v>
      </c>
      <c r="C2132" s="7" t="s">
        <v>2629</v>
      </c>
      <c r="D2132" s="7" t="s">
        <v>409</v>
      </c>
      <c r="E2132" s="7" t="s">
        <v>154</v>
      </c>
      <c r="F2132" s="39" t="n">
        <v>45765</v>
      </c>
      <c r="G2132" s="41" t="n">
        <v>88.17</v>
      </c>
      <c r="H2132" s="39" t="n">
        <v>45823</v>
      </c>
      <c r="I2132" s="7" t="s">
        <v>14651</v>
      </c>
      <c r="J2132" s="8" t="str">
        <f aca="false">IF(I2132="Open",DATE(2025,12,31)-F2132,"-")</f>
        <v>-</v>
      </c>
    </row>
    <row r="2133" customFormat="false" ht="15" hidden="false" customHeight="false" outlineLevel="0" collapsed="false">
      <c r="B2133" s="7" t="s">
        <v>16778</v>
      </c>
      <c r="C2133" s="7" t="s">
        <v>2630</v>
      </c>
      <c r="D2133" s="7" t="s">
        <v>411</v>
      </c>
      <c r="E2133" s="7" t="s">
        <v>154</v>
      </c>
      <c r="F2133" s="39" t="n">
        <v>45765</v>
      </c>
      <c r="G2133" s="41" t="n">
        <v>126.94</v>
      </c>
      <c r="H2133" s="39" t="n">
        <v>45828</v>
      </c>
      <c r="I2133" s="7" t="s">
        <v>14651</v>
      </c>
      <c r="J2133" s="8" t="str">
        <f aca="false">IF(I2133="Open",DATE(2025,12,31)-F2133,"-")</f>
        <v>-</v>
      </c>
    </row>
    <row r="2134" customFormat="false" ht="15" hidden="false" customHeight="false" outlineLevel="0" collapsed="false">
      <c r="B2134" s="7" t="s">
        <v>16779</v>
      </c>
      <c r="C2134" s="7" t="s">
        <v>2631</v>
      </c>
      <c r="D2134" s="7" t="s">
        <v>288</v>
      </c>
      <c r="E2134" s="7" t="s">
        <v>156</v>
      </c>
      <c r="F2134" s="39" t="n">
        <v>45766</v>
      </c>
      <c r="G2134" s="41" t="n">
        <v>136.68</v>
      </c>
      <c r="H2134" s="39" t="n">
        <v>45775</v>
      </c>
      <c r="I2134" s="7" t="s">
        <v>14651</v>
      </c>
      <c r="J2134" s="8" t="str">
        <f aca="false">IF(I2134="Open",DATE(2025,12,31)-F2134,"-")</f>
        <v>-</v>
      </c>
    </row>
    <row r="2135" customFormat="false" ht="15" hidden="false" customHeight="false" outlineLevel="0" collapsed="false">
      <c r="B2135" s="7" t="s">
        <v>16780</v>
      </c>
      <c r="C2135" s="7" t="s">
        <v>2632</v>
      </c>
      <c r="D2135" s="7" t="s">
        <v>321</v>
      </c>
      <c r="E2135" s="7" t="s">
        <v>154</v>
      </c>
      <c r="F2135" s="39" t="n">
        <v>45766</v>
      </c>
      <c r="G2135" s="41" t="n">
        <v>109.71</v>
      </c>
      <c r="H2135" s="39" t="n">
        <v>45867</v>
      </c>
      <c r="I2135" s="7" t="s">
        <v>14651</v>
      </c>
      <c r="J2135" s="8" t="str">
        <f aca="false">IF(I2135="Open",DATE(2025,12,31)-F2135,"-")</f>
        <v>-</v>
      </c>
    </row>
    <row r="2136" customFormat="false" ht="15" hidden="false" customHeight="false" outlineLevel="0" collapsed="false">
      <c r="B2136" s="7" t="s">
        <v>16781</v>
      </c>
      <c r="C2136" s="7" t="s">
        <v>2633</v>
      </c>
      <c r="D2136" s="7" t="s">
        <v>359</v>
      </c>
      <c r="E2136" s="7" t="s">
        <v>156</v>
      </c>
      <c r="F2136" s="39" t="n">
        <v>45766</v>
      </c>
      <c r="G2136" s="41" t="n">
        <v>142.46</v>
      </c>
      <c r="H2136" s="39" t="n">
        <v>45781</v>
      </c>
      <c r="I2136" s="7" t="s">
        <v>14651</v>
      </c>
      <c r="J2136" s="8" t="str">
        <f aca="false">IF(I2136="Open",DATE(2025,12,31)-F2136,"-")</f>
        <v>-</v>
      </c>
    </row>
    <row r="2137" customFormat="false" ht="15" hidden="false" customHeight="false" outlineLevel="0" collapsed="false">
      <c r="B2137" s="7" t="s">
        <v>16782</v>
      </c>
      <c r="C2137" s="7" t="s">
        <v>2634</v>
      </c>
      <c r="D2137" s="7" t="s">
        <v>391</v>
      </c>
      <c r="E2137" s="7" t="s">
        <v>156</v>
      </c>
      <c r="F2137" s="39" t="n">
        <v>45766</v>
      </c>
      <c r="G2137" s="41" t="n">
        <v>129.88</v>
      </c>
      <c r="H2137" s="39" t="n">
        <v>45782</v>
      </c>
      <c r="I2137" s="7" t="s">
        <v>14651</v>
      </c>
      <c r="J2137" s="8" t="str">
        <f aca="false">IF(I2137="Open",DATE(2025,12,31)-F2137,"-")</f>
        <v>-</v>
      </c>
    </row>
    <row r="2138" customFormat="false" ht="15" hidden="false" customHeight="false" outlineLevel="0" collapsed="false">
      <c r="B2138" s="7" t="s">
        <v>16783</v>
      </c>
      <c r="C2138" s="7" t="s">
        <v>2635</v>
      </c>
      <c r="D2138" s="7" t="s">
        <v>395</v>
      </c>
      <c r="E2138" s="7" t="s">
        <v>156</v>
      </c>
      <c r="F2138" s="39" t="n">
        <v>45766</v>
      </c>
      <c r="G2138" s="41" t="n">
        <v>141.44</v>
      </c>
      <c r="H2138" s="39" t="n">
        <v>45774</v>
      </c>
      <c r="I2138" s="7" t="s">
        <v>14651</v>
      </c>
      <c r="J2138" s="8" t="str">
        <f aca="false">IF(I2138="Open",DATE(2025,12,31)-F2138,"-")</f>
        <v>-</v>
      </c>
    </row>
    <row r="2139" customFormat="false" ht="15" hidden="false" customHeight="false" outlineLevel="0" collapsed="false">
      <c r="B2139" s="7" t="s">
        <v>16784</v>
      </c>
      <c r="C2139" s="7" t="s">
        <v>2636</v>
      </c>
      <c r="D2139" s="7" t="s">
        <v>401</v>
      </c>
      <c r="E2139" s="7" t="s">
        <v>156</v>
      </c>
      <c r="F2139" s="39" t="n">
        <v>45766</v>
      </c>
      <c r="G2139" s="41" t="n">
        <v>137.36</v>
      </c>
      <c r="H2139" s="39" t="n">
        <v>45782</v>
      </c>
      <c r="I2139" s="7" t="s">
        <v>14651</v>
      </c>
      <c r="J2139" s="8" t="str">
        <f aca="false">IF(I2139="Open",DATE(2025,12,31)-F2139,"-")</f>
        <v>-</v>
      </c>
    </row>
    <row r="2140" customFormat="false" ht="15" hidden="false" customHeight="false" outlineLevel="0" collapsed="false">
      <c r="B2140" s="7" t="s">
        <v>16785</v>
      </c>
      <c r="C2140" s="7" t="s">
        <v>2637</v>
      </c>
      <c r="D2140" s="7" t="s">
        <v>288</v>
      </c>
      <c r="E2140" s="7" t="s">
        <v>156</v>
      </c>
      <c r="F2140" s="39" t="n">
        <v>45767</v>
      </c>
      <c r="G2140" s="41" t="n">
        <v>141.44</v>
      </c>
      <c r="H2140" s="39" t="n">
        <v>45785</v>
      </c>
      <c r="I2140" s="7" t="s">
        <v>14651</v>
      </c>
      <c r="J2140" s="8" t="str">
        <f aca="false">IF(I2140="Open",DATE(2025,12,31)-F2140,"-")</f>
        <v>-</v>
      </c>
    </row>
    <row r="2141" customFormat="false" ht="15" hidden="false" customHeight="false" outlineLevel="0" collapsed="false">
      <c r="B2141" s="7" t="s">
        <v>16786</v>
      </c>
      <c r="C2141" s="7" t="s">
        <v>2638</v>
      </c>
      <c r="D2141" s="7" t="s">
        <v>321</v>
      </c>
      <c r="E2141" s="7" t="s">
        <v>154</v>
      </c>
      <c r="F2141" s="39" t="n">
        <v>45767</v>
      </c>
      <c r="G2141" s="41" t="n">
        <v>103.88</v>
      </c>
      <c r="H2141" s="39" t="n">
        <v>45797</v>
      </c>
      <c r="I2141" s="7" t="s">
        <v>14651</v>
      </c>
      <c r="J2141" s="8" t="str">
        <f aca="false">IF(I2141="Open",DATE(2025,12,31)-F2141,"-")</f>
        <v>-</v>
      </c>
    </row>
    <row r="2142" customFormat="false" ht="15" hidden="false" customHeight="false" outlineLevel="0" collapsed="false">
      <c r="B2142" s="7" t="s">
        <v>16787</v>
      </c>
      <c r="C2142" s="7" t="s">
        <v>2639</v>
      </c>
      <c r="D2142" s="7" t="s">
        <v>359</v>
      </c>
      <c r="E2142" s="7" t="s">
        <v>156</v>
      </c>
      <c r="F2142" s="39" t="n">
        <v>45767</v>
      </c>
      <c r="G2142" s="41" t="n">
        <v>123.42</v>
      </c>
      <c r="H2142" s="39" t="n">
        <v>45774</v>
      </c>
      <c r="I2142" s="7" t="s">
        <v>14651</v>
      </c>
      <c r="J2142" s="8" t="str">
        <f aca="false">IF(I2142="Open",DATE(2025,12,31)-F2142,"-")</f>
        <v>-</v>
      </c>
    </row>
    <row r="2143" customFormat="false" ht="15" hidden="false" customHeight="false" outlineLevel="0" collapsed="false">
      <c r="B2143" s="7" t="s">
        <v>16788</v>
      </c>
      <c r="C2143" s="7" t="s">
        <v>2640</v>
      </c>
      <c r="D2143" s="7" t="s">
        <v>391</v>
      </c>
      <c r="E2143" s="7" t="s">
        <v>156</v>
      </c>
      <c r="F2143" s="39" t="n">
        <v>45767</v>
      </c>
      <c r="G2143" s="41" t="n">
        <v>142.46</v>
      </c>
      <c r="H2143" s="39" t="n">
        <v>45779</v>
      </c>
      <c r="I2143" s="7" t="s">
        <v>14651</v>
      </c>
      <c r="J2143" s="8" t="str">
        <f aca="false">IF(I2143="Open",DATE(2025,12,31)-F2143,"-")</f>
        <v>-</v>
      </c>
    </row>
    <row r="2144" customFormat="false" ht="15" hidden="false" customHeight="false" outlineLevel="0" collapsed="false">
      <c r="B2144" s="7" t="s">
        <v>16789</v>
      </c>
      <c r="C2144" s="7" t="s">
        <v>2641</v>
      </c>
      <c r="D2144" s="7" t="s">
        <v>395</v>
      </c>
      <c r="E2144" s="7" t="s">
        <v>156</v>
      </c>
      <c r="F2144" s="39" t="n">
        <v>45767</v>
      </c>
      <c r="G2144" s="41" t="n">
        <v>130.22</v>
      </c>
      <c r="H2144" s="39" t="n">
        <v>45779</v>
      </c>
      <c r="I2144" s="7" t="s">
        <v>14651</v>
      </c>
      <c r="J2144" s="8" t="str">
        <f aca="false">IF(I2144="Open",DATE(2025,12,31)-F2144,"-")</f>
        <v>-</v>
      </c>
    </row>
    <row r="2145" customFormat="false" ht="15" hidden="false" customHeight="false" outlineLevel="0" collapsed="false">
      <c r="B2145" s="7" t="s">
        <v>16790</v>
      </c>
      <c r="C2145" s="7" t="s">
        <v>2642</v>
      </c>
      <c r="D2145" s="7" t="s">
        <v>401</v>
      </c>
      <c r="E2145" s="7" t="s">
        <v>156</v>
      </c>
      <c r="F2145" s="39" t="n">
        <v>45767</v>
      </c>
      <c r="G2145" s="41" t="n">
        <v>136.68</v>
      </c>
      <c r="H2145" s="39" t="n">
        <v>45776</v>
      </c>
      <c r="I2145" s="7" t="s">
        <v>14651</v>
      </c>
      <c r="J2145" s="8" t="str">
        <f aca="false">IF(I2145="Open",DATE(2025,12,31)-F2145,"-")</f>
        <v>-</v>
      </c>
    </row>
    <row r="2146" customFormat="false" ht="15" hidden="false" customHeight="false" outlineLevel="0" collapsed="false">
      <c r="B2146" s="7" t="s">
        <v>16791</v>
      </c>
      <c r="C2146" s="7" t="s">
        <v>2643</v>
      </c>
      <c r="D2146" s="7" t="s">
        <v>280</v>
      </c>
      <c r="E2146" s="7" t="s">
        <v>157</v>
      </c>
      <c r="F2146" s="39" t="n">
        <v>45768</v>
      </c>
      <c r="G2146" s="41" t="n">
        <v>150.15</v>
      </c>
      <c r="H2146" s="39" t="n">
        <v>45855</v>
      </c>
      <c r="I2146" s="7" t="s">
        <v>14651</v>
      </c>
      <c r="J2146" s="8" t="str">
        <f aca="false">IF(I2146="Open",DATE(2025,12,31)-F2146,"-")</f>
        <v>-</v>
      </c>
    </row>
    <row r="2147" customFormat="false" ht="15" hidden="false" customHeight="false" outlineLevel="0" collapsed="false">
      <c r="B2147" s="7" t="s">
        <v>16792</v>
      </c>
      <c r="C2147" s="7" t="s">
        <v>2644</v>
      </c>
      <c r="D2147" s="7" t="s">
        <v>288</v>
      </c>
      <c r="E2147" s="7" t="s">
        <v>156</v>
      </c>
      <c r="F2147" s="39" t="n">
        <v>45768</v>
      </c>
      <c r="G2147" s="41" t="n">
        <v>128.86</v>
      </c>
      <c r="H2147" s="39" t="n">
        <v>45776</v>
      </c>
      <c r="I2147" s="7" t="s">
        <v>14651</v>
      </c>
      <c r="J2147" s="8" t="str">
        <f aca="false">IF(I2147="Open",DATE(2025,12,31)-F2147,"-")</f>
        <v>-</v>
      </c>
    </row>
    <row r="2148" customFormat="false" ht="15" hidden="false" customHeight="false" outlineLevel="0" collapsed="false">
      <c r="B2148" s="7" t="s">
        <v>16793</v>
      </c>
      <c r="C2148" s="7" t="s">
        <v>2645</v>
      </c>
      <c r="D2148" s="7" t="s">
        <v>291</v>
      </c>
      <c r="E2148" s="7" t="s">
        <v>154</v>
      </c>
      <c r="F2148" s="39" t="n">
        <v>45768</v>
      </c>
      <c r="G2148" s="41" t="n">
        <v>131.6</v>
      </c>
      <c r="H2148" s="39" t="n">
        <v>45806</v>
      </c>
      <c r="I2148" s="7" t="s">
        <v>14651</v>
      </c>
      <c r="J2148" s="8" t="str">
        <f aca="false">IF(I2148="Open",DATE(2025,12,31)-F2148,"-")</f>
        <v>-</v>
      </c>
    </row>
    <row r="2149" customFormat="false" ht="15" hidden="false" customHeight="false" outlineLevel="0" collapsed="false">
      <c r="B2149" s="7" t="s">
        <v>16794</v>
      </c>
      <c r="C2149" s="7" t="s">
        <v>2646</v>
      </c>
      <c r="D2149" s="7" t="s">
        <v>297</v>
      </c>
      <c r="E2149" s="7" t="s">
        <v>156</v>
      </c>
      <c r="F2149" s="39" t="n">
        <v>45768</v>
      </c>
      <c r="G2149" s="41" t="n">
        <v>99.28</v>
      </c>
      <c r="H2149" s="39" t="n">
        <v>45784</v>
      </c>
      <c r="I2149" s="7" t="s">
        <v>14651</v>
      </c>
      <c r="J2149" s="8" t="str">
        <f aca="false">IF(I2149="Open",DATE(2025,12,31)-F2149,"-")</f>
        <v>-</v>
      </c>
    </row>
    <row r="2150" customFormat="false" ht="15" hidden="false" customHeight="false" outlineLevel="0" collapsed="false">
      <c r="B2150" s="7" t="s">
        <v>16795</v>
      </c>
      <c r="C2150" s="7" t="s">
        <v>2647</v>
      </c>
      <c r="D2150" s="7" t="s">
        <v>305</v>
      </c>
      <c r="E2150" s="7" t="s">
        <v>154</v>
      </c>
      <c r="F2150" s="39" t="n">
        <v>45768</v>
      </c>
      <c r="G2150" s="41" t="n">
        <v>93.57</v>
      </c>
      <c r="H2150" s="39" t="n">
        <v>45870</v>
      </c>
      <c r="I2150" s="7" t="s">
        <v>14651</v>
      </c>
      <c r="J2150" s="8" t="str">
        <f aca="false">IF(I2150="Open",DATE(2025,12,31)-F2150,"-")</f>
        <v>-</v>
      </c>
    </row>
    <row r="2151" customFormat="false" ht="15" hidden="false" customHeight="false" outlineLevel="0" collapsed="false">
      <c r="B2151" s="7" t="s">
        <v>16796</v>
      </c>
      <c r="C2151" s="7" t="s">
        <v>2648</v>
      </c>
      <c r="D2151" s="7" t="s">
        <v>307</v>
      </c>
      <c r="E2151" s="7" t="s">
        <v>157</v>
      </c>
      <c r="F2151" s="39" t="n">
        <v>45768</v>
      </c>
      <c r="G2151" s="41" t="n">
        <v>158.4</v>
      </c>
      <c r="H2151" s="39" t="n">
        <v>45827</v>
      </c>
      <c r="I2151" s="7" t="s">
        <v>14651</v>
      </c>
      <c r="J2151" s="8" t="str">
        <f aca="false">IF(I2151="Open",DATE(2025,12,31)-F2151,"-")</f>
        <v>-</v>
      </c>
    </row>
    <row r="2152" customFormat="false" ht="15" hidden="false" customHeight="false" outlineLevel="0" collapsed="false">
      <c r="B2152" s="7" t="s">
        <v>16797</v>
      </c>
      <c r="C2152" s="7" t="s">
        <v>2649</v>
      </c>
      <c r="D2152" s="7" t="s">
        <v>309</v>
      </c>
      <c r="E2152" s="7" t="s">
        <v>159</v>
      </c>
      <c r="F2152" s="39" t="n">
        <v>45768</v>
      </c>
      <c r="G2152" s="41" t="n">
        <v>148.5</v>
      </c>
      <c r="H2152" s="39" t="n">
        <v>45812</v>
      </c>
      <c r="I2152" s="7" t="s">
        <v>14651</v>
      </c>
      <c r="J2152" s="8" t="str">
        <f aca="false">IF(I2152="Open",DATE(2025,12,31)-F2152,"-")</f>
        <v>-</v>
      </c>
    </row>
    <row r="2153" customFormat="false" ht="15" hidden="false" customHeight="false" outlineLevel="0" collapsed="false">
      <c r="B2153" s="7" t="s">
        <v>16798</v>
      </c>
      <c r="C2153" s="7" t="s">
        <v>2650</v>
      </c>
      <c r="D2153" s="7" t="s">
        <v>311</v>
      </c>
      <c r="E2153" s="7" t="s">
        <v>154</v>
      </c>
      <c r="F2153" s="39" t="n">
        <v>45768</v>
      </c>
      <c r="G2153" s="41" t="n">
        <v>80.56</v>
      </c>
      <c r="H2153" s="39" t="n">
        <v>45824</v>
      </c>
      <c r="I2153" s="7" t="s">
        <v>14651</v>
      </c>
      <c r="J2153" s="8" t="str">
        <f aca="false">IF(I2153="Open",DATE(2025,12,31)-F2153,"-")</f>
        <v>-</v>
      </c>
    </row>
    <row r="2154" customFormat="false" ht="15" hidden="false" customHeight="false" outlineLevel="0" collapsed="false">
      <c r="B2154" s="7" t="s">
        <v>16799</v>
      </c>
      <c r="C2154" s="7" t="s">
        <v>2651</v>
      </c>
      <c r="D2154" s="7" t="s">
        <v>313</v>
      </c>
      <c r="E2154" s="7" t="s">
        <v>156</v>
      </c>
      <c r="F2154" s="39" t="n">
        <v>45768</v>
      </c>
      <c r="G2154" s="41" t="n">
        <v>137.02</v>
      </c>
      <c r="H2154" s="39" t="n">
        <v>45774</v>
      </c>
      <c r="I2154" s="7" t="s">
        <v>14651</v>
      </c>
      <c r="J2154" s="8" t="str">
        <f aca="false">IF(I2154="Open",DATE(2025,12,31)-F2154,"-")</f>
        <v>-</v>
      </c>
    </row>
    <row r="2155" customFormat="false" ht="15" hidden="false" customHeight="false" outlineLevel="0" collapsed="false">
      <c r="B2155" s="7" t="s">
        <v>16800</v>
      </c>
      <c r="C2155" s="7" t="s">
        <v>2652</v>
      </c>
      <c r="D2155" s="7" t="s">
        <v>317</v>
      </c>
      <c r="E2155" s="7" t="s">
        <v>156</v>
      </c>
      <c r="F2155" s="39" t="n">
        <v>45768</v>
      </c>
      <c r="G2155" s="41" t="n">
        <v>97.58</v>
      </c>
      <c r="H2155" s="39" t="n">
        <v>45778</v>
      </c>
      <c r="I2155" s="7" t="s">
        <v>14651</v>
      </c>
      <c r="J2155" s="8" t="str">
        <f aca="false">IF(I2155="Open",DATE(2025,12,31)-F2155,"-")</f>
        <v>-</v>
      </c>
    </row>
    <row r="2156" customFormat="false" ht="15" hidden="false" customHeight="false" outlineLevel="0" collapsed="false">
      <c r="B2156" s="7" t="s">
        <v>16801</v>
      </c>
      <c r="C2156" s="7" t="s">
        <v>2653</v>
      </c>
      <c r="D2156" s="7" t="s">
        <v>321</v>
      </c>
      <c r="E2156" s="7" t="s">
        <v>154</v>
      </c>
      <c r="F2156" s="39" t="n">
        <v>45768</v>
      </c>
      <c r="G2156" s="41" t="n">
        <v>109.71</v>
      </c>
      <c r="H2156" s="39" t="n">
        <v>45872</v>
      </c>
      <c r="I2156" s="7" t="s">
        <v>14651</v>
      </c>
      <c r="J2156" s="8" t="str">
        <f aca="false">IF(I2156="Open",DATE(2025,12,31)-F2156,"-")</f>
        <v>-</v>
      </c>
    </row>
    <row r="2157" customFormat="false" ht="15" hidden="false" customHeight="false" outlineLevel="0" collapsed="false">
      <c r="B2157" s="7" t="s">
        <v>16802</v>
      </c>
      <c r="C2157" s="7" t="s">
        <v>2654</v>
      </c>
      <c r="D2157" s="7" t="s">
        <v>325</v>
      </c>
      <c r="E2157" s="7" t="s">
        <v>154</v>
      </c>
      <c r="F2157" s="39" t="n">
        <v>45768</v>
      </c>
      <c r="G2157" s="41" t="n">
        <v>75.53</v>
      </c>
      <c r="H2157" s="39" t="n">
        <v>45807</v>
      </c>
      <c r="I2157" s="7" t="s">
        <v>14651</v>
      </c>
      <c r="J2157" s="8" t="str">
        <f aca="false">IF(I2157="Open",DATE(2025,12,31)-F2157,"-")</f>
        <v>-</v>
      </c>
    </row>
    <row r="2158" customFormat="false" ht="15" hidden="false" customHeight="false" outlineLevel="0" collapsed="false">
      <c r="B2158" s="7" t="s">
        <v>16803</v>
      </c>
      <c r="C2158" s="7" t="s">
        <v>2655</v>
      </c>
      <c r="D2158" s="7" t="s">
        <v>329</v>
      </c>
      <c r="E2158" s="7" t="s">
        <v>156</v>
      </c>
      <c r="F2158" s="39" t="n">
        <v>45768</v>
      </c>
      <c r="G2158" s="41" t="n">
        <v>144.84</v>
      </c>
      <c r="H2158" s="39" t="n">
        <v>45781</v>
      </c>
      <c r="I2158" s="7" t="s">
        <v>14651</v>
      </c>
      <c r="J2158" s="8" t="str">
        <f aca="false">IF(I2158="Open",DATE(2025,12,31)-F2158,"-")</f>
        <v>-</v>
      </c>
    </row>
    <row r="2159" customFormat="false" ht="15" hidden="false" customHeight="false" outlineLevel="0" collapsed="false">
      <c r="B2159" s="7" t="s">
        <v>16804</v>
      </c>
      <c r="C2159" s="7" t="s">
        <v>2656</v>
      </c>
      <c r="D2159" s="7" t="s">
        <v>331</v>
      </c>
      <c r="E2159" s="7" t="s">
        <v>156</v>
      </c>
      <c r="F2159" s="39" t="n">
        <v>45768</v>
      </c>
      <c r="G2159" s="41" t="n">
        <v>141.78</v>
      </c>
      <c r="H2159" s="39" t="n">
        <v>45785</v>
      </c>
      <c r="I2159" s="7" t="s">
        <v>14651</v>
      </c>
      <c r="J2159" s="8" t="str">
        <f aca="false">IF(I2159="Open",DATE(2025,12,31)-F2159,"-")</f>
        <v>-</v>
      </c>
    </row>
    <row r="2160" customFormat="false" ht="15" hidden="false" customHeight="false" outlineLevel="0" collapsed="false">
      <c r="B2160" s="7" t="s">
        <v>16805</v>
      </c>
      <c r="C2160" s="7" t="s">
        <v>2657</v>
      </c>
      <c r="D2160" s="7" t="s">
        <v>335</v>
      </c>
      <c r="E2160" s="7" t="s">
        <v>154</v>
      </c>
      <c r="F2160" s="39" t="n">
        <v>45768</v>
      </c>
      <c r="G2160" s="41" t="n">
        <v>96.72</v>
      </c>
      <c r="H2160" s="39" t="n">
        <v>45836</v>
      </c>
      <c r="I2160" s="7" t="s">
        <v>14651</v>
      </c>
      <c r="J2160" s="8" t="str">
        <f aca="false">IF(I2160="Open",DATE(2025,12,31)-F2160,"-")</f>
        <v>-</v>
      </c>
    </row>
    <row r="2161" customFormat="false" ht="15" hidden="false" customHeight="false" outlineLevel="0" collapsed="false">
      <c r="B2161" s="7" t="s">
        <v>16806</v>
      </c>
      <c r="C2161" s="7" t="s">
        <v>2658</v>
      </c>
      <c r="D2161" s="7" t="s">
        <v>337</v>
      </c>
      <c r="E2161" s="7" t="s">
        <v>154</v>
      </c>
      <c r="F2161" s="39" t="n">
        <v>45768</v>
      </c>
      <c r="G2161" s="41" t="n">
        <v>78.7</v>
      </c>
      <c r="H2161" s="39" t="n">
        <v>45820</v>
      </c>
      <c r="I2161" s="7" t="s">
        <v>14651</v>
      </c>
      <c r="J2161" s="8" t="str">
        <f aca="false">IF(I2161="Open",DATE(2025,12,31)-F2161,"-")</f>
        <v>-</v>
      </c>
    </row>
    <row r="2162" customFormat="false" ht="15" hidden="false" customHeight="false" outlineLevel="0" collapsed="false">
      <c r="B2162" s="7" t="s">
        <v>16807</v>
      </c>
      <c r="C2162" s="7" t="s">
        <v>2659</v>
      </c>
      <c r="D2162" s="7" t="s">
        <v>339</v>
      </c>
      <c r="E2162" s="7" t="s">
        <v>154</v>
      </c>
      <c r="F2162" s="39" t="n">
        <v>45768</v>
      </c>
      <c r="G2162" s="41" t="n">
        <v>89.84</v>
      </c>
      <c r="H2162" s="39" t="n">
        <v>45818</v>
      </c>
      <c r="I2162" s="7" t="s">
        <v>14651</v>
      </c>
      <c r="J2162" s="8" t="str">
        <f aca="false">IF(I2162="Open",DATE(2025,12,31)-F2162,"-")</f>
        <v>-</v>
      </c>
    </row>
    <row r="2163" customFormat="false" ht="15" hidden="false" customHeight="false" outlineLevel="0" collapsed="false">
      <c r="B2163" s="7" t="s">
        <v>16808</v>
      </c>
      <c r="C2163" s="7" t="s">
        <v>2660</v>
      </c>
      <c r="D2163" s="7" t="s">
        <v>341</v>
      </c>
      <c r="E2163" s="7" t="s">
        <v>156</v>
      </c>
      <c r="F2163" s="39" t="n">
        <v>45768</v>
      </c>
      <c r="G2163" s="41" t="n">
        <v>97.24</v>
      </c>
      <c r="H2163" s="39" t="n">
        <v>45790</v>
      </c>
      <c r="I2163" s="7" t="s">
        <v>14651</v>
      </c>
      <c r="J2163" s="8" t="str">
        <f aca="false">IF(I2163="Open",DATE(2025,12,31)-F2163,"-")</f>
        <v>-</v>
      </c>
    </row>
    <row r="2164" customFormat="false" ht="15" hidden="false" customHeight="false" outlineLevel="0" collapsed="false">
      <c r="B2164" s="7" t="s">
        <v>16809</v>
      </c>
      <c r="C2164" s="7" t="s">
        <v>2661</v>
      </c>
      <c r="D2164" s="7" t="s">
        <v>343</v>
      </c>
      <c r="E2164" s="7" t="s">
        <v>154</v>
      </c>
      <c r="F2164" s="39" t="n">
        <v>45768</v>
      </c>
      <c r="G2164" s="41" t="n">
        <v>104.68</v>
      </c>
      <c r="H2164" s="39" t="n">
        <v>45825</v>
      </c>
      <c r="I2164" s="7" t="s">
        <v>14651</v>
      </c>
      <c r="J2164" s="8" t="str">
        <f aca="false">IF(I2164="Open",DATE(2025,12,31)-F2164,"-")</f>
        <v>-</v>
      </c>
    </row>
    <row r="2165" customFormat="false" ht="15" hidden="false" customHeight="false" outlineLevel="0" collapsed="false">
      <c r="B2165" s="7" t="s">
        <v>16810</v>
      </c>
      <c r="C2165" s="7" t="s">
        <v>2662</v>
      </c>
      <c r="D2165" s="7" t="s">
        <v>351</v>
      </c>
      <c r="E2165" s="7" t="s">
        <v>154</v>
      </c>
      <c r="F2165" s="39" t="n">
        <v>45768</v>
      </c>
      <c r="G2165" s="41" t="n">
        <v>84.32</v>
      </c>
      <c r="H2165" s="39" t="n">
        <v>45831</v>
      </c>
      <c r="I2165" s="7" t="s">
        <v>14651</v>
      </c>
      <c r="J2165" s="8" t="str">
        <f aca="false">IF(I2165="Open",DATE(2025,12,31)-F2165,"-")</f>
        <v>-</v>
      </c>
    </row>
    <row r="2166" customFormat="false" ht="15" hidden="false" customHeight="false" outlineLevel="0" collapsed="false">
      <c r="B2166" s="7" t="s">
        <v>16811</v>
      </c>
      <c r="C2166" s="7" t="s">
        <v>2663</v>
      </c>
      <c r="D2166" s="7" t="s">
        <v>353</v>
      </c>
      <c r="E2166" s="7" t="s">
        <v>154</v>
      </c>
      <c r="F2166" s="39" t="n">
        <v>45768</v>
      </c>
      <c r="G2166" s="41" t="n">
        <v>79.18</v>
      </c>
      <c r="H2166" s="39" t="n">
        <v>45839</v>
      </c>
      <c r="I2166" s="7" t="s">
        <v>14651</v>
      </c>
      <c r="J2166" s="8" t="str">
        <f aca="false">IF(I2166="Open",DATE(2025,12,31)-F2166,"-")</f>
        <v>-</v>
      </c>
    </row>
    <row r="2167" customFormat="false" ht="15" hidden="false" customHeight="false" outlineLevel="0" collapsed="false">
      <c r="B2167" s="7" t="s">
        <v>16812</v>
      </c>
      <c r="C2167" s="7" t="s">
        <v>2664</v>
      </c>
      <c r="D2167" s="7" t="s">
        <v>355</v>
      </c>
      <c r="E2167" s="7" t="s">
        <v>154</v>
      </c>
      <c r="F2167" s="39" t="n">
        <v>45768</v>
      </c>
      <c r="G2167" s="41" t="n">
        <v>89.2</v>
      </c>
      <c r="H2167" s="39" t="n">
        <v>45838</v>
      </c>
      <c r="I2167" s="7" t="s">
        <v>14651</v>
      </c>
      <c r="J2167" s="8" t="str">
        <f aca="false">IF(I2167="Open",DATE(2025,12,31)-F2167,"-")</f>
        <v>-</v>
      </c>
    </row>
    <row r="2168" customFormat="false" ht="15" hidden="false" customHeight="false" outlineLevel="0" collapsed="false">
      <c r="B2168" s="7" t="s">
        <v>16813</v>
      </c>
      <c r="C2168" s="7" t="s">
        <v>2665</v>
      </c>
      <c r="D2168" s="7" t="s">
        <v>357</v>
      </c>
      <c r="E2168" s="7" t="s">
        <v>154</v>
      </c>
      <c r="F2168" s="39" t="n">
        <v>45768</v>
      </c>
      <c r="G2168" s="41" t="n">
        <v>83.21</v>
      </c>
      <c r="H2168" s="39" t="n">
        <v>45874</v>
      </c>
      <c r="I2168" s="7" t="s">
        <v>14651</v>
      </c>
      <c r="J2168" s="8" t="str">
        <f aca="false">IF(I2168="Open",DATE(2025,12,31)-F2168,"-")</f>
        <v>-</v>
      </c>
    </row>
    <row r="2169" customFormat="false" ht="15" hidden="false" customHeight="false" outlineLevel="0" collapsed="false">
      <c r="B2169" s="7" t="s">
        <v>16814</v>
      </c>
      <c r="C2169" s="7" t="s">
        <v>2666</v>
      </c>
      <c r="D2169" s="7" t="s">
        <v>359</v>
      </c>
      <c r="E2169" s="7" t="s">
        <v>156</v>
      </c>
      <c r="F2169" s="39" t="n">
        <v>45768</v>
      </c>
      <c r="G2169" s="41" t="n">
        <v>148.24</v>
      </c>
      <c r="H2169" s="39" t="n">
        <v>45771</v>
      </c>
      <c r="I2169" s="7" t="s">
        <v>14651</v>
      </c>
      <c r="J2169" s="8" t="str">
        <f aca="false">IF(I2169="Open",DATE(2025,12,31)-F2169,"-")</f>
        <v>-</v>
      </c>
    </row>
    <row r="2170" customFormat="false" ht="15" hidden="false" customHeight="false" outlineLevel="0" collapsed="false">
      <c r="B2170" s="7" t="s">
        <v>16815</v>
      </c>
      <c r="C2170" s="7" t="s">
        <v>2667</v>
      </c>
      <c r="D2170" s="7" t="s">
        <v>363</v>
      </c>
      <c r="E2170" s="7" t="s">
        <v>156</v>
      </c>
      <c r="F2170" s="39" t="n">
        <v>45768</v>
      </c>
      <c r="G2170" s="41" t="n">
        <v>138.72</v>
      </c>
      <c r="H2170" s="39" t="n">
        <v>45786</v>
      </c>
      <c r="I2170" s="7" t="s">
        <v>14651</v>
      </c>
      <c r="J2170" s="8" t="str">
        <f aca="false">IF(I2170="Open",DATE(2025,12,31)-F2170,"-")</f>
        <v>-</v>
      </c>
    </row>
    <row r="2171" customFormat="false" ht="15" hidden="false" customHeight="false" outlineLevel="0" collapsed="false">
      <c r="B2171" s="7" t="s">
        <v>16816</v>
      </c>
      <c r="C2171" s="7" t="s">
        <v>2668</v>
      </c>
      <c r="D2171" s="7" t="s">
        <v>365</v>
      </c>
      <c r="E2171" s="7" t="s">
        <v>154</v>
      </c>
      <c r="F2171" s="39" t="n">
        <v>45768</v>
      </c>
      <c r="G2171" s="41" t="n">
        <v>107.59</v>
      </c>
      <c r="H2171" s="39" t="n">
        <v>45828</v>
      </c>
      <c r="I2171" s="7" t="s">
        <v>14651</v>
      </c>
      <c r="J2171" s="8" t="str">
        <f aca="false">IF(I2171="Open",DATE(2025,12,31)-F2171,"-")</f>
        <v>-</v>
      </c>
    </row>
    <row r="2172" customFormat="false" ht="15" hidden="false" customHeight="false" outlineLevel="0" collapsed="false">
      <c r="B2172" s="7" t="s">
        <v>16817</v>
      </c>
      <c r="C2172" s="7" t="s">
        <v>2669</v>
      </c>
      <c r="D2172" s="7" t="s">
        <v>371</v>
      </c>
      <c r="E2172" s="7" t="s">
        <v>154</v>
      </c>
      <c r="F2172" s="39" t="n">
        <v>45768</v>
      </c>
      <c r="G2172" s="41" t="n">
        <v>120.57</v>
      </c>
      <c r="H2172" s="39" t="n">
        <v>45813</v>
      </c>
      <c r="I2172" s="7" t="s">
        <v>14651</v>
      </c>
      <c r="J2172" s="8" t="str">
        <f aca="false">IF(I2172="Open",DATE(2025,12,31)-F2172,"-")</f>
        <v>-</v>
      </c>
    </row>
    <row r="2173" customFormat="false" ht="15" hidden="false" customHeight="false" outlineLevel="0" collapsed="false">
      <c r="B2173" s="7" t="s">
        <v>16818</v>
      </c>
      <c r="C2173" s="7" t="s">
        <v>2670</v>
      </c>
      <c r="D2173" s="7" t="s">
        <v>375</v>
      </c>
      <c r="E2173" s="7" t="s">
        <v>156</v>
      </c>
      <c r="F2173" s="39" t="n">
        <v>45768</v>
      </c>
      <c r="G2173" s="41" t="n">
        <v>101.66</v>
      </c>
      <c r="H2173" s="39" t="n">
        <v>45776</v>
      </c>
      <c r="I2173" s="7" t="s">
        <v>14651</v>
      </c>
      <c r="J2173" s="8" t="str">
        <f aca="false">IF(I2173="Open",DATE(2025,12,31)-F2173,"-")</f>
        <v>-</v>
      </c>
    </row>
    <row r="2174" customFormat="false" ht="15" hidden="false" customHeight="false" outlineLevel="0" collapsed="false">
      <c r="B2174" s="7" t="s">
        <v>16819</v>
      </c>
      <c r="C2174" s="7" t="s">
        <v>2671</v>
      </c>
      <c r="D2174" s="7" t="s">
        <v>377</v>
      </c>
      <c r="E2174" s="7" t="s">
        <v>154</v>
      </c>
      <c r="F2174" s="39" t="n">
        <v>45768</v>
      </c>
      <c r="G2174" s="41" t="n">
        <v>107.86</v>
      </c>
      <c r="H2174" s="39" t="n">
        <v>45834</v>
      </c>
      <c r="I2174" s="7" t="s">
        <v>14651</v>
      </c>
      <c r="J2174" s="8" t="str">
        <f aca="false">IF(I2174="Open",DATE(2025,12,31)-F2174,"-")</f>
        <v>-</v>
      </c>
    </row>
    <row r="2175" customFormat="false" ht="15" hidden="false" customHeight="false" outlineLevel="0" collapsed="false">
      <c r="B2175" s="7" t="s">
        <v>16820</v>
      </c>
      <c r="C2175" s="7" t="s">
        <v>2672</v>
      </c>
      <c r="D2175" s="7" t="s">
        <v>379</v>
      </c>
      <c r="E2175" s="7" t="s">
        <v>156</v>
      </c>
      <c r="F2175" s="39" t="n">
        <v>45768</v>
      </c>
      <c r="G2175" s="41" t="n">
        <v>171.02</v>
      </c>
      <c r="H2175" s="39" t="n">
        <v>45785</v>
      </c>
      <c r="I2175" s="7" t="s">
        <v>14651</v>
      </c>
      <c r="J2175" s="8" t="str">
        <f aca="false">IF(I2175="Open",DATE(2025,12,31)-F2175,"-")</f>
        <v>-</v>
      </c>
    </row>
    <row r="2176" customFormat="false" ht="15" hidden="false" customHeight="false" outlineLevel="0" collapsed="false">
      <c r="B2176" s="7" t="s">
        <v>16821</v>
      </c>
      <c r="C2176" s="7" t="s">
        <v>2673</v>
      </c>
      <c r="D2176" s="7" t="s">
        <v>385</v>
      </c>
      <c r="E2176" s="7" t="s">
        <v>156</v>
      </c>
      <c r="F2176" s="39" t="n">
        <v>45768</v>
      </c>
      <c r="G2176" s="41" t="n">
        <v>135.66</v>
      </c>
      <c r="H2176" s="39" t="n">
        <v>45781</v>
      </c>
      <c r="I2176" s="7" t="s">
        <v>14651</v>
      </c>
      <c r="J2176" s="8" t="str">
        <f aca="false">IF(I2176="Open",DATE(2025,12,31)-F2176,"-")</f>
        <v>-</v>
      </c>
    </row>
    <row r="2177" customFormat="false" ht="15" hidden="false" customHeight="false" outlineLevel="0" collapsed="false">
      <c r="B2177" s="7" t="s">
        <v>16822</v>
      </c>
      <c r="C2177" s="7" t="s">
        <v>2674</v>
      </c>
      <c r="D2177" s="7" t="s">
        <v>389</v>
      </c>
      <c r="E2177" s="7" t="s">
        <v>154</v>
      </c>
      <c r="F2177" s="39" t="n">
        <v>45768</v>
      </c>
      <c r="G2177" s="41" t="n">
        <v>113.95</v>
      </c>
      <c r="H2177" s="39" t="n">
        <v>45828</v>
      </c>
      <c r="I2177" s="7" t="s">
        <v>14651</v>
      </c>
      <c r="J2177" s="8" t="str">
        <f aca="false">IF(I2177="Open",DATE(2025,12,31)-F2177,"-")</f>
        <v>-</v>
      </c>
    </row>
    <row r="2178" customFormat="false" ht="15" hidden="false" customHeight="false" outlineLevel="0" collapsed="false">
      <c r="B2178" s="7" t="s">
        <v>16823</v>
      </c>
      <c r="C2178" s="7" t="s">
        <v>2675</v>
      </c>
      <c r="D2178" s="7" t="s">
        <v>391</v>
      </c>
      <c r="E2178" s="7" t="s">
        <v>156</v>
      </c>
      <c r="F2178" s="39" t="n">
        <v>45768</v>
      </c>
      <c r="G2178" s="41" t="n">
        <v>137.7</v>
      </c>
      <c r="H2178" s="39" t="n">
        <v>45778</v>
      </c>
      <c r="I2178" s="7" t="s">
        <v>14651</v>
      </c>
      <c r="J2178" s="8" t="str">
        <f aca="false">IF(I2178="Open",DATE(2025,12,31)-F2178,"-")</f>
        <v>-</v>
      </c>
    </row>
    <row r="2179" customFormat="false" ht="15" hidden="false" customHeight="false" outlineLevel="0" collapsed="false">
      <c r="B2179" s="7" t="s">
        <v>16824</v>
      </c>
      <c r="C2179" s="7" t="s">
        <v>2676</v>
      </c>
      <c r="D2179" s="7" t="s">
        <v>395</v>
      </c>
      <c r="E2179" s="7" t="s">
        <v>156</v>
      </c>
      <c r="F2179" s="39" t="n">
        <v>45768</v>
      </c>
      <c r="G2179" s="41" t="n">
        <v>135.32</v>
      </c>
      <c r="H2179" s="39" t="n">
        <v>45782</v>
      </c>
      <c r="I2179" s="7" t="s">
        <v>14651</v>
      </c>
      <c r="J2179" s="8" t="str">
        <f aca="false">IF(I2179="Open",DATE(2025,12,31)-F2179,"-")</f>
        <v>-</v>
      </c>
    </row>
    <row r="2180" customFormat="false" ht="15" hidden="false" customHeight="false" outlineLevel="0" collapsed="false">
      <c r="B2180" s="7" t="s">
        <v>16825</v>
      </c>
      <c r="C2180" s="7" t="s">
        <v>2677</v>
      </c>
      <c r="D2180" s="7" t="s">
        <v>399</v>
      </c>
      <c r="E2180" s="7" t="s">
        <v>154</v>
      </c>
      <c r="F2180" s="39" t="n">
        <v>45768</v>
      </c>
      <c r="G2180" s="41" t="n">
        <v>93.02</v>
      </c>
      <c r="H2180" s="39" t="n">
        <v>45832</v>
      </c>
      <c r="I2180" s="7" t="s">
        <v>14651</v>
      </c>
      <c r="J2180" s="8" t="str">
        <f aca="false">IF(I2180="Open",DATE(2025,12,31)-F2180,"-")</f>
        <v>-</v>
      </c>
    </row>
    <row r="2181" customFormat="false" ht="15" hidden="false" customHeight="false" outlineLevel="0" collapsed="false">
      <c r="B2181" s="7" t="s">
        <v>16826</v>
      </c>
      <c r="C2181" s="7" t="s">
        <v>2678</v>
      </c>
      <c r="D2181" s="7" t="s">
        <v>401</v>
      </c>
      <c r="E2181" s="7" t="s">
        <v>156</v>
      </c>
      <c r="F2181" s="39" t="n">
        <v>45768</v>
      </c>
      <c r="G2181" s="41" t="n">
        <v>134.64</v>
      </c>
      <c r="H2181" s="39" t="n">
        <v>45776</v>
      </c>
      <c r="I2181" s="7" t="s">
        <v>14651</v>
      </c>
      <c r="J2181" s="8" t="str">
        <f aca="false">IF(I2181="Open",DATE(2025,12,31)-F2181,"-")</f>
        <v>-</v>
      </c>
    </row>
    <row r="2182" customFormat="false" ht="15" hidden="false" customHeight="false" outlineLevel="0" collapsed="false">
      <c r="B2182" s="7" t="s">
        <v>16827</v>
      </c>
      <c r="C2182" s="7" t="s">
        <v>2679</v>
      </c>
      <c r="D2182" s="7" t="s">
        <v>409</v>
      </c>
      <c r="E2182" s="7" t="s">
        <v>154</v>
      </c>
      <c r="F2182" s="39" t="n">
        <v>45768</v>
      </c>
      <c r="G2182" s="41" t="n">
        <v>85.33</v>
      </c>
      <c r="H2182" s="39" t="n">
        <v>45799</v>
      </c>
      <c r="I2182" s="7" t="s">
        <v>14651</v>
      </c>
      <c r="J2182" s="8" t="str">
        <f aca="false">IF(I2182="Open",DATE(2025,12,31)-F2182,"-")</f>
        <v>-</v>
      </c>
    </row>
    <row r="2183" customFormat="false" ht="15" hidden="false" customHeight="false" outlineLevel="0" collapsed="false">
      <c r="B2183" s="7" t="s">
        <v>16828</v>
      </c>
      <c r="C2183" s="7" t="s">
        <v>2680</v>
      </c>
      <c r="D2183" s="7" t="s">
        <v>411</v>
      </c>
      <c r="E2183" s="7" t="s">
        <v>154</v>
      </c>
      <c r="F2183" s="39" t="n">
        <v>45768</v>
      </c>
      <c r="G2183" s="41" t="n">
        <v>121.37</v>
      </c>
      <c r="H2183" s="39" t="n">
        <v>45813</v>
      </c>
      <c r="I2183" s="7" t="s">
        <v>14651</v>
      </c>
      <c r="J2183" s="8" t="str">
        <f aca="false">IF(I2183="Open",DATE(2025,12,31)-F2183,"-")</f>
        <v>-</v>
      </c>
    </row>
    <row r="2184" customFormat="false" ht="15" hidden="false" customHeight="false" outlineLevel="0" collapsed="false">
      <c r="B2184" s="7" t="s">
        <v>16829</v>
      </c>
      <c r="C2184" s="7" t="s">
        <v>2681</v>
      </c>
      <c r="D2184" s="7" t="s">
        <v>288</v>
      </c>
      <c r="E2184" s="7" t="s">
        <v>156</v>
      </c>
      <c r="F2184" s="39" t="n">
        <v>45769</v>
      </c>
      <c r="G2184" s="41" t="n">
        <v>137.02</v>
      </c>
      <c r="H2184" s="39" t="n">
        <v>45792</v>
      </c>
      <c r="I2184" s="7" t="s">
        <v>14651</v>
      </c>
      <c r="J2184" s="8" t="str">
        <f aca="false">IF(I2184="Open",DATE(2025,12,31)-F2184,"-")</f>
        <v>-</v>
      </c>
    </row>
    <row r="2185" customFormat="false" ht="15" hidden="false" customHeight="false" outlineLevel="0" collapsed="false">
      <c r="B2185" s="7" t="s">
        <v>16830</v>
      </c>
      <c r="C2185" s="7" t="s">
        <v>2682</v>
      </c>
      <c r="D2185" s="7" t="s">
        <v>301</v>
      </c>
      <c r="E2185" s="7" t="s">
        <v>157</v>
      </c>
      <c r="F2185" s="39" t="n">
        <v>45769</v>
      </c>
      <c r="G2185" s="41" t="n">
        <v>173.25</v>
      </c>
      <c r="H2185" s="39" t="n">
        <v>45804</v>
      </c>
      <c r="I2185" s="7" t="s">
        <v>14651</v>
      </c>
      <c r="J2185" s="8" t="str">
        <f aca="false">IF(I2185="Open",DATE(2025,12,31)-F2185,"-")</f>
        <v>-</v>
      </c>
    </row>
    <row r="2186" customFormat="false" ht="15" hidden="false" customHeight="false" outlineLevel="0" collapsed="false">
      <c r="B2186" s="7" t="s">
        <v>16831</v>
      </c>
      <c r="C2186" s="7" t="s">
        <v>2683</v>
      </c>
      <c r="D2186" s="7" t="s">
        <v>313</v>
      </c>
      <c r="E2186" s="7" t="s">
        <v>156</v>
      </c>
      <c r="F2186" s="39" t="n">
        <v>45769</v>
      </c>
      <c r="G2186" s="41" t="n">
        <v>141.78</v>
      </c>
      <c r="H2186" s="39" t="n">
        <v>45787</v>
      </c>
      <c r="I2186" s="7" t="s">
        <v>14651</v>
      </c>
      <c r="J2186" s="8" t="str">
        <f aca="false">IF(I2186="Open",DATE(2025,12,31)-F2186,"-")</f>
        <v>-</v>
      </c>
    </row>
    <row r="2187" customFormat="false" ht="15" hidden="false" customHeight="false" outlineLevel="0" collapsed="false">
      <c r="B2187" s="7" t="s">
        <v>16832</v>
      </c>
      <c r="C2187" s="7" t="s">
        <v>2684</v>
      </c>
      <c r="D2187" s="7" t="s">
        <v>319</v>
      </c>
      <c r="E2187" s="7" t="s">
        <v>157</v>
      </c>
      <c r="F2187" s="39" t="n">
        <v>45769</v>
      </c>
      <c r="G2187" s="41" t="n">
        <v>163.02</v>
      </c>
      <c r="H2187" s="39" t="n">
        <v>45849</v>
      </c>
      <c r="I2187" s="7" t="s">
        <v>14651</v>
      </c>
      <c r="J2187" s="8" t="str">
        <f aca="false">IF(I2187="Open",DATE(2025,12,31)-F2187,"-")</f>
        <v>-</v>
      </c>
    </row>
    <row r="2188" customFormat="false" ht="15" hidden="false" customHeight="false" outlineLevel="0" collapsed="false">
      <c r="B2188" s="7" t="s">
        <v>16833</v>
      </c>
      <c r="C2188" s="7" t="s">
        <v>2685</v>
      </c>
      <c r="D2188" s="7" t="s">
        <v>321</v>
      </c>
      <c r="E2188" s="7" t="s">
        <v>154</v>
      </c>
      <c r="F2188" s="39" t="n">
        <v>45769</v>
      </c>
      <c r="G2188" s="41" t="n">
        <v>107.32</v>
      </c>
      <c r="H2188" s="39" t="n">
        <v>45878</v>
      </c>
      <c r="I2188" s="7" t="s">
        <v>14651</v>
      </c>
      <c r="J2188" s="8" t="str">
        <f aca="false">IF(I2188="Open",DATE(2025,12,31)-F2188,"-")</f>
        <v>-</v>
      </c>
    </row>
    <row r="2189" customFormat="false" ht="15" hidden="false" customHeight="false" outlineLevel="0" collapsed="false">
      <c r="B2189" s="7" t="s">
        <v>16834</v>
      </c>
      <c r="C2189" s="7" t="s">
        <v>2686</v>
      </c>
      <c r="D2189" s="7" t="s">
        <v>323</v>
      </c>
      <c r="E2189" s="7" t="s">
        <v>159</v>
      </c>
      <c r="F2189" s="39" t="n">
        <v>45769</v>
      </c>
      <c r="G2189" s="41" t="n">
        <v>137.7</v>
      </c>
      <c r="H2189" s="39" t="n">
        <v>45839</v>
      </c>
      <c r="I2189" s="7" t="s">
        <v>14651</v>
      </c>
      <c r="J2189" s="8" t="str">
        <f aca="false">IF(I2189="Open",DATE(2025,12,31)-F2189,"-")</f>
        <v>-</v>
      </c>
    </row>
    <row r="2190" customFormat="false" ht="15" hidden="false" customHeight="false" outlineLevel="0" collapsed="false">
      <c r="B2190" s="7" t="s">
        <v>16835</v>
      </c>
      <c r="C2190" s="7" t="s">
        <v>2687</v>
      </c>
      <c r="D2190" s="7" t="s">
        <v>327</v>
      </c>
      <c r="E2190" s="7" t="s">
        <v>157</v>
      </c>
      <c r="F2190" s="39" t="n">
        <v>45769</v>
      </c>
      <c r="G2190" s="41" t="n">
        <v>155.1</v>
      </c>
      <c r="H2190" s="39" t="n">
        <v>45802</v>
      </c>
      <c r="I2190" s="7" t="s">
        <v>14651</v>
      </c>
      <c r="J2190" s="8" t="str">
        <f aca="false">IF(I2190="Open",DATE(2025,12,31)-F2190,"-")</f>
        <v>-</v>
      </c>
    </row>
    <row r="2191" customFormat="false" ht="15" hidden="false" customHeight="false" outlineLevel="0" collapsed="false">
      <c r="B2191" s="7" t="s">
        <v>16836</v>
      </c>
      <c r="C2191" s="7" t="s">
        <v>2688</v>
      </c>
      <c r="D2191" s="7" t="s">
        <v>329</v>
      </c>
      <c r="E2191" s="7" t="s">
        <v>156</v>
      </c>
      <c r="F2191" s="39" t="n">
        <v>45769</v>
      </c>
      <c r="G2191" s="41" t="n">
        <v>125.8</v>
      </c>
      <c r="H2191" s="39" t="n">
        <v>45779</v>
      </c>
      <c r="I2191" s="7" t="s">
        <v>14651</v>
      </c>
      <c r="J2191" s="8" t="str">
        <f aca="false">IF(I2191="Open",DATE(2025,12,31)-F2191,"-")</f>
        <v>-</v>
      </c>
    </row>
    <row r="2192" customFormat="false" ht="15" hidden="false" customHeight="false" outlineLevel="0" collapsed="false">
      <c r="B2192" s="7" t="s">
        <v>16837</v>
      </c>
      <c r="C2192" s="7" t="s">
        <v>2689</v>
      </c>
      <c r="D2192" s="7" t="s">
        <v>359</v>
      </c>
      <c r="E2192" s="7" t="s">
        <v>156</v>
      </c>
      <c r="F2192" s="39" t="n">
        <v>45769</v>
      </c>
      <c r="G2192" s="41" t="n">
        <v>123.08</v>
      </c>
      <c r="H2192" s="39" t="n">
        <v>45775</v>
      </c>
      <c r="I2192" s="7" t="s">
        <v>14651</v>
      </c>
      <c r="J2192" s="8" t="str">
        <f aca="false">IF(I2192="Open",DATE(2025,12,31)-F2192,"-")</f>
        <v>-</v>
      </c>
    </row>
    <row r="2193" customFormat="false" ht="15" hidden="false" customHeight="false" outlineLevel="0" collapsed="false">
      <c r="B2193" s="7" t="s">
        <v>16838</v>
      </c>
      <c r="C2193" s="7" t="s">
        <v>2690</v>
      </c>
      <c r="D2193" s="7" t="s">
        <v>361</v>
      </c>
      <c r="E2193" s="7" t="s">
        <v>157</v>
      </c>
      <c r="F2193" s="39" t="n">
        <v>45769</v>
      </c>
      <c r="G2193" s="41" t="n">
        <v>171.6</v>
      </c>
      <c r="H2193" s="39" t="n">
        <v>45830</v>
      </c>
      <c r="I2193" s="7" t="s">
        <v>14651</v>
      </c>
      <c r="J2193" s="8" t="str">
        <f aca="false">IF(I2193="Open",DATE(2025,12,31)-F2193,"-")</f>
        <v>-</v>
      </c>
    </row>
    <row r="2194" customFormat="false" ht="15" hidden="false" customHeight="false" outlineLevel="0" collapsed="false">
      <c r="B2194" s="7" t="s">
        <v>16839</v>
      </c>
      <c r="C2194" s="7" t="s">
        <v>2691</v>
      </c>
      <c r="D2194" s="7" t="s">
        <v>365</v>
      </c>
      <c r="E2194" s="7" t="s">
        <v>154</v>
      </c>
      <c r="F2194" s="39" t="n">
        <v>45769</v>
      </c>
      <c r="G2194" s="41" t="n">
        <v>112.62</v>
      </c>
      <c r="H2194" s="39" t="n">
        <v>45876</v>
      </c>
      <c r="I2194" s="7" t="s">
        <v>14651</v>
      </c>
      <c r="J2194" s="8" t="str">
        <f aca="false">IF(I2194="Open",DATE(2025,12,31)-F2194,"-")</f>
        <v>-</v>
      </c>
    </row>
    <row r="2195" customFormat="false" ht="15" hidden="false" customHeight="false" outlineLevel="0" collapsed="false">
      <c r="B2195" s="7" t="s">
        <v>16840</v>
      </c>
      <c r="C2195" s="7" t="s">
        <v>2692</v>
      </c>
      <c r="D2195" s="7" t="s">
        <v>381</v>
      </c>
      <c r="E2195" s="7" t="s">
        <v>157</v>
      </c>
      <c r="F2195" s="39" t="n">
        <v>45769</v>
      </c>
      <c r="G2195" s="41" t="n">
        <v>142.56</v>
      </c>
      <c r="H2195" s="39" t="n">
        <v>45804</v>
      </c>
      <c r="I2195" s="7" t="s">
        <v>14651</v>
      </c>
      <c r="J2195" s="8" t="str">
        <f aca="false">IF(I2195="Open",DATE(2025,12,31)-F2195,"-")</f>
        <v>-</v>
      </c>
    </row>
    <row r="2196" customFormat="false" ht="15" hidden="false" customHeight="false" outlineLevel="0" collapsed="false">
      <c r="B2196" s="7" t="s">
        <v>16841</v>
      </c>
      <c r="C2196" s="7" t="s">
        <v>2693</v>
      </c>
      <c r="D2196" s="7" t="s">
        <v>389</v>
      </c>
      <c r="E2196" s="7" t="s">
        <v>154</v>
      </c>
      <c r="F2196" s="39" t="n">
        <v>45769</v>
      </c>
      <c r="G2196" s="41" t="n">
        <v>104.68</v>
      </c>
      <c r="H2196" s="39" t="n">
        <v>45830</v>
      </c>
      <c r="I2196" s="7" t="s">
        <v>14651</v>
      </c>
      <c r="J2196" s="8" t="str">
        <f aca="false">IF(I2196="Open",DATE(2025,12,31)-F2196,"-")</f>
        <v>-</v>
      </c>
    </row>
    <row r="2197" customFormat="false" ht="15" hidden="false" customHeight="false" outlineLevel="0" collapsed="false">
      <c r="B2197" s="7" t="s">
        <v>16842</v>
      </c>
      <c r="C2197" s="7" t="s">
        <v>2694</v>
      </c>
      <c r="D2197" s="7" t="s">
        <v>391</v>
      </c>
      <c r="E2197" s="7" t="s">
        <v>156</v>
      </c>
      <c r="F2197" s="39" t="n">
        <v>45769</v>
      </c>
      <c r="G2197" s="41" t="n">
        <v>130.9</v>
      </c>
      <c r="H2197" s="39" t="n">
        <v>45782</v>
      </c>
      <c r="I2197" s="7" t="s">
        <v>14651</v>
      </c>
      <c r="J2197" s="8" t="str">
        <f aca="false">IF(I2197="Open",DATE(2025,12,31)-F2197,"-")</f>
        <v>-</v>
      </c>
    </row>
    <row r="2198" customFormat="false" ht="15" hidden="false" customHeight="false" outlineLevel="0" collapsed="false">
      <c r="B2198" s="7" t="s">
        <v>16843</v>
      </c>
      <c r="C2198" s="7" t="s">
        <v>2695</v>
      </c>
      <c r="D2198" s="7" t="s">
        <v>395</v>
      </c>
      <c r="E2198" s="7" t="s">
        <v>156</v>
      </c>
      <c r="F2198" s="39" t="n">
        <v>45769</v>
      </c>
      <c r="G2198" s="41" t="n">
        <v>125.12</v>
      </c>
      <c r="H2198" s="39" t="n">
        <v>45782</v>
      </c>
      <c r="I2198" s="7" t="s">
        <v>14651</v>
      </c>
      <c r="J2198" s="8" t="str">
        <f aca="false">IF(I2198="Open",DATE(2025,12,31)-F2198,"-")</f>
        <v>-</v>
      </c>
    </row>
    <row r="2199" customFormat="false" ht="15" hidden="false" customHeight="false" outlineLevel="0" collapsed="false">
      <c r="B2199" s="7" t="s">
        <v>16844</v>
      </c>
      <c r="C2199" s="7" t="s">
        <v>2696</v>
      </c>
      <c r="D2199" s="7" t="s">
        <v>397</v>
      </c>
      <c r="E2199" s="7" t="s">
        <v>159</v>
      </c>
      <c r="F2199" s="39" t="n">
        <v>45769</v>
      </c>
      <c r="G2199" s="41" t="n">
        <v>128.25</v>
      </c>
      <c r="H2199" s="39" t="n">
        <v>45804</v>
      </c>
      <c r="I2199" s="7" t="s">
        <v>14651</v>
      </c>
      <c r="J2199" s="8" t="str">
        <f aca="false">IF(I2199="Open",DATE(2025,12,31)-F2199,"-")</f>
        <v>-</v>
      </c>
    </row>
    <row r="2200" customFormat="false" ht="15" hidden="false" customHeight="false" outlineLevel="0" collapsed="false">
      <c r="B2200" s="7" t="s">
        <v>16845</v>
      </c>
      <c r="C2200" s="7" t="s">
        <v>2697</v>
      </c>
      <c r="D2200" s="7" t="s">
        <v>401</v>
      </c>
      <c r="E2200" s="7" t="s">
        <v>156</v>
      </c>
      <c r="F2200" s="39" t="n">
        <v>45769</v>
      </c>
      <c r="G2200" s="41" t="n">
        <v>133.62</v>
      </c>
      <c r="H2200" s="39" t="n">
        <v>45777</v>
      </c>
      <c r="I2200" s="7" t="s">
        <v>14651</v>
      </c>
      <c r="J2200" s="8" t="str">
        <f aca="false">IF(I2200="Open",DATE(2025,12,31)-F2200,"-")</f>
        <v>-</v>
      </c>
    </row>
    <row r="2201" customFormat="false" ht="15" hidden="false" customHeight="false" outlineLevel="0" collapsed="false">
      <c r="B2201" s="7" t="s">
        <v>16846</v>
      </c>
      <c r="C2201" s="7" t="s">
        <v>2698</v>
      </c>
      <c r="D2201" s="7" t="s">
        <v>407</v>
      </c>
      <c r="E2201" s="7" t="s">
        <v>159</v>
      </c>
      <c r="F2201" s="39" t="n">
        <v>45769</v>
      </c>
      <c r="G2201" s="41" t="n">
        <v>121.77</v>
      </c>
      <c r="H2201" s="39" t="n">
        <v>45823</v>
      </c>
      <c r="I2201" s="7" t="s">
        <v>14651</v>
      </c>
      <c r="J2201" s="8" t="str">
        <f aca="false">IF(I2201="Open",DATE(2025,12,31)-F2201,"-")</f>
        <v>-</v>
      </c>
    </row>
    <row r="2202" customFormat="false" ht="15" hidden="false" customHeight="false" outlineLevel="0" collapsed="false">
      <c r="B2202" s="7" t="s">
        <v>16847</v>
      </c>
      <c r="C2202" s="7" t="s">
        <v>2699</v>
      </c>
      <c r="D2202" s="7" t="s">
        <v>280</v>
      </c>
      <c r="E2202" s="7" t="s">
        <v>157</v>
      </c>
      <c r="F2202" s="39" t="n">
        <v>45770</v>
      </c>
      <c r="G2202" s="41" t="n">
        <v>161.7</v>
      </c>
      <c r="H2202" s="39" t="n">
        <v>45794</v>
      </c>
      <c r="I2202" s="7" t="s">
        <v>14651</v>
      </c>
      <c r="J2202" s="8" t="str">
        <f aca="false">IF(I2202="Open",DATE(2025,12,31)-F2202,"-")</f>
        <v>-</v>
      </c>
    </row>
    <row r="2203" customFormat="false" ht="15" hidden="false" customHeight="false" outlineLevel="0" collapsed="false">
      <c r="B2203" s="7" t="s">
        <v>16848</v>
      </c>
      <c r="C2203" s="7" t="s">
        <v>2700</v>
      </c>
      <c r="D2203" s="7" t="s">
        <v>286</v>
      </c>
      <c r="E2203" s="7" t="s">
        <v>157</v>
      </c>
      <c r="F2203" s="39" t="n">
        <v>45770</v>
      </c>
      <c r="G2203" s="41" t="n">
        <v>158.4</v>
      </c>
      <c r="H2203" s="39" t="n">
        <v>45844</v>
      </c>
      <c r="I2203" s="7" t="s">
        <v>14651</v>
      </c>
      <c r="J2203" s="8" t="str">
        <f aca="false">IF(I2203="Open",DATE(2025,12,31)-F2203,"-")</f>
        <v>-</v>
      </c>
    </row>
    <row r="2204" customFormat="false" ht="15" hidden="false" customHeight="false" outlineLevel="0" collapsed="false">
      <c r="B2204" s="7" t="s">
        <v>16849</v>
      </c>
      <c r="C2204" s="7" t="s">
        <v>2701</v>
      </c>
      <c r="D2204" s="7" t="s">
        <v>288</v>
      </c>
      <c r="E2204" s="7" t="s">
        <v>156</v>
      </c>
      <c r="F2204" s="39" t="n">
        <v>45770</v>
      </c>
      <c r="G2204" s="41" t="n">
        <v>125.8</v>
      </c>
      <c r="H2204" s="39" t="n">
        <v>45784</v>
      </c>
      <c r="I2204" s="7" t="s">
        <v>14651</v>
      </c>
      <c r="J2204" s="8" t="str">
        <f aca="false">IF(I2204="Open",DATE(2025,12,31)-F2204,"-")</f>
        <v>-</v>
      </c>
    </row>
    <row r="2205" customFormat="false" ht="15" hidden="false" customHeight="false" outlineLevel="0" collapsed="false">
      <c r="B2205" s="7" t="s">
        <v>16850</v>
      </c>
      <c r="C2205" s="7" t="s">
        <v>2702</v>
      </c>
      <c r="D2205" s="7" t="s">
        <v>291</v>
      </c>
      <c r="E2205" s="7" t="s">
        <v>154</v>
      </c>
      <c r="F2205" s="39" t="n">
        <v>45770</v>
      </c>
      <c r="G2205" s="41" t="n">
        <v>125.88</v>
      </c>
      <c r="H2205" s="39" t="n">
        <v>45824</v>
      </c>
      <c r="I2205" s="7" t="s">
        <v>14651</v>
      </c>
      <c r="J2205" s="8" t="str">
        <f aca="false">IF(I2205="Open",DATE(2025,12,31)-F2205,"-")</f>
        <v>-</v>
      </c>
    </row>
    <row r="2206" customFormat="false" ht="15" hidden="false" customHeight="false" outlineLevel="0" collapsed="false">
      <c r="B2206" s="7" t="s">
        <v>16851</v>
      </c>
      <c r="C2206" s="7" t="s">
        <v>2703</v>
      </c>
      <c r="D2206" s="7" t="s">
        <v>305</v>
      </c>
      <c r="E2206" s="7" t="s">
        <v>154</v>
      </c>
      <c r="F2206" s="39" t="n">
        <v>45770</v>
      </c>
      <c r="G2206" s="41" t="n">
        <v>100.51</v>
      </c>
      <c r="H2206" s="39" t="n">
        <v>45845</v>
      </c>
      <c r="I2206" s="7" t="s">
        <v>14651</v>
      </c>
      <c r="J2206" s="8" t="str">
        <f aca="false">IF(I2206="Open",DATE(2025,12,31)-F2206,"-")</f>
        <v>-</v>
      </c>
    </row>
    <row r="2207" customFormat="false" ht="15" hidden="false" customHeight="false" outlineLevel="0" collapsed="false">
      <c r="B2207" s="7" t="s">
        <v>16852</v>
      </c>
      <c r="C2207" s="7" t="s">
        <v>2704</v>
      </c>
      <c r="D2207" s="7" t="s">
        <v>307</v>
      </c>
      <c r="E2207" s="7" t="s">
        <v>157</v>
      </c>
      <c r="F2207" s="39" t="n">
        <v>45770</v>
      </c>
      <c r="G2207" s="41" t="n">
        <v>163.35</v>
      </c>
      <c r="H2207" s="39" t="n">
        <v>45807</v>
      </c>
      <c r="I2207" s="7" t="s">
        <v>14651</v>
      </c>
      <c r="J2207" s="8" t="str">
        <f aca="false">IF(I2207="Open",DATE(2025,12,31)-F2207,"-")</f>
        <v>-</v>
      </c>
    </row>
    <row r="2208" customFormat="false" ht="15" hidden="false" customHeight="false" outlineLevel="0" collapsed="false">
      <c r="B2208" s="7" t="s">
        <v>16853</v>
      </c>
      <c r="C2208" s="7" t="s">
        <v>2705</v>
      </c>
      <c r="D2208" s="7" t="s">
        <v>309</v>
      </c>
      <c r="E2208" s="7" t="s">
        <v>159</v>
      </c>
      <c r="F2208" s="39" t="n">
        <v>45770</v>
      </c>
      <c r="G2208" s="41" t="n">
        <v>132.3</v>
      </c>
      <c r="H2208" s="39" t="n">
        <v>45823</v>
      </c>
      <c r="I2208" s="7" t="s">
        <v>14651</v>
      </c>
      <c r="J2208" s="8" t="str">
        <f aca="false">IF(I2208="Open",DATE(2025,12,31)-F2208,"-")</f>
        <v>-</v>
      </c>
    </row>
    <row r="2209" customFormat="false" ht="15" hidden="false" customHeight="false" outlineLevel="0" collapsed="false">
      <c r="B2209" s="7" t="s">
        <v>16854</v>
      </c>
      <c r="C2209" s="7" t="s">
        <v>2706</v>
      </c>
      <c r="D2209" s="7" t="s">
        <v>313</v>
      </c>
      <c r="E2209" s="7" t="s">
        <v>156</v>
      </c>
      <c r="F2209" s="39" t="n">
        <v>45770</v>
      </c>
      <c r="G2209" s="41" t="n">
        <v>129.88</v>
      </c>
      <c r="H2209" s="39" t="n">
        <v>45779</v>
      </c>
      <c r="I2209" s="7" t="s">
        <v>14651</v>
      </c>
      <c r="J2209" s="8" t="str">
        <f aca="false">IF(I2209="Open",DATE(2025,12,31)-F2209,"-")</f>
        <v>-</v>
      </c>
    </row>
    <row r="2210" customFormat="false" ht="15" hidden="false" customHeight="false" outlineLevel="0" collapsed="false">
      <c r="B2210" s="7" t="s">
        <v>16855</v>
      </c>
      <c r="C2210" s="7" t="s">
        <v>2707</v>
      </c>
      <c r="D2210" s="7" t="s">
        <v>321</v>
      </c>
      <c r="E2210" s="7" t="s">
        <v>154</v>
      </c>
      <c r="F2210" s="39" t="n">
        <v>45770</v>
      </c>
      <c r="G2210" s="41" t="n">
        <v>100.7</v>
      </c>
      <c r="H2210" s="39" t="n">
        <v>45869</v>
      </c>
      <c r="I2210" s="7" t="s">
        <v>14651</v>
      </c>
      <c r="J2210" s="8" t="str">
        <f aca="false">IF(I2210="Open",DATE(2025,12,31)-F2210,"-")</f>
        <v>-</v>
      </c>
    </row>
    <row r="2211" customFormat="false" ht="15" hidden="false" customHeight="false" outlineLevel="0" collapsed="false">
      <c r="B2211" s="7" t="s">
        <v>16856</v>
      </c>
      <c r="C2211" s="7" t="s">
        <v>2708</v>
      </c>
      <c r="D2211" s="7" t="s">
        <v>329</v>
      </c>
      <c r="E2211" s="7" t="s">
        <v>156</v>
      </c>
      <c r="F2211" s="39" t="n">
        <v>45770</v>
      </c>
      <c r="G2211" s="41" t="n">
        <v>130.56</v>
      </c>
      <c r="H2211" s="39" t="n">
        <v>45786</v>
      </c>
      <c r="I2211" s="7" t="s">
        <v>14651</v>
      </c>
      <c r="J2211" s="8" t="str">
        <f aca="false">IF(I2211="Open",DATE(2025,12,31)-F2211,"-")</f>
        <v>-</v>
      </c>
    </row>
    <row r="2212" customFormat="false" ht="15" hidden="false" customHeight="false" outlineLevel="0" collapsed="false">
      <c r="B2212" s="7" t="s">
        <v>16857</v>
      </c>
      <c r="C2212" s="7" t="s">
        <v>2709</v>
      </c>
      <c r="D2212" s="7" t="s">
        <v>335</v>
      </c>
      <c r="E2212" s="7" t="s">
        <v>154</v>
      </c>
      <c r="F2212" s="39" t="n">
        <v>45770</v>
      </c>
      <c r="G2212" s="41" t="n">
        <v>108.92</v>
      </c>
      <c r="H2212" s="39" t="n">
        <v>45848</v>
      </c>
      <c r="I2212" s="7" t="s">
        <v>14651</v>
      </c>
      <c r="J2212" s="8" t="str">
        <f aca="false">IF(I2212="Open",DATE(2025,12,31)-F2212,"-")</f>
        <v>-</v>
      </c>
    </row>
    <row r="2213" customFormat="false" ht="15" hidden="false" customHeight="false" outlineLevel="0" collapsed="false">
      <c r="B2213" s="7" t="s">
        <v>16858</v>
      </c>
      <c r="C2213" s="7" t="s">
        <v>2710</v>
      </c>
      <c r="D2213" s="7" t="s">
        <v>339</v>
      </c>
      <c r="E2213" s="7" t="s">
        <v>154</v>
      </c>
      <c r="F2213" s="39" t="n">
        <v>45770</v>
      </c>
      <c r="G2213" s="41" t="n">
        <v>86.12</v>
      </c>
      <c r="H2213" s="39" t="n">
        <v>45881</v>
      </c>
      <c r="I2213" s="7" t="s">
        <v>14651</v>
      </c>
      <c r="J2213" s="8" t="str">
        <f aca="false">IF(I2213="Open",DATE(2025,12,31)-F2213,"-")</f>
        <v>-</v>
      </c>
    </row>
    <row r="2214" customFormat="false" ht="15" hidden="false" customHeight="false" outlineLevel="0" collapsed="false">
      <c r="B2214" s="7" t="s">
        <v>16859</v>
      </c>
      <c r="C2214" s="7" t="s">
        <v>2711</v>
      </c>
      <c r="D2214" s="7" t="s">
        <v>353</v>
      </c>
      <c r="E2214" s="7" t="s">
        <v>154</v>
      </c>
      <c r="F2214" s="39" t="n">
        <v>45770</v>
      </c>
      <c r="G2214" s="41" t="n">
        <v>89.04</v>
      </c>
      <c r="H2214" s="39" t="n">
        <v>45813</v>
      </c>
      <c r="I2214" s="7" t="s">
        <v>14651</v>
      </c>
      <c r="J2214" s="8" t="str">
        <f aca="false">IF(I2214="Open",DATE(2025,12,31)-F2214,"-")</f>
        <v>-</v>
      </c>
    </row>
    <row r="2215" customFormat="false" ht="15" hidden="false" customHeight="false" outlineLevel="0" collapsed="false">
      <c r="B2215" s="7" t="s">
        <v>16860</v>
      </c>
      <c r="C2215" s="7" t="s">
        <v>2712</v>
      </c>
      <c r="D2215" s="7" t="s">
        <v>357</v>
      </c>
      <c r="E2215" s="7" t="s">
        <v>154</v>
      </c>
      <c r="F2215" s="39" t="n">
        <v>45770</v>
      </c>
      <c r="G2215" s="41" t="n">
        <v>96.46</v>
      </c>
      <c r="H2215" s="39" t="n">
        <v>45826</v>
      </c>
      <c r="I2215" s="7" t="s">
        <v>14651</v>
      </c>
      <c r="J2215" s="8" t="str">
        <f aca="false">IF(I2215="Open",DATE(2025,12,31)-F2215,"-")</f>
        <v>-</v>
      </c>
    </row>
    <row r="2216" customFormat="false" ht="15" hidden="false" customHeight="false" outlineLevel="0" collapsed="false">
      <c r="B2216" s="7" t="s">
        <v>16861</v>
      </c>
      <c r="C2216" s="7" t="s">
        <v>2713</v>
      </c>
      <c r="D2216" s="7" t="s">
        <v>359</v>
      </c>
      <c r="E2216" s="7" t="s">
        <v>156</v>
      </c>
      <c r="F2216" s="39" t="n">
        <v>45770</v>
      </c>
      <c r="G2216" s="41" t="n">
        <v>126.82</v>
      </c>
      <c r="H2216" s="39" t="n">
        <v>45778</v>
      </c>
      <c r="I2216" s="7" t="s">
        <v>14651</v>
      </c>
      <c r="J2216" s="8" t="str">
        <f aca="false">IF(I2216="Open",DATE(2025,12,31)-F2216,"-")</f>
        <v>-</v>
      </c>
    </row>
    <row r="2217" customFormat="false" ht="15" hidden="false" customHeight="false" outlineLevel="0" collapsed="false">
      <c r="B2217" s="7" t="s">
        <v>16862</v>
      </c>
      <c r="C2217" s="7" t="s">
        <v>2714</v>
      </c>
      <c r="D2217" s="7" t="s">
        <v>365</v>
      </c>
      <c r="E2217" s="7" t="s">
        <v>154</v>
      </c>
      <c r="F2217" s="39" t="n">
        <v>45770</v>
      </c>
      <c r="G2217" s="41" t="n">
        <v>101.23</v>
      </c>
      <c r="H2217" s="39" t="n">
        <v>45818</v>
      </c>
      <c r="I2217" s="7" t="s">
        <v>14651</v>
      </c>
      <c r="J2217" s="8" t="str">
        <f aca="false">IF(I2217="Open",DATE(2025,12,31)-F2217,"-")</f>
        <v>-</v>
      </c>
    </row>
    <row r="2218" customFormat="false" ht="15" hidden="false" customHeight="false" outlineLevel="0" collapsed="false">
      <c r="B2218" s="7" t="s">
        <v>16863</v>
      </c>
      <c r="C2218" s="7" t="s">
        <v>2715</v>
      </c>
      <c r="D2218" s="7" t="s">
        <v>371</v>
      </c>
      <c r="E2218" s="7" t="s">
        <v>154</v>
      </c>
      <c r="F2218" s="39" t="n">
        <v>45770</v>
      </c>
      <c r="G2218" s="41" t="n">
        <v>135.94</v>
      </c>
      <c r="H2218" s="39" t="n">
        <v>45814</v>
      </c>
      <c r="I2218" s="7" t="s">
        <v>14651</v>
      </c>
      <c r="J2218" s="8" t="str">
        <f aca="false">IF(I2218="Open",DATE(2025,12,31)-F2218,"-")</f>
        <v>-</v>
      </c>
    </row>
    <row r="2219" customFormat="false" ht="15" hidden="false" customHeight="false" outlineLevel="0" collapsed="false">
      <c r="B2219" s="7" t="s">
        <v>16864</v>
      </c>
      <c r="C2219" s="7" t="s">
        <v>2716</v>
      </c>
      <c r="D2219" s="7" t="s">
        <v>379</v>
      </c>
      <c r="E2219" s="7" t="s">
        <v>156</v>
      </c>
      <c r="F2219" s="39" t="n">
        <v>45770</v>
      </c>
      <c r="G2219" s="41" t="n">
        <v>169.32</v>
      </c>
      <c r="H2219" s="39" t="n">
        <v>45776</v>
      </c>
      <c r="I2219" s="7" t="s">
        <v>14651</v>
      </c>
      <c r="J2219" s="8" t="str">
        <f aca="false">IF(I2219="Open",DATE(2025,12,31)-F2219,"-")</f>
        <v>-</v>
      </c>
    </row>
    <row r="2220" customFormat="false" ht="15" hidden="false" customHeight="false" outlineLevel="0" collapsed="false">
      <c r="B2220" s="7" t="s">
        <v>16865</v>
      </c>
      <c r="C2220" s="7" t="s">
        <v>2717</v>
      </c>
      <c r="D2220" s="7" t="s">
        <v>385</v>
      </c>
      <c r="E2220" s="7" t="s">
        <v>156</v>
      </c>
      <c r="F2220" s="39" t="n">
        <v>45770</v>
      </c>
      <c r="G2220" s="41" t="n">
        <v>137.02</v>
      </c>
      <c r="H2220" s="39" t="n">
        <v>45787</v>
      </c>
      <c r="I2220" s="7" t="s">
        <v>14651</v>
      </c>
      <c r="J2220" s="8" t="str">
        <f aca="false">IF(I2220="Open",DATE(2025,12,31)-F2220,"-")</f>
        <v>-</v>
      </c>
    </row>
    <row r="2221" customFormat="false" ht="15" hidden="false" customHeight="false" outlineLevel="0" collapsed="false">
      <c r="B2221" s="7" t="s">
        <v>16866</v>
      </c>
      <c r="C2221" s="7" t="s">
        <v>2718</v>
      </c>
      <c r="D2221" s="7" t="s">
        <v>389</v>
      </c>
      <c r="E2221" s="7" t="s">
        <v>154</v>
      </c>
      <c r="F2221" s="39" t="n">
        <v>45770</v>
      </c>
      <c r="G2221" s="41" t="n">
        <v>110.24</v>
      </c>
      <c r="H2221" s="39" t="n">
        <v>45807</v>
      </c>
      <c r="I2221" s="7" t="s">
        <v>14651</v>
      </c>
      <c r="J2221" s="8" t="str">
        <f aca="false">IF(I2221="Open",DATE(2025,12,31)-F2221,"-")</f>
        <v>-</v>
      </c>
    </row>
    <row r="2222" customFormat="false" ht="15" hidden="false" customHeight="false" outlineLevel="0" collapsed="false">
      <c r="B2222" s="7" t="s">
        <v>16867</v>
      </c>
      <c r="C2222" s="7" t="s">
        <v>2719</v>
      </c>
      <c r="D2222" s="7" t="s">
        <v>391</v>
      </c>
      <c r="E2222" s="7" t="s">
        <v>156</v>
      </c>
      <c r="F2222" s="39" t="n">
        <v>45770</v>
      </c>
      <c r="G2222" s="41" t="n">
        <v>149.6</v>
      </c>
      <c r="H2222" s="39" t="n">
        <v>45777</v>
      </c>
      <c r="I2222" s="7" t="s">
        <v>14651</v>
      </c>
      <c r="J2222" s="8" t="str">
        <f aca="false">IF(I2222="Open",DATE(2025,12,31)-F2222,"-")</f>
        <v>-</v>
      </c>
    </row>
    <row r="2223" customFormat="false" ht="15" hidden="false" customHeight="false" outlineLevel="0" collapsed="false">
      <c r="B2223" s="7" t="s">
        <v>16868</v>
      </c>
      <c r="C2223" s="7" t="s">
        <v>2720</v>
      </c>
      <c r="D2223" s="7" t="s">
        <v>393</v>
      </c>
      <c r="E2223" s="7" t="s">
        <v>157</v>
      </c>
      <c r="F2223" s="39" t="n">
        <v>45770</v>
      </c>
      <c r="G2223" s="41" t="n">
        <v>165</v>
      </c>
      <c r="H2223" s="39" t="n">
        <v>45805</v>
      </c>
      <c r="I2223" s="7" t="s">
        <v>14651</v>
      </c>
      <c r="J2223" s="8" t="str">
        <f aca="false">IF(I2223="Open",DATE(2025,12,31)-F2223,"-")</f>
        <v>-</v>
      </c>
    </row>
    <row r="2224" customFormat="false" ht="15" hidden="false" customHeight="false" outlineLevel="0" collapsed="false">
      <c r="B2224" s="7" t="s">
        <v>16869</v>
      </c>
      <c r="C2224" s="7" t="s">
        <v>2721</v>
      </c>
      <c r="D2224" s="7" t="s">
        <v>395</v>
      </c>
      <c r="E2224" s="7" t="s">
        <v>156</v>
      </c>
      <c r="F2224" s="39" t="n">
        <v>45770</v>
      </c>
      <c r="G2224" s="41" t="n">
        <v>148.24</v>
      </c>
      <c r="H2224" s="39" t="n">
        <v>45780</v>
      </c>
      <c r="I2224" s="7" t="s">
        <v>14651</v>
      </c>
      <c r="J2224" s="8" t="str">
        <f aca="false">IF(I2224="Open",DATE(2025,12,31)-F2224,"-")</f>
        <v>-</v>
      </c>
    </row>
    <row r="2225" customFormat="false" ht="15" hidden="false" customHeight="false" outlineLevel="0" collapsed="false">
      <c r="B2225" s="7" t="s">
        <v>16870</v>
      </c>
      <c r="C2225" s="7" t="s">
        <v>2722</v>
      </c>
      <c r="D2225" s="7" t="s">
        <v>399</v>
      </c>
      <c r="E2225" s="7" t="s">
        <v>154</v>
      </c>
      <c r="F2225" s="39" t="n">
        <v>45770</v>
      </c>
      <c r="G2225" s="41" t="n">
        <v>91.95</v>
      </c>
      <c r="H2225" s="39" t="n">
        <v>45825</v>
      </c>
      <c r="I2225" s="7" t="s">
        <v>14651</v>
      </c>
      <c r="J2225" s="8" t="str">
        <f aca="false">IF(I2225="Open",DATE(2025,12,31)-F2225,"-")</f>
        <v>-</v>
      </c>
    </row>
    <row r="2226" customFormat="false" ht="15" hidden="false" customHeight="false" outlineLevel="0" collapsed="false">
      <c r="B2226" s="7" t="s">
        <v>16871</v>
      </c>
      <c r="C2226" s="7" t="s">
        <v>2723</v>
      </c>
      <c r="D2226" s="7" t="s">
        <v>401</v>
      </c>
      <c r="E2226" s="7" t="s">
        <v>156</v>
      </c>
      <c r="F2226" s="39" t="n">
        <v>45770</v>
      </c>
      <c r="G2226" s="41" t="n">
        <v>131.24</v>
      </c>
      <c r="H2226" s="39" t="n">
        <v>45782</v>
      </c>
      <c r="I2226" s="7" t="s">
        <v>14651</v>
      </c>
      <c r="J2226" s="8" t="str">
        <f aca="false">IF(I2226="Open",DATE(2025,12,31)-F2226,"-")</f>
        <v>-</v>
      </c>
    </row>
    <row r="2227" customFormat="false" ht="15" hidden="false" customHeight="false" outlineLevel="0" collapsed="false">
      <c r="B2227" s="7" t="s">
        <v>16872</v>
      </c>
      <c r="C2227" s="7" t="s">
        <v>2724</v>
      </c>
      <c r="D2227" s="7" t="s">
        <v>409</v>
      </c>
      <c r="E2227" s="7" t="s">
        <v>154</v>
      </c>
      <c r="F2227" s="39" t="n">
        <v>45770</v>
      </c>
      <c r="G2227" s="41" t="n">
        <v>82.76</v>
      </c>
      <c r="H2227" s="39" t="n">
        <v>45830</v>
      </c>
      <c r="I2227" s="7" t="s">
        <v>14651</v>
      </c>
      <c r="J2227" s="8" t="str">
        <f aca="false">IF(I2227="Open",DATE(2025,12,31)-F2227,"-")</f>
        <v>-</v>
      </c>
    </row>
    <row r="2228" customFormat="false" ht="15" hidden="false" customHeight="false" outlineLevel="0" collapsed="false">
      <c r="B2228" s="7" t="s">
        <v>16873</v>
      </c>
      <c r="C2228" s="7" t="s">
        <v>2725</v>
      </c>
      <c r="D2228" s="7" t="s">
        <v>411</v>
      </c>
      <c r="E2228" s="7" t="s">
        <v>154</v>
      </c>
      <c r="F2228" s="39" t="n">
        <v>45770</v>
      </c>
      <c r="G2228" s="41" t="n">
        <v>130.06</v>
      </c>
      <c r="H2228" s="39" t="n">
        <v>45830</v>
      </c>
      <c r="I2228" s="7" t="s">
        <v>14651</v>
      </c>
      <c r="J2228" s="8" t="str">
        <f aca="false">IF(I2228="Open",DATE(2025,12,31)-F2228,"-")</f>
        <v>-</v>
      </c>
    </row>
    <row r="2229" customFormat="false" ht="15" hidden="false" customHeight="false" outlineLevel="0" collapsed="false">
      <c r="B2229" s="7" t="s">
        <v>16874</v>
      </c>
      <c r="C2229" s="7" t="s">
        <v>2726</v>
      </c>
      <c r="D2229" s="7" t="s">
        <v>288</v>
      </c>
      <c r="E2229" s="7" t="s">
        <v>156</v>
      </c>
      <c r="F2229" s="39" t="n">
        <v>45771</v>
      </c>
      <c r="G2229" s="41" t="n">
        <v>122.74</v>
      </c>
      <c r="H2229" s="39" t="n">
        <v>45783</v>
      </c>
      <c r="I2229" s="7" t="s">
        <v>14651</v>
      </c>
      <c r="J2229" s="8" t="str">
        <f aca="false">IF(I2229="Open",DATE(2025,12,31)-F2229,"-")</f>
        <v>-</v>
      </c>
    </row>
    <row r="2230" customFormat="false" ht="15" hidden="false" customHeight="false" outlineLevel="0" collapsed="false">
      <c r="B2230" s="7" t="s">
        <v>16875</v>
      </c>
      <c r="C2230" s="7" t="s">
        <v>2727</v>
      </c>
      <c r="D2230" s="7" t="s">
        <v>297</v>
      </c>
      <c r="E2230" s="7" t="s">
        <v>156</v>
      </c>
      <c r="F2230" s="39" t="n">
        <v>45771</v>
      </c>
      <c r="G2230" s="41" t="n">
        <v>106.08</v>
      </c>
      <c r="H2230" s="39" t="n">
        <v>45783</v>
      </c>
      <c r="I2230" s="7" t="s">
        <v>14651</v>
      </c>
      <c r="J2230" s="8" t="str">
        <f aca="false">IF(I2230="Open",DATE(2025,12,31)-F2230,"-")</f>
        <v>-</v>
      </c>
    </row>
    <row r="2231" customFormat="false" ht="15" hidden="false" customHeight="false" outlineLevel="0" collapsed="false">
      <c r="B2231" s="7" t="s">
        <v>16876</v>
      </c>
      <c r="C2231" s="7" t="s">
        <v>2728</v>
      </c>
      <c r="D2231" s="7" t="s">
        <v>311</v>
      </c>
      <c r="E2231" s="7" t="s">
        <v>154</v>
      </c>
      <c r="F2231" s="39" t="n">
        <v>45771</v>
      </c>
      <c r="G2231" s="41" t="n">
        <v>72.88</v>
      </c>
      <c r="H2231" s="39" t="n">
        <v>45827</v>
      </c>
      <c r="I2231" s="7" t="s">
        <v>14651</v>
      </c>
      <c r="J2231" s="8" t="str">
        <f aca="false">IF(I2231="Open",DATE(2025,12,31)-F2231,"-")</f>
        <v>-</v>
      </c>
    </row>
    <row r="2232" customFormat="false" ht="15" hidden="false" customHeight="false" outlineLevel="0" collapsed="false">
      <c r="B2232" s="7" t="s">
        <v>16877</v>
      </c>
      <c r="C2232" s="7" t="s">
        <v>2729</v>
      </c>
      <c r="D2232" s="7" t="s">
        <v>313</v>
      </c>
      <c r="E2232" s="7" t="s">
        <v>156</v>
      </c>
      <c r="F2232" s="39" t="n">
        <v>45771</v>
      </c>
      <c r="G2232" s="41" t="n">
        <v>137.02</v>
      </c>
      <c r="H2232" s="39" t="n">
        <v>45789</v>
      </c>
      <c r="I2232" s="7" t="s">
        <v>14651</v>
      </c>
      <c r="J2232" s="8" t="str">
        <f aca="false">IF(I2232="Open",DATE(2025,12,31)-F2232,"-")</f>
        <v>-</v>
      </c>
    </row>
    <row r="2233" customFormat="false" ht="15" hidden="false" customHeight="false" outlineLevel="0" collapsed="false">
      <c r="B2233" s="7" t="s">
        <v>16878</v>
      </c>
      <c r="C2233" s="7" t="s">
        <v>2730</v>
      </c>
      <c r="D2233" s="7" t="s">
        <v>317</v>
      </c>
      <c r="E2233" s="7" t="s">
        <v>156</v>
      </c>
      <c r="F2233" s="39" t="n">
        <v>45771</v>
      </c>
      <c r="G2233" s="41" t="n">
        <v>100.98</v>
      </c>
      <c r="H2233" s="39" t="n">
        <v>45786</v>
      </c>
      <c r="I2233" s="7" t="s">
        <v>14651</v>
      </c>
      <c r="J2233" s="8" t="str">
        <f aca="false">IF(I2233="Open",DATE(2025,12,31)-F2233,"-")</f>
        <v>-</v>
      </c>
    </row>
    <row r="2234" customFormat="false" ht="15" hidden="false" customHeight="false" outlineLevel="0" collapsed="false">
      <c r="B2234" s="7" t="s">
        <v>16879</v>
      </c>
      <c r="C2234" s="7" t="s">
        <v>2731</v>
      </c>
      <c r="D2234" s="7" t="s">
        <v>321</v>
      </c>
      <c r="E2234" s="7" t="s">
        <v>154</v>
      </c>
      <c r="F2234" s="39" t="n">
        <v>45771</v>
      </c>
      <c r="G2234" s="41" t="n">
        <v>103.35</v>
      </c>
      <c r="H2234" s="39" t="n">
        <v>45873</v>
      </c>
      <c r="I2234" s="7" t="s">
        <v>14651</v>
      </c>
      <c r="J2234" s="8" t="str">
        <f aca="false">IF(I2234="Open",DATE(2025,12,31)-F2234,"-")</f>
        <v>-</v>
      </c>
    </row>
    <row r="2235" customFormat="false" ht="15" hidden="false" customHeight="false" outlineLevel="0" collapsed="false">
      <c r="B2235" s="7" t="s">
        <v>16880</v>
      </c>
      <c r="C2235" s="7" t="s">
        <v>2732</v>
      </c>
      <c r="D2235" s="7" t="s">
        <v>325</v>
      </c>
      <c r="E2235" s="7" t="s">
        <v>154</v>
      </c>
      <c r="F2235" s="39" t="n">
        <v>45771</v>
      </c>
      <c r="G2235" s="41" t="n">
        <v>84.8</v>
      </c>
      <c r="H2235" s="39" t="n">
        <v>45811</v>
      </c>
      <c r="I2235" s="7" t="s">
        <v>14651</v>
      </c>
      <c r="J2235" s="8" t="str">
        <f aca="false">IF(I2235="Open",DATE(2025,12,31)-F2235,"-")</f>
        <v>-</v>
      </c>
    </row>
    <row r="2236" customFormat="false" ht="15" hidden="false" customHeight="false" outlineLevel="0" collapsed="false">
      <c r="B2236" s="7" t="s">
        <v>16881</v>
      </c>
      <c r="C2236" s="7" t="s">
        <v>2733</v>
      </c>
      <c r="D2236" s="7" t="s">
        <v>329</v>
      </c>
      <c r="E2236" s="7" t="s">
        <v>156</v>
      </c>
      <c r="F2236" s="39" t="n">
        <v>45771</v>
      </c>
      <c r="G2236" s="41" t="n">
        <v>125.8</v>
      </c>
      <c r="H2236" s="39" t="n">
        <v>45792</v>
      </c>
      <c r="I2236" s="7" t="s">
        <v>14651</v>
      </c>
      <c r="J2236" s="8" t="str">
        <f aca="false">IF(I2236="Open",DATE(2025,12,31)-F2236,"-")</f>
        <v>-</v>
      </c>
    </row>
    <row r="2237" customFormat="false" ht="15" hidden="false" customHeight="false" outlineLevel="0" collapsed="false">
      <c r="B2237" s="7" t="s">
        <v>16882</v>
      </c>
      <c r="C2237" s="7" t="s">
        <v>2734</v>
      </c>
      <c r="D2237" s="7" t="s">
        <v>331</v>
      </c>
      <c r="E2237" s="7" t="s">
        <v>156</v>
      </c>
      <c r="F2237" s="39" t="n">
        <v>45771</v>
      </c>
      <c r="G2237" s="41" t="n">
        <v>122.74</v>
      </c>
      <c r="H2237" s="39" t="n">
        <v>45782</v>
      </c>
      <c r="I2237" s="7" t="s">
        <v>14651</v>
      </c>
      <c r="J2237" s="8" t="str">
        <f aca="false">IF(I2237="Open",DATE(2025,12,31)-F2237,"-")</f>
        <v>-</v>
      </c>
    </row>
    <row r="2238" customFormat="false" ht="15" hidden="false" customHeight="false" outlineLevel="0" collapsed="false">
      <c r="B2238" s="7" t="s">
        <v>16883</v>
      </c>
      <c r="C2238" s="7" t="s">
        <v>2735</v>
      </c>
      <c r="D2238" s="7" t="s">
        <v>337</v>
      </c>
      <c r="E2238" s="7" t="s">
        <v>154</v>
      </c>
      <c r="F2238" s="39" t="n">
        <v>45771</v>
      </c>
      <c r="G2238" s="41" t="n">
        <v>82.41</v>
      </c>
      <c r="H2238" s="39" t="n">
        <v>45846</v>
      </c>
      <c r="I2238" s="7" t="s">
        <v>14651</v>
      </c>
      <c r="J2238" s="8" t="str">
        <f aca="false">IF(I2238="Open",DATE(2025,12,31)-F2238,"-")</f>
        <v>-</v>
      </c>
    </row>
    <row r="2239" customFormat="false" ht="15" hidden="false" customHeight="false" outlineLevel="0" collapsed="false">
      <c r="B2239" s="7" t="s">
        <v>16884</v>
      </c>
      <c r="C2239" s="7" t="s">
        <v>2736</v>
      </c>
      <c r="D2239" s="7" t="s">
        <v>341</v>
      </c>
      <c r="E2239" s="7" t="s">
        <v>156</v>
      </c>
      <c r="F2239" s="39" t="n">
        <v>45771</v>
      </c>
      <c r="G2239" s="41" t="n">
        <v>108.46</v>
      </c>
      <c r="H2239" s="39" t="n">
        <v>45777</v>
      </c>
      <c r="I2239" s="7" t="s">
        <v>14651</v>
      </c>
      <c r="J2239" s="8" t="str">
        <f aca="false">IF(I2239="Open",DATE(2025,12,31)-F2239,"-")</f>
        <v>-</v>
      </c>
    </row>
    <row r="2240" customFormat="false" ht="15" hidden="false" customHeight="false" outlineLevel="0" collapsed="false">
      <c r="B2240" s="7" t="s">
        <v>16885</v>
      </c>
      <c r="C2240" s="7" t="s">
        <v>2737</v>
      </c>
      <c r="D2240" s="7" t="s">
        <v>343</v>
      </c>
      <c r="E2240" s="7" t="s">
        <v>154</v>
      </c>
      <c r="F2240" s="39" t="n">
        <v>45771</v>
      </c>
      <c r="G2240" s="41" t="n">
        <v>100.17</v>
      </c>
      <c r="H2240" s="39" t="n">
        <v>45809</v>
      </c>
      <c r="I2240" s="7" t="s">
        <v>14651</v>
      </c>
      <c r="J2240" s="8" t="str">
        <f aca="false">IF(I2240="Open",DATE(2025,12,31)-F2240,"-")</f>
        <v>-</v>
      </c>
    </row>
    <row r="2241" customFormat="false" ht="15" hidden="false" customHeight="false" outlineLevel="0" collapsed="false">
      <c r="B2241" s="7" t="s">
        <v>16886</v>
      </c>
      <c r="C2241" s="7" t="s">
        <v>2738</v>
      </c>
      <c r="D2241" s="7" t="s">
        <v>351</v>
      </c>
      <c r="E2241" s="7" t="s">
        <v>154</v>
      </c>
      <c r="F2241" s="39" t="n">
        <v>45771</v>
      </c>
      <c r="G2241" s="41" t="n">
        <v>72.08</v>
      </c>
      <c r="H2241" s="39" t="n">
        <v>45786</v>
      </c>
      <c r="I2241" s="7" t="s">
        <v>14651</v>
      </c>
      <c r="J2241" s="8" t="str">
        <f aca="false">IF(I2241="Open",DATE(2025,12,31)-F2241,"-")</f>
        <v>-</v>
      </c>
    </row>
    <row r="2242" customFormat="false" ht="15" hidden="false" customHeight="false" outlineLevel="0" collapsed="false">
      <c r="B2242" s="7" t="s">
        <v>16887</v>
      </c>
      <c r="C2242" s="7" t="s">
        <v>2739</v>
      </c>
      <c r="D2242" s="7" t="s">
        <v>363</v>
      </c>
      <c r="E2242" s="7" t="s">
        <v>156</v>
      </c>
      <c r="F2242" s="39" t="n">
        <v>45771</v>
      </c>
      <c r="G2242" s="41" t="n">
        <v>133.28</v>
      </c>
      <c r="H2242" s="39" t="n">
        <v>45776</v>
      </c>
      <c r="I2242" s="7" t="s">
        <v>14651</v>
      </c>
      <c r="J2242" s="8" t="str">
        <f aca="false">IF(I2242="Open",DATE(2025,12,31)-F2242,"-")</f>
        <v>-</v>
      </c>
    </row>
    <row r="2243" customFormat="false" ht="15" hidden="false" customHeight="false" outlineLevel="0" collapsed="false">
      <c r="B2243" s="7" t="s">
        <v>16888</v>
      </c>
      <c r="C2243" s="7" t="s">
        <v>2740</v>
      </c>
      <c r="D2243" s="7" t="s">
        <v>365</v>
      </c>
      <c r="E2243" s="7" t="s">
        <v>154</v>
      </c>
      <c r="F2243" s="39" t="n">
        <v>45771</v>
      </c>
      <c r="G2243" s="41" t="n">
        <v>106</v>
      </c>
      <c r="H2243" s="39" t="n">
        <v>45812</v>
      </c>
      <c r="I2243" s="7" t="s">
        <v>14651</v>
      </c>
      <c r="J2243" s="8" t="str">
        <f aca="false">IF(I2243="Open",DATE(2025,12,31)-F2243,"-")</f>
        <v>-</v>
      </c>
    </row>
    <row r="2244" customFormat="false" ht="15" hidden="false" customHeight="false" outlineLevel="0" collapsed="false">
      <c r="B2244" s="7" t="s">
        <v>16889</v>
      </c>
      <c r="C2244" s="7" t="s">
        <v>2741</v>
      </c>
      <c r="D2244" s="7" t="s">
        <v>375</v>
      </c>
      <c r="E2244" s="7" t="s">
        <v>156</v>
      </c>
      <c r="F2244" s="39" t="n">
        <v>45771</v>
      </c>
      <c r="G2244" s="41" t="n">
        <v>103.36</v>
      </c>
      <c r="H2244" s="39" t="n">
        <v>45789</v>
      </c>
      <c r="I2244" s="7" t="s">
        <v>14651</v>
      </c>
      <c r="J2244" s="8" t="str">
        <f aca="false">IF(I2244="Open",DATE(2025,12,31)-F2244,"-")</f>
        <v>-</v>
      </c>
    </row>
    <row r="2245" customFormat="false" ht="15" hidden="false" customHeight="false" outlineLevel="0" collapsed="false">
      <c r="B2245" s="7" t="s">
        <v>16890</v>
      </c>
      <c r="C2245" s="7" t="s">
        <v>2742</v>
      </c>
      <c r="D2245" s="7" t="s">
        <v>377</v>
      </c>
      <c r="E2245" s="7" t="s">
        <v>154</v>
      </c>
      <c r="F2245" s="39" t="n">
        <v>45771</v>
      </c>
      <c r="G2245" s="41" t="n">
        <v>93.81</v>
      </c>
      <c r="H2245" s="39" t="n">
        <v>45884</v>
      </c>
      <c r="I2245" s="7" t="s">
        <v>14651</v>
      </c>
      <c r="J2245" s="8" t="str">
        <f aca="false">IF(I2245="Open",DATE(2025,12,31)-F2245,"-")</f>
        <v>-</v>
      </c>
    </row>
    <row r="2246" customFormat="false" ht="15" hidden="false" customHeight="false" outlineLevel="0" collapsed="false">
      <c r="B2246" s="7" t="s">
        <v>16891</v>
      </c>
      <c r="C2246" s="7" t="s">
        <v>2743</v>
      </c>
      <c r="D2246" s="7" t="s">
        <v>389</v>
      </c>
      <c r="E2246" s="7" t="s">
        <v>154</v>
      </c>
      <c r="F2246" s="39" t="n">
        <v>45771</v>
      </c>
      <c r="G2246" s="41" t="n">
        <v>100.97</v>
      </c>
      <c r="H2246" s="39" t="n">
        <v>45841</v>
      </c>
      <c r="I2246" s="7" t="s">
        <v>14651</v>
      </c>
      <c r="J2246" s="8" t="str">
        <f aca="false">IF(I2246="Open",DATE(2025,12,31)-F2246,"-")</f>
        <v>-</v>
      </c>
    </row>
    <row r="2247" customFormat="false" ht="15" hidden="false" customHeight="false" outlineLevel="0" collapsed="false">
      <c r="B2247" s="7" t="s">
        <v>16892</v>
      </c>
      <c r="C2247" s="7" t="s">
        <v>2744</v>
      </c>
      <c r="D2247" s="7" t="s">
        <v>391</v>
      </c>
      <c r="E2247" s="7" t="s">
        <v>156</v>
      </c>
      <c r="F2247" s="39" t="n">
        <v>45771</v>
      </c>
      <c r="G2247" s="41" t="n">
        <v>136.68</v>
      </c>
      <c r="H2247" s="39" t="n">
        <v>45773</v>
      </c>
      <c r="I2247" s="7" t="s">
        <v>14651</v>
      </c>
      <c r="J2247" s="8" t="str">
        <f aca="false">IF(I2247="Open",DATE(2025,12,31)-F2247,"-")</f>
        <v>-</v>
      </c>
    </row>
    <row r="2248" customFormat="false" ht="15" hidden="false" customHeight="false" outlineLevel="0" collapsed="false">
      <c r="B2248" s="7" t="s">
        <v>16893</v>
      </c>
      <c r="C2248" s="7" t="s">
        <v>2745</v>
      </c>
      <c r="D2248" s="7" t="s">
        <v>395</v>
      </c>
      <c r="E2248" s="7" t="s">
        <v>156</v>
      </c>
      <c r="F2248" s="39" t="n">
        <v>45771</v>
      </c>
      <c r="G2248" s="41" t="n">
        <v>140.76</v>
      </c>
      <c r="H2248" s="39" t="n">
        <v>45775</v>
      </c>
      <c r="I2248" s="7" t="s">
        <v>14651</v>
      </c>
      <c r="J2248" s="8" t="str">
        <f aca="false">IF(I2248="Open",DATE(2025,12,31)-F2248,"-")</f>
        <v>-</v>
      </c>
    </row>
    <row r="2249" customFormat="false" ht="15" hidden="false" customHeight="false" outlineLevel="0" collapsed="false">
      <c r="B2249" s="7" t="s">
        <v>16894</v>
      </c>
      <c r="C2249" s="7" t="s">
        <v>2746</v>
      </c>
      <c r="D2249" s="7" t="s">
        <v>401</v>
      </c>
      <c r="E2249" s="7" t="s">
        <v>156</v>
      </c>
      <c r="F2249" s="39" t="n">
        <v>45771</v>
      </c>
      <c r="G2249" s="41" t="n">
        <v>137.02</v>
      </c>
      <c r="H2249" s="39" t="n">
        <v>45787</v>
      </c>
      <c r="I2249" s="7" t="s">
        <v>14651</v>
      </c>
      <c r="J2249" s="8" t="str">
        <f aca="false">IF(I2249="Open",DATE(2025,12,31)-F2249,"-")</f>
        <v>-</v>
      </c>
    </row>
    <row r="2250" customFormat="false" ht="15" hidden="false" customHeight="false" outlineLevel="0" collapsed="false">
      <c r="B2250" s="7" t="s">
        <v>16895</v>
      </c>
      <c r="C2250" s="7" t="s">
        <v>2747</v>
      </c>
      <c r="D2250" s="7" t="s">
        <v>280</v>
      </c>
      <c r="E2250" s="7" t="s">
        <v>157</v>
      </c>
      <c r="F2250" s="39" t="n">
        <v>45772</v>
      </c>
      <c r="G2250" s="41" t="n">
        <v>163.35</v>
      </c>
      <c r="H2250" s="39" t="n">
        <v>45813</v>
      </c>
      <c r="I2250" s="7" t="s">
        <v>14651</v>
      </c>
      <c r="J2250" s="8" t="str">
        <f aca="false">IF(I2250="Open",DATE(2025,12,31)-F2250,"-")</f>
        <v>-</v>
      </c>
    </row>
    <row r="2251" customFormat="false" ht="15" hidden="false" customHeight="false" outlineLevel="0" collapsed="false">
      <c r="B2251" s="7" t="s">
        <v>16896</v>
      </c>
      <c r="C2251" s="7" t="s">
        <v>2748</v>
      </c>
      <c r="D2251" s="7" t="s">
        <v>288</v>
      </c>
      <c r="E2251" s="7" t="s">
        <v>156</v>
      </c>
      <c r="F2251" s="39" t="n">
        <v>45772</v>
      </c>
      <c r="G2251" s="41" t="n">
        <v>147.9</v>
      </c>
      <c r="H2251" s="39" t="n">
        <v>45791</v>
      </c>
      <c r="I2251" s="7" t="s">
        <v>14651</v>
      </c>
      <c r="J2251" s="8" t="str">
        <f aca="false">IF(I2251="Open",DATE(2025,12,31)-F2251,"-")</f>
        <v>-</v>
      </c>
    </row>
    <row r="2252" customFormat="false" ht="15" hidden="false" customHeight="false" outlineLevel="0" collapsed="false">
      <c r="B2252" s="7" t="s">
        <v>16897</v>
      </c>
      <c r="C2252" s="7" t="s">
        <v>2749</v>
      </c>
      <c r="D2252" s="7" t="s">
        <v>291</v>
      </c>
      <c r="E2252" s="7" t="s">
        <v>154</v>
      </c>
      <c r="F2252" s="39" t="n">
        <v>45772</v>
      </c>
      <c r="G2252" s="41" t="n">
        <v>121.9</v>
      </c>
      <c r="H2252" s="39" t="n">
        <v>45824</v>
      </c>
      <c r="I2252" s="7" t="s">
        <v>14651</v>
      </c>
      <c r="J2252" s="8" t="str">
        <f aca="false">IF(I2252="Open",DATE(2025,12,31)-F2252,"-")</f>
        <v>-</v>
      </c>
    </row>
    <row r="2253" customFormat="false" ht="15" hidden="false" customHeight="false" outlineLevel="0" collapsed="false">
      <c r="B2253" s="7" t="s">
        <v>16898</v>
      </c>
      <c r="C2253" s="7" t="s">
        <v>2750</v>
      </c>
      <c r="D2253" s="7" t="s">
        <v>301</v>
      </c>
      <c r="E2253" s="7" t="s">
        <v>157</v>
      </c>
      <c r="F2253" s="39" t="n">
        <v>45772</v>
      </c>
      <c r="G2253" s="41" t="n">
        <v>171.6</v>
      </c>
      <c r="H2253" s="39" t="n">
        <v>45863</v>
      </c>
      <c r="I2253" s="7" t="s">
        <v>14651</v>
      </c>
      <c r="J2253" s="8" t="str">
        <f aca="false">IF(I2253="Open",DATE(2025,12,31)-F2253,"-")</f>
        <v>-</v>
      </c>
    </row>
    <row r="2254" customFormat="false" ht="15" hidden="false" customHeight="false" outlineLevel="0" collapsed="false">
      <c r="B2254" s="7" t="s">
        <v>16899</v>
      </c>
      <c r="C2254" s="7" t="s">
        <v>2751</v>
      </c>
      <c r="D2254" s="7" t="s">
        <v>305</v>
      </c>
      <c r="E2254" s="7" t="s">
        <v>154</v>
      </c>
      <c r="F2254" s="39" t="n">
        <v>45772</v>
      </c>
      <c r="G2254" s="41" t="n">
        <v>111.56</v>
      </c>
      <c r="H2254" s="39" t="n">
        <v>45813</v>
      </c>
      <c r="I2254" s="7" t="s">
        <v>14651</v>
      </c>
      <c r="J2254" s="8" t="str">
        <f aca="false">IF(I2254="Open",DATE(2025,12,31)-F2254,"-")</f>
        <v>-</v>
      </c>
    </row>
    <row r="2255" customFormat="false" ht="15" hidden="false" customHeight="false" outlineLevel="0" collapsed="false">
      <c r="B2255" s="7" t="s">
        <v>16900</v>
      </c>
      <c r="C2255" s="7" t="s">
        <v>2752</v>
      </c>
      <c r="D2255" s="7" t="s">
        <v>307</v>
      </c>
      <c r="E2255" s="7" t="s">
        <v>157</v>
      </c>
      <c r="F2255" s="39" t="n">
        <v>45772</v>
      </c>
      <c r="G2255" s="41" t="n">
        <v>158.4</v>
      </c>
      <c r="H2255" s="39" t="n">
        <v>45814</v>
      </c>
      <c r="I2255" s="7" t="s">
        <v>14651</v>
      </c>
      <c r="J2255" s="8" t="str">
        <f aca="false">IF(I2255="Open",DATE(2025,12,31)-F2255,"-")</f>
        <v>-</v>
      </c>
    </row>
    <row r="2256" customFormat="false" ht="15" hidden="false" customHeight="false" outlineLevel="0" collapsed="false">
      <c r="B2256" s="7" t="s">
        <v>16901</v>
      </c>
      <c r="C2256" s="7" t="s">
        <v>2753</v>
      </c>
      <c r="D2256" s="7" t="s">
        <v>309</v>
      </c>
      <c r="E2256" s="7" t="s">
        <v>159</v>
      </c>
      <c r="F2256" s="39" t="n">
        <v>45772</v>
      </c>
      <c r="G2256" s="41" t="n">
        <v>112.99</v>
      </c>
      <c r="H2256" s="39" t="n">
        <v>45837</v>
      </c>
      <c r="I2256" s="7" t="s">
        <v>14651</v>
      </c>
      <c r="J2256" s="8" t="str">
        <f aca="false">IF(I2256="Open",DATE(2025,12,31)-F2256,"-")</f>
        <v>-</v>
      </c>
    </row>
    <row r="2257" customFormat="false" ht="15" hidden="false" customHeight="false" outlineLevel="0" collapsed="false">
      <c r="B2257" s="7" t="s">
        <v>16902</v>
      </c>
      <c r="C2257" s="7" t="s">
        <v>2754</v>
      </c>
      <c r="D2257" s="7" t="s">
        <v>313</v>
      </c>
      <c r="E2257" s="7" t="s">
        <v>156</v>
      </c>
      <c r="F2257" s="39" t="n">
        <v>45772</v>
      </c>
      <c r="G2257" s="41" t="n">
        <v>138.04</v>
      </c>
      <c r="H2257" s="39" t="n">
        <v>45783</v>
      </c>
      <c r="I2257" s="7" t="s">
        <v>14651</v>
      </c>
      <c r="J2257" s="8" t="str">
        <f aca="false">IF(I2257="Open",DATE(2025,12,31)-F2257,"-")</f>
        <v>-</v>
      </c>
    </row>
    <row r="2258" customFormat="false" ht="15" hidden="false" customHeight="false" outlineLevel="0" collapsed="false">
      <c r="B2258" s="7" t="s">
        <v>16903</v>
      </c>
      <c r="C2258" s="7" t="s">
        <v>2755</v>
      </c>
      <c r="D2258" s="7" t="s">
        <v>319</v>
      </c>
      <c r="E2258" s="7" t="s">
        <v>157</v>
      </c>
      <c r="F2258" s="39" t="n">
        <v>45772</v>
      </c>
      <c r="G2258" s="41" t="n">
        <v>172.42</v>
      </c>
      <c r="H2258" s="39" t="n">
        <v>45829</v>
      </c>
      <c r="I2258" s="7" t="s">
        <v>14651</v>
      </c>
      <c r="J2258" s="8" t="str">
        <f aca="false">IF(I2258="Open",DATE(2025,12,31)-F2258,"-")</f>
        <v>-</v>
      </c>
    </row>
    <row r="2259" customFormat="false" ht="15" hidden="false" customHeight="false" outlineLevel="0" collapsed="false">
      <c r="B2259" s="7" t="s">
        <v>16904</v>
      </c>
      <c r="C2259" s="7" t="s">
        <v>2756</v>
      </c>
      <c r="D2259" s="7" t="s">
        <v>321</v>
      </c>
      <c r="E2259" s="7" t="s">
        <v>154</v>
      </c>
      <c r="F2259" s="39" t="n">
        <v>45772</v>
      </c>
      <c r="G2259" s="41" t="n">
        <v>100.7</v>
      </c>
      <c r="H2259" s="39" t="n">
        <v>45834</v>
      </c>
      <c r="I2259" s="7" t="s">
        <v>14651</v>
      </c>
      <c r="J2259" s="8" t="str">
        <f aca="false">IF(I2259="Open",DATE(2025,12,31)-F2259,"-")</f>
        <v>-</v>
      </c>
    </row>
    <row r="2260" customFormat="false" ht="15" hidden="false" customHeight="false" outlineLevel="0" collapsed="false">
      <c r="B2260" s="7" t="s">
        <v>16905</v>
      </c>
      <c r="C2260" s="7" t="s">
        <v>2757</v>
      </c>
      <c r="D2260" s="7" t="s">
        <v>323</v>
      </c>
      <c r="E2260" s="7" t="s">
        <v>159</v>
      </c>
      <c r="F2260" s="39" t="n">
        <v>45772</v>
      </c>
      <c r="G2260" s="41" t="n">
        <v>139.05</v>
      </c>
      <c r="H2260" s="39" t="n">
        <v>45816</v>
      </c>
      <c r="I2260" s="7" t="s">
        <v>14651</v>
      </c>
      <c r="J2260" s="8" t="str">
        <f aca="false">IF(I2260="Open",DATE(2025,12,31)-F2260,"-")</f>
        <v>-</v>
      </c>
    </row>
    <row r="2261" customFormat="false" ht="15" hidden="false" customHeight="false" outlineLevel="0" collapsed="false">
      <c r="B2261" s="7" t="s">
        <v>16906</v>
      </c>
      <c r="C2261" s="7" t="s">
        <v>2758</v>
      </c>
      <c r="D2261" s="7" t="s">
        <v>327</v>
      </c>
      <c r="E2261" s="7" t="s">
        <v>157</v>
      </c>
      <c r="F2261" s="39" t="n">
        <v>45772</v>
      </c>
      <c r="G2261" s="41" t="n">
        <v>174.9</v>
      </c>
      <c r="H2261" s="39" t="n">
        <v>45783</v>
      </c>
      <c r="I2261" s="7" t="s">
        <v>14651</v>
      </c>
      <c r="J2261" s="8" t="str">
        <f aca="false">IF(I2261="Open",DATE(2025,12,31)-F2261,"-")</f>
        <v>-</v>
      </c>
    </row>
    <row r="2262" customFormat="false" ht="15" hidden="false" customHeight="false" outlineLevel="0" collapsed="false">
      <c r="B2262" s="7" t="s">
        <v>16907</v>
      </c>
      <c r="C2262" s="7" t="s">
        <v>2759</v>
      </c>
      <c r="D2262" s="7" t="s">
        <v>329</v>
      </c>
      <c r="E2262" s="7" t="s">
        <v>156</v>
      </c>
      <c r="F2262" s="39" t="n">
        <v>45772</v>
      </c>
      <c r="G2262" s="41" t="n">
        <v>131.58</v>
      </c>
      <c r="H2262" s="39" t="n">
        <v>45779</v>
      </c>
      <c r="I2262" s="7" t="s">
        <v>14651</v>
      </c>
      <c r="J2262" s="8" t="str">
        <f aca="false">IF(I2262="Open",DATE(2025,12,31)-F2262,"-")</f>
        <v>-</v>
      </c>
    </row>
    <row r="2263" customFormat="false" ht="15" hidden="false" customHeight="false" outlineLevel="0" collapsed="false">
      <c r="B2263" s="7" t="s">
        <v>16908</v>
      </c>
      <c r="C2263" s="7" t="s">
        <v>2760</v>
      </c>
      <c r="D2263" s="7" t="s">
        <v>335</v>
      </c>
      <c r="E2263" s="7" t="s">
        <v>154</v>
      </c>
      <c r="F2263" s="39" t="n">
        <v>45772</v>
      </c>
      <c r="G2263" s="41" t="n">
        <v>97.41</v>
      </c>
      <c r="H2263" s="39" t="n">
        <v>45841</v>
      </c>
      <c r="I2263" s="7" t="s">
        <v>14651</v>
      </c>
      <c r="J2263" s="8" t="str">
        <f aca="false">IF(I2263="Open",DATE(2025,12,31)-F2263,"-")</f>
        <v>-</v>
      </c>
    </row>
    <row r="2264" customFormat="false" ht="15" hidden="false" customHeight="false" outlineLevel="0" collapsed="false">
      <c r="B2264" s="7" t="s">
        <v>16909</v>
      </c>
      <c r="C2264" s="7" t="s">
        <v>2761</v>
      </c>
      <c r="D2264" s="7" t="s">
        <v>339</v>
      </c>
      <c r="E2264" s="7" t="s">
        <v>154</v>
      </c>
      <c r="F2264" s="39" t="n">
        <v>45772</v>
      </c>
      <c r="G2264" s="41" t="n">
        <v>85.33</v>
      </c>
      <c r="H2264" s="39" t="n">
        <v>45795</v>
      </c>
      <c r="I2264" s="7" t="s">
        <v>14651</v>
      </c>
      <c r="J2264" s="8" t="str">
        <f aca="false">IF(I2264="Open",DATE(2025,12,31)-F2264,"-")</f>
        <v>-</v>
      </c>
    </row>
    <row r="2265" customFormat="false" ht="15" hidden="false" customHeight="false" outlineLevel="0" collapsed="false">
      <c r="B2265" s="7" t="s">
        <v>16910</v>
      </c>
      <c r="C2265" s="7" t="s">
        <v>2762</v>
      </c>
      <c r="D2265" s="7" t="s">
        <v>353</v>
      </c>
      <c r="E2265" s="7" t="s">
        <v>154</v>
      </c>
      <c r="F2265" s="39" t="n">
        <v>45772</v>
      </c>
      <c r="G2265" s="41" t="n">
        <v>93.28</v>
      </c>
      <c r="H2265" s="39" t="n">
        <v>45819</v>
      </c>
      <c r="I2265" s="7" t="s">
        <v>14651</v>
      </c>
      <c r="J2265" s="8" t="str">
        <f aca="false">IF(I2265="Open",DATE(2025,12,31)-F2265,"-")</f>
        <v>-</v>
      </c>
    </row>
    <row r="2266" customFormat="false" ht="15" hidden="false" customHeight="false" outlineLevel="0" collapsed="false">
      <c r="B2266" s="7" t="s">
        <v>16911</v>
      </c>
      <c r="C2266" s="7" t="s">
        <v>2763</v>
      </c>
      <c r="D2266" s="7" t="s">
        <v>355</v>
      </c>
      <c r="E2266" s="7" t="s">
        <v>154</v>
      </c>
      <c r="F2266" s="39" t="n">
        <v>45772</v>
      </c>
      <c r="G2266" s="41" t="n">
        <v>87.9</v>
      </c>
      <c r="H2266" s="39" t="n">
        <v>45851</v>
      </c>
      <c r="I2266" s="7" t="s">
        <v>14651</v>
      </c>
      <c r="J2266" s="8" t="str">
        <f aca="false">IF(I2266="Open",DATE(2025,12,31)-F2266,"-")</f>
        <v>-</v>
      </c>
    </row>
    <row r="2267" customFormat="false" ht="15" hidden="false" customHeight="false" outlineLevel="0" collapsed="false">
      <c r="B2267" s="7" t="s">
        <v>16912</v>
      </c>
      <c r="C2267" s="7" t="s">
        <v>2764</v>
      </c>
      <c r="D2267" s="7" t="s">
        <v>357</v>
      </c>
      <c r="E2267" s="7" t="s">
        <v>154</v>
      </c>
      <c r="F2267" s="39" t="n">
        <v>45772</v>
      </c>
      <c r="G2267" s="41" t="n">
        <v>80.56</v>
      </c>
      <c r="H2267" s="39" t="n">
        <v>45879</v>
      </c>
      <c r="I2267" s="7" t="s">
        <v>14651</v>
      </c>
      <c r="J2267" s="8" t="str">
        <f aca="false">IF(I2267="Open",DATE(2025,12,31)-F2267,"-")</f>
        <v>-</v>
      </c>
    </row>
    <row r="2268" customFormat="false" ht="15" hidden="false" customHeight="false" outlineLevel="0" collapsed="false">
      <c r="B2268" s="7" t="s">
        <v>16913</v>
      </c>
      <c r="C2268" s="7" t="s">
        <v>2765</v>
      </c>
      <c r="D2268" s="7" t="s">
        <v>359</v>
      </c>
      <c r="E2268" s="7" t="s">
        <v>156</v>
      </c>
      <c r="F2268" s="39" t="n">
        <v>45772</v>
      </c>
      <c r="G2268" s="41" t="n">
        <v>145.52</v>
      </c>
      <c r="H2268" s="39" t="n">
        <v>45780</v>
      </c>
      <c r="I2268" s="7" t="s">
        <v>14651</v>
      </c>
      <c r="J2268" s="8" t="str">
        <f aca="false">IF(I2268="Open",DATE(2025,12,31)-F2268,"-")</f>
        <v>-</v>
      </c>
    </row>
    <row r="2269" customFormat="false" ht="15" hidden="false" customHeight="false" outlineLevel="0" collapsed="false">
      <c r="B2269" s="7" t="s">
        <v>16914</v>
      </c>
      <c r="C2269" s="7" t="s">
        <v>2766</v>
      </c>
      <c r="D2269" s="7" t="s">
        <v>361</v>
      </c>
      <c r="E2269" s="7" t="s">
        <v>157</v>
      </c>
      <c r="F2269" s="39" t="n">
        <v>45772</v>
      </c>
      <c r="G2269" s="41" t="n">
        <v>178.2</v>
      </c>
      <c r="H2269" s="39" t="n">
        <v>45815</v>
      </c>
      <c r="I2269" s="7" t="s">
        <v>14651</v>
      </c>
      <c r="J2269" s="8" t="str">
        <f aca="false">IF(I2269="Open",DATE(2025,12,31)-F2269,"-")</f>
        <v>-</v>
      </c>
    </row>
    <row r="2270" customFormat="false" ht="15" hidden="false" customHeight="false" outlineLevel="0" collapsed="false">
      <c r="B2270" s="7" t="s">
        <v>16915</v>
      </c>
      <c r="C2270" s="7" t="s">
        <v>2767</v>
      </c>
      <c r="D2270" s="7" t="s">
        <v>365</v>
      </c>
      <c r="E2270" s="7" t="s">
        <v>154</v>
      </c>
      <c r="F2270" s="39" t="n">
        <v>45772</v>
      </c>
      <c r="G2270" s="41" t="n">
        <v>108.65</v>
      </c>
      <c r="H2270" s="39" t="n">
        <v>45839</v>
      </c>
      <c r="I2270" s="7" t="s">
        <v>14651</v>
      </c>
      <c r="J2270" s="8" t="str">
        <f aca="false">IF(I2270="Open",DATE(2025,12,31)-F2270,"-")</f>
        <v>-</v>
      </c>
    </row>
    <row r="2271" customFormat="false" ht="15" hidden="false" customHeight="false" outlineLevel="0" collapsed="false">
      <c r="B2271" s="7" t="s">
        <v>16916</v>
      </c>
      <c r="C2271" s="7" t="s">
        <v>2768</v>
      </c>
      <c r="D2271" s="7" t="s">
        <v>371</v>
      </c>
      <c r="E2271" s="7" t="s">
        <v>154</v>
      </c>
      <c r="F2271" s="39" t="n">
        <v>45772</v>
      </c>
      <c r="G2271" s="41" t="n">
        <v>125.08</v>
      </c>
      <c r="H2271" s="39" t="n">
        <v>45882</v>
      </c>
      <c r="I2271" s="7" t="s">
        <v>14651</v>
      </c>
      <c r="J2271" s="8" t="str">
        <f aca="false">IF(I2271="Open",DATE(2025,12,31)-F2271,"-")</f>
        <v>-</v>
      </c>
    </row>
    <row r="2272" customFormat="false" ht="15" hidden="false" customHeight="false" outlineLevel="0" collapsed="false">
      <c r="B2272" s="7" t="s">
        <v>16917</v>
      </c>
      <c r="C2272" s="7" t="s">
        <v>2769</v>
      </c>
      <c r="D2272" s="7" t="s">
        <v>379</v>
      </c>
      <c r="E2272" s="7" t="s">
        <v>156</v>
      </c>
      <c r="F2272" s="39" t="n">
        <v>45772</v>
      </c>
      <c r="G2272" s="41" t="n">
        <v>145.86</v>
      </c>
      <c r="H2272" s="39" t="n">
        <v>45777</v>
      </c>
      <c r="I2272" s="7" t="s">
        <v>14651</v>
      </c>
      <c r="J2272" s="8" t="str">
        <f aca="false">IF(I2272="Open",DATE(2025,12,31)-F2272,"-")</f>
        <v>-</v>
      </c>
    </row>
    <row r="2273" customFormat="false" ht="15" hidden="false" customHeight="false" outlineLevel="0" collapsed="false">
      <c r="B2273" s="7" t="s">
        <v>16918</v>
      </c>
      <c r="C2273" s="7" t="s">
        <v>2770</v>
      </c>
      <c r="D2273" s="7" t="s">
        <v>381</v>
      </c>
      <c r="E2273" s="7" t="s">
        <v>157</v>
      </c>
      <c r="F2273" s="39" t="n">
        <v>45772</v>
      </c>
      <c r="G2273" s="41" t="n">
        <v>159.88</v>
      </c>
      <c r="H2273" s="39" t="n">
        <v>45817</v>
      </c>
      <c r="I2273" s="7" t="s">
        <v>14651</v>
      </c>
      <c r="J2273" s="8" t="str">
        <f aca="false">IF(I2273="Open",DATE(2025,12,31)-F2273,"-")</f>
        <v>-</v>
      </c>
    </row>
    <row r="2274" customFormat="false" ht="15" hidden="false" customHeight="false" outlineLevel="0" collapsed="false">
      <c r="B2274" s="7" t="s">
        <v>16919</v>
      </c>
      <c r="C2274" s="7" t="s">
        <v>2771</v>
      </c>
      <c r="D2274" s="7" t="s">
        <v>385</v>
      </c>
      <c r="E2274" s="7" t="s">
        <v>156</v>
      </c>
      <c r="F2274" s="39" t="n">
        <v>45772</v>
      </c>
      <c r="G2274" s="41" t="n">
        <v>132.94</v>
      </c>
      <c r="H2274" s="39" t="n">
        <v>45787</v>
      </c>
      <c r="I2274" s="7" t="s">
        <v>14651</v>
      </c>
      <c r="J2274" s="8" t="str">
        <f aca="false">IF(I2274="Open",DATE(2025,12,31)-F2274,"-")</f>
        <v>-</v>
      </c>
    </row>
    <row r="2275" customFormat="false" ht="15" hidden="false" customHeight="false" outlineLevel="0" collapsed="false">
      <c r="B2275" s="7" t="s">
        <v>16920</v>
      </c>
      <c r="C2275" s="7" t="s">
        <v>2772</v>
      </c>
      <c r="D2275" s="7" t="s">
        <v>389</v>
      </c>
      <c r="E2275" s="7" t="s">
        <v>154</v>
      </c>
      <c r="F2275" s="39" t="n">
        <v>45772</v>
      </c>
      <c r="G2275" s="41" t="n">
        <v>108.65</v>
      </c>
      <c r="H2275" s="39" t="n">
        <v>45835</v>
      </c>
      <c r="I2275" s="7" t="s">
        <v>14651</v>
      </c>
      <c r="J2275" s="8" t="str">
        <f aca="false">IF(I2275="Open",DATE(2025,12,31)-F2275,"-")</f>
        <v>-</v>
      </c>
    </row>
    <row r="2276" customFormat="false" ht="15" hidden="false" customHeight="false" outlineLevel="0" collapsed="false">
      <c r="B2276" s="7" t="s">
        <v>16921</v>
      </c>
      <c r="C2276" s="7" t="s">
        <v>2773</v>
      </c>
      <c r="D2276" s="7" t="s">
        <v>391</v>
      </c>
      <c r="E2276" s="7" t="s">
        <v>156</v>
      </c>
      <c r="F2276" s="39" t="n">
        <v>45772</v>
      </c>
      <c r="G2276" s="41" t="n">
        <v>143.82</v>
      </c>
      <c r="H2276" s="39" t="n">
        <v>45791</v>
      </c>
      <c r="I2276" s="7" t="s">
        <v>14651</v>
      </c>
      <c r="J2276" s="8" t="str">
        <f aca="false">IF(I2276="Open",DATE(2025,12,31)-F2276,"-")</f>
        <v>-</v>
      </c>
    </row>
    <row r="2277" customFormat="false" ht="15" hidden="false" customHeight="false" outlineLevel="0" collapsed="false">
      <c r="B2277" s="7" t="s">
        <v>16922</v>
      </c>
      <c r="C2277" s="7" t="s">
        <v>2774</v>
      </c>
      <c r="D2277" s="7" t="s">
        <v>395</v>
      </c>
      <c r="E2277" s="7" t="s">
        <v>156</v>
      </c>
      <c r="F2277" s="39" t="n">
        <v>45772</v>
      </c>
      <c r="G2277" s="41" t="n">
        <v>127.5</v>
      </c>
      <c r="H2277" s="39" t="n">
        <v>45781</v>
      </c>
      <c r="I2277" s="7" t="s">
        <v>14651</v>
      </c>
      <c r="J2277" s="8" t="str">
        <f aca="false">IF(I2277="Open",DATE(2025,12,31)-F2277,"-")</f>
        <v>-</v>
      </c>
    </row>
    <row r="2278" customFormat="false" ht="15" hidden="false" customHeight="false" outlineLevel="0" collapsed="false">
      <c r="B2278" s="7" t="s">
        <v>16923</v>
      </c>
      <c r="C2278" s="7" t="s">
        <v>2775</v>
      </c>
      <c r="D2278" s="7" t="s">
        <v>397</v>
      </c>
      <c r="E2278" s="7" t="s">
        <v>159</v>
      </c>
      <c r="F2278" s="39" t="n">
        <v>45772</v>
      </c>
      <c r="G2278" s="41" t="n">
        <v>122.85</v>
      </c>
      <c r="H2278" s="39" t="n">
        <v>45844</v>
      </c>
      <c r="I2278" s="7" t="s">
        <v>14651</v>
      </c>
      <c r="J2278" s="8" t="str">
        <f aca="false">IF(I2278="Open",DATE(2025,12,31)-F2278,"-")</f>
        <v>-</v>
      </c>
    </row>
    <row r="2279" customFormat="false" ht="15" hidden="false" customHeight="false" outlineLevel="0" collapsed="false">
      <c r="B2279" s="7" t="s">
        <v>16924</v>
      </c>
      <c r="C2279" s="7" t="s">
        <v>2776</v>
      </c>
      <c r="D2279" s="7" t="s">
        <v>399</v>
      </c>
      <c r="E2279" s="7" t="s">
        <v>154</v>
      </c>
      <c r="F2279" s="39" t="n">
        <v>45772</v>
      </c>
      <c r="G2279" s="41" t="n">
        <v>89.57</v>
      </c>
      <c r="H2279" s="39" t="n">
        <v>45807</v>
      </c>
      <c r="I2279" s="7" t="s">
        <v>14651</v>
      </c>
      <c r="J2279" s="8" t="str">
        <f aca="false">IF(I2279="Open",DATE(2025,12,31)-F2279,"-")</f>
        <v>-</v>
      </c>
    </row>
    <row r="2280" customFormat="false" ht="15" hidden="false" customHeight="false" outlineLevel="0" collapsed="false">
      <c r="B2280" s="7" t="s">
        <v>16925</v>
      </c>
      <c r="C2280" s="7" t="s">
        <v>2777</v>
      </c>
      <c r="D2280" s="7" t="s">
        <v>401</v>
      </c>
      <c r="E2280" s="7" t="s">
        <v>156</v>
      </c>
      <c r="F2280" s="39" t="n">
        <v>45772</v>
      </c>
      <c r="G2280" s="41" t="n">
        <v>133.96</v>
      </c>
      <c r="H2280" s="39" t="n">
        <v>45781</v>
      </c>
      <c r="I2280" s="7" t="s">
        <v>14651</v>
      </c>
      <c r="J2280" s="8" t="str">
        <f aca="false">IF(I2280="Open",DATE(2025,12,31)-F2280,"-")</f>
        <v>-</v>
      </c>
    </row>
    <row r="2281" customFormat="false" ht="15" hidden="false" customHeight="false" outlineLevel="0" collapsed="false">
      <c r="B2281" s="7" t="s">
        <v>16926</v>
      </c>
      <c r="C2281" s="7" t="s">
        <v>2778</v>
      </c>
      <c r="D2281" s="7" t="s">
        <v>407</v>
      </c>
      <c r="E2281" s="7" t="s">
        <v>159</v>
      </c>
      <c r="F2281" s="39" t="n">
        <v>45772</v>
      </c>
      <c r="G2281" s="41" t="n">
        <v>119.2</v>
      </c>
      <c r="H2281" s="39" t="n">
        <v>45821</v>
      </c>
      <c r="I2281" s="7" t="s">
        <v>14651</v>
      </c>
      <c r="J2281" s="8" t="str">
        <f aca="false">IF(I2281="Open",DATE(2025,12,31)-F2281,"-")</f>
        <v>-</v>
      </c>
    </row>
    <row r="2282" customFormat="false" ht="15" hidden="false" customHeight="false" outlineLevel="0" collapsed="false">
      <c r="B2282" s="7" t="s">
        <v>16927</v>
      </c>
      <c r="C2282" s="7" t="s">
        <v>2779</v>
      </c>
      <c r="D2282" s="7" t="s">
        <v>409</v>
      </c>
      <c r="E2282" s="7" t="s">
        <v>154</v>
      </c>
      <c r="F2282" s="39" t="n">
        <v>45772</v>
      </c>
      <c r="G2282" s="41" t="n">
        <v>85.06</v>
      </c>
      <c r="H2282" s="39" t="n">
        <v>45878</v>
      </c>
      <c r="I2282" s="7" t="s">
        <v>14651</v>
      </c>
      <c r="J2282" s="8" t="str">
        <f aca="false">IF(I2282="Open",DATE(2025,12,31)-F2282,"-")</f>
        <v>-</v>
      </c>
    </row>
    <row r="2283" customFormat="false" ht="15" hidden="false" customHeight="false" outlineLevel="0" collapsed="false">
      <c r="B2283" s="7" t="s">
        <v>16928</v>
      </c>
      <c r="C2283" s="7" t="s">
        <v>2780</v>
      </c>
      <c r="D2283" s="7" t="s">
        <v>411</v>
      </c>
      <c r="E2283" s="7" t="s">
        <v>154</v>
      </c>
      <c r="F2283" s="39" t="n">
        <v>45772</v>
      </c>
      <c r="G2283" s="41" t="n">
        <v>129.85</v>
      </c>
      <c r="H2283" s="39" t="n">
        <v>45817</v>
      </c>
      <c r="I2283" s="7" t="s">
        <v>14651</v>
      </c>
      <c r="J2283" s="8" t="str">
        <f aca="false">IF(I2283="Open",DATE(2025,12,31)-F2283,"-")</f>
        <v>-</v>
      </c>
    </row>
    <row r="2284" customFormat="false" ht="15" hidden="false" customHeight="false" outlineLevel="0" collapsed="false">
      <c r="B2284" s="7" t="s">
        <v>16929</v>
      </c>
      <c r="C2284" s="7" t="s">
        <v>2781</v>
      </c>
      <c r="D2284" s="7" t="s">
        <v>288</v>
      </c>
      <c r="E2284" s="7" t="s">
        <v>156</v>
      </c>
      <c r="F2284" s="39" t="n">
        <v>45773</v>
      </c>
      <c r="G2284" s="41" t="n">
        <v>143.48</v>
      </c>
      <c r="H2284" s="39" t="n">
        <v>45776</v>
      </c>
      <c r="I2284" s="7" t="s">
        <v>14651</v>
      </c>
      <c r="J2284" s="8" t="str">
        <f aca="false">IF(I2284="Open",DATE(2025,12,31)-F2284,"-")</f>
        <v>-</v>
      </c>
    </row>
    <row r="2285" customFormat="false" ht="15" hidden="false" customHeight="false" outlineLevel="0" collapsed="false">
      <c r="B2285" s="7" t="s">
        <v>16930</v>
      </c>
      <c r="C2285" s="7" t="s">
        <v>2782</v>
      </c>
      <c r="D2285" s="7" t="s">
        <v>321</v>
      </c>
      <c r="E2285" s="7" t="s">
        <v>154</v>
      </c>
      <c r="F2285" s="39" t="n">
        <v>45773</v>
      </c>
      <c r="G2285" s="41" t="n">
        <v>99.48</v>
      </c>
      <c r="H2285" s="39" t="n">
        <v>45865</v>
      </c>
      <c r="I2285" s="7" t="s">
        <v>14651</v>
      </c>
      <c r="J2285" s="8" t="str">
        <f aca="false">IF(I2285="Open",DATE(2025,12,31)-F2285,"-")</f>
        <v>-</v>
      </c>
    </row>
    <row r="2286" customFormat="false" ht="15" hidden="false" customHeight="false" outlineLevel="0" collapsed="false">
      <c r="B2286" s="7" t="s">
        <v>16931</v>
      </c>
      <c r="C2286" s="7" t="s">
        <v>2783</v>
      </c>
      <c r="D2286" s="7" t="s">
        <v>359</v>
      </c>
      <c r="E2286" s="7" t="s">
        <v>156</v>
      </c>
      <c r="F2286" s="39" t="n">
        <v>45773</v>
      </c>
      <c r="G2286" s="41" t="n">
        <v>138.38</v>
      </c>
      <c r="H2286" s="39" t="n">
        <v>45790</v>
      </c>
      <c r="I2286" s="7" t="s">
        <v>14651</v>
      </c>
      <c r="J2286" s="8" t="str">
        <f aca="false">IF(I2286="Open",DATE(2025,12,31)-F2286,"-")</f>
        <v>-</v>
      </c>
    </row>
    <row r="2287" customFormat="false" ht="15" hidden="false" customHeight="false" outlineLevel="0" collapsed="false">
      <c r="B2287" s="7" t="s">
        <v>16932</v>
      </c>
      <c r="C2287" s="7" t="s">
        <v>2784</v>
      </c>
      <c r="D2287" s="7" t="s">
        <v>391</v>
      </c>
      <c r="E2287" s="7" t="s">
        <v>156</v>
      </c>
      <c r="F2287" s="39" t="n">
        <v>45773</v>
      </c>
      <c r="G2287" s="41" t="n">
        <v>136.34</v>
      </c>
      <c r="H2287" s="39" t="n">
        <v>45784</v>
      </c>
      <c r="I2287" s="7" t="s">
        <v>14651</v>
      </c>
      <c r="J2287" s="8" t="str">
        <f aca="false">IF(I2287="Open",DATE(2025,12,31)-F2287,"-")</f>
        <v>-</v>
      </c>
    </row>
    <row r="2288" customFormat="false" ht="15" hidden="false" customHeight="false" outlineLevel="0" collapsed="false">
      <c r="B2288" s="7" t="s">
        <v>16933</v>
      </c>
      <c r="C2288" s="7" t="s">
        <v>2785</v>
      </c>
      <c r="D2288" s="7" t="s">
        <v>395</v>
      </c>
      <c r="E2288" s="7" t="s">
        <v>156</v>
      </c>
      <c r="F2288" s="39" t="n">
        <v>45773</v>
      </c>
      <c r="G2288" s="41" t="n">
        <v>133.96</v>
      </c>
      <c r="H2288" s="39" t="n">
        <v>45775</v>
      </c>
      <c r="I2288" s="7" t="s">
        <v>14651</v>
      </c>
      <c r="J2288" s="8" t="str">
        <f aca="false">IF(I2288="Open",DATE(2025,12,31)-F2288,"-")</f>
        <v>-</v>
      </c>
    </row>
    <row r="2289" customFormat="false" ht="15" hidden="false" customHeight="false" outlineLevel="0" collapsed="false">
      <c r="B2289" s="7" t="s">
        <v>16934</v>
      </c>
      <c r="C2289" s="7" t="s">
        <v>2786</v>
      </c>
      <c r="D2289" s="7" t="s">
        <v>401</v>
      </c>
      <c r="E2289" s="7" t="s">
        <v>156</v>
      </c>
      <c r="F2289" s="39" t="n">
        <v>45773</v>
      </c>
      <c r="G2289" s="41" t="n">
        <v>147.22</v>
      </c>
      <c r="H2289" s="39" t="n">
        <v>45783</v>
      </c>
      <c r="I2289" s="7" t="s">
        <v>14651</v>
      </c>
      <c r="J2289" s="8" t="str">
        <f aca="false">IF(I2289="Open",DATE(2025,12,31)-F2289,"-")</f>
        <v>-</v>
      </c>
    </row>
    <row r="2290" customFormat="false" ht="15" hidden="false" customHeight="false" outlineLevel="0" collapsed="false">
      <c r="B2290" s="7" t="s">
        <v>16935</v>
      </c>
      <c r="C2290" s="7" t="s">
        <v>2787</v>
      </c>
      <c r="D2290" s="7" t="s">
        <v>288</v>
      </c>
      <c r="E2290" s="7" t="s">
        <v>156</v>
      </c>
      <c r="F2290" s="39" t="n">
        <v>45774</v>
      </c>
      <c r="G2290" s="41" t="n">
        <v>140.42</v>
      </c>
      <c r="H2290" s="39" t="n">
        <v>45778</v>
      </c>
      <c r="I2290" s="7" t="s">
        <v>14651</v>
      </c>
      <c r="J2290" s="8" t="str">
        <f aca="false">IF(I2290="Open",DATE(2025,12,31)-F2290,"-")</f>
        <v>-</v>
      </c>
    </row>
    <row r="2291" customFormat="false" ht="15" hidden="false" customHeight="false" outlineLevel="0" collapsed="false">
      <c r="B2291" s="7" t="s">
        <v>16936</v>
      </c>
      <c r="C2291" s="7" t="s">
        <v>2788</v>
      </c>
      <c r="D2291" s="7" t="s">
        <v>321</v>
      </c>
      <c r="E2291" s="7" t="s">
        <v>154</v>
      </c>
      <c r="F2291" s="39" t="n">
        <v>45774</v>
      </c>
      <c r="G2291" s="41" t="n">
        <v>108.12</v>
      </c>
      <c r="H2291" s="39" t="n">
        <v>45819</v>
      </c>
      <c r="I2291" s="7" t="s">
        <v>14651</v>
      </c>
      <c r="J2291" s="8" t="str">
        <f aca="false">IF(I2291="Open",DATE(2025,12,31)-F2291,"-")</f>
        <v>-</v>
      </c>
    </row>
    <row r="2292" customFormat="false" ht="15" hidden="false" customHeight="false" outlineLevel="0" collapsed="false">
      <c r="B2292" s="7" t="s">
        <v>16937</v>
      </c>
      <c r="C2292" s="7" t="s">
        <v>2789</v>
      </c>
      <c r="D2292" s="7" t="s">
        <v>359</v>
      </c>
      <c r="E2292" s="7" t="s">
        <v>156</v>
      </c>
      <c r="F2292" s="39" t="n">
        <v>45774</v>
      </c>
      <c r="G2292" s="41" t="n">
        <v>148.58</v>
      </c>
      <c r="H2292" s="39" t="n">
        <v>45790</v>
      </c>
      <c r="I2292" s="7" t="s">
        <v>14651</v>
      </c>
      <c r="J2292" s="8" t="str">
        <f aca="false">IF(I2292="Open",DATE(2025,12,31)-F2292,"-")</f>
        <v>-</v>
      </c>
    </row>
    <row r="2293" customFormat="false" ht="15" hidden="false" customHeight="false" outlineLevel="0" collapsed="false">
      <c r="B2293" s="7" t="s">
        <v>16938</v>
      </c>
      <c r="C2293" s="7" t="s">
        <v>2790</v>
      </c>
      <c r="D2293" s="7" t="s">
        <v>391</v>
      </c>
      <c r="E2293" s="7" t="s">
        <v>156</v>
      </c>
      <c r="F2293" s="39" t="n">
        <v>45774</v>
      </c>
      <c r="G2293" s="41" t="n">
        <v>126.82</v>
      </c>
      <c r="H2293" s="39" t="n">
        <v>45790</v>
      </c>
      <c r="I2293" s="7" t="s">
        <v>14651</v>
      </c>
      <c r="J2293" s="8" t="str">
        <f aca="false">IF(I2293="Open",DATE(2025,12,31)-F2293,"-")</f>
        <v>-</v>
      </c>
    </row>
    <row r="2294" customFormat="false" ht="15" hidden="false" customHeight="false" outlineLevel="0" collapsed="false">
      <c r="B2294" s="7" t="s">
        <v>16939</v>
      </c>
      <c r="C2294" s="7" t="s">
        <v>2791</v>
      </c>
      <c r="D2294" s="7" t="s">
        <v>395</v>
      </c>
      <c r="E2294" s="7" t="s">
        <v>156</v>
      </c>
      <c r="F2294" s="39" t="n">
        <v>45774</v>
      </c>
      <c r="G2294" s="41" t="n">
        <v>123.42</v>
      </c>
      <c r="H2294" s="39" t="n">
        <v>45780</v>
      </c>
      <c r="I2294" s="7" t="s">
        <v>14651</v>
      </c>
      <c r="J2294" s="8" t="str">
        <f aca="false">IF(I2294="Open",DATE(2025,12,31)-F2294,"-")</f>
        <v>-</v>
      </c>
    </row>
    <row r="2295" customFormat="false" ht="15" hidden="false" customHeight="false" outlineLevel="0" collapsed="false">
      <c r="B2295" s="7" t="s">
        <v>16940</v>
      </c>
      <c r="C2295" s="7" t="s">
        <v>2792</v>
      </c>
      <c r="D2295" s="7" t="s">
        <v>401</v>
      </c>
      <c r="E2295" s="7" t="s">
        <v>156</v>
      </c>
      <c r="F2295" s="39" t="n">
        <v>45774</v>
      </c>
      <c r="G2295" s="41" t="n">
        <v>128.52</v>
      </c>
      <c r="H2295" s="39" t="n">
        <v>45776</v>
      </c>
      <c r="I2295" s="7" t="s">
        <v>14651</v>
      </c>
      <c r="J2295" s="8" t="str">
        <f aca="false">IF(I2295="Open",DATE(2025,12,31)-F2295,"-")</f>
        <v>-</v>
      </c>
    </row>
    <row r="2296" customFormat="false" ht="15" hidden="false" customHeight="false" outlineLevel="0" collapsed="false">
      <c r="B2296" s="7" t="s">
        <v>16941</v>
      </c>
      <c r="C2296" s="7" t="s">
        <v>2793</v>
      </c>
      <c r="D2296" s="7" t="s">
        <v>280</v>
      </c>
      <c r="E2296" s="7" t="s">
        <v>157</v>
      </c>
      <c r="F2296" s="39" t="n">
        <v>45775</v>
      </c>
      <c r="G2296" s="41" t="n">
        <v>156.75</v>
      </c>
      <c r="H2296" s="39" t="n">
        <v>45802</v>
      </c>
      <c r="I2296" s="7" t="s">
        <v>14651</v>
      </c>
      <c r="J2296" s="8" t="str">
        <f aca="false">IF(I2296="Open",DATE(2025,12,31)-F2296,"-")</f>
        <v>-</v>
      </c>
    </row>
    <row r="2297" customFormat="false" ht="15" hidden="false" customHeight="false" outlineLevel="0" collapsed="false">
      <c r="B2297" s="7" t="s">
        <v>16942</v>
      </c>
      <c r="C2297" s="7" t="s">
        <v>2794</v>
      </c>
      <c r="D2297" s="7" t="s">
        <v>288</v>
      </c>
      <c r="E2297" s="7" t="s">
        <v>156</v>
      </c>
      <c r="F2297" s="39" t="n">
        <v>45775</v>
      </c>
      <c r="G2297" s="41" t="n">
        <v>131.58</v>
      </c>
      <c r="H2297" s="39" t="n">
        <v>45790</v>
      </c>
      <c r="I2297" s="7" t="s">
        <v>14651</v>
      </c>
      <c r="J2297" s="8" t="str">
        <f aca="false">IF(I2297="Open",DATE(2025,12,31)-F2297,"-")</f>
        <v>-</v>
      </c>
    </row>
    <row r="2298" customFormat="false" ht="15" hidden="false" customHeight="false" outlineLevel="0" collapsed="false">
      <c r="B2298" s="7" t="s">
        <v>16943</v>
      </c>
      <c r="C2298" s="7" t="s">
        <v>2795</v>
      </c>
      <c r="D2298" s="7" t="s">
        <v>291</v>
      </c>
      <c r="E2298" s="7" t="s">
        <v>154</v>
      </c>
      <c r="F2298" s="39" t="n">
        <v>45775</v>
      </c>
      <c r="G2298" s="41" t="n">
        <v>115.81</v>
      </c>
      <c r="H2298" s="39" t="n">
        <v>45820</v>
      </c>
      <c r="I2298" s="7" t="s">
        <v>14651</v>
      </c>
      <c r="J2298" s="8" t="str">
        <f aca="false">IF(I2298="Open",DATE(2025,12,31)-F2298,"-")</f>
        <v>-</v>
      </c>
    </row>
    <row r="2299" customFormat="false" ht="15" hidden="false" customHeight="false" outlineLevel="0" collapsed="false">
      <c r="B2299" s="7" t="s">
        <v>16944</v>
      </c>
      <c r="C2299" s="7" t="s">
        <v>2796</v>
      </c>
      <c r="D2299" s="7" t="s">
        <v>297</v>
      </c>
      <c r="E2299" s="7" t="s">
        <v>156</v>
      </c>
      <c r="F2299" s="39" t="n">
        <v>45775</v>
      </c>
      <c r="G2299" s="41" t="n">
        <v>93.16</v>
      </c>
      <c r="H2299" s="39" t="n">
        <v>45798</v>
      </c>
      <c r="I2299" s="7" t="s">
        <v>14651</v>
      </c>
      <c r="J2299" s="8" t="str">
        <f aca="false">IF(I2299="Open",DATE(2025,12,31)-F2299,"-")</f>
        <v>-</v>
      </c>
    </row>
    <row r="2300" customFormat="false" ht="15" hidden="false" customHeight="false" outlineLevel="0" collapsed="false">
      <c r="B2300" s="7" t="s">
        <v>16945</v>
      </c>
      <c r="C2300" s="7" t="s">
        <v>2797</v>
      </c>
      <c r="D2300" s="7" t="s">
        <v>305</v>
      </c>
      <c r="E2300" s="7" t="s">
        <v>154</v>
      </c>
      <c r="F2300" s="39" t="n">
        <v>45775</v>
      </c>
      <c r="G2300" s="41" t="n">
        <v>101.5</v>
      </c>
      <c r="H2300" s="39" t="n">
        <v>45811</v>
      </c>
      <c r="I2300" s="7" t="s">
        <v>14651</v>
      </c>
      <c r="J2300" s="8" t="str">
        <f aca="false">IF(I2300="Open",DATE(2025,12,31)-F2300,"-")</f>
        <v>-</v>
      </c>
    </row>
    <row r="2301" customFormat="false" ht="15" hidden="false" customHeight="false" outlineLevel="0" collapsed="false">
      <c r="B2301" s="7" t="s">
        <v>16946</v>
      </c>
      <c r="C2301" s="7" t="s">
        <v>2798</v>
      </c>
      <c r="D2301" s="7" t="s">
        <v>307</v>
      </c>
      <c r="E2301" s="7" t="s">
        <v>157</v>
      </c>
      <c r="F2301" s="39" t="n">
        <v>45775</v>
      </c>
      <c r="G2301" s="41" t="n">
        <v>164.5</v>
      </c>
      <c r="H2301" s="39" t="n">
        <v>45865</v>
      </c>
      <c r="I2301" s="7" t="s">
        <v>14651</v>
      </c>
      <c r="J2301" s="8" t="str">
        <f aca="false">IF(I2301="Open",DATE(2025,12,31)-F2301,"-")</f>
        <v>-</v>
      </c>
    </row>
    <row r="2302" customFormat="false" ht="15" hidden="false" customHeight="false" outlineLevel="0" collapsed="false">
      <c r="B2302" s="7" t="s">
        <v>16947</v>
      </c>
      <c r="C2302" s="7" t="s">
        <v>2799</v>
      </c>
      <c r="D2302" s="7" t="s">
        <v>309</v>
      </c>
      <c r="E2302" s="7" t="s">
        <v>159</v>
      </c>
      <c r="F2302" s="39" t="n">
        <v>45775</v>
      </c>
      <c r="G2302" s="41" t="n">
        <v>126.9</v>
      </c>
      <c r="H2302" s="39" t="n">
        <v>45811</v>
      </c>
      <c r="I2302" s="7" t="s">
        <v>14651</v>
      </c>
      <c r="J2302" s="8" t="str">
        <f aca="false">IF(I2302="Open",DATE(2025,12,31)-F2302,"-")</f>
        <v>-</v>
      </c>
    </row>
    <row r="2303" customFormat="false" ht="15" hidden="false" customHeight="false" outlineLevel="0" collapsed="false">
      <c r="B2303" s="7" t="s">
        <v>16948</v>
      </c>
      <c r="C2303" s="7" t="s">
        <v>2800</v>
      </c>
      <c r="D2303" s="7" t="s">
        <v>311</v>
      </c>
      <c r="E2303" s="7" t="s">
        <v>154</v>
      </c>
      <c r="F2303" s="39" t="n">
        <v>45775</v>
      </c>
      <c r="G2303" s="41" t="n">
        <v>82.94</v>
      </c>
      <c r="H2303" s="39" t="n">
        <v>45793</v>
      </c>
      <c r="I2303" s="7" t="s">
        <v>14651</v>
      </c>
      <c r="J2303" s="8" t="str">
        <f aca="false">IF(I2303="Open",DATE(2025,12,31)-F2303,"-")</f>
        <v>-</v>
      </c>
    </row>
    <row r="2304" customFormat="false" ht="15" hidden="false" customHeight="false" outlineLevel="0" collapsed="false">
      <c r="B2304" s="7" t="s">
        <v>16949</v>
      </c>
      <c r="C2304" s="7" t="s">
        <v>2801</v>
      </c>
      <c r="D2304" s="7" t="s">
        <v>321</v>
      </c>
      <c r="E2304" s="7" t="s">
        <v>154</v>
      </c>
      <c r="F2304" s="39" t="n">
        <v>45775</v>
      </c>
      <c r="G2304" s="41" t="n">
        <v>98.31</v>
      </c>
      <c r="H2304" s="39" t="n">
        <v>45853</v>
      </c>
      <c r="I2304" s="7" t="s">
        <v>14651</v>
      </c>
      <c r="J2304" s="8" t="str">
        <f aca="false">IF(I2304="Open",DATE(2025,12,31)-F2304,"-")</f>
        <v>-</v>
      </c>
    </row>
    <row r="2305" customFormat="false" ht="15" hidden="false" customHeight="false" outlineLevel="0" collapsed="false">
      <c r="B2305" s="7" t="s">
        <v>16950</v>
      </c>
      <c r="C2305" s="7" t="s">
        <v>2802</v>
      </c>
      <c r="D2305" s="7" t="s">
        <v>325</v>
      </c>
      <c r="E2305" s="7" t="s">
        <v>154</v>
      </c>
      <c r="F2305" s="39" t="n">
        <v>45775</v>
      </c>
      <c r="G2305" s="41" t="n">
        <v>76.85</v>
      </c>
      <c r="H2305" s="39" t="n">
        <v>45861</v>
      </c>
      <c r="I2305" s="7" t="s">
        <v>14651</v>
      </c>
      <c r="J2305" s="8" t="str">
        <f aca="false">IF(I2305="Open",DATE(2025,12,31)-F2305,"-")</f>
        <v>-</v>
      </c>
    </row>
    <row r="2306" customFormat="false" ht="15" hidden="false" customHeight="false" outlineLevel="0" collapsed="false">
      <c r="B2306" s="7" t="s">
        <v>16951</v>
      </c>
      <c r="C2306" s="7" t="s">
        <v>2803</v>
      </c>
      <c r="D2306" s="7" t="s">
        <v>329</v>
      </c>
      <c r="E2306" s="7" t="s">
        <v>156</v>
      </c>
      <c r="F2306" s="39" t="n">
        <v>45775</v>
      </c>
      <c r="G2306" s="41" t="n">
        <v>132.6</v>
      </c>
      <c r="H2306" s="39" t="n">
        <v>45792</v>
      </c>
      <c r="I2306" s="7" t="s">
        <v>14651</v>
      </c>
      <c r="J2306" s="8" t="str">
        <f aca="false">IF(I2306="Open",DATE(2025,12,31)-F2306,"-")</f>
        <v>-</v>
      </c>
    </row>
    <row r="2307" customFormat="false" ht="15" hidden="false" customHeight="false" outlineLevel="0" collapsed="false">
      <c r="B2307" s="7" t="s">
        <v>16952</v>
      </c>
      <c r="C2307" s="7" t="s">
        <v>2804</v>
      </c>
      <c r="D2307" s="7" t="s">
        <v>331</v>
      </c>
      <c r="E2307" s="7" t="s">
        <v>156</v>
      </c>
      <c r="F2307" s="39" t="n">
        <v>45775</v>
      </c>
      <c r="G2307" s="41" t="n">
        <v>136.68</v>
      </c>
      <c r="H2307" s="39" t="n">
        <v>45782</v>
      </c>
      <c r="I2307" s="7" t="s">
        <v>14651</v>
      </c>
      <c r="J2307" s="8" t="str">
        <f aca="false">IF(I2307="Open",DATE(2025,12,31)-F2307,"-")</f>
        <v>-</v>
      </c>
    </row>
    <row r="2308" customFormat="false" ht="15" hidden="false" customHeight="false" outlineLevel="0" collapsed="false">
      <c r="B2308" s="7" t="s">
        <v>16953</v>
      </c>
      <c r="C2308" s="7" t="s">
        <v>2805</v>
      </c>
      <c r="D2308" s="7" t="s">
        <v>335</v>
      </c>
      <c r="E2308" s="7" t="s">
        <v>154</v>
      </c>
      <c r="F2308" s="39" t="n">
        <v>45775</v>
      </c>
      <c r="G2308" s="41" t="n">
        <v>101.55</v>
      </c>
      <c r="H2308" s="39" t="n">
        <v>45833</v>
      </c>
      <c r="I2308" s="7" t="s">
        <v>14651</v>
      </c>
      <c r="J2308" s="8" t="str">
        <f aca="false">IF(I2308="Open",DATE(2025,12,31)-F2308,"-")</f>
        <v>-</v>
      </c>
    </row>
    <row r="2309" customFormat="false" ht="15" hidden="false" customHeight="false" outlineLevel="0" collapsed="false">
      <c r="B2309" s="7" t="s">
        <v>16954</v>
      </c>
      <c r="C2309" s="7" t="s">
        <v>2806</v>
      </c>
      <c r="D2309" s="7" t="s">
        <v>337</v>
      </c>
      <c r="E2309" s="7" t="s">
        <v>154</v>
      </c>
      <c r="F2309" s="39" t="n">
        <v>45775</v>
      </c>
      <c r="G2309" s="41" t="n">
        <v>85.59</v>
      </c>
      <c r="H2309" s="39" t="n">
        <v>45827</v>
      </c>
      <c r="I2309" s="7" t="s">
        <v>14651</v>
      </c>
      <c r="J2309" s="8" t="str">
        <f aca="false">IF(I2309="Open",DATE(2025,12,31)-F2309,"-")</f>
        <v>-</v>
      </c>
    </row>
    <row r="2310" customFormat="false" ht="15" hidden="false" customHeight="false" outlineLevel="0" collapsed="false">
      <c r="B2310" s="7" t="s">
        <v>16955</v>
      </c>
      <c r="C2310" s="7" t="s">
        <v>2807</v>
      </c>
      <c r="D2310" s="7" t="s">
        <v>339</v>
      </c>
      <c r="E2310" s="7" t="s">
        <v>154</v>
      </c>
      <c r="F2310" s="39" t="n">
        <v>45775</v>
      </c>
      <c r="G2310" s="41" t="n">
        <v>89.04</v>
      </c>
      <c r="H2310" s="39" t="n">
        <v>45859</v>
      </c>
      <c r="I2310" s="7" t="s">
        <v>14651</v>
      </c>
      <c r="J2310" s="8" t="str">
        <f aca="false">IF(I2310="Open",DATE(2025,12,31)-F2310,"-")</f>
        <v>-</v>
      </c>
    </row>
    <row r="2311" customFormat="false" ht="15" hidden="false" customHeight="false" outlineLevel="0" collapsed="false">
      <c r="B2311" s="7" t="s">
        <v>16956</v>
      </c>
      <c r="C2311" s="7" t="s">
        <v>2808</v>
      </c>
      <c r="D2311" s="7" t="s">
        <v>341</v>
      </c>
      <c r="E2311" s="7" t="s">
        <v>156</v>
      </c>
      <c r="F2311" s="39" t="n">
        <v>45775</v>
      </c>
      <c r="G2311" s="41" t="n">
        <v>100.64</v>
      </c>
      <c r="H2311" s="39" t="n">
        <v>45782</v>
      </c>
      <c r="I2311" s="7" t="s">
        <v>14651</v>
      </c>
      <c r="J2311" s="8" t="str">
        <f aca="false">IF(I2311="Open",DATE(2025,12,31)-F2311,"-")</f>
        <v>-</v>
      </c>
    </row>
    <row r="2312" customFormat="false" ht="15" hidden="false" customHeight="false" outlineLevel="0" collapsed="false">
      <c r="B2312" s="7" t="s">
        <v>16957</v>
      </c>
      <c r="C2312" s="7" t="s">
        <v>2809</v>
      </c>
      <c r="D2312" s="7" t="s">
        <v>343</v>
      </c>
      <c r="E2312" s="7" t="s">
        <v>154</v>
      </c>
      <c r="F2312" s="39" t="n">
        <v>45775</v>
      </c>
      <c r="G2312" s="41" t="n">
        <v>111.56</v>
      </c>
      <c r="H2312" s="39" t="n">
        <v>45839</v>
      </c>
      <c r="I2312" s="7" t="s">
        <v>14651</v>
      </c>
      <c r="J2312" s="8" t="str">
        <f aca="false">IF(I2312="Open",DATE(2025,12,31)-F2312,"-")</f>
        <v>-</v>
      </c>
    </row>
    <row r="2313" customFormat="false" ht="15" hidden="false" customHeight="false" outlineLevel="0" collapsed="false">
      <c r="B2313" s="7" t="s">
        <v>16958</v>
      </c>
      <c r="C2313" s="7" t="s">
        <v>2810</v>
      </c>
      <c r="D2313" s="7" t="s">
        <v>351</v>
      </c>
      <c r="E2313" s="7" t="s">
        <v>154</v>
      </c>
      <c r="F2313" s="39" t="n">
        <v>45775</v>
      </c>
      <c r="G2313" s="41" t="n">
        <v>76.32</v>
      </c>
      <c r="H2313" s="39" t="n">
        <v>45808</v>
      </c>
      <c r="I2313" s="7" t="s">
        <v>14651</v>
      </c>
      <c r="J2313" s="8" t="str">
        <f aca="false">IF(I2313="Open",DATE(2025,12,31)-F2313,"-")</f>
        <v>-</v>
      </c>
    </row>
    <row r="2314" customFormat="false" ht="15" hidden="false" customHeight="false" outlineLevel="0" collapsed="false">
      <c r="B2314" s="7" t="s">
        <v>16959</v>
      </c>
      <c r="C2314" s="7" t="s">
        <v>2811</v>
      </c>
      <c r="D2314" s="7" t="s">
        <v>353</v>
      </c>
      <c r="E2314" s="7" t="s">
        <v>154</v>
      </c>
      <c r="F2314" s="39" t="n">
        <v>45775</v>
      </c>
      <c r="G2314" s="41" t="n">
        <v>87.9</v>
      </c>
      <c r="H2314" s="39" t="n">
        <v>45851</v>
      </c>
      <c r="I2314" s="7" t="s">
        <v>14651</v>
      </c>
      <c r="J2314" s="8" t="str">
        <f aca="false">IF(I2314="Open",DATE(2025,12,31)-F2314,"-")</f>
        <v>-</v>
      </c>
    </row>
    <row r="2315" customFormat="false" ht="15" hidden="false" customHeight="false" outlineLevel="0" collapsed="false">
      <c r="B2315" s="7" t="s">
        <v>16960</v>
      </c>
      <c r="C2315" s="7" t="s">
        <v>2812</v>
      </c>
      <c r="D2315" s="7" t="s">
        <v>355</v>
      </c>
      <c r="E2315" s="7" t="s">
        <v>154</v>
      </c>
      <c r="F2315" s="39" t="n">
        <v>45775</v>
      </c>
      <c r="G2315" s="41" t="n">
        <v>88.51</v>
      </c>
      <c r="H2315" s="39" t="n">
        <v>45836</v>
      </c>
      <c r="I2315" s="7" t="s">
        <v>14651</v>
      </c>
      <c r="J2315" s="8" t="str">
        <f aca="false">IF(I2315="Open",DATE(2025,12,31)-F2315,"-")</f>
        <v>-</v>
      </c>
    </row>
    <row r="2316" customFormat="false" ht="15" hidden="false" customHeight="false" outlineLevel="0" collapsed="false">
      <c r="B2316" s="7" t="s">
        <v>16961</v>
      </c>
      <c r="C2316" s="7" t="s">
        <v>2813</v>
      </c>
      <c r="D2316" s="7" t="s">
        <v>357</v>
      </c>
      <c r="E2316" s="7" t="s">
        <v>154</v>
      </c>
      <c r="F2316" s="39" t="n">
        <v>45775</v>
      </c>
      <c r="G2316" s="41" t="n">
        <v>92.22</v>
      </c>
      <c r="H2316" s="39" t="n">
        <v>45832</v>
      </c>
      <c r="I2316" s="7" t="s">
        <v>14651</v>
      </c>
      <c r="J2316" s="8" t="str">
        <f aca="false">IF(I2316="Open",DATE(2025,12,31)-F2316,"-")</f>
        <v>-</v>
      </c>
    </row>
    <row r="2317" customFormat="false" ht="15" hidden="false" customHeight="false" outlineLevel="0" collapsed="false">
      <c r="B2317" s="7" t="s">
        <v>16962</v>
      </c>
      <c r="C2317" s="7" t="s">
        <v>2814</v>
      </c>
      <c r="D2317" s="7" t="s">
        <v>359</v>
      </c>
      <c r="E2317" s="7" t="s">
        <v>156</v>
      </c>
      <c r="F2317" s="39" t="n">
        <v>45775</v>
      </c>
      <c r="G2317" s="41" t="n">
        <v>139.06</v>
      </c>
      <c r="H2317" s="39" t="n">
        <v>45785</v>
      </c>
      <c r="I2317" s="7" t="s">
        <v>14651</v>
      </c>
      <c r="J2317" s="8" t="str">
        <f aca="false">IF(I2317="Open",DATE(2025,12,31)-F2317,"-")</f>
        <v>-</v>
      </c>
    </row>
    <row r="2318" customFormat="false" ht="15" hidden="false" customHeight="false" outlineLevel="0" collapsed="false">
      <c r="B2318" s="7" t="s">
        <v>16963</v>
      </c>
      <c r="C2318" s="7" t="s">
        <v>2815</v>
      </c>
      <c r="D2318" s="7" t="s">
        <v>363</v>
      </c>
      <c r="E2318" s="7" t="s">
        <v>156</v>
      </c>
      <c r="F2318" s="39" t="n">
        <v>45775</v>
      </c>
      <c r="G2318" s="41" t="n">
        <v>146.54</v>
      </c>
      <c r="H2318" s="39" t="n">
        <v>45789</v>
      </c>
      <c r="I2318" s="7" t="s">
        <v>14651</v>
      </c>
      <c r="J2318" s="8" t="str">
        <f aca="false">IF(I2318="Open",DATE(2025,12,31)-F2318,"-")</f>
        <v>-</v>
      </c>
    </row>
    <row r="2319" customFormat="false" ht="15" hidden="false" customHeight="false" outlineLevel="0" collapsed="false">
      <c r="B2319" s="7" t="s">
        <v>16964</v>
      </c>
      <c r="C2319" s="7" t="s">
        <v>2816</v>
      </c>
      <c r="D2319" s="7" t="s">
        <v>365</v>
      </c>
      <c r="E2319" s="7" t="s">
        <v>154</v>
      </c>
      <c r="F2319" s="39" t="n">
        <v>45775</v>
      </c>
      <c r="G2319" s="41" t="n">
        <v>106.53</v>
      </c>
      <c r="H2319" s="39" t="n">
        <v>45849</v>
      </c>
      <c r="I2319" s="7" t="s">
        <v>14651</v>
      </c>
      <c r="J2319" s="8" t="str">
        <f aca="false">IF(I2319="Open",DATE(2025,12,31)-F2319,"-")</f>
        <v>-</v>
      </c>
    </row>
    <row r="2320" customFormat="false" ht="15" hidden="false" customHeight="false" outlineLevel="0" collapsed="false">
      <c r="B2320" s="7" t="s">
        <v>16965</v>
      </c>
      <c r="C2320" s="7" t="s">
        <v>2817</v>
      </c>
      <c r="D2320" s="7" t="s">
        <v>371</v>
      </c>
      <c r="E2320" s="7" t="s">
        <v>154</v>
      </c>
      <c r="F2320" s="39" t="n">
        <v>45775</v>
      </c>
      <c r="G2320" s="41" t="n">
        <v>124.29</v>
      </c>
      <c r="H2320" s="39" t="n">
        <v>45819</v>
      </c>
      <c r="I2320" s="7" t="s">
        <v>14651</v>
      </c>
      <c r="J2320" s="8" t="str">
        <f aca="false">IF(I2320="Open",DATE(2025,12,31)-F2320,"-")</f>
        <v>-</v>
      </c>
    </row>
    <row r="2321" customFormat="false" ht="15" hidden="false" customHeight="false" outlineLevel="0" collapsed="false">
      <c r="B2321" s="7" t="s">
        <v>16966</v>
      </c>
      <c r="C2321" s="7" t="s">
        <v>2818</v>
      </c>
      <c r="D2321" s="7" t="s">
        <v>375</v>
      </c>
      <c r="E2321" s="7" t="s">
        <v>156</v>
      </c>
      <c r="F2321" s="39" t="n">
        <v>45775</v>
      </c>
      <c r="G2321" s="41" t="n">
        <v>101.32</v>
      </c>
      <c r="H2321" s="39" t="n">
        <v>45789</v>
      </c>
      <c r="I2321" s="7" t="s">
        <v>14651</v>
      </c>
      <c r="J2321" s="8" t="str">
        <f aca="false">IF(I2321="Open",DATE(2025,12,31)-F2321,"-")</f>
        <v>-</v>
      </c>
    </row>
    <row r="2322" customFormat="false" ht="15" hidden="false" customHeight="false" outlineLevel="0" collapsed="false">
      <c r="B2322" s="7" t="s">
        <v>16967</v>
      </c>
      <c r="C2322" s="7" t="s">
        <v>2819</v>
      </c>
      <c r="D2322" s="7" t="s">
        <v>377</v>
      </c>
      <c r="E2322" s="7" t="s">
        <v>154</v>
      </c>
      <c r="F2322" s="39" t="n">
        <v>45775</v>
      </c>
      <c r="G2322" s="41" t="n">
        <v>112.1</v>
      </c>
      <c r="H2322" s="39" t="n">
        <v>45885</v>
      </c>
      <c r="I2322" s="7" t="s">
        <v>14651</v>
      </c>
      <c r="J2322" s="8" t="str">
        <f aca="false">IF(I2322="Open",DATE(2025,12,31)-F2322,"-")</f>
        <v>-</v>
      </c>
    </row>
    <row r="2323" customFormat="false" ht="15" hidden="false" customHeight="false" outlineLevel="0" collapsed="false">
      <c r="B2323" s="7" t="s">
        <v>16968</v>
      </c>
      <c r="C2323" s="7" t="s">
        <v>2820</v>
      </c>
      <c r="D2323" s="7" t="s">
        <v>379</v>
      </c>
      <c r="E2323" s="7" t="s">
        <v>156</v>
      </c>
      <c r="F2323" s="39" t="n">
        <v>45775</v>
      </c>
      <c r="G2323" s="41" t="n">
        <v>171.36</v>
      </c>
      <c r="H2323" s="39" t="n">
        <v>45782</v>
      </c>
      <c r="I2323" s="7" t="s">
        <v>14651</v>
      </c>
      <c r="J2323" s="8" t="str">
        <f aca="false">IF(I2323="Open",DATE(2025,12,31)-F2323,"-")</f>
        <v>-</v>
      </c>
    </row>
    <row r="2324" customFormat="false" ht="15" hidden="false" customHeight="false" outlineLevel="0" collapsed="false">
      <c r="B2324" s="7" t="s">
        <v>16969</v>
      </c>
      <c r="C2324" s="7" t="s">
        <v>2821</v>
      </c>
      <c r="D2324" s="7" t="s">
        <v>385</v>
      </c>
      <c r="E2324" s="7" t="s">
        <v>156</v>
      </c>
      <c r="F2324" s="39" t="n">
        <v>45775</v>
      </c>
      <c r="G2324" s="41" t="n">
        <v>128.18</v>
      </c>
      <c r="H2324" s="39" t="n">
        <v>45786</v>
      </c>
      <c r="I2324" s="7" t="s">
        <v>14651</v>
      </c>
      <c r="J2324" s="8" t="str">
        <f aca="false">IF(I2324="Open",DATE(2025,12,31)-F2324,"-")</f>
        <v>-</v>
      </c>
    </row>
    <row r="2325" customFormat="false" ht="15" hidden="false" customHeight="false" outlineLevel="0" collapsed="false">
      <c r="B2325" s="7" t="s">
        <v>16970</v>
      </c>
      <c r="C2325" s="7" t="s">
        <v>2822</v>
      </c>
      <c r="D2325" s="7" t="s">
        <v>389</v>
      </c>
      <c r="E2325" s="7" t="s">
        <v>154</v>
      </c>
      <c r="F2325" s="39" t="n">
        <v>45775</v>
      </c>
      <c r="G2325" s="41" t="n">
        <v>98.84</v>
      </c>
      <c r="H2325" s="39" t="n">
        <v>45885</v>
      </c>
      <c r="I2325" s="7" t="s">
        <v>14651</v>
      </c>
      <c r="J2325" s="8" t="str">
        <f aca="false">IF(I2325="Open",DATE(2025,12,31)-F2325,"-")</f>
        <v>-</v>
      </c>
    </row>
    <row r="2326" customFormat="false" ht="15" hidden="false" customHeight="false" outlineLevel="0" collapsed="false">
      <c r="B2326" s="7" t="s">
        <v>16971</v>
      </c>
      <c r="C2326" s="7" t="s">
        <v>2823</v>
      </c>
      <c r="D2326" s="7" t="s">
        <v>391</v>
      </c>
      <c r="E2326" s="7" t="s">
        <v>156</v>
      </c>
      <c r="F2326" s="39" t="n">
        <v>45775</v>
      </c>
      <c r="G2326" s="41" t="n">
        <v>124.78</v>
      </c>
      <c r="H2326" s="39" t="n">
        <v>45790</v>
      </c>
      <c r="I2326" s="7" t="s">
        <v>14651</v>
      </c>
      <c r="J2326" s="8" t="str">
        <f aca="false">IF(I2326="Open",DATE(2025,12,31)-F2326,"-")</f>
        <v>-</v>
      </c>
    </row>
    <row r="2327" customFormat="false" ht="15" hidden="false" customHeight="false" outlineLevel="0" collapsed="false">
      <c r="B2327" s="7" t="s">
        <v>16972</v>
      </c>
      <c r="C2327" s="7" t="s">
        <v>2824</v>
      </c>
      <c r="D2327" s="7" t="s">
        <v>395</v>
      </c>
      <c r="E2327" s="7" t="s">
        <v>156</v>
      </c>
      <c r="F2327" s="39" t="n">
        <v>45775</v>
      </c>
      <c r="G2327" s="41" t="n">
        <v>136.68</v>
      </c>
      <c r="H2327" s="39" t="n">
        <v>45782</v>
      </c>
      <c r="I2327" s="7" t="s">
        <v>14651</v>
      </c>
      <c r="J2327" s="8" t="str">
        <f aca="false">IF(I2327="Open",DATE(2025,12,31)-F2327,"-")</f>
        <v>-</v>
      </c>
    </row>
    <row r="2328" customFormat="false" ht="15" hidden="false" customHeight="false" outlineLevel="0" collapsed="false">
      <c r="B2328" s="7" t="s">
        <v>16973</v>
      </c>
      <c r="C2328" s="7" t="s">
        <v>2825</v>
      </c>
      <c r="D2328" s="7" t="s">
        <v>399</v>
      </c>
      <c r="E2328" s="7" t="s">
        <v>154</v>
      </c>
      <c r="F2328" s="39" t="n">
        <v>45775</v>
      </c>
      <c r="G2328" s="41" t="n">
        <v>88.51</v>
      </c>
      <c r="H2328" s="39" t="n">
        <v>45799</v>
      </c>
      <c r="I2328" s="7" t="s">
        <v>14651</v>
      </c>
      <c r="J2328" s="8" t="str">
        <f aca="false">IF(I2328="Open",DATE(2025,12,31)-F2328,"-")</f>
        <v>-</v>
      </c>
    </row>
    <row r="2329" customFormat="false" ht="15" hidden="false" customHeight="false" outlineLevel="0" collapsed="false">
      <c r="B2329" s="7" t="s">
        <v>16974</v>
      </c>
      <c r="C2329" s="7" t="s">
        <v>2826</v>
      </c>
      <c r="D2329" s="7" t="s">
        <v>401</v>
      </c>
      <c r="E2329" s="7" t="s">
        <v>156</v>
      </c>
      <c r="F2329" s="39" t="n">
        <v>45775</v>
      </c>
      <c r="G2329" s="41" t="n">
        <v>134.3</v>
      </c>
      <c r="H2329" s="39" t="n">
        <v>45782</v>
      </c>
      <c r="I2329" s="7" t="s">
        <v>14651</v>
      </c>
      <c r="J2329" s="8" t="str">
        <f aca="false">IF(I2329="Open",DATE(2025,12,31)-F2329,"-")</f>
        <v>-</v>
      </c>
    </row>
    <row r="2330" customFormat="false" ht="15" hidden="false" customHeight="false" outlineLevel="0" collapsed="false">
      <c r="B2330" s="7" t="s">
        <v>16975</v>
      </c>
      <c r="C2330" s="7" t="s">
        <v>2827</v>
      </c>
      <c r="D2330" s="7" t="s">
        <v>411</v>
      </c>
      <c r="E2330" s="7" t="s">
        <v>154</v>
      </c>
      <c r="F2330" s="39" t="n">
        <v>45775</v>
      </c>
      <c r="G2330" s="41" t="n">
        <v>117.13</v>
      </c>
      <c r="H2330" s="39" t="n">
        <v>45868</v>
      </c>
      <c r="I2330" s="7" t="s">
        <v>14651</v>
      </c>
      <c r="J2330" s="8" t="str">
        <f aca="false">IF(I2330="Open",DATE(2025,12,31)-F2330,"-")</f>
        <v>-</v>
      </c>
    </row>
    <row r="2331" customFormat="false" ht="15" hidden="false" customHeight="false" outlineLevel="0" collapsed="false">
      <c r="B2331" s="7" t="s">
        <v>16976</v>
      </c>
      <c r="C2331" s="7" t="s">
        <v>2828</v>
      </c>
      <c r="D2331" s="7" t="s">
        <v>288</v>
      </c>
      <c r="E2331" s="7" t="s">
        <v>156</v>
      </c>
      <c r="F2331" s="39" t="n">
        <v>45776</v>
      </c>
      <c r="G2331" s="41" t="n">
        <v>124.78</v>
      </c>
      <c r="H2331" s="39" t="n">
        <v>45779</v>
      </c>
      <c r="I2331" s="7" t="s">
        <v>14651</v>
      </c>
      <c r="J2331" s="8" t="str">
        <f aca="false">IF(I2331="Open",DATE(2025,12,31)-F2331,"-")</f>
        <v>-</v>
      </c>
    </row>
    <row r="2332" customFormat="false" ht="15" hidden="false" customHeight="false" outlineLevel="0" collapsed="false">
      <c r="B2332" s="7" t="s">
        <v>16977</v>
      </c>
      <c r="C2332" s="7" t="s">
        <v>2829</v>
      </c>
      <c r="D2332" s="7" t="s">
        <v>301</v>
      </c>
      <c r="E2332" s="7" t="s">
        <v>157</v>
      </c>
      <c r="F2332" s="39" t="n">
        <v>45776</v>
      </c>
      <c r="G2332" s="41" t="n">
        <v>169.95</v>
      </c>
      <c r="H2332" s="39" t="n">
        <v>45832</v>
      </c>
      <c r="I2332" s="7" t="s">
        <v>14651</v>
      </c>
      <c r="J2332" s="8" t="str">
        <f aca="false">IF(I2332="Open",DATE(2025,12,31)-F2332,"-")</f>
        <v>-</v>
      </c>
    </row>
    <row r="2333" customFormat="false" ht="15" hidden="false" customHeight="false" outlineLevel="0" collapsed="false">
      <c r="B2333" s="7" t="s">
        <v>16978</v>
      </c>
      <c r="C2333" s="7" t="s">
        <v>2830</v>
      </c>
      <c r="D2333" s="7" t="s">
        <v>313</v>
      </c>
      <c r="E2333" s="7" t="s">
        <v>156</v>
      </c>
      <c r="F2333" s="39" t="n">
        <v>45776</v>
      </c>
      <c r="G2333" s="41" t="n">
        <v>125.12</v>
      </c>
      <c r="H2333" s="39" t="n">
        <v>45777</v>
      </c>
      <c r="I2333" s="7" t="s">
        <v>14651</v>
      </c>
      <c r="J2333" s="8" t="str">
        <f aca="false">IF(I2333="Open",DATE(2025,12,31)-F2333,"-")</f>
        <v>-</v>
      </c>
    </row>
    <row r="2334" customFormat="false" ht="15" hidden="false" customHeight="false" outlineLevel="0" collapsed="false">
      <c r="B2334" s="7" t="s">
        <v>16979</v>
      </c>
      <c r="C2334" s="7" t="s">
        <v>2831</v>
      </c>
      <c r="D2334" s="7" t="s">
        <v>319</v>
      </c>
      <c r="E2334" s="7" t="s">
        <v>157</v>
      </c>
      <c r="F2334" s="39" t="n">
        <v>45776</v>
      </c>
      <c r="G2334" s="41" t="n">
        <v>155.1</v>
      </c>
      <c r="H2334" s="39" t="n">
        <v>45817</v>
      </c>
      <c r="I2334" s="7" t="s">
        <v>14651</v>
      </c>
      <c r="J2334" s="8" t="str">
        <f aca="false">IF(I2334="Open",DATE(2025,12,31)-F2334,"-")</f>
        <v>-</v>
      </c>
    </row>
    <row r="2335" customFormat="false" ht="15" hidden="false" customHeight="false" outlineLevel="0" collapsed="false">
      <c r="B2335" s="7" t="s">
        <v>16980</v>
      </c>
      <c r="C2335" s="7" t="s">
        <v>2832</v>
      </c>
      <c r="D2335" s="7" t="s">
        <v>321</v>
      </c>
      <c r="E2335" s="7" t="s">
        <v>154</v>
      </c>
      <c r="F2335" s="39" t="n">
        <v>45776</v>
      </c>
      <c r="G2335" s="41" t="n">
        <v>101.76</v>
      </c>
      <c r="H2335" s="39" t="n">
        <v>45831</v>
      </c>
      <c r="I2335" s="7" t="s">
        <v>14651</v>
      </c>
      <c r="J2335" s="8" t="str">
        <f aca="false">IF(I2335="Open",DATE(2025,12,31)-F2335,"-")</f>
        <v>-</v>
      </c>
    </row>
    <row r="2336" customFormat="false" ht="15" hidden="false" customHeight="false" outlineLevel="0" collapsed="false">
      <c r="B2336" s="7" t="s">
        <v>16981</v>
      </c>
      <c r="C2336" s="7" t="s">
        <v>2833</v>
      </c>
      <c r="D2336" s="7" t="s">
        <v>323</v>
      </c>
      <c r="E2336" s="7" t="s">
        <v>159</v>
      </c>
      <c r="F2336" s="39" t="n">
        <v>45776</v>
      </c>
      <c r="G2336" s="41" t="n">
        <v>128.25</v>
      </c>
      <c r="H2336" s="39" t="n">
        <v>45799</v>
      </c>
      <c r="I2336" s="7" t="s">
        <v>14651</v>
      </c>
      <c r="J2336" s="8" t="str">
        <f aca="false">IF(I2336="Open",DATE(2025,12,31)-F2336,"-")</f>
        <v>-</v>
      </c>
    </row>
    <row r="2337" customFormat="false" ht="15" hidden="false" customHeight="false" outlineLevel="0" collapsed="false">
      <c r="B2337" s="7" t="s">
        <v>16982</v>
      </c>
      <c r="C2337" s="7" t="s">
        <v>2834</v>
      </c>
      <c r="D2337" s="7" t="s">
        <v>327</v>
      </c>
      <c r="E2337" s="7" t="s">
        <v>157</v>
      </c>
      <c r="F2337" s="39" t="n">
        <v>45776</v>
      </c>
      <c r="G2337" s="41" t="n">
        <v>181.5</v>
      </c>
      <c r="H2337" s="39" t="n">
        <v>45807</v>
      </c>
      <c r="I2337" s="7" t="s">
        <v>14651</v>
      </c>
      <c r="J2337" s="8" t="str">
        <f aca="false">IF(I2337="Open",DATE(2025,12,31)-F2337,"-")</f>
        <v>-</v>
      </c>
    </row>
    <row r="2338" customFormat="false" ht="15" hidden="false" customHeight="false" outlineLevel="0" collapsed="false">
      <c r="B2338" s="7" t="s">
        <v>16983</v>
      </c>
      <c r="C2338" s="7" t="s">
        <v>2835</v>
      </c>
      <c r="D2338" s="7" t="s">
        <v>359</v>
      </c>
      <c r="E2338" s="7" t="s">
        <v>156</v>
      </c>
      <c r="F2338" s="39" t="n">
        <v>45776</v>
      </c>
      <c r="G2338" s="41" t="n">
        <v>130.22</v>
      </c>
      <c r="H2338" s="39" t="n">
        <v>45782</v>
      </c>
      <c r="I2338" s="7" t="s">
        <v>14651</v>
      </c>
      <c r="J2338" s="8" t="str">
        <f aca="false">IF(I2338="Open",DATE(2025,12,31)-F2338,"-")</f>
        <v>-</v>
      </c>
    </row>
    <row r="2339" customFormat="false" ht="15" hidden="false" customHeight="false" outlineLevel="0" collapsed="false">
      <c r="B2339" s="7" t="s">
        <v>16984</v>
      </c>
      <c r="C2339" s="7" t="s">
        <v>2836</v>
      </c>
      <c r="D2339" s="7" t="s">
        <v>361</v>
      </c>
      <c r="E2339" s="7" t="s">
        <v>157</v>
      </c>
      <c r="F2339" s="39" t="n">
        <v>45776</v>
      </c>
      <c r="G2339" s="41" t="n">
        <v>179.85</v>
      </c>
      <c r="H2339" s="39" t="n">
        <v>45838</v>
      </c>
      <c r="I2339" s="7" t="s">
        <v>14651</v>
      </c>
      <c r="J2339" s="8" t="str">
        <f aca="false">IF(I2339="Open",DATE(2025,12,31)-F2339,"-")</f>
        <v>-</v>
      </c>
    </row>
    <row r="2340" customFormat="false" ht="15" hidden="false" customHeight="false" outlineLevel="0" collapsed="false">
      <c r="B2340" s="7" t="s">
        <v>16985</v>
      </c>
      <c r="C2340" s="7" t="s">
        <v>2837</v>
      </c>
      <c r="D2340" s="7" t="s">
        <v>365</v>
      </c>
      <c r="E2340" s="7" t="s">
        <v>154</v>
      </c>
      <c r="F2340" s="39" t="n">
        <v>45776</v>
      </c>
      <c r="G2340" s="41" t="n">
        <v>95.66</v>
      </c>
      <c r="H2340" s="39" t="n">
        <v>45808</v>
      </c>
      <c r="I2340" s="7" t="s">
        <v>14651</v>
      </c>
      <c r="J2340" s="8" t="str">
        <f aca="false">IF(I2340="Open",DATE(2025,12,31)-F2340,"-")</f>
        <v>-</v>
      </c>
    </row>
    <row r="2341" customFormat="false" ht="15" hidden="false" customHeight="false" outlineLevel="0" collapsed="false">
      <c r="B2341" s="7" t="s">
        <v>16986</v>
      </c>
      <c r="C2341" s="7" t="s">
        <v>2838</v>
      </c>
      <c r="D2341" s="7" t="s">
        <v>381</v>
      </c>
      <c r="E2341" s="7" t="s">
        <v>157</v>
      </c>
      <c r="F2341" s="39" t="n">
        <v>45776</v>
      </c>
      <c r="G2341" s="41" t="n">
        <v>179.85</v>
      </c>
      <c r="H2341" s="39" t="n">
        <v>45817</v>
      </c>
      <c r="I2341" s="7" t="s">
        <v>14651</v>
      </c>
      <c r="J2341" s="8" t="str">
        <f aca="false">IF(I2341="Open",DATE(2025,12,31)-F2341,"-")</f>
        <v>-</v>
      </c>
    </row>
    <row r="2342" customFormat="false" ht="15" hidden="false" customHeight="false" outlineLevel="0" collapsed="false">
      <c r="B2342" s="7" t="s">
        <v>16987</v>
      </c>
      <c r="C2342" s="7" t="s">
        <v>2839</v>
      </c>
      <c r="D2342" s="7" t="s">
        <v>389</v>
      </c>
      <c r="E2342" s="7" t="s">
        <v>154</v>
      </c>
      <c r="F2342" s="39" t="n">
        <v>45776</v>
      </c>
      <c r="G2342" s="41" t="n">
        <v>110.77</v>
      </c>
      <c r="H2342" s="39" t="n">
        <v>45821</v>
      </c>
      <c r="I2342" s="7" t="s">
        <v>14651</v>
      </c>
      <c r="J2342" s="8" t="str">
        <f aca="false">IF(I2342="Open",DATE(2025,12,31)-F2342,"-")</f>
        <v>-</v>
      </c>
    </row>
    <row r="2343" customFormat="false" ht="15" hidden="false" customHeight="false" outlineLevel="0" collapsed="false">
      <c r="B2343" s="7" t="s">
        <v>16988</v>
      </c>
      <c r="C2343" s="7" t="s">
        <v>2840</v>
      </c>
      <c r="D2343" s="7" t="s">
        <v>391</v>
      </c>
      <c r="E2343" s="7" t="s">
        <v>156</v>
      </c>
      <c r="F2343" s="39" t="n">
        <v>45776</v>
      </c>
      <c r="G2343" s="41" t="n">
        <v>138.38</v>
      </c>
      <c r="H2343" s="39" t="n">
        <v>45784</v>
      </c>
      <c r="I2343" s="7" t="s">
        <v>14651</v>
      </c>
      <c r="J2343" s="8" t="str">
        <f aca="false">IF(I2343="Open",DATE(2025,12,31)-F2343,"-")</f>
        <v>-</v>
      </c>
    </row>
    <row r="2344" customFormat="false" ht="15" hidden="false" customHeight="false" outlineLevel="0" collapsed="false">
      <c r="B2344" s="7" t="s">
        <v>16989</v>
      </c>
      <c r="C2344" s="7" t="s">
        <v>2841</v>
      </c>
      <c r="D2344" s="7" t="s">
        <v>395</v>
      </c>
      <c r="E2344" s="7" t="s">
        <v>156</v>
      </c>
      <c r="F2344" s="39" t="n">
        <v>45776</v>
      </c>
      <c r="G2344" s="41" t="n">
        <v>144.5</v>
      </c>
      <c r="H2344" s="39" t="n">
        <v>45788</v>
      </c>
      <c r="I2344" s="7" t="s">
        <v>14651</v>
      </c>
      <c r="J2344" s="8" t="str">
        <f aca="false">IF(I2344="Open",DATE(2025,12,31)-F2344,"-")</f>
        <v>-</v>
      </c>
    </row>
    <row r="2345" customFormat="false" ht="15" hidden="false" customHeight="false" outlineLevel="0" collapsed="false">
      <c r="B2345" s="7" t="s">
        <v>16990</v>
      </c>
      <c r="C2345" s="7" t="s">
        <v>2842</v>
      </c>
      <c r="D2345" s="7" t="s">
        <v>397</v>
      </c>
      <c r="E2345" s="7" t="s">
        <v>159</v>
      </c>
      <c r="F2345" s="39" t="n">
        <v>45776</v>
      </c>
      <c r="G2345" s="41" t="n">
        <v>144.45</v>
      </c>
      <c r="H2345" s="39" t="n">
        <v>45821</v>
      </c>
      <c r="I2345" s="7" t="s">
        <v>14651</v>
      </c>
      <c r="J2345" s="8" t="str">
        <f aca="false">IF(I2345="Open",DATE(2025,12,31)-F2345,"-")</f>
        <v>-</v>
      </c>
    </row>
    <row r="2346" customFormat="false" ht="15" hidden="false" customHeight="false" outlineLevel="0" collapsed="false">
      <c r="B2346" s="7" t="s">
        <v>16991</v>
      </c>
      <c r="C2346" s="7" t="s">
        <v>2843</v>
      </c>
      <c r="D2346" s="7" t="s">
        <v>401</v>
      </c>
      <c r="E2346" s="7" t="s">
        <v>156</v>
      </c>
      <c r="F2346" s="39" t="n">
        <v>45776</v>
      </c>
      <c r="G2346" s="41" t="n">
        <v>133.62</v>
      </c>
      <c r="H2346" s="39" t="n">
        <v>45781</v>
      </c>
      <c r="I2346" s="7" t="s">
        <v>14651</v>
      </c>
      <c r="J2346" s="8" t="str">
        <f aca="false">IF(I2346="Open",DATE(2025,12,31)-F2346,"-")</f>
        <v>-</v>
      </c>
    </row>
    <row r="2347" customFormat="false" ht="15" hidden="false" customHeight="false" outlineLevel="0" collapsed="false">
      <c r="B2347" s="7" t="s">
        <v>16992</v>
      </c>
      <c r="C2347" s="7" t="s">
        <v>2844</v>
      </c>
      <c r="D2347" s="7" t="s">
        <v>407</v>
      </c>
      <c r="E2347" s="7" t="s">
        <v>159</v>
      </c>
      <c r="F2347" s="39" t="n">
        <v>45776</v>
      </c>
      <c r="G2347" s="41" t="n">
        <v>122.85</v>
      </c>
      <c r="H2347" s="39" t="n">
        <v>45879</v>
      </c>
      <c r="I2347" s="7" t="s">
        <v>14651</v>
      </c>
      <c r="J2347" s="8" t="str">
        <f aca="false">IF(I2347="Open",DATE(2025,12,31)-F2347,"-")</f>
        <v>-</v>
      </c>
    </row>
    <row r="2348" customFormat="false" ht="15" hidden="false" customHeight="false" outlineLevel="0" collapsed="false">
      <c r="B2348" s="7" t="s">
        <v>16993</v>
      </c>
      <c r="C2348" s="7" t="s">
        <v>2845</v>
      </c>
      <c r="D2348" s="7" t="s">
        <v>280</v>
      </c>
      <c r="E2348" s="7" t="s">
        <v>157</v>
      </c>
      <c r="F2348" s="39" t="n">
        <v>45777</v>
      </c>
      <c r="G2348" s="41" t="n">
        <v>158.4</v>
      </c>
      <c r="H2348" s="39" t="n">
        <v>45809</v>
      </c>
      <c r="I2348" s="7" t="s">
        <v>14651</v>
      </c>
      <c r="J2348" s="8" t="str">
        <f aca="false">IF(I2348="Open",DATE(2025,12,31)-F2348,"-")</f>
        <v>-</v>
      </c>
    </row>
    <row r="2349" customFormat="false" ht="15" hidden="false" customHeight="false" outlineLevel="0" collapsed="false">
      <c r="B2349" s="7" t="s">
        <v>16994</v>
      </c>
      <c r="C2349" s="7" t="s">
        <v>2846</v>
      </c>
      <c r="D2349" s="7" t="s">
        <v>286</v>
      </c>
      <c r="E2349" s="7" t="s">
        <v>157</v>
      </c>
      <c r="F2349" s="39" t="n">
        <v>45777</v>
      </c>
      <c r="G2349" s="41" t="n">
        <v>169.95</v>
      </c>
      <c r="H2349" s="39" t="n">
        <v>45801</v>
      </c>
      <c r="I2349" s="7" t="s">
        <v>14651</v>
      </c>
      <c r="J2349" s="8" t="str">
        <f aca="false">IF(I2349="Open",DATE(2025,12,31)-F2349,"-")</f>
        <v>-</v>
      </c>
    </row>
    <row r="2350" customFormat="false" ht="15" hidden="false" customHeight="false" outlineLevel="0" collapsed="false">
      <c r="B2350" s="7" t="s">
        <v>16995</v>
      </c>
      <c r="C2350" s="7" t="s">
        <v>2847</v>
      </c>
      <c r="D2350" s="7" t="s">
        <v>288</v>
      </c>
      <c r="E2350" s="7" t="s">
        <v>156</v>
      </c>
      <c r="F2350" s="39" t="n">
        <v>45777</v>
      </c>
      <c r="G2350" s="41" t="n">
        <v>133.96</v>
      </c>
      <c r="H2350" s="39" t="n">
        <v>45796</v>
      </c>
      <c r="I2350" s="7" t="s">
        <v>14651</v>
      </c>
      <c r="J2350" s="8" t="str">
        <f aca="false">IF(I2350="Open",DATE(2025,12,31)-F2350,"-")</f>
        <v>-</v>
      </c>
    </row>
    <row r="2351" customFormat="false" ht="15" hidden="false" customHeight="false" outlineLevel="0" collapsed="false">
      <c r="B2351" s="7" t="s">
        <v>16996</v>
      </c>
      <c r="C2351" s="7" t="s">
        <v>2848</v>
      </c>
      <c r="D2351" s="7" t="s">
        <v>291</v>
      </c>
      <c r="E2351" s="7" t="s">
        <v>154</v>
      </c>
      <c r="F2351" s="39" t="n">
        <v>45777</v>
      </c>
      <c r="G2351" s="41" t="n">
        <v>128.26</v>
      </c>
      <c r="H2351" s="39" t="n">
        <v>45896</v>
      </c>
      <c r="I2351" s="7" t="s">
        <v>14651</v>
      </c>
      <c r="J2351" s="8" t="str">
        <f aca="false">IF(I2351="Open",DATE(2025,12,31)-F2351,"-")</f>
        <v>-</v>
      </c>
    </row>
    <row r="2352" customFormat="false" ht="15" hidden="false" customHeight="false" outlineLevel="0" collapsed="false">
      <c r="B2352" s="7" t="s">
        <v>16997</v>
      </c>
      <c r="C2352" s="7" t="s">
        <v>2849</v>
      </c>
      <c r="D2352" s="7" t="s">
        <v>305</v>
      </c>
      <c r="E2352" s="7" t="s">
        <v>154</v>
      </c>
      <c r="F2352" s="39" t="n">
        <v>45777</v>
      </c>
      <c r="G2352" s="41" t="n">
        <v>104.12</v>
      </c>
      <c r="H2352" s="39" t="n">
        <v>45821</v>
      </c>
      <c r="I2352" s="7" t="s">
        <v>14651</v>
      </c>
      <c r="J2352" s="8" t="str">
        <f aca="false">IF(I2352="Open",DATE(2025,12,31)-F2352,"-")</f>
        <v>-</v>
      </c>
    </row>
    <row r="2353" customFormat="false" ht="15" hidden="false" customHeight="false" outlineLevel="0" collapsed="false">
      <c r="B2353" s="7" t="s">
        <v>16998</v>
      </c>
      <c r="C2353" s="7" t="s">
        <v>2850</v>
      </c>
      <c r="D2353" s="7" t="s">
        <v>307</v>
      </c>
      <c r="E2353" s="7" t="s">
        <v>157</v>
      </c>
      <c r="F2353" s="39" t="n">
        <v>45777</v>
      </c>
      <c r="G2353" s="41" t="n">
        <v>181.5</v>
      </c>
      <c r="H2353" s="39" t="n">
        <v>45824</v>
      </c>
      <c r="I2353" s="7" t="s">
        <v>14651</v>
      </c>
      <c r="J2353" s="8" t="str">
        <f aca="false">IF(I2353="Open",DATE(2025,12,31)-F2353,"-")</f>
        <v>-</v>
      </c>
    </row>
    <row r="2354" customFormat="false" ht="15" hidden="false" customHeight="false" outlineLevel="0" collapsed="false">
      <c r="B2354" s="7" t="s">
        <v>16999</v>
      </c>
      <c r="C2354" s="7" t="s">
        <v>2851</v>
      </c>
      <c r="D2354" s="7" t="s">
        <v>309</v>
      </c>
      <c r="E2354" s="7" t="s">
        <v>159</v>
      </c>
      <c r="F2354" s="39" t="n">
        <v>45777</v>
      </c>
      <c r="G2354" s="41" t="n">
        <v>143.1</v>
      </c>
      <c r="H2354" s="39" t="n">
        <v>45844</v>
      </c>
      <c r="I2354" s="7" t="s">
        <v>14651</v>
      </c>
      <c r="J2354" s="8" t="str">
        <f aca="false">IF(I2354="Open",DATE(2025,12,31)-F2354,"-")</f>
        <v>-</v>
      </c>
    </row>
    <row r="2355" customFormat="false" ht="15" hidden="false" customHeight="false" outlineLevel="0" collapsed="false">
      <c r="B2355" s="7" t="s">
        <v>17000</v>
      </c>
      <c r="C2355" s="7" t="s">
        <v>2852</v>
      </c>
      <c r="D2355" s="7" t="s">
        <v>313</v>
      </c>
      <c r="E2355" s="7" t="s">
        <v>156</v>
      </c>
      <c r="F2355" s="39" t="n">
        <v>45777</v>
      </c>
      <c r="G2355" s="41" t="n">
        <v>132.94</v>
      </c>
      <c r="H2355" s="39" t="n">
        <v>45785</v>
      </c>
      <c r="I2355" s="7" t="s">
        <v>14651</v>
      </c>
      <c r="J2355" s="8" t="str">
        <f aca="false">IF(I2355="Open",DATE(2025,12,31)-F2355,"-")</f>
        <v>-</v>
      </c>
    </row>
    <row r="2356" customFormat="false" ht="15" hidden="false" customHeight="false" outlineLevel="0" collapsed="false">
      <c r="B2356" s="7" t="s">
        <v>17001</v>
      </c>
      <c r="C2356" s="7" t="s">
        <v>2853</v>
      </c>
      <c r="D2356" s="7" t="s">
        <v>321</v>
      </c>
      <c r="E2356" s="7" t="s">
        <v>154</v>
      </c>
      <c r="F2356" s="39" t="n">
        <v>45777</v>
      </c>
      <c r="G2356" s="41" t="n">
        <v>96.72</v>
      </c>
      <c r="H2356" s="39" t="n">
        <v>45822</v>
      </c>
      <c r="I2356" s="7" t="s">
        <v>14651</v>
      </c>
      <c r="J2356" s="8" t="str">
        <f aca="false">IF(I2356="Open",DATE(2025,12,31)-F2356,"-")</f>
        <v>-</v>
      </c>
    </row>
    <row r="2357" customFormat="false" ht="15" hidden="false" customHeight="false" outlineLevel="0" collapsed="false">
      <c r="B2357" s="7" t="s">
        <v>17002</v>
      </c>
      <c r="C2357" s="7" t="s">
        <v>2854</v>
      </c>
      <c r="D2357" s="7" t="s">
        <v>329</v>
      </c>
      <c r="E2357" s="7" t="s">
        <v>156</v>
      </c>
      <c r="F2357" s="39" t="n">
        <v>45777</v>
      </c>
      <c r="G2357" s="41" t="n">
        <v>131.24</v>
      </c>
      <c r="H2357" s="39" t="n">
        <v>45789</v>
      </c>
      <c r="I2357" s="7" t="s">
        <v>14651</v>
      </c>
      <c r="J2357" s="8" t="str">
        <f aca="false">IF(I2357="Open",DATE(2025,12,31)-F2357,"-")</f>
        <v>-</v>
      </c>
    </row>
    <row r="2358" customFormat="false" ht="15" hidden="false" customHeight="false" outlineLevel="0" collapsed="false">
      <c r="B2358" s="7" t="s">
        <v>17003</v>
      </c>
      <c r="C2358" s="7" t="s">
        <v>2855</v>
      </c>
      <c r="D2358" s="7" t="s">
        <v>335</v>
      </c>
      <c r="E2358" s="7" t="s">
        <v>154</v>
      </c>
      <c r="F2358" s="39" t="n">
        <v>45777</v>
      </c>
      <c r="G2358" s="41" t="n">
        <v>101.76</v>
      </c>
      <c r="H2358" s="39" t="n">
        <v>45837</v>
      </c>
      <c r="I2358" s="7" t="s">
        <v>14651</v>
      </c>
      <c r="J2358" s="8" t="str">
        <f aca="false">IF(I2358="Open",DATE(2025,12,31)-F2358,"-")</f>
        <v>-</v>
      </c>
    </row>
    <row r="2359" customFormat="false" ht="15" hidden="false" customHeight="false" outlineLevel="0" collapsed="false">
      <c r="B2359" s="7" t="s">
        <v>17004</v>
      </c>
      <c r="C2359" s="7" t="s">
        <v>2856</v>
      </c>
      <c r="D2359" s="7" t="s">
        <v>339</v>
      </c>
      <c r="E2359" s="7" t="s">
        <v>154</v>
      </c>
      <c r="F2359" s="39" t="n">
        <v>45777</v>
      </c>
      <c r="G2359" s="41" t="n">
        <v>82.68</v>
      </c>
      <c r="H2359" s="39" t="n">
        <v>45840</v>
      </c>
      <c r="I2359" s="7" t="s">
        <v>14651</v>
      </c>
      <c r="J2359" s="8" t="str">
        <f aca="false">IF(I2359="Open",DATE(2025,12,31)-F2359,"-")</f>
        <v>-</v>
      </c>
    </row>
    <row r="2360" customFormat="false" ht="15" hidden="false" customHeight="false" outlineLevel="0" collapsed="false">
      <c r="B2360" s="7" t="s">
        <v>17005</v>
      </c>
      <c r="C2360" s="7" t="s">
        <v>2857</v>
      </c>
      <c r="D2360" s="7" t="s">
        <v>353</v>
      </c>
      <c r="E2360" s="7" t="s">
        <v>154</v>
      </c>
      <c r="F2360" s="39" t="n">
        <v>45777</v>
      </c>
      <c r="G2360" s="41" t="n">
        <v>80.03</v>
      </c>
      <c r="H2360" s="39" t="n">
        <v>45848</v>
      </c>
      <c r="I2360" s="7" t="s">
        <v>14651</v>
      </c>
      <c r="J2360" s="8" t="str">
        <f aca="false">IF(I2360="Open",DATE(2025,12,31)-F2360,"-")</f>
        <v>-</v>
      </c>
    </row>
    <row r="2361" customFormat="false" ht="15" hidden="false" customHeight="false" outlineLevel="0" collapsed="false">
      <c r="B2361" s="7" t="s">
        <v>17006</v>
      </c>
      <c r="C2361" s="7" t="s">
        <v>2858</v>
      </c>
      <c r="D2361" s="7" t="s">
        <v>355</v>
      </c>
      <c r="E2361" s="7" t="s">
        <v>154</v>
      </c>
      <c r="F2361" s="39" t="n">
        <v>45777</v>
      </c>
      <c r="G2361" s="41" t="n">
        <v>86.39</v>
      </c>
      <c r="H2361" s="39" t="n">
        <v>45836</v>
      </c>
      <c r="I2361" s="7" t="s">
        <v>14651</v>
      </c>
      <c r="J2361" s="8" t="str">
        <f aca="false">IF(I2361="Open",DATE(2025,12,31)-F2361,"-")</f>
        <v>-</v>
      </c>
    </row>
    <row r="2362" customFormat="false" ht="15" hidden="false" customHeight="false" outlineLevel="0" collapsed="false">
      <c r="B2362" s="7" t="s">
        <v>17007</v>
      </c>
      <c r="C2362" s="7" t="s">
        <v>2859</v>
      </c>
      <c r="D2362" s="7" t="s">
        <v>357</v>
      </c>
      <c r="E2362" s="7" t="s">
        <v>154</v>
      </c>
      <c r="F2362" s="39" t="n">
        <v>45777</v>
      </c>
      <c r="G2362" s="41" t="n">
        <v>88.78</v>
      </c>
      <c r="H2362" s="39" t="n">
        <v>45815</v>
      </c>
      <c r="I2362" s="7" t="s">
        <v>14651</v>
      </c>
      <c r="J2362" s="8" t="str">
        <f aca="false">IF(I2362="Open",DATE(2025,12,31)-F2362,"-")</f>
        <v>-</v>
      </c>
    </row>
    <row r="2363" customFormat="false" ht="15" hidden="false" customHeight="false" outlineLevel="0" collapsed="false">
      <c r="B2363" s="7" t="s">
        <v>17008</v>
      </c>
      <c r="C2363" s="7" t="s">
        <v>2860</v>
      </c>
      <c r="D2363" s="7" t="s">
        <v>359</v>
      </c>
      <c r="E2363" s="7" t="s">
        <v>156</v>
      </c>
      <c r="F2363" s="39" t="n">
        <v>45777</v>
      </c>
      <c r="G2363" s="41" t="n">
        <v>122.74</v>
      </c>
      <c r="H2363" s="39" t="n">
        <v>45783</v>
      </c>
      <c r="I2363" s="7" t="s">
        <v>14651</v>
      </c>
      <c r="J2363" s="8" t="str">
        <f aca="false">IF(I2363="Open",DATE(2025,12,31)-F2363,"-")</f>
        <v>-</v>
      </c>
    </row>
    <row r="2364" customFormat="false" ht="15" hidden="false" customHeight="false" outlineLevel="0" collapsed="false">
      <c r="B2364" s="7" t="s">
        <v>17009</v>
      </c>
      <c r="C2364" s="7" t="s">
        <v>2861</v>
      </c>
      <c r="D2364" s="7" t="s">
        <v>365</v>
      </c>
      <c r="E2364" s="7" t="s">
        <v>154</v>
      </c>
      <c r="F2364" s="39" t="n">
        <v>45777</v>
      </c>
      <c r="G2364" s="41" t="n">
        <v>100.51</v>
      </c>
      <c r="H2364" s="39" t="n">
        <v>45833</v>
      </c>
      <c r="I2364" s="7" t="s">
        <v>14651</v>
      </c>
      <c r="J2364" s="8" t="str">
        <f aca="false">IF(I2364="Open",DATE(2025,12,31)-F2364,"-")</f>
        <v>-</v>
      </c>
    </row>
    <row r="2365" customFormat="false" ht="15" hidden="false" customHeight="false" outlineLevel="0" collapsed="false">
      <c r="B2365" s="7" t="s">
        <v>17010</v>
      </c>
      <c r="C2365" s="7" t="s">
        <v>2862</v>
      </c>
      <c r="D2365" s="7" t="s">
        <v>371</v>
      </c>
      <c r="E2365" s="7" t="s">
        <v>154</v>
      </c>
      <c r="F2365" s="39" t="n">
        <v>45777</v>
      </c>
      <c r="G2365" s="41" t="n">
        <v>121.63</v>
      </c>
      <c r="H2365" s="39" t="n">
        <v>45846</v>
      </c>
      <c r="I2365" s="7" t="s">
        <v>14651</v>
      </c>
      <c r="J2365" s="8" t="str">
        <f aca="false">IF(I2365="Open",DATE(2025,12,31)-F2365,"-")</f>
        <v>-</v>
      </c>
    </row>
    <row r="2366" customFormat="false" ht="15" hidden="false" customHeight="false" outlineLevel="0" collapsed="false">
      <c r="B2366" s="7" t="s">
        <v>17011</v>
      </c>
      <c r="C2366" s="7" t="s">
        <v>2863</v>
      </c>
      <c r="D2366" s="7" t="s">
        <v>379</v>
      </c>
      <c r="E2366" s="7" t="s">
        <v>156</v>
      </c>
      <c r="F2366" s="39" t="n">
        <v>45777</v>
      </c>
      <c r="G2366" s="41" t="n">
        <v>171.36</v>
      </c>
      <c r="H2366" s="39" t="n">
        <v>45787</v>
      </c>
      <c r="I2366" s="7" t="s">
        <v>14651</v>
      </c>
      <c r="J2366" s="8" t="str">
        <f aca="false">IF(I2366="Open",DATE(2025,12,31)-F2366,"-")</f>
        <v>-</v>
      </c>
    </row>
    <row r="2367" customFormat="false" ht="15" hidden="false" customHeight="false" outlineLevel="0" collapsed="false">
      <c r="B2367" s="7" t="s">
        <v>17012</v>
      </c>
      <c r="C2367" s="7" t="s">
        <v>2864</v>
      </c>
      <c r="D2367" s="7" t="s">
        <v>385</v>
      </c>
      <c r="E2367" s="7" t="s">
        <v>156</v>
      </c>
      <c r="F2367" s="39" t="n">
        <v>45777</v>
      </c>
      <c r="G2367" s="41" t="n">
        <v>130.9</v>
      </c>
      <c r="H2367" s="39" t="n">
        <v>45792</v>
      </c>
      <c r="I2367" s="7" t="s">
        <v>14651</v>
      </c>
      <c r="J2367" s="8" t="str">
        <f aca="false">IF(I2367="Open",DATE(2025,12,31)-F2367,"-")</f>
        <v>-</v>
      </c>
    </row>
    <row r="2368" customFormat="false" ht="15" hidden="false" customHeight="false" outlineLevel="0" collapsed="false">
      <c r="B2368" s="7" t="s">
        <v>17013</v>
      </c>
      <c r="C2368" s="7" t="s">
        <v>2865</v>
      </c>
      <c r="D2368" s="7" t="s">
        <v>389</v>
      </c>
      <c r="E2368" s="7" t="s">
        <v>154</v>
      </c>
      <c r="F2368" s="39" t="n">
        <v>45777</v>
      </c>
      <c r="G2368" s="41" t="n">
        <v>98.84</v>
      </c>
      <c r="H2368" s="39" t="n">
        <v>45831</v>
      </c>
      <c r="I2368" s="7" t="s">
        <v>14651</v>
      </c>
      <c r="J2368" s="8" t="str">
        <f aca="false">IF(I2368="Open",DATE(2025,12,31)-F2368,"-")</f>
        <v>-</v>
      </c>
    </row>
    <row r="2369" customFormat="false" ht="15" hidden="false" customHeight="false" outlineLevel="0" collapsed="false">
      <c r="B2369" s="7" t="s">
        <v>17014</v>
      </c>
      <c r="C2369" s="7" t="s">
        <v>2866</v>
      </c>
      <c r="D2369" s="7" t="s">
        <v>391</v>
      </c>
      <c r="E2369" s="7" t="s">
        <v>156</v>
      </c>
      <c r="F2369" s="39" t="n">
        <v>45777</v>
      </c>
      <c r="G2369" s="41" t="n">
        <v>127.84</v>
      </c>
      <c r="H2369" s="39" t="n">
        <v>45791</v>
      </c>
      <c r="I2369" s="7" t="s">
        <v>14651</v>
      </c>
      <c r="J2369" s="8" t="str">
        <f aca="false">IF(I2369="Open",DATE(2025,12,31)-F2369,"-")</f>
        <v>-</v>
      </c>
    </row>
    <row r="2370" customFormat="false" ht="15" hidden="false" customHeight="false" outlineLevel="0" collapsed="false">
      <c r="B2370" s="7" t="s">
        <v>17015</v>
      </c>
      <c r="C2370" s="7" t="s">
        <v>2867</v>
      </c>
      <c r="D2370" s="7" t="s">
        <v>393</v>
      </c>
      <c r="E2370" s="7" t="s">
        <v>157</v>
      </c>
      <c r="F2370" s="39" t="n">
        <v>45777</v>
      </c>
      <c r="G2370" s="41" t="n">
        <v>155.1</v>
      </c>
      <c r="H2370" s="39" t="n">
        <v>45814</v>
      </c>
      <c r="I2370" s="7" t="s">
        <v>14651</v>
      </c>
      <c r="J2370" s="8" t="str">
        <f aca="false">IF(I2370="Open",DATE(2025,12,31)-F2370,"-")</f>
        <v>-</v>
      </c>
    </row>
    <row r="2371" customFormat="false" ht="15" hidden="false" customHeight="false" outlineLevel="0" collapsed="false">
      <c r="B2371" s="7" t="s">
        <v>17016</v>
      </c>
      <c r="C2371" s="7" t="s">
        <v>2868</v>
      </c>
      <c r="D2371" s="7" t="s">
        <v>395</v>
      </c>
      <c r="E2371" s="7" t="s">
        <v>156</v>
      </c>
      <c r="F2371" s="39" t="n">
        <v>45777</v>
      </c>
      <c r="G2371" s="41" t="n">
        <v>144.84</v>
      </c>
      <c r="H2371" s="39" t="n">
        <v>45787</v>
      </c>
      <c r="I2371" s="7" t="s">
        <v>14651</v>
      </c>
      <c r="J2371" s="8" t="str">
        <f aca="false">IF(I2371="Open",DATE(2025,12,31)-F2371,"-")</f>
        <v>-</v>
      </c>
    </row>
    <row r="2372" customFormat="false" ht="15" hidden="false" customHeight="false" outlineLevel="0" collapsed="false">
      <c r="B2372" s="7" t="s">
        <v>17017</v>
      </c>
      <c r="C2372" s="7" t="s">
        <v>2869</v>
      </c>
      <c r="D2372" s="7" t="s">
        <v>399</v>
      </c>
      <c r="E2372" s="7" t="s">
        <v>154</v>
      </c>
      <c r="F2372" s="39" t="n">
        <v>45777</v>
      </c>
      <c r="G2372" s="41" t="n">
        <v>85.33</v>
      </c>
      <c r="H2372" s="39" t="n">
        <v>45877</v>
      </c>
      <c r="I2372" s="7" t="s">
        <v>14651</v>
      </c>
      <c r="J2372" s="8" t="str">
        <f aca="false">IF(I2372="Open",DATE(2025,12,31)-F2372,"-")</f>
        <v>-</v>
      </c>
    </row>
    <row r="2373" customFormat="false" ht="15" hidden="false" customHeight="false" outlineLevel="0" collapsed="false">
      <c r="B2373" s="7" t="s">
        <v>17018</v>
      </c>
      <c r="C2373" s="7" t="s">
        <v>2870</v>
      </c>
      <c r="D2373" s="7" t="s">
        <v>401</v>
      </c>
      <c r="E2373" s="7" t="s">
        <v>156</v>
      </c>
      <c r="F2373" s="39" t="n">
        <v>45777</v>
      </c>
      <c r="G2373" s="41" t="n">
        <v>134.98</v>
      </c>
      <c r="H2373" s="39" t="n">
        <v>45778</v>
      </c>
      <c r="I2373" s="7" t="s">
        <v>14651</v>
      </c>
      <c r="J2373" s="8" t="str">
        <f aca="false">IF(I2373="Open",DATE(2025,12,31)-F2373,"-")</f>
        <v>-</v>
      </c>
    </row>
    <row r="2374" customFormat="false" ht="15" hidden="false" customHeight="false" outlineLevel="0" collapsed="false">
      <c r="B2374" s="7" t="s">
        <v>17019</v>
      </c>
      <c r="C2374" s="7" t="s">
        <v>2871</v>
      </c>
      <c r="D2374" s="7" t="s">
        <v>409</v>
      </c>
      <c r="E2374" s="7" t="s">
        <v>154</v>
      </c>
      <c r="F2374" s="39" t="n">
        <v>45777</v>
      </c>
      <c r="G2374" s="41" t="n">
        <v>90.9</v>
      </c>
      <c r="H2374" s="39" t="n">
        <v>45866</v>
      </c>
      <c r="I2374" s="7" t="s">
        <v>14651</v>
      </c>
      <c r="J2374" s="8" t="str">
        <f aca="false">IF(I2374="Open",DATE(2025,12,31)-F2374,"-")</f>
        <v>-</v>
      </c>
    </row>
    <row r="2375" customFormat="false" ht="15" hidden="false" customHeight="false" outlineLevel="0" collapsed="false">
      <c r="B2375" s="7" t="s">
        <v>17020</v>
      </c>
      <c r="C2375" s="7" t="s">
        <v>2872</v>
      </c>
      <c r="D2375" s="7" t="s">
        <v>411</v>
      </c>
      <c r="E2375" s="7" t="s">
        <v>154</v>
      </c>
      <c r="F2375" s="39" t="n">
        <v>45777</v>
      </c>
      <c r="G2375" s="41" t="n">
        <v>132.24</v>
      </c>
      <c r="H2375" s="39" t="n">
        <v>45851</v>
      </c>
      <c r="I2375" s="7" t="s">
        <v>14651</v>
      </c>
      <c r="J2375" s="8" t="str">
        <f aca="false">IF(I2375="Open",DATE(2025,12,31)-F2375,"-")</f>
        <v>-</v>
      </c>
    </row>
    <row r="2376" customFormat="false" ht="15" hidden="false" customHeight="false" outlineLevel="0" collapsed="false">
      <c r="B2376" s="7" t="s">
        <v>17021</v>
      </c>
      <c r="C2376" s="7" t="s">
        <v>2873</v>
      </c>
      <c r="D2376" s="7" t="s">
        <v>288</v>
      </c>
      <c r="E2376" s="7" t="s">
        <v>156</v>
      </c>
      <c r="F2376" s="39" t="n">
        <v>45778</v>
      </c>
      <c r="G2376" s="41" t="n">
        <v>144.84</v>
      </c>
      <c r="H2376" s="39" t="n">
        <v>45789</v>
      </c>
      <c r="I2376" s="7" t="s">
        <v>14651</v>
      </c>
      <c r="J2376" s="8" t="str">
        <f aca="false">IF(I2376="Open",DATE(2025,12,31)-F2376,"-")</f>
        <v>-</v>
      </c>
    </row>
    <row r="2377" customFormat="false" ht="15" hidden="false" customHeight="false" outlineLevel="0" collapsed="false">
      <c r="B2377" s="7" t="s">
        <v>17022</v>
      </c>
      <c r="C2377" s="7" t="s">
        <v>2874</v>
      </c>
      <c r="D2377" s="7" t="s">
        <v>297</v>
      </c>
      <c r="E2377" s="7" t="s">
        <v>156</v>
      </c>
      <c r="F2377" s="39" t="n">
        <v>45778</v>
      </c>
      <c r="G2377" s="41" t="n">
        <v>95.54</v>
      </c>
      <c r="H2377" s="39" t="n">
        <v>45793</v>
      </c>
      <c r="I2377" s="7" t="s">
        <v>14651</v>
      </c>
      <c r="J2377" s="8" t="str">
        <f aca="false">IF(I2377="Open",DATE(2025,12,31)-F2377,"-")</f>
        <v>-</v>
      </c>
    </row>
    <row r="2378" customFormat="false" ht="15" hidden="false" customHeight="false" outlineLevel="0" collapsed="false">
      <c r="B2378" s="7" t="s">
        <v>17023</v>
      </c>
      <c r="C2378" s="7" t="s">
        <v>2875</v>
      </c>
      <c r="D2378" s="7" t="s">
        <v>311</v>
      </c>
      <c r="E2378" s="7" t="s">
        <v>154</v>
      </c>
      <c r="F2378" s="39" t="n">
        <v>45778</v>
      </c>
      <c r="G2378" s="41" t="n">
        <v>77.65</v>
      </c>
      <c r="H2378" s="39" t="n">
        <v>45832</v>
      </c>
      <c r="I2378" s="7" t="s">
        <v>14651</v>
      </c>
      <c r="J2378" s="8" t="str">
        <f aca="false">IF(I2378="Open",DATE(2025,12,31)-F2378,"-")</f>
        <v>-</v>
      </c>
    </row>
    <row r="2379" customFormat="false" ht="15" hidden="false" customHeight="false" outlineLevel="0" collapsed="false">
      <c r="B2379" s="7" t="s">
        <v>17024</v>
      </c>
      <c r="C2379" s="7" t="s">
        <v>2876</v>
      </c>
      <c r="D2379" s="7" t="s">
        <v>313</v>
      </c>
      <c r="E2379" s="7" t="s">
        <v>156</v>
      </c>
      <c r="F2379" s="39" t="n">
        <v>45778</v>
      </c>
      <c r="G2379" s="41" t="n">
        <v>125.12</v>
      </c>
      <c r="H2379" s="39" t="n">
        <v>45789</v>
      </c>
      <c r="I2379" s="7" t="s">
        <v>14651</v>
      </c>
      <c r="J2379" s="8" t="str">
        <f aca="false">IF(I2379="Open",DATE(2025,12,31)-F2379,"-")</f>
        <v>-</v>
      </c>
    </row>
    <row r="2380" customFormat="false" ht="15" hidden="false" customHeight="false" outlineLevel="0" collapsed="false">
      <c r="B2380" s="7" t="s">
        <v>17025</v>
      </c>
      <c r="C2380" s="7" t="s">
        <v>2877</v>
      </c>
      <c r="D2380" s="7" t="s">
        <v>317</v>
      </c>
      <c r="E2380" s="7" t="s">
        <v>156</v>
      </c>
      <c r="F2380" s="39" t="n">
        <v>45778</v>
      </c>
      <c r="G2380" s="41" t="n">
        <v>109.82</v>
      </c>
      <c r="H2380" s="39" t="n">
        <v>45795</v>
      </c>
      <c r="I2380" s="7" t="s">
        <v>14651</v>
      </c>
      <c r="J2380" s="8" t="str">
        <f aca="false">IF(I2380="Open",DATE(2025,12,31)-F2380,"-")</f>
        <v>-</v>
      </c>
    </row>
    <row r="2381" customFormat="false" ht="15" hidden="false" customHeight="false" outlineLevel="0" collapsed="false">
      <c r="B2381" s="7" t="s">
        <v>17026</v>
      </c>
      <c r="C2381" s="7" t="s">
        <v>2878</v>
      </c>
      <c r="D2381" s="7" t="s">
        <v>321</v>
      </c>
      <c r="E2381" s="7" t="s">
        <v>154</v>
      </c>
      <c r="F2381" s="39" t="n">
        <v>45778</v>
      </c>
      <c r="G2381" s="41" t="n">
        <v>103.59</v>
      </c>
      <c r="H2381" s="39" t="n">
        <v>45866</v>
      </c>
      <c r="I2381" s="7" t="s">
        <v>14651</v>
      </c>
      <c r="J2381" s="8" t="str">
        <f aca="false">IF(I2381="Open",DATE(2025,12,31)-F2381,"-")</f>
        <v>-</v>
      </c>
    </row>
    <row r="2382" customFormat="false" ht="15" hidden="false" customHeight="false" outlineLevel="0" collapsed="false">
      <c r="B2382" s="7" t="s">
        <v>17027</v>
      </c>
      <c r="C2382" s="7" t="s">
        <v>2879</v>
      </c>
      <c r="D2382" s="7" t="s">
        <v>325</v>
      </c>
      <c r="E2382" s="7" t="s">
        <v>154</v>
      </c>
      <c r="F2382" s="39" t="n">
        <v>45778</v>
      </c>
      <c r="G2382" s="41" t="n">
        <v>83.21</v>
      </c>
      <c r="H2382" s="39" t="n">
        <v>45832</v>
      </c>
      <c r="I2382" s="7" t="s">
        <v>14651</v>
      </c>
      <c r="J2382" s="8" t="str">
        <f aca="false">IF(I2382="Open",DATE(2025,12,31)-F2382,"-")</f>
        <v>-</v>
      </c>
    </row>
    <row r="2383" customFormat="false" ht="15" hidden="false" customHeight="false" outlineLevel="0" collapsed="false">
      <c r="B2383" s="7" t="s">
        <v>17028</v>
      </c>
      <c r="C2383" s="7" t="s">
        <v>2880</v>
      </c>
      <c r="D2383" s="7" t="s">
        <v>329</v>
      </c>
      <c r="E2383" s="7" t="s">
        <v>156</v>
      </c>
      <c r="F2383" s="39" t="n">
        <v>45778</v>
      </c>
      <c r="G2383" s="41" t="n">
        <v>133.62</v>
      </c>
      <c r="H2383" s="39" t="n">
        <v>45786</v>
      </c>
      <c r="I2383" s="7" t="s">
        <v>14651</v>
      </c>
      <c r="J2383" s="8" t="str">
        <f aca="false">IF(I2383="Open",DATE(2025,12,31)-F2383,"-")</f>
        <v>-</v>
      </c>
    </row>
    <row r="2384" customFormat="false" ht="15" hidden="false" customHeight="false" outlineLevel="0" collapsed="false">
      <c r="B2384" s="7" t="s">
        <v>17029</v>
      </c>
      <c r="C2384" s="7" t="s">
        <v>2881</v>
      </c>
      <c r="D2384" s="7" t="s">
        <v>331</v>
      </c>
      <c r="E2384" s="7" t="s">
        <v>156</v>
      </c>
      <c r="F2384" s="39" t="n">
        <v>45778</v>
      </c>
      <c r="G2384" s="41" t="n">
        <v>132.26</v>
      </c>
      <c r="H2384" s="39" t="n">
        <v>45797</v>
      </c>
      <c r="I2384" s="7" t="s">
        <v>14651</v>
      </c>
      <c r="J2384" s="8" t="str">
        <f aca="false">IF(I2384="Open",DATE(2025,12,31)-F2384,"-")</f>
        <v>-</v>
      </c>
    </row>
    <row r="2385" customFormat="false" ht="15" hidden="false" customHeight="false" outlineLevel="0" collapsed="false">
      <c r="B2385" s="7" t="s">
        <v>17030</v>
      </c>
      <c r="C2385" s="7" t="s">
        <v>2882</v>
      </c>
      <c r="D2385" s="7" t="s">
        <v>337</v>
      </c>
      <c r="E2385" s="7" t="s">
        <v>154</v>
      </c>
      <c r="F2385" s="39" t="n">
        <v>45778</v>
      </c>
      <c r="G2385" s="41" t="n">
        <v>84</v>
      </c>
      <c r="H2385" s="39" t="n">
        <v>45811</v>
      </c>
      <c r="I2385" s="7" t="s">
        <v>14651</v>
      </c>
      <c r="J2385" s="8" t="str">
        <f aca="false">IF(I2385="Open",DATE(2025,12,31)-F2385,"-")</f>
        <v>-</v>
      </c>
    </row>
    <row r="2386" customFormat="false" ht="15" hidden="false" customHeight="false" outlineLevel="0" collapsed="false">
      <c r="B2386" s="7" t="s">
        <v>17031</v>
      </c>
      <c r="C2386" s="7" t="s">
        <v>2883</v>
      </c>
      <c r="D2386" s="7" t="s">
        <v>341</v>
      </c>
      <c r="E2386" s="7" t="s">
        <v>156</v>
      </c>
      <c r="F2386" s="39" t="n">
        <v>45778</v>
      </c>
      <c r="G2386" s="41" t="n">
        <v>95.88</v>
      </c>
      <c r="H2386" s="39" t="n">
        <v>45794</v>
      </c>
      <c r="I2386" s="7" t="s">
        <v>14651</v>
      </c>
      <c r="J2386" s="8" t="str">
        <f aca="false">IF(I2386="Open",DATE(2025,12,31)-F2386,"-")</f>
        <v>-</v>
      </c>
    </row>
    <row r="2387" customFormat="false" ht="15" hidden="false" customHeight="false" outlineLevel="0" collapsed="false">
      <c r="B2387" s="7" t="s">
        <v>17032</v>
      </c>
      <c r="C2387" s="7" t="s">
        <v>2884</v>
      </c>
      <c r="D2387" s="7" t="s">
        <v>343</v>
      </c>
      <c r="E2387" s="7" t="s">
        <v>154</v>
      </c>
      <c r="F2387" s="39" t="n">
        <v>45778</v>
      </c>
      <c r="G2387" s="41" t="n">
        <v>108.92</v>
      </c>
      <c r="H2387" s="39" t="n">
        <v>45817</v>
      </c>
      <c r="I2387" s="7" t="s">
        <v>14651</v>
      </c>
      <c r="J2387" s="8" t="str">
        <f aca="false">IF(I2387="Open",DATE(2025,12,31)-F2387,"-")</f>
        <v>-</v>
      </c>
    </row>
    <row r="2388" customFormat="false" ht="15" hidden="false" customHeight="false" outlineLevel="0" collapsed="false">
      <c r="B2388" s="7" t="s">
        <v>17033</v>
      </c>
      <c r="C2388" s="7" t="s">
        <v>2885</v>
      </c>
      <c r="D2388" s="7" t="s">
        <v>351</v>
      </c>
      <c r="E2388" s="7" t="s">
        <v>154</v>
      </c>
      <c r="F2388" s="39" t="n">
        <v>45778</v>
      </c>
      <c r="G2388" s="41" t="n">
        <v>77.12</v>
      </c>
      <c r="H2388" s="39" t="n">
        <v>45884</v>
      </c>
      <c r="I2388" s="7" t="s">
        <v>14651</v>
      </c>
      <c r="J2388" s="8" t="str">
        <f aca="false">IF(I2388="Open",DATE(2025,12,31)-F2388,"-")</f>
        <v>-</v>
      </c>
    </row>
    <row r="2389" customFormat="false" ht="15" hidden="false" customHeight="false" outlineLevel="0" collapsed="false">
      <c r="B2389" s="7" t="s">
        <v>17034</v>
      </c>
      <c r="C2389" s="7" t="s">
        <v>2886</v>
      </c>
      <c r="D2389" s="7" t="s">
        <v>359</v>
      </c>
      <c r="E2389" s="7" t="s">
        <v>156</v>
      </c>
      <c r="F2389" s="39" t="n">
        <v>45778</v>
      </c>
      <c r="G2389" s="41" t="n">
        <v>123.42</v>
      </c>
      <c r="H2389" s="39" t="n">
        <v>45793</v>
      </c>
      <c r="I2389" s="7" t="s">
        <v>14651</v>
      </c>
      <c r="J2389" s="8" t="str">
        <f aca="false">IF(I2389="Open",DATE(2025,12,31)-F2389,"-")</f>
        <v>-</v>
      </c>
    </row>
    <row r="2390" customFormat="false" ht="15" hidden="false" customHeight="false" outlineLevel="0" collapsed="false">
      <c r="B2390" s="7" t="s">
        <v>17035</v>
      </c>
      <c r="C2390" s="7" t="s">
        <v>2887</v>
      </c>
      <c r="D2390" s="7" t="s">
        <v>363</v>
      </c>
      <c r="E2390" s="7" t="s">
        <v>156</v>
      </c>
      <c r="F2390" s="39" t="n">
        <v>45778</v>
      </c>
      <c r="G2390" s="41" t="n">
        <v>126.14</v>
      </c>
      <c r="H2390" s="39" t="n">
        <v>45786</v>
      </c>
      <c r="I2390" s="7" t="s">
        <v>14651</v>
      </c>
      <c r="J2390" s="8" t="str">
        <f aca="false">IF(I2390="Open",DATE(2025,12,31)-F2390,"-")</f>
        <v>-</v>
      </c>
    </row>
    <row r="2391" customFormat="false" ht="15" hidden="false" customHeight="false" outlineLevel="0" collapsed="false">
      <c r="B2391" s="7" t="s">
        <v>17036</v>
      </c>
      <c r="C2391" s="7" t="s">
        <v>2888</v>
      </c>
      <c r="D2391" s="7" t="s">
        <v>365</v>
      </c>
      <c r="E2391" s="7" t="s">
        <v>154</v>
      </c>
      <c r="F2391" s="39" t="n">
        <v>45778</v>
      </c>
      <c r="G2391" s="41" t="n">
        <v>105.2</v>
      </c>
      <c r="H2391" s="39" t="n">
        <v>45856</v>
      </c>
      <c r="I2391" s="7" t="s">
        <v>14651</v>
      </c>
      <c r="J2391" s="8" t="str">
        <f aca="false">IF(I2391="Open",DATE(2025,12,31)-F2391,"-")</f>
        <v>-</v>
      </c>
    </row>
    <row r="2392" customFormat="false" ht="15" hidden="false" customHeight="false" outlineLevel="0" collapsed="false">
      <c r="B2392" s="7" t="s">
        <v>17037</v>
      </c>
      <c r="C2392" s="7" t="s">
        <v>2889</v>
      </c>
      <c r="D2392" s="7" t="s">
        <v>375</v>
      </c>
      <c r="E2392" s="7" t="s">
        <v>156</v>
      </c>
      <c r="F2392" s="39" t="n">
        <v>45778</v>
      </c>
      <c r="G2392" s="41" t="n">
        <v>106.42</v>
      </c>
      <c r="H2392" s="39" t="n">
        <v>45786</v>
      </c>
      <c r="I2392" s="7" t="s">
        <v>14651</v>
      </c>
      <c r="J2392" s="8" t="str">
        <f aca="false">IF(I2392="Open",DATE(2025,12,31)-F2392,"-")</f>
        <v>-</v>
      </c>
    </row>
    <row r="2393" customFormat="false" ht="15" hidden="false" customHeight="false" outlineLevel="0" collapsed="false">
      <c r="B2393" s="7" t="s">
        <v>17038</v>
      </c>
      <c r="C2393" s="7" t="s">
        <v>2890</v>
      </c>
      <c r="D2393" s="7" t="s">
        <v>377</v>
      </c>
      <c r="E2393" s="7" t="s">
        <v>154</v>
      </c>
      <c r="F2393" s="39" t="n">
        <v>45778</v>
      </c>
      <c r="G2393" s="41" t="n">
        <v>101.23</v>
      </c>
      <c r="H2393" s="39" t="n">
        <v>45814</v>
      </c>
      <c r="I2393" s="7" t="s">
        <v>14651</v>
      </c>
      <c r="J2393" s="8" t="str">
        <f aca="false">IF(I2393="Open",DATE(2025,12,31)-F2393,"-")</f>
        <v>-</v>
      </c>
    </row>
    <row r="2394" customFormat="false" ht="15" hidden="false" customHeight="false" outlineLevel="0" collapsed="false">
      <c r="B2394" s="7" t="s">
        <v>17039</v>
      </c>
      <c r="C2394" s="7" t="s">
        <v>2891</v>
      </c>
      <c r="D2394" s="7" t="s">
        <v>389</v>
      </c>
      <c r="E2394" s="7" t="s">
        <v>154</v>
      </c>
      <c r="F2394" s="39" t="n">
        <v>45778</v>
      </c>
      <c r="G2394" s="41" t="n">
        <v>105.13</v>
      </c>
      <c r="H2394" s="39" t="n">
        <v>45832</v>
      </c>
      <c r="I2394" s="7" t="s">
        <v>14651</v>
      </c>
      <c r="J2394" s="8" t="str">
        <f aca="false">IF(I2394="Open",DATE(2025,12,31)-F2394,"-")</f>
        <v>-</v>
      </c>
    </row>
    <row r="2395" customFormat="false" ht="15" hidden="false" customHeight="false" outlineLevel="0" collapsed="false">
      <c r="B2395" s="7" t="s">
        <v>17040</v>
      </c>
      <c r="C2395" s="7" t="s">
        <v>2892</v>
      </c>
      <c r="D2395" s="7" t="s">
        <v>391</v>
      </c>
      <c r="E2395" s="7" t="s">
        <v>156</v>
      </c>
      <c r="F2395" s="39" t="n">
        <v>45778</v>
      </c>
      <c r="G2395" s="41" t="n">
        <v>142.46</v>
      </c>
      <c r="H2395" s="39" t="n">
        <v>45790</v>
      </c>
      <c r="I2395" s="7" t="s">
        <v>14651</v>
      </c>
      <c r="J2395" s="8" t="str">
        <f aca="false">IF(I2395="Open",DATE(2025,12,31)-F2395,"-")</f>
        <v>-</v>
      </c>
    </row>
    <row r="2396" customFormat="false" ht="15" hidden="false" customHeight="false" outlineLevel="0" collapsed="false">
      <c r="B2396" s="7" t="s">
        <v>17041</v>
      </c>
      <c r="C2396" s="7" t="s">
        <v>2893</v>
      </c>
      <c r="D2396" s="7" t="s">
        <v>395</v>
      </c>
      <c r="E2396" s="7" t="s">
        <v>156</v>
      </c>
      <c r="F2396" s="39" t="n">
        <v>45778</v>
      </c>
      <c r="G2396" s="41" t="n">
        <v>122.74</v>
      </c>
      <c r="H2396" s="39" t="n">
        <v>45779</v>
      </c>
      <c r="I2396" s="7" t="s">
        <v>14651</v>
      </c>
      <c r="J2396" s="8" t="str">
        <f aca="false">IF(I2396="Open",DATE(2025,12,31)-F2396,"-")</f>
        <v>-</v>
      </c>
    </row>
    <row r="2397" customFormat="false" ht="15" hidden="false" customHeight="false" outlineLevel="0" collapsed="false">
      <c r="B2397" s="7" t="s">
        <v>17042</v>
      </c>
      <c r="C2397" s="7" t="s">
        <v>2894</v>
      </c>
      <c r="D2397" s="7" t="s">
        <v>401</v>
      </c>
      <c r="E2397" s="7" t="s">
        <v>156</v>
      </c>
      <c r="F2397" s="39" t="n">
        <v>45778</v>
      </c>
      <c r="G2397" s="41" t="n">
        <v>127.16</v>
      </c>
      <c r="H2397" s="39" t="n">
        <v>45791</v>
      </c>
      <c r="I2397" s="7" t="s">
        <v>14651</v>
      </c>
      <c r="J2397" s="8" t="str">
        <f aca="false">IF(I2397="Open",DATE(2025,12,31)-F2397,"-")</f>
        <v>-</v>
      </c>
    </row>
    <row r="2398" customFormat="false" ht="15" hidden="false" customHeight="false" outlineLevel="0" collapsed="false">
      <c r="B2398" s="7" t="s">
        <v>17043</v>
      </c>
      <c r="C2398" s="7" t="s">
        <v>2895</v>
      </c>
      <c r="D2398" s="7" t="s">
        <v>280</v>
      </c>
      <c r="E2398" s="7" t="s">
        <v>157</v>
      </c>
      <c r="F2398" s="39" t="n">
        <v>45779</v>
      </c>
      <c r="G2398" s="41" t="n">
        <v>158.23</v>
      </c>
      <c r="H2398" s="39" t="n">
        <v>45826</v>
      </c>
      <c r="I2398" s="7" t="s">
        <v>14651</v>
      </c>
      <c r="J2398" s="8" t="str">
        <f aca="false">IF(I2398="Open",DATE(2025,12,31)-F2398,"-")</f>
        <v>-</v>
      </c>
    </row>
    <row r="2399" customFormat="false" ht="15" hidden="false" customHeight="false" outlineLevel="0" collapsed="false">
      <c r="B2399" s="7" t="s">
        <v>17044</v>
      </c>
      <c r="C2399" s="7" t="s">
        <v>2896</v>
      </c>
      <c r="D2399" s="7" t="s">
        <v>288</v>
      </c>
      <c r="E2399" s="7" t="s">
        <v>156</v>
      </c>
      <c r="F2399" s="39" t="n">
        <v>45779</v>
      </c>
      <c r="G2399" s="41" t="n">
        <v>139.74</v>
      </c>
      <c r="H2399" s="39" t="n">
        <v>45784</v>
      </c>
      <c r="I2399" s="7" t="s">
        <v>14651</v>
      </c>
      <c r="J2399" s="8" t="str">
        <f aca="false">IF(I2399="Open",DATE(2025,12,31)-F2399,"-")</f>
        <v>-</v>
      </c>
    </row>
    <row r="2400" customFormat="false" ht="15" hidden="false" customHeight="false" outlineLevel="0" collapsed="false">
      <c r="B2400" s="7" t="s">
        <v>17045</v>
      </c>
      <c r="C2400" s="7" t="s">
        <v>2897</v>
      </c>
      <c r="D2400" s="7" t="s">
        <v>291</v>
      </c>
      <c r="E2400" s="7" t="s">
        <v>154</v>
      </c>
      <c r="F2400" s="39" t="n">
        <v>45779</v>
      </c>
      <c r="G2400" s="41" t="n">
        <v>127.73</v>
      </c>
      <c r="H2400" s="39" t="n">
        <v>45855</v>
      </c>
      <c r="I2400" s="7" t="s">
        <v>14651</v>
      </c>
      <c r="J2400" s="8" t="str">
        <f aca="false">IF(I2400="Open",DATE(2025,12,31)-F2400,"-")</f>
        <v>-</v>
      </c>
    </row>
    <row r="2401" customFormat="false" ht="15" hidden="false" customHeight="false" outlineLevel="0" collapsed="false">
      <c r="B2401" s="7" t="s">
        <v>17046</v>
      </c>
      <c r="C2401" s="7" t="s">
        <v>2898</v>
      </c>
      <c r="D2401" s="7" t="s">
        <v>301</v>
      </c>
      <c r="E2401" s="7" t="s">
        <v>157</v>
      </c>
      <c r="F2401" s="39" t="n">
        <v>45779</v>
      </c>
      <c r="G2401" s="41" t="n">
        <v>155.1</v>
      </c>
      <c r="H2401" s="39" t="n">
        <v>45837</v>
      </c>
      <c r="I2401" s="7" t="s">
        <v>14651</v>
      </c>
      <c r="J2401" s="8" t="str">
        <f aca="false">IF(I2401="Open",DATE(2025,12,31)-F2401,"-")</f>
        <v>-</v>
      </c>
    </row>
    <row r="2402" customFormat="false" ht="15" hidden="false" customHeight="false" outlineLevel="0" collapsed="false">
      <c r="B2402" s="7" t="s">
        <v>17047</v>
      </c>
      <c r="C2402" s="7" t="s">
        <v>2899</v>
      </c>
      <c r="D2402" s="7" t="s">
        <v>305</v>
      </c>
      <c r="E2402" s="7" t="s">
        <v>154</v>
      </c>
      <c r="F2402" s="39" t="n">
        <v>45779</v>
      </c>
      <c r="G2402" s="41" t="n">
        <v>103.35</v>
      </c>
      <c r="H2402" s="39" t="n">
        <v>45810</v>
      </c>
      <c r="I2402" s="7" t="s">
        <v>14651</v>
      </c>
      <c r="J2402" s="8" t="str">
        <f aca="false">IF(I2402="Open",DATE(2025,12,31)-F2402,"-")</f>
        <v>-</v>
      </c>
    </row>
    <row r="2403" customFormat="false" ht="15" hidden="false" customHeight="false" outlineLevel="0" collapsed="false">
      <c r="B2403" s="7" t="s">
        <v>17048</v>
      </c>
      <c r="C2403" s="7" t="s">
        <v>2900</v>
      </c>
      <c r="D2403" s="7" t="s">
        <v>307</v>
      </c>
      <c r="E2403" s="7" t="s">
        <v>157</v>
      </c>
      <c r="F2403" s="39" t="n">
        <v>45779</v>
      </c>
      <c r="G2403" s="41" t="n">
        <v>169.29</v>
      </c>
      <c r="H2403" s="39" t="n">
        <v>45842</v>
      </c>
      <c r="I2403" s="7" t="s">
        <v>14651</v>
      </c>
      <c r="J2403" s="8" t="str">
        <f aca="false">IF(I2403="Open",DATE(2025,12,31)-F2403,"-")</f>
        <v>-</v>
      </c>
    </row>
    <row r="2404" customFormat="false" ht="15" hidden="false" customHeight="false" outlineLevel="0" collapsed="false">
      <c r="B2404" s="7" t="s">
        <v>17049</v>
      </c>
      <c r="C2404" s="7" t="s">
        <v>2901</v>
      </c>
      <c r="D2404" s="7" t="s">
        <v>313</v>
      </c>
      <c r="E2404" s="7" t="s">
        <v>156</v>
      </c>
      <c r="F2404" s="39" t="n">
        <v>45779</v>
      </c>
      <c r="G2404" s="41" t="n">
        <v>140.76</v>
      </c>
      <c r="H2404" s="39" t="n">
        <v>45797</v>
      </c>
      <c r="I2404" s="7" t="s">
        <v>14651</v>
      </c>
      <c r="J2404" s="8" t="str">
        <f aca="false">IF(I2404="Open",DATE(2025,12,31)-F2404,"-")</f>
        <v>-</v>
      </c>
    </row>
    <row r="2405" customFormat="false" ht="15" hidden="false" customHeight="false" outlineLevel="0" collapsed="false">
      <c r="B2405" s="7" t="s">
        <v>17050</v>
      </c>
      <c r="C2405" s="7" t="s">
        <v>2902</v>
      </c>
      <c r="D2405" s="7" t="s">
        <v>319</v>
      </c>
      <c r="E2405" s="7" t="s">
        <v>157</v>
      </c>
      <c r="F2405" s="39" t="n">
        <v>45779</v>
      </c>
      <c r="G2405" s="41" t="n">
        <v>151.8</v>
      </c>
      <c r="H2405" s="39" t="n">
        <v>45823</v>
      </c>
      <c r="I2405" s="7" t="s">
        <v>14651</v>
      </c>
      <c r="J2405" s="8" t="str">
        <f aca="false">IF(I2405="Open",DATE(2025,12,31)-F2405,"-")</f>
        <v>-</v>
      </c>
    </row>
    <row r="2406" customFormat="false" ht="15" hidden="false" customHeight="false" outlineLevel="0" collapsed="false">
      <c r="B2406" s="7" t="s">
        <v>17051</v>
      </c>
      <c r="C2406" s="7" t="s">
        <v>2903</v>
      </c>
      <c r="D2406" s="7" t="s">
        <v>321</v>
      </c>
      <c r="E2406" s="7" t="s">
        <v>154</v>
      </c>
      <c r="F2406" s="39" t="n">
        <v>45779</v>
      </c>
      <c r="G2406" s="41" t="n">
        <v>110.77</v>
      </c>
      <c r="H2406" s="39" t="n">
        <v>45889</v>
      </c>
      <c r="I2406" s="7" t="s">
        <v>14651</v>
      </c>
      <c r="J2406" s="8" t="str">
        <f aca="false">IF(I2406="Open",DATE(2025,12,31)-F2406,"-")</f>
        <v>-</v>
      </c>
    </row>
    <row r="2407" customFormat="false" ht="15" hidden="false" customHeight="false" outlineLevel="0" collapsed="false">
      <c r="B2407" s="7" t="s">
        <v>17052</v>
      </c>
      <c r="C2407" s="7" t="s">
        <v>2904</v>
      </c>
      <c r="D2407" s="7" t="s">
        <v>323</v>
      </c>
      <c r="E2407" s="7" t="s">
        <v>159</v>
      </c>
      <c r="F2407" s="39" t="n">
        <v>45779</v>
      </c>
      <c r="G2407" s="41" t="n">
        <v>143.1</v>
      </c>
      <c r="H2407" s="39" t="n">
        <v>45799</v>
      </c>
      <c r="I2407" s="7" t="s">
        <v>14651</v>
      </c>
      <c r="J2407" s="8" t="str">
        <f aca="false">IF(I2407="Open",DATE(2025,12,31)-F2407,"-")</f>
        <v>-</v>
      </c>
    </row>
    <row r="2408" customFormat="false" ht="15" hidden="false" customHeight="false" outlineLevel="0" collapsed="false">
      <c r="B2408" s="7" t="s">
        <v>17053</v>
      </c>
      <c r="C2408" s="7" t="s">
        <v>2905</v>
      </c>
      <c r="D2408" s="7" t="s">
        <v>327</v>
      </c>
      <c r="E2408" s="7" t="s">
        <v>157</v>
      </c>
      <c r="F2408" s="39" t="n">
        <v>45779</v>
      </c>
      <c r="G2408" s="41" t="n">
        <v>168.3</v>
      </c>
      <c r="H2408" s="39" t="n">
        <v>45805</v>
      </c>
      <c r="I2408" s="7" t="s">
        <v>14651</v>
      </c>
      <c r="J2408" s="8" t="str">
        <f aca="false">IF(I2408="Open",DATE(2025,12,31)-F2408,"-")</f>
        <v>-</v>
      </c>
    </row>
    <row r="2409" customFormat="false" ht="15" hidden="false" customHeight="false" outlineLevel="0" collapsed="false">
      <c r="B2409" s="7" t="s">
        <v>17054</v>
      </c>
      <c r="C2409" s="7" t="s">
        <v>2906</v>
      </c>
      <c r="D2409" s="7" t="s">
        <v>329</v>
      </c>
      <c r="E2409" s="7" t="s">
        <v>156</v>
      </c>
      <c r="F2409" s="39" t="n">
        <v>45779</v>
      </c>
      <c r="G2409" s="41" t="n">
        <v>133.96</v>
      </c>
      <c r="H2409" s="39" t="n">
        <v>45795</v>
      </c>
      <c r="I2409" s="7" t="s">
        <v>14651</v>
      </c>
      <c r="J2409" s="8" t="str">
        <f aca="false">IF(I2409="Open",DATE(2025,12,31)-F2409,"-")</f>
        <v>-</v>
      </c>
    </row>
    <row r="2410" customFormat="false" ht="15" hidden="false" customHeight="false" outlineLevel="0" collapsed="false">
      <c r="B2410" s="7" t="s">
        <v>17055</v>
      </c>
      <c r="C2410" s="7" t="s">
        <v>2907</v>
      </c>
      <c r="D2410" s="7" t="s">
        <v>339</v>
      </c>
      <c r="E2410" s="7" t="s">
        <v>154</v>
      </c>
      <c r="F2410" s="39" t="n">
        <v>45779</v>
      </c>
      <c r="G2410" s="41" t="n">
        <v>85.06</v>
      </c>
      <c r="H2410" s="39" t="n">
        <v>45855</v>
      </c>
      <c r="I2410" s="7" t="s">
        <v>14651</v>
      </c>
      <c r="J2410" s="8" t="str">
        <f aca="false">IF(I2410="Open",DATE(2025,12,31)-F2410,"-")</f>
        <v>-</v>
      </c>
    </row>
    <row r="2411" customFormat="false" ht="15" hidden="false" customHeight="false" outlineLevel="0" collapsed="false">
      <c r="B2411" s="7" t="s">
        <v>17056</v>
      </c>
      <c r="C2411" s="7" t="s">
        <v>2908</v>
      </c>
      <c r="D2411" s="7" t="s">
        <v>353</v>
      </c>
      <c r="E2411" s="7" t="s">
        <v>154</v>
      </c>
      <c r="F2411" s="39" t="n">
        <v>45779</v>
      </c>
      <c r="G2411" s="41" t="n">
        <v>80.56</v>
      </c>
      <c r="H2411" s="39" t="n">
        <v>45843</v>
      </c>
      <c r="I2411" s="7" t="s">
        <v>14651</v>
      </c>
      <c r="J2411" s="8" t="str">
        <f aca="false">IF(I2411="Open",DATE(2025,12,31)-F2411,"-")</f>
        <v>-</v>
      </c>
    </row>
    <row r="2412" customFormat="false" ht="15" hidden="false" customHeight="false" outlineLevel="0" collapsed="false">
      <c r="B2412" s="7" t="s">
        <v>17057</v>
      </c>
      <c r="C2412" s="7" t="s">
        <v>2909</v>
      </c>
      <c r="D2412" s="7" t="s">
        <v>355</v>
      </c>
      <c r="E2412" s="7" t="s">
        <v>154</v>
      </c>
      <c r="F2412" s="39" t="n">
        <v>45779</v>
      </c>
      <c r="G2412" s="41" t="n">
        <v>86.12</v>
      </c>
      <c r="H2412" s="39" t="n">
        <v>45853</v>
      </c>
      <c r="I2412" s="7" t="s">
        <v>14651</v>
      </c>
      <c r="J2412" s="8" t="str">
        <f aca="false">IF(I2412="Open",DATE(2025,12,31)-F2412,"-")</f>
        <v>-</v>
      </c>
    </row>
    <row r="2413" customFormat="false" ht="15" hidden="false" customHeight="false" outlineLevel="0" collapsed="false">
      <c r="B2413" s="7" t="s">
        <v>17058</v>
      </c>
      <c r="C2413" s="7" t="s">
        <v>2910</v>
      </c>
      <c r="D2413" s="7" t="s">
        <v>357</v>
      </c>
      <c r="E2413" s="7" t="s">
        <v>154</v>
      </c>
      <c r="F2413" s="39" t="n">
        <v>45779</v>
      </c>
      <c r="G2413" s="41" t="n">
        <v>84.8</v>
      </c>
      <c r="H2413" s="39" t="n">
        <v>45855</v>
      </c>
      <c r="I2413" s="7" t="s">
        <v>14651</v>
      </c>
      <c r="J2413" s="8" t="str">
        <f aca="false">IF(I2413="Open",DATE(2025,12,31)-F2413,"-")</f>
        <v>-</v>
      </c>
    </row>
    <row r="2414" customFormat="false" ht="15" hidden="false" customHeight="false" outlineLevel="0" collapsed="false">
      <c r="B2414" s="7" t="s">
        <v>17059</v>
      </c>
      <c r="C2414" s="7" t="s">
        <v>2911</v>
      </c>
      <c r="D2414" s="7" t="s">
        <v>359</v>
      </c>
      <c r="E2414" s="7" t="s">
        <v>156</v>
      </c>
      <c r="F2414" s="39" t="n">
        <v>45779</v>
      </c>
      <c r="G2414" s="41" t="n">
        <v>125.12</v>
      </c>
      <c r="H2414" s="39" t="n">
        <v>45791</v>
      </c>
      <c r="I2414" s="7" t="s">
        <v>14651</v>
      </c>
      <c r="J2414" s="8" t="str">
        <f aca="false">IF(I2414="Open",DATE(2025,12,31)-F2414,"-")</f>
        <v>-</v>
      </c>
    </row>
    <row r="2415" customFormat="false" ht="15" hidden="false" customHeight="false" outlineLevel="0" collapsed="false">
      <c r="B2415" s="7" t="s">
        <v>17060</v>
      </c>
      <c r="C2415" s="7" t="s">
        <v>2912</v>
      </c>
      <c r="D2415" s="7" t="s">
        <v>361</v>
      </c>
      <c r="E2415" s="7" t="s">
        <v>157</v>
      </c>
      <c r="F2415" s="39" t="n">
        <v>45779</v>
      </c>
      <c r="G2415" s="41" t="n">
        <v>176.55</v>
      </c>
      <c r="H2415" s="39" t="n">
        <v>45848</v>
      </c>
      <c r="I2415" s="7" t="s">
        <v>14651</v>
      </c>
      <c r="J2415" s="8" t="str">
        <f aca="false">IF(I2415="Open",DATE(2025,12,31)-F2415,"-")</f>
        <v>-</v>
      </c>
    </row>
    <row r="2416" customFormat="false" ht="15" hidden="false" customHeight="false" outlineLevel="0" collapsed="false">
      <c r="B2416" s="7" t="s">
        <v>17061</v>
      </c>
      <c r="C2416" s="7" t="s">
        <v>2913</v>
      </c>
      <c r="D2416" s="7" t="s">
        <v>365</v>
      </c>
      <c r="E2416" s="7" t="s">
        <v>154</v>
      </c>
      <c r="F2416" s="39" t="n">
        <v>45779</v>
      </c>
      <c r="G2416" s="41" t="n">
        <v>108.12</v>
      </c>
      <c r="H2416" s="39" t="n">
        <v>45847</v>
      </c>
      <c r="I2416" s="7" t="s">
        <v>14651</v>
      </c>
      <c r="J2416" s="8" t="str">
        <f aca="false">IF(I2416="Open",DATE(2025,12,31)-F2416,"-")</f>
        <v>-</v>
      </c>
    </row>
    <row r="2417" customFormat="false" ht="15" hidden="false" customHeight="false" outlineLevel="0" collapsed="false">
      <c r="B2417" s="7" t="s">
        <v>17062</v>
      </c>
      <c r="C2417" s="7" t="s">
        <v>2914</v>
      </c>
      <c r="D2417" s="7" t="s">
        <v>371</v>
      </c>
      <c r="E2417" s="7" t="s">
        <v>154</v>
      </c>
      <c r="F2417" s="39" t="n">
        <v>45779</v>
      </c>
      <c r="G2417" s="41" t="n">
        <v>128</v>
      </c>
      <c r="H2417" s="39" t="n">
        <v>45833</v>
      </c>
      <c r="I2417" s="7" t="s">
        <v>14651</v>
      </c>
      <c r="J2417" s="8" t="str">
        <f aca="false">IF(I2417="Open",DATE(2025,12,31)-F2417,"-")</f>
        <v>-</v>
      </c>
    </row>
    <row r="2418" customFormat="false" ht="15" hidden="false" customHeight="false" outlineLevel="0" collapsed="false">
      <c r="B2418" s="7" t="s">
        <v>17063</v>
      </c>
      <c r="C2418" s="7" t="s">
        <v>2915</v>
      </c>
      <c r="D2418" s="7" t="s">
        <v>379</v>
      </c>
      <c r="E2418" s="7" t="s">
        <v>156</v>
      </c>
      <c r="F2418" s="39" t="n">
        <v>45779</v>
      </c>
      <c r="G2418" s="41" t="n">
        <v>153.34</v>
      </c>
      <c r="H2418" s="39" t="n">
        <v>45790</v>
      </c>
      <c r="I2418" s="7" t="s">
        <v>14651</v>
      </c>
      <c r="J2418" s="8" t="str">
        <f aca="false">IF(I2418="Open",DATE(2025,12,31)-F2418,"-")</f>
        <v>-</v>
      </c>
    </row>
    <row r="2419" customFormat="false" ht="15" hidden="false" customHeight="false" outlineLevel="0" collapsed="false">
      <c r="B2419" s="7" t="s">
        <v>17064</v>
      </c>
      <c r="C2419" s="7" t="s">
        <v>2916</v>
      </c>
      <c r="D2419" s="7" t="s">
        <v>381</v>
      </c>
      <c r="E2419" s="7" t="s">
        <v>157</v>
      </c>
      <c r="F2419" s="39" t="n">
        <v>45779</v>
      </c>
      <c r="G2419" s="41" t="n">
        <v>158.4</v>
      </c>
      <c r="H2419" s="39" t="n">
        <v>45814</v>
      </c>
      <c r="I2419" s="7" t="s">
        <v>14651</v>
      </c>
      <c r="J2419" s="8" t="str">
        <f aca="false">IF(I2419="Open",DATE(2025,12,31)-F2419,"-")</f>
        <v>-</v>
      </c>
    </row>
    <row r="2420" customFormat="false" ht="15" hidden="false" customHeight="false" outlineLevel="0" collapsed="false">
      <c r="B2420" s="7" t="s">
        <v>17065</v>
      </c>
      <c r="C2420" s="7" t="s">
        <v>2917</v>
      </c>
      <c r="D2420" s="7" t="s">
        <v>385</v>
      </c>
      <c r="E2420" s="7" t="s">
        <v>156</v>
      </c>
      <c r="F2420" s="39" t="n">
        <v>45779</v>
      </c>
      <c r="G2420" s="41" t="n">
        <v>131.58</v>
      </c>
      <c r="H2420" s="39" t="n">
        <v>45787</v>
      </c>
      <c r="I2420" s="7" t="s">
        <v>14651</v>
      </c>
      <c r="J2420" s="8" t="str">
        <f aca="false">IF(I2420="Open",DATE(2025,12,31)-F2420,"-")</f>
        <v>-</v>
      </c>
    </row>
    <row r="2421" customFormat="false" ht="15" hidden="false" customHeight="false" outlineLevel="0" collapsed="false">
      <c r="B2421" s="7" t="s">
        <v>17066</v>
      </c>
      <c r="C2421" s="7" t="s">
        <v>2918</v>
      </c>
      <c r="D2421" s="7" t="s">
        <v>389</v>
      </c>
      <c r="E2421" s="7" t="s">
        <v>154</v>
      </c>
      <c r="F2421" s="39" t="n">
        <v>45779</v>
      </c>
      <c r="G2421" s="41" t="n">
        <v>103.62</v>
      </c>
      <c r="H2421" s="39" t="n">
        <v>45869</v>
      </c>
      <c r="I2421" s="7" t="s">
        <v>14651</v>
      </c>
      <c r="J2421" s="8" t="str">
        <f aca="false">IF(I2421="Open",DATE(2025,12,31)-F2421,"-")</f>
        <v>-</v>
      </c>
    </row>
    <row r="2422" customFormat="false" ht="15" hidden="false" customHeight="false" outlineLevel="0" collapsed="false">
      <c r="B2422" s="7" t="s">
        <v>17067</v>
      </c>
      <c r="C2422" s="7" t="s">
        <v>2919</v>
      </c>
      <c r="D2422" s="7" t="s">
        <v>391</v>
      </c>
      <c r="E2422" s="7" t="s">
        <v>156</v>
      </c>
      <c r="F2422" s="39" t="n">
        <v>45779</v>
      </c>
      <c r="G2422" s="41" t="n">
        <v>138.38</v>
      </c>
      <c r="H2422" s="39" t="n">
        <v>45790</v>
      </c>
      <c r="I2422" s="7" t="s">
        <v>14651</v>
      </c>
      <c r="J2422" s="8" t="str">
        <f aca="false">IF(I2422="Open",DATE(2025,12,31)-F2422,"-")</f>
        <v>-</v>
      </c>
    </row>
    <row r="2423" customFormat="false" ht="15" hidden="false" customHeight="false" outlineLevel="0" collapsed="false">
      <c r="B2423" s="7" t="s">
        <v>17068</v>
      </c>
      <c r="C2423" s="7" t="s">
        <v>2920</v>
      </c>
      <c r="D2423" s="7" t="s">
        <v>395</v>
      </c>
      <c r="E2423" s="7" t="s">
        <v>156</v>
      </c>
      <c r="F2423" s="39" t="n">
        <v>45779</v>
      </c>
      <c r="G2423" s="41" t="n">
        <v>139.06</v>
      </c>
      <c r="H2423" s="39" t="n">
        <v>45795</v>
      </c>
      <c r="I2423" s="7" t="s">
        <v>14651</v>
      </c>
      <c r="J2423" s="8" t="str">
        <f aca="false">IF(I2423="Open",DATE(2025,12,31)-F2423,"-")</f>
        <v>-</v>
      </c>
    </row>
    <row r="2424" customFormat="false" ht="15" hidden="false" customHeight="false" outlineLevel="0" collapsed="false">
      <c r="B2424" s="7" t="s">
        <v>17069</v>
      </c>
      <c r="C2424" s="7" t="s">
        <v>2921</v>
      </c>
      <c r="D2424" s="7" t="s">
        <v>397</v>
      </c>
      <c r="E2424" s="7" t="s">
        <v>159</v>
      </c>
      <c r="F2424" s="39" t="n">
        <v>45779</v>
      </c>
      <c r="G2424" s="41" t="n">
        <v>141.75</v>
      </c>
      <c r="H2424" s="39" t="n">
        <v>45827</v>
      </c>
      <c r="I2424" s="7" t="s">
        <v>14651</v>
      </c>
      <c r="J2424" s="8" t="str">
        <f aca="false">IF(I2424="Open",DATE(2025,12,31)-F2424,"-")</f>
        <v>-</v>
      </c>
    </row>
    <row r="2425" customFormat="false" ht="15" hidden="false" customHeight="false" outlineLevel="0" collapsed="false">
      <c r="B2425" s="7" t="s">
        <v>17070</v>
      </c>
      <c r="C2425" s="7" t="s">
        <v>2922</v>
      </c>
      <c r="D2425" s="7" t="s">
        <v>399</v>
      </c>
      <c r="E2425" s="7" t="s">
        <v>154</v>
      </c>
      <c r="F2425" s="39" t="n">
        <v>45779</v>
      </c>
      <c r="G2425" s="41" t="n">
        <v>80.56</v>
      </c>
      <c r="H2425" s="39" t="n">
        <v>45840</v>
      </c>
      <c r="I2425" s="7" t="s">
        <v>14651</v>
      </c>
      <c r="J2425" s="8" t="str">
        <f aca="false">IF(I2425="Open",DATE(2025,12,31)-F2425,"-")</f>
        <v>-</v>
      </c>
    </row>
    <row r="2426" customFormat="false" ht="15" hidden="false" customHeight="false" outlineLevel="0" collapsed="false">
      <c r="B2426" s="7" t="s">
        <v>17071</v>
      </c>
      <c r="C2426" s="7" t="s">
        <v>2923</v>
      </c>
      <c r="D2426" s="7" t="s">
        <v>401</v>
      </c>
      <c r="E2426" s="7" t="s">
        <v>156</v>
      </c>
      <c r="F2426" s="39" t="n">
        <v>45779</v>
      </c>
      <c r="G2426" s="41" t="n">
        <v>126.48</v>
      </c>
      <c r="H2426" s="39" t="n">
        <v>45796</v>
      </c>
      <c r="I2426" s="7" t="s">
        <v>14651</v>
      </c>
      <c r="J2426" s="8" t="str">
        <f aca="false">IF(I2426="Open",DATE(2025,12,31)-F2426,"-")</f>
        <v>-</v>
      </c>
    </row>
    <row r="2427" customFormat="false" ht="15" hidden="false" customHeight="false" outlineLevel="0" collapsed="false">
      <c r="B2427" s="7" t="s">
        <v>17072</v>
      </c>
      <c r="C2427" s="7" t="s">
        <v>2924</v>
      </c>
      <c r="D2427" s="7" t="s">
        <v>407</v>
      </c>
      <c r="E2427" s="7" t="s">
        <v>159</v>
      </c>
      <c r="F2427" s="39" t="n">
        <v>45779</v>
      </c>
      <c r="G2427" s="41" t="n">
        <v>145.8</v>
      </c>
      <c r="H2427" s="39" t="n">
        <v>45864</v>
      </c>
      <c r="I2427" s="7" t="s">
        <v>14651</v>
      </c>
      <c r="J2427" s="8" t="str">
        <f aca="false">IF(I2427="Open",DATE(2025,12,31)-F2427,"-")</f>
        <v>-</v>
      </c>
    </row>
    <row r="2428" customFormat="false" ht="15" hidden="false" customHeight="false" outlineLevel="0" collapsed="false">
      <c r="B2428" s="7" t="s">
        <v>17073</v>
      </c>
      <c r="C2428" s="7" t="s">
        <v>2925</v>
      </c>
      <c r="D2428" s="7" t="s">
        <v>409</v>
      </c>
      <c r="E2428" s="7" t="s">
        <v>154</v>
      </c>
      <c r="F2428" s="39" t="n">
        <v>45779</v>
      </c>
      <c r="G2428" s="41" t="n">
        <v>92.48</v>
      </c>
      <c r="H2428" s="39" t="n">
        <v>45867</v>
      </c>
      <c r="I2428" s="7" t="s">
        <v>14651</v>
      </c>
      <c r="J2428" s="8" t="str">
        <f aca="false">IF(I2428="Open",DATE(2025,12,31)-F2428,"-")</f>
        <v>-</v>
      </c>
    </row>
    <row r="2429" customFormat="false" ht="15" hidden="false" customHeight="false" outlineLevel="0" collapsed="false">
      <c r="B2429" s="7" t="s">
        <v>17074</v>
      </c>
      <c r="C2429" s="7" t="s">
        <v>2926</v>
      </c>
      <c r="D2429" s="7" t="s">
        <v>411</v>
      </c>
      <c r="E2429" s="7" t="s">
        <v>154</v>
      </c>
      <c r="F2429" s="39" t="n">
        <v>45779</v>
      </c>
      <c r="G2429" s="41" t="n">
        <v>127.2</v>
      </c>
      <c r="H2429" s="39" t="n">
        <v>45816</v>
      </c>
      <c r="I2429" s="7" t="s">
        <v>14651</v>
      </c>
      <c r="J2429" s="8" t="str">
        <f aca="false">IF(I2429="Open",DATE(2025,12,31)-F2429,"-")</f>
        <v>-</v>
      </c>
    </row>
    <row r="2430" customFormat="false" ht="15" hidden="false" customHeight="false" outlineLevel="0" collapsed="false">
      <c r="B2430" s="7" t="s">
        <v>17075</v>
      </c>
      <c r="C2430" s="7" t="s">
        <v>2927</v>
      </c>
      <c r="D2430" s="7" t="s">
        <v>288</v>
      </c>
      <c r="E2430" s="7" t="s">
        <v>156</v>
      </c>
      <c r="F2430" s="39" t="n">
        <v>45780</v>
      </c>
      <c r="G2430" s="41" t="n">
        <v>148.92</v>
      </c>
      <c r="H2430" s="39" t="n">
        <v>45787</v>
      </c>
      <c r="I2430" s="7" t="s">
        <v>14651</v>
      </c>
      <c r="J2430" s="8" t="str">
        <f aca="false">IF(I2430="Open",DATE(2025,12,31)-F2430,"-")</f>
        <v>-</v>
      </c>
    </row>
    <row r="2431" customFormat="false" ht="15" hidden="false" customHeight="false" outlineLevel="0" collapsed="false">
      <c r="B2431" s="7" t="s">
        <v>17076</v>
      </c>
      <c r="C2431" s="7" t="s">
        <v>2928</v>
      </c>
      <c r="D2431" s="7" t="s">
        <v>321</v>
      </c>
      <c r="E2431" s="7" t="s">
        <v>154</v>
      </c>
      <c r="F2431" s="39" t="n">
        <v>45780</v>
      </c>
      <c r="G2431" s="41" t="n">
        <v>95.93</v>
      </c>
      <c r="H2431" s="39" t="n">
        <v>45834</v>
      </c>
      <c r="I2431" s="7" t="s">
        <v>14651</v>
      </c>
      <c r="J2431" s="8" t="str">
        <f aca="false">IF(I2431="Open",DATE(2025,12,31)-F2431,"-")</f>
        <v>-</v>
      </c>
    </row>
    <row r="2432" customFormat="false" ht="15" hidden="false" customHeight="false" outlineLevel="0" collapsed="false">
      <c r="B2432" s="7" t="s">
        <v>17077</v>
      </c>
      <c r="C2432" s="7" t="s">
        <v>2929</v>
      </c>
      <c r="D2432" s="7" t="s">
        <v>359</v>
      </c>
      <c r="E2432" s="7" t="s">
        <v>156</v>
      </c>
      <c r="F2432" s="39" t="n">
        <v>45780</v>
      </c>
      <c r="G2432" s="41" t="n">
        <v>128.86</v>
      </c>
      <c r="H2432" s="39" t="n">
        <v>45787</v>
      </c>
      <c r="I2432" s="7" t="s">
        <v>14651</v>
      </c>
      <c r="J2432" s="8" t="str">
        <f aca="false">IF(I2432="Open",DATE(2025,12,31)-F2432,"-")</f>
        <v>-</v>
      </c>
    </row>
    <row r="2433" customFormat="false" ht="15" hidden="false" customHeight="false" outlineLevel="0" collapsed="false">
      <c r="B2433" s="7" t="s">
        <v>17078</v>
      </c>
      <c r="C2433" s="7" t="s">
        <v>2930</v>
      </c>
      <c r="D2433" s="7" t="s">
        <v>391</v>
      </c>
      <c r="E2433" s="7" t="s">
        <v>156</v>
      </c>
      <c r="F2433" s="39" t="n">
        <v>45780</v>
      </c>
      <c r="G2433" s="41" t="n">
        <v>140.42</v>
      </c>
      <c r="H2433" s="39" t="n">
        <v>45788</v>
      </c>
      <c r="I2433" s="7" t="s">
        <v>14651</v>
      </c>
      <c r="J2433" s="8" t="str">
        <f aca="false">IF(I2433="Open",DATE(2025,12,31)-F2433,"-")</f>
        <v>-</v>
      </c>
    </row>
    <row r="2434" customFormat="false" ht="15" hidden="false" customHeight="false" outlineLevel="0" collapsed="false">
      <c r="B2434" s="7" t="s">
        <v>17079</v>
      </c>
      <c r="C2434" s="7" t="s">
        <v>2931</v>
      </c>
      <c r="D2434" s="7" t="s">
        <v>395</v>
      </c>
      <c r="E2434" s="7" t="s">
        <v>156</v>
      </c>
      <c r="F2434" s="39" t="n">
        <v>45780</v>
      </c>
      <c r="G2434" s="41" t="n">
        <v>142.12</v>
      </c>
      <c r="H2434" s="39" t="n">
        <v>45799</v>
      </c>
      <c r="I2434" s="7" t="s">
        <v>14651</v>
      </c>
      <c r="J2434" s="8" t="str">
        <f aca="false">IF(I2434="Open",DATE(2025,12,31)-F2434,"-")</f>
        <v>-</v>
      </c>
    </row>
    <row r="2435" customFormat="false" ht="15" hidden="false" customHeight="false" outlineLevel="0" collapsed="false">
      <c r="B2435" s="7" t="s">
        <v>17080</v>
      </c>
      <c r="C2435" s="7" t="s">
        <v>2932</v>
      </c>
      <c r="D2435" s="7" t="s">
        <v>401</v>
      </c>
      <c r="E2435" s="7" t="s">
        <v>156</v>
      </c>
      <c r="F2435" s="39" t="n">
        <v>45780</v>
      </c>
      <c r="G2435" s="41" t="n">
        <v>131.24</v>
      </c>
      <c r="H2435" s="39" t="n">
        <v>45795</v>
      </c>
      <c r="I2435" s="7" t="s">
        <v>14651</v>
      </c>
      <c r="J2435" s="8" t="str">
        <f aca="false">IF(I2435="Open",DATE(2025,12,31)-F2435,"-")</f>
        <v>-</v>
      </c>
    </row>
    <row r="2436" customFormat="false" ht="15" hidden="false" customHeight="false" outlineLevel="0" collapsed="false">
      <c r="B2436" s="7" t="s">
        <v>17081</v>
      </c>
      <c r="C2436" s="7" t="s">
        <v>2933</v>
      </c>
      <c r="D2436" s="7" t="s">
        <v>288</v>
      </c>
      <c r="E2436" s="7" t="s">
        <v>156</v>
      </c>
      <c r="F2436" s="39" t="n">
        <v>45781</v>
      </c>
      <c r="G2436" s="41" t="n">
        <v>146.2</v>
      </c>
      <c r="H2436" s="39" t="n">
        <v>45791</v>
      </c>
      <c r="I2436" s="7" t="s">
        <v>14651</v>
      </c>
      <c r="J2436" s="8" t="str">
        <f aca="false">IF(I2436="Open",DATE(2025,12,31)-F2436,"-")</f>
        <v>-</v>
      </c>
    </row>
    <row r="2437" customFormat="false" ht="15" hidden="false" customHeight="false" outlineLevel="0" collapsed="false">
      <c r="B2437" s="7" t="s">
        <v>17082</v>
      </c>
      <c r="C2437" s="7" t="s">
        <v>2934</v>
      </c>
      <c r="D2437" s="7" t="s">
        <v>321</v>
      </c>
      <c r="E2437" s="7" t="s">
        <v>154</v>
      </c>
      <c r="F2437" s="39" t="n">
        <v>45781</v>
      </c>
      <c r="G2437" s="41" t="n">
        <v>108.92</v>
      </c>
      <c r="H2437" s="39" t="n">
        <v>45837</v>
      </c>
      <c r="I2437" s="7" t="s">
        <v>14651</v>
      </c>
      <c r="J2437" s="8" t="str">
        <f aca="false">IF(I2437="Open",DATE(2025,12,31)-F2437,"-")</f>
        <v>-</v>
      </c>
    </row>
    <row r="2438" customFormat="false" ht="15" hidden="false" customHeight="false" outlineLevel="0" collapsed="false">
      <c r="B2438" s="7" t="s">
        <v>17083</v>
      </c>
      <c r="C2438" s="7" t="s">
        <v>2935</v>
      </c>
      <c r="D2438" s="7" t="s">
        <v>359</v>
      </c>
      <c r="E2438" s="7" t="s">
        <v>156</v>
      </c>
      <c r="F2438" s="39" t="n">
        <v>45781</v>
      </c>
      <c r="G2438" s="41" t="n">
        <v>124.78</v>
      </c>
      <c r="H2438" s="39" t="n">
        <v>45788</v>
      </c>
      <c r="I2438" s="7" t="s">
        <v>14651</v>
      </c>
      <c r="J2438" s="8" t="str">
        <f aca="false">IF(I2438="Open",DATE(2025,12,31)-F2438,"-")</f>
        <v>-</v>
      </c>
    </row>
    <row r="2439" customFormat="false" ht="15" hidden="false" customHeight="false" outlineLevel="0" collapsed="false">
      <c r="B2439" s="7" t="s">
        <v>17084</v>
      </c>
      <c r="C2439" s="7" t="s">
        <v>2936</v>
      </c>
      <c r="D2439" s="7" t="s">
        <v>391</v>
      </c>
      <c r="E2439" s="7" t="s">
        <v>156</v>
      </c>
      <c r="F2439" s="39" t="n">
        <v>45781</v>
      </c>
      <c r="G2439" s="41" t="n">
        <v>147.9</v>
      </c>
      <c r="H2439" s="39" t="n">
        <v>45790</v>
      </c>
      <c r="I2439" s="7" t="s">
        <v>14651</v>
      </c>
      <c r="J2439" s="8" t="str">
        <f aca="false">IF(I2439="Open",DATE(2025,12,31)-F2439,"-")</f>
        <v>-</v>
      </c>
    </row>
    <row r="2440" customFormat="false" ht="15" hidden="false" customHeight="false" outlineLevel="0" collapsed="false">
      <c r="B2440" s="7" t="s">
        <v>17085</v>
      </c>
      <c r="C2440" s="7" t="s">
        <v>2937</v>
      </c>
      <c r="D2440" s="7" t="s">
        <v>395</v>
      </c>
      <c r="E2440" s="7" t="s">
        <v>156</v>
      </c>
      <c r="F2440" s="39" t="n">
        <v>45781</v>
      </c>
      <c r="G2440" s="41" t="n">
        <v>142.12</v>
      </c>
      <c r="H2440" s="39" t="n">
        <v>45782</v>
      </c>
      <c r="I2440" s="7" t="s">
        <v>14651</v>
      </c>
      <c r="J2440" s="8" t="str">
        <f aca="false">IF(I2440="Open",DATE(2025,12,31)-F2440,"-")</f>
        <v>-</v>
      </c>
    </row>
    <row r="2441" customFormat="false" ht="15" hidden="false" customHeight="false" outlineLevel="0" collapsed="false">
      <c r="B2441" s="7" t="s">
        <v>17086</v>
      </c>
      <c r="C2441" s="7" t="s">
        <v>2938</v>
      </c>
      <c r="D2441" s="7" t="s">
        <v>401</v>
      </c>
      <c r="E2441" s="7" t="s">
        <v>156</v>
      </c>
      <c r="F2441" s="39" t="n">
        <v>45781</v>
      </c>
      <c r="G2441" s="41" t="n">
        <v>129.2</v>
      </c>
      <c r="H2441" s="39" t="n">
        <v>45804</v>
      </c>
      <c r="I2441" s="7" t="s">
        <v>14651</v>
      </c>
      <c r="J2441" s="8" t="str">
        <f aca="false">IF(I2441="Open",DATE(2025,12,31)-F2441,"-")</f>
        <v>-</v>
      </c>
    </row>
    <row r="2442" customFormat="false" ht="15" hidden="false" customHeight="false" outlineLevel="0" collapsed="false">
      <c r="B2442" s="7" t="s">
        <v>17087</v>
      </c>
      <c r="C2442" s="7" t="s">
        <v>2939</v>
      </c>
      <c r="D2442" s="7" t="s">
        <v>280</v>
      </c>
      <c r="E2442" s="7" t="s">
        <v>157</v>
      </c>
      <c r="F2442" s="39" t="n">
        <v>45782</v>
      </c>
      <c r="G2442" s="41" t="n">
        <v>158.4</v>
      </c>
      <c r="H2442" s="39" t="n">
        <v>45822</v>
      </c>
      <c r="I2442" s="7" t="s">
        <v>14651</v>
      </c>
      <c r="J2442" s="8" t="str">
        <f aca="false">IF(I2442="Open",DATE(2025,12,31)-F2442,"-")</f>
        <v>-</v>
      </c>
    </row>
    <row r="2443" customFormat="false" ht="15" hidden="false" customHeight="false" outlineLevel="0" collapsed="false">
      <c r="B2443" s="7" t="s">
        <v>17088</v>
      </c>
      <c r="C2443" s="7" t="s">
        <v>2940</v>
      </c>
      <c r="D2443" s="7" t="s">
        <v>288</v>
      </c>
      <c r="E2443" s="7" t="s">
        <v>156</v>
      </c>
      <c r="F2443" s="39" t="n">
        <v>45782</v>
      </c>
      <c r="G2443" s="41" t="n">
        <v>129.88</v>
      </c>
      <c r="H2443" s="39" t="n">
        <v>45789</v>
      </c>
      <c r="I2443" s="7" t="s">
        <v>14651</v>
      </c>
      <c r="J2443" s="8" t="str">
        <f aca="false">IF(I2443="Open",DATE(2025,12,31)-F2443,"-")</f>
        <v>-</v>
      </c>
    </row>
    <row r="2444" customFormat="false" ht="15" hidden="false" customHeight="false" outlineLevel="0" collapsed="false">
      <c r="B2444" s="7" t="s">
        <v>17089</v>
      </c>
      <c r="C2444" s="7" t="s">
        <v>2941</v>
      </c>
      <c r="D2444" s="7" t="s">
        <v>291</v>
      </c>
      <c r="E2444" s="7" t="s">
        <v>154</v>
      </c>
      <c r="F2444" s="39" t="n">
        <v>45782</v>
      </c>
      <c r="G2444" s="41" t="n">
        <v>135.42</v>
      </c>
      <c r="H2444" s="39" t="n">
        <v>45840</v>
      </c>
      <c r="I2444" s="7" t="s">
        <v>14651</v>
      </c>
      <c r="J2444" s="8" t="str">
        <f aca="false">IF(I2444="Open",DATE(2025,12,31)-F2444,"-")</f>
        <v>-</v>
      </c>
    </row>
    <row r="2445" customFormat="false" ht="15" hidden="false" customHeight="false" outlineLevel="0" collapsed="false">
      <c r="B2445" s="7" t="s">
        <v>17090</v>
      </c>
      <c r="C2445" s="7" t="s">
        <v>2942</v>
      </c>
      <c r="D2445" s="7" t="s">
        <v>297</v>
      </c>
      <c r="E2445" s="7" t="s">
        <v>156</v>
      </c>
      <c r="F2445" s="39" t="n">
        <v>45782</v>
      </c>
      <c r="G2445" s="41" t="n">
        <v>100.64</v>
      </c>
      <c r="H2445" s="39" t="n">
        <v>45792</v>
      </c>
      <c r="I2445" s="7" t="s">
        <v>14651</v>
      </c>
      <c r="J2445" s="8" t="str">
        <f aca="false">IF(I2445="Open",DATE(2025,12,31)-F2445,"-")</f>
        <v>-</v>
      </c>
    </row>
    <row r="2446" customFormat="false" ht="15" hidden="false" customHeight="false" outlineLevel="0" collapsed="false">
      <c r="B2446" s="7" t="s">
        <v>17091</v>
      </c>
      <c r="C2446" s="7" t="s">
        <v>2943</v>
      </c>
      <c r="D2446" s="7" t="s">
        <v>305</v>
      </c>
      <c r="E2446" s="7" t="s">
        <v>154</v>
      </c>
      <c r="F2446" s="39" t="n">
        <v>45782</v>
      </c>
      <c r="G2446" s="41" t="n">
        <v>111.56</v>
      </c>
      <c r="H2446" s="39" t="n">
        <v>45833</v>
      </c>
      <c r="I2446" s="7" t="s">
        <v>14651</v>
      </c>
      <c r="J2446" s="8" t="str">
        <f aca="false">IF(I2446="Open",DATE(2025,12,31)-F2446,"-")</f>
        <v>-</v>
      </c>
    </row>
    <row r="2447" customFormat="false" ht="15" hidden="false" customHeight="false" outlineLevel="0" collapsed="false">
      <c r="B2447" s="7" t="s">
        <v>17092</v>
      </c>
      <c r="C2447" s="7" t="s">
        <v>2944</v>
      </c>
      <c r="D2447" s="7" t="s">
        <v>307</v>
      </c>
      <c r="E2447" s="7" t="s">
        <v>157</v>
      </c>
      <c r="F2447" s="39" t="n">
        <v>45782</v>
      </c>
      <c r="G2447" s="41" t="n">
        <v>148.5</v>
      </c>
      <c r="H2447" s="39" t="n">
        <v>45843</v>
      </c>
      <c r="I2447" s="7" t="s">
        <v>14651</v>
      </c>
      <c r="J2447" s="8" t="str">
        <f aca="false">IF(I2447="Open",DATE(2025,12,31)-F2447,"-")</f>
        <v>-</v>
      </c>
    </row>
    <row r="2448" customFormat="false" ht="15" hidden="false" customHeight="false" outlineLevel="0" collapsed="false">
      <c r="B2448" s="7" t="s">
        <v>17093</v>
      </c>
      <c r="C2448" s="7" t="s">
        <v>2945</v>
      </c>
      <c r="D2448" s="7" t="s">
        <v>309</v>
      </c>
      <c r="E2448" s="7" t="s">
        <v>159</v>
      </c>
      <c r="F2448" s="39" t="n">
        <v>45782</v>
      </c>
      <c r="G2448" s="41" t="n">
        <v>141.75</v>
      </c>
      <c r="H2448" s="39" t="n">
        <v>45802</v>
      </c>
      <c r="I2448" s="7" t="s">
        <v>14651</v>
      </c>
      <c r="J2448" s="8" t="str">
        <f aca="false">IF(I2448="Open",DATE(2025,12,31)-F2448,"-")</f>
        <v>-</v>
      </c>
    </row>
    <row r="2449" customFormat="false" ht="15" hidden="false" customHeight="false" outlineLevel="0" collapsed="false">
      <c r="B2449" s="7" t="s">
        <v>17094</v>
      </c>
      <c r="C2449" s="7" t="s">
        <v>2946</v>
      </c>
      <c r="D2449" s="7" t="s">
        <v>311</v>
      </c>
      <c r="E2449" s="7" t="s">
        <v>154</v>
      </c>
      <c r="F2449" s="39" t="n">
        <v>45782</v>
      </c>
      <c r="G2449" s="41" t="n">
        <v>73.94</v>
      </c>
      <c r="H2449" s="39" t="n">
        <v>45823</v>
      </c>
      <c r="I2449" s="7" t="s">
        <v>14651</v>
      </c>
      <c r="J2449" s="8" t="str">
        <f aca="false">IF(I2449="Open",DATE(2025,12,31)-F2449,"-")</f>
        <v>-</v>
      </c>
    </row>
    <row r="2450" customFormat="false" ht="15" hidden="false" customHeight="false" outlineLevel="0" collapsed="false">
      <c r="B2450" s="7" t="s">
        <v>17095</v>
      </c>
      <c r="C2450" s="7" t="s">
        <v>2947</v>
      </c>
      <c r="D2450" s="7" t="s">
        <v>313</v>
      </c>
      <c r="E2450" s="7" t="s">
        <v>156</v>
      </c>
      <c r="F2450" s="39" t="n">
        <v>45782</v>
      </c>
      <c r="G2450" s="41" t="n">
        <v>134.98</v>
      </c>
      <c r="H2450" s="39" t="n">
        <v>45790</v>
      </c>
      <c r="I2450" s="7" t="s">
        <v>14651</v>
      </c>
      <c r="J2450" s="8" t="str">
        <f aca="false">IF(I2450="Open",DATE(2025,12,31)-F2450,"-")</f>
        <v>-</v>
      </c>
    </row>
    <row r="2451" customFormat="false" ht="15" hidden="false" customHeight="false" outlineLevel="0" collapsed="false">
      <c r="B2451" s="7" t="s">
        <v>17096</v>
      </c>
      <c r="C2451" s="7" t="s">
        <v>2948</v>
      </c>
      <c r="D2451" s="7" t="s">
        <v>317</v>
      </c>
      <c r="E2451" s="7" t="s">
        <v>156</v>
      </c>
      <c r="F2451" s="39" t="n">
        <v>45782</v>
      </c>
      <c r="G2451" s="41" t="n">
        <v>104.04</v>
      </c>
      <c r="H2451" s="39" t="n">
        <v>45792</v>
      </c>
      <c r="I2451" s="7" t="s">
        <v>14651</v>
      </c>
      <c r="J2451" s="8" t="str">
        <f aca="false">IF(I2451="Open",DATE(2025,12,31)-F2451,"-")</f>
        <v>-</v>
      </c>
    </row>
    <row r="2452" customFormat="false" ht="15" hidden="false" customHeight="false" outlineLevel="0" collapsed="false">
      <c r="B2452" s="7" t="s">
        <v>17097</v>
      </c>
      <c r="C2452" s="7" t="s">
        <v>2949</v>
      </c>
      <c r="D2452" s="7" t="s">
        <v>321</v>
      </c>
      <c r="E2452" s="7" t="s">
        <v>154</v>
      </c>
      <c r="F2452" s="39" t="n">
        <v>45782</v>
      </c>
      <c r="G2452" s="41" t="n">
        <v>105.47</v>
      </c>
      <c r="H2452" s="39" t="n">
        <v>45852</v>
      </c>
      <c r="I2452" s="7" t="s">
        <v>14651</v>
      </c>
      <c r="J2452" s="8" t="str">
        <f aca="false">IF(I2452="Open",DATE(2025,12,31)-F2452,"-")</f>
        <v>-</v>
      </c>
    </row>
    <row r="2453" customFormat="false" ht="15" hidden="false" customHeight="false" outlineLevel="0" collapsed="false">
      <c r="B2453" s="7" t="s">
        <v>17098</v>
      </c>
      <c r="C2453" s="7" t="s">
        <v>2950</v>
      </c>
      <c r="D2453" s="7" t="s">
        <v>325</v>
      </c>
      <c r="E2453" s="7" t="s">
        <v>154</v>
      </c>
      <c r="F2453" s="39" t="n">
        <v>45782</v>
      </c>
      <c r="G2453" s="41" t="n">
        <v>71.81</v>
      </c>
      <c r="H2453" s="39" t="n">
        <v>45831</v>
      </c>
      <c r="I2453" s="7" t="s">
        <v>14651</v>
      </c>
      <c r="J2453" s="8" t="str">
        <f aca="false">IF(I2453="Open",DATE(2025,12,31)-F2453,"-")</f>
        <v>-</v>
      </c>
    </row>
    <row r="2454" customFormat="false" ht="15" hidden="false" customHeight="false" outlineLevel="0" collapsed="false">
      <c r="B2454" s="7" t="s">
        <v>17099</v>
      </c>
      <c r="C2454" s="7" t="s">
        <v>2951</v>
      </c>
      <c r="D2454" s="7" t="s">
        <v>329</v>
      </c>
      <c r="E2454" s="7" t="s">
        <v>156</v>
      </c>
      <c r="F2454" s="39" t="n">
        <v>45782</v>
      </c>
      <c r="G2454" s="41" t="n">
        <v>135.66</v>
      </c>
      <c r="H2454" s="39" t="n">
        <v>45785</v>
      </c>
      <c r="I2454" s="7" t="s">
        <v>14651</v>
      </c>
      <c r="J2454" s="8" t="str">
        <f aca="false">IF(I2454="Open",DATE(2025,12,31)-F2454,"-")</f>
        <v>-</v>
      </c>
    </row>
    <row r="2455" customFormat="false" ht="15" hidden="false" customHeight="false" outlineLevel="0" collapsed="false">
      <c r="B2455" s="7" t="s">
        <v>17100</v>
      </c>
      <c r="C2455" s="7" t="s">
        <v>2952</v>
      </c>
      <c r="D2455" s="7" t="s">
        <v>331</v>
      </c>
      <c r="E2455" s="7" t="s">
        <v>156</v>
      </c>
      <c r="F2455" s="39" t="n">
        <v>45782</v>
      </c>
      <c r="G2455" s="41" t="n">
        <v>148.92</v>
      </c>
      <c r="H2455" s="39" t="n">
        <v>45799</v>
      </c>
      <c r="I2455" s="7" t="s">
        <v>14651</v>
      </c>
      <c r="J2455" s="8" t="str">
        <f aca="false">IF(I2455="Open",DATE(2025,12,31)-F2455,"-")</f>
        <v>-</v>
      </c>
    </row>
    <row r="2456" customFormat="false" ht="15" hidden="false" customHeight="false" outlineLevel="0" collapsed="false">
      <c r="B2456" s="7" t="s">
        <v>17101</v>
      </c>
      <c r="C2456" s="7" t="s">
        <v>2953</v>
      </c>
      <c r="D2456" s="7" t="s">
        <v>335</v>
      </c>
      <c r="E2456" s="7" t="s">
        <v>154</v>
      </c>
      <c r="F2456" s="39" t="n">
        <v>45782</v>
      </c>
      <c r="G2456" s="41" t="n">
        <v>108.92</v>
      </c>
      <c r="H2456" s="39" t="n">
        <v>45811</v>
      </c>
      <c r="I2456" s="7" t="s">
        <v>14651</v>
      </c>
      <c r="J2456" s="8" t="str">
        <f aca="false">IF(I2456="Open",DATE(2025,12,31)-F2456,"-")</f>
        <v>-</v>
      </c>
    </row>
    <row r="2457" customFormat="false" ht="15" hidden="false" customHeight="false" outlineLevel="0" collapsed="false">
      <c r="B2457" s="7" t="s">
        <v>17102</v>
      </c>
      <c r="C2457" s="7" t="s">
        <v>2954</v>
      </c>
      <c r="D2457" s="7" t="s">
        <v>337</v>
      </c>
      <c r="E2457" s="7" t="s">
        <v>154</v>
      </c>
      <c r="F2457" s="39" t="n">
        <v>45782</v>
      </c>
      <c r="G2457" s="41" t="n">
        <v>72.08</v>
      </c>
      <c r="H2457" s="39" t="n">
        <v>45804</v>
      </c>
      <c r="I2457" s="7" t="s">
        <v>14651</v>
      </c>
      <c r="J2457" s="8" t="str">
        <f aca="false">IF(I2457="Open",DATE(2025,12,31)-F2457,"-")</f>
        <v>-</v>
      </c>
    </row>
    <row r="2458" customFormat="false" ht="15" hidden="false" customHeight="false" outlineLevel="0" collapsed="false">
      <c r="B2458" s="7" t="s">
        <v>17103</v>
      </c>
      <c r="C2458" s="7" t="s">
        <v>2955</v>
      </c>
      <c r="D2458" s="7" t="s">
        <v>339</v>
      </c>
      <c r="E2458" s="7" t="s">
        <v>154</v>
      </c>
      <c r="F2458" s="39" t="n">
        <v>45782</v>
      </c>
      <c r="G2458" s="41" t="n">
        <v>89.57</v>
      </c>
      <c r="H2458" s="39" t="n">
        <v>45870</v>
      </c>
      <c r="I2458" s="7" t="s">
        <v>14651</v>
      </c>
      <c r="J2458" s="8" t="str">
        <f aca="false">IF(I2458="Open",DATE(2025,12,31)-F2458,"-")</f>
        <v>-</v>
      </c>
    </row>
    <row r="2459" customFormat="false" ht="15" hidden="false" customHeight="false" outlineLevel="0" collapsed="false">
      <c r="B2459" s="7" t="s">
        <v>17104</v>
      </c>
      <c r="C2459" s="7" t="s">
        <v>2956</v>
      </c>
      <c r="D2459" s="7" t="s">
        <v>341</v>
      </c>
      <c r="E2459" s="7" t="s">
        <v>156</v>
      </c>
      <c r="F2459" s="39" t="n">
        <v>45782</v>
      </c>
      <c r="G2459" s="41" t="n">
        <v>96.9</v>
      </c>
      <c r="H2459" s="39" t="n">
        <v>45791</v>
      </c>
      <c r="I2459" s="7" t="s">
        <v>14651</v>
      </c>
      <c r="J2459" s="8" t="str">
        <f aca="false">IF(I2459="Open",DATE(2025,12,31)-F2459,"-")</f>
        <v>-</v>
      </c>
    </row>
    <row r="2460" customFormat="false" ht="15" hidden="false" customHeight="false" outlineLevel="0" collapsed="false">
      <c r="B2460" s="7" t="s">
        <v>17105</v>
      </c>
      <c r="C2460" s="7" t="s">
        <v>2957</v>
      </c>
      <c r="D2460" s="7" t="s">
        <v>343</v>
      </c>
      <c r="E2460" s="7" t="s">
        <v>154</v>
      </c>
      <c r="F2460" s="39" t="n">
        <v>45782</v>
      </c>
      <c r="G2460" s="41" t="n">
        <v>106.27</v>
      </c>
      <c r="H2460" s="39" t="n">
        <v>45826</v>
      </c>
      <c r="I2460" s="7" t="s">
        <v>14651</v>
      </c>
      <c r="J2460" s="8" t="str">
        <f aca="false">IF(I2460="Open",DATE(2025,12,31)-F2460,"-")</f>
        <v>-</v>
      </c>
    </row>
    <row r="2461" customFormat="false" ht="15" hidden="false" customHeight="false" outlineLevel="0" collapsed="false">
      <c r="B2461" s="7" t="s">
        <v>17106</v>
      </c>
      <c r="C2461" s="7" t="s">
        <v>2958</v>
      </c>
      <c r="D2461" s="7" t="s">
        <v>351</v>
      </c>
      <c r="E2461" s="7" t="s">
        <v>154</v>
      </c>
      <c r="F2461" s="39" t="n">
        <v>45782</v>
      </c>
      <c r="G2461" s="41" t="n">
        <v>82.68</v>
      </c>
      <c r="H2461" s="39" t="n">
        <v>45821</v>
      </c>
      <c r="I2461" s="7" t="s">
        <v>14651</v>
      </c>
      <c r="J2461" s="8" t="str">
        <f aca="false">IF(I2461="Open",DATE(2025,12,31)-F2461,"-")</f>
        <v>-</v>
      </c>
    </row>
    <row r="2462" customFormat="false" ht="15" hidden="false" customHeight="false" outlineLevel="0" collapsed="false">
      <c r="B2462" s="7" t="s">
        <v>17107</v>
      </c>
      <c r="C2462" s="7" t="s">
        <v>2959</v>
      </c>
      <c r="D2462" s="7" t="s">
        <v>353</v>
      </c>
      <c r="E2462" s="7" t="s">
        <v>154</v>
      </c>
      <c r="F2462" s="39" t="n">
        <v>45782</v>
      </c>
      <c r="G2462" s="41" t="n">
        <v>89.7</v>
      </c>
      <c r="H2462" s="39" t="n">
        <v>45846</v>
      </c>
      <c r="I2462" s="7" t="s">
        <v>14651</v>
      </c>
      <c r="J2462" s="8" t="str">
        <f aca="false">IF(I2462="Open",DATE(2025,12,31)-F2462,"-")</f>
        <v>-</v>
      </c>
    </row>
    <row r="2463" customFormat="false" ht="15" hidden="false" customHeight="false" outlineLevel="0" collapsed="false">
      <c r="B2463" s="7" t="s">
        <v>17108</v>
      </c>
      <c r="C2463" s="7" t="s">
        <v>2960</v>
      </c>
      <c r="D2463" s="7" t="s">
        <v>355</v>
      </c>
      <c r="E2463" s="7" t="s">
        <v>154</v>
      </c>
      <c r="F2463" s="39" t="n">
        <v>45782</v>
      </c>
      <c r="G2463" s="41" t="n">
        <v>93.81</v>
      </c>
      <c r="H2463" s="39" t="n">
        <v>45797</v>
      </c>
      <c r="I2463" s="7" t="s">
        <v>14651</v>
      </c>
      <c r="J2463" s="8" t="str">
        <f aca="false">IF(I2463="Open",DATE(2025,12,31)-F2463,"-")</f>
        <v>-</v>
      </c>
    </row>
    <row r="2464" customFormat="false" ht="15" hidden="false" customHeight="false" outlineLevel="0" collapsed="false">
      <c r="B2464" s="7" t="s">
        <v>17109</v>
      </c>
      <c r="C2464" s="7" t="s">
        <v>2961</v>
      </c>
      <c r="D2464" s="7" t="s">
        <v>357</v>
      </c>
      <c r="E2464" s="7" t="s">
        <v>154</v>
      </c>
      <c r="F2464" s="39" t="n">
        <v>45782</v>
      </c>
      <c r="G2464" s="41" t="n">
        <v>91.69</v>
      </c>
      <c r="H2464" s="39" t="n">
        <v>45811</v>
      </c>
      <c r="I2464" s="7" t="s">
        <v>14651</v>
      </c>
      <c r="J2464" s="8" t="str">
        <f aca="false">IF(I2464="Open",DATE(2025,12,31)-F2464,"-")</f>
        <v>-</v>
      </c>
    </row>
    <row r="2465" customFormat="false" ht="15" hidden="false" customHeight="false" outlineLevel="0" collapsed="false">
      <c r="B2465" s="7" t="s">
        <v>17110</v>
      </c>
      <c r="C2465" s="7" t="s">
        <v>2962</v>
      </c>
      <c r="D2465" s="7" t="s">
        <v>359</v>
      </c>
      <c r="E2465" s="7" t="s">
        <v>156</v>
      </c>
      <c r="F2465" s="39" t="n">
        <v>45782</v>
      </c>
      <c r="G2465" s="41" t="n">
        <v>134.64</v>
      </c>
      <c r="H2465" s="39" t="n">
        <v>45800</v>
      </c>
      <c r="I2465" s="7" t="s">
        <v>14651</v>
      </c>
      <c r="J2465" s="8" t="str">
        <f aca="false">IF(I2465="Open",DATE(2025,12,31)-F2465,"-")</f>
        <v>-</v>
      </c>
    </row>
    <row r="2466" customFormat="false" ht="15" hidden="false" customHeight="false" outlineLevel="0" collapsed="false">
      <c r="B2466" s="7" t="s">
        <v>17111</v>
      </c>
      <c r="C2466" s="7" t="s">
        <v>2963</v>
      </c>
      <c r="D2466" s="7" t="s">
        <v>363</v>
      </c>
      <c r="E2466" s="7" t="s">
        <v>156</v>
      </c>
      <c r="F2466" s="39" t="n">
        <v>45782</v>
      </c>
      <c r="G2466" s="41" t="n">
        <v>138.72</v>
      </c>
      <c r="H2466" s="39" t="n">
        <v>45792</v>
      </c>
      <c r="I2466" s="7" t="s">
        <v>14651</v>
      </c>
      <c r="J2466" s="8" t="str">
        <f aca="false">IF(I2466="Open",DATE(2025,12,31)-F2466,"-")</f>
        <v>-</v>
      </c>
    </row>
    <row r="2467" customFormat="false" ht="15" hidden="false" customHeight="false" outlineLevel="0" collapsed="false">
      <c r="B2467" s="7" t="s">
        <v>17112</v>
      </c>
      <c r="C2467" s="7" t="s">
        <v>2964</v>
      </c>
      <c r="D2467" s="7" t="s">
        <v>365</v>
      </c>
      <c r="E2467" s="7" t="s">
        <v>154</v>
      </c>
      <c r="F2467" s="39" t="n">
        <v>45782</v>
      </c>
      <c r="G2467" s="41" t="n">
        <v>95.66</v>
      </c>
      <c r="H2467" s="39" t="n">
        <v>45835</v>
      </c>
      <c r="I2467" s="7" t="s">
        <v>14651</v>
      </c>
      <c r="J2467" s="8" t="str">
        <f aca="false">IF(I2467="Open",DATE(2025,12,31)-F2467,"-")</f>
        <v>-</v>
      </c>
    </row>
    <row r="2468" customFormat="false" ht="15" hidden="false" customHeight="false" outlineLevel="0" collapsed="false">
      <c r="B2468" s="7" t="s">
        <v>17113</v>
      </c>
      <c r="C2468" s="7" t="s">
        <v>2965</v>
      </c>
      <c r="D2468" s="7" t="s">
        <v>371</v>
      </c>
      <c r="E2468" s="7" t="s">
        <v>154</v>
      </c>
      <c r="F2468" s="39" t="n">
        <v>45782</v>
      </c>
      <c r="G2468" s="41" t="n">
        <v>134.09</v>
      </c>
      <c r="H2468" s="39" t="n">
        <v>45823</v>
      </c>
      <c r="I2468" s="7" t="s">
        <v>14651</v>
      </c>
      <c r="J2468" s="8" t="str">
        <f aca="false">IF(I2468="Open",DATE(2025,12,31)-F2468,"-")</f>
        <v>-</v>
      </c>
    </row>
    <row r="2469" customFormat="false" ht="15" hidden="false" customHeight="false" outlineLevel="0" collapsed="false">
      <c r="B2469" s="7" t="s">
        <v>17114</v>
      </c>
      <c r="C2469" s="7" t="s">
        <v>2966</v>
      </c>
      <c r="D2469" s="7" t="s">
        <v>375</v>
      </c>
      <c r="E2469" s="7" t="s">
        <v>156</v>
      </c>
      <c r="F2469" s="39" t="n">
        <v>45782</v>
      </c>
      <c r="G2469" s="41" t="n">
        <v>110.16</v>
      </c>
      <c r="H2469" s="39" t="n">
        <v>45801</v>
      </c>
      <c r="I2469" s="7" t="s">
        <v>14651</v>
      </c>
      <c r="J2469" s="8" t="str">
        <f aca="false">IF(I2469="Open",DATE(2025,12,31)-F2469,"-")</f>
        <v>-</v>
      </c>
    </row>
    <row r="2470" customFormat="false" ht="15" hidden="false" customHeight="false" outlineLevel="0" collapsed="false">
      <c r="B2470" s="7" t="s">
        <v>17115</v>
      </c>
      <c r="C2470" s="7" t="s">
        <v>2967</v>
      </c>
      <c r="D2470" s="7" t="s">
        <v>377</v>
      </c>
      <c r="E2470" s="7" t="s">
        <v>154</v>
      </c>
      <c r="F2470" s="39" t="n">
        <v>45782</v>
      </c>
      <c r="G2470" s="41" t="n">
        <v>104.41</v>
      </c>
      <c r="H2470" s="39" t="n">
        <v>45833</v>
      </c>
      <c r="I2470" s="7" t="s">
        <v>14651</v>
      </c>
      <c r="J2470" s="8" t="str">
        <f aca="false">IF(I2470="Open",DATE(2025,12,31)-F2470,"-")</f>
        <v>-</v>
      </c>
    </row>
    <row r="2471" customFormat="false" ht="15" hidden="false" customHeight="false" outlineLevel="0" collapsed="false">
      <c r="B2471" s="7" t="s">
        <v>17116</v>
      </c>
      <c r="C2471" s="7" t="s">
        <v>2968</v>
      </c>
      <c r="D2471" s="7" t="s">
        <v>379</v>
      </c>
      <c r="E2471" s="7" t="s">
        <v>156</v>
      </c>
      <c r="F2471" s="39" t="n">
        <v>45782</v>
      </c>
      <c r="G2471" s="41" t="n">
        <v>152.32</v>
      </c>
      <c r="H2471" s="39" t="n">
        <v>45793</v>
      </c>
      <c r="I2471" s="7" t="s">
        <v>14651</v>
      </c>
      <c r="J2471" s="8" t="str">
        <f aca="false">IF(I2471="Open",DATE(2025,12,31)-F2471,"-")</f>
        <v>-</v>
      </c>
    </row>
    <row r="2472" customFormat="false" ht="15" hidden="false" customHeight="false" outlineLevel="0" collapsed="false">
      <c r="B2472" s="7" t="s">
        <v>17117</v>
      </c>
      <c r="C2472" s="7" t="s">
        <v>2969</v>
      </c>
      <c r="D2472" s="7" t="s">
        <v>385</v>
      </c>
      <c r="E2472" s="7" t="s">
        <v>156</v>
      </c>
      <c r="F2472" s="39" t="n">
        <v>45782</v>
      </c>
      <c r="G2472" s="41" t="n">
        <v>132.94</v>
      </c>
      <c r="H2472" s="39" t="n">
        <v>45791</v>
      </c>
      <c r="I2472" s="7" t="s">
        <v>14651</v>
      </c>
      <c r="J2472" s="8" t="str">
        <f aca="false">IF(I2472="Open",DATE(2025,12,31)-F2472,"-")</f>
        <v>-</v>
      </c>
    </row>
    <row r="2473" customFormat="false" ht="15" hidden="false" customHeight="false" outlineLevel="0" collapsed="false">
      <c r="B2473" s="7" t="s">
        <v>17118</v>
      </c>
      <c r="C2473" s="7" t="s">
        <v>2970</v>
      </c>
      <c r="D2473" s="7" t="s">
        <v>389</v>
      </c>
      <c r="E2473" s="7" t="s">
        <v>154</v>
      </c>
      <c r="F2473" s="39" t="n">
        <v>45782</v>
      </c>
      <c r="G2473" s="41" t="n">
        <v>110.53</v>
      </c>
      <c r="H2473" s="39" t="n">
        <v>45860</v>
      </c>
      <c r="I2473" s="7" t="s">
        <v>14651</v>
      </c>
      <c r="J2473" s="8" t="str">
        <f aca="false">IF(I2473="Open",DATE(2025,12,31)-F2473,"-")</f>
        <v>-</v>
      </c>
    </row>
    <row r="2474" customFormat="false" ht="15" hidden="false" customHeight="false" outlineLevel="0" collapsed="false">
      <c r="B2474" s="7" t="s">
        <v>17119</v>
      </c>
      <c r="C2474" s="7" t="s">
        <v>2971</v>
      </c>
      <c r="D2474" s="7" t="s">
        <v>391</v>
      </c>
      <c r="E2474" s="7" t="s">
        <v>156</v>
      </c>
      <c r="F2474" s="39" t="n">
        <v>45782</v>
      </c>
      <c r="G2474" s="41" t="n">
        <v>139.74</v>
      </c>
      <c r="H2474" s="39" t="n">
        <v>45798</v>
      </c>
      <c r="I2474" s="7" t="s">
        <v>14651</v>
      </c>
      <c r="J2474" s="8" t="str">
        <f aca="false">IF(I2474="Open",DATE(2025,12,31)-F2474,"-")</f>
        <v>-</v>
      </c>
    </row>
    <row r="2475" customFormat="false" ht="15" hidden="false" customHeight="false" outlineLevel="0" collapsed="false">
      <c r="B2475" s="7" t="s">
        <v>17120</v>
      </c>
      <c r="C2475" s="7" t="s">
        <v>2972</v>
      </c>
      <c r="D2475" s="7" t="s">
        <v>395</v>
      </c>
      <c r="E2475" s="7" t="s">
        <v>156</v>
      </c>
      <c r="F2475" s="39" t="n">
        <v>45782</v>
      </c>
      <c r="G2475" s="41" t="n">
        <v>126.14</v>
      </c>
      <c r="H2475" s="39" t="n">
        <v>45804</v>
      </c>
      <c r="I2475" s="7" t="s">
        <v>14651</v>
      </c>
      <c r="J2475" s="8" t="str">
        <f aca="false">IF(I2475="Open",DATE(2025,12,31)-F2475,"-")</f>
        <v>-</v>
      </c>
    </row>
    <row r="2476" customFormat="false" ht="15" hidden="false" customHeight="false" outlineLevel="0" collapsed="false">
      <c r="B2476" s="7" t="s">
        <v>17121</v>
      </c>
      <c r="C2476" s="7" t="s">
        <v>2973</v>
      </c>
      <c r="D2476" s="7" t="s">
        <v>399</v>
      </c>
      <c r="E2476" s="7" t="s">
        <v>154</v>
      </c>
      <c r="F2476" s="39" t="n">
        <v>45782</v>
      </c>
      <c r="G2476" s="41" t="n">
        <v>86.66</v>
      </c>
      <c r="H2476" s="39" t="n">
        <v>45856</v>
      </c>
      <c r="I2476" s="7" t="s">
        <v>14651</v>
      </c>
      <c r="J2476" s="8" t="str">
        <f aca="false">IF(I2476="Open",DATE(2025,12,31)-F2476,"-")</f>
        <v>-</v>
      </c>
    </row>
    <row r="2477" customFormat="false" ht="15" hidden="false" customHeight="false" outlineLevel="0" collapsed="false">
      <c r="B2477" s="7" t="s">
        <v>17122</v>
      </c>
      <c r="C2477" s="7" t="s">
        <v>2974</v>
      </c>
      <c r="D2477" s="7" t="s">
        <v>409</v>
      </c>
      <c r="E2477" s="7" t="s">
        <v>154</v>
      </c>
      <c r="F2477" s="39" t="n">
        <v>45782</v>
      </c>
      <c r="G2477" s="41" t="n">
        <v>93.28</v>
      </c>
      <c r="H2477" s="39" t="n">
        <v>45847</v>
      </c>
      <c r="I2477" s="7" t="s">
        <v>14651</v>
      </c>
      <c r="J2477" s="8" t="str">
        <f aca="false">IF(I2477="Open",DATE(2025,12,31)-F2477,"-")</f>
        <v>-</v>
      </c>
    </row>
    <row r="2478" customFormat="false" ht="15" hidden="false" customHeight="false" outlineLevel="0" collapsed="false">
      <c r="B2478" s="7" t="s">
        <v>17123</v>
      </c>
      <c r="C2478" s="7" t="s">
        <v>2975</v>
      </c>
      <c r="D2478" s="7" t="s">
        <v>411</v>
      </c>
      <c r="E2478" s="7" t="s">
        <v>154</v>
      </c>
      <c r="F2478" s="39" t="n">
        <v>45782</v>
      </c>
      <c r="G2478" s="41" t="n">
        <v>118.45</v>
      </c>
      <c r="H2478" s="39" t="n">
        <v>45838</v>
      </c>
      <c r="I2478" s="7" t="s">
        <v>14651</v>
      </c>
      <c r="J2478" s="8" t="str">
        <f aca="false">IF(I2478="Open",DATE(2025,12,31)-F2478,"-")</f>
        <v>-</v>
      </c>
    </row>
    <row r="2479" customFormat="false" ht="15" hidden="false" customHeight="false" outlineLevel="0" collapsed="false">
      <c r="B2479" s="7" t="s">
        <v>17124</v>
      </c>
      <c r="C2479" s="7" t="s">
        <v>2976</v>
      </c>
      <c r="D2479" s="7" t="s">
        <v>288</v>
      </c>
      <c r="E2479" s="7" t="s">
        <v>156</v>
      </c>
      <c r="F2479" s="39" t="n">
        <v>45783</v>
      </c>
      <c r="G2479" s="41" t="n">
        <v>127.5</v>
      </c>
      <c r="H2479" s="39" t="n">
        <v>45788</v>
      </c>
      <c r="I2479" s="7" t="s">
        <v>14651</v>
      </c>
      <c r="J2479" s="8" t="str">
        <f aca="false">IF(I2479="Open",DATE(2025,12,31)-F2479,"-")</f>
        <v>-</v>
      </c>
    </row>
    <row r="2480" customFormat="false" ht="15" hidden="false" customHeight="false" outlineLevel="0" collapsed="false">
      <c r="B2480" s="7" t="s">
        <v>17125</v>
      </c>
      <c r="C2480" s="7" t="s">
        <v>2977</v>
      </c>
      <c r="D2480" s="7" t="s">
        <v>301</v>
      </c>
      <c r="E2480" s="7" t="s">
        <v>157</v>
      </c>
      <c r="F2480" s="39" t="n">
        <v>45783</v>
      </c>
      <c r="G2480" s="41" t="n">
        <v>165</v>
      </c>
      <c r="H2480" s="39" t="n">
        <v>45807</v>
      </c>
      <c r="I2480" s="7" t="s">
        <v>14651</v>
      </c>
      <c r="J2480" s="8" t="str">
        <f aca="false">IF(I2480="Open",DATE(2025,12,31)-F2480,"-")</f>
        <v>-</v>
      </c>
    </row>
    <row r="2481" customFormat="false" ht="15" hidden="false" customHeight="false" outlineLevel="0" collapsed="false">
      <c r="B2481" s="7" t="s">
        <v>17126</v>
      </c>
      <c r="C2481" s="7" t="s">
        <v>2978</v>
      </c>
      <c r="D2481" s="7" t="s">
        <v>313</v>
      </c>
      <c r="E2481" s="7" t="s">
        <v>156</v>
      </c>
      <c r="F2481" s="39" t="n">
        <v>45783</v>
      </c>
      <c r="G2481" s="41" t="n">
        <v>128.18</v>
      </c>
      <c r="H2481" s="39" t="n">
        <v>45797</v>
      </c>
      <c r="I2481" s="7" t="s">
        <v>14651</v>
      </c>
      <c r="J2481" s="8" t="str">
        <f aca="false">IF(I2481="Open",DATE(2025,12,31)-F2481,"-")</f>
        <v>-</v>
      </c>
    </row>
    <row r="2482" customFormat="false" ht="15" hidden="false" customHeight="false" outlineLevel="0" collapsed="false">
      <c r="B2482" s="7" t="s">
        <v>17127</v>
      </c>
      <c r="C2482" s="7" t="s">
        <v>2979</v>
      </c>
      <c r="D2482" s="7" t="s">
        <v>319</v>
      </c>
      <c r="E2482" s="7" t="s">
        <v>157</v>
      </c>
      <c r="F2482" s="39" t="n">
        <v>45783</v>
      </c>
      <c r="G2482" s="41" t="n">
        <v>174.9</v>
      </c>
      <c r="H2482" s="39" t="n">
        <v>45817</v>
      </c>
      <c r="I2482" s="7" t="s">
        <v>14651</v>
      </c>
      <c r="J2482" s="8" t="str">
        <f aca="false">IF(I2482="Open",DATE(2025,12,31)-F2482,"-")</f>
        <v>-</v>
      </c>
    </row>
    <row r="2483" customFormat="false" ht="15" hidden="false" customHeight="false" outlineLevel="0" collapsed="false">
      <c r="B2483" s="7" t="s">
        <v>17128</v>
      </c>
      <c r="C2483" s="7" t="s">
        <v>2980</v>
      </c>
      <c r="D2483" s="7" t="s">
        <v>321</v>
      </c>
      <c r="E2483" s="7" t="s">
        <v>154</v>
      </c>
      <c r="F2483" s="39" t="n">
        <v>45783</v>
      </c>
      <c r="G2483" s="41" t="n">
        <v>113.95</v>
      </c>
      <c r="H2483" s="39" t="n">
        <v>45821</v>
      </c>
      <c r="I2483" s="7" t="s">
        <v>14651</v>
      </c>
      <c r="J2483" s="8" t="str">
        <f aca="false">IF(I2483="Open",DATE(2025,12,31)-F2483,"-")</f>
        <v>-</v>
      </c>
    </row>
    <row r="2484" customFormat="false" ht="15" hidden="false" customHeight="false" outlineLevel="0" collapsed="false">
      <c r="B2484" s="7" t="s">
        <v>17129</v>
      </c>
      <c r="C2484" s="7" t="s">
        <v>2981</v>
      </c>
      <c r="D2484" s="7" t="s">
        <v>323</v>
      </c>
      <c r="E2484" s="7" t="s">
        <v>159</v>
      </c>
      <c r="F2484" s="39" t="n">
        <v>45783</v>
      </c>
      <c r="G2484" s="41" t="n">
        <v>115.56</v>
      </c>
      <c r="H2484" s="39" t="n">
        <v>45819</v>
      </c>
      <c r="I2484" s="7" t="s">
        <v>14651</v>
      </c>
      <c r="J2484" s="8" t="str">
        <f aca="false">IF(I2484="Open",DATE(2025,12,31)-F2484,"-")</f>
        <v>-</v>
      </c>
    </row>
    <row r="2485" customFormat="false" ht="15" hidden="false" customHeight="false" outlineLevel="0" collapsed="false">
      <c r="B2485" s="7" t="s">
        <v>17130</v>
      </c>
      <c r="C2485" s="7" t="s">
        <v>2982</v>
      </c>
      <c r="D2485" s="7" t="s">
        <v>327</v>
      </c>
      <c r="E2485" s="7" t="s">
        <v>157</v>
      </c>
      <c r="F2485" s="39" t="n">
        <v>45783</v>
      </c>
      <c r="G2485" s="41" t="n">
        <v>144.21</v>
      </c>
      <c r="H2485" s="39" t="n">
        <v>45847</v>
      </c>
      <c r="I2485" s="7" t="s">
        <v>14651</v>
      </c>
      <c r="J2485" s="8" t="str">
        <f aca="false">IF(I2485="Open",DATE(2025,12,31)-F2485,"-")</f>
        <v>-</v>
      </c>
    </row>
    <row r="2486" customFormat="false" ht="15" hidden="false" customHeight="false" outlineLevel="0" collapsed="false">
      <c r="B2486" s="7" t="s">
        <v>17131</v>
      </c>
      <c r="C2486" s="7" t="s">
        <v>2983</v>
      </c>
      <c r="D2486" s="7" t="s">
        <v>329</v>
      </c>
      <c r="E2486" s="7" t="s">
        <v>156</v>
      </c>
      <c r="F2486" s="39" t="n">
        <v>45783</v>
      </c>
      <c r="G2486" s="41" t="n">
        <v>123.08</v>
      </c>
      <c r="H2486" s="39" t="n">
        <v>45795</v>
      </c>
      <c r="I2486" s="7" t="s">
        <v>14651</v>
      </c>
      <c r="J2486" s="8" t="str">
        <f aca="false">IF(I2486="Open",DATE(2025,12,31)-F2486,"-")</f>
        <v>-</v>
      </c>
    </row>
    <row r="2487" customFormat="false" ht="15" hidden="false" customHeight="false" outlineLevel="0" collapsed="false">
      <c r="B2487" s="7" t="s">
        <v>17132</v>
      </c>
      <c r="C2487" s="7" t="s">
        <v>2984</v>
      </c>
      <c r="D2487" s="7" t="s">
        <v>365</v>
      </c>
      <c r="E2487" s="7" t="s">
        <v>154</v>
      </c>
      <c r="F2487" s="39" t="n">
        <v>45783</v>
      </c>
      <c r="G2487" s="41" t="n">
        <v>112.1</v>
      </c>
      <c r="H2487" s="39" t="n">
        <v>45892</v>
      </c>
      <c r="I2487" s="7" t="s">
        <v>14651</v>
      </c>
      <c r="J2487" s="8" t="str">
        <f aca="false">IF(I2487="Open",DATE(2025,12,31)-F2487,"-")</f>
        <v>-</v>
      </c>
    </row>
    <row r="2488" customFormat="false" ht="15" hidden="false" customHeight="false" outlineLevel="0" collapsed="false">
      <c r="B2488" s="7" t="s">
        <v>17133</v>
      </c>
      <c r="C2488" s="7" t="s">
        <v>2985</v>
      </c>
      <c r="D2488" s="7" t="s">
        <v>381</v>
      </c>
      <c r="E2488" s="7" t="s">
        <v>157</v>
      </c>
      <c r="F2488" s="39" t="n">
        <v>45783</v>
      </c>
      <c r="G2488" s="41" t="n">
        <v>174.9</v>
      </c>
      <c r="H2488" s="39" t="n">
        <v>45818</v>
      </c>
      <c r="I2488" s="7" t="s">
        <v>14651</v>
      </c>
      <c r="J2488" s="8" t="str">
        <f aca="false">IF(I2488="Open",DATE(2025,12,31)-F2488,"-")</f>
        <v>-</v>
      </c>
    </row>
    <row r="2489" customFormat="false" ht="15" hidden="false" customHeight="false" outlineLevel="0" collapsed="false">
      <c r="B2489" s="7" t="s">
        <v>17134</v>
      </c>
      <c r="C2489" s="7" t="s">
        <v>2986</v>
      </c>
      <c r="D2489" s="7" t="s">
        <v>389</v>
      </c>
      <c r="E2489" s="7" t="s">
        <v>154</v>
      </c>
      <c r="F2489" s="39" t="n">
        <v>45783</v>
      </c>
      <c r="G2489" s="41" t="n">
        <v>115.81</v>
      </c>
      <c r="H2489" s="39" t="n">
        <v>45830</v>
      </c>
      <c r="I2489" s="7" t="s">
        <v>14651</v>
      </c>
      <c r="J2489" s="8" t="str">
        <f aca="false">IF(I2489="Open",DATE(2025,12,31)-F2489,"-")</f>
        <v>-</v>
      </c>
    </row>
    <row r="2490" customFormat="false" ht="15" hidden="false" customHeight="false" outlineLevel="0" collapsed="false">
      <c r="B2490" s="7" t="s">
        <v>17135</v>
      </c>
      <c r="C2490" s="7" t="s">
        <v>2987</v>
      </c>
      <c r="D2490" s="7" t="s">
        <v>391</v>
      </c>
      <c r="E2490" s="7" t="s">
        <v>156</v>
      </c>
      <c r="F2490" s="39" t="n">
        <v>45783</v>
      </c>
      <c r="G2490" s="41" t="n">
        <v>143.14</v>
      </c>
      <c r="H2490" s="39" t="n">
        <v>45791</v>
      </c>
      <c r="I2490" s="7" t="s">
        <v>14651</v>
      </c>
      <c r="J2490" s="8" t="str">
        <f aca="false">IF(I2490="Open",DATE(2025,12,31)-F2490,"-")</f>
        <v>-</v>
      </c>
    </row>
    <row r="2491" customFormat="false" ht="15" hidden="false" customHeight="false" outlineLevel="0" collapsed="false">
      <c r="B2491" s="7" t="s">
        <v>17136</v>
      </c>
      <c r="C2491" s="7" t="s">
        <v>2988</v>
      </c>
      <c r="D2491" s="7" t="s">
        <v>395</v>
      </c>
      <c r="E2491" s="7" t="s">
        <v>156</v>
      </c>
      <c r="F2491" s="39" t="n">
        <v>45783</v>
      </c>
      <c r="G2491" s="41" t="n">
        <v>141.1</v>
      </c>
      <c r="H2491" s="39" t="n">
        <v>45799</v>
      </c>
      <c r="I2491" s="7" t="s">
        <v>14651</v>
      </c>
      <c r="J2491" s="8" t="str">
        <f aca="false">IF(I2491="Open",DATE(2025,12,31)-F2491,"-")</f>
        <v>-</v>
      </c>
    </row>
    <row r="2492" customFormat="false" ht="15" hidden="false" customHeight="false" outlineLevel="0" collapsed="false">
      <c r="B2492" s="7" t="s">
        <v>17137</v>
      </c>
      <c r="C2492" s="7" t="s">
        <v>2989</v>
      </c>
      <c r="D2492" s="7" t="s">
        <v>397</v>
      </c>
      <c r="E2492" s="7" t="s">
        <v>159</v>
      </c>
      <c r="F2492" s="39" t="n">
        <v>45783</v>
      </c>
      <c r="G2492" s="41" t="n">
        <v>128.25</v>
      </c>
      <c r="H2492" s="39" t="n">
        <v>45892</v>
      </c>
      <c r="I2492" s="7" t="s">
        <v>14651</v>
      </c>
      <c r="J2492" s="8" t="str">
        <f aca="false">IF(I2492="Open",DATE(2025,12,31)-F2492,"-")</f>
        <v>-</v>
      </c>
    </row>
    <row r="2493" customFormat="false" ht="15" hidden="false" customHeight="false" outlineLevel="0" collapsed="false">
      <c r="B2493" s="7" t="s">
        <v>17138</v>
      </c>
      <c r="C2493" s="7" t="s">
        <v>2990</v>
      </c>
      <c r="D2493" s="7" t="s">
        <v>401</v>
      </c>
      <c r="E2493" s="7" t="s">
        <v>156</v>
      </c>
      <c r="F2493" s="39" t="n">
        <v>45783</v>
      </c>
      <c r="G2493" s="41" t="n">
        <v>139.06</v>
      </c>
      <c r="H2493" s="39" t="n">
        <v>45790</v>
      </c>
      <c r="I2493" s="7" t="s">
        <v>14651</v>
      </c>
      <c r="J2493" s="8" t="str">
        <f aca="false">IF(I2493="Open",DATE(2025,12,31)-F2493,"-")</f>
        <v>-</v>
      </c>
    </row>
    <row r="2494" customFormat="false" ht="15" hidden="false" customHeight="false" outlineLevel="0" collapsed="false">
      <c r="B2494" s="7" t="s">
        <v>17139</v>
      </c>
      <c r="C2494" s="7" t="s">
        <v>2991</v>
      </c>
      <c r="D2494" s="7" t="s">
        <v>280</v>
      </c>
      <c r="E2494" s="7" t="s">
        <v>157</v>
      </c>
      <c r="F2494" s="39" t="n">
        <v>45784</v>
      </c>
      <c r="G2494" s="41" t="n">
        <v>161.7</v>
      </c>
      <c r="H2494" s="39" t="n">
        <v>45878</v>
      </c>
      <c r="I2494" s="7" t="s">
        <v>14651</v>
      </c>
      <c r="J2494" s="8" t="str">
        <f aca="false">IF(I2494="Open",DATE(2025,12,31)-F2494,"-")</f>
        <v>-</v>
      </c>
    </row>
    <row r="2495" customFormat="false" ht="15" hidden="false" customHeight="false" outlineLevel="0" collapsed="false">
      <c r="B2495" s="7" t="s">
        <v>17140</v>
      </c>
      <c r="C2495" s="7" t="s">
        <v>2992</v>
      </c>
      <c r="D2495" s="7" t="s">
        <v>286</v>
      </c>
      <c r="E2495" s="7" t="s">
        <v>157</v>
      </c>
      <c r="F2495" s="39" t="n">
        <v>45784</v>
      </c>
      <c r="G2495" s="41" t="n">
        <v>150.15</v>
      </c>
      <c r="H2495" s="39" t="n">
        <v>45827</v>
      </c>
      <c r="I2495" s="7" t="s">
        <v>14651</v>
      </c>
      <c r="J2495" s="8" t="str">
        <f aca="false">IF(I2495="Open",DATE(2025,12,31)-F2495,"-")</f>
        <v>-</v>
      </c>
    </row>
    <row r="2496" customFormat="false" ht="15" hidden="false" customHeight="false" outlineLevel="0" collapsed="false">
      <c r="B2496" s="7" t="s">
        <v>17141</v>
      </c>
      <c r="C2496" s="7" t="s">
        <v>2993</v>
      </c>
      <c r="D2496" s="7" t="s">
        <v>288</v>
      </c>
      <c r="E2496" s="7" t="s">
        <v>156</v>
      </c>
      <c r="F2496" s="39" t="n">
        <v>45784</v>
      </c>
      <c r="G2496" s="41" t="n">
        <v>148.24</v>
      </c>
      <c r="H2496" s="39" t="n">
        <v>45791</v>
      </c>
      <c r="I2496" s="7" t="s">
        <v>14651</v>
      </c>
      <c r="J2496" s="8" t="str">
        <f aca="false">IF(I2496="Open",DATE(2025,12,31)-F2496,"-")</f>
        <v>-</v>
      </c>
    </row>
    <row r="2497" customFormat="false" ht="15" hidden="false" customHeight="false" outlineLevel="0" collapsed="false">
      <c r="B2497" s="7" t="s">
        <v>17142</v>
      </c>
      <c r="C2497" s="7" t="s">
        <v>2994</v>
      </c>
      <c r="D2497" s="7" t="s">
        <v>291</v>
      </c>
      <c r="E2497" s="7" t="s">
        <v>154</v>
      </c>
      <c r="F2497" s="39" t="n">
        <v>45784</v>
      </c>
      <c r="G2497" s="41" t="n">
        <v>122.43</v>
      </c>
      <c r="H2497" s="39" t="n">
        <v>45893</v>
      </c>
      <c r="I2497" s="7" t="s">
        <v>14651</v>
      </c>
      <c r="J2497" s="8" t="str">
        <f aca="false">IF(I2497="Open",DATE(2025,12,31)-F2497,"-")</f>
        <v>-</v>
      </c>
    </row>
    <row r="2498" customFormat="false" ht="15" hidden="false" customHeight="false" outlineLevel="0" collapsed="false">
      <c r="B2498" s="7" t="s">
        <v>17143</v>
      </c>
      <c r="C2498" s="7" t="s">
        <v>2995</v>
      </c>
      <c r="D2498" s="7" t="s">
        <v>305</v>
      </c>
      <c r="E2498" s="7" t="s">
        <v>154</v>
      </c>
      <c r="F2498" s="39" t="n">
        <v>45784</v>
      </c>
      <c r="G2498" s="41" t="n">
        <v>103.09</v>
      </c>
      <c r="H2498" s="39" t="n">
        <v>45821</v>
      </c>
      <c r="I2498" s="7" t="s">
        <v>14651</v>
      </c>
      <c r="J2498" s="8" t="str">
        <f aca="false">IF(I2498="Open",DATE(2025,12,31)-F2498,"-")</f>
        <v>-</v>
      </c>
    </row>
    <row r="2499" customFormat="false" ht="15" hidden="false" customHeight="false" outlineLevel="0" collapsed="false">
      <c r="B2499" s="7" t="s">
        <v>17144</v>
      </c>
      <c r="C2499" s="7" t="s">
        <v>2996</v>
      </c>
      <c r="D2499" s="7" t="s">
        <v>307</v>
      </c>
      <c r="E2499" s="7" t="s">
        <v>157</v>
      </c>
      <c r="F2499" s="39" t="n">
        <v>45784</v>
      </c>
      <c r="G2499" s="41" t="n">
        <v>169.95</v>
      </c>
      <c r="H2499" s="39" t="n">
        <v>45833</v>
      </c>
      <c r="I2499" s="7" t="s">
        <v>14651</v>
      </c>
      <c r="J2499" s="8" t="str">
        <f aca="false">IF(I2499="Open",DATE(2025,12,31)-F2499,"-")</f>
        <v>-</v>
      </c>
    </row>
    <row r="2500" customFormat="false" ht="15" hidden="false" customHeight="false" outlineLevel="0" collapsed="false">
      <c r="B2500" s="7" t="s">
        <v>17145</v>
      </c>
      <c r="C2500" s="7" t="s">
        <v>2997</v>
      </c>
      <c r="D2500" s="7" t="s">
        <v>309</v>
      </c>
      <c r="E2500" s="7" t="s">
        <v>159</v>
      </c>
      <c r="F2500" s="39" t="n">
        <v>45784</v>
      </c>
      <c r="G2500" s="41" t="n">
        <v>139.05</v>
      </c>
      <c r="H2500" s="39" t="n">
        <v>45881</v>
      </c>
      <c r="I2500" s="7" t="s">
        <v>14651</v>
      </c>
      <c r="J2500" s="8" t="str">
        <f aca="false">IF(I2500="Open",DATE(2025,12,31)-F2500,"-")</f>
        <v>-</v>
      </c>
    </row>
    <row r="2501" customFormat="false" ht="15" hidden="false" customHeight="false" outlineLevel="0" collapsed="false">
      <c r="B2501" s="7" t="s">
        <v>17146</v>
      </c>
      <c r="C2501" s="7" t="s">
        <v>2998</v>
      </c>
      <c r="D2501" s="7" t="s">
        <v>313</v>
      </c>
      <c r="E2501" s="7" t="s">
        <v>156</v>
      </c>
      <c r="F2501" s="39" t="n">
        <v>45784</v>
      </c>
      <c r="G2501" s="41" t="n">
        <v>142.46</v>
      </c>
      <c r="H2501" s="39" t="n">
        <v>45799</v>
      </c>
      <c r="I2501" s="7" t="s">
        <v>14651</v>
      </c>
      <c r="J2501" s="8" t="str">
        <f aca="false">IF(I2501="Open",DATE(2025,12,31)-F2501,"-")</f>
        <v>-</v>
      </c>
    </row>
    <row r="2502" customFormat="false" ht="15" hidden="false" customHeight="false" outlineLevel="0" collapsed="false">
      <c r="B2502" s="7" t="s">
        <v>17147</v>
      </c>
      <c r="C2502" s="7" t="s">
        <v>2999</v>
      </c>
      <c r="D2502" s="7" t="s">
        <v>321</v>
      </c>
      <c r="E2502" s="7" t="s">
        <v>154</v>
      </c>
      <c r="F2502" s="39" t="n">
        <v>45784</v>
      </c>
      <c r="G2502" s="41" t="n">
        <v>105.73</v>
      </c>
      <c r="H2502" s="39" t="n">
        <v>45864</v>
      </c>
      <c r="I2502" s="7" t="s">
        <v>14651</v>
      </c>
      <c r="J2502" s="8" t="str">
        <f aca="false">IF(I2502="Open",DATE(2025,12,31)-F2502,"-")</f>
        <v>-</v>
      </c>
    </row>
    <row r="2503" customFormat="false" ht="15" hidden="false" customHeight="false" outlineLevel="0" collapsed="false">
      <c r="B2503" s="7" t="s">
        <v>17148</v>
      </c>
      <c r="C2503" s="7" t="s">
        <v>3000</v>
      </c>
      <c r="D2503" s="7" t="s">
        <v>329</v>
      </c>
      <c r="E2503" s="7" t="s">
        <v>156</v>
      </c>
      <c r="F2503" s="39" t="n">
        <v>45784</v>
      </c>
      <c r="G2503" s="41" t="n">
        <v>131.92</v>
      </c>
      <c r="H2503" s="39" t="n">
        <v>45792</v>
      </c>
      <c r="I2503" s="7" t="s">
        <v>14651</v>
      </c>
      <c r="J2503" s="8" t="str">
        <f aca="false">IF(I2503="Open",DATE(2025,12,31)-F2503,"-")</f>
        <v>-</v>
      </c>
    </row>
    <row r="2504" customFormat="false" ht="15" hidden="false" customHeight="false" outlineLevel="0" collapsed="false">
      <c r="B2504" s="7" t="s">
        <v>17149</v>
      </c>
      <c r="C2504" s="7" t="s">
        <v>3001</v>
      </c>
      <c r="D2504" s="7" t="s">
        <v>335</v>
      </c>
      <c r="E2504" s="7" t="s">
        <v>154</v>
      </c>
      <c r="F2504" s="39" t="n">
        <v>45784</v>
      </c>
      <c r="G2504" s="41" t="n">
        <v>105.47</v>
      </c>
      <c r="H2504" s="39" t="n">
        <v>45839</v>
      </c>
      <c r="I2504" s="7" t="s">
        <v>14651</v>
      </c>
      <c r="J2504" s="8" t="str">
        <f aca="false">IF(I2504="Open",DATE(2025,12,31)-F2504,"-")</f>
        <v>-</v>
      </c>
    </row>
    <row r="2505" customFormat="false" ht="15" hidden="false" customHeight="false" outlineLevel="0" collapsed="false">
      <c r="B2505" s="7" t="s">
        <v>17150</v>
      </c>
      <c r="C2505" s="7" t="s">
        <v>3002</v>
      </c>
      <c r="D2505" s="7" t="s">
        <v>339</v>
      </c>
      <c r="E2505" s="7" t="s">
        <v>154</v>
      </c>
      <c r="F2505" s="39" t="n">
        <v>45784</v>
      </c>
      <c r="G2505" s="41" t="n">
        <v>81.35</v>
      </c>
      <c r="H2505" s="39" t="n">
        <v>45827</v>
      </c>
      <c r="I2505" s="7" t="s">
        <v>14651</v>
      </c>
      <c r="J2505" s="8" t="str">
        <f aca="false">IF(I2505="Open",DATE(2025,12,31)-F2505,"-")</f>
        <v>-</v>
      </c>
    </row>
    <row r="2506" customFormat="false" ht="15" hidden="false" customHeight="false" outlineLevel="0" collapsed="false">
      <c r="B2506" s="7" t="s">
        <v>17151</v>
      </c>
      <c r="C2506" s="7" t="s">
        <v>3003</v>
      </c>
      <c r="D2506" s="7" t="s">
        <v>353</v>
      </c>
      <c r="E2506" s="7" t="s">
        <v>154</v>
      </c>
      <c r="F2506" s="39" t="n">
        <v>45784</v>
      </c>
      <c r="G2506" s="41" t="n">
        <v>91.95</v>
      </c>
      <c r="H2506" s="39" t="n">
        <v>45845</v>
      </c>
      <c r="I2506" s="7" t="s">
        <v>14651</v>
      </c>
      <c r="J2506" s="8" t="str">
        <f aca="false">IF(I2506="Open",DATE(2025,12,31)-F2506,"-")</f>
        <v>-</v>
      </c>
    </row>
    <row r="2507" customFormat="false" ht="15" hidden="false" customHeight="false" outlineLevel="0" collapsed="false">
      <c r="B2507" s="7" t="s">
        <v>17152</v>
      </c>
      <c r="C2507" s="7" t="s">
        <v>3004</v>
      </c>
      <c r="D2507" s="7" t="s">
        <v>355</v>
      </c>
      <c r="E2507" s="7" t="s">
        <v>154</v>
      </c>
      <c r="F2507" s="39" t="n">
        <v>45784</v>
      </c>
      <c r="G2507" s="41" t="n">
        <v>90.47</v>
      </c>
      <c r="H2507" s="39" t="n">
        <v>45876</v>
      </c>
      <c r="I2507" s="7" t="s">
        <v>14651</v>
      </c>
      <c r="J2507" s="8" t="str">
        <f aca="false">IF(I2507="Open",DATE(2025,12,31)-F2507,"-")</f>
        <v>-</v>
      </c>
    </row>
    <row r="2508" customFormat="false" ht="15" hidden="false" customHeight="false" outlineLevel="0" collapsed="false">
      <c r="B2508" s="7" t="s">
        <v>17153</v>
      </c>
      <c r="C2508" s="7" t="s">
        <v>3005</v>
      </c>
      <c r="D2508" s="7" t="s">
        <v>357</v>
      </c>
      <c r="E2508" s="7" t="s">
        <v>154</v>
      </c>
      <c r="F2508" s="39" t="n">
        <v>45784</v>
      </c>
      <c r="G2508" s="41" t="n">
        <v>88.25</v>
      </c>
      <c r="H2508" s="39" t="n">
        <v>45868</v>
      </c>
      <c r="I2508" s="7" t="s">
        <v>14651</v>
      </c>
      <c r="J2508" s="8" t="str">
        <f aca="false">IF(I2508="Open",DATE(2025,12,31)-F2508,"-")</f>
        <v>-</v>
      </c>
    </row>
    <row r="2509" customFormat="false" ht="15" hidden="false" customHeight="false" outlineLevel="0" collapsed="false">
      <c r="B2509" s="7" t="s">
        <v>17154</v>
      </c>
      <c r="C2509" s="7" t="s">
        <v>3006</v>
      </c>
      <c r="D2509" s="7" t="s">
        <v>359</v>
      </c>
      <c r="E2509" s="7" t="s">
        <v>156</v>
      </c>
      <c r="F2509" s="39" t="n">
        <v>45784</v>
      </c>
      <c r="G2509" s="41" t="n">
        <v>149.6</v>
      </c>
      <c r="H2509" s="39" t="n">
        <v>45800</v>
      </c>
      <c r="I2509" s="7" t="s">
        <v>14651</v>
      </c>
      <c r="J2509" s="8" t="str">
        <f aca="false">IF(I2509="Open",DATE(2025,12,31)-F2509,"-")</f>
        <v>-</v>
      </c>
    </row>
    <row r="2510" customFormat="false" ht="15" hidden="false" customHeight="false" outlineLevel="0" collapsed="false">
      <c r="B2510" s="7" t="s">
        <v>17155</v>
      </c>
      <c r="C2510" s="7" t="s">
        <v>3007</v>
      </c>
      <c r="D2510" s="7" t="s">
        <v>365</v>
      </c>
      <c r="E2510" s="7" t="s">
        <v>154</v>
      </c>
      <c r="F2510" s="39" t="n">
        <v>45784</v>
      </c>
      <c r="G2510" s="41" t="n">
        <v>114.48</v>
      </c>
      <c r="H2510" s="39" t="n">
        <v>45843</v>
      </c>
      <c r="I2510" s="7" t="s">
        <v>14651</v>
      </c>
      <c r="J2510" s="8" t="str">
        <f aca="false">IF(I2510="Open",DATE(2025,12,31)-F2510,"-")</f>
        <v>-</v>
      </c>
    </row>
    <row r="2511" customFormat="false" ht="15" hidden="false" customHeight="false" outlineLevel="0" collapsed="false">
      <c r="B2511" s="7" t="s">
        <v>17156</v>
      </c>
      <c r="C2511" s="7" t="s">
        <v>3008</v>
      </c>
      <c r="D2511" s="7" t="s">
        <v>371</v>
      </c>
      <c r="E2511" s="7" t="s">
        <v>154</v>
      </c>
      <c r="F2511" s="39" t="n">
        <v>45784</v>
      </c>
      <c r="G2511" s="41" t="n">
        <v>124.55</v>
      </c>
      <c r="H2511" s="39" t="n">
        <v>45852</v>
      </c>
      <c r="I2511" s="7" t="s">
        <v>14651</v>
      </c>
      <c r="J2511" s="8" t="str">
        <f aca="false">IF(I2511="Open",DATE(2025,12,31)-F2511,"-")</f>
        <v>-</v>
      </c>
    </row>
    <row r="2512" customFormat="false" ht="15" hidden="false" customHeight="false" outlineLevel="0" collapsed="false">
      <c r="B2512" s="7" t="s">
        <v>17157</v>
      </c>
      <c r="C2512" s="7" t="s">
        <v>3009</v>
      </c>
      <c r="D2512" s="7" t="s">
        <v>379</v>
      </c>
      <c r="E2512" s="7" t="s">
        <v>156</v>
      </c>
      <c r="F2512" s="39" t="n">
        <v>45784</v>
      </c>
      <c r="G2512" s="41" t="n">
        <v>172.72</v>
      </c>
      <c r="H2512" s="39" t="n">
        <v>45786</v>
      </c>
      <c r="I2512" s="7" t="s">
        <v>14651</v>
      </c>
      <c r="J2512" s="8" t="str">
        <f aca="false">IF(I2512="Open",DATE(2025,12,31)-F2512,"-")</f>
        <v>-</v>
      </c>
    </row>
    <row r="2513" customFormat="false" ht="15" hidden="false" customHeight="false" outlineLevel="0" collapsed="false">
      <c r="B2513" s="7" t="s">
        <v>17158</v>
      </c>
      <c r="C2513" s="7" t="s">
        <v>3010</v>
      </c>
      <c r="D2513" s="7" t="s">
        <v>385</v>
      </c>
      <c r="E2513" s="7" t="s">
        <v>156</v>
      </c>
      <c r="F2513" s="39" t="n">
        <v>45784</v>
      </c>
      <c r="G2513" s="41" t="n">
        <v>149.26</v>
      </c>
      <c r="H2513" s="39" t="n">
        <v>45798</v>
      </c>
      <c r="I2513" s="7" t="s">
        <v>14651</v>
      </c>
      <c r="J2513" s="8" t="str">
        <f aca="false">IF(I2513="Open",DATE(2025,12,31)-F2513,"-")</f>
        <v>-</v>
      </c>
    </row>
    <row r="2514" customFormat="false" ht="15" hidden="false" customHeight="false" outlineLevel="0" collapsed="false">
      <c r="B2514" s="7" t="s">
        <v>17159</v>
      </c>
      <c r="C2514" s="7" t="s">
        <v>3011</v>
      </c>
      <c r="D2514" s="7" t="s">
        <v>389</v>
      </c>
      <c r="E2514" s="7" t="s">
        <v>154</v>
      </c>
      <c r="F2514" s="39" t="n">
        <v>45784</v>
      </c>
      <c r="G2514" s="41" t="n">
        <v>102.29</v>
      </c>
      <c r="H2514" s="39" t="n">
        <v>45838</v>
      </c>
      <c r="I2514" s="7" t="s">
        <v>14651</v>
      </c>
      <c r="J2514" s="8" t="str">
        <f aca="false">IF(I2514="Open",DATE(2025,12,31)-F2514,"-")</f>
        <v>-</v>
      </c>
    </row>
    <row r="2515" customFormat="false" ht="15" hidden="false" customHeight="false" outlineLevel="0" collapsed="false">
      <c r="B2515" s="7" t="s">
        <v>17160</v>
      </c>
      <c r="C2515" s="7" t="s">
        <v>3012</v>
      </c>
      <c r="D2515" s="7" t="s">
        <v>391</v>
      </c>
      <c r="E2515" s="7" t="s">
        <v>156</v>
      </c>
      <c r="F2515" s="39" t="n">
        <v>45784</v>
      </c>
      <c r="G2515" s="41" t="n">
        <v>142.12</v>
      </c>
      <c r="H2515" s="39" t="n">
        <v>45798</v>
      </c>
      <c r="I2515" s="7" t="s">
        <v>14651</v>
      </c>
      <c r="J2515" s="8" t="str">
        <f aca="false">IF(I2515="Open",DATE(2025,12,31)-F2515,"-")</f>
        <v>-</v>
      </c>
    </row>
    <row r="2516" customFormat="false" ht="15" hidden="false" customHeight="false" outlineLevel="0" collapsed="false">
      <c r="B2516" s="7" t="s">
        <v>17161</v>
      </c>
      <c r="C2516" s="7" t="s">
        <v>3013</v>
      </c>
      <c r="D2516" s="7" t="s">
        <v>393</v>
      </c>
      <c r="E2516" s="7" t="s">
        <v>157</v>
      </c>
      <c r="F2516" s="39" t="n">
        <v>45784</v>
      </c>
      <c r="G2516" s="41" t="n">
        <v>169.95</v>
      </c>
      <c r="H2516" s="39" t="n">
        <v>45829</v>
      </c>
      <c r="I2516" s="7" t="s">
        <v>14651</v>
      </c>
      <c r="J2516" s="8" t="str">
        <f aca="false">IF(I2516="Open",DATE(2025,12,31)-F2516,"-")</f>
        <v>-</v>
      </c>
    </row>
    <row r="2517" customFormat="false" ht="15" hidden="false" customHeight="false" outlineLevel="0" collapsed="false">
      <c r="B2517" s="7" t="s">
        <v>17162</v>
      </c>
      <c r="C2517" s="7" t="s">
        <v>3014</v>
      </c>
      <c r="D2517" s="7" t="s">
        <v>395</v>
      </c>
      <c r="E2517" s="7" t="s">
        <v>156</v>
      </c>
      <c r="F2517" s="39" t="n">
        <v>45784</v>
      </c>
      <c r="G2517" s="41" t="n">
        <v>139.74</v>
      </c>
      <c r="H2517" s="39" t="n">
        <v>45804</v>
      </c>
      <c r="I2517" s="7" t="s">
        <v>14651</v>
      </c>
      <c r="J2517" s="8" t="str">
        <f aca="false">IF(I2517="Open",DATE(2025,12,31)-F2517,"-")</f>
        <v>-</v>
      </c>
    </row>
    <row r="2518" customFormat="false" ht="15" hidden="false" customHeight="false" outlineLevel="0" collapsed="false">
      <c r="B2518" s="7" t="s">
        <v>17163</v>
      </c>
      <c r="C2518" s="7" t="s">
        <v>3015</v>
      </c>
      <c r="D2518" s="7" t="s">
        <v>399</v>
      </c>
      <c r="E2518" s="7" t="s">
        <v>154</v>
      </c>
      <c r="F2518" s="39" t="n">
        <v>45784</v>
      </c>
      <c r="G2518" s="41" t="n">
        <v>85.33</v>
      </c>
      <c r="H2518" s="39" t="n">
        <v>45845</v>
      </c>
      <c r="I2518" s="7" t="s">
        <v>14651</v>
      </c>
      <c r="J2518" s="8" t="str">
        <f aca="false">IF(I2518="Open",DATE(2025,12,31)-F2518,"-")</f>
        <v>-</v>
      </c>
    </row>
    <row r="2519" customFormat="false" ht="15" hidden="false" customHeight="false" outlineLevel="0" collapsed="false">
      <c r="B2519" s="7" t="s">
        <v>17164</v>
      </c>
      <c r="C2519" s="7" t="s">
        <v>3016</v>
      </c>
      <c r="D2519" s="7" t="s">
        <v>401</v>
      </c>
      <c r="E2519" s="7" t="s">
        <v>156</v>
      </c>
      <c r="F2519" s="39" t="n">
        <v>45784</v>
      </c>
      <c r="G2519" s="41" t="n">
        <v>147.56</v>
      </c>
      <c r="H2519" s="39" t="n">
        <v>45798</v>
      </c>
      <c r="I2519" s="7" t="s">
        <v>14651</v>
      </c>
      <c r="J2519" s="8" t="str">
        <f aca="false">IF(I2519="Open",DATE(2025,12,31)-F2519,"-")</f>
        <v>-</v>
      </c>
    </row>
    <row r="2520" customFormat="false" ht="15" hidden="false" customHeight="false" outlineLevel="0" collapsed="false">
      <c r="B2520" s="7" t="s">
        <v>17165</v>
      </c>
      <c r="C2520" s="7" t="s">
        <v>3017</v>
      </c>
      <c r="D2520" s="7" t="s">
        <v>409</v>
      </c>
      <c r="E2520" s="7" t="s">
        <v>154</v>
      </c>
      <c r="F2520" s="39" t="n">
        <v>45784</v>
      </c>
      <c r="G2520" s="41" t="n">
        <v>95.66</v>
      </c>
      <c r="H2520" s="39" t="n">
        <v>45860</v>
      </c>
      <c r="I2520" s="7" t="s">
        <v>14651</v>
      </c>
      <c r="J2520" s="8" t="str">
        <f aca="false">IF(I2520="Open",DATE(2025,12,31)-F2520,"-")</f>
        <v>-</v>
      </c>
    </row>
    <row r="2521" customFormat="false" ht="15" hidden="false" customHeight="false" outlineLevel="0" collapsed="false">
      <c r="B2521" s="7" t="s">
        <v>17166</v>
      </c>
      <c r="C2521" s="7" t="s">
        <v>3018</v>
      </c>
      <c r="D2521" s="7" t="s">
        <v>411</v>
      </c>
      <c r="E2521" s="7" t="s">
        <v>154</v>
      </c>
      <c r="F2521" s="39" t="n">
        <v>45784</v>
      </c>
      <c r="G2521" s="41" t="n">
        <v>127.46</v>
      </c>
      <c r="H2521" s="39" t="n">
        <v>45849</v>
      </c>
      <c r="I2521" s="7" t="s">
        <v>14651</v>
      </c>
      <c r="J2521" s="8" t="str">
        <f aca="false">IF(I2521="Open",DATE(2025,12,31)-F2521,"-")</f>
        <v>-</v>
      </c>
    </row>
    <row r="2522" customFormat="false" ht="15" hidden="false" customHeight="false" outlineLevel="0" collapsed="false">
      <c r="B2522" s="7" t="s">
        <v>17167</v>
      </c>
      <c r="C2522" s="7" t="s">
        <v>3019</v>
      </c>
      <c r="D2522" s="7" t="s">
        <v>288</v>
      </c>
      <c r="E2522" s="7" t="s">
        <v>156</v>
      </c>
      <c r="F2522" s="39" t="n">
        <v>45785</v>
      </c>
      <c r="G2522" s="41" t="n">
        <v>134.3</v>
      </c>
      <c r="H2522" s="39" t="n">
        <v>45800</v>
      </c>
      <c r="I2522" s="7" t="s">
        <v>14651</v>
      </c>
      <c r="J2522" s="8" t="str">
        <f aca="false">IF(I2522="Open",DATE(2025,12,31)-F2522,"-")</f>
        <v>-</v>
      </c>
    </row>
    <row r="2523" customFormat="false" ht="15" hidden="false" customHeight="false" outlineLevel="0" collapsed="false">
      <c r="B2523" s="7" t="s">
        <v>17168</v>
      </c>
      <c r="C2523" s="7" t="s">
        <v>3020</v>
      </c>
      <c r="D2523" s="7" t="s">
        <v>297</v>
      </c>
      <c r="E2523" s="7" t="s">
        <v>156</v>
      </c>
      <c r="F2523" s="39" t="n">
        <v>45785</v>
      </c>
      <c r="G2523" s="41" t="n">
        <v>97.58</v>
      </c>
      <c r="H2523" s="39" t="n">
        <v>45796</v>
      </c>
      <c r="I2523" s="7" t="s">
        <v>14651</v>
      </c>
      <c r="J2523" s="8" t="str">
        <f aca="false">IF(I2523="Open",DATE(2025,12,31)-F2523,"-")</f>
        <v>-</v>
      </c>
    </row>
    <row r="2524" customFormat="false" ht="15" hidden="false" customHeight="false" outlineLevel="0" collapsed="false">
      <c r="B2524" s="7" t="s">
        <v>17169</v>
      </c>
      <c r="C2524" s="7" t="s">
        <v>3021</v>
      </c>
      <c r="D2524" s="7" t="s">
        <v>311</v>
      </c>
      <c r="E2524" s="7" t="s">
        <v>154</v>
      </c>
      <c r="F2524" s="39" t="n">
        <v>45785</v>
      </c>
      <c r="G2524" s="41" t="n">
        <v>81.09</v>
      </c>
      <c r="H2524" s="39" t="n">
        <v>45830</v>
      </c>
      <c r="I2524" s="7" t="s">
        <v>14651</v>
      </c>
      <c r="J2524" s="8" t="str">
        <f aca="false">IF(I2524="Open",DATE(2025,12,31)-F2524,"-")</f>
        <v>-</v>
      </c>
    </row>
    <row r="2525" customFormat="false" ht="15" hidden="false" customHeight="false" outlineLevel="0" collapsed="false">
      <c r="B2525" s="7" t="s">
        <v>17170</v>
      </c>
      <c r="C2525" s="7" t="s">
        <v>3022</v>
      </c>
      <c r="D2525" s="7" t="s">
        <v>313</v>
      </c>
      <c r="E2525" s="7" t="s">
        <v>156</v>
      </c>
      <c r="F2525" s="39" t="n">
        <v>45785</v>
      </c>
      <c r="G2525" s="41" t="n">
        <v>138.04</v>
      </c>
      <c r="H2525" s="39" t="n">
        <v>45801</v>
      </c>
      <c r="I2525" s="7" t="s">
        <v>14651</v>
      </c>
      <c r="J2525" s="8" t="str">
        <f aca="false">IF(I2525="Open",DATE(2025,12,31)-F2525,"-")</f>
        <v>-</v>
      </c>
    </row>
    <row r="2526" customFormat="false" ht="15" hidden="false" customHeight="false" outlineLevel="0" collapsed="false">
      <c r="B2526" s="7" t="s">
        <v>17171</v>
      </c>
      <c r="C2526" s="7" t="s">
        <v>3023</v>
      </c>
      <c r="D2526" s="7" t="s">
        <v>317</v>
      </c>
      <c r="E2526" s="7" t="s">
        <v>156</v>
      </c>
      <c r="F2526" s="39" t="n">
        <v>45785</v>
      </c>
      <c r="G2526" s="41" t="n">
        <v>99.62</v>
      </c>
      <c r="H2526" s="39" t="n">
        <v>45799</v>
      </c>
      <c r="I2526" s="7" t="s">
        <v>14651</v>
      </c>
      <c r="J2526" s="8" t="str">
        <f aca="false">IF(I2526="Open",DATE(2025,12,31)-F2526,"-")</f>
        <v>-</v>
      </c>
    </row>
    <row r="2527" customFormat="false" ht="15" hidden="false" customHeight="false" outlineLevel="0" collapsed="false">
      <c r="B2527" s="7" t="s">
        <v>17172</v>
      </c>
      <c r="C2527" s="7" t="s">
        <v>3024</v>
      </c>
      <c r="D2527" s="7" t="s">
        <v>321</v>
      </c>
      <c r="E2527" s="7" t="s">
        <v>154</v>
      </c>
      <c r="F2527" s="39" t="n">
        <v>45785</v>
      </c>
      <c r="G2527" s="41" t="n">
        <v>107.86</v>
      </c>
      <c r="H2527" s="39" t="n">
        <v>45823</v>
      </c>
      <c r="I2527" s="7" t="s">
        <v>14651</v>
      </c>
      <c r="J2527" s="8" t="str">
        <f aca="false">IF(I2527="Open",DATE(2025,12,31)-F2527,"-")</f>
        <v>-</v>
      </c>
    </row>
    <row r="2528" customFormat="false" ht="15" hidden="false" customHeight="false" outlineLevel="0" collapsed="false">
      <c r="B2528" s="7" t="s">
        <v>17173</v>
      </c>
      <c r="C2528" s="7" t="s">
        <v>3025</v>
      </c>
      <c r="D2528" s="7" t="s">
        <v>325</v>
      </c>
      <c r="E2528" s="7" t="s">
        <v>154</v>
      </c>
      <c r="F2528" s="39" t="n">
        <v>45785</v>
      </c>
      <c r="G2528" s="41" t="n">
        <v>78.18</v>
      </c>
      <c r="H2528" s="39" t="n">
        <v>45897</v>
      </c>
      <c r="I2528" s="7" t="s">
        <v>14651</v>
      </c>
      <c r="J2528" s="8" t="str">
        <f aca="false">IF(I2528="Open",DATE(2025,12,31)-F2528,"-")</f>
        <v>-</v>
      </c>
    </row>
    <row r="2529" customFormat="false" ht="15" hidden="false" customHeight="false" outlineLevel="0" collapsed="false">
      <c r="B2529" s="7" t="s">
        <v>17174</v>
      </c>
      <c r="C2529" s="7" t="s">
        <v>3026</v>
      </c>
      <c r="D2529" s="7" t="s">
        <v>329</v>
      </c>
      <c r="E2529" s="7" t="s">
        <v>156</v>
      </c>
      <c r="F2529" s="39" t="n">
        <v>45785</v>
      </c>
      <c r="G2529" s="41" t="n">
        <v>147.9</v>
      </c>
      <c r="H2529" s="39" t="n">
        <v>45798</v>
      </c>
      <c r="I2529" s="7" t="s">
        <v>14651</v>
      </c>
      <c r="J2529" s="8" t="str">
        <f aca="false">IF(I2529="Open",DATE(2025,12,31)-F2529,"-")</f>
        <v>-</v>
      </c>
    </row>
    <row r="2530" customFormat="false" ht="15" hidden="false" customHeight="false" outlineLevel="0" collapsed="false">
      <c r="B2530" s="7" t="s">
        <v>17175</v>
      </c>
      <c r="C2530" s="7" t="s">
        <v>3027</v>
      </c>
      <c r="D2530" s="7" t="s">
        <v>331</v>
      </c>
      <c r="E2530" s="7" t="s">
        <v>156</v>
      </c>
      <c r="F2530" s="39" t="n">
        <v>45785</v>
      </c>
      <c r="G2530" s="41" t="n">
        <v>138.38</v>
      </c>
      <c r="H2530" s="39" t="n">
        <v>45796</v>
      </c>
      <c r="I2530" s="7" t="s">
        <v>14651</v>
      </c>
      <c r="J2530" s="8" t="str">
        <f aca="false">IF(I2530="Open",DATE(2025,12,31)-F2530,"-")</f>
        <v>-</v>
      </c>
    </row>
    <row r="2531" customFormat="false" ht="15" hidden="false" customHeight="false" outlineLevel="0" collapsed="false">
      <c r="B2531" s="7" t="s">
        <v>17176</v>
      </c>
      <c r="C2531" s="7" t="s">
        <v>3028</v>
      </c>
      <c r="D2531" s="7" t="s">
        <v>337</v>
      </c>
      <c r="E2531" s="7" t="s">
        <v>154</v>
      </c>
      <c r="F2531" s="39" t="n">
        <v>45785</v>
      </c>
      <c r="G2531" s="41" t="n">
        <v>85.06</v>
      </c>
      <c r="H2531" s="39" t="n">
        <v>45833</v>
      </c>
      <c r="I2531" s="7" t="s">
        <v>14651</v>
      </c>
      <c r="J2531" s="8" t="str">
        <f aca="false">IF(I2531="Open",DATE(2025,12,31)-F2531,"-")</f>
        <v>-</v>
      </c>
    </row>
    <row r="2532" customFormat="false" ht="15" hidden="false" customHeight="false" outlineLevel="0" collapsed="false">
      <c r="B2532" s="7" t="s">
        <v>17177</v>
      </c>
      <c r="C2532" s="7" t="s">
        <v>3029</v>
      </c>
      <c r="D2532" s="7" t="s">
        <v>341</v>
      </c>
      <c r="E2532" s="7" t="s">
        <v>156</v>
      </c>
      <c r="F2532" s="39" t="n">
        <v>45785</v>
      </c>
      <c r="G2532" s="41" t="n">
        <v>97.92</v>
      </c>
      <c r="H2532" s="39" t="n">
        <v>45798</v>
      </c>
      <c r="I2532" s="7" t="s">
        <v>14651</v>
      </c>
      <c r="J2532" s="8" t="str">
        <f aca="false">IF(I2532="Open",DATE(2025,12,31)-F2532,"-")</f>
        <v>-</v>
      </c>
    </row>
    <row r="2533" customFormat="false" ht="15" hidden="false" customHeight="false" outlineLevel="0" collapsed="false">
      <c r="B2533" s="7" t="s">
        <v>17178</v>
      </c>
      <c r="C2533" s="7" t="s">
        <v>3030</v>
      </c>
      <c r="D2533" s="7" t="s">
        <v>343</v>
      </c>
      <c r="E2533" s="7" t="s">
        <v>154</v>
      </c>
      <c r="F2533" s="39" t="n">
        <v>45785</v>
      </c>
      <c r="G2533" s="41" t="n">
        <v>98.58</v>
      </c>
      <c r="H2533" s="39" t="n">
        <v>45829</v>
      </c>
      <c r="I2533" s="7" t="s">
        <v>14651</v>
      </c>
      <c r="J2533" s="8" t="str">
        <f aca="false">IF(I2533="Open",DATE(2025,12,31)-F2533,"-")</f>
        <v>-</v>
      </c>
    </row>
    <row r="2534" customFormat="false" ht="15" hidden="false" customHeight="false" outlineLevel="0" collapsed="false">
      <c r="B2534" s="7" t="s">
        <v>17179</v>
      </c>
      <c r="C2534" s="7" t="s">
        <v>3031</v>
      </c>
      <c r="D2534" s="7" t="s">
        <v>351</v>
      </c>
      <c r="E2534" s="7" t="s">
        <v>154</v>
      </c>
      <c r="F2534" s="39" t="n">
        <v>45785</v>
      </c>
      <c r="G2534" s="41" t="n">
        <v>82.52</v>
      </c>
      <c r="H2534" s="39" t="n">
        <v>45872</v>
      </c>
      <c r="I2534" s="7" t="s">
        <v>14651</v>
      </c>
      <c r="J2534" s="8" t="str">
        <f aca="false">IF(I2534="Open",DATE(2025,12,31)-F2534,"-")</f>
        <v>-</v>
      </c>
    </row>
    <row r="2535" customFormat="false" ht="15" hidden="false" customHeight="false" outlineLevel="0" collapsed="false">
      <c r="B2535" s="7" t="s">
        <v>17180</v>
      </c>
      <c r="C2535" s="7" t="s">
        <v>3032</v>
      </c>
      <c r="D2535" s="7" t="s">
        <v>359</v>
      </c>
      <c r="E2535" s="7" t="s">
        <v>156</v>
      </c>
      <c r="F2535" s="39" t="n">
        <v>45785</v>
      </c>
      <c r="G2535" s="41" t="n">
        <v>131.24</v>
      </c>
      <c r="H2535" s="39" t="n">
        <v>45801</v>
      </c>
      <c r="I2535" s="7" t="s">
        <v>14651</v>
      </c>
      <c r="J2535" s="8" t="str">
        <f aca="false">IF(I2535="Open",DATE(2025,12,31)-F2535,"-")</f>
        <v>-</v>
      </c>
    </row>
    <row r="2536" customFormat="false" ht="15" hidden="false" customHeight="false" outlineLevel="0" collapsed="false">
      <c r="B2536" s="7" t="s">
        <v>17181</v>
      </c>
      <c r="C2536" s="7" t="s">
        <v>3033</v>
      </c>
      <c r="D2536" s="7" t="s">
        <v>363</v>
      </c>
      <c r="E2536" s="7" t="s">
        <v>156</v>
      </c>
      <c r="F2536" s="39" t="n">
        <v>45785</v>
      </c>
      <c r="G2536" s="41" t="n">
        <v>129.88</v>
      </c>
      <c r="H2536" s="39" t="n">
        <v>45801</v>
      </c>
      <c r="I2536" s="7" t="s">
        <v>14651</v>
      </c>
      <c r="J2536" s="8" t="str">
        <f aca="false">IF(I2536="Open",DATE(2025,12,31)-F2536,"-")</f>
        <v>-</v>
      </c>
    </row>
    <row r="2537" customFormat="false" ht="15" hidden="false" customHeight="false" outlineLevel="0" collapsed="false">
      <c r="B2537" s="7" t="s">
        <v>17182</v>
      </c>
      <c r="C2537" s="7" t="s">
        <v>3034</v>
      </c>
      <c r="D2537" s="7" t="s">
        <v>365</v>
      </c>
      <c r="E2537" s="7" t="s">
        <v>154</v>
      </c>
      <c r="F2537" s="39" t="n">
        <v>45785</v>
      </c>
      <c r="G2537" s="41" t="n">
        <v>108.65</v>
      </c>
      <c r="H2537" s="39" t="n">
        <v>45891</v>
      </c>
      <c r="I2537" s="7" t="s">
        <v>14651</v>
      </c>
      <c r="J2537" s="8" t="str">
        <f aca="false">IF(I2537="Open",DATE(2025,12,31)-F2537,"-")</f>
        <v>-</v>
      </c>
    </row>
    <row r="2538" customFormat="false" ht="15" hidden="false" customHeight="false" outlineLevel="0" collapsed="false">
      <c r="B2538" s="7" t="s">
        <v>17183</v>
      </c>
      <c r="C2538" s="7" t="s">
        <v>3035</v>
      </c>
      <c r="D2538" s="7" t="s">
        <v>375</v>
      </c>
      <c r="E2538" s="7" t="s">
        <v>156</v>
      </c>
      <c r="F2538" s="39" t="n">
        <v>45785</v>
      </c>
      <c r="G2538" s="41" t="n">
        <v>111.52</v>
      </c>
      <c r="H2538" s="39" t="n">
        <v>45798</v>
      </c>
      <c r="I2538" s="7" t="s">
        <v>14651</v>
      </c>
      <c r="J2538" s="8" t="str">
        <f aca="false">IF(I2538="Open",DATE(2025,12,31)-F2538,"-")</f>
        <v>-</v>
      </c>
    </row>
    <row r="2539" customFormat="false" ht="15" hidden="false" customHeight="false" outlineLevel="0" collapsed="false">
      <c r="B2539" s="7" t="s">
        <v>17184</v>
      </c>
      <c r="C2539" s="7" t="s">
        <v>3036</v>
      </c>
      <c r="D2539" s="7" t="s">
        <v>377</v>
      </c>
      <c r="E2539" s="7" t="s">
        <v>154</v>
      </c>
      <c r="F2539" s="39" t="n">
        <v>45785</v>
      </c>
      <c r="G2539" s="41" t="n">
        <v>98.58</v>
      </c>
      <c r="H2539" s="39" t="n">
        <v>45840</v>
      </c>
      <c r="I2539" s="7" t="s">
        <v>14651</v>
      </c>
      <c r="J2539" s="8" t="str">
        <f aca="false">IF(I2539="Open",DATE(2025,12,31)-F2539,"-")</f>
        <v>-</v>
      </c>
    </row>
    <row r="2540" customFormat="false" ht="15" hidden="false" customHeight="false" outlineLevel="0" collapsed="false">
      <c r="B2540" s="7" t="s">
        <v>17185</v>
      </c>
      <c r="C2540" s="7" t="s">
        <v>3037</v>
      </c>
      <c r="D2540" s="7" t="s">
        <v>389</v>
      </c>
      <c r="E2540" s="7" t="s">
        <v>154</v>
      </c>
      <c r="F2540" s="39" t="n">
        <v>45785</v>
      </c>
      <c r="G2540" s="41" t="n">
        <v>115.27</v>
      </c>
      <c r="H2540" s="39" t="n">
        <v>45892</v>
      </c>
      <c r="I2540" s="7" t="s">
        <v>14651</v>
      </c>
      <c r="J2540" s="8" t="str">
        <f aca="false">IF(I2540="Open",DATE(2025,12,31)-F2540,"-")</f>
        <v>-</v>
      </c>
    </row>
    <row r="2541" customFormat="false" ht="15" hidden="false" customHeight="false" outlineLevel="0" collapsed="false">
      <c r="B2541" s="7" t="s">
        <v>17186</v>
      </c>
      <c r="C2541" s="7" t="s">
        <v>3038</v>
      </c>
      <c r="D2541" s="7" t="s">
        <v>391</v>
      </c>
      <c r="E2541" s="7" t="s">
        <v>156</v>
      </c>
      <c r="F2541" s="39" t="n">
        <v>45785</v>
      </c>
      <c r="G2541" s="41" t="n">
        <v>147.56</v>
      </c>
      <c r="H2541" s="39" t="n">
        <v>45800</v>
      </c>
      <c r="I2541" s="7" t="s">
        <v>14651</v>
      </c>
      <c r="J2541" s="8" t="str">
        <f aca="false">IF(I2541="Open",DATE(2025,12,31)-F2541,"-")</f>
        <v>-</v>
      </c>
    </row>
    <row r="2542" customFormat="false" ht="15" hidden="false" customHeight="false" outlineLevel="0" collapsed="false">
      <c r="B2542" s="7" t="s">
        <v>17187</v>
      </c>
      <c r="C2542" s="7" t="s">
        <v>3039</v>
      </c>
      <c r="D2542" s="7" t="s">
        <v>395</v>
      </c>
      <c r="E2542" s="7" t="s">
        <v>156</v>
      </c>
      <c r="F2542" s="39" t="n">
        <v>45785</v>
      </c>
      <c r="G2542" s="41" t="n">
        <v>142.12</v>
      </c>
      <c r="H2542" s="39" t="n">
        <v>45799</v>
      </c>
      <c r="I2542" s="7" t="s">
        <v>14651</v>
      </c>
      <c r="J2542" s="8" t="str">
        <f aca="false">IF(I2542="Open",DATE(2025,12,31)-F2542,"-")</f>
        <v>-</v>
      </c>
    </row>
    <row r="2543" customFormat="false" ht="15" hidden="false" customHeight="false" outlineLevel="0" collapsed="false">
      <c r="B2543" s="7" t="s">
        <v>17188</v>
      </c>
      <c r="C2543" s="7" t="s">
        <v>3040</v>
      </c>
      <c r="D2543" s="7" t="s">
        <v>401</v>
      </c>
      <c r="E2543" s="7" t="s">
        <v>156</v>
      </c>
      <c r="F2543" s="39" t="n">
        <v>45785</v>
      </c>
      <c r="G2543" s="41" t="n">
        <v>147.22</v>
      </c>
      <c r="H2543" s="39" t="n">
        <v>45793</v>
      </c>
      <c r="I2543" s="7" t="s">
        <v>14651</v>
      </c>
      <c r="J2543" s="8" t="str">
        <f aca="false">IF(I2543="Open",DATE(2025,12,31)-F2543,"-")</f>
        <v>-</v>
      </c>
    </row>
    <row r="2544" customFormat="false" ht="15" hidden="false" customHeight="false" outlineLevel="0" collapsed="false">
      <c r="B2544" s="7" t="s">
        <v>17189</v>
      </c>
      <c r="C2544" s="7" t="s">
        <v>3041</v>
      </c>
      <c r="D2544" s="7" t="s">
        <v>280</v>
      </c>
      <c r="E2544" s="7" t="s">
        <v>157</v>
      </c>
      <c r="F2544" s="39" t="n">
        <v>45786</v>
      </c>
      <c r="G2544" s="41" t="n">
        <v>161.7</v>
      </c>
      <c r="H2544" s="39" t="n">
        <v>45848</v>
      </c>
      <c r="I2544" s="7" t="s">
        <v>14651</v>
      </c>
      <c r="J2544" s="8" t="str">
        <f aca="false">IF(I2544="Open",DATE(2025,12,31)-F2544,"-")</f>
        <v>-</v>
      </c>
    </row>
    <row r="2545" customFormat="false" ht="15" hidden="false" customHeight="false" outlineLevel="0" collapsed="false">
      <c r="B2545" s="7" t="s">
        <v>17190</v>
      </c>
      <c r="C2545" s="7" t="s">
        <v>3042</v>
      </c>
      <c r="D2545" s="7" t="s">
        <v>288</v>
      </c>
      <c r="E2545" s="7" t="s">
        <v>156</v>
      </c>
      <c r="F2545" s="39" t="n">
        <v>45786</v>
      </c>
      <c r="G2545" s="41" t="n">
        <v>131.92</v>
      </c>
      <c r="H2545" s="39" t="n">
        <v>45793</v>
      </c>
      <c r="I2545" s="7" t="s">
        <v>14651</v>
      </c>
      <c r="J2545" s="8" t="str">
        <f aca="false">IF(I2545="Open",DATE(2025,12,31)-F2545,"-")</f>
        <v>-</v>
      </c>
    </row>
    <row r="2546" customFormat="false" ht="15" hidden="false" customHeight="false" outlineLevel="0" collapsed="false">
      <c r="B2546" s="7" t="s">
        <v>17191</v>
      </c>
      <c r="C2546" s="7" t="s">
        <v>3043</v>
      </c>
      <c r="D2546" s="7" t="s">
        <v>291</v>
      </c>
      <c r="E2546" s="7" t="s">
        <v>154</v>
      </c>
      <c r="F2546" s="39" t="n">
        <v>45786</v>
      </c>
      <c r="G2546" s="41" t="n">
        <v>129.32</v>
      </c>
      <c r="H2546" s="39" t="n">
        <v>45857</v>
      </c>
      <c r="I2546" s="7" t="s">
        <v>14651</v>
      </c>
      <c r="J2546" s="8" t="str">
        <f aca="false">IF(I2546="Open",DATE(2025,12,31)-F2546,"-")</f>
        <v>-</v>
      </c>
    </row>
    <row r="2547" customFormat="false" ht="15" hidden="false" customHeight="false" outlineLevel="0" collapsed="false">
      <c r="B2547" s="7" t="s">
        <v>17192</v>
      </c>
      <c r="C2547" s="7" t="s">
        <v>3044</v>
      </c>
      <c r="D2547" s="7" t="s">
        <v>301</v>
      </c>
      <c r="E2547" s="7" t="s">
        <v>157</v>
      </c>
      <c r="F2547" s="39" t="n">
        <v>45786</v>
      </c>
      <c r="G2547" s="41" t="n">
        <v>163.02</v>
      </c>
      <c r="H2547" s="39" t="n">
        <v>45858</v>
      </c>
      <c r="I2547" s="7" t="s">
        <v>14651</v>
      </c>
      <c r="J2547" s="8" t="str">
        <f aca="false">IF(I2547="Open",DATE(2025,12,31)-F2547,"-")</f>
        <v>-</v>
      </c>
    </row>
    <row r="2548" customFormat="false" ht="15" hidden="false" customHeight="false" outlineLevel="0" collapsed="false">
      <c r="B2548" s="7" t="s">
        <v>17193</v>
      </c>
      <c r="C2548" s="7" t="s">
        <v>3045</v>
      </c>
      <c r="D2548" s="7" t="s">
        <v>305</v>
      </c>
      <c r="E2548" s="7" t="s">
        <v>154</v>
      </c>
      <c r="F2548" s="39" t="n">
        <v>45786</v>
      </c>
      <c r="G2548" s="41" t="n">
        <v>102.29</v>
      </c>
      <c r="H2548" s="39" t="n">
        <v>45895</v>
      </c>
      <c r="I2548" s="7" t="s">
        <v>14651</v>
      </c>
      <c r="J2548" s="8" t="str">
        <f aca="false">IF(I2548="Open",DATE(2025,12,31)-F2548,"-")</f>
        <v>-</v>
      </c>
    </row>
    <row r="2549" customFormat="false" ht="15" hidden="false" customHeight="false" outlineLevel="0" collapsed="false">
      <c r="B2549" s="7" t="s">
        <v>17194</v>
      </c>
      <c r="C2549" s="7" t="s">
        <v>3046</v>
      </c>
      <c r="D2549" s="7" t="s">
        <v>307</v>
      </c>
      <c r="E2549" s="7" t="s">
        <v>157</v>
      </c>
      <c r="F2549" s="39" t="n">
        <v>45786</v>
      </c>
      <c r="G2549" s="41" t="n">
        <v>150.15</v>
      </c>
      <c r="H2549" s="39" t="n">
        <v>45865</v>
      </c>
      <c r="I2549" s="7" t="s">
        <v>14651</v>
      </c>
      <c r="J2549" s="8" t="str">
        <f aca="false">IF(I2549="Open",DATE(2025,12,31)-F2549,"-")</f>
        <v>-</v>
      </c>
    </row>
    <row r="2550" customFormat="false" ht="15" hidden="false" customHeight="false" outlineLevel="0" collapsed="false">
      <c r="B2550" s="7" t="s">
        <v>17195</v>
      </c>
      <c r="C2550" s="7" t="s">
        <v>3047</v>
      </c>
      <c r="D2550" s="7" t="s">
        <v>309</v>
      </c>
      <c r="E2550" s="7" t="s">
        <v>159</v>
      </c>
      <c r="F2550" s="39" t="n">
        <v>45786</v>
      </c>
      <c r="G2550" s="41" t="n">
        <v>139.05</v>
      </c>
      <c r="H2550" s="39" t="n">
        <v>45867</v>
      </c>
      <c r="I2550" s="7" t="s">
        <v>14651</v>
      </c>
      <c r="J2550" s="8" t="str">
        <f aca="false">IF(I2550="Open",DATE(2025,12,31)-F2550,"-")</f>
        <v>-</v>
      </c>
    </row>
    <row r="2551" customFormat="false" ht="15" hidden="false" customHeight="false" outlineLevel="0" collapsed="false">
      <c r="B2551" s="7" t="s">
        <v>17196</v>
      </c>
      <c r="C2551" s="7" t="s">
        <v>3048</v>
      </c>
      <c r="D2551" s="7" t="s">
        <v>313</v>
      </c>
      <c r="E2551" s="7" t="s">
        <v>156</v>
      </c>
      <c r="F2551" s="39" t="n">
        <v>45786</v>
      </c>
      <c r="G2551" s="41" t="n">
        <v>135.66</v>
      </c>
      <c r="H2551" s="39" t="n">
        <v>45793</v>
      </c>
      <c r="I2551" s="7" t="s">
        <v>14651</v>
      </c>
      <c r="J2551" s="8" t="str">
        <f aca="false">IF(I2551="Open",DATE(2025,12,31)-F2551,"-")</f>
        <v>-</v>
      </c>
    </row>
    <row r="2552" customFormat="false" ht="15" hidden="false" customHeight="false" outlineLevel="0" collapsed="false">
      <c r="B2552" s="7" t="s">
        <v>17197</v>
      </c>
      <c r="C2552" s="7" t="s">
        <v>3049</v>
      </c>
      <c r="D2552" s="7" t="s">
        <v>319</v>
      </c>
      <c r="E2552" s="7" t="s">
        <v>157</v>
      </c>
      <c r="F2552" s="39" t="n">
        <v>45786</v>
      </c>
      <c r="G2552" s="41" t="n">
        <v>174.9</v>
      </c>
      <c r="H2552" s="39" t="n">
        <v>45815</v>
      </c>
      <c r="I2552" s="7" t="s">
        <v>14651</v>
      </c>
      <c r="J2552" s="8" t="str">
        <f aca="false">IF(I2552="Open",DATE(2025,12,31)-F2552,"-")</f>
        <v>-</v>
      </c>
    </row>
    <row r="2553" customFormat="false" ht="15" hidden="false" customHeight="false" outlineLevel="0" collapsed="false">
      <c r="B2553" s="7" t="s">
        <v>17198</v>
      </c>
      <c r="C2553" s="7" t="s">
        <v>3050</v>
      </c>
      <c r="D2553" s="7" t="s">
        <v>321</v>
      </c>
      <c r="E2553" s="7" t="s">
        <v>154</v>
      </c>
      <c r="F2553" s="39" t="n">
        <v>45786</v>
      </c>
      <c r="G2553" s="41" t="n">
        <v>99.98</v>
      </c>
      <c r="H2553" s="39" t="n">
        <v>45839</v>
      </c>
      <c r="I2553" s="7" t="s">
        <v>14651</v>
      </c>
      <c r="J2553" s="8" t="str">
        <f aca="false">IF(I2553="Open",DATE(2025,12,31)-F2553,"-")</f>
        <v>-</v>
      </c>
    </row>
    <row r="2554" customFormat="false" ht="15" hidden="false" customHeight="false" outlineLevel="0" collapsed="false">
      <c r="B2554" s="7" t="s">
        <v>17199</v>
      </c>
      <c r="C2554" s="7" t="s">
        <v>3051</v>
      </c>
      <c r="D2554" s="7" t="s">
        <v>323</v>
      </c>
      <c r="E2554" s="7" t="s">
        <v>159</v>
      </c>
      <c r="F2554" s="39" t="n">
        <v>45786</v>
      </c>
      <c r="G2554" s="41" t="n">
        <v>143.1</v>
      </c>
      <c r="H2554" s="39" t="n">
        <v>45862</v>
      </c>
      <c r="I2554" s="7" t="s">
        <v>14651</v>
      </c>
      <c r="J2554" s="8" t="str">
        <f aca="false">IF(I2554="Open",DATE(2025,12,31)-F2554,"-")</f>
        <v>-</v>
      </c>
    </row>
    <row r="2555" customFormat="false" ht="15" hidden="false" customHeight="false" outlineLevel="0" collapsed="false">
      <c r="B2555" s="7" t="s">
        <v>17200</v>
      </c>
      <c r="C2555" s="7" t="s">
        <v>3052</v>
      </c>
      <c r="D2555" s="7" t="s">
        <v>327</v>
      </c>
      <c r="E2555" s="7" t="s">
        <v>157</v>
      </c>
      <c r="F2555" s="39" t="n">
        <v>45786</v>
      </c>
      <c r="G2555" s="41" t="n">
        <v>181.5</v>
      </c>
      <c r="H2555" s="39" t="n">
        <v>45819</v>
      </c>
      <c r="I2555" s="7" t="s">
        <v>14651</v>
      </c>
      <c r="J2555" s="8" t="str">
        <f aca="false">IF(I2555="Open",DATE(2025,12,31)-F2555,"-")</f>
        <v>-</v>
      </c>
    </row>
    <row r="2556" customFormat="false" ht="15" hidden="false" customHeight="false" outlineLevel="0" collapsed="false">
      <c r="B2556" s="7" t="s">
        <v>17201</v>
      </c>
      <c r="C2556" s="7" t="s">
        <v>3053</v>
      </c>
      <c r="D2556" s="7" t="s">
        <v>329</v>
      </c>
      <c r="E2556" s="7" t="s">
        <v>156</v>
      </c>
      <c r="F2556" s="39" t="n">
        <v>45786</v>
      </c>
      <c r="G2556" s="41" t="n">
        <v>124.1</v>
      </c>
      <c r="H2556" s="39" t="n">
        <v>45799</v>
      </c>
      <c r="I2556" s="7" t="s">
        <v>14651</v>
      </c>
      <c r="J2556" s="8" t="str">
        <f aca="false">IF(I2556="Open",DATE(2025,12,31)-F2556,"-")</f>
        <v>-</v>
      </c>
    </row>
    <row r="2557" customFormat="false" ht="15" hidden="false" customHeight="false" outlineLevel="0" collapsed="false">
      <c r="B2557" s="7" t="s">
        <v>17202</v>
      </c>
      <c r="C2557" s="7" t="s">
        <v>3054</v>
      </c>
      <c r="D2557" s="7" t="s">
        <v>335</v>
      </c>
      <c r="E2557" s="7" t="s">
        <v>154</v>
      </c>
      <c r="F2557" s="39" t="n">
        <v>45786</v>
      </c>
      <c r="G2557" s="41" t="n">
        <v>115.54</v>
      </c>
      <c r="H2557" s="39" t="n">
        <v>45891</v>
      </c>
      <c r="I2557" s="7" t="s">
        <v>14651</v>
      </c>
      <c r="J2557" s="8" t="str">
        <f aca="false">IF(I2557="Open",DATE(2025,12,31)-F2557,"-")</f>
        <v>-</v>
      </c>
    </row>
    <row r="2558" customFormat="false" ht="15" hidden="false" customHeight="false" outlineLevel="0" collapsed="false">
      <c r="B2558" s="7" t="s">
        <v>17203</v>
      </c>
      <c r="C2558" s="7" t="s">
        <v>3055</v>
      </c>
      <c r="D2558" s="7" t="s">
        <v>339</v>
      </c>
      <c r="E2558" s="7" t="s">
        <v>154</v>
      </c>
      <c r="F2558" s="39" t="n">
        <v>45786</v>
      </c>
      <c r="G2558" s="41" t="n">
        <v>83.02</v>
      </c>
      <c r="H2558" s="39" t="n">
        <v>45852</v>
      </c>
      <c r="I2558" s="7" t="s">
        <v>14651</v>
      </c>
      <c r="J2558" s="8" t="str">
        <f aca="false">IF(I2558="Open",DATE(2025,12,31)-F2558,"-")</f>
        <v>-</v>
      </c>
    </row>
    <row r="2559" customFormat="false" ht="15" hidden="false" customHeight="false" outlineLevel="0" collapsed="false">
      <c r="B2559" s="7" t="s">
        <v>17204</v>
      </c>
      <c r="C2559" s="7" t="s">
        <v>3056</v>
      </c>
      <c r="D2559" s="7" t="s">
        <v>353</v>
      </c>
      <c r="E2559" s="7" t="s">
        <v>154</v>
      </c>
      <c r="F2559" s="39" t="n">
        <v>45786</v>
      </c>
      <c r="G2559" s="41" t="n">
        <v>89.46</v>
      </c>
      <c r="H2559" s="39" t="n">
        <v>45884</v>
      </c>
      <c r="I2559" s="7" t="s">
        <v>14651</v>
      </c>
      <c r="J2559" s="8" t="str">
        <f aca="false">IF(I2559="Open",DATE(2025,12,31)-F2559,"-")</f>
        <v>-</v>
      </c>
    </row>
    <row r="2560" customFormat="false" ht="15" hidden="false" customHeight="false" outlineLevel="0" collapsed="false">
      <c r="B2560" s="7" t="s">
        <v>17205</v>
      </c>
      <c r="C2560" s="7" t="s">
        <v>3057</v>
      </c>
      <c r="D2560" s="7" t="s">
        <v>355</v>
      </c>
      <c r="E2560" s="7" t="s">
        <v>154</v>
      </c>
      <c r="F2560" s="39" t="n">
        <v>45786</v>
      </c>
      <c r="G2560" s="41" t="n">
        <v>86.39</v>
      </c>
      <c r="H2560" s="39" t="n">
        <v>45834</v>
      </c>
      <c r="I2560" s="7" t="s">
        <v>14651</v>
      </c>
      <c r="J2560" s="8" t="str">
        <f aca="false">IF(I2560="Open",DATE(2025,12,31)-F2560,"-")</f>
        <v>-</v>
      </c>
    </row>
    <row r="2561" customFormat="false" ht="15" hidden="false" customHeight="false" outlineLevel="0" collapsed="false">
      <c r="B2561" s="7" t="s">
        <v>17206</v>
      </c>
      <c r="C2561" s="7" t="s">
        <v>3058</v>
      </c>
      <c r="D2561" s="7" t="s">
        <v>357</v>
      </c>
      <c r="E2561" s="7" t="s">
        <v>154</v>
      </c>
      <c r="F2561" s="39" t="n">
        <v>45786</v>
      </c>
      <c r="G2561" s="41" t="n">
        <v>82.41</v>
      </c>
      <c r="H2561" s="39" t="n">
        <v>45854</v>
      </c>
      <c r="I2561" s="7" t="s">
        <v>14651</v>
      </c>
      <c r="J2561" s="8" t="str">
        <f aca="false">IF(I2561="Open",DATE(2025,12,31)-F2561,"-")</f>
        <v>-</v>
      </c>
    </row>
    <row r="2562" customFormat="false" ht="15" hidden="false" customHeight="false" outlineLevel="0" collapsed="false">
      <c r="B2562" s="7" t="s">
        <v>17207</v>
      </c>
      <c r="C2562" s="7" t="s">
        <v>3059</v>
      </c>
      <c r="D2562" s="7" t="s">
        <v>359</v>
      </c>
      <c r="E2562" s="7" t="s">
        <v>156</v>
      </c>
      <c r="F2562" s="39" t="n">
        <v>45786</v>
      </c>
      <c r="G2562" s="41" t="n">
        <v>149.26</v>
      </c>
      <c r="H2562" s="39" t="n">
        <v>45792</v>
      </c>
      <c r="I2562" s="7" t="s">
        <v>14651</v>
      </c>
      <c r="J2562" s="8" t="str">
        <f aca="false">IF(I2562="Open",DATE(2025,12,31)-F2562,"-")</f>
        <v>-</v>
      </c>
    </row>
    <row r="2563" customFormat="false" ht="15" hidden="false" customHeight="false" outlineLevel="0" collapsed="false">
      <c r="B2563" s="7" t="s">
        <v>17208</v>
      </c>
      <c r="C2563" s="7" t="s">
        <v>3060</v>
      </c>
      <c r="D2563" s="7" t="s">
        <v>361</v>
      </c>
      <c r="E2563" s="7" t="s">
        <v>157</v>
      </c>
      <c r="F2563" s="39" t="n">
        <v>45786</v>
      </c>
      <c r="G2563" s="41" t="n">
        <v>163.35</v>
      </c>
      <c r="H2563" s="39" t="n">
        <v>45817</v>
      </c>
      <c r="I2563" s="7" t="s">
        <v>14651</v>
      </c>
      <c r="J2563" s="8" t="str">
        <f aca="false">IF(I2563="Open",DATE(2025,12,31)-F2563,"-")</f>
        <v>-</v>
      </c>
    </row>
    <row r="2564" customFormat="false" ht="15" hidden="false" customHeight="false" outlineLevel="0" collapsed="false">
      <c r="B2564" s="7" t="s">
        <v>17209</v>
      </c>
      <c r="C2564" s="7" t="s">
        <v>3061</v>
      </c>
      <c r="D2564" s="7" t="s">
        <v>365</v>
      </c>
      <c r="E2564" s="7" t="s">
        <v>154</v>
      </c>
      <c r="F2564" s="39" t="n">
        <v>45786</v>
      </c>
      <c r="G2564" s="41" t="n">
        <v>105.66</v>
      </c>
      <c r="H2564" s="39" t="n">
        <v>45836</v>
      </c>
      <c r="I2564" s="7" t="s">
        <v>14651</v>
      </c>
      <c r="J2564" s="8" t="str">
        <f aca="false">IF(I2564="Open",DATE(2025,12,31)-F2564,"-")</f>
        <v>-</v>
      </c>
    </row>
    <row r="2565" customFormat="false" ht="15" hidden="false" customHeight="false" outlineLevel="0" collapsed="false">
      <c r="B2565" s="7" t="s">
        <v>17210</v>
      </c>
      <c r="C2565" s="7" t="s">
        <v>3062</v>
      </c>
      <c r="D2565" s="7" t="s">
        <v>371</v>
      </c>
      <c r="E2565" s="7" t="s">
        <v>154</v>
      </c>
      <c r="F2565" s="39" t="n">
        <v>45786</v>
      </c>
      <c r="G2565" s="41" t="n">
        <v>114.21</v>
      </c>
      <c r="H2565" s="39" t="n">
        <v>45884</v>
      </c>
      <c r="I2565" s="7" t="s">
        <v>14651</v>
      </c>
      <c r="J2565" s="8" t="str">
        <f aca="false">IF(I2565="Open",DATE(2025,12,31)-F2565,"-")</f>
        <v>-</v>
      </c>
    </row>
    <row r="2566" customFormat="false" ht="15" hidden="false" customHeight="false" outlineLevel="0" collapsed="false">
      <c r="B2566" s="7" t="s">
        <v>17211</v>
      </c>
      <c r="C2566" s="7" t="s">
        <v>3063</v>
      </c>
      <c r="D2566" s="7" t="s">
        <v>379</v>
      </c>
      <c r="E2566" s="7" t="s">
        <v>156</v>
      </c>
      <c r="F2566" s="39" t="n">
        <v>45786</v>
      </c>
      <c r="G2566" s="41" t="n">
        <v>171.7</v>
      </c>
      <c r="H2566" s="39" t="n">
        <v>45808</v>
      </c>
      <c r="I2566" s="7" t="s">
        <v>14651</v>
      </c>
      <c r="J2566" s="8" t="str">
        <f aca="false">IF(I2566="Open",DATE(2025,12,31)-F2566,"-")</f>
        <v>-</v>
      </c>
    </row>
    <row r="2567" customFormat="false" ht="15" hidden="false" customHeight="false" outlineLevel="0" collapsed="false">
      <c r="B2567" s="7" t="s">
        <v>17212</v>
      </c>
      <c r="C2567" s="7" t="s">
        <v>3064</v>
      </c>
      <c r="D2567" s="7" t="s">
        <v>381</v>
      </c>
      <c r="E2567" s="7" t="s">
        <v>157</v>
      </c>
      <c r="F2567" s="39" t="n">
        <v>45786</v>
      </c>
      <c r="G2567" s="41" t="n">
        <v>181.5</v>
      </c>
      <c r="H2567" s="39" t="n">
        <v>45808</v>
      </c>
      <c r="I2567" s="7" t="s">
        <v>14651</v>
      </c>
      <c r="J2567" s="8" t="str">
        <f aca="false">IF(I2567="Open",DATE(2025,12,31)-F2567,"-")</f>
        <v>-</v>
      </c>
    </row>
    <row r="2568" customFormat="false" ht="15" hidden="false" customHeight="false" outlineLevel="0" collapsed="false">
      <c r="B2568" s="7" t="s">
        <v>17213</v>
      </c>
      <c r="C2568" s="7" t="s">
        <v>3065</v>
      </c>
      <c r="D2568" s="7" t="s">
        <v>385</v>
      </c>
      <c r="E2568" s="7" t="s">
        <v>156</v>
      </c>
      <c r="F2568" s="39" t="n">
        <v>45786</v>
      </c>
      <c r="G2568" s="41" t="n">
        <v>125.12</v>
      </c>
      <c r="H2568" s="39" t="n">
        <v>45798</v>
      </c>
      <c r="I2568" s="7" t="s">
        <v>14651</v>
      </c>
      <c r="J2568" s="8" t="str">
        <f aca="false">IF(I2568="Open",DATE(2025,12,31)-F2568,"-")</f>
        <v>-</v>
      </c>
    </row>
    <row r="2569" customFormat="false" ht="15" hidden="false" customHeight="false" outlineLevel="0" collapsed="false">
      <c r="B2569" s="7" t="s">
        <v>17214</v>
      </c>
      <c r="C2569" s="7" t="s">
        <v>3066</v>
      </c>
      <c r="D2569" s="7" t="s">
        <v>389</v>
      </c>
      <c r="E2569" s="7" t="s">
        <v>154</v>
      </c>
      <c r="F2569" s="39" t="n">
        <v>45786</v>
      </c>
      <c r="G2569" s="41" t="n">
        <v>116.6</v>
      </c>
      <c r="H2569" s="39" t="n">
        <v>45891</v>
      </c>
      <c r="I2569" s="7" t="s">
        <v>14651</v>
      </c>
      <c r="J2569" s="8" t="str">
        <f aca="false">IF(I2569="Open",DATE(2025,12,31)-F2569,"-")</f>
        <v>-</v>
      </c>
    </row>
    <row r="2570" customFormat="false" ht="15" hidden="false" customHeight="false" outlineLevel="0" collapsed="false">
      <c r="B2570" s="7" t="s">
        <v>17215</v>
      </c>
      <c r="C2570" s="7" t="s">
        <v>3067</v>
      </c>
      <c r="D2570" s="7" t="s">
        <v>391</v>
      </c>
      <c r="E2570" s="7" t="s">
        <v>156</v>
      </c>
      <c r="F2570" s="39" t="n">
        <v>45786</v>
      </c>
      <c r="G2570" s="41" t="n">
        <v>125.8</v>
      </c>
      <c r="H2570" s="39" t="n">
        <v>45790</v>
      </c>
      <c r="I2570" s="7" t="s">
        <v>14651</v>
      </c>
      <c r="J2570" s="8" t="str">
        <f aca="false">IF(I2570="Open",DATE(2025,12,31)-F2570,"-")</f>
        <v>-</v>
      </c>
    </row>
    <row r="2571" customFormat="false" ht="15" hidden="false" customHeight="false" outlineLevel="0" collapsed="false">
      <c r="B2571" s="7" t="s">
        <v>17216</v>
      </c>
      <c r="C2571" s="7" t="s">
        <v>3068</v>
      </c>
      <c r="D2571" s="7" t="s">
        <v>395</v>
      </c>
      <c r="E2571" s="7" t="s">
        <v>156</v>
      </c>
      <c r="F2571" s="39" t="n">
        <v>45786</v>
      </c>
      <c r="G2571" s="41" t="n">
        <v>145.86</v>
      </c>
      <c r="H2571" s="39" t="n">
        <v>45803</v>
      </c>
      <c r="I2571" s="7" t="s">
        <v>14651</v>
      </c>
      <c r="J2571" s="8" t="str">
        <f aca="false">IF(I2571="Open",DATE(2025,12,31)-F2571,"-")</f>
        <v>-</v>
      </c>
    </row>
    <row r="2572" customFormat="false" ht="15" hidden="false" customHeight="false" outlineLevel="0" collapsed="false">
      <c r="B2572" s="7" t="s">
        <v>17217</v>
      </c>
      <c r="C2572" s="7" t="s">
        <v>3069</v>
      </c>
      <c r="D2572" s="7" t="s">
        <v>397</v>
      </c>
      <c r="E2572" s="7" t="s">
        <v>159</v>
      </c>
      <c r="F2572" s="39" t="n">
        <v>45786</v>
      </c>
      <c r="G2572" s="41" t="n">
        <v>140.4</v>
      </c>
      <c r="H2572" s="39" t="n">
        <v>45801</v>
      </c>
      <c r="I2572" s="7" t="s">
        <v>14651</v>
      </c>
      <c r="J2572" s="8" t="str">
        <f aca="false">IF(I2572="Open",DATE(2025,12,31)-F2572,"-")</f>
        <v>-</v>
      </c>
    </row>
    <row r="2573" customFormat="false" ht="15" hidden="false" customHeight="false" outlineLevel="0" collapsed="false">
      <c r="B2573" s="7" t="s">
        <v>17218</v>
      </c>
      <c r="C2573" s="7" t="s">
        <v>3070</v>
      </c>
      <c r="D2573" s="7" t="s">
        <v>399</v>
      </c>
      <c r="E2573" s="7" t="s">
        <v>154</v>
      </c>
      <c r="F2573" s="39" t="n">
        <v>45786</v>
      </c>
      <c r="G2573" s="41" t="n">
        <v>90.47</v>
      </c>
      <c r="H2573" s="39" t="n">
        <v>45865</v>
      </c>
      <c r="I2573" s="7" t="s">
        <v>14651</v>
      </c>
      <c r="J2573" s="8" t="str">
        <f aca="false">IF(I2573="Open",DATE(2025,12,31)-F2573,"-")</f>
        <v>-</v>
      </c>
    </row>
    <row r="2574" customFormat="false" ht="15" hidden="false" customHeight="false" outlineLevel="0" collapsed="false">
      <c r="B2574" s="7" t="s">
        <v>17219</v>
      </c>
      <c r="C2574" s="7" t="s">
        <v>3071</v>
      </c>
      <c r="D2574" s="7" t="s">
        <v>401</v>
      </c>
      <c r="E2574" s="7" t="s">
        <v>156</v>
      </c>
      <c r="F2574" s="39" t="n">
        <v>45786</v>
      </c>
      <c r="G2574" s="41" t="n">
        <v>145.18</v>
      </c>
      <c r="H2574" s="39" t="n">
        <v>45801</v>
      </c>
      <c r="I2574" s="7" t="s">
        <v>14651</v>
      </c>
      <c r="J2574" s="8" t="str">
        <f aca="false">IF(I2574="Open",DATE(2025,12,31)-F2574,"-")</f>
        <v>-</v>
      </c>
    </row>
    <row r="2575" customFormat="false" ht="15" hidden="false" customHeight="false" outlineLevel="0" collapsed="false">
      <c r="B2575" s="7" t="s">
        <v>17220</v>
      </c>
      <c r="C2575" s="7" t="s">
        <v>3072</v>
      </c>
      <c r="D2575" s="7" t="s">
        <v>407</v>
      </c>
      <c r="E2575" s="7" t="s">
        <v>159</v>
      </c>
      <c r="F2575" s="39" t="n">
        <v>45786</v>
      </c>
      <c r="G2575" s="41" t="n">
        <v>139.05</v>
      </c>
      <c r="H2575" s="39" t="n">
        <v>45834</v>
      </c>
      <c r="I2575" s="7" t="s">
        <v>14651</v>
      </c>
      <c r="J2575" s="8" t="str">
        <f aca="false">IF(I2575="Open",DATE(2025,12,31)-F2575,"-")</f>
        <v>-</v>
      </c>
    </row>
    <row r="2576" customFormat="false" ht="15" hidden="false" customHeight="false" outlineLevel="0" collapsed="false">
      <c r="B2576" s="7" t="s">
        <v>17221</v>
      </c>
      <c r="C2576" s="7" t="s">
        <v>3073</v>
      </c>
      <c r="D2576" s="7" t="s">
        <v>409</v>
      </c>
      <c r="E2576" s="7" t="s">
        <v>154</v>
      </c>
      <c r="F2576" s="39" t="n">
        <v>45786</v>
      </c>
      <c r="G2576" s="41" t="n">
        <v>91.16</v>
      </c>
      <c r="H2576" s="39" t="n">
        <v>45874</v>
      </c>
      <c r="I2576" s="7" t="s">
        <v>14651</v>
      </c>
      <c r="J2576" s="8" t="str">
        <f aca="false">IF(I2576="Open",DATE(2025,12,31)-F2576,"-")</f>
        <v>-</v>
      </c>
    </row>
    <row r="2577" customFormat="false" ht="15" hidden="false" customHeight="false" outlineLevel="0" collapsed="false">
      <c r="B2577" s="7" t="s">
        <v>17222</v>
      </c>
      <c r="C2577" s="7" t="s">
        <v>3074</v>
      </c>
      <c r="D2577" s="7" t="s">
        <v>288</v>
      </c>
      <c r="E2577" s="7" t="s">
        <v>156</v>
      </c>
      <c r="F2577" s="39" t="n">
        <v>45787</v>
      </c>
      <c r="G2577" s="41" t="n">
        <v>144.16</v>
      </c>
      <c r="H2577" s="39" t="n">
        <v>45802</v>
      </c>
      <c r="I2577" s="7" t="s">
        <v>14651</v>
      </c>
      <c r="J2577" s="8" t="str">
        <f aca="false">IF(I2577="Open",DATE(2025,12,31)-F2577,"-")</f>
        <v>-</v>
      </c>
    </row>
    <row r="2578" customFormat="false" ht="15" hidden="false" customHeight="false" outlineLevel="0" collapsed="false">
      <c r="B2578" s="7" t="s">
        <v>17223</v>
      </c>
      <c r="C2578" s="7" t="s">
        <v>3075</v>
      </c>
      <c r="D2578" s="7" t="s">
        <v>321</v>
      </c>
      <c r="E2578" s="7" t="s">
        <v>154</v>
      </c>
      <c r="F2578" s="39" t="n">
        <v>45787</v>
      </c>
      <c r="G2578" s="41" t="n">
        <v>99.64</v>
      </c>
      <c r="H2578" s="39" t="n">
        <v>45844</v>
      </c>
      <c r="I2578" s="7" t="s">
        <v>14651</v>
      </c>
      <c r="J2578" s="8" t="str">
        <f aca="false">IF(I2578="Open",DATE(2025,12,31)-F2578,"-")</f>
        <v>-</v>
      </c>
    </row>
    <row r="2579" customFormat="false" ht="15" hidden="false" customHeight="false" outlineLevel="0" collapsed="false">
      <c r="B2579" s="7" t="s">
        <v>17224</v>
      </c>
      <c r="C2579" s="7" t="s">
        <v>3076</v>
      </c>
      <c r="D2579" s="7" t="s">
        <v>359</v>
      </c>
      <c r="E2579" s="7" t="s">
        <v>156</v>
      </c>
      <c r="F2579" s="39" t="n">
        <v>45787</v>
      </c>
      <c r="G2579" s="41" t="n">
        <v>145.52</v>
      </c>
      <c r="H2579" s="39" t="n">
        <v>45794</v>
      </c>
      <c r="I2579" s="7" t="s">
        <v>14651</v>
      </c>
      <c r="J2579" s="8" t="str">
        <f aca="false">IF(I2579="Open",DATE(2025,12,31)-F2579,"-")</f>
        <v>-</v>
      </c>
    </row>
    <row r="2580" customFormat="false" ht="15" hidden="false" customHeight="false" outlineLevel="0" collapsed="false">
      <c r="B2580" s="7" t="s">
        <v>17225</v>
      </c>
      <c r="C2580" s="7" t="s">
        <v>3077</v>
      </c>
      <c r="D2580" s="7" t="s">
        <v>391</v>
      </c>
      <c r="E2580" s="7" t="s">
        <v>156</v>
      </c>
      <c r="F2580" s="39" t="n">
        <v>45787</v>
      </c>
      <c r="G2580" s="41" t="n">
        <v>136</v>
      </c>
      <c r="H2580" s="39" t="n">
        <v>45801</v>
      </c>
      <c r="I2580" s="7" t="s">
        <v>14651</v>
      </c>
      <c r="J2580" s="8" t="str">
        <f aca="false">IF(I2580="Open",DATE(2025,12,31)-F2580,"-")</f>
        <v>-</v>
      </c>
    </row>
    <row r="2581" customFormat="false" ht="15" hidden="false" customHeight="false" outlineLevel="0" collapsed="false">
      <c r="B2581" s="7" t="s">
        <v>17226</v>
      </c>
      <c r="C2581" s="7" t="s">
        <v>3078</v>
      </c>
      <c r="D2581" s="7" t="s">
        <v>395</v>
      </c>
      <c r="E2581" s="7" t="s">
        <v>156</v>
      </c>
      <c r="F2581" s="39" t="n">
        <v>45787</v>
      </c>
      <c r="G2581" s="41" t="n">
        <v>133.96</v>
      </c>
      <c r="H2581" s="39" t="n">
        <v>45800</v>
      </c>
      <c r="I2581" s="7" t="s">
        <v>14651</v>
      </c>
      <c r="J2581" s="8" t="str">
        <f aca="false">IF(I2581="Open",DATE(2025,12,31)-F2581,"-")</f>
        <v>-</v>
      </c>
    </row>
    <row r="2582" customFormat="false" ht="15" hidden="false" customHeight="false" outlineLevel="0" collapsed="false">
      <c r="B2582" s="7" t="s">
        <v>17227</v>
      </c>
      <c r="C2582" s="7" t="s">
        <v>3079</v>
      </c>
      <c r="D2582" s="7" t="s">
        <v>401</v>
      </c>
      <c r="E2582" s="7" t="s">
        <v>156</v>
      </c>
      <c r="F2582" s="39" t="n">
        <v>45787</v>
      </c>
      <c r="G2582" s="41" t="n">
        <v>130.56</v>
      </c>
      <c r="H2582" s="39" t="n">
        <v>45795</v>
      </c>
      <c r="I2582" s="7" t="s">
        <v>14651</v>
      </c>
      <c r="J2582" s="8" t="str">
        <f aca="false">IF(I2582="Open",DATE(2025,12,31)-F2582,"-")</f>
        <v>-</v>
      </c>
    </row>
    <row r="2583" customFormat="false" ht="15" hidden="false" customHeight="false" outlineLevel="0" collapsed="false">
      <c r="B2583" s="7" t="s">
        <v>17228</v>
      </c>
      <c r="C2583" s="7" t="s">
        <v>3080</v>
      </c>
      <c r="D2583" s="7" t="s">
        <v>288</v>
      </c>
      <c r="E2583" s="7" t="s">
        <v>156</v>
      </c>
      <c r="F2583" s="39" t="n">
        <v>45788</v>
      </c>
      <c r="G2583" s="41" t="n">
        <v>143.82</v>
      </c>
      <c r="H2583" s="39" t="n">
        <v>45790</v>
      </c>
      <c r="I2583" s="7" t="s">
        <v>14651</v>
      </c>
      <c r="J2583" s="8" t="str">
        <f aca="false">IF(I2583="Open",DATE(2025,12,31)-F2583,"-")</f>
        <v>-</v>
      </c>
    </row>
    <row r="2584" customFormat="false" ht="15" hidden="false" customHeight="false" outlineLevel="0" collapsed="false">
      <c r="B2584" s="7" t="s">
        <v>17229</v>
      </c>
      <c r="C2584" s="7" t="s">
        <v>3081</v>
      </c>
      <c r="D2584" s="7" t="s">
        <v>321</v>
      </c>
      <c r="E2584" s="7" t="s">
        <v>154</v>
      </c>
      <c r="F2584" s="39" t="n">
        <v>45788</v>
      </c>
      <c r="G2584" s="41" t="n">
        <v>107.59</v>
      </c>
      <c r="H2584" s="39" t="n">
        <v>45829</v>
      </c>
      <c r="I2584" s="7" t="s">
        <v>14651</v>
      </c>
      <c r="J2584" s="8" t="str">
        <f aca="false">IF(I2584="Open",DATE(2025,12,31)-F2584,"-")</f>
        <v>-</v>
      </c>
    </row>
    <row r="2585" customFormat="false" ht="15" hidden="false" customHeight="false" outlineLevel="0" collapsed="false">
      <c r="B2585" s="7" t="s">
        <v>17230</v>
      </c>
      <c r="C2585" s="7" t="s">
        <v>3082</v>
      </c>
      <c r="D2585" s="7" t="s">
        <v>359</v>
      </c>
      <c r="E2585" s="7" t="s">
        <v>156</v>
      </c>
      <c r="F2585" s="39" t="n">
        <v>45788</v>
      </c>
      <c r="G2585" s="41" t="n">
        <v>149.26</v>
      </c>
      <c r="H2585" s="39" t="n">
        <v>45806</v>
      </c>
      <c r="I2585" s="7" t="s">
        <v>14651</v>
      </c>
      <c r="J2585" s="8" t="str">
        <f aca="false">IF(I2585="Open",DATE(2025,12,31)-F2585,"-")</f>
        <v>-</v>
      </c>
    </row>
    <row r="2586" customFormat="false" ht="15" hidden="false" customHeight="false" outlineLevel="0" collapsed="false">
      <c r="B2586" s="7" t="s">
        <v>17231</v>
      </c>
      <c r="C2586" s="7" t="s">
        <v>3083</v>
      </c>
      <c r="D2586" s="7" t="s">
        <v>391</v>
      </c>
      <c r="E2586" s="7" t="s">
        <v>156</v>
      </c>
      <c r="F2586" s="39" t="n">
        <v>45788</v>
      </c>
      <c r="G2586" s="41" t="n">
        <v>128.18</v>
      </c>
      <c r="H2586" s="39" t="n">
        <v>45806</v>
      </c>
      <c r="I2586" s="7" t="s">
        <v>14651</v>
      </c>
      <c r="J2586" s="8" t="str">
        <f aca="false">IF(I2586="Open",DATE(2025,12,31)-F2586,"-")</f>
        <v>-</v>
      </c>
    </row>
    <row r="2587" customFormat="false" ht="15" hidden="false" customHeight="false" outlineLevel="0" collapsed="false">
      <c r="B2587" s="7" t="s">
        <v>17232</v>
      </c>
      <c r="C2587" s="7" t="s">
        <v>3084</v>
      </c>
      <c r="D2587" s="7" t="s">
        <v>395</v>
      </c>
      <c r="E2587" s="7" t="s">
        <v>156</v>
      </c>
      <c r="F2587" s="39" t="n">
        <v>45788</v>
      </c>
      <c r="G2587" s="41" t="n">
        <v>128.86</v>
      </c>
      <c r="H2587" s="39" t="n">
        <v>45800</v>
      </c>
      <c r="I2587" s="7" t="s">
        <v>14651</v>
      </c>
      <c r="J2587" s="8" t="str">
        <f aca="false">IF(I2587="Open",DATE(2025,12,31)-F2587,"-")</f>
        <v>-</v>
      </c>
    </row>
    <row r="2588" customFormat="false" ht="15" hidden="false" customHeight="false" outlineLevel="0" collapsed="false">
      <c r="B2588" s="7" t="s">
        <v>17233</v>
      </c>
      <c r="C2588" s="7" t="s">
        <v>3085</v>
      </c>
      <c r="D2588" s="7" t="s">
        <v>401</v>
      </c>
      <c r="E2588" s="7" t="s">
        <v>156</v>
      </c>
      <c r="F2588" s="39" t="n">
        <v>45788</v>
      </c>
      <c r="G2588" s="41" t="n">
        <v>145.18</v>
      </c>
      <c r="H2588" s="39" t="n">
        <v>45796</v>
      </c>
      <c r="I2588" s="7" t="s">
        <v>14651</v>
      </c>
      <c r="J2588" s="8" t="str">
        <f aca="false">IF(I2588="Open",DATE(2025,12,31)-F2588,"-")</f>
        <v>-</v>
      </c>
    </row>
    <row r="2589" customFormat="false" ht="15" hidden="false" customHeight="false" outlineLevel="0" collapsed="false">
      <c r="B2589" s="7" t="s">
        <v>17234</v>
      </c>
      <c r="C2589" s="7" t="s">
        <v>3086</v>
      </c>
      <c r="D2589" s="7" t="s">
        <v>280</v>
      </c>
      <c r="E2589" s="7" t="s">
        <v>157</v>
      </c>
      <c r="F2589" s="39" t="n">
        <v>45789</v>
      </c>
      <c r="G2589" s="41" t="n">
        <v>147.34</v>
      </c>
      <c r="H2589" s="39" t="n">
        <v>45870</v>
      </c>
      <c r="I2589" s="7" t="s">
        <v>14651</v>
      </c>
      <c r="J2589" s="8" t="str">
        <f aca="false">IF(I2589="Open",DATE(2025,12,31)-F2589,"-")</f>
        <v>-</v>
      </c>
    </row>
    <row r="2590" customFormat="false" ht="15" hidden="false" customHeight="false" outlineLevel="0" collapsed="false">
      <c r="B2590" s="7" t="s">
        <v>17235</v>
      </c>
      <c r="C2590" s="7" t="s">
        <v>3087</v>
      </c>
      <c r="D2590" s="7" t="s">
        <v>288</v>
      </c>
      <c r="E2590" s="7" t="s">
        <v>156</v>
      </c>
      <c r="F2590" s="39" t="n">
        <v>45789</v>
      </c>
      <c r="G2590" s="41" t="n">
        <v>139.4</v>
      </c>
      <c r="H2590" s="39" t="n">
        <v>45799</v>
      </c>
      <c r="I2590" s="7" t="s">
        <v>14651</v>
      </c>
      <c r="J2590" s="8" t="str">
        <f aca="false">IF(I2590="Open",DATE(2025,12,31)-F2590,"-")</f>
        <v>-</v>
      </c>
    </row>
    <row r="2591" customFormat="false" ht="15" hidden="false" customHeight="false" outlineLevel="0" collapsed="false">
      <c r="B2591" s="7" t="s">
        <v>17236</v>
      </c>
      <c r="C2591" s="7" t="s">
        <v>3088</v>
      </c>
      <c r="D2591" s="7" t="s">
        <v>291</v>
      </c>
      <c r="E2591" s="7" t="s">
        <v>154</v>
      </c>
      <c r="F2591" s="39" t="n">
        <v>45789</v>
      </c>
      <c r="G2591" s="41" t="n">
        <v>120.84</v>
      </c>
      <c r="H2591" s="39" t="n">
        <v>45901</v>
      </c>
      <c r="I2591" s="7" t="s">
        <v>14651</v>
      </c>
      <c r="J2591" s="8" t="str">
        <f aca="false">IF(I2591="Open",DATE(2025,12,31)-F2591,"-")</f>
        <v>-</v>
      </c>
    </row>
    <row r="2592" customFormat="false" ht="15" hidden="false" customHeight="false" outlineLevel="0" collapsed="false">
      <c r="B2592" s="7" t="s">
        <v>17237</v>
      </c>
      <c r="C2592" s="7" t="s">
        <v>3089</v>
      </c>
      <c r="D2592" s="7" t="s">
        <v>297</v>
      </c>
      <c r="E2592" s="7" t="s">
        <v>156</v>
      </c>
      <c r="F2592" s="39" t="n">
        <v>45789</v>
      </c>
      <c r="G2592" s="41" t="n">
        <v>93.5</v>
      </c>
      <c r="H2592" s="39" t="n">
        <v>45796</v>
      </c>
      <c r="I2592" s="7" t="s">
        <v>14651</v>
      </c>
      <c r="J2592" s="8" t="str">
        <f aca="false">IF(I2592="Open",DATE(2025,12,31)-F2592,"-")</f>
        <v>-</v>
      </c>
    </row>
    <row r="2593" customFormat="false" ht="15" hidden="false" customHeight="false" outlineLevel="0" collapsed="false">
      <c r="B2593" s="7" t="s">
        <v>17238</v>
      </c>
      <c r="C2593" s="7" t="s">
        <v>3090</v>
      </c>
      <c r="D2593" s="7" t="s">
        <v>305</v>
      </c>
      <c r="E2593" s="7" t="s">
        <v>154</v>
      </c>
      <c r="F2593" s="39" t="n">
        <v>45789</v>
      </c>
      <c r="G2593" s="41" t="n">
        <v>106.93</v>
      </c>
      <c r="H2593" s="39" t="n">
        <v>45848</v>
      </c>
      <c r="I2593" s="7" t="s">
        <v>14651</v>
      </c>
      <c r="J2593" s="8" t="str">
        <f aca="false">IF(I2593="Open",DATE(2025,12,31)-F2593,"-")</f>
        <v>-</v>
      </c>
    </row>
    <row r="2594" customFormat="false" ht="15" hidden="false" customHeight="false" outlineLevel="0" collapsed="false">
      <c r="B2594" s="7" t="s">
        <v>17239</v>
      </c>
      <c r="C2594" s="7" t="s">
        <v>3091</v>
      </c>
      <c r="D2594" s="7" t="s">
        <v>307</v>
      </c>
      <c r="E2594" s="7" t="s">
        <v>157</v>
      </c>
      <c r="F2594" s="39" t="n">
        <v>45789</v>
      </c>
      <c r="G2594" s="41" t="n">
        <v>173.25</v>
      </c>
      <c r="H2594" s="39" t="n">
        <v>45880</v>
      </c>
      <c r="I2594" s="7" t="s">
        <v>14651</v>
      </c>
      <c r="J2594" s="8" t="str">
        <f aca="false">IF(I2594="Open",DATE(2025,12,31)-F2594,"-")</f>
        <v>-</v>
      </c>
    </row>
    <row r="2595" customFormat="false" ht="15" hidden="false" customHeight="false" outlineLevel="0" collapsed="false">
      <c r="B2595" s="7" t="s">
        <v>17240</v>
      </c>
      <c r="C2595" s="7" t="s">
        <v>3092</v>
      </c>
      <c r="D2595" s="7" t="s">
        <v>309</v>
      </c>
      <c r="E2595" s="7" t="s">
        <v>159</v>
      </c>
      <c r="F2595" s="39" t="n">
        <v>45789</v>
      </c>
      <c r="G2595" s="41" t="n">
        <v>126.9</v>
      </c>
      <c r="H2595" s="39" t="n">
        <v>45891</v>
      </c>
      <c r="I2595" s="7" t="s">
        <v>14651</v>
      </c>
      <c r="J2595" s="8" t="str">
        <f aca="false">IF(I2595="Open",DATE(2025,12,31)-F2595,"-")</f>
        <v>-</v>
      </c>
    </row>
    <row r="2596" customFormat="false" ht="15" hidden="false" customHeight="false" outlineLevel="0" collapsed="false">
      <c r="B2596" s="7" t="s">
        <v>17241</v>
      </c>
      <c r="C2596" s="7" t="s">
        <v>3093</v>
      </c>
      <c r="D2596" s="7" t="s">
        <v>311</v>
      </c>
      <c r="E2596" s="7" t="s">
        <v>154</v>
      </c>
      <c r="F2596" s="39" t="n">
        <v>45789</v>
      </c>
      <c r="G2596" s="41" t="n">
        <v>84.53</v>
      </c>
      <c r="H2596" s="39" t="n">
        <v>45857</v>
      </c>
      <c r="I2596" s="7" t="s">
        <v>14651</v>
      </c>
      <c r="J2596" s="8" t="str">
        <f aca="false">IF(I2596="Open",DATE(2025,12,31)-F2596,"-")</f>
        <v>-</v>
      </c>
    </row>
    <row r="2597" customFormat="false" ht="15" hidden="false" customHeight="false" outlineLevel="0" collapsed="false">
      <c r="B2597" s="7" t="s">
        <v>17242</v>
      </c>
      <c r="C2597" s="7" t="s">
        <v>3094</v>
      </c>
      <c r="D2597" s="7" t="s">
        <v>313</v>
      </c>
      <c r="E2597" s="7" t="s">
        <v>156</v>
      </c>
      <c r="F2597" s="39" t="n">
        <v>45789</v>
      </c>
      <c r="G2597" s="41" t="n">
        <v>126.48</v>
      </c>
      <c r="H2597" s="39" t="n">
        <v>45800</v>
      </c>
      <c r="I2597" s="7" t="s">
        <v>14651</v>
      </c>
      <c r="J2597" s="8" t="str">
        <f aca="false">IF(I2597="Open",DATE(2025,12,31)-F2597,"-")</f>
        <v>-</v>
      </c>
    </row>
    <row r="2598" customFormat="false" ht="15" hidden="false" customHeight="false" outlineLevel="0" collapsed="false">
      <c r="B2598" s="7" t="s">
        <v>17243</v>
      </c>
      <c r="C2598" s="7" t="s">
        <v>3095</v>
      </c>
      <c r="D2598" s="7" t="s">
        <v>317</v>
      </c>
      <c r="E2598" s="7" t="s">
        <v>156</v>
      </c>
      <c r="F2598" s="39" t="n">
        <v>45789</v>
      </c>
      <c r="G2598" s="41" t="n">
        <v>92.48</v>
      </c>
      <c r="H2598" s="39" t="n">
        <v>45798</v>
      </c>
      <c r="I2598" s="7" t="s">
        <v>14651</v>
      </c>
      <c r="J2598" s="8" t="str">
        <f aca="false">IF(I2598="Open",DATE(2025,12,31)-F2598,"-")</f>
        <v>-</v>
      </c>
    </row>
    <row r="2599" customFormat="false" ht="15" hidden="false" customHeight="false" outlineLevel="0" collapsed="false">
      <c r="B2599" s="7" t="s">
        <v>17244</v>
      </c>
      <c r="C2599" s="7" t="s">
        <v>3096</v>
      </c>
      <c r="D2599" s="7" t="s">
        <v>321</v>
      </c>
      <c r="E2599" s="7" t="s">
        <v>154</v>
      </c>
      <c r="F2599" s="39" t="n">
        <v>45789</v>
      </c>
      <c r="G2599" s="41" t="n">
        <v>98.05</v>
      </c>
      <c r="H2599" s="39" t="n">
        <v>45842</v>
      </c>
      <c r="I2599" s="7" t="s">
        <v>14651</v>
      </c>
      <c r="J2599" s="8" t="str">
        <f aca="false">IF(I2599="Open",DATE(2025,12,31)-F2599,"-")</f>
        <v>-</v>
      </c>
    </row>
    <row r="2600" customFormat="false" ht="15" hidden="false" customHeight="false" outlineLevel="0" collapsed="false">
      <c r="B2600" s="7" t="s">
        <v>17245</v>
      </c>
      <c r="C2600" s="7" t="s">
        <v>3097</v>
      </c>
      <c r="D2600" s="7" t="s">
        <v>325</v>
      </c>
      <c r="E2600" s="7" t="s">
        <v>154</v>
      </c>
      <c r="F2600" s="39" t="n">
        <v>45789</v>
      </c>
      <c r="G2600" s="41" t="n">
        <v>72.61</v>
      </c>
      <c r="H2600" s="39" t="n">
        <v>45833</v>
      </c>
      <c r="I2600" s="7" t="s">
        <v>14651</v>
      </c>
      <c r="J2600" s="8" t="str">
        <f aca="false">IF(I2600="Open",DATE(2025,12,31)-F2600,"-")</f>
        <v>-</v>
      </c>
    </row>
    <row r="2601" customFormat="false" ht="15" hidden="false" customHeight="false" outlineLevel="0" collapsed="false">
      <c r="B2601" s="7" t="s">
        <v>17246</v>
      </c>
      <c r="C2601" s="7" t="s">
        <v>3098</v>
      </c>
      <c r="D2601" s="7" t="s">
        <v>329</v>
      </c>
      <c r="E2601" s="7" t="s">
        <v>156</v>
      </c>
      <c r="F2601" s="39" t="n">
        <v>45789</v>
      </c>
      <c r="G2601" s="41" t="n">
        <v>131.58</v>
      </c>
      <c r="H2601" s="39" t="n">
        <v>45799</v>
      </c>
      <c r="I2601" s="7" t="s">
        <v>14651</v>
      </c>
      <c r="J2601" s="8" t="str">
        <f aca="false">IF(I2601="Open",DATE(2025,12,31)-F2601,"-")</f>
        <v>-</v>
      </c>
    </row>
    <row r="2602" customFormat="false" ht="15" hidden="false" customHeight="false" outlineLevel="0" collapsed="false">
      <c r="B2602" s="7" t="s">
        <v>17247</v>
      </c>
      <c r="C2602" s="7" t="s">
        <v>3099</v>
      </c>
      <c r="D2602" s="7" t="s">
        <v>335</v>
      </c>
      <c r="E2602" s="7" t="s">
        <v>154</v>
      </c>
      <c r="F2602" s="39" t="n">
        <v>45789</v>
      </c>
      <c r="G2602" s="41" t="n">
        <v>116.07</v>
      </c>
      <c r="H2602" s="39" t="n">
        <v>45839</v>
      </c>
      <c r="I2602" s="7" t="s">
        <v>14651</v>
      </c>
      <c r="J2602" s="8" t="str">
        <f aca="false">IF(I2602="Open",DATE(2025,12,31)-F2602,"-")</f>
        <v>-</v>
      </c>
    </row>
    <row r="2603" customFormat="false" ht="15" hidden="false" customHeight="false" outlineLevel="0" collapsed="false">
      <c r="B2603" s="7" t="s">
        <v>17248</v>
      </c>
      <c r="C2603" s="7" t="s">
        <v>3100</v>
      </c>
      <c r="D2603" s="7" t="s">
        <v>337</v>
      </c>
      <c r="E2603" s="7" t="s">
        <v>154</v>
      </c>
      <c r="F2603" s="39" t="n">
        <v>45789</v>
      </c>
      <c r="G2603" s="41" t="n">
        <v>84</v>
      </c>
      <c r="H2603" s="39" t="n">
        <v>45858</v>
      </c>
      <c r="I2603" s="7" t="s">
        <v>14651</v>
      </c>
      <c r="J2603" s="8" t="str">
        <f aca="false">IF(I2603="Open",DATE(2025,12,31)-F2603,"-")</f>
        <v>-</v>
      </c>
    </row>
    <row r="2604" customFormat="false" ht="15" hidden="false" customHeight="false" outlineLevel="0" collapsed="false">
      <c r="B2604" s="7" t="s">
        <v>17249</v>
      </c>
      <c r="C2604" s="7" t="s">
        <v>3101</v>
      </c>
      <c r="D2604" s="7" t="s">
        <v>339</v>
      </c>
      <c r="E2604" s="7" t="s">
        <v>154</v>
      </c>
      <c r="F2604" s="39" t="n">
        <v>45789</v>
      </c>
      <c r="G2604" s="41" t="n">
        <v>94.87</v>
      </c>
      <c r="H2604" s="39" t="n">
        <v>45804</v>
      </c>
      <c r="I2604" s="7" t="s">
        <v>14651</v>
      </c>
      <c r="J2604" s="8" t="str">
        <f aca="false">IF(I2604="Open",DATE(2025,12,31)-F2604,"-")</f>
        <v>-</v>
      </c>
    </row>
    <row r="2605" customFormat="false" ht="15" hidden="false" customHeight="false" outlineLevel="0" collapsed="false">
      <c r="B2605" s="7" t="s">
        <v>17250</v>
      </c>
      <c r="C2605" s="7" t="s">
        <v>3102</v>
      </c>
      <c r="D2605" s="7" t="s">
        <v>341</v>
      </c>
      <c r="E2605" s="7" t="s">
        <v>156</v>
      </c>
      <c r="F2605" s="39" t="n">
        <v>45789</v>
      </c>
      <c r="G2605" s="41" t="n">
        <v>93.84</v>
      </c>
      <c r="H2605" s="39" t="n">
        <v>45801</v>
      </c>
      <c r="I2605" s="7" t="s">
        <v>14651</v>
      </c>
      <c r="J2605" s="8" t="str">
        <f aca="false">IF(I2605="Open",DATE(2025,12,31)-F2605,"-")</f>
        <v>-</v>
      </c>
    </row>
    <row r="2606" customFormat="false" ht="15" hidden="false" customHeight="false" outlineLevel="0" collapsed="false">
      <c r="B2606" s="7" t="s">
        <v>17251</v>
      </c>
      <c r="C2606" s="7" t="s">
        <v>3103</v>
      </c>
      <c r="D2606" s="7" t="s">
        <v>343</v>
      </c>
      <c r="E2606" s="7" t="s">
        <v>154</v>
      </c>
      <c r="F2606" s="39" t="n">
        <v>45789</v>
      </c>
      <c r="G2606" s="41" t="n">
        <v>98.45</v>
      </c>
      <c r="H2606" s="39" t="n">
        <v>45905</v>
      </c>
      <c r="I2606" s="7" t="s">
        <v>14651</v>
      </c>
      <c r="J2606" s="8" t="str">
        <f aca="false">IF(I2606="Open",DATE(2025,12,31)-F2606,"-")</f>
        <v>-</v>
      </c>
    </row>
    <row r="2607" customFormat="false" ht="15" hidden="false" customHeight="false" outlineLevel="0" collapsed="false">
      <c r="B2607" s="7" t="s">
        <v>17252</v>
      </c>
      <c r="C2607" s="7" t="s">
        <v>3104</v>
      </c>
      <c r="D2607" s="7" t="s">
        <v>351</v>
      </c>
      <c r="E2607" s="7" t="s">
        <v>154</v>
      </c>
      <c r="F2607" s="39" t="n">
        <v>45789</v>
      </c>
      <c r="G2607" s="41" t="n">
        <v>72.34</v>
      </c>
      <c r="H2607" s="39" t="n">
        <v>45824</v>
      </c>
      <c r="I2607" s="7" t="s">
        <v>14651</v>
      </c>
      <c r="J2607" s="8" t="str">
        <f aca="false">IF(I2607="Open",DATE(2025,12,31)-F2607,"-")</f>
        <v>-</v>
      </c>
    </row>
    <row r="2608" customFormat="false" ht="15" hidden="false" customHeight="false" outlineLevel="0" collapsed="false">
      <c r="B2608" s="7" t="s">
        <v>17253</v>
      </c>
      <c r="C2608" s="7" t="s">
        <v>3105</v>
      </c>
      <c r="D2608" s="7" t="s">
        <v>353</v>
      </c>
      <c r="E2608" s="7" t="s">
        <v>154</v>
      </c>
      <c r="F2608" s="39" t="n">
        <v>45789</v>
      </c>
      <c r="G2608" s="41" t="n">
        <v>82.68</v>
      </c>
      <c r="H2608" s="39" t="n">
        <v>45824</v>
      </c>
      <c r="I2608" s="7" t="s">
        <v>14651</v>
      </c>
      <c r="J2608" s="8" t="str">
        <f aca="false">IF(I2608="Open",DATE(2025,12,31)-F2608,"-")</f>
        <v>-</v>
      </c>
    </row>
    <row r="2609" customFormat="false" ht="15" hidden="false" customHeight="false" outlineLevel="0" collapsed="false">
      <c r="B2609" s="7" t="s">
        <v>17254</v>
      </c>
      <c r="C2609" s="7" t="s">
        <v>3106</v>
      </c>
      <c r="D2609" s="7" t="s">
        <v>355</v>
      </c>
      <c r="E2609" s="7" t="s">
        <v>154</v>
      </c>
      <c r="F2609" s="39" t="n">
        <v>45789</v>
      </c>
      <c r="G2609" s="41" t="n">
        <v>93.55</v>
      </c>
      <c r="H2609" s="39" t="n">
        <v>45831</v>
      </c>
      <c r="I2609" s="7" t="s">
        <v>14651</v>
      </c>
      <c r="J2609" s="8" t="str">
        <f aca="false">IF(I2609="Open",DATE(2025,12,31)-F2609,"-")</f>
        <v>-</v>
      </c>
    </row>
    <row r="2610" customFormat="false" ht="15" hidden="false" customHeight="false" outlineLevel="0" collapsed="false">
      <c r="B2610" s="7" t="s">
        <v>17255</v>
      </c>
      <c r="C2610" s="7" t="s">
        <v>3107</v>
      </c>
      <c r="D2610" s="7" t="s">
        <v>357</v>
      </c>
      <c r="E2610" s="7" t="s">
        <v>154</v>
      </c>
      <c r="F2610" s="39" t="n">
        <v>45789</v>
      </c>
      <c r="G2610" s="41" t="n">
        <v>86.66</v>
      </c>
      <c r="H2610" s="39" t="n">
        <v>45835</v>
      </c>
      <c r="I2610" s="7" t="s">
        <v>14651</v>
      </c>
      <c r="J2610" s="8" t="str">
        <f aca="false">IF(I2610="Open",DATE(2025,12,31)-F2610,"-")</f>
        <v>-</v>
      </c>
    </row>
    <row r="2611" customFormat="false" ht="15" hidden="false" customHeight="false" outlineLevel="0" collapsed="false">
      <c r="B2611" s="7" t="s">
        <v>17256</v>
      </c>
      <c r="C2611" s="7" t="s">
        <v>3108</v>
      </c>
      <c r="D2611" s="7" t="s">
        <v>359</v>
      </c>
      <c r="E2611" s="7" t="s">
        <v>156</v>
      </c>
      <c r="F2611" s="39" t="n">
        <v>45789</v>
      </c>
      <c r="G2611" s="41" t="n">
        <v>141.1</v>
      </c>
      <c r="H2611" s="39" t="n">
        <v>45806</v>
      </c>
      <c r="I2611" s="7" t="s">
        <v>14651</v>
      </c>
      <c r="J2611" s="8" t="str">
        <f aca="false">IF(I2611="Open",DATE(2025,12,31)-F2611,"-")</f>
        <v>-</v>
      </c>
    </row>
    <row r="2612" customFormat="false" ht="15" hidden="false" customHeight="false" outlineLevel="0" collapsed="false">
      <c r="B2612" s="7" t="s">
        <v>17257</v>
      </c>
      <c r="C2612" s="7" t="s">
        <v>3109</v>
      </c>
      <c r="D2612" s="7" t="s">
        <v>363</v>
      </c>
      <c r="E2612" s="7" t="s">
        <v>156</v>
      </c>
      <c r="F2612" s="39" t="n">
        <v>45789</v>
      </c>
      <c r="G2612" s="41" t="n">
        <v>126.14</v>
      </c>
      <c r="H2612" s="39" t="n">
        <v>45803</v>
      </c>
      <c r="I2612" s="7" t="s">
        <v>14651</v>
      </c>
      <c r="J2612" s="8" t="str">
        <f aca="false">IF(I2612="Open",DATE(2025,12,31)-F2612,"-")</f>
        <v>-</v>
      </c>
    </row>
    <row r="2613" customFormat="false" ht="15" hidden="false" customHeight="false" outlineLevel="0" collapsed="false">
      <c r="B2613" s="7" t="s">
        <v>17258</v>
      </c>
      <c r="C2613" s="7" t="s">
        <v>3110</v>
      </c>
      <c r="D2613" s="7" t="s">
        <v>365</v>
      </c>
      <c r="E2613" s="7" t="s">
        <v>154</v>
      </c>
      <c r="F2613" s="39" t="n">
        <v>45789</v>
      </c>
      <c r="G2613" s="41" t="n">
        <v>114.75</v>
      </c>
      <c r="H2613" s="39" t="n">
        <v>45886</v>
      </c>
      <c r="I2613" s="7" t="s">
        <v>14651</v>
      </c>
      <c r="J2613" s="8" t="str">
        <f aca="false">IF(I2613="Open",DATE(2025,12,31)-F2613,"-")</f>
        <v>-</v>
      </c>
    </row>
    <row r="2614" customFormat="false" ht="15" hidden="false" customHeight="false" outlineLevel="0" collapsed="false">
      <c r="B2614" s="7" t="s">
        <v>17259</v>
      </c>
      <c r="C2614" s="7" t="s">
        <v>3111</v>
      </c>
      <c r="D2614" s="7" t="s">
        <v>371</v>
      </c>
      <c r="E2614" s="7" t="s">
        <v>154</v>
      </c>
      <c r="F2614" s="39" t="n">
        <v>45789</v>
      </c>
      <c r="G2614" s="41" t="n">
        <v>130.64</v>
      </c>
      <c r="H2614" s="39" t="n">
        <v>45843</v>
      </c>
      <c r="I2614" s="7" t="s">
        <v>14651</v>
      </c>
      <c r="J2614" s="8" t="str">
        <f aca="false">IF(I2614="Open",DATE(2025,12,31)-F2614,"-")</f>
        <v>-</v>
      </c>
    </row>
    <row r="2615" customFormat="false" ht="15" hidden="false" customHeight="false" outlineLevel="0" collapsed="false">
      <c r="B2615" s="7" t="s">
        <v>17260</v>
      </c>
      <c r="C2615" s="7" t="s">
        <v>3112</v>
      </c>
      <c r="D2615" s="7" t="s">
        <v>375</v>
      </c>
      <c r="E2615" s="7" t="s">
        <v>156</v>
      </c>
      <c r="F2615" s="39" t="n">
        <v>45789</v>
      </c>
      <c r="G2615" s="41" t="n">
        <v>100.98</v>
      </c>
      <c r="H2615" s="39" t="n">
        <v>45800</v>
      </c>
      <c r="I2615" s="7" t="s">
        <v>14651</v>
      </c>
      <c r="J2615" s="8" t="str">
        <f aca="false">IF(I2615="Open",DATE(2025,12,31)-F2615,"-")</f>
        <v>-</v>
      </c>
    </row>
    <row r="2616" customFormat="false" ht="15" hidden="false" customHeight="false" outlineLevel="0" collapsed="false">
      <c r="B2616" s="7" t="s">
        <v>17261</v>
      </c>
      <c r="C2616" s="7" t="s">
        <v>3113</v>
      </c>
      <c r="D2616" s="7" t="s">
        <v>377</v>
      </c>
      <c r="E2616" s="7" t="s">
        <v>154</v>
      </c>
      <c r="F2616" s="39" t="n">
        <v>45789</v>
      </c>
      <c r="G2616" s="41" t="n">
        <v>105.2</v>
      </c>
      <c r="H2616" s="39" t="n">
        <v>45804</v>
      </c>
      <c r="I2616" s="7" t="s">
        <v>14651</v>
      </c>
      <c r="J2616" s="8" t="str">
        <f aca="false">IF(I2616="Open",DATE(2025,12,31)-F2616,"-")</f>
        <v>-</v>
      </c>
    </row>
    <row r="2617" customFormat="false" ht="15" hidden="false" customHeight="false" outlineLevel="0" collapsed="false">
      <c r="B2617" s="7" t="s">
        <v>17262</v>
      </c>
      <c r="C2617" s="7" t="s">
        <v>3114</v>
      </c>
      <c r="D2617" s="7" t="s">
        <v>379</v>
      </c>
      <c r="E2617" s="7" t="s">
        <v>156</v>
      </c>
      <c r="F2617" s="39" t="n">
        <v>45789</v>
      </c>
      <c r="G2617" s="41" t="n">
        <v>159.46</v>
      </c>
      <c r="H2617" s="39" t="n">
        <v>45808</v>
      </c>
      <c r="I2617" s="7" t="s">
        <v>14651</v>
      </c>
      <c r="J2617" s="8" t="str">
        <f aca="false">IF(I2617="Open",DATE(2025,12,31)-F2617,"-")</f>
        <v>-</v>
      </c>
    </row>
    <row r="2618" customFormat="false" ht="15" hidden="false" customHeight="false" outlineLevel="0" collapsed="false">
      <c r="B2618" s="7" t="s">
        <v>17263</v>
      </c>
      <c r="C2618" s="7" t="s">
        <v>3115</v>
      </c>
      <c r="D2618" s="7" t="s">
        <v>385</v>
      </c>
      <c r="E2618" s="7" t="s">
        <v>156</v>
      </c>
      <c r="F2618" s="39" t="n">
        <v>45789</v>
      </c>
      <c r="G2618" s="41" t="n">
        <v>128.52</v>
      </c>
      <c r="H2618" s="39" t="n">
        <v>45800</v>
      </c>
      <c r="I2618" s="7" t="s">
        <v>14651</v>
      </c>
      <c r="J2618" s="8" t="str">
        <f aca="false">IF(I2618="Open",DATE(2025,12,31)-F2618,"-")</f>
        <v>-</v>
      </c>
    </row>
    <row r="2619" customFormat="false" ht="15" hidden="false" customHeight="false" outlineLevel="0" collapsed="false">
      <c r="B2619" s="7" t="s">
        <v>17264</v>
      </c>
      <c r="C2619" s="7" t="s">
        <v>3116</v>
      </c>
      <c r="D2619" s="7" t="s">
        <v>389</v>
      </c>
      <c r="E2619" s="7" t="s">
        <v>154</v>
      </c>
      <c r="F2619" s="39" t="n">
        <v>45789</v>
      </c>
      <c r="G2619" s="41" t="n">
        <v>101.76</v>
      </c>
      <c r="H2619" s="39" t="n">
        <v>45906</v>
      </c>
      <c r="I2619" s="7" t="s">
        <v>14651</v>
      </c>
      <c r="J2619" s="8" t="str">
        <f aca="false">IF(I2619="Open",DATE(2025,12,31)-F2619,"-")</f>
        <v>-</v>
      </c>
    </row>
    <row r="2620" customFormat="false" ht="15" hidden="false" customHeight="false" outlineLevel="0" collapsed="false">
      <c r="B2620" s="7" t="s">
        <v>17265</v>
      </c>
      <c r="C2620" s="7" t="s">
        <v>3117</v>
      </c>
      <c r="D2620" s="7" t="s">
        <v>391</v>
      </c>
      <c r="E2620" s="7" t="s">
        <v>156</v>
      </c>
      <c r="F2620" s="39" t="n">
        <v>45789</v>
      </c>
      <c r="G2620" s="41" t="n">
        <v>139.74</v>
      </c>
      <c r="H2620" s="39" t="n">
        <v>45805</v>
      </c>
      <c r="I2620" s="7" t="s">
        <v>14651</v>
      </c>
      <c r="J2620" s="8" t="str">
        <f aca="false">IF(I2620="Open",DATE(2025,12,31)-F2620,"-")</f>
        <v>-</v>
      </c>
    </row>
    <row r="2621" customFormat="false" ht="15" hidden="false" customHeight="false" outlineLevel="0" collapsed="false">
      <c r="B2621" s="7" t="s">
        <v>17266</v>
      </c>
      <c r="C2621" s="7" t="s">
        <v>3118</v>
      </c>
      <c r="D2621" s="7" t="s">
        <v>395</v>
      </c>
      <c r="E2621" s="7" t="s">
        <v>156</v>
      </c>
      <c r="F2621" s="39" t="n">
        <v>45789</v>
      </c>
      <c r="G2621" s="41" t="n">
        <v>124.78</v>
      </c>
      <c r="H2621" s="39" t="n">
        <v>45802</v>
      </c>
      <c r="I2621" s="7" t="s">
        <v>14651</v>
      </c>
      <c r="J2621" s="8" t="str">
        <f aca="false">IF(I2621="Open",DATE(2025,12,31)-F2621,"-")</f>
        <v>-</v>
      </c>
    </row>
    <row r="2622" customFormat="false" ht="15" hidden="false" customHeight="false" outlineLevel="0" collapsed="false">
      <c r="B2622" s="7" t="s">
        <v>17267</v>
      </c>
      <c r="C2622" s="7" t="s">
        <v>3119</v>
      </c>
      <c r="D2622" s="7" t="s">
        <v>399</v>
      </c>
      <c r="E2622" s="7" t="s">
        <v>154</v>
      </c>
      <c r="F2622" s="39" t="n">
        <v>45789</v>
      </c>
      <c r="G2622" s="41" t="n">
        <v>84.53</v>
      </c>
      <c r="H2622" s="39" t="n">
        <v>45899</v>
      </c>
      <c r="I2622" s="7" t="s">
        <v>14651</v>
      </c>
      <c r="J2622" s="8" t="str">
        <f aca="false">IF(I2622="Open",DATE(2025,12,31)-F2622,"-")</f>
        <v>-</v>
      </c>
    </row>
    <row r="2623" customFormat="false" ht="15" hidden="false" customHeight="false" outlineLevel="0" collapsed="false">
      <c r="B2623" s="7" t="s">
        <v>17268</v>
      </c>
      <c r="C2623" s="7" t="s">
        <v>3120</v>
      </c>
      <c r="D2623" s="7" t="s">
        <v>401</v>
      </c>
      <c r="E2623" s="7" t="s">
        <v>156</v>
      </c>
      <c r="F2623" s="39" t="n">
        <v>45789</v>
      </c>
      <c r="G2623" s="41" t="n">
        <v>122.74</v>
      </c>
      <c r="H2623" s="39" t="n">
        <v>45796</v>
      </c>
      <c r="I2623" s="7" t="s">
        <v>14651</v>
      </c>
      <c r="J2623" s="8" t="str">
        <f aca="false">IF(I2623="Open",DATE(2025,12,31)-F2623,"-")</f>
        <v>-</v>
      </c>
    </row>
    <row r="2624" customFormat="false" ht="15" hidden="false" customHeight="false" outlineLevel="0" collapsed="false">
      <c r="B2624" s="7" t="s">
        <v>17269</v>
      </c>
      <c r="C2624" s="7" t="s">
        <v>3121</v>
      </c>
      <c r="D2624" s="7" t="s">
        <v>409</v>
      </c>
      <c r="E2624" s="7" t="s">
        <v>154</v>
      </c>
      <c r="F2624" s="39" t="n">
        <v>45789</v>
      </c>
      <c r="G2624" s="41" t="n">
        <v>95.93</v>
      </c>
      <c r="H2624" s="39" t="n">
        <v>45860</v>
      </c>
      <c r="I2624" s="7" t="s">
        <v>14651</v>
      </c>
      <c r="J2624" s="8" t="str">
        <f aca="false">IF(I2624="Open",DATE(2025,12,31)-F2624,"-")</f>
        <v>-</v>
      </c>
    </row>
    <row r="2625" customFormat="false" ht="15" hidden="false" customHeight="false" outlineLevel="0" collapsed="false">
      <c r="B2625" s="7" t="s">
        <v>17270</v>
      </c>
      <c r="C2625" s="7" t="s">
        <v>3122</v>
      </c>
      <c r="D2625" s="7" t="s">
        <v>411</v>
      </c>
      <c r="E2625" s="7" t="s">
        <v>154</v>
      </c>
      <c r="F2625" s="39" t="n">
        <v>45789</v>
      </c>
      <c r="G2625" s="41" t="n">
        <v>128.26</v>
      </c>
      <c r="H2625" s="39" t="n">
        <v>45828</v>
      </c>
      <c r="I2625" s="7" t="s">
        <v>14651</v>
      </c>
      <c r="J2625" s="8" t="str">
        <f aca="false">IF(I2625="Open",DATE(2025,12,31)-F2625,"-")</f>
        <v>-</v>
      </c>
    </row>
    <row r="2626" customFormat="false" ht="15" hidden="false" customHeight="false" outlineLevel="0" collapsed="false">
      <c r="B2626" s="7" t="s">
        <v>17271</v>
      </c>
      <c r="C2626" s="7" t="s">
        <v>3123</v>
      </c>
      <c r="D2626" s="7" t="s">
        <v>301</v>
      </c>
      <c r="E2626" s="7" t="s">
        <v>157</v>
      </c>
      <c r="F2626" s="39" t="n">
        <v>45790</v>
      </c>
      <c r="G2626" s="41" t="n">
        <v>178.2</v>
      </c>
      <c r="H2626" s="39" t="n">
        <v>45861</v>
      </c>
      <c r="I2626" s="7" t="s">
        <v>14651</v>
      </c>
      <c r="J2626" s="8" t="str">
        <f aca="false">IF(I2626="Open",DATE(2025,12,31)-F2626,"-")</f>
        <v>-</v>
      </c>
    </row>
    <row r="2627" customFormat="false" ht="15" hidden="false" customHeight="false" outlineLevel="0" collapsed="false">
      <c r="B2627" s="7" t="s">
        <v>17272</v>
      </c>
      <c r="C2627" s="7" t="s">
        <v>3124</v>
      </c>
      <c r="D2627" s="7" t="s">
        <v>313</v>
      </c>
      <c r="E2627" s="7" t="s">
        <v>156</v>
      </c>
      <c r="F2627" s="39" t="n">
        <v>45790</v>
      </c>
      <c r="G2627" s="41" t="n">
        <v>141.44</v>
      </c>
      <c r="H2627" s="39" t="n">
        <v>45795</v>
      </c>
      <c r="I2627" s="7" t="s">
        <v>14651</v>
      </c>
      <c r="J2627" s="8" t="str">
        <f aca="false">IF(I2627="Open",DATE(2025,12,31)-F2627,"-")</f>
        <v>-</v>
      </c>
    </row>
    <row r="2628" customFormat="false" ht="15" hidden="false" customHeight="false" outlineLevel="0" collapsed="false">
      <c r="B2628" s="7" t="s">
        <v>17273</v>
      </c>
      <c r="C2628" s="7" t="s">
        <v>3125</v>
      </c>
      <c r="D2628" s="7" t="s">
        <v>319</v>
      </c>
      <c r="E2628" s="7" t="s">
        <v>157</v>
      </c>
      <c r="F2628" s="39" t="n">
        <v>45790</v>
      </c>
      <c r="G2628" s="41" t="n">
        <v>173.25</v>
      </c>
      <c r="H2628" s="39" t="n">
        <v>45837</v>
      </c>
      <c r="I2628" s="7" t="s">
        <v>14651</v>
      </c>
      <c r="J2628" s="8" t="str">
        <f aca="false">IF(I2628="Open",DATE(2025,12,31)-F2628,"-")</f>
        <v>-</v>
      </c>
    </row>
    <row r="2629" customFormat="false" ht="15" hidden="false" customHeight="false" outlineLevel="0" collapsed="false">
      <c r="B2629" s="7" t="s">
        <v>17274</v>
      </c>
      <c r="C2629" s="7" t="s">
        <v>3126</v>
      </c>
      <c r="D2629" s="7" t="s">
        <v>321</v>
      </c>
      <c r="E2629" s="7" t="s">
        <v>154</v>
      </c>
      <c r="F2629" s="39" t="n">
        <v>45790</v>
      </c>
      <c r="G2629" s="41" t="n">
        <v>113.95</v>
      </c>
      <c r="H2629" s="39" t="n">
        <v>45805</v>
      </c>
      <c r="I2629" s="7" t="s">
        <v>14651</v>
      </c>
      <c r="J2629" s="8" t="str">
        <f aca="false">IF(I2629="Open",DATE(2025,12,31)-F2629,"-")</f>
        <v>-</v>
      </c>
    </row>
    <row r="2630" customFormat="false" ht="15" hidden="false" customHeight="false" outlineLevel="0" collapsed="false">
      <c r="B2630" s="7" t="s">
        <v>17275</v>
      </c>
      <c r="C2630" s="7" t="s">
        <v>3127</v>
      </c>
      <c r="D2630" s="7" t="s">
        <v>323</v>
      </c>
      <c r="E2630" s="7" t="s">
        <v>159</v>
      </c>
      <c r="F2630" s="39" t="n">
        <v>45790</v>
      </c>
      <c r="G2630" s="41" t="n">
        <v>137.7</v>
      </c>
      <c r="H2630" s="39" t="n">
        <v>45831</v>
      </c>
      <c r="I2630" s="7" t="s">
        <v>14651</v>
      </c>
      <c r="J2630" s="8" t="str">
        <f aca="false">IF(I2630="Open",DATE(2025,12,31)-F2630,"-")</f>
        <v>-</v>
      </c>
    </row>
    <row r="2631" customFormat="false" ht="15" hidden="false" customHeight="false" outlineLevel="0" collapsed="false">
      <c r="B2631" s="7" t="s">
        <v>17276</v>
      </c>
      <c r="C2631" s="7" t="s">
        <v>3128</v>
      </c>
      <c r="D2631" s="7" t="s">
        <v>327</v>
      </c>
      <c r="E2631" s="7" t="s">
        <v>157</v>
      </c>
      <c r="F2631" s="39" t="n">
        <v>45790</v>
      </c>
      <c r="G2631" s="41" t="n">
        <v>178.2</v>
      </c>
      <c r="H2631" s="39" t="n">
        <v>45854</v>
      </c>
      <c r="I2631" s="7" t="s">
        <v>14651</v>
      </c>
      <c r="J2631" s="8" t="str">
        <f aca="false">IF(I2631="Open",DATE(2025,12,31)-F2631,"-")</f>
        <v>-</v>
      </c>
    </row>
    <row r="2632" customFormat="false" ht="15" hidden="false" customHeight="false" outlineLevel="0" collapsed="false">
      <c r="B2632" s="7" t="s">
        <v>17277</v>
      </c>
      <c r="C2632" s="7" t="s">
        <v>3129</v>
      </c>
      <c r="D2632" s="7" t="s">
        <v>329</v>
      </c>
      <c r="E2632" s="7" t="s">
        <v>156</v>
      </c>
      <c r="F2632" s="39" t="n">
        <v>45790</v>
      </c>
      <c r="G2632" s="41" t="n">
        <v>124.44</v>
      </c>
      <c r="H2632" s="39" t="n">
        <v>45812</v>
      </c>
      <c r="I2632" s="7" t="s">
        <v>14651</v>
      </c>
      <c r="J2632" s="8" t="str">
        <f aca="false">IF(I2632="Open",DATE(2025,12,31)-F2632,"-")</f>
        <v>-</v>
      </c>
    </row>
    <row r="2633" customFormat="false" ht="15" hidden="false" customHeight="false" outlineLevel="0" collapsed="false">
      <c r="B2633" s="7" t="s">
        <v>17278</v>
      </c>
      <c r="C2633" s="7" t="s">
        <v>3130</v>
      </c>
      <c r="D2633" s="7" t="s">
        <v>359</v>
      </c>
      <c r="E2633" s="7" t="s">
        <v>156</v>
      </c>
      <c r="F2633" s="39" t="n">
        <v>45790</v>
      </c>
      <c r="G2633" s="41" t="n">
        <v>148.24</v>
      </c>
      <c r="H2633" s="39" t="n">
        <v>45802</v>
      </c>
      <c r="I2633" s="7" t="s">
        <v>14651</v>
      </c>
      <c r="J2633" s="8" t="str">
        <f aca="false">IF(I2633="Open",DATE(2025,12,31)-F2633,"-")</f>
        <v>-</v>
      </c>
    </row>
    <row r="2634" customFormat="false" ht="15" hidden="false" customHeight="false" outlineLevel="0" collapsed="false">
      <c r="B2634" s="7" t="s">
        <v>17279</v>
      </c>
      <c r="C2634" s="7" t="s">
        <v>3131</v>
      </c>
      <c r="D2634" s="7" t="s">
        <v>361</v>
      </c>
      <c r="E2634" s="7" t="s">
        <v>157</v>
      </c>
      <c r="F2634" s="39" t="n">
        <v>45790</v>
      </c>
      <c r="G2634" s="41" t="n">
        <v>160.05</v>
      </c>
      <c r="H2634" s="39" t="n">
        <v>45842</v>
      </c>
      <c r="I2634" s="7" t="s">
        <v>14651</v>
      </c>
      <c r="J2634" s="8" t="str">
        <f aca="false">IF(I2634="Open",DATE(2025,12,31)-F2634,"-")</f>
        <v>-</v>
      </c>
    </row>
    <row r="2635" customFormat="false" ht="15" hidden="false" customHeight="false" outlineLevel="0" collapsed="false">
      <c r="B2635" s="7" t="s">
        <v>17280</v>
      </c>
      <c r="C2635" s="7" t="s">
        <v>3132</v>
      </c>
      <c r="D2635" s="7" t="s">
        <v>365</v>
      </c>
      <c r="E2635" s="7" t="s">
        <v>154</v>
      </c>
      <c r="F2635" s="39" t="n">
        <v>45790</v>
      </c>
      <c r="G2635" s="41" t="n">
        <v>100.7</v>
      </c>
      <c r="H2635" s="39" t="n">
        <v>45829</v>
      </c>
      <c r="I2635" s="7" t="s">
        <v>14651</v>
      </c>
      <c r="J2635" s="8" t="str">
        <f aca="false">IF(I2635="Open",DATE(2025,12,31)-F2635,"-")</f>
        <v>-</v>
      </c>
    </row>
    <row r="2636" customFormat="false" ht="15" hidden="false" customHeight="false" outlineLevel="0" collapsed="false">
      <c r="B2636" s="7" t="s">
        <v>17281</v>
      </c>
      <c r="C2636" s="7" t="s">
        <v>3133</v>
      </c>
      <c r="D2636" s="7" t="s">
        <v>381</v>
      </c>
      <c r="E2636" s="7" t="s">
        <v>157</v>
      </c>
      <c r="F2636" s="39" t="n">
        <v>45790</v>
      </c>
      <c r="G2636" s="41" t="n">
        <v>151.8</v>
      </c>
      <c r="H2636" s="39" t="n">
        <v>45837</v>
      </c>
      <c r="I2636" s="7" t="s">
        <v>14651</v>
      </c>
      <c r="J2636" s="8" t="str">
        <f aca="false">IF(I2636="Open",DATE(2025,12,31)-F2636,"-")</f>
        <v>-</v>
      </c>
    </row>
    <row r="2637" customFormat="false" ht="15" hidden="false" customHeight="false" outlineLevel="0" collapsed="false">
      <c r="B2637" s="7" t="s">
        <v>17282</v>
      </c>
      <c r="C2637" s="7" t="s">
        <v>3134</v>
      </c>
      <c r="D2637" s="7" t="s">
        <v>389</v>
      </c>
      <c r="E2637" s="7" t="s">
        <v>154</v>
      </c>
      <c r="F2637" s="39" t="n">
        <v>45790</v>
      </c>
      <c r="G2637" s="41" t="n">
        <v>99.91</v>
      </c>
      <c r="H2637" s="39" t="n">
        <v>45805</v>
      </c>
      <c r="I2637" s="7" t="s">
        <v>14651</v>
      </c>
      <c r="J2637" s="8" t="str">
        <f aca="false">IF(I2637="Open",DATE(2025,12,31)-F2637,"-")</f>
        <v>-</v>
      </c>
    </row>
    <row r="2638" customFormat="false" ht="15" hidden="false" customHeight="false" outlineLevel="0" collapsed="false">
      <c r="B2638" s="7" t="s">
        <v>17283</v>
      </c>
      <c r="C2638" s="7" t="s">
        <v>3135</v>
      </c>
      <c r="D2638" s="7" t="s">
        <v>391</v>
      </c>
      <c r="E2638" s="7" t="s">
        <v>156</v>
      </c>
      <c r="F2638" s="39" t="n">
        <v>45790</v>
      </c>
      <c r="G2638" s="41" t="n">
        <v>128.18</v>
      </c>
      <c r="H2638" s="39" t="n">
        <v>45801</v>
      </c>
      <c r="I2638" s="7" t="s">
        <v>14651</v>
      </c>
      <c r="J2638" s="8" t="str">
        <f aca="false">IF(I2638="Open",DATE(2025,12,31)-F2638,"-")</f>
        <v>-</v>
      </c>
    </row>
    <row r="2639" customFormat="false" ht="15" hidden="false" customHeight="false" outlineLevel="0" collapsed="false">
      <c r="B2639" s="7" t="s">
        <v>17284</v>
      </c>
      <c r="C2639" s="7" t="s">
        <v>3136</v>
      </c>
      <c r="D2639" s="7" t="s">
        <v>395</v>
      </c>
      <c r="E2639" s="7" t="s">
        <v>156</v>
      </c>
      <c r="F2639" s="39" t="n">
        <v>45790</v>
      </c>
      <c r="G2639" s="41" t="n">
        <v>139.74</v>
      </c>
      <c r="H2639" s="39" t="n">
        <v>45801</v>
      </c>
      <c r="I2639" s="7" t="s">
        <v>14651</v>
      </c>
      <c r="J2639" s="8" t="str">
        <f aca="false">IF(I2639="Open",DATE(2025,12,31)-F2639,"-")</f>
        <v>-</v>
      </c>
    </row>
    <row r="2640" customFormat="false" ht="15" hidden="false" customHeight="false" outlineLevel="0" collapsed="false">
      <c r="B2640" s="7" t="s">
        <v>17285</v>
      </c>
      <c r="C2640" s="7" t="s">
        <v>3137</v>
      </c>
      <c r="D2640" s="7" t="s">
        <v>397</v>
      </c>
      <c r="E2640" s="7" t="s">
        <v>159</v>
      </c>
      <c r="F2640" s="39" t="n">
        <v>45790</v>
      </c>
      <c r="G2640" s="41" t="n">
        <v>133.65</v>
      </c>
      <c r="H2640" s="39" t="n">
        <v>45845</v>
      </c>
      <c r="I2640" s="7" t="s">
        <v>14651</v>
      </c>
      <c r="J2640" s="8" t="str">
        <f aca="false">IF(I2640="Open",DATE(2025,12,31)-F2640,"-")</f>
        <v>-</v>
      </c>
    </row>
    <row r="2641" customFormat="false" ht="15" hidden="false" customHeight="false" outlineLevel="0" collapsed="false">
      <c r="B2641" s="7" t="s">
        <v>17286</v>
      </c>
      <c r="C2641" s="7" t="s">
        <v>3138</v>
      </c>
      <c r="D2641" s="7" t="s">
        <v>401</v>
      </c>
      <c r="E2641" s="7" t="s">
        <v>156</v>
      </c>
      <c r="F2641" s="39" t="n">
        <v>45790</v>
      </c>
      <c r="G2641" s="41" t="n">
        <v>131.92</v>
      </c>
      <c r="H2641" s="39" t="n">
        <v>45803</v>
      </c>
      <c r="I2641" s="7" t="s">
        <v>14651</v>
      </c>
      <c r="J2641" s="8" t="str">
        <f aca="false">IF(I2641="Open",DATE(2025,12,31)-F2641,"-")</f>
        <v>-</v>
      </c>
    </row>
    <row r="2642" customFormat="false" ht="15" hidden="false" customHeight="false" outlineLevel="0" collapsed="false">
      <c r="B2642" s="7" t="s">
        <v>17287</v>
      </c>
      <c r="C2642" s="7" t="s">
        <v>3139</v>
      </c>
      <c r="D2642" s="7" t="s">
        <v>280</v>
      </c>
      <c r="E2642" s="7" t="s">
        <v>157</v>
      </c>
      <c r="F2642" s="39" t="n">
        <v>45791</v>
      </c>
      <c r="G2642" s="41" t="n">
        <v>147.34</v>
      </c>
      <c r="H2642" s="39" t="n">
        <v>45837</v>
      </c>
      <c r="I2642" s="7" t="s">
        <v>14651</v>
      </c>
      <c r="J2642" s="8" t="str">
        <f aca="false">IF(I2642="Open",DATE(2025,12,31)-F2642,"-")</f>
        <v>-</v>
      </c>
    </row>
    <row r="2643" customFormat="false" ht="15" hidden="false" customHeight="false" outlineLevel="0" collapsed="false">
      <c r="B2643" s="7" t="s">
        <v>17288</v>
      </c>
      <c r="C2643" s="7" t="s">
        <v>3140</v>
      </c>
      <c r="D2643" s="7" t="s">
        <v>286</v>
      </c>
      <c r="E2643" s="7" t="s">
        <v>157</v>
      </c>
      <c r="F2643" s="39" t="n">
        <v>45791</v>
      </c>
      <c r="G2643" s="41" t="n">
        <v>165</v>
      </c>
      <c r="H2643" s="39" t="n">
        <v>45879</v>
      </c>
      <c r="I2643" s="7" t="s">
        <v>14651</v>
      </c>
      <c r="J2643" s="8" t="str">
        <f aca="false">IF(I2643="Open",DATE(2025,12,31)-F2643,"-")</f>
        <v>-</v>
      </c>
    </row>
    <row r="2644" customFormat="false" ht="15" hidden="false" customHeight="false" outlineLevel="0" collapsed="false">
      <c r="B2644" s="7" t="s">
        <v>17289</v>
      </c>
      <c r="C2644" s="7" t="s">
        <v>3141</v>
      </c>
      <c r="D2644" s="7" t="s">
        <v>288</v>
      </c>
      <c r="E2644" s="7" t="s">
        <v>156</v>
      </c>
      <c r="F2644" s="39" t="n">
        <v>45791</v>
      </c>
      <c r="G2644" s="41" t="n">
        <v>126.48</v>
      </c>
      <c r="H2644" s="39" t="n">
        <v>45792</v>
      </c>
      <c r="I2644" s="7" t="s">
        <v>14651</v>
      </c>
      <c r="J2644" s="8" t="str">
        <f aca="false">IF(I2644="Open",DATE(2025,12,31)-F2644,"-")</f>
        <v>-</v>
      </c>
    </row>
    <row r="2645" customFormat="false" ht="15" hidden="false" customHeight="false" outlineLevel="0" collapsed="false">
      <c r="B2645" s="7" t="s">
        <v>17290</v>
      </c>
      <c r="C2645" s="7" t="s">
        <v>3142</v>
      </c>
      <c r="D2645" s="7" t="s">
        <v>291</v>
      </c>
      <c r="E2645" s="7" t="s">
        <v>154</v>
      </c>
      <c r="F2645" s="39" t="n">
        <v>45791</v>
      </c>
      <c r="G2645" s="41" t="n">
        <v>115.27</v>
      </c>
      <c r="H2645" s="39" t="n">
        <v>45852</v>
      </c>
      <c r="I2645" s="7" t="s">
        <v>14651</v>
      </c>
      <c r="J2645" s="8" t="str">
        <f aca="false">IF(I2645="Open",DATE(2025,12,31)-F2645,"-")</f>
        <v>-</v>
      </c>
    </row>
    <row r="2646" customFormat="false" ht="15" hidden="false" customHeight="false" outlineLevel="0" collapsed="false">
      <c r="B2646" s="7" t="s">
        <v>17291</v>
      </c>
      <c r="C2646" s="7" t="s">
        <v>3143</v>
      </c>
      <c r="D2646" s="7" t="s">
        <v>305</v>
      </c>
      <c r="E2646" s="7" t="s">
        <v>154</v>
      </c>
      <c r="F2646" s="39" t="n">
        <v>45791</v>
      </c>
      <c r="G2646" s="41" t="n">
        <v>103.88</v>
      </c>
      <c r="H2646" s="39" t="n">
        <v>45825</v>
      </c>
      <c r="I2646" s="7" t="s">
        <v>14651</v>
      </c>
      <c r="J2646" s="8" t="str">
        <f aca="false">IF(I2646="Open",DATE(2025,12,31)-F2646,"-")</f>
        <v>-</v>
      </c>
    </row>
    <row r="2647" customFormat="false" ht="15" hidden="false" customHeight="false" outlineLevel="0" collapsed="false">
      <c r="B2647" s="7" t="s">
        <v>17292</v>
      </c>
      <c r="C2647" s="7" t="s">
        <v>3144</v>
      </c>
      <c r="D2647" s="7" t="s">
        <v>307</v>
      </c>
      <c r="E2647" s="7" t="s">
        <v>157</v>
      </c>
      <c r="F2647" s="39" t="n">
        <v>45791</v>
      </c>
      <c r="G2647" s="41" t="n">
        <v>147.34</v>
      </c>
      <c r="H2647" s="39" t="n">
        <v>45825</v>
      </c>
      <c r="I2647" s="7" t="s">
        <v>14651</v>
      </c>
      <c r="J2647" s="8" t="str">
        <f aca="false">IF(I2647="Open",DATE(2025,12,31)-F2647,"-")</f>
        <v>-</v>
      </c>
    </row>
    <row r="2648" customFormat="false" ht="15" hidden="false" customHeight="false" outlineLevel="0" collapsed="false">
      <c r="B2648" s="7" t="s">
        <v>17293</v>
      </c>
      <c r="C2648" s="7" t="s">
        <v>3145</v>
      </c>
      <c r="D2648" s="7" t="s">
        <v>309</v>
      </c>
      <c r="E2648" s="7" t="s">
        <v>159</v>
      </c>
      <c r="F2648" s="39" t="n">
        <v>45791</v>
      </c>
      <c r="G2648" s="41" t="n">
        <v>133.65</v>
      </c>
      <c r="H2648" s="39" t="n">
        <v>45846</v>
      </c>
      <c r="I2648" s="7" t="s">
        <v>14651</v>
      </c>
      <c r="J2648" s="8" t="str">
        <f aca="false">IF(I2648="Open",DATE(2025,12,31)-F2648,"-")</f>
        <v>-</v>
      </c>
    </row>
    <row r="2649" customFormat="false" ht="15" hidden="false" customHeight="false" outlineLevel="0" collapsed="false">
      <c r="B2649" s="7" t="s">
        <v>17294</v>
      </c>
      <c r="C2649" s="7" t="s">
        <v>3146</v>
      </c>
      <c r="D2649" s="7" t="s">
        <v>313</v>
      </c>
      <c r="E2649" s="7" t="s">
        <v>156</v>
      </c>
      <c r="F2649" s="39" t="n">
        <v>45791</v>
      </c>
      <c r="G2649" s="41" t="n">
        <v>131.92</v>
      </c>
      <c r="H2649" s="39" t="n">
        <v>45798</v>
      </c>
      <c r="I2649" s="7" t="s">
        <v>14651</v>
      </c>
      <c r="J2649" s="8" t="str">
        <f aca="false">IF(I2649="Open",DATE(2025,12,31)-F2649,"-")</f>
        <v>-</v>
      </c>
    </row>
    <row r="2650" customFormat="false" ht="15" hidden="false" customHeight="false" outlineLevel="0" collapsed="false">
      <c r="B2650" s="7" t="s">
        <v>17295</v>
      </c>
      <c r="C2650" s="7" t="s">
        <v>3147</v>
      </c>
      <c r="D2650" s="7" t="s">
        <v>321</v>
      </c>
      <c r="E2650" s="7" t="s">
        <v>154</v>
      </c>
      <c r="F2650" s="39" t="n">
        <v>45791</v>
      </c>
      <c r="G2650" s="41" t="n">
        <v>113.95</v>
      </c>
      <c r="H2650" s="39" t="n">
        <v>45905</v>
      </c>
      <c r="I2650" s="7" t="s">
        <v>14651</v>
      </c>
      <c r="J2650" s="8" t="str">
        <f aca="false">IF(I2650="Open",DATE(2025,12,31)-F2650,"-")</f>
        <v>-</v>
      </c>
    </row>
    <row r="2651" customFormat="false" ht="15" hidden="false" customHeight="false" outlineLevel="0" collapsed="false">
      <c r="B2651" s="7" t="s">
        <v>17296</v>
      </c>
      <c r="C2651" s="7" t="s">
        <v>3148</v>
      </c>
      <c r="D2651" s="7" t="s">
        <v>329</v>
      </c>
      <c r="E2651" s="7" t="s">
        <v>156</v>
      </c>
      <c r="F2651" s="39" t="n">
        <v>45791</v>
      </c>
      <c r="G2651" s="41" t="n">
        <v>123.42</v>
      </c>
      <c r="H2651" s="39" t="n">
        <v>45804</v>
      </c>
      <c r="I2651" s="7" t="s">
        <v>14651</v>
      </c>
      <c r="J2651" s="8" t="str">
        <f aca="false">IF(I2651="Open",DATE(2025,12,31)-F2651,"-")</f>
        <v>-</v>
      </c>
    </row>
    <row r="2652" customFormat="false" ht="15" hidden="false" customHeight="false" outlineLevel="0" collapsed="false">
      <c r="B2652" s="7" t="s">
        <v>17297</v>
      </c>
      <c r="C2652" s="7" t="s">
        <v>3149</v>
      </c>
      <c r="D2652" s="7" t="s">
        <v>335</v>
      </c>
      <c r="E2652" s="7" t="s">
        <v>154</v>
      </c>
      <c r="F2652" s="39" t="n">
        <v>45791</v>
      </c>
      <c r="G2652" s="41" t="n">
        <v>114.48</v>
      </c>
      <c r="H2652" s="39" t="n">
        <v>45881</v>
      </c>
      <c r="I2652" s="7" t="s">
        <v>14651</v>
      </c>
      <c r="J2652" s="8" t="str">
        <f aca="false">IF(I2652="Open",DATE(2025,12,31)-F2652,"-")</f>
        <v>-</v>
      </c>
    </row>
    <row r="2653" customFormat="false" ht="15" hidden="false" customHeight="false" outlineLevel="0" collapsed="false">
      <c r="B2653" s="7" t="s">
        <v>17298</v>
      </c>
      <c r="C2653" s="7" t="s">
        <v>3150</v>
      </c>
      <c r="D2653" s="7" t="s">
        <v>339</v>
      </c>
      <c r="E2653" s="7" t="s">
        <v>154</v>
      </c>
      <c r="F2653" s="39" t="n">
        <v>45791</v>
      </c>
      <c r="G2653" s="41" t="n">
        <v>87.98</v>
      </c>
      <c r="H2653" s="39" t="n">
        <v>45858</v>
      </c>
      <c r="I2653" s="7" t="s">
        <v>14651</v>
      </c>
      <c r="J2653" s="8" t="str">
        <f aca="false">IF(I2653="Open",DATE(2025,12,31)-F2653,"-")</f>
        <v>-</v>
      </c>
    </row>
    <row r="2654" customFormat="false" ht="15" hidden="false" customHeight="false" outlineLevel="0" collapsed="false">
      <c r="B2654" s="7" t="s">
        <v>17299</v>
      </c>
      <c r="C2654" s="7" t="s">
        <v>3151</v>
      </c>
      <c r="D2654" s="7" t="s">
        <v>353</v>
      </c>
      <c r="E2654" s="7" t="s">
        <v>154</v>
      </c>
      <c r="F2654" s="39" t="n">
        <v>45791</v>
      </c>
      <c r="G2654" s="41" t="n">
        <v>86.92</v>
      </c>
      <c r="H2654" s="39" t="n">
        <v>45846</v>
      </c>
      <c r="I2654" s="7" t="s">
        <v>14651</v>
      </c>
      <c r="J2654" s="8" t="str">
        <f aca="false">IF(I2654="Open",DATE(2025,12,31)-F2654,"-")</f>
        <v>-</v>
      </c>
    </row>
    <row r="2655" customFormat="false" ht="15" hidden="false" customHeight="false" outlineLevel="0" collapsed="false">
      <c r="B2655" s="7" t="s">
        <v>17300</v>
      </c>
      <c r="C2655" s="7" t="s">
        <v>3152</v>
      </c>
      <c r="D2655" s="7" t="s">
        <v>355</v>
      </c>
      <c r="E2655" s="7" t="s">
        <v>154</v>
      </c>
      <c r="F2655" s="39" t="n">
        <v>45791</v>
      </c>
      <c r="G2655" s="41" t="n">
        <v>92.22</v>
      </c>
      <c r="H2655" s="39" t="n">
        <v>45835</v>
      </c>
      <c r="I2655" s="7" t="s">
        <v>14651</v>
      </c>
      <c r="J2655" s="8" t="str">
        <f aca="false">IF(I2655="Open",DATE(2025,12,31)-F2655,"-")</f>
        <v>-</v>
      </c>
    </row>
    <row r="2656" customFormat="false" ht="15" hidden="false" customHeight="false" outlineLevel="0" collapsed="false">
      <c r="B2656" s="7" t="s">
        <v>17301</v>
      </c>
      <c r="C2656" s="7" t="s">
        <v>3153</v>
      </c>
      <c r="D2656" s="7" t="s">
        <v>357</v>
      </c>
      <c r="E2656" s="7" t="s">
        <v>154</v>
      </c>
      <c r="F2656" s="39" t="n">
        <v>45791</v>
      </c>
      <c r="G2656" s="41" t="n">
        <v>95.13</v>
      </c>
      <c r="H2656" s="39" t="n">
        <v>45912</v>
      </c>
      <c r="I2656" s="7" t="s">
        <v>14651</v>
      </c>
      <c r="J2656" s="8" t="str">
        <f aca="false">IF(I2656="Open",DATE(2025,12,31)-F2656,"-")</f>
        <v>-</v>
      </c>
    </row>
    <row r="2657" customFormat="false" ht="15" hidden="false" customHeight="false" outlineLevel="0" collapsed="false">
      <c r="B2657" s="7" t="s">
        <v>17302</v>
      </c>
      <c r="C2657" s="7" t="s">
        <v>3154</v>
      </c>
      <c r="D2657" s="7" t="s">
        <v>359</v>
      </c>
      <c r="E2657" s="7" t="s">
        <v>156</v>
      </c>
      <c r="F2657" s="39" t="n">
        <v>45791</v>
      </c>
      <c r="G2657" s="41" t="n">
        <v>145.18</v>
      </c>
      <c r="H2657" s="39" t="n">
        <v>45799</v>
      </c>
      <c r="I2657" s="7" t="s">
        <v>14651</v>
      </c>
      <c r="J2657" s="8" t="str">
        <f aca="false">IF(I2657="Open",DATE(2025,12,31)-F2657,"-")</f>
        <v>-</v>
      </c>
    </row>
    <row r="2658" customFormat="false" ht="15" hidden="false" customHeight="false" outlineLevel="0" collapsed="false">
      <c r="B2658" s="7" t="s">
        <v>17303</v>
      </c>
      <c r="C2658" s="7" t="s">
        <v>3155</v>
      </c>
      <c r="D2658" s="7" t="s">
        <v>379</v>
      </c>
      <c r="E2658" s="7" t="s">
        <v>156</v>
      </c>
      <c r="F2658" s="39" t="n">
        <v>45791</v>
      </c>
      <c r="G2658" s="41" t="n">
        <v>150.28</v>
      </c>
      <c r="H2658" s="39" t="n">
        <v>45799</v>
      </c>
      <c r="I2658" s="7" t="s">
        <v>14651</v>
      </c>
      <c r="J2658" s="8" t="str">
        <f aca="false">IF(I2658="Open",DATE(2025,12,31)-F2658,"-")</f>
        <v>-</v>
      </c>
    </row>
    <row r="2659" customFormat="false" ht="15" hidden="false" customHeight="false" outlineLevel="0" collapsed="false">
      <c r="B2659" s="7" t="s">
        <v>17304</v>
      </c>
      <c r="C2659" s="7" t="s">
        <v>3156</v>
      </c>
      <c r="D2659" s="7" t="s">
        <v>385</v>
      </c>
      <c r="E2659" s="7" t="s">
        <v>156</v>
      </c>
      <c r="F2659" s="39" t="n">
        <v>45791</v>
      </c>
      <c r="G2659" s="41" t="n">
        <v>148.92</v>
      </c>
      <c r="H2659" s="39" t="n">
        <v>45805</v>
      </c>
      <c r="I2659" s="7" t="s">
        <v>14651</v>
      </c>
      <c r="J2659" s="8" t="str">
        <f aca="false">IF(I2659="Open",DATE(2025,12,31)-F2659,"-")</f>
        <v>-</v>
      </c>
    </row>
    <row r="2660" customFormat="false" ht="15" hidden="false" customHeight="false" outlineLevel="0" collapsed="false">
      <c r="B2660" s="7" t="s">
        <v>17305</v>
      </c>
      <c r="C2660" s="7" t="s">
        <v>3157</v>
      </c>
      <c r="D2660" s="7" t="s">
        <v>389</v>
      </c>
      <c r="E2660" s="7" t="s">
        <v>154</v>
      </c>
      <c r="F2660" s="39" t="n">
        <v>45791</v>
      </c>
      <c r="G2660" s="41" t="n">
        <v>101.5</v>
      </c>
      <c r="H2660" s="39" t="n">
        <v>45876</v>
      </c>
      <c r="I2660" s="7" t="s">
        <v>14651</v>
      </c>
      <c r="J2660" s="8" t="str">
        <f aca="false">IF(I2660="Open",DATE(2025,12,31)-F2660,"-")</f>
        <v>-</v>
      </c>
    </row>
    <row r="2661" customFormat="false" ht="15" hidden="false" customHeight="false" outlineLevel="0" collapsed="false">
      <c r="B2661" s="7" t="s">
        <v>17306</v>
      </c>
      <c r="C2661" s="7" t="s">
        <v>3158</v>
      </c>
      <c r="D2661" s="7" t="s">
        <v>391</v>
      </c>
      <c r="E2661" s="7" t="s">
        <v>156</v>
      </c>
      <c r="F2661" s="39" t="n">
        <v>45791</v>
      </c>
      <c r="G2661" s="41" t="n">
        <v>129.2</v>
      </c>
      <c r="H2661" s="39" t="n">
        <v>45794</v>
      </c>
      <c r="I2661" s="7" t="s">
        <v>14651</v>
      </c>
      <c r="J2661" s="8" t="str">
        <f aca="false">IF(I2661="Open",DATE(2025,12,31)-F2661,"-")</f>
        <v>-</v>
      </c>
    </row>
    <row r="2662" customFormat="false" ht="15" hidden="false" customHeight="false" outlineLevel="0" collapsed="false">
      <c r="B2662" s="7" t="s">
        <v>17307</v>
      </c>
      <c r="C2662" s="7" t="s">
        <v>3159</v>
      </c>
      <c r="D2662" s="7" t="s">
        <v>393</v>
      </c>
      <c r="E2662" s="7" t="s">
        <v>157</v>
      </c>
      <c r="F2662" s="39" t="n">
        <v>45791</v>
      </c>
      <c r="G2662" s="41" t="n">
        <v>156.75</v>
      </c>
      <c r="H2662" s="39" t="n">
        <v>45832</v>
      </c>
      <c r="I2662" s="7" t="s">
        <v>14651</v>
      </c>
      <c r="J2662" s="8" t="str">
        <f aca="false">IF(I2662="Open",DATE(2025,12,31)-F2662,"-")</f>
        <v>-</v>
      </c>
    </row>
    <row r="2663" customFormat="false" ht="15" hidden="false" customHeight="false" outlineLevel="0" collapsed="false">
      <c r="B2663" s="7" t="s">
        <v>17308</v>
      </c>
      <c r="C2663" s="7" t="s">
        <v>3160</v>
      </c>
      <c r="D2663" s="7" t="s">
        <v>395</v>
      </c>
      <c r="E2663" s="7" t="s">
        <v>156</v>
      </c>
      <c r="F2663" s="39" t="n">
        <v>45791</v>
      </c>
      <c r="G2663" s="41" t="n">
        <v>149.6</v>
      </c>
      <c r="H2663" s="39" t="n">
        <v>45798</v>
      </c>
      <c r="I2663" s="7" t="s">
        <v>14651</v>
      </c>
      <c r="J2663" s="8" t="str">
        <f aca="false">IF(I2663="Open",DATE(2025,12,31)-F2663,"-")</f>
        <v>-</v>
      </c>
    </row>
    <row r="2664" customFormat="false" ht="15" hidden="false" customHeight="false" outlineLevel="0" collapsed="false">
      <c r="B2664" s="7" t="s">
        <v>17309</v>
      </c>
      <c r="C2664" s="7" t="s">
        <v>3161</v>
      </c>
      <c r="D2664" s="7" t="s">
        <v>399</v>
      </c>
      <c r="E2664" s="7" t="s">
        <v>154</v>
      </c>
      <c r="F2664" s="39" t="n">
        <v>45791</v>
      </c>
      <c r="G2664" s="41" t="n">
        <v>82.94</v>
      </c>
      <c r="H2664" s="39" t="n">
        <v>45852</v>
      </c>
      <c r="I2664" s="7" t="s">
        <v>14651</v>
      </c>
      <c r="J2664" s="8" t="str">
        <f aca="false">IF(I2664="Open",DATE(2025,12,31)-F2664,"-")</f>
        <v>-</v>
      </c>
    </row>
    <row r="2665" customFormat="false" ht="15" hidden="false" customHeight="false" outlineLevel="0" collapsed="false">
      <c r="B2665" s="7" t="s">
        <v>17310</v>
      </c>
      <c r="C2665" s="7" t="s">
        <v>3162</v>
      </c>
      <c r="D2665" s="7" t="s">
        <v>401</v>
      </c>
      <c r="E2665" s="7" t="s">
        <v>156</v>
      </c>
      <c r="F2665" s="39" t="n">
        <v>45791</v>
      </c>
      <c r="G2665" s="41" t="n">
        <v>141.44</v>
      </c>
      <c r="H2665" s="39" t="n">
        <v>45802</v>
      </c>
      <c r="I2665" s="7" t="s">
        <v>14651</v>
      </c>
      <c r="J2665" s="8" t="str">
        <f aca="false">IF(I2665="Open",DATE(2025,12,31)-F2665,"-")</f>
        <v>-</v>
      </c>
    </row>
    <row r="2666" customFormat="false" ht="15" hidden="false" customHeight="false" outlineLevel="0" collapsed="false">
      <c r="B2666" s="7" t="s">
        <v>17311</v>
      </c>
      <c r="C2666" s="7" t="s">
        <v>3163</v>
      </c>
      <c r="D2666" s="7" t="s">
        <v>409</v>
      </c>
      <c r="E2666" s="7" t="s">
        <v>154</v>
      </c>
      <c r="F2666" s="39" t="n">
        <v>45791</v>
      </c>
      <c r="G2666" s="41" t="n">
        <v>96.99</v>
      </c>
      <c r="H2666" s="39" t="n">
        <v>45817</v>
      </c>
      <c r="I2666" s="7" t="s">
        <v>14651</v>
      </c>
      <c r="J2666" s="8" t="str">
        <f aca="false">IF(I2666="Open",DATE(2025,12,31)-F2666,"-")</f>
        <v>-</v>
      </c>
    </row>
    <row r="2667" customFormat="false" ht="15" hidden="false" customHeight="false" outlineLevel="0" collapsed="false">
      <c r="B2667" s="7" t="s">
        <v>17312</v>
      </c>
      <c r="C2667" s="7" t="s">
        <v>3164</v>
      </c>
      <c r="D2667" s="7" t="s">
        <v>411</v>
      </c>
      <c r="E2667" s="7" t="s">
        <v>154</v>
      </c>
      <c r="F2667" s="39" t="n">
        <v>45791</v>
      </c>
      <c r="G2667" s="41" t="n">
        <v>113.37</v>
      </c>
      <c r="H2667" s="39" t="n">
        <v>45865</v>
      </c>
      <c r="I2667" s="7" t="s">
        <v>14651</v>
      </c>
      <c r="J2667" s="8" t="str">
        <f aca="false">IF(I2667="Open",DATE(2025,12,31)-F2667,"-")</f>
        <v>-</v>
      </c>
    </row>
    <row r="2668" customFormat="false" ht="15" hidden="false" customHeight="false" outlineLevel="0" collapsed="false">
      <c r="B2668" s="7" t="s">
        <v>17313</v>
      </c>
      <c r="C2668" s="7" t="s">
        <v>3165</v>
      </c>
      <c r="D2668" s="7" t="s">
        <v>288</v>
      </c>
      <c r="E2668" s="7" t="s">
        <v>156</v>
      </c>
      <c r="F2668" s="39" t="n">
        <v>45792</v>
      </c>
      <c r="G2668" s="41" t="n">
        <v>149.26</v>
      </c>
      <c r="H2668" s="39" t="n">
        <v>45801</v>
      </c>
      <c r="I2668" s="7" t="s">
        <v>14651</v>
      </c>
      <c r="J2668" s="8" t="str">
        <f aca="false">IF(I2668="Open",DATE(2025,12,31)-F2668,"-")</f>
        <v>-</v>
      </c>
    </row>
    <row r="2669" customFormat="false" ht="15" hidden="false" customHeight="false" outlineLevel="0" collapsed="false">
      <c r="B2669" s="7" t="s">
        <v>17314</v>
      </c>
      <c r="C2669" s="7" t="s">
        <v>3166</v>
      </c>
      <c r="D2669" s="7" t="s">
        <v>297</v>
      </c>
      <c r="E2669" s="7" t="s">
        <v>156</v>
      </c>
      <c r="F2669" s="39" t="n">
        <v>45792</v>
      </c>
      <c r="G2669" s="41" t="n">
        <v>104.38</v>
      </c>
      <c r="H2669" s="39" t="n">
        <v>45807</v>
      </c>
      <c r="I2669" s="7" t="s">
        <v>14651</v>
      </c>
      <c r="J2669" s="8" t="str">
        <f aca="false">IF(I2669="Open",DATE(2025,12,31)-F2669,"-")</f>
        <v>-</v>
      </c>
    </row>
    <row r="2670" customFormat="false" ht="15" hidden="false" customHeight="false" outlineLevel="0" collapsed="false">
      <c r="B2670" s="7" t="s">
        <v>17315</v>
      </c>
      <c r="C2670" s="7" t="s">
        <v>3167</v>
      </c>
      <c r="D2670" s="7" t="s">
        <v>311</v>
      </c>
      <c r="E2670" s="7" t="s">
        <v>154</v>
      </c>
      <c r="F2670" s="39" t="n">
        <v>45792</v>
      </c>
      <c r="G2670" s="41" t="n">
        <v>77.91</v>
      </c>
      <c r="H2670" s="39" t="n">
        <v>45881</v>
      </c>
      <c r="I2670" s="7" t="s">
        <v>14651</v>
      </c>
      <c r="J2670" s="8" t="str">
        <f aca="false">IF(I2670="Open",DATE(2025,12,31)-F2670,"-")</f>
        <v>-</v>
      </c>
    </row>
    <row r="2671" customFormat="false" ht="15" hidden="false" customHeight="false" outlineLevel="0" collapsed="false">
      <c r="B2671" s="7" t="s">
        <v>17316</v>
      </c>
      <c r="C2671" s="7" t="s">
        <v>3168</v>
      </c>
      <c r="D2671" s="7" t="s">
        <v>313</v>
      </c>
      <c r="E2671" s="7" t="s">
        <v>156</v>
      </c>
      <c r="F2671" s="39" t="n">
        <v>45792</v>
      </c>
      <c r="G2671" s="41" t="n">
        <v>128.86</v>
      </c>
      <c r="H2671" s="39" t="n">
        <v>45810</v>
      </c>
      <c r="I2671" s="7" t="s">
        <v>14651</v>
      </c>
      <c r="J2671" s="8" t="str">
        <f aca="false">IF(I2671="Open",DATE(2025,12,31)-F2671,"-")</f>
        <v>-</v>
      </c>
    </row>
    <row r="2672" customFormat="false" ht="15" hidden="false" customHeight="false" outlineLevel="0" collapsed="false">
      <c r="B2672" s="7" t="s">
        <v>17317</v>
      </c>
      <c r="C2672" s="7" t="s">
        <v>3169</v>
      </c>
      <c r="D2672" s="7" t="s">
        <v>317</v>
      </c>
      <c r="E2672" s="7" t="s">
        <v>156</v>
      </c>
      <c r="F2672" s="39" t="n">
        <v>45792</v>
      </c>
      <c r="G2672" s="41" t="n">
        <v>102.34</v>
      </c>
      <c r="H2672" s="39" t="n">
        <v>45811</v>
      </c>
      <c r="I2672" s="7" t="s">
        <v>14651</v>
      </c>
      <c r="J2672" s="8" t="str">
        <f aca="false">IF(I2672="Open",DATE(2025,12,31)-F2672,"-")</f>
        <v>-</v>
      </c>
    </row>
    <row r="2673" customFormat="false" ht="15" hidden="false" customHeight="false" outlineLevel="0" collapsed="false">
      <c r="B2673" s="7" t="s">
        <v>17318</v>
      </c>
      <c r="C2673" s="7" t="s">
        <v>3170</v>
      </c>
      <c r="D2673" s="7" t="s">
        <v>321</v>
      </c>
      <c r="E2673" s="7" t="s">
        <v>154</v>
      </c>
      <c r="F2673" s="39" t="n">
        <v>45792</v>
      </c>
      <c r="G2673" s="41" t="n">
        <v>101.23</v>
      </c>
      <c r="H2673" s="39" t="n">
        <v>45899</v>
      </c>
      <c r="I2673" s="7" t="s">
        <v>14651</v>
      </c>
      <c r="J2673" s="8" t="str">
        <f aca="false">IF(I2673="Open",DATE(2025,12,31)-F2673,"-")</f>
        <v>-</v>
      </c>
    </row>
    <row r="2674" customFormat="false" ht="15" hidden="false" customHeight="false" outlineLevel="0" collapsed="false">
      <c r="B2674" s="7" t="s">
        <v>17319</v>
      </c>
      <c r="C2674" s="7" t="s">
        <v>3171</v>
      </c>
      <c r="D2674" s="7" t="s">
        <v>325</v>
      </c>
      <c r="E2674" s="7" t="s">
        <v>154</v>
      </c>
      <c r="F2674" s="39" t="n">
        <v>45792</v>
      </c>
      <c r="G2674" s="41" t="n">
        <v>75.84</v>
      </c>
      <c r="H2674" s="39" t="n">
        <v>45846</v>
      </c>
      <c r="I2674" s="7" t="s">
        <v>14651</v>
      </c>
      <c r="J2674" s="8" t="str">
        <f aca="false">IF(I2674="Open",DATE(2025,12,31)-F2674,"-")</f>
        <v>-</v>
      </c>
    </row>
    <row r="2675" customFormat="false" ht="15" hidden="false" customHeight="false" outlineLevel="0" collapsed="false">
      <c r="B2675" s="7" t="s">
        <v>17320</v>
      </c>
      <c r="C2675" s="7" t="s">
        <v>3172</v>
      </c>
      <c r="D2675" s="7" t="s">
        <v>329</v>
      </c>
      <c r="E2675" s="7" t="s">
        <v>156</v>
      </c>
      <c r="F2675" s="39" t="n">
        <v>45792</v>
      </c>
      <c r="G2675" s="41" t="n">
        <v>123.42</v>
      </c>
      <c r="H2675" s="39" t="n">
        <v>45796</v>
      </c>
      <c r="I2675" s="7" t="s">
        <v>14651</v>
      </c>
      <c r="J2675" s="8" t="str">
        <f aca="false">IF(I2675="Open",DATE(2025,12,31)-F2675,"-")</f>
        <v>-</v>
      </c>
    </row>
    <row r="2676" customFormat="false" ht="15" hidden="false" customHeight="false" outlineLevel="0" collapsed="false">
      <c r="B2676" s="7" t="s">
        <v>17321</v>
      </c>
      <c r="C2676" s="7" t="s">
        <v>3173</v>
      </c>
      <c r="D2676" s="7" t="s">
        <v>331</v>
      </c>
      <c r="E2676" s="7" t="s">
        <v>156</v>
      </c>
      <c r="F2676" s="39" t="n">
        <v>45792</v>
      </c>
      <c r="G2676" s="41" t="n">
        <v>128.18</v>
      </c>
      <c r="H2676" s="39" t="n">
        <v>45801</v>
      </c>
      <c r="I2676" s="7" t="s">
        <v>14651</v>
      </c>
      <c r="J2676" s="8" t="str">
        <f aca="false">IF(I2676="Open",DATE(2025,12,31)-F2676,"-")</f>
        <v>-</v>
      </c>
    </row>
    <row r="2677" customFormat="false" ht="15" hidden="false" customHeight="false" outlineLevel="0" collapsed="false">
      <c r="B2677" s="7" t="s">
        <v>17322</v>
      </c>
      <c r="C2677" s="7" t="s">
        <v>3174</v>
      </c>
      <c r="D2677" s="7" t="s">
        <v>337</v>
      </c>
      <c r="E2677" s="7" t="s">
        <v>154</v>
      </c>
      <c r="F2677" s="39" t="n">
        <v>45792</v>
      </c>
      <c r="G2677" s="41" t="n">
        <v>73.14</v>
      </c>
      <c r="H2677" s="39" t="n">
        <v>45891</v>
      </c>
      <c r="I2677" s="7" t="s">
        <v>14651</v>
      </c>
      <c r="J2677" s="8" t="str">
        <f aca="false">IF(I2677="Open",DATE(2025,12,31)-F2677,"-")</f>
        <v>-</v>
      </c>
    </row>
    <row r="2678" customFormat="false" ht="15" hidden="false" customHeight="false" outlineLevel="0" collapsed="false">
      <c r="B2678" s="7" t="s">
        <v>17323</v>
      </c>
      <c r="C2678" s="7" t="s">
        <v>3175</v>
      </c>
      <c r="D2678" s="7" t="s">
        <v>341</v>
      </c>
      <c r="E2678" s="7" t="s">
        <v>156</v>
      </c>
      <c r="F2678" s="39" t="n">
        <v>45792</v>
      </c>
      <c r="G2678" s="41" t="n">
        <v>99.28</v>
      </c>
      <c r="H2678" s="39" t="n">
        <v>45813</v>
      </c>
      <c r="I2678" s="7" t="s">
        <v>14651</v>
      </c>
      <c r="J2678" s="8" t="str">
        <f aca="false">IF(I2678="Open",DATE(2025,12,31)-F2678,"-")</f>
        <v>-</v>
      </c>
    </row>
    <row r="2679" customFormat="false" ht="15" hidden="false" customHeight="false" outlineLevel="0" collapsed="false">
      <c r="B2679" s="7" t="s">
        <v>17324</v>
      </c>
      <c r="C2679" s="7" t="s">
        <v>3176</v>
      </c>
      <c r="D2679" s="7" t="s">
        <v>343</v>
      </c>
      <c r="E2679" s="7" t="s">
        <v>154</v>
      </c>
      <c r="F2679" s="39" t="n">
        <v>45792</v>
      </c>
      <c r="G2679" s="41" t="n">
        <v>95.66</v>
      </c>
      <c r="H2679" s="39" t="n">
        <v>45899</v>
      </c>
      <c r="I2679" s="7" t="s">
        <v>14651</v>
      </c>
      <c r="J2679" s="8" t="str">
        <f aca="false">IF(I2679="Open",DATE(2025,12,31)-F2679,"-")</f>
        <v>-</v>
      </c>
    </row>
    <row r="2680" customFormat="false" ht="15" hidden="false" customHeight="false" outlineLevel="0" collapsed="false">
      <c r="B2680" s="7" t="s">
        <v>17325</v>
      </c>
      <c r="C2680" s="7" t="s">
        <v>3177</v>
      </c>
      <c r="D2680" s="7" t="s">
        <v>351</v>
      </c>
      <c r="E2680" s="7" t="s">
        <v>154</v>
      </c>
      <c r="F2680" s="39" t="n">
        <v>45792</v>
      </c>
      <c r="G2680" s="41" t="n">
        <v>76.85</v>
      </c>
      <c r="H2680" s="39" t="n">
        <v>45816</v>
      </c>
      <c r="I2680" s="7" t="s">
        <v>14651</v>
      </c>
      <c r="J2680" s="8" t="str">
        <f aca="false">IF(I2680="Open",DATE(2025,12,31)-F2680,"-")</f>
        <v>-</v>
      </c>
    </row>
    <row r="2681" customFormat="false" ht="15" hidden="false" customHeight="false" outlineLevel="0" collapsed="false">
      <c r="B2681" s="7" t="s">
        <v>17326</v>
      </c>
      <c r="C2681" s="7" t="s">
        <v>3178</v>
      </c>
      <c r="D2681" s="7" t="s">
        <v>359</v>
      </c>
      <c r="E2681" s="7" t="s">
        <v>156</v>
      </c>
      <c r="F2681" s="39" t="n">
        <v>45792</v>
      </c>
      <c r="G2681" s="41" t="n">
        <v>143.48</v>
      </c>
      <c r="H2681" s="39" t="n">
        <v>45798</v>
      </c>
      <c r="I2681" s="7" t="s">
        <v>14651</v>
      </c>
      <c r="J2681" s="8" t="str">
        <f aca="false">IF(I2681="Open",DATE(2025,12,31)-F2681,"-")</f>
        <v>-</v>
      </c>
    </row>
    <row r="2682" customFormat="false" ht="15" hidden="false" customHeight="false" outlineLevel="0" collapsed="false">
      <c r="B2682" s="7" t="s">
        <v>17327</v>
      </c>
      <c r="C2682" s="7" t="s">
        <v>3179</v>
      </c>
      <c r="D2682" s="7" t="s">
        <v>363</v>
      </c>
      <c r="E2682" s="7" t="s">
        <v>156</v>
      </c>
      <c r="F2682" s="39" t="n">
        <v>45792</v>
      </c>
      <c r="G2682" s="41" t="n">
        <v>140.08</v>
      </c>
      <c r="H2682" s="39" t="n">
        <v>45807</v>
      </c>
      <c r="I2682" s="7" t="s">
        <v>14651</v>
      </c>
      <c r="J2682" s="8" t="str">
        <f aca="false">IF(I2682="Open",DATE(2025,12,31)-F2682,"-")</f>
        <v>-</v>
      </c>
    </row>
    <row r="2683" customFormat="false" ht="15" hidden="false" customHeight="false" outlineLevel="0" collapsed="false">
      <c r="B2683" s="7" t="s">
        <v>17328</v>
      </c>
      <c r="C2683" s="7" t="s">
        <v>3180</v>
      </c>
      <c r="D2683" s="7" t="s">
        <v>365</v>
      </c>
      <c r="E2683" s="7" t="s">
        <v>154</v>
      </c>
      <c r="F2683" s="39" t="n">
        <v>45792</v>
      </c>
      <c r="G2683" s="41" t="n">
        <v>114.21</v>
      </c>
      <c r="H2683" s="39" t="n">
        <v>45833</v>
      </c>
      <c r="I2683" s="7" t="s">
        <v>14651</v>
      </c>
      <c r="J2683" s="8" t="str">
        <f aca="false">IF(I2683="Open",DATE(2025,12,31)-F2683,"-")</f>
        <v>-</v>
      </c>
    </row>
    <row r="2684" customFormat="false" ht="15" hidden="false" customHeight="false" outlineLevel="0" collapsed="false">
      <c r="B2684" s="7" t="s">
        <v>17329</v>
      </c>
      <c r="C2684" s="7" t="s">
        <v>3181</v>
      </c>
      <c r="D2684" s="7" t="s">
        <v>375</v>
      </c>
      <c r="E2684" s="7" t="s">
        <v>156</v>
      </c>
      <c r="F2684" s="39" t="n">
        <v>45792</v>
      </c>
      <c r="G2684" s="41" t="n">
        <v>94.18</v>
      </c>
      <c r="H2684" s="39" t="n">
        <v>45812</v>
      </c>
      <c r="I2684" s="7" t="s">
        <v>14651</v>
      </c>
      <c r="J2684" s="8" t="str">
        <f aca="false">IF(I2684="Open",DATE(2025,12,31)-F2684,"-")</f>
        <v>-</v>
      </c>
    </row>
    <row r="2685" customFormat="false" ht="15" hidden="false" customHeight="false" outlineLevel="0" collapsed="false">
      <c r="B2685" s="7" t="s">
        <v>17330</v>
      </c>
      <c r="C2685" s="7" t="s">
        <v>3182</v>
      </c>
      <c r="D2685" s="7" t="s">
        <v>377</v>
      </c>
      <c r="E2685" s="7" t="s">
        <v>154</v>
      </c>
      <c r="F2685" s="39" t="n">
        <v>45792</v>
      </c>
      <c r="G2685" s="41" t="n">
        <v>109.18</v>
      </c>
      <c r="H2685" s="39" t="n">
        <v>45864</v>
      </c>
      <c r="I2685" s="7" t="s">
        <v>14651</v>
      </c>
      <c r="J2685" s="8" t="str">
        <f aca="false">IF(I2685="Open",DATE(2025,12,31)-F2685,"-")</f>
        <v>-</v>
      </c>
    </row>
    <row r="2686" customFormat="false" ht="15" hidden="false" customHeight="false" outlineLevel="0" collapsed="false">
      <c r="B2686" s="7" t="s">
        <v>17331</v>
      </c>
      <c r="C2686" s="7" t="s">
        <v>3183</v>
      </c>
      <c r="D2686" s="7" t="s">
        <v>389</v>
      </c>
      <c r="E2686" s="7" t="s">
        <v>154</v>
      </c>
      <c r="F2686" s="39" t="n">
        <v>45792</v>
      </c>
      <c r="G2686" s="41" t="n">
        <v>115.01</v>
      </c>
      <c r="H2686" s="39" t="n">
        <v>45861</v>
      </c>
      <c r="I2686" s="7" t="s">
        <v>14651</v>
      </c>
      <c r="J2686" s="8" t="str">
        <f aca="false">IF(I2686="Open",DATE(2025,12,31)-F2686,"-")</f>
        <v>-</v>
      </c>
    </row>
    <row r="2687" customFormat="false" ht="15" hidden="false" customHeight="false" outlineLevel="0" collapsed="false">
      <c r="B2687" s="7" t="s">
        <v>17332</v>
      </c>
      <c r="C2687" s="7" t="s">
        <v>3184</v>
      </c>
      <c r="D2687" s="7" t="s">
        <v>391</v>
      </c>
      <c r="E2687" s="7" t="s">
        <v>156</v>
      </c>
      <c r="F2687" s="39" t="n">
        <v>45792</v>
      </c>
      <c r="G2687" s="41" t="n">
        <v>131.58</v>
      </c>
      <c r="H2687" s="39" t="n">
        <v>45812</v>
      </c>
      <c r="I2687" s="7" t="s">
        <v>14651</v>
      </c>
      <c r="J2687" s="8" t="str">
        <f aca="false">IF(I2687="Open",DATE(2025,12,31)-F2687,"-")</f>
        <v>-</v>
      </c>
    </row>
    <row r="2688" customFormat="false" ht="15" hidden="false" customHeight="false" outlineLevel="0" collapsed="false">
      <c r="B2688" s="7" t="s">
        <v>17333</v>
      </c>
      <c r="C2688" s="7" t="s">
        <v>3185</v>
      </c>
      <c r="D2688" s="7" t="s">
        <v>395</v>
      </c>
      <c r="E2688" s="7" t="s">
        <v>156</v>
      </c>
      <c r="F2688" s="39" t="n">
        <v>45792</v>
      </c>
      <c r="G2688" s="41" t="n">
        <v>127.84</v>
      </c>
      <c r="H2688" s="39" t="n">
        <v>45802</v>
      </c>
      <c r="I2688" s="7" t="s">
        <v>14651</v>
      </c>
      <c r="J2688" s="8" t="str">
        <f aca="false">IF(I2688="Open",DATE(2025,12,31)-F2688,"-")</f>
        <v>-</v>
      </c>
    </row>
    <row r="2689" customFormat="false" ht="15" hidden="false" customHeight="false" outlineLevel="0" collapsed="false">
      <c r="B2689" s="7" t="s">
        <v>17334</v>
      </c>
      <c r="C2689" s="7" t="s">
        <v>3186</v>
      </c>
      <c r="D2689" s="7" t="s">
        <v>401</v>
      </c>
      <c r="E2689" s="7" t="s">
        <v>156</v>
      </c>
      <c r="F2689" s="39" t="n">
        <v>45792</v>
      </c>
      <c r="G2689" s="41" t="n">
        <v>127.5</v>
      </c>
      <c r="H2689" s="39" t="n">
        <v>45805</v>
      </c>
      <c r="I2689" s="7" t="s">
        <v>14651</v>
      </c>
      <c r="J2689" s="8" t="str">
        <f aca="false">IF(I2689="Open",DATE(2025,12,31)-F2689,"-")</f>
        <v>-</v>
      </c>
    </row>
    <row r="2690" customFormat="false" ht="15" hidden="false" customHeight="false" outlineLevel="0" collapsed="false">
      <c r="B2690" s="7" t="s">
        <v>17335</v>
      </c>
      <c r="C2690" s="7" t="s">
        <v>3187</v>
      </c>
      <c r="D2690" s="7" t="s">
        <v>280</v>
      </c>
      <c r="E2690" s="7" t="s">
        <v>157</v>
      </c>
      <c r="F2690" s="39" t="n">
        <v>45793</v>
      </c>
      <c r="G2690" s="41" t="n">
        <v>178.2</v>
      </c>
      <c r="H2690" s="39" t="n">
        <v>45848</v>
      </c>
      <c r="I2690" s="7" t="s">
        <v>14651</v>
      </c>
      <c r="J2690" s="8" t="str">
        <f aca="false">IF(I2690="Open",DATE(2025,12,31)-F2690,"-")</f>
        <v>-</v>
      </c>
    </row>
    <row r="2691" customFormat="false" ht="15" hidden="false" customHeight="false" outlineLevel="0" collapsed="false">
      <c r="B2691" s="7" t="s">
        <v>17336</v>
      </c>
      <c r="C2691" s="7" t="s">
        <v>3188</v>
      </c>
      <c r="D2691" s="7" t="s">
        <v>288</v>
      </c>
      <c r="E2691" s="7" t="s">
        <v>156</v>
      </c>
      <c r="F2691" s="39" t="n">
        <v>45793</v>
      </c>
      <c r="G2691" s="41" t="n">
        <v>148.92</v>
      </c>
      <c r="H2691" s="39" t="n">
        <v>45803</v>
      </c>
      <c r="I2691" s="7" t="s">
        <v>14651</v>
      </c>
      <c r="J2691" s="8" t="str">
        <f aca="false">IF(I2691="Open",DATE(2025,12,31)-F2691,"-")</f>
        <v>-</v>
      </c>
    </row>
    <row r="2692" customFormat="false" ht="15" hidden="false" customHeight="false" outlineLevel="0" collapsed="false">
      <c r="B2692" s="7" t="s">
        <v>17337</v>
      </c>
      <c r="C2692" s="7" t="s">
        <v>3189</v>
      </c>
      <c r="D2692" s="7" t="s">
        <v>291</v>
      </c>
      <c r="E2692" s="7" t="s">
        <v>154</v>
      </c>
      <c r="F2692" s="39" t="n">
        <v>45793</v>
      </c>
      <c r="G2692" s="41" t="n">
        <v>125.19</v>
      </c>
      <c r="H2692" s="39" t="n">
        <v>45847</v>
      </c>
      <c r="I2692" s="7" t="s">
        <v>14651</v>
      </c>
      <c r="J2692" s="8" t="str">
        <f aca="false">IF(I2692="Open",DATE(2025,12,31)-F2692,"-")</f>
        <v>-</v>
      </c>
    </row>
    <row r="2693" customFormat="false" ht="15" hidden="false" customHeight="false" outlineLevel="0" collapsed="false">
      <c r="B2693" s="7" t="s">
        <v>17338</v>
      </c>
      <c r="C2693" s="7" t="s">
        <v>3190</v>
      </c>
      <c r="D2693" s="7" t="s">
        <v>301</v>
      </c>
      <c r="E2693" s="7" t="s">
        <v>157</v>
      </c>
      <c r="F2693" s="39" t="n">
        <v>45793</v>
      </c>
      <c r="G2693" s="41" t="n">
        <v>161.7</v>
      </c>
      <c r="H2693" s="39" t="n">
        <v>45843</v>
      </c>
      <c r="I2693" s="7" t="s">
        <v>14651</v>
      </c>
      <c r="J2693" s="8" t="str">
        <f aca="false">IF(I2693="Open",DATE(2025,12,31)-F2693,"-")</f>
        <v>-</v>
      </c>
    </row>
    <row r="2694" customFormat="false" ht="15" hidden="false" customHeight="false" outlineLevel="0" collapsed="false">
      <c r="B2694" s="7" t="s">
        <v>17339</v>
      </c>
      <c r="C2694" s="7" t="s">
        <v>3191</v>
      </c>
      <c r="D2694" s="7" t="s">
        <v>305</v>
      </c>
      <c r="E2694" s="7" t="s">
        <v>154</v>
      </c>
      <c r="F2694" s="39" t="n">
        <v>45793</v>
      </c>
      <c r="G2694" s="41" t="n">
        <v>95.93</v>
      </c>
      <c r="H2694" s="39" t="n">
        <v>45911</v>
      </c>
      <c r="I2694" s="7" t="s">
        <v>14651</v>
      </c>
      <c r="J2694" s="8" t="str">
        <f aca="false">IF(I2694="Open",DATE(2025,12,31)-F2694,"-")</f>
        <v>-</v>
      </c>
    </row>
    <row r="2695" customFormat="false" ht="15" hidden="false" customHeight="false" outlineLevel="0" collapsed="false">
      <c r="B2695" s="7" t="s">
        <v>17340</v>
      </c>
      <c r="C2695" s="7" t="s">
        <v>3192</v>
      </c>
      <c r="D2695" s="7" t="s">
        <v>307</v>
      </c>
      <c r="E2695" s="7" t="s">
        <v>157</v>
      </c>
      <c r="F2695" s="39" t="n">
        <v>45793</v>
      </c>
      <c r="G2695" s="41" t="n">
        <v>153.45</v>
      </c>
      <c r="H2695" s="39" t="n">
        <v>45831</v>
      </c>
      <c r="I2695" s="7" t="s">
        <v>14651</v>
      </c>
      <c r="J2695" s="8" t="str">
        <f aca="false">IF(I2695="Open",DATE(2025,12,31)-F2695,"-")</f>
        <v>-</v>
      </c>
    </row>
    <row r="2696" customFormat="false" ht="15" hidden="false" customHeight="false" outlineLevel="0" collapsed="false">
      <c r="B2696" s="7" t="s">
        <v>17341</v>
      </c>
      <c r="C2696" s="7" t="s">
        <v>3193</v>
      </c>
      <c r="D2696" s="7" t="s">
        <v>309</v>
      </c>
      <c r="E2696" s="7" t="s">
        <v>159</v>
      </c>
      <c r="F2696" s="39" t="n">
        <v>45793</v>
      </c>
      <c r="G2696" s="41" t="n">
        <v>143.1</v>
      </c>
      <c r="H2696" s="39" t="n">
        <v>45849</v>
      </c>
      <c r="I2696" s="7" t="s">
        <v>14651</v>
      </c>
      <c r="J2696" s="8" t="str">
        <f aca="false">IF(I2696="Open",DATE(2025,12,31)-F2696,"-")</f>
        <v>-</v>
      </c>
    </row>
    <row r="2697" customFormat="false" ht="15" hidden="false" customHeight="false" outlineLevel="0" collapsed="false">
      <c r="B2697" s="7" t="s">
        <v>17342</v>
      </c>
      <c r="C2697" s="7" t="s">
        <v>3194</v>
      </c>
      <c r="D2697" s="7" t="s">
        <v>313</v>
      </c>
      <c r="E2697" s="7" t="s">
        <v>156</v>
      </c>
      <c r="F2697" s="39" t="n">
        <v>45793</v>
      </c>
      <c r="G2697" s="41" t="n">
        <v>133.28</v>
      </c>
      <c r="H2697" s="39" t="n">
        <v>45810</v>
      </c>
      <c r="I2697" s="7" t="s">
        <v>14651</v>
      </c>
      <c r="J2697" s="8" t="str">
        <f aca="false">IF(I2697="Open",DATE(2025,12,31)-F2697,"-")</f>
        <v>-</v>
      </c>
    </row>
    <row r="2698" customFormat="false" ht="15" hidden="false" customHeight="false" outlineLevel="0" collapsed="false">
      <c r="B2698" s="7" t="s">
        <v>17343</v>
      </c>
      <c r="C2698" s="7" t="s">
        <v>3195</v>
      </c>
      <c r="D2698" s="7" t="s">
        <v>319</v>
      </c>
      <c r="E2698" s="7" t="s">
        <v>157</v>
      </c>
      <c r="F2698" s="39" t="n">
        <v>45793</v>
      </c>
      <c r="G2698" s="41" t="n">
        <v>179.85</v>
      </c>
      <c r="H2698" s="39" t="n">
        <v>45873</v>
      </c>
      <c r="I2698" s="7" t="s">
        <v>14651</v>
      </c>
      <c r="J2698" s="8" t="str">
        <f aca="false">IF(I2698="Open",DATE(2025,12,31)-F2698,"-")</f>
        <v>-</v>
      </c>
    </row>
    <row r="2699" customFormat="false" ht="15" hidden="false" customHeight="false" outlineLevel="0" collapsed="false">
      <c r="B2699" s="7" t="s">
        <v>17344</v>
      </c>
      <c r="C2699" s="7" t="s">
        <v>3196</v>
      </c>
      <c r="D2699" s="7" t="s">
        <v>321</v>
      </c>
      <c r="E2699" s="7" t="s">
        <v>154</v>
      </c>
      <c r="F2699" s="39" t="n">
        <v>45793</v>
      </c>
      <c r="G2699" s="41" t="n">
        <v>103.62</v>
      </c>
      <c r="H2699" s="39" t="n">
        <v>45886</v>
      </c>
      <c r="I2699" s="7" t="s">
        <v>14651</v>
      </c>
      <c r="J2699" s="8" t="str">
        <f aca="false">IF(I2699="Open",DATE(2025,12,31)-F2699,"-")</f>
        <v>-</v>
      </c>
    </row>
    <row r="2700" customFormat="false" ht="15" hidden="false" customHeight="false" outlineLevel="0" collapsed="false">
      <c r="B2700" s="7" t="s">
        <v>17345</v>
      </c>
      <c r="C2700" s="7" t="s">
        <v>3197</v>
      </c>
      <c r="D2700" s="7" t="s">
        <v>323</v>
      </c>
      <c r="E2700" s="7" t="s">
        <v>159</v>
      </c>
      <c r="F2700" s="39" t="n">
        <v>45793</v>
      </c>
      <c r="G2700" s="41" t="n">
        <v>128.25</v>
      </c>
      <c r="H2700" s="39" t="n">
        <v>45876</v>
      </c>
      <c r="I2700" s="7" t="s">
        <v>14651</v>
      </c>
      <c r="J2700" s="8" t="str">
        <f aca="false">IF(I2700="Open",DATE(2025,12,31)-F2700,"-")</f>
        <v>-</v>
      </c>
    </row>
    <row r="2701" customFormat="false" ht="15" hidden="false" customHeight="false" outlineLevel="0" collapsed="false">
      <c r="B2701" s="7" t="s">
        <v>17346</v>
      </c>
      <c r="C2701" s="7" t="s">
        <v>3198</v>
      </c>
      <c r="D2701" s="7" t="s">
        <v>327</v>
      </c>
      <c r="E2701" s="7" t="s">
        <v>157</v>
      </c>
      <c r="F2701" s="39" t="n">
        <v>45793</v>
      </c>
      <c r="G2701" s="41" t="n">
        <v>155.1</v>
      </c>
      <c r="H2701" s="39" t="n">
        <v>45822</v>
      </c>
      <c r="I2701" s="7" t="s">
        <v>14651</v>
      </c>
      <c r="J2701" s="8" t="str">
        <f aca="false">IF(I2701="Open",DATE(2025,12,31)-F2701,"-")</f>
        <v>-</v>
      </c>
    </row>
    <row r="2702" customFormat="false" ht="15" hidden="false" customHeight="false" outlineLevel="0" collapsed="false">
      <c r="B2702" s="7" t="s">
        <v>17347</v>
      </c>
      <c r="C2702" s="7" t="s">
        <v>3199</v>
      </c>
      <c r="D2702" s="7" t="s">
        <v>329</v>
      </c>
      <c r="E2702" s="7" t="s">
        <v>156</v>
      </c>
      <c r="F2702" s="39" t="n">
        <v>45793</v>
      </c>
      <c r="G2702" s="41" t="n">
        <v>143.82</v>
      </c>
      <c r="H2702" s="39" t="n">
        <v>45805</v>
      </c>
      <c r="I2702" s="7" t="s">
        <v>14651</v>
      </c>
      <c r="J2702" s="8" t="str">
        <f aca="false">IF(I2702="Open",DATE(2025,12,31)-F2702,"-")</f>
        <v>-</v>
      </c>
    </row>
    <row r="2703" customFormat="false" ht="15" hidden="false" customHeight="false" outlineLevel="0" collapsed="false">
      <c r="B2703" s="7" t="s">
        <v>17348</v>
      </c>
      <c r="C2703" s="7" t="s">
        <v>3200</v>
      </c>
      <c r="D2703" s="7" t="s">
        <v>335</v>
      </c>
      <c r="E2703" s="7" t="s">
        <v>154</v>
      </c>
      <c r="F2703" s="39" t="n">
        <v>45793</v>
      </c>
      <c r="G2703" s="41" t="n">
        <v>106.53</v>
      </c>
      <c r="H2703" s="39" t="n">
        <v>45811</v>
      </c>
      <c r="I2703" s="7" t="s">
        <v>14651</v>
      </c>
      <c r="J2703" s="8" t="str">
        <f aca="false">IF(I2703="Open",DATE(2025,12,31)-F2703,"-")</f>
        <v>-</v>
      </c>
    </row>
    <row r="2704" customFormat="false" ht="15" hidden="false" customHeight="false" outlineLevel="0" collapsed="false">
      <c r="B2704" s="7" t="s">
        <v>17349</v>
      </c>
      <c r="C2704" s="7" t="s">
        <v>3201</v>
      </c>
      <c r="D2704" s="7" t="s">
        <v>339</v>
      </c>
      <c r="E2704" s="7" t="s">
        <v>154</v>
      </c>
      <c r="F2704" s="39" t="n">
        <v>45793</v>
      </c>
      <c r="G2704" s="41" t="n">
        <v>91.95</v>
      </c>
      <c r="H2704" s="39" t="n">
        <v>45814</v>
      </c>
      <c r="I2704" s="7" t="s">
        <v>14651</v>
      </c>
      <c r="J2704" s="8" t="str">
        <f aca="false">IF(I2704="Open",DATE(2025,12,31)-F2704,"-")</f>
        <v>-</v>
      </c>
    </row>
    <row r="2705" customFormat="false" ht="15" hidden="false" customHeight="false" outlineLevel="0" collapsed="false">
      <c r="B2705" s="7" t="s">
        <v>17350</v>
      </c>
      <c r="C2705" s="7" t="s">
        <v>3202</v>
      </c>
      <c r="D2705" s="7" t="s">
        <v>353</v>
      </c>
      <c r="E2705" s="7" t="s">
        <v>154</v>
      </c>
      <c r="F2705" s="39" t="n">
        <v>45793</v>
      </c>
      <c r="G2705" s="41" t="n">
        <v>77.88</v>
      </c>
      <c r="H2705" s="39" t="n">
        <v>45872</v>
      </c>
      <c r="I2705" s="7" t="s">
        <v>14651</v>
      </c>
      <c r="J2705" s="8" t="str">
        <f aca="false">IF(I2705="Open",DATE(2025,12,31)-F2705,"-")</f>
        <v>-</v>
      </c>
    </row>
    <row r="2706" customFormat="false" ht="15" hidden="false" customHeight="false" outlineLevel="0" collapsed="false">
      <c r="B2706" s="7" t="s">
        <v>17351</v>
      </c>
      <c r="C2706" s="7" t="s">
        <v>3203</v>
      </c>
      <c r="D2706" s="7" t="s">
        <v>355</v>
      </c>
      <c r="E2706" s="7" t="s">
        <v>154</v>
      </c>
      <c r="F2706" s="39" t="n">
        <v>45793</v>
      </c>
      <c r="G2706" s="41" t="n">
        <v>82.15</v>
      </c>
      <c r="H2706" s="39" t="n">
        <v>45827</v>
      </c>
      <c r="I2706" s="7" t="s">
        <v>14651</v>
      </c>
      <c r="J2706" s="8" t="str">
        <f aca="false">IF(I2706="Open",DATE(2025,12,31)-F2706,"-")</f>
        <v>-</v>
      </c>
    </row>
    <row r="2707" customFormat="false" ht="15" hidden="false" customHeight="false" outlineLevel="0" collapsed="false">
      <c r="B2707" s="7" t="s">
        <v>17352</v>
      </c>
      <c r="C2707" s="7" t="s">
        <v>3204</v>
      </c>
      <c r="D2707" s="7" t="s">
        <v>357</v>
      </c>
      <c r="E2707" s="7" t="s">
        <v>154</v>
      </c>
      <c r="F2707" s="39" t="n">
        <v>45793</v>
      </c>
      <c r="G2707" s="41" t="n">
        <v>84.27</v>
      </c>
      <c r="H2707" s="39" t="n">
        <v>45855</v>
      </c>
      <c r="I2707" s="7" t="s">
        <v>14651</v>
      </c>
      <c r="J2707" s="8" t="str">
        <f aca="false">IF(I2707="Open",DATE(2025,12,31)-F2707,"-")</f>
        <v>-</v>
      </c>
    </row>
    <row r="2708" customFormat="false" ht="15" hidden="false" customHeight="false" outlineLevel="0" collapsed="false">
      <c r="B2708" s="7" t="s">
        <v>17353</v>
      </c>
      <c r="C2708" s="7" t="s">
        <v>3205</v>
      </c>
      <c r="D2708" s="7" t="s">
        <v>359</v>
      </c>
      <c r="E2708" s="7" t="s">
        <v>156</v>
      </c>
      <c r="F2708" s="39" t="n">
        <v>45793</v>
      </c>
      <c r="G2708" s="41" t="n">
        <v>129.2</v>
      </c>
      <c r="H2708" s="39" t="n">
        <v>45809</v>
      </c>
      <c r="I2708" s="7" t="s">
        <v>14651</v>
      </c>
      <c r="J2708" s="8" t="str">
        <f aca="false">IF(I2708="Open",DATE(2025,12,31)-F2708,"-")</f>
        <v>-</v>
      </c>
    </row>
    <row r="2709" customFormat="false" ht="15" hidden="false" customHeight="false" outlineLevel="0" collapsed="false">
      <c r="B2709" s="7" t="s">
        <v>17354</v>
      </c>
      <c r="C2709" s="7" t="s">
        <v>3206</v>
      </c>
      <c r="D2709" s="7" t="s">
        <v>361</v>
      </c>
      <c r="E2709" s="7" t="s">
        <v>157</v>
      </c>
      <c r="F2709" s="39" t="n">
        <v>45793</v>
      </c>
      <c r="G2709" s="41" t="n">
        <v>148.5</v>
      </c>
      <c r="H2709" s="39" t="n">
        <v>45822</v>
      </c>
      <c r="I2709" s="7" t="s">
        <v>14651</v>
      </c>
      <c r="J2709" s="8" t="str">
        <f aca="false">IF(I2709="Open",DATE(2025,12,31)-F2709,"-")</f>
        <v>-</v>
      </c>
    </row>
    <row r="2710" customFormat="false" ht="15" hidden="false" customHeight="false" outlineLevel="0" collapsed="false">
      <c r="B2710" s="7" t="s">
        <v>17355</v>
      </c>
      <c r="C2710" s="7" t="s">
        <v>3207</v>
      </c>
      <c r="D2710" s="7" t="s">
        <v>365</v>
      </c>
      <c r="E2710" s="7" t="s">
        <v>154</v>
      </c>
      <c r="F2710" s="39" t="n">
        <v>45793</v>
      </c>
      <c r="G2710" s="41" t="n">
        <v>103.35</v>
      </c>
      <c r="H2710" s="39" t="n">
        <v>45846</v>
      </c>
      <c r="I2710" s="7" t="s">
        <v>14651</v>
      </c>
      <c r="J2710" s="8" t="str">
        <f aca="false">IF(I2710="Open",DATE(2025,12,31)-F2710,"-")</f>
        <v>-</v>
      </c>
    </row>
    <row r="2711" customFormat="false" ht="15" hidden="false" customHeight="false" outlineLevel="0" collapsed="false">
      <c r="B2711" s="7" t="s">
        <v>17356</v>
      </c>
      <c r="C2711" s="7" t="s">
        <v>3208</v>
      </c>
      <c r="D2711" s="7" t="s">
        <v>371</v>
      </c>
      <c r="E2711" s="7" t="s">
        <v>154</v>
      </c>
      <c r="F2711" s="39" t="n">
        <v>45793</v>
      </c>
      <c r="G2711" s="41" t="n">
        <v>124.81</v>
      </c>
      <c r="H2711" s="39" t="n">
        <v>45841</v>
      </c>
      <c r="I2711" s="7" t="s">
        <v>14651</v>
      </c>
      <c r="J2711" s="8" t="str">
        <f aca="false">IF(I2711="Open",DATE(2025,12,31)-F2711,"-")</f>
        <v>-</v>
      </c>
    </row>
    <row r="2712" customFormat="false" ht="15" hidden="false" customHeight="false" outlineLevel="0" collapsed="false">
      <c r="B2712" s="7" t="s">
        <v>17357</v>
      </c>
      <c r="C2712" s="7" t="s">
        <v>3209</v>
      </c>
      <c r="D2712" s="7" t="s">
        <v>379</v>
      </c>
      <c r="E2712" s="7" t="s">
        <v>156</v>
      </c>
      <c r="F2712" s="39" t="n">
        <v>45793</v>
      </c>
      <c r="G2712" s="41" t="n">
        <v>162.18</v>
      </c>
      <c r="H2712" s="39" t="n">
        <v>45804</v>
      </c>
      <c r="I2712" s="7" t="s">
        <v>14651</v>
      </c>
      <c r="J2712" s="8" t="str">
        <f aca="false">IF(I2712="Open",DATE(2025,12,31)-F2712,"-")</f>
        <v>-</v>
      </c>
    </row>
    <row r="2713" customFormat="false" ht="15" hidden="false" customHeight="false" outlineLevel="0" collapsed="false">
      <c r="B2713" s="7" t="s">
        <v>17358</v>
      </c>
      <c r="C2713" s="7" t="s">
        <v>3210</v>
      </c>
      <c r="D2713" s="7" t="s">
        <v>381</v>
      </c>
      <c r="E2713" s="7" t="s">
        <v>157</v>
      </c>
      <c r="F2713" s="39" t="n">
        <v>45793</v>
      </c>
      <c r="G2713" s="41" t="n">
        <v>174.9</v>
      </c>
      <c r="H2713" s="39" t="n">
        <v>45836</v>
      </c>
      <c r="I2713" s="7" t="s">
        <v>14651</v>
      </c>
      <c r="J2713" s="8" t="str">
        <f aca="false">IF(I2713="Open",DATE(2025,12,31)-F2713,"-")</f>
        <v>-</v>
      </c>
    </row>
    <row r="2714" customFormat="false" ht="15" hidden="false" customHeight="false" outlineLevel="0" collapsed="false">
      <c r="B2714" s="7" t="s">
        <v>17359</v>
      </c>
      <c r="C2714" s="7" t="s">
        <v>3211</v>
      </c>
      <c r="D2714" s="7" t="s">
        <v>385</v>
      </c>
      <c r="E2714" s="7" t="s">
        <v>156</v>
      </c>
      <c r="F2714" s="39" t="n">
        <v>45793</v>
      </c>
      <c r="G2714" s="41" t="n">
        <v>148.58</v>
      </c>
      <c r="H2714" s="39" t="n">
        <v>45803</v>
      </c>
      <c r="I2714" s="7" t="s">
        <v>14651</v>
      </c>
      <c r="J2714" s="8" t="str">
        <f aca="false">IF(I2714="Open",DATE(2025,12,31)-F2714,"-")</f>
        <v>-</v>
      </c>
    </row>
    <row r="2715" customFormat="false" ht="15" hidden="false" customHeight="false" outlineLevel="0" collapsed="false">
      <c r="B2715" s="7" t="s">
        <v>17360</v>
      </c>
      <c r="C2715" s="7" t="s">
        <v>3212</v>
      </c>
      <c r="D2715" s="7" t="s">
        <v>389</v>
      </c>
      <c r="E2715" s="7" t="s">
        <v>154</v>
      </c>
      <c r="F2715" s="39" t="n">
        <v>45793</v>
      </c>
      <c r="G2715" s="41" t="n">
        <v>106.8</v>
      </c>
      <c r="H2715" s="39" t="n">
        <v>45856</v>
      </c>
      <c r="I2715" s="7" t="s">
        <v>14651</v>
      </c>
      <c r="J2715" s="8" t="str">
        <f aca="false">IF(I2715="Open",DATE(2025,12,31)-F2715,"-")</f>
        <v>-</v>
      </c>
    </row>
    <row r="2716" customFormat="false" ht="15" hidden="false" customHeight="false" outlineLevel="0" collapsed="false">
      <c r="B2716" s="7" t="s">
        <v>17361</v>
      </c>
      <c r="C2716" s="7" t="s">
        <v>3213</v>
      </c>
      <c r="D2716" s="7" t="s">
        <v>391</v>
      </c>
      <c r="E2716" s="7" t="s">
        <v>156</v>
      </c>
      <c r="F2716" s="39" t="n">
        <v>45793</v>
      </c>
      <c r="G2716" s="41" t="n">
        <v>143.48</v>
      </c>
      <c r="H2716" s="39" t="n">
        <v>45812</v>
      </c>
      <c r="I2716" s="7" t="s">
        <v>14651</v>
      </c>
      <c r="J2716" s="8" t="str">
        <f aca="false">IF(I2716="Open",DATE(2025,12,31)-F2716,"-")</f>
        <v>-</v>
      </c>
    </row>
    <row r="2717" customFormat="false" ht="15" hidden="false" customHeight="false" outlineLevel="0" collapsed="false">
      <c r="B2717" s="7" t="s">
        <v>17362</v>
      </c>
      <c r="C2717" s="7" t="s">
        <v>3214</v>
      </c>
      <c r="D2717" s="7" t="s">
        <v>395</v>
      </c>
      <c r="E2717" s="7" t="s">
        <v>156</v>
      </c>
      <c r="F2717" s="39" t="n">
        <v>45793</v>
      </c>
      <c r="G2717" s="41" t="n">
        <v>132.94</v>
      </c>
      <c r="H2717" s="39" t="n">
        <v>45804</v>
      </c>
      <c r="I2717" s="7" t="s">
        <v>14651</v>
      </c>
      <c r="J2717" s="8" t="str">
        <f aca="false">IF(I2717="Open",DATE(2025,12,31)-F2717,"-")</f>
        <v>-</v>
      </c>
    </row>
    <row r="2718" customFormat="false" ht="15" hidden="false" customHeight="false" outlineLevel="0" collapsed="false">
      <c r="B2718" s="7" t="s">
        <v>17363</v>
      </c>
      <c r="C2718" s="7" t="s">
        <v>3215</v>
      </c>
      <c r="D2718" s="7" t="s">
        <v>397</v>
      </c>
      <c r="E2718" s="7" t="s">
        <v>159</v>
      </c>
      <c r="F2718" s="39" t="n">
        <v>45793</v>
      </c>
      <c r="G2718" s="41" t="n">
        <v>139.05</v>
      </c>
      <c r="H2718" s="39" t="n">
        <v>45883</v>
      </c>
      <c r="I2718" s="7" t="s">
        <v>14651</v>
      </c>
      <c r="J2718" s="8" t="str">
        <f aca="false">IF(I2718="Open",DATE(2025,12,31)-F2718,"-")</f>
        <v>-</v>
      </c>
    </row>
    <row r="2719" customFormat="false" ht="15" hidden="false" customHeight="false" outlineLevel="0" collapsed="false">
      <c r="B2719" s="7" t="s">
        <v>17364</v>
      </c>
      <c r="C2719" s="7" t="s">
        <v>3216</v>
      </c>
      <c r="D2719" s="7" t="s">
        <v>399</v>
      </c>
      <c r="E2719" s="7" t="s">
        <v>154</v>
      </c>
      <c r="F2719" s="39" t="n">
        <v>45793</v>
      </c>
      <c r="G2719" s="41" t="n">
        <v>83.47</v>
      </c>
      <c r="H2719" s="39" t="n">
        <v>45854</v>
      </c>
      <c r="I2719" s="7" t="s">
        <v>14651</v>
      </c>
      <c r="J2719" s="8" t="str">
        <f aca="false">IF(I2719="Open",DATE(2025,12,31)-F2719,"-")</f>
        <v>-</v>
      </c>
    </row>
    <row r="2720" customFormat="false" ht="15" hidden="false" customHeight="false" outlineLevel="0" collapsed="false">
      <c r="B2720" s="7" t="s">
        <v>17365</v>
      </c>
      <c r="C2720" s="7" t="s">
        <v>3217</v>
      </c>
      <c r="D2720" s="7" t="s">
        <v>401</v>
      </c>
      <c r="E2720" s="7" t="s">
        <v>156</v>
      </c>
      <c r="F2720" s="39" t="n">
        <v>45793</v>
      </c>
      <c r="G2720" s="41" t="n">
        <v>144.5</v>
      </c>
      <c r="H2720" s="39" t="n">
        <v>45801</v>
      </c>
      <c r="I2720" s="7" t="s">
        <v>14651</v>
      </c>
      <c r="J2720" s="8" t="str">
        <f aca="false">IF(I2720="Open",DATE(2025,12,31)-F2720,"-")</f>
        <v>-</v>
      </c>
    </row>
    <row r="2721" customFormat="false" ht="15" hidden="false" customHeight="false" outlineLevel="0" collapsed="false">
      <c r="B2721" s="7" t="s">
        <v>17366</v>
      </c>
      <c r="C2721" s="7" t="s">
        <v>3218</v>
      </c>
      <c r="D2721" s="7" t="s">
        <v>407</v>
      </c>
      <c r="E2721" s="7" t="s">
        <v>159</v>
      </c>
      <c r="F2721" s="39" t="n">
        <v>45793</v>
      </c>
      <c r="G2721" s="41" t="n">
        <v>128.25</v>
      </c>
      <c r="H2721" s="39" t="n">
        <v>45843</v>
      </c>
      <c r="I2721" s="7" t="s">
        <v>14651</v>
      </c>
      <c r="J2721" s="8" t="str">
        <f aca="false">IF(I2721="Open",DATE(2025,12,31)-F2721,"-")</f>
        <v>-</v>
      </c>
    </row>
    <row r="2722" customFormat="false" ht="15" hidden="false" customHeight="false" outlineLevel="0" collapsed="false">
      <c r="B2722" s="7" t="s">
        <v>17367</v>
      </c>
      <c r="C2722" s="7" t="s">
        <v>3219</v>
      </c>
      <c r="D2722" s="7" t="s">
        <v>409</v>
      </c>
      <c r="E2722" s="7" t="s">
        <v>154</v>
      </c>
      <c r="F2722" s="39" t="n">
        <v>45793</v>
      </c>
      <c r="G2722" s="41" t="n">
        <v>95.4</v>
      </c>
      <c r="H2722" s="39" t="n">
        <v>45859</v>
      </c>
      <c r="I2722" s="7" t="s">
        <v>14651</v>
      </c>
      <c r="J2722" s="8" t="str">
        <f aca="false">IF(I2722="Open",DATE(2025,12,31)-F2722,"-")</f>
        <v>-</v>
      </c>
    </row>
    <row r="2723" customFormat="false" ht="15" hidden="false" customHeight="false" outlineLevel="0" collapsed="false">
      <c r="B2723" s="7" t="s">
        <v>17368</v>
      </c>
      <c r="C2723" s="7" t="s">
        <v>3220</v>
      </c>
      <c r="D2723" s="7" t="s">
        <v>411</v>
      </c>
      <c r="E2723" s="7" t="s">
        <v>154</v>
      </c>
      <c r="F2723" s="39" t="n">
        <v>45793</v>
      </c>
      <c r="G2723" s="41" t="n">
        <v>115.81</v>
      </c>
      <c r="H2723" s="39" t="n">
        <v>45841</v>
      </c>
      <c r="I2723" s="7" t="s">
        <v>14651</v>
      </c>
      <c r="J2723" s="8" t="str">
        <f aca="false">IF(I2723="Open",DATE(2025,12,31)-F2723,"-")</f>
        <v>-</v>
      </c>
    </row>
    <row r="2724" customFormat="false" ht="15" hidden="false" customHeight="false" outlineLevel="0" collapsed="false">
      <c r="B2724" s="7" t="s">
        <v>17369</v>
      </c>
      <c r="C2724" s="7" t="s">
        <v>3221</v>
      </c>
      <c r="D2724" s="7" t="s">
        <v>288</v>
      </c>
      <c r="E2724" s="7" t="s">
        <v>156</v>
      </c>
      <c r="F2724" s="39" t="n">
        <v>45794</v>
      </c>
      <c r="G2724" s="41" t="n">
        <v>135.66</v>
      </c>
      <c r="H2724" s="39" t="n">
        <v>45804</v>
      </c>
      <c r="I2724" s="7" t="s">
        <v>14651</v>
      </c>
      <c r="J2724" s="8" t="str">
        <f aca="false">IF(I2724="Open",DATE(2025,12,31)-F2724,"-")</f>
        <v>-</v>
      </c>
    </row>
    <row r="2725" customFormat="false" ht="15" hidden="false" customHeight="false" outlineLevel="0" collapsed="false">
      <c r="B2725" s="7" t="s">
        <v>17370</v>
      </c>
      <c r="C2725" s="7" t="s">
        <v>3222</v>
      </c>
      <c r="D2725" s="7" t="s">
        <v>321</v>
      </c>
      <c r="E2725" s="7" t="s">
        <v>154</v>
      </c>
      <c r="F2725" s="39" t="n">
        <v>45794</v>
      </c>
      <c r="G2725" s="41" t="n">
        <v>95.93</v>
      </c>
      <c r="H2725" s="39" t="n">
        <v>45829</v>
      </c>
      <c r="I2725" s="7" t="s">
        <v>14651</v>
      </c>
      <c r="J2725" s="8" t="str">
        <f aca="false">IF(I2725="Open",DATE(2025,12,31)-F2725,"-")</f>
        <v>-</v>
      </c>
    </row>
    <row r="2726" customFormat="false" ht="15" hidden="false" customHeight="false" outlineLevel="0" collapsed="false">
      <c r="B2726" s="7" t="s">
        <v>17371</v>
      </c>
      <c r="C2726" s="7" t="s">
        <v>3223</v>
      </c>
      <c r="D2726" s="7" t="s">
        <v>359</v>
      </c>
      <c r="E2726" s="7" t="s">
        <v>156</v>
      </c>
      <c r="F2726" s="39" t="n">
        <v>45794</v>
      </c>
      <c r="G2726" s="41" t="n">
        <v>133.28</v>
      </c>
      <c r="H2726" s="39" t="n">
        <v>45803</v>
      </c>
      <c r="I2726" s="7" t="s">
        <v>14651</v>
      </c>
      <c r="J2726" s="8" t="str">
        <f aca="false">IF(I2726="Open",DATE(2025,12,31)-F2726,"-")</f>
        <v>-</v>
      </c>
    </row>
    <row r="2727" customFormat="false" ht="15" hidden="false" customHeight="false" outlineLevel="0" collapsed="false">
      <c r="B2727" s="7" t="s">
        <v>17372</v>
      </c>
      <c r="C2727" s="7" t="s">
        <v>3224</v>
      </c>
      <c r="D2727" s="7" t="s">
        <v>391</v>
      </c>
      <c r="E2727" s="7" t="s">
        <v>156</v>
      </c>
      <c r="F2727" s="39" t="n">
        <v>45794</v>
      </c>
      <c r="G2727" s="41" t="n">
        <v>124.44</v>
      </c>
      <c r="H2727" s="39" t="n">
        <v>45801</v>
      </c>
      <c r="I2727" s="7" t="s">
        <v>14651</v>
      </c>
      <c r="J2727" s="8" t="str">
        <f aca="false">IF(I2727="Open",DATE(2025,12,31)-F2727,"-")</f>
        <v>-</v>
      </c>
    </row>
    <row r="2728" customFormat="false" ht="15" hidden="false" customHeight="false" outlineLevel="0" collapsed="false">
      <c r="B2728" s="7" t="s">
        <v>17373</v>
      </c>
      <c r="C2728" s="7" t="s">
        <v>3225</v>
      </c>
      <c r="D2728" s="7" t="s">
        <v>395</v>
      </c>
      <c r="E2728" s="7" t="s">
        <v>156</v>
      </c>
      <c r="F2728" s="39" t="n">
        <v>45794</v>
      </c>
      <c r="G2728" s="41" t="n">
        <v>148.92</v>
      </c>
      <c r="H2728" s="39" t="n">
        <v>45808</v>
      </c>
      <c r="I2728" s="7" t="s">
        <v>14651</v>
      </c>
      <c r="J2728" s="8" t="str">
        <f aca="false">IF(I2728="Open",DATE(2025,12,31)-F2728,"-")</f>
        <v>-</v>
      </c>
    </row>
    <row r="2729" customFormat="false" ht="15" hidden="false" customHeight="false" outlineLevel="0" collapsed="false">
      <c r="B2729" s="7" t="s">
        <v>17374</v>
      </c>
      <c r="C2729" s="7" t="s">
        <v>3226</v>
      </c>
      <c r="D2729" s="7" t="s">
        <v>401</v>
      </c>
      <c r="E2729" s="7" t="s">
        <v>156</v>
      </c>
      <c r="F2729" s="39" t="n">
        <v>45794</v>
      </c>
      <c r="G2729" s="41" t="n">
        <v>142.12</v>
      </c>
      <c r="H2729" s="39" t="n">
        <v>45798</v>
      </c>
      <c r="I2729" s="7" t="s">
        <v>14651</v>
      </c>
      <c r="J2729" s="8" t="str">
        <f aca="false">IF(I2729="Open",DATE(2025,12,31)-F2729,"-")</f>
        <v>-</v>
      </c>
    </row>
    <row r="2730" customFormat="false" ht="15" hidden="false" customHeight="false" outlineLevel="0" collapsed="false">
      <c r="B2730" s="7" t="s">
        <v>17375</v>
      </c>
      <c r="C2730" s="7" t="s">
        <v>3227</v>
      </c>
      <c r="D2730" s="7" t="s">
        <v>321</v>
      </c>
      <c r="E2730" s="7" t="s">
        <v>154</v>
      </c>
      <c r="F2730" s="39" t="n">
        <v>45795</v>
      </c>
      <c r="G2730" s="41" t="n">
        <v>108.23</v>
      </c>
      <c r="H2730" s="39" t="n">
        <v>45854</v>
      </c>
      <c r="I2730" s="7" t="s">
        <v>14651</v>
      </c>
      <c r="J2730" s="8" t="str">
        <f aca="false">IF(I2730="Open",DATE(2025,12,31)-F2730,"-")</f>
        <v>-</v>
      </c>
    </row>
    <row r="2731" customFormat="false" ht="15" hidden="false" customHeight="false" outlineLevel="0" collapsed="false">
      <c r="B2731" s="7" t="s">
        <v>17376</v>
      </c>
      <c r="C2731" s="7" t="s">
        <v>3228</v>
      </c>
      <c r="D2731" s="7" t="s">
        <v>359</v>
      </c>
      <c r="E2731" s="7" t="s">
        <v>156</v>
      </c>
      <c r="F2731" s="39" t="n">
        <v>45795</v>
      </c>
      <c r="G2731" s="41" t="n">
        <v>129.2</v>
      </c>
      <c r="H2731" s="39" t="n">
        <v>45806</v>
      </c>
      <c r="I2731" s="7" t="s">
        <v>14651</v>
      </c>
      <c r="J2731" s="8" t="str">
        <f aca="false">IF(I2731="Open",DATE(2025,12,31)-F2731,"-")</f>
        <v>-</v>
      </c>
    </row>
    <row r="2732" customFormat="false" ht="15" hidden="false" customHeight="false" outlineLevel="0" collapsed="false">
      <c r="B2732" s="7" t="s">
        <v>17377</v>
      </c>
      <c r="C2732" s="7" t="s">
        <v>3229</v>
      </c>
      <c r="D2732" s="7" t="s">
        <v>395</v>
      </c>
      <c r="E2732" s="7" t="s">
        <v>156</v>
      </c>
      <c r="F2732" s="39" t="n">
        <v>45795</v>
      </c>
      <c r="G2732" s="41" t="n">
        <v>148.58</v>
      </c>
      <c r="H2732" s="39" t="n">
        <v>45798</v>
      </c>
      <c r="I2732" s="7" t="s">
        <v>14651</v>
      </c>
      <c r="J2732" s="8" t="str">
        <f aca="false">IF(I2732="Open",DATE(2025,12,31)-F2732,"-")</f>
        <v>-</v>
      </c>
    </row>
    <row r="2733" customFormat="false" ht="15" hidden="false" customHeight="false" outlineLevel="0" collapsed="false">
      <c r="B2733" s="7" t="s">
        <v>17378</v>
      </c>
      <c r="C2733" s="7" t="s">
        <v>3230</v>
      </c>
      <c r="D2733" s="7" t="s">
        <v>401</v>
      </c>
      <c r="E2733" s="7" t="s">
        <v>156</v>
      </c>
      <c r="F2733" s="39" t="n">
        <v>45795</v>
      </c>
      <c r="G2733" s="41" t="n">
        <v>131.58</v>
      </c>
      <c r="H2733" s="39" t="n">
        <v>45796</v>
      </c>
      <c r="I2733" s="7" t="s">
        <v>14651</v>
      </c>
      <c r="J2733" s="8" t="str">
        <f aca="false">IF(I2733="Open",DATE(2025,12,31)-F2733,"-")</f>
        <v>-</v>
      </c>
    </row>
    <row r="2734" customFormat="false" ht="15" hidden="false" customHeight="false" outlineLevel="0" collapsed="false">
      <c r="B2734" s="7" t="s">
        <v>17379</v>
      </c>
      <c r="C2734" s="7" t="s">
        <v>3231</v>
      </c>
      <c r="D2734" s="7" t="s">
        <v>280</v>
      </c>
      <c r="E2734" s="7" t="s">
        <v>157</v>
      </c>
      <c r="F2734" s="39" t="n">
        <v>45796</v>
      </c>
      <c r="G2734" s="41" t="n">
        <v>165</v>
      </c>
      <c r="H2734" s="39" t="n">
        <v>45875</v>
      </c>
      <c r="I2734" s="7" t="s">
        <v>14651</v>
      </c>
      <c r="J2734" s="8" t="str">
        <f aca="false">IF(I2734="Open",DATE(2025,12,31)-F2734,"-")</f>
        <v>-</v>
      </c>
    </row>
    <row r="2735" customFormat="false" ht="15" hidden="false" customHeight="false" outlineLevel="0" collapsed="false">
      <c r="B2735" s="7" t="s">
        <v>17380</v>
      </c>
      <c r="C2735" s="7" t="s">
        <v>3232</v>
      </c>
      <c r="D2735" s="7" t="s">
        <v>288</v>
      </c>
      <c r="E2735" s="7" t="s">
        <v>156</v>
      </c>
      <c r="F2735" s="39" t="n">
        <v>45796</v>
      </c>
      <c r="G2735" s="41" t="n">
        <v>126.82</v>
      </c>
      <c r="H2735" s="39" t="n">
        <v>45805</v>
      </c>
      <c r="I2735" s="7" t="s">
        <v>14651</v>
      </c>
      <c r="J2735" s="8" t="str">
        <f aca="false">IF(I2735="Open",DATE(2025,12,31)-F2735,"-")</f>
        <v>-</v>
      </c>
    </row>
    <row r="2736" customFormat="false" ht="15" hidden="false" customHeight="false" outlineLevel="0" collapsed="false">
      <c r="B2736" s="7" t="s">
        <v>17381</v>
      </c>
      <c r="C2736" s="7" t="s">
        <v>3233</v>
      </c>
      <c r="D2736" s="7" t="s">
        <v>291</v>
      </c>
      <c r="E2736" s="7" t="s">
        <v>154</v>
      </c>
      <c r="F2736" s="39" t="n">
        <v>45796</v>
      </c>
      <c r="G2736" s="41" t="n">
        <v>112.62</v>
      </c>
      <c r="H2736" s="39" t="n">
        <v>45863</v>
      </c>
      <c r="I2736" s="7" t="s">
        <v>14651</v>
      </c>
      <c r="J2736" s="8" t="str">
        <f aca="false">IF(I2736="Open",DATE(2025,12,31)-F2736,"-")</f>
        <v>-</v>
      </c>
    </row>
    <row r="2737" customFormat="false" ht="15" hidden="false" customHeight="false" outlineLevel="0" collapsed="false">
      <c r="B2737" s="7" t="s">
        <v>17382</v>
      </c>
      <c r="C2737" s="7" t="s">
        <v>3234</v>
      </c>
      <c r="D2737" s="7" t="s">
        <v>297</v>
      </c>
      <c r="E2737" s="7" t="s">
        <v>156</v>
      </c>
      <c r="F2737" s="39" t="n">
        <v>45796</v>
      </c>
      <c r="G2737" s="41" t="n">
        <v>94.18</v>
      </c>
      <c r="H2737" s="39" t="n">
        <v>45812</v>
      </c>
      <c r="I2737" s="7" t="s">
        <v>14651</v>
      </c>
      <c r="J2737" s="8" t="str">
        <f aca="false">IF(I2737="Open",DATE(2025,12,31)-F2737,"-")</f>
        <v>-</v>
      </c>
    </row>
    <row r="2738" customFormat="false" ht="15" hidden="false" customHeight="false" outlineLevel="0" collapsed="false">
      <c r="B2738" s="7" t="s">
        <v>17383</v>
      </c>
      <c r="C2738" s="7" t="s">
        <v>3235</v>
      </c>
      <c r="D2738" s="7" t="s">
        <v>305</v>
      </c>
      <c r="E2738" s="7" t="s">
        <v>154</v>
      </c>
      <c r="F2738" s="39" t="n">
        <v>45796</v>
      </c>
      <c r="G2738" s="41" t="n">
        <v>101.76</v>
      </c>
      <c r="H2738" s="39" t="n">
        <v>45863</v>
      </c>
      <c r="I2738" s="7" t="s">
        <v>14651</v>
      </c>
      <c r="J2738" s="8" t="str">
        <f aca="false">IF(I2738="Open",DATE(2025,12,31)-F2738,"-")</f>
        <v>-</v>
      </c>
    </row>
    <row r="2739" customFormat="false" ht="15" hidden="false" customHeight="false" outlineLevel="0" collapsed="false">
      <c r="B2739" s="7" t="s">
        <v>17384</v>
      </c>
      <c r="C2739" s="7" t="s">
        <v>3236</v>
      </c>
      <c r="D2739" s="7" t="s">
        <v>307</v>
      </c>
      <c r="E2739" s="7" t="s">
        <v>157</v>
      </c>
      <c r="F2739" s="39" t="n">
        <v>45796</v>
      </c>
      <c r="G2739" s="41" t="n">
        <v>145.69</v>
      </c>
      <c r="H2739" s="39" t="n">
        <v>45833</v>
      </c>
      <c r="I2739" s="7" t="s">
        <v>14651</v>
      </c>
      <c r="J2739" s="8" t="str">
        <f aca="false">IF(I2739="Open",DATE(2025,12,31)-F2739,"-")</f>
        <v>-</v>
      </c>
    </row>
    <row r="2740" customFormat="false" ht="15" hidden="false" customHeight="false" outlineLevel="0" collapsed="false">
      <c r="B2740" s="7" t="s">
        <v>17385</v>
      </c>
      <c r="C2740" s="7" t="s">
        <v>3237</v>
      </c>
      <c r="D2740" s="7" t="s">
        <v>309</v>
      </c>
      <c r="E2740" s="7" t="s">
        <v>159</v>
      </c>
      <c r="F2740" s="39" t="n">
        <v>45796</v>
      </c>
      <c r="G2740" s="41" t="n">
        <v>133.65</v>
      </c>
      <c r="H2740" s="39" t="n">
        <v>45814</v>
      </c>
      <c r="I2740" s="7" t="s">
        <v>14651</v>
      </c>
      <c r="J2740" s="8" t="str">
        <f aca="false">IF(I2740="Open",DATE(2025,12,31)-F2740,"-")</f>
        <v>-</v>
      </c>
    </row>
    <row r="2741" customFormat="false" ht="15" hidden="false" customHeight="false" outlineLevel="0" collapsed="false">
      <c r="B2741" s="7" t="s">
        <v>17386</v>
      </c>
      <c r="C2741" s="7" t="s">
        <v>3238</v>
      </c>
      <c r="D2741" s="7" t="s">
        <v>311</v>
      </c>
      <c r="E2741" s="7" t="s">
        <v>154</v>
      </c>
      <c r="F2741" s="39" t="n">
        <v>45796</v>
      </c>
      <c r="G2741" s="41" t="n">
        <v>75.26</v>
      </c>
      <c r="H2741" s="39" t="n">
        <v>45855</v>
      </c>
      <c r="I2741" s="7" t="s">
        <v>14651</v>
      </c>
      <c r="J2741" s="8" t="str">
        <f aca="false">IF(I2741="Open",DATE(2025,12,31)-F2741,"-")</f>
        <v>-</v>
      </c>
    </row>
    <row r="2742" customFormat="false" ht="15" hidden="false" customHeight="false" outlineLevel="0" collapsed="false">
      <c r="B2742" s="7" t="s">
        <v>17387</v>
      </c>
      <c r="C2742" s="7" t="s">
        <v>3239</v>
      </c>
      <c r="D2742" s="7" t="s">
        <v>313</v>
      </c>
      <c r="E2742" s="7" t="s">
        <v>156</v>
      </c>
      <c r="F2742" s="39" t="n">
        <v>45796</v>
      </c>
      <c r="G2742" s="41" t="n">
        <v>146.54</v>
      </c>
      <c r="H2742" s="39" t="n">
        <v>45807</v>
      </c>
      <c r="I2742" s="7" t="s">
        <v>14651</v>
      </c>
      <c r="J2742" s="8" t="str">
        <f aca="false">IF(I2742="Open",DATE(2025,12,31)-F2742,"-")</f>
        <v>-</v>
      </c>
    </row>
    <row r="2743" customFormat="false" ht="15" hidden="false" customHeight="false" outlineLevel="0" collapsed="false">
      <c r="B2743" s="7" t="s">
        <v>17388</v>
      </c>
      <c r="C2743" s="7" t="s">
        <v>3240</v>
      </c>
      <c r="D2743" s="7" t="s">
        <v>317</v>
      </c>
      <c r="E2743" s="7" t="s">
        <v>156</v>
      </c>
      <c r="F2743" s="39" t="n">
        <v>45796</v>
      </c>
      <c r="G2743" s="41" t="n">
        <v>95.2</v>
      </c>
      <c r="H2743" s="39" t="n">
        <v>45811</v>
      </c>
      <c r="I2743" s="7" t="s">
        <v>14651</v>
      </c>
      <c r="J2743" s="8" t="str">
        <f aca="false">IF(I2743="Open",DATE(2025,12,31)-F2743,"-")</f>
        <v>-</v>
      </c>
    </row>
    <row r="2744" customFormat="false" ht="15" hidden="false" customHeight="false" outlineLevel="0" collapsed="false">
      <c r="B2744" s="7" t="s">
        <v>17389</v>
      </c>
      <c r="C2744" s="7" t="s">
        <v>3241</v>
      </c>
      <c r="D2744" s="7" t="s">
        <v>321</v>
      </c>
      <c r="E2744" s="7" t="s">
        <v>154</v>
      </c>
      <c r="F2744" s="39" t="n">
        <v>45796</v>
      </c>
      <c r="G2744" s="41" t="n">
        <v>115.54</v>
      </c>
      <c r="H2744" s="39" t="n">
        <v>45829</v>
      </c>
      <c r="I2744" s="7" t="s">
        <v>14651</v>
      </c>
      <c r="J2744" s="8" t="str">
        <f aca="false">IF(I2744="Open",DATE(2025,12,31)-F2744,"-")</f>
        <v>-</v>
      </c>
    </row>
    <row r="2745" customFormat="false" ht="15" hidden="false" customHeight="false" outlineLevel="0" collapsed="false">
      <c r="B2745" s="7" t="s">
        <v>17390</v>
      </c>
      <c r="C2745" s="7" t="s">
        <v>3242</v>
      </c>
      <c r="D2745" s="7" t="s">
        <v>325</v>
      </c>
      <c r="E2745" s="7" t="s">
        <v>154</v>
      </c>
      <c r="F2745" s="39" t="n">
        <v>45796</v>
      </c>
      <c r="G2745" s="41" t="n">
        <v>73.41</v>
      </c>
      <c r="H2745" s="39" t="n">
        <v>45824</v>
      </c>
      <c r="I2745" s="7" t="s">
        <v>14651</v>
      </c>
      <c r="J2745" s="8" t="str">
        <f aca="false">IF(I2745="Open",DATE(2025,12,31)-F2745,"-")</f>
        <v>-</v>
      </c>
    </row>
    <row r="2746" customFormat="false" ht="15" hidden="false" customHeight="false" outlineLevel="0" collapsed="false">
      <c r="B2746" s="7" t="s">
        <v>17391</v>
      </c>
      <c r="C2746" s="7" t="s">
        <v>3243</v>
      </c>
      <c r="D2746" s="7" t="s">
        <v>329</v>
      </c>
      <c r="E2746" s="7" t="s">
        <v>156</v>
      </c>
      <c r="F2746" s="39" t="n">
        <v>45796</v>
      </c>
      <c r="G2746" s="41" t="n">
        <v>146.88</v>
      </c>
      <c r="H2746" s="39" t="n">
        <v>45814</v>
      </c>
      <c r="I2746" s="7" t="s">
        <v>14651</v>
      </c>
      <c r="J2746" s="8" t="str">
        <f aca="false">IF(I2746="Open",DATE(2025,12,31)-F2746,"-")</f>
        <v>-</v>
      </c>
    </row>
    <row r="2747" customFormat="false" ht="15" hidden="false" customHeight="false" outlineLevel="0" collapsed="false">
      <c r="B2747" s="7" t="s">
        <v>17392</v>
      </c>
      <c r="C2747" s="7" t="s">
        <v>3244</v>
      </c>
      <c r="D2747" s="7" t="s">
        <v>331</v>
      </c>
      <c r="E2747" s="7" t="s">
        <v>156</v>
      </c>
      <c r="F2747" s="39" t="n">
        <v>45796</v>
      </c>
      <c r="G2747" s="41" t="n">
        <v>136.68</v>
      </c>
      <c r="H2747" s="39" t="n">
        <v>45806</v>
      </c>
      <c r="I2747" s="7" t="s">
        <v>14651</v>
      </c>
      <c r="J2747" s="8" t="str">
        <f aca="false">IF(I2747="Open",DATE(2025,12,31)-F2747,"-")</f>
        <v>-</v>
      </c>
    </row>
    <row r="2748" customFormat="false" ht="15" hidden="false" customHeight="false" outlineLevel="0" collapsed="false">
      <c r="B2748" s="7" t="s">
        <v>17393</v>
      </c>
      <c r="C2748" s="7" t="s">
        <v>3245</v>
      </c>
      <c r="D2748" s="7" t="s">
        <v>335</v>
      </c>
      <c r="E2748" s="7" t="s">
        <v>154</v>
      </c>
      <c r="F2748" s="39" t="n">
        <v>45796</v>
      </c>
      <c r="G2748" s="41" t="n">
        <v>98.58</v>
      </c>
      <c r="H2748" s="39" t="n">
        <v>45843</v>
      </c>
      <c r="I2748" s="7" t="s">
        <v>14651</v>
      </c>
      <c r="J2748" s="8" t="str">
        <f aca="false">IF(I2748="Open",DATE(2025,12,31)-F2748,"-")</f>
        <v>-</v>
      </c>
    </row>
    <row r="2749" customFormat="false" ht="15" hidden="false" customHeight="false" outlineLevel="0" collapsed="false">
      <c r="B2749" s="7" t="s">
        <v>17394</v>
      </c>
      <c r="C2749" s="7" t="s">
        <v>3246</v>
      </c>
      <c r="D2749" s="7" t="s">
        <v>337</v>
      </c>
      <c r="E2749" s="7" t="s">
        <v>154</v>
      </c>
      <c r="F2749" s="39" t="n">
        <v>45796</v>
      </c>
      <c r="G2749" s="41" t="n">
        <v>81.99</v>
      </c>
      <c r="H2749" s="39" t="n">
        <v>45883</v>
      </c>
      <c r="I2749" s="7" t="s">
        <v>14651</v>
      </c>
      <c r="J2749" s="8" t="str">
        <f aca="false">IF(I2749="Open",DATE(2025,12,31)-F2749,"-")</f>
        <v>-</v>
      </c>
    </row>
    <row r="2750" customFormat="false" ht="15" hidden="false" customHeight="false" outlineLevel="0" collapsed="false">
      <c r="B2750" s="7" t="s">
        <v>17395</v>
      </c>
      <c r="C2750" s="7" t="s">
        <v>3247</v>
      </c>
      <c r="D2750" s="7" t="s">
        <v>339</v>
      </c>
      <c r="E2750" s="7" t="s">
        <v>154</v>
      </c>
      <c r="F2750" s="39" t="n">
        <v>45796</v>
      </c>
      <c r="G2750" s="41" t="n">
        <v>95.66</v>
      </c>
      <c r="H2750" s="39" t="n">
        <v>45881</v>
      </c>
      <c r="I2750" s="7" t="s">
        <v>14651</v>
      </c>
      <c r="J2750" s="8" t="str">
        <f aca="false">IF(I2750="Open",DATE(2025,12,31)-F2750,"-")</f>
        <v>-</v>
      </c>
    </row>
    <row r="2751" customFormat="false" ht="15" hidden="false" customHeight="false" outlineLevel="0" collapsed="false">
      <c r="B2751" s="7" t="s">
        <v>17396</v>
      </c>
      <c r="C2751" s="7" t="s">
        <v>3248</v>
      </c>
      <c r="D2751" s="7" t="s">
        <v>341</v>
      </c>
      <c r="E2751" s="7" t="s">
        <v>156</v>
      </c>
      <c r="F2751" s="39" t="n">
        <v>45796</v>
      </c>
      <c r="G2751" s="41" t="n">
        <v>108.46</v>
      </c>
      <c r="H2751" s="39" t="n">
        <v>45807</v>
      </c>
      <c r="I2751" s="7" t="s">
        <v>14651</v>
      </c>
      <c r="J2751" s="8" t="str">
        <f aca="false">IF(I2751="Open",DATE(2025,12,31)-F2751,"-")</f>
        <v>-</v>
      </c>
    </row>
    <row r="2752" customFormat="false" ht="15" hidden="false" customHeight="false" outlineLevel="0" collapsed="false">
      <c r="B2752" s="7" t="s">
        <v>17397</v>
      </c>
      <c r="C2752" s="7" t="s">
        <v>3249</v>
      </c>
      <c r="D2752" s="7" t="s">
        <v>343</v>
      </c>
      <c r="E2752" s="7" t="s">
        <v>154</v>
      </c>
      <c r="F2752" s="39" t="n">
        <v>45796</v>
      </c>
      <c r="G2752" s="41" t="n">
        <v>92.54</v>
      </c>
      <c r="H2752" s="39" t="n">
        <v>45847</v>
      </c>
      <c r="I2752" s="7" t="s">
        <v>14651</v>
      </c>
      <c r="J2752" s="8" t="str">
        <f aca="false">IF(I2752="Open",DATE(2025,12,31)-F2752,"-")</f>
        <v>-</v>
      </c>
    </row>
    <row r="2753" customFormat="false" ht="15" hidden="false" customHeight="false" outlineLevel="0" collapsed="false">
      <c r="B2753" s="7" t="s">
        <v>17398</v>
      </c>
      <c r="C2753" s="7" t="s">
        <v>3250</v>
      </c>
      <c r="D2753" s="7" t="s">
        <v>351</v>
      </c>
      <c r="E2753" s="7" t="s">
        <v>154</v>
      </c>
      <c r="F2753" s="39" t="n">
        <v>45796</v>
      </c>
      <c r="G2753" s="41" t="n">
        <v>81.88</v>
      </c>
      <c r="H2753" s="39" t="n">
        <v>45852</v>
      </c>
      <c r="I2753" s="7" t="s">
        <v>14651</v>
      </c>
      <c r="J2753" s="8" t="str">
        <f aca="false">IF(I2753="Open",DATE(2025,12,31)-F2753,"-")</f>
        <v>-</v>
      </c>
    </row>
    <row r="2754" customFormat="false" ht="15" hidden="false" customHeight="false" outlineLevel="0" collapsed="false">
      <c r="B2754" s="7" t="s">
        <v>17399</v>
      </c>
      <c r="C2754" s="7" t="s">
        <v>3251</v>
      </c>
      <c r="D2754" s="7" t="s">
        <v>353</v>
      </c>
      <c r="E2754" s="7" t="s">
        <v>154</v>
      </c>
      <c r="F2754" s="39" t="n">
        <v>45796</v>
      </c>
      <c r="G2754" s="41" t="n">
        <v>92.22</v>
      </c>
      <c r="H2754" s="39" t="n">
        <v>45831</v>
      </c>
      <c r="I2754" s="7" t="s">
        <v>14651</v>
      </c>
      <c r="J2754" s="8" t="str">
        <f aca="false">IF(I2754="Open",DATE(2025,12,31)-F2754,"-")</f>
        <v>-</v>
      </c>
    </row>
    <row r="2755" customFormat="false" ht="15" hidden="false" customHeight="false" outlineLevel="0" collapsed="false">
      <c r="B2755" s="7" t="s">
        <v>17400</v>
      </c>
      <c r="C2755" s="7" t="s">
        <v>3252</v>
      </c>
      <c r="D2755" s="7" t="s">
        <v>355</v>
      </c>
      <c r="E2755" s="7" t="s">
        <v>154</v>
      </c>
      <c r="F2755" s="39" t="n">
        <v>45796</v>
      </c>
      <c r="G2755" s="41" t="n">
        <v>80.56</v>
      </c>
      <c r="H2755" s="39" t="n">
        <v>45844</v>
      </c>
      <c r="I2755" s="7" t="s">
        <v>14651</v>
      </c>
      <c r="J2755" s="8" t="str">
        <f aca="false">IF(I2755="Open",DATE(2025,12,31)-F2755,"-")</f>
        <v>-</v>
      </c>
    </row>
    <row r="2756" customFormat="false" ht="15" hidden="false" customHeight="false" outlineLevel="0" collapsed="false">
      <c r="B2756" s="7" t="s">
        <v>17401</v>
      </c>
      <c r="C2756" s="7" t="s">
        <v>3253</v>
      </c>
      <c r="D2756" s="7" t="s">
        <v>357</v>
      </c>
      <c r="E2756" s="7" t="s">
        <v>154</v>
      </c>
      <c r="F2756" s="39" t="n">
        <v>45796</v>
      </c>
      <c r="G2756" s="41" t="n">
        <v>84.53</v>
      </c>
      <c r="H2756" s="39" t="n">
        <v>45888</v>
      </c>
      <c r="I2756" s="7" t="s">
        <v>14651</v>
      </c>
      <c r="J2756" s="8" t="str">
        <f aca="false">IF(I2756="Open",DATE(2025,12,31)-F2756,"-")</f>
        <v>-</v>
      </c>
    </row>
    <row r="2757" customFormat="false" ht="15" hidden="false" customHeight="false" outlineLevel="0" collapsed="false">
      <c r="B2757" s="7" t="s">
        <v>17402</v>
      </c>
      <c r="C2757" s="7" t="s">
        <v>3254</v>
      </c>
      <c r="D2757" s="7" t="s">
        <v>359</v>
      </c>
      <c r="E2757" s="7" t="s">
        <v>156</v>
      </c>
      <c r="F2757" s="39" t="n">
        <v>45796</v>
      </c>
      <c r="G2757" s="41" t="n">
        <v>127.5</v>
      </c>
      <c r="H2757" s="39" t="n">
        <v>45811</v>
      </c>
      <c r="I2757" s="7" t="s">
        <v>14651</v>
      </c>
      <c r="J2757" s="8" t="str">
        <f aca="false">IF(I2757="Open",DATE(2025,12,31)-F2757,"-")</f>
        <v>-</v>
      </c>
    </row>
    <row r="2758" customFormat="false" ht="15" hidden="false" customHeight="false" outlineLevel="0" collapsed="false">
      <c r="B2758" s="7" t="s">
        <v>17403</v>
      </c>
      <c r="C2758" s="7" t="s">
        <v>3255</v>
      </c>
      <c r="D2758" s="7" t="s">
        <v>363</v>
      </c>
      <c r="E2758" s="7" t="s">
        <v>156</v>
      </c>
      <c r="F2758" s="39" t="n">
        <v>45796</v>
      </c>
      <c r="G2758" s="41" t="n">
        <v>133.96</v>
      </c>
      <c r="H2758" s="39" t="n">
        <v>45807</v>
      </c>
      <c r="I2758" s="7" t="s">
        <v>14651</v>
      </c>
      <c r="J2758" s="8" t="str">
        <f aca="false">IF(I2758="Open",DATE(2025,12,31)-F2758,"-")</f>
        <v>-</v>
      </c>
    </row>
    <row r="2759" customFormat="false" ht="15" hidden="false" customHeight="false" outlineLevel="0" collapsed="false">
      <c r="B2759" s="7" t="s">
        <v>17404</v>
      </c>
      <c r="C2759" s="7" t="s">
        <v>3256</v>
      </c>
      <c r="D2759" s="7" t="s">
        <v>365</v>
      </c>
      <c r="E2759" s="7" t="s">
        <v>154</v>
      </c>
      <c r="F2759" s="39" t="n">
        <v>45796</v>
      </c>
      <c r="G2759" s="41" t="n">
        <v>112.1</v>
      </c>
      <c r="H2759" s="39" t="n">
        <v>45869</v>
      </c>
      <c r="I2759" s="7" t="s">
        <v>14651</v>
      </c>
      <c r="J2759" s="8" t="str">
        <f aca="false">IF(I2759="Open",DATE(2025,12,31)-F2759,"-")</f>
        <v>-</v>
      </c>
    </row>
    <row r="2760" customFormat="false" ht="15" hidden="false" customHeight="false" outlineLevel="0" collapsed="false">
      <c r="B2760" s="7" t="s">
        <v>17405</v>
      </c>
      <c r="C2760" s="7" t="s">
        <v>3257</v>
      </c>
      <c r="D2760" s="7" t="s">
        <v>371</v>
      </c>
      <c r="E2760" s="7" t="s">
        <v>154</v>
      </c>
      <c r="F2760" s="39" t="n">
        <v>45796</v>
      </c>
      <c r="G2760" s="41" t="n">
        <v>127.46</v>
      </c>
      <c r="H2760" s="39" t="n">
        <v>45852</v>
      </c>
      <c r="I2760" s="7" t="s">
        <v>14651</v>
      </c>
      <c r="J2760" s="8" t="str">
        <f aca="false">IF(I2760="Open",DATE(2025,12,31)-F2760,"-")</f>
        <v>-</v>
      </c>
    </row>
    <row r="2761" customFormat="false" ht="15" hidden="false" customHeight="false" outlineLevel="0" collapsed="false">
      <c r="B2761" s="7" t="s">
        <v>17406</v>
      </c>
      <c r="C2761" s="7" t="s">
        <v>3258</v>
      </c>
      <c r="D2761" s="7" t="s">
        <v>375</v>
      </c>
      <c r="E2761" s="7" t="s">
        <v>156</v>
      </c>
      <c r="F2761" s="39" t="n">
        <v>45796</v>
      </c>
      <c r="G2761" s="41" t="n">
        <v>102</v>
      </c>
      <c r="H2761" s="39" t="n">
        <v>45799</v>
      </c>
      <c r="I2761" s="7" t="s">
        <v>14651</v>
      </c>
      <c r="J2761" s="8" t="str">
        <f aca="false">IF(I2761="Open",DATE(2025,12,31)-F2761,"-")</f>
        <v>-</v>
      </c>
    </row>
    <row r="2762" customFormat="false" ht="15" hidden="false" customHeight="false" outlineLevel="0" collapsed="false">
      <c r="B2762" s="7" t="s">
        <v>17407</v>
      </c>
      <c r="C2762" s="7" t="s">
        <v>3259</v>
      </c>
      <c r="D2762" s="7" t="s">
        <v>377</v>
      </c>
      <c r="E2762" s="7" t="s">
        <v>154</v>
      </c>
      <c r="F2762" s="39" t="n">
        <v>45796</v>
      </c>
      <c r="G2762" s="41" t="n">
        <v>112.89</v>
      </c>
      <c r="H2762" s="39" t="n">
        <v>45899</v>
      </c>
      <c r="I2762" s="7" t="s">
        <v>14651</v>
      </c>
      <c r="J2762" s="8" t="str">
        <f aca="false">IF(I2762="Open",DATE(2025,12,31)-F2762,"-")</f>
        <v>-</v>
      </c>
    </row>
    <row r="2763" customFormat="false" ht="15" hidden="false" customHeight="false" outlineLevel="0" collapsed="false">
      <c r="B2763" s="7" t="s">
        <v>17408</v>
      </c>
      <c r="C2763" s="7" t="s">
        <v>3260</v>
      </c>
      <c r="D2763" s="7" t="s">
        <v>379</v>
      </c>
      <c r="E2763" s="7" t="s">
        <v>156</v>
      </c>
      <c r="F2763" s="39" t="n">
        <v>45796</v>
      </c>
      <c r="G2763" s="41" t="n">
        <v>156.06</v>
      </c>
      <c r="H2763" s="39" t="n">
        <v>45808</v>
      </c>
      <c r="I2763" s="7" t="s">
        <v>14651</v>
      </c>
      <c r="J2763" s="8" t="str">
        <f aca="false">IF(I2763="Open",DATE(2025,12,31)-F2763,"-")</f>
        <v>-</v>
      </c>
    </row>
    <row r="2764" customFormat="false" ht="15" hidden="false" customHeight="false" outlineLevel="0" collapsed="false">
      <c r="B2764" s="7" t="s">
        <v>17409</v>
      </c>
      <c r="C2764" s="7" t="s">
        <v>3261</v>
      </c>
      <c r="D2764" s="7" t="s">
        <v>385</v>
      </c>
      <c r="E2764" s="7" t="s">
        <v>156</v>
      </c>
      <c r="F2764" s="39" t="n">
        <v>45796</v>
      </c>
      <c r="G2764" s="41" t="n">
        <v>142.8</v>
      </c>
      <c r="H2764" s="39" t="n">
        <v>45803</v>
      </c>
      <c r="I2764" s="7" t="s">
        <v>14651</v>
      </c>
      <c r="J2764" s="8" t="str">
        <f aca="false">IF(I2764="Open",DATE(2025,12,31)-F2764,"-")</f>
        <v>-</v>
      </c>
    </row>
    <row r="2765" customFormat="false" ht="15" hidden="false" customHeight="false" outlineLevel="0" collapsed="false">
      <c r="B2765" s="7" t="s">
        <v>17410</v>
      </c>
      <c r="C2765" s="7" t="s">
        <v>3262</v>
      </c>
      <c r="D2765" s="7" t="s">
        <v>389</v>
      </c>
      <c r="E2765" s="7" t="s">
        <v>154</v>
      </c>
      <c r="F2765" s="39" t="n">
        <v>45796</v>
      </c>
      <c r="G2765" s="41" t="n">
        <v>92.54</v>
      </c>
      <c r="H2765" s="39" t="n">
        <v>45884</v>
      </c>
      <c r="I2765" s="7" t="s">
        <v>14651</v>
      </c>
      <c r="J2765" s="8" t="str">
        <f aca="false">IF(I2765="Open",DATE(2025,12,31)-F2765,"-")</f>
        <v>-</v>
      </c>
    </row>
    <row r="2766" customFormat="false" ht="15" hidden="false" customHeight="false" outlineLevel="0" collapsed="false">
      <c r="B2766" s="7" t="s">
        <v>17411</v>
      </c>
      <c r="C2766" s="7" t="s">
        <v>3263</v>
      </c>
      <c r="D2766" s="7" t="s">
        <v>391</v>
      </c>
      <c r="E2766" s="7" t="s">
        <v>156</v>
      </c>
      <c r="F2766" s="39" t="n">
        <v>45796</v>
      </c>
      <c r="G2766" s="41" t="n">
        <v>137.7</v>
      </c>
      <c r="H2766" s="39" t="n">
        <v>45805</v>
      </c>
      <c r="I2766" s="7" t="s">
        <v>14651</v>
      </c>
      <c r="J2766" s="8" t="str">
        <f aca="false">IF(I2766="Open",DATE(2025,12,31)-F2766,"-")</f>
        <v>-</v>
      </c>
    </row>
    <row r="2767" customFormat="false" ht="15" hidden="false" customHeight="false" outlineLevel="0" collapsed="false">
      <c r="B2767" s="7" t="s">
        <v>17412</v>
      </c>
      <c r="C2767" s="7" t="s">
        <v>3264</v>
      </c>
      <c r="D2767" s="7" t="s">
        <v>395</v>
      </c>
      <c r="E2767" s="7" t="s">
        <v>156</v>
      </c>
      <c r="F2767" s="39" t="n">
        <v>45796</v>
      </c>
      <c r="G2767" s="41" t="n">
        <v>124.1</v>
      </c>
      <c r="H2767" s="39" t="n">
        <v>45814</v>
      </c>
      <c r="I2767" s="7" t="s">
        <v>14651</v>
      </c>
      <c r="J2767" s="8" t="str">
        <f aca="false">IF(I2767="Open",DATE(2025,12,31)-F2767,"-")</f>
        <v>-</v>
      </c>
    </row>
    <row r="2768" customFormat="false" ht="15" hidden="false" customHeight="false" outlineLevel="0" collapsed="false">
      <c r="B2768" s="7" t="s">
        <v>17413</v>
      </c>
      <c r="C2768" s="7" t="s">
        <v>3265</v>
      </c>
      <c r="D2768" s="7" t="s">
        <v>399</v>
      </c>
      <c r="E2768" s="7" t="s">
        <v>154</v>
      </c>
      <c r="F2768" s="39" t="n">
        <v>45796</v>
      </c>
      <c r="G2768" s="41" t="n">
        <v>94.87</v>
      </c>
      <c r="H2768" s="39" t="n">
        <v>45873</v>
      </c>
      <c r="I2768" s="7" t="s">
        <v>14651</v>
      </c>
      <c r="J2768" s="8" t="str">
        <f aca="false">IF(I2768="Open",DATE(2025,12,31)-F2768,"-")</f>
        <v>-</v>
      </c>
    </row>
    <row r="2769" customFormat="false" ht="15" hidden="false" customHeight="false" outlineLevel="0" collapsed="false">
      <c r="B2769" s="7" t="s">
        <v>17414</v>
      </c>
      <c r="C2769" s="7" t="s">
        <v>3266</v>
      </c>
      <c r="D2769" s="7" t="s">
        <v>401</v>
      </c>
      <c r="E2769" s="7" t="s">
        <v>156</v>
      </c>
      <c r="F2769" s="39" t="n">
        <v>45796</v>
      </c>
      <c r="G2769" s="41" t="n">
        <v>126.48</v>
      </c>
      <c r="H2769" s="39" t="n">
        <v>45808</v>
      </c>
      <c r="I2769" s="7" t="s">
        <v>14651</v>
      </c>
      <c r="J2769" s="8" t="str">
        <f aca="false">IF(I2769="Open",DATE(2025,12,31)-F2769,"-")</f>
        <v>-</v>
      </c>
    </row>
    <row r="2770" customFormat="false" ht="15" hidden="false" customHeight="false" outlineLevel="0" collapsed="false">
      <c r="B2770" s="7" t="s">
        <v>17415</v>
      </c>
      <c r="C2770" s="7" t="s">
        <v>3267</v>
      </c>
      <c r="D2770" s="7" t="s">
        <v>409</v>
      </c>
      <c r="E2770" s="7" t="s">
        <v>154</v>
      </c>
      <c r="F2770" s="39" t="n">
        <v>45796</v>
      </c>
      <c r="G2770" s="41" t="n">
        <v>95.66</v>
      </c>
      <c r="H2770" s="39" t="n">
        <v>45855</v>
      </c>
      <c r="I2770" s="7" t="s">
        <v>14651</v>
      </c>
      <c r="J2770" s="8" t="str">
        <f aca="false">IF(I2770="Open",DATE(2025,12,31)-F2770,"-")</f>
        <v>-</v>
      </c>
    </row>
    <row r="2771" customFormat="false" ht="15" hidden="false" customHeight="false" outlineLevel="0" collapsed="false">
      <c r="B2771" s="7" t="s">
        <v>17416</v>
      </c>
      <c r="C2771" s="7" t="s">
        <v>3268</v>
      </c>
      <c r="D2771" s="7" t="s">
        <v>411</v>
      </c>
      <c r="E2771" s="7" t="s">
        <v>154</v>
      </c>
      <c r="F2771" s="39" t="n">
        <v>45796</v>
      </c>
      <c r="G2771" s="41" t="n">
        <v>112.62</v>
      </c>
      <c r="H2771" s="39" t="n">
        <v>45845</v>
      </c>
      <c r="I2771" s="7" t="s">
        <v>14651</v>
      </c>
      <c r="J2771" s="8" t="str">
        <f aca="false">IF(I2771="Open",DATE(2025,12,31)-F2771,"-")</f>
        <v>-</v>
      </c>
    </row>
    <row r="2772" customFormat="false" ht="15" hidden="false" customHeight="false" outlineLevel="0" collapsed="false">
      <c r="B2772" s="7" t="s">
        <v>17417</v>
      </c>
      <c r="C2772" s="7" t="s">
        <v>3269</v>
      </c>
      <c r="D2772" s="7" t="s">
        <v>288</v>
      </c>
      <c r="E2772" s="7" t="s">
        <v>156</v>
      </c>
      <c r="F2772" s="39" t="n">
        <v>45797</v>
      </c>
      <c r="G2772" s="41" t="n">
        <v>141.44</v>
      </c>
      <c r="H2772" s="39" t="n">
        <v>45799</v>
      </c>
      <c r="I2772" s="7" t="s">
        <v>14651</v>
      </c>
      <c r="J2772" s="8" t="str">
        <f aca="false">IF(I2772="Open",DATE(2025,12,31)-F2772,"-")</f>
        <v>-</v>
      </c>
    </row>
    <row r="2773" customFormat="false" ht="15" hidden="false" customHeight="false" outlineLevel="0" collapsed="false">
      <c r="B2773" s="7" t="s">
        <v>17418</v>
      </c>
      <c r="C2773" s="7" t="s">
        <v>3270</v>
      </c>
      <c r="D2773" s="7" t="s">
        <v>301</v>
      </c>
      <c r="E2773" s="7" t="s">
        <v>157</v>
      </c>
      <c r="F2773" s="39" t="n">
        <v>45797</v>
      </c>
      <c r="G2773" s="41" t="n">
        <v>179.85</v>
      </c>
      <c r="H2773" s="39" t="n">
        <v>45831</v>
      </c>
      <c r="I2773" s="7" t="s">
        <v>14651</v>
      </c>
      <c r="J2773" s="8" t="str">
        <f aca="false">IF(I2773="Open",DATE(2025,12,31)-F2773,"-")</f>
        <v>-</v>
      </c>
    </row>
    <row r="2774" customFormat="false" ht="15" hidden="false" customHeight="false" outlineLevel="0" collapsed="false">
      <c r="B2774" s="7" t="s">
        <v>17419</v>
      </c>
      <c r="C2774" s="7" t="s">
        <v>3271</v>
      </c>
      <c r="D2774" s="7" t="s">
        <v>313</v>
      </c>
      <c r="E2774" s="7" t="s">
        <v>156</v>
      </c>
      <c r="F2774" s="39" t="n">
        <v>45797</v>
      </c>
      <c r="G2774" s="41" t="n">
        <v>140.42</v>
      </c>
      <c r="H2774" s="39" t="n">
        <v>45798</v>
      </c>
      <c r="I2774" s="7" t="s">
        <v>14651</v>
      </c>
      <c r="J2774" s="8" t="str">
        <f aca="false">IF(I2774="Open",DATE(2025,12,31)-F2774,"-")</f>
        <v>-</v>
      </c>
    </row>
    <row r="2775" customFormat="false" ht="15" hidden="false" customHeight="false" outlineLevel="0" collapsed="false">
      <c r="B2775" s="7" t="s">
        <v>17420</v>
      </c>
      <c r="C2775" s="7" t="s">
        <v>3272</v>
      </c>
      <c r="D2775" s="7" t="s">
        <v>319</v>
      </c>
      <c r="E2775" s="7" t="s">
        <v>157</v>
      </c>
      <c r="F2775" s="39" t="n">
        <v>45797</v>
      </c>
      <c r="G2775" s="41" t="n">
        <v>176.55</v>
      </c>
      <c r="H2775" s="39" t="n">
        <v>45835</v>
      </c>
      <c r="I2775" s="7" t="s">
        <v>14651</v>
      </c>
      <c r="J2775" s="8" t="str">
        <f aca="false">IF(I2775="Open",DATE(2025,12,31)-F2775,"-")</f>
        <v>-</v>
      </c>
    </row>
    <row r="2776" customFormat="false" ht="15" hidden="false" customHeight="false" outlineLevel="0" collapsed="false">
      <c r="B2776" s="7" t="s">
        <v>17421</v>
      </c>
      <c r="C2776" s="7" t="s">
        <v>3273</v>
      </c>
      <c r="D2776" s="7" t="s">
        <v>321</v>
      </c>
      <c r="E2776" s="7" t="s">
        <v>154</v>
      </c>
      <c r="F2776" s="39" t="n">
        <v>45797</v>
      </c>
      <c r="G2776" s="41" t="n">
        <v>96.99</v>
      </c>
      <c r="H2776" s="39" t="n">
        <v>45881</v>
      </c>
      <c r="I2776" s="7" t="s">
        <v>14651</v>
      </c>
      <c r="J2776" s="8" t="str">
        <f aca="false">IF(I2776="Open",DATE(2025,12,31)-F2776,"-")</f>
        <v>-</v>
      </c>
    </row>
    <row r="2777" customFormat="false" ht="15" hidden="false" customHeight="false" outlineLevel="0" collapsed="false">
      <c r="B2777" s="7" t="s">
        <v>17422</v>
      </c>
      <c r="C2777" s="7" t="s">
        <v>3274</v>
      </c>
      <c r="D2777" s="7" t="s">
        <v>323</v>
      </c>
      <c r="E2777" s="7" t="s">
        <v>159</v>
      </c>
      <c r="F2777" s="39" t="n">
        <v>45797</v>
      </c>
      <c r="G2777" s="41" t="n">
        <v>143.1</v>
      </c>
      <c r="H2777" s="39" t="n">
        <v>45866</v>
      </c>
      <c r="I2777" s="7" t="s">
        <v>14651</v>
      </c>
      <c r="J2777" s="8" t="str">
        <f aca="false">IF(I2777="Open",DATE(2025,12,31)-F2777,"-")</f>
        <v>-</v>
      </c>
    </row>
    <row r="2778" customFormat="false" ht="15" hidden="false" customHeight="false" outlineLevel="0" collapsed="false">
      <c r="B2778" s="7" t="s">
        <v>17423</v>
      </c>
      <c r="C2778" s="7" t="s">
        <v>3275</v>
      </c>
      <c r="D2778" s="7" t="s">
        <v>327</v>
      </c>
      <c r="E2778" s="7" t="s">
        <v>157</v>
      </c>
      <c r="F2778" s="39" t="n">
        <v>45797</v>
      </c>
      <c r="G2778" s="41" t="n">
        <v>173.25</v>
      </c>
      <c r="H2778" s="39" t="n">
        <v>45820</v>
      </c>
      <c r="I2778" s="7" t="s">
        <v>14651</v>
      </c>
      <c r="J2778" s="8" t="str">
        <f aca="false">IF(I2778="Open",DATE(2025,12,31)-F2778,"-")</f>
        <v>-</v>
      </c>
    </row>
    <row r="2779" customFormat="false" ht="15" hidden="false" customHeight="false" outlineLevel="0" collapsed="false">
      <c r="B2779" s="7" t="s">
        <v>17424</v>
      </c>
      <c r="C2779" s="7" t="s">
        <v>3276</v>
      </c>
      <c r="D2779" s="7" t="s">
        <v>329</v>
      </c>
      <c r="E2779" s="7" t="s">
        <v>156</v>
      </c>
      <c r="F2779" s="39" t="n">
        <v>45797</v>
      </c>
      <c r="G2779" s="41" t="n">
        <v>130.56</v>
      </c>
      <c r="H2779" s="39" t="n">
        <v>45807</v>
      </c>
      <c r="I2779" s="7" t="s">
        <v>14651</v>
      </c>
      <c r="J2779" s="8" t="str">
        <f aca="false">IF(I2779="Open",DATE(2025,12,31)-F2779,"-")</f>
        <v>-</v>
      </c>
    </row>
    <row r="2780" customFormat="false" ht="15" hidden="false" customHeight="false" outlineLevel="0" collapsed="false">
      <c r="B2780" s="7" t="s">
        <v>17425</v>
      </c>
      <c r="C2780" s="7" t="s">
        <v>3277</v>
      </c>
      <c r="D2780" s="7" t="s">
        <v>359</v>
      </c>
      <c r="E2780" s="7" t="s">
        <v>156</v>
      </c>
      <c r="F2780" s="39" t="n">
        <v>45797</v>
      </c>
      <c r="G2780" s="41" t="n">
        <v>143.82</v>
      </c>
      <c r="H2780" s="39" t="n">
        <v>45802</v>
      </c>
      <c r="I2780" s="7" t="s">
        <v>14651</v>
      </c>
      <c r="J2780" s="8" t="str">
        <f aca="false">IF(I2780="Open",DATE(2025,12,31)-F2780,"-")</f>
        <v>-</v>
      </c>
    </row>
    <row r="2781" customFormat="false" ht="15" hidden="false" customHeight="false" outlineLevel="0" collapsed="false">
      <c r="B2781" s="7" t="s">
        <v>17426</v>
      </c>
      <c r="C2781" s="7" t="s">
        <v>3278</v>
      </c>
      <c r="D2781" s="7" t="s">
        <v>361</v>
      </c>
      <c r="E2781" s="7" t="s">
        <v>157</v>
      </c>
      <c r="F2781" s="39" t="n">
        <v>45797</v>
      </c>
      <c r="G2781" s="41" t="n">
        <v>145.69</v>
      </c>
      <c r="H2781" s="39" t="n">
        <v>45830</v>
      </c>
      <c r="I2781" s="7" t="s">
        <v>14651</v>
      </c>
      <c r="J2781" s="8" t="str">
        <f aca="false">IF(I2781="Open",DATE(2025,12,31)-F2781,"-")</f>
        <v>-</v>
      </c>
    </row>
    <row r="2782" customFormat="false" ht="15" hidden="false" customHeight="false" outlineLevel="0" collapsed="false">
      <c r="B2782" s="7" t="s">
        <v>17427</v>
      </c>
      <c r="C2782" s="7" t="s">
        <v>3279</v>
      </c>
      <c r="D2782" s="7" t="s">
        <v>365</v>
      </c>
      <c r="E2782" s="7" t="s">
        <v>154</v>
      </c>
      <c r="F2782" s="39" t="n">
        <v>45797</v>
      </c>
      <c r="G2782" s="41" t="n">
        <v>107.96</v>
      </c>
      <c r="H2782" s="39" t="n">
        <v>45869</v>
      </c>
      <c r="I2782" s="7" t="s">
        <v>14651</v>
      </c>
      <c r="J2782" s="8" t="str">
        <f aca="false">IF(I2782="Open",DATE(2025,12,31)-F2782,"-")</f>
        <v>-</v>
      </c>
    </row>
    <row r="2783" customFormat="false" ht="15" hidden="false" customHeight="false" outlineLevel="0" collapsed="false">
      <c r="B2783" s="7" t="s">
        <v>17428</v>
      </c>
      <c r="C2783" s="7" t="s">
        <v>3280</v>
      </c>
      <c r="D2783" s="7" t="s">
        <v>381</v>
      </c>
      <c r="E2783" s="7" t="s">
        <v>157</v>
      </c>
      <c r="F2783" s="39" t="n">
        <v>45797</v>
      </c>
      <c r="G2783" s="41" t="n">
        <v>176.55</v>
      </c>
      <c r="H2783" s="39" t="n">
        <v>45829</v>
      </c>
      <c r="I2783" s="7" t="s">
        <v>14651</v>
      </c>
      <c r="J2783" s="8" t="str">
        <f aca="false">IF(I2783="Open",DATE(2025,12,31)-F2783,"-")</f>
        <v>-</v>
      </c>
    </row>
    <row r="2784" customFormat="false" ht="15" hidden="false" customHeight="false" outlineLevel="0" collapsed="false">
      <c r="B2784" s="7" t="s">
        <v>17429</v>
      </c>
      <c r="C2784" s="7" t="s">
        <v>3281</v>
      </c>
      <c r="D2784" s="7" t="s">
        <v>389</v>
      </c>
      <c r="E2784" s="7" t="s">
        <v>154</v>
      </c>
      <c r="F2784" s="39" t="n">
        <v>45797</v>
      </c>
      <c r="G2784" s="41" t="n">
        <v>107.06</v>
      </c>
      <c r="H2784" s="39" t="n">
        <v>45863</v>
      </c>
      <c r="I2784" s="7" t="s">
        <v>14651</v>
      </c>
      <c r="J2784" s="8" t="str">
        <f aca="false">IF(I2784="Open",DATE(2025,12,31)-F2784,"-")</f>
        <v>-</v>
      </c>
    </row>
    <row r="2785" customFormat="false" ht="15" hidden="false" customHeight="false" outlineLevel="0" collapsed="false">
      <c r="B2785" s="7" t="s">
        <v>17430</v>
      </c>
      <c r="C2785" s="7" t="s">
        <v>3282</v>
      </c>
      <c r="D2785" s="7" t="s">
        <v>391</v>
      </c>
      <c r="E2785" s="7" t="s">
        <v>156</v>
      </c>
      <c r="F2785" s="39" t="n">
        <v>45797</v>
      </c>
      <c r="G2785" s="41" t="n">
        <v>136</v>
      </c>
      <c r="H2785" s="39" t="n">
        <v>45798</v>
      </c>
      <c r="I2785" s="7" t="s">
        <v>14651</v>
      </c>
      <c r="J2785" s="8" t="str">
        <f aca="false">IF(I2785="Open",DATE(2025,12,31)-F2785,"-")</f>
        <v>-</v>
      </c>
    </row>
    <row r="2786" customFormat="false" ht="15" hidden="false" customHeight="false" outlineLevel="0" collapsed="false">
      <c r="B2786" s="7" t="s">
        <v>17431</v>
      </c>
      <c r="C2786" s="7" t="s">
        <v>3283</v>
      </c>
      <c r="D2786" s="7" t="s">
        <v>395</v>
      </c>
      <c r="E2786" s="7" t="s">
        <v>156</v>
      </c>
      <c r="F2786" s="39" t="n">
        <v>45797</v>
      </c>
      <c r="G2786" s="41" t="n">
        <v>126.82</v>
      </c>
      <c r="H2786" s="39" t="n">
        <v>45811</v>
      </c>
      <c r="I2786" s="7" t="s">
        <v>14651</v>
      </c>
      <c r="J2786" s="8" t="str">
        <f aca="false">IF(I2786="Open",DATE(2025,12,31)-F2786,"-")</f>
        <v>-</v>
      </c>
    </row>
    <row r="2787" customFormat="false" ht="15" hidden="false" customHeight="false" outlineLevel="0" collapsed="false">
      <c r="B2787" s="7" t="s">
        <v>17432</v>
      </c>
      <c r="C2787" s="7" t="s">
        <v>3284</v>
      </c>
      <c r="D2787" s="7" t="s">
        <v>397</v>
      </c>
      <c r="E2787" s="7" t="s">
        <v>159</v>
      </c>
      <c r="F2787" s="39" t="n">
        <v>45797</v>
      </c>
      <c r="G2787" s="41" t="n">
        <v>148.5</v>
      </c>
      <c r="H2787" s="39" t="n">
        <v>45909</v>
      </c>
      <c r="I2787" s="7" t="s">
        <v>14651</v>
      </c>
      <c r="J2787" s="8" t="str">
        <f aca="false">IF(I2787="Open",DATE(2025,12,31)-F2787,"-")</f>
        <v>-</v>
      </c>
    </row>
    <row r="2788" customFormat="false" ht="15" hidden="false" customHeight="false" outlineLevel="0" collapsed="false">
      <c r="B2788" s="7" t="s">
        <v>17433</v>
      </c>
      <c r="C2788" s="7" t="s">
        <v>3285</v>
      </c>
      <c r="D2788" s="7" t="s">
        <v>401</v>
      </c>
      <c r="E2788" s="7" t="s">
        <v>156</v>
      </c>
      <c r="F2788" s="39" t="n">
        <v>45797</v>
      </c>
      <c r="G2788" s="41" t="n">
        <v>139.4</v>
      </c>
      <c r="H2788" s="39" t="n">
        <v>45809</v>
      </c>
      <c r="I2788" s="7" t="s">
        <v>14651</v>
      </c>
      <c r="J2788" s="8" t="str">
        <f aca="false">IF(I2788="Open",DATE(2025,12,31)-F2788,"-")</f>
        <v>-</v>
      </c>
    </row>
    <row r="2789" customFormat="false" ht="15" hidden="false" customHeight="false" outlineLevel="0" collapsed="false">
      <c r="B2789" s="7" t="s">
        <v>17434</v>
      </c>
      <c r="C2789" s="7" t="s">
        <v>3286</v>
      </c>
      <c r="D2789" s="7" t="s">
        <v>407</v>
      </c>
      <c r="E2789" s="7" t="s">
        <v>159</v>
      </c>
      <c r="F2789" s="39" t="n">
        <v>45797</v>
      </c>
      <c r="G2789" s="41" t="n">
        <v>141.75</v>
      </c>
      <c r="H2789" s="39" t="n">
        <v>45861</v>
      </c>
      <c r="I2789" s="7" t="s">
        <v>14651</v>
      </c>
      <c r="J2789" s="8" t="str">
        <f aca="false">IF(I2789="Open",DATE(2025,12,31)-F2789,"-")</f>
        <v>-</v>
      </c>
    </row>
    <row r="2790" customFormat="false" ht="15" hidden="false" customHeight="false" outlineLevel="0" collapsed="false">
      <c r="B2790" s="7" t="s">
        <v>17435</v>
      </c>
      <c r="C2790" s="7" t="s">
        <v>3287</v>
      </c>
      <c r="D2790" s="7" t="s">
        <v>280</v>
      </c>
      <c r="E2790" s="7" t="s">
        <v>157</v>
      </c>
      <c r="F2790" s="39" t="n">
        <v>45798</v>
      </c>
      <c r="G2790" s="41" t="n">
        <v>174.9</v>
      </c>
      <c r="H2790" s="39" t="n">
        <v>45876</v>
      </c>
      <c r="I2790" s="7" t="s">
        <v>14651</v>
      </c>
      <c r="J2790" s="8" t="str">
        <f aca="false">IF(I2790="Open",DATE(2025,12,31)-F2790,"-")</f>
        <v>-</v>
      </c>
    </row>
    <row r="2791" customFormat="false" ht="15" hidden="false" customHeight="false" outlineLevel="0" collapsed="false">
      <c r="B2791" s="7" t="s">
        <v>17436</v>
      </c>
      <c r="C2791" s="7" t="s">
        <v>3288</v>
      </c>
      <c r="D2791" s="7" t="s">
        <v>286</v>
      </c>
      <c r="E2791" s="7" t="s">
        <v>157</v>
      </c>
      <c r="F2791" s="39" t="n">
        <v>45798</v>
      </c>
      <c r="G2791" s="41" t="n">
        <v>169.95</v>
      </c>
      <c r="H2791" s="39" t="n">
        <v>45872</v>
      </c>
      <c r="I2791" s="7" t="s">
        <v>14651</v>
      </c>
      <c r="J2791" s="8" t="str">
        <f aca="false">IF(I2791="Open",DATE(2025,12,31)-F2791,"-")</f>
        <v>-</v>
      </c>
    </row>
    <row r="2792" customFormat="false" ht="15" hidden="false" customHeight="false" outlineLevel="0" collapsed="false">
      <c r="B2792" s="7" t="s">
        <v>17437</v>
      </c>
      <c r="C2792" s="7" t="s">
        <v>3289</v>
      </c>
      <c r="D2792" s="7" t="s">
        <v>288</v>
      </c>
      <c r="E2792" s="7" t="s">
        <v>156</v>
      </c>
      <c r="F2792" s="39" t="n">
        <v>45798</v>
      </c>
      <c r="G2792" s="41" t="n">
        <v>144.16</v>
      </c>
      <c r="H2792" s="39" t="n">
        <v>45806</v>
      </c>
      <c r="I2792" s="7" t="s">
        <v>14651</v>
      </c>
      <c r="J2792" s="8" t="str">
        <f aca="false">IF(I2792="Open",DATE(2025,12,31)-F2792,"-")</f>
        <v>-</v>
      </c>
    </row>
    <row r="2793" customFormat="false" ht="15" hidden="false" customHeight="false" outlineLevel="0" collapsed="false">
      <c r="B2793" s="7" t="s">
        <v>17438</v>
      </c>
      <c r="C2793" s="7" t="s">
        <v>3290</v>
      </c>
      <c r="D2793" s="7" t="s">
        <v>291</v>
      </c>
      <c r="E2793" s="7" t="s">
        <v>154</v>
      </c>
      <c r="F2793" s="39" t="n">
        <v>45798</v>
      </c>
      <c r="G2793" s="41" t="n">
        <v>113.95</v>
      </c>
      <c r="H2793" s="39" t="n">
        <v>45823</v>
      </c>
      <c r="I2793" s="7" t="s">
        <v>14651</v>
      </c>
      <c r="J2793" s="8" t="str">
        <f aca="false">IF(I2793="Open",DATE(2025,12,31)-F2793,"-")</f>
        <v>-</v>
      </c>
    </row>
    <row r="2794" customFormat="false" ht="15" hidden="false" customHeight="false" outlineLevel="0" collapsed="false">
      <c r="B2794" s="7" t="s">
        <v>17439</v>
      </c>
      <c r="C2794" s="7" t="s">
        <v>3291</v>
      </c>
      <c r="D2794" s="7" t="s">
        <v>305</v>
      </c>
      <c r="E2794" s="7" t="s">
        <v>154</v>
      </c>
      <c r="F2794" s="39" t="n">
        <v>45798</v>
      </c>
      <c r="G2794" s="41" t="n">
        <v>113.42</v>
      </c>
      <c r="H2794" s="39" t="n">
        <v>45912</v>
      </c>
      <c r="I2794" s="7" t="s">
        <v>14651</v>
      </c>
      <c r="J2794" s="8" t="str">
        <f aca="false">IF(I2794="Open",DATE(2025,12,31)-F2794,"-")</f>
        <v>-</v>
      </c>
    </row>
    <row r="2795" customFormat="false" ht="15" hidden="false" customHeight="false" outlineLevel="0" collapsed="false">
      <c r="B2795" s="7" t="s">
        <v>17440</v>
      </c>
      <c r="C2795" s="7" t="s">
        <v>3292</v>
      </c>
      <c r="D2795" s="7" t="s">
        <v>307</v>
      </c>
      <c r="E2795" s="7" t="s">
        <v>157</v>
      </c>
      <c r="F2795" s="39" t="n">
        <v>45798</v>
      </c>
      <c r="G2795" s="41" t="n">
        <v>166.65</v>
      </c>
      <c r="H2795" s="39" t="n">
        <v>45823</v>
      </c>
      <c r="I2795" s="7" t="s">
        <v>14651</v>
      </c>
      <c r="J2795" s="8" t="str">
        <f aca="false">IF(I2795="Open",DATE(2025,12,31)-F2795,"-")</f>
        <v>-</v>
      </c>
    </row>
    <row r="2796" customFormat="false" ht="15" hidden="false" customHeight="false" outlineLevel="0" collapsed="false">
      <c r="B2796" s="7" t="s">
        <v>17441</v>
      </c>
      <c r="C2796" s="7" t="s">
        <v>3293</v>
      </c>
      <c r="D2796" s="7" t="s">
        <v>309</v>
      </c>
      <c r="E2796" s="7" t="s">
        <v>159</v>
      </c>
      <c r="F2796" s="39" t="n">
        <v>45798</v>
      </c>
      <c r="G2796" s="41" t="n">
        <v>141.75</v>
      </c>
      <c r="H2796" s="39" t="n">
        <v>45820</v>
      </c>
      <c r="I2796" s="7" t="s">
        <v>14651</v>
      </c>
      <c r="J2796" s="8" t="str">
        <f aca="false">IF(I2796="Open",DATE(2025,12,31)-F2796,"-")</f>
        <v>-</v>
      </c>
    </row>
    <row r="2797" customFormat="false" ht="15" hidden="false" customHeight="false" outlineLevel="0" collapsed="false">
      <c r="B2797" s="7" t="s">
        <v>17442</v>
      </c>
      <c r="C2797" s="7" t="s">
        <v>3294</v>
      </c>
      <c r="D2797" s="7" t="s">
        <v>313</v>
      </c>
      <c r="E2797" s="7" t="s">
        <v>156</v>
      </c>
      <c r="F2797" s="39" t="n">
        <v>45798</v>
      </c>
      <c r="G2797" s="41" t="n">
        <v>139.74</v>
      </c>
      <c r="H2797" s="39" t="n">
        <v>45805</v>
      </c>
      <c r="I2797" s="7" t="s">
        <v>14651</v>
      </c>
      <c r="J2797" s="8" t="str">
        <f aca="false">IF(I2797="Open",DATE(2025,12,31)-F2797,"-")</f>
        <v>-</v>
      </c>
    </row>
    <row r="2798" customFormat="false" ht="15" hidden="false" customHeight="false" outlineLevel="0" collapsed="false">
      <c r="B2798" s="7" t="s">
        <v>17443</v>
      </c>
      <c r="C2798" s="7" t="s">
        <v>3295</v>
      </c>
      <c r="D2798" s="7" t="s">
        <v>321</v>
      </c>
      <c r="E2798" s="7" t="s">
        <v>154</v>
      </c>
      <c r="F2798" s="39" t="n">
        <v>45798</v>
      </c>
      <c r="G2798" s="41" t="n">
        <v>116.07</v>
      </c>
      <c r="H2798" s="39" t="n">
        <v>45840</v>
      </c>
      <c r="I2798" s="7" t="s">
        <v>14651</v>
      </c>
      <c r="J2798" s="8" t="str">
        <f aca="false">IF(I2798="Open",DATE(2025,12,31)-F2798,"-")</f>
        <v>-</v>
      </c>
    </row>
    <row r="2799" customFormat="false" ht="15" hidden="false" customHeight="false" outlineLevel="0" collapsed="false">
      <c r="B2799" s="7" t="s">
        <v>17444</v>
      </c>
      <c r="C2799" s="7" t="s">
        <v>3296</v>
      </c>
      <c r="D2799" s="7" t="s">
        <v>329</v>
      </c>
      <c r="E2799" s="7" t="s">
        <v>156</v>
      </c>
      <c r="F2799" s="39" t="n">
        <v>45798</v>
      </c>
      <c r="G2799" s="41" t="n">
        <v>143.82</v>
      </c>
      <c r="H2799" s="39" t="n">
        <v>45806</v>
      </c>
      <c r="I2799" s="7" t="s">
        <v>14651</v>
      </c>
      <c r="J2799" s="8" t="str">
        <f aca="false">IF(I2799="Open",DATE(2025,12,31)-F2799,"-")</f>
        <v>-</v>
      </c>
    </row>
    <row r="2800" customFormat="false" ht="15" hidden="false" customHeight="false" outlineLevel="0" collapsed="false">
      <c r="B2800" s="7" t="s">
        <v>17445</v>
      </c>
      <c r="C2800" s="7" t="s">
        <v>3297</v>
      </c>
      <c r="D2800" s="7" t="s">
        <v>339</v>
      </c>
      <c r="E2800" s="7" t="s">
        <v>154</v>
      </c>
      <c r="F2800" s="39" t="n">
        <v>45798</v>
      </c>
      <c r="G2800" s="41" t="n">
        <v>92.75</v>
      </c>
      <c r="H2800" s="39" t="n">
        <v>45849</v>
      </c>
      <c r="I2800" s="7" t="s">
        <v>14651</v>
      </c>
      <c r="J2800" s="8" t="str">
        <f aca="false">IF(I2800="Open",DATE(2025,12,31)-F2800,"-")</f>
        <v>-</v>
      </c>
    </row>
    <row r="2801" customFormat="false" ht="15" hidden="false" customHeight="false" outlineLevel="0" collapsed="false">
      <c r="B2801" s="7" t="s">
        <v>17446</v>
      </c>
      <c r="C2801" s="7" t="s">
        <v>3298</v>
      </c>
      <c r="D2801" s="7" t="s">
        <v>353</v>
      </c>
      <c r="E2801" s="7" t="s">
        <v>154</v>
      </c>
      <c r="F2801" s="39" t="n">
        <v>45798</v>
      </c>
      <c r="G2801" s="41" t="n">
        <v>85.06</v>
      </c>
      <c r="H2801" s="39" t="n">
        <v>45859</v>
      </c>
      <c r="I2801" s="7" t="s">
        <v>14651</v>
      </c>
      <c r="J2801" s="8" t="str">
        <f aca="false">IF(I2801="Open",DATE(2025,12,31)-F2801,"-")</f>
        <v>-</v>
      </c>
    </row>
    <row r="2802" customFormat="false" ht="15" hidden="false" customHeight="false" outlineLevel="0" collapsed="false">
      <c r="B2802" s="7" t="s">
        <v>17447</v>
      </c>
      <c r="C2802" s="7" t="s">
        <v>3299</v>
      </c>
      <c r="D2802" s="7" t="s">
        <v>355</v>
      </c>
      <c r="E2802" s="7" t="s">
        <v>154</v>
      </c>
      <c r="F2802" s="39" t="n">
        <v>45798</v>
      </c>
      <c r="G2802" s="41" t="n">
        <v>81.88</v>
      </c>
      <c r="H2802" s="39" t="n">
        <v>45863</v>
      </c>
      <c r="I2802" s="7" t="s">
        <v>14651</v>
      </c>
      <c r="J2802" s="8" t="str">
        <f aca="false">IF(I2802="Open",DATE(2025,12,31)-F2802,"-")</f>
        <v>-</v>
      </c>
    </row>
    <row r="2803" customFormat="false" ht="15" hidden="false" customHeight="false" outlineLevel="0" collapsed="false">
      <c r="B2803" s="7" t="s">
        <v>17448</v>
      </c>
      <c r="C2803" s="7" t="s">
        <v>3300</v>
      </c>
      <c r="D2803" s="7" t="s">
        <v>357</v>
      </c>
      <c r="E2803" s="7" t="s">
        <v>154</v>
      </c>
      <c r="F2803" s="39" t="n">
        <v>45798</v>
      </c>
      <c r="G2803" s="41" t="n">
        <v>95.4</v>
      </c>
      <c r="H2803" s="39" t="n">
        <v>45840</v>
      </c>
      <c r="I2803" s="7" t="s">
        <v>14651</v>
      </c>
      <c r="J2803" s="8" t="str">
        <f aca="false">IF(I2803="Open",DATE(2025,12,31)-F2803,"-")</f>
        <v>-</v>
      </c>
    </row>
    <row r="2804" customFormat="false" ht="15" hidden="false" customHeight="false" outlineLevel="0" collapsed="false">
      <c r="B2804" s="7" t="s">
        <v>17449</v>
      </c>
      <c r="C2804" s="7" t="s">
        <v>3301</v>
      </c>
      <c r="D2804" s="7" t="s">
        <v>365</v>
      </c>
      <c r="E2804" s="7" t="s">
        <v>154</v>
      </c>
      <c r="F2804" s="39" t="n">
        <v>45798</v>
      </c>
      <c r="G2804" s="41" t="n">
        <v>102.32</v>
      </c>
      <c r="H2804" s="39" t="n">
        <v>45870</v>
      </c>
      <c r="I2804" s="7" t="s">
        <v>14651</v>
      </c>
      <c r="J2804" s="8" t="str">
        <f aca="false">IF(I2804="Open",DATE(2025,12,31)-F2804,"-")</f>
        <v>-</v>
      </c>
    </row>
    <row r="2805" customFormat="false" ht="15" hidden="false" customHeight="false" outlineLevel="0" collapsed="false">
      <c r="B2805" s="7" t="s">
        <v>17450</v>
      </c>
      <c r="C2805" s="7" t="s">
        <v>3302</v>
      </c>
      <c r="D2805" s="7" t="s">
        <v>371</v>
      </c>
      <c r="E2805" s="7" t="s">
        <v>154</v>
      </c>
      <c r="F2805" s="39" t="n">
        <v>45798</v>
      </c>
      <c r="G2805" s="41" t="n">
        <v>111.83</v>
      </c>
      <c r="H2805" s="39" t="n">
        <v>45852</v>
      </c>
      <c r="I2805" s="7" t="s">
        <v>14651</v>
      </c>
      <c r="J2805" s="8" t="str">
        <f aca="false">IF(I2805="Open",DATE(2025,12,31)-F2805,"-")</f>
        <v>-</v>
      </c>
    </row>
    <row r="2806" customFormat="false" ht="15" hidden="false" customHeight="false" outlineLevel="0" collapsed="false">
      <c r="B2806" s="7" t="s">
        <v>17451</v>
      </c>
      <c r="C2806" s="7" t="s">
        <v>3303</v>
      </c>
      <c r="D2806" s="7" t="s">
        <v>379</v>
      </c>
      <c r="E2806" s="7" t="s">
        <v>156</v>
      </c>
      <c r="F2806" s="39" t="n">
        <v>45798</v>
      </c>
      <c r="G2806" s="41" t="n">
        <v>162.52</v>
      </c>
      <c r="H2806" s="39" t="n">
        <v>45812</v>
      </c>
      <c r="I2806" s="7" t="s">
        <v>14651</v>
      </c>
      <c r="J2806" s="8" t="str">
        <f aca="false">IF(I2806="Open",DATE(2025,12,31)-F2806,"-")</f>
        <v>-</v>
      </c>
    </row>
    <row r="2807" customFormat="false" ht="15" hidden="false" customHeight="false" outlineLevel="0" collapsed="false">
      <c r="B2807" s="7" t="s">
        <v>17452</v>
      </c>
      <c r="C2807" s="7" t="s">
        <v>3304</v>
      </c>
      <c r="D2807" s="7" t="s">
        <v>385</v>
      </c>
      <c r="E2807" s="7" t="s">
        <v>156</v>
      </c>
      <c r="F2807" s="39" t="n">
        <v>45798</v>
      </c>
      <c r="G2807" s="41" t="n">
        <v>128.18</v>
      </c>
      <c r="H2807" s="39" t="n">
        <v>45802</v>
      </c>
      <c r="I2807" s="7" t="s">
        <v>14651</v>
      </c>
      <c r="J2807" s="8" t="str">
        <f aca="false">IF(I2807="Open",DATE(2025,12,31)-F2807,"-")</f>
        <v>-</v>
      </c>
    </row>
    <row r="2808" customFormat="false" ht="15" hidden="false" customHeight="false" outlineLevel="0" collapsed="false">
      <c r="B2808" s="7" t="s">
        <v>17453</v>
      </c>
      <c r="C2808" s="7" t="s">
        <v>3305</v>
      </c>
      <c r="D2808" s="7" t="s">
        <v>389</v>
      </c>
      <c r="E2808" s="7" t="s">
        <v>154</v>
      </c>
      <c r="F2808" s="39" t="n">
        <v>45798</v>
      </c>
      <c r="G2808" s="41" t="n">
        <v>110.5</v>
      </c>
      <c r="H2808" s="39" t="n">
        <v>45911</v>
      </c>
      <c r="I2808" s="7" t="s">
        <v>14651</v>
      </c>
      <c r="J2808" s="8" t="str">
        <f aca="false">IF(I2808="Open",DATE(2025,12,31)-F2808,"-")</f>
        <v>-</v>
      </c>
    </row>
    <row r="2809" customFormat="false" ht="15" hidden="false" customHeight="false" outlineLevel="0" collapsed="false">
      <c r="B2809" s="7" t="s">
        <v>17454</v>
      </c>
      <c r="C2809" s="7" t="s">
        <v>3306</v>
      </c>
      <c r="D2809" s="7" t="s">
        <v>391</v>
      </c>
      <c r="E2809" s="7" t="s">
        <v>156</v>
      </c>
      <c r="F2809" s="39" t="n">
        <v>45798</v>
      </c>
      <c r="G2809" s="41" t="n">
        <v>149.26</v>
      </c>
      <c r="H2809" s="39" t="n">
        <v>45809</v>
      </c>
      <c r="I2809" s="7" t="s">
        <v>14651</v>
      </c>
      <c r="J2809" s="8" t="str">
        <f aca="false">IF(I2809="Open",DATE(2025,12,31)-F2809,"-")</f>
        <v>-</v>
      </c>
    </row>
    <row r="2810" customFormat="false" ht="15" hidden="false" customHeight="false" outlineLevel="0" collapsed="false">
      <c r="B2810" s="7" t="s">
        <v>17455</v>
      </c>
      <c r="C2810" s="7" t="s">
        <v>3307</v>
      </c>
      <c r="D2810" s="7" t="s">
        <v>393</v>
      </c>
      <c r="E2810" s="7" t="s">
        <v>157</v>
      </c>
      <c r="F2810" s="39" t="n">
        <v>45798</v>
      </c>
      <c r="G2810" s="41" t="n">
        <v>164.5</v>
      </c>
      <c r="H2810" s="39" t="n">
        <v>45834</v>
      </c>
      <c r="I2810" s="7" t="s">
        <v>14651</v>
      </c>
      <c r="J2810" s="8" t="str">
        <f aca="false">IF(I2810="Open",DATE(2025,12,31)-F2810,"-")</f>
        <v>-</v>
      </c>
    </row>
    <row r="2811" customFormat="false" ht="15" hidden="false" customHeight="false" outlineLevel="0" collapsed="false">
      <c r="B2811" s="7" t="s">
        <v>17456</v>
      </c>
      <c r="C2811" s="7" t="s">
        <v>3308</v>
      </c>
      <c r="D2811" s="7" t="s">
        <v>395</v>
      </c>
      <c r="E2811" s="7" t="s">
        <v>156</v>
      </c>
      <c r="F2811" s="39" t="n">
        <v>45798</v>
      </c>
      <c r="G2811" s="41" t="n">
        <v>130.22</v>
      </c>
      <c r="H2811" s="39" t="n">
        <v>45810</v>
      </c>
      <c r="I2811" s="7" t="s">
        <v>14651</v>
      </c>
      <c r="J2811" s="8" t="str">
        <f aca="false">IF(I2811="Open",DATE(2025,12,31)-F2811,"-")</f>
        <v>-</v>
      </c>
    </row>
    <row r="2812" customFormat="false" ht="15" hidden="false" customHeight="false" outlineLevel="0" collapsed="false">
      <c r="B2812" s="7" t="s">
        <v>17457</v>
      </c>
      <c r="C2812" s="7" t="s">
        <v>3309</v>
      </c>
      <c r="D2812" s="7" t="s">
        <v>399</v>
      </c>
      <c r="E2812" s="7" t="s">
        <v>154</v>
      </c>
      <c r="F2812" s="39" t="n">
        <v>45798</v>
      </c>
      <c r="G2812" s="41" t="n">
        <v>80.3</v>
      </c>
      <c r="H2812" s="39" t="n">
        <v>45862</v>
      </c>
      <c r="I2812" s="7" t="s">
        <v>14651</v>
      </c>
      <c r="J2812" s="8" t="str">
        <f aca="false">IF(I2812="Open",DATE(2025,12,31)-F2812,"-")</f>
        <v>-</v>
      </c>
    </row>
    <row r="2813" customFormat="false" ht="15" hidden="false" customHeight="false" outlineLevel="0" collapsed="false">
      <c r="B2813" s="7" t="s">
        <v>17458</v>
      </c>
      <c r="C2813" s="7" t="s">
        <v>3310</v>
      </c>
      <c r="D2813" s="7" t="s">
        <v>401</v>
      </c>
      <c r="E2813" s="7" t="s">
        <v>156</v>
      </c>
      <c r="F2813" s="39" t="n">
        <v>45798</v>
      </c>
      <c r="G2813" s="41" t="n">
        <v>128.86</v>
      </c>
      <c r="H2813" s="39" t="n">
        <v>45810</v>
      </c>
      <c r="I2813" s="7" t="s">
        <v>14651</v>
      </c>
      <c r="J2813" s="8" t="str">
        <f aca="false">IF(I2813="Open",DATE(2025,12,31)-F2813,"-")</f>
        <v>-</v>
      </c>
    </row>
    <row r="2814" customFormat="false" ht="15" hidden="false" customHeight="false" outlineLevel="0" collapsed="false">
      <c r="B2814" s="7" t="s">
        <v>17459</v>
      </c>
      <c r="C2814" s="7" t="s">
        <v>3311</v>
      </c>
      <c r="D2814" s="7" t="s">
        <v>409</v>
      </c>
      <c r="E2814" s="7" t="s">
        <v>154</v>
      </c>
      <c r="F2814" s="39" t="n">
        <v>45798</v>
      </c>
      <c r="G2814" s="41" t="n">
        <v>96.46</v>
      </c>
      <c r="H2814" s="39" t="n">
        <v>45867</v>
      </c>
      <c r="I2814" s="7" t="s">
        <v>14651</v>
      </c>
      <c r="J2814" s="8" t="str">
        <f aca="false">IF(I2814="Open",DATE(2025,12,31)-F2814,"-")</f>
        <v>-</v>
      </c>
    </row>
    <row r="2815" customFormat="false" ht="15" hidden="false" customHeight="false" outlineLevel="0" collapsed="false">
      <c r="B2815" s="7" t="s">
        <v>17460</v>
      </c>
      <c r="C2815" s="7" t="s">
        <v>3312</v>
      </c>
      <c r="D2815" s="7" t="s">
        <v>288</v>
      </c>
      <c r="E2815" s="7" t="s">
        <v>156</v>
      </c>
      <c r="F2815" s="39" t="n">
        <v>45799</v>
      </c>
      <c r="G2815" s="41" t="n">
        <v>137.36</v>
      </c>
      <c r="H2815" s="39" t="n">
        <v>45804</v>
      </c>
      <c r="I2815" s="7" t="s">
        <v>14651</v>
      </c>
      <c r="J2815" s="8" t="str">
        <f aca="false">IF(I2815="Open",DATE(2025,12,31)-F2815,"-")</f>
        <v>-</v>
      </c>
    </row>
    <row r="2816" customFormat="false" ht="15" hidden="false" customHeight="false" outlineLevel="0" collapsed="false">
      <c r="B2816" s="7" t="s">
        <v>17461</v>
      </c>
      <c r="C2816" s="7" t="s">
        <v>3313</v>
      </c>
      <c r="D2816" s="7" t="s">
        <v>297</v>
      </c>
      <c r="E2816" s="7" t="s">
        <v>156</v>
      </c>
      <c r="F2816" s="39" t="n">
        <v>45799</v>
      </c>
      <c r="G2816" s="41" t="n">
        <v>93.5</v>
      </c>
      <c r="H2816" s="39" t="n">
        <v>45800</v>
      </c>
      <c r="I2816" s="7" t="s">
        <v>14651</v>
      </c>
      <c r="J2816" s="8" t="str">
        <f aca="false">IF(I2816="Open",DATE(2025,12,31)-F2816,"-")</f>
        <v>-</v>
      </c>
    </row>
    <row r="2817" customFormat="false" ht="15" hidden="false" customHeight="false" outlineLevel="0" collapsed="false">
      <c r="B2817" s="7" t="s">
        <v>17462</v>
      </c>
      <c r="C2817" s="7" t="s">
        <v>3314</v>
      </c>
      <c r="D2817" s="7" t="s">
        <v>311</v>
      </c>
      <c r="E2817" s="7" t="s">
        <v>154</v>
      </c>
      <c r="F2817" s="39" t="n">
        <v>45799</v>
      </c>
      <c r="G2817" s="41" t="n">
        <v>86.39</v>
      </c>
      <c r="H2817" s="39" t="n">
        <v>45894</v>
      </c>
      <c r="I2817" s="7" t="s">
        <v>14651</v>
      </c>
      <c r="J2817" s="8" t="str">
        <f aca="false">IF(I2817="Open",DATE(2025,12,31)-F2817,"-")</f>
        <v>-</v>
      </c>
    </row>
    <row r="2818" customFormat="false" ht="15" hidden="false" customHeight="false" outlineLevel="0" collapsed="false">
      <c r="B2818" s="7" t="s">
        <v>17463</v>
      </c>
      <c r="C2818" s="7" t="s">
        <v>3315</v>
      </c>
      <c r="D2818" s="7" t="s">
        <v>313</v>
      </c>
      <c r="E2818" s="7" t="s">
        <v>156</v>
      </c>
      <c r="F2818" s="39" t="n">
        <v>45799</v>
      </c>
      <c r="G2818" s="41" t="n">
        <v>132.26</v>
      </c>
      <c r="H2818" s="39" t="n">
        <v>45809</v>
      </c>
      <c r="I2818" s="7" t="s">
        <v>14651</v>
      </c>
      <c r="J2818" s="8" t="str">
        <f aca="false">IF(I2818="Open",DATE(2025,12,31)-F2818,"-")</f>
        <v>-</v>
      </c>
    </row>
    <row r="2819" customFormat="false" ht="15" hidden="false" customHeight="false" outlineLevel="0" collapsed="false">
      <c r="B2819" s="7" t="s">
        <v>17464</v>
      </c>
      <c r="C2819" s="7" t="s">
        <v>3316</v>
      </c>
      <c r="D2819" s="7" t="s">
        <v>317</v>
      </c>
      <c r="E2819" s="7" t="s">
        <v>156</v>
      </c>
      <c r="F2819" s="39" t="n">
        <v>45799</v>
      </c>
      <c r="G2819" s="41" t="n">
        <v>107.44</v>
      </c>
      <c r="H2819" s="39" t="n">
        <v>45809</v>
      </c>
      <c r="I2819" s="7" t="s">
        <v>14651</v>
      </c>
      <c r="J2819" s="8" t="str">
        <f aca="false">IF(I2819="Open",DATE(2025,12,31)-F2819,"-")</f>
        <v>-</v>
      </c>
    </row>
    <row r="2820" customFormat="false" ht="15" hidden="false" customHeight="false" outlineLevel="0" collapsed="false">
      <c r="B2820" s="7" t="s">
        <v>17465</v>
      </c>
      <c r="C2820" s="7" t="s">
        <v>3317</v>
      </c>
      <c r="D2820" s="7" t="s">
        <v>321</v>
      </c>
      <c r="E2820" s="7" t="s">
        <v>154</v>
      </c>
      <c r="F2820" s="39" t="n">
        <v>45799</v>
      </c>
      <c r="G2820" s="41" t="n">
        <v>100.7</v>
      </c>
      <c r="H2820" s="39" t="n">
        <v>45866</v>
      </c>
      <c r="I2820" s="7" t="s">
        <v>14651</v>
      </c>
      <c r="J2820" s="8" t="str">
        <f aca="false">IF(I2820="Open",DATE(2025,12,31)-F2820,"-")</f>
        <v>-</v>
      </c>
    </row>
    <row r="2821" customFormat="false" ht="15" hidden="false" customHeight="false" outlineLevel="0" collapsed="false">
      <c r="B2821" s="7" t="s">
        <v>17466</v>
      </c>
      <c r="C2821" s="7" t="s">
        <v>3318</v>
      </c>
      <c r="D2821" s="7" t="s">
        <v>325</v>
      </c>
      <c r="E2821" s="7" t="s">
        <v>154</v>
      </c>
      <c r="F2821" s="39" t="n">
        <v>45799</v>
      </c>
      <c r="G2821" s="41" t="n">
        <v>73.67</v>
      </c>
      <c r="H2821" s="39" t="n">
        <v>45848</v>
      </c>
      <c r="I2821" s="7" t="s">
        <v>14651</v>
      </c>
      <c r="J2821" s="8" t="str">
        <f aca="false">IF(I2821="Open",DATE(2025,12,31)-F2821,"-")</f>
        <v>-</v>
      </c>
    </row>
    <row r="2822" customFormat="false" ht="15" hidden="false" customHeight="false" outlineLevel="0" collapsed="false">
      <c r="B2822" s="7" t="s">
        <v>17467</v>
      </c>
      <c r="C2822" s="7" t="s">
        <v>3319</v>
      </c>
      <c r="D2822" s="7" t="s">
        <v>329</v>
      </c>
      <c r="E2822" s="7" t="s">
        <v>156</v>
      </c>
      <c r="F2822" s="39" t="n">
        <v>45799</v>
      </c>
      <c r="G2822" s="41" t="n">
        <v>123.42</v>
      </c>
      <c r="H2822" s="39" t="n">
        <v>45805</v>
      </c>
      <c r="I2822" s="7" t="s">
        <v>14651</v>
      </c>
      <c r="J2822" s="8" t="str">
        <f aca="false">IF(I2822="Open",DATE(2025,12,31)-F2822,"-")</f>
        <v>-</v>
      </c>
    </row>
    <row r="2823" customFormat="false" ht="15" hidden="false" customHeight="false" outlineLevel="0" collapsed="false">
      <c r="B2823" s="7" t="s">
        <v>17468</v>
      </c>
      <c r="C2823" s="7" t="s">
        <v>3320</v>
      </c>
      <c r="D2823" s="7" t="s">
        <v>331</v>
      </c>
      <c r="E2823" s="7" t="s">
        <v>156</v>
      </c>
      <c r="F2823" s="39" t="n">
        <v>45799</v>
      </c>
      <c r="G2823" s="41" t="n">
        <v>145.86</v>
      </c>
      <c r="H2823" s="39" t="n">
        <v>45820</v>
      </c>
      <c r="I2823" s="7" t="s">
        <v>14651</v>
      </c>
      <c r="J2823" s="8" t="str">
        <f aca="false">IF(I2823="Open",DATE(2025,12,31)-F2823,"-")</f>
        <v>-</v>
      </c>
    </row>
    <row r="2824" customFormat="false" ht="15" hidden="false" customHeight="false" outlineLevel="0" collapsed="false">
      <c r="B2824" s="7" t="s">
        <v>17469</v>
      </c>
      <c r="C2824" s="7" t="s">
        <v>3321</v>
      </c>
      <c r="D2824" s="7" t="s">
        <v>337</v>
      </c>
      <c r="E2824" s="7" t="s">
        <v>154</v>
      </c>
      <c r="F2824" s="39" t="n">
        <v>45799</v>
      </c>
      <c r="G2824" s="41" t="n">
        <v>77.38</v>
      </c>
      <c r="H2824" s="39" t="n">
        <v>45870</v>
      </c>
      <c r="I2824" s="7" t="s">
        <v>14651</v>
      </c>
      <c r="J2824" s="8" t="str">
        <f aca="false">IF(I2824="Open",DATE(2025,12,31)-F2824,"-")</f>
        <v>-</v>
      </c>
    </row>
    <row r="2825" customFormat="false" ht="15" hidden="false" customHeight="false" outlineLevel="0" collapsed="false">
      <c r="B2825" s="7" t="s">
        <v>17470</v>
      </c>
      <c r="C2825" s="7" t="s">
        <v>3322</v>
      </c>
      <c r="D2825" s="7" t="s">
        <v>341</v>
      </c>
      <c r="E2825" s="7" t="s">
        <v>156</v>
      </c>
      <c r="F2825" s="39" t="n">
        <v>45799</v>
      </c>
      <c r="G2825" s="41" t="n">
        <v>99.28</v>
      </c>
      <c r="H2825" s="39" t="n">
        <v>45814</v>
      </c>
      <c r="I2825" s="7" t="s">
        <v>14651</v>
      </c>
      <c r="J2825" s="8" t="str">
        <f aca="false">IF(I2825="Open",DATE(2025,12,31)-F2825,"-")</f>
        <v>-</v>
      </c>
    </row>
    <row r="2826" customFormat="false" ht="15" hidden="false" customHeight="false" outlineLevel="0" collapsed="false">
      <c r="B2826" s="7" t="s">
        <v>17471</v>
      </c>
      <c r="C2826" s="7" t="s">
        <v>3323</v>
      </c>
      <c r="D2826" s="7" t="s">
        <v>343</v>
      </c>
      <c r="E2826" s="7" t="s">
        <v>154</v>
      </c>
      <c r="F2826" s="39" t="n">
        <v>45799</v>
      </c>
      <c r="G2826" s="41" t="n">
        <v>100.97</v>
      </c>
      <c r="H2826" s="39" t="n">
        <v>45915</v>
      </c>
      <c r="I2826" s="7" t="s">
        <v>14651</v>
      </c>
      <c r="J2826" s="8" t="str">
        <f aca="false">IF(I2826="Open",DATE(2025,12,31)-F2826,"-")</f>
        <v>-</v>
      </c>
    </row>
    <row r="2827" customFormat="false" ht="15" hidden="false" customHeight="false" outlineLevel="0" collapsed="false">
      <c r="B2827" s="7" t="s">
        <v>17472</v>
      </c>
      <c r="C2827" s="7" t="s">
        <v>3324</v>
      </c>
      <c r="D2827" s="7" t="s">
        <v>351</v>
      </c>
      <c r="E2827" s="7" t="s">
        <v>154</v>
      </c>
      <c r="F2827" s="39" t="n">
        <v>45799</v>
      </c>
      <c r="G2827" s="41" t="n">
        <v>81.35</v>
      </c>
      <c r="H2827" s="39" t="n">
        <v>45889</v>
      </c>
      <c r="I2827" s="7" t="s">
        <v>14651</v>
      </c>
      <c r="J2827" s="8" t="str">
        <f aca="false">IF(I2827="Open",DATE(2025,12,31)-F2827,"-")</f>
        <v>-</v>
      </c>
    </row>
    <row r="2828" customFormat="false" ht="15" hidden="false" customHeight="false" outlineLevel="0" collapsed="false">
      <c r="B2828" s="7" t="s">
        <v>17473</v>
      </c>
      <c r="C2828" s="7" t="s">
        <v>3325</v>
      </c>
      <c r="D2828" s="7" t="s">
        <v>359</v>
      </c>
      <c r="E2828" s="7" t="s">
        <v>156</v>
      </c>
      <c r="F2828" s="39" t="n">
        <v>45799</v>
      </c>
      <c r="G2828" s="41" t="n">
        <v>129.2</v>
      </c>
      <c r="H2828" s="39" t="n">
        <v>45820</v>
      </c>
      <c r="I2828" s="7" t="s">
        <v>14651</v>
      </c>
      <c r="J2828" s="8" t="str">
        <f aca="false">IF(I2828="Open",DATE(2025,12,31)-F2828,"-")</f>
        <v>-</v>
      </c>
    </row>
    <row r="2829" customFormat="false" ht="15" hidden="false" customHeight="false" outlineLevel="0" collapsed="false">
      <c r="B2829" s="7" t="s">
        <v>17474</v>
      </c>
      <c r="C2829" s="7" t="s">
        <v>3326</v>
      </c>
      <c r="D2829" s="7" t="s">
        <v>363</v>
      </c>
      <c r="E2829" s="7" t="s">
        <v>156</v>
      </c>
      <c r="F2829" s="39" t="n">
        <v>45799</v>
      </c>
      <c r="G2829" s="41" t="n">
        <v>145.52</v>
      </c>
      <c r="H2829" s="39" t="n">
        <v>45812</v>
      </c>
      <c r="I2829" s="7" t="s">
        <v>14651</v>
      </c>
      <c r="J2829" s="8" t="str">
        <f aca="false">IF(I2829="Open",DATE(2025,12,31)-F2829,"-")</f>
        <v>-</v>
      </c>
    </row>
    <row r="2830" customFormat="false" ht="15" hidden="false" customHeight="false" outlineLevel="0" collapsed="false">
      <c r="B2830" s="7" t="s">
        <v>17475</v>
      </c>
      <c r="C2830" s="7" t="s">
        <v>3327</v>
      </c>
      <c r="D2830" s="7" t="s">
        <v>365</v>
      </c>
      <c r="E2830" s="7" t="s">
        <v>154</v>
      </c>
      <c r="F2830" s="39" t="n">
        <v>45799</v>
      </c>
      <c r="G2830" s="41" t="n">
        <v>103.88</v>
      </c>
      <c r="H2830" s="39" t="n">
        <v>45881</v>
      </c>
      <c r="I2830" s="7" t="s">
        <v>14651</v>
      </c>
      <c r="J2830" s="8" t="str">
        <f aca="false">IF(I2830="Open",DATE(2025,12,31)-F2830,"-")</f>
        <v>-</v>
      </c>
    </row>
    <row r="2831" customFormat="false" ht="15" hidden="false" customHeight="false" outlineLevel="0" collapsed="false">
      <c r="B2831" s="7" t="s">
        <v>17476</v>
      </c>
      <c r="C2831" s="7" t="s">
        <v>3328</v>
      </c>
      <c r="D2831" s="7" t="s">
        <v>375</v>
      </c>
      <c r="E2831" s="7" t="s">
        <v>156</v>
      </c>
      <c r="F2831" s="39" t="n">
        <v>45799</v>
      </c>
      <c r="G2831" s="41" t="n">
        <v>101.32</v>
      </c>
      <c r="H2831" s="39" t="n">
        <v>45803</v>
      </c>
      <c r="I2831" s="7" t="s">
        <v>14651</v>
      </c>
      <c r="J2831" s="8" t="str">
        <f aca="false">IF(I2831="Open",DATE(2025,12,31)-F2831,"-")</f>
        <v>-</v>
      </c>
    </row>
    <row r="2832" customFormat="false" ht="15" hidden="false" customHeight="false" outlineLevel="0" collapsed="false">
      <c r="B2832" s="7" t="s">
        <v>17477</v>
      </c>
      <c r="C2832" s="7" t="s">
        <v>3329</v>
      </c>
      <c r="D2832" s="7" t="s">
        <v>377</v>
      </c>
      <c r="E2832" s="7" t="s">
        <v>154</v>
      </c>
      <c r="F2832" s="39" t="n">
        <v>45799</v>
      </c>
      <c r="G2832" s="41" t="n">
        <v>108.92</v>
      </c>
      <c r="H2832" s="39" t="n">
        <v>45856</v>
      </c>
      <c r="I2832" s="7" t="s">
        <v>14651</v>
      </c>
      <c r="J2832" s="8" t="str">
        <f aca="false">IF(I2832="Open",DATE(2025,12,31)-F2832,"-")</f>
        <v>-</v>
      </c>
    </row>
    <row r="2833" customFormat="false" ht="15" hidden="false" customHeight="false" outlineLevel="0" collapsed="false">
      <c r="B2833" s="7" t="s">
        <v>17478</v>
      </c>
      <c r="C2833" s="7" t="s">
        <v>3330</v>
      </c>
      <c r="D2833" s="7" t="s">
        <v>389</v>
      </c>
      <c r="E2833" s="7" t="s">
        <v>154</v>
      </c>
      <c r="F2833" s="39" t="n">
        <v>45799</v>
      </c>
      <c r="G2833" s="41" t="n">
        <v>97.25</v>
      </c>
      <c r="H2833" s="39" t="n">
        <v>45830</v>
      </c>
      <c r="I2833" s="7" t="s">
        <v>14651</v>
      </c>
      <c r="J2833" s="8" t="str">
        <f aca="false">IF(I2833="Open",DATE(2025,12,31)-F2833,"-")</f>
        <v>-</v>
      </c>
    </row>
    <row r="2834" customFormat="false" ht="15" hidden="false" customHeight="false" outlineLevel="0" collapsed="false">
      <c r="B2834" s="7" t="s">
        <v>17479</v>
      </c>
      <c r="C2834" s="7" t="s">
        <v>3331</v>
      </c>
      <c r="D2834" s="7" t="s">
        <v>391</v>
      </c>
      <c r="E2834" s="7" t="s">
        <v>156</v>
      </c>
      <c r="F2834" s="39" t="n">
        <v>45799</v>
      </c>
      <c r="G2834" s="41" t="n">
        <v>147.56</v>
      </c>
      <c r="H2834" s="39" t="n">
        <v>45814</v>
      </c>
      <c r="I2834" s="7" t="s">
        <v>14651</v>
      </c>
      <c r="J2834" s="8" t="str">
        <f aca="false">IF(I2834="Open",DATE(2025,12,31)-F2834,"-")</f>
        <v>-</v>
      </c>
    </row>
    <row r="2835" customFormat="false" ht="15" hidden="false" customHeight="false" outlineLevel="0" collapsed="false">
      <c r="B2835" s="7" t="s">
        <v>17480</v>
      </c>
      <c r="C2835" s="7" t="s">
        <v>3332</v>
      </c>
      <c r="D2835" s="7" t="s">
        <v>395</v>
      </c>
      <c r="E2835" s="7" t="s">
        <v>156</v>
      </c>
      <c r="F2835" s="39" t="n">
        <v>45799</v>
      </c>
      <c r="G2835" s="41" t="n">
        <v>131.24</v>
      </c>
      <c r="H2835" s="39" t="n">
        <v>45807</v>
      </c>
      <c r="I2835" s="7" t="s">
        <v>14651</v>
      </c>
      <c r="J2835" s="8" t="str">
        <f aca="false">IF(I2835="Open",DATE(2025,12,31)-F2835,"-")</f>
        <v>-</v>
      </c>
    </row>
    <row r="2836" customFormat="false" ht="15" hidden="false" customHeight="false" outlineLevel="0" collapsed="false">
      <c r="B2836" s="7" t="s">
        <v>17481</v>
      </c>
      <c r="C2836" s="7" t="s">
        <v>3333</v>
      </c>
      <c r="D2836" s="7" t="s">
        <v>401</v>
      </c>
      <c r="E2836" s="7" t="s">
        <v>156</v>
      </c>
      <c r="F2836" s="39" t="n">
        <v>45799</v>
      </c>
      <c r="G2836" s="41" t="n">
        <v>135.66</v>
      </c>
      <c r="H2836" s="39" t="n">
        <v>45820</v>
      </c>
      <c r="I2836" s="7" t="s">
        <v>14651</v>
      </c>
      <c r="J2836" s="8" t="str">
        <f aca="false">IF(I2836="Open",DATE(2025,12,31)-F2836,"-")</f>
        <v>-</v>
      </c>
    </row>
    <row r="2837" customFormat="false" ht="15" hidden="false" customHeight="false" outlineLevel="0" collapsed="false">
      <c r="B2837" s="7" t="s">
        <v>17482</v>
      </c>
      <c r="C2837" s="7" t="s">
        <v>3334</v>
      </c>
      <c r="D2837" s="7" t="s">
        <v>280</v>
      </c>
      <c r="E2837" s="7" t="s">
        <v>157</v>
      </c>
      <c r="F2837" s="39" t="n">
        <v>45800</v>
      </c>
      <c r="G2837" s="41" t="n">
        <v>158.4</v>
      </c>
      <c r="H2837" s="39" t="n">
        <v>45872</v>
      </c>
      <c r="I2837" s="7" t="s">
        <v>14651</v>
      </c>
      <c r="J2837" s="8" t="str">
        <f aca="false">IF(I2837="Open",DATE(2025,12,31)-F2837,"-")</f>
        <v>-</v>
      </c>
    </row>
    <row r="2838" customFormat="false" ht="15" hidden="false" customHeight="false" outlineLevel="0" collapsed="false">
      <c r="B2838" s="7" t="s">
        <v>17483</v>
      </c>
      <c r="C2838" s="7" t="s">
        <v>3335</v>
      </c>
      <c r="D2838" s="7" t="s">
        <v>288</v>
      </c>
      <c r="E2838" s="7" t="s">
        <v>156</v>
      </c>
      <c r="F2838" s="39" t="n">
        <v>45800</v>
      </c>
      <c r="G2838" s="41" t="n">
        <v>135.32</v>
      </c>
      <c r="H2838" s="39" t="n">
        <v>45816</v>
      </c>
      <c r="I2838" s="7" t="s">
        <v>14651</v>
      </c>
      <c r="J2838" s="8" t="str">
        <f aca="false">IF(I2838="Open",DATE(2025,12,31)-F2838,"-")</f>
        <v>-</v>
      </c>
    </row>
    <row r="2839" customFormat="false" ht="15" hidden="false" customHeight="false" outlineLevel="0" collapsed="false">
      <c r="B2839" s="7" t="s">
        <v>17484</v>
      </c>
      <c r="C2839" s="7" t="s">
        <v>3336</v>
      </c>
      <c r="D2839" s="7" t="s">
        <v>291</v>
      </c>
      <c r="E2839" s="7" t="s">
        <v>154</v>
      </c>
      <c r="F2839" s="39" t="n">
        <v>45800</v>
      </c>
      <c r="G2839" s="41" t="n">
        <v>112.1</v>
      </c>
      <c r="H2839" s="39" t="n">
        <v>45900</v>
      </c>
      <c r="I2839" s="7" t="s">
        <v>14651</v>
      </c>
      <c r="J2839" s="8" t="str">
        <f aca="false">IF(I2839="Open",DATE(2025,12,31)-F2839,"-")</f>
        <v>-</v>
      </c>
    </row>
    <row r="2840" customFormat="false" ht="15" hidden="false" customHeight="false" outlineLevel="0" collapsed="false">
      <c r="B2840" s="7" t="s">
        <v>17485</v>
      </c>
      <c r="C2840" s="7" t="s">
        <v>3337</v>
      </c>
      <c r="D2840" s="7" t="s">
        <v>301</v>
      </c>
      <c r="E2840" s="7" t="s">
        <v>157</v>
      </c>
      <c r="F2840" s="39" t="n">
        <v>45800</v>
      </c>
      <c r="G2840" s="41" t="n">
        <v>179.85</v>
      </c>
      <c r="H2840" s="39" t="n">
        <v>45859</v>
      </c>
      <c r="I2840" s="7" t="s">
        <v>14651</v>
      </c>
      <c r="J2840" s="8" t="str">
        <f aca="false">IF(I2840="Open",DATE(2025,12,31)-F2840,"-")</f>
        <v>-</v>
      </c>
    </row>
    <row r="2841" customFormat="false" ht="15" hidden="false" customHeight="false" outlineLevel="0" collapsed="false">
      <c r="B2841" s="7" t="s">
        <v>17486</v>
      </c>
      <c r="C2841" s="7" t="s">
        <v>3338</v>
      </c>
      <c r="D2841" s="7" t="s">
        <v>305</v>
      </c>
      <c r="E2841" s="7" t="s">
        <v>154</v>
      </c>
      <c r="F2841" s="39" t="n">
        <v>45800</v>
      </c>
      <c r="G2841" s="41" t="n">
        <v>105.47</v>
      </c>
      <c r="H2841" s="39" t="n">
        <v>45848</v>
      </c>
      <c r="I2841" s="7" t="s">
        <v>14651</v>
      </c>
      <c r="J2841" s="8" t="str">
        <f aca="false">IF(I2841="Open",DATE(2025,12,31)-F2841,"-")</f>
        <v>-</v>
      </c>
    </row>
    <row r="2842" customFormat="false" ht="15" hidden="false" customHeight="false" outlineLevel="0" collapsed="false">
      <c r="B2842" s="7" t="s">
        <v>17487</v>
      </c>
      <c r="C2842" s="7" t="s">
        <v>3339</v>
      </c>
      <c r="D2842" s="7" t="s">
        <v>307</v>
      </c>
      <c r="E2842" s="7" t="s">
        <v>157</v>
      </c>
      <c r="F2842" s="39" t="n">
        <v>45800</v>
      </c>
      <c r="G2842" s="41" t="n">
        <v>179.85</v>
      </c>
      <c r="H2842" s="39" t="n">
        <v>45831</v>
      </c>
      <c r="I2842" s="7" t="s">
        <v>14651</v>
      </c>
      <c r="J2842" s="8" t="str">
        <f aca="false">IF(I2842="Open",DATE(2025,12,31)-F2842,"-")</f>
        <v>-</v>
      </c>
    </row>
    <row r="2843" customFormat="false" ht="15" hidden="false" customHeight="false" outlineLevel="0" collapsed="false">
      <c r="B2843" s="7" t="s">
        <v>17488</v>
      </c>
      <c r="C2843" s="7" t="s">
        <v>3340</v>
      </c>
      <c r="D2843" s="7" t="s">
        <v>309</v>
      </c>
      <c r="E2843" s="7" t="s">
        <v>159</v>
      </c>
      <c r="F2843" s="39" t="n">
        <v>45800</v>
      </c>
      <c r="G2843" s="41" t="n">
        <v>129.33</v>
      </c>
      <c r="H2843" s="39" t="n">
        <v>45870</v>
      </c>
      <c r="I2843" s="7" t="s">
        <v>14651</v>
      </c>
      <c r="J2843" s="8" t="str">
        <f aca="false">IF(I2843="Open",DATE(2025,12,31)-F2843,"-")</f>
        <v>-</v>
      </c>
    </row>
    <row r="2844" customFormat="false" ht="15" hidden="false" customHeight="false" outlineLevel="0" collapsed="false">
      <c r="B2844" s="7" t="s">
        <v>17489</v>
      </c>
      <c r="C2844" s="7" t="s">
        <v>3341</v>
      </c>
      <c r="D2844" s="7" t="s">
        <v>313</v>
      </c>
      <c r="E2844" s="7" t="s">
        <v>156</v>
      </c>
      <c r="F2844" s="39" t="n">
        <v>45800</v>
      </c>
      <c r="G2844" s="41" t="n">
        <v>133.28</v>
      </c>
      <c r="H2844" s="39" t="n">
        <v>45813</v>
      </c>
      <c r="I2844" s="7" t="s">
        <v>14651</v>
      </c>
      <c r="J2844" s="8" t="str">
        <f aca="false">IF(I2844="Open",DATE(2025,12,31)-F2844,"-")</f>
        <v>-</v>
      </c>
    </row>
    <row r="2845" customFormat="false" ht="15" hidden="false" customHeight="false" outlineLevel="0" collapsed="false">
      <c r="B2845" s="7" t="s">
        <v>17490</v>
      </c>
      <c r="C2845" s="7" t="s">
        <v>3342</v>
      </c>
      <c r="D2845" s="7" t="s">
        <v>319</v>
      </c>
      <c r="E2845" s="7" t="s">
        <v>157</v>
      </c>
      <c r="F2845" s="39" t="n">
        <v>45800</v>
      </c>
      <c r="G2845" s="41" t="n">
        <v>176.55</v>
      </c>
      <c r="H2845" s="39" t="n">
        <v>45895</v>
      </c>
      <c r="I2845" s="7" t="s">
        <v>14651</v>
      </c>
      <c r="J2845" s="8" t="str">
        <f aca="false">IF(I2845="Open",DATE(2025,12,31)-F2845,"-")</f>
        <v>-</v>
      </c>
    </row>
    <row r="2846" customFormat="false" ht="15" hidden="false" customHeight="false" outlineLevel="0" collapsed="false">
      <c r="B2846" s="7" t="s">
        <v>17491</v>
      </c>
      <c r="C2846" s="7" t="s">
        <v>3343</v>
      </c>
      <c r="D2846" s="7" t="s">
        <v>321</v>
      </c>
      <c r="E2846" s="7" t="s">
        <v>154</v>
      </c>
      <c r="F2846" s="39" t="n">
        <v>45800</v>
      </c>
      <c r="G2846" s="41" t="n">
        <v>97.94</v>
      </c>
      <c r="H2846" s="39" t="n">
        <v>45842</v>
      </c>
      <c r="I2846" s="7" t="s">
        <v>14651</v>
      </c>
      <c r="J2846" s="8" t="str">
        <f aca="false">IF(I2846="Open",DATE(2025,12,31)-F2846,"-")</f>
        <v>-</v>
      </c>
    </row>
    <row r="2847" customFormat="false" ht="15" hidden="false" customHeight="false" outlineLevel="0" collapsed="false">
      <c r="B2847" s="7" t="s">
        <v>17492</v>
      </c>
      <c r="C2847" s="7" t="s">
        <v>3344</v>
      </c>
      <c r="D2847" s="7" t="s">
        <v>323</v>
      </c>
      <c r="E2847" s="7" t="s">
        <v>159</v>
      </c>
      <c r="F2847" s="39" t="n">
        <v>45800</v>
      </c>
      <c r="G2847" s="41" t="n">
        <v>145.8</v>
      </c>
      <c r="H2847" s="39" t="n">
        <v>45846</v>
      </c>
      <c r="I2847" s="7" t="s">
        <v>14651</v>
      </c>
      <c r="J2847" s="8" t="str">
        <f aca="false">IF(I2847="Open",DATE(2025,12,31)-F2847,"-")</f>
        <v>-</v>
      </c>
    </row>
    <row r="2848" customFormat="false" ht="15" hidden="false" customHeight="false" outlineLevel="0" collapsed="false">
      <c r="B2848" s="7" t="s">
        <v>17493</v>
      </c>
      <c r="C2848" s="7" t="s">
        <v>3345</v>
      </c>
      <c r="D2848" s="7" t="s">
        <v>327</v>
      </c>
      <c r="E2848" s="7" t="s">
        <v>157</v>
      </c>
      <c r="F2848" s="39" t="n">
        <v>45800</v>
      </c>
      <c r="G2848" s="41" t="n">
        <v>153.45</v>
      </c>
      <c r="H2848" s="39" t="n">
        <v>45831</v>
      </c>
      <c r="I2848" s="7" t="s">
        <v>14651</v>
      </c>
      <c r="J2848" s="8" t="str">
        <f aca="false">IF(I2848="Open",DATE(2025,12,31)-F2848,"-")</f>
        <v>-</v>
      </c>
    </row>
    <row r="2849" customFormat="false" ht="15" hidden="false" customHeight="false" outlineLevel="0" collapsed="false">
      <c r="B2849" s="7" t="s">
        <v>17494</v>
      </c>
      <c r="C2849" s="7" t="s">
        <v>3346</v>
      </c>
      <c r="D2849" s="7" t="s">
        <v>329</v>
      </c>
      <c r="E2849" s="7" t="s">
        <v>156</v>
      </c>
      <c r="F2849" s="39" t="n">
        <v>45800</v>
      </c>
      <c r="G2849" s="41" t="n">
        <v>135.32</v>
      </c>
      <c r="H2849" s="39" t="n">
        <v>45809</v>
      </c>
      <c r="I2849" s="7" t="s">
        <v>14651</v>
      </c>
      <c r="J2849" s="8" t="str">
        <f aca="false">IF(I2849="Open",DATE(2025,12,31)-F2849,"-")</f>
        <v>-</v>
      </c>
    </row>
    <row r="2850" customFormat="false" ht="15" hidden="false" customHeight="false" outlineLevel="0" collapsed="false">
      <c r="B2850" s="7" t="s">
        <v>17495</v>
      </c>
      <c r="C2850" s="7" t="s">
        <v>3347</v>
      </c>
      <c r="D2850" s="7" t="s">
        <v>335</v>
      </c>
      <c r="E2850" s="7" t="s">
        <v>154</v>
      </c>
      <c r="F2850" s="39" t="n">
        <v>45800</v>
      </c>
      <c r="G2850" s="41" t="n">
        <v>110.24</v>
      </c>
      <c r="H2850" s="39" t="n">
        <v>45873</v>
      </c>
      <c r="I2850" s="7" t="s">
        <v>14651</v>
      </c>
      <c r="J2850" s="8" t="str">
        <f aca="false">IF(I2850="Open",DATE(2025,12,31)-F2850,"-")</f>
        <v>-</v>
      </c>
    </row>
    <row r="2851" customFormat="false" ht="15" hidden="false" customHeight="false" outlineLevel="0" collapsed="false">
      <c r="B2851" s="7" t="s">
        <v>17496</v>
      </c>
      <c r="C2851" s="7" t="s">
        <v>3348</v>
      </c>
      <c r="D2851" s="7" t="s">
        <v>353</v>
      </c>
      <c r="E2851" s="7" t="s">
        <v>154</v>
      </c>
      <c r="F2851" s="39" t="n">
        <v>45800</v>
      </c>
      <c r="G2851" s="41" t="n">
        <v>82.94</v>
      </c>
      <c r="H2851" s="39" t="n">
        <v>45886</v>
      </c>
      <c r="I2851" s="7" t="s">
        <v>14651</v>
      </c>
      <c r="J2851" s="8" t="str">
        <f aca="false">IF(I2851="Open",DATE(2025,12,31)-F2851,"-")</f>
        <v>-</v>
      </c>
    </row>
    <row r="2852" customFormat="false" ht="15" hidden="false" customHeight="false" outlineLevel="0" collapsed="false">
      <c r="B2852" s="7" t="s">
        <v>17497</v>
      </c>
      <c r="C2852" s="7" t="s">
        <v>3349</v>
      </c>
      <c r="D2852" s="7" t="s">
        <v>355</v>
      </c>
      <c r="E2852" s="7" t="s">
        <v>154</v>
      </c>
      <c r="F2852" s="39" t="n">
        <v>45800</v>
      </c>
      <c r="G2852" s="41" t="n">
        <v>82.15</v>
      </c>
      <c r="H2852" s="39" t="n">
        <v>45831</v>
      </c>
      <c r="I2852" s="7" t="s">
        <v>14651</v>
      </c>
      <c r="J2852" s="8" t="str">
        <f aca="false">IF(I2852="Open",DATE(2025,12,31)-F2852,"-")</f>
        <v>-</v>
      </c>
    </row>
    <row r="2853" customFormat="false" ht="15" hidden="false" customHeight="false" outlineLevel="0" collapsed="false">
      <c r="B2853" s="7" t="s">
        <v>17498</v>
      </c>
      <c r="C2853" s="7" t="s">
        <v>3350</v>
      </c>
      <c r="D2853" s="7" t="s">
        <v>357</v>
      </c>
      <c r="E2853" s="7" t="s">
        <v>154</v>
      </c>
      <c r="F2853" s="39" t="n">
        <v>45800</v>
      </c>
      <c r="G2853" s="41" t="n">
        <v>92.48</v>
      </c>
      <c r="H2853" s="39" t="n">
        <v>45851</v>
      </c>
      <c r="I2853" s="7" t="s">
        <v>14651</v>
      </c>
      <c r="J2853" s="8" t="str">
        <f aca="false">IF(I2853="Open",DATE(2025,12,31)-F2853,"-")</f>
        <v>-</v>
      </c>
    </row>
    <row r="2854" customFormat="false" ht="15" hidden="false" customHeight="false" outlineLevel="0" collapsed="false">
      <c r="B2854" s="7" t="s">
        <v>17499</v>
      </c>
      <c r="C2854" s="7" t="s">
        <v>3351</v>
      </c>
      <c r="D2854" s="7" t="s">
        <v>359</v>
      </c>
      <c r="E2854" s="7" t="s">
        <v>156</v>
      </c>
      <c r="F2854" s="39" t="n">
        <v>45800</v>
      </c>
      <c r="G2854" s="41" t="n">
        <v>122.74</v>
      </c>
      <c r="H2854" s="39" t="n">
        <v>45818</v>
      </c>
      <c r="I2854" s="7" t="s">
        <v>14651</v>
      </c>
      <c r="J2854" s="8" t="str">
        <f aca="false">IF(I2854="Open",DATE(2025,12,31)-F2854,"-")</f>
        <v>-</v>
      </c>
    </row>
    <row r="2855" customFormat="false" ht="15" hidden="false" customHeight="false" outlineLevel="0" collapsed="false">
      <c r="B2855" s="7" t="s">
        <v>17500</v>
      </c>
      <c r="C2855" s="7" t="s">
        <v>3352</v>
      </c>
      <c r="D2855" s="7" t="s">
        <v>361</v>
      </c>
      <c r="E2855" s="7" t="s">
        <v>157</v>
      </c>
      <c r="F2855" s="39" t="n">
        <v>45800</v>
      </c>
      <c r="G2855" s="41" t="n">
        <v>165</v>
      </c>
      <c r="H2855" s="39" t="n">
        <v>45871</v>
      </c>
      <c r="I2855" s="7" t="s">
        <v>14651</v>
      </c>
      <c r="J2855" s="8" t="str">
        <f aca="false">IF(I2855="Open",DATE(2025,12,31)-F2855,"-")</f>
        <v>-</v>
      </c>
    </row>
    <row r="2856" customFormat="false" ht="15" hidden="false" customHeight="false" outlineLevel="0" collapsed="false">
      <c r="B2856" s="7" t="s">
        <v>17501</v>
      </c>
      <c r="C2856" s="7" t="s">
        <v>3353</v>
      </c>
      <c r="D2856" s="7" t="s">
        <v>365</v>
      </c>
      <c r="E2856" s="7" t="s">
        <v>154</v>
      </c>
      <c r="F2856" s="39" t="n">
        <v>45800</v>
      </c>
      <c r="G2856" s="41" t="n">
        <v>109.71</v>
      </c>
      <c r="H2856" s="39" t="n">
        <v>45834</v>
      </c>
      <c r="I2856" s="7" t="s">
        <v>14651</v>
      </c>
      <c r="J2856" s="8" t="str">
        <f aca="false">IF(I2856="Open",DATE(2025,12,31)-F2856,"-")</f>
        <v>-</v>
      </c>
    </row>
    <row r="2857" customFormat="false" ht="15" hidden="false" customHeight="false" outlineLevel="0" collapsed="false">
      <c r="B2857" s="7" t="s">
        <v>17502</v>
      </c>
      <c r="C2857" s="7" t="s">
        <v>3354</v>
      </c>
      <c r="D2857" s="7" t="s">
        <v>371</v>
      </c>
      <c r="E2857" s="7" t="s">
        <v>154</v>
      </c>
      <c r="F2857" s="39" t="n">
        <v>45800</v>
      </c>
      <c r="G2857" s="41" t="n">
        <v>135.68</v>
      </c>
      <c r="H2857" s="39" t="n">
        <v>45873</v>
      </c>
      <c r="I2857" s="7" t="s">
        <v>14651</v>
      </c>
      <c r="J2857" s="8" t="str">
        <f aca="false">IF(I2857="Open",DATE(2025,12,31)-F2857,"-")</f>
        <v>-</v>
      </c>
    </row>
    <row r="2858" customFormat="false" ht="15" hidden="false" customHeight="false" outlineLevel="0" collapsed="false">
      <c r="B2858" s="7" t="s">
        <v>17503</v>
      </c>
      <c r="C2858" s="7" t="s">
        <v>3355</v>
      </c>
      <c r="D2858" s="7" t="s">
        <v>379</v>
      </c>
      <c r="E2858" s="7" t="s">
        <v>156</v>
      </c>
      <c r="F2858" s="39" t="n">
        <v>45800</v>
      </c>
      <c r="G2858" s="41" t="n">
        <v>162.86</v>
      </c>
      <c r="H2858" s="39" t="n">
        <v>45819</v>
      </c>
      <c r="I2858" s="7" t="s">
        <v>14651</v>
      </c>
      <c r="J2858" s="8" t="str">
        <f aca="false">IF(I2858="Open",DATE(2025,12,31)-F2858,"-")</f>
        <v>-</v>
      </c>
    </row>
    <row r="2859" customFormat="false" ht="15" hidden="false" customHeight="false" outlineLevel="0" collapsed="false">
      <c r="B2859" s="7" t="s">
        <v>17504</v>
      </c>
      <c r="C2859" s="7" t="s">
        <v>3356</v>
      </c>
      <c r="D2859" s="7" t="s">
        <v>381</v>
      </c>
      <c r="E2859" s="7" t="s">
        <v>157</v>
      </c>
      <c r="F2859" s="39" t="n">
        <v>45800</v>
      </c>
      <c r="G2859" s="41" t="n">
        <v>150.15</v>
      </c>
      <c r="H2859" s="39" t="n">
        <v>45840</v>
      </c>
      <c r="I2859" s="7" t="s">
        <v>14651</v>
      </c>
      <c r="J2859" s="8" t="str">
        <f aca="false">IF(I2859="Open",DATE(2025,12,31)-F2859,"-")</f>
        <v>-</v>
      </c>
    </row>
    <row r="2860" customFormat="false" ht="15" hidden="false" customHeight="false" outlineLevel="0" collapsed="false">
      <c r="B2860" s="7" t="s">
        <v>17505</v>
      </c>
      <c r="C2860" s="7" t="s">
        <v>3357</v>
      </c>
      <c r="D2860" s="7" t="s">
        <v>385</v>
      </c>
      <c r="E2860" s="7" t="s">
        <v>156</v>
      </c>
      <c r="F2860" s="39" t="n">
        <v>45800</v>
      </c>
      <c r="G2860" s="41" t="n">
        <v>141.44</v>
      </c>
      <c r="H2860" s="39" t="n">
        <v>45809</v>
      </c>
      <c r="I2860" s="7" t="s">
        <v>14651</v>
      </c>
      <c r="J2860" s="8" t="str">
        <f aca="false">IF(I2860="Open",DATE(2025,12,31)-F2860,"-")</f>
        <v>-</v>
      </c>
    </row>
    <row r="2861" customFormat="false" ht="15" hidden="false" customHeight="false" outlineLevel="0" collapsed="false">
      <c r="B2861" s="7" t="s">
        <v>17506</v>
      </c>
      <c r="C2861" s="7" t="s">
        <v>3358</v>
      </c>
      <c r="D2861" s="7" t="s">
        <v>389</v>
      </c>
      <c r="E2861" s="7" t="s">
        <v>154</v>
      </c>
      <c r="F2861" s="39" t="n">
        <v>45800</v>
      </c>
      <c r="G2861" s="41" t="n">
        <v>99.91</v>
      </c>
      <c r="H2861" s="39" t="n">
        <v>45868</v>
      </c>
      <c r="I2861" s="7" t="s">
        <v>14651</v>
      </c>
      <c r="J2861" s="8" t="str">
        <f aca="false">IF(I2861="Open",DATE(2025,12,31)-F2861,"-")</f>
        <v>-</v>
      </c>
    </row>
    <row r="2862" customFormat="false" ht="15" hidden="false" customHeight="false" outlineLevel="0" collapsed="false">
      <c r="B2862" s="7" t="s">
        <v>17507</v>
      </c>
      <c r="C2862" s="7" t="s">
        <v>3359</v>
      </c>
      <c r="D2862" s="7" t="s">
        <v>391</v>
      </c>
      <c r="E2862" s="7" t="s">
        <v>156</v>
      </c>
      <c r="F2862" s="39" t="n">
        <v>45800</v>
      </c>
      <c r="G2862" s="41" t="n">
        <v>140.76</v>
      </c>
      <c r="H2862" s="39" t="n">
        <v>45811</v>
      </c>
      <c r="I2862" s="7" t="s">
        <v>14651</v>
      </c>
      <c r="J2862" s="8" t="str">
        <f aca="false">IF(I2862="Open",DATE(2025,12,31)-F2862,"-")</f>
        <v>-</v>
      </c>
    </row>
    <row r="2863" customFormat="false" ht="15" hidden="false" customHeight="false" outlineLevel="0" collapsed="false">
      <c r="B2863" s="7" t="s">
        <v>17508</v>
      </c>
      <c r="C2863" s="7" t="s">
        <v>3360</v>
      </c>
      <c r="D2863" s="7" t="s">
        <v>395</v>
      </c>
      <c r="E2863" s="7" t="s">
        <v>156</v>
      </c>
      <c r="F2863" s="39" t="n">
        <v>45800</v>
      </c>
      <c r="G2863" s="41" t="n">
        <v>132.26</v>
      </c>
      <c r="H2863" s="39" t="n">
        <v>45815</v>
      </c>
      <c r="I2863" s="7" t="s">
        <v>14651</v>
      </c>
      <c r="J2863" s="8" t="str">
        <f aca="false">IF(I2863="Open",DATE(2025,12,31)-F2863,"-")</f>
        <v>-</v>
      </c>
    </row>
    <row r="2864" customFormat="false" ht="15" hidden="false" customHeight="false" outlineLevel="0" collapsed="false">
      <c r="B2864" s="7" t="s">
        <v>17509</v>
      </c>
      <c r="C2864" s="7" t="s">
        <v>3361</v>
      </c>
      <c r="D2864" s="7" t="s">
        <v>397</v>
      </c>
      <c r="E2864" s="7" t="s">
        <v>159</v>
      </c>
      <c r="F2864" s="39" t="n">
        <v>45800</v>
      </c>
      <c r="G2864" s="41" t="n">
        <v>143.1</v>
      </c>
      <c r="H2864" s="39" t="n">
        <v>45832</v>
      </c>
      <c r="I2864" s="7" t="s">
        <v>14651</v>
      </c>
      <c r="J2864" s="8" t="str">
        <f aca="false">IF(I2864="Open",DATE(2025,12,31)-F2864,"-")</f>
        <v>-</v>
      </c>
    </row>
    <row r="2865" customFormat="false" ht="15" hidden="false" customHeight="false" outlineLevel="0" collapsed="false">
      <c r="B2865" s="7" t="s">
        <v>17510</v>
      </c>
      <c r="C2865" s="7" t="s">
        <v>3362</v>
      </c>
      <c r="D2865" s="7" t="s">
        <v>399</v>
      </c>
      <c r="E2865" s="7" t="s">
        <v>154</v>
      </c>
      <c r="F2865" s="39" t="n">
        <v>45800</v>
      </c>
      <c r="G2865" s="41" t="n">
        <v>97.25</v>
      </c>
      <c r="H2865" s="39" t="n">
        <v>45847</v>
      </c>
      <c r="I2865" s="7" t="s">
        <v>14651</v>
      </c>
      <c r="J2865" s="8" t="str">
        <f aca="false">IF(I2865="Open",DATE(2025,12,31)-F2865,"-")</f>
        <v>-</v>
      </c>
    </row>
    <row r="2866" customFormat="false" ht="15" hidden="false" customHeight="false" outlineLevel="0" collapsed="false">
      <c r="B2866" s="7" t="s">
        <v>17511</v>
      </c>
      <c r="C2866" s="7" t="s">
        <v>3363</v>
      </c>
      <c r="D2866" s="7" t="s">
        <v>401</v>
      </c>
      <c r="E2866" s="7" t="s">
        <v>156</v>
      </c>
      <c r="F2866" s="39" t="n">
        <v>45800</v>
      </c>
      <c r="G2866" s="41" t="n">
        <v>144.84</v>
      </c>
      <c r="H2866" s="39" t="n">
        <v>45821</v>
      </c>
      <c r="I2866" s="7" t="s">
        <v>14651</v>
      </c>
      <c r="J2866" s="8" t="str">
        <f aca="false">IF(I2866="Open",DATE(2025,12,31)-F2866,"-")</f>
        <v>-</v>
      </c>
    </row>
    <row r="2867" customFormat="false" ht="15" hidden="false" customHeight="false" outlineLevel="0" collapsed="false">
      <c r="B2867" s="7" t="s">
        <v>17512</v>
      </c>
      <c r="C2867" s="7" t="s">
        <v>3364</v>
      </c>
      <c r="D2867" s="7" t="s">
        <v>407</v>
      </c>
      <c r="E2867" s="7" t="s">
        <v>159</v>
      </c>
      <c r="F2867" s="39" t="n">
        <v>45800</v>
      </c>
      <c r="G2867" s="41" t="n">
        <v>130.95</v>
      </c>
      <c r="H2867" s="39" t="n">
        <v>45872</v>
      </c>
      <c r="I2867" s="7" t="s">
        <v>14651</v>
      </c>
      <c r="J2867" s="8" t="str">
        <f aca="false">IF(I2867="Open",DATE(2025,12,31)-F2867,"-")</f>
        <v>-</v>
      </c>
    </row>
    <row r="2868" customFormat="false" ht="15" hidden="false" customHeight="false" outlineLevel="0" collapsed="false">
      <c r="B2868" s="7" t="s">
        <v>17513</v>
      </c>
      <c r="C2868" s="7" t="s">
        <v>3365</v>
      </c>
      <c r="D2868" s="7" t="s">
        <v>409</v>
      </c>
      <c r="E2868" s="7" t="s">
        <v>154</v>
      </c>
      <c r="F2868" s="39" t="n">
        <v>45800</v>
      </c>
      <c r="G2868" s="41" t="n">
        <v>86.12</v>
      </c>
      <c r="H2868" s="39" t="n">
        <v>45841</v>
      </c>
      <c r="I2868" s="7" t="s">
        <v>14651</v>
      </c>
      <c r="J2868" s="8" t="str">
        <f aca="false">IF(I2868="Open",DATE(2025,12,31)-F2868,"-")</f>
        <v>-</v>
      </c>
    </row>
    <row r="2869" customFormat="false" ht="15" hidden="false" customHeight="false" outlineLevel="0" collapsed="false">
      <c r="B2869" s="7" t="s">
        <v>17514</v>
      </c>
      <c r="C2869" s="7" t="s">
        <v>3366</v>
      </c>
      <c r="D2869" s="7" t="s">
        <v>411</v>
      </c>
      <c r="E2869" s="7" t="s">
        <v>154</v>
      </c>
      <c r="F2869" s="39" t="n">
        <v>45800</v>
      </c>
      <c r="G2869" s="41" t="n">
        <v>122.17</v>
      </c>
      <c r="H2869" s="39" t="n">
        <v>45904</v>
      </c>
      <c r="I2869" s="7" t="s">
        <v>14651</v>
      </c>
      <c r="J2869" s="8" t="str">
        <f aca="false">IF(I2869="Open",DATE(2025,12,31)-F2869,"-")</f>
        <v>-</v>
      </c>
    </row>
    <row r="2870" customFormat="false" ht="15" hidden="false" customHeight="false" outlineLevel="0" collapsed="false">
      <c r="B2870" s="7" t="s">
        <v>17515</v>
      </c>
      <c r="C2870" s="7" t="s">
        <v>3367</v>
      </c>
      <c r="D2870" s="7" t="s">
        <v>288</v>
      </c>
      <c r="E2870" s="7" t="s">
        <v>156</v>
      </c>
      <c r="F2870" s="39" t="n">
        <v>45801</v>
      </c>
      <c r="G2870" s="41" t="n">
        <v>140.76</v>
      </c>
      <c r="H2870" s="39" t="n">
        <v>45811</v>
      </c>
      <c r="I2870" s="7" t="s">
        <v>14651</v>
      </c>
      <c r="J2870" s="8" t="str">
        <f aca="false">IF(I2870="Open",DATE(2025,12,31)-F2870,"-")</f>
        <v>-</v>
      </c>
    </row>
    <row r="2871" customFormat="false" ht="15" hidden="false" customHeight="false" outlineLevel="0" collapsed="false">
      <c r="B2871" s="7" t="s">
        <v>17516</v>
      </c>
      <c r="C2871" s="7" t="s">
        <v>3368</v>
      </c>
      <c r="D2871" s="7" t="s">
        <v>321</v>
      </c>
      <c r="E2871" s="7" t="s">
        <v>154</v>
      </c>
      <c r="F2871" s="39" t="n">
        <v>45801</v>
      </c>
      <c r="G2871" s="41" t="n">
        <v>111.83</v>
      </c>
      <c r="H2871" s="39" t="n">
        <v>45835</v>
      </c>
      <c r="I2871" s="7" t="s">
        <v>14651</v>
      </c>
      <c r="J2871" s="8" t="str">
        <f aca="false">IF(I2871="Open",DATE(2025,12,31)-F2871,"-")</f>
        <v>-</v>
      </c>
    </row>
    <row r="2872" customFormat="false" ht="15" hidden="false" customHeight="false" outlineLevel="0" collapsed="false">
      <c r="B2872" s="7" t="s">
        <v>17517</v>
      </c>
      <c r="C2872" s="7" t="s">
        <v>3369</v>
      </c>
      <c r="D2872" s="7" t="s">
        <v>359</v>
      </c>
      <c r="E2872" s="7" t="s">
        <v>156</v>
      </c>
      <c r="F2872" s="39" t="n">
        <v>45801</v>
      </c>
      <c r="G2872" s="41" t="n">
        <v>124.78</v>
      </c>
      <c r="H2872" s="39" t="n">
        <v>45809</v>
      </c>
      <c r="I2872" s="7" t="s">
        <v>14651</v>
      </c>
      <c r="J2872" s="8" t="str">
        <f aca="false">IF(I2872="Open",DATE(2025,12,31)-F2872,"-")</f>
        <v>-</v>
      </c>
    </row>
    <row r="2873" customFormat="false" ht="15" hidden="false" customHeight="false" outlineLevel="0" collapsed="false">
      <c r="B2873" s="7" t="s">
        <v>17518</v>
      </c>
      <c r="C2873" s="7" t="s">
        <v>3370</v>
      </c>
      <c r="D2873" s="7" t="s">
        <v>391</v>
      </c>
      <c r="E2873" s="7" t="s">
        <v>156</v>
      </c>
      <c r="F2873" s="39" t="n">
        <v>45801</v>
      </c>
      <c r="G2873" s="41" t="n">
        <v>122.74</v>
      </c>
      <c r="H2873" s="39" t="n">
        <v>45810</v>
      </c>
      <c r="I2873" s="7" t="s">
        <v>14651</v>
      </c>
      <c r="J2873" s="8" t="str">
        <f aca="false">IF(I2873="Open",DATE(2025,12,31)-F2873,"-")</f>
        <v>-</v>
      </c>
    </row>
    <row r="2874" customFormat="false" ht="15" hidden="false" customHeight="false" outlineLevel="0" collapsed="false">
      <c r="B2874" s="7" t="s">
        <v>17519</v>
      </c>
      <c r="C2874" s="7" t="s">
        <v>3371</v>
      </c>
      <c r="D2874" s="7" t="s">
        <v>395</v>
      </c>
      <c r="E2874" s="7" t="s">
        <v>156</v>
      </c>
      <c r="F2874" s="39" t="n">
        <v>45801</v>
      </c>
      <c r="G2874" s="41" t="n">
        <v>142.8</v>
      </c>
      <c r="H2874" s="39" t="n">
        <v>45813</v>
      </c>
      <c r="I2874" s="7" t="s">
        <v>14651</v>
      </c>
      <c r="J2874" s="8" t="str">
        <f aca="false">IF(I2874="Open",DATE(2025,12,31)-F2874,"-")</f>
        <v>-</v>
      </c>
    </row>
    <row r="2875" customFormat="false" ht="15" hidden="false" customHeight="false" outlineLevel="0" collapsed="false">
      <c r="B2875" s="7" t="s">
        <v>17520</v>
      </c>
      <c r="C2875" s="7" t="s">
        <v>3372</v>
      </c>
      <c r="D2875" s="7" t="s">
        <v>401</v>
      </c>
      <c r="E2875" s="7" t="s">
        <v>156</v>
      </c>
      <c r="F2875" s="39" t="n">
        <v>45801</v>
      </c>
      <c r="G2875" s="41" t="n">
        <v>139.74</v>
      </c>
      <c r="H2875" s="39" t="n">
        <v>45815</v>
      </c>
      <c r="I2875" s="7" t="s">
        <v>14651</v>
      </c>
      <c r="J2875" s="8" t="str">
        <f aca="false">IF(I2875="Open",DATE(2025,12,31)-F2875,"-")</f>
        <v>-</v>
      </c>
    </row>
    <row r="2876" customFormat="false" ht="15" hidden="false" customHeight="false" outlineLevel="0" collapsed="false">
      <c r="B2876" s="7" t="s">
        <v>17521</v>
      </c>
      <c r="C2876" s="7" t="s">
        <v>3373</v>
      </c>
      <c r="D2876" s="7" t="s">
        <v>288</v>
      </c>
      <c r="E2876" s="7" t="s">
        <v>156</v>
      </c>
      <c r="F2876" s="39" t="n">
        <v>45802</v>
      </c>
      <c r="G2876" s="41" t="n">
        <v>140.42</v>
      </c>
      <c r="H2876" s="39" t="n">
        <v>45810</v>
      </c>
      <c r="I2876" s="7" t="s">
        <v>14651</v>
      </c>
      <c r="J2876" s="8" t="str">
        <f aca="false">IF(I2876="Open",DATE(2025,12,31)-F2876,"-")</f>
        <v>-</v>
      </c>
    </row>
    <row r="2877" customFormat="false" ht="15" hidden="false" customHeight="false" outlineLevel="0" collapsed="false">
      <c r="B2877" s="7" t="s">
        <v>17522</v>
      </c>
      <c r="C2877" s="7" t="s">
        <v>3374</v>
      </c>
      <c r="D2877" s="7" t="s">
        <v>321</v>
      </c>
      <c r="E2877" s="7" t="s">
        <v>154</v>
      </c>
      <c r="F2877" s="39" t="n">
        <v>45802</v>
      </c>
      <c r="G2877" s="41" t="n">
        <v>108.46</v>
      </c>
      <c r="H2877" s="39" t="n">
        <v>45841</v>
      </c>
      <c r="I2877" s="7" t="s">
        <v>14651</v>
      </c>
      <c r="J2877" s="8" t="str">
        <f aca="false">IF(I2877="Open",DATE(2025,12,31)-F2877,"-")</f>
        <v>-</v>
      </c>
    </row>
    <row r="2878" customFormat="false" ht="15" hidden="false" customHeight="false" outlineLevel="0" collapsed="false">
      <c r="B2878" s="7" t="s">
        <v>17523</v>
      </c>
      <c r="C2878" s="7" t="s">
        <v>3375</v>
      </c>
      <c r="D2878" s="7" t="s">
        <v>359</v>
      </c>
      <c r="E2878" s="7" t="s">
        <v>156</v>
      </c>
      <c r="F2878" s="39" t="n">
        <v>45802</v>
      </c>
      <c r="G2878" s="41" t="n">
        <v>145.86</v>
      </c>
      <c r="H2878" s="39" t="n">
        <v>45803</v>
      </c>
      <c r="I2878" s="7" t="s">
        <v>14651</v>
      </c>
      <c r="J2878" s="8" t="str">
        <f aca="false">IF(I2878="Open",DATE(2025,12,31)-F2878,"-")</f>
        <v>-</v>
      </c>
    </row>
    <row r="2879" customFormat="false" ht="15" hidden="false" customHeight="false" outlineLevel="0" collapsed="false">
      <c r="B2879" s="7" t="s">
        <v>17524</v>
      </c>
      <c r="C2879" s="7" t="s">
        <v>3376</v>
      </c>
      <c r="D2879" s="7" t="s">
        <v>391</v>
      </c>
      <c r="E2879" s="7" t="s">
        <v>156</v>
      </c>
      <c r="F2879" s="39" t="n">
        <v>45802</v>
      </c>
      <c r="G2879" s="41" t="n">
        <v>144.16</v>
      </c>
      <c r="H2879" s="39" t="n">
        <v>45809</v>
      </c>
      <c r="I2879" s="7" t="s">
        <v>14651</v>
      </c>
      <c r="J2879" s="8" t="str">
        <f aca="false">IF(I2879="Open",DATE(2025,12,31)-F2879,"-")</f>
        <v>-</v>
      </c>
    </row>
    <row r="2880" customFormat="false" ht="15" hidden="false" customHeight="false" outlineLevel="0" collapsed="false">
      <c r="B2880" s="7" t="s">
        <v>17525</v>
      </c>
      <c r="C2880" s="7" t="s">
        <v>3377</v>
      </c>
      <c r="D2880" s="7" t="s">
        <v>395</v>
      </c>
      <c r="E2880" s="7" t="s">
        <v>156</v>
      </c>
      <c r="F2880" s="39" t="n">
        <v>45802</v>
      </c>
      <c r="G2880" s="41" t="n">
        <v>140.08</v>
      </c>
      <c r="H2880" s="39" t="n">
        <v>45815</v>
      </c>
      <c r="I2880" s="7" t="s">
        <v>14651</v>
      </c>
      <c r="J2880" s="8" t="str">
        <f aca="false">IF(I2880="Open",DATE(2025,12,31)-F2880,"-")</f>
        <v>-</v>
      </c>
    </row>
    <row r="2881" customFormat="false" ht="15" hidden="false" customHeight="false" outlineLevel="0" collapsed="false">
      <c r="B2881" s="7" t="s">
        <v>17526</v>
      </c>
      <c r="C2881" s="7" t="s">
        <v>3378</v>
      </c>
      <c r="D2881" s="7" t="s">
        <v>401</v>
      </c>
      <c r="E2881" s="7" t="s">
        <v>156</v>
      </c>
      <c r="F2881" s="39" t="n">
        <v>45802</v>
      </c>
      <c r="G2881" s="41" t="n">
        <v>147.9</v>
      </c>
      <c r="H2881" s="39" t="n">
        <v>45814</v>
      </c>
      <c r="I2881" s="7" t="s">
        <v>14651</v>
      </c>
      <c r="J2881" s="8" t="str">
        <f aca="false">IF(I2881="Open",DATE(2025,12,31)-F2881,"-")</f>
        <v>-</v>
      </c>
    </row>
    <row r="2882" customFormat="false" ht="15" hidden="false" customHeight="false" outlineLevel="0" collapsed="false">
      <c r="B2882" s="7" t="s">
        <v>17527</v>
      </c>
      <c r="C2882" s="7" t="s">
        <v>3379</v>
      </c>
      <c r="D2882" s="7" t="s">
        <v>280</v>
      </c>
      <c r="E2882" s="7" t="s">
        <v>157</v>
      </c>
      <c r="F2882" s="39" t="n">
        <v>45803</v>
      </c>
      <c r="G2882" s="41" t="n">
        <v>156.75</v>
      </c>
      <c r="H2882" s="39" t="n">
        <v>45857</v>
      </c>
      <c r="I2882" s="7" t="s">
        <v>14651</v>
      </c>
      <c r="J2882" s="8" t="str">
        <f aca="false">IF(I2882="Open",DATE(2025,12,31)-F2882,"-")</f>
        <v>-</v>
      </c>
    </row>
    <row r="2883" customFormat="false" ht="15" hidden="false" customHeight="false" outlineLevel="0" collapsed="false">
      <c r="B2883" s="7" t="s">
        <v>17528</v>
      </c>
      <c r="C2883" s="7" t="s">
        <v>3380</v>
      </c>
      <c r="D2883" s="7" t="s">
        <v>288</v>
      </c>
      <c r="E2883" s="7" t="s">
        <v>156</v>
      </c>
      <c r="F2883" s="39" t="n">
        <v>45803</v>
      </c>
      <c r="G2883" s="41" t="n">
        <v>146.88</v>
      </c>
      <c r="H2883" s="39" t="n">
        <v>45807</v>
      </c>
      <c r="I2883" s="7" t="s">
        <v>14651</v>
      </c>
      <c r="J2883" s="8" t="str">
        <f aca="false">IF(I2883="Open",DATE(2025,12,31)-F2883,"-")</f>
        <v>-</v>
      </c>
    </row>
    <row r="2884" customFormat="false" ht="15" hidden="false" customHeight="false" outlineLevel="0" collapsed="false">
      <c r="B2884" s="7" t="s">
        <v>17529</v>
      </c>
      <c r="C2884" s="7" t="s">
        <v>3381</v>
      </c>
      <c r="D2884" s="7" t="s">
        <v>291</v>
      </c>
      <c r="E2884" s="7" t="s">
        <v>154</v>
      </c>
      <c r="F2884" s="39" t="n">
        <v>45803</v>
      </c>
      <c r="G2884" s="41" t="n">
        <v>107.96</v>
      </c>
      <c r="H2884" s="39" t="n">
        <v>45897</v>
      </c>
      <c r="I2884" s="7" t="s">
        <v>14651</v>
      </c>
      <c r="J2884" s="8" t="str">
        <f aca="false">IF(I2884="Open",DATE(2025,12,31)-F2884,"-")</f>
        <v>-</v>
      </c>
    </row>
    <row r="2885" customFormat="false" ht="15" hidden="false" customHeight="false" outlineLevel="0" collapsed="false">
      <c r="B2885" s="7" t="s">
        <v>17530</v>
      </c>
      <c r="C2885" s="7" t="s">
        <v>3382</v>
      </c>
      <c r="D2885" s="7" t="s">
        <v>297</v>
      </c>
      <c r="E2885" s="7" t="s">
        <v>156</v>
      </c>
      <c r="F2885" s="39" t="n">
        <v>45803</v>
      </c>
      <c r="G2885" s="41" t="n">
        <v>92.48</v>
      </c>
      <c r="H2885" s="39" t="n">
        <v>45821</v>
      </c>
      <c r="I2885" s="7" t="s">
        <v>14651</v>
      </c>
      <c r="J2885" s="8" t="str">
        <f aca="false">IF(I2885="Open",DATE(2025,12,31)-F2885,"-")</f>
        <v>-</v>
      </c>
    </row>
    <row r="2886" customFormat="false" ht="15" hidden="false" customHeight="false" outlineLevel="0" collapsed="false">
      <c r="B2886" s="7" t="s">
        <v>17531</v>
      </c>
      <c r="C2886" s="7" t="s">
        <v>3383</v>
      </c>
      <c r="D2886" s="7" t="s">
        <v>305</v>
      </c>
      <c r="E2886" s="7" t="s">
        <v>154</v>
      </c>
      <c r="F2886" s="39" t="n">
        <v>45803</v>
      </c>
      <c r="G2886" s="41" t="n">
        <v>106.53</v>
      </c>
      <c r="H2886" s="39" t="n">
        <v>45840</v>
      </c>
      <c r="I2886" s="7" t="s">
        <v>14651</v>
      </c>
      <c r="J2886" s="8" t="str">
        <f aca="false">IF(I2886="Open",DATE(2025,12,31)-F2886,"-")</f>
        <v>-</v>
      </c>
    </row>
    <row r="2887" customFormat="false" ht="15" hidden="false" customHeight="false" outlineLevel="0" collapsed="false">
      <c r="B2887" s="7" t="s">
        <v>17532</v>
      </c>
      <c r="C2887" s="7" t="s">
        <v>3384</v>
      </c>
      <c r="D2887" s="7" t="s">
        <v>307</v>
      </c>
      <c r="E2887" s="7" t="s">
        <v>157</v>
      </c>
      <c r="F2887" s="39" t="n">
        <v>45803</v>
      </c>
      <c r="G2887" s="41" t="n">
        <v>153.45</v>
      </c>
      <c r="H2887" s="39" t="n">
        <v>45828</v>
      </c>
      <c r="I2887" s="7" t="s">
        <v>14651</v>
      </c>
      <c r="J2887" s="8" t="str">
        <f aca="false">IF(I2887="Open",DATE(2025,12,31)-F2887,"-")</f>
        <v>-</v>
      </c>
    </row>
    <row r="2888" customFormat="false" ht="15" hidden="false" customHeight="false" outlineLevel="0" collapsed="false">
      <c r="B2888" s="7" t="s">
        <v>17533</v>
      </c>
      <c r="C2888" s="7" t="s">
        <v>3385</v>
      </c>
      <c r="D2888" s="7" t="s">
        <v>309</v>
      </c>
      <c r="E2888" s="7" t="s">
        <v>159</v>
      </c>
      <c r="F2888" s="39" t="n">
        <v>45803</v>
      </c>
      <c r="G2888" s="41" t="n">
        <v>136.35</v>
      </c>
      <c r="H2888" s="39" t="n">
        <v>45855</v>
      </c>
      <c r="I2888" s="7" t="s">
        <v>14651</v>
      </c>
      <c r="J2888" s="8" t="str">
        <f aca="false">IF(I2888="Open",DATE(2025,12,31)-F2888,"-")</f>
        <v>-</v>
      </c>
    </row>
    <row r="2889" customFormat="false" ht="15" hidden="false" customHeight="false" outlineLevel="0" collapsed="false">
      <c r="B2889" s="7" t="s">
        <v>17534</v>
      </c>
      <c r="C2889" s="7" t="s">
        <v>3386</v>
      </c>
      <c r="D2889" s="7" t="s">
        <v>311</v>
      </c>
      <c r="E2889" s="7" t="s">
        <v>154</v>
      </c>
      <c r="F2889" s="39" t="n">
        <v>45803</v>
      </c>
      <c r="G2889" s="41" t="n">
        <v>77.91</v>
      </c>
      <c r="H2889" s="39" t="n">
        <v>45839</v>
      </c>
      <c r="I2889" s="7" t="s">
        <v>14651</v>
      </c>
      <c r="J2889" s="8" t="str">
        <f aca="false">IF(I2889="Open",DATE(2025,12,31)-F2889,"-")</f>
        <v>-</v>
      </c>
    </row>
    <row r="2890" customFormat="false" ht="15" hidden="false" customHeight="false" outlineLevel="0" collapsed="false">
      <c r="B2890" s="7" t="s">
        <v>17535</v>
      </c>
      <c r="C2890" s="7" t="s">
        <v>3387</v>
      </c>
      <c r="D2890" s="7" t="s">
        <v>313</v>
      </c>
      <c r="E2890" s="7" t="s">
        <v>156</v>
      </c>
      <c r="F2890" s="39" t="n">
        <v>45803</v>
      </c>
      <c r="G2890" s="41" t="n">
        <v>133.96</v>
      </c>
      <c r="H2890" s="39" t="n">
        <v>45815</v>
      </c>
      <c r="I2890" s="7" t="s">
        <v>14651</v>
      </c>
      <c r="J2890" s="8" t="str">
        <f aca="false">IF(I2890="Open",DATE(2025,12,31)-F2890,"-")</f>
        <v>-</v>
      </c>
    </row>
    <row r="2891" customFormat="false" ht="15" hidden="false" customHeight="false" outlineLevel="0" collapsed="false">
      <c r="B2891" s="7" t="s">
        <v>17536</v>
      </c>
      <c r="C2891" s="7" t="s">
        <v>3388</v>
      </c>
      <c r="D2891" s="7" t="s">
        <v>317</v>
      </c>
      <c r="E2891" s="7" t="s">
        <v>156</v>
      </c>
      <c r="F2891" s="39" t="n">
        <v>45803</v>
      </c>
      <c r="G2891" s="41" t="n">
        <v>106.76</v>
      </c>
      <c r="H2891" s="39" t="n">
        <v>45814</v>
      </c>
      <c r="I2891" s="7" t="s">
        <v>14651</v>
      </c>
      <c r="J2891" s="8" t="str">
        <f aca="false">IF(I2891="Open",DATE(2025,12,31)-F2891,"-")</f>
        <v>-</v>
      </c>
    </row>
    <row r="2892" customFormat="false" ht="15" hidden="false" customHeight="false" outlineLevel="0" collapsed="false">
      <c r="B2892" s="7" t="s">
        <v>17537</v>
      </c>
      <c r="C2892" s="7" t="s">
        <v>3389</v>
      </c>
      <c r="D2892" s="7" t="s">
        <v>321</v>
      </c>
      <c r="E2892" s="7" t="s">
        <v>154</v>
      </c>
      <c r="F2892" s="39" t="n">
        <v>45803</v>
      </c>
      <c r="G2892" s="41" t="n">
        <v>98.84</v>
      </c>
      <c r="H2892" s="39" t="n">
        <v>45835</v>
      </c>
      <c r="I2892" s="7" t="s">
        <v>14651</v>
      </c>
      <c r="J2892" s="8" t="str">
        <f aca="false">IF(I2892="Open",DATE(2025,12,31)-F2892,"-")</f>
        <v>-</v>
      </c>
    </row>
    <row r="2893" customFormat="false" ht="15" hidden="false" customHeight="false" outlineLevel="0" collapsed="false">
      <c r="B2893" s="7" t="s">
        <v>17538</v>
      </c>
      <c r="C2893" s="7" t="s">
        <v>3390</v>
      </c>
      <c r="D2893" s="7" t="s">
        <v>325</v>
      </c>
      <c r="E2893" s="7" t="s">
        <v>154</v>
      </c>
      <c r="F2893" s="39" t="n">
        <v>45803</v>
      </c>
      <c r="G2893" s="41" t="n">
        <v>73.67</v>
      </c>
      <c r="H2893" s="39" t="n">
        <v>45835</v>
      </c>
      <c r="I2893" s="7" t="s">
        <v>14651</v>
      </c>
      <c r="J2893" s="8" t="str">
        <f aca="false">IF(I2893="Open",DATE(2025,12,31)-F2893,"-")</f>
        <v>-</v>
      </c>
    </row>
    <row r="2894" customFormat="false" ht="15" hidden="false" customHeight="false" outlineLevel="0" collapsed="false">
      <c r="B2894" s="7" t="s">
        <v>17539</v>
      </c>
      <c r="C2894" s="7" t="s">
        <v>3391</v>
      </c>
      <c r="D2894" s="7" t="s">
        <v>329</v>
      </c>
      <c r="E2894" s="7" t="s">
        <v>156</v>
      </c>
      <c r="F2894" s="39" t="n">
        <v>45803</v>
      </c>
      <c r="G2894" s="41" t="n">
        <v>132.94</v>
      </c>
      <c r="H2894" s="39" t="n">
        <v>45824</v>
      </c>
      <c r="I2894" s="7" t="s">
        <v>14651</v>
      </c>
      <c r="J2894" s="8" t="str">
        <f aca="false">IF(I2894="Open",DATE(2025,12,31)-F2894,"-")</f>
        <v>-</v>
      </c>
    </row>
    <row r="2895" customFormat="false" ht="15" hidden="false" customHeight="false" outlineLevel="0" collapsed="false">
      <c r="B2895" s="7" t="s">
        <v>17540</v>
      </c>
      <c r="C2895" s="7" t="s">
        <v>3392</v>
      </c>
      <c r="D2895" s="7" t="s">
        <v>331</v>
      </c>
      <c r="E2895" s="7" t="s">
        <v>156</v>
      </c>
      <c r="F2895" s="39" t="n">
        <v>45803</v>
      </c>
      <c r="G2895" s="41" t="n">
        <v>145.18</v>
      </c>
      <c r="H2895" s="39" t="n">
        <v>45813</v>
      </c>
      <c r="I2895" s="7" t="s">
        <v>14651</v>
      </c>
      <c r="J2895" s="8" t="str">
        <f aca="false">IF(I2895="Open",DATE(2025,12,31)-F2895,"-")</f>
        <v>-</v>
      </c>
    </row>
    <row r="2896" customFormat="false" ht="15" hidden="false" customHeight="false" outlineLevel="0" collapsed="false">
      <c r="B2896" s="7" t="s">
        <v>17541</v>
      </c>
      <c r="C2896" s="7" t="s">
        <v>3393</v>
      </c>
      <c r="D2896" s="7" t="s">
        <v>335</v>
      </c>
      <c r="E2896" s="7" t="s">
        <v>154</v>
      </c>
      <c r="F2896" s="39" t="n">
        <v>45803</v>
      </c>
      <c r="G2896" s="41" t="n">
        <v>94.34</v>
      </c>
      <c r="H2896" s="39" t="n">
        <v>45882</v>
      </c>
      <c r="I2896" s="7" t="s">
        <v>14651</v>
      </c>
      <c r="J2896" s="8" t="str">
        <f aca="false">IF(I2896="Open",DATE(2025,12,31)-F2896,"-")</f>
        <v>-</v>
      </c>
    </row>
    <row r="2897" customFormat="false" ht="15" hidden="false" customHeight="false" outlineLevel="0" collapsed="false">
      <c r="B2897" s="7" t="s">
        <v>17542</v>
      </c>
      <c r="C2897" s="7" t="s">
        <v>3394</v>
      </c>
      <c r="D2897" s="7" t="s">
        <v>337</v>
      </c>
      <c r="E2897" s="7" t="s">
        <v>154</v>
      </c>
      <c r="F2897" s="39" t="n">
        <v>45803</v>
      </c>
      <c r="G2897" s="41" t="n">
        <v>83.74</v>
      </c>
      <c r="H2897" s="39" t="n">
        <v>45847</v>
      </c>
      <c r="I2897" s="7" t="s">
        <v>14651</v>
      </c>
      <c r="J2897" s="8" t="str">
        <f aca="false">IF(I2897="Open",DATE(2025,12,31)-F2897,"-")</f>
        <v>-</v>
      </c>
    </row>
    <row r="2898" customFormat="false" ht="15" hidden="false" customHeight="false" outlineLevel="0" collapsed="false">
      <c r="B2898" s="7" t="s">
        <v>17543</v>
      </c>
      <c r="C2898" s="7" t="s">
        <v>3395</v>
      </c>
      <c r="D2898" s="7" t="s">
        <v>339</v>
      </c>
      <c r="E2898" s="7" t="s">
        <v>154</v>
      </c>
      <c r="F2898" s="39" t="n">
        <v>45803</v>
      </c>
      <c r="G2898" s="41" t="n">
        <v>89.04</v>
      </c>
      <c r="H2898" s="39" t="n">
        <v>45903</v>
      </c>
      <c r="I2898" s="7" t="s">
        <v>14651</v>
      </c>
      <c r="J2898" s="8" t="str">
        <f aca="false">IF(I2898="Open",DATE(2025,12,31)-F2898,"-")</f>
        <v>-</v>
      </c>
    </row>
    <row r="2899" customFormat="false" ht="15" hidden="false" customHeight="false" outlineLevel="0" collapsed="false">
      <c r="B2899" s="7" t="s">
        <v>17544</v>
      </c>
      <c r="C2899" s="7" t="s">
        <v>3396</v>
      </c>
      <c r="D2899" s="7" t="s">
        <v>341</v>
      </c>
      <c r="E2899" s="7" t="s">
        <v>156</v>
      </c>
      <c r="F2899" s="39" t="n">
        <v>45803</v>
      </c>
      <c r="G2899" s="41" t="n">
        <v>92.48</v>
      </c>
      <c r="H2899" s="39" t="n">
        <v>45810</v>
      </c>
      <c r="I2899" s="7" t="s">
        <v>14651</v>
      </c>
      <c r="J2899" s="8" t="str">
        <f aca="false">IF(I2899="Open",DATE(2025,12,31)-F2899,"-")</f>
        <v>-</v>
      </c>
    </row>
    <row r="2900" customFormat="false" ht="15" hidden="false" customHeight="false" outlineLevel="0" collapsed="false">
      <c r="B2900" s="7" t="s">
        <v>17545</v>
      </c>
      <c r="C2900" s="7" t="s">
        <v>3397</v>
      </c>
      <c r="D2900" s="7" t="s">
        <v>343</v>
      </c>
      <c r="E2900" s="7" t="s">
        <v>154</v>
      </c>
      <c r="F2900" s="39" t="n">
        <v>45803</v>
      </c>
      <c r="G2900" s="41" t="n">
        <v>108.92</v>
      </c>
      <c r="H2900" s="39" t="n">
        <v>45921</v>
      </c>
      <c r="I2900" s="7" t="s">
        <v>14651</v>
      </c>
      <c r="J2900" s="8" t="str">
        <f aca="false">IF(I2900="Open",DATE(2025,12,31)-F2900,"-")</f>
        <v>-</v>
      </c>
    </row>
    <row r="2901" customFormat="false" ht="15" hidden="false" customHeight="false" outlineLevel="0" collapsed="false">
      <c r="B2901" s="7" t="s">
        <v>17546</v>
      </c>
      <c r="C2901" s="7" t="s">
        <v>3398</v>
      </c>
      <c r="D2901" s="7" t="s">
        <v>351</v>
      </c>
      <c r="E2901" s="7" t="s">
        <v>154</v>
      </c>
      <c r="F2901" s="39" t="n">
        <v>45803</v>
      </c>
      <c r="G2901" s="41" t="n">
        <v>85.86</v>
      </c>
      <c r="H2901" s="39" t="n">
        <v>45844</v>
      </c>
      <c r="I2901" s="7" t="s">
        <v>14651</v>
      </c>
      <c r="J2901" s="8" t="str">
        <f aca="false">IF(I2901="Open",DATE(2025,12,31)-F2901,"-")</f>
        <v>-</v>
      </c>
    </row>
    <row r="2902" customFormat="false" ht="15" hidden="false" customHeight="false" outlineLevel="0" collapsed="false">
      <c r="B2902" s="7" t="s">
        <v>17547</v>
      </c>
      <c r="C2902" s="7" t="s">
        <v>3399</v>
      </c>
      <c r="D2902" s="7" t="s">
        <v>353</v>
      </c>
      <c r="E2902" s="7" t="s">
        <v>154</v>
      </c>
      <c r="F2902" s="39" t="n">
        <v>45803</v>
      </c>
      <c r="G2902" s="41" t="n">
        <v>83.74</v>
      </c>
      <c r="H2902" s="39" t="n">
        <v>45864</v>
      </c>
      <c r="I2902" s="7" t="s">
        <v>14651</v>
      </c>
      <c r="J2902" s="8" t="str">
        <f aca="false">IF(I2902="Open",DATE(2025,12,31)-F2902,"-")</f>
        <v>-</v>
      </c>
    </row>
    <row r="2903" customFormat="false" ht="15" hidden="false" customHeight="false" outlineLevel="0" collapsed="false">
      <c r="B2903" s="7" t="s">
        <v>17548</v>
      </c>
      <c r="C2903" s="7" t="s">
        <v>3400</v>
      </c>
      <c r="D2903" s="7" t="s">
        <v>355</v>
      </c>
      <c r="E2903" s="7" t="s">
        <v>154</v>
      </c>
      <c r="F2903" s="39" t="n">
        <v>45803</v>
      </c>
      <c r="G2903" s="41" t="n">
        <v>93.02</v>
      </c>
      <c r="H2903" s="39" t="n">
        <v>45865</v>
      </c>
      <c r="I2903" s="7" t="s">
        <v>14651</v>
      </c>
      <c r="J2903" s="8" t="str">
        <f aca="false">IF(I2903="Open",DATE(2025,12,31)-F2903,"-")</f>
        <v>-</v>
      </c>
    </row>
    <row r="2904" customFormat="false" ht="15" hidden="false" customHeight="false" outlineLevel="0" collapsed="false">
      <c r="B2904" s="7" t="s">
        <v>17549</v>
      </c>
      <c r="C2904" s="7" t="s">
        <v>3401</v>
      </c>
      <c r="D2904" s="7" t="s">
        <v>357</v>
      </c>
      <c r="E2904" s="7" t="s">
        <v>154</v>
      </c>
      <c r="F2904" s="39" t="n">
        <v>45803</v>
      </c>
      <c r="G2904" s="41" t="n">
        <v>95.93</v>
      </c>
      <c r="H2904" s="39" t="n">
        <v>45841</v>
      </c>
      <c r="I2904" s="7" t="s">
        <v>14651</v>
      </c>
      <c r="J2904" s="8" t="str">
        <f aca="false">IF(I2904="Open",DATE(2025,12,31)-F2904,"-")</f>
        <v>-</v>
      </c>
    </row>
    <row r="2905" customFormat="false" ht="15" hidden="false" customHeight="false" outlineLevel="0" collapsed="false">
      <c r="B2905" s="7" t="s">
        <v>17550</v>
      </c>
      <c r="C2905" s="7" t="s">
        <v>3402</v>
      </c>
      <c r="D2905" s="7" t="s">
        <v>359</v>
      </c>
      <c r="E2905" s="7" t="s">
        <v>156</v>
      </c>
      <c r="F2905" s="39" t="n">
        <v>45803</v>
      </c>
      <c r="G2905" s="41" t="n">
        <v>138.04</v>
      </c>
      <c r="H2905" s="39" t="n">
        <v>45810</v>
      </c>
      <c r="I2905" s="7" t="s">
        <v>14651</v>
      </c>
      <c r="J2905" s="8" t="str">
        <f aca="false">IF(I2905="Open",DATE(2025,12,31)-F2905,"-")</f>
        <v>-</v>
      </c>
    </row>
    <row r="2906" customFormat="false" ht="15" hidden="false" customHeight="false" outlineLevel="0" collapsed="false">
      <c r="B2906" s="7" t="s">
        <v>17551</v>
      </c>
      <c r="C2906" s="7" t="s">
        <v>3403</v>
      </c>
      <c r="D2906" s="7" t="s">
        <v>363</v>
      </c>
      <c r="E2906" s="7" t="s">
        <v>156</v>
      </c>
      <c r="F2906" s="39" t="n">
        <v>45803</v>
      </c>
      <c r="G2906" s="41" t="n">
        <v>138.72</v>
      </c>
      <c r="H2906" s="39" t="n">
        <v>45812</v>
      </c>
      <c r="I2906" s="7" t="s">
        <v>14651</v>
      </c>
      <c r="J2906" s="8" t="str">
        <f aca="false">IF(I2906="Open",DATE(2025,12,31)-F2906,"-")</f>
        <v>-</v>
      </c>
    </row>
    <row r="2907" customFormat="false" ht="15" hidden="false" customHeight="false" outlineLevel="0" collapsed="false">
      <c r="B2907" s="7" t="s">
        <v>17552</v>
      </c>
      <c r="C2907" s="7" t="s">
        <v>3404</v>
      </c>
      <c r="D2907" s="7" t="s">
        <v>365</v>
      </c>
      <c r="E2907" s="7" t="s">
        <v>154</v>
      </c>
      <c r="F2907" s="39" t="n">
        <v>45803</v>
      </c>
      <c r="G2907" s="41" t="n">
        <v>114.48</v>
      </c>
      <c r="H2907" s="39" t="n">
        <v>45842</v>
      </c>
      <c r="I2907" s="7" t="s">
        <v>14651</v>
      </c>
      <c r="J2907" s="8" t="str">
        <f aca="false">IF(I2907="Open",DATE(2025,12,31)-F2907,"-")</f>
        <v>-</v>
      </c>
    </row>
    <row r="2908" customFormat="false" ht="15" hidden="false" customHeight="false" outlineLevel="0" collapsed="false">
      <c r="B2908" s="7" t="s">
        <v>17553</v>
      </c>
      <c r="C2908" s="7" t="s">
        <v>3405</v>
      </c>
      <c r="D2908" s="7" t="s">
        <v>371</v>
      </c>
      <c r="E2908" s="7" t="s">
        <v>154</v>
      </c>
      <c r="F2908" s="39" t="n">
        <v>45803</v>
      </c>
      <c r="G2908" s="41" t="n">
        <v>120.31</v>
      </c>
      <c r="H2908" s="39" t="n">
        <v>45823</v>
      </c>
      <c r="I2908" s="7" t="s">
        <v>14651</v>
      </c>
      <c r="J2908" s="8" t="str">
        <f aca="false">IF(I2908="Open",DATE(2025,12,31)-F2908,"-")</f>
        <v>-</v>
      </c>
    </row>
    <row r="2909" customFormat="false" ht="15" hidden="false" customHeight="false" outlineLevel="0" collapsed="false">
      <c r="B2909" s="7" t="s">
        <v>17554</v>
      </c>
      <c r="C2909" s="7" t="s">
        <v>3406</v>
      </c>
      <c r="D2909" s="7" t="s">
        <v>377</v>
      </c>
      <c r="E2909" s="7" t="s">
        <v>154</v>
      </c>
      <c r="F2909" s="39" t="n">
        <v>45803</v>
      </c>
      <c r="G2909" s="41" t="n">
        <v>105.73</v>
      </c>
      <c r="H2909" s="39" t="n">
        <v>45907</v>
      </c>
      <c r="I2909" s="7" t="s">
        <v>14651</v>
      </c>
      <c r="J2909" s="8" t="str">
        <f aca="false">IF(I2909="Open",DATE(2025,12,31)-F2909,"-")</f>
        <v>-</v>
      </c>
    </row>
    <row r="2910" customFormat="false" ht="15" hidden="false" customHeight="false" outlineLevel="0" collapsed="false">
      <c r="B2910" s="7" t="s">
        <v>17555</v>
      </c>
      <c r="C2910" s="7" t="s">
        <v>3407</v>
      </c>
      <c r="D2910" s="7" t="s">
        <v>379</v>
      </c>
      <c r="E2910" s="7" t="s">
        <v>156</v>
      </c>
      <c r="F2910" s="39" t="n">
        <v>45803</v>
      </c>
      <c r="G2910" s="41" t="n">
        <v>156.06</v>
      </c>
      <c r="H2910" s="39" t="n">
        <v>45812</v>
      </c>
      <c r="I2910" s="7" t="s">
        <v>14651</v>
      </c>
      <c r="J2910" s="8" t="str">
        <f aca="false">IF(I2910="Open",DATE(2025,12,31)-F2910,"-")</f>
        <v>-</v>
      </c>
    </row>
    <row r="2911" customFormat="false" ht="15" hidden="false" customHeight="false" outlineLevel="0" collapsed="false">
      <c r="B2911" s="7" t="s">
        <v>17556</v>
      </c>
      <c r="C2911" s="7" t="s">
        <v>3408</v>
      </c>
      <c r="D2911" s="7" t="s">
        <v>385</v>
      </c>
      <c r="E2911" s="7" t="s">
        <v>156</v>
      </c>
      <c r="F2911" s="39" t="n">
        <v>45803</v>
      </c>
      <c r="G2911" s="41" t="n">
        <v>134.64</v>
      </c>
      <c r="H2911" s="39" t="n">
        <v>45805</v>
      </c>
      <c r="I2911" s="7" t="s">
        <v>14651</v>
      </c>
      <c r="J2911" s="8" t="str">
        <f aca="false">IF(I2911="Open",DATE(2025,12,31)-F2911,"-")</f>
        <v>-</v>
      </c>
    </row>
    <row r="2912" customFormat="false" ht="15" hidden="false" customHeight="false" outlineLevel="0" collapsed="false">
      <c r="B2912" s="7" t="s">
        <v>17557</v>
      </c>
      <c r="C2912" s="7" t="s">
        <v>3409</v>
      </c>
      <c r="D2912" s="7" t="s">
        <v>389</v>
      </c>
      <c r="E2912" s="7" t="s">
        <v>154</v>
      </c>
      <c r="F2912" s="39" t="n">
        <v>45803</v>
      </c>
      <c r="G2912" s="41" t="n">
        <v>114.48</v>
      </c>
      <c r="H2912" s="39" t="n">
        <v>45824</v>
      </c>
      <c r="I2912" s="7" t="s">
        <v>14651</v>
      </c>
      <c r="J2912" s="8" t="str">
        <f aca="false">IF(I2912="Open",DATE(2025,12,31)-F2912,"-")</f>
        <v>-</v>
      </c>
    </row>
    <row r="2913" customFormat="false" ht="15" hidden="false" customHeight="false" outlineLevel="0" collapsed="false">
      <c r="B2913" s="7" t="s">
        <v>17558</v>
      </c>
      <c r="C2913" s="7" t="s">
        <v>3410</v>
      </c>
      <c r="D2913" s="7" t="s">
        <v>391</v>
      </c>
      <c r="E2913" s="7" t="s">
        <v>156</v>
      </c>
      <c r="F2913" s="39" t="n">
        <v>45803</v>
      </c>
      <c r="G2913" s="41" t="n">
        <v>145.52</v>
      </c>
      <c r="H2913" s="39" t="n">
        <v>45804</v>
      </c>
      <c r="I2913" s="7" t="s">
        <v>14651</v>
      </c>
      <c r="J2913" s="8" t="str">
        <f aca="false">IF(I2913="Open",DATE(2025,12,31)-F2913,"-")</f>
        <v>-</v>
      </c>
    </row>
    <row r="2914" customFormat="false" ht="15" hidden="false" customHeight="false" outlineLevel="0" collapsed="false">
      <c r="B2914" s="7" t="s">
        <v>17559</v>
      </c>
      <c r="C2914" s="7" t="s">
        <v>3411</v>
      </c>
      <c r="D2914" s="7" t="s">
        <v>395</v>
      </c>
      <c r="E2914" s="7" t="s">
        <v>156</v>
      </c>
      <c r="F2914" s="39" t="n">
        <v>45803</v>
      </c>
      <c r="G2914" s="41" t="n">
        <v>131.92</v>
      </c>
      <c r="H2914" s="39" t="n">
        <v>45809</v>
      </c>
      <c r="I2914" s="7" t="s">
        <v>14651</v>
      </c>
      <c r="J2914" s="8" t="str">
        <f aca="false">IF(I2914="Open",DATE(2025,12,31)-F2914,"-")</f>
        <v>-</v>
      </c>
    </row>
    <row r="2915" customFormat="false" ht="15" hidden="false" customHeight="false" outlineLevel="0" collapsed="false">
      <c r="B2915" s="7" t="s">
        <v>17560</v>
      </c>
      <c r="C2915" s="7" t="s">
        <v>3412</v>
      </c>
      <c r="D2915" s="7" t="s">
        <v>399</v>
      </c>
      <c r="E2915" s="7" t="s">
        <v>154</v>
      </c>
      <c r="F2915" s="39" t="n">
        <v>45803</v>
      </c>
      <c r="G2915" s="41" t="n">
        <v>79.5</v>
      </c>
      <c r="H2915" s="39" t="n">
        <v>45867</v>
      </c>
      <c r="I2915" s="7" t="s">
        <v>14651</v>
      </c>
      <c r="J2915" s="8" t="str">
        <f aca="false">IF(I2915="Open",DATE(2025,12,31)-F2915,"-")</f>
        <v>-</v>
      </c>
    </row>
    <row r="2916" customFormat="false" ht="15" hidden="false" customHeight="false" outlineLevel="0" collapsed="false">
      <c r="B2916" s="7" t="s">
        <v>17561</v>
      </c>
      <c r="C2916" s="7" t="s">
        <v>3413</v>
      </c>
      <c r="D2916" s="7" t="s">
        <v>401</v>
      </c>
      <c r="E2916" s="7" t="s">
        <v>156</v>
      </c>
      <c r="F2916" s="39" t="n">
        <v>45803</v>
      </c>
      <c r="G2916" s="41" t="n">
        <v>127.5</v>
      </c>
      <c r="H2916" s="39" t="n">
        <v>45815</v>
      </c>
      <c r="I2916" s="7" t="s">
        <v>14651</v>
      </c>
      <c r="J2916" s="8" t="str">
        <f aca="false">IF(I2916="Open",DATE(2025,12,31)-F2916,"-")</f>
        <v>-</v>
      </c>
    </row>
    <row r="2917" customFormat="false" ht="15" hidden="false" customHeight="false" outlineLevel="0" collapsed="false">
      <c r="B2917" s="7" t="s">
        <v>17562</v>
      </c>
      <c r="C2917" s="7" t="s">
        <v>3414</v>
      </c>
      <c r="D2917" s="7" t="s">
        <v>409</v>
      </c>
      <c r="E2917" s="7" t="s">
        <v>154</v>
      </c>
      <c r="F2917" s="39" t="n">
        <v>45803</v>
      </c>
      <c r="G2917" s="41" t="n">
        <v>88.51</v>
      </c>
      <c r="H2917" s="39" t="n">
        <v>45893</v>
      </c>
      <c r="I2917" s="7" t="s">
        <v>14651</v>
      </c>
      <c r="J2917" s="8" t="str">
        <f aca="false">IF(I2917="Open",DATE(2025,12,31)-F2917,"-")</f>
        <v>-</v>
      </c>
    </row>
    <row r="2918" customFormat="false" ht="15" hidden="false" customHeight="false" outlineLevel="0" collapsed="false">
      <c r="B2918" s="7" t="s">
        <v>17563</v>
      </c>
      <c r="C2918" s="7" t="s">
        <v>3415</v>
      </c>
      <c r="D2918" s="7" t="s">
        <v>411</v>
      </c>
      <c r="E2918" s="7" t="s">
        <v>154</v>
      </c>
      <c r="F2918" s="39" t="n">
        <v>45803</v>
      </c>
      <c r="G2918" s="41" t="n">
        <v>114.21</v>
      </c>
      <c r="H2918" s="39" t="n">
        <v>45867</v>
      </c>
      <c r="I2918" s="7" t="s">
        <v>14651</v>
      </c>
      <c r="J2918" s="8" t="str">
        <f aca="false">IF(I2918="Open",DATE(2025,12,31)-F2918,"-")</f>
        <v>-</v>
      </c>
    </row>
    <row r="2919" customFormat="false" ht="15" hidden="false" customHeight="false" outlineLevel="0" collapsed="false">
      <c r="B2919" s="7" t="s">
        <v>17564</v>
      </c>
      <c r="C2919" s="7" t="s">
        <v>3416</v>
      </c>
      <c r="D2919" s="7" t="s">
        <v>288</v>
      </c>
      <c r="E2919" s="7" t="s">
        <v>156</v>
      </c>
      <c r="F2919" s="39" t="n">
        <v>45804</v>
      </c>
      <c r="G2919" s="41" t="n">
        <v>128.52</v>
      </c>
      <c r="H2919" s="39" t="n">
        <v>45816</v>
      </c>
      <c r="I2919" s="7" t="s">
        <v>14651</v>
      </c>
      <c r="J2919" s="8" t="str">
        <f aca="false">IF(I2919="Open",DATE(2025,12,31)-F2919,"-")</f>
        <v>-</v>
      </c>
    </row>
    <row r="2920" customFormat="false" ht="15" hidden="false" customHeight="false" outlineLevel="0" collapsed="false">
      <c r="B2920" s="7" t="s">
        <v>17565</v>
      </c>
      <c r="C2920" s="7" t="s">
        <v>3417</v>
      </c>
      <c r="D2920" s="7" t="s">
        <v>301</v>
      </c>
      <c r="E2920" s="7" t="s">
        <v>157</v>
      </c>
      <c r="F2920" s="39" t="n">
        <v>45804</v>
      </c>
      <c r="G2920" s="41" t="n">
        <v>156.75</v>
      </c>
      <c r="H2920" s="39" t="n">
        <v>45881</v>
      </c>
      <c r="I2920" s="7" t="s">
        <v>14651</v>
      </c>
      <c r="J2920" s="8" t="str">
        <f aca="false">IF(I2920="Open",DATE(2025,12,31)-F2920,"-")</f>
        <v>-</v>
      </c>
    </row>
    <row r="2921" customFormat="false" ht="15" hidden="false" customHeight="false" outlineLevel="0" collapsed="false">
      <c r="B2921" s="7" t="s">
        <v>17566</v>
      </c>
      <c r="C2921" s="7" t="s">
        <v>3418</v>
      </c>
      <c r="D2921" s="7" t="s">
        <v>313</v>
      </c>
      <c r="E2921" s="7" t="s">
        <v>156</v>
      </c>
      <c r="F2921" s="39" t="n">
        <v>45804</v>
      </c>
      <c r="G2921" s="41" t="n">
        <v>131.92</v>
      </c>
      <c r="H2921" s="39" t="n">
        <v>45816</v>
      </c>
      <c r="I2921" s="7" t="s">
        <v>14651</v>
      </c>
      <c r="J2921" s="8" t="str">
        <f aca="false">IF(I2921="Open",DATE(2025,12,31)-F2921,"-")</f>
        <v>-</v>
      </c>
    </row>
    <row r="2922" customFormat="false" ht="15" hidden="false" customHeight="false" outlineLevel="0" collapsed="false">
      <c r="B2922" s="7" t="s">
        <v>17567</v>
      </c>
      <c r="C2922" s="7" t="s">
        <v>3419</v>
      </c>
      <c r="D2922" s="7" t="s">
        <v>319</v>
      </c>
      <c r="E2922" s="7" t="s">
        <v>157</v>
      </c>
      <c r="F2922" s="39" t="n">
        <v>45804</v>
      </c>
      <c r="G2922" s="41" t="n">
        <v>173.25</v>
      </c>
      <c r="H2922" s="39" t="n">
        <v>45850</v>
      </c>
      <c r="I2922" s="7" t="s">
        <v>14651</v>
      </c>
      <c r="J2922" s="8" t="str">
        <f aca="false">IF(I2922="Open",DATE(2025,12,31)-F2922,"-")</f>
        <v>-</v>
      </c>
    </row>
    <row r="2923" customFormat="false" ht="15" hidden="false" customHeight="false" outlineLevel="0" collapsed="false">
      <c r="B2923" s="7" t="s">
        <v>17568</v>
      </c>
      <c r="C2923" s="7" t="s">
        <v>3420</v>
      </c>
      <c r="D2923" s="7" t="s">
        <v>321</v>
      </c>
      <c r="E2923" s="7" t="s">
        <v>154</v>
      </c>
      <c r="F2923" s="39" t="n">
        <v>45804</v>
      </c>
      <c r="G2923" s="41" t="n">
        <v>103.88</v>
      </c>
      <c r="H2923" s="39" t="n">
        <v>45845</v>
      </c>
      <c r="I2923" s="7" t="s">
        <v>14651</v>
      </c>
      <c r="J2923" s="8" t="str">
        <f aca="false">IF(I2923="Open",DATE(2025,12,31)-F2923,"-")</f>
        <v>-</v>
      </c>
    </row>
    <row r="2924" customFormat="false" ht="15" hidden="false" customHeight="false" outlineLevel="0" collapsed="false">
      <c r="B2924" s="7" t="s">
        <v>17569</v>
      </c>
      <c r="C2924" s="7" t="s">
        <v>3421</v>
      </c>
      <c r="D2924" s="7" t="s">
        <v>323</v>
      </c>
      <c r="E2924" s="7" t="s">
        <v>159</v>
      </c>
      <c r="F2924" s="39" t="n">
        <v>45804</v>
      </c>
      <c r="G2924" s="41" t="n">
        <v>140.4</v>
      </c>
      <c r="H2924" s="39" t="n">
        <v>45855</v>
      </c>
      <c r="I2924" s="7" t="s">
        <v>14651</v>
      </c>
      <c r="J2924" s="8" t="str">
        <f aca="false">IF(I2924="Open",DATE(2025,12,31)-F2924,"-")</f>
        <v>-</v>
      </c>
    </row>
    <row r="2925" customFormat="false" ht="15" hidden="false" customHeight="false" outlineLevel="0" collapsed="false">
      <c r="B2925" s="7" t="s">
        <v>17570</v>
      </c>
      <c r="C2925" s="7" t="s">
        <v>3422</v>
      </c>
      <c r="D2925" s="7" t="s">
        <v>327</v>
      </c>
      <c r="E2925" s="7" t="s">
        <v>157</v>
      </c>
      <c r="F2925" s="39" t="n">
        <v>45804</v>
      </c>
      <c r="G2925" s="41" t="n">
        <v>161.7</v>
      </c>
      <c r="H2925" s="39" t="n">
        <v>45837</v>
      </c>
      <c r="I2925" s="7" t="s">
        <v>14651</v>
      </c>
      <c r="J2925" s="8" t="str">
        <f aca="false">IF(I2925="Open",DATE(2025,12,31)-F2925,"-")</f>
        <v>-</v>
      </c>
    </row>
    <row r="2926" customFormat="false" ht="15" hidden="false" customHeight="false" outlineLevel="0" collapsed="false">
      <c r="B2926" s="7" t="s">
        <v>17571</v>
      </c>
      <c r="C2926" s="7" t="s">
        <v>3423</v>
      </c>
      <c r="D2926" s="7" t="s">
        <v>329</v>
      </c>
      <c r="E2926" s="7" t="s">
        <v>156</v>
      </c>
      <c r="F2926" s="39" t="n">
        <v>45804</v>
      </c>
      <c r="G2926" s="41" t="n">
        <v>130.9</v>
      </c>
      <c r="H2926" s="39" t="n">
        <v>45811</v>
      </c>
      <c r="I2926" s="7" t="s">
        <v>14651</v>
      </c>
      <c r="J2926" s="8" t="str">
        <f aca="false">IF(I2926="Open",DATE(2025,12,31)-F2926,"-")</f>
        <v>-</v>
      </c>
    </row>
    <row r="2927" customFormat="false" ht="15" hidden="false" customHeight="false" outlineLevel="0" collapsed="false">
      <c r="B2927" s="7" t="s">
        <v>17572</v>
      </c>
      <c r="C2927" s="7" t="s">
        <v>3424</v>
      </c>
      <c r="D2927" s="7" t="s">
        <v>359</v>
      </c>
      <c r="E2927" s="7" t="s">
        <v>156</v>
      </c>
      <c r="F2927" s="39" t="n">
        <v>45804</v>
      </c>
      <c r="G2927" s="41" t="n">
        <v>135.66</v>
      </c>
      <c r="H2927" s="39" t="n">
        <v>45825</v>
      </c>
      <c r="I2927" s="7" t="s">
        <v>14651</v>
      </c>
      <c r="J2927" s="8" t="str">
        <f aca="false">IF(I2927="Open",DATE(2025,12,31)-F2927,"-")</f>
        <v>-</v>
      </c>
    </row>
    <row r="2928" customFormat="false" ht="15" hidden="false" customHeight="false" outlineLevel="0" collapsed="false">
      <c r="B2928" s="7" t="s">
        <v>17573</v>
      </c>
      <c r="C2928" s="7" t="s">
        <v>3425</v>
      </c>
      <c r="D2928" s="7" t="s">
        <v>361</v>
      </c>
      <c r="E2928" s="7" t="s">
        <v>157</v>
      </c>
      <c r="F2928" s="39" t="n">
        <v>45804</v>
      </c>
      <c r="G2928" s="41" t="n">
        <v>173.25</v>
      </c>
      <c r="H2928" s="39" t="n">
        <v>45890</v>
      </c>
      <c r="I2928" s="7" t="s">
        <v>14651</v>
      </c>
      <c r="J2928" s="8" t="str">
        <f aca="false">IF(I2928="Open",DATE(2025,12,31)-F2928,"-")</f>
        <v>-</v>
      </c>
    </row>
    <row r="2929" customFormat="false" ht="15" hidden="false" customHeight="false" outlineLevel="0" collapsed="false">
      <c r="B2929" s="7" t="s">
        <v>17574</v>
      </c>
      <c r="C2929" s="7" t="s">
        <v>3426</v>
      </c>
      <c r="D2929" s="7" t="s">
        <v>365</v>
      </c>
      <c r="E2929" s="7" t="s">
        <v>154</v>
      </c>
      <c r="F2929" s="39" t="n">
        <v>45804</v>
      </c>
      <c r="G2929" s="41" t="n">
        <v>108.38</v>
      </c>
      <c r="H2929" s="39" t="n">
        <v>45861</v>
      </c>
      <c r="I2929" s="7" t="s">
        <v>14651</v>
      </c>
      <c r="J2929" s="8" t="str">
        <f aca="false">IF(I2929="Open",DATE(2025,12,31)-F2929,"-")</f>
        <v>-</v>
      </c>
    </row>
    <row r="2930" customFormat="false" ht="15" hidden="false" customHeight="false" outlineLevel="0" collapsed="false">
      <c r="B2930" s="7" t="s">
        <v>17575</v>
      </c>
      <c r="C2930" s="7" t="s">
        <v>3427</v>
      </c>
      <c r="D2930" s="7" t="s">
        <v>381</v>
      </c>
      <c r="E2930" s="7" t="s">
        <v>157</v>
      </c>
      <c r="F2930" s="39" t="n">
        <v>45804</v>
      </c>
      <c r="G2930" s="41" t="n">
        <v>151.97</v>
      </c>
      <c r="H2930" s="39" t="n">
        <v>45817</v>
      </c>
      <c r="I2930" s="7" t="s">
        <v>14651</v>
      </c>
      <c r="J2930" s="8" t="str">
        <f aca="false">IF(I2930="Open",DATE(2025,12,31)-F2930,"-")</f>
        <v>-</v>
      </c>
    </row>
    <row r="2931" customFormat="false" ht="15" hidden="false" customHeight="false" outlineLevel="0" collapsed="false">
      <c r="B2931" s="7" t="s">
        <v>17576</v>
      </c>
      <c r="C2931" s="7" t="s">
        <v>3428</v>
      </c>
      <c r="D2931" s="7" t="s">
        <v>389</v>
      </c>
      <c r="E2931" s="7" t="s">
        <v>154</v>
      </c>
      <c r="F2931" s="39" t="n">
        <v>45804</v>
      </c>
      <c r="G2931" s="41" t="n">
        <v>98.84</v>
      </c>
      <c r="H2931" s="39" t="n">
        <v>45886</v>
      </c>
      <c r="I2931" s="7" t="s">
        <v>14651</v>
      </c>
      <c r="J2931" s="8" t="str">
        <f aca="false">IF(I2931="Open",DATE(2025,12,31)-F2931,"-")</f>
        <v>-</v>
      </c>
    </row>
    <row r="2932" customFormat="false" ht="15" hidden="false" customHeight="false" outlineLevel="0" collapsed="false">
      <c r="B2932" s="7" t="s">
        <v>17577</v>
      </c>
      <c r="C2932" s="7" t="s">
        <v>3429</v>
      </c>
      <c r="D2932" s="7" t="s">
        <v>391</v>
      </c>
      <c r="E2932" s="7" t="s">
        <v>156</v>
      </c>
      <c r="F2932" s="39" t="n">
        <v>45804</v>
      </c>
      <c r="G2932" s="41" t="n">
        <v>138.38</v>
      </c>
      <c r="H2932" s="39" t="n">
        <v>45817</v>
      </c>
      <c r="I2932" s="7" t="s">
        <v>14651</v>
      </c>
      <c r="J2932" s="8" t="str">
        <f aca="false">IF(I2932="Open",DATE(2025,12,31)-F2932,"-")</f>
        <v>-</v>
      </c>
    </row>
    <row r="2933" customFormat="false" ht="15" hidden="false" customHeight="false" outlineLevel="0" collapsed="false">
      <c r="B2933" s="7" t="s">
        <v>17578</v>
      </c>
      <c r="C2933" s="7" t="s">
        <v>3430</v>
      </c>
      <c r="D2933" s="7" t="s">
        <v>395</v>
      </c>
      <c r="E2933" s="7" t="s">
        <v>156</v>
      </c>
      <c r="F2933" s="39" t="n">
        <v>45804</v>
      </c>
      <c r="G2933" s="41" t="n">
        <v>140.08</v>
      </c>
      <c r="H2933" s="39" t="n">
        <v>45815</v>
      </c>
      <c r="I2933" s="7" t="s">
        <v>14651</v>
      </c>
      <c r="J2933" s="8" t="str">
        <f aca="false">IF(I2933="Open",DATE(2025,12,31)-F2933,"-")</f>
        <v>-</v>
      </c>
    </row>
    <row r="2934" customFormat="false" ht="15" hidden="false" customHeight="false" outlineLevel="0" collapsed="false">
      <c r="B2934" s="7" t="s">
        <v>17579</v>
      </c>
      <c r="C2934" s="7" t="s">
        <v>3431</v>
      </c>
      <c r="D2934" s="7" t="s">
        <v>397</v>
      </c>
      <c r="E2934" s="7" t="s">
        <v>159</v>
      </c>
      <c r="F2934" s="39" t="n">
        <v>45804</v>
      </c>
      <c r="G2934" s="41" t="n">
        <v>122.85</v>
      </c>
      <c r="H2934" s="39" t="n">
        <v>45906</v>
      </c>
      <c r="I2934" s="7" t="s">
        <v>14651</v>
      </c>
      <c r="J2934" s="8" t="str">
        <f aca="false">IF(I2934="Open",DATE(2025,12,31)-F2934,"-")</f>
        <v>-</v>
      </c>
    </row>
    <row r="2935" customFormat="false" ht="15" hidden="false" customHeight="false" outlineLevel="0" collapsed="false">
      <c r="B2935" s="7" t="s">
        <v>17580</v>
      </c>
      <c r="C2935" s="7" t="s">
        <v>3432</v>
      </c>
      <c r="D2935" s="7" t="s">
        <v>401</v>
      </c>
      <c r="E2935" s="7" t="s">
        <v>156</v>
      </c>
      <c r="F2935" s="39" t="n">
        <v>45804</v>
      </c>
      <c r="G2935" s="41" t="n">
        <v>143.82</v>
      </c>
      <c r="H2935" s="39" t="n">
        <v>45816</v>
      </c>
      <c r="I2935" s="7" t="s">
        <v>14651</v>
      </c>
      <c r="J2935" s="8" t="str">
        <f aca="false">IF(I2935="Open",DATE(2025,12,31)-F2935,"-")</f>
        <v>-</v>
      </c>
    </row>
    <row r="2936" customFormat="false" ht="15" hidden="false" customHeight="false" outlineLevel="0" collapsed="false">
      <c r="B2936" s="7" t="s">
        <v>17581</v>
      </c>
      <c r="C2936" s="7" t="s">
        <v>3433</v>
      </c>
      <c r="D2936" s="7" t="s">
        <v>407</v>
      </c>
      <c r="E2936" s="7" t="s">
        <v>159</v>
      </c>
      <c r="F2936" s="39" t="n">
        <v>45804</v>
      </c>
      <c r="G2936" s="41" t="n">
        <v>139.05</v>
      </c>
      <c r="H2936" s="39" t="n">
        <v>45909</v>
      </c>
      <c r="I2936" s="7" t="s">
        <v>14651</v>
      </c>
      <c r="J2936" s="8" t="str">
        <f aca="false">IF(I2936="Open",DATE(2025,12,31)-F2936,"-")</f>
        <v>-</v>
      </c>
    </row>
    <row r="2937" customFormat="false" ht="15" hidden="false" customHeight="false" outlineLevel="0" collapsed="false">
      <c r="B2937" s="7" t="s">
        <v>17582</v>
      </c>
      <c r="C2937" s="7" t="s">
        <v>3434</v>
      </c>
      <c r="D2937" s="7" t="s">
        <v>280</v>
      </c>
      <c r="E2937" s="7" t="s">
        <v>157</v>
      </c>
      <c r="F2937" s="39" t="n">
        <v>45805</v>
      </c>
      <c r="G2937" s="41" t="n">
        <v>144.21</v>
      </c>
      <c r="H2937" s="39" t="n">
        <v>45884</v>
      </c>
      <c r="I2937" s="7" t="s">
        <v>14651</v>
      </c>
      <c r="J2937" s="8" t="str">
        <f aca="false">IF(I2937="Open",DATE(2025,12,31)-F2937,"-")</f>
        <v>-</v>
      </c>
    </row>
    <row r="2938" customFormat="false" ht="15" hidden="false" customHeight="false" outlineLevel="0" collapsed="false">
      <c r="B2938" s="7" t="s">
        <v>17583</v>
      </c>
      <c r="C2938" s="7" t="s">
        <v>3435</v>
      </c>
      <c r="D2938" s="7" t="s">
        <v>286</v>
      </c>
      <c r="E2938" s="7" t="s">
        <v>157</v>
      </c>
      <c r="F2938" s="39" t="n">
        <v>45805</v>
      </c>
      <c r="G2938" s="41" t="n">
        <v>160.05</v>
      </c>
      <c r="H2938" s="39" t="n">
        <v>45855</v>
      </c>
      <c r="I2938" s="7" t="s">
        <v>14651</v>
      </c>
      <c r="J2938" s="8" t="str">
        <f aca="false">IF(I2938="Open",DATE(2025,12,31)-F2938,"-")</f>
        <v>-</v>
      </c>
    </row>
    <row r="2939" customFormat="false" ht="15" hidden="false" customHeight="false" outlineLevel="0" collapsed="false">
      <c r="B2939" s="7" t="s">
        <v>17584</v>
      </c>
      <c r="C2939" s="7" t="s">
        <v>3436</v>
      </c>
      <c r="D2939" s="7" t="s">
        <v>288</v>
      </c>
      <c r="E2939" s="7" t="s">
        <v>156</v>
      </c>
      <c r="F2939" s="39" t="n">
        <v>45805</v>
      </c>
      <c r="G2939" s="41" t="n">
        <v>146.88</v>
      </c>
      <c r="H2939" s="39" t="n">
        <v>45820</v>
      </c>
      <c r="I2939" s="7" t="s">
        <v>14651</v>
      </c>
      <c r="J2939" s="8" t="str">
        <f aca="false">IF(I2939="Open",DATE(2025,12,31)-F2939,"-")</f>
        <v>-</v>
      </c>
    </row>
    <row r="2940" customFormat="false" ht="15" hidden="false" customHeight="false" outlineLevel="0" collapsed="false">
      <c r="B2940" s="7" t="s">
        <v>17585</v>
      </c>
      <c r="C2940" s="7" t="s">
        <v>3437</v>
      </c>
      <c r="D2940" s="7" t="s">
        <v>291</v>
      </c>
      <c r="E2940" s="7" t="s">
        <v>154</v>
      </c>
      <c r="F2940" s="39" t="n">
        <v>45805</v>
      </c>
      <c r="G2940" s="41" t="n">
        <v>122.35</v>
      </c>
      <c r="H2940" s="39" t="n">
        <v>45858</v>
      </c>
      <c r="I2940" s="7" t="s">
        <v>14651</v>
      </c>
      <c r="J2940" s="8" t="str">
        <f aca="false">IF(I2940="Open",DATE(2025,12,31)-F2940,"-")</f>
        <v>-</v>
      </c>
    </row>
    <row r="2941" customFormat="false" ht="15" hidden="false" customHeight="false" outlineLevel="0" collapsed="false">
      <c r="B2941" s="7" t="s">
        <v>17586</v>
      </c>
      <c r="C2941" s="7" t="s">
        <v>3438</v>
      </c>
      <c r="D2941" s="7" t="s">
        <v>305</v>
      </c>
      <c r="E2941" s="7" t="s">
        <v>154</v>
      </c>
      <c r="F2941" s="39" t="n">
        <v>45805</v>
      </c>
      <c r="G2941" s="41" t="n">
        <v>101.23</v>
      </c>
      <c r="H2941" s="39" t="n">
        <v>45906</v>
      </c>
      <c r="I2941" s="7" t="s">
        <v>14651</v>
      </c>
      <c r="J2941" s="8" t="str">
        <f aca="false">IF(I2941="Open",DATE(2025,12,31)-F2941,"-")</f>
        <v>-</v>
      </c>
    </row>
    <row r="2942" customFormat="false" ht="15" hidden="false" customHeight="false" outlineLevel="0" collapsed="false">
      <c r="B2942" s="7" t="s">
        <v>17587</v>
      </c>
      <c r="C2942" s="7" t="s">
        <v>3439</v>
      </c>
      <c r="D2942" s="7" t="s">
        <v>307</v>
      </c>
      <c r="E2942" s="7" t="s">
        <v>157</v>
      </c>
      <c r="F2942" s="39" t="n">
        <v>45805</v>
      </c>
      <c r="G2942" s="41" t="n">
        <v>176.55</v>
      </c>
      <c r="H2942" s="39" t="n">
        <v>45843</v>
      </c>
      <c r="I2942" s="7" t="s">
        <v>14651</v>
      </c>
      <c r="J2942" s="8" t="str">
        <f aca="false">IF(I2942="Open",DATE(2025,12,31)-F2942,"-")</f>
        <v>-</v>
      </c>
    </row>
    <row r="2943" customFormat="false" ht="15" hidden="false" customHeight="false" outlineLevel="0" collapsed="false">
      <c r="B2943" s="7" t="s">
        <v>17588</v>
      </c>
      <c r="C2943" s="7" t="s">
        <v>3440</v>
      </c>
      <c r="D2943" s="7" t="s">
        <v>309</v>
      </c>
      <c r="E2943" s="7" t="s">
        <v>159</v>
      </c>
      <c r="F2943" s="39" t="n">
        <v>45805</v>
      </c>
      <c r="G2943" s="41" t="n">
        <v>132.3</v>
      </c>
      <c r="H2943" s="39" t="n">
        <v>45859</v>
      </c>
      <c r="I2943" s="7" t="s">
        <v>14651</v>
      </c>
      <c r="J2943" s="8" t="str">
        <f aca="false">IF(I2943="Open",DATE(2025,12,31)-F2943,"-")</f>
        <v>-</v>
      </c>
    </row>
    <row r="2944" customFormat="false" ht="15" hidden="false" customHeight="false" outlineLevel="0" collapsed="false">
      <c r="B2944" s="7" t="s">
        <v>17589</v>
      </c>
      <c r="C2944" s="7" t="s">
        <v>3441</v>
      </c>
      <c r="D2944" s="7" t="s">
        <v>313</v>
      </c>
      <c r="E2944" s="7" t="s">
        <v>156</v>
      </c>
      <c r="F2944" s="39" t="n">
        <v>45805</v>
      </c>
      <c r="G2944" s="41" t="n">
        <v>131.24</v>
      </c>
      <c r="H2944" s="39" t="n">
        <v>45811</v>
      </c>
      <c r="I2944" s="7" t="s">
        <v>14651</v>
      </c>
      <c r="J2944" s="8" t="str">
        <f aca="false">IF(I2944="Open",DATE(2025,12,31)-F2944,"-")</f>
        <v>-</v>
      </c>
    </row>
    <row r="2945" customFormat="false" ht="15" hidden="false" customHeight="false" outlineLevel="0" collapsed="false">
      <c r="B2945" s="7" t="s">
        <v>17590</v>
      </c>
      <c r="C2945" s="7" t="s">
        <v>3442</v>
      </c>
      <c r="D2945" s="7" t="s">
        <v>321</v>
      </c>
      <c r="E2945" s="7" t="s">
        <v>154</v>
      </c>
      <c r="F2945" s="39" t="n">
        <v>45805</v>
      </c>
      <c r="G2945" s="41" t="n">
        <v>106</v>
      </c>
      <c r="H2945" s="39" t="n">
        <v>45860</v>
      </c>
      <c r="I2945" s="7" t="s">
        <v>14651</v>
      </c>
      <c r="J2945" s="8" t="str">
        <f aca="false">IF(I2945="Open",DATE(2025,12,31)-F2945,"-")</f>
        <v>-</v>
      </c>
    </row>
    <row r="2946" customFormat="false" ht="15" hidden="false" customHeight="false" outlineLevel="0" collapsed="false">
      <c r="B2946" s="7" t="s">
        <v>17591</v>
      </c>
      <c r="C2946" s="7" t="s">
        <v>3443</v>
      </c>
      <c r="D2946" s="7" t="s">
        <v>329</v>
      </c>
      <c r="E2946" s="7" t="s">
        <v>156</v>
      </c>
      <c r="F2946" s="39" t="n">
        <v>45805</v>
      </c>
      <c r="G2946" s="41" t="n">
        <v>125.8</v>
      </c>
      <c r="H2946" s="39" t="n">
        <v>45816</v>
      </c>
      <c r="I2946" s="7" t="s">
        <v>14651</v>
      </c>
      <c r="J2946" s="8" t="str">
        <f aca="false">IF(I2946="Open",DATE(2025,12,31)-F2946,"-")</f>
        <v>-</v>
      </c>
    </row>
    <row r="2947" customFormat="false" ht="15" hidden="false" customHeight="false" outlineLevel="0" collapsed="false">
      <c r="B2947" s="7" t="s">
        <v>17592</v>
      </c>
      <c r="C2947" s="7" t="s">
        <v>3444</v>
      </c>
      <c r="D2947" s="7" t="s">
        <v>335</v>
      </c>
      <c r="E2947" s="7" t="s">
        <v>154</v>
      </c>
      <c r="F2947" s="39" t="n">
        <v>45805</v>
      </c>
      <c r="G2947" s="41" t="n">
        <v>103.62</v>
      </c>
      <c r="H2947" s="39" t="n">
        <v>45838</v>
      </c>
      <c r="I2947" s="7" t="s">
        <v>14651</v>
      </c>
      <c r="J2947" s="8" t="str">
        <f aca="false">IF(I2947="Open",DATE(2025,12,31)-F2947,"-")</f>
        <v>-</v>
      </c>
    </row>
    <row r="2948" customFormat="false" ht="15" hidden="false" customHeight="false" outlineLevel="0" collapsed="false">
      <c r="B2948" s="7" t="s">
        <v>17593</v>
      </c>
      <c r="C2948" s="7" t="s">
        <v>3445</v>
      </c>
      <c r="D2948" s="7" t="s">
        <v>339</v>
      </c>
      <c r="E2948" s="7" t="s">
        <v>154</v>
      </c>
      <c r="F2948" s="39" t="n">
        <v>45805</v>
      </c>
      <c r="G2948" s="41" t="n">
        <v>90.9</v>
      </c>
      <c r="H2948" s="39" t="n">
        <v>45913</v>
      </c>
      <c r="I2948" s="7" t="s">
        <v>14651</v>
      </c>
      <c r="J2948" s="8" t="str">
        <f aca="false">IF(I2948="Open",DATE(2025,12,31)-F2948,"-")</f>
        <v>-</v>
      </c>
    </row>
    <row r="2949" customFormat="false" ht="15" hidden="false" customHeight="false" outlineLevel="0" collapsed="false">
      <c r="B2949" s="7" t="s">
        <v>17594</v>
      </c>
      <c r="C2949" s="7" t="s">
        <v>3446</v>
      </c>
      <c r="D2949" s="7" t="s">
        <v>353</v>
      </c>
      <c r="E2949" s="7" t="s">
        <v>154</v>
      </c>
      <c r="F2949" s="39" t="n">
        <v>45805</v>
      </c>
      <c r="G2949" s="41" t="n">
        <v>95.66</v>
      </c>
      <c r="H2949" s="39" t="n">
        <v>45851</v>
      </c>
      <c r="I2949" s="7" t="s">
        <v>14651</v>
      </c>
      <c r="J2949" s="8" t="str">
        <f aca="false">IF(I2949="Open",DATE(2025,12,31)-F2949,"-")</f>
        <v>-</v>
      </c>
    </row>
    <row r="2950" customFormat="false" ht="15" hidden="false" customHeight="false" outlineLevel="0" collapsed="false">
      <c r="B2950" s="7" t="s">
        <v>17595</v>
      </c>
      <c r="C2950" s="7" t="s">
        <v>3447</v>
      </c>
      <c r="D2950" s="7" t="s">
        <v>355</v>
      </c>
      <c r="E2950" s="7" t="s">
        <v>154</v>
      </c>
      <c r="F2950" s="39" t="n">
        <v>45805</v>
      </c>
      <c r="G2950" s="41" t="n">
        <v>86.66</v>
      </c>
      <c r="H2950" s="39" t="n">
        <v>45860</v>
      </c>
      <c r="I2950" s="7" t="s">
        <v>14651</v>
      </c>
      <c r="J2950" s="8" t="str">
        <f aca="false">IF(I2950="Open",DATE(2025,12,31)-F2950,"-")</f>
        <v>-</v>
      </c>
    </row>
    <row r="2951" customFormat="false" ht="15" hidden="false" customHeight="false" outlineLevel="0" collapsed="false">
      <c r="B2951" s="7" t="s">
        <v>17596</v>
      </c>
      <c r="C2951" s="7" t="s">
        <v>3448</v>
      </c>
      <c r="D2951" s="7" t="s">
        <v>357</v>
      </c>
      <c r="E2951" s="7" t="s">
        <v>154</v>
      </c>
      <c r="F2951" s="39" t="n">
        <v>45805</v>
      </c>
      <c r="G2951" s="41" t="n">
        <v>77.88</v>
      </c>
      <c r="H2951" s="39" t="n">
        <v>45887</v>
      </c>
      <c r="I2951" s="7" t="s">
        <v>14651</v>
      </c>
      <c r="J2951" s="8" t="str">
        <f aca="false">IF(I2951="Open",DATE(2025,12,31)-F2951,"-")</f>
        <v>-</v>
      </c>
    </row>
    <row r="2952" customFormat="false" ht="15" hidden="false" customHeight="false" outlineLevel="0" collapsed="false">
      <c r="B2952" s="7" t="s">
        <v>17597</v>
      </c>
      <c r="C2952" s="7" t="s">
        <v>3449</v>
      </c>
      <c r="D2952" s="7" t="s">
        <v>359</v>
      </c>
      <c r="E2952" s="7" t="s">
        <v>156</v>
      </c>
      <c r="F2952" s="39" t="n">
        <v>45805</v>
      </c>
      <c r="G2952" s="41" t="n">
        <v>125.12</v>
      </c>
      <c r="H2952" s="39" t="n">
        <v>45814</v>
      </c>
      <c r="I2952" s="7" t="s">
        <v>14651</v>
      </c>
      <c r="J2952" s="8" t="str">
        <f aca="false">IF(I2952="Open",DATE(2025,12,31)-F2952,"-")</f>
        <v>-</v>
      </c>
    </row>
    <row r="2953" customFormat="false" ht="15" hidden="false" customHeight="false" outlineLevel="0" collapsed="false">
      <c r="B2953" s="7" t="s">
        <v>17598</v>
      </c>
      <c r="C2953" s="7" t="s">
        <v>3450</v>
      </c>
      <c r="D2953" s="7" t="s">
        <v>365</v>
      </c>
      <c r="E2953" s="7" t="s">
        <v>154</v>
      </c>
      <c r="F2953" s="39" t="n">
        <v>45805</v>
      </c>
      <c r="G2953" s="41" t="n">
        <v>101.23</v>
      </c>
      <c r="H2953" s="39" t="n">
        <v>45854</v>
      </c>
      <c r="I2953" s="7" t="s">
        <v>14651</v>
      </c>
      <c r="J2953" s="8" t="str">
        <f aca="false">IF(I2953="Open",DATE(2025,12,31)-F2953,"-")</f>
        <v>-</v>
      </c>
    </row>
    <row r="2954" customFormat="false" ht="15" hidden="false" customHeight="false" outlineLevel="0" collapsed="false">
      <c r="B2954" s="7" t="s">
        <v>17599</v>
      </c>
      <c r="C2954" s="7" t="s">
        <v>3451</v>
      </c>
      <c r="D2954" s="7" t="s">
        <v>371</v>
      </c>
      <c r="E2954" s="7" t="s">
        <v>154</v>
      </c>
      <c r="F2954" s="39" t="n">
        <v>45805</v>
      </c>
      <c r="G2954" s="41" t="n">
        <v>125.08</v>
      </c>
      <c r="H2954" s="39" t="n">
        <v>45870</v>
      </c>
      <c r="I2954" s="7" t="s">
        <v>14651</v>
      </c>
      <c r="J2954" s="8" t="str">
        <f aca="false">IF(I2954="Open",DATE(2025,12,31)-F2954,"-")</f>
        <v>-</v>
      </c>
    </row>
    <row r="2955" customFormat="false" ht="15" hidden="false" customHeight="false" outlineLevel="0" collapsed="false">
      <c r="B2955" s="7" t="s">
        <v>17600</v>
      </c>
      <c r="C2955" s="7" t="s">
        <v>3452</v>
      </c>
      <c r="D2955" s="7" t="s">
        <v>379</v>
      </c>
      <c r="E2955" s="7" t="s">
        <v>156</v>
      </c>
      <c r="F2955" s="39" t="n">
        <v>45805</v>
      </c>
      <c r="G2955" s="41" t="n">
        <v>155.38</v>
      </c>
      <c r="H2955" s="39" t="n">
        <v>45809</v>
      </c>
      <c r="I2955" s="7" t="s">
        <v>14651</v>
      </c>
      <c r="J2955" s="8" t="str">
        <f aca="false">IF(I2955="Open",DATE(2025,12,31)-F2955,"-")</f>
        <v>-</v>
      </c>
    </row>
    <row r="2956" customFormat="false" ht="15" hidden="false" customHeight="false" outlineLevel="0" collapsed="false">
      <c r="B2956" s="7" t="s">
        <v>17601</v>
      </c>
      <c r="C2956" s="7" t="s">
        <v>3453</v>
      </c>
      <c r="D2956" s="7" t="s">
        <v>385</v>
      </c>
      <c r="E2956" s="7" t="s">
        <v>156</v>
      </c>
      <c r="F2956" s="39" t="n">
        <v>45805</v>
      </c>
      <c r="G2956" s="41" t="n">
        <v>145.52</v>
      </c>
      <c r="H2956" s="39" t="n">
        <v>45817</v>
      </c>
      <c r="I2956" s="7" t="s">
        <v>14651</v>
      </c>
      <c r="J2956" s="8" t="str">
        <f aca="false">IF(I2956="Open",DATE(2025,12,31)-F2956,"-")</f>
        <v>-</v>
      </c>
    </row>
    <row r="2957" customFormat="false" ht="15" hidden="false" customHeight="false" outlineLevel="0" collapsed="false">
      <c r="B2957" s="7" t="s">
        <v>17602</v>
      </c>
      <c r="C2957" s="7" t="s">
        <v>3454</v>
      </c>
      <c r="D2957" s="7" t="s">
        <v>389</v>
      </c>
      <c r="E2957" s="7" t="s">
        <v>154</v>
      </c>
      <c r="F2957" s="39" t="n">
        <v>45805</v>
      </c>
      <c r="G2957" s="41" t="n">
        <v>100.25</v>
      </c>
      <c r="H2957" s="39" t="n">
        <v>45855</v>
      </c>
      <c r="I2957" s="7" t="s">
        <v>14651</v>
      </c>
      <c r="J2957" s="8" t="str">
        <f aca="false">IF(I2957="Open",DATE(2025,12,31)-F2957,"-")</f>
        <v>-</v>
      </c>
    </row>
    <row r="2958" customFormat="false" ht="15" hidden="false" customHeight="false" outlineLevel="0" collapsed="false">
      <c r="B2958" s="7" t="s">
        <v>17603</v>
      </c>
      <c r="C2958" s="7" t="s">
        <v>3455</v>
      </c>
      <c r="D2958" s="7" t="s">
        <v>393</v>
      </c>
      <c r="E2958" s="7" t="s">
        <v>157</v>
      </c>
      <c r="F2958" s="39" t="n">
        <v>45805</v>
      </c>
      <c r="G2958" s="41" t="n">
        <v>181.5</v>
      </c>
      <c r="H2958" s="39" t="n">
        <v>45843</v>
      </c>
      <c r="I2958" s="7" t="s">
        <v>14651</v>
      </c>
      <c r="J2958" s="8" t="str">
        <f aca="false">IF(I2958="Open",DATE(2025,12,31)-F2958,"-")</f>
        <v>-</v>
      </c>
    </row>
    <row r="2959" customFormat="false" ht="15" hidden="false" customHeight="false" outlineLevel="0" collapsed="false">
      <c r="B2959" s="7" t="s">
        <v>17604</v>
      </c>
      <c r="C2959" s="7" t="s">
        <v>3456</v>
      </c>
      <c r="D2959" s="7" t="s">
        <v>395</v>
      </c>
      <c r="E2959" s="7" t="s">
        <v>156</v>
      </c>
      <c r="F2959" s="39" t="n">
        <v>45805</v>
      </c>
      <c r="G2959" s="41" t="n">
        <v>128.52</v>
      </c>
      <c r="H2959" s="39" t="n">
        <v>45815</v>
      </c>
      <c r="I2959" s="7" t="s">
        <v>14651</v>
      </c>
      <c r="J2959" s="8" t="str">
        <f aca="false">IF(I2959="Open",DATE(2025,12,31)-F2959,"-")</f>
        <v>-</v>
      </c>
    </row>
    <row r="2960" customFormat="false" ht="15" hidden="false" customHeight="false" outlineLevel="0" collapsed="false">
      <c r="B2960" s="7" t="s">
        <v>17605</v>
      </c>
      <c r="C2960" s="7" t="s">
        <v>3457</v>
      </c>
      <c r="D2960" s="7" t="s">
        <v>399</v>
      </c>
      <c r="E2960" s="7" t="s">
        <v>154</v>
      </c>
      <c r="F2960" s="39" t="n">
        <v>45805</v>
      </c>
      <c r="G2960" s="41" t="n">
        <v>93.81</v>
      </c>
      <c r="H2960" s="39" t="n">
        <v>45833</v>
      </c>
      <c r="I2960" s="7" t="s">
        <v>14651</v>
      </c>
      <c r="J2960" s="8" t="str">
        <f aca="false">IF(I2960="Open",DATE(2025,12,31)-F2960,"-")</f>
        <v>-</v>
      </c>
    </row>
    <row r="2961" customFormat="false" ht="15" hidden="false" customHeight="false" outlineLevel="0" collapsed="false">
      <c r="B2961" s="7" t="s">
        <v>17606</v>
      </c>
      <c r="C2961" s="7" t="s">
        <v>3458</v>
      </c>
      <c r="D2961" s="7" t="s">
        <v>401</v>
      </c>
      <c r="E2961" s="7" t="s">
        <v>156</v>
      </c>
      <c r="F2961" s="39" t="n">
        <v>45805</v>
      </c>
      <c r="G2961" s="41" t="n">
        <v>147.9</v>
      </c>
      <c r="H2961" s="39" t="n">
        <v>45817</v>
      </c>
      <c r="I2961" s="7" t="s">
        <v>14651</v>
      </c>
      <c r="J2961" s="8" t="str">
        <f aca="false">IF(I2961="Open",DATE(2025,12,31)-F2961,"-")</f>
        <v>-</v>
      </c>
    </row>
    <row r="2962" customFormat="false" ht="15" hidden="false" customHeight="false" outlineLevel="0" collapsed="false">
      <c r="B2962" s="7" t="s">
        <v>17607</v>
      </c>
      <c r="C2962" s="7" t="s">
        <v>3459</v>
      </c>
      <c r="D2962" s="7" t="s">
        <v>409</v>
      </c>
      <c r="E2962" s="7" t="s">
        <v>154</v>
      </c>
      <c r="F2962" s="39" t="n">
        <v>45805</v>
      </c>
      <c r="G2962" s="41" t="n">
        <v>93.28</v>
      </c>
      <c r="H2962" s="39" t="n">
        <v>45847</v>
      </c>
      <c r="I2962" s="7" t="s">
        <v>14651</v>
      </c>
      <c r="J2962" s="8" t="str">
        <f aca="false">IF(I2962="Open",DATE(2025,12,31)-F2962,"-")</f>
        <v>-</v>
      </c>
    </row>
    <row r="2963" customFormat="false" ht="15" hidden="false" customHeight="false" outlineLevel="0" collapsed="false">
      <c r="B2963" s="7" t="s">
        <v>17608</v>
      </c>
      <c r="C2963" s="7" t="s">
        <v>3460</v>
      </c>
      <c r="D2963" s="7" t="s">
        <v>411</v>
      </c>
      <c r="E2963" s="7" t="s">
        <v>154</v>
      </c>
      <c r="F2963" s="39" t="n">
        <v>45805</v>
      </c>
      <c r="G2963" s="41" t="n">
        <v>113.15</v>
      </c>
      <c r="H2963" s="39" t="n">
        <v>45866</v>
      </c>
      <c r="I2963" s="7" t="s">
        <v>14651</v>
      </c>
      <c r="J2963" s="8" t="str">
        <f aca="false">IF(I2963="Open",DATE(2025,12,31)-F2963,"-")</f>
        <v>-</v>
      </c>
    </row>
    <row r="2964" customFormat="false" ht="15" hidden="false" customHeight="false" outlineLevel="0" collapsed="false">
      <c r="B2964" s="7" t="s">
        <v>17609</v>
      </c>
      <c r="C2964" s="7" t="s">
        <v>3461</v>
      </c>
      <c r="D2964" s="7" t="s">
        <v>288</v>
      </c>
      <c r="E2964" s="7" t="s">
        <v>156</v>
      </c>
      <c r="F2964" s="39" t="n">
        <v>45806</v>
      </c>
      <c r="G2964" s="41" t="n">
        <v>144.5</v>
      </c>
      <c r="H2964" s="39" t="n">
        <v>45815</v>
      </c>
      <c r="I2964" s="7" t="s">
        <v>14651</v>
      </c>
      <c r="J2964" s="8" t="str">
        <f aca="false">IF(I2964="Open",DATE(2025,12,31)-F2964,"-")</f>
        <v>-</v>
      </c>
    </row>
    <row r="2965" customFormat="false" ht="15" hidden="false" customHeight="false" outlineLevel="0" collapsed="false">
      <c r="B2965" s="7" t="s">
        <v>17610</v>
      </c>
      <c r="C2965" s="7" t="s">
        <v>3462</v>
      </c>
      <c r="D2965" s="7" t="s">
        <v>297</v>
      </c>
      <c r="E2965" s="7" t="s">
        <v>156</v>
      </c>
      <c r="F2965" s="39" t="n">
        <v>45806</v>
      </c>
      <c r="G2965" s="41" t="n">
        <v>94.52</v>
      </c>
      <c r="H2965" s="39" t="n">
        <v>45823</v>
      </c>
      <c r="I2965" s="7" t="s">
        <v>14651</v>
      </c>
      <c r="J2965" s="8" t="str">
        <f aca="false">IF(I2965="Open",DATE(2025,12,31)-F2965,"-")</f>
        <v>-</v>
      </c>
    </row>
    <row r="2966" customFormat="false" ht="15" hidden="false" customHeight="false" outlineLevel="0" collapsed="false">
      <c r="B2966" s="7" t="s">
        <v>17611</v>
      </c>
      <c r="C2966" s="7" t="s">
        <v>3463</v>
      </c>
      <c r="D2966" s="7" t="s">
        <v>311</v>
      </c>
      <c r="E2966" s="7" t="s">
        <v>154</v>
      </c>
      <c r="F2966" s="39" t="n">
        <v>45806</v>
      </c>
      <c r="G2966" s="41" t="n">
        <v>85.33</v>
      </c>
      <c r="H2966" s="39" t="n">
        <v>45876</v>
      </c>
      <c r="I2966" s="7" t="s">
        <v>14651</v>
      </c>
      <c r="J2966" s="8" t="str">
        <f aca="false">IF(I2966="Open",DATE(2025,12,31)-F2966,"-")</f>
        <v>-</v>
      </c>
    </row>
    <row r="2967" customFormat="false" ht="15" hidden="false" customHeight="false" outlineLevel="0" collapsed="false">
      <c r="B2967" s="7" t="s">
        <v>17612</v>
      </c>
      <c r="C2967" s="7" t="s">
        <v>3464</v>
      </c>
      <c r="D2967" s="7" t="s">
        <v>313</v>
      </c>
      <c r="E2967" s="7" t="s">
        <v>156</v>
      </c>
      <c r="F2967" s="39" t="n">
        <v>45806</v>
      </c>
      <c r="G2967" s="41" t="n">
        <v>148.58</v>
      </c>
      <c r="H2967" s="39" t="n">
        <v>45827</v>
      </c>
      <c r="I2967" s="7" t="s">
        <v>14651</v>
      </c>
      <c r="J2967" s="8" t="str">
        <f aca="false">IF(I2967="Open",DATE(2025,12,31)-F2967,"-")</f>
        <v>-</v>
      </c>
    </row>
    <row r="2968" customFormat="false" ht="15" hidden="false" customHeight="false" outlineLevel="0" collapsed="false">
      <c r="B2968" s="7" t="s">
        <v>17613</v>
      </c>
      <c r="C2968" s="7" t="s">
        <v>3465</v>
      </c>
      <c r="D2968" s="7" t="s">
        <v>317</v>
      </c>
      <c r="E2968" s="7" t="s">
        <v>156</v>
      </c>
      <c r="F2968" s="39" t="n">
        <v>45806</v>
      </c>
      <c r="G2968" s="41" t="n">
        <v>94.18</v>
      </c>
      <c r="H2968" s="39" t="n">
        <v>45825</v>
      </c>
      <c r="I2968" s="7" t="s">
        <v>14651</v>
      </c>
      <c r="J2968" s="8" t="str">
        <f aca="false">IF(I2968="Open",DATE(2025,12,31)-F2968,"-")</f>
        <v>-</v>
      </c>
    </row>
    <row r="2969" customFormat="false" ht="15" hidden="false" customHeight="false" outlineLevel="0" collapsed="false">
      <c r="B2969" s="7" t="s">
        <v>17614</v>
      </c>
      <c r="C2969" s="7" t="s">
        <v>3466</v>
      </c>
      <c r="D2969" s="7" t="s">
        <v>321</v>
      </c>
      <c r="E2969" s="7" t="s">
        <v>154</v>
      </c>
      <c r="F2969" s="39" t="n">
        <v>45806</v>
      </c>
      <c r="G2969" s="41" t="n">
        <v>109.44</v>
      </c>
      <c r="H2969" s="39" t="n">
        <v>45842</v>
      </c>
      <c r="I2969" s="7" t="s">
        <v>14651</v>
      </c>
      <c r="J2969" s="8" t="str">
        <f aca="false">IF(I2969="Open",DATE(2025,12,31)-F2969,"-")</f>
        <v>-</v>
      </c>
    </row>
    <row r="2970" customFormat="false" ht="15" hidden="false" customHeight="false" outlineLevel="0" collapsed="false">
      <c r="B2970" s="7" t="s">
        <v>17615</v>
      </c>
      <c r="C2970" s="7" t="s">
        <v>3467</v>
      </c>
      <c r="D2970" s="7" t="s">
        <v>325</v>
      </c>
      <c r="E2970" s="7" t="s">
        <v>154</v>
      </c>
      <c r="F2970" s="39" t="n">
        <v>45806</v>
      </c>
      <c r="G2970" s="41" t="n">
        <v>83.21</v>
      </c>
      <c r="H2970" s="39" t="n">
        <v>45884</v>
      </c>
      <c r="I2970" s="7" t="s">
        <v>14651</v>
      </c>
      <c r="J2970" s="8" t="str">
        <f aca="false">IF(I2970="Open",DATE(2025,12,31)-F2970,"-")</f>
        <v>-</v>
      </c>
    </row>
    <row r="2971" customFormat="false" ht="15" hidden="false" customHeight="false" outlineLevel="0" collapsed="false">
      <c r="B2971" s="7" t="s">
        <v>17616</v>
      </c>
      <c r="C2971" s="7" t="s">
        <v>3468</v>
      </c>
      <c r="D2971" s="7" t="s">
        <v>329</v>
      </c>
      <c r="E2971" s="7" t="s">
        <v>156</v>
      </c>
      <c r="F2971" s="39" t="n">
        <v>45806</v>
      </c>
      <c r="G2971" s="41" t="n">
        <v>130.56</v>
      </c>
      <c r="H2971" s="39" t="n">
        <v>45816</v>
      </c>
      <c r="I2971" s="7" t="s">
        <v>14651</v>
      </c>
      <c r="J2971" s="8" t="str">
        <f aca="false">IF(I2971="Open",DATE(2025,12,31)-F2971,"-")</f>
        <v>-</v>
      </c>
    </row>
    <row r="2972" customFormat="false" ht="15" hidden="false" customHeight="false" outlineLevel="0" collapsed="false">
      <c r="B2972" s="7" t="s">
        <v>17617</v>
      </c>
      <c r="C2972" s="7" t="s">
        <v>3469</v>
      </c>
      <c r="D2972" s="7" t="s">
        <v>331</v>
      </c>
      <c r="E2972" s="7" t="s">
        <v>156</v>
      </c>
      <c r="F2972" s="39" t="n">
        <v>45806</v>
      </c>
      <c r="G2972" s="41" t="n">
        <v>146.2</v>
      </c>
      <c r="H2972" s="39" t="n">
        <v>45817</v>
      </c>
      <c r="I2972" s="7" t="s">
        <v>14651</v>
      </c>
      <c r="J2972" s="8" t="str">
        <f aca="false">IF(I2972="Open",DATE(2025,12,31)-F2972,"-")</f>
        <v>-</v>
      </c>
    </row>
    <row r="2973" customFormat="false" ht="15" hidden="false" customHeight="false" outlineLevel="0" collapsed="false">
      <c r="B2973" s="7" t="s">
        <v>17618</v>
      </c>
      <c r="C2973" s="7" t="s">
        <v>3470</v>
      </c>
      <c r="D2973" s="7" t="s">
        <v>337</v>
      </c>
      <c r="E2973" s="7" t="s">
        <v>154</v>
      </c>
      <c r="F2973" s="39" t="n">
        <v>45806</v>
      </c>
      <c r="G2973" s="41" t="n">
        <v>74.73</v>
      </c>
      <c r="H2973" s="39" t="n">
        <v>45908</v>
      </c>
      <c r="I2973" s="7" t="s">
        <v>14651</v>
      </c>
      <c r="J2973" s="8" t="str">
        <f aca="false">IF(I2973="Open",DATE(2025,12,31)-F2973,"-")</f>
        <v>-</v>
      </c>
    </row>
    <row r="2974" customFormat="false" ht="15" hidden="false" customHeight="false" outlineLevel="0" collapsed="false">
      <c r="B2974" s="7" t="s">
        <v>17619</v>
      </c>
      <c r="C2974" s="7" t="s">
        <v>3471</v>
      </c>
      <c r="D2974" s="7" t="s">
        <v>343</v>
      </c>
      <c r="E2974" s="7" t="s">
        <v>154</v>
      </c>
      <c r="F2974" s="39" t="n">
        <v>45806</v>
      </c>
      <c r="G2974" s="41" t="n">
        <v>102.05</v>
      </c>
      <c r="H2974" s="39" t="n">
        <v>45851</v>
      </c>
      <c r="I2974" s="7" t="s">
        <v>14651</v>
      </c>
      <c r="J2974" s="8" t="str">
        <f aca="false">IF(I2974="Open",DATE(2025,12,31)-F2974,"-")</f>
        <v>-</v>
      </c>
    </row>
    <row r="2975" customFormat="false" ht="15" hidden="false" customHeight="false" outlineLevel="0" collapsed="false">
      <c r="B2975" s="7" t="s">
        <v>17620</v>
      </c>
      <c r="C2975" s="7" t="s">
        <v>3472</v>
      </c>
      <c r="D2975" s="7" t="s">
        <v>351</v>
      </c>
      <c r="E2975" s="7" t="s">
        <v>154</v>
      </c>
      <c r="F2975" s="39" t="n">
        <v>45806</v>
      </c>
      <c r="G2975" s="41" t="n">
        <v>75</v>
      </c>
      <c r="H2975" s="39" t="n">
        <v>45878</v>
      </c>
      <c r="I2975" s="7" t="s">
        <v>14651</v>
      </c>
      <c r="J2975" s="8" t="str">
        <f aca="false">IF(I2975="Open",DATE(2025,12,31)-F2975,"-")</f>
        <v>-</v>
      </c>
    </row>
    <row r="2976" customFormat="false" ht="15" hidden="false" customHeight="false" outlineLevel="0" collapsed="false">
      <c r="B2976" s="7" t="s">
        <v>17621</v>
      </c>
      <c r="C2976" s="7" t="s">
        <v>3473</v>
      </c>
      <c r="D2976" s="7" t="s">
        <v>359</v>
      </c>
      <c r="E2976" s="7" t="s">
        <v>156</v>
      </c>
      <c r="F2976" s="39" t="n">
        <v>45806</v>
      </c>
      <c r="G2976" s="41" t="n">
        <v>145.86</v>
      </c>
      <c r="H2976" s="39" t="n">
        <v>45812</v>
      </c>
      <c r="I2976" s="7" t="s">
        <v>14651</v>
      </c>
      <c r="J2976" s="8" t="str">
        <f aca="false">IF(I2976="Open",DATE(2025,12,31)-F2976,"-")</f>
        <v>-</v>
      </c>
    </row>
    <row r="2977" customFormat="false" ht="15" hidden="false" customHeight="false" outlineLevel="0" collapsed="false">
      <c r="B2977" s="7" t="s">
        <v>17622</v>
      </c>
      <c r="C2977" s="7" t="s">
        <v>3474</v>
      </c>
      <c r="D2977" s="7" t="s">
        <v>363</v>
      </c>
      <c r="E2977" s="7" t="s">
        <v>156</v>
      </c>
      <c r="F2977" s="39" t="n">
        <v>45806</v>
      </c>
      <c r="G2977" s="41" t="n">
        <v>134.64</v>
      </c>
      <c r="H2977" s="39" t="n">
        <v>45821</v>
      </c>
      <c r="I2977" s="7" t="s">
        <v>14651</v>
      </c>
      <c r="J2977" s="8" t="str">
        <f aca="false">IF(I2977="Open",DATE(2025,12,31)-F2977,"-")</f>
        <v>-</v>
      </c>
    </row>
    <row r="2978" customFormat="false" ht="15" hidden="false" customHeight="false" outlineLevel="0" collapsed="false">
      <c r="B2978" s="7" t="s">
        <v>17623</v>
      </c>
      <c r="C2978" s="7" t="s">
        <v>3475</v>
      </c>
      <c r="D2978" s="7" t="s">
        <v>365</v>
      </c>
      <c r="E2978" s="7" t="s">
        <v>154</v>
      </c>
      <c r="F2978" s="39" t="n">
        <v>45806</v>
      </c>
      <c r="G2978" s="41" t="n">
        <v>114.75</v>
      </c>
      <c r="H2978" s="39" t="n">
        <v>45852</v>
      </c>
      <c r="I2978" s="7" t="s">
        <v>14651</v>
      </c>
      <c r="J2978" s="8" t="str">
        <f aca="false">IF(I2978="Open",DATE(2025,12,31)-F2978,"-")</f>
        <v>-</v>
      </c>
    </row>
    <row r="2979" customFormat="false" ht="15" hidden="false" customHeight="false" outlineLevel="0" collapsed="false">
      <c r="B2979" s="7" t="s">
        <v>17624</v>
      </c>
      <c r="C2979" s="7" t="s">
        <v>3476</v>
      </c>
      <c r="D2979" s="7" t="s">
        <v>375</v>
      </c>
      <c r="E2979" s="7" t="s">
        <v>156</v>
      </c>
      <c r="F2979" s="39" t="n">
        <v>45806</v>
      </c>
      <c r="G2979" s="41" t="n">
        <v>111.86</v>
      </c>
      <c r="H2979" s="39" t="n">
        <v>45809</v>
      </c>
      <c r="I2979" s="7" t="s">
        <v>14651</v>
      </c>
      <c r="J2979" s="8" t="str">
        <f aca="false">IF(I2979="Open",DATE(2025,12,31)-F2979,"-")</f>
        <v>-</v>
      </c>
    </row>
    <row r="2980" customFormat="false" ht="15" hidden="false" customHeight="false" outlineLevel="0" collapsed="false">
      <c r="B2980" s="7" t="s">
        <v>17625</v>
      </c>
      <c r="C2980" s="7" t="s">
        <v>3477</v>
      </c>
      <c r="D2980" s="7" t="s">
        <v>377</v>
      </c>
      <c r="E2980" s="7" t="s">
        <v>154</v>
      </c>
      <c r="F2980" s="39" t="n">
        <v>45806</v>
      </c>
      <c r="G2980" s="41" t="n">
        <v>111.83</v>
      </c>
      <c r="H2980" s="39" t="n">
        <v>45867</v>
      </c>
      <c r="I2980" s="7" t="s">
        <v>14651</v>
      </c>
      <c r="J2980" s="8" t="str">
        <f aca="false">IF(I2980="Open",DATE(2025,12,31)-F2980,"-")</f>
        <v>-</v>
      </c>
    </row>
    <row r="2981" customFormat="false" ht="15" hidden="false" customHeight="false" outlineLevel="0" collapsed="false">
      <c r="B2981" s="7" t="s">
        <v>17626</v>
      </c>
      <c r="C2981" s="7" t="s">
        <v>3478</v>
      </c>
      <c r="D2981" s="7" t="s">
        <v>389</v>
      </c>
      <c r="E2981" s="7" t="s">
        <v>154</v>
      </c>
      <c r="F2981" s="39" t="n">
        <v>45806</v>
      </c>
      <c r="G2981" s="41" t="n">
        <v>98.84</v>
      </c>
      <c r="H2981" s="39" t="n">
        <v>45905</v>
      </c>
      <c r="I2981" s="7" t="s">
        <v>14651</v>
      </c>
      <c r="J2981" s="8" t="str">
        <f aca="false">IF(I2981="Open",DATE(2025,12,31)-F2981,"-")</f>
        <v>-</v>
      </c>
    </row>
    <row r="2982" customFormat="false" ht="15" hidden="false" customHeight="false" outlineLevel="0" collapsed="false">
      <c r="B2982" s="7" t="s">
        <v>17627</v>
      </c>
      <c r="C2982" s="7" t="s">
        <v>3479</v>
      </c>
      <c r="D2982" s="7" t="s">
        <v>391</v>
      </c>
      <c r="E2982" s="7" t="s">
        <v>156</v>
      </c>
      <c r="F2982" s="39" t="n">
        <v>45806</v>
      </c>
      <c r="G2982" s="41" t="n">
        <v>140.08</v>
      </c>
      <c r="H2982" s="39" t="n">
        <v>45814</v>
      </c>
      <c r="I2982" s="7" t="s">
        <v>14651</v>
      </c>
      <c r="J2982" s="8" t="str">
        <f aca="false">IF(I2982="Open",DATE(2025,12,31)-F2982,"-")</f>
        <v>-</v>
      </c>
    </row>
    <row r="2983" customFormat="false" ht="15" hidden="false" customHeight="false" outlineLevel="0" collapsed="false">
      <c r="B2983" s="7" t="s">
        <v>17628</v>
      </c>
      <c r="C2983" s="7" t="s">
        <v>3480</v>
      </c>
      <c r="D2983" s="7" t="s">
        <v>395</v>
      </c>
      <c r="E2983" s="7" t="s">
        <v>156</v>
      </c>
      <c r="F2983" s="39" t="n">
        <v>45806</v>
      </c>
      <c r="G2983" s="41" t="n">
        <v>142.8</v>
      </c>
      <c r="H2983" s="39" t="n">
        <v>45822</v>
      </c>
      <c r="I2983" s="7" t="s">
        <v>14651</v>
      </c>
      <c r="J2983" s="8" t="str">
        <f aca="false">IF(I2983="Open",DATE(2025,12,31)-F2983,"-")</f>
        <v>-</v>
      </c>
    </row>
    <row r="2984" customFormat="false" ht="15" hidden="false" customHeight="false" outlineLevel="0" collapsed="false">
      <c r="B2984" s="7" t="s">
        <v>17629</v>
      </c>
      <c r="C2984" s="7" t="s">
        <v>3481</v>
      </c>
      <c r="D2984" s="7" t="s">
        <v>401</v>
      </c>
      <c r="E2984" s="7" t="s">
        <v>156</v>
      </c>
      <c r="F2984" s="39" t="n">
        <v>45806</v>
      </c>
      <c r="G2984" s="41" t="n">
        <v>127.5</v>
      </c>
      <c r="H2984" s="39" t="n">
        <v>45827</v>
      </c>
      <c r="I2984" s="7" t="s">
        <v>14651</v>
      </c>
      <c r="J2984" s="8" t="str">
        <f aca="false">IF(I2984="Open",DATE(2025,12,31)-F2984,"-")</f>
        <v>-</v>
      </c>
    </row>
    <row r="2985" customFormat="false" ht="15" hidden="false" customHeight="false" outlineLevel="0" collapsed="false">
      <c r="B2985" s="7" t="s">
        <v>17630</v>
      </c>
      <c r="C2985" s="7" t="s">
        <v>3482</v>
      </c>
      <c r="D2985" s="7" t="s">
        <v>280</v>
      </c>
      <c r="E2985" s="7" t="s">
        <v>157</v>
      </c>
      <c r="F2985" s="39" t="n">
        <v>45807</v>
      </c>
      <c r="G2985" s="41" t="n">
        <v>163.35</v>
      </c>
      <c r="H2985" s="39" t="n">
        <v>45836</v>
      </c>
      <c r="I2985" s="7" t="s">
        <v>14651</v>
      </c>
      <c r="J2985" s="8" t="str">
        <f aca="false">IF(I2985="Open",DATE(2025,12,31)-F2985,"-")</f>
        <v>-</v>
      </c>
    </row>
    <row r="2986" customFormat="false" ht="15" hidden="false" customHeight="false" outlineLevel="0" collapsed="false">
      <c r="B2986" s="7" t="s">
        <v>17631</v>
      </c>
      <c r="C2986" s="7" t="s">
        <v>3483</v>
      </c>
      <c r="D2986" s="7" t="s">
        <v>288</v>
      </c>
      <c r="E2986" s="7" t="s">
        <v>156</v>
      </c>
      <c r="F2986" s="39" t="n">
        <v>45807</v>
      </c>
      <c r="G2986" s="41" t="n">
        <v>124.78</v>
      </c>
      <c r="H2986" s="39" t="n">
        <v>45820</v>
      </c>
      <c r="I2986" s="7" t="s">
        <v>14651</v>
      </c>
      <c r="J2986" s="8" t="str">
        <f aca="false">IF(I2986="Open",DATE(2025,12,31)-F2986,"-")</f>
        <v>-</v>
      </c>
    </row>
    <row r="2987" customFormat="false" ht="15" hidden="false" customHeight="false" outlineLevel="0" collapsed="false">
      <c r="B2987" s="7" t="s">
        <v>17632</v>
      </c>
      <c r="C2987" s="7" t="s">
        <v>3484</v>
      </c>
      <c r="D2987" s="7" t="s">
        <v>291</v>
      </c>
      <c r="E2987" s="7" t="s">
        <v>154</v>
      </c>
      <c r="F2987" s="39" t="n">
        <v>45807</v>
      </c>
      <c r="G2987" s="41" t="n">
        <v>120.05</v>
      </c>
      <c r="H2987" s="39" t="n">
        <v>45868</v>
      </c>
      <c r="I2987" s="7" t="s">
        <v>14651</v>
      </c>
      <c r="J2987" s="8" t="str">
        <f aca="false">IF(I2987="Open",DATE(2025,12,31)-F2987,"-")</f>
        <v>-</v>
      </c>
    </row>
    <row r="2988" customFormat="false" ht="15" hidden="false" customHeight="false" outlineLevel="0" collapsed="false">
      <c r="B2988" s="7" t="s">
        <v>17633</v>
      </c>
      <c r="C2988" s="7" t="s">
        <v>3485</v>
      </c>
      <c r="D2988" s="7" t="s">
        <v>301</v>
      </c>
      <c r="E2988" s="7" t="s">
        <v>157</v>
      </c>
      <c r="F2988" s="39" t="n">
        <v>45807</v>
      </c>
      <c r="G2988" s="41" t="n">
        <v>156.75</v>
      </c>
      <c r="H2988" s="39" t="n">
        <v>45833</v>
      </c>
      <c r="I2988" s="7" t="s">
        <v>14651</v>
      </c>
      <c r="J2988" s="8" t="str">
        <f aca="false">IF(I2988="Open",DATE(2025,12,31)-F2988,"-")</f>
        <v>-</v>
      </c>
    </row>
    <row r="2989" customFormat="false" ht="15" hidden="false" customHeight="false" outlineLevel="0" collapsed="false">
      <c r="B2989" s="7" t="s">
        <v>17634</v>
      </c>
      <c r="C2989" s="7" t="s">
        <v>3486</v>
      </c>
      <c r="D2989" s="7" t="s">
        <v>305</v>
      </c>
      <c r="E2989" s="7" t="s">
        <v>154</v>
      </c>
      <c r="F2989" s="39" t="n">
        <v>45807</v>
      </c>
      <c r="G2989" s="41" t="n">
        <v>111.04</v>
      </c>
      <c r="H2989" s="39" t="n">
        <v>45852</v>
      </c>
      <c r="I2989" s="7" t="s">
        <v>14651</v>
      </c>
      <c r="J2989" s="8" t="str">
        <f aca="false">IF(I2989="Open",DATE(2025,12,31)-F2989,"-")</f>
        <v>-</v>
      </c>
    </row>
    <row r="2990" customFormat="false" ht="15" hidden="false" customHeight="false" outlineLevel="0" collapsed="false">
      <c r="B2990" s="7" t="s">
        <v>17635</v>
      </c>
      <c r="C2990" s="7" t="s">
        <v>3487</v>
      </c>
      <c r="D2990" s="7" t="s">
        <v>307</v>
      </c>
      <c r="E2990" s="7" t="s">
        <v>157</v>
      </c>
      <c r="F2990" s="39" t="n">
        <v>45807</v>
      </c>
      <c r="G2990" s="41" t="n">
        <v>161.7</v>
      </c>
      <c r="H2990" s="39" t="n">
        <v>45842</v>
      </c>
      <c r="I2990" s="7" t="s">
        <v>14651</v>
      </c>
      <c r="J2990" s="8" t="str">
        <f aca="false">IF(I2990="Open",DATE(2025,12,31)-F2990,"-")</f>
        <v>-</v>
      </c>
    </row>
    <row r="2991" customFormat="false" ht="15" hidden="false" customHeight="false" outlineLevel="0" collapsed="false">
      <c r="B2991" s="7" t="s">
        <v>17636</v>
      </c>
      <c r="C2991" s="7" t="s">
        <v>3488</v>
      </c>
      <c r="D2991" s="7" t="s">
        <v>309</v>
      </c>
      <c r="E2991" s="7" t="s">
        <v>159</v>
      </c>
      <c r="F2991" s="39" t="n">
        <v>45807</v>
      </c>
      <c r="G2991" s="41" t="n">
        <v>135</v>
      </c>
      <c r="H2991" s="39" t="n">
        <v>45901</v>
      </c>
      <c r="I2991" s="7" t="s">
        <v>14651</v>
      </c>
      <c r="J2991" s="8" t="str">
        <f aca="false">IF(I2991="Open",DATE(2025,12,31)-F2991,"-")</f>
        <v>-</v>
      </c>
    </row>
    <row r="2992" customFormat="false" ht="15" hidden="false" customHeight="false" outlineLevel="0" collapsed="false">
      <c r="B2992" s="7" t="s">
        <v>17637</v>
      </c>
      <c r="C2992" s="7" t="s">
        <v>3489</v>
      </c>
      <c r="D2992" s="7" t="s">
        <v>313</v>
      </c>
      <c r="E2992" s="7" t="s">
        <v>156</v>
      </c>
      <c r="F2992" s="39" t="n">
        <v>45807</v>
      </c>
      <c r="G2992" s="41" t="n">
        <v>140.08</v>
      </c>
      <c r="H2992" s="39" t="n">
        <v>45821</v>
      </c>
      <c r="I2992" s="7" t="s">
        <v>14651</v>
      </c>
      <c r="J2992" s="8" t="str">
        <f aca="false">IF(I2992="Open",DATE(2025,12,31)-F2992,"-")</f>
        <v>-</v>
      </c>
    </row>
    <row r="2993" customFormat="false" ht="15" hidden="false" customHeight="false" outlineLevel="0" collapsed="false">
      <c r="B2993" s="7" t="s">
        <v>17638</v>
      </c>
      <c r="C2993" s="7" t="s">
        <v>3490</v>
      </c>
      <c r="D2993" s="7" t="s">
        <v>319</v>
      </c>
      <c r="E2993" s="7" t="s">
        <v>157</v>
      </c>
      <c r="F2993" s="39" t="n">
        <v>45807</v>
      </c>
      <c r="G2993" s="41" t="n">
        <v>150.15</v>
      </c>
      <c r="H2993" s="39" t="n">
        <v>45856</v>
      </c>
      <c r="I2993" s="7" t="s">
        <v>14651</v>
      </c>
      <c r="J2993" s="8" t="str">
        <f aca="false">IF(I2993="Open",DATE(2025,12,31)-F2993,"-")</f>
        <v>-</v>
      </c>
    </row>
    <row r="2994" customFormat="false" ht="15" hidden="false" customHeight="false" outlineLevel="0" collapsed="false">
      <c r="B2994" s="7" t="s">
        <v>17639</v>
      </c>
      <c r="C2994" s="7" t="s">
        <v>3491</v>
      </c>
      <c r="D2994" s="7" t="s">
        <v>321</v>
      </c>
      <c r="E2994" s="7" t="s">
        <v>154</v>
      </c>
      <c r="F2994" s="39" t="n">
        <v>45807</v>
      </c>
      <c r="G2994" s="41" t="n">
        <v>96.72</v>
      </c>
      <c r="H2994" s="39" t="n">
        <v>45880</v>
      </c>
      <c r="I2994" s="7" t="s">
        <v>14651</v>
      </c>
      <c r="J2994" s="8" t="str">
        <f aca="false">IF(I2994="Open",DATE(2025,12,31)-F2994,"-")</f>
        <v>-</v>
      </c>
    </row>
    <row r="2995" customFormat="false" ht="15" hidden="false" customHeight="false" outlineLevel="0" collapsed="false">
      <c r="B2995" s="7" t="s">
        <v>17640</v>
      </c>
      <c r="C2995" s="7" t="s">
        <v>3492</v>
      </c>
      <c r="D2995" s="7" t="s">
        <v>323</v>
      </c>
      <c r="E2995" s="7" t="s">
        <v>159</v>
      </c>
      <c r="F2995" s="39" t="n">
        <v>45807</v>
      </c>
      <c r="G2995" s="41" t="n">
        <v>137.7</v>
      </c>
      <c r="H2995" s="39" t="n">
        <v>45834</v>
      </c>
      <c r="I2995" s="7" t="s">
        <v>14651</v>
      </c>
      <c r="J2995" s="8" t="str">
        <f aca="false">IF(I2995="Open",DATE(2025,12,31)-F2995,"-")</f>
        <v>-</v>
      </c>
    </row>
    <row r="2996" customFormat="false" ht="15" hidden="false" customHeight="false" outlineLevel="0" collapsed="false">
      <c r="B2996" s="7" t="s">
        <v>17641</v>
      </c>
      <c r="C2996" s="7" t="s">
        <v>3493</v>
      </c>
      <c r="D2996" s="7" t="s">
        <v>327</v>
      </c>
      <c r="E2996" s="7" t="s">
        <v>157</v>
      </c>
      <c r="F2996" s="39" t="n">
        <v>45807</v>
      </c>
      <c r="G2996" s="41" t="n">
        <v>151.8</v>
      </c>
      <c r="H2996" s="39" t="n">
        <v>45882</v>
      </c>
      <c r="I2996" s="7" t="s">
        <v>14651</v>
      </c>
      <c r="J2996" s="8" t="str">
        <f aca="false">IF(I2996="Open",DATE(2025,12,31)-F2996,"-")</f>
        <v>-</v>
      </c>
    </row>
    <row r="2997" customFormat="false" ht="15" hidden="false" customHeight="false" outlineLevel="0" collapsed="false">
      <c r="B2997" s="7" t="s">
        <v>17642</v>
      </c>
      <c r="C2997" s="7" t="s">
        <v>3494</v>
      </c>
      <c r="D2997" s="7" t="s">
        <v>329</v>
      </c>
      <c r="E2997" s="7" t="s">
        <v>156</v>
      </c>
      <c r="F2997" s="39" t="n">
        <v>45807</v>
      </c>
      <c r="G2997" s="41" t="n">
        <v>129.54</v>
      </c>
      <c r="H2997" s="39" t="n">
        <v>45821</v>
      </c>
      <c r="I2997" s="7" t="s">
        <v>14651</v>
      </c>
      <c r="J2997" s="8" t="str">
        <f aca="false">IF(I2997="Open",DATE(2025,12,31)-F2997,"-")</f>
        <v>-</v>
      </c>
    </row>
    <row r="2998" customFormat="false" ht="15" hidden="false" customHeight="false" outlineLevel="0" collapsed="false">
      <c r="B2998" s="7" t="s">
        <v>17643</v>
      </c>
      <c r="C2998" s="7" t="s">
        <v>3495</v>
      </c>
      <c r="D2998" s="7" t="s">
        <v>335</v>
      </c>
      <c r="E2998" s="7" t="s">
        <v>154</v>
      </c>
      <c r="F2998" s="39" t="n">
        <v>45807</v>
      </c>
      <c r="G2998" s="41" t="n">
        <v>102.82</v>
      </c>
      <c r="H2998" s="39" t="n">
        <v>45890</v>
      </c>
      <c r="I2998" s="7" t="s">
        <v>14651</v>
      </c>
      <c r="J2998" s="8" t="str">
        <f aca="false">IF(I2998="Open",DATE(2025,12,31)-F2998,"-")</f>
        <v>-</v>
      </c>
    </row>
    <row r="2999" customFormat="false" ht="15" hidden="false" customHeight="false" outlineLevel="0" collapsed="false">
      <c r="B2999" s="7" t="s">
        <v>17644</v>
      </c>
      <c r="C2999" s="7" t="s">
        <v>3496</v>
      </c>
      <c r="D2999" s="7" t="s">
        <v>339</v>
      </c>
      <c r="E2999" s="7" t="s">
        <v>154</v>
      </c>
      <c r="F2999" s="39" t="n">
        <v>45807</v>
      </c>
      <c r="G2999" s="41" t="n">
        <v>92.48</v>
      </c>
      <c r="H2999" s="39" t="n">
        <v>45862</v>
      </c>
      <c r="I2999" s="7" t="s">
        <v>14651</v>
      </c>
      <c r="J2999" s="8" t="str">
        <f aca="false">IF(I2999="Open",DATE(2025,12,31)-F2999,"-")</f>
        <v>-</v>
      </c>
    </row>
    <row r="3000" customFormat="false" ht="15" hidden="false" customHeight="false" outlineLevel="0" collapsed="false">
      <c r="B3000" s="7" t="s">
        <v>17645</v>
      </c>
      <c r="C3000" s="7" t="s">
        <v>3497</v>
      </c>
      <c r="D3000" s="7" t="s">
        <v>353</v>
      </c>
      <c r="E3000" s="7" t="s">
        <v>154</v>
      </c>
      <c r="F3000" s="39" t="n">
        <v>45807</v>
      </c>
      <c r="G3000" s="41" t="n">
        <v>91.95</v>
      </c>
      <c r="H3000" s="39" t="n">
        <v>45917</v>
      </c>
      <c r="I3000" s="7" t="s">
        <v>14651</v>
      </c>
      <c r="J3000" s="8" t="str">
        <f aca="false">IF(I3000="Open",DATE(2025,12,31)-F3000,"-")</f>
        <v>-</v>
      </c>
    </row>
    <row r="3001" customFormat="false" ht="15" hidden="false" customHeight="false" outlineLevel="0" collapsed="false">
      <c r="B3001" s="7" t="s">
        <v>17646</v>
      </c>
      <c r="C3001" s="7" t="s">
        <v>3498</v>
      </c>
      <c r="D3001" s="7" t="s">
        <v>355</v>
      </c>
      <c r="E3001" s="7" t="s">
        <v>154</v>
      </c>
      <c r="F3001" s="39" t="n">
        <v>45807</v>
      </c>
      <c r="G3001" s="41" t="n">
        <v>95.4</v>
      </c>
      <c r="H3001" s="39" t="n">
        <v>45862</v>
      </c>
      <c r="I3001" s="7" t="s">
        <v>14651</v>
      </c>
      <c r="J3001" s="8" t="str">
        <f aca="false">IF(I3001="Open",DATE(2025,12,31)-F3001,"-")</f>
        <v>-</v>
      </c>
    </row>
    <row r="3002" customFormat="false" ht="15" hidden="false" customHeight="false" outlineLevel="0" collapsed="false">
      <c r="B3002" s="7" t="s">
        <v>17647</v>
      </c>
      <c r="C3002" s="7" t="s">
        <v>3499</v>
      </c>
      <c r="D3002" s="7" t="s">
        <v>357</v>
      </c>
      <c r="E3002" s="7" t="s">
        <v>154</v>
      </c>
      <c r="F3002" s="39" t="n">
        <v>45807</v>
      </c>
      <c r="G3002" s="41" t="n">
        <v>80.82</v>
      </c>
      <c r="H3002" s="39" t="n">
        <v>45862</v>
      </c>
      <c r="I3002" s="7" t="s">
        <v>14651</v>
      </c>
      <c r="J3002" s="8" t="str">
        <f aca="false">IF(I3002="Open",DATE(2025,12,31)-F3002,"-")</f>
        <v>-</v>
      </c>
    </row>
    <row r="3003" customFormat="false" ht="15" hidden="false" customHeight="false" outlineLevel="0" collapsed="false">
      <c r="B3003" s="7" t="s">
        <v>17648</v>
      </c>
      <c r="C3003" s="7" t="s">
        <v>3500</v>
      </c>
      <c r="D3003" s="7" t="s">
        <v>365</v>
      </c>
      <c r="E3003" s="7" t="s">
        <v>154</v>
      </c>
      <c r="F3003" s="39" t="n">
        <v>45807</v>
      </c>
      <c r="G3003" s="41" t="n">
        <v>114.21</v>
      </c>
      <c r="H3003" s="39" t="n">
        <v>45925</v>
      </c>
      <c r="I3003" s="7" t="s">
        <v>14651</v>
      </c>
      <c r="J3003" s="8" t="str">
        <f aca="false">IF(I3003="Open",DATE(2025,12,31)-F3003,"-")</f>
        <v>-</v>
      </c>
    </row>
    <row r="3004" customFormat="false" ht="15" hidden="false" customHeight="false" outlineLevel="0" collapsed="false">
      <c r="B3004" s="7" t="s">
        <v>17649</v>
      </c>
      <c r="C3004" s="7" t="s">
        <v>3501</v>
      </c>
      <c r="D3004" s="7" t="s">
        <v>371</v>
      </c>
      <c r="E3004" s="7" t="s">
        <v>154</v>
      </c>
      <c r="F3004" s="39" t="n">
        <v>45807</v>
      </c>
      <c r="G3004" s="41" t="n">
        <v>111.56</v>
      </c>
      <c r="H3004" s="39" t="n">
        <v>45858</v>
      </c>
      <c r="I3004" s="7" t="s">
        <v>14651</v>
      </c>
      <c r="J3004" s="8" t="str">
        <f aca="false">IF(I3004="Open",DATE(2025,12,31)-F3004,"-")</f>
        <v>-</v>
      </c>
    </row>
    <row r="3005" customFormat="false" ht="15" hidden="false" customHeight="false" outlineLevel="0" collapsed="false">
      <c r="B3005" s="7" t="s">
        <v>17650</v>
      </c>
      <c r="C3005" s="7" t="s">
        <v>3502</v>
      </c>
      <c r="D3005" s="7" t="s">
        <v>379</v>
      </c>
      <c r="E3005" s="7" t="s">
        <v>156</v>
      </c>
      <c r="F3005" s="39" t="n">
        <v>45807</v>
      </c>
      <c r="G3005" s="41" t="n">
        <v>142.8</v>
      </c>
      <c r="H3005" s="39" t="n">
        <v>45819</v>
      </c>
      <c r="I3005" s="7" t="s">
        <v>14651</v>
      </c>
      <c r="J3005" s="8" t="str">
        <f aca="false">IF(I3005="Open",DATE(2025,12,31)-F3005,"-")</f>
        <v>-</v>
      </c>
    </row>
    <row r="3006" customFormat="false" ht="15" hidden="false" customHeight="false" outlineLevel="0" collapsed="false">
      <c r="B3006" s="7" t="s">
        <v>17651</v>
      </c>
      <c r="C3006" s="7" t="s">
        <v>3503</v>
      </c>
      <c r="D3006" s="7" t="s">
        <v>385</v>
      </c>
      <c r="E3006" s="7" t="s">
        <v>156</v>
      </c>
      <c r="F3006" s="39" t="n">
        <v>45807</v>
      </c>
      <c r="G3006" s="41" t="n">
        <v>149.26</v>
      </c>
      <c r="H3006" s="39" t="n">
        <v>45825</v>
      </c>
      <c r="I3006" s="7" t="s">
        <v>14651</v>
      </c>
      <c r="J3006" s="8" t="str">
        <f aca="false">IF(I3006="Open",DATE(2025,12,31)-F3006,"-")</f>
        <v>-</v>
      </c>
    </row>
    <row r="3007" customFormat="false" ht="15" hidden="false" customHeight="false" outlineLevel="0" collapsed="false">
      <c r="B3007" s="7" t="s">
        <v>17652</v>
      </c>
      <c r="C3007" s="7" t="s">
        <v>3504</v>
      </c>
      <c r="D3007" s="7" t="s">
        <v>389</v>
      </c>
      <c r="E3007" s="7" t="s">
        <v>154</v>
      </c>
      <c r="F3007" s="39" t="n">
        <v>45807</v>
      </c>
      <c r="G3007" s="41" t="n">
        <v>95.88</v>
      </c>
      <c r="H3007" s="39" t="n">
        <v>45846</v>
      </c>
      <c r="I3007" s="7" t="s">
        <v>14651</v>
      </c>
      <c r="J3007" s="8" t="str">
        <f aca="false">IF(I3007="Open",DATE(2025,12,31)-F3007,"-")</f>
        <v>-</v>
      </c>
    </row>
    <row r="3008" customFormat="false" ht="15" hidden="false" customHeight="false" outlineLevel="0" collapsed="false">
      <c r="B3008" s="7" t="s">
        <v>17653</v>
      </c>
      <c r="C3008" s="7" t="s">
        <v>3505</v>
      </c>
      <c r="D3008" s="7" t="s">
        <v>391</v>
      </c>
      <c r="E3008" s="7" t="s">
        <v>156</v>
      </c>
      <c r="F3008" s="39" t="n">
        <v>45807</v>
      </c>
      <c r="G3008" s="41" t="n">
        <v>130.56</v>
      </c>
      <c r="H3008" s="39" t="n">
        <v>45815</v>
      </c>
      <c r="I3008" s="7" t="s">
        <v>14651</v>
      </c>
      <c r="J3008" s="8" t="str">
        <f aca="false">IF(I3008="Open",DATE(2025,12,31)-F3008,"-")</f>
        <v>-</v>
      </c>
    </row>
    <row r="3009" customFormat="false" ht="15" hidden="false" customHeight="false" outlineLevel="0" collapsed="false">
      <c r="B3009" s="7" t="s">
        <v>17654</v>
      </c>
      <c r="C3009" s="7" t="s">
        <v>3506</v>
      </c>
      <c r="D3009" s="7" t="s">
        <v>395</v>
      </c>
      <c r="E3009" s="7" t="s">
        <v>156</v>
      </c>
      <c r="F3009" s="39" t="n">
        <v>45807</v>
      </c>
      <c r="G3009" s="41" t="n">
        <v>142.46</v>
      </c>
      <c r="H3009" s="39" t="n">
        <v>45824</v>
      </c>
      <c r="I3009" s="7" t="s">
        <v>14651</v>
      </c>
      <c r="J3009" s="8" t="str">
        <f aca="false">IF(I3009="Open",DATE(2025,12,31)-F3009,"-")</f>
        <v>-</v>
      </c>
    </row>
    <row r="3010" customFormat="false" ht="15" hidden="false" customHeight="false" outlineLevel="0" collapsed="false">
      <c r="B3010" s="7" t="s">
        <v>17655</v>
      </c>
      <c r="C3010" s="7" t="s">
        <v>3507</v>
      </c>
      <c r="D3010" s="7" t="s">
        <v>397</v>
      </c>
      <c r="E3010" s="7" t="s">
        <v>159</v>
      </c>
      <c r="F3010" s="39" t="n">
        <v>45807</v>
      </c>
      <c r="G3010" s="41" t="n">
        <v>125.55</v>
      </c>
      <c r="H3010" s="39" t="n">
        <v>45914</v>
      </c>
      <c r="I3010" s="7" t="s">
        <v>14651</v>
      </c>
      <c r="J3010" s="8" t="str">
        <f aca="false">IF(I3010="Open",DATE(2025,12,31)-F3010,"-")</f>
        <v>-</v>
      </c>
    </row>
    <row r="3011" customFormat="false" ht="15" hidden="false" customHeight="false" outlineLevel="0" collapsed="false">
      <c r="B3011" s="7" t="s">
        <v>17656</v>
      </c>
      <c r="C3011" s="7" t="s">
        <v>3508</v>
      </c>
      <c r="D3011" s="7" t="s">
        <v>399</v>
      </c>
      <c r="E3011" s="7" t="s">
        <v>154</v>
      </c>
      <c r="F3011" s="39" t="n">
        <v>45807</v>
      </c>
      <c r="G3011" s="41" t="n">
        <v>85.86</v>
      </c>
      <c r="H3011" s="39" t="n">
        <v>45858</v>
      </c>
      <c r="I3011" s="7" t="s">
        <v>14651</v>
      </c>
      <c r="J3011" s="8" t="str">
        <f aca="false">IF(I3011="Open",DATE(2025,12,31)-F3011,"-")</f>
        <v>-</v>
      </c>
    </row>
    <row r="3012" customFormat="false" ht="15" hidden="false" customHeight="false" outlineLevel="0" collapsed="false">
      <c r="B3012" s="7" t="s">
        <v>17657</v>
      </c>
      <c r="C3012" s="7" t="s">
        <v>3509</v>
      </c>
      <c r="D3012" s="7" t="s">
        <v>401</v>
      </c>
      <c r="E3012" s="7" t="s">
        <v>156</v>
      </c>
      <c r="F3012" s="39" t="n">
        <v>45807</v>
      </c>
      <c r="G3012" s="41" t="n">
        <v>145.86</v>
      </c>
      <c r="H3012" s="39" t="n">
        <v>45812</v>
      </c>
      <c r="I3012" s="7" t="s">
        <v>14651</v>
      </c>
      <c r="J3012" s="8" t="str">
        <f aca="false">IF(I3012="Open",DATE(2025,12,31)-F3012,"-")</f>
        <v>-</v>
      </c>
    </row>
    <row r="3013" customFormat="false" ht="15" hidden="false" customHeight="false" outlineLevel="0" collapsed="false">
      <c r="B3013" s="7" t="s">
        <v>17658</v>
      </c>
      <c r="C3013" s="7" t="s">
        <v>3510</v>
      </c>
      <c r="D3013" s="7" t="s">
        <v>407</v>
      </c>
      <c r="E3013" s="7" t="s">
        <v>159</v>
      </c>
      <c r="F3013" s="39" t="n">
        <v>45807</v>
      </c>
      <c r="G3013" s="41" t="n">
        <v>124.2</v>
      </c>
      <c r="H3013" s="39" t="n">
        <v>45859</v>
      </c>
      <c r="I3013" s="7" t="s">
        <v>14651</v>
      </c>
      <c r="J3013" s="8" t="str">
        <f aca="false">IF(I3013="Open",DATE(2025,12,31)-F3013,"-")</f>
        <v>-</v>
      </c>
    </row>
    <row r="3014" customFormat="false" ht="15" hidden="false" customHeight="false" outlineLevel="0" collapsed="false">
      <c r="B3014" s="7" t="s">
        <v>17659</v>
      </c>
      <c r="C3014" s="7" t="s">
        <v>3511</v>
      </c>
      <c r="D3014" s="7" t="s">
        <v>409</v>
      </c>
      <c r="E3014" s="7" t="s">
        <v>154</v>
      </c>
      <c r="F3014" s="39" t="n">
        <v>45807</v>
      </c>
      <c r="G3014" s="41" t="n">
        <v>79.77</v>
      </c>
      <c r="H3014" s="39" t="n">
        <v>45858</v>
      </c>
      <c r="I3014" s="7" t="s">
        <v>14651</v>
      </c>
      <c r="J3014" s="8" t="str">
        <f aca="false">IF(I3014="Open",DATE(2025,12,31)-F3014,"-")</f>
        <v>-</v>
      </c>
    </row>
    <row r="3015" customFormat="false" ht="15" hidden="false" customHeight="false" outlineLevel="0" collapsed="false">
      <c r="B3015" s="7" t="s">
        <v>17660</v>
      </c>
      <c r="C3015" s="7" t="s">
        <v>3512</v>
      </c>
      <c r="D3015" s="7" t="s">
        <v>411</v>
      </c>
      <c r="E3015" s="7" t="s">
        <v>154</v>
      </c>
      <c r="F3015" s="39" t="n">
        <v>45807</v>
      </c>
      <c r="G3015" s="41" t="n">
        <v>127.73</v>
      </c>
      <c r="H3015" s="39" t="n">
        <v>45907</v>
      </c>
      <c r="I3015" s="7" t="s">
        <v>14651</v>
      </c>
      <c r="J3015" s="8" t="str">
        <f aca="false">IF(I3015="Open",DATE(2025,12,31)-F3015,"-")</f>
        <v>-</v>
      </c>
    </row>
    <row r="3016" customFormat="false" ht="15" hidden="false" customHeight="false" outlineLevel="0" collapsed="false">
      <c r="B3016" s="7" t="s">
        <v>17661</v>
      </c>
      <c r="C3016" s="7" t="s">
        <v>3513</v>
      </c>
      <c r="D3016" s="7" t="s">
        <v>288</v>
      </c>
      <c r="E3016" s="7" t="s">
        <v>156</v>
      </c>
      <c r="F3016" s="39" t="n">
        <v>45808</v>
      </c>
      <c r="G3016" s="41" t="n">
        <v>129.2</v>
      </c>
      <c r="H3016" s="39" t="n">
        <v>45814</v>
      </c>
      <c r="I3016" s="7" t="s">
        <v>14651</v>
      </c>
      <c r="J3016" s="8" t="str">
        <f aca="false">IF(I3016="Open",DATE(2025,12,31)-F3016,"-")</f>
        <v>-</v>
      </c>
    </row>
    <row r="3017" customFormat="false" ht="15" hidden="false" customHeight="false" outlineLevel="0" collapsed="false">
      <c r="B3017" s="7" t="s">
        <v>17662</v>
      </c>
      <c r="C3017" s="7" t="s">
        <v>3514</v>
      </c>
      <c r="D3017" s="7" t="s">
        <v>321</v>
      </c>
      <c r="E3017" s="7" t="s">
        <v>154</v>
      </c>
      <c r="F3017" s="39" t="n">
        <v>45808</v>
      </c>
      <c r="G3017" s="41" t="n">
        <v>103.09</v>
      </c>
      <c r="H3017" s="39" t="n">
        <v>45916</v>
      </c>
      <c r="I3017" s="7" t="s">
        <v>14651</v>
      </c>
      <c r="J3017" s="8" t="str">
        <f aca="false">IF(I3017="Open",DATE(2025,12,31)-F3017,"-")</f>
        <v>-</v>
      </c>
    </row>
    <row r="3018" customFormat="false" ht="15" hidden="false" customHeight="false" outlineLevel="0" collapsed="false">
      <c r="B3018" s="7" t="s">
        <v>17663</v>
      </c>
      <c r="C3018" s="7" t="s">
        <v>3515</v>
      </c>
      <c r="D3018" s="7" t="s">
        <v>359</v>
      </c>
      <c r="E3018" s="7" t="s">
        <v>156</v>
      </c>
      <c r="F3018" s="39" t="n">
        <v>45808</v>
      </c>
      <c r="G3018" s="41" t="n">
        <v>148.24</v>
      </c>
      <c r="H3018" s="39" t="n">
        <v>45830</v>
      </c>
      <c r="I3018" s="7" t="s">
        <v>14651</v>
      </c>
      <c r="J3018" s="8" t="str">
        <f aca="false">IF(I3018="Open",DATE(2025,12,31)-F3018,"-")</f>
        <v>-</v>
      </c>
    </row>
    <row r="3019" customFormat="false" ht="15" hidden="false" customHeight="false" outlineLevel="0" collapsed="false">
      <c r="B3019" s="7" t="s">
        <v>17664</v>
      </c>
      <c r="C3019" s="7" t="s">
        <v>3516</v>
      </c>
      <c r="D3019" s="7" t="s">
        <v>391</v>
      </c>
      <c r="E3019" s="7" t="s">
        <v>156</v>
      </c>
      <c r="F3019" s="39" t="n">
        <v>45808</v>
      </c>
      <c r="G3019" s="41" t="n">
        <v>146.2</v>
      </c>
      <c r="H3019" s="39" t="n">
        <v>45816</v>
      </c>
      <c r="I3019" s="7" t="s">
        <v>14651</v>
      </c>
      <c r="J3019" s="8" t="str">
        <f aca="false">IF(I3019="Open",DATE(2025,12,31)-F3019,"-")</f>
        <v>-</v>
      </c>
    </row>
    <row r="3020" customFormat="false" ht="15" hidden="false" customHeight="false" outlineLevel="0" collapsed="false">
      <c r="B3020" s="7" t="s">
        <v>17665</v>
      </c>
      <c r="C3020" s="7" t="s">
        <v>3517</v>
      </c>
      <c r="D3020" s="7" t="s">
        <v>395</v>
      </c>
      <c r="E3020" s="7" t="s">
        <v>156</v>
      </c>
      <c r="F3020" s="39" t="n">
        <v>45808</v>
      </c>
      <c r="G3020" s="41" t="n">
        <v>134.64</v>
      </c>
      <c r="H3020" s="39" t="n">
        <v>45817</v>
      </c>
      <c r="I3020" s="7" t="s">
        <v>14651</v>
      </c>
      <c r="J3020" s="8" t="str">
        <f aca="false">IF(I3020="Open",DATE(2025,12,31)-F3020,"-")</f>
        <v>-</v>
      </c>
    </row>
    <row r="3021" customFormat="false" ht="15" hidden="false" customHeight="false" outlineLevel="0" collapsed="false">
      <c r="B3021" s="7" t="s">
        <v>17666</v>
      </c>
      <c r="C3021" s="7" t="s">
        <v>3518</v>
      </c>
      <c r="D3021" s="7" t="s">
        <v>401</v>
      </c>
      <c r="E3021" s="7" t="s">
        <v>156</v>
      </c>
      <c r="F3021" s="39" t="n">
        <v>45808</v>
      </c>
      <c r="G3021" s="41" t="n">
        <v>129.54</v>
      </c>
      <c r="H3021" s="39" t="n">
        <v>45816</v>
      </c>
      <c r="I3021" s="7" t="s">
        <v>14651</v>
      </c>
      <c r="J3021" s="8" t="str">
        <f aca="false">IF(I3021="Open",DATE(2025,12,31)-F3021,"-")</f>
        <v>-</v>
      </c>
    </row>
    <row r="3022" customFormat="false" ht="15" hidden="false" customHeight="false" outlineLevel="0" collapsed="false">
      <c r="B3022" s="7" t="s">
        <v>17667</v>
      </c>
      <c r="C3022" s="7" t="s">
        <v>3519</v>
      </c>
      <c r="D3022" s="7" t="s">
        <v>288</v>
      </c>
      <c r="E3022" s="7" t="s">
        <v>156</v>
      </c>
      <c r="F3022" s="39" t="n">
        <v>45809</v>
      </c>
      <c r="G3022" s="41" t="n">
        <v>132.94</v>
      </c>
      <c r="H3022" s="39" t="n">
        <v>45818</v>
      </c>
      <c r="I3022" s="7" t="s">
        <v>14651</v>
      </c>
      <c r="J3022" s="8" t="str">
        <f aca="false">IF(I3022="Open",DATE(2025,12,31)-F3022,"-")</f>
        <v>-</v>
      </c>
    </row>
    <row r="3023" customFormat="false" ht="15" hidden="false" customHeight="false" outlineLevel="0" collapsed="false">
      <c r="B3023" s="7" t="s">
        <v>17668</v>
      </c>
      <c r="C3023" s="7" t="s">
        <v>3520</v>
      </c>
      <c r="D3023" s="7" t="s">
        <v>321</v>
      </c>
      <c r="E3023" s="7" t="s">
        <v>154</v>
      </c>
      <c r="F3023" s="39" t="n">
        <v>45809</v>
      </c>
      <c r="G3023" s="41" t="n">
        <v>102.03</v>
      </c>
      <c r="H3023" s="39" t="n">
        <v>45856</v>
      </c>
      <c r="I3023" s="7" t="s">
        <v>14651</v>
      </c>
      <c r="J3023" s="8" t="str">
        <f aca="false">IF(I3023="Open",DATE(2025,12,31)-F3023,"-")</f>
        <v>-</v>
      </c>
    </row>
    <row r="3024" customFormat="false" ht="15" hidden="false" customHeight="false" outlineLevel="0" collapsed="false">
      <c r="B3024" s="7" t="s">
        <v>17669</v>
      </c>
      <c r="C3024" s="7" t="s">
        <v>3521</v>
      </c>
      <c r="D3024" s="7" t="s">
        <v>359</v>
      </c>
      <c r="E3024" s="7" t="s">
        <v>156</v>
      </c>
      <c r="F3024" s="39" t="n">
        <v>45809</v>
      </c>
      <c r="G3024" s="41" t="n">
        <v>131.58</v>
      </c>
      <c r="H3024" s="39" t="n">
        <v>45818</v>
      </c>
      <c r="I3024" s="7" t="s">
        <v>14651</v>
      </c>
      <c r="J3024" s="8" t="str">
        <f aca="false">IF(I3024="Open",DATE(2025,12,31)-F3024,"-")</f>
        <v>-</v>
      </c>
    </row>
    <row r="3025" customFormat="false" ht="15" hidden="false" customHeight="false" outlineLevel="0" collapsed="false">
      <c r="B3025" s="7" t="s">
        <v>17670</v>
      </c>
      <c r="C3025" s="7" t="s">
        <v>3522</v>
      </c>
      <c r="D3025" s="7" t="s">
        <v>391</v>
      </c>
      <c r="E3025" s="7" t="s">
        <v>156</v>
      </c>
      <c r="F3025" s="39" t="n">
        <v>45809</v>
      </c>
      <c r="G3025" s="41" t="n">
        <v>134.64</v>
      </c>
      <c r="H3025" s="39" t="n">
        <v>45818</v>
      </c>
      <c r="I3025" s="7" t="s">
        <v>14651</v>
      </c>
      <c r="J3025" s="8" t="str">
        <f aca="false">IF(I3025="Open",DATE(2025,12,31)-F3025,"-")</f>
        <v>-</v>
      </c>
    </row>
    <row r="3026" customFormat="false" ht="15" hidden="false" customHeight="false" outlineLevel="0" collapsed="false">
      <c r="B3026" s="7" t="s">
        <v>17671</v>
      </c>
      <c r="C3026" s="7" t="s">
        <v>3523</v>
      </c>
      <c r="D3026" s="7" t="s">
        <v>395</v>
      </c>
      <c r="E3026" s="7" t="s">
        <v>156</v>
      </c>
      <c r="F3026" s="39" t="n">
        <v>45809</v>
      </c>
      <c r="G3026" s="41" t="n">
        <v>130.22</v>
      </c>
      <c r="H3026" s="39" t="n">
        <v>45821</v>
      </c>
      <c r="I3026" s="7" t="s">
        <v>14651</v>
      </c>
      <c r="J3026" s="8" t="str">
        <f aca="false">IF(I3026="Open",DATE(2025,12,31)-F3026,"-")</f>
        <v>-</v>
      </c>
    </row>
    <row r="3027" customFormat="false" ht="15" hidden="false" customHeight="false" outlineLevel="0" collapsed="false">
      <c r="B3027" s="7" t="s">
        <v>17672</v>
      </c>
      <c r="C3027" s="7" t="s">
        <v>3524</v>
      </c>
      <c r="D3027" s="7" t="s">
        <v>401</v>
      </c>
      <c r="E3027" s="7" t="s">
        <v>156</v>
      </c>
      <c r="F3027" s="39" t="n">
        <v>45809</v>
      </c>
      <c r="G3027" s="41" t="n">
        <v>141.1</v>
      </c>
      <c r="H3027" s="39" t="n">
        <v>45825</v>
      </c>
      <c r="I3027" s="7" t="s">
        <v>14651</v>
      </c>
      <c r="J3027" s="8" t="str">
        <f aca="false">IF(I3027="Open",DATE(2025,12,31)-F3027,"-")</f>
        <v>-</v>
      </c>
    </row>
    <row r="3028" customFormat="false" ht="15" hidden="false" customHeight="false" outlineLevel="0" collapsed="false">
      <c r="B3028" s="7" t="s">
        <v>17673</v>
      </c>
      <c r="C3028" s="7" t="s">
        <v>3525</v>
      </c>
      <c r="D3028" s="7" t="s">
        <v>280</v>
      </c>
      <c r="E3028" s="7" t="s">
        <v>157</v>
      </c>
      <c r="F3028" s="39" t="n">
        <v>45810</v>
      </c>
      <c r="G3028" s="41" t="n">
        <v>179.85</v>
      </c>
      <c r="H3028" s="39" t="n">
        <v>45852</v>
      </c>
      <c r="I3028" s="7" t="s">
        <v>14651</v>
      </c>
      <c r="J3028" s="8" t="str">
        <f aca="false">IF(I3028="Open",DATE(2025,12,31)-F3028,"-")</f>
        <v>-</v>
      </c>
    </row>
    <row r="3029" customFormat="false" ht="15" hidden="false" customHeight="false" outlineLevel="0" collapsed="false">
      <c r="B3029" s="7" t="s">
        <v>17674</v>
      </c>
      <c r="C3029" s="7" t="s">
        <v>3526</v>
      </c>
      <c r="D3029" s="7" t="s">
        <v>288</v>
      </c>
      <c r="E3029" s="7" t="s">
        <v>156</v>
      </c>
      <c r="F3029" s="39" t="n">
        <v>45810</v>
      </c>
      <c r="G3029" s="41" t="n">
        <v>130.56</v>
      </c>
      <c r="H3029" s="39" t="n">
        <v>45823</v>
      </c>
      <c r="I3029" s="7" t="s">
        <v>14651</v>
      </c>
      <c r="J3029" s="8" t="str">
        <f aca="false">IF(I3029="Open",DATE(2025,12,31)-F3029,"-")</f>
        <v>-</v>
      </c>
    </row>
    <row r="3030" customFormat="false" ht="15" hidden="false" customHeight="false" outlineLevel="0" collapsed="false">
      <c r="B3030" s="7" t="s">
        <v>17675</v>
      </c>
      <c r="C3030" s="7" t="s">
        <v>3527</v>
      </c>
      <c r="D3030" s="7" t="s">
        <v>291</v>
      </c>
      <c r="E3030" s="7" t="s">
        <v>154</v>
      </c>
      <c r="F3030" s="39" t="n">
        <v>45810</v>
      </c>
      <c r="G3030" s="41" t="n">
        <v>111.56</v>
      </c>
      <c r="H3030" s="39" t="n">
        <v>45893</v>
      </c>
      <c r="I3030" s="7" t="s">
        <v>14651</v>
      </c>
      <c r="J3030" s="8" t="str">
        <f aca="false">IF(I3030="Open",DATE(2025,12,31)-F3030,"-")</f>
        <v>-</v>
      </c>
    </row>
    <row r="3031" customFormat="false" ht="15" hidden="false" customHeight="false" outlineLevel="0" collapsed="false">
      <c r="B3031" s="7" t="s">
        <v>17676</v>
      </c>
      <c r="C3031" s="7" t="s">
        <v>3528</v>
      </c>
      <c r="D3031" s="7" t="s">
        <v>297</v>
      </c>
      <c r="E3031" s="7" t="s">
        <v>156</v>
      </c>
      <c r="F3031" s="39" t="n">
        <v>45810</v>
      </c>
      <c r="G3031" s="41" t="n">
        <v>104.04</v>
      </c>
      <c r="H3031" s="39" t="n">
        <v>45819</v>
      </c>
      <c r="I3031" s="7" t="s">
        <v>14651</v>
      </c>
      <c r="J3031" s="8" t="str">
        <f aca="false">IF(I3031="Open",DATE(2025,12,31)-F3031,"-")</f>
        <v>-</v>
      </c>
    </row>
    <row r="3032" customFormat="false" ht="15" hidden="false" customHeight="false" outlineLevel="0" collapsed="false">
      <c r="B3032" s="7" t="s">
        <v>17677</v>
      </c>
      <c r="C3032" s="7" t="s">
        <v>3529</v>
      </c>
      <c r="D3032" s="7" t="s">
        <v>305</v>
      </c>
      <c r="E3032" s="7" t="s">
        <v>154</v>
      </c>
      <c r="F3032" s="39" t="n">
        <v>45810</v>
      </c>
      <c r="G3032" s="41" t="n">
        <v>101.28</v>
      </c>
      <c r="H3032" s="39" t="n">
        <v>45882</v>
      </c>
      <c r="I3032" s="7" t="s">
        <v>14651</v>
      </c>
      <c r="J3032" s="8" t="str">
        <f aca="false">IF(I3032="Open",DATE(2025,12,31)-F3032,"-")</f>
        <v>-</v>
      </c>
    </row>
    <row r="3033" customFormat="false" ht="15" hidden="false" customHeight="false" outlineLevel="0" collapsed="false">
      <c r="B3033" s="7" t="s">
        <v>17678</v>
      </c>
      <c r="C3033" s="7" t="s">
        <v>3530</v>
      </c>
      <c r="D3033" s="7" t="s">
        <v>307</v>
      </c>
      <c r="E3033" s="7" t="s">
        <v>157</v>
      </c>
      <c r="F3033" s="39" t="n">
        <v>45810</v>
      </c>
      <c r="G3033" s="41" t="n">
        <v>156.75</v>
      </c>
      <c r="H3033" s="39" t="n">
        <v>45856</v>
      </c>
      <c r="I3033" s="7" t="s">
        <v>14651</v>
      </c>
      <c r="J3033" s="8" t="str">
        <f aca="false">IF(I3033="Open",DATE(2025,12,31)-F3033,"-")</f>
        <v>-</v>
      </c>
    </row>
    <row r="3034" customFormat="false" ht="15" hidden="false" customHeight="false" outlineLevel="0" collapsed="false">
      <c r="B3034" s="7" t="s">
        <v>17679</v>
      </c>
      <c r="C3034" s="7" t="s">
        <v>3531</v>
      </c>
      <c r="D3034" s="7" t="s">
        <v>309</v>
      </c>
      <c r="E3034" s="7" t="s">
        <v>159</v>
      </c>
      <c r="F3034" s="39" t="n">
        <v>45810</v>
      </c>
      <c r="G3034" s="41" t="n">
        <v>144.45</v>
      </c>
      <c r="H3034" s="39" t="n">
        <v>45833</v>
      </c>
      <c r="I3034" s="7" t="s">
        <v>14651</v>
      </c>
      <c r="J3034" s="8" t="str">
        <f aca="false">IF(I3034="Open",DATE(2025,12,31)-F3034,"-")</f>
        <v>-</v>
      </c>
    </row>
    <row r="3035" customFormat="false" ht="15" hidden="false" customHeight="false" outlineLevel="0" collapsed="false">
      <c r="B3035" s="7" t="s">
        <v>17680</v>
      </c>
      <c r="C3035" s="7" t="s">
        <v>3532</v>
      </c>
      <c r="D3035" s="7" t="s">
        <v>311</v>
      </c>
      <c r="E3035" s="7" t="s">
        <v>154</v>
      </c>
      <c r="F3035" s="39" t="n">
        <v>45810</v>
      </c>
      <c r="G3035" s="41" t="n">
        <v>73.94</v>
      </c>
      <c r="H3035" s="39" t="n">
        <v>45876</v>
      </c>
      <c r="I3035" s="7" t="s">
        <v>14651</v>
      </c>
      <c r="J3035" s="8" t="str">
        <f aca="false">IF(I3035="Open",DATE(2025,12,31)-F3035,"-")</f>
        <v>-</v>
      </c>
    </row>
    <row r="3036" customFormat="false" ht="15" hidden="false" customHeight="false" outlineLevel="0" collapsed="false">
      <c r="B3036" s="7" t="s">
        <v>17681</v>
      </c>
      <c r="C3036" s="7" t="s">
        <v>3533</v>
      </c>
      <c r="D3036" s="7" t="s">
        <v>313</v>
      </c>
      <c r="E3036" s="7" t="s">
        <v>156</v>
      </c>
      <c r="F3036" s="39" t="n">
        <v>45810</v>
      </c>
      <c r="G3036" s="41" t="n">
        <v>149.6</v>
      </c>
      <c r="H3036" s="39" t="n">
        <v>45825</v>
      </c>
      <c r="I3036" s="7" t="s">
        <v>14651</v>
      </c>
      <c r="J3036" s="8" t="str">
        <f aca="false">IF(I3036="Open",DATE(2025,12,31)-F3036,"-")</f>
        <v>-</v>
      </c>
    </row>
    <row r="3037" customFormat="false" ht="15" hidden="false" customHeight="false" outlineLevel="0" collapsed="false">
      <c r="B3037" s="7" t="s">
        <v>17682</v>
      </c>
      <c r="C3037" s="7" t="s">
        <v>3534</v>
      </c>
      <c r="D3037" s="7" t="s">
        <v>317</v>
      </c>
      <c r="E3037" s="7" t="s">
        <v>156</v>
      </c>
      <c r="F3037" s="39" t="n">
        <v>45810</v>
      </c>
      <c r="G3037" s="41" t="n">
        <v>93.5</v>
      </c>
      <c r="H3037" s="39" t="n">
        <v>45825</v>
      </c>
      <c r="I3037" s="7" t="s">
        <v>14651</v>
      </c>
      <c r="J3037" s="8" t="str">
        <f aca="false">IF(I3037="Open",DATE(2025,12,31)-F3037,"-")</f>
        <v>-</v>
      </c>
    </row>
    <row r="3038" customFormat="false" ht="15" hidden="false" customHeight="false" outlineLevel="0" collapsed="false">
      <c r="B3038" s="7" t="s">
        <v>17683</v>
      </c>
      <c r="C3038" s="7" t="s">
        <v>3535</v>
      </c>
      <c r="D3038" s="7" t="s">
        <v>321</v>
      </c>
      <c r="E3038" s="7" t="s">
        <v>154</v>
      </c>
      <c r="F3038" s="39" t="n">
        <v>45810</v>
      </c>
      <c r="G3038" s="41" t="n">
        <v>102.82</v>
      </c>
      <c r="H3038" s="39" t="n">
        <v>45859</v>
      </c>
      <c r="I3038" s="7" t="s">
        <v>14651</v>
      </c>
      <c r="J3038" s="8" t="str">
        <f aca="false">IF(I3038="Open",DATE(2025,12,31)-F3038,"-")</f>
        <v>-</v>
      </c>
    </row>
    <row r="3039" customFormat="false" ht="15" hidden="false" customHeight="false" outlineLevel="0" collapsed="false">
      <c r="B3039" s="7" t="s">
        <v>17684</v>
      </c>
      <c r="C3039" s="7" t="s">
        <v>3536</v>
      </c>
      <c r="D3039" s="7" t="s">
        <v>325</v>
      </c>
      <c r="E3039" s="7" t="s">
        <v>154</v>
      </c>
      <c r="F3039" s="39" t="n">
        <v>45810</v>
      </c>
      <c r="G3039" s="41" t="n">
        <v>75.84</v>
      </c>
      <c r="H3039" s="39" t="n">
        <v>45884</v>
      </c>
      <c r="I3039" s="7" t="s">
        <v>14651</v>
      </c>
      <c r="J3039" s="8" t="str">
        <f aca="false">IF(I3039="Open",DATE(2025,12,31)-F3039,"-")</f>
        <v>-</v>
      </c>
    </row>
    <row r="3040" customFormat="false" ht="15" hidden="false" customHeight="false" outlineLevel="0" collapsed="false">
      <c r="B3040" s="7" t="s">
        <v>17685</v>
      </c>
      <c r="C3040" s="7" t="s">
        <v>3537</v>
      </c>
      <c r="D3040" s="7" t="s">
        <v>329</v>
      </c>
      <c r="E3040" s="7" t="s">
        <v>156</v>
      </c>
      <c r="F3040" s="39" t="n">
        <v>45810</v>
      </c>
      <c r="G3040" s="41" t="n">
        <v>129.54</v>
      </c>
      <c r="H3040" s="39" t="n">
        <v>45832</v>
      </c>
      <c r="I3040" s="7" t="s">
        <v>14651</v>
      </c>
      <c r="J3040" s="8" t="str">
        <f aca="false">IF(I3040="Open",DATE(2025,12,31)-F3040,"-")</f>
        <v>-</v>
      </c>
    </row>
    <row r="3041" customFormat="false" ht="15" hidden="false" customHeight="false" outlineLevel="0" collapsed="false">
      <c r="B3041" s="7" t="s">
        <v>17686</v>
      </c>
      <c r="C3041" s="7" t="s">
        <v>3538</v>
      </c>
      <c r="D3041" s="7" t="s">
        <v>331</v>
      </c>
      <c r="E3041" s="7" t="s">
        <v>156</v>
      </c>
      <c r="F3041" s="39" t="n">
        <v>45810</v>
      </c>
      <c r="G3041" s="41" t="n">
        <v>137.7</v>
      </c>
      <c r="H3041" s="39" t="n">
        <v>45817</v>
      </c>
      <c r="I3041" s="7" t="s">
        <v>14651</v>
      </c>
      <c r="J3041" s="8" t="str">
        <f aca="false">IF(I3041="Open",DATE(2025,12,31)-F3041,"-")</f>
        <v>-</v>
      </c>
    </row>
    <row r="3042" customFormat="false" ht="15" hidden="false" customHeight="false" outlineLevel="0" collapsed="false">
      <c r="B3042" s="7" t="s">
        <v>17687</v>
      </c>
      <c r="C3042" s="7" t="s">
        <v>3539</v>
      </c>
      <c r="D3042" s="7" t="s">
        <v>335</v>
      </c>
      <c r="E3042" s="7" t="s">
        <v>154</v>
      </c>
      <c r="F3042" s="39" t="n">
        <v>45810</v>
      </c>
      <c r="G3042" s="41" t="n">
        <v>107.59</v>
      </c>
      <c r="H3042" s="39" t="n">
        <v>45858</v>
      </c>
      <c r="I3042" s="7" t="s">
        <v>14651</v>
      </c>
      <c r="J3042" s="8" t="str">
        <f aca="false">IF(I3042="Open",DATE(2025,12,31)-F3042,"-")</f>
        <v>-</v>
      </c>
    </row>
    <row r="3043" customFormat="false" ht="15" hidden="false" customHeight="false" outlineLevel="0" collapsed="false">
      <c r="B3043" s="7" t="s">
        <v>17688</v>
      </c>
      <c r="C3043" s="7" t="s">
        <v>3540</v>
      </c>
      <c r="D3043" s="7" t="s">
        <v>337</v>
      </c>
      <c r="E3043" s="7" t="s">
        <v>154</v>
      </c>
      <c r="F3043" s="39" t="n">
        <v>45810</v>
      </c>
      <c r="G3043" s="41" t="n">
        <v>73.67</v>
      </c>
      <c r="H3043" s="39" t="n">
        <v>45877</v>
      </c>
      <c r="I3043" s="7" t="s">
        <v>14651</v>
      </c>
      <c r="J3043" s="8" t="str">
        <f aca="false">IF(I3043="Open",DATE(2025,12,31)-F3043,"-")</f>
        <v>-</v>
      </c>
    </row>
    <row r="3044" customFormat="false" ht="15" hidden="false" customHeight="false" outlineLevel="0" collapsed="false">
      <c r="B3044" s="7" t="s">
        <v>17689</v>
      </c>
      <c r="C3044" s="7" t="s">
        <v>3541</v>
      </c>
      <c r="D3044" s="7" t="s">
        <v>339</v>
      </c>
      <c r="E3044" s="7" t="s">
        <v>154</v>
      </c>
      <c r="F3044" s="39" t="n">
        <v>45810</v>
      </c>
      <c r="G3044" s="41" t="n">
        <v>81.09</v>
      </c>
      <c r="H3044" s="39" t="n">
        <v>45840</v>
      </c>
      <c r="I3044" s="7" t="s">
        <v>14651</v>
      </c>
      <c r="J3044" s="8" t="str">
        <f aca="false">IF(I3044="Open",DATE(2025,12,31)-F3044,"-")</f>
        <v>-</v>
      </c>
    </row>
    <row r="3045" customFormat="false" ht="15" hidden="false" customHeight="false" outlineLevel="0" collapsed="false">
      <c r="B3045" s="7" t="s">
        <v>17690</v>
      </c>
      <c r="C3045" s="7" t="s">
        <v>3542</v>
      </c>
      <c r="D3045" s="7" t="s">
        <v>341</v>
      </c>
      <c r="E3045" s="7" t="s">
        <v>156</v>
      </c>
      <c r="F3045" s="39" t="n">
        <v>45810</v>
      </c>
      <c r="G3045" s="41" t="n">
        <v>103.02</v>
      </c>
      <c r="H3045" s="39" t="n">
        <v>45826</v>
      </c>
      <c r="I3045" s="7" t="s">
        <v>14651</v>
      </c>
      <c r="J3045" s="8" t="str">
        <f aca="false">IF(I3045="Open",DATE(2025,12,31)-F3045,"-")</f>
        <v>-</v>
      </c>
    </row>
    <row r="3046" customFormat="false" ht="15" hidden="false" customHeight="false" outlineLevel="0" collapsed="false">
      <c r="B3046" s="7" t="s">
        <v>17691</v>
      </c>
      <c r="C3046" s="7" t="s">
        <v>3543</v>
      </c>
      <c r="D3046" s="7" t="s">
        <v>343</v>
      </c>
      <c r="E3046" s="7" t="s">
        <v>154</v>
      </c>
      <c r="F3046" s="39" t="n">
        <v>45810</v>
      </c>
      <c r="G3046" s="41" t="n">
        <v>104.68</v>
      </c>
      <c r="H3046" s="39" t="n">
        <v>45870</v>
      </c>
      <c r="I3046" s="7" t="s">
        <v>14651</v>
      </c>
      <c r="J3046" s="8" t="str">
        <f aca="false">IF(I3046="Open",DATE(2025,12,31)-F3046,"-")</f>
        <v>-</v>
      </c>
    </row>
    <row r="3047" customFormat="false" ht="15" hidden="false" customHeight="false" outlineLevel="0" collapsed="false">
      <c r="B3047" s="7" t="s">
        <v>17692</v>
      </c>
      <c r="C3047" s="7" t="s">
        <v>3544</v>
      </c>
      <c r="D3047" s="7" t="s">
        <v>351</v>
      </c>
      <c r="E3047" s="7" t="s">
        <v>154</v>
      </c>
      <c r="F3047" s="39" t="n">
        <v>45810</v>
      </c>
      <c r="G3047" s="41" t="n">
        <v>79.5</v>
      </c>
      <c r="H3047" s="39" t="n">
        <v>45931</v>
      </c>
      <c r="I3047" s="7" t="s">
        <v>14651</v>
      </c>
      <c r="J3047" s="8" t="str">
        <f aca="false">IF(I3047="Open",DATE(2025,12,31)-F3047,"-")</f>
        <v>-</v>
      </c>
    </row>
    <row r="3048" customFormat="false" ht="15" hidden="false" customHeight="false" outlineLevel="0" collapsed="false">
      <c r="B3048" s="7" t="s">
        <v>17693</v>
      </c>
      <c r="C3048" s="7" t="s">
        <v>3545</v>
      </c>
      <c r="D3048" s="7" t="s">
        <v>353</v>
      </c>
      <c r="E3048" s="7" t="s">
        <v>154</v>
      </c>
      <c r="F3048" s="39" t="n">
        <v>45810</v>
      </c>
      <c r="G3048" s="41" t="n">
        <v>85.86</v>
      </c>
      <c r="H3048" s="39" t="n">
        <v>45889</v>
      </c>
      <c r="I3048" s="7" t="s">
        <v>14651</v>
      </c>
      <c r="J3048" s="8" t="str">
        <f aca="false">IF(I3048="Open",DATE(2025,12,31)-F3048,"-")</f>
        <v>-</v>
      </c>
    </row>
    <row r="3049" customFormat="false" ht="15" hidden="false" customHeight="false" outlineLevel="0" collapsed="false">
      <c r="B3049" s="7" t="s">
        <v>17694</v>
      </c>
      <c r="C3049" s="7" t="s">
        <v>3546</v>
      </c>
      <c r="D3049" s="7" t="s">
        <v>355</v>
      </c>
      <c r="E3049" s="7" t="s">
        <v>154</v>
      </c>
      <c r="F3049" s="39" t="n">
        <v>45810</v>
      </c>
      <c r="G3049" s="41" t="n">
        <v>85.09</v>
      </c>
      <c r="H3049" s="39" t="n">
        <v>45875</v>
      </c>
      <c r="I3049" s="7" t="s">
        <v>14651</v>
      </c>
      <c r="J3049" s="8" t="str">
        <f aca="false">IF(I3049="Open",DATE(2025,12,31)-F3049,"-")</f>
        <v>-</v>
      </c>
    </row>
    <row r="3050" customFormat="false" ht="15" hidden="false" customHeight="false" outlineLevel="0" collapsed="false">
      <c r="B3050" s="7" t="s">
        <v>17695</v>
      </c>
      <c r="C3050" s="7" t="s">
        <v>3547</v>
      </c>
      <c r="D3050" s="7" t="s">
        <v>357</v>
      </c>
      <c r="E3050" s="7" t="s">
        <v>154</v>
      </c>
      <c r="F3050" s="39" t="n">
        <v>45810</v>
      </c>
      <c r="G3050" s="41" t="n">
        <v>90.23</v>
      </c>
      <c r="H3050" s="39" t="n">
        <v>45860</v>
      </c>
      <c r="I3050" s="7" t="s">
        <v>14651</v>
      </c>
      <c r="J3050" s="8" t="str">
        <f aca="false">IF(I3050="Open",DATE(2025,12,31)-F3050,"-")</f>
        <v>-</v>
      </c>
    </row>
    <row r="3051" customFormat="false" ht="15" hidden="false" customHeight="false" outlineLevel="0" collapsed="false">
      <c r="B3051" s="7" t="s">
        <v>17696</v>
      </c>
      <c r="C3051" s="7" t="s">
        <v>3548</v>
      </c>
      <c r="D3051" s="7" t="s">
        <v>359</v>
      </c>
      <c r="E3051" s="7" t="s">
        <v>156</v>
      </c>
      <c r="F3051" s="39" t="n">
        <v>45810</v>
      </c>
      <c r="G3051" s="41" t="n">
        <v>147.22</v>
      </c>
      <c r="H3051" s="39" t="n">
        <v>45826</v>
      </c>
      <c r="I3051" s="7" t="s">
        <v>14651</v>
      </c>
      <c r="J3051" s="8" t="str">
        <f aca="false">IF(I3051="Open",DATE(2025,12,31)-F3051,"-")</f>
        <v>-</v>
      </c>
    </row>
    <row r="3052" customFormat="false" ht="15" hidden="false" customHeight="false" outlineLevel="0" collapsed="false">
      <c r="B3052" s="7" t="s">
        <v>17697</v>
      </c>
      <c r="C3052" s="7" t="s">
        <v>3549</v>
      </c>
      <c r="D3052" s="7" t="s">
        <v>363</v>
      </c>
      <c r="E3052" s="7" t="s">
        <v>156</v>
      </c>
      <c r="F3052" s="39" t="n">
        <v>45810</v>
      </c>
      <c r="G3052" s="41" t="n">
        <v>132.6</v>
      </c>
      <c r="H3052" s="39" t="n">
        <v>45817</v>
      </c>
      <c r="I3052" s="7" t="s">
        <v>14651</v>
      </c>
      <c r="J3052" s="8" t="str">
        <f aca="false">IF(I3052="Open",DATE(2025,12,31)-F3052,"-")</f>
        <v>-</v>
      </c>
    </row>
    <row r="3053" customFormat="false" ht="15" hidden="false" customHeight="false" outlineLevel="0" collapsed="false">
      <c r="B3053" s="7" t="s">
        <v>17698</v>
      </c>
      <c r="C3053" s="7" t="s">
        <v>3550</v>
      </c>
      <c r="D3053" s="7" t="s">
        <v>365</v>
      </c>
      <c r="E3053" s="7" t="s">
        <v>154</v>
      </c>
      <c r="F3053" s="39" t="n">
        <v>45810</v>
      </c>
      <c r="G3053" s="41" t="n">
        <v>113.95</v>
      </c>
      <c r="H3053" s="39" t="n">
        <v>45892</v>
      </c>
      <c r="I3053" s="7" t="s">
        <v>14651</v>
      </c>
      <c r="J3053" s="8" t="str">
        <f aca="false">IF(I3053="Open",DATE(2025,12,31)-F3053,"-")</f>
        <v>-</v>
      </c>
    </row>
    <row r="3054" customFormat="false" ht="15" hidden="false" customHeight="false" outlineLevel="0" collapsed="false">
      <c r="B3054" s="7" t="s">
        <v>17699</v>
      </c>
      <c r="C3054" s="7" t="s">
        <v>3551</v>
      </c>
      <c r="D3054" s="7" t="s">
        <v>371</v>
      </c>
      <c r="E3054" s="7" t="s">
        <v>154</v>
      </c>
      <c r="F3054" s="39" t="n">
        <v>45810</v>
      </c>
      <c r="G3054" s="41" t="n">
        <v>114.48</v>
      </c>
      <c r="H3054" s="39" t="n">
        <v>45887</v>
      </c>
      <c r="I3054" s="7" t="s">
        <v>14651</v>
      </c>
      <c r="J3054" s="8" t="str">
        <f aca="false">IF(I3054="Open",DATE(2025,12,31)-F3054,"-")</f>
        <v>-</v>
      </c>
    </row>
    <row r="3055" customFormat="false" ht="15" hidden="false" customHeight="false" outlineLevel="0" collapsed="false">
      <c r="B3055" s="7" t="s">
        <v>17700</v>
      </c>
      <c r="C3055" s="7" t="s">
        <v>3552</v>
      </c>
      <c r="D3055" s="7" t="s">
        <v>375</v>
      </c>
      <c r="E3055" s="7" t="s">
        <v>156</v>
      </c>
      <c r="F3055" s="39" t="n">
        <v>45810</v>
      </c>
      <c r="G3055" s="41" t="n">
        <v>107.44</v>
      </c>
      <c r="H3055" s="39" t="n">
        <v>45821</v>
      </c>
      <c r="I3055" s="7" t="s">
        <v>14651</v>
      </c>
      <c r="J3055" s="8" t="str">
        <f aca="false">IF(I3055="Open",DATE(2025,12,31)-F3055,"-")</f>
        <v>-</v>
      </c>
    </row>
    <row r="3056" customFormat="false" ht="15" hidden="false" customHeight="false" outlineLevel="0" collapsed="false">
      <c r="B3056" s="7" t="s">
        <v>17701</v>
      </c>
      <c r="C3056" s="7" t="s">
        <v>3553</v>
      </c>
      <c r="D3056" s="7" t="s">
        <v>377</v>
      </c>
      <c r="E3056" s="7" t="s">
        <v>154</v>
      </c>
      <c r="F3056" s="39" t="n">
        <v>45810</v>
      </c>
      <c r="G3056" s="41" t="n">
        <v>97.25</v>
      </c>
      <c r="H3056" s="39" t="n">
        <v>45865</v>
      </c>
      <c r="I3056" s="7" t="s">
        <v>14651</v>
      </c>
      <c r="J3056" s="8" t="str">
        <f aca="false">IF(I3056="Open",DATE(2025,12,31)-F3056,"-")</f>
        <v>-</v>
      </c>
    </row>
    <row r="3057" customFormat="false" ht="15" hidden="false" customHeight="false" outlineLevel="0" collapsed="false">
      <c r="B3057" s="7" t="s">
        <v>17702</v>
      </c>
      <c r="C3057" s="7" t="s">
        <v>3554</v>
      </c>
      <c r="D3057" s="7" t="s">
        <v>379</v>
      </c>
      <c r="E3057" s="7" t="s">
        <v>156</v>
      </c>
      <c r="F3057" s="39" t="n">
        <v>45810</v>
      </c>
      <c r="G3057" s="41" t="n">
        <v>146.2</v>
      </c>
      <c r="H3057" s="39" t="n">
        <v>45816</v>
      </c>
      <c r="I3057" s="7" t="s">
        <v>14651</v>
      </c>
      <c r="J3057" s="8" t="str">
        <f aca="false">IF(I3057="Open",DATE(2025,12,31)-F3057,"-")</f>
        <v>-</v>
      </c>
    </row>
    <row r="3058" customFormat="false" ht="15" hidden="false" customHeight="false" outlineLevel="0" collapsed="false">
      <c r="B3058" s="7" t="s">
        <v>17703</v>
      </c>
      <c r="C3058" s="7" t="s">
        <v>3555</v>
      </c>
      <c r="D3058" s="7" t="s">
        <v>385</v>
      </c>
      <c r="E3058" s="7" t="s">
        <v>156</v>
      </c>
      <c r="F3058" s="39" t="n">
        <v>45810</v>
      </c>
      <c r="G3058" s="41" t="n">
        <v>137.7</v>
      </c>
      <c r="H3058" s="39" t="n">
        <v>45817</v>
      </c>
      <c r="I3058" s="7" t="s">
        <v>14651</v>
      </c>
      <c r="J3058" s="8" t="str">
        <f aca="false">IF(I3058="Open",DATE(2025,12,31)-F3058,"-")</f>
        <v>-</v>
      </c>
    </row>
    <row r="3059" customFormat="false" ht="15" hidden="false" customHeight="false" outlineLevel="0" collapsed="false">
      <c r="B3059" s="7" t="s">
        <v>17704</v>
      </c>
      <c r="C3059" s="7" t="s">
        <v>3556</v>
      </c>
      <c r="D3059" s="7" t="s">
        <v>389</v>
      </c>
      <c r="E3059" s="7" t="s">
        <v>154</v>
      </c>
      <c r="F3059" s="39" t="n">
        <v>45810</v>
      </c>
      <c r="G3059" s="41" t="n">
        <v>98.05</v>
      </c>
      <c r="H3059" s="39" t="n">
        <v>45892</v>
      </c>
      <c r="I3059" s="7" t="s">
        <v>14651</v>
      </c>
      <c r="J3059" s="8" t="str">
        <f aca="false">IF(I3059="Open",DATE(2025,12,31)-F3059,"-")</f>
        <v>-</v>
      </c>
    </row>
    <row r="3060" customFormat="false" ht="15" hidden="false" customHeight="false" outlineLevel="0" collapsed="false">
      <c r="B3060" s="7" t="s">
        <v>17705</v>
      </c>
      <c r="C3060" s="7" t="s">
        <v>3557</v>
      </c>
      <c r="D3060" s="7" t="s">
        <v>391</v>
      </c>
      <c r="E3060" s="7" t="s">
        <v>156</v>
      </c>
      <c r="F3060" s="39" t="n">
        <v>45810</v>
      </c>
      <c r="G3060" s="41" t="n">
        <v>141.78</v>
      </c>
      <c r="H3060" s="39" t="n">
        <v>45829</v>
      </c>
      <c r="I3060" s="7" t="s">
        <v>14651</v>
      </c>
      <c r="J3060" s="8" t="str">
        <f aca="false">IF(I3060="Open",DATE(2025,12,31)-F3060,"-")</f>
        <v>-</v>
      </c>
    </row>
    <row r="3061" customFormat="false" ht="15" hidden="false" customHeight="false" outlineLevel="0" collapsed="false">
      <c r="B3061" s="7" t="s">
        <v>17706</v>
      </c>
      <c r="C3061" s="7" t="s">
        <v>3558</v>
      </c>
      <c r="D3061" s="7" t="s">
        <v>395</v>
      </c>
      <c r="E3061" s="7" t="s">
        <v>156</v>
      </c>
      <c r="F3061" s="39" t="n">
        <v>45810</v>
      </c>
      <c r="G3061" s="41" t="n">
        <v>137.7</v>
      </c>
      <c r="H3061" s="39" t="n">
        <v>45819</v>
      </c>
      <c r="I3061" s="7" t="s">
        <v>14651</v>
      </c>
      <c r="J3061" s="8" t="str">
        <f aca="false">IF(I3061="Open",DATE(2025,12,31)-F3061,"-")</f>
        <v>-</v>
      </c>
    </row>
    <row r="3062" customFormat="false" ht="15" hidden="false" customHeight="false" outlineLevel="0" collapsed="false">
      <c r="B3062" s="7" t="s">
        <v>17707</v>
      </c>
      <c r="C3062" s="7" t="s">
        <v>3559</v>
      </c>
      <c r="D3062" s="7" t="s">
        <v>399</v>
      </c>
      <c r="E3062" s="7" t="s">
        <v>154</v>
      </c>
      <c r="F3062" s="39" t="n">
        <v>45810</v>
      </c>
      <c r="G3062" s="41" t="n">
        <v>95.4</v>
      </c>
      <c r="H3062" s="39" t="n">
        <v>45868</v>
      </c>
      <c r="I3062" s="7" t="s">
        <v>14651</v>
      </c>
      <c r="J3062" s="8" t="str">
        <f aca="false">IF(I3062="Open",DATE(2025,12,31)-F3062,"-")</f>
        <v>-</v>
      </c>
    </row>
    <row r="3063" customFormat="false" ht="15" hidden="false" customHeight="false" outlineLevel="0" collapsed="false">
      <c r="B3063" s="7" t="s">
        <v>17708</v>
      </c>
      <c r="C3063" s="7" t="s">
        <v>3560</v>
      </c>
      <c r="D3063" s="7" t="s">
        <v>401</v>
      </c>
      <c r="E3063" s="7" t="s">
        <v>156</v>
      </c>
      <c r="F3063" s="39" t="n">
        <v>45810</v>
      </c>
      <c r="G3063" s="41" t="n">
        <v>130.9</v>
      </c>
      <c r="H3063" s="39" t="n">
        <v>45828</v>
      </c>
      <c r="I3063" s="7" t="s">
        <v>14651</v>
      </c>
      <c r="J3063" s="8" t="str">
        <f aca="false">IF(I3063="Open",DATE(2025,12,31)-F3063,"-")</f>
        <v>-</v>
      </c>
    </row>
    <row r="3064" customFormat="false" ht="15" hidden="false" customHeight="false" outlineLevel="0" collapsed="false">
      <c r="B3064" s="7" t="s">
        <v>17709</v>
      </c>
      <c r="C3064" s="7" t="s">
        <v>3561</v>
      </c>
      <c r="D3064" s="7" t="s">
        <v>409</v>
      </c>
      <c r="E3064" s="7" t="s">
        <v>154</v>
      </c>
      <c r="F3064" s="39" t="n">
        <v>45810</v>
      </c>
      <c r="G3064" s="41" t="n">
        <v>85.33</v>
      </c>
      <c r="H3064" s="39" t="n">
        <v>45870</v>
      </c>
      <c r="I3064" s="7" t="s">
        <v>14651</v>
      </c>
      <c r="J3064" s="8" t="str">
        <f aca="false">IF(I3064="Open",DATE(2025,12,31)-F3064,"-")</f>
        <v>-</v>
      </c>
    </row>
    <row r="3065" customFormat="false" ht="15" hidden="false" customHeight="false" outlineLevel="0" collapsed="false">
      <c r="B3065" s="7" t="s">
        <v>17710</v>
      </c>
      <c r="C3065" s="7" t="s">
        <v>3562</v>
      </c>
      <c r="D3065" s="7" t="s">
        <v>411</v>
      </c>
      <c r="E3065" s="7" t="s">
        <v>154</v>
      </c>
      <c r="F3065" s="39" t="n">
        <v>45810</v>
      </c>
      <c r="G3065" s="41" t="n">
        <v>107.96</v>
      </c>
      <c r="H3065" s="39" t="n">
        <v>45842</v>
      </c>
      <c r="I3065" s="7" t="s">
        <v>14651</v>
      </c>
      <c r="J3065" s="8" t="str">
        <f aca="false">IF(I3065="Open",DATE(2025,12,31)-F3065,"-")</f>
        <v>-</v>
      </c>
    </row>
    <row r="3066" customFormat="false" ht="15" hidden="false" customHeight="false" outlineLevel="0" collapsed="false">
      <c r="B3066" s="7" t="s">
        <v>17711</v>
      </c>
      <c r="C3066" s="7" t="s">
        <v>3563</v>
      </c>
      <c r="D3066" s="7" t="s">
        <v>288</v>
      </c>
      <c r="E3066" s="7" t="s">
        <v>156</v>
      </c>
      <c r="F3066" s="39" t="n">
        <v>45811</v>
      </c>
      <c r="G3066" s="41" t="n">
        <v>125.12</v>
      </c>
      <c r="H3066" s="39" t="n">
        <v>45821</v>
      </c>
      <c r="I3066" s="7" t="s">
        <v>14651</v>
      </c>
      <c r="J3066" s="8" t="str">
        <f aca="false">IF(I3066="Open",DATE(2025,12,31)-F3066,"-")</f>
        <v>-</v>
      </c>
    </row>
    <row r="3067" customFormat="false" ht="15" hidden="false" customHeight="false" outlineLevel="0" collapsed="false">
      <c r="B3067" s="7" t="s">
        <v>17712</v>
      </c>
      <c r="C3067" s="7" t="s">
        <v>3564</v>
      </c>
      <c r="D3067" s="7" t="s">
        <v>301</v>
      </c>
      <c r="E3067" s="7" t="s">
        <v>157</v>
      </c>
      <c r="F3067" s="39" t="n">
        <v>45811</v>
      </c>
      <c r="G3067" s="41" t="n">
        <v>165</v>
      </c>
      <c r="H3067" s="39" t="n">
        <v>45854</v>
      </c>
      <c r="I3067" s="7" t="s">
        <v>14651</v>
      </c>
      <c r="J3067" s="8" t="str">
        <f aca="false">IF(I3067="Open",DATE(2025,12,31)-F3067,"-")</f>
        <v>-</v>
      </c>
    </row>
    <row r="3068" customFormat="false" ht="15" hidden="false" customHeight="false" outlineLevel="0" collapsed="false">
      <c r="B3068" s="7" t="s">
        <v>17713</v>
      </c>
      <c r="C3068" s="7" t="s">
        <v>3565</v>
      </c>
      <c r="D3068" s="7" t="s">
        <v>313</v>
      </c>
      <c r="E3068" s="7" t="s">
        <v>156</v>
      </c>
      <c r="F3068" s="39" t="n">
        <v>45811</v>
      </c>
      <c r="G3068" s="41" t="n">
        <v>130.56</v>
      </c>
      <c r="H3068" s="39" t="n">
        <v>45830</v>
      </c>
      <c r="I3068" s="7" t="s">
        <v>14651</v>
      </c>
      <c r="J3068" s="8" t="str">
        <f aca="false">IF(I3068="Open",DATE(2025,12,31)-F3068,"-")</f>
        <v>-</v>
      </c>
    </row>
    <row r="3069" customFormat="false" ht="15" hidden="false" customHeight="false" outlineLevel="0" collapsed="false">
      <c r="B3069" s="7" t="s">
        <v>17714</v>
      </c>
      <c r="C3069" s="7" t="s">
        <v>3566</v>
      </c>
      <c r="D3069" s="7" t="s">
        <v>319</v>
      </c>
      <c r="E3069" s="7" t="s">
        <v>157</v>
      </c>
      <c r="F3069" s="39" t="n">
        <v>45811</v>
      </c>
      <c r="G3069" s="41" t="n">
        <v>156.75</v>
      </c>
      <c r="H3069" s="39" t="n">
        <v>45845</v>
      </c>
      <c r="I3069" s="7" t="s">
        <v>14651</v>
      </c>
      <c r="J3069" s="8" t="str">
        <f aca="false">IF(I3069="Open",DATE(2025,12,31)-F3069,"-")</f>
        <v>-</v>
      </c>
    </row>
    <row r="3070" customFormat="false" ht="15" hidden="false" customHeight="false" outlineLevel="0" collapsed="false">
      <c r="B3070" s="7" t="s">
        <v>17715</v>
      </c>
      <c r="C3070" s="7" t="s">
        <v>3567</v>
      </c>
      <c r="D3070" s="7" t="s">
        <v>321</v>
      </c>
      <c r="E3070" s="7" t="s">
        <v>154</v>
      </c>
      <c r="F3070" s="39" t="n">
        <v>45811</v>
      </c>
      <c r="G3070" s="41" t="n">
        <v>108.38</v>
      </c>
      <c r="H3070" s="39" t="n">
        <v>45849</v>
      </c>
      <c r="I3070" s="7" t="s">
        <v>14651</v>
      </c>
      <c r="J3070" s="8" t="str">
        <f aca="false">IF(I3070="Open",DATE(2025,12,31)-F3070,"-")</f>
        <v>-</v>
      </c>
    </row>
    <row r="3071" customFormat="false" ht="15" hidden="false" customHeight="false" outlineLevel="0" collapsed="false">
      <c r="B3071" s="7" t="s">
        <v>17716</v>
      </c>
      <c r="C3071" s="7" t="s">
        <v>3568</v>
      </c>
      <c r="D3071" s="7" t="s">
        <v>323</v>
      </c>
      <c r="E3071" s="7" t="s">
        <v>159</v>
      </c>
      <c r="F3071" s="39" t="n">
        <v>45811</v>
      </c>
      <c r="G3071" s="41" t="n">
        <v>115.56</v>
      </c>
      <c r="H3071" s="39" t="n">
        <v>45871</v>
      </c>
      <c r="I3071" s="7" t="s">
        <v>14651</v>
      </c>
      <c r="J3071" s="8" t="str">
        <f aca="false">IF(I3071="Open",DATE(2025,12,31)-F3071,"-")</f>
        <v>-</v>
      </c>
    </row>
    <row r="3072" customFormat="false" ht="15" hidden="false" customHeight="false" outlineLevel="0" collapsed="false">
      <c r="B3072" s="7" t="s">
        <v>17717</v>
      </c>
      <c r="C3072" s="7" t="s">
        <v>3569</v>
      </c>
      <c r="D3072" s="7" t="s">
        <v>327</v>
      </c>
      <c r="E3072" s="7" t="s">
        <v>157</v>
      </c>
      <c r="F3072" s="39" t="n">
        <v>45811</v>
      </c>
      <c r="G3072" s="41" t="n">
        <v>153.45</v>
      </c>
      <c r="H3072" s="39" t="n">
        <v>45856</v>
      </c>
      <c r="I3072" s="7" t="s">
        <v>14651</v>
      </c>
      <c r="J3072" s="8" t="str">
        <f aca="false">IF(I3072="Open",DATE(2025,12,31)-F3072,"-")</f>
        <v>-</v>
      </c>
    </row>
    <row r="3073" customFormat="false" ht="15" hidden="false" customHeight="false" outlineLevel="0" collapsed="false">
      <c r="B3073" s="7" t="s">
        <v>17718</v>
      </c>
      <c r="C3073" s="7" t="s">
        <v>3570</v>
      </c>
      <c r="D3073" s="7" t="s">
        <v>329</v>
      </c>
      <c r="E3073" s="7" t="s">
        <v>156</v>
      </c>
      <c r="F3073" s="39" t="n">
        <v>45811</v>
      </c>
      <c r="G3073" s="41" t="n">
        <v>136.34</v>
      </c>
      <c r="H3073" s="39" t="n">
        <v>45819</v>
      </c>
      <c r="I3073" s="7" t="s">
        <v>14651</v>
      </c>
      <c r="J3073" s="8" t="str">
        <f aca="false">IF(I3073="Open",DATE(2025,12,31)-F3073,"-")</f>
        <v>-</v>
      </c>
    </row>
    <row r="3074" customFormat="false" ht="15" hidden="false" customHeight="false" outlineLevel="0" collapsed="false">
      <c r="B3074" s="7" t="s">
        <v>17719</v>
      </c>
      <c r="C3074" s="7" t="s">
        <v>3571</v>
      </c>
      <c r="D3074" s="7" t="s">
        <v>359</v>
      </c>
      <c r="E3074" s="7" t="s">
        <v>156</v>
      </c>
      <c r="F3074" s="39" t="n">
        <v>45811</v>
      </c>
      <c r="G3074" s="41" t="n">
        <v>135.32</v>
      </c>
      <c r="H3074" s="39" t="n">
        <v>45831</v>
      </c>
      <c r="I3074" s="7" t="s">
        <v>14651</v>
      </c>
      <c r="J3074" s="8" t="str">
        <f aca="false">IF(I3074="Open",DATE(2025,12,31)-F3074,"-")</f>
        <v>-</v>
      </c>
    </row>
    <row r="3075" customFormat="false" ht="15" hidden="false" customHeight="false" outlineLevel="0" collapsed="false">
      <c r="B3075" s="7" t="s">
        <v>17720</v>
      </c>
      <c r="C3075" s="7" t="s">
        <v>3572</v>
      </c>
      <c r="D3075" s="7" t="s">
        <v>361</v>
      </c>
      <c r="E3075" s="7" t="s">
        <v>157</v>
      </c>
      <c r="F3075" s="39" t="n">
        <v>45811</v>
      </c>
      <c r="G3075" s="41" t="n">
        <v>168.3</v>
      </c>
      <c r="H3075" s="39" t="n">
        <v>45886</v>
      </c>
      <c r="I3075" s="7" t="s">
        <v>14651</v>
      </c>
      <c r="J3075" s="8" t="str">
        <f aca="false">IF(I3075="Open",DATE(2025,12,31)-F3075,"-")</f>
        <v>-</v>
      </c>
    </row>
    <row r="3076" customFormat="false" ht="15" hidden="false" customHeight="false" outlineLevel="0" collapsed="false">
      <c r="B3076" s="7" t="s">
        <v>17721</v>
      </c>
      <c r="C3076" s="7" t="s">
        <v>3573</v>
      </c>
      <c r="D3076" s="7" t="s">
        <v>365</v>
      </c>
      <c r="E3076" s="7" t="s">
        <v>154</v>
      </c>
      <c r="F3076" s="39" t="n">
        <v>45811</v>
      </c>
      <c r="G3076" s="41" t="n">
        <v>103.62</v>
      </c>
      <c r="H3076" s="39" t="n">
        <v>45867</v>
      </c>
      <c r="I3076" s="7" t="s">
        <v>14651</v>
      </c>
      <c r="J3076" s="8" t="str">
        <f aca="false">IF(I3076="Open",DATE(2025,12,31)-F3076,"-")</f>
        <v>-</v>
      </c>
    </row>
    <row r="3077" customFormat="false" ht="15" hidden="false" customHeight="false" outlineLevel="0" collapsed="false">
      <c r="B3077" s="7" t="s">
        <v>17722</v>
      </c>
      <c r="C3077" s="7" t="s">
        <v>3574</v>
      </c>
      <c r="D3077" s="7" t="s">
        <v>381</v>
      </c>
      <c r="E3077" s="7" t="s">
        <v>157</v>
      </c>
      <c r="F3077" s="39" t="n">
        <v>45811</v>
      </c>
      <c r="G3077" s="41" t="n">
        <v>174.9</v>
      </c>
      <c r="H3077" s="39" t="n">
        <v>45840</v>
      </c>
      <c r="I3077" s="7" t="s">
        <v>14651</v>
      </c>
      <c r="J3077" s="8" t="str">
        <f aca="false">IF(I3077="Open",DATE(2025,12,31)-F3077,"-")</f>
        <v>-</v>
      </c>
    </row>
    <row r="3078" customFormat="false" ht="15" hidden="false" customHeight="false" outlineLevel="0" collapsed="false">
      <c r="B3078" s="7" t="s">
        <v>17723</v>
      </c>
      <c r="C3078" s="7" t="s">
        <v>3575</v>
      </c>
      <c r="D3078" s="7" t="s">
        <v>389</v>
      </c>
      <c r="E3078" s="7" t="s">
        <v>154</v>
      </c>
      <c r="F3078" s="39" t="n">
        <v>45811</v>
      </c>
      <c r="G3078" s="41" t="n">
        <v>98.05</v>
      </c>
      <c r="H3078" s="39" t="n">
        <v>45855</v>
      </c>
      <c r="I3078" s="7" t="s">
        <v>14651</v>
      </c>
      <c r="J3078" s="8" t="str">
        <f aca="false">IF(I3078="Open",DATE(2025,12,31)-F3078,"-")</f>
        <v>-</v>
      </c>
    </row>
    <row r="3079" customFormat="false" ht="15" hidden="false" customHeight="false" outlineLevel="0" collapsed="false">
      <c r="B3079" s="7" t="s">
        <v>17724</v>
      </c>
      <c r="C3079" s="7" t="s">
        <v>3576</v>
      </c>
      <c r="D3079" s="7" t="s">
        <v>391</v>
      </c>
      <c r="E3079" s="7" t="s">
        <v>156</v>
      </c>
      <c r="F3079" s="39" t="n">
        <v>45811</v>
      </c>
      <c r="G3079" s="41" t="n">
        <v>123.42</v>
      </c>
      <c r="H3079" s="39" t="n">
        <v>45825</v>
      </c>
      <c r="I3079" s="7" t="s">
        <v>14651</v>
      </c>
      <c r="J3079" s="8" t="str">
        <f aca="false">IF(I3079="Open",DATE(2025,12,31)-F3079,"-")</f>
        <v>-</v>
      </c>
    </row>
    <row r="3080" customFormat="false" ht="15" hidden="false" customHeight="false" outlineLevel="0" collapsed="false">
      <c r="B3080" s="7" t="s">
        <v>17725</v>
      </c>
      <c r="C3080" s="7" t="s">
        <v>3577</v>
      </c>
      <c r="D3080" s="7" t="s">
        <v>395</v>
      </c>
      <c r="E3080" s="7" t="s">
        <v>156</v>
      </c>
      <c r="F3080" s="39" t="n">
        <v>45811</v>
      </c>
      <c r="G3080" s="41" t="n">
        <v>134.64</v>
      </c>
      <c r="H3080" s="39" t="n">
        <v>45822</v>
      </c>
      <c r="I3080" s="7" t="s">
        <v>14651</v>
      </c>
      <c r="J3080" s="8" t="str">
        <f aca="false">IF(I3080="Open",DATE(2025,12,31)-F3080,"-")</f>
        <v>-</v>
      </c>
    </row>
    <row r="3081" customFormat="false" ht="15" hidden="false" customHeight="false" outlineLevel="0" collapsed="false">
      <c r="B3081" s="7" t="s">
        <v>17726</v>
      </c>
      <c r="C3081" s="7" t="s">
        <v>3578</v>
      </c>
      <c r="D3081" s="7" t="s">
        <v>397</v>
      </c>
      <c r="E3081" s="7" t="s">
        <v>159</v>
      </c>
      <c r="F3081" s="39" t="n">
        <v>45811</v>
      </c>
      <c r="G3081" s="41" t="n">
        <v>125.55</v>
      </c>
      <c r="H3081" s="39" t="n">
        <v>45901</v>
      </c>
      <c r="I3081" s="7" t="s">
        <v>14651</v>
      </c>
      <c r="J3081" s="8" t="str">
        <f aca="false">IF(I3081="Open",DATE(2025,12,31)-F3081,"-")</f>
        <v>-</v>
      </c>
    </row>
    <row r="3082" customFormat="false" ht="15" hidden="false" customHeight="false" outlineLevel="0" collapsed="false">
      <c r="B3082" s="7" t="s">
        <v>17727</v>
      </c>
      <c r="C3082" s="7" t="s">
        <v>3579</v>
      </c>
      <c r="D3082" s="7" t="s">
        <v>401</v>
      </c>
      <c r="E3082" s="7" t="s">
        <v>156</v>
      </c>
      <c r="F3082" s="39" t="n">
        <v>45811</v>
      </c>
      <c r="G3082" s="41" t="n">
        <v>122.74</v>
      </c>
      <c r="H3082" s="39" t="n">
        <v>45826</v>
      </c>
      <c r="I3082" s="7" t="s">
        <v>14651</v>
      </c>
      <c r="J3082" s="8" t="str">
        <f aca="false">IF(I3082="Open",DATE(2025,12,31)-F3082,"-")</f>
        <v>-</v>
      </c>
    </row>
    <row r="3083" customFormat="false" ht="15" hidden="false" customHeight="false" outlineLevel="0" collapsed="false">
      <c r="B3083" s="7" t="s">
        <v>17728</v>
      </c>
      <c r="C3083" s="7" t="s">
        <v>3580</v>
      </c>
      <c r="D3083" s="7" t="s">
        <v>407</v>
      </c>
      <c r="E3083" s="7" t="s">
        <v>159</v>
      </c>
      <c r="F3083" s="39" t="n">
        <v>45811</v>
      </c>
      <c r="G3083" s="41" t="n">
        <v>144.45</v>
      </c>
      <c r="H3083" s="39" t="n">
        <v>45860</v>
      </c>
      <c r="I3083" s="7" t="s">
        <v>14651</v>
      </c>
      <c r="J3083" s="8" t="str">
        <f aca="false">IF(I3083="Open",DATE(2025,12,31)-F3083,"-")</f>
        <v>-</v>
      </c>
    </row>
    <row r="3084" customFormat="false" ht="15" hidden="false" customHeight="false" outlineLevel="0" collapsed="false">
      <c r="B3084" s="7" t="s">
        <v>17729</v>
      </c>
      <c r="C3084" s="7" t="s">
        <v>3581</v>
      </c>
      <c r="D3084" s="7" t="s">
        <v>280</v>
      </c>
      <c r="E3084" s="7" t="s">
        <v>157</v>
      </c>
      <c r="F3084" s="39" t="n">
        <v>45812</v>
      </c>
      <c r="G3084" s="41" t="n">
        <v>166.65</v>
      </c>
      <c r="H3084" s="39" t="n">
        <v>45844</v>
      </c>
      <c r="I3084" s="7" t="s">
        <v>14651</v>
      </c>
      <c r="J3084" s="8" t="str">
        <f aca="false">IF(I3084="Open",DATE(2025,12,31)-F3084,"-")</f>
        <v>-</v>
      </c>
    </row>
    <row r="3085" customFormat="false" ht="15" hidden="false" customHeight="false" outlineLevel="0" collapsed="false">
      <c r="B3085" s="7" t="s">
        <v>17730</v>
      </c>
      <c r="C3085" s="7" t="s">
        <v>3582</v>
      </c>
      <c r="D3085" s="7" t="s">
        <v>286</v>
      </c>
      <c r="E3085" s="7" t="s">
        <v>157</v>
      </c>
      <c r="F3085" s="39" t="n">
        <v>45812</v>
      </c>
      <c r="G3085" s="41" t="n">
        <v>153.45</v>
      </c>
      <c r="H3085" s="39" t="n">
        <v>45871</v>
      </c>
      <c r="I3085" s="7" t="s">
        <v>14651</v>
      </c>
      <c r="J3085" s="8" t="str">
        <f aca="false">IF(I3085="Open",DATE(2025,12,31)-F3085,"-")</f>
        <v>-</v>
      </c>
    </row>
    <row r="3086" customFormat="false" ht="15" hidden="false" customHeight="false" outlineLevel="0" collapsed="false">
      <c r="B3086" s="7" t="s">
        <v>17731</v>
      </c>
      <c r="C3086" s="7" t="s">
        <v>3583</v>
      </c>
      <c r="D3086" s="7" t="s">
        <v>288</v>
      </c>
      <c r="E3086" s="7" t="s">
        <v>156</v>
      </c>
      <c r="F3086" s="39" t="n">
        <v>45812</v>
      </c>
      <c r="G3086" s="41" t="n">
        <v>134.98</v>
      </c>
      <c r="H3086" s="39" t="n">
        <v>45832</v>
      </c>
      <c r="I3086" s="7" t="s">
        <v>14651</v>
      </c>
      <c r="J3086" s="8" t="str">
        <f aca="false">IF(I3086="Open",DATE(2025,12,31)-F3086,"-")</f>
        <v>-</v>
      </c>
    </row>
    <row r="3087" customFormat="false" ht="15" hidden="false" customHeight="false" outlineLevel="0" collapsed="false">
      <c r="B3087" s="7" t="s">
        <v>17732</v>
      </c>
      <c r="C3087" s="7" t="s">
        <v>3584</v>
      </c>
      <c r="D3087" s="7" t="s">
        <v>291</v>
      </c>
      <c r="E3087" s="7" t="s">
        <v>154</v>
      </c>
      <c r="F3087" s="39" t="n">
        <v>45812</v>
      </c>
      <c r="G3087" s="41" t="n">
        <v>130.12</v>
      </c>
      <c r="H3087" s="39" t="n">
        <v>45880</v>
      </c>
      <c r="I3087" s="7" t="s">
        <v>14651</v>
      </c>
      <c r="J3087" s="8" t="str">
        <f aca="false">IF(I3087="Open",DATE(2025,12,31)-F3087,"-")</f>
        <v>-</v>
      </c>
    </row>
    <row r="3088" customFormat="false" ht="15" hidden="false" customHeight="false" outlineLevel="0" collapsed="false">
      <c r="B3088" s="7" t="s">
        <v>17733</v>
      </c>
      <c r="C3088" s="7" t="s">
        <v>3585</v>
      </c>
      <c r="D3088" s="7" t="s">
        <v>305</v>
      </c>
      <c r="E3088" s="7" t="s">
        <v>154</v>
      </c>
      <c r="F3088" s="39" t="n">
        <v>45812</v>
      </c>
      <c r="G3088" s="41" t="n">
        <v>114.75</v>
      </c>
      <c r="H3088" s="39" t="n">
        <v>45872</v>
      </c>
      <c r="I3088" s="7" t="s">
        <v>14651</v>
      </c>
      <c r="J3088" s="8" t="str">
        <f aca="false">IF(I3088="Open",DATE(2025,12,31)-F3088,"-")</f>
        <v>-</v>
      </c>
    </row>
    <row r="3089" customFormat="false" ht="15" hidden="false" customHeight="false" outlineLevel="0" collapsed="false">
      <c r="B3089" s="7" t="s">
        <v>17734</v>
      </c>
      <c r="C3089" s="7" t="s">
        <v>3586</v>
      </c>
      <c r="D3089" s="7" t="s">
        <v>307</v>
      </c>
      <c r="E3089" s="7" t="s">
        <v>157</v>
      </c>
      <c r="F3089" s="39" t="n">
        <v>45812</v>
      </c>
      <c r="G3089" s="41" t="n">
        <v>163.35</v>
      </c>
      <c r="H3089" s="39" t="n">
        <v>45838</v>
      </c>
      <c r="I3089" s="7" t="s">
        <v>14651</v>
      </c>
      <c r="J3089" s="8" t="str">
        <f aca="false">IF(I3089="Open",DATE(2025,12,31)-F3089,"-")</f>
        <v>-</v>
      </c>
    </row>
    <row r="3090" customFormat="false" ht="15" hidden="false" customHeight="false" outlineLevel="0" collapsed="false">
      <c r="B3090" s="7" t="s">
        <v>17735</v>
      </c>
      <c r="C3090" s="7" t="s">
        <v>3587</v>
      </c>
      <c r="D3090" s="7" t="s">
        <v>309</v>
      </c>
      <c r="E3090" s="7" t="s">
        <v>159</v>
      </c>
      <c r="F3090" s="39" t="n">
        <v>45812</v>
      </c>
      <c r="G3090" s="41" t="n">
        <v>147.15</v>
      </c>
      <c r="H3090" s="39" t="n">
        <v>45918</v>
      </c>
      <c r="I3090" s="7" t="s">
        <v>14651</v>
      </c>
      <c r="J3090" s="8" t="str">
        <f aca="false">IF(I3090="Open",DATE(2025,12,31)-F3090,"-")</f>
        <v>-</v>
      </c>
    </row>
    <row r="3091" customFormat="false" ht="15" hidden="false" customHeight="false" outlineLevel="0" collapsed="false">
      <c r="B3091" s="7" t="s">
        <v>17736</v>
      </c>
      <c r="C3091" s="7" t="s">
        <v>3588</v>
      </c>
      <c r="D3091" s="7" t="s">
        <v>313</v>
      </c>
      <c r="E3091" s="7" t="s">
        <v>156</v>
      </c>
      <c r="F3091" s="39" t="n">
        <v>45812</v>
      </c>
      <c r="G3091" s="41" t="n">
        <v>125.8</v>
      </c>
      <c r="H3091" s="39" t="n">
        <v>45815</v>
      </c>
      <c r="I3091" s="7" t="s">
        <v>14651</v>
      </c>
      <c r="J3091" s="8" t="str">
        <f aca="false">IF(I3091="Open",DATE(2025,12,31)-F3091,"-")</f>
        <v>-</v>
      </c>
    </row>
    <row r="3092" customFormat="false" ht="15" hidden="false" customHeight="false" outlineLevel="0" collapsed="false">
      <c r="B3092" s="7" t="s">
        <v>17737</v>
      </c>
      <c r="C3092" s="7" t="s">
        <v>3589</v>
      </c>
      <c r="D3092" s="7" t="s">
        <v>321</v>
      </c>
      <c r="E3092" s="7" t="s">
        <v>154</v>
      </c>
      <c r="F3092" s="39" t="n">
        <v>45812</v>
      </c>
      <c r="G3092" s="41" t="n">
        <v>102.82</v>
      </c>
      <c r="H3092" s="39" t="n">
        <v>45883</v>
      </c>
      <c r="I3092" s="7" t="s">
        <v>14651</v>
      </c>
      <c r="J3092" s="8" t="str">
        <f aca="false">IF(I3092="Open",DATE(2025,12,31)-F3092,"-")</f>
        <v>-</v>
      </c>
    </row>
    <row r="3093" customFormat="false" ht="15" hidden="false" customHeight="false" outlineLevel="0" collapsed="false">
      <c r="B3093" s="7" t="s">
        <v>17738</v>
      </c>
      <c r="C3093" s="7" t="s">
        <v>3590</v>
      </c>
      <c r="D3093" s="7" t="s">
        <v>329</v>
      </c>
      <c r="E3093" s="7" t="s">
        <v>156</v>
      </c>
      <c r="F3093" s="39" t="n">
        <v>45812</v>
      </c>
      <c r="G3093" s="41" t="n">
        <v>123.76</v>
      </c>
      <c r="H3093" s="39" t="n">
        <v>45832</v>
      </c>
      <c r="I3093" s="7" t="s">
        <v>14651</v>
      </c>
      <c r="J3093" s="8" t="str">
        <f aca="false">IF(I3093="Open",DATE(2025,12,31)-F3093,"-")</f>
        <v>-</v>
      </c>
    </row>
    <row r="3094" customFormat="false" ht="15" hidden="false" customHeight="false" outlineLevel="0" collapsed="false">
      <c r="B3094" s="7" t="s">
        <v>17739</v>
      </c>
      <c r="C3094" s="7" t="s">
        <v>3591</v>
      </c>
      <c r="D3094" s="7" t="s">
        <v>335</v>
      </c>
      <c r="E3094" s="7" t="s">
        <v>154</v>
      </c>
      <c r="F3094" s="39" t="n">
        <v>45812</v>
      </c>
      <c r="G3094" s="41" t="n">
        <v>97.52</v>
      </c>
      <c r="H3094" s="39" t="n">
        <v>45932</v>
      </c>
      <c r="I3094" s="7" t="s">
        <v>14651</v>
      </c>
      <c r="J3094" s="8" t="str">
        <f aca="false">IF(I3094="Open",DATE(2025,12,31)-F3094,"-")</f>
        <v>-</v>
      </c>
    </row>
    <row r="3095" customFormat="false" ht="15" hidden="false" customHeight="false" outlineLevel="0" collapsed="false">
      <c r="B3095" s="7" t="s">
        <v>17740</v>
      </c>
      <c r="C3095" s="7" t="s">
        <v>3592</v>
      </c>
      <c r="D3095" s="7" t="s">
        <v>339</v>
      </c>
      <c r="E3095" s="7" t="s">
        <v>154</v>
      </c>
      <c r="F3095" s="39" t="n">
        <v>45812</v>
      </c>
      <c r="G3095" s="41" t="n">
        <v>87.98</v>
      </c>
      <c r="H3095" s="39" t="n">
        <v>45891</v>
      </c>
      <c r="I3095" s="7" t="s">
        <v>14651</v>
      </c>
      <c r="J3095" s="8" t="str">
        <f aca="false">IF(I3095="Open",DATE(2025,12,31)-F3095,"-")</f>
        <v>-</v>
      </c>
    </row>
    <row r="3096" customFormat="false" ht="15" hidden="false" customHeight="false" outlineLevel="0" collapsed="false">
      <c r="B3096" s="7" t="s">
        <v>17741</v>
      </c>
      <c r="C3096" s="7" t="s">
        <v>3593</v>
      </c>
      <c r="D3096" s="7" t="s">
        <v>353</v>
      </c>
      <c r="E3096" s="7" t="s">
        <v>154</v>
      </c>
      <c r="F3096" s="39" t="n">
        <v>45812</v>
      </c>
      <c r="G3096" s="41" t="n">
        <v>93.81</v>
      </c>
      <c r="H3096" s="39" t="n">
        <v>45870</v>
      </c>
      <c r="I3096" s="7" t="s">
        <v>14651</v>
      </c>
      <c r="J3096" s="8" t="str">
        <f aca="false">IF(I3096="Open",DATE(2025,12,31)-F3096,"-")</f>
        <v>-</v>
      </c>
    </row>
    <row r="3097" customFormat="false" ht="15" hidden="false" customHeight="false" outlineLevel="0" collapsed="false">
      <c r="B3097" s="7" t="s">
        <v>17742</v>
      </c>
      <c r="C3097" s="7" t="s">
        <v>3594</v>
      </c>
      <c r="D3097" s="7" t="s">
        <v>355</v>
      </c>
      <c r="E3097" s="7" t="s">
        <v>154</v>
      </c>
      <c r="F3097" s="39" t="n">
        <v>45812</v>
      </c>
      <c r="G3097" s="41" t="n">
        <v>95.4</v>
      </c>
      <c r="H3097" s="39" t="n">
        <v>45891</v>
      </c>
      <c r="I3097" s="7" t="s">
        <v>14651</v>
      </c>
      <c r="J3097" s="8" t="str">
        <f aca="false">IF(I3097="Open",DATE(2025,12,31)-F3097,"-")</f>
        <v>-</v>
      </c>
    </row>
    <row r="3098" customFormat="false" ht="15" hidden="false" customHeight="false" outlineLevel="0" collapsed="false">
      <c r="B3098" s="7" t="s">
        <v>17743</v>
      </c>
      <c r="C3098" s="7" t="s">
        <v>3595</v>
      </c>
      <c r="D3098" s="7" t="s">
        <v>357</v>
      </c>
      <c r="E3098" s="7" t="s">
        <v>154</v>
      </c>
      <c r="F3098" s="39" t="n">
        <v>45812</v>
      </c>
      <c r="G3098" s="41" t="n">
        <v>89.97</v>
      </c>
      <c r="H3098" s="39" t="n">
        <v>45886</v>
      </c>
      <c r="I3098" s="7" t="s">
        <v>14651</v>
      </c>
      <c r="J3098" s="8" t="str">
        <f aca="false">IF(I3098="Open",DATE(2025,12,31)-F3098,"-")</f>
        <v>-</v>
      </c>
    </row>
    <row r="3099" customFormat="false" ht="15" hidden="false" customHeight="false" outlineLevel="0" collapsed="false">
      <c r="B3099" s="7" t="s">
        <v>17744</v>
      </c>
      <c r="C3099" s="7" t="s">
        <v>3596</v>
      </c>
      <c r="D3099" s="7" t="s">
        <v>359</v>
      </c>
      <c r="E3099" s="7" t="s">
        <v>156</v>
      </c>
      <c r="F3099" s="39" t="n">
        <v>45812</v>
      </c>
      <c r="G3099" s="41" t="n">
        <v>139.06</v>
      </c>
      <c r="H3099" s="39" t="n">
        <v>45819</v>
      </c>
      <c r="I3099" s="7" t="s">
        <v>14651</v>
      </c>
      <c r="J3099" s="8" t="str">
        <f aca="false">IF(I3099="Open",DATE(2025,12,31)-F3099,"-")</f>
        <v>-</v>
      </c>
    </row>
    <row r="3100" customFormat="false" ht="15" hidden="false" customHeight="false" outlineLevel="0" collapsed="false">
      <c r="B3100" s="7" t="s">
        <v>17745</v>
      </c>
      <c r="C3100" s="7" t="s">
        <v>3597</v>
      </c>
      <c r="D3100" s="7" t="s">
        <v>365</v>
      </c>
      <c r="E3100" s="7" t="s">
        <v>154</v>
      </c>
      <c r="F3100" s="39" t="n">
        <v>45812</v>
      </c>
      <c r="G3100" s="41" t="n">
        <v>96.99</v>
      </c>
      <c r="H3100" s="39" t="n">
        <v>45869</v>
      </c>
      <c r="I3100" s="7" t="s">
        <v>14651</v>
      </c>
      <c r="J3100" s="8" t="str">
        <f aca="false">IF(I3100="Open",DATE(2025,12,31)-F3100,"-")</f>
        <v>-</v>
      </c>
    </row>
    <row r="3101" customFormat="false" ht="15" hidden="false" customHeight="false" outlineLevel="0" collapsed="false">
      <c r="B3101" s="7" t="s">
        <v>17746</v>
      </c>
      <c r="C3101" s="7" t="s">
        <v>3598</v>
      </c>
      <c r="D3101" s="7" t="s">
        <v>371</v>
      </c>
      <c r="E3101" s="7" t="s">
        <v>154</v>
      </c>
      <c r="F3101" s="39" t="n">
        <v>45812</v>
      </c>
      <c r="G3101" s="41" t="n">
        <v>131.97</v>
      </c>
      <c r="H3101" s="39" t="n">
        <v>45926</v>
      </c>
      <c r="I3101" s="7" t="s">
        <v>14651</v>
      </c>
      <c r="J3101" s="8" t="str">
        <f aca="false">IF(I3101="Open",DATE(2025,12,31)-F3101,"-")</f>
        <v>-</v>
      </c>
    </row>
    <row r="3102" customFormat="false" ht="15" hidden="false" customHeight="false" outlineLevel="0" collapsed="false">
      <c r="B3102" s="7" t="s">
        <v>17747</v>
      </c>
      <c r="C3102" s="7" t="s">
        <v>3599</v>
      </c>
      <c r="D3102" s="7" t="s">
        <v>379</v>
      </c>
      <c r="E3102" s="7" t="s">
        <v>156</v>
      </c>
      <c r="F3102" s="39" t="n">
        <v>45812</v>
      </c>
      <c r="G3102" s="41" t="n">
        <v>164.9</v>
      </c>
      <c r="H3102" s="39" t="n">
        <v>45828</v>
      </c>
      <c r="I3102" s="7" t="s">
        <v>14651</v>
      </c>
      <c r="J3102" s="8" t="str">
        <f aca="false">IF(I3102="Open",DATE(2025,12,31)-F3102,"-")</f>
        <v>-</v>
      </c>
    </row>
    <row r="3103" customFormat="false" ht="15" hidden="false" customHeight="false" outlineLevel="0" collapsed="false">
      <c r="B3103" s="7" t="s">
        <v>17748</v>
      </c>
      <c r="C3103" s="7" t="s">
        <v>3600</v>
      </c>
      <c r="D3103" s="7" t="s">
        <v>385</v>
      </c>
      <c r="E3103" s="7" t="s">
        <v>156</v>
      </c>
      <c r="F3103" s="39" t="n">
        <v>45812</v>
      </c>
      <c r="G3103" s="41" t="n">
        <v>138.04</v>
      </c>
      <c r="H3103" s="39" t="n">
        <v>45823</v>
      </c>
      <c r="I3103" s="7" t="s">
        <v>14651</v>
      </c>
      <c r="J3103" s="8" t="str">
        <f aca="false">IF(I3103="Open",DATE(2025,12,31)-F3103,"-")</f>
        <v>-</v>
      </c>
    </row>
    <row r="3104" customFormat="false" ht="15" hidden="false" customHeight="false" outlineLevel="0" collapsed="false">
      <c r="B3104" s="7" t="s">
        <v>17749</v>
      </c>
      <c r="C3104" s="7" t="s">
        <v>3601</v>
      </c>
      <c r="D3104" s="7" t="s">
        <v>389</v>
      </c>
      <c r="E3104" s="7" t="s">
        <v>154</v>
      </c>
      <c r="F3104" s="39" t="n">
        <v>45812</v>
      </c>
      <c r="G3104" s="41" t="n">
        <v>104.68</v>
      </c>
      <c r="H3104" s="39" t="n">
        <v>45855</v>
      </c>
      <c r="I3104" s="7" t="s">
        <v>14651</v>
      </c>
      <c r="J3104" s="8" t="str">
        <f aca="false">IF(I3104="Open",DATE(2025,12,31)-F3104,"-")</f>
        <v>-</v>
      </c>
    </row>
    <row r="3105" customFormat="false" ht="15" hidden="false" customHeight="false" outlineLevel="0" collapsed="false">
      <c r="B3105" s="7" t="s">
        <v>17750</v>
      </c>
      <c r="C3105" s="7" t="s">
        <v>3602</v>
      </c>
      <c r="D3105" s="7" t="s">
        <v>391</v>
      </c>
      <c r="E3105" s="7" t="s">
        <v>156</v>
      </c>
      <c r="F3105" s="39" t="n">
        <v>45812</v>
      </c>
      <c r="G3105" s="41" t="n">
        <v>126.82</v>
      </c>
      <c r="H3105" s="39" t="n">
        <v>45824</v>
      </c>
      <c r="I3105" s="7" t="s">
        <v>14651</v>
      </c>
      <c r="J3105" s="8" t="str">
        <f aca="false">IF(I3105="Open",DATE(2025,12,31)-F3105,"-")</f>
        <v>-</v>
      </c>
    </row>
    <row r="3106" customFormat="false" ht="15" hidden="false" customHeight="false" outlineLevel="0" collapsed="false">
      <c r="B3106" s="7" t="s">
        <v>17751</v>
      </c>
      <c r="C3106" s="7" t="s">
        <v>3603</v>
      </c>
      <c r="D3106" s="7" t="s">
        <v>393</v>
      </c>
      <c r="E3106" s="7" t="s">
        <v>157</v>
      </c>
      <c r="F3106" s="39" t="n">
        <v>45812</v>
      </c>
      <c r="G3106" s="41" t="n">
        <v>155.1</v>
      </c>
      <c r="H3106" s="39" t="n">
        <v>45854</v>
      </c>
      <c r="I3106" s="7" t="s">
        <v>14651</v>
      </c>
      <c r="J3106" s="8" t="str">
        <f aca="false">IF(I3106="Open",DATE(2025,12,31)-F3106,"-")</f>
        <v>-</v>
      </c>
    </row>
    <row r="3107" customFormat="false" ht="15" hidden="false" customHeight="false" outlineLevel="0" collapsed="false">
      <c r="B3107" s="7" t="s">
        <v>17752</v>
      </c>
      <c r="C3107" s="7" t="s">
        <v>3604</v>
      </c>
      <c r="D3107" s="7" t="s">
        <v>395</v>
      </c>
      <c r="E3107" s="7" t="s">
        <v>156</v>
      </c>
      <c r="F3107" s="39" t="n">
        <v>45812</v>
      </c>
      <c r="G3107" s="41" t="n">
        <v>140.42</v>
      </c>
      <c r="H3107" s="39" t="n">
        <v>45820</v>
      </c>
      <c r="I3107" s="7" t="s">
        <v>14651</v>
      </c>
      <c r="J3107" s="8" t="str">
        <f aca="false">IF(I3107="Open",DATE(2025,12,31)-F3107,"-")</f>
        <v>-</v>
      </c>
    </row>
    <row r="3108" customFormat="false" ht="15" hidden="false" customHeight="false" outlineLevel="0" collapsed="false">
      <c r="B3108" s="7" t="s">
        <v>17753</v>
      </c>
      <c r="C3108" s="7" t="s">
        <v>3605</v>
      </c>
      <c r="D3108" s="7" t="s">
        <v>399</v>
      </c>
      <c r="E3108" s="7" t="s">
        <v>154</v>
      </c>
      <c r="F3108" s="39" t="n">
        <v>45812</v>
      </c>
      <c r="G3108" s="41" t="n">
        <v>95.4</v>
      </c>
      <c r="H3108" s="39" t="n">
        <v>45892</v>
      </c>
      <c r="I3108" s="7" t="s">
        <v>14651</v>
      </c>
      <c r="J3108" s="8" t="str">
        <f aca="false">IF(I3108="Open",DATE(2025,12,31)-F3108,"-")</f>
        <v>-</v>
      </c>
    </row>
    <row r="3109" customFormat="false" ht="15" hidden="false" customHeight="false" outlineLevel="0" collapsed="false">
      <c r="B3109" s="7" t="s">
        <v>17754</v>
      </c>
      <c r="C3109" s="7" t="s">
        <v>3606</v>
      </c>
      <c r="D3109" s="7" t="s">
        <v>401</v>
      </c>
      <c r="E3109" s="7" t="s">
        <v>156</v>
      </c>
      <c r="F3109" s="39" t="n">
        <v>45812</v>
      </c>
      <c r="G3109" s="41" t="n">
        <v>145.86</v>
      </c>
      <c r="H3109" s="39" t="n">
        <v>45827</v>
      </c>
      <c r="I3109" s="7" t="s">
        <v>14651</v>
      </c>
      <c r="J3109" s="8" t="str">
        <f aca="false">IF(I3109="Open",DATE(2025,12,31)-F3109,"-")</f>
        <v>-</v>
      </c>
    </row>
    <row r="3110" customFormat="false" ht="15" hidden="false" customHeight="false" outlineLevel="0" collapsed="false">
      <c r="B3110" s="7" t="s">
        <v>17755</v>
      </c>
      <c r="C3110" s="7" t="s">
        <v>3607</v>
      </c>
      <c r="D3110" s="7" t="s">
        <v>409</v>
      </c>
      <c r="E3110" s="7" t="s">
        <v>154</v>
      </c>
      <c r="F3110" s="39" t="n">
        <v>45812</v>
      </c>
      <c r="G3110" s="41" t="n">
        <v>96.46</v>
      </c>
      <c r="H3110" s="39" t="n">
        <v>45892</v>
      </c>
      <c r="I3110" s="7" t="s">
        <v>14651</v>
      </c>
      <c r="J3110" s="8" t="str">
        <f aca="false">IF(I3110="Open",DATE(2025,12,31)-F3110,"-")</f>
        <v>-</v>
      </c>
    </row>
    <row r="3111" customFormat="false" ht="15" hidden="false" customHeight="false" outlineLevel="0" collapsed="false">
      <c r="B3111" s="7" t="s">
        <v>17756</v>
      </c>
      <c r="C3111" s="7" t="s">
        <v>3608</v>
      </c>
      <c r="D3111" s="7" t="s">
        <v>411</v>
      </c>
      <c r="E3111" s="7" t="s">
        <v>154</v>
      </c>
      <c r="F3111" s="39" t="n">
        <v>45812</v>
      </c>
      <c r="G3111" s="41" t="n">
        <v>116.07</v>
      </c>
      <c r="H3111" s="39" t="n">
        <v>45866</v>
      </c>
      <c r="I3111" s="7" t="s">
        <v>14651</v>
      </c>
      <c r="J3111" s="8" t="str">
        <f aca="false">IF(I3111="Open",DATE(2025,12,31)-F3111,"-")</f>
        <v>-</v>
      </c>
    </row>
    <row r="3112" customFormat="false" ht="15" hidden="false" customHeight="false" outlineLevel="0" collapsed="false">
      <c r="B3112" s="7" t="s">
        <v>17757</v>
      </c>
      <c r="C3112" s="7" t="s">
        <v>3609</v>
      </c>
      <c r="D3112" s="7" t="s">
        <v>288</v>
      </c>
      <c r="E3112" s="7" t="s">
        <v>156</v>
      </c>
      <c r="F3112" s="39" t="n">
        <v>45813</v>
      </c>
      <c r="G3112" s="41" t="n">
        <v>136</v>
      </c>
      <c r="H3112" s="39" t="n">
        <v>45817</v>
      </c>
      <c r="I3112" s="7" t="s">
        <v>14651</v>
      </c>
      <c r="J3112" s="8" t="str">
        <f aca="false">IF(I3112="Open",DATE(2025,12,31)-F3112,"-")</f>
        <v>-</v>
      </c>
    </row>
    <row r="3113" customFormat="false" ht="15" hidden="false" customHeight="false" outlineLevel="0" collapsed="false">
      <c r="B3113" s="7" t="s">
        <v>17758</v>
      </c>
      <c r="C3113" s="7" t="s">
        <v>3610</v>
      </c>
      <c r="D3113" s="7" t="s">
        <v>297</v>
      </c>
      <c r="E3113" s="7" t="s">
        <v>156</v>
      </c>
      <c r="F3113" s="39" t="n">
        <v>45813</v>
      </c>
      <c r="G3113" s="41" t="n">
        <v>108.12</v>
      </c>
      <c r="H3113" s="39" t="n">
        <v>45829</v>
      </c>
      <c r="I3113" s="7" t="s">
        <v>14651</v>
      </c>
      <c r="J3113" s="8" t="str">
        <f aca="false">IF(I3113="Open",DATE(2025,12,31)-F3113,"-")</f>
        <v>-</v>
      </c>
    </row>
    <row r="3114" customFormat="false" ht="15" hidden="false" customHeight="false" outlineLevel="0" collapsed="false">
      <c r="B3114" s="7" t="s">
        <v>17759</v>
      </c>
      <c r="C3114" s="7" t="s">
        <v>3611</v>
      </c>
      <c r="D3114" s="7" t="s">
        <v>311</v>
      </c>
      <c r="E3114" s="7" t="s">
        <v>154</v>
      </c>
      <c r="F3114" s="39" t="n">
        <v>45813</v>
      </c>
      <c r="G3114" s="41" t="n">
        <v>82.76</v>
      </c>
      <c r="H3114" s="39" t="n">
        <v>45892</v>
      </c>
      <c r="I3114" s="7" t="s">
        <v>14651</v>
      </c>
      <c r="J3114" s="8" t="str">
        <f aca="false">IF(I3114="Open",DATE(2025,12,31)-F3114,"-")</f>
        <v>-</v>
      </c>
    </row>
    <row r="3115" customFormat="false" ht="15" hidden="false" customHeight="false" outlineLevel="0" collapsed="false">
      <c r="B3115" s="7" t="s">
        <v>17760</v>
      </c>
      <c r="C3115" s="7" t="s">
        <v>3612</v>
      </c>
      <c r="D3115" s="7" t="s">
        <v>313</v>
      </c>
      <c r="E3115" s="7" t="s">
        <v>156</v>
      </c>
      <c r="F3115" s="39" t="n">
        <v>45813</v>
      </c>
      <c r="G3115" s="41" t="n">
        <v>136.34</v>
      </c>
      <c r="H3115" s="39" t="n">
        <v>45830</v>
      </c>
      <c r="I3115" s="7" t="s">
        <v>14651</v>
      </c>
      <c r="J3115" s="8" t="str">
        <f aca="false">IF(I3115="Open",DATE(2025,12,31)-F3115,"-")</f>
        <v>-</v>
      </c>
    </row>
    <row r="3116" customFormat="false" ht="15" hidden="false" customHeight="false" outlineLevel="0" collapsed="false">
      <c r="B3116" s="7" t="s">
        <v>17761</v>
      </c>
      <c r="C3116" s="7" t="s">
        <v>3613</v>
      </c>
      <c r="D3116" s="7" t="s">
        <v>317</v>
      </c>
      <c r="E3116" s="7" t="s">
        <v>156</v>
      </c>
      <c r="F3116" s="39" t="n">
        <v>45813</v>
      </c>
      <c r="G3116" s="41" t="n">
        <v>92.82</v>
      </c>
      <c r="H3116" s="39" t="n">
        <v>45827</v>
      </c>
      <c r="I3116" s="7" t="s">
        <v>14651</v>
      </c>
      <c r="J3116" s="8" t="str">
        <f aca="false">IF(I3116="Open",DATE(2025,12,31)-F3116,"-")</f>
        <v>-</v>
      </c>
    </row>
    <row r="3117" customFormat="false" ht="15" hidden="false" customHeight="false" outlineLevel="0" collapsed="false">
      <c r="B3117" s="7" t="s">
        <v>17762</v>
      </c>
      <c r="C3117" s="7" t="s">
        <v>3614</v>
      </c>
      <c r="D3117" s="7" t="s">
        <v>321</v>
      </c>
      <c r="E3117" s="7" t="s">
        <v>154</v>
      </c>
      <c r="F3117" s="39" t="n">
        <v>45813</v>
      </c>
      <c r="G3117" s="41" t="n">
        <v>112.89</v>
      </c>
      <c r="H3117" s="39" t="n">
        <v>45897</v>
      </c>
      <c r="I3117" s="7" t="s">
        <v>14651</v>
      </c>
      <c r="J3117" s="8" t="str">
        <f aca="false">IF(I3117="Open",DATE(2025,12,31)-F3117,"-")</f>
        <v>-</v>
      </c>
    </row>
    <row r="3118" customFormat="false" ht="15" hidden="false" customHeight="false" outlineLevel="0" collapsed="false">
      <c r="B3118" s="7" t="s">
        <v>17763</v>
      </c>
      <c r="C3118" s="7" t="s">
        <v>3615</v>
      </c>
      <c r="D3118" s="7" t="s">
        <v>325</v>
      </c>
      <c r="E3118" s="7" t="s">
        <v>154</v>
      </c>
      <c r="F3118" s="39" t="n">
        <v>45813</v>
      </c>
      <c r="G3118" s="41" t="n">
        <v>77.65</v>
      </c>
      <c r="H3118" s="39" t="n">
        <v>45899</v>
      </c>
      <c r="I3118" s="7" t="s">
        <v>14651</v>
      </c>
      <c r="J3118" s="8" t="str">
        <f aca="false">IF(I3118="Open",DATE(2025,12,31)-F3118,"-")</f>
        <v>-</v>
      </c>
    </row>
    <row r="3119" customFormat="false" ht="15" hidden="false" customHeight="false" outlineLevel="0" collapsed="false">
      <c r="B3119" s="7" t="s">
        <v>17764</v>
      </c>
      <c r="C3119" s="7" t="s">
        <v>3616</v>
      </c>
      <c r="D3119" s="7" t="s">
        <v>329</v>
      </c>
      <c r="E3119" s="7" t="s">
        <v>156</v>
      </c>
      <c r="F3119" s="39" t="n">
        <v>45813</v>
      </c>
      <c r="G3119" s="41" t="n">
        <v>126.82</v>
      </c>
      <c r="H3119" s="39" t="n">
        <v>45824</v>
      </c>
      <c r="I3119" s="7" t="s">
        <v>14651</v>
      </c>
      <c r="J3119" s="8" t="str">
        <f aca="false">IF(I3119="Open",DATE(2025,12,31)-F3119,"-")</f>
        <v>-</v>
      </c>
    </row>
    <row r="3120" customFormat="false" ht="15" hidden="false" customHeight="false" outlineLevel="0" collapsed="false">
      <c r="B3120" s="7" t="s">
        <v>17765</v>
      </c>
      <c r="C3120" s="7" t="s">
        <v>3617</v>
      </c>
      <c r="D3120" s="7" t="s">
        <v>331</v>
      </c>
      <c r="E3120" s="7" t="s">
        <v>156</v>
      </c>
      <c r="F3120" s="39" t="n">
        <v>45813</v>
      </c>
      <c r="G3120" s="41" t="n">
        <v>128.86</v>
      </c>
      <c r="H3120" s="39" t="n">
        <v>45817</v>
      </c>
      <c r="I3120" s="7" t="s">
        <v>14651</v>
      </c>
      <c r="J3120" s="8" t="str">
        <f aca="false">IF(I3120="Open",DATE(2025,12,31)-F3120,"-")</f>
        <v>-</v>
      </c>
    </row>
    <row r="3121" customFormat="false" ht="15" hidden="false" customHeight="false" outlineLevel="0" collapsed="false">
      <c r="B3121" s="7" t="s">
        <v>17766</v>
      </c>
      <c r="C3121" s="7" t="s">
        <v>3618</v>
      </c>
      <c r="D3121" s="7" t="s">
        <v>337</v>
      </c>
      <c r="E3121" s="7" t="s">
        <v>154</v>
      </c>
      <c r="F3121" s="39" t="n">
        <v>45813</v>
      </c>
      <c r="G3121" s="41" t="n">
        <v>76.59</v>
      </c>
      <c r="H3121" s="39" t="n">
        <v>45895</v>
      </c>
      <c r="I3121" s="7" t="s">
        <v>14651</v>
      </c>
      <c r="J3121" s="8" t="str">
        <f aca="false">IF(I3121="Open",DATE(2025,12,31)-F3121,"-")</f>
        <v>-</v>
      </c>
    </row>
    <row r="3122" customFormat="false" ht="15" hidden="false" customHeight="false" outlineLevel="0" collapsed="false">
      <c r="B3122" s="7" t="s">
        <v>17767</v>
      </c>
      <c r="C3122" s="7" t="s">
        <v>3619</v>
      </c>
      <c r="D3122" s="7" t="s">
        <v>341</v>
      </c>
      <c r="E3122" s="7" t="s">
        <v>156</v>
      </c>
      <c r="F3122" s="39" t="n">
        <v>45813</v>
      </c>
      <c r="G3122" s="41" t="n">
        <v>110.16</v>
      </c>
      <c r="H3122" s="39" t="n">
        <v>45822</v>
      </c>
      <c r="I3122" s="7" t="s">
        <v>14651</v>
      </c>
      <c r="J3122" s="8" t="str">
        <f aca="false">IF(I3122="Open",DATE(2025,12,31)-F3122,"-")</f>
        <v>-</v>
      </c>
    </row>
    <row r="3123" customFormat="false" ht="15" hidden="false" customHeight="false" outlineLevel="0" collapsed="false">
      <c r="B3123" s="7" t="s">
        <v>17768</v>
      </c>
      <c r="C3123" s="7" t="s">
        <v>3620</v>
      </c>
      <c r="D3123" s="7" t="s">
        <v>343</v>
      </c>
      <c r="E3123" s="7" t="s">
        <v>154</v>
      </c>
      <c r="F3123" s="39" t="n">
        <v>45813</v>
      </c>
      <c r="G3123" s="41" t="n">
        <v>116.33</v>
      </c>
      <c r="H3123" s="39" t="n">
        <v>45855</v>
      </c>
      <c r="I3123" s="7" t="s">
        <v>14651</v>
      </c>
      <c r="J3123" s="8" t="str">
        <f aca="false">IF(I3123="Open",DATE(2025,12,31)-F3123,"-")</f>
        <v>-</v>
      </c>
    </row>
    <row r="3124" customFormat="false" ht="15" hidden="false" customHeight="false" outlineLevel="0" collapsed="false">
      <c r="B3124" s="7" t="s">
        <v>17769</v>
      </c>
      <c r="C3124" s="7" t="s">
        <v>3621</v>
      </c>
      <c r="D3124" s="7" t="s">
        <v>351</v>
      </c>
      <c r="E3124" s="7" t="s">
        <v>154</v>
      </c>
      <c r="F3124" s="39" t="n">
        <v>45813</v>
      </c>
      <c r="G3124" s="41" t="n">
        <v>75.79</v>
      </c>
      <c r="H3124" s="39" t="n">
        <v>45838</v>
      </c>
      <c r="I3124" s="7" t="s">
        <v>14651</v>
      </c>
      <c r="J3124" s="8" t="str">
        <f aca="false">IF(I3124="Open",DATE(2025,12,31)-F3124,"-")</f>
        <v>-</v>
      </c>
    </row>
    <row r="3125" customFormat="false" ht="15" hidden="false" customHeight="false" outlineLevel="0" collapsed="false">
      <c r="B3125" s="7" t="s">
        <v>17770</v>
      </c>
      <c r="C3125" s="7" t="s">
        <v>3622</v>
      </c>
      <c r="D3125" s="7" t="s">
        <v>359</v>
      </c>
      <c r="E3125" s="7" t="s">
        <v>156</v>
      </c>
      <c r="F3125" s="39" t="n">
        <v>45813</v>
      </c>
      <c r="G3125" s="41" t="n">
        <v>126.14</v>
      </c>
      <c r="H3125" s="39" t="n">
        <v>45827</v>
      </c>
      <c r="I3125" s="7" t="s">
        <v>14651</v>
      </c>
      <c r="J3125" s="8" t="str">
        <f aca="false">IF(I3125="Open",DATE(2025,12,31)-F3125,"-")</f>
        <v>-</v>
      </c>
    </row>
    <row r="3126" customFormat="false" ht="15" hidden="false" customHeight="false" outlineLevel="0" collapsed="false">
      <c r="B3126" s="7" t="s">
        <v>17771</v>
      </c>
      <c r="C3126" s="7" t="s">
        <v>3623</v>
      </c>
      <c r="D3126" s="7" t="s">
        <v>363</v>
      </c>
      <c r="E3126" s="7" t="s">
        <v>156</v>
      </c>
      <c r="F3126" s="39" t="n">
        <v>45813</v>
      </c>
      <c r="G3126" s="41" t="n">
        <v>147.56</v>
      </c>
      <c r="H3126" s="39" t="n">
        <v>45825</v>
      </c>
      <c r="I3126" s="7" t="s">
        <v>14651</v>
      </c>
      <c r="J3126" s="8" t="str">
        <f aca="false">IF(I3126="Open",DATE(2025,12,31)-F3126,"-")</f>
        <v>-</v>
      </c>
    </row>
    <row r="3127" customFormat="false" ht="15" hidden="false" customHeight="false" outlineLevel="0" collapsed="false">
      <c r="B3127" s="7" t="s">
        <v>17772</v>
      </c>
      <c r="C3127" s="7" t="s">
        <v>3624</v>
      </c>
      <c r="D3127" s="7" t="s">
        <v>365</v>
      </c>
      <c r="E3127" s="7" t="s">
        <v>154</v>
      </c>
      <c r="F3127" s="39" t="n">
        <v>45813</v>
      </c>
      <c r="G3127" s="41" t="n">
        <v>100.44</v>
      </c>
      <c r="H3127" s="39" t="n">
        <v>45869</v>
      </c>
      <c r="I3127" s="7" t="s">
        <v>14651</v>
      </c>
      <c r="J3127" s="8" t="str">
        <f aca="false">IF(I3127="Open",DATE(2025,12,31)-F3127,"-")</f>
        <v>-</v>
      </c>
    </row>
    <row r="3128" customFormat="false" ht="15" hidden="false" customHeight="false" outlineLevel="0" collapsed="false">
      <c r="B3128" s="7" t="s">
        <v>17773</v>
      </c>
      <c r="C3128" s="7" t="s">
        <v>3625</v>
      </c>
      <c r="D3128" s="7" t="s">
        <v>375</v>
      </c>
      <c r="E3128" s="7" t="s">
        <v>156</v>
      </c>
      <c r="F3128" s="39" t="n">
        <v>45813</v>
      </c>
      <c r="G3128" s="41" t="n">
        <v>110.16</v>
      </c>
      <c r="H3128" s="39" t="n">
        <v>45814</v>
      </c>
      <c r="I3128" s="7" t="s">
        <v>14651</v>
      </c>
      <c r="J3128" s="8" t="str">
        <f aca="false">IF(I3128="Open",DATE(2025,12,31)-F3128,"-")</f>
        <v>-</v>
      </c>
    </row>
    <row r="3129" customFormat="false" ht="15" hidden="false" customHeight="false" outlineLevel="0" collapsed="false">
      <c r="B3129" s="7" t="s">
        <v>17774</v>
      </c>
      <c r="C3129" s="7" t="s">
        <v>3626</v>
      </c>
      <c r="D3129" s="7" t="s">
        <v>377</v>
      </c>
      <c r="E3129" s="7" t="s">
        <v>154</v>
      </c>
      <c r="F3129" s="39" t="n">
        <v>45813</v>
      </c>
      <c r="G3129" s="41" t="n">
        <v>96.19</v>
      </c>
      <c r="H3129" s="39" t="n">
        <v>45911</v>
      </c>
      <c r="I3129" s="7" t="s">
        <v>14651</v>
      </c>
      <c r="J3129" s="8" t="str">
        <f aca="false">IF(I3129="Open",DATE(2025,12,31)-F3129,"-")</f>
        <v>-</v>
      </c>
    </row>
    <row r="3130" customFormat="false" ht="15" hidden="false" customHeight="false" outlineLevel="0" collapsed="false">
      <c r="B3130" s="7" t="s">
        <v>17775</v>
      </c>
      <c r="C3130" s="7" t="s">
        <v>3627</v>
      </c>
      <c r="D3130" s="7" t="s">
        <v>389</v>
      </c>
      <c r="E3130" s="7" t="s">
        <v>154</v>
      </c>
      <c r="F3130" s="39" t="n">
        <v>45813</v>
      </c>
      <c r="G3130" s="41" t="n">
        <v>104.89</v>
      </c>
      <c r="H3130" s="39" t="n">
        <v>45853</v>
      </c>
      <c r="I3130" s="7" t="s">
        <v>14651</v>
      </c>
      <c r="J3130" s="8" t="str">
        <f aca="false">IF(I3130="Open",DATE(2025,12,31)-F3130,"-")</f>
        <v>-</v>
      </c>
    </row>
    <row r="3131" customFormat="false" ht="15" hidden="false" customHeight="false" outlineLevel="0" collapsed="false">
      <c r="B3131" s="7" t="s">
        <v>17776</v>
      </c>
      <c r="C3131" s="7" t="s">
        <v>3628</v>
      </c>
      <c r="D3131" s="7" t="s">
        <v>391</v>
      </c>
      <c r="E3131" s="7" t="s">
        <v>156</v>
      </c>
      <c r="F3131" s="39" t="n">
        <v>45813</v>
      </c>
      <c r="G3131" s="41" t="n">
        <v>137.36</v>
      </c>
      <c r="H3131" s="39" t="n">
        <v>45829</v>
      </c>
      <c r="I3131" s="7" t="s">
        <v>14651</v>
      </c>
      <c r="J3131" s="8" t="str">
        <f aca="false">IF(I3131="Open",DATE(2025,12,31)-F3131,"-")</f>
        <v>-</v>
      </c>
    </row>
    <row r="3132" customFormat="false" ht="15" hidden="false" customHeight="false" outlineLevel="0" collapsed="false">
      <c r="B3132" s="7" t="s">
        <v>17777</v>
      </c>
      <c r="C3132" s="7" t="s">
        <v>3629</v>
      </c>
      <c r="D3132" s="7" t="s">
        <v>395</v>
      </c>
      <c r="E3132" s="7" t="s">
        <v>156</v>
      </c>
      <c r="F3132" s="39" t="n">
        <v>45813</v>
      </c>
      <c r="G3132" s="41" t="n">
        <v>123.42</v>
      </c>
      <c r="H3132" s="39" t="n">
        <v>45823</v>
      </c>
      <c r="I3132" s="7" t="s">
        <v>14651</v>
      </c>
      <c r="J3132" s="8" t="str">
        <f aca="false">IF(I3132="Open",DATE(2025,12,31)-F3132,"-")</f>
        <v>-</v>
      </c>
    </row>
    <row r="3133" customFormat="false" ht="15" hidden="false" customHeight="false" outlineLevel="0" collapsed="false">
      <c r="B3133" s="7" t="s">
        <v>17778</v>
      </c>
      <c r="C3133" s="7" t="s">
        <v>3630</v>
      </c>
      <c r="D3133" s="7" t="s">
        <v>401</v>
      </c>
      <c r="E3133" s="7" t="s">
        <v>156</v>
      </c>
      <c r="F3133" s="39" t="n">
        <v>45813</v>
      </c>
      <c r="G3133" s="41" t="n">
        <v>140.08</v>
      </c>
      <c r="H3133" s="39" t="n">
        <v>45824</v>
      </c>
      <c r="I3133" s="7" t="s">
        <v>14651</v>
      </c>
      <c r="J3133" s="8" t="str">
        <f aca="false">IF(I3133="Open",DATE(2025,12,31)-F3133,"-")</f>
        <v>-</v>
      </c>
    </row>
    <row r="3134" customFormat="false" ht="15" hidden="false" customHeight="false" outlineLevel="0" collapsed="false">
      <c r="B3134" s="7" t="s">
        <v>17779</v>
      </c>
      <c r="C3134" s="7" t="s">
        <v>3631</v>
      </c>
      <c r="D3134" s="7" t="s">
        <v>280</v>
      </c>
      <c r="E3134" s="7" t="s">
        <v>157</v>
      </c>
      <c r="F3134" s="39" t="n">
        <v>45814</v>
      </c>
      <c r="G3134" s="41" t="n">
        <v>167.64</v>
      </c>
      <c r="H3134" s="39" t="n">
        <v>45839</v>
      </c>
      <c r="I3134" s="7" t="s">
        <v>14651</v>
      </c>
      <c r="J3134" s="8" t="str">
        <f aca="false">IF(I3134="Open",DATE(2025,12,31)-F3134,"-")</f>
        <v>-</v>
      </c>
    </row>
    <row r="3135" customFormat="false" ht="15" hidden="false" customHeight="false" outlineLevel="0" collapsed="false">
      <c r="B3135" s="7" t="s">
        <v>17780</v>
      </c>
      <c r="C3135" s="7" t="s">
        <v>3632</v>
      </c>
      <c r="D3135" s="7" t="s">
        <v>288</v>
      </c>
      <c r="E3135" s="7" t="s">
        <v>156</v>
      </c>
      <c r="F3135" s="39" t="n">
        <v>45814</v>
      </c>
      <c r="G3135" s="41" t="n">
        <v>123.76</v>
      </c>
      <c r="H3135" s="39" t="n">
        <v>45832</v>
      </c>
      <c r="I3135" s="7" t="s">
        <v>14651</v>
      </c>
      <c r="J3135" s="8" t="str">
        <f aca="false">IF(I3135="Open",DATE(2025,12,31)-F3135,"-")</f>
        <v>-</v>
      </c>
    </row>
    <row r="3136" customFormat="false" ht="15" hidden="false" customHeight="false" outlineLevel="0" collapsed="false">
      <c r="B3136" s="7" t="s">
        <v>17781</v>
      </c>
      <c r="C3136" s="7" t="s">
        <v>3633</v>
      </c>
      <c r="D3136" s="7" t="s">
        <v>291</v>
      </c>
      <c r="E3136" s="7" t="s">
        <v>154</v>
      </c>
      <c r="F3136" s="39" t="n">
        <v>45814</v>
      </c>
      <c r="G3136" s="41" t="n">
        <v>132.5</v>
      </c>
      <c r="H3136" s="39" t="n">
        <v>45868</v>
      </c>
      <c r="I3136" s="7" t="s">
        <v>14651</v>
      </c>
      <c r="J3136" s="8" t="str">
        <f aca="false">IF(I3136="Open",DATE(2025,12,31)-F3136,"-")</f>
        <v>-</v>
      </c>
    </row>
    <row r="3137" customFormat="false" ht="15" hidden="false" customHeight="false" outlineLevel="0" collapsed="false">
      <c r="B3137" s="7" t="s">
        <v>17782</v>
      </c>
      <c r="C3137" s="7" t="s">
        <v>3634</v>
      </c>
      <c r="D3137" s="7" t="s">
        <v>301</v>
      </c>
      <c r="E3137" s="7" t="s">
        <v>157</v>
      </c>
      <c r="F3137" s="39" t="n">
        <v>45814</v>
      </c>
      <c r="G3137" s="41" t="n">
        <v>166.65</v>
      </c>
      <c r="H3137" s="39" t="n">
        <v>45905</v>
      </c>
      <c r="I3137" s="7" t="s">
        <v>14651</v>
      </c>
      <c r="J3137" s="8" t="str">
        <f aca="false">IF(I3137="Open",DATE(2025,12,31)-F3137,"-")</f>
        <v>-</v>
      </c>
    </row>
    <row r="3138" customFormat="false" ht="15" hidden="false" customHeight="false" outlineLevel="0" collapsed="false">
      <c r="B3138" s="7" t="s">
        <v>17783</v>
      </c>
      <c r="C3138" s="7" t="s">
        <v>3635</v>
      </c>
      <c r="D3138" s="7" t="s">
        <v>305</v>
      </c>
      <c r="E3138" s="7" t="s">
        <v>154</v>
      </c>
      <c r="F3138" s="39" t="n">
        <v>45814</v>
      </c>
      <c r="G3138" s="41" t="n">
        <v>110.24</v>
      </c>
      <c r="H3138" s="39" t="n">
        <v>45900</v>
      </c>
      <c r="I3138" s="7" t="s">
        <v>14651</v>
      </c>
      <c r="J3138" s="8" t="str">
        <f aca="false">IF(I3138="Open",DATE(2025,12,31)-F3138,"-")</f>
        <v>-</v>
      </c>
    </row>
    <row r="3139" customFormat="false" ht="15" hidden="false" customHeight="false" outlineLevel="0" collapsed="false">
      <c r="B3139" s="7" t="s">
        <v>17784</v>
      </c>
      <c r="C3139" s="7" t="s">
        <v>3636</v>
      </c>
      <c r="D3139" s="7" t="s">
        <v>307</v>
      </c>
      <c r="E3139" s="7" t="s">
        <v>157</v>
      </c>
      <c r="F3139" s="39" t="n">
        <v>45814</v>
      </c>
      <c r="G3139" s="41" t="n">
        <v>153.45</v>
      </c>
      <c r="H3139" s="39" t="n">
        <v>45858</v>
      </c>
      <c r="I3139" s="7" t="s">
        <v>14651</v>
      </c>
      <c r="J3139" s="8" t="str">
        <f aca="false">IF(I3139="Open",DATE(2025,12,31)-F3139,"-")</f>
        <v>-</v>
      </c>
    </row>
    <row r="3140" customFormat="false" ht="15" hidden="false" customHeight="false" outlineLevel="0" collapsed="false">
      <c r="B3140" s="7" t="s">
        <v>17785</v>
      </c>
      <c r="C3140" s="7" t="s">
        <v>3637</v>
      </c>
      <c r="D3140" s="7" t="s">
        <v>309</v>
      </c>
      <c r="E3140" s="7" t="s">
        <v>159</v>
      </c>
      <c r="F3140" s="39" t="n">
        <v>45814</v>
      </c>
      <c r="G3140" s="41" t="n">
        <v>148.5</v>
      </c>
      <c r="H3140" s="39" t="n">
        <v>45855</v>
      </c>
      <c r="I3140" s="7" t="s">
        <v>14651</v>
      </c>
      <c r="J3140" s="8" t="str">
        <f aca="false">IF(I3140="Open",DATE(2025,12,31)-F3140,"-")</f>
        <v>-</v>
      </c>
    </row>
    <row r="3141" customFormat="false" ht="15" hidden="false" customHeight="false" outlineLevel="0" collapsed="false">
      <c r="B3141" s="7" t="s">
        <v>17786</v>
      </c>
      <c r="C3141" s="7" t="s">
        <v>3638</v>
      </c>
      <c r="D3141" s="7" t="s">
        <v>313</v>
      </c>
      <c r="E3141" s="7" t="s">
        <v>156</v>
      </c>
      <c r="F3141" s="39" t="n">
        <v>45814</v>
      </c>
      <c r="G3141" s="41" t="n">
        <v>134.3</v>
      </c>
      <c r="H3141" s="39" t="n">
        <v>45819</v>
      </c>
      <c r="I3141" s="7" t="s">
        <v>14651</v>
      </c>
      <c r="J3141" s="8" t="str">
        <f aca="false">IF(I3141="Open",DATE(2025,12,31)-F3141,"-")</f>
        <v>-</v>
      </c>
    </row>
    <row r="3142" customFormat="false" ht="15" hidden="false" customHeight="false" outlineLevel="0" collapsed="false">
      <c r="B3142" s="7" t="s">
        <v>17787</v>
      </c>
      <c r="C3142" s="7" t="s">
        <v>3639</v>
      </c>
      <c r="D3142" s="7" t="s">
        <v>319</v>
      </c>
      <c r="E3142" s="7" t="s">
        <v>157</v>
      </c>
      <c r="F3142" s="39" t="n">
        <v>45814</v>
      </c>
      <c r="G3142" s="41" t="n">
        <v>168.3</v>
      </c>
      <c r="H3142" s="39" t="n">
        <v>45842</v>
      </c>
      <c r="I3142" s="7" t="s">
        <v>14651</v>
      </c>
      <c r="J3142" s="8" t="str">
        <f aca="false">IF(I3142="Open",DATE(2025,12,31)-F3142,"-")</f>
        <v>-</v>
      </c>
    </row>
    <row r="3143" customFormat="false" ht="15" hidden="false" customHeight="false" outlineLevel="0" collapsed="false">
      <c r="B3143" s="7" t="s">
        <v>17788</v>
      </c>
      <c r="C3143" s="7" t="s">
        <v>3640</v>
      </c>
      <c r="D3143" s="7" t="s">
        <v>321</v>
      </c>
      <c r="E3143" s="7" t="s">
        <v>154</v>
      </c>
      <c r="F3143" s="39" t="n">
        <v>45814</v>
      </c>
      <c r="G3143" s="41" t="n">
        <v>114.21</v>
      </c>
      <c r="H3143" s="39" t="n">
        <v>45872</v>
      </c>
      <c r="I3143" s="7" t="s">
        <v>14651</v>
      </c>
      <c r="J3143" s="8" t="str">
        <f aca="false">IF(I3143="Open",DATE(2025,12,31)-F3143,"-")</f>
        <v>-</v>
      </c>
    </row>
    <row r="3144" customFormat="false" ht="15" hidden="false" customHeight="false" outlineLevel="0" collapsed="false">
      <c r="B3144" s="7" t="s">
        <v>17789</v>
      </c>
      <c r="C3144" s="7" t="s">
        <v>3641</v>
      </c>
      <c r="D3144" s="7" t="s">
        <v>327</v>
      </c>
      <c r="E3144" s="7" t="s">
        <v>157</v>
      </c>
      <c r="F3144" s="39" t="n">
        <v>45814</v>
      </c>
      <c r="G3144" s="41" t="n">
        <v>148.83</v>
      </c>
      <c r="H3144" s="39" t="n">
        <v>45854</v>
      </c>
      <c r="I3144" s="7" t="s">
        <v>14651</v>
      </c>
      <c r="J3144" s="8" t="str">
        <f aca="false">IF(I3144="Open",DATE(2025,12,31)-F3144,"-")</f>
        <v>-</v>
      </c>
    </row>
    <row r="3145" customFormat="false" ht="15" hidden="false" customHeight="false" outlineLevel="0" collapsed="false">
      <c r="B3145" s="7" t="s">
        <v>17790</v>
      </c>
      <c r="C3145" s="7" t="s">
        <v>3642</v>
      </c>
      <c r="D3145" s="7" t="s">
        <v>329</v>
      </c>
      <c r="E3145" s="7" t="s">
        <v>156</v>
      </c>
      <c r="F3145" s="39" t="n">
        <v>45814</v>
      </c>
      <c r="G3145" s="41" t="n">
        <v>134.3</v>
      </c>
      <c r="H3145" s="39" t="n">
        <v>45824</v>
      </c>
      <c r="I3145" s="7" t="s">
        <v>14651</v>
      </c>
      <c r="J3145" s="8" t="str">
        <f aca="false">IF(I3145="Open",DATE(2025,12,31)-F3145,"-")</f>
        <v>-</v>
      </c>
    </row>
    <row r="3146" customFormat="false" ht="15" hidden="false" customHeight="false" outlineLevel="0" collapsed="false">
      <c r="B3146" s="7" t="s">
        <v>17791</v>
      </c>
      <c r="C3146" s="7" t="s">
        <v>3643</v>
      </c>
      <c r="D3146" s="7" t="s">
        <v>335</v>
      </c>
      <c r="E3146" s="7" t="s">
        <v>154</v>
      </c>
      <c r="F3146" s="39" t="n">
        <v>45814</v>
      </c>
      <c r="G3146" s="41" t="n">
        <v>108.12</v>
      </c>
      <c r="H3146" s="39" t="n">
        <v>45863</v>
      </c>
      <c r="I3146" s="7" t="s">
        <v>14651</v>
      </c>
      <c r="J3146" s="8" t="str">
        <f aca="false">IF(I3146="Open",DATE(2025,12,31)-F3146,"-")</f>
        <v>-</v>
      </c>
    </row>
    <row r="3147" customFormat="false" ht="15" hidden="false" customHeight="false" outlineLevel="0" collapsed="false">
      <c r="B3147" s="7" t="s">
        <v>17792</v>
      </c>
      <c r="C3147" s="7" t="s">
        <v>3644</v>
      </c>
      <c r="D3147" s="7" t="s">
        <v>339</v>
      </c>
      <c r="E3147" s="7" t="s">
        <v>154</v>
      </c>
      <c r="F3147" s="39" t="n">
        <v>45814</v>
      </c>
      <c r="G3147" s="41" t="n">
        <v>81.88</v>
      </c>
      <c r="H3147" s="39" t="n">
        <v>45886</v>
      </c>
      <c r="I3147" s="7" t="s">
        <v>14651</v>
      </c>
      <c r="J3147" s="8" t="str">
        <f aca="false">IF(I3147="Open",DATE(2025,12,31)-F3147,"-")</f>
        <v>-</v>
      </c>
    </row>
    <row r="3148" customFormat="false" ht="15" hidden="false" customHeight="false" outlineLevel="0" collapsed="false">
      <c r="B3148" s="7" t="s">
        <v>17793</v>
      </c>
      <c r="C3148" s="7" t="s">
        <v>3645</v>
      </c>
      <c r="D3148" s="7" t="s">
        <v>353</v>
      </c>
      <c r="E3148" s="7" t="s">
        <v>154</v>
      </c>
      <c r="F3148" s="39" t="n">
        <v>45814</v>
      </c>
      <c r="G3148" s="41" t="n">
        <v>91.16</v>
      </c>
      <c r="H3148" s="39" t="n">
        <v>45880</v>
      </c>
      <c r="I3148" s="7" t="s">
        <v>14651</v>
      </c>
      <c r="J3148" s="8" t="str">
        <f aca="false">IF(I3148="Open",DATE(2025,12,31)-F3148,"-")</f>
        <v>-</v>
      </c>
    </row>
    <row r="3149" customFormat="false" ht="15" hidden="false" customHeight="false" outlineLevel="0" collapsed="false">
      <c r="B3149" s="7" t="s">
        <v>17794</v>
      </c>
      <c r="C3149" s="7" t="s">
        <v>3646</v>
      </c>
      <c r="D3149" s="7" t="s">
        <v>355</v>
      </c>
      <c r="E3149" s="7" t="s">
        <v>154</v>
      </c>
      <c r="F3149" s="39" t="n">
        <v>45814</v>
      </c>
      <c r="G3149" s="41" t="n">
        <v>83.21</v>
      </c>
      <c r="H3149" s="39" t="n">
        <v>45906</v>
      </c>
      <c r="I3149" s="7" t="s">
        <v>14651</v>
      </c>
      <c r="J3149" s="8" t="str">
        <f aca="false">IF(I3149="Open",DATE(2025,12,31)-F3149,"-")</f>
        <v>-</v>
      </c>
    </row>
    <row r="3150" customFormat="false" ht="15" hidden="false" customHeight="false" outlineLevel="0" collapsed="false">
      <c r="B3150" s="7" t="s">
        <v>17795</v>
      </c>
      <c r="C3150" s="7" t="s">
        <v>3647</v>
      </c>
      <c r="D3150" s="7" t="s">
        <v>357</v>
      </c>
      <c r="E3150" s="7" t="s">
        <v>154</v>
      </c>
      <c r="F3150" s="39" t="n">
        <v>45814</v>
      </c>
      <c r="G3150" s="41" t="n">
        <v>95.4</v>
      </c>
      <c r="H3150" s="39" t="n">
        <v>45922</v>
      </c>
      <c r="I3150" s="7" t="s">
        <v>14651</v>
      </c>
      <c r="J3150" s="8" t="str">
        <f aca="false">IF(I3150="Open",DATE(2025,12,31)-F3150,"-")</f>
        <v>-</v>
      </c>
    </row>
    <row r="3151" customFormat="false" ht="15" hidden="false" customHeight="false" outlineLevel="0" collapsed="false">
      <c r="B3151" s="7" t="s">
        <v>17796</v>
      </c>
      <c r="C3151" s="7" t="s">
        <v>3648</v>
      </c>
      <c r="D3151" s="7" t="s">
        <v>359</v>
      </c>
      <c r="E3151" s="7" t="s">
        <v>156</v>
      </c>
      <c r="F3151" s="39" t="n">
        <v>45814</v>
      </c>
      <c r="G3151" s="41" t="n">
        <v>130.56</v>
      </c>
      <c r="H3151" s="39" t="n">
        <v>45824</v>
      </c>
      <c r="I3151" s="7" t="s">
        <v>14651</v>
      </c>
      <c r="J3151" s="8" t="str">
        <f aca="false">IF(I3151="Open",DATE(2025,12,31)-F3151,"-")</f>
        <v>-</v>
      </c>
    </row>
    <row r="3152" customFormat="false" ht="15" hidden="false" customHeight="false" outlineLevel="0" collapsed="false">
      <c r="B3152" s="7" t="s">
        <v>17797</v>
      </c>
      <c r="C3152" s="7" t="s">
        <v>3649</v>
      </c>
      <c r="D3152" s="7" t="s">
        <v>361</v>
      </c>
      <c r="E3152" s="7" t="s">
        <v>157</v>
      </c>
      <c r="F3152" s="39" t="n">
        <v>45814</v>
      </c>
      <c r="G3152" s="41" t="n">
        <v>176.55</v>
      </c>
      <c r="H3152" s="39" t="n">
        <v>45860</v>
      </c>
      <c r="I3152" s="7" t="s">
        <v>14651</v>
      </c>
      <c r="J3152" s="8" t="str">
        <f aca="false">IF(I3152="Open",DATE(2025,12,31)-F3152,"-")</f>
        <v>-</v>
      </c>
    </row>
    <row r="3153" customFormat="false" ht="15" hidden="false" customHeight="false" outlineLevel="0" collapsed="false">
      <c r="B3153" s="7" t="s">
        <v>17798</v>
      </c>
      <c r="C3153" s="7" t="s">
        <v>3650</v>
      </c>
      <c r="D3153" s="7" t="s">
        <v>365</v>
      </c>
      <c r="E3153" s="7" t="s">
        <v>154</v>
      </c>
      <c r="F3153" s="39" t="n">
        <v>45814</v>
      </c>
      <c r="G3153" s="41" t="n">
        <v>99.22</v>
      </c>
      <c r="H3153" s="39" t="n">
        <v>45874</v>
      </c>
      <c r="I3153" s="7" t="s">
        <v>14651</v>
      </c>
      <c r="J3153" s="8" t="str">
        <f aca="false">IF(I3153="Open",DATE(2025,12,31)-F3153,"-")</f>
        <v>-</v>
      </c>
    </row>
    <row r="3154" customFormat="false" ht="15" hidden="false" customHeight="false" outlineLevel="0" collapsed="false">
      <c r="B3154" s="7" t="s">
        <v>17799</v>
      </c>
      <c r="C3154" s="7" t="s">
        <v>3651</v>
      </c>
      <c r="D3154" s="7" t="s">
        <v>371</v>
      </c>
      <c r="E3154" s="7" t="s">
        <v>154</v>
      </c>
      <c r="F3154" s="39" t="n">
        <v>45814</v>
      </c>
      <c r="G3154" s="41" t="n">
        <v>119.78</v>
      </c>
      <c r="H3154" s="39" t="n">
        <v>45868</v>
      </c>
      <c r="I3154" s="7" t="s">
        <v>14651</v>
      </c>
      <c r="J3154" s="8" t="str">
        <f aca="false">IF(I3154="Open",DATE(2025,12,31)-F3154,"-")</f>
        <v>-</v>
      </c>
    </row>
    <row r="3155" customFormat="false" ht="15" hidden="false" customHeight="false" outlineLevel="0" collapsed="false">
      <c r="B3155" s="7" t="s">
        <v>17800</v>
      </c>
      <c r="C3155" s="7" t="s">
        <v>3652</v>
      </c>
      <c r="D3155" s="7" t="s">
        <v>379</v>
      </c>
      <c r="E3155" s="7" t="s">
        <v>156</v>
      </c>
      <c r="F3155" s="39" t="n">
        <v>45814</v>
      </c>
      <c r="G3155" s="41" t="n">
        <v>158.1</v>
      </c>
      <c r="H3155" s="39" t="n">
        <v>45832</v>
      </c>
      <c r="I3155" s="7" t="s">
        <v>14651</v>
      </c>
      <c r="J3155" s="8" t="str">
        <f aca="false">IF(I3155="Open",DATE(2025,12,31)-F3155,"-")</f>
        <v>-</v>
      </c>
    </row>
    <row r="3156" customFormat="false" ht="15" hidden="false" customHeight="false" outlineLevel="0" collapsed="false">
      <c r="B3156" s="7" t="s">
        <v>17801</v>
      </c>
      <c r="C3156" s="7" t="s">
        <v>3653</v>
      </c>
      <c r="D3156" s="7" t="s">
        <v>381</v>
      </c>
      <c r="E3156" s="7" t="s">
        <v>157</v>
      </c>
      <c r="F3156" s="39" t="n">
        <v>45814</v>
      </c>
      <c r="G3156" s="41" t="n">
        <v>176.55</v>
      </c>
      <c r="H3156" s="39" t="n">
        <v>45846</v>
      </c>
      <c r="I3156" s="7" t="s">
        <v>14651</v>
      </c>
      <c r="J3156" s="8" t="str">
        <f aca="false">IF(I3156="Open",DATE(2025,12,31)-F3156,"-")</f>
        <v>-</v>
      </c>
    </row>
    <row r="3157" customFormat="false" ht="15" hidden="false" customHeight="false" outlineLevel="0" collapsed="false">
      <c r="B3157" s="7" t="s">
        <v>17802</v>
      </c>
      <c r="C3157" s="7" t="s">
        <v>3654</v>
      </c>
      <c r="D3157" s="7" t="s">
        <v>385</v>
      </c>
      <c r="E3157" s="7" t="s">
        <v>156</v>
      </c>
      <c r="F3157" s="39" t="n">
        <v>45814</v>
      </c>
      <c r="G3157" s="41" t="n">
        <v>137.36</v>
      </c>
      <c r="H3157" s="39" t="n">
        <v>45826</v>
      </c>
      <c r="I3157" s="7" t="s">
        <v>14651</v>
      </c>
      <c r="J3157" s="8" t="str">
        <f aca="false">IF(I3157="Open",DATE(2025,12,31)-F3157,"-")</f>
        <v>-</v>
      </c>
    </row>
    <row r="3158" customFormat="false" ht="15" hidden="false" customHeight="false" outlineLevel="0" collapsed="false">
      <c r="B3158" s="7" t="s">
        <v>17803</v>
      </c>
      <c r="C3158" s="7" t="s">
        <v>3655</v>
      </c>
      <c r="D3158" s="7" t="s">
        <v>389</v>
      </c>
      <c r="E3158" s="7" t="s">
        <v>154</v>
      </c>
      <c r="F3158" s="39" t="n">
        <v>45814</v>
      </c>
      <c r="G3158" s="41" t="n">
        <v>112.1</v>
      </c>
      <c r="H3158" s="39" t="n">
        <v>45875</v>
      </c>
      <c r="I3158" s="7" t="s">
        <v>14651</v>
      </c>
      <c r="J3158" s="8" t="str">
        <f aca="false">IF(I3158="Open",DATE(2025,12,31)-F3158,"-")</f>
        <v>-</v>
      </c>
    </row>
    <row r="3159" customFormat="false" ht="15" hidden="false" customHeight="false" outlineLevel="0" collapsed="false">
      <c r="B3159" s="7" t="s">
        <v>17804</v>
      </c>
      <c r="C3159" s="7" t="s">
        <v>3656</v>
      </c>
      <c r="D3159" s="7" t="s">
        <v>391</v>
      </c>
      <c r="E3159" s="7" t="s">
        <v>156</v>
      </c>
      <c r="F3159" s="39" t="n">
        <v>45814</v>
      </c>
      <c r="G3159" s="41" t="n">
        <v>134.3</v>
      </c>
      <c r="H3159" s="39" t="n">
        <v>45834</v>
      </c>
      <c r="I3159" s="7" t="s">
        <v>14651</v>
      </c>
      <c r="J3159" s="8" t="str">
        <f aca="false">IF(I3159="Open",DATE(2025,12,31)-F3159,"-")</f>
        <v>-</v>
      </c>
    </row>
    <row r="3160" customFormat="false" ht="15" hidden="false" customHeight="false" outlineLevel="0" collapsed="false">
      <c r="B3160" s="7" t="s">
        <v>17805</v>
      </c>
      <c r="C3160" s="7" t="s">
        <v>3657</v>
      </c>
      <c r="D3160" s="7" t="s">
        <v>395</v>
      </c>
      <c r="E3160" s="7" t="s">
        <v>156</v>
      </c>
      <c r="F3160" s="39" t="n">
        <v>45814</v>
      </c>
      <c r="G3160" s="41" t="n">
        <v>123.08</v>
      </c>
      <c r="H3160" s="39" t="n">
        <v>45824</v>
      </c>
      <c r="I3160" s="7" t="s">
        <v>14651</v>
      </c>
      <c r="J3160" s="8" t="str">
        <f aca="false">IF(I3160="Open",DATE(2025,12,31)-F3160,"-")</f>
        <v>-</v>
      </c>
    </row>
    <row r="3161" customFormat="false" ht="15" hidden="false" customHeight="false" outlineLevel="0" collapsed="false">
      <c r="B3161" s="7" t="s">
        <v>17806</v>
      </c>
      <c r="C3161" s="7" t="s">
        <v>3658</v>
      </c>
      <c r="D3161" s="7" t="s">
        <v>397</v>
      </c>
      <c r="E3161" s="7" t="s">
        <v>159</v>
      </c>
      <c r="F3161" s="39" t="n">
        <v>45814</v>
      </c>
      <c r="G3161" s="41" t="n">
        <v>137.7</v>
      </c>
      <c r="H3161" s="39" t="n">
        <v>45870</v>
      </c>
      <c r="I3161" s="7" t="s">
        <v>14651</v>
      </c>
      <c r="J3161" s="8" t="str">
        <f aca="false">IF(I3161="Open",DATE(2025,12,31)-F3161,"-")</f>
        <v>-</v>
      </c>
    </row>
    <row r="3162" customFormat="false" ht="15" hidden="false" customHeight="false" outlineLevel="0" collapsed="false">
      <c r="B3162" s="7" t="s">
        <v>17807</v>
      </c>
      <c r="C3162" s="7" t="s">
        <v>3659</v>
      </c>
      <c r="D3162" s="7" t="s">
        <v>399</v>
      </c>
      <c r="E3162" s="7" t="s">
        <v>154</v>
      </c>
      <c r="F3162" s="39" t="n">
        <v>45814</v>
      </c>
      <c r="G3162" s="41" t="n">
        <v>80.56</v>
      </c>
      <c r="H3162" s="39" t="n">
        <v>45875</v>
      </c>
      <c r="I3162" s="7" t="s">
        <v>14651</v>
      </c>
      <c r="J3162" s="8" t="str">
        <f aca="false">IF(I3162="Open",DATE(2025,12,31)-F3162,"-")</f>
        <v>-</v>
      </c>
    </row>
    <row r="3163" customFormat="false" ht="15" hidden="false" customHeight="false" outlineLevel="0" collapsed="false">
      <c r="B3163" s="7" t="s">
        <v>17808</v>
      </c>
      <c r="C3163" s="7" t="s">
        <v>3660</v>
      </c>
      <c r="D3163" s="7" t="s">
        <v>401</v>
      </c>
      <c r="E3163" s="7" t="s">
        <v>156</v>
      </c>
      <c r="F3163" s="39" t="n">
        <v>45814</v>
      </c>
      <c r="G3163" s="41" t="n">
        <v>145.86</v>
      </c>
      <c r="H3163" s="39" t="n">
        <v>45821</v>
      </c>
      <c r="I3163" s="7" t="s">
        <v>14651</v>
      </c>
      <c r="J3163" s="8" t="str">
        <f aca="false">IF(I3163="Open",DATE(2025,12,31)-F3163,"-")</f>
        <v>-</v>
      </c>
    </row>
    <row r="3164" customFormat="false" ht="15" hidden="false" customHeight="false" outlineLevel="0" collapsed="false">
      <c r="B3164" s="7" t="s">
        <v>17809</v>
      </c>
      <c r="C3164" s="7" t="s">
        <v>3661</v>
      </c>
      <c r="D3164" s="7" t="s">
        <v>407</v>
      </c>
      <c r="E3164" s="7" t="s">
        <v>159</v>
      </c>
      <c r="F3164" s="39" t="n">
        <v>45814</v>
      </c>
      <c r="G3164" s="41" t="n">
        <v>126.9</v>
      </c>
      <c r="H3164" s="39" t="n">
        <v>45903</v>
      </c>
      <c r="I3164" s="7" t="s">
        <v>14651</v>
      </c>
      <c r="J3164" s="8" t="str">
        <f aca="false">IF(I3164="Open",DATE(2025,12,31)-F3164,"-")</f>
        <v>-</v>
      </c>
    </row>
    <row r="3165" customFormat="false" ht="15" hidden="false" customHeight="false" outlineLevel="0" collapsed="false">
      <c r="B3165" s="7" t="s">
        <v>17810</v>
      </c>
      <c r="C3165" s="7" t="s">
        <v>3662</v>
      </c>
      <c r="D3165" s="7" t="s">
        <v>409</v>
      </c>
      <c r="E3165" s="7" t="s">
        <v>154</v>
      </c>
      <c r="F3165" s="39" t="n">
        <v>45814</v>
      </c>
      <c r="G3165" s="41" t="n">
        <v>80.3</v>
      </c>
      <c r="H3165" s="39" t="n">
        <v>45886</v>
      </c>
      <c r="I3165" s="7" t="s">
        <v>14651</v>
      </c>
      <c r="J3165" s="8" t="str">
        <f aca="false">IF(I3165="Open",DATE(2025,12,31)-F3165,"-")</f>
        <v>-</v>
      </c>
    </row>
    <row r="3166" customFormat="false" ht="15" hidden="false" customHeight="false" outlineLevel="0" collapsed="false">
      <c r="B3166" s="7" t="s">
        <v>17811</v>
      </c>
      <c r="C3166" s="7" t="s">
        <v>3663</v>
      </c>
      <c r="D3166" s="7" t="s">
        <v>411</v>
      </c>
      <c r="E3166" s="7" t="s">
        <v>154</v>
      </c>
      <c r="F3166" s="39" t="n">
        <v>45814</v>
      </c>
      <c r="G3166" s="41" t="n">
        <v>119.78</v>
      </c>
      <c r="H3166" s="39" t="n">
        <v>45831</v>
      </c>
      <c r="I3166" s="7" t="s">
        <v>14651</v>
      </c>
      <c r="J3166" s="8" t="str">
        <f aca="false">IF(I3166="Open",DATE(2025,12,31)-F3166,"-")</f>
        <v>-</v>
      </c>
    </row>
    <row r="3167" customFormat="false" ht="15" hidden="false" customHeight="false" outlineLevel="0" collapsed="false">
      <c r="B3167" s="7" t="s">
        <v>17812</v>
      </c>
      <c r="C3167" s="7" t="s">
        <v>3664</v>
      </c>
      <c r="D3167" s="7" t="s">
        <v>288</v>
      </c>
      <c r="E3167" s="7" t="s">
        <v>156</v>
      </c>
      <c r="F3167" s="39" t="n">
        <v>45815</v>
      </c>
      <c r="G3167" s="41" t="n">
        <v>146.54</v>
      </c>
      <c r="H3167" s="39" t="n">
        <v>45821</v>
      </c>
      <c r="I3167" s="7" t="s">
        <v>14651</v>
      </c>
      <c r="J3167" s="8" t="str">
        <f aca="false">IF(I3167="Open",DATE(2025,12,31)-F3167,"-")</f>
        <v>-</v>
      </c>
    </row>
    <row r="3168" customFormat="false" ht="15" hidden="false" customHeight="false" outlineLevel="0" collapsed="false">
      <c r="B3168" s="7" t="s">
        <v>17813</v>
      </c>
      <c r="C3168" s="7" t="s">
        <v>3665</v>
      </c>
      <c r="D3168" s="7" t="s">
        <v>321</v>
      </c>
      <c r="E3168" s="7" t="s">
        <v>154</v>
      </c>
      <c r="F3168" s="39" t="n">
        <v>45815</v>
      </c>
      <c r="G3168" s="41" t="n">
        <v>107.86</v>
      </c>
      <c r="H3168" s="39" t="n">
        <v>45849</v>
      </c>
      <c r="I3168" s="7" t="s">
        <v>14651</v>
      </c>
      <c r="J3168" s="8" t="str">
        <f aca="false">IF(I3168="Open",DATE(2025,12,31)-F3168,"-")</f>
        <v>-</v>
      </c>
    </row>
    <row r="3169" customFormat="false" ht="15" hidden="false" customHeight="false" outlineLevel="0" collapsed="false">
      <c r="B3169" s="7" t="s">
        <v>17814</v>
      </c>
      <c r="C3169" s="7" t="s">
        <v>3666</v>
      </c>
      <c r="D3169" s="7" t="s">
        <v>359</v>
      </c>
      <c r="E3169" s="7" t="s">
        <v>156</v>
      </c>
      <c r="F3169" s="39" t="n">
        <v>45815</v>
      </c>
      <c r="G3169" s="41" t="n">
        <v>144.84</v>
      </c>
      <c r="H3169" s="39" t="n">
        <v>45822</v>
      </c>
      <c r="I3169" s="7" t="s">
        <v>14651</v>
      </c>
      <c r="J3169" s="8" t="str">
        <f aca="false">IF(I3169="Open",DATE(2025,12,31)-F3169,"-")</f>
        <v>-</v>
      </c>
    </row>
    <row r="3170" customFormat="false" ht="15" hidden="false" customHeight="false" outlineLevel="0" collapsed="false">
      <c r="B3170" s="7" t="s">
        <v>17815</v>
      </c>
      <c r="C3170" s="7" t="s">
        <v>3667</v>
      </c>
      <c r="D3170" s="7" t="s">
        <v>391</v>
      </c>
      <c r="E3170" s="7" t="s">
        <v>156</v>
      </c>
      <c r="F3170" s="39" t="n">
        <v>45815</v>
      </c>
      <c r="G3170" s="41" t="n">
        <v>142.12</v>
      </c>
      <c r="H3170" s="39" t="n">
        <v>45821</v>
      </c>
      <c r="I3170" s="7" t="s">
        <v>14651</v>
      </c>
      <c r="J3170" s="8" t="str">
        <f aca="false">IF(I3170="Open",DATE(2025,12,31)-F3170,"-")</f>
        <v>-</v>
      </c>
    </row>
    <row r="3171" customFormat="false" ht="15" hidden="false" customHeight="false" outlineLevel="0" collapsed="false">
      <c r="B3171" s="7" t="s">
        <v>17816</v>
      </c>
      <c r="C3171" s="7" t="s">
        <v>3668</v>
      </c>
      <c r="D3171" s="7" t="s">
        <v>395</v>
      </c>
      <c r="E3171" s="7" t="s">
        <v>156</v>
      </c>
      <c r="F3171" s="39" t="n">
        <v>45815</v>
      </c>
      <c r="G3171" s="41" t="n">
        <v>125.46</v>
      </c>
      <c r="H3171" s="39" t="n">
        <v>45822</v>
      </c>
      <c r="I3171" s="7" t="s">
        <v>14651</v>
      </c>
      <c r="J3171" s="8" t="str">
        <f aca="false">IF(I3171="Open",DATE(2025,12,31)-F3171,"-")</f>
        <v>-</v>
      </c>
    </row>
    <row r="3172" customFormat="false" ht="15" hidden="false" customHeight="false" outlineLevel="0" collapsed="false">
      <c r="B3172" s="7" t="s">
        <v>17817</v>
      </c>
      <c r="C3172" s="7" t="s">
        <v>3669</v>
      </c>
      <c r="D3172" s="7" t="s">
        <v>401</v>
      </c>
      <c r="E3172" s="7" t="s">
        <v>156</v>
      </c>
      <c r="F3172" s="39" t="n">
        <v>45815</v>
      </c>
      <c r="G3172" s="41" t="n">
        <v>140.76</v>
      </c>
      <c r="H3172" s="39" t="n">
        <v>45824</v>
      </c>
      <c r="I3172" s="7" t="s">
        <v>14651</v>
      </c>
      <c r="J3172" s="8" t="str">
        <f aca="false">IF(I3172="Open",DATE(2025,12,31)-F3172,"-")</f>
        <v>-</v>
      </c>
    </row>
    <row r="3173" customFormat="false" ht="15" hidden="false" customHeight="false" outlineLevel="0" collapsed="false">
      <c r="B3173" s="7" t="s">
        <v>17818</v>
      </c>
      <c r="C3173" s="7" t="s">
        <v>3670</v>
      </c>
      <c r="D3173" s="7" t="s">
        <v>288</v>
      </c>
      <c r="E3173" s="7" t="s">
        <v>156</v>
      </c>
      <c r="F3173" s="39" t="n">
        <v>45816</v>
      </c>
      <c r="G3173" s="41" t="n">
        <v>134.98</v>
      </c>
      <c r="H3173" s="39" t="n">
        <v>45819</v>
      </c>
      <c r="I3173" s="7" t="s">
        <v>14651</v>
      </c>
      <c r="J3173" s="8" t="str">
        <f aca="false">IF(I3173="Open",DATE(2025,12,31)-F3173,"-")</f>
        <v>-</v>
      </c>
    </row>
    <row r="3174" customFormat="false" ht="15" hidden="false" customHeight="false" outlineLevel="0" collapsed="false">
      <c r="B3174" s="7" t="s">
        <v>17819</v>
      </c>
      <c r="C3174" s="7" t="s">
        <v>3671</v>
      </c>
      <c r="D3174" s="7" t="s">
        <v>321</v>
      </c>
      <c r="E3174" s="7" t="s">
        <v>154</v>
      </c>
      <c r="F3174" s="39" t="n">
        <v>45816</v>
      </c>
      <c r="G3174" s="41" t="n">
        <v>115.81</v>
      </c>
      <c r="H3174" s="39" t="n">
        <v>45864</v>
      </c>
      <c r="I3174" s="7" t="s">
        <v>14651</v>
      </c>
      <c r="J3174" s="8" t="str">
        <f aca="false">IF(I3174="Open",DATE(2025,12,31)-F3174,"-")</f>
        <v>-</v>
      </c>
    </row>
    <row r="3175" customFormat="false" ht="15" hidden="false" customHeight="false" outlineLevel="0" collapsed="false">
      <c r="B3175" s="7" t="s">
        <v>17820</v>
      </c>
      <c r="C3175" s="7" t="s">
        <v>3672</v>
      </c>
      <c r="D3175" s="7" t="s">
        <v>359</v>
      </c>
      <c r="E3175" s="7" t="s">
        <v>156</v>
      </c>
      <c r="F3175" s="39" t="n">
        <v>45816</v>
      </c>
      <c r="G3175" s="41" t="n">
        <v>128.86</v>
      </c>
      <c r="H3175" s="39" t="n">
        <v>45830</v>
      </c>
      <c r="I3175" s="7" t="s">
        <v>14651</v>
      </c>
      <c r="J3175" s="8" t="str">
        <f aca="false">IF(I3175="Open",DATE(2025,12,31)-F3175,"-")</f>
        <v>-</v>
      </c>
    </row>
    <row r="3176" customFormat="false" ht="15" hidden="false" customHeight="false" outlineLevel="0" collapsed="false">
      <c r="B3176" s="7" t="s">
        <v>17821</v>
      </c>
      <c r="C3176" s="7" t="s">
        <v>3673</v>
      </c>
      <c r="D3176" s="7" t="s">
        <v>391</v>
      </c>
      <c r="E3176" s="7" t="s">
        <v>156</v>
      </c>
      <c r="F3176" s="39" t="n">
        <v>45816</v>
      </c>
      <c r="G3176" s="41" t="n">
        <v>141.1</v>
      </c>
      <c r="H3176" s="39" t="n">
        <v>45817</v>
      </c>
      <c r="I3176" s="7" t="s">
        <v>14651</v>
      </c>
      <c r="J3176" s="8" t="str">
        <f aca="false">IF(I3176="Open",DATE(2025,12,31)-F3176,"-")</f>
        <v>-</v>
      </c>
    </row>
    <row r="3177" customFormat="false" ht="15" hidden="false" customHeight="false" outlineLevel="0" collapsed="false">
      <c r="B3177" s="7" t="s">
        <v>17822</v>
      </c>
      <c r="C3177" s="7" t="s">
        <v>3674</v>
      </c>
      <c r="D3177" s="7" t="s">
        <v>395</v>
      </c>
      <c r="E3177" s="7" t="s">
        <v>156</v>
      </c>
      <c r="F3177" s="39" t="n">
        <v>45816</v>
      </c>
      <c r="G3177" s="41" t="n">
        <v>143.48</v>
      </c>
      <c r="H3177" s="39" t="n">
        <v>45837</v>
      </c>
      <c r="I3177" s="7" t="s">
        <v>14651</v>
      </c>
      <c r="J3177" s="8" t="str">
        <f aca="false">IF(I3177="Open",DATE(2025,12,31)-F3177,"-")</f>
        <v>-</v>
      </c>
    </row>
    <row r="3178" customFormat="false" ht="15" hidden="false" customHeight="false" outlineLevel="0" collapsed="false">
      <c r="B3178" s="7" t="s">
        <v>17823</v>
      </c>
      <c r="C3178" s="7" t="s">
        <v>3675</v>
      </c>
      <c r="D3178" s="7" t="s">
        <v>401</v>
      </c>
      <c r="E3178" s="7" t="s">
        <v>156</v>
      </c>
      <c r="F3178" s="39" t="n">
        <v>45816</v>
      </c>
      <c r="G3178" s="41" t="n">
        <v>123.42</v>
      </c>
      <c r="H3178" s="39" t="n">
        <v>45833</v>
      </c>
      <c r="I3178" s="7" t="s">
        <v>14651</v>
      </c>
      <c r="J3178" s="8" t="str">
        <f aca="false">IF(I3178="Open",DATE(2025,12,31)-F3178,"-")</f>
        <v>-</v>
      </c>
    </row>
    <row r="3179" customFormat="false" ht="15" hidden="false" customHeight="false" outlineLevel="0" collapsed="false">
      <c r="B3179" s="7" t="s">
        <v>17824</v>
      </c>
      <c r="C3179" s="7" t="s">
        <v>3676</v>
      </c>
      <c r="D3179" s="7" t="s">
        <v>280</v>
      </c>
      <c r="E3179" s="7" t="s">
        <v>157</v>
      </c>
      <c r="F3179" s="39" t="n">
        <v>45817</v>
      </c>
      <c r="G3179" s="41" t="n">
        <v>156.75</v>
      </c>
      <c r="H3179" s="39" t="n">
        <v>45856</v>
      </c>
      <c r="I3179" s="7" t="s">
        <v>14651</v>
      </c>
      <c r="J3179" s="8" t="str">
        <f aca="false">IF(I3179="Open",DATE(2025,12,31)-F3179,"-")</f>
        <v>-</v>
      </c>
    </row>
    <row r="3180" customFormat="false" ht="15" hidden="false" customHeight="false" outlineLevel="0" collapsed="false">
      <c r="B3180" s="7" t="s">
        <v>17825</v>
      </c>
      <c r="C3180" s="7" t="s">
        <v>3677</v>
      </c>
      <c r="D3180" s="7" t="s">
        <v>288</v>
      </c>
      <c r="E3180" s="7" t="s">
        <v>156</v>
      </c>
      <c r="F3180" s="39" t="n">
        <v>45817</v>
      </c>
      <c r="G3180" s="41" t="n">
        <v>122.74</v>
      </c>
      <c r="H3180" s="39" t="n">
        <v>45826</v>
      </c>
      <c r="I3180" s="7" t="s">
        <v>14651</v>
      </c>
      <c r="J3180" s="8" t="str">
        <f aca="false">IF(I3180="Open",DATE(2025,12,31)-F3180,"-")</f>
        <v>-</v>
      </c>
    </row>
    <row r="3181" customFormat="false" ht="15" hidden="false" customHeight="false" outlineLevel="0" collapsed="false">
      <c r="B3181" s="7" t="s">
        <v>17826</v>
      </c>
      <c r="C3181" s="7" t="s">
        <v>3678</v>
      </c>
      <c r="D3181" s="7" t="s">
        <v>291</v>
      </c>
      <c r="E3181" s="7" t="s">
        <v>154</v>
      </c>
      <c r="F3181" s="39" t="n">
        <v>45817</v>
      </c>
      <c r="G3181" s="41" t="n">
        <v>128.26</v>
      </c>
      <c r="H3181" s="39" t="n">
        <v>45909</v>
      </c>
      <c r="I3181" s="7" t="s">
        <v>14651</v>
      </c>
      <c r="J3181" s="8" t="str">
        <f aca="false">IF(I3181="Open",DATE(2025,12,31)-F3181,"-")</f>
        <v>-</v>
      </c>
    </row>
    <row r="3182" customFormat="false" ht="15" hidden="false" customHeight="false" outlineLevel="0" collapsed="false">
      <c r="B3182" s="7" t="s">
        <v>17827</v>
      </c>
      <c r="C3182" s="7" t="s">
        <v>3679</v>
      </c>
      <c r="D3182" s="7" t="s">
        <v>297</v>
      </c>
      <c r="E3182" s="7" t="s">
        <v>156</v>
      </c>
      <c r="F3182" s="39" t="n">
        <v>45817</v>
      </c>
      <c r="G3182" s="41" t="n">
        <v>92.14</v>
      </c>
      <c r="H3182" s="39" t="n">
        <v>45827</v>
      </c>
      <c r="I3182" s="7" t="s">
        <v>14651</v>
      </c>
      <c r="J3182" s="8" t="str">
        <f aca="false">IF(I3182="Open",DATE(2025,12,31)-F3182,"-")</f>
        <v>-</v>
      </c>
    </row>
    <row r="3183" customFormat="false" ht="15" hidden="false" customHeight="false" outlineLevel="0" collapsed="false">
      <c r="B3183" s="7" t="s">
        <v>17828</v>
      </c>
      <c r="C3183" s="7" t="s">
        <v>3680</v>
      </c>
      <c r="D3183" s="7" t="s">
        <v>305</v>
      </c>
      <c r="E3183" s="7" t="s">
        <v>154</v>
      </c>
      <c r="F3183" s="39" t="n">
        <v>45817</v>
      </c>
      <c r="G3183" s="41" t="n">
        <v>108.92</v>
      </c>
      <c r="H3183" s="39" t="n">
        <v>45886</v>
      </c>
      <c r="I3183" s="7" t="s">
        <v>14651</v>
      </c>
      <c r="J3183" s="8" t="str">
        <f aca="false">IF(I3183="Open",DATE(2025,12,31)-F3183,"-")</f>
        <v>-</v>
      </c>
    </row>
    <row r="3184" customFormat="false" ht="15" hidden="false" customHeight="false" outlineLevel="0" collapsed="false">
      <c r="B3184" s="7" t="s">
        <v>17829</v>
      </c>
      <c r="C3184" s="7" t="s">
        <v>3681</v>
      </c>
      <c r="D3184" s="7" t="s">
        <v>307</v>
      </c>
      <c r="E3184" s="7" t="s">
        <v>157</v>
      </c>
      <c r="F3184" s="39" t="n">
        <v>45817</v>
      </c>
      <c r="G3184" s="41" t="n">
        <v>168.3</v>
      </c>
      <c r="H3184" s="39" t="n">
        <v>45861</v>
      </c>
      <c r="I3184" s="7" t="s">
        <v>14651</v>
      </c>
      <c r="J3184" s="8" t="str">
        <f aca="false">IF(I3184="Open",DATE(2025,12,31)-F3184,"-")</f>
        <v>-</v>
      </c>
    </row>
    <row r="3185" customFormat="false" ht="15" hidden="false" customHeight="false" outlineLevel="0" collapsed="false">
      <c r="B3185" s="7" t="s">
        <v>17830</v>
      </c>
      <c r="C3185" s="7" t="s">
        <v>3682</v>
      </c>
      <c r="D3185" s="7" t="s">
        <v>309</v>
      </c>
      <c r="E3185" s="7" t="s">
        <v>159</v>
      </c>
      <c r="F3185" s="39" t="n">
        <v>45817</v>
      </c>
      <c r="G3185" s="41" t="n">
        <v>136.35</v>
      </c>
      <c r="H3185" s="39" t="n">
        <v>45853</v>
      </c>
      <c r="I3185" s="7" t="s">
        <v>14651</v>
      </c>
      <c r="J3185" s="8" t="str">
        <f aca="false">IF(I3185="Open",DATE(2025,12,31)-F3185,"-")</f>
        <v>-</v>
      </c>
    </row>
    <row r="3186" customFormat="false" ht="15" hidden="false" customHeight="false" outlineLevel="0" collapsed="false">
      <c r="B3186" s="7" t="s">
        <v>17831</v>
      </c>
      <c r="C3186" s="7" t="s">
        <v>3683</v>
      </c>
      <c r="D3186" s="7" t="s">
        <v>311</v>
      </c>
      <c r="E3186" s="7" t="s">
        <v>154</v>
      </c>
      <c r="F3186" s="39" t="n">
        <v>45817</v>
      </c>
      <c r="G3186" s="41" t="n">
        <v>75.53</v>
      </c>
      <c r="H3186" s="39" t="n">
        <v>45866</v>
      </c>
      <c r="I3186" s="7" t="s">
        <v>14651</v>
      </c>
      <c r="J3186" s="8" t="str">
        <f aca="false">IF(I3186="Open",DATE(2025,12,31)-F3186,"-")</f>
        <v>-</v>
      </c>
    </row>
    <row r="3187" customFormat="false" ht="15" hidden="false" customHeight="false" outlineLevel="0" collapsed="false">
      <c r="B3187" s="7" t="s">
        <v>17832</v>
      </c>
      <c r="C3187" s="7" t="s">
        <v>3684</v>
      </c>
      <c r="D3187" s="7" t="s">
        <v>313</v>
      </c>
      <c r="E3187" s="7" t="s">
        <v>156</v>
      </c>
      <c r="F3187" s="39" t="n">
        <v>45817</v>
      </c>
      <c r="G3187" s="41" t="n">
        <v>136</v>
      </c>
      <c r="H3187" s="39" t="n">
        <v>45829</v>
      </c>
      <c r="I3187" s="7" t="s">
        <v>14651</v>
      </c>
      <c r="J3187" s="8" t="str">
        <f aca="false">IF(I3187="Open",DATE(2025,12,31)-F3187,"-")</f>
        <v>-</v>
      </c>
    </row>
    <row r="3188" customFormat="false" ht="15" hidden="false" customHeight="false" outlineLevel="0" collapsed="false">
      <c r="B3188" s="7" t="s">
        <v>17833</v>
      </c>
      <c r="C3188" s="7" t="s">
        <v>3685</v>
      </c>
      <c r="D3188" s="7" t="s">
        <v>317</v>
      </c>
      <c r="E3188" s="7" t="s">
        <v>156</v>
      </c>
      <c r="F3188" s="39" t="n">
        <v>45817</v>
      </c>
      <c r="G3188" s="41" t="n">
        <v>109.48</v>
      </c>
      <c r="H3188" s="39" t="n">
        <v>45828</v>
      </c>
      <c r="I3188" s="7" t="s">
        <v>14651</v>
      </c>
      <c r="J3188" s="8" t="str">
        <f aca="false">IF(I3188="Open",DATE(2025,12,31)-F3188,"-")</f>
        <v>-</v>
      </c>
    </row>
    <row r="3189" customFormat="false" ht="15" hidden="false" customHeight="false" outlineLevel="0" collapsed="false">
      <c r="B3189" s="7" t="s">
        <v>17834</v>
      </c>
      <c r="C3189" s="7" t="s">
        <v>3686</v>
      </c>
      <c r="D3189" s="7" t="s">
        <v>321</v>
      </c>
      <c r="E3189" s="7" t="s">
        <v>154</v>
      </c>
      <c r="F3189" s="39" t="n">
        <v>45817</v>
      </c>
      <c r="G3189" s="41" t="n">
        <v>109.18</v>
      </c>
      <c r="H3189" s="39" t="n">
        <v>45835</v>
      </c>
      <c r="I3189" s="7" t="s">
        <v>14651</v>
      </c>
      <c r="J3189" s="8" t="str">
        <f aca="false">IF(I3189="Open",DATE(2025,12,31)-F3189,"-")</f>
        <v>-</v>
      </c>
    </row>
    <row r="3190" customFormat="false" ht="15" hidden="false" customHeight="false" outlineLevel="0" collapsed="false">
      <c r="B3190" s="7" t="s">
        <v>17835</v>
      </c>
      <c r="C3190" s="7" t="s">
        <v>3687</v>
      </c>
      <c r="D3190" s="7" t="s">
        <v>325</v>
      </c>
      <c r="E3190" s="7" t="s">
        <v>154</v>
      </c>
      <c r="F3190" s="39" t="n">
        <v>45817</v>
      </c>
      <c r="G3190" s="41" t="n">
        <v>78.44</v>
      </c>
      <c r="H3190" s="39" t="n">
        <v>45902</v>
      </c>
      <c r="I3190" s="7" t="s">
        <v>14651</v>
      </c>
      <c r="J3190" s="8" t="str">
        <f aca="false">IF(I3190="Open",DATE(2025,12,31)-F3190,"-")</f>
        <v>-</v>
      </c>
    </row>
    <row r="3191" customFormat="false" ht="15" hidden="false" customHeight="false" outlineLevel="0" collapsed="false">
      <c r="B3191" s="7" t="s">
        <v>17836</v>
      </c>
      <c r="C3191" s="7" t="s">
        <v>3688</v>
      </c>
      <c r="D3191" s="7" t="s">
        <v>329</v>
      </c>
      <c r="E3191" s="7" t="s">
        <v>156</v>
      </c>
      <c r="F3191" s="39" t="n">
        <v>45817</v>
      </c>
      <c r="G3191" s="41" t="n">
        <v>128.52</v>
      </c>
      <c r="H3191" s="39" t="n">
        <v>45831</v>
      </c>
      <c r="I3191" s="7" t="s">
        <v>14651</v>
      </c>
      <c r="J3191" s="8" t="str">
        <f aca="false">IF(I3191="Open",DATE(2025,12,31)-F3191,"-")</f>
        <v>-</v>
      </c>
    </row>
    <row r="3192" customFormat="false" ht="15" hidden="false" customHeight="false" outlineLevel="0" collapsed="false">
      <c r="B3192" s="7" t="s">
        <v>17837</v>
      </c>
      <c r="C3192" s="7" t="s">
        <v>3689</v>
      </c>
      <c r="D3192" s="7" t="s">
        <v>335</v>
      </c>
      <c r="E3192" s="7" t="s">
        <v>154</v>
      </c>
      <c r="F3192" s="39" t="n">
        <v>45817</v>
      </c>
      <c r="G3192" s="41" t="n">
        <v>106.8</v>
      </c>
      <c r="H3192" s="39" t="n">
        <v>45855</v>
      </c>
      <c r="I3192" s="7" t="s">
        <v>14651</v>
      </c>
      <c r="J3192" s="8" t="str">
        <f aca="false">IF(I3192="Open",DATE(2025,12,31)-F3192,"-")</f>
        <v>-</v>
      </c>
    </row>
    <row r="3193" customFormat="false" ht="15" hidden="false" customHeight="false" outlineLevel="0" collapsed="false">
      <c r="B3193" s="7" t="s">
        <v>17838</v>
      </c>
      <c r="C3193" s="7" t="s">
        <v>3690</v>
      </c>
      <c r="D3193" s="7" t="s">
        <v>337</v>
      </c>
      <c r="E3193" s="7" t="s">
        <v>154</v>
      </c>
      <c r="F3193" s="39" t="n">
        <v>45817</v>
      </c>
      <c r="G3193" s="41" t="n">
        <v>71.21</v>
      </c>
      <c r="H3193" s="39" t="n">
        <v>45879</v>
      </c>
      <c r="I3193" s="7" t="s">
        <v>14651</v>
      </c>
      <c r="J3193" s="8" t="str">
        <f aca="false">IF(I3193="Open",DATE(2025,12,31)-F3193,"-")</f>
        <v>-</v>
      </c>
    </row>
    <row r="3194" customFormat="false" ht="15" hidden="false" customHeight="false" outlineLevel="0" collapsed="false">
      <c r="B3194" s="7" t="s">
        <v>17839</v>
      </c>
      <c r="C3194" s="7" t="s">
        <v>3691</v>
      </c>
      <c r="D3194" s="7" t="s">
        <v>339</v>
      </c>
      <c r="E3194" s="7" t="s">
        <v>154</v>
      </c>
      <c r="F3194" s="39" t="n">
        <v>45817</v>
      </c>
      <c r="G3194" s="41" t="n">
        <v>80.82</v>
      </c>
      <c r="H3194" s="39" t="n">
        <v>45880</v>
      </c>
      <c r="I3194" s="7" t="s">
        <v>14651</v>
      </c>
      <c r="J3194" s="8" t="str">
        <f aca="false">IF(I3194="Open",DATE(2025,12,31)-F3194,"-")</f>
        <v>-</v>
      </c>
    </row>
    <row r="3195" customFormat="false" ht="15" hidden="false" customHeight="false" outlineLevel="0" collapsed="false">
      <c r="B3195" s="7" t="s">
        <v>17840</v>
      </c>
      <c r="C3195" s="7" t="s">
        <v>3692</v>
      </c>
      <c r="D3195" s="7" t="s">
        <v>341</v>
      </c>
      <c r="E3195" s="7" t="s">
        <v>156</v>
      </c>
      <c r="F3195" s="39" t="n">
        <v>45817</v>
      </c>
      <c r="G3195" s="41" t="n">
        <v>108.8</v>
      </c>
      <c r="H3195" s="39" t="n">
        <v>45822</v>
      </c>
      <c r="I3195" s="7" t="s">
        <v>14651</v>
      </c>
      <c r="J3195" s="8" t="str">
        <f aca="false">IF(I3195="Open",DATE(2025,12,31)-F3195,"-")</f>
        <v>-</v>
      </c>
    </row>
    <row r="3196" customFormat="false" ht="15" hidden="false" customHeight="false" outlineLevel="0" collapsed="false">
      <c r="B3196" s="7" t="s">
        <v>17841</v>
      </c>
      <c r="C3196" s="7" t="s">
        <v>3693</v>
      </c>
      <c r="D3196" s="7" t="s">
        <v>343</v>
      </c>
      <c r="E3196" s="7" t="s">
        <v>154</v>
      </c>
      <c r="F3196" s="39" t="n">
        <v>45817</v>
      </c>
      <c r="G3196" s="41" t="n">
        <v>104.41</v>
      </c>
      <c r="H3196" s="39" t="n">
        <v>45878</v>
      </c>
      <c r="I3196" s="7" t="s">
        <v>14651</v>
      </c>
      <c r="J3196" s="8" t="str">
        <f aca="false">IF(I3196="Open",DATE(2025,12,31)-F3196,"-")</f>
        <v>-</v>
      </c>
    </row>
    <row r="3197" customFormat="false" ht="15" hidden="false" customHeight="false" outlineLevel="0" collapsed="false">
      <c r="B3197" s="7" t="s">
        <v>17842</v>
      </c>
      <c r="C3197" s="7" t="s">
        <v>3694</v>
      </c>
      <c r="D3197" s="7" t="s">
        <v>351</v>
      </c>
      <c r="E3197" s="7" t="s">
        <v>154</v>
      </c>
      <c r="F3197" s="39" t="n">
        <v>45817</v>
      </c>
      <c r="G3197" s="41" t="n">
        <v>84</v>
      </c>
      <c r="H3197" s="39" t="n">
        <v>45865</v>
      </c>
      <c r="I3197" s="7" t="s">
        <v>14651</v>
      </c>
      <c r="J3197" s="8" t="str">
        <f aca="false">IF(I3197="Open",DATE(2025,12,31)-F3197,"-")</f>
        <v>-</v>
      </c>
    </row>
    <row r="3198" customFormat="false" ht="15" hidden="false" customHeight="false" outlineLevel="0" collapsed="false">
      <c r="B3198" s="7" t="s">
        <v>17843</v>
      </c>
      <c r="C3198" s="7" t="s">
        <v>3695</v>
      </c>
      <c r="D3198" s="7" t="s">
        <v>353</v>
      </c>
      <c r="E3198" s="7" t="s">
        <v>154</v>
      </c>
      <c r="F3198" s="39" t="n">
        <v>45817</v>
      </c>
      <c r="G3198" s="41" t="n">
        <v>90.9</v>
      </c>
      <c r="H3198" s="39" t="n">
        <v>45890</v>
      </c>
      <c r="I3198" s="7" t="s">
        <v>14651</v>
      </c>
      <c r="J3198" s="8" t="str">
        <f aca="false">IF(I3198="Open",DATE(2025,12,31)-F3198,"-")</f>
        <v>-</v>
      </c>
    </row>
    <row r="3199" customFormat="false" ht="15" hidden="false" customHeight="false" outlineLevel="0" collapsed="false">
      <c r="B3199" s="7" t="s">
        <v>17844</v>
      </c>
      <c r="C3199" s="7" t="s">
        <v>3696</v>
      </c>
      <c r="D3199" s="7" t="s">
        <v>355</v>
      </c>
      <c r="E3199" s="7" t="s">
        <v>154</v>
      </c>
      <c r="F3199" s="39" t="n">
        <v>45817</v>
      </c>
      <c r="G3199" s="41" t="n">
        <v>87.66</v>
      </c>
      <c r="H3199" s="39" t="n">
        <v>45930</v>
      </c>
      <c r="I3199" s="7" t="s">
        <v>14651</v>
      </c>
      <c r="J3199" s="8" t="str">
        <f aca="false">IF(I3199="Open",DATE(2025,12,31)-F3199,"-")</f>
        <v>-</v>
      </c>
    </row>
    <row r="3200" customFormat="false" ht="15" hidden="false" customHeight="false" outlineLevel="0" collapsed="false">
      <c r="B3200" s="7" t="s">
        <v>17845</v>
      </c>
      <c r="C3200" s="7" t="s">
        <v>3697</v>
      </c>
      <c r="D3200" s="7" t="s">
        <v>357</v>
      </c>
      <c r="E3200" s="7" t="s">
        <v>154</v>
      </c>
      <c r="F3200" s="39" t="n">
        <v>45817</v>
      </c>
      <c r="G3200" s="41" t="n">
        <v>93.04</v>
      </c>
      <c r="H3200" s="39" t="n">
        <v>45855</v>
      </c>
      <c r="I3200" s="7" t="s">
        <v>14651</v>
      </c>
      <c r="J3200" s="8" t="str">
        <f aca="false">IF(I3200="Open",DATE(2025,12,31)-F3200,"-")</f>
        <v>-</v>
      </c>
    </row>
    <row r="3201" customFormat="false" ht="15" hidden="false" customHeight="false" outlineLevel="0" collapsed="false">
      <c r="B3201" s="7" t="s">
        <v>17846</v>
      </c>
      <c r="C3201" s="7" t="s">
        <v>3698</v>
      </c>
      <c r="D3201" s="7" t="s">
        <v>359</v>
      </c>
      <c r="E3201" s="7" t="s">
        <v>156</v>
      </c>
      <c r="F3201" s="39" t="n">
        <v>45817</v>
      </c>
      <c r="G3201" s="41" t="n">
        <v>139.06</v>
      </c>
      <c r="H3201" s="39" t="n">
        <v>45818</v>
      </c>
      <c r="I3201" s="7" t="s">
        <v>14651</v>
      </c>
      <c r="J3201" s="8" t="str">
        <f aca="false">IF(I3201="Open",DATE(2025,12,31)-F3201,"-")</f>
        <v>-</v>
      </c>
    </row>
    <row r="3202" customFormat="false" ht="15" hidden="false" customHeight="false" outlineLevel="0" collapsed="false">
      <c r="B3202" s="7" t="s">
        <v>17847</v>
      </c>
      <c r="C3202" s="7" t="s">
        <v>3699</v>
      </c>
      <c r="D3202" s="7" t="s">
        <v>363</v>
      </c>
      <c r="E3202" s="7" t="s">
        <v>156</v>
      </c>
      <c r="F3202" s="39" t="n">
        <v>45817</v>
      </c>
      <c r="G3202" s="41" t="n">
        <v>143.48</v>
      </c>
      <c r="H3202" s="39" t="n">
        <v>45827</v>
      </c>
      <c r="I3202" s="7" t="s">
        <v>14651</v>
      </c>
      <c r="J3202" s="8" t="str">
        <f aca="false">IF(I3202="Open",DATE(2025,12,31)-F3202,"-")</f>
        <v>-</v>
      </c>
    </row>
    <row r="3203" customFormat="false" ht="15" hidden="false" customHeight="false" outlineLevel="0" collapsed="false">
      <c r="B3203" s="7" t="s">
        <v>17848</v>
      </c>
      <c r="C3203" s="7" t="s">
        <v>3700</v>
      </c>
      <c r="D3203" s="7" t="s">
        <v>365</v>
      </c>
      <c r="E3203" s="7" t="s">
        <v>154</v>
      </c>
      <c r="F3203" s="39" t="n">
        <v>45817</v>
      </c>
      <c r="G3203" s="41" t="n">
        <v>102.82</v>
      </c>
      <c r="H3203" s="39" t="n">
        <v>45935</v>
      </c>
      <c r="I3203" s="7" t="s">
        <v>14651</v>
      </c>
      <c r="J3203" s="8" t="str">
        <f aca="false">IF(I3203="Open",DATE(2025,12,31)-F3203,"-")</f>
        <v>-</v>
      </c>
    </row>
    <row r="3204" customFormat="false" ht="15" hidden="false" customHeight="false" outlineLevel="0" collapsed="false">
      <c r="B3204" s="7" t="s">
        <v>17849</v>
      </c>
      <c r="C3204" s="7" t="s">
        <v>3701</v>
      </c>
      <c r="D3204" s="7" t="s">
        <v>371</v>
      </c>
      <c r="E3204" s="7" t="s">
        <v>154</v>
      </c>
      <c r="F3204" s="39" t="n">
        <v>45817</v>
      </c>
      <c r="G3204" s="41" t="n">
        <v>112.1</v>
      </c>
      <c r="H3204" s="39" t="n">
        <v>45914</v>
      </c>
      <c r="I3204" s="7" t="s">
        <v>14651</v>
      </c>
      <c r="J3204" s="8" t="str">
        <f aca="false">IF(I3204="Open",DATE(2025,12,31)-F3204,"-")</f>
        <v>-</v>
      </c>
    </row>
    <row r="3205" customFormat="false" ht="15" hidden="false" customHeight="false" outlineLevel="0" collapsed="false">
      <c r="B3205" s="7" t="s">
        <v>17850</v>
      </c>
      <c r="C3205" s="7" t="s">
        <v>3702</v>
      </c>
      <c r="D3205" s="7" t="s">
        <v>375</v>
      </c>
      <c r="E3205" s="7" t="s">
        <v>156</v>
      </c>
      <c r="F3205" s="39" t="n">
        <v>45817</v>
      </c>
      <c r="G3205" s="41" t="n">
        <v>112.2</v>
      </c>
      <c r="H3205" s="39" t="n">
        <v>45829</v>
      </c>
      <c r="I3205" s="7" t="s">
        <v>14651</v>
      </c>
      <c r="J3205" s="8" t="str">
        <f aca="false">IF(I3205="Open",DATE(2025,12,31)-F3205,"-")</f>
        <v>-</v>
      </c>
    </row>
    <row r="3206" customFormat="false" ht="15" hidden="false" customHeight="false" outlineLevel="0" collapsed="false">
      <c r="B3206" s="7" t="s">
        <v>17851</v>
      </c>
      <c r="C3206" s="7" t="s">
        <v>3703</v>
      </c>
      <c r="D3206" s="7" t="s">
        <v>377</v>
      </c>
      <c r="E3206" s="7" t="s">
        <v>154</v>
      </c>
      <c r="F3206" s="39" t="n">
        <v>45817</v>
      </c>
      <c r="G3206" s="41" t="n">
        <v>115.27</v>
      </c>
      <c r="H3206" s="39" t="n">
        <v>45841</v>
      </c>
      <c r="I3206" s="7" t="s">
        <v>14651</v>
      </c>
      <c r="J3206" s="8" t="str">
        <f aca="false">IF(I3206="Open",DATE(2025,12,31)-F3206,"-")</f>
        <v>-</v>
      </c>
    </row>
    <row r="3207" customFormat="false" ht="15" hidden="false" customHeight="false" outlineLevel="0" collapsed="false">
      <c r="B3207" s="7" t="s">
        <v>17852</v>
      </c>
      <c r="C3207" s="7" t="s">
        <v>3704</v>
      </c>
      <c r="D3207" s="7" t="s">
        <v>379</v>
      </c>
      <c r="E3207" s="7" t="s">
        <v>156</v>
      </c>
      <c r="F3207" s="39" t="n">
        <v>45817</v>
      </c>
      <c r="G3207" s="41" t="n">
        <v>161.16</v>
      </c>
      <c r="H3207" s="39" t="n">
        <v>45831</v>
      </c>
      <c r="I3207" s="7" t="s">
        <v>14651</v>
      </c>
      <c r="J3207" s="8" t="str">
        <f aca="false">IF(I3207="Open",DATE(2025,12,31)-F3207,"-")</f>
        <v>-</v>
      </c>
    </row>
    <row r="3208" customFormat="false" ht="15" hidden="false" customHeight="false" outlineLevel="0" collapsed="false">
      <c r="B3208" s="7" t="s">
        <v>17853</v>
      </c>
      <c r="C3208" s="7" t="s">
        <v>3705</v>
      </c>
      <c r="D3208" s="7" t="s">
        <v>385</v>
      </c>
      <c r="E3208" s="7" t="s">
        <v>156</v>
      </c>
      <c r="F3208" s="39" t="n">
        <v>45817</v>
      </c>
      <c r="G3208" s="41" t="n">
        <v>142.46</v>
      </c>
      <c r="H3208" s="39" t="n">
        <v>45830</v>
      </c>
      <c r="I3208" s="7" t="s">
        <v>14651</v>
      </c>
      <c r="J3208" s="8" t="str">
        <f aca="false">IF(I3208="Open",DATE(2025,12,31)-F3208,"-")</f>
        <v>-</v>
      </c>
    </row>
    <row r="3209" customFormat="false" ht="15" hidden="false" customHeight="false" outlineLevel="0" collapsed="false">
      <c r="B3209" s="7" t="s">
        <v>17854</v>
      </c>
      <c r="C3209" s="7" t="s">
        <v>3706</v>
      </c>
      <c r="D3209" s="7" t="s">
        <v>389</v>
      </c>
      <c r="E3209" s="7" t="s">
        <v>154</v>
      </c>
      <c r="F3209" s="39" t="n">
        <v>45817</v>
      </c>
      <c r="G3209" s="41" t="n">
        <v>96.46</v>
      </c>
      <c r="H3209" s="39" t="n">
        <v>45892</v>
      </c>
      <c r="I3209" s="7" t="s">
        <v>14651</v>
      </c>
      <c r="J3209" s="8" t="str">
        <f aca="false">IF(I3209="Open",DATE(2025,12,31)-F3209,"-")</f>
        <v>-</v>
      </c>
    </row>
    <row r="3210" customFormat="false" ht="15" hidden="false" customHeight="false" outlineLevel="0" collapsed="false">
      <c r="B3210" s="7" t="s">
        <v>17855</v>
      </c>
      <c r="C3210" s="7" t="s">
        <v>3707</v>
      </c>
      <c r="D3210" s="7" t="s">
        <v>391</v>
      </c>
      <c r="E3210" s="7" t="s">
        <v>156</v>
      </c>
      <c r="F3210" s="39" t="n">
        <v>45817</v>
      </c>
      <c r="G3210" s="41" t="n">
        <v>134.3</v>
      </c>
      <c r="H3210" s="39" t="n">
        <v>45826</v>
      </c>
      <c r="I3210" s="7" t="s">
        <v>14651</v>
      </c>
      <c r="J3210" s="8" t="str">
        <f aca="false">IF(I3210="Open",DATE(2025,12,31)-F3210,"-")</f>
        <v>-</v>
      </c>
    </row>
    <row r="3211" customFormat="false" ht="15" hidden="false" customHeight="false" outlineLevel="0" collapsed="false">
      <c r="B3211" s="7" t="s">
        <v>17856</v>
      </c>
      <c r="C3211" s="7" t="s">
        <v>3708</v>
      </c>
      <c r="D3211" s="7" t="s">
        <v>395</v>
      </c>
      <c r="E3211" s="7" t="s">
        <v>156</v>
      </c>
      <c r="F3211" s="39" t="n">
        <v>45817</v>
      </c>
      <c r="G3211" s="41" t="n">
        <v>130.22</v>
      </c>
      <c r="H3211" s="39" t="n">
        <v>45819</v>
      </c>
      <c r="I3211" s="7" t="s">
        <v>14651</v>
      </c>
      <c r="J3211" s="8" t="str">
        <f aca="false">IF(I3211="Open",DATE(2025,12,31)-F3211,"-")</f>
        <v>-</v>
      </c>
    </row>
    <row r="3212" customFormat="false" ht="15" hidden="false" customHeight="false" outlineLevel="0" collapsed="false">
      <c r="B3212" s="7" t="s">
        <v>17857</v>
      </c>
      <c r="C3212" s="7" t="s">
        <v>3709</v>
      </c>
      <c r="D3212" s="7" t="s">
        <v>399</v>
      </c>
      <c r="E3212" s="7" t="s">
        <v>154</v>
      </c>
      <c r="F3212" s="39" t="n">
        <v>45817</v>
      </c>
      <c r="G3212" s="41" t="n">
        <v>93.02</v>
      </c>
      <c r="H3212" s="39" t="n">
        <v>45853</v>
      </c>
      <c r="I3212" s="7" t="s">
        <v>14651</v>
      </c>
      <c r="J3212" s="8" t="str">
        <f aca="false">IF(I3212="Open",DATE(2025,12,31)-F3212,"-")</f>
        <v>-</v>
      </c>
    </row>
    <row r="3213" customFormat="false" ht="15" hidden="false" customHeight="false" outlineLevel="0" collapsed="false">
      <c r="B3213" s="7" t="s">
        <v>17858</v>
      </c>
      <c r="C3213" s="7" t="s">
        <v>3710</v>
      </c>
      <c r="D3213" s="7" t="s">
        <v>401</v>
      </c>
      <c r="E3213" s="7" t="s">
        <v>156</v>
      </c>
      <c r="F3213" s="39" t="n">
        <v>45817</v>
      </c>
      <c r="G3213" s="41" t="n">
        <v>148.92</v>
      </c>
      <c r="H3213" s="39" t="n">
        <v>45826</v>
      </c>
      <c r="I3213" s="7" t="s">
        <v>14651</v>
      </c>
      <c r="J3213" s="8" t="str">
        <f aca="false">IF(I3213="Open",DATE(2025,12,31)-F3213,"-")</f>
        <v>-</v>
      </c>
    </row>
    <row r="3214" customFormat="false" ht="15" hidden="false" customHeight="false" outlineLevel="0" collapsed="false">
      <c r="B3214" s="7" t="s">
        <v>17859</v>
      </c>
      <c r="C3214" s="7" t="s">
        <v>3711</v>
      </c>
      <c r="D3214" s="7" t="s">
        <v>409</v>
      </c>
      <c r="E3214" s="7" t="s">
        <v>154</v>
      </c>
      <c r="F3214" s="39" t="n">
        <v>45817</v>
      </c>
      <c r="G3214" s="41" t="n">
        <v>93.57</v>
      </c>
      <c r="H3214" s="39" t="n">
        <v>45856</v>
      </c>
      <c r="I3214" s="7" t="s">
        <v>14651</v>
      </c>
      <c r="J3214" s="8" t="str">
        <f aca="false">IF(I3214="Open",DATE(2025,12,31)-F3214,"-")</f>
        <v>-</v>
      </c>
    </row>
    <row r="3215" customFormat="false" ht="15" hidden="false" customHeight="false" outlineLevel="0" collapsed="false">
      <c r="B3215" s="7" t="s">
        <v>17860</v>
      </c>
      <c r="C3215" s="7" t="s">
        <v>3712</v>
      </c>
      <c r="D3215" s="7" t="s">
        <v>411</v>
      </c>
      <c r="E3215" s="7" t="s">
        <v>154</v>
      </c>
      <c r="F3215" s="39" t="n">
        <v>45817</v>
      </c>
      <c r="G3215" s="41" t="n">
        <v>125.08</v>
      </c>
      <c r="H3215" s="39" t="n">
        <v>45868</v>
      </c>
      <c r="I3215" s="7" t="s">
        <v>14651</v>
      </c>
      <c r="J3215" s="8" t="str">
        <f aca="false">IF(I3215="Open",DATE(2025,12,31)-F3215,"-")</f>
        <v>-</v>
      </c>
    </row>
    <row r="3216" customFormat="false" ht="15" hidden="false" customHeight="false" outlineLevel="0" collapsed="false">
      <c r="B3216" s="7" t="s">
        <v>17861</v>
      </c>
      <c r="C3216" s="7" t="s">
        <v>3713</v>
      </c>
      <c r="D3216" s="7" t="s">
        <v>288</v>
      </c>
      <c r="E3216" s="7" t="s">
        <v>156</v>
      </c>
      <c r="F3216" s="39" t="n">
        <v>45818</v>
      </c>
      <c r="G3216" s="41" t="n">
        <v>135.66</v>
      </c>
      <c r="H3216" s="39" t="n">
        <v>45829</v>
      </c>
      <c r="I3216" s="7" t="s">
        <v>14651</v>
      </c>
      <c r="J3216" s="8" t="str">
        <f aca="false">IF(I3216="Open",DATE(2025,12,31)-F3216,"-")</f>
        <v>-</v>
      </c>
    </row>
    <row r="3217" customFormat="false" ht="15" hidden="false" customHeight="false" outlineLevel="0" collapsed="false">
      <c r="B3217" s="7" t="s">
        <v>17862</v>
      </c>
      <c r="C3217" s="7" t="s">
        <v>3714</v>
      </c>
      <c r="D3217" s="7" t="s">
        <v>301</v>
      </c>
      <c r="E3217" s="7" t="s">
        <v>157</v>
      </c>
      <c r="F3217" s="39" t="n">
        <v>45818</v>
      </c>
      <c r="G3217" s="41" t="n">
        <v>176.55</v>
      </c>
      <c r="H3217" s="39" t="n">
        <v>45862</v>
      </c>
      <c r="I3217" s="7" t="s">
        <v>14651</v>
      </c>
      <c r="J3217" s="8" t="str">
        <f aca="false">IF(I3217="Open",DATE(2025,12,31)-F3217,"-")</f>
        <v>-</v>
      </c>
    </row>
    <row r="3218" customFormat="false" ht="15" hidden="false" customHeight="false" outlineLevel="0" collapsed="false">
      <c r="B3218" s="7" t="s">
        <v>17863</v>
      </c>
      <c r="C3218" s="7" t="s">
        <v>3715</v>
      </c>
      <c r="D3218" s="7" t="s">
        <v>313</v>
      </c>
      <c r="E3218" s="7" t="s">
        <v>156</v>
      </c>
      <c r="F3218" s="39" t="n">
        <v>45818</v>
      </c>
      <c r="G3218" s="41" t="n">
        <v>129.2</v>
      </c>
      <c r="H3218" s="39" t="n">
        <v>45827</v>
      </c>
      <c r="I3218" s="7" t="s">
        <v>14651</v>
      </c>
      <c r="J3218" s="8" t="str">
        <f aca="false">IF(I3218="Open",DATE(2025,12,31)-F3218,"-")</f>
        <v>-</v>
      </c>
    </row>
    <row r="3219" customFormat="false" ht="15" hidden="false" customHeight="false" outlineLevel="0" collapsed="false">
      <c r="B3219" s="7" t="s">
        <v>17864</v>
      </c>
      <c r="C3219" s="7" t="s">
        <v>3716</v>
      </c>
      <c r="D3219" s="7" t="s">
        <v>319</v>
      </c>
      <c r="E3219" s="7" t="s">
        <v>157</v>
      </c>
      <c r="F3219" s="39" t="n">
        <v>45818</v>
      </c>
      <c r="G3219" s="41" t="n">
        <v>169.95</v>
      </c>
      <c r="H3219" s="39" t="n">
        <v>45839</v>
      </c>
      <c r="I3219" s="7" t="s">
        <v>14651</v>
      </c>
      <c r="J3219" s="8" t="str">
        <f aca="false">IF(I3219="Open",DATE(2025,12,31)-F3219,"-")</f>
        <v>-</v>
      </c>
    </row>
    <row r="3220" customFormat="false" ht="15" hidden="false" customHeight="false" outlineLevel="0" collapsed="false">
      <c r="B3220" s="7" t="s">
        <v>17865</v>
      </c>
      <c r="C3220" s="7" t="s">
        <v>3717</v>
      </c>
      <c r="D3220" s="7" t="s">
        <v>321</v>
      </c>
      <c r="E3220" s="7" t="s">
        <v>154</v>
      </c>
      <c r="F3220" s="39" t="n">
        <v>45818</v>
      </c>
      <c r="G3220" s="41" t="n">
        <v>102.56</v>
      </c>
      <c r="H3220" s="39" t="n">
        <v>45866</v>
      </c>
      <c r="I3220" s="7" t="s">
        <v>14651</v>
      </c>
      <c r="J3220" s="8" t="str">
        <f aca="false">IF(I3220="Open",DATE(2025,12,31)-F3220,"-")</f>
        <v>-</v>
      </c>
    </row>
    <row r="3221" customFormat="false" ht="15" hidden="false" customHeight="false" outlineLevel="0" collapsed="false">
      <c r="B3221" s="7" t="s">
        <v>17866</v>
      </c>
      <c r="C3221" s="7" t="s">
        <v>3718</v>
      </c>
      <c r="D3221" s="7" t="s">
        <v>323</v>
      </c>
      <c r="E3221" s="7" t="s">
        <v>159</v>
      </c>
      <c r="F3221" s="39" t="n">
        <v>45818</v>
      </c>
      <c r="G3221" s="41" t="n">
        <v>135</v>
      </c>
      <c r="H3221" s="39" t="n">
        <v>45833</v>
      </c>
      <c r="I3221" s="7" t="s">
        <v>14651</v>
      </c>
      <c r="J3221" s="8" t="str">
        <f aca="false">IF(I3221="Open",DATE(2025,12,31)-F3221,"-")</f>
        <v>-</v>
      </c>
    </row>
    <row r="3222" customFormat="false" ht="15" hidden="false" customHeight="false" outlineLevel="0" collapsed="false">
      <c r="B3222" s="7" t="s">
        <v>17867</v>
      </c>
      <c r="C3222" s="7" t="s">
        <v>3719</v>
      </c>
      <c r="D3222" s="7" t="s">
        <v>327</v>
      </c>
      <c r="E3222" s="7" t="s">
        <v>157</v>
      </c>
      <c r="F3222" s="39" t="n">
        <v>45818</v>
      </c>
      <c r="G3222" s="41" t="n">
        <v>178.2</v>
      </c>
      <c r="H3222" s="39" t="n">
        <v>45863</v>
      </c>
      <c r="I3222" s="7" t="s">
        <v>14651</v>
      </c>
      <c r="J3222" s="8" t="str">
        <f aca="false">IF(I3222="Open",DATE(2025,12,31)-F3222,"-")</f>
        <v>-</v>
      </c>
    </row>
    <row r="3223" customFormat="false" ht="15" hidden="false" customHeight="false" outlineLevel="0" collapsed="false">
      <c r="B3223" s="7" t="s">
        <v>17868</v>
      </c>
      <c r="C3223" s="7" t="s">
        <v>3720</v>
      </c>
      <c r="D3223" s="7" t="s">
        <v>329</v>
      </c>
      <c r="E3223" s="7" t="s">
        <v>156</v>
      </c>
      <c r="F3223" s="39" t="n">
        <v>45818</v>
      </c>
      <c r="G3223" s="41" t="n">
        <v>134.64</v>
      </c>
      <c r="H3223" s="39" t="n">
        <v>45828</v>
      </c>
      <c r="I3223" s="7" t="s">
        <v>14651</v>
      </c>
      <c r="J3223" s="8" t="str">
        <f aca="false">IF(I3223="Open",DATE(2025,12,31)-F3223,"-")</f>
        <v>-</v>
      </c>
    </row>
    <row r="3224" customFormat="false" ht="15" hidden="false" customHeight="false" outlineLevel="0" collapsed="false">
      <c r="B3224" s="7" t="s">
        <v>17869</v>
      </c>
      <c r="C3224" s="7" t="s">
        <v>3721</v>
      </c>
      <c r="D3224" s="7" t="s">
        <v>359</v>
      </c>
      <c r="E3224" s="7" t="s">
        <v>156</v>
      </c>
      <c r="F3224" s="39" t="n">
        <v>45818</v>
      </c>
      <c r="G3224" s="41" t="n">
        <v>143.14</v>
      </c>
      <c r="H3224" s="39" t="n">
        <v>45824</v>
      </c>
      <c r="I3224" s="7" t="s">
        <v>14651</v>
      </c>
      <c r="J3224" s="8" t="str">
        <f aca="false">IF(I3224="Open",DATE(2025,12,31)-F3224,"-")</f>
        <v>-</v>
      </c>
    </row>
    <row r="3225" customFormat="false" ht="15" hidden="false" customHeight="false" outlineLevel="0" collapsed="false">
      <c r="B3225" s="7" t="s">
        <v>17870</v>
      </c>
      <c r="C3225" s="7" t="s">
        <v>3722</v>
      </c>
      <c r="D3225" s="7" t="s">
        <v>361</v>
      </c>
      <c r="E3225" s="7" t="s">
        <v>157</v>
      </c>
      <c r="F3225" s="39" t="n">
        <v>45818</v>
      </c>
      <c r="G3225" s="41" t="n">
        <v>151.8</v>
      </c>
      <c r="H3225" s="39" t="n">
        <v>45842</v>
      </c>
      <c r="I3225" s="7" t="s">
        <v>14651</v>
      </c>
      <c r="J3225" s="8" t="str">
        <f aca="false">IF(I3225="Open",DATE(2025,12,31)-F3225,"-")</f>
        <v>-</v>
      </c>
    </row>
    <row r="3226" customFormat="false" ht="15" hidden="false" customHeight="false" outlineLevel="0" collapsed="false">
      <c r="B3226" s="7" t="s">
        <v>17871</v>
      </c>
      <c r="C3226" s="7" t="s">
        <v>3723</v>
      </c>
      <c r="D3226" s="7" t="s">
        <v>365</v>
      </c>
      <c r="E3226" s="7" t="s">
        <v>154</v>
      </c>
      <c r="F3226" s="39" t="n">
        <v>45818</v>
      </c>
      <c r="G3226" s="41" t="n">
        <v>93.04</v>
      </c>
      <c r="H3226" s="39" t="n">
        <v>45885</v>
      </c>
      <c r="I3226" s="7" t="s">
        <v>14651</v>
      </c>
      <c r="J3226" s="8" t="str">
        <f aca="false">IF(I3226="Open",DATE(2025,12,31)-F3226,"-")</f>
        <v>-</v>
      </c>
    </row>
    <row r="3227" customFormat="false" ht="15" hidden="false" customHeight="false" outlineLevel="0" collapsed="false">
      <c r="B3227" s="7" t="s">
        <v>17872</v>
      </c>
      <c r="C3227" s="7" t="s">
        <v>3724</v>
      </c>
      <c r="D3227" s="7" t="s">
        <v>381</v>
      </c>
      <c r="E3227" s="7" t="s">
        <v>157</v>
      </c>
      <c r="F3227" s="39" t="n">
        <v>45818</v>
      </c>
      <c r="G3227" s="41" t="n">
        <v>165</v>
      </c>
      <c r="H3227" s="39" t="n">
        <v>45846</v>
      </c>
      <c r="I3227" s="7" t="s">
        <v>14651</v>
      </c>
      <c r="J3227" s="8" t="str">
        <f aca="false">IF(I3227="Open",DATE(2025,12,31)-F3227,"-")</f>
        <v>-</v>
      </c>
    </row>
    <row r="3228" customFormat="false" ht="15" hidden="false" customHeight="false" outlineLevel="0" collapsed="false">
      <c r="B3228" s="7" t="s">
        <v>17873</v>
      </c>
      <c r="C3228" s="7" t="s">
        <v>3725</v>
      </c>
      <c r="D3228" s="7" t="s">
        <v>389</v>
      </c>
      <c r="E3228" s="7" t="s">
        <v>154</v>
      </c>
      <c r="F3228" s="39" t="n">
        <v>45818</v>
      </c>
      <c r="G3228" s="41" t="n">
        <v>104.41</v>
      </c>
      <c r="H3228" s="39" t="n">
        <v>45849</v>
      </c>
      <c r="I3228" s="7" t="s">
        <v>14651</v>
      </c>
      <c r="J3228" s="8" t="str">
        <f aca="false">IF(I3228="Open",DATE(2025,12,31)-F3228,"-")</f>
        <v>-</v>
      </c>
    </row>
    <row r="3229" customFormat="false" ht="15" hidden="false" customHeight="false" outlineLevel="0" collapsed="false">
      <c r="B3229" s="7" t="s">
        <v>17874</v>
      </c>
      <c r="C3229" s="7" t="s">
        <v>3726</v>
      </c>
      <c r="D3229" s="7" t="s">
        <v>391</v>
      </c>
      <c r="E3229" s="7" t="s">
        <v>156</v>
      </c>
      <c r="F3229" s="39" t="n">
        <v>45818</v>
      </c>
      <c r="G3229" s="41" t="n">
        <v>128.86</v>
      </c>
      <c r="H3229" s="39" t="n">
        <v>45823</v>
      </c>
      <c r="I3229" s="7" t="s">
        <v>14651</v>
      </c>
      <c r="J3229" s="8" t="str">
        <f aca="false">IF(I3229="Open",DATE(2025,12,31)-F3229,"-")</f>
        <v>-</v>
      </c>
    </row>
    <row r="3230" customFormat="false" ht="15" hidden="false" customHeight="false" outlineLevel="0" collapsed="false">
      <c r="B3230" s="7" t="s">
        <v>17875</v>
      </c>
      <c r="C3230" s="7" t="s">
        <v>3727</v>
      </c>
      <c r="D3230" s="7" t="s">
        <v>395</v>
      </c>
      <c r="E3230" s="7" t="s">
        <v>156</v>
      </c>
      <c r="F3230" s="39" t="n">
        <v>45818</v>
      </c>
      <c r="G3230" s="41" t="n">
        <v>144.84</v>
      </c>
      <c r="H3230" s="39" t="n">
        <v>45833</v>
      </c>
      <c r="I3230" s="7" t="s">
        <v>14651</v>
      </c>
      <c r="J3230" s="8" t="str">
        <f aca="false">IF(I3230="Open",DATE(2025,12,31)-F3230,"-")</f>
        <v>-</v>
      </c>
    </row>
    <row r="3231" customFormat="false" ht="15" hidden="false" customHeight="false" outlineLevel="0" collapsed="false">
      <c r="B3231" s="7" t="s">
        <v>17876</v>
      </c>
      <c r="C3231" s="7" t="s">
        <v>3728</v>
      </c>
      <c r="D3231" s="7" t="s">
        <v>397</v>
      </c>
      <c r="E3231" s="7" t="s">
        <v>159</v>
      </c>
      <c r="F3231" s="39" t="n">
        <v>45818</v>
      </c>
      <c r="G3231" s="41" t="n">
        <v>115.56</v>
      </c>
      <c r="H3231" s="39" t="n">
        <v>45833</v>
      </c>
      <c r="I3231" s="7" t="s">
        <v>14651</v>
      </c>
      <c r="J3231" s="8" t="str">
        <f aca="false">IF(I3231="Open",DATE(2025,12,31)-F3231,"-")</f>
        <v>-</v>
      </c>
    </row>
    <row r="3232" customFormat="false" ht="15" hidden="false" customHeight="false" outlineLevel="0" collapsed="false">
      <c r="B3232" s="7" t="s">
        <v>17877</v>
      </c>
      <c r="C3232" s="7" t="s">
        <v>3729</v>
      </c>
      <c r="D3232" s="7" t="s">
        <v>401</v>
      </c>
      <c r="E3232" s="7" t="s">
        <v>156</v>
      </c>
      <c r="F3232" s="39" t="n">
        <v>45818</v>
      </c>
      <c r="G3232" s="41" t="n">
        <v>147.56</v>
      </c>
      <c r="H3232" s="39" t="n">
        <v>45835</v>
      </c>
      <c r="I3232" s="7" t="s">
        <v>14651</v>
      </c>
      <c r="J3232" s="8" t="str">
        <f aca="false">IF(I3232="Open",DATE(2025,12,31)-F3232,"-")</f>
        <v>-</v>
      </c>
    </row>
    <row r="3233" customFormat="false" ht="15" hidden="false" customHeight="false" outlineLevel="0" collapsed="false">
      <c r="B3233" s="7" t="s">
        <v>17878</v>
      </c>
      <c r="C3233" s="7" t="s">
        <v>3730</v>
      </c>
      <c r="D3233" s="7" t="s">
        <v>407</v>
      </c>
      <c r="E3233" s="7" t="s">
        <v>159</v>
      </c>
      <c r="F3233" s="39" t="n">
        <v>45818</v>
      </c>
      <c r="G3233" s="41" t="n">
        <v>139.05</v>
      </c>
      <c r="H3233" s="39" t="n">
        <v>45896</v>
      </c>
      <c r="I3233" s="7" t="s">
        <v>14651</v>
      </c>
      <c r="J3233" s="8" t="str">
        <f aca="false">IF(I3233="Open",DATE(2025,12,31)-F3233,"-")</f>
        <v>-</v>
      </c>
    </row>
    <row r="3234" customFormat="false" ht="15" hidden="false" customHeight="false" outlineLevel="0" collapsed="false">
      <c r="B3234" s="7" t="s">
        <v>17879</v>
      </c>
      <c r="C3234" s="7" t="s">
        <v>3731</v>
      </c>
      <c r="D3234" s="7" t="s">
        <v>280</v>
      </c>
      <c r="E3234" s="7" t="s">
        <v>157</v>
      </c>
      <c r="F3234" s="39" t="n">
        <v>45819</v>
      </c>
      <c r="G3234" s="41" t="n">
        <v>173.25</v>
      </c>
      <c r="H3234" s="39" t="n">
        <v>45888</v>
      </c>
      <c r="I3234" s="7" t="s">
        <v>14651</v>
      </c>
      <c r="J3234" s="8" t="str">
        <f aca="false">IF(I3234="Open",DATE(2025,12,31)-F3234,"-")</f>
        <v>-</v>
      </c>
    </row>
    <row r="3235" customFormat="false" ht="15" hidden="false" customHeight="false" outlineLevel="0" collapsed="false">
      <c r="B3235" s="7" t="s">
        <v>17880</v>
      </c>
      <c r="C3235" s="7" t="s">
        <v>3732</v>
      </c>
      <c r="D3235" s="7" t="s">
        <v>286</v>
      </c>
      <c r="E3235" s="7" t="s">
        <v>157</v>
      </c>
      <c r="F3235" s="39" t="n">
        <v>45819</v>
      </c>
      <c r="G3235" s="41" t="n">
        <v>171.6</v>
      </c>
      <c r="H3235" s="39" t="n">
        <v>45859</v>
      </c>
      <c r="I3235" s="7" t="s">
        <v>14651</v>
      </c>
      <c r="J3235" s="8" t="str">
        <f aca="false">IF(I3235="Open",DATE(2025,12,31)-F3235,"-")</f>
        <v>-</v>
      </c>
    </row>
    <row r="3236" customFormat="false" ht="15" hidden="false" customHeight="false" outlineLevel="0" collapsed="false">
      <c r="B3236" s="7" t="s">
        <v>17881</v>
      </c>
      <c r="C3236" s="7" t="s">
        <v>3733</v>
      </c>
      <c r="D3236" s="7" t="s">
        <v>288</v>
      </c>
      <c r="E3236" s="7" t="s">
        <v>156</v>
      </c>
      <c r="F3236" s="39" t="n">
        <v>45819</v>
      </c>
      <c r="G3236" s="41" t="n">
        <v>136.34</v>
      </c>
      <c r="H3236" s="39" t="n">
        <v>45826</v>
      </c>
      <c r="I3236" s="7" t="s">
        <v>14651</v>
      </c>
      <c r="J3236" s="8" t="str">
        <f aca="false">IF(I3236="Open",DATE(2025,12,31)-F3236,"-")</f>
        <v>-</v>
      </c>
    </row>
    <row r="3237" customFormat="false" ht="15" hidden="false" customHeight="false" outlineLevel="0" collapsed="false">
      <c r="B3237" s="7" t="s">
        <v>17882</v>
      </c>
      <c r="C3237" s="7" t="s">
        <v>3734</v>
      </c>
      <c r="D3237" s="7" t="s">
        <v>291</v>
      </c>
      <c r="E3237" s="7" t="s">
        <v>154</v>
      </c>
      <c r="F3237" s="39" t="n">
        <v>45819</v>
      </c>
      <c r="G3237" s="41" t="n">
        <v>120.57</v>
      </c>
      <c r="H3237" s="39" t="n">
        <v>45891</v>
      </c>
      <c r="I3237" s="7" t="s">
        <v>14651</v>
      </c>
      <c r="J3237" s="8" t="str">
        <f aca="false">IF(I3237="Open",DATE(2025,12,31)-F3237,"-")</f>
        <v>-</v>
      </c>
    </row>
    <row r="3238" customFormat="false" ht="15" hidden="false" customHeight="false" outlineLevel="0" collapsed="false">
      <c r="B3238" s="7" t="s">
        <v>17883</v>
      </c>
      <c r="C3238" s="7" t="s">
        <v>3735</v>
      </c>
      <c r="D3238" s="7" t="s">
        <v>305</v>
      </c>
      <c r="E3238" s="7" t="s">
        <v>154</v>
      </c>
      <c r="F3238" s="39" t="n">
        <v>45819</v>
      </c>
      <c r="G3238" s="41" t="n">
        <v>104.68</v>
      </c>
      <c r="H3238" s="39" t="n">
        <v>45883</v>
      </c>
      <c r="I3238" s="7" t="s">
        <v>14651</v>
      </c>
      <c r="J3238" s="8" t="str">
        <f aca="false">IF(I3238="Open",DATE(2025,12,31)-F3238,"-")</f>
        <v>-</v>
      </c>
    </row>
    <row r="3239" customFormat="false" ht="15" hidden="false" customHeight="false" outlineLevel="0" collapsed="false">
      <c r="B3239" s="7" t="s">
        <v>17884</v>
      </c>
      <c r="C3239" s="7" t="s">
        <v>3736</v>
      </c>
      <c r="D3239" s="7" t="s">
        <v>307</v>
      </c>
      <c r="E3239" s="7" t="s">
        <v>157</v>
      </c>
      <c r="F3239" s="39" t="n">
        <v>45819</v>
      </c>
      <c r="G3239" s="41" t="n">
        <v>179.85</v>
      </c>
      <c r="H3239" s="39" t="n">
        <v>45871</v>
      </c>
      <c r="I3239" s="7" t="s">
        <v>14651</v>
      </c>
      <c r="J3239" s="8" t="str">
        <f aca="false">IF(I3239="Open",DATE(2025,12,31)-F3239,"-")</f>
        <v>-</v>
      </c>
    </row>
    <row r="3240" customFormat="false" ht="15" hidden="false" customHeight="false" outlineLevel="0" collapsed="false">
      <c r="B3240" s="7" t="s">
        <v>17885</v>
      </c>
      <c r="C3240" s="7" t="s">
        <v>3737</v>
      </c>
      <c r="D3240" s="7" t="s">
        <v>309</v>
      </c>
      <c r="E3240" s="7" t="s">
        <v>159</v>
      </c>
      <c r="F3240" s="39" t="n">
        <v>45819</v>
      </c>
      <c r="G3240" s="41" t="n">
        <v>130.95</v>
      </c>
      <c r="H3240" s="39" t="n">
        <v>45905</v>
      </c>
      <c r="I3240" s="7" t="s">
        <v>14651</v>
      </c>
      <c r="J3240" s="8" t="str">
        <f aca="false">IF(I3240="Open",DATE(2025,12,31)-F3240,"-")</f>
        <v>-</v>
      </c>
    </row>
    <row r="3241" customFormat="false" ht="15" hidden="false" customHeight="false" outlineLevel="0" collapsed="false">
      <c r="B3241" s="7" t="s">
        <v>17886</v>
      </c>
      <c r="C3241" s="7" t="s">
        <v>3738</v>
      </c>
      <c r="D3241" s="7" t="s">
        <v>313</v>
      </c>
      <c r="E3241" s="7" t="s">
        <v>156</v>
      </c>
      <c r="F3241" s="39" t="n">
        <v>45819</v>
      </c>
      <c r="G3241" s="41" t="n">
        <v>138.04</v>
      </c>
      <c r="H3241" s="39" t="n">
        <v>45826</v>
      </c>
      <c r="I3241" s="7" t="s">
        <v>14651</v>
      </c>
      <c r="J3241" s="8" t="str">
        <f aca="false">IF(I3241="Open",DATE(2025,12,31)-F3241,"-")</f>
        <v>-</v>
      </c>
    </row>
    <row r="3242" customFormat="false" ht="15" hidden="false" customHeight="false" outlineLevel="0" collapsed="false">
      <c r="B3242" s="7" t="s">
        <v>17887</v>
      </c>
      <c r="C3242" s="7" t="s">
        <v>3739</v>
      </c>
      <c r="D3242" s="7" t="s">
        <v>321</v>
      </c>
      <c r="E3242" s="7" t="s">
        <v>154</v>
      </c>
      <c r="F3242" s="39" t="n">
        <v>45819</v>
      </c>
      <c r="G3242" s="41" t="n">
        <v>102.29</v>
      </c>
      <c r="H3242" s="39" t="n">
        <v>45868</v>
      </c>
      <c r="I3242" s="7" t="s">
        <v>14651</v>
      </c>
      <c r="J3242" s="8" t="str">
        <f aca="false">IF(I3242="Open",DATE(2025,12,31)-F3242,"-")</f>
        <v>-</v>
      </c>
    </row>
    <row r="3243" customFormat="false" ht="15" hidden="false" customHeight="false" outlineLevel="0" collapsed="false">
      <c r="B3243" s="7" t="s">
        <v>17888</v>
      </c>
      <c r="C3243" s="7" t="s">
        <v>3740</v>
      </c>
      <c r="D3243" s="7" t="s">
        <v>329</v>
      </c>
      <c r="E3243" s="7" t="s">
        <v>156</v>
      </c>
      <c r="F3243" s="39" t="n">
        <v>45819</v>
      </c>
      <c r="G3243" s="41" t="n">
        <v>126.14</v>
      </c>
      <c r="H3243" s="39" t="n">
        <v>45832</v>
      </c>
      <c r="I3243" s="7" t="s">
        <v>14651</v>
      </c>
      <c r="J3243" s="8" t="str">
        <f aca="false">IF(I3243="Open",DATE(2025,12,31)-F3243,"-")</f>
        <v>-</v>
      </c>
    </row>
    <row r="3244" customFormat="false" ht="15" hidden="false" customHeight="false" outlineLevel="0" collapsed="false">
      <c r="B3244" s="7" t="s">
        <v>17889</v>
      </c>
      <c r="C3244" s="7" t="s">
        <v>3741</v>
      </c>
      <c r="D3244" s="7" t="s">
        <v>335</v>
      </c>
      <c r="E3244" s="7" t="s">
        <v>154</v>
      </c>
      <c r="F3244" s="39" t="n">
        <v>45819</v>
      </c>
      <c r="G3244" s="41" t="n">
        <v>116.33</v>
      </c>
      <c r="H3244" s="39" t="n">
        <v>45891</v>
      </c>
      <c r="I3244" s="7" t="s">
        <v>14651</v>
      </c>
      <c r="J3244" s="8" t="str">
        <f aca="false">IF(I3244="Open",DATE(2025,12,31)-F3244,"-")</f>
        <v>-</v>
      </c>
    </row>
    <row r="3245" customFormat="false" ht="15" hidden="false" customHeight="false" outlineLevel="0" collapsed="false">
      <c r="B3245" s="7" t="s">
        <v>17890</v>
      </c>
      <c r="C3245" s="7" t="s">
        <v>3742</v>
      </c>
      <c r="D3245" s="7" t="s">
        <v>339</v>
      </c>
      <c r="E3245" s="7" t="s">
        <v>154</v>
      </c>
      <c r="F3245" s="39" t="n">
        <v>45819</v>
      </c>
      <c r="G3245" s="41" t="n">
        <v>86.89</v>
      </c>
      <c r="H3245" s="39" t="n">
        <v>45934</v>
      </c>
      <c r="I3245" s="7" t="s">
        <v>14651</v>
      </c>
      <c r="J3245" s="8" t="str">
        <f aca="false">IF(I3245="Open",DATE(2025,12,31)-F3245,"-")</f>
        <v>-</v>
      </c>
    </row>
    <row r="3246" customFormat="false" ht="15" hidden="false" customHeight="false" outlineLevel="0" collapsed="false">
      <c r="B3246" s="7" t="s">
        <v>17891</v>
      </c>
      <c r="C3246" s="7" t="s">
        <v>3743</v>
      </c>
      <c r="D3246" s="7" t="s">
        <v>353</v>
      </c>
      <c r="E3246" s="7" t="s">
        <v>154</v>
      </c>
      <c r="F3246" s="39" t="n">
        <v>45819</v>
      </c>
      <c r="G3246" s="41" t="n">
        <v>84.53</v>
      </c>
      <c r="H3246" s="39" t="n">
        <v>45873</v>
      </c>
      <c r="I3246" s="7" t="s">
        <v>14651</v>
      </c>
      <c r="J3246" s="8" t="str">
        <f aca="false">IF(I3246="Open",DATE(2025,12,31)-F3246,"-")</f>
        <v>-</v>
      </c>
    </row>
    <row r="3247" customFormat="false" ht="15" hidden="false" customHeight="false" outlineLevel="0" collapsed="false">
      <c r="B3247" s="7" t="s">
        <v>17892</v>
      </c>
      <c r="C3247" s="7" t="s">
        <v>3744</v>
      </c>
      <c r="D3247" s="7" t="s">
        <v>355</v>
      </c>
      <c r="E3247" s="7" t="s">
        <v>154</v>
      </c>
      <c r="F3247" s="39" t="n">
        <v>45819</v>
      </c>
      <c r="G3247" s="41" t="n">
        <v>87.19</v>
      </c>
      <c r="H3247" s="39" t="n">
        <v>45877</v>
      </c>
      <c r="I3247" s="7" t="s">
        <v>14651</v>
      </c>
      <c r="J3247" s="8" t="str">
        <f aca="false">IF(I3247="Open",DATE(2025,12,31)-F3247,"-")</f>
        <v>-</v>
      </c>
    </row>
    <row r="3248" customFormat="false" ht="15" hidden="false" customHeight="false" outlineLevel="0" collapsed="false">
      <c r="B3248" s="7" t="s">
        <v>17893</v>
      </c>
      <c r="C3248" s="7" t="s">
        <v>3745</v>
      </c>
      <c r="D3248" s="7" t="s">
        <v>357</v>
      </c>
      <c r="E3248" s="7" t="s">
        <v>154</v>
      </c>
      <c r="F3248" s="39" t="n">
        <v>45819</v>
      </c>
      <c r="G3248" s="41" t="n">
        <v>95.66</v>
      </c>
      <c r="H3248" s="39" t="n">
        <v>45924</v>
      </c>
      <c r="I3248" s="7" t="s">
        <v>14651</v>
      </c>
      <c r="J3248" s="8" t="str">
        <f aca="false">IF(I3248="Open",DATE(2025,12,31)-F3248,"-")</f>
        <v>-</v>
      </c>
    </row>
    <row r="3249" customFormat="false" ht="15" hidden="false" customHeight="false" outlineLevel="0" collapsed="false">
      <c r="B3249" s="7" t="s">
        <v>17894</v>
      </c>
      <c r="C3249" s="7" t="s">
        <v>3746</v>
      </c>
      <c r="D3249" s="7" t="s">
        <v>359</v>
      </c>
      <c r="E3249" s="7" t="s">
        <v>156</v>
      </c>
      <c r="F3249" s="39" t="n">
        <v>45819</v>
      </c>
      <c r="G3249" s="41" t="n">
        <v>147.56</v>
      </c>
      <c r="H3249" s="39" t="n">
        <v>45833</v>
      </c>
      <c r="I3249" s="7" t="s">
        <v>14651</v>
      </c>
      <c r="J3249" s="8" t="str">
        <f aca="false">IF(I3249="Open",DATE(2025,12,31)-F3249,"-")</f>
        <v>-</v>
      </c>
    </row>
    <row r="3250" customFormat="false" ht="15" hidden="false" customHeight="false" outlineLevel="0" collapsed="false">
      <c r="B3250" s="7" t="s">
        <v>17895</v>
      </c>
      <c r="C3250" s="7" t="s">
        <v>3747</v>
      </c>
      <c r="D3250" s="7" t="s">
        <v>365</v>
      </c>
      <c r="E3250" s="7" t="s">
        <v>154</v>
      </c>
      <c r="F3250" s="39" t="n">
        <v>45819</v>
      </c>
      <c r="G3250" s="41" t="n">
        <v>99.91</v>
      </c>
      <c r="H3250" s="39" t="n">
        <v>45937</v>
      </c>
      <c r="I3250" s="7" t="s">
        <v>14651</v>
      </c>
      <c r="J3250" s="8" t="str">
        <f aca="false">IF(I3250="Open",DATE(2025,12,31)-F3250,"-")</f>
        <v>-</v>
      </c>
    </row>
    <row r="3251" customFormat="false" ht="15" hidden="false" customHeight="false" outlineLevel="0" collapsed="false">
      <c r="B3251" s="7" t="s">
        <v>17896</v>
      </c>
      <c r="C3251" s="7" t="s">
        <v>3748</v>
      </c>
      <c r="D3251" s="7" t="s">
        <v>371</v>
      </c>
      <c r="E3251" s="7" t="s">
        <v>154</v>
      </c>
      <c r="F3251" s="39" t="n">
        <v>45819</v>
      </c>
      <c r="G3251" s="41" t="n">
        <v>112.1</v>
      </c>
      <c r="H3251" s="39" t="n">
        <v>45899</v>
      </c>
      <c r="I3251" s="7" t="s">
        <v>14651</v>
      </c>
      <c r="J3251" s="8" t="str">
        <f aca="false">IF(I3251="Open",DATE(2025,12,31)-F3251,"-")</f>
        <v>-</v>
      </c>
    </row>
    <row r="3252" customFormat="false" ht="15" hidden="false" customHeight="false" outlineLevel="0" collapsed="false">
      <c r="B3252" s="7" t="s">
        <v>17897</v>
      </c>
      <c r="C3252" s="7" t="s">
        <v>3749</v>
      </c>
      <c r="D3252" s="7" t="s">
        <v>379</v>
      </c>
      <c r="E3252" s="7" t="s">
        <v>156</v>
      </c>
      <c r="F3252" s="39" t="n">
        <v>45819</v>
      </c>
      <c r="G3252" s="41" t="n">
        <v>159.8</v>
      </c>
      <c r="H3252" s="39" t="n">
        <v>45827</v>
      </c>
      <c r="I3252" s="7" t="s">
        <v>14651</v>
      </c>
      <c r="J3252" s="8" t="str">
        <f aca="false">IF(I3252="Open",DATE(2025,12,31)-F3252,"-")</f>
        <v>-</v>
      </c>
    </row>
    <row r="3253" customFormat="false" ht="15" hidden="false" customHeight="false" outlineLevel="0" collapsed="false">
      <c r="B3253" s="7" t="s">
        <v>17898</v>
      </c>
      <c r="C3253" s="7" t="s">
        <v>3750</v>
      </c>
      <c r="D3253" s="7" t="s">
        <v>385</v>
      </c>
      <c r="E3253" s="7" t="s">
        <v>156</v>
      </c>
      <c r="F3253" s="39" t="n">
        <v>45819</v>
      </c>
      <c r="G3253" s="41" t="n">
        <v>145.18</v>
      </c>
      <c r="H3253" s="39" t="n">
        <v>45828</v>
      </c>
      <c r="I3253" s="7" t="s">
        <v>14651</v>
      </c>
      <c r="J3253" s="8" t="str">
        <f aca="false">IF(I3253="Open",DATE(2025,12,31)-F3253,"-")</f>
        <v>-</v>
      </c>
    </row>
    <row r="3254" customFormat="false" ht="15" hidden="false" customHeight="false" outlineLevel="0" collapsed="false">
      <c r="B3254" s="7" t="s">
        <v>17899</v>
      </c>
      <c r="C3254" s="7" t="s">
        <v>3751</v>
      </c>
      <c r="D3254" s="7" t="s">
        <v>389</v>
      </c>
      <c r="E3254" s="7" t="s">
        <v>154</v>
      </c>
      <c r="F3254" s="39" t="n">
        <v>45819</v>
      </c>
      <c r="G3254" s="41" t="n">
        <v>115.27</v>
      </c>
      <c r="H3254" s="39" t="n">
        <v>45938</v>
      </c>
      <c r="I3254" s="7" t="s">
        <v>14651</v>
      </c>
      <c r="J3254" s="8" t="str">
        <f aca="false">IF(I3254="Open",DATE(2025,12,31)-F3254,"-")</f>
        <v>-</v>
      </c>
    </row>
    <row r="3255" customFormat="false" ht="15" hidden="false" customHeight="false" outlineLevel="0" collapsed="false">
      <c r="B3255" s="7" t="s">
        <v>17900</v>
      </c>
      <c r="C3255" s="7" t="s">
        <v>3752</v>
      </c>
      <c r="D3255" s="7" t="s">
        <v>391</v>
      </c>
      <c r="E3255" s="7" t="s">
        <v>156</v>
      </c>
      <c r="F3255" s="39" t="n">
        <v>45819</v>
      </c>
      <c r="G3255" s="41" t="n">
        <v>136.68</v>
      </c>
      <c r="H3255" s="39" t="n">
        <v>45841</v>
      </c>
      <c r="I3255" s="7" t="s">
        <v>14651</v>
      </c>
      <c r="J3255" s="8" t="str">
        <f aca="false">IF(I3255="Open",DATE(2025,12,31)-F3255,"-")</f>
        <v>-</v>
      </c>
    </row>
    <row r="3256" customFormat="false" ht="15" hidden="false" customHeight="false" outlineLevel="0" collapsed="false">
      <c r="B3256" s="7" t="s">
        <v>17901</v>
      </c>
      <c r="C3256" s="7" t="s">
        <v>3753</v>
      </c>
      <c r="D3256" s="7" t="s">
        <v>393</v>
      </c>
      <c r="E3256" s="7" t="s">
        <v>157</v>
      </c>
      <c r="F3256" s="39" t="n">
        <v>45819</v>
      </c>
      <c r="G3256" s="41" t="n">
        <v>151.8</v>
      </c>
      <c r="H3256" s="39" t="n">
        <v>45847</v>
      </c>
      <c r="I3256" s="7" t="s">
        <v>14651</v>
      </c>
      <c r="J3256" s="8" t="str">
        <f aca="false">IF(I3256="Open",DATE(2025,12,31)-F3256,"-")</f>
        <v>-</v>
      </c>
    </row>
    <row r="3257" customFormat="false" ht="15" hidden="false" customHeight="false" outlineLevel="0" collapsed="false">
      <c r="B3257" s="7" t="s">
        <v>17902</v>
      </c>
      <c r="C3257" s="7" t="s">
        <v>3754</v>
      </c>
      <c r="D3257" s="7" t="s">
        <v>395</v>
      </c>
      <c r="E3257" s="7" t="s">
        <v>156</v>
      </c>
      <c r="F3257" s="39" t="n">
        <v>45819</v>
      </c>
      <c r="G3257" s="41" t="n">
        <v>134.64</v>
      </c>
      <c r="H3257" s="39" t="n">
        <v>45828</v>
      </c>
      <c r="I3257" s="7" t="s">
        <v>14651</v>
      </c>
      <c r="J3257" s="8" t="str">
        <f aca="false">IF(I3257="Open",DATE(2025,12,31)-F3257,"-")</f>
        <v>-</v>
      </c>
    </row>
    <row r="3258" customFormat="false" ht="15" hidden="false" customHeight="false" outlineLevel="0" collapsed="false">
      <c r="B3258" s="7" t="s">
        <v>17903</v>
      </c>
      <c r="C3258" s="7" t="s">
        <v>3755</v>
      </c>
      <c r="D3258" s="7" t="s">
        <v>399</v>
      </c>
      <c r="E3258" s="7" t="s">
        <v>154</v>
      </c>
      <c r="F3258" s="39" t="n">
        <v>45819</v>
      </c>
      <c r="G3258" s="41" t="n">
        <v>94.87</v>
      </c>
      <c r="H3258" s="39" t="n">
        <v>45865</v>
      </c>
      <c r="I3258" s="7" t="s">
        <v>14651</v>
      </c>
      <c r="J3258" s="8" t="str">
        <f aca="false">IF(I3258="Open",DATE(2025,12,31)-F3258,"-")</f>
        <v>-</v>
      </c>
    </row>
    <row r="3259" customFormat="false" ht="15" hidden="false" customHeight="false" outlineLevel="0" collapsed="false">
      <c r="B3259" s="7" t="s">
        <v>17904</v>
      </c>
      <c r="C3259" s="7" t="s">
        <v>3756</v>
      </c>
      <c r="D3259" s="7" t="s">
        <v>401</v>
      </c>
      <c r="E3259" s="7" t="s">
        <v>156</v>
      </c>
      <c r="F3259" s="39" t="n">
        <v>45819</v>
      </c>
      <c r="G3259" s="41" t="n">
        <v>144.16</v>
      </c>
      <c r="H3259" s="39" t="n">
        <v>45827</v>
      </c>
      <c r="I3259" s="7" t="s">
        <v>14651</v>
      </c>
      <c r="J3259" s="8" t="str">
        <f aca="false">IF(I3259="Open",DATE(2025,12,31)-F3259,"-")</f>
        <v>-</v>
      </c>
    </row>
    <row r="3260" customFormat="false" ht="15" hidden="false" customHeight="false" outlineLevel="0" collapsed="false">
      <c r="B3260" s="7" t="s">
        <v>17905</v>
      </c>
      <c r="C3260" s="7" t="s">
        <v>3757</v>
      </c>
      <c r="D3260" s="7" t="s">
        <v>409</v>
      </c>
      <c r="E3260" s="7" t="s">
        <v>154</v>
      </c>
      <c r="F3260" s="39" t="n">
        <v>45819</v>
      </c>
      <c r="G3260" s="41" t="n">
        <v>80.82</v>
      </c>
      <c r="H3260" s="39" t="n">
        <v>45931</v>
      </c>
      <c r="I3260" s="7" t="s">
        <v>14651</v>
      </c>
      <c r="J3260" s="8" t="str">
        <f aca="false">IF(I3260="Open",DATE(2025,12,31)-F3260,"-")</f>
        <v>-</v>
      </c>
    </row>
    <row r="3261" customFormat="false" ht="15" hidden="false" customHeight="false" outlineLevel="0" collapsed="false">
      <c r="B3261" s="7" t="s">
        <v>17906</v>
      </c>
      <c r="C3261" s="7" t="s">
        <v>3758</v>
      </c>
      <c r="D3261" s="7" t="s">
        <v>411</v>
      </c>
      <c r="E3261" s="7" t="s">
        <v>154</v>
      </c>
      <c r="F3261" s="39" t="n">
        <v>45819</v>
      </c>
      <c r="G3261" s="41" t="n">
        <v>122.43</v>
      </c>
      <c r="H3261" s="39" t="n">
        <v>45868</v>
      </c>
      <c r="I3261" s="7" t="s">
        <v>14651</v>
      </c>
      <c r="J3261" s="8" t="str">
        <f aca="false">IF(I3261="Open",DATE(2025,12,31)-F3261,"-")</f>
        <v>-</v>
      </c>
    </row>
    <row r="3262" customFormat="false" ht="15" hidden="false" customHeight="false" outlineLevel="0" collapsed="false">
      <c r="B3262" s="7" t="s">
        <v>17907</v>
      </c>
      <c r="C3262" s="7" t="s">
        <v>3759</v>
      </c>
      <c r="D3262" s="7" t="s">
        <v>288</v>
      </c>
      <c r="E3262" s="7" t="s">
        <v>156</v>
      </c>
      <c r="F3262" s="39" t="n">
        <v>45820</v>
      </c>
      <c r="G3262" s="41" t="n">
        <v>124.44</v>
      </c>
      <c r="H3262" s="39" t="n">
        <v>45830</v>
      </c>
      <c r="I3262" s="7" t="s">
        <v>14651</v>
      </c>
      <c r="J3262" s="8" t="str">
        <f aca="false">IF(I3262="Open",DATE(2025,12,31)-F3262,"-")</f>
        <v>-</v>
      </c>
    </row>
    <row r="3263" customFormat="false" ht="15" hidden="false" customHeight="false" outlineLevel="0" collapsed="false">
      <c r="B3263" s="7" t="s">
        <v>17908</v>
      </c>
      <c r="C3263" s="7" t="s">
        <v>3760</v>
      </c>
      <c r="D3263" s="7" t="s">
        <v>297</v>
      </c>
      <c r="E3263" s="7" t="s">
        <v>156</v>
      </c>
      <c r="F3263" s="39" t="n">
        <v>45820</v>
      </c>
      <c r="G3263" s="41" t="n">
        <v>110.84</v>
      </c>
      <c r="H3263" s="39" t="n">
        <v>45838</v>
      </c>
      <c r="I3263" s="7" t="s">
        <v>14651</v>
      </c>
      <c r="J3263" s="8" t="str">
        <f aca="false">IF(I3263="Open",DATE(2025,12,31)-F3263,"-")</f>
        <v>-</v>
      </c>
    </row>
    <row r="3264" customFormat="false" ht="15" hidden="false" customHeight="false" outlineLevel="0" collapsed="false">
      <c r="B3264" s="7" t="s">
        <v>17909</v>
      </c>
      <c r="C3264" s="7" t="s">
        <v>3761</v>
      </c>
      <c r="D3264" s="7" t="s">
        <v>311</v>
      </c>
      <c r="E3264" s="7" t="s">
        <v>154</v>
      </c>
      <c r="F3264" s="39" t="n">
        <v>45820</v>
      </c>
      <c r="G3264" s="41" t="n">
        <v>84.8</v>
      </c>
      <c r="H3264" s="39" t="n">
        <v>45882</v>
      </c>
      <c r="I3264" s="7" t="s">
        <v>14651</v>
      </c>
      <c r="J3264" s="8" t="str">
        <f aca="false">IF(I3264="Open",DATE(2025,12,31)-F3264,"-")</f>
        <v>-</v>
      </c>
    </row>
    <row r="3265" customFormat="false" ht="15" hidden="false" customHeight="false" outlineLevel="0" collapsed="false">
      <c r="B3265" s="7" t="s">
        <v>17910</v>
      </c>
      <c r="C3265" s="7" t="s">
        <v>3762</v>
      </c>
      <c r="D3265" s="7" t="s">
        <v>313</v>
      </c>
      <c r="E3265" s="7" t="s">
        <v>156</v>
      </c>
      <c r="F3265" s="39" t="n">
        <v>45820</v>
      </c>
      <c r="G3265" s="41" t="n">
        <v>123.42</v>
      </c>
      <c r="H3265" s="39" t="n">
        <v>45836</v>
      </c>
      <c r="I3265" s="7" t="s">
        <v>14651</v>
      </c>
      <c r="J3265" s="8" t="str">
        <f aca="false">IF(I3265="Open",DATE(2025,12,31)-F3265,"-")</f>
        <v>-</v>
      </c>
    </row>
    <row r="3266" customFormat="false" ht="15" hidden="false" customHeight="false" outlineLevel="0" collapsed="false">
      <c r="B3266" s="7" t="s">
        <v>17911</v>
      </c>
      <c r="C3266" s="7" t="s">
        <v>3763</v>
      </c>
      <c r="D3266" s="7" t="s">
        <v>317</v>
      </c>
      <c r="E3266" s="7" t="s">
        <v>156</v>
      </c>
      <c r="F3266" s="39" t="n">
        <v>45820</v>
      </c>
      <c r="G3266" s="41" t="n">
        <v>94.52</v>
      </c>
      <c r="H3266" s="39" t="n">
        <v>45837</v>
      </c>
      <c r="I3266" s="7" t="s">
        <v>14651</v>
      </c>
      <c r="J3266" s="8" t="str">
        <f aca="false">IF(I3266="Open",DATE(2025,12,31)-F3266,"-")</f>
        <v>-</v>
      </c>
    </row>
    <row r="3267" customFormat="false" ht="15" hidden="false" customHeight="false" outlineLevel="0" collapsed="false">
      <c r="B3267" s="7" t="s">
        <v>17912</v>
      </c>
      <c r="C3267" s="7" t="s">
        <v>3764</v>
      </c>
      <c r="D3267" s="7" t="s">
        <v>321</v>
      </c>
      <c r="E3267" s="7" t="s">
        <v>154</v>
      </c>
      <c r="F3267" s="39" t="n">
        <v>45820</v>
      </c>
      <c r="G3267" s="41" t="n">
        <v>109.71</v>
      </c>
      <c r="H3267" s="39" t="n">
        <v>45891</v>
      </c>
      <c r="I3267" s="7" t="s">
        <v>14651</v>
      </c>
      <c r="J3267" s="8" t="str">
        <f aca="false">IF(I3267="Open",DATE(2025,12,31)-F3267,"-")</f>
        <v>-</v>
      </c>
    </row>
    <row r="3268" customFormat="false" ht="15" hidden="false" customHeight="false" outlineLevel="0" collapsed="false">
      <c r="B3268" s="7" t="s">
        <v>17913</v>
      </c>
      <c r="C3268" s="7" t="s">
        <v>3765</v>
      </c>
      <c r="D3268" s="7" t="s">
        <v>325</v>
      </c>
      <c r="E3268" s="7" t="s">
        <v>154</v>
      </c>
      <c r="F3268" s="39" t="n">
        <v>45820</v>
      </c>
      <c r="G3268" s="41" t="n">
        <v>84.53</v>
      </c>
      <c r="H3268" s="39" t="n">
        <v>45892</v>
      </c>
      <c r="I3268" s="7" t="s">
        <v>14651</v>
      </c>
      <c r="J3268" s="8" t="str">
        <f aca="false">IF(I3268="Open",DATE(2025,12,31)-F3268,"-")</f>
        <v>-</v>
      </c>
    </row>
    <row r="3269" customFormat="false" ht="15" hidden="false" customHeight="false" outlineLevel="0" collapsed="false">
      <c r="B3269" s="7" t="s">
        <v>17914</v>
      </c>
      <c r="C3269" s="7" t="s">
        <v>3766</v>
      </c>
      <c r="D3269" s="7" t="s">
        <v>329</v>
      </c>
      <c r="E3269" s="7" t="s">
        <v>156</v>
      </c>
      <c r="F3269" s="39" t="n">
        <v>45820</v>
      </c>
      <c r="G3269" s="41" t="n">
        <v>127.84</v>
      </c>
      <c r="H3269" s="39" t="n">
        <v>45830</v>
      </c>
      <c r="I3269" s="7" t="s">
        <v>14651</v>
      </c>
      <c r="J3269" s="8" t="str">
        <f aca="false">IF(I3269="Open",DATE(2025,12,31)-F3269,"-")</f>
        <v>-</v>
      </c>
    </row>
    <row r="3270" customFormat="false" ht="15" hidden="false" customHeight="false" outlineLevel="0" collapsed="false">
      <c r="B3270" s="7" t="s">
        <v>17915</v>
      </c>
      <c r="C3270" s="7" t="s">
        <v>3767</v>
      </c>
      <c r="D3270" s="7" t="s">
        <v>331</v>
      </c>
      <c r="E3270" s="7" t="s">
        <v>156</v>
      </c>
      <c r="F3270" s="39" t="n">
        <v>45820</v>
      </c>
      <c r="G3270" s="41" t="n">
        <v>145.86</v>
      </c>
      <c r="H3270" s="39" t="n">
        <v>45821</v>
      </c>
      <c r="I3270" s="7" t="s">
        <v>14651</v>
      </c>
      <c r="J3270" s="8" t="str">
        <f aca="false">IF(I3270="Open",DATE(2025,12,31)-F3270,"-")</f>
        <v>-</v>
      </c>
    </row>
    <row r="3271" customFormat="false" ht="15" hidden="false" customHeight="false" outlineLevel="0" collapsed="false">
      <c r="B3271" s="7" t="s">
        <v>17916</v>
      </c>
      <c r="C3271" s="7" t="s">
        <v>3768</v>
      </c>
      <c r="D3271" s="7" t="s">
        <v>337</v>
      </c>
      <c r="E3271" s="7" t="s">
        <v>154</v>
      </c>
      <c r="F3271" s="39" t="n">
        <v>45820</v>
      </c>
      <c r="G3271" s="41" t="n">
        <v>72.61</v>
      </c>
      <c r="H3271" s="39" t="n">
        <v>45881</v>
      </c>
      <c r="I3271" s="7" t="s">
        <v>14651</v>
      </c>
      <c r="J3271" s="8" t="str">
        <f aca="false">IF(I3271="Open",DATE(2025,12,31)-F3271,"-")</f>
        <v>-</v>
      </c>
    </row>
    <row r="3272" customFormat="false" ht="15" hidden="false" customHeight="false" outlineLevel="0" collapsed="false">
      <c r="B3272" s="7" t="s">
        <v>17917</v>
      </c>
      <c r="C3272" s="7" t="s">
        <v>3769</v>
      </c>
      <c r="D3272" s="7" t="s">
        <v>341</v>
      </c>
      <c r="E3272" s="7" t="s">
        <v>156</v>
      </c>
      <c r="F3272" s="39" t="n">
        <v>45820</v>
      </c>
      <c r="G3272" s="41" t="n">
        <v>95.54</v>
      </c>
      <c r="H3272" s="39" t="n">
        <v>45827</v>
      </c>
      <c r="I3272" s="7" t="s">
        <v>14651</v>
      </c>
      <c r="J3272" s="8" t="str">
        <f aca="false">IF(I3272="Open",DATE(2025,12,31)-F3272,"-")</f>
        <v>-</v>
      </c>
    </row>
    <row r="3273" customFormat="false" ht="15" hidden="false" customHeight="false" outlineLevel="0" collapsed="false">
      <c r="B3273" s="7" t="s">
        <v>17918</v>
      </c>
      <c r="C3273" s="7" t="s">
        <v>3770</v>
      </c>
      <c r="D3273" s="7" t="s">
        <v>343</v>
      </c>
      <c r="E3273" s="7" t="s">
        <v>154</v>
      </c>
      <c r="F3273" s="39" t="n">
        <v>45820</v>
      </c>
      <c r="G3273" s="41" t="n">
        <v>103.35</v>
      </c>
      <c r="H3273" s="39" t="n">
        <v>45850</v>
      </c>
      <c r="I3273" s="7" t="s">
        <v>14651</v>
      </c>
      <c r="J3273" s="8" t="str">
        <f aca="false">IF(I3273="Open",DATE(2025,12,31)-F3273,"-")</f>
        <v>-</v>
      </c>
    </row>
    <row r="3274" customFormat="false" ht="15" hidden="false" customHeight="false" outlineLevel="0" collapsed="false">
      <c r="B3274" s="7" t="s">
        <v>17919</v>
      </c>
      <c r="C3274" s="7" t="s">
        <v>3771</v>
      </c>
      <c r="D3274" s="7" t="s">
        <v>351</v>
      </c>
      <c r="E3274" s="7" t="s">
        <v>154</v>
      </c>
      <c r="F3274" s="39" t="n">
        <v>45820</v>
      </c>
      <c r="G3274" s="41" t="n">
        <v>81.88</v>
      </c>
      <c r="H3274" s="39" t="n">
        <v>45910</v>
      </c>
      <c r="I3274" s="7" t="s">
        <v>14651</v>
      </c>
      <c r="J3274" s="8" t="str">
        <f aca="false">IF(I3274="Open",DATE(2025,12,31)-F3274,"-")</f>
        <v>-</v>
      </c>
    </row>
    <row r="3275" customFormat="false" ht="15" hidden="false" customHeight="false" outlineLevel="0" collapsed="false">
      <c r="B3275" s="7" t="s">
        <v>17920</v>
      </c>
      <c r="C3275" s="7" t="s">
        <v>3772</v>
      </c>
      <c r="D3275" s="7" t="s">
        <v>359</v>
      </c>
      <c r="E3275" s="7" t="s">
        <v>156</v>
      </c>
      <c r="F3275" s="39" t="n">
        <v>45820</v>
      </c>
      <c r="G3275" s="41" t="n">
        <v>128.86</v>
      </c>
      <c r="H3275" s="39" t="n">
        <v>45825</v>
      </c>
      <c r="I3275" s="7" t="s">
        <v>14651</v>
      </c>
      <c r="J3275" s="8" t="str">
        <f aca="false">IF(I3275="Open",DATE(2025,12,31)-F3275,"-")</f>
        <v>-</v>
      </c>
    </row>
    <row r="3276" customFormat="false" ht="15" hidden="false" customHeight="false" outlineLevel="0" collapsed="false">
      <c r="B3276" s="7" t="s">
        <v>17921</v>
      </c>
      <c r="C3276" s="7" t="s">
        <v>3773</v>
      </c>
      <c r="D3276" s="7" t="s">
        <v>363</v>
      </c>
      <c r="E3276" s="7" t="s">
        <v>156</v>
      </c>
      <c r="F3276" s="39" t="n">
        <v>45820</v>
      </c>
      <c r="G3276" s="41" t="n">
        <v>144.16</v>
      </c>
      <c r="H3276" s="39" t="n">
        <v>45827</v>
      </c>
      <c r="I3276" s="7" t="s">
        <v>14651</v>
      </c>
      <c r="J3276" s="8" t="str">
        <f aca="false">IF(I3276="Open",DATE(2025,12,31)-F3276,"-")</f>
        <v>-</v>
      </c>
    </row>
    <row r="3277" customFormat="false" ht="15" hidden="false" customHeight="false" outlineLevel="0" collapsed="false">
      <c r="B3277" s="7" t="s">
        <v>17922</v>
      </c>
      <c r="C3277" s="7" t="s">
        <v>3774</v>
      </c>
      <c r="D3277" s="7" t="s">
        <v>365</v>
      </c>
      <c r="E3277" s="7" t="s">
        <v>154</v>
      </c>
      <c r="F3277" s="39" t="n">
        <v>45820</v>
      </c>
      <c r="G3277" s="41" t="n">
        <v>102.32</v>
      </c>
      <c r="H3277" s="39" t="n">
        <v>45851</v>
      </c>
      <c r="I3277" s="7" t="s">
        <v>14651</v>
      </c>
      <c r="J3277" s="8" t="str">
        <f aca="false">IF(I3277="Open",DATE(2025,12,31)-F3277,"-")</f>
        <v>-</v>
      </c>
    </row>
    <row r="3278" customFormat="false" ht="15" hidden="false" customHeight="false" outlineLevel="0" collapsed="false">
      <c r="B3278" s="7" t="s">
        <v>17923</v>
      </c>
      <c r="C3278" s="7" t="s">
        <v>3775</v>
      </c>
      <c r="D3278" s="7" t="s">
        <v>375</v>
      </c>
      <c r="E3278" s="7" t="s">
        <v>156</v>
      </c>
      <c r="F3278" s="39" t="n">
        <v>45820</v>
      </c>
      <c r="G3278" s="41" t="n">
        <v>109.82</v>
      </c>
      <c r="H3278" s="39" t="n">
        <v>45832</v>
      </c>
      <c r="I3278" s="7" t="s">
        <v>14651</v>
      </c>
      <c r="J3278" s="8" t="str">
        <f aca="false">IF(I3278="Open",DATE(2025,12,31)-F3278,"-")</f>
        <v>-</v>
      </c>
    </row>
    <row r="3279" customFormat="false" ht="15" hidden="false" customHeight="false" outlineLevel="0" collapsed="false">
      <c r="B3279" s="7" t="s">
        <v>17924</v>
      </c>
      <c r="C3279" s="7" t="s">
        <v>3776</v>
      </c>
      <c r="D3279" s="7" t="s">
        <v>377</v>
      </c>
      <c r="E3279" s="7" t="s">
        <v>154</v>
      </c>
      <c r="F3279" s="39" t="n">
        <v>45820</v>
      </c>
      <c r="G3279" s="41" t="n">
        <v>116.07</v>
      </c>
      <c r="H3279" s="39" t="n">
        <v>45897</v>
      </c>
      <c r="I3279" s="7" t="s">
        <v>14651</v>
      </c>
      <c r="J3279" s="8" t="str">
        <f aca="false">IF(I3279="Open",DATE(2025,12,31)-F3279,"-")</f>
        <v>-</v>
      </c>
    </row>
    <row r="3280" customFormat="false" ht="15" hidden="false" customHeight="false" outlineLevel="0" collapsed="false">
      <c r="B3280" s="7" t="s">
        <v>17925</v>
      </c>
      <c r="C3280" s="7" t="s">
        <v>3777</v>
      </c>
      <c r="D3280" s="7" t="s">
        <v>389</v>
      </c>
      <c r="E3280" s="7" t="s">
        <v>154</v>
      </c>
      <c r="F3280" s="39" t="n">
        <v>45820</v>
      </c>
      <c r="G3280" s="41" t="n">
        <v>97.78</v>
      </c>
      <c r="H3280" s="39" t="n">
        <v>45896</v>
      </c>
      <c r="I3280" s="7" t="s">
        <v>14651</v>
      </c>
      <c r="J3280" s="8" t="str">
        <f aca="false">IF(I3280="Open",DATE(2025,12,31)-F3280,"-")</f>
        <v>-</v>
      </c>
    </row>
    <row r="3281" customFormat="false" ht="15" hidden="false" customHeight="false" outlineLevel="0" collapsed="false">
      <c r="B3281" s="7" t="s">
        <v>17926</v>
      </c>
      <c r="C3281" s="7" t="s">
        <v>3778</v>
      </c>
      <c r="D3281" s="7" t="s">
        <v>391</v>
      </c>
      <c r="E3281" s="7" t="s">
        <v>156</v>
      </c>
      <c r="F3281" s="39" t="n">
        <v>45820</v>
      </c>
      <c r="G3281" s="41" t="n">
        <v>125.46</v>
      </c>
      <c r="H3281" s="39" t="n">
        <v>45826</v>
      </c>
      <c r="I3281" s="7" t="s">
        <v>14651</v>
      </c>
      <c r="J3281" s="8" t="str">
        <f aca="false">IF(I3281="Open",DATE(2025,12,31)-F3281,"-")</f>
        <v>-</v>
      </c>
    </row>
    <row r="3282" customFormat="false" ht="15" hidden="false" customHeight="false" outlineLevel="0" collapsed="false">
      <c r="B3282" s="7" t="s">
        <v>17927</v>
      </c>
      <c r="C3282" s="7" t="s">
        <v>3779</v>
      </c>
      <c r="D3282" s="7" t="s">
        <v>395</v>
      </c>
      <c r="E3282" s="7" t="s">
        <v>156</v>
      </c>
      <c r="F3282" s="39" t="n">
        <v>45820</v>
      </c>
      <c r="G3282" s="41" t="n">
        <v>143.48</v>
      </c>
      <c r="H3282" s="39" t="n">
        <v>45840</v>
      </c>
      <c r="I3282" s="7" t="s">
        <v>14651</v>
      </c>
      <c r="J3282" s="8" t="str">
        <f aca="false">IF(I3282="Open",DATE(2025,12,31)-F3282,"-")</f>
        <v>-</v>
      </c>
    </row>
    <row r="3283" customFormat="false" ht="15" hidden="false" customHeight="false" outlineLevel="0" collapsed="false">
      <c r="B3283" s="7" t="s">
        <v>17928</v>
      </c>
      <c r="C3283" s="7" t="s">
        <v>3780</v>
      </c>
      <c r="D3283" s="7" t="s">
        <v>401</v>
      </c>
      <c r="E3283" s="7" t="s">
        <v>156</v>
      </c>
      <c r="F3283" s="39" t="n">
        <v>45820</v>
      </c>
      <c r="G3283" s="41" t="n">
        <v>135.66</v>
      </c>
      <c r="H3283" s="39" t="n">
        <v>45829</v>
      </c>
      <c r="I3283" s="7" t="s">
        <v>14651</v>
      </c>
      <c r="J3283" s="8" t="str">
        <f aca="false">IF(I3283="Open",DATE(2025,12,31)-F3283,"-")</f>
        <v>-</v>
      </c>
    </row>
    <row r="3284" customFormat="false" ht="15" hidden="false" customHeight="false" outlineLevel="0" collapsed="false">
      <c r="B3284" s="7" t="s">
        <v>17929</v>
      </c>
      <c r="C3284" s="7" t="s">
        <v>3781</v>
      </c>
      <c r="D3284" s="7" t="s">
        <v>280</v>
      </c>
      <c r="E3284" s="7" t="s">
        <v>157</v>
      </c>
      <c r="F3284" s="39" t="n">
        <v>45821</v>
      </c>
      <c r="G3284" s="41" t="n">
        <v>158.4</v>
      </c>
      <c r="H3284" s="39" t="n">
        <v>45917</v>
      </c>
      <c r="I3284" s="7" t="s">
        <v>14651</v>
      </c>
      <c r="J3284" s="8" t="str">
        <f aca="false">IF(I3284="Open",DATE(2025,12,31)-F3284,"-")</f>
        <v>-</v>
      </c>
    </row>
    <row r="3285" customFormat="false" ht="15" hidden="false" customHeight="false" outlineLevel="0" collapsed="false">
      <c r="B3285" s="7" t="s">
        <v>17930</v>
      </c>
      <c r="C3285" s="7" t="s">
        <v>3782</v>
      </c>
      <c r="D3285" s="7" t="s">
        <v>288</v>
      </c>
      <c r="E3285" s="7" t="s">
        <v>156</v>
      </c>
      <c r="F3285" s="39" t="n">
        <v>45821</v>
      </c>
      <c r="G3285" s="41" t="n">
        <v>143.82</v>
      </c>
      <c r="H3285" s="39" t="n">
        <v>45834</v>
      </c>
      <c r="I3285" s="7" t="s">
        <v>14651</v>
      </c>
      <c r="J3285" s="8" t="str">
        <f aca="false">IF(I3285="Open",DATE(2025,12,31)-F3285,"-")</f>
        <v>-</v>
      </c>
    </row>
    <row r="3286" customFormat="false" ht="15" hidden="false" customHeight="false" outlineLevel="0" collapsed="false">
      <c r="B3286" s="7" t="s">
        <v>17931</v>
      </c>
      <c r="C3286" s="7" t="s">
        <v>3783</v>
      </c>
      <c r="D3286" s="7" t="s">
        <v>291</v>
      </c>
      <c r="E3286" s="7" t="s">
        <v>154</v>
      </c>
      <c r="F3286" s="39" t="n">
        <v>45821</v>
      </c>
      <c r="G3286" s="41" t="n">
        <v>119.25</v>
      </c>
      <c r="H3286" s="39" t="n">
        <v>45928</v>
      </c>
      <c r="I3286" s="7" t="s">
        <v>14651</v>
      </c>
      <c r="J3286" s="8" t="str">
        <f aca="false">IF(I3286="Open",DATE(2025,12,31)-F3286,"-")</f>
        <v>-</v>
      </c>
    </row>
    <row r="3287" customFormat="false" ht="15" hidden="false" customHeight="false" outlineLevel="0" collapsed="false">
      <c r="B3287" s="7" t="s">
        <v>17932</v>
      </c>
      <c r="C3287" s="7" t="s">
        <v>3784</v>
      </c>
      <c r="D3287" s="7" t="s">
        <v>301</v>
      </c>
      <c r="E3287" s="7" t="s">
        <v>157</v>
      </c>
      <c r="F3287" s="39" t="n">
        <v>45821</v>
      </c>
      <c r="G3287" s="41" t="n">
        <v>161.7</v>
      </c>
      <c r="H3287" s="39" t="n">
        <v>45832</v>
      </c>
      <c r="I3287" s="7" t="s">
        <v>14651</v>
      </c>
      <c r="J3287" s="8" t="str">
        <f aca="false">IF(I3287="Open",DATE(2025,12,31)-F3287,"-")</f>
        <v>-</v>
      </c>
    </row>
    <row r="3288" customFormat="false" ht="15" hidden="false" customHeight="false" outlineLevel="0" collapsed="false">
      <c r="B3288" s="7" t="s">
        <v>17933</v>
      </c>
      <c r="C3288" s="7" t="s">
        <v>3785</v>
      </c>
      <c r="D3288" s="7" t="s">
        <v>305</v>
      </c>
      <c r="E3288" s="7" t="s">
        <v>154</v>
      </c>
      <c r="F3288" s="39" t="n">
        <v>45821</v>
      </c>
      <c r="G3288" s="41" t="n">
        <v>110.77</v>
      </c>
      <c r="H3288" s="39" t="n">
        <v>45893</v>
      </c>
      <c r="I3288" s="7" t="s">
        <v>14651</v>
      </c>
      <c r="J3288" s="8" t="str">
        <f aca="false">IF(I3288="Open",DATE(2025,12,31)-F3288,"-")</f>
        <v>-</v>
      </c>
    </row>
    <row r="3289" customFormat="false" ht="15" hidden="false" customHeight="false" outlineLevel="0" collapsed="false">
      <c r="B3289" s="7" t="s">
        <v>17934</v>
      </c>
      <c r="C3289" s="7" t="s">
        <v>3786</v>
      </c>
      <c r="D3289" s="7" t="s">
        <v>307</v>
      </c>
      <c r="E3289" s="7" t="s">
        <v>157</v>
      </c>
      <c r="F3289" s="39" t="n">
        <v>45821</v>
      </c>
      <c r="G3289" s="41" t="n">
        <v>158.4</v>
      </c>
      <c r="H3289" s="39" t="n">
        <v>45875</v>
      </c>
      <c r="I3289" s="7" t="s">
        <v>14651</v>
      </c>
      <c r="J3289" s="8" t="str">
        <f aca="false">IF(I3289="Open",DATE(2025,12,31)-F3289,"-")</f>
        <v>-</v>
      </c>
    </row>
    <row r="3290" customFormat="false" ht="15" hidden="false" customHeight="false" outlineLevel="0" collapsed="false">
      <c r="B3290" s="7" t="s">
        <v>17935</v>
      </c>
      <c r="C3290" s="7" t="s">
        <v>3787</v>
      </c>
      <c r="D3290" s="7" t="s">
        <v>309</v>
      </c>
      <c r="E3290" s="7" t="s">
        <v>159</v>
      </c>
      <c r="F3290" s="39" t="n">
        <v>45821</v>
      </c>
      <c r="G3290" s="41" t="n">
        <v>125.55</v>
      </c>
      <c r="H3290" s="39" t="n">
        <v>45836</v>
      </c>
      <c r="I3290" s="7" t="s">
        <v>14651</v>
      </c>
      <c r="J3290" s="8" t="str">
        <f aca="false">IF(I3290="Open",DATE(2025,12,31)-F3290,"-")</f>
        <v>-</v>
      </c>
    </row>
    <row r="3291" customFormat="false" ht="15" hidden="false" customHeight="false" outlineLevel="0" collapsed="false">
      <c r="B3291" s="7" t="s">
        <v>17936</v>
      </c>
      <c r="C3291" s="7" t="s">
        <v>3788</v>
      </c>
      <c r="D3291" s="7" t="s">
        <v>313</v>
      </c>
      <c r="E3291" s="7" t="s">
        <v>156</v>
      </c>
      <c r="F3291" s="39" t="n">
        <v>45821</v>
      </c>
      <c r="G3291" s="41" t="n">
        <v>148.24</v>
      </c>
      <c r="H3291" s="39" t="n">
        <v>45837</v>
      </c>
      <c r="I3291" s="7" t="s">
        <v>14651</v>
      </c>
      <c r="J3291" s="8" t="str">
        <f aca="false">IF(I3291="Open",DATE(2025,12,31)-F3291,"-")</f>
        <v>-</v>
      </c>
    </row>
    <row r="3292" customFormat="false" ht="15" hidden="false" customHeight="false" outlineLevel="0" collapsed="false">
      <c r="B3292" s="7" t="s">
        <v>17937</v>
      </c>
      <c r="C3292" s="7" t="s">
        <v>3789</v>
      </c>
      <c r="D3292" s="7" t="s">
        <v>321</v>
      </c>
      <c r="E3292" s="7" t="s">
        <v>154</v>
      </c>
      <c r="F3292" s="39" t="n">
        <v>45821</v>
      </c>
      <c r="G3292" s="41" t="n">
        <v>95.93</v>
      </c>
      <c r="H3292" s="39" t="n">
        <v>45912</v>
      </c>
      <c r="I3292" s="7" t="s">
        <v>14651</v>
      </c>
      <c r="J3292" s="8" t="str">
        <f aca="false">IF(I3292="Open",DATE(2025,12,31)-F3292,"-")</f>
        <v>-</v>
      </c>
    </row>
    <row r="3293" customFormat="false" ht="15" hidden="false" customHeight="false" outlineLevel="0" collapsed="false">
      <c r="B3293" s="7" t="s">
        <v>17938</v>
      </c>
      <c r="C3293" s="7" t="s">
        <v>3790</v>
      </c>
      <c r="D3293" s="7" t="s">
        <v>323</v>
      </c>
      <c r="E3293" s="7" t="s">
        <v>159</v>
      </c>
      <c r="F3293" s="39" t="n">
        <v>45821</v>
      </c>
      <c r="G3293" s="41" t="n">
        <v>130.95</v>
      </c>
      <c r="H3293" s="39" t="n">
        <v>45854</v>
      </c>
      <c r="I3293" s="7" t="s">
        <v>14651</v>
      </c>
      <c r="J3293" s="8" t="str">
        <f aca="false">IF(I3293="Open",DATE(2025,12,31)-F3293,"-")</f>
        <v>-</v>
      </c>
    </row>
    <row r="3294" customFormat="false" ht="15" hidden="false" customHeight="false" outlineLevel="0" collapsed="false">
      <c r="B3294" s="7" t="s">
        <v>17939</v>
      </c>
      <c r="C3294" s="7" t="s">
        <v>3791</v>
      </c>
      <c r="D3294" s="7" t="s">
        <v>327</v>
      </c>
      <c r="E3294" s="7" t="s">
        <v>157</v>
      </c>
      <c r="F3294" s="39" t="n">
        <v>45821</v>
      </c>
      <c r="G3294" s="41" t="n">
        <v>150.15</v>
      </c>
      <c r="H3294" s="39" t="n">
        <v>45865</v>
      </c>
      <c r="I3294" s="7" t="s">
        <v>14651</v>
      </c>
      <c r="J3294" s="8" t="str">
        <f aca="false">IF(I3294="Open",DATE(2025,12,31)-F3294,"-")</f>
        <v>-</v>
      </c>
    </row>
    <row r="3295" customFormat="false" ht="15" hidden="false" customHeight="false" outlineLevel="0" collapsed="false">
      <c r="B3295" s="7" t="s">
        <v>17940</v>
      </c>
      <c r="C3295" s="7" t="s">
        <v>3792</v>
      </c>
      <c r="D3295" s="7" t="s">
        <v>329</v>
      </c>
      <c r="E3295" s="7" t="s">
        <v>156</v>
      </c>
      <c r="F3295" s="39" t="n">
        <v>45821</v>
      </c>
      <c r="G3295" s="41" t="n">
        <v>137.02</v>
      </c>
      <c r="H3295" s="39" t="n">
        <v>45831</v>
      </c>
      <c r="I3295" s="7" t="s">
        <v>14651</v>
      </c>
      <c r="J3295" s="8" t="str">
        <f aca="false">IF(I3295="Open",DATE(2025,12,31)-F3295,"-")</f>
        <v>-</v>
      </c>
    </row>
    <row r="3296" customFormat="false" ht="15" hidden="false" customHeight="false" outlineLevel="0" collapsed="false">
      <c r="B3296" s="7" t="s">
        <v>17941</v>
      </c>
      <c r="C3296" s="7" t="s">
        <v>3793</v>
      </c>
      <c r="D3296" s="7" t="s">
        <v>335</v>
      </c>
      <c r="E3296" s="7" t="s">
        <v>154</v>
      </c>
      <c r="F3296" s="39" t="n">
        <v>45821</v>
      </c>
      <c r="G3296" s="41" t="n">
        <v>103.88</v>
      </c>
      <c r="H3296" s="39" t="n">
        <v>45847</v>
      </c>
      <c r="I3296" s="7" t="s">
        <v>14651</v>
      </c>
      <c r="J3296" s="8" t="str">
        <f aca="false">IF(I3296="Open",DATE(2025,12,31)-F3296,"-")</f>
        <v>-</v>
      </c>
    </row>
    <row r="3297" customFormat="false" ht="15" hidden="false" customHeight="false" outlineLevel="0" collapsed="false">
      <c r="B3297" s="7" t="s">
        <v>17942</v>
      </c>
      <c r="C3297" s="7" t="s">
        <v>3794</v>
      </c>
      <c r="D3297" s="7" t="s">
        <v>339</v>
      </c>
      <c r="E3297" s="7" t="s">
        <v>154</v>
      </c>
      <c r="F3297" s="39" t="n">
        <v>45821</v>
      </c>
      <c r="G3297" s="41" t="n">
        <v>82.41</v>
      </c>
      <c r="H3297" s="39" t="n">
        <v>45843</v>
      </c>
      <c r="I3297" s="7" t="s">
        <v>14651</v>
      </c>
      <c r="J3297" s="8" t="str">
        <f aca="false">IF(I3297="Open",DATE(2025,12,31)-F3297,"-")</f>
        <v>-</v>
      </c>
    </row>
    <row r="3298" customFormat="false" ht="15" hidden="false" customHeight="false" outlineLevel="0" collapsed="false">
      <c r="B3298" s="7" t="s">
        <v>17943</v>
      </c>
      <c r="C3298" s="7" t="s">
        <v>3795</v>
      </c>
      <c r="D3298" s="7" t="s">
        <v>353</v>
      </c>
      <c r="E3298" s="7" t="s">
        <v>154</v>
      </c>
      <c r="F3298" s="39" t="n">
        <v>45821</v>
      </c>
      <c r="G3298" s="41" t="n">
        <v>86.63</v>
      </c>
      <c r="H3298" s="39" t="n">
        <v>45911</v>
      </c>
      <c r="I3298" s="7" t="s">
        <v>14651</v>
      </c>
      <c r="J3298" s="8" t="str">
        <f aca="false">IF(I3298="Open",DATE(2025,12,31)-F3298,"-")</f>
        <v>-</v>
      </c>
    </row>
    <row r="3299" customFormat="false" ht="15" hidden="false" customHeight="false" outlineLevel="0" collapsed="false">
      <c r="B3299" s="7" t="s">
        <v>17944</v>
      </c>
      <c r="C3299" s="7" t="s">
        <v>3796</v>
      </c>
      <c r="D3299" s="7" t="s">
        <v>355</v>
      </c>
      <c r="E3299" s="7" t="s">
        <v>154</v>
      </c>
      <c r="F3299" s="39" t="n">
        <v>45821</v>
      </c>
      <c r="G3299" s="41" t="n">
        <v>94.34</v>
      </c>
      <c r="H3299" s="39" t="n">
        <v>45883</v>
      </c>
      <c r="I3299" s="7" t="s">
        <v>14651</v>
      </c>
      <c r="J3299" s="8" t="str">
        <f aca="false">IF(I3299="Open",DATE(2025,12,31)-F3299,"-")</f>
        <v>-</v>
      </c>
    </row>
    <row r="3300" customFormat="false" ht="15" hidden="false" customHeight="false" outlineLevel="0" collapsed="false">
      <c r="B3300" s="7" t="s">
        <v>17945</v>
      </c>
      <c r="C3300" s="7" t="s">
        <v>3797</v>
      </c>
      <c r="D3300" s="7" t="s">
        <v>357</v>
      </c>
      <c r="E3300" s="7" t="s">
        <v>154</v>
      </c>
      <c r="F3300" s="39" t="n">
        <v>45821</v>
      </c>
      <c r="G3300" s="41" t="n">
        <v>85.59</v>
      </c>
      <c r="H3300" s="39" t="n">
        <v>45875</v>
      </c>
      <c r="I3300" s="7" t="s">
        <v>14651</v>
      </c>
      <c r="J3300" s="8" t="str">
        <f aca="false">IF(I3300="Open",DATE(2025,12,31)-F3300,"-")</f>
        <v>-</v>
      </c>
    </row>
    <row r="3301" customFormat="false" ht="15" hidden="false" customHeight="false" outlineLevel="0" collapsed="false">
      <c r="B3301" s="7" t="s">
        <v>17946</v>
      </c>
      <c r="C3301" s="7" t="s">
        <v>3798</v>
      </c>
      <c r="D3301" s="7" t="s">
        <v>361</v>
      </c>
      <c r="E3301" s="7" t="s">
        <v>157</v>
      </c>
      <c r="F3301" s="39" t="n">
        <v>45821</v>
      </c>
      <c r="G3301" s="41" t="n">
        <v>173.25</v>
      </c>
      <c r="H3301" s="39" t="n">
        <v>45869</v>
      </c>
      <c r="I3301" s="7" t="s">
        <v>14651</v>
      </c>
      <c r="J3301" s="8" t="str">
        <f aca="false">IF(I3301="Open",DATE(2025,12,31)-F3301,"-")</f>
        <v>-</v>
      </c>
    </row>
    <row r="3302" customFormat="false" ht="15" hidden="false" customHeight="false" outlineLevel="0" collapsed="false">
      <c r="B3302" s="7" t="s">
        <v>17947</v>
      </c>
      <c r="C3302" s="7" t="s">
        <v>3799</v>
      </c>
      <c r="D3302" s="7" t="s">
        <v>365</v>
      </c>
      <c r="E3302" s="7" t="s">
        <v>154</v>
      </c>
      <c r="F3302" s="39" t="n">
        <v>45821</v>
      </c>
      <c r="G3302" s="41" t="n">
        <v>98.05</v>
      </c>
      <c r="H3302" s="39" t="n">
        <v>45882</v>
      </c>
      <c r="I3302" s="7" t="s">
        <v>14651</v>
      </c>
      <c r="J3302" s="8" t="str">
        <f aca="false">IF(I3302="Open",DATE(2025,12,31)-F3302,"-")</f>
        <v>-</v>
      </c>
    </row>
    <row r="3303" customFormat="false" ht="15" hidden="false" customHeight="false" outlineLevel="0" collapsed="false">
      <c r="B3303" s="7" t="s">
        <v>17948</v>
      </c>
      <c r="C3303" s="7" t="s">
        <v>3800</v>
      </c>
      <c r="D3303" s="7" t="s">
        <v>371</v>
      </c>
      <c r="E3303" s="7" t="s">
        <v>154</v>
      </c>
      <c r="F3303" s="39" t="n">
        <v>45821</v>
      </c>
      <c r="G3303" s="41" t="n">
        <v>114.48</v>
      </c>
      <c r="H3303" s="39" t="n">
        <v>45865</v>
      </c>
      <c r="I3303" s="7" t="s">
        <v>14651</v>
      </c>
      <c r="J3303" s="8" t="str">
        <f aca="false">IF(I3303="Open",DATE(2025,12,31)-F3303,"-")</f>
        <v>-</v>
      </c>
    </row>
    <row r="3304" customFormat="false" ht="15" hidden="false" customHeight="false" outlineLevel="0" collapsed="false">
      <c r="B3304" s="7" t="s">
        <v>17949</v>
      </c>
      <c r="C3304" s="7" t="s">
        <v>3801</v>
      </c>
      <c r="D3304" s="7" t="s">
        <v>379</v>
      </c>
      <c r="E3304" s="7" t="s">
        <v>156</v>
      </c>
      <c r="F3304" s="39" t="n">
        <v>45821</v>
      </c>
      <c r="G3304" s="41" t="n">
        <v>145.52</v>
      </c>
      <c r="H3304" s="39" t="n">
        <v>45840</v>
      </c>
      <c r="I3304" s="7" t="s">
        <v>14651</v>
      </c>
      <c r="J3304" s="8" t="str">
        <f aca="false">IF(I3304="Open",DATE(2025,12,31)-F3304,"-")</f>
        <v>-</v>
      </c>
    </row>
    <row r="3305" customFormat="false" ht="15" hidden="false" customHeight="false" outlineLevel="0" collapsed="false">
      <c r="B3305" s="7" t="s">
        <v>17950</v>
      </c>
      <c r="C3305" s="7" t="s">
        <v>3802</v>
      </c>
      <c r="D3305" s="7" t="s">
        <v>381</v>
      </c>
      <c r="E3305" s="7" t="s">
        <v>157</v>
      </c>
      <c r="F3305" s="39" t="n">
        <v>45821</v>
      </c>
      <c r="G3305" s="41" t="n">
        <v>164.5</v>
      </c>
      <c r="H3305" s="39" t="n">
        <v>45870</v>
      </c>
      <c r="I3305" s="7" t="s">
        <v>14651</v>
      </c>
      <c r="J3305" s="8" t="str">
        <f aca="false">IF(I3305="Open",DATE(2025,12,31)-F3305,"-")</f>
        <v>-</v>
      </c>
    </row>
    <row r="3306" customFormat="false" ht="15" hidden="false" customHeight="false" outlineLevel="0" collapsed="false">
      <c r="B3306" s="7" t="s">
        <v>17951</v>
      </c>
      <c r="C3306" s="7" t="s">
        <v>3803</v>
      </c>
      <c r="D3306" s="7" t="s">
        <v>385</v>
      </c>
      <c r="E3306" s="7" t="s">
        <v>156</v>
      </c>
      <c r="F3306" s="39" t="n">
        <v>45821</v>
      </c>
      <c r="G3306" s="41" t="n">
        <v>144.84</v>
      </c>
      <c r="H3306" s="39" t="n">
        <v>45828</v>
      </c>
      <c r="I3306" s="7" t="s">
        <v>14651</v>
      </c>
      <c r="J3306" s="8" t="str">
        <f aca="false">IF(I3306="Open",DATE(2025,12,31)-F3306,"-")</f>
        <v>-</v>
      </c>
    </row>
    <row r="3307" customFormat="false" ht="15" hidden="false" customHeight="false" outlineLevel="0" collapsed="false">
      <c r="B3307" s="7" t="s">
        <v>17952</v>
      </c>
      <c r="C3307" s="7" t="s">
        <v>3804</v>
      </c>
      <c r="D3307" s="7" t="s">
        <v>389</v>
      </c>
      <c r="E3307" s="7" t="s">
        <v>154</v>
      </c>
      <c r="F3307" s="39" t="n">
        <v>45821</v>
      </c>
      <c r="G3307" s="41" t="n">
        <v>111.04</v>
      </c>
      <c r="H3307" s="39" t="n">
        <v>45864</v>
      </c>
      <c r="I3307" s="7" t="s">
        <v>14651</v>
      </c>
      <c r="J3307" s="8" t="str">
        <f aca="false">IF(I3307="Open",DATE(2025,12,31)-F3307,"-")</f>
        <v>-</v>
      </c>
    </row>
    <row r="3308" customFormat="false" ht="15" hidden="false" customHeight="false" outlineLevel="0" collapsed="false">
      <c r="B3308" s="7" t="s">
        <v>17953</v>
      </c>
      <c r="C3308" s="7" t="s">
        <v>3805</v>
      </c>
      <c r="D3308" s="7" t="s">
        <v>391</v>
      </c>
      <c r="E3308" s="7" t="s">
        <v>156</v>
      </c>
      <c r="F3308" s="39" t="n">
        <v>45821</v>
      </c>
      <c r="G3308" s="41" t="n">
        <v>138.72</v>
      </c>
      <c r="H3308" s="39" t="n">
        <v>45833</v>
      </c>
      <c r="I3308" s="7" t="s">
        <v>14651</v>
      </c>
      <c r="J3308" s="8" t="str">
        <f aca="false">IF(I3308="Open",DATE(2025,12,31)-F3308,"-")</f>
        <v>-</v>
      </c>
    </row>
    <row r="3309" customFormat="false" ht="15" hidden="false" customHeight="false" outlineLevel="0" collapsed="false">
      <c r="B3309" s="7" t="s">
        <v>17954</v>
      </c>
      <c r="C3309" s="7" t="s">
        <v>3806</v>
      </c>
      <c r="D3309" s="7" t="s">
        <v>397</v>
      </c>
      <c r="E3309" s="7" t="s">
        <v>159</v>
      </c>
      <c r="F3309" s="39" t="n">
        <v>45821</v>
      </c>
      <c r="G3309" s="41" t="n">
        <v>133.65</v>
      </c>
      <c r="H3309" s="39" t="n">
        <v>45875</v>
      </c>
      <c r="I3309" s="7" t="s">
        <v>14651</v>
      </c>
      <c r="J3309" s="8" t="str">
        <f aca="false">IF(I3309="Open",DATE(2025,12,31)-F3309,"-")</f>
        <v>-</v>
      </c>
    </row>
    <row r="3310" customFormat="false" ht="15" hidden="false" customHeight="false" outlineLevel="0" collapsed="false">
      <c r="B3310" s="7" t="s">
        <v>17955</v>
      </c>
      <c r="C3310" s="7" t="s">
        <v>3807</v>
      </c>
      <c r="D3310" s="7" t="s">
        <v>399</v>
      </c>
      <c r="E3310" s="7" t="s">
        <v>154</v>
      </c>
      <c r="F3310" s="39" t="n">
        <v>45821</v>
      </c>
      <c r="G3310" s="41" t="n">
        <v>86.89</v>
      </c>
      <c r="H3310" s="39" t="n">
        <v>45872</v>
      </c>
      <c r="I3310" s="7" t="s">
        <v>14651</v>
      </c>
      <c r="J3310" s="8" t="str">
        <f aca="false">IF(I3310="Open",DATE(2025,12,31)-F3310,"-")</f>
        <v>-</v>
      </c>
    </row>
    <row r="3311" customFormat="false" ht="15" hidden="false" customHeight="false" outlineLevel="0" collapsed="false">
      <c r="B3311" s="7" t="s">
        <v>17956</v>
      </c>
      <c r="C3311" s="7" t="s">
        <v>3808</v>
      </c>
      <c r="D3311" s="7" t="s">
        <v>401</v>
      </c>
      <c r="E3311" s="7" t="s">
        <v>156</v>
      </c>
      <c r="F3311" s="39" t="n">
        <v>45821</v>
      </c>
      <c r="G3311" s="41" t="n">
        <v>148.58</v>
      </c>
      <c r="H3311" s="39" t="n">
        <v>45831</v>
      </c>
      <c r="I3311" s="7" t="s">
        <v>14651</v>
      </c>
      <c r="J3311" s="8" t="str">
        <f aca="false">IF(I3311="Open",DATE(2025,12,31)-F3311,"-")</f>
        <v>-</v>
      </c>
    </row>
    <row r="3312" customFormat="false" ht="15" hidden="false" customHeight="false" outlineLevel="0" collapsed="false">
      <c r="B3312" s="7" t="s">
        <v>17957</v>
      </c>
      <c r="C3312" s="7" t="s">
        <v>3809</v>
      </c>
      <c r="D3312" s="7" t="s">
        <v>407</v>
      </c>
      <c r="E3312" s="7" t="s">
        <v>159</v>
      </c>
      <c r="F3312" s="39" t="n">
        <v>45821</v>
      </c>
      <c r="G3312" s="41" t="n">
        <v>145.8</v>
      </c>
      <c r="H3312" s="39" t="n">
        <v>45874</v>
      </c>
      <c r="I3312" s="7" t="s">
        <v>14651</v>
      </c>
      <c r="J3312" s="8" t="str">
        <f aca="false">IF(I3312="Open",DATE(2025,12,31)-F3312,"-")</f>
        <v>-</v>
      </c>
    </row>
    <row r="3313" customFormat="false" ht="15" hidden="false" customHeight="false" outlineLevel="0" collapsed="false">
      <c r="B3313" s="7" t="s">
        <v>17958</v>
      </c>
      <c r="C3313" s="7" t="s">
        <v>3810</v>
      </c>
      <c r="D3313" s="7" t="s">
        <v>409</v>
      </c>
      <c r="E3313" s="7" t="s">
        <v>154</v>
      </c>
      <c r="F3313" s="39" t="n">
        <v>45821</v>
      </c>
      <c r="G3313" s="41" t="n">
        <v>79.77</v>
      </c>
      <c r="H3313" s="39" t="n">
        <v>45888</v>
      </c>
      <c r="I3313" s="7" t="s">
        <v>14651</v>
      </c>
      <c r="J3313" s="8" t="str">
        <f aca="false">IF(I3313="Open",DATE(2025,12,31)-F3313,"-")</f>
        <v>-</v>
      </c>
    </row>
    <row r="3314" customFormat="false" ht="15" hidden="false" customHeight="false" outlineLevel="0" collapsed="false">
      <c r="B3314" s="7" t="s">
        <v>17959</v>
      </c>
      <c r="C3314" s="7" t="s">
        <v>3811</v>
      </c>
      <c r="D3314" s="7" t="s">
        <v>411</v>
      </c>
      <c r="E3314" s="7" t="s">
        <v>154</v>
      </c>
      <c r="F3314" s="39" t="n">
        <v>45821</v>
      </c>
      <c r="G3314" s="41" t="n">
        <v>116.97</v>
      </c>
      <c r="H3314" s="39" t="n">
        <v>45876</v>
      </c>
      <c r="I3314" s="7" t="s">
        <v>14651</v>
      </c>
      <c r="J3314" s="8" t="str">
        <f aca="false">IF(I3314="Open",DATE(2025,12,31)-F3314,"-")</f>
        <v>-</v>
      </c>
    </row>
    <row r="3315" customFormat="false" ht="15" hidden="false" customHeight="false" outlineLevel="0" collapsed="false">
      <c r="B3315" s="7" t="s">
        <v>17960</v>
      </c>
      <c r="C3315" s="7" t="s">
        <v>3812</v>
      </c>
      <c r="D3315" s="7" t="s">
        <v>288</v>
      </c>
      <c r="E3315" s="7" t="s">
        <v>156</v>
      </c>
      <c r="F3315" s="39" t="n">
        <v>45822</v>
      </c>
      <c r="G3315" s="41" t="n">
        <v>128.52</v>
      </c>
      <c r="H3315" s="39" t="n">
        <v>45838</v>
      </c>
      <c r="I3315" s="7" t="s">
        <v>14651</v>
      </c>
      <c r="J3315" s="8" t="str">
        <f aca="false">IF(I3315="Open",DATE(2025,12,31)-F3315,"-")</f>
        <v>-</v>
      </c>
    </row>
    <row r="3316" customFormat="false" ht="15" hidden="false" customHeight="false" outlineLevel="0" collapsed="false">
      <c r="B3316" s="7" t="s">
        <v>17961</v>
      </c>
      <c r="C3316" s="7" t="s">
        <v>3813</v>
      </c>
      <c r="D3316" s="7" t="s">
        <v>321</v>
      </c>
      <c r="E3316" s="7" t="s">
        <v>154</v>
      </c>
      <c r="F3316" s="39" t="n">
        <v>45822</v>
      </c>
      <c r="G3316" s="41" t="n">
        <v>101.79</v>
      </c>
      <c r="H3316" s="39" t="n">
        <v>45865</v>
      </c>
      <c r="I3316" s="7" t="s">
        <v>14651</v>
      </c>
      <c r="J3316" s="8" t="str">
        <f aca="false">IF(I3316="Open",DATE(2025,12,31)-F3316,"-")</f>
        <v>-</v>
      </c>
    </row>
    <row r="3317" customFormat="false" ht="15" hidden="false" customHeight="false" outlineLevel="0" collapsed="false">
      <c r="B3317" s="7" t="s">
        <v>17962</v>
      </c>
      <c r="C3317" s="7" t="s">
        <v>3814</v>
      </c>
      <c r="D3317" s="7" t="s">
        <v>359</v>
      </c>
      <c r="E3317" s="7" t="s">
        <v>156</v>
      </c>
      <c r="F3317" s="39" t="n">
        <v>45822</v>
      </c>
      <c r="G3317" s="41" t="n">
        <v>130.9</v>
      </c>
      <c r="H3317" s="39" t="n">
        <v>45834</v>
      </c>
      <c r="I3317" s="7" t="s">
        <v>14651</v>
      </c>
      <c r="J3317" s="8" t="str">
        <f aca="false">IF(I3317="Open",DATE(2025,12,31)-F3317,"-")</f>
        <v>-</v>
      </c>
    </row>
    <row r="3318" customFormat="false" ht="15" hidden="false" customHeight="false" outlineLevel="0" collapsed="false">
      <c r="B3318" s="7" t="s">
        <v>17963</v>
      </c>
      <c r="C3318" s="7" t="s">
        <v>3815</v>
      </c>
      <c r="D3318" s="7" t="s">
        <v>391</v>
      </c>
      <c r="E3318" s="7" t="s">
        <v>156</v>
      </c>
      <c r="F3318" s="39" t="n">
        <v>45822</v>
      </c>
      <c r="G3318" s="41" t="n">
        <v>124.78</v>
      </c>
      <c r="H3318" s="39" t="n">
        <v>45841</v>
      </c>
      <c r="I3318" s="7" t="s">
        <v>14651</v>
      </c>
      <c r="J3318" s="8" t="str">
        <f aca="false">IF(I3318="Open",DATE(2025,12,31)-F3318,"-")</f>
        <v>-</v>
      </c>
    </row>
    <row r="3319" customFormat="false" ht="15" hidden="false" customHeight="false" outlineLevel="0" collapsed="false">
      <c r="B3319" s="7" t="s">
        <v>17964</v>
      </c>
      <c r="C3319" s="7" t="s">
        <v>3816</v>
      </c>
      <c r="D3319" s="7" t="s">
        <v>395</v>
      </c>
      <c r="E3319" s="7" t="s">
        <v>156</v>
      </c>
      <c r="F3319" s="39" t="n">
        <v>45822</v>
      </c>
      <c r="G3319" s="41" t="n">
        <v>147.9</v>
      </c>
      <c r="H3319" s="39" t="n">
        <v>45834</v>
      </c>
      <c r="I3319" s="7" t="s">
        <v>14651</v>
      </c>
      <c r="J3319" s="8" t="str">
        <f aca="false">IF(I3319="Open",DATE(2025,12,31)-F3319,"-")</f>
        <v>-</v>
      </c>
    </row>
    <row r="3320" customFormat="false" ht="15" hidden="false" customHeight="false" outlineLevel="0" collapsed="false">
      <c r="B3320" s="7" t="s">
        <v>17965</v>
      </c>
      <c r="C3320" s="7" t="s">
        <v>3817</v>
      </c>
      <c r="D3320" s="7" t="s">
        <v>401</v>
      </c>
      <c r="E3320" s="7" t="s">
        <v>156</v>
      </c>
      <c r="F3320" s="39" t="n">
        <v>45822</v>
      </c>
      <c r="G3320" s="41" t="n">
        <v>133.28</v>
      </c>
      <c r="H3320" s="39" t="n">
        <v>45840</v>
      </c>
      <c r="I3320" s="7" t="s">
        <v>14651</v>
      </c>
      <c r="J3320" s="8" t="str">
        <f aca="false">IF(I3320="Open",DATE(2025,12,31)-F3320,"-")</f>
        <v>-</v>
      </c>
    </row>
    <row r="3321" customFormat="false" ht="15" hidden="false" customHeight="false" outlineLevel="0" collapsed="false">
      <c r="B3321" s="7" t="s">
        <v>17966</v>
      </c>
      <c r="C3321" s="7" t="s">
        <v>3818</v>
      </c>
      <c r="D3321" s="7" t="s">
        <v>288</v>
      </c>
      <c r="E3321" s="7" t="s">
        <v>156</v>
      </c>
      <c r="F3321" s="39" t="n">
        <v>45823</v>
      </c>
      <c r="G3321" s="41" t="n">
        <v>145.18</v>
      </c>
      <c r="H3321" s="39" t="n">
        <v>45840</v>
      </c>
      <c r="I3321" s="7" t="s">
        <v>14651</v>
      </c>
      <c r="J3321" s="8" t="str">
        <f aca="false">IF(I3321="Open",DATE(2025,12,31)-F3321,"-")</f>
        <v>-</v>
      </c>
    </row>
    <row r="3322" customFormat="false" ht="15" hidden="false" customHeight="false" outlineLevel="0" collapsed="false">
      <c r="B3322" s="7" t="s">
        <v>17967</v>
      </c>
      <c r="C3322" s="7" t="s">
        <v>3819</v>
      </c>
      <c r="D3322" s="7" t="s">
        <v>321</v>
      </c>
      <c r="E3322" s="7" t="s">
        <v>154</v>
      </c>
      <c r="F3322" s="39" t="n">
        <v>45823</v>
      </c>
      <c r="G3322" s="41" t="n">
        <v>100.7</v>
      </c>
      <c r="H3322" s="39" t="n">
        <v>45866</v>
      </c>
      <c r="I3322" s="7" t="s">
        <v>14651</v>
      </c>
      <c r="J3322" s="8" t="str">
        <f aca="false">IF(I3322="Open",DATE(2025,12,31)-F3322,"-")</f>
        <v>-</v>
      </c>
    </row>
    <row r="3323" customFormat="false" ht="15" hidden="false" customHeight="false" outlineLevel="0" collapsed="false">
      <c r="B3323" s="7" t="s">
        <v>17968</v>
      </c>
      <c r="C3323" s="7" t="s">
        <v>3820</v>
      </c>
      <c r="D3323" s="7" t="s">
        <v>359</v>
      </c>
      <c r="E3323" s="7" t="s">
        <v>156</v>
      </c>
      <c r="F3323" s="39" t="n">
        <v>45823</v>
      </c>
      <c r="G3323" s="41" t="n">
        <v>126.48</v>
      </c>
      <c r="H3323" s="39" t="n">
        <v>45839</v>
      </c>
      <c r="I3323" s="7" t="s">
        <v>14651</v>
      </c>
      <c r="J3323" s="8" t="str">
        <f aca="false">IF(I3323="Open",DATE(2025,12,31)-F3323,"-")</f>
        <v>-</v>
      </c>
    </row>
    <row r="3324" customFormat="false" ht="15" hidden="false" customHeight="false" outlineLevel="0" collapsed="false">
      <c r="B3324" s="7" t="s">
        <v>17969</v>
      </c>
      <c r="C3324" s="7" t="s">
        <v>3821</v>
      </c>
      <c r="D3324" s="7" t="s">
        <v>395</v>
      </c>
      <c r="E3324" s="7" t="s">
        <v>156</v>
      </c>
      <c r="F3324" s="39" t="n">
        <v>45823</v>
      </c>
      <c r="G3324" s="41" t="n">
        <v>128.18</v>
      </c>
      <c r="H3324" s="39" t="n">
        <v>45839</v>
      </c>
      <c r="I3324" s="7" t="s">
        <v>14651</v>
      </c>
      <c r="J3324" s="8" t="str">
        <f aca="false">IF(I3324="Open",DATE(2025,12,31)-F3324,"-")</f>
        <v>-</v>
      </c>
    </row>
    <row r="3325" customFormat="false" ht="15" hidden="false" customHeight="false" outlineLevel="0" collapsed="false">
      <c r="B3325" s="7" t="s">
        <v>17970</v>
      </c>
      <c r="C3325" s="7" t="s">
        <v>3822</v>
      </c>
      <c r="D3325" s="7" t="s">
        <v>401</v>
      </c>
      <c r="E3325" s="7" t="s">
        <v>156</v>
      </c>
      <c r="F3325" s="39" t="n">
        <v>45823</v>
      </c>
      <c r="G3325" s="41" t="n">
        <v>136</v>
      </c>
      <c r="H3325" s="39" t="n">
        <v>45838</v>
      </c>
      <c r="I3325" s="7" t="s">
        <v>14651</v>
      </c>
      <c r="J3325" s="8" t="str">
        <f aca="false">IF(I3325="Open",DATE(2025,12,31)-F3325,"-")</f>
        <v>-</v>
      </c>
    </row>
    <row r="3326" customFormat="false" ht="15" hidden="false" customHeight="false" outlineLevel="0" collapsed="false">
      <c r="B3326" s="7" t="s">
        <v>17971</v>
      </c>
      <c r="C3326" s="7" t="s">
        <v>3823</v>
      </c>
      <c r="D3326" s="7" t="s">
        <v>280</v>
      </c>
      <c r="E3326" s="7" t="s">
        <v>157</v>
      </c>
      <c r="F3326" s="39" t="n">
        <v>45824</v>
      </c>
      <c r="G3326" s="41" t="n">
        <v>163.35</v>
      </c>
      <c r="H3326" s="39" t="n">
        <v>45882</v>
      </c>
      <c r="I3326" s="7" t="s">
        <v>14651</v>
      </c>
      <c r="J3326" s="8" t="str">
        <f aca="false">IF(I3326="Open",DATE(2025,12,31)-F3326,"-")</f>
        <v>-</v>
      </c>
    </row>
    <row r="3327" customFormat="false" ht="15" hidden="false" customHeight="false" outlineLevel="0" collapsed="false">
      <c r="B3327" s="7" t="s">
        <v>17972</v>
      </c>
      <c r="C3327" s="7" t="s">
        <v>3824</v>
      </c>
      <c r="D3327" s="7" t="s">
        <v>288</v>
      </c>
      <c r="E3327" s="7" t="s">
        <v>156</v>
      </c>
      <c r="F3327" s="39" t="n">
        <v>45824</v>
      </c>
      <c r="G3327" s="41" t="n">
        <v>142.46</v>
      </c>
      <c r="H3327" s="39" t="n">
        <v>45828</v>
      </c>
      <c r="I3327" s="7" t="s">
        <v>14651</v>
      </c>
      <c r="J3327" s="8" t="str">
        <f aca="false">IF(I3327="Open",DATE(2025,12,31)-F3327,"-")</f>
        <v>-</v>
      </c>
    </row>
    <row r="3328" customFormat="false" ht="15" hidden="false" customHeight="false" outlineLevel="0" collapsed="false">
      <c r="B3328" s="7" t="s">
        <v>17973</v>
      </c>
      <c r="C3328" s="7" t="s">
        <v>3825</v>
      </c>
      <c r="D3328" s="7" t="s">
        <v>291</v>
      </c>
      <c r="E3328" s="7" t="s">
        <v>154</v>
      </c>
      <c r="F3328" s="39" t="n">
        <v>45824</v>
      </c>
      <c r="G3328" s="41" t="n">
        <v>109.76</v>
      </c>
      <c r="H3328" s="39" t="n">
        <v>45922</v>
      </c>
      <c r="I3328" s="7" t="s">
        <v>14651</v>
      </c>
      <c r="J3328" s="8" t="str">
        <f aca="false">IF(I3328="Open",DATE(2025,12,31)-F3328,"-")</f>
        <v>-</v>
      </c>
    </row>
    <row r="3329" customFormat="false" ht="15" hidden="false" customHeight="false" outlineLevel="0" collapsed="false">
      <c r="B3329" s="7" t="s">
        <v>17974</v>
      </c>
      <c r="C3329" s="7" t="s">
        <v>3826</v>
      </c>
      <c r="D3329" s="7" t="s">
        <v>297</v>
      </c>
      <c r="E3329" s="7" t="s">
        <v>156</v>
      </c>
      <c r="F3329" s="39" t="n">
        <v>45824</v>
      </c>
      <c r="G3329" s="41" t="n">
        <v>102.34</v>
      </c>
      <c r="H3329" s="39" t="n">
        <v>45840</v>
      </c>
      <c r="I3329" s="7" t="s">
        <v>14651</v>
      </c>
      <c r="J3329" s="8" t="str">
        <f aca="false">IF(I3329="Open",DATE(2025,12,31)-F3329,"-")</f>
        <v>-</v>
      </c>
    </row>
    <row r="3330" customFormat="false" ht="15" hidden="false" customHeight="false" outlineLevel="0" collapsed="false">
      <c r="B3330" s="7" t="s">
        <v>17975</v>
      </c>
      <c r="C3330" s="7" t="s">
        <v>3827</v>
      </c>
      <c r="D3330" s="7" t="s">
        <v>305</v>
      </c>
      <c r="E3330" s="7" t="s">
        <v>154</v>
      </c>
      <c r="F3330" s="39" t="n">
        <v>45824</v>
      </c>
      <c r="G3330" s="41" t="n">
        <v>113.95</v>
      </c>
      <c r="H3330" s="39" t="n">
        <v>45841</v>
      </c>
      <c r="I3330" s="7" t="s">
        <v>14651</v>
      </c>
      <c r="J3330" s="8" t="str">
        <f aca="false">IF(I3330="Open",DATE(2025,12,31)-F3330,"-")</f>
        <v>-</v>
      </c>
    </row>
    <row r="3331" customFormat="false" ht="15" hidden="false" customHeight="false" outlineLevel="0" collapsed="false">
      <c r="B3331" s="7" t="s">
        <v>17976</v>
      </c>
      <c r="C3331" s="7" t="s">
        <v>3828</v>
      </c>
      <c r="D3331" s="7" t="s">
        <v>307</v>
      </c>
      <c r="E3331" s="7" t="s">
        <v>157</v>
      </c>
      <c r="F3331" s="39" t="n">
        <v>45824</v>
      </c>
      <c r="G3331" s="41" t="n">
        <v>165</v>
      </c>
      <c r="H3331" s="39" t="n">
        <v>45896</v>
      </c>
      <c r="I3331" s="7" t="s">
        <v>14651</v>
      </c>
      <c r="J3331" s="8" t="str">
        <f aca="false">IF(I3331="Open",DATE(2025,12,31)-F3331,"-")</f>
        <v>-</v>
      </c>
    </row>
    <row r="3332" customFormat="false" ht="15" hidden="false" customHeight="false" outlineLevel="0" collapsed="false">
      <c r="B3332" s="7" t="s">
        <v>17977</v>
      </c>
      <c r="C3332" s="7" t="s">
        <v>3829</v>
      </c>
      <c r="D3332" s="7" t="s">
        <v>309</v>
      </c>
      <c r="E3332" s="7" t="s">
        <v>159</v>
      </c>
      <c r="F3332" s="39" t="n">
        <v>45824</v>
      </c>
      <c r="G3332" s="41" t="n">
        <v>125.55</v>
      </c>
      <c r="H3332" s="39" t="n">
        <v>45869</v>
      </c>
      <c r="I3332" s="7" t="s">
        <v>14651</v>
      </c>
      <c r="J3332" s="8" t="str">
        <f aca="false">IF(I3332="Open",DATE(2025,12,31)-F3332,"-")</f>
        <v>-</v>
      </c>
    </row>
    <row r="3333" customFormat="false" ht="15" hidden="false" customHeight="false" outlineLevel="0" collapsed="false">
      <c r="B3333" s="7" t="s">
        <v>17978</v>
      </c>
      <c r="C3333" s="7" t="s">
        <v>3830</v>
      </c>
      <c r="D3333" s="7" t="s">
        <v>311</v>
      </c>
      <c r="E3333" s="7" t="s">
        <v>154</v>
      </c>
      <c r="F3333" s="39" t="n">
        <v>45824</v>
      </c>
      <c r="G3333" s="41" t="n">
        <v>71.81</v>
      </c>
      <c r="H3333" s="39" t="n">
        <v>45854</v>
      </c>
      <c r="I3333" s="7" t="s">
        <v>14651</v>
      </c>
      <c r="J3333" s="8" t="str">
        <f aca="false">IF(I3333="Open",DATE(2025,12,31)-F3333,"-")</f>
        <v>-</v>
      </c>
    </row>
    <row r="3334" customFormat="false" ht="15" hidden="false" customHeight="false" outlineLevel="0" collapsed="false">
      <c r="B3334" s="7" t="s">
        <v>17979</v>
      </c>
      <c r="C3334" s="7" t="s">
        <v>3831</v>
      </c>
      <c r="D3334" s="7" t="s">
        <v>313</v>
      </c>
      <c r="E3334" s="7" t="s">
        <v>156</v>
      </c>
      <c r="F3334" s="39" t="n">
        <v>45824</v>
      </c>
      <c r="G3334" s="41" t="n">
        <v>142.12</v>
      </c>
      <c r="H3334" s="39" t="n">
        <v>45854</v>
      </c>
      <c r="I3334" s="7" t="s">
        <v>14651</v>
      </c>
      <c r="J3334" s="8" t="str">
        <f aca="false">IF(I3334="Open",DATE(2025,12,31)-F3334,"-")</f>
        <v>-</v>
      </c>
    </row>
    <row r="3335" customFormat="false" ht="15" hidden="false" customHeight="false" outlineLevel="0" collapsed="false">
      <c r="B3335" s="7" t="s">
        <v>17980</v>
      </c>
      <c r="C3335" s="7" t="s">
        <v>3832</v>
      </c>
      <c r="D3335" s="7" t="s">
        <v>317</v>
      </c>
      <c r="E3335" s="7" t="s">
        <v>156</v>
      </c>
      <c r="F3335" s="39" t="n">
        <v>45824</v>
      </c>
      <c r="G3335" s="41" t="n">
        <v>98.26</v>
      </c>
      <c r="H3335" s="39" t="n">
        <v>45834</v>
      </c>
      <c r="I3335" s="7" t="s">
        <v>14651</v>
      </c>
      <c r="J3335" s="8" t="str">
        <f aca="false">IF(I3335="Open",DATE(2025,12,31)-F3335,"-")</f>
        <v>-</v>
      </c>
    </row>
    <row r="3336" customFormat="false" ht="15" hidden="false" customHeight="false" outlineLevel="0" collapsed="false">
      <c r="B3336" s="7" t="s">
        <v>17981</v>
      </c>
      <c r="C3336" s="7" t="s">
        <v>3833</v>
      </c>
      <c r="D3336" s="7" t="s">
        <v>321</v>
      </c>
      <c r="E3336" s="7" t="s">
        <v>154</v>
      </c>
      <c r="F3336" s="39" t="n">
        <v>45824</v>
      </c>
      <c r="G3336" s="41" t="n">
        <v>98.84</v>
      </c>
      <c r="H3336" s="39" t="n">
        <v>45928</v>
      </c>
      <c r="I3336" s="7" t="s">
        <v>14651</v>
      </c>
      <c r="J3336" s="8" t="str">
        <f aca="false">IF(I3336="Open",DATE(2025,12,31)-F3336,"-")</f>
        <v>-</v>
      </c>
    </row>
    <row r="3337" customFormat="false" ht="15" hidden="false" customHeight="false" outlineLevel="0" collapsed="false">
      <c r="B3337" s="7" t="s">
        <v>17982</v>
      </c>
      <c r="C3337" s="7" t="s">
        <v>3834</v>
      </c>
      <c r="D3337" s="7" t="s">
        <v>325</v>
      </c>
      <c r="E3337" s="7" t="s">
        <v>154</v>
      </c>
      <c r="F3337" s="39" t="n">
        <v>45824</v>
      </c>
      <c r="G3337" s="41" t="n">
        <v>84.27</v>
      </c>
      <c r="H3337" s="39" t="n">
        <v>45850</v>
      </c>
      <c r="I3337" s="7" t="s">
        <v>14651</v>
      </c>
      <c r="J3337" s="8" t="str">
        <f aca="false">IF(I3337="Open",DATE(2025,12,31)-F3337,"-")</f>
        <v>-</v>
      </c>
    </row>
    <row r="3338" customFormat="false" ht="15" hidden="false" customHeight="false" outlineLevel="0" collapsed="false">
      <c r="B3338" s="7" t="s">
        <v>17983</v>
      </c>
      <c r="C3338" s="7" t="s">
        <v>3835</v>
      </c>
      <c r="D3338" s="7" t="s">
        <v>329</v>
      </c>
      <c r="E3338" s="7" t="s">
        <v>156</v>
      </c>
      <c r="F3338" s="39" t="n">
        <v>45824</v>
      </c>
      <c r="G3338" s="41" t="n">
        <v>138.72</v>
      </c>
      <c r="H3338" s="39" t="n">
        <v>45838</v>
      </c>
      <c r="I3338" s="7" t="s">
        <v>14651</v>
      </c>
      <c r="J3338" s="8" t="str">
        <f aca="false">IF(I3338="Open",DATE(2025,12,31)-F3338,"-")</f>
        <v>-</v>
      </c>
    </row>
    <row r="3339" customFormat="false" ht="15" hidden="false" customHeight="false" outlineLevel="0" collapsed="false">
      <c r="B3339" s="7" t="s">
        <v>17984</v>
      </c>
      <c r="C3339" s="7" t="s">
        <v>3836</v>
      </c>
      <c r="D3339" s="7" t="s">
        <v>331</v>
      </c>
      <c r="E3339" s="7" t="s">
        <v>156</v>
      </c>
      <c r="F3339" s="39" t="n">
        <v>45824</v>
      </c>
      <c r="G3339" s="41" t="n">
        <v>131.24</v>
      </c>
      <c r="H3339" s="39" t="n">
        <v>45827</v>
      </c>
      <c r="I3339" s="7" t="s">
        <v>14651</v>
      </c>
      <c r="J3339" s="8" t="str">
        <f aca="false">IF(I3339="Open",DATE(2025,12,31)-F3339,"-")</f>
        <v>-</v>
      </c>
    </row>
    <row r="3340" customFormat="false" ht="15" hidden="false" customHeight="false" outlineLevel="0" collapsed="false">
      <c r="B3340" s="7" t="s">
        <v>17985</v>
      </c>
      <c r="C3340" s="7" t="s">
        <v>3837</v>
      </c>
      <c r="D3340" s="7" t="s">
        <v>335</v>
      </c>
      <c r="E3340" s="7" t="s">
        <v>154</v>
      </c>
      <c r="F3340" s="39" t="n">
        <v>45824</v>
      </c>
      <c r="G3340" s="41" t="n">
        <v>115.01</v>
      </c>
      <c r="H3340" s="39" t="n">
        <v>45879</v>
      </c>
      <c r="I3340" s="7" t="s">
        <v>14651</v>
      </c>
      <c r="J3340" s="8" t="str">
        <f aca="false">IF(I3340="Open",DATE(2025,12,31)-F3340,"-")</f>
        <v>-</v>
      </c>
    </row>
    <row r="3341" customFormat="false" ht="15" hidden="false" customHeight="false" outlineLevel="0" collapsed="false">
      <c r="B3341" s="7" t="s">
        <v>17986</v>
      </c>
      <c r="C3341" s="7" t="s">
        <v>3838</v>
      </c>
      <c r="D3341" s="7" t="s">
        <v>337</v>
      </c>
      <c r="E3341" s="7" t="s">
        <v>154</v>
      </c>
      <c r="F3341" s="39" t="n">
        <v>45824</v>
      </c>
      <c r="G3341" s="41" t="n">
        <v>78.97</v>
      </c>
      <c r="H3341" s="39" t="n">
        <v>45919</v>
      </c>
      <c r="I3341" s="7" t="s">
        <v>14651</v>
      </c>
      <c r="J3341" s="8" t="str">
        <f aca="false">IF(I3341="Open",DATE(2025,12,31)-F3341,"-")</f>
        <v>-</v>
      </c>
    </row>
    <row r="3342" customFormat="false" ht="15" hidden="false" customHeight="false" outlineLevel="0" collapsed="false">
      <c r="B3342" s="7" t="s">
        <v>17987</v>
      </c>
      <c r="C3342" s="7" t="s">
        <v>3839</v>
      </c>
      <c r="D3342" s="7" t="s">
        <v>339</v>
      </c>
      <c r="E3342" s="7" t="s">
        <v>154</v>
      </c>
      <c r="F3342" s="39" t="n">
        <v>45824</v>
      </c>
      <c r="G3342" s="41" t="n">
        <v>85.09</v>
      </c>
      <c r="H3342" s="39" t="n">
        <v>45894</v>
      </c>
      <c r="I3342" s="7" t="s">
        <v>14651</v>
      </c>
      <c r="J3342" s="8" t="str">
        <f aca="false">IF(I3342="Open",DATE(2025,12,31)-F3342,"-")</f>
        <v>-</v>
      </c>
    </row>
    <row r="3343" customFormat="false" ht="15" hidden="false" customHeight="false" outlineLevel="0" collapsed="false">
      <c r="B3343" s="7" t="s">
        <v>17988</v>
      </c>
      <c r="C3343" s="7" t="s">
        <v>3840</v>
      </c>
      <c r="D3343" s="7" t="s">
        <v>341</v>
      </c>
      <c r="E3343" s="7" t="s">
        <v>156</v>
      </c>
      <c r="F3343" s="39" t="n">
        <v>45824</v>
      </c>
      <c r="G3343" s="41" t="n">
        <v>106.08</v>
      </c>
      <c r="H3343" s="39" t="n">
        <v>45827</v>
      </c>
      <c r="I3343" s="7" t="s">
        <v>14651</v>
      </c>
      <c r="J3343" s="8" t="str">
        <f aca="false">IF(I3343="Open",DATE(2025,12,31)-F3343,"-")</f>
        <v>-</v>
      </c>
    </row>
    <row r="3344" customFormat="false" ht="15" hidden="false" customHeight="false" outlineLevel="0" collapsed="false">
      <c r="B3344" s="7" t="s">
        <v>17989</v>
      </c>
      <c r="C3344" s="7" t="s">
        <v>3841</v>
      </c>
      <c r="D3344" s="7" t="s">
        <v>343</v>
      </c>
      <c r="E3344" s="7" t="s">
        <v>154</v>
      </c>
      <c r="F3344" s="39" t="n">
        <v>45824</v>
      </c>
      <c r="G3344" s="41" t="n">
        <v>105.2</v>
      </c>
      <c r="H3344" s="39" t="n">
        <v>45866</v>
      </c>
      <c r="I3344" s="7" t="s">
        <v>14651</v>
      </c>
      <c r="J3344" s="8" t="str">
        <f aca="false">IF(I3344="Open",DATE(2025,12,31)-F3344,"-")</f>
        <v>-</v>
      </c>
    </row>
    <row r="3345" customFormat="false" ht="15" hidden="false" customHeight="false" outlineLevel="0" collapsed="false">
      <c r="B3345" s="7" t="s">
        <v>17990</v>
      </c>
      <c r="C3345" s="7" t="s">
        <v>3842</v>
      </c>
      <c r="D3345" s="7" t="s">
        <v>351</v>
      </c>
      <c r="E3345" s="7" t="s">
        <v>154</v>
      </c>
      <c r="F3345" s="39" t="n">
        <v>45824</v>
      </c>
      <c r="G3345" s="41" t="n">
        <v>72.61</v>
      </c>
      <c r="H3345" s="39" t="n">
        <v>45850</v>
      </c>
      <c r="I3345" s="7" t="s">
        <v>14651</v>
      </c>
      <c r="J3345" s="8" t="str">
        <f aca="false">IF(I3345="Open",DATE(2025,12,31)-F3345,"-")</f>
        <v>-</v>
      </c>
    </row>
    <row r="3346" customFormat="false" ht="15" hidden="false" customHeight="false" outlineLevel="0" collapsed="false">
      <c r="B3346" s="7" t="s">
        <v>17991</v>
      </c>
      <c r="C3346" s="7" t="s">
        <v>3843</v>
      </c>
      <c r="D3346" s="7" t="s">
        <v>355</v>
      </c>
      <c r="E3346" s="7" t="s">
        <v>154</v>
      </c>
      <c r="F3346" s="39" t="n">
        <v>45824</v>
      </c>
      <c r="G3346" s="41" t="n">
        <v>84.27</v>
      </c>
      <c r="H3346" s="39" t="n">
        <v>45882</v>
      </c>
      <c r="I3346" s="7" t="s">
        <v>14651</v>
      </c>
      <c r="J3346" s="8" t="str">
        <f aca="false">IF(I3346="Open",DATE(2025,12,31)-F3346,"-")</f>
        <v>-</v>
      </c>
    </row>
    <row r="3347" customFormat="false" ht="15" hidden="false" customHeight="false" outlineLevel="0" collapsed="false">
      <c r="B3347" s="7" t="s">
        <v>17992</v>
      </c>
      <c r="C3347" s="7" t="s">
        <v>3844</v>
      </c>
      <c r="D3347" s="7" t="s">
        <v>357</v>
      </c>
      <c r="E3347" s="7" t="s">
        <v>154</v>
      </c>
      <c r="F3347" s="39" t="n">
        <v>45824</v>
      </c>
      <c r="G3347" s="41" t="n">
        <v>89.84</v>
      </c>
      <c r="H3347" s="39" t="n">
        <v>45917</v>
      </c>
      <c r="I3347" s="7" t="s">
        <v>14651</v>
      </c>
      <c r="J3347" s="8" t="str">
        <f aca="false">IF(I3347="Open",DATE(2025,12,31)-F3347,"-")</f>
        <v>-</v>
      </c>
    </row>
    <row r="3348" customFormat="false" ht="15" hidden="false" customHeight="false" outlineLevel="0" collapsed="false">
      <c r="B3348" s="7" t="s">
        <v>17993</v>
      </c>
      <c r="C3348" s="7" t="s">
        <v>3845</v>
      </c>
      <c r="D3348" s="7" t="s">
        <v>359</v>
      </c>
      <c r="E3348" s="7" t="s">
        <v>156</v>
      </c>
      <c r="F3348" s="39" t="n">
        <v>45824</v>
      </c>
      <c r="G3348" s="41" t="n">
        <v>133.28</v>
      </c>
      <c r="H3348" s="39" t="n">
        <v>45840</v>
      </c>
      <c r="I3348" s="7" t="s">
        <v>14651</v>
      </c>
      <c r="J3348" s="8" t="str">
        <f aca="false">IF(I3348="Open",DATE(2025,12,31)-F3348,"-")</f>
        <v>-</v>
      </c>
    </row>
    <row r="3349" customFormat="false" ht="15" hidden="false" customHeight="false" outlineLevel="0" collapsed="false">
      <c r="B3349" s="7" t="s">
        <v>17994</v>
      </c>
      <c r="C3349" s="7" t="s">
        <v>3846</v>
      </c>
      <c r="D3349" s="7" t="s">
        <v>363</v>
      </c>
      <c r="E3349" s="7" t="s">
        <v>156</v>
      </c>
      <c r="F3349" s="39" t="n">
        <v>45824</v>
      </c>
      <c r="G3349" s="41" t="n">
        <v>140.42</v>
      </c>
      <c r="H3349" s="39" t="n">
        <v>45833</v>
      </c>
      <c r="I3349" s="7" t="s">
        <v>14651</v>
      </c>
      <c r="J3349" s="8" t="str">
        <f aca="false">IF(I3349="Open",DATE(2025,12,31)-F3349,"-")</f>
        <v>-</v>
      </c>
    </row>
    <row r="3350" customFormat="false" ht="15" hidden="false" customHeight="false" outlineLevel="0" collapsed="false">
      <c r="B3350" s="7" t="s">
        <v>17995</v>
      </c>
      <c r="C3350" s="7" t="s">
        <v>3847</v>
      </c>
      <c r="D3350" s="7" t="s">
        <v>365</v>
      </c>
      <c r="E3350" s="7" t="s">
        <v>154</v>
      </c>
      <c r="F3350" s="39" t="n">
        <v>45824</v>
      </c>
      <c r="G3350" s="41" t="n">
        <v>110.77</v>
      </c>
      <c r="H3350" s="39" t="n">
        <v>45872</v>
      </c>
      <c r="I3350" s="7" t="s">
        <v>14651</v>
      </c>
      <c r="J3350" s="8" t="str">
        <f aca="false">IF(I3350="Open",DATE(2025,12,31)-F3350,"-")</f>
        <v>-</v>
      </c>
    </row>
    <row r="3351" customFormat="false" ht="15" hidden="false" customHeight="false" outlineLevel="0" collapsed="false">
      <c r="B3351" s="7" t="s">
        <v>17996</v>
      </c>
      <c r="C3351" s="7" t="s">
        <v>3848</v>
      </c>
      <c r="D3351" s="7" t="s">
        <v>371</v>
      </c>
      <c r="E3351" s="7" t="s">
        <v>154</v>
      </c>
      <c r="F3351" s="39" t="n">
        <v>45824</v>
      </c>
      <c r="G3351" s="41" t="n">
        <v>113.95</v>
      </c>
      <c r="H3351" s="39" t="n">
        <v>45941</v>
      </c>
      <c r="I3351" s="7" t="s">
        <v>14651</v>
      </c>
      <c r="J3351" s="8" t="str">
        <f aca="false">IF(I3351="Open",DATE(2025,12,31)-F3351,"-")</f>
        <v>-</v>
      </c>
    </row>
    <row r="3352" customFormat="false" ht="15" hidden="false" customHeight="false" outlineLevel="0" collapsed="false">
      <c r="B3352" s="7" t="s">
        <v>17997</v>
      </c>
      <c r="C3352" s="7" t="s">
        <v>3849</v>
      </c>
      <c r="D3352" s="7" t="s">
        <v>375</v>
      </c>
      <c r="E3352" s="7" t="s">
        <v>156</v>
      </c>
      <c r="F3352" s="39" t="n">
        <v>45824</v>
      </c>
      <c r="G3352" s="41" t="n">
        <v>107.44</v>
      </c>
      <c r="H3352" s="39" t="n">
        <v>45835</v>
      </c>
      <c r="I3352" s="7" t="s">
        <v>14651</v>
      </c>
      <c r="J3352" s="8" t="str">
        <f aca="false">IF(I3352="Open",DATE(2025,12,31)-F3352,"-")</f>
        <v>-</v>
      </c>
    </row>
    <row r="3353" customFormat="false" ht="15" hidden="false" customHeight="false" outlineLevel="0" collapsed="false">
      <c r="B3353" s="7" t="s">
        <v>17998</v>
      </c>
      <c r="C3353" s="7" t="s">
        <v>3850</v>
      </c>
      <c r="D3353" s="7" t="s">
        <v>377</v>
      </c>
      <c r="E3353" s="7" t="s">
        <v>154</v>
      </c>
      <c r="F3353" s="39" t="n">
        <v>45824</v>
      </c>
      <c r="G3353" s="41" t="n">
        <v>107.86</v>
      </c>
      <c r="H3353" s="39" t="n">
        <v>45859</v>
      </c>
      <c r="I3353" s="7" t="s">
        <v>14651</v>
      </c>
      <c r="J3353" s="8" t="str">
        <f aca="false">IF(I3353="Open",DATE(2025,12,31)-F3353,"-")</f>
        <v>-</v>
      </c>
    </row>
    <row r="3354" customFormat="false" ht="15" hidden="false" customHeight="false" outlineLevel="0" collapsed="false">
      <c r="B3354" s="7" t="s">
        <v>17999</v>
      </c>
      <c r="C3354" s="7" t="s">
        <v>3851</v>
      </c>
      <c r="D3354" s="7" t="s">
        <v>379</v>
      </c>
      <c r="E3354" s="7" t="s">
        <v>156</v>
      </c>
      <c r="F3354" s="39" t="n">
        <v>45824</v>
      </c>
      <c r="G3354" s="41" t="n">
        <v>170.34</v>
      </c>
      <c r="H3354" s="39" t="n">
        <v>45836</v>
      </c>
      <c r="I3354" s="7" t="s">
        <v>14651</v>
      </c>
      <c r="J3354" s="8" t="str">
        <f aca="false">IF(I3354="Open",DATE(2025,12,31)-F3354,"-")</f>
        <v>-</v>
      </c>
    </row>
    <row r="3355" customFormat="false" ht="15" hidden="false" customHeight="false" outlineLevel="0" collapsed="false">
      <c r="B3355" s="7" t="s">
        <v>18000</v>
      </c>
      <c r="C3355" s="7" t="s">
        <v>3852</v>
      </c>
      <c r="D3355" s="7" t="s">
        <v>385</v>
      </c>
      <c r="E3355" s="7" t="s">
        <v>156</v>
      </c>
      <c r="F3355" s="39" t="n">
        <v>45824</v>
      </c>
      <c r="G3355" s="41" t="n">
        <v>126.82</v>
      </c>
      <c r="H3355" s="39" t="n">
        <v>45837</v>
      </c>
      <c r="I3355" s="7" t="s">
        <v>14651</v>
      </c>
      <c r="J3355" s="8" t="str">
        <f aca="false">IF(I3355="Open",DATE(2025,12,31)-F3355,"-")</f>
        <v>-</v>
      </c>
    </row>
    <row r="3356" customFormat="false" ht="15" hidden="false" customHeight="false" outlineLevel="0" collapsed="false">
      <c r="B3356" s="7" t="s">
        <v>18001</v>
      </c>
      <c r="C3356" s="7" t="s">
        <v>3853</v>
      </c>
      <c r="D3356" s="7" t="s">
        <v>389</v>
      </c>
      <c r="E3356" s="7" t="s">
        <v>154</v>
      </c>
      <c r="F3356" s="39" t="n">
        <v>45824</v>
      </c>
      <c r="G3356" s="41" t="n">
        <v>94.34</v>
      </c>
      <c r="H3356" s="39" t="n">
        <v>45874</v>
      </c>
      <c r="I3356" s="7" t="s">
        <v>14651</v>
      </c>
      <c r="J3356" s="8" t="str">
        <f aca="false">IF(I3356="Open",DATE(2025,12,31)-F3356,"-")</f>
        <v>-</v>
      </c>
    </row>
    <row r="3357" customFormat="false" ht="15" hidden="false" customHeight="false" outlineLevel="0" collapsed="false">
      <c r="B3357" s="7" t="s">
        <v>18002</v>
      </c>
      <c r="C3357" s="7" t="s">
        <v>3854</v>
      </c>
      <c r="D3357" s="7" t="s">
        <v>391</v>
      </c>
      <c r="E3357" s="7" t="s">
        <v>156</v>
      </c>
      <c r="F3357" s="39" t="n">
        <v>45824</v>
      </c>
      <c r="G3357" s="41" t="n">
        <v>126.82</v>
      </c>
      <c r="H3357" s="39" t="n">
        <v>45845</v>
      </c>
      <c r="I3357" s="7" t="s">
        <v>14651</v>
      </c>
      <c r="J3357" s="8" t="str">
        <f aca="false">IF(I3357="Open",DATE(2025,12,31)-F3357,"-")</f>
        <v>-</v>
      </c>
    </row>
    <row r="3358" customFormat="false" ht="15" hidden="false" customHeight="false" outlineLevel="0" collapsed="false">
      <c r="B3358" s="7" t="s">
        <v>18003</v>
      </c>
      <c r="C3358" s="7" t="s">
        <v>3855</v>
      </c>
      <c r="D3358" s="7" t="s">
        <v>395</v>
      </c>
      <c r="E3358" s="7" t="s">
        <v>156</v>
      </c>
      <c r="F3358" s="39" t="n">
        <v>45824</v>
      </c>
      <c r="G3358" s="41" t="n">
        <v>146.88</v>
      </c>
      <c r="H3358" s="39" t="n">
        <v>45834</v>
      </c>
      <c r="I3358" s="7" t="s">
        <v>14651</v>
      </c>
      <c r="J3358" s="8" t="str">
        <f aca="false">IF(I3358="Open",DATE(2025,12,31)-F3358,"-")</f>
        <v>-</v>
      </c>
    </row>
    <row r="3359" customFormat="false" ht="15" hidden="false" customHeight="false" outlineLevel="0" collapsed="false">
      <c r="B3359" s="7" t="s">
        <v>18004</v>
      </c>
      <c r="C3359" s="7" t="s">
        <v>3856</v>
      </c>
      <c r="D3359" s="7" t="s">
        <v>399</v>
      </c>
      <c r="E3359" s="7" t="s">
        <v>154</v>
      </c>
      <c r="F3359" s="39" t="n">
        <v>45824</v>
      </c>
      <c r="G3359" s="41" t="n">
        <v>87.19</v>
      </c>
      <c r="H3359" s="39" t="n">
        <v>45870</v>
      </c>
      <c r="I3359" s="7" t="s">
        <v>14651</v>
      </c>
      <c r="J3359" s="8" t="str">
        <f aca="false">IF(I3359="Open",DATE(2025,12,31)-F3359,"-")</f>
        <v>-</v>
      </c>
    </row>
    <row r="3360" customFormat="false" ht="15" hidden="false" customHeight="false" outlineLevel="0" collapsed="false">
      <c r="B3360" s="7" t="s">
        <v>18005</v>
      </c>
      <c r="C3360" s="7" t="s">
        <v>3857</v>
      </c>
      <c r="D3360" s="7" t="s">
        <v>401</v>
      </c>
      <c r="E3360" s="7" t="s">
        <v>156</v>
      </c>
      <c r="F3360" s="39" t="n">
        <v>45824</v>
      </c>
      <c r="G3360" s="41" t="n">
        <v>143.14</v>
      </c>
      <c r="H3360" s="39" t="n">
        <v>45829</v>
      </c>
      <c r="I3360" s="7" t="s">
        <v>14651</v>
      </c>
      <c r="J3360" s="8" t="str">
        <f aca="false">IF(I3360="Open",DATE(2025,12,31)-F3360,"-")</f>
        <v>-</v>
      </c>
    </row>
    <row r="3361" customFormat="false" ht="15" hidden="false" customHeight="false" outlineLevel="0" collapsed="false">
      <c r="B3361" s="7" t="s">
        <v>18006</v>
      </c>
      <c r="C3361" s="7" t="s">
        <v>3858</v>
      </c>
      <c r="D3361" s="7" t="s">
        <v>409</v>
      </c>
      <c r="E3361" s="7" t="s">
        <v>154</v>
      </c>
      <c r="F3361" s="39" t="n">
        <v>45824</v>
      </c>
      <c r="G3361" s="41" t="n">
        <v>93.28</v>
      </c>
      <c r="H3361" s="39" t="n">
        <v>45870</v>
      </c>
      <c r="I3361" s="7" t="s">
        <v>14651</v>
      </c>
      <c r="J3361" s="8" t="str">
        <f aca="false">IF(I3361="Open",DATE(2025,12,31)-F3361,"-")</f>
        <v>-</v>
      </c>
    </row>
    <row r="3362" customFormat="false" ht="15" hidden="false" customHeight="false" outlineLevel="0" collapsed="false">
      <c r="B3362" s="7" t="s">
        <v>18007</v>
      </c>
      <c r="C3362" s="7" t="s">
        <v>3859</v>
      </c>
      <c r="D3362" s="7" t="s">
        <v>411</v>
      </c>
      <c r="E3362" s="7" t="s">
        <v>154</v>
      </c>
      <c r="F3362" s="39" t="n">
        <v>45824</v>
      </c>
      <c r="G3362" s="41" t="n">
        <v>128.02</v>
      </c>
      <c r="H3362" s="39" t="n">
        <v>45880</v>
      </c>
      <c r="I3362" s="7" t="s">
        <v>14651</v>
      </c>
      <c r="J3362" s="8" t="str">
        <f aca="false">IF(I3362="Open",DATE(2025,12,31)-F3362,"-")</f>
        <v>-</v>
      </c>
    </row>
    <row r="3363" customFormat="false" ht="15" hidden="false" customHeight="false" outlineLevel="0" collapsed="false">
      <c r="B3363" s="7" t="s">
        <v>18008</v>
      </c>
      <c r="C3363" s="7" t="s">
        <v>3860</v>
      </c>
      <c r="D3363" s="7" t="s">
        <v>288</v>
      </c>
      <c r="E3363" s="7" t="s">
        <v>156</v>
      </c>
      <c r="F3363" s="39" t="n">
        <v>45825</v>
      </c>
      <c r="G3363" s="41" t="n">
        <v>138.72</v>
      </c>
      <c r="H3363" s="39" t="n">
        <v>45837</v>
      </c>
      <c r="I3363" s="7" t="s">
        <v>14651</v>
      </c>
      <c r="J3363" s="8" t="str">
        <f aca="false">IF(I3363="Open",DATE(2025,12,31)-F3363,"-")</f>
        <v>-</v>
      </c>
    </row>
    <row r="3364" customFormat="false" ht="15" hidden="false" customHeight="false" outlineLevel="0" collapsed="false">
      <c r="B3364" s="7" t="s">
        <v>18009</v>
      </c>
      <c r="C3364" s="7" t="s">
        <v>3861</v>
      </c>
      <c r="D3364" s="7" t="s">
        <v>301</v>
      </c>
      <c r="E3364" s="7" t="s">
        <v>157</v>
      </c>
      <c r="F3364" s="39" t="n">
        <v>45825</v>
      </c>
      <c r="G3364" s="41" t="n">
        <v>176.55</v>
      </c>
      <c r="H3364" s="39" t="n">
        <v>45881</v>
      </c>
      <c r="I3364" s="7" t="s">
        <v>14651</v>
      </c>
      <c r="J3364" s="8" t="str">
        <f aca="false">IF(I3364="Open",DATE(2025,12,31)-F3364,"-")</f>
        <v>-</v>
      </c>
    </row>
    <row r="3365" customFormat="false" ht="15" hidden="false" customHeight="false" outlineLevel="0" collapsed="false">
      <c r="B3365" s="7" t="s">
        <v>18010</v>
      </c>
      <c r="C3365" s="7" t="s">
        <v>3862</v>
      </c>
      <c r="D3365" s="7" t="s">
        <v>313</v>
      </c>
      <c r="E3365" s="7" t="s">
        <v>156</v>
      </c>
      <c r="F3365" s="39" t="n">
        <v>45825</v>
      </c>
      <c r="G3365" s="41" t="n">
        <v>137.7</v>
      </c>
      <c r="H3365" s="39" t="n">
        <v>45835</v>
      </c>
      <c r="I3365" s="7" t="s">
        <v>14651</v>
      </c>
      <c r="J3365" s="8" t="str">
        <f aca="false">IF(I3365="Open",DATE(2025,12,31)-F3365,"-")</f>
        <v>-</v>
      </c>
    </row>
    <row r="3366" customFormat="false" ht="15" hidden="false" customHeight="false" outlineLevel="0" collapsed="false">
      <c r="B3366" s="7" t="s">
        <v>18011</v>
      </c>
      <c r="C3366" s="7" t="s">
        <v>3863</v>
      </c>
      <c r="D3366" s="7" t="s">
        <v>319</v>
      </c>
      <c r="E3366" s="7" t="s">
        <v>157</v>
      </c>
      <c r="F3366" s="39" t="n">
        <v>45825</v>
      </c>
      <c r="G3366" s="41" t="n">
        <v>171.6</v>
      </c>
      <c r="H3366" s="39" t="n">
        <v>45899</v>
      </c>
      <c r="I3366" s="7" t="s">
        <v>14651</v>
      </c>
      <c r="J3366" s="8" t="str">
        <f aca="false">IF(I3366="Open",DATE(2025,12,31)-F3366,"-")</f>
        <v>-</v>
      </c>
    </row>
    <row r="3367" customFormat="false" ht="15" hidden="false" customHeight="false" outlineLevel="0" collapsed="false">
      <c r="B3367" s="7" t="s">
        <v>18012</v>
      </c>
      <c r="C3367" s="7" t="s">
        <v>3864</v>
      </c>
      <c r="D3367" s="7" t="s">
        <v>321</v>
      </c>
      <c r="E3367" s="7" t="s">
        <v>154</v>
      </c>
      <c r="F3367" s="39" t="n">
        <v>45825</v>
      </c>
      <c r="G3367" s="41" t="n">
        <v>102.82</v>
      </c>
      <c r="H3367" s="39" t="n">
        <v>45903</v>
      </c>
      <c r="I3367" s="7" t="s">
        <v>14651</v>
      </c>
      <c r="J3367" s="8" t="str">
        <f aca="false">IF(I3367="Open",DATE(2025,12,31)-F3367,"-")</f>
        <v>-</v>
      </c>
    </row>
    <row r="3368" customFormat="false" ht="15" hidden="false" customHeight="false" outlineLevel="0" collapsed="false">
      <c r="B3368" s="7" t="s">
        <v>18013</v>
      </c>
      <c r="C3368" s="7" t="s">
        <v>3865</v>
      </c>
      <c r="D3368" s="7" t="s">
        <v>323</v>
      </c>
      <c r="E3368" s="7" t="s">
        <v>159</v>
      </c>
      <c r="F3368" s="39" t="n">
        <v>45825</v>
      </c>
      <c r="G3368" s="41" t="n">
        <v>133.65</v>
      </c>
      <c r="H3368" s="39" t="n">
        <v>45866</v>
      </c>
      <c r="I3368" s="7" t="s">
        <v>14651</v>
      </c>
      <c r="J3368" s="8" t="str">
        <f aca="false">IF(I3368="Open",DATE(2025,12,31)-F3368,"-")</f>
        <v>-</v>
      </c>
    </row>
    <row r="3369" customFormat="false" ht="15" hidden="false" customHeight="false" outlineLevel="0" collapsed="false">
      <c r="B3369" s="7" t="s">
        <v>18014</v>
      </c>
      <c r="C3369" s="7" t="s">
        <v>3866</v>
      </c>
      <c r="D3369" s="7" t="s">
        <v>327</v>
      </c>
      <c r="E3369" s="7" t="s">
        <v>157</v>
      </c>
      <c r="F3369" s="39" t="n">
        <v>45825</v>
      </c>
      <c r="G3369" s="41" t="n">
        <v>155.1</v>
      </c>
      <c r="H3369" s="39" t="n">
        <v>45869</v>
      </c>
      <c r="I3369" s="7" t="s">
        <v>14651</v>
      </c>
      <c r="J3369" s="8" t="str">
        <f aca="false">IF(I3369="Open",DATE(2025,12,31)-F3369,"-")</f>
        <v>-</v>
      </c>
    </row>
    <row r="3370" customFormat="false" ht="15" hidden="false" customHeight="false" outlineLevel="0" collapsed="false">
      <c r="B3370" s="7" t="s">
        <v>18015</v>
      </c>
      <c r="C3370" s="7" t="s">
        <v>3867</v>
      </c>
      <c r="D3370" s="7" t="s">
        <v>329</v>
      </c>
      <c r="E3370" s="7" t="s">
        <v>156</v>
      </c>
      <c r="F3370" s="39" t="n">
        <v>45825</v>
      </c>
      <c r="G3370" s="41" t="n">
        <v>147.9</v>
      </c>
      <c r="H3370" s="39" t="n">
        <v>45836</v>
      </c>
      <c r="I3370" s="7" t="s">
        <v>14651</v>
      </c>
      <c r="J3370" s="8" t="str">
        <f aca="false">IF(I3370="Open",DATE(2025,12,31)-F3370,"-")</f>
        <v>-</v>
      </c>
    </row>
    <row r="3371" customFormat="false" ht="15" hidden="false" customHeight="false" outlineLevel="0" collapsed="false">
      <c r="B3371" s="7" t="s">
        <v>18016</v>
      </c>
      <c r="C3371" s="7" t="s">
        <v>3868</v>
      </c>
      <c r="D3371" s="7" t="s">
        <v>361</v>
      </c>
      <c r="E3371" s="7" t="s">
        <v>157</v>
      </c>
      <c r="F3371" s="39" t="n">
        <v>45825</v>
      </c>
      <c r="G3371" s="41" t="n">
        <v>160.05</v>
      </c>
      <c r="H3371" s="39" t="n">
        <v>45863</v>
      </c>
      <c r="I3371" s="7" t="s">
        <v>14651</v>
      </c>
      <c r="J3371" s="8" t="str">
        <f aca="false">IF(I3371="Open",DATE(2025,12,31)-F3371,"-")</f>
        <v>-</v>
      </c>
    </row>
    <row r="3372" customFormat="false" ht="15" hidden="false" customHeight="false" outlineLevel="0" collapsed="false">
      <c r="B3372" s="7" t="s">
        <v>18017</v>
      </c>
      <c r="C3372" s="7" t="s">
        <v>3869</v>
      </c>
      <c r="D3372" s="7" t="s">
        <v>365</v>
      </c>
      <c r="E3372" s="7" t="s">
        <v>154</v>
      </c>
      <c r="F3372" s="39" t="n">
        <v>45825</v>
      </c>
      <c r="G3372" s="41" t="n">
        <v>102.29</v>
      </c>
      <c r="H3372" s="39" t="n">
        <v>45883</v>
      </c>
      <c r="I3372" s="7" t="s">
        <v>14651</v>
      </c>
      <c r="J3372" s="8" t="str">
        <f aca="false">IF(I3372="Open",DATE(2025,12,31)-F3372,"-")</f>
        <v>-</v>
      </c>
    </row>
    <row r="3373" customFormat="false" ht="15" hidden="false" customHeight="false" outlineLevel="0" collapsed="false">
      <c r="B3373" s="7" t="s">
        <v>18018</v>
      </c>
      <c r="C3373" s="7" t="s">
        <v>3870</v>
      </c>
      <c r="D3373" s="7" t="s">
        <v>389</v>
      </c>
      <c r="E3373" s="7" t="s">
        <v>154</v>
      </c>
      <c r="F3373" s="39" t="n">
        <v>45825</v>
      </c>
      <c r="G3373" s="41" t="n">
        <v>96.19</v>
      </c>
      <c r="H3373" s="39" t="n">
        <v>45857</v>
      </c>
      <c r="I3373" s="7" t="s">
        <v>14651</v>
      </c>
      <c r="J3373" s="8" t="str">
        <f aca="false">IF(I3373="Open",DATE(2025,12,31)-F3373,"-")</f>
        <v>-</v>
      </c>
    </row>
    <row r="3374" customFormat="false" ht="15" hidden="false" customHeight="false" outlineLevel="0" collapsed="false">
      <c r="B3374" s="7" t="s">
        <v>18019</v>
      </c>
      <c r="C3374" s="7" t="s">
        <v>3871</v>
      </c>
      <c r="D3374" s="7" t="s">
        <v>391</v>
      </c>
      <c r="E3374" s="7" t="s">
        <v>156</v>
      </c>
      <c r="F3374" s="39" t="n">
        <v>45825</v>
      </c>
      <c r="G3374" s="41" t="n">
        <v>123.76</v>
      </c>
      <c r="H3374" s="39" t="n">
        <v>45833</v>
      </c>
      <c r="I3374" s="7" t="s">
        <v>14651</v>
      </c>
      <c r="J3374" s="8" t="str">
        <f aca="false">IF(I3374="Open",DATE(2025,12,31)-F3374,"-")</f>
        <v>-</v>
      </c>
    </row>
    <row r="3375" customFormat="false" ht="15" hidden="false" customHeight="false" outlineLevel="0" collapsed="false">
      <c r="B3375" s="7" t="s">
        <v>18020</v>
      </c>
      <c r="C3375" s="7" t="s">
        <v>3872</v>
      </c>
      <c r="D3375" s="7" t="s">
        <v>395</v>
      </c>
      <c r="E3375" s="7" t="s">
        <v>156</v>
      </c>
      <c r="F3375" s="39" t="n">
        <v>45825</v>
      </c>
      <c r="G3375" s="41" t="n">
        <v>139.4</v>
      </c>
      <c r="H3375" s="39" t="n">
        <v>45833</v>
      </c>
      <c r="I3375" s="7" t="s">
        <v>14651</v>
      </c>
      <c r="J3375" s="8" t="str">
        <f aca="false">IF(I3375="Open",DATE(2025,12,31)-F3375,"-")</f>
        <v>-</v>
      </c>
    </row>
    <row r="3376" customFormat="false" ht="15" hidden="false" customHeight="false" outlineLevel="0" collapsed="false">
      <c r="B3376" s="7" t="s">
        <v>18021</v>
      </c>
      <c r="C3376" s="7" t="s">
        <v>3873</v>
      </c>
      <c r="D3376" s="7" t="s">
        <v>397</v>
      </c>
      <c r="E3376" s="7" t="s">
        <v>159</v>
      </c>
      <c r="F3376" s="39" t="n">
        <v>45825</v>
      </c>
      <c r="G3376" s="41" t="n">
        <v>144.45</v>
      </c>
      <c r="H3376" s="39" t="n">
        <v>45879</v>
      </c>
      <c r="I3376" s="7" t="s">
        <v>14651</v>
      </c>
      <c r="J3376" s="8" t="str">
        <f aca="false">IF(I3376="Open",DATE(2025,12,31)-F3376,"-")</f>
        <v>-</v>
      </c>
    </row>
    <row r="3377" customFormat="false" ht="15" hidden="false" customHeight="false" outlineLevel="0" collapsed="false">
      <c r="B3377" s="7" t="s">
        <v>18022</v>
      </c>
      <c r="C3377" s="7" t="s">
        <v>3874</v>
      </c>
      <c r="D3377" s="7" t="s">
        <v>401</v>
      </c>
      <c r="E3377" s="7" t="s">
        <v>156</v>
      </c>
      <c r="F3377" s="39" t="n">
        <v>45825</v>
      </c>
      <c r="G3377" s="41" t="n">
        <v>139.74</v>
      </c>
      <c r="H3377" s="39" t="n">
        <v>45834</v>
      </c>
      <c r="I3377" s="7" t="s">
        <v>14651</v>
      </c>
      <c r="J3377" s="8" t="str">
        <f aca="false">IF(I3377="Open",DATE(2025,12,31)-F3377,"-")</f>
        <v>-</v>
      </c>
    </row>
    <row r="3378" customFormat="false" ht="15" hidden="false" customHeight="false" outlineLevel="0" collapsed="false">
      <c r="B3378" s="7" t="s">
        <v>18023</v>
      </c>
      <c r="C3378" s="7" t="s">
        <v>3875</v>
      </c>
      <c r="D3378" s="7" t="s">
        <v>407</v>
      </c>
      <c r="E3378" s="7" t="s">
        <v>159</v>
      </c>
      <c r="F3378" s="39" t="n">
        <v>45825</v>
      </c>
      <c r="G3378" s="41" t="n">
        <v>144.45</v>
      </c>
      <c r="H3378" s="39" t="n">
        <v>45895</v>
      </c>
      <c r="I3378" s="7" t="s">
        <v>14651</v>
      </c>
      <c r="J3378" s="8" t="str">
        <f aca="false">IF(I3378="Open",DATE(2025,12,31)-F3378,"-")</f>
        <v>-</v>
      </c>
    </row>
    <row r="3379" customFormat="false" ht="15" hidden="false" customHeight="false" outlineLevel="0" collapsed="false">
      <c r="B3379" s="7" t="s">
        <v>18024</v>
      </c>
      <c r="C3379" s="7" t="s">
        <v>3876</v>
      </c>
      <c r="D3379" s="7" t="s">
        <v>280</v>
      </c>
      <c r="E3379" s="7" t="s">
        <v>157</v>
      </c>
      <c r="F3379" s="39" t="n">
        <v>45826</v>
      </c>
      <c r="G3379" s="41" t="n">
        <v>150.15</v>
      </c>
      <c r="H3379" s="39" t="n">
        <v>45872</v>
      </c>
      <c r="I3379" s="7" t="s">
        <v>14651</v>
      </c>
      <c r="J3379" s="8" t="str">
        <f aca="false">IF(I3379="Open",DATE(2025,12,31)-F3379,"-")</f>
        <v>-</v>
      </c>
    </row>
    <row r="3380" customFormat="false" ht="15" hidden="false" customHeight="false" outlineLevel="0" collapsed="false">
      <c r="B3380" s="7" t="s">
        <v>18025</v>
      </c>
      <c r="C3380" s="7" t="s">
        <v>3877</v>
      </c>
      <c r="D3380" s="7" t="s">
        <v>288</v>
      </c>
      <c r="E3380" s="7" t="s">
        <v>156</v>
      </c>
      <c r="F3380" s="39" t="n">
        <v>45826</v>
      </c>
      <c r="G3380" s="41" t="n">
        <v>126.48</v>
      </c>
      <c r="H3380" s="39" t="n">
        <v>45836</v>
      </c>
      <c r="I3380" s="7" t="s">
        <v>14651</v>
      </c>
      <c r="J3380" s="8" t="str">
        <f aca="false">IF(I3380="Open",DATE(2025,12,31)-F3380,"-")</f>
        <v>-</v>
      </c>
    </row>
    <row r="3381" customFormat="false" ht="15" hidden="false" customHeight="false" outlineLevel="0" collapsed="false">
      <c r="B3381" s="7" t="s">
        <v>18026</v>
      </c>
      <c r="C3381" s="7" t="s">
        <v>3878</v>
      </c>
      <c r="D3381" s="7" t="s">
        <v>291</v>
      </c>
      <c r="E3381" s="7" t="s">
        <v>154</v>
      </c>
      <c r="F3381" s="39" t="n">
        <v>45826</v>
      </c>
      <c r="G3381" s="41" t="n">
        <v>131.97</v>
      </c>
      <c r="H3381" s="39" t="n">
        <v>45874</v>
      </c>
      <c r="I3381" s="7" t="s">
        <v>14651</v>
      </c>
      <c r="J3381" s="8" t="str">
        <f aca="false">IF(I3381="Open",DATE(2025,12,31)-F3381,"-")</f>
        <v>-</v>
      </c>
    </row>
    <row r="3382" customFormat="false" ht="15" hidden="false" customHeight="false" outlineLevel="0" collapsed="false">
      <c r="B3382" s="7" t="s">
        <v>18027</v>
      </c>
      <c r="C3382" s="7" t="s">
        <v>3879</v>
      </c>
      <c r="D3382" s="7" t="s">
        <v>305</v>
      </c>
      <c r="E3382" s="7" t="s">
        <v>154</v>
      </c>
      <c r="F3382" s="39" t="n">
        <v>45826</v>
      </c>
      <c r="G3382" s="41" t="n">
        <v>110.5</v>
      </c>
      <c r="H3382" s="39" t="n">
        <v>45871</v>
      </c>
      <c r="I3382" s="7" t="s">
        <v>14651</v>
      </c>
      <c r="J3382" s="8" t="str">
        <f aca="false">IF(I3382="Open",DATE(2025,12,31)-F3382,"-")</f>
        <v>-</v>
      </c>
    </row>
    <row r="3383" customFormat="false" ht="15" hidden="false" customHeight="false" outlineLevel="0" collapsed="false">
      <c r="B3383" s="7" t="s">
        <v>18028</v>
      </c>
      <c r="C3383" s="7" t="s">
        <v>3880</v>
      </c>
      <c r="D3383" s="7" t="s">
        <v>307</v>
      </c>
      <c r="E3383" s="7" t="s">
        <v>157</v>
      </c>
      <c r="F3383" s="39" t="n">
        <v>45826</v>
      </c>
      <c r="G3383" s="41" t="n">
        <v>158.4</v>
      </c>
      <c r="H3383" s="39" t="n">
        <v>45866</v>
      </c>
      <c r="I3383" s="7" t="s">
        <v>14651</v>
      </c>
      <c r="J3383" s="8" t="str">
        <f aca="false">IF(I3383="Open",DATE(2025,12,31)-F3383,"-")</f>
        <v>-</v>
      </c>
    </row>
    <row r="3384" customFormat="false" ht="15" hidden="false" customHeight="false" outlineLevel="0" collapsed="false">
      <c r="B3384" s="7" t="s">
        <v>18029</v>
      </c>
      <c r="C3384" s="7" t="s">
        <v>3881</v>
      </c>
      <c r="D3384" s="7" t="s">
        <v>309</v>
      </c>
      <c r="E3384" s="7" t="s">
        <v>159</v>
      </c>
      <c r="F3384" s="39" t="n">
        <v>45826</v>
      </c>
      <c r="G3384" s="41" t="n">
        <v>141.75</v>
      </c>
      <c r="H3384" s="39" t="n">
        <v>45855</v>
      </c>
      <c r="I3384" s="7" t="s">
        <v>14651</v>
      </c>
      <c r="J3384" s="8" t="str">
        <f aca="false">IF(I3384="Open",DATE(2025,12,31)-F3384,"-")</f>
        <v>-</v>
      </c>
    </row>
    <row r="3385" customFormat="false" ht="15" hidden="false" customHeight="false" outlineLevel="0" collapsed="false">
      <c r="B3385" s="7" t="s">
        <v>18030</v>
      </c>
      <c r="C3385" s="7" t="s">
        <v>3882</v>
      </c>
      <c r="D3385" s="7" t="s">
        <v>313</v>
      </c>
      <c r="E3385" s="7" t="s">
        <v>156</v>
      </c>
      <c r="F3385" s="39" t="n">
        <v>45826</v>
      </c>
      <c r="G3385" s="41" t="n">
        <v>146.88</v>
      </c>
      <c r="H3385" s="39" t="n">
        <v>45827</v>
      </c>
      <c r="I3385" s="7" t="s">
        <v>14651</v>
      </c>
      <c r="J3385" s="8" t="str">
        <f aca="false">IF(I3385="Open",DATE(2025,12,31)-F3385,"-")</f>
        <v>-</v>
      </c>
    </row>
    <row r="3386" customFormat="false" ht="15" hidden="false" customHeight="false" outlineLevel="0" collapsed="false">
      <c r="B3386" s="7" t="s">
        <v>18031</v>
      </c>
      <c r="C3386" s="7" t="s">
        <v>3883</v>
      </c>
      <c r="D3386" s="7" t="s">
        <v>321</v>
      </c>
      <c r="E3386" s="7" t="s">
        <v>154</v>
      </c>
      <c r="F3386" s="39" t="n">
        <v>45826</v>
      </c>
      <c r="G3386" s="41" t="n">
        <v>116.33</v>
      </c>
      <c r="H3386" s="39" t="n">
        <v>45936</v>
      </c>
      <c r="I3386" s="7" t="s">
        <v>14651</v>
      </c>
      <c r="J3386" s="8" t="str">
        <f aca="false">IF(I3386="Open",DATE(2025,12,31)-F3386,"-")</f>
        <v>-</v>
      </c>
    </row>
    <row r="3387" customFormat="false" ht="15" hidden="false" customHeight="false" outlineLevel="0" collapsed="false">
      <c r="B3387" s="7" t="s">
        <v>18032</v>
      </c>
      <c r="C3387" s="7" t="s">
        <v>3884</v>
      </c>
      <c r="D3387" s="7" t="s">
        <v>329</v>
      </c>
      <c r="E3387" s="7" t="s">
        <v>156</v>
      </c>
      <c r="F3387" s="39" t="n">
        <v>45826</v>
      </c>
      <c r="G3387" s="41" t="n">
        <v>122.74</v>
      </c>
      <c r="H3387" s="39" t="n">
        <v>45830</v>
      </c>
      <c r="I3387" s="7" t="s">
        <v>14651</v>
      </c>
      <c r="J3387" s="8" t="str">
        <f aca="false">IF(I3387="Open",DATE(2025,12,31)-F3387,"-")</f>
        <v>-</v>
      </c>
    </row>
    <row r="3388" customFormat="false" ht="15" hidden="false" customHeight="false" outlineLevel="0" collapsed="false">
      <c r="B3388" s="7" t="s">
        <v>18033</v>
      </c>
      <c r="C3388" s="7" t="s">
        <v>3885</v>
      </c>
      <c r="D3388" s="7" t="s">
        <v>335</v>
      </c>
      <c r="E3388" s="7" t="s">
        <v>154</v>
      </c>
      <c r="F3388" s="39" t="n">
        <v>45826</v>
      </c>
      <c r="G3388" s="41" t="n">
        <v>109.44</v>
      </c>
      <c r="H3388" s="39" t="n">
        <v>45858</v>
      </c>
      <c r="I3388" s="7" t="s">
        <v>14651</v>
      </c>
      <c r="J3388" s="8" t="str">
        <f aca="false">IF(I3388="Open",DATE(2025,12,31)-F3388,"-")</f>
        <v>-</v>
      </c>
    </row>
    <row r="3389" customFormat="false" ht="15" hidden="false" customHeight="false" outlineLevel="0" collapsed="false">
      <c r="B3389" s="7" t="s">
        <v>18034</v>
      </c>
      <c r="C3389" s="7" t="s">
        <v>3886</v>
      </c>
      <c r="D3389" s="7" t="s">
        <v>339</v>
      </c>
      <c r="E3389" s="7" t="s">
        <v>154</v>
      </c>
      <c r="F3389" s="39" t="n">
        <v>45826</v>
      </c>
      <c r="G3389" s="41" t="n">
        <v>93.02</v>
      </c>
      <c r="H3389" s="39" t="n">
        <v>45876</v>
      </c>
      <c r="I3389" s="7" t="s">
        <v>14651</v>
      </c>
      <c r="J3389" s="8" t="str">
        <f aca="false">IF(I3389="Open",DATE(2025,12,31)-F3389,"-")</f>
        <v>-</v>
      </c>
    </row>
    <row r="3390" customFormat="false" ht="15" hidden="false" customHeight="false" outlineLevel="0" collapsed="false">
      <c r="B3390" s="7" t="s">
        <v>18035</v>
      </c>
      <c r="C3390" s="7" t="s">
        <v>3887</v>
      </c>
      <c r="D3390" s="7" t="s">
        <v>353</v>
      </c>
      <c r="E3390" s="7" t="s">
        <v>154</v>
      </c>
      <c r="F3390" s="39" t="n">
        <v>45826</v>
      </c>
      <c r="G3390" s="41" t="n">
        <v>82.68</v>
      </c>
      <c r="H3390" s="39" t="n">
        <v>45907</v>
      </c>
      <c r="I3390" s="7" t="s">
        <v>14651</v>
      </c>
      <c r="J3390" s="8" t="str">
        <f aca="false">IF(I3390="Open",DATE(2025,12,31)-F3390,"-")</f>
        <v>-</v>
      </c>
    </row>
    <row r="3391" customFormat="false" ht="15" hidden="false" customHeight="false" outlineLevel="0" collapsed="false">
      <c r="B3391" s="7" t="s">
        <v>18036</v>
      </c>
      <c r="C3391" s="7" t="s">
        <v>3888</v>
      </c>
      <c r="D3391" s="7" t="s">
        <v>355</v>
      </c>
      <c r="E3391" s="7" t="s">
        <v>154</v>
      </c>
      <c r="F3391" s="39" t="n">
        <v>45826</v>
      </c>
      <c r="G3391" s="41" t="n">
        <v>91.69</v>
      </c>
      <c r="H3391" s="39" t="n">
        <v>45901</v>
      </c>
      <c r="I3391" s="7" t="s">
        <v>14651</v>
      </c>
      <c r="J3391" s="8" t="str">
        <f aca="false">IF(I3391="Open",DATE(2025,12,31)-F3391,"-")</f>
        <v>-</v>
      </c>
    </row>
    <row r="3392" customFormat="false" ht="15" hidden="false" customHeight="false" outlineLevel="0" collapsed="false">
      <c r="B3392" s="7" t="s">
        <v>18037</v>
      </c>
      <c r="C3392" s="7" t="s">
        <v>3889</v>
      </c>
      <c r="D3392" s="7" t="s">
        <v>357</v>
      </c>
      <c r="E3392" s="7" t="s">
        <v>154</v>
      </c>
      <c r="F3392" s="39" t="n">
        <v>45826</v>
      </c>
      <c r="G3392" s="41" t="n">
        <v>94.34</v>
      </c>
      <c r="H3392" s="39" t="n">
        <v>45894</v>
      </c>
      <c r="I3392" s="7" t="s">
        <v>14651</v>
      </c>
      <c r="J3392" s="8" t="str">
        <f aca="false">IF(I3392="Open",DATE(2025,12,31)-F3392,"-")</f>
        <v>-</v>
      </c>
    </row>
    <row r="3393" customFormat="false" ht="15" hidden="false" customHeight="false" outlineLevel="0" collapsed="false">
      <c r="B3393" s="7" t="s">
        <v>18038</v>
      </c>
      <c r="C3393" s="7" t="s">
        <v>3890</v>
      </c>
      <c r="D3393" s="7" t="s">
        <v>359</v>
      </c>
      <c r="E3393" s="7" t="s">
        <v>156</v>
      </c>
      <c r="F3393" s="39" t="n">
        <v>45826</v>
      </c>
      <c r="G3393" s="41" t="n">
        <v>137.7</v>
      </c>
      <c r="H3393" s="39" t="n">
        <v>45831</v>
      </c>
      <c r="I3393" s="7" t="s">
        <v>14651</v>
      </c>
      <c r="J3393" s="8" t="str">
        <f aca="false">IF(I3393="Open",DATE(2025,12,31)-F3393,"-")</f>
        <v>-</v>
      </c>
    </row>
    <row r="3394" customFormat="false" ht="15" hidden="false" customHeight="false" outlineLevel="0" collapsed="false">
      <c r="B3394" s="7" t="s">
        <v>18039</v>
      </c>
      <c r="C3394" s="7" t="s">
        <v>3891</v>
      </c>
      <c r="D3394" s="7" t="s">
        <v>365</v>
      </c>
      <c r="E3394" s="7" t="s">
        <v>154</v>
      </c>
      <c r="F3394" s="39" t="n">
        <v>45826</v>
      </c>
      <c r="G3394" s="41" t="n">
        <v>113.15</v>
      </c>
      <c r="H3394" s="39" t="n">
        <v>45895</v>
      </c>
      <c r="I3394" s="7" t="s">
        <v>14651</v>
      </c>
      <c r="J3394" s="8" t="str">
        <f aca="false">IF(I3394="Open",DATE(2025,12,31)-F3394,"-")</f>
        <v>-</v>
      </c>
    </row>
    <row r="3395" customFormat="false" ht="15" hidden="false" customHeight="false" outlineLevel="0" collapsed="false">
      <c r="B3395" s="7" t="s">
        <v>18040</v>
      </c>
      <c r="C3395" s="7" t="s">
        <v>3892</v>
      </c>
      <c r="D3395" s="7" t="s">
        <v>371</v>
      </c>
      <c r="E3395" s="7" t="s">
        <v>154</v>
      </c>
      <c r="F3395" s="39" t="n">
        <v>45826</v>
      </c>
      <c r="G3395" s="41" t="n">
        <v>113.42</v>
      </c>
      <c r="H3395" s="39" t="n">
        <v>45884</v>
      </c>
      <c r="I3395" s="7" t="s">
        <v>14651</v>
      </c>
      <c r="J3395" s="8" t="str">
        <f aca="false">IF(I3395="Open",DATE(2025,12,31)-F3395,"-")</f>
        <v>-</v>
      </c>
    </row>
    <row r="3396" customFormat="false" ht="15" hidden="false" customHeight="false" outlineLevel="0" collapsed="false">
      <c r="B3396" s="7" t="s">
        <v>18041</v>
      </c>
      <c r="C3396" s="7" t="s">
        <v>3893</v>
      </c>
      <c r="D3396" s="7" t="s">
        <v>379</v>
      </c>
      <c r="E3396" s="7" t="s">
        <v>156</v>
      </c>
      <c r="F3396" s="39" t="n">
        <v>45826</v>
      </c>
      <c r="G3396" s="41" t="n">
        <v>145.52</v>
      </c>
      <c r="H3396" s="39" t="n">
        <v>45835</v>
      </c>
      <c r="I3396" s="7" t="s">
        <v>14651</v>
      </c>
      <c r="J3396" s="8" t="str">
        <f aca="false">IF(I3396="Open",DATE(2025,12,31)-F3396,"-")</f>
        <v>-</v>
      </c>
    </row>
    <row r="3397" customFormat="false" ht="15" hidden="false" customHeight="false" outlineLevel="0" collapsed="false">
      <c r="B3397" s="7" t="s">
        <v>18042</v>
      </c>
      <c r="C3397" s="7" t="s">
        <v>3894</v>
      </c>
      <c r="D3397" s="7" t="s">
        <v>385</v>
      </c>
      <c r="E3397" s="7" t="s">
        <v>156</v>
      </c>
      <c r="F3397" s="39" t="n">
        <v>45826</v>
      </c>
      <c r="G3397" s="41" t="n">
        <v>123.08</v>
      </c>
      <c r="H3397" s="39" t="n">
        <v>45836</v>
      </c>
      <c r="I3397" s="7" t="s">
        <v>14651</v>
      </c>
      <c r="J3397" s="8" t="str">
        <f aca="false">IF(I3397="Open",DATE(2025,12,31)-F3397,"-")</f>
        <v>-</v>
      </c>
    </row>
    <row r="3398" customFormat="false" ht="15" hidden="false" customHeight="false" outlineLevel="0" collapsed="false">
      <c r="B3398" s="7" t="s">
        <v>18043</v>
      </c>
      <c r="C3398" s="7" t="s">
        <v>3895</v>
      </c>
      <c r="D3398" s="7" t="s">
        <v>389</v>
      </c>
      <c r="E3398" s="7" t="s">
        <v>154</v>
      </c>
      <c r="F3398" s="39" t="n">
        <v>45826</v>
      </c>
      <c r="G3398" s="41" t="n">
        <v>108.92</v>
      </c>
      <c r="H3398" s="39" t="n">
        <v>45890</v>
      </c>
      <c r="I3398" s="7" t="s">
        <v>14651</v>
      </c>
      <c r="J3398" s="8" t="str">
        <f aca="false">IF(I3398="Open",DATE(2025,12,31)-F3398,"-")</f>
        <v>-</v>
      </c>
    </row>
    <row r="3399" customFormat="false" ht="15" hidden="false" customHeight="false" outlineLevel="0" collapsed="false">
      <c r="B3399" s="7" t="s">
        <v>18044</v>
      </c>
      <c r="C3399" s="7" t="s">
        <v>3896</v>
      </c>
      <c r="D3399" s="7" t="s">
        <v>391</v>
      </c>
      <c r="E3399" s="7" t="s">
        <v>156</v>
      </c>
      <c r="F3399" s="39" t="n">
        <v>45826</v>
      </c>
      <c r="G3399" s="41" t="n">
        <v>147.9</v>
      </c>
      <c r="H3399" s="39" t="n">
        <v>45836</v>
      </c>
      <c r="I3399" s="7" t="s">
        <v>14651</v>
      </c>
      <c r="J3399" s="8" t="str">
        <f aca="false">IF(I3399="Open",DATE(2025,12,31)-F3399,"-")</f>
        <v>-</v>
      </c>
    </row>
    <row r="3400" customFormat="false" ht="15" hidden="false" customHeight="false" outlineLevel="0" collapsed="false">
      <c r="B3400" s="7" t="s">
        <v>18045</v>
      </c>
      <c r="C3400" s="7" t="s">
        <v>3897</v>
      </c>
      <c r="D3400" s="7" t="s">
        <v>393</v>
      </c>
      <c r="E3400" s="7" t="s">
        <v>157</v>
      </c>
      <c r="F3400" s="39" t="n">
        <v>45826</v>
      </c>
      <c r="G3400" s="41" t="n">
        <v>179.85</v>
      </c>
      <c r="H3400" s="39" t="n">
        <v>45858</v>
      </c>
      <c r="I3400" s="7" t="s">
        <v>14651</v>
      </c>
      <c r="J3400" s="8" t="str">
        <f aca="false">IF(I3400="Open",DATE(2025,12,31)-F3400,"-")</f>
        <v>-</v>
      </c>
    </row>
    <row r="3401" customFormat="false" ht="15" hidden="false" customHeight="false" outlineLevel="0" collapsed="false">
      <c r="B3401" s="7" t="s">
        <v>18046</v>
      </c>
      <c r="C3401" s="7" t="s">
        <v>3898</v>
      </c>
      <c r="D3401" s="7" t="s">
        <v>395</v>
      </c>
      <c r="E3401" s="7" t="s">
        <v>156</v>
      </c>
      <c r="F3401" s="39" t="n">
        <v>45826</v>
      </c>
      <c r="G3401" s="41" t="n">
        <v>142.46</v>
      </c>
      <c r="H3401" s="39" t="n">
        <v>45833</v>
      </c>
      <c r="I3401" s="7" t="s">
        <v>14651</v>
      </c>
      <c r="J3401" s="8" t="str">
        <f aca="false">IF(I3401="Open",DATE(2025,12,31)-F3401,"-")</f>
        <v>-</v>
      </c>
    </row>
    <row r="3402" customFormat="false" ht="15" hidden="false" customHeight="false" outlineLevel="0" collapsed="false">
      <c r="B3402" s="7" t="s">
        <v>18047</v>
      </c>
      <c r="C3402" s="7" t="s">
        <v>3899</v>
      </c>
      <c r="D3402" s="7" t="s">
        <v>399</v>
      </c>
      <c r="E3402" s="7" t="s">
        <v>154</v>
      </c>
      <c r="F3402" s="39" t="n">
        <v>45826</v>
      </c>
      <c r="G3402" s="41" t="n">
        <v>84.53</v>
      </c>
      <c r="H3402" s="39" t="n">
        <v>45927</v>
      </c>
      <c r="I3402" s="7" t="s">
        <v>14651</v>
      </c>
      <c r="J3402" s="8" t="str">
        <f aca="false">IF(I3402="Open",DATE(2025,12,31)-F3402,"-")</f>
        <v>-</v>
      </c>
    </row>
    <row r="3403" customFormat="false" ht="15" hidden="false" customHeight="false" outlineLevel="0" collapsed="false">
      <c r="B3403" s="7" t="s">
        <v>18048</v>
      </c>
      <c r="C3403" s="7" t="s">
        <v>3900</v>
      </c>
      <c r="D3403" s="7" t="s">
        <v>401</v>
      </c>
      <c r="E3403" s="7" t="s">
        <v>156</v>
      </c>
      <c r="F3403" s="39" t="n">
        <v>45826</v>
      </c>
      <c r="G3403" s="41" t="n">
        <v>145.18</v>
      </c>
      <c r="H3403" s="39" t="n">
        <v>45828</v>
      </c>
      <c r="I3403" s="7" t="s">
        <v>14651</v>
      </c>
      <c r="J3403" s="8" t="str">
        <f aca="false">IF(I3403="Open",DATE(2025,12,31)-F3403,"-")</f>
        <v>-</v>
      </c>
    </row>
    <row r="3404" customFormat="false" ht="15" hidden="false" customHeight="false" outlineLevel="0" collapsed="false">
      <c r="B3404" s="7" t="s">
        <v>18049</v>
      </c>
      <c r="C3404" s="7" t="s">
        <v>3901</v>
      </c>
      <c r="D3404" s="7" t="s">
        <v>409</v>
      </c>
      <c r="E3404" s="7" t="s">
        <v>154</v>
      </c>
      <c r="F3404" s="39" t="n">
        <v>45826</v>
      </c>
      <c r="G3404" s="41" t="n">
        <v>96.72</v>
      </c>
      <c r="H3404" s="39" t="n">
        <v>45870</v>
      </c>
      <c r="I3404" s="7" t="s">
        <v>14651</v>
      </c>
      <c r="J3404" s="8" t="str">
        <f aca="false">IF(I3404="Open",DATE(2025,12,31)-F3404,"-")</f>
        <v>-</v>
      </c>
    </row>
    <row r="3405" customFormat="false" ht="15" hidden="false" customHeight="false" outlineLevel="0" collapsed="false">
      <c r="B3405" s="7" t="s">
        <v>18050</v>
      </c>
      <c r="C3405" s="7" t="s">
        <v>3902</v>
      </c>
      <c r="D3405" s="7" t="s">
        <v>411</v>
      </c>
      <c r="E3405" s="7" t="s">
        <v>154</v>
      </c>
      <c r="F3405" s="39" t="n">
        <v>45826</v>
      </c>
      <c r="G3405" s="41" t="n">
        <v>113.69</v>
      </c>
      <c r="H3405" s="39" t="n">
        <v>45892</v>
      </c>
      <c r="I3405" s="7" t="s">
        <v>14651</v>
      </c>
      <c r="J3405" s="8" t="str">
        <f aca="false">IF(I3405="Open",DATE(2025,12,31)-F3405,"-")</f>
        <v>-</v>
      </c>
    </row>
    <row r="3406" customFormat="false" ht="15" hidden="false" customHeight="false" outlineLevel="0" collapsed="false">
      <c r="B3406" s="7" t="s">
        <v>18051</v>
      </c>
      <c r="C3406" s="7" t="s">
        <v>3903</v>
      </c>
      <c r="D3406" s="7" t="s">
        <v>288</v>
      </c>
      <c r="E3406" s="7" t="s">
        <v>156</v>
      </c>
      <c r="F3406" s="39" t="n">
        <v>45827</v>
      </c>
      <c r="G3406" s="41" t="n">
        <v>143.48</v>
      </c>
      <c r="H3406" s="39" t="n">
        <v>45828</v>
      </c>
      <c r="I3406" s="7" t="s">
        <v>14651</v>
      </c>
      <c r="J3406" s="8" t="str">
        <f aca="false">IF(I3406="Open",DATE(2025,12,31)-F3406,"-")</f>
        <v>-</v>
      </c>
    </row>
    <row r="3407" customFormat="false" ht="15" hidden="false" customHeight="false" outlineLevel="0" collapsed="false">
      <c r="B3407" s="7" t="s">
        <v>18052</v>
      </c>
      <c r="C3407" s="7" t="s">
        <v>3904</v>
      </c>
      <c r="D3407" s="7" t="s">
        <v>297</v>
      </c>
      <c r="E3407" s="7" t="s">
        <v>156</v>
      </c>
      <c r="F3407" s="39" t="n">
        <v>45827</v>
      </c>
      <c r="G3407" s="41" t="n">
        <v>108.8</v>
      </c>
      <c r="H3407" s="39" t="n">
        <v>45842</v>
      </c>
      <c r="I3407" s="7" t="s">
        <v>14651</v>
      </c>
      <c r="J3407" s="8" t="str">
        <f aca="false">IF(I3407="Open",DATE(2025,12,31)-F3407,"-")</f>
        <v>-</v>
      </c>
    </row>
    <row r="3408" customFormat="false" ht="15" hidden="false" customHeight="false" outlineLevel="0" collapsed="false">
      <c r="B3408" s="7" t="s">
        <v>18053</v>
      </c>
      <c r="C3408" s="7" t="s">
        <v>3905</v>
      </c>
      <c r="D3408" s="7" t="s">
        <v>311</v>
      </c>
      <c r="E3408" s="7" t="s">
        <v>154</v>
      </c>
      <c r="F3408" s="39" t="n">
        <v>45827</v>
      </c>
      <c r="G3408" s="41" t="n">
        <v>75</v>
      </c>
      <c r="H3408" s="39" t="n">
        <v>45871</v>
      </c>
      <c r="I3408" s="7" t="s">
        <v>14651</v>
      </c>
      <c r="J3408" s="8" t="str">
        <f aca="false">IF(I3408="Open",DATE(2025,12,31)-F3408,"-")</f>
        <v>-</v>
      </c>
    </row>
    <row r="3409" customFormat="false" ht="15" hidden="false" customHeight="false" outlineLevel="0" collapsed="false">
      <c r="B3409" s="7" t="s">
        <v>18054</v>
      </c>
      <c r="C3409" s="7" t="s">
        <v>3906</v>
      </c>
      <c r="D3409" s="7" t="s">
        <v>313</v>
      </c>
      <c r="E3409" s="7" t="s">
        <v>156</v>
      </c>
      <c r="F3409" s="39" t="n">
        <v>45827</v>
      </c>
      <c r="G3409" s="41" t="n">
        <v>144.5</v>
      </c>
      <c r="H3409" s="39" t="n">
        <v>45845</v>
      </c>
      <c r="I3409" s="7" t="s">
        <v>14651</v>
      </c>
      <c r="J3409" s="8" t="str">
        <f aca="false">IF(I3409="Open",DATE(2025,12,31)-F3409,"-")</f>
        <v>-</v>
      </c>
    </row>
    <row r="3410" customFormat="false" ht="15" hidden="false" customHeight="false" outlineLevel="0" collapsed="false">
      <c r="B3410" s="7" t="s">
        <v>18055</v>
      </c>
      <c r="C3410" s="7" t="s">
        <v>3907</v>
      </c>
      <c r="D3410" s="7" t="s">
        <v>317</v>
      </c>
      <c r="E3410" s="7" t="s">
        <v>156</v>
      </c>
      <c r="F3410" s="39" t="n">
        <v>45827</v>
      </c>
      <c r="G3410" s="41" t="n">
        <v>106.08</v>
      </c>
      <c r="H3410" s="39" t="n">
        <v>45836</v>
      </c>
      <c r="I3410" s="7" t="s">
        <v>14651</v>
      </c>
      <c r="J3410" s="8" t="str">
        <f aca="false">IF(I3410="Open",DATE(2025,12,31)-F3410,"-")</f>
        <v>-</v>
      </c>
    </row>
    <row r="3411" customFormat="false" ht="15" hidden="false" customHeight="false" outlineLevel="0" collapsed="false">
      <c r="B3411" s="7" t="s">
        <v>18056</v>
      </c>
      <c r="C3411" s="7" t="s">
        <v>3908</v>
      </c>
      <c r="D3411" s="7" t="s">
        <v>321</v>
      </c>
      <c r="E3411" s="7" t="s">
        <v>154</v>
      </c>
      <c r="F3411" s="39" t="n">
        <v>45827</v>
      </c>
      <c r="G3411" s="41" t="n">
        <v>112.36</v>
      </c>
      <c r="H3411" s="39" t="n">
        <v>45931</v>
      </c>
      <c r="I3411" s="7" t="s">
        <v>14651</v>
      </c>
      <c r="J3411" s="8" t="str">
        <f aca="false">IF(I3411="Open",DATE(2025,12,31)-F3411,"-")</f>
        <v>-</v>
      </c>
    </row>
    <row r="3412" customFormat="false" ht="15" hidden="false" customHeight="false" outlineLevel="0" collapsed="false">
      <c r="B3412" s="7" t="s">
        <v>18057</v>
      </c>
      <c r="C3412" s="7" t="s">
        <v>3909</v>
      </c>
      <c r="D3412" s="7" t="s">
        <v>325</v>
      </c>
      <c r="E3412" s="7" t="s">
        <v>154</v>
      </c>
      <c r="F3412" s="39" t="n">
        <v>45827</v>
      </c>
      <c r="G3412" s="41" t="n">
        <v>73.27</v>
      </c>
      <c r="H3412" s="39" t="n">
        <v>45917</v>
      </c>
      <c r="I3412" s="7" t="s">
        <v>14651</v>
      </c>
      <c r="J3412" s="8" t="str">
        <f aca="false">IF(I3412="Open",DATE(2025,12,31)-F3412,"-")</f>
        <v>-</v>
      </c>
    </row>
    <row r="3413" customFormat="false" ht="15" hidden="false" customHeight="false" outlineLevel="0" collapsed="false">
      <c r="B3413" s="7" t="s">
        <v>18058</v>
      </c>
      <c r="C3413" s="7" t="s">
        <v>3910</v>
      </c>
      <c r="D3413" s="7" t="s">
        <v>329</v>
      </c>
      <c r="E3413" s="7" t="s">
        <v>156</v>
      </c>
      <c r="F3413" s="39" t="n">
        <v>45827</v>
      </c>
      <c r="G3413" s="41" t="n">
        <v>125.46</v>
      </c>
      <c r="H3413" s="39" t="n">
        <v>45840</v>
      </c>
      <c r="I3413" s="7" t="s">
        <v>14651</v>
      </c>
      <c r="J3413" s="8" t="str">
        <f aca="false">IF(I3413="Open",DATE(2025,12,31)-F3413,"-")</f>
        <v>-</v>
      </c>
    </row>
    <row r="3414" customFormat="false" ht="15" hidden="false" customHeight="false" outlineLevel="0" collapsed="false">
      <c r="B3414" s="7" t="s">
        <v>18059</v>
      </c>
      <c r="C3414" s="7" t="s">
        <v>3911</v>
      </c>
      <c r="D3414" s="7" t="s">
        <v>331</v>
      </c>
      <c r="E3414" s="7" t="s">
        <v>156</v>
      </c>
      <c r="F3414" s="39" t="n">
        <v>45827</v>
      </c>
      <c r="G3414" s="41" t="n">
        <v>126.14</v>
      </c>
      <c r="H3414" s="39" t="n">
        <v>45832</v>
      </c>
      <c r="I3414" s="7" t="s">
        <v>14651</v>
      </c>
      <c r="J3414" s="8" t="str">
        <f aca="false">IF(I3414="Open",DATE(2025,12,31)-F3414,"-")</f>
        <v>-</v>
      </c>
    </row>
    <row r="3415" customFormat="false" ht="15" hidden="false" customHeight="false" outlineLevel="0" collapsed="false">
      <c r="B3415" s="7" t="s">
        <v>18060</v>
      </c>
      <c r="C3415" s="7" t="s">
        <v>3912</v>
      </c>
      <c r="D3415" s="7" t="s">
        <v>337</v>
      </c>
      <c r="E3415" s="7" t="s">
        <v>154</v>
      </c>
      <c r="F3415" s="39" t="n">
        <v>45827</v>
      </c>
      <c r="G3415" s="41" t="n">
        <v>75.31</v>
      </c>
      <c r="H3415" s="39" t="n">
        <v>45856</v>
      </c>
      <c r="I3415" s="7" t="s">
        <v>14651</v>
      </c>
      <c r="J3415" s="8" t="str">
        <f aca="false">IF(I3415="Open",DATE(2025,12,31)-F3415,"-")</f>
        <v>-</v>
      </c>
    </row>
    <row r="3416" customFormat="false" ht="15" hidden="false" customHeight="false" outlineLevel="0" collapsed="false">
      <c r="B3416" s="7" t="s">
        <v>18061</v>
      </c>
      <c r="C3416" s="7" t="s">
        <v>3913</v>
      </c>
      <c r="D3416" s="7" t="s">
        <v>341</v>
      </c>
      <c r="E3416" s="7" t="s">
        <v>156</v>
      </c>
      <c r="F3416" s="39" t="n">
        <v>45827</v>
      </c>
      <c r="G3416" s="41" t="n">
        <v>106.08</v>
      </c>
      <c r="H3416" s="39" t="n">
        <v>45837</v>
      </c>
      <c r="I3416" s="7" t="s">
        <v>14651</v>
      </c>
      <c r="J3416" s="8" t="str">
        <f aca="false">IF(I3416="Open",DATE(2025,12,31)-F3416,"-")</f>
        <v>-</v>
      </c>
    </row>
    <row r="3417" customFormat="false" ht="15" hidden="false" customHeight="false" outlineLevel="0" collapsed="false">
      <c r="B3417" s="7" t="s">
        <v>18062</v>
      </c>
      <c r="C3417" s="7" t="s">
        <v>3914</v>
      </c>
      <c r="D3417" s="7" t="s">
        <v>343</v>
      </c>
      <c r="E3417" s="7" t="s">
        <v>154</v>
      </c>
      <c r="F3417" s="39" t="n">
        <v>45827</v>
      </c>
      <c r="G3417" s="41" t="n">
        <v>95.66</v>
      </c>
      <c r="H3417" s="39" t="n">
        <v>45855</v>
      </c>
      <c r="I3417" s="7" t="s">
        <v>14651</v>
      </c>
      <c r="J3417" s="8" t="str">
        <f aca="false">IF(I3417="Open",DATE(2025,12,31)-F3417,"-")</f>
        <v>-</v>
      </c>
    </row>
    <row r="3418" customFormat="false" ht="15" hidden="false" customHeight="false" outlineLevel="0" collapsed="false">
      <c r="B3418" s="7" t="s">
        <v>18063</v>
      </c>
      <c r="C3418" s="7" t="s">
        <v>3915</v>
      </c>
      <c r="D3418" s="7" t="s">
        <v>351</v>
      </c>
      <c r="E3418" s="7" t="s">
        <v>154</v>
      </c>
      <c r="F3418" s="39" t="n">
        <v>45827</v>
      </c>
      <c r="G3418" s="41" t="n">
        <v>85.86</v>
      </c>
      <c r="H3418" s="39" t="n">
        <v>45891</v>
      </c>
      <c r="I3418" s="7" t="s">
        <v>14651</v>
      </c>
      <c r="J3418" s="8" t="str">
        <f aca="false">IF(I3418="Open",DATE(2025,12,31)-F3418,"-")</f>
        <v>-</v>
      </c>
    </row>
    <row r="3419" customFormat="false" ht="15" hidden="false" customHeight="false" outlineLevel="0" collapsed="false">
      <c r="B3419" s="7" t="s">
        <v>18064</v>
      </c>
      <c r="C3419" s="7" t="s">
        <v>3916</v>
      </c>
      <c r="D3419" s="7" t="s">
        <v>359</v>
      </c>
      <c r="E3419" s="7" t="s">
        <v>156</v>
      </c>
      <c r="F3419" s="39" t="n">
        <v>45827</v>
      </c>
      <c r="G3419" s="41" t="n">
        <v>126.82</v>
      </c>
      <c r="H3419" s="39" t="n">
        <v>45845</v>
      </c>
      <c r="I3419" s="7" t="s">
        <v>14651</v>
      </c>
      <c r="J3419" s="8" t="str">
        <f aca="false">IF(I3419="Open",DATE(2025,12,31)-F3419,"-")</f>
        <v>-</v>
      </c>
    </row>
    <row r="3420" customFormat="false" ht="15" hidden="false" customHeight="false" outlineLevel="0" collapsed="false">
      <c r="B3420" s="7" t="s">
        <v>18065</v>
      </c>
      <c r="C3420" s="7" t="s">
        <v>3917</v>
      </c>
      <c r="D3420" s="7" t="s">
        <v>363</v>
      </c>
      <c r="E3420" s="7" t="s">
        <v>156</v>
      </c>
      <c r="F3420" s="39" t="n">
        <v>45827</v>
      </c>
      <c r="G3420" s="41" t="n">
        <v>134.3</v>
      </c>
      <c r="H3420" s="39" t="n">
        <v>45835</v>
      </c>
      <c r="I3420" s="7" t="s">
        <v>14651</v>
      </c>
      <c r="J3420" s="8" t="str">
        <f aca="false">IF(I3420="Open",DATE(2025,12,31)-F3420,"-")</f>
        <v>-</v>
      </c>
    </row>
    <row r="3421" customFormat="false" ht="15" hidden="false" customHeight="false" outlineLevel="0" collapsed="false">
      <c r="B3421" s="7" t="s">
        <v>18066</v>
      </c>
      <c r="C3421" s="7" t="s">
        <v>3918</v>
      </c>
      <c r="D3421" s="7" t="s">
        <v>365</v>
      </c>
      <c r="E3421" s="7" t="s">
        <v>154</v>
      </c>
      <c r="F3421" s="39" t="n">
        <v>45827</v>
      </c>
      <c r="G3421" s="41" t="n">
        <v>110.24</v>
      </c>
      <c r="H3421" s="39" t="n">
        <v>45868</v>
      </c>
      <c r="I3421" s="7" t="s">
        <v>14651</v>
      </c>
      <c r="J3421" s="8" t="str">
        <f aca="false">IF(I3421="Open",DATE(2025,12,31)-F3421,"-")</f>
        <v>-</v>
      </c>
    </row>
    <row r="3422" customFormat="false" ht="15" hidden="false" customHeight="false" outlineLevel="0" collapsed="false">
      <c r="B3422" s="7" t="s">
        <v>18067</v>
      </c>
      <c r="C3422" s="7" t="s">
        <v>3919</v>
      </c>
      <c r="D3422" s="7" t="s">
        <v>375</v>
      </c>
      <c r="E3422" s="7" t="s">
        <v>156</v>
      </c>
      <c r="F3422" s="39" t="n">
        <v>45827</v>
      </c>
      <c r="G3422" s="41" t="n">
        <v>96.9</v>
      </c>
      <c r="H3422" s="39" t="n">
        <v>45840</v>
      </c>
      <c r="I3422" s="7" t="s">
        <v>14651</v>
      </c>
      <c r="J3422" s="8" t="str">
        <f aca="false">IF(I3422="Open",DATE(2025,12,31)-F3422,"-")</f>
        <v>-</v>
      </c>
    </row>
    <row r="3423" customFormat="false" ht="15" hidden="false" customHeight="false" outlineLevel="0" collapsed="false">
      <c r="B3423" s="7" t="s">
        <v>18068</v>
      </c>
      <c r="C3423" s="7" t="s">
        <v>3920</v>
      </c>
      <c r="D3423" s="7" t="s">
        <v>377</v>
      </c>
      <c r="E3423" s="7" t="s">
        <v>154</v>
      </c>
      <c r="F3423" s="39" t="n">
        <v>45827</v>
      </c>
      <c r="G3423" s="41" t="n">
        <v>102.56</v>
      </c>
      <c r="H3423" s="39" t="n">
        <v>45882</v>
      </c>
      <c r="I3423" s="7" t="s">
        <v>14651</v>
      </c>
      <c r="J3423" s="8" t="str">
        <f aca="false">IF(I3423="Open",DATE(2025,12,31)-F3423,"-")</f>
        <v>-</v>
      </c>
    </row>
    <row r="3424" customFormat="false" ht="15" hidden="false" customHeight="false" outlineLevel="0" collapsed="false">
      <c r="B3424" s="7" t="s">
        <v>18069</v>
      </c>
      <c r="C3424" s="7" t="s">
        <v>3921</v>
      </c>
      <c r="D3424" s="7" t="s">
        <v>389</v>
      </c>
      <c r="E3424" s="7" t="s">
        <v>154</v>
      </c>
      <c r="F3424" s="39" t="n">
        <v>45827</v>
      </c>
      <c r="G3424" s="41" t="n">
        <v>115.01</v>
      </c>
      <c r="H3424" s="39" t="n">
        <v>45896</v>
      </c>
      <c r="I3424" s="7" t="s">
        <v>14651</v>
      </c>
      <c r="J3424" s="8" t="str">
        <f aca="false">IF(I3424="Open",DATE(2025,12,31)-F3424,"-")</f>
        <v>-</v>
      </c>
    </row>
    <row r="3425" customFormat="false" ht="15" hidden="false" customHeight="false" outlineLevel="0" collapsed="false">
      <c r="B3425" s="7" t="s">
        <v>18070</v>
      </c>
      <c r="C3425" s="7" t="s">
        <v>3922</v>
      </c>
      <c r="D3425" s="7" t="s">
        <v>391</v>
      </c>
      <c r="E3425" s="7" t="s">
        <v>156</v>
      </c>
      <c r="F3425" s="39" t="n">
        <v>45827</v>
      </c>
      <c r="G3425" s="41" t="n">
        <v>147.56</v>
      </c>
      <c r="H3425" s="39" t="n">
        <v>45838</v>
      </c>
      <c r="I3425" s="7" t="s">
        <v>14651</v>
      </c>
      <c r="J3425" s="8" t="str">
        <f aca="false">IF(I3425="Open",DATE(2025,12,31)-F3425,"-")</f>
        <v>-</v>
      </c>
    </row>
    <row r="3426" customFormat="false" ht="15" hidden="false" customHeight="false" outlineLevel="0" collapsed="false">
      <c r="B3426" s="7" t="s">
        <v>18071</v>
      </c>
      <c r="C3426" s="7" t="s">
        <v>3923</v>
      </c>
      <c r="D3426" s="7" t="s">
        <v>395</v>
      </c>
      <c r="E3426" s="7" t="s">
        <v>156</v>
      </c>
      <c r="F3426" s="39" t="n">
        <v>45827</v>
      </c>
      <c r="G3426" s="41" t="n">
        <v>129.88</v>
      </c>
      <c r="H3426" s="39" t="n">
        <v>45838</v>
      </c>
      <c r="I3426" s="7" t="s">
        <v>14651</v>
      </c>
      <c r="J3426" s="8" t="str">
        <f aca="false">IF(I3426="Open",DATE(2025,12,31)-F3426,"-")</f>
        <v>-</v>
      </c>
    </row>
    <row r="3427" customFormat="false" ht="15" hidden="false" customHeight="false" outlineLevel="0" collapsed="false">
      <c r="B3427" s="7" t="s">
        <v>18072</v>
      </c>
      <c r="C3427" s="7" t="s">
        <v>3924</v>
      </c>
      <c r="D3427" s="7" t="s">
        <v>401</v>
      </c>
      <c r="E3427" s="7" t="s">
        <v>156</v>
      </c>
      <c r="F3427" s="39" t="n">
        <v>45827</v>
      </c>
      <c r="G3427" s="41" t="n">
        <v>126.82</v>
      </c>
      <c r="H3427" s="39" t="n">
        <v>45844</v>
      </c>
      <c r="I3427" s="7" t="s">
        <v>14651</v>
      </c>
      <c r="J3427" s="8" t="str">
        <f aca="false">IF(I3427="Open",DATE(2025,12,31)-F3427,"-")</f>
        <v>-</v>
      </c>
    </row>
    <row r="3428" customFormat="false" ht="15" hidden="false" customHeight="false" outlineLevel="0" collapsed="false">
      <c r="B3428" s="7" t="s">
        <v>18073</v>
      </c>
      <c r="C3428" s="7" t="s">
        <v>3925</v>
      </c>
      <c r="D3428" s="7" t="s">
        <v>280</v>
      </c>
      <c r="E3428" s="7" t="s">
        <v>157</v>
      </c>
      <c r="F3428" s="39" t="n">
        <v>45828</v>
      </c>
      <c r="G3428" s="41" t="n">
        <v>168.3</v>
      </c>
      <c r="H3428" s="39" t="n">
        <v>45857</v>
      </c>
      <c r="I3428" s="7" t="s">
        <v>14651</v>
      </c>
      <c r="J3428" s="8" t="str">
        <f aca="false">IF(I3428="Open",DATE(2025,12,31)-F3428,"-")</f>
        <v>-</v>
      </c>
    </row>
    <row r="3429" customFormat="false" ht="15" hidden="false" customHeight="false" outlineLevel="0" collapsed="false">
      <c r="B3429" s="7" t="s">
        <v>18074</v>
      </c>
      <c r="C3429" s="7" t="s">
        <v>3926</v>
      </c>
      <c r="D3429" s="7" t="s">
        <v>288</v>
      </c>
      <c r="E3429" s="7" t="s">
        <v>156</v>
      </c>
      <c r="F3429" s="39" t="n">
        <v>45828</v>
      </c>
      <c r="G3429" s="41" t="n">
        <v>148.24</v>
      </c>
      <c r="H3429" s="39" t="n">
        <v>45836</v>
      </c>
      <c r="I3429" s="7" t="s">
        <v>14651</v>
      </c>
      <c r="J3429" s="8" t="str">
        <f aca="false">IF(I3429="Open",DATE(2025,12,31)-F3429,"-")</f>
        <v>-</v>
      </c>
    </row>
    <row r="3430" customFormat="false" ht="15" hidden="false" customHeight="false" outlineLevel="0" collapsed="false">
      <c r="B3430" s="7" t="s">
        <v>18075</v>
      </c>
      <c r="C3430" s="7" t="s">
        <v>3927</v>
      </c>
      <c r="D3430" s="7" t="s">
        <v>291</v>
      </c>
      <c r="E3430" s="7" t="s">
        <v>154</v>
      </c>
      <c r="F3430" s="39" t="n">
        <v>45828</v>
      </c>
      <c r="G3430" s="41" t="n">
        <v>119.52</v>
      </c>
      <c r="H3430" s="39" t="n">
        <v>45912</v>
      </c>
      <c r="I3430" s="7" t="s">
        <v>14651</v>
      </c>
      <c r="J3430" s="8" t="str">
        <f aca="false">IF(I3430="Open",DATE(2025,12,31)-F3430,"-")</f>
        <v>-</v>
      </c>
    </row>
    <row r="3431" customFormat="false" ht="15" hidden="false" customHeight="false" outlineLevel="0" collapsed="false">
      <c r="B3431" s="7" t="s">
        <v>18076</v>
      </c>
      <c r="C3431" s="7" t="s">
        <v>3928</v>
      </c>
      <c r="D3431" s="7" t="s">
        <v>301</v>
      </c>
      <c r="E3431" s="7" t="s">
        <v>157</v>
      </c>
      <c r="F3431" s="39" t="n">
        <v>45828</v>
      </c>
      <c r="G3431" s="41" t="n">
        <v>158.4</v>
      </c>
      <c r="H3431" s="39" t="n">
        <v>45871</v>
      </c>
      <c r="I3431" s="7" t="s">
        <v>14651</v>
      </c>
      <c r="J3431" s="8" t="str">
        <f aca="false">IF(I3431="Open",DATE(2025,12,31)-F3431,"-")</f>
        <v>-</v>
      </c>
    </row>
    <row r="3432" customFormat="false" ht="15" hidden="false" customHeight="false" outlineLevel="0" collapsed="false">
      <c r="B3432" s="7" t="s">
        <v>18077</v>
      </c>
      <c r="C3432" s="7" t="s">
        <v>3929</v>
      </c>
      <c r="D3432" s="7" t="s">
        <v>305</v>
      </c>
      <c r="E3432" s="7" t="s">
        <v>154</v>
      </c>
      <c r="F3432" s="39" t="n">
        <v>45828</v>
      </c>
      <c r="G3432" s="41" t="n">
        <v>102.05</v>
      </c>
      <c r="H3432" s="39" t="n">
        <v>45943</v>
      </c>
      <c r="I3432" s="7" t="s">
        <v>14651</v>
      </c>
      <c r="J3432" s="8" t="str">
        <f aca="false">IF(I3432="Open",DATE(2025,12,31)-F3432,"-")</f>
        <v>-</v>
      </c>
    </row>
    <row r="3433" customFormat="false" ht="15" hidden="false" customHeight="false" outlineLevel="0" collapsed="false">
      <c r="B3433" s="7" t="s">
        <v>18078</v>
      </c>
      <c r="C3433" s="7" t="s">
        <v>3930</v>
      </c>
      <c r="D3433" s="7" t="s">
        <v>307</v>
      </c>
      <c r="E3433" s="7" t="s">
        <v>157</v>
      </c>
      <c r="F3433" s="39" t="n">
        <v>45828</v>
      </c>
      <c r="G3433" s="41" t="n">
        <v>153.45</v>
      </c>
      <c r="H3433" s="39" t="n">
        <v>45885</v>
      </c>
      <c r="I3433" s="7" t="s">
        <v>14651</v>
      </c>
      <c r="J3433" s="8" t="str">
        <f aca="false">IF(I3433="Open",DATE(2025,12,31)-F3433,"-")</f>
        <v>-</v>
      </c>
    </row>
    <row r="3434" customFormat="false" ht="15" hidden="false" customHeight="false" outlineLevel="0" collapsed="false">
      <c r="B3434" s="7" t="s">
        <v>18079</v>
      </c>
      <c r="C3434" s="7" t="s">
        <v>3931</v>
      </c>
      <c r="D3434" s="7" t="s">
        <v>309</v>
      </c>
      <c r="E3434" s="7" t="s">
        <v>159</v>
      </c>
      <c r="F3434" s="39" t="n">
        <v>45828</v>
      </c>
      <c r="G3434" s="41" t="n">
        <v>124.2</v>
      </c>
      <c r="H3434" s="39" t="n">
        <v>45862</v>
      </c>
      <c r="I3434" s="7" t="s">
        <v>14651</v>
      </c>
      <c r="J3434" s="8" t="str">
        <f aca="false">IF(I3434="Open",DATE(2025,12,31)-F3434,"-")</f>
        <v>-</v>
      </c>
    </row>
    <row r="3435" customFormat="false" ht="15" hidden="false" customHeight="false" outlineLevel="0" collapsed="false">
      <c r="B3435" s="7" t="s">
        <v>18080</v>
      </c>
      <c r="C3435" s="7" t="s">
        <v>3932</v>
      </c>
      <c r="D3435" s="7" t="s">
        <v>313</v>
      </c>
      <c r="E3435" s="7" t="s">
        <v>156</v>
      </c>
      <c r="F3435" s="39" t="n">
        <v>45828</v>
      </c>
      <c r="G3435" s="41" t="n">
        <v>124.78</v>
      </c>
      <c r="H3435" s="39" t="n">
        <v>45837</v>
      </c>
      <c r="I3435" s="7" t="s">
        <v>14651</v>
      </c>
      <c r="J3435" s="8" t="str">
        <f aca="false">IF(I3435="Open",DATE(2025,12,31)-F3435,"-")</f>
        <v>-</v>
      </c>
    </row>
    <row r="3436" customFormat="false" ht="15" hidden="false" customHeight="false" outlineLevel="0" collapsed="false">
      <c r="B3436" s="7" t="s">
        <v>18081</v>
      </c>
      <c r="C3436" s="7" t="s">
        <v>3933</v>
      </c>
      <c r="D3436" s="7" t="s">
        <v>319</v>
      </c>
      <c r="E3436" s="7" t="s">
        <v>157</v>
      </c>
      <c r="F3436" s="39" t="n">
        <v>45828</v>
      </c>
      <c r="G3436" s="41" t="n">
        <v>176.55</v>
      </c>
      <c r="H3436" s="39" t="n">
        <v>45863</v>
      </c>
      <c r="I3436" s="7" t="s">
        <v>14651</v>
      </c>
      <c r="J3436" s="8" t="str">
        <f aca="false">IF(I3436="Open",DATE(2025,12,31)-F3436,"-")</f>
        <v>-</v>
      </c>
    </row>
    <row r="3437" customFormat="false" ht="15" hidden="false" customHeight="false" outlineLevel="0" collapsed="false">
      <c r="B3437" s="7" t="s">
        <v>18082</v>
      </c>
      <c r="C3437" s="7" t="s">
        <v>3934</v>
      </c>
      <c r="D3437" s="7" t="s">
        <v>321</v>
      </c>
      <c r="E3437" s="7" t="s">
        <v>154</v>
      </c>
      <c r="F3437" s="39" t="n">
        <v>45828</v>
      </c>
      <c r="G3437" s="41" t="n">
        <v>102.82</v>
      </c>
      <c r="H3437" s="39" t="n">
        <v>45892</v>
      </c>
      <c r="I3437" s="7" t="s">
        <v>14651</v>
      </c>
      <c r="J3437" s="8" t="str">
        <f aca="false">IF(I3437="Open",DATE(2025,12,31)-F3437,"-")</f>
        <v>-</v>
      </c>
    </row>
    <row r="3438" customFormat="false" ht="15" hidden="false" customHeight="false" outlineLevel="0" collapsed="false">
      <c r="B3438" s="7" t="s">
        <v>18083</v>
      </c>
      <c r="C3438" s="7" t="s">
        <v>3935</v>
      </c>
      <c r="D3438" s="7" t="s">
        <v>323</v>
      </c>
      <c r="E3438" s="7" t="s">
        <v>159</v>
      </c>
      <c r="F3438" s="39" t="n">
        <v>45828</v>
      </c>
      <c r="G3438" s="41" t="n">
        <v>140.4</v>
      </c>
      <c r="H3438" s="39" t="n">
        <v>45864</v>
      </c>
      <c r="I3438" s="7" t="s">
        <v>14651</v>
      </c>
      <c r="J3438" s="8" t="str">
        <f aca="false">IF(I3438="Open",DATE(2025,12,31)-F3438,"-")</f>
        <v>-</v>
      </c>
    </row>
    <row r="3439" customFormat="false" ht="15" hidden="false" customHeight="false" outlineLevel="0" collapsed="false">
      <c r="B3439" s="7" t="s">
        <v>18084</v>
      </c>
      <c r="C3439" s="7" t="s">
        <v>3936</v>
      </c>
      <c r="D3439" s="7" t="s">
        <v>327</v>
      </c>
      <c r="E3439" s="7" t="s">
        <v>157</v>
      </c>
      <c r="F3439" s="39" t="n">
        <v>45828</v>
      </c>
      <c r="G3439" s="41" t="n">
        <v>176.55</v>
      </c>
      <c r="H3439" s="39" t="n">
        <v>45847</v>
      </c>
      <c r="I3439" s="7" t="s">
        <v>14651</v>
      </c>
      <c r="J3439" s="8" t="str">
        <f aca="false">IF(I3439="Open",DATE(2025,12,31)-F3439,"-")</f>
        <v>-</v>
      </c>
    </row>
    <row r="3440" customFormat="false" ht="15" hidden="false" customHeight="false" outlineLevel="0" collapsed="false">
      <c r="B3440" s="7" t="s">
        <v>18085</v>
      </c>
      <c r="C3440" s="7" t="s">
        <v>3937</v>
      </c>
      <c r="D3440" s="7" t="s">
        <v>329</v>
      </c>
      <c r="E3440" s="7" t="s">
        <v>156</v>
      </c>
      <c r="F3440" s="39" t="n">
        <v>45828</v>
      </c>
      <c r="G3440" s="41" t="n">
        <v>125.12</v>
      </c>
      <c r="H3440" s="39" t="n">
        <v>45849</v>
      </c>
      <c r="I3440" s="7" t="s">
        <v>14651</v>
      </c>
      <c r="J3440" s="8" t="str">
        <f aca="false">IF(I3440="Open",DATE(2025,12,31)-F3440,"-")</f>
        <v>-</v>
      </c>
    </row>
    <row r="3441" customFormat="false" ht="15" hidden="false" customHeight="false" outlineLevel="0" collapsed="false">
      <c r="B3441" s="7" t="s">
        <v>18086</v>
      </c>
      <c r="C3441" s="7" t="s">
        <v>3938</v>
      </c>
      <c r="D3441" s="7" t="s">
        <v>335</v>
      </c>
      <c r="E3441" s="7" t="s">
        <v>154</v>
      </c>
      <c r="F3441" s="39" t="n">
        <v>45828</v>
      </c>
      <c r="G3441" s="41" t="n">
        <v>98.31</v>
      </c>
      <c r="H3441" s="39" t="n">
        <v>45907</v>
      </c>
      <c r="I3441" s="7" t="s">
        <v>14651</v>
      </c>
      <c r="J3441" s="8" t="str">
        <f aca="false">IF(I3441="Open",DATE(2025,12,31)-F3441,"-")</f>
        <v>-</v>
      </c>
    </row>
    <row r="3442" customFormat="false" ht="15" hidden="false" customHeight="false" outlineLevel="0" collapsed="false">
      <c r="B3442" s="7" t="s">
        <v>18087</v>
      </c>
      <c r="C3442" s="7" t="s">
        <v>3939</v>
      </c>
      <c r="D3442" s="7" t="s">
        <v>339</v>
      </c>
      <c r="E3442" s="7" t="s">
        <v>154</v>
      </c>
      <c r="F3442" s="39" t="n">
        <v>45828</v>
      </c>
      <c r="G3442" s="41" t="n">
        <v>94.07</v>
      </c>
      <c r="H3442" s="39" t="n">
        <v>45937</v>
      </c>
      <c r="I3442" s="7" t="s">
        <v>14651</v>
      </c>
      <c r="J3442" s="8" t="str">
        <f aca="false">IF(I3442="Open",DATE(2025,12,31)-F3442,"-")</f>
        <v>-</v>
      </c>
    </row>
    <row r="3443" customFormat="false" ht="15" hidden="false" customHeight="false" outlineLevel="0" collapsed="false">
      <c r="B3443" s="7" t="s">
        <v>18088</v>
      </c>
      <c r="C3443" s="7" t="s">
        <v>3940</v>
      </c>
      <c r="D3443" s="7" t="s">
        <v>353</v>
      </c>
      <c r="E3443" s="7" t="s">
        <v>154</v>
      </c>
      <c r="F3443" s="39" t="n">
        <v>45828</v>
      </c>
      <c r="G3443" s="41" t="n">
        <v>86.39</v>
      </c>
      <c r="H3443" s="39" t="n">
        <v>45872</v>
      </c>
      <c r="I3443" s="7" t="s">
        <v>14651</v>
      </c>
      <c r="J3443" s="8" t="str">
        <f aca="false">IF(I3443="Open",DATE(2025,12,31)-F3443,"-")</f>
        <v>-</v>
      </c>
    </row>
    <row r="3444" customFormat="false" ht="15" hidden="false" customHeight="false" outlineLevel="0" collapsed="false">
      <c r="B3444" s="7" t="s">
        <v>18089</v>
      </c>
      <c r="C3444" s="7" t="s">
        <v>3941</v>
      </c>
      <c r="D3444" s="7" t="s">
        <v>355</v>
      </c>
      <c r="E3444" s="7" t="s">
        <v>154</v>
      </c>
      <c r="F3444" s="39" t="n">
        <v>45828</v>
      </c>
      <c r="G3444" s="41" t="n">
        <v>92.48</v>
      </c>
      <c r="H3444" s="39" t="n">
        <v>45896</v>
      </c>
      <c r="I3444" s="7" t="s">
        <v>14651</v>
      </c>
      <c r="J3444" s="8" t="str">
        <f aca="false">IF(I3444="Open",DATE(2025,12,31)-F3444,"-")</f>
        <v>-</v>
      </c>
    </row>
    <row r="3445" customFormat="false" ht="15" hidden="false" customHeight="false" outlineLevel="0" collapsed="false">
      <c r="B3445" s="7" t="s">
        <v>18090</v>
      </c>
      <c r="C3445" s="7" t="s">
        <v>3942</v>
      </c>
      <c r="D3445" s="7" t="s">
        <v>357</v>
      </c>
      <c r="E3445" s="7" t="s">
        <v>154</v>
      </c>
      <c r="F3445" s="39" t="n">
        <v>45828</v>
      </c>
      <c r="G3445" s="41" t="n">
        <v>90.37</v>
      </c>
      <c r="H3445" s="39" t="n">
        <v>45917</v>
      </c>
      <c r="I3445" s="7" t="s">
        <v>14651</v>
      </c>
      <c r="J3445" s="8" t="str">
        <f aca="false">IF(I3445="Open",DATE(2025,12,31)-F3445,"-")</f>
        <v>-</v>
      </c>
    </row>
    <row r="3446" customFormat="false" ht="15" hidden="false" customHeight="false" outlineLevel="0" collapsed="false">
      <c r="B3446" s="7" t="s">
        <v>18091</v>
      </c>
      <c r="C3446" s="7" t="s">
        <v>3943</v>
      </c>
      <c r="D3446" s="7" t="s">
        <v>359</v>
      </c>
      <c r="E3446" s="7" t="s">
        <v>156</v>
      </c>
      <c r="F3446" s="39" t="n">
        <v>45828</v>
      </c>
      <c r="G3446" s="41" t="n">
        <v>131.58</v>
      </c>
      <c r="H3446" s="39" t="n">
        <v>45840</v>
      </c>
      <c r="I3446" s="7" t="s">
        <v>14651</v>
      </c>
      <c r="J3446" s="8" t="str">
        <f aca="false">IF(I3446="Open",DATE(2025,12,31)-F3446,"-")</f>
        <v>-</v>
      </c>
    </row>
    <row r="3447" customFormat="false" ht="15" hidden="false" customHeight="false" outlineLevel="0" collapsed="false">
      <c r="B3447" s="7" t="s">
        <v>18092</v>
      </c>
      <c r="C3447" s="7" t="s">
        <v>3944</v>
      </c>
      <c r="D3447" s="7" t="s">
        <v>361</v>
      </c>
      <c r="E3447" s="7" t="s">
        <v>157</v>
      </c>
      <c r="F3447" s="39" t="n">
        <v>45828</v>
      </c>
      <c r="G3447" s="41" t="n">
        <v>173.25</v>
      </c>
      <c r="H3447" s="39" t="n">
        <v>45849</v>
      </c>
      <c r="I3447" s="7" t="s">
        <v>14651</v>
      </c>
      <c r="J3447" s="8" t="str">
        <f aca="false">IF(I3447="Open",DATE(2025,12,31)-F3447,"-")</f>
        <v>-</v>
      </c>
    </row>
    <row r="3448" customFormat="false" ht="15" hidden="false" customHeight="false" outlineLevel="0" collapsed="false">
      <c r="B3448" s="7" t="s">
        <v>18093</v>
      </c>
      <c r="C3448" s="7" t="s">
        <v>3945</v>
      </c>
      <c r="D3448" s="7" t="s">
        <v>365</v>
      </c>
      <c r="E3448" s="7" t="s">
        <v>154</v>
      </c>
      <c r="F3448" s="39" t="n">
        <v>45828</v>
      </c>
      <c r="G3448" s="41" t="n">
        <v>98.31</v>
      </c>
      <c r="H3448" s="39" t="n">
        <v>45922</v>
      </c>
      <c r="I3448" s="7" t="s">
        <v>14651</v>
      </c>
      <c r="J3448" s="8" t="str">
        <f aca="false">IF(I3448="Open",DATE(2025,12,31)-F3448,"-")</f>
        <v>-</v>
      </c>
    </row>
    <row r="3449" customFormat="false" ht="15" hidden="false" customHeight="false" outlineLevel="0" collapsed="false">
      <c r="B3449" s="7" t="s">
        <v>18094</v>
      </c>
      <c r="C3449" s="7" t="s">
        <v>3946</v>
      </c>
      <c r="D3449" s="7" t="s">
        <v>371</v>
      </c>
      <c r="E3449" s="7" t="s">
        <v>154</v>
      </c>
      <c r="F3449" s="39" t="n">
        <v>45828</v>
      </c>
      <c r="G3449" s="41" t="n">
        <v>122.17</v>
      </c>
      <c r="H3449" s="39" t="n">
        <v>45924</v>
      </c>
      <c r="I3449" s="7" t="s">
        <v>14651</v>
      </c>
      <c r="J3449" s="8" t="str">
        <f aca="false">IF(I3449="Open",DATE(2025,12,31)-F3449,"-")</f>
        <v>-</v>
      </c>
    </row>
    <row r="3450" customFormat="false" ht="15" hidden="false" customHeight="false" outlineLevel="0" collapsed="false">
      <c r="B3450" s="7" t="s">
        <v>18095</v>
      </c>
      <c r="C3450" s="7" t="s">
        <v>3947</v>
      </c>
      <c r="D3450" s="7" t="s">
        <v>379</v>
      </c>
      <c r="E3450" s="7" t="s">
        <v>156</v>
      </c>
      <c r="F3450" s="39" t="n">
        <v>45828</v>
      </c>
      <c r="G3450" s="41" t="n">
        <v>156.4</v>
      </c>
      <c r="H3450" s="39" t="n">
        <v>45838</v>
      </c>
      <c r="I3450" s="7" t="s">
        <v>14651</v>
      </c>
      <c r="J3450" s="8" t="str">
        <f aca="false">IF(I3450="Open",DATE(2025,12,31)-F3450,"-")</f>
        <v>-</v>
      </c>
    </row>
    <row r="3451" customFormat="false" ht="15" hidden="false" customHeight="false" outlineLevel="0" collapsed="false">
      <c r="B3451" s="7" t="s">
        <v>18096</v>
      </c>
      <c r="C3451" s="7" t="s">
        <v>3948</v>
      </c>
      <c r="D3451" s="7" t="s">
        <v>381</v>
      </c>
      <c r="E3451" s="7" t="s">
        <v>157</v>
      </c>
      <c r="F3451" s="39" t="n">
        <v>45828</v>
      </c>
      <c r="G3451" s="41" t="n">
        <v>174.9</v>
      </c>
      <c r="H3451" s="39" t="n">
        <v>45899</v>
      </c>
      <c r="I3451" s="7" t="s">
        <v>14651</v>
      </c>
      <c r="J3451" s="8" t="str">
        <f aca="false">IF(I3451="Open",DATE(2025,12,31)-F3451,"-")</f>
        <v>-</v>
      </c>
    </row>
    <row r="3452" customFormat="false" ht="15" hidden="false" customHeight="false" outlineLevel="0" collapsed="false">
      <c r="B3452" s="7" t="s">
        <v>18097</v>
      </c>
      <c r="C3452" s="7" t="s">
        <v>3949</v>
      </c>
      <c r="D3452" s="7" t="s">
        <v>385</v>
      </c>
      <c r="E3452" s="7" t="s">
        <v>156</v>
      </c>
      <c r="F3452" s="39" t="n">
        <v>45828</v>
      </c>
      <c r="G3452" s="41" t="n">
        <v>133.96</v>
      </c>
      <c r="H3452" s="39" t="n">
        <v>45840</v>
      </c>
      <c r="I3452" s="7" t="s">
        <v>14651</v>
      </c>
      <c r="J3452" s="8" t="str">
        <f aca="false">IF(I3452="Open",DATE(2025,12,31)-F3452,"-")</f>
        <v>-</v>
      </c>
    </row>
    <row r="3453" customFormat="false" ht="15" hidden="false" customHeight="false" outlineLevel="0" collapsed="false">
      <c r="B3453" s="7" t="s">
        <v>18098</v>
      </c>
      <c r="C3453" s="7" t="s">
        <v>3950</v>
      </c>
      <c r="D3453" s="7" t="s">
        <v>389</v>
      </c>
      <c r="E3453" s="7" t="s">
        <v>154</v>
      </c>
      <c r="F3453" s="39" t="n">
        <v>45828</v>
      </c>
      <c r="G3453" s="41" t="n">
        <v>109.76</v>
      </c>
      <c r="H3453" s="39" t="n">
        <v>45875</v>
      </c>
      <c r="I3453" s="7" t="s">
        <v>14651</v>
      </c>
      <c r="J3453" s="8" t="str">
        <f aca="false">IF(I3453="Open",DATE(2025,12,31)-F3453,"-")</f>
        <v>-</v>
      </c>
    </row>
    <row r="3454" customFormat="false" ht="15" hidden="false" customHeight="false" outlineLevel="0" collapsed="false">
      <c r="B3454" s="7" t="s">
        <v>18099</v>
      </c>
      <c r="C3454" s="7" t="s">
        <v>3951</v>
      </c>
      <c r="D3454" s="7" t="s">
        <v>391</v>
      </c>
      <c r="E3454" s="7" t="s">
        <v>156</v>
      </c>
      <c r="F3454" s="39" t="n">
        <v>45828</v>
      </c>
      <c r="G3454" s="41" t="n">
        <v>141.1</v>
      </c>
      <c r="H3454" s="39" t="n">
        <v>45846</v>
      </c>
      <c r="I3454" s="7" t="s">
        <v>14651</v>
      </c>
      <c r="J3454" s="8" t="str">
        <f aca="false">IF(I3454="Open",DATE(2025,12,31)-F3454,"-")</f>
        <v>-</v>
      </c>
    </row>
    <row r="3455" customFormat="false" ht="15" hidden="false" customHeight="false" outlineLevel="0" collapsed="false">
      <c r="B3455" s="7" t="s">
        <v>18100</v>
      </c>
      <c r="C3455" s="7" t="s">
        <v>3952</v>
      </c>
      <c r="D3455" s="7" t="s">
        <v>397</v>
      </c>
      <c r="E3455" s="7" t="s">
        <v>159</v>
      </c>
      <c r="F3455" s="39" t="n">
        <v>45828</v>
      </c>
      <c r="G3455" s="41" t="n">
        <v>125.55</v>
      </c>
      <c r="H3455" s="39" t="n">
        <v>45869</v>
      </c>
      <c r="I3455" s="7" t="s">
        <v>14651</v>
      </c>
      <c r="J3455" s="8" t="str">
        <f aca="false">IF(I3455="Open",DATE(2025,12,31)-F3455,"-")</f>
        <v>-</v>
      </c>
    </row>
    <row r="3456" customFormat="false" ht="15" hidden="false" customHeight="false" outlineLevel="0" collapsed="false">
      <c r="B3456" s="7" t="s">
        <v>18101</v>
      </c>
      <c r="C3456" s="7" t="s">
        <v>3953</v>
      </c>
      <c r="D3456" s="7" t="s">
        <v>399</v>
      </c>
      <c r="E3456" s="7" t="s">
        <v>154</v>
      </c>
      <c r="F3456" s="39" t="n">
        <v>45828</v>
      </c>
      <c r="G3456" s="41" t="n">
        <v>79.77</v>
      </c>
      <c r="H3456" s="39" t="n">
        <v>45890</v>
      </c>
      <c r="I3456" s="7" t="s">
        <v>14651</v>
      </c>
      <c r="J3456" s="8" t="str">
        <f aca="false">IF(I3456="Open",DATE(2025,12,31)-F3456,"-")</f>
        <v>-</v>
      </c>
    </row>
    <row r="3457" customFormat="false" ht="15" hidden="false" customHeight="false" outlineLevel="0" collapsed="false">
      <c r="B3457" s="7" t="s">
        <v>18102</v>
      </c>
      <c r="C3457" s="7" t="s">
        <v>3954</v>
      </c>
      <c r="D3457" s="7" t="s">
        <v>401</v>
      </c>
      <c r="E3457" s="7" t="s">
        <v>156</v>
      </c>
      <c r="F3457" s="39" t="n">
        <v>45828</v>
      </c>
      <c r="G3457" s="41" t="n">
        <v>123.76</v>
      </c>
      <c r="H3457" s="39" t="n">
        <v>45839</v>
      </c>
      <c r="I3457" s="7" t="s">
        <v>14651</v>
      </c>
      <c r="J3457" s="8" t="str">
        <f aca="false">IF(I3457="Open",DATE(2025,12,31)-F3457,"-")</f>
        <v>-</v>
      </c>
    </row>
    <row r="3458" customFormat="false" ht="15" hidden="false" customHeight="false" outlineLevel="0" collapsed="false">
      <c r="B3458" s="7" t="s">
        <v>18103</v>
      </c>
      <c r="C3458" s="7" t="s">
        <v>3955</v>
      </c>
      <c r="D3458" s="7" t="s">
        <v>407</v>
      </c>
      <c r="E3458" s="7" t="s">
        <v>159</v>
      </c>
      <c r="F3458" s="39" t="n">
        <v>45828</v>
      </c>
      <c r="G3458" s="41" t="n">
        <v>124.2</v>
      </c>
      <c r="H3458" s="39" t="n">
        <v>45843</v>
      </c>
      <c r="I3458" s="7" t="s">
        <v>14651</v>
      </c>
      <c r="J3458" s="8" t="str">
        <f aca="false">IF(I3458="Open",DATE(2025,12,31)-F3458,"-")</f>
        <v>-</v>
      </c>
    </row>
    <row r="3459" customFormat="false" ht="15" hidden="false" customHeight="false" outlineLevel="0" collapsed="false">
      <c r="B3459" s="7" t="s">
        <v>18104</v>
      </c>
      <c r="C3459" s="7" t="s">
        <v>3956</v>
      </c>
      <c r="D3459" s="7" t="s">
        <v>409</v>
      </c>
      <c r="E3459" s="7" t="s">
        <v>154</v>
      </c>
      <c r="F3459" s="39" t="n">
        <v>45828</v>
      </c>
      <c r="G3459" s="41" t="n">
        <v>88.25</v>
      </c>
      <c r="H3459" s="39" t="n">
        <v>45903</v>
      </c>
      <c r="I3459" s="7" t="s">
        <v>14651</v>
      </c>
      <c r="J3459" s="8" t="str">
        <f aca="false">IF(I3459="Open",DATE(2025,12,31)-F3459,"-")</f>
        <v>-</v>
      </c>
    </row>
    <row r="3460" customFormat="false" ht="15" hidden="false" customHeight="false" outlineLevel="0" collapsed="false">
      <c r="B3460" s="7" t="s">
        <v>18105</v>
      </c>
      <c r="C3460" s="7" t="s">
        <v>3957</v>
      </c>
      <c r="D3460" s="7" t="s">
        <v>411</v>
      </c>
      <c r="E3460" s="7" t="s">
        <v>154</v>
      </c>
      <c r="F3460" s="39" t="n">
        <v>45828</v>
      </c>
      <c r="G3460" s="41" t="n">
        <v>128.26</v>
      </c>
      <c r="H3460" s="39" t="n">
        <v>45894</v>
      </c>
      <c r="I3460" s="7" t="s">
        <v>14651</v>
      </c>
      <c r="J3460" s="8" t="str">
        <f aca="false">IF(I3460="Open",DATE(2025,12,31)-F3460,"-")</f>
        <v>-</v>
      </c>
    </row>
    <row r="3461" customFormat="false" ht="15" hidden="false" customHeight="false" outlineLevel="0" collapsed="false">
      <c r="B3461" s="7" t="s">
        <v>18106</v>
      </c>
      <c r="C3461" s="7" t="s">
        <v>3958</v>
      </c>
      <c r="D3461" s="7" t="s">
        <v>288</v>
      </c>
      <c r="E3461" s="7" t="s">
        <v>156</v>
      </c>
      <c r="F3461" s="39" t="n">
        <v>45829</v>
      </c>
      <c r="G3461" s="41" t="n">
        <v>127.16</v>
      </c>
      <c r="H3461" s="39" t="n">
        <v>45837</v>
      </c>
      <c r="I3461" s="7" t="s">
        <v>14651</v>
      </c>
      <c r="J3461" s="8" t="str">
        <f aca="false">IF(I3461="Open",DATE(2025,12,31)-F3461,"-")</f>
        <v>-</v>
      </c>
    </row>
    <row r="3462" customFormat="false" ht="15" hidden="false" customHeight="false" outlineLevel="0" collapsed="false">
      <c r="B3462" s="7" t="s">
        <v>18107</v>
      </c>
      <c r="C3462" s="7" t="s">
        <v>3959</v>
      </c>
      <c r="D3462" s="7" t="s">
        <v>359</v>
      </c>
      <c r="E3462" s="7" t="s">
        <v>156</v>
      </c>
      <c r="F3462" s="39" t="n">
        <v>45829</v>
      </c>
      <c r="G3462" s="41" t="n">
        <v>138.38</v>
      </c>
      <c r="H3462" s="39" t="n">
        <v>45845</v>
      </c>
      <c r="I3462" s="7" t="s">
        <v>14651</v>
      </c>
      <c r="J3462" s="8" t="str">
        <f aca="false">IF(I3462="Open",DATE(2025,12,31)-F3462,"-")</f>
        <v>-</v>
      </c>
    </row>
    <row r="3463" customFormat="false" ht="15" hidden="false" customHeight="false" outlineLevel="0" collapsed="false">
      <c r="B3463" s="7" t="s">
        <v>18108</v>
      </c>
      <c r="C3463" s="7" t="s">
        <v>3960</v>
      </c>
      <c r="D3463" s="7" t="s">
        <v>391</v>
      </c>
      <c r="E3463" s="7" t="s">
        <v>156</v>
      </c>
      <c r="F3463" s="39" t="n">
        <v>45829</v>
      </c>
      <c r="G3463" s="41" t="n">
        <v>142.12</v>
      </c>
      <c r="H3463" s="39" t="n">
        <v>45832</v>
      </c>
      <c r="I3463" s="7" t="s">
        <v>14651</v>
      </c>
      <c r="J3463" s="8" t="str">
        <f aca="false">IF(I3463="Open",DATE(2025,12,31)-F3463,"-")</f>
        <v>-</v>
      </c>
    </row>
    <row r="3464" customFormat="false" ht="15" hidden="false" customHeight="false" outlineLevel="0" collapsed="false">
      <c r="B3464" s="7" t="s">
        <v>18109</v>
      </c>
      <c r="C3464" s="7" t="s">
        <v>3961</v>
      </c>
      <c r="D3464" s="7" t="s">
        <v>395</v>
      </c>
      <c r="E3464" s="7" t="s">
        <v>156</v>
      </c>
      <c r="F3464" s="39" t="n">
        <v>45829</v>
      </c>
      <c r="G3464" s="41" t="n">
        <v>130.22</v>
      </c>
      <c r="H3464" s="39" t="n">
        <v>45845</v>
      </c>
      <c r="I3464" s="7" t="s">
        <v>14651</v>
      </c>
      <c r="J3464" s="8" t="str">
        <f aca="false">IF(I3464="Open",DATE(2025,12,31)-F3464,"-")</f>
        <v>-</v>
      </c>
    </row>
    <row r="3465" customFormat="false" ht="15" hidden="false" customHeight="false" outlineLevel="0" collapsed="false">
      <c r="B3465" s="7" t="s">
        <v>18110</v>
      </c>
      <c r="C3465" s="7" t="s">
        <v>3962</v>
      </c>
      <c r="D3465" s="7" t="s">
        <v>401</v>
      </c>
      <c r="E3465" s="7" t="s">
        <v>156</v>
      </c>
      <c r="F3465" s="39" t="n">
        <v>45829</v>
      </c>
      <c r="G3465" s="41" t="n">
        <v>132.26</v>
      </c>
      <c r="H3465" s="39" t="n">
        <v>45830</v>
      </c>
      <c r="I3465" s="7" t="s">
        <v>14651</v>
      </c>
      <c r="J3465" s="8" t="str">
        <f aca="false">IF(I3465="Open",DATE(2025,12,31)-F3465,"-")</f>
        <v>-</v>
      </c>
    </row>
    <row r="3466" customFormat="false" ht="15" hidden="false" customHeight="false" outlineLevel="0" collapsed="false">
      <c r="B3466" s="7" t="s">
        <v>18111</v>
      </c>
      <c r="C3466" s="7" t="s">
        <v>3963</v>
      </c>
      <c r="D3466" s="7" t="s">
        <v>288</v>
      </c>
      <c r="E3466" s="7" t="s">
        <v>156</v>
      </c>
      <c r="F3466" s="39" t="n">
        <v>45830</v>
      </c>
      <c r="G3466" s="41" t="n">
        <v>129.2</v>
      </c>
      <c r="H3466" s="39" t="n">
        <v>45834</v>
      </c>
      <c r="I3466" s="7" t="s">
        <v>14651</v>
      </c>
      <c r="J3466" s="8" t="str">
        <f aca="false">IF(I3466="Open",DATE(2025,12,31)-F3466,"-")</f>
        <v>-</v>
      </c>
    </row>
    <row r="3467" customFormat="false" ht="15" hidden="false" customHeight="false" outlineLevel="0" collapsed="false">
      <c r="B3467" s="7" t="s">
        <v>18112</v>
      </c>
      <c r="C3467" s="7" t="s">
        <v>3964</v>
      </c>
      <c r="D3467" s="7" t="s">
        <v>321</v>
      </c>
      <c r="E3467" s="7" t="s">
        <v>154</v>
      </c>
      <c r="F3467" s="39" t="n">
        <v>45830</v>
      </c>
      <c r="G3467" s="41" t="n">
        <v>95.93</v>
      </c>
      <c r="H3467" s="39" t="n">
        <v>45919</v>
      </c>
      <c r="I3467" s="7" t="s">
        <v>14651</v>
      </c>
      <c r="J3467" s="8" t="str">
        <f aca="false">IF(I3467="Open",DATE(2025,12,31)-F3467,"-")</f>
        <v>-</v>
      </c>
    </row>
    <row r="3468" customFormat="false" ht="15" hidden="false" customHeight="false" outlineLevel="0" collapsed="false">
      <c r="B3468" s="7" t="s">
        <v>18113</v>
      </c>
      <c r="C3468" s="7" t="s">
        <v>3965</v>
      </c>
      <c r="D3468" s="7" t="s">
        <v>359</v>
      </c>
      <c r="E3468" s="7" t="s">
        <v>156</v>
      </c>
      <c r="F3468" s="39" t="n">
        <v>45830</v>
      </c>
      <c r="G3468" s="41" t="n">
        <v>133.62</v>
      </c>
      <c r="H3468" s="39" t="n">
        <v>45846</v>
      </c>
      <c r="I3468" s="7" t="s">
        <v>14651</v>
      </c>
      <c r="J3468" s="8" t="str">
        <f aca="false">IF(I3468="Open",DATE(2025,12,31)-F3468,"-")</f>
        <v>-</v>
      </c>
    </row>
    <row r="3469" customFormat="false" ht="15" hidden="false" customHeight="false" outlineLevel="0" collapsed="false">
      <c r="B3469" s="7" t="s">
        <v>18114</v>
      </c>
      <c r="C3469" s="7" t="s">
        <v>3966</v>
      </c>
      <c r="D3469" s="7" t="s">
        <v>391</v>
      </c>
      <c r="E3469" s="7" t="s">
        <v>156</v>
      </c>
      <c r="F3469" s="39" t="n">
        <v>45830</v>
      </c>
      <c r="G3469" s="41" t="n">
        <v>123.42</v>
      </c>
      <c r="H3469" s="39" t="n">
        <v>45837</v>
      </c>
      <c r="I3469" s="7" t="s">
        <v>14651</v>
      </c>
      <c r="J3469" s="8" t="str">
        <f aca="false">IF(I3469="Open",DATE(2025,12,31)-F3469,"-")</f>
        <v>-</v>
      </c>
    </row>
    <row r="3470" customFormat="false" ht="15" hidden="false" customHeight="false" outlineLevel="0" collapsed="false">
      <c r="B3470" s="7" t="s">
        <v>18115</v>
      </c>
      <c r="C3470" s="7" t="s">
        <v>3967</v>
      </c>
      <c r="D3470" s="7" t="s">
        <v>395</v>
      </c>
      <c r="E3470" s="7" t="s">
        <v>156</v>
      </c>
      <c r="F3470" s="39" t="n">
        <v>45830</v>
      </c>
      <c r="G3470" s="41" t="n">
        <v>137.02</v>
      </c>
      <c r="H3470" s="39" t="n">
        <v>45836</v>
      </c>
      <c r="I3470" s="7" t="s">
        <v>14651</v>
      </c>
      <c r="J3470" s="8" t="str">
        <f aca="false">IF(I3470="Open",DATE(2025,12,31)-F3470,"-")</f>
        <v>-</v>
      </c>
    </row>
    <row r="3471" customFormat="false" ht="15" hidden="false" customHeight="false" outlineLevel="0" collapsed="false">
      <c r="B3471" s="7" t="s">
        <v>18116</v>
      </c>
      <c r="C3471" s="7" t="s">
        <v>3968</v>
      </c>
      <c r="D3471" s="7" t="s">
        <v>401</v>
      </c>
      <c r="E3471" s="7" t="s">
        <v>156</v>
      </c>
      <c r="F3471" s="39" t="n">
        <v>45830</v>
      </c>
      <c r="G3471" s="41" t="n">
        <v>137.02</v>
      </c>
      <c r="H3471" s="39" t="n">
        <v>45854</v>
      </c>
      <c r="I3471" s="7" t="s">
        <v>14651</v>
      </c>
      <c r="J3471" s="8" t="str">
        <f aca="false">IF(I3471="Open",DATE(2025,12,31)-F3471,"-")</f>
        <v>-</v>
      </c>
    </row>
    <row r="3472" customFormat="false" ht="15" hidden="false" customHeight="false" outlineLevel="0" collapsed="false">
      <c r="B3472" s="7" t="s">
        <v>18117</v>
      </c>
      <c r="C3472" s="7" t="s">
        <v>3969</v>
      </c>
      <c r="D3472" s="7" t="s">
        <v>280</v>
      </c>
      <c r="E3472" s="7" t="s">
        <v>157</v>
      </c>
      <c r="F3472" s="39" t="n">
        <v>45831</v>
      </c>
      <c r="G3472" s="41" t="n">
        <v>165</v>
      </c>
      <c r="H3472" s="39" t="n">
        <v>45895</v>
      </c>
      <c r="I3472" s="7" t="s">
        <v>14651</v>
      </c>
      <c r="J3472" s="8" t="str">
        <f aca="false">IF(I3472="Open",DATE(2025,12,31)-F3472,"-")</f>
        <v>-</v>
      </c>
    </row>
    <row r="3473" customFormat="false" ht="15" hidden="false" customHeight="false" outlineLevel="0" collapsed="false">
      <c r="B3473" s="7" t="s">
        <v>18118</v>
      </c>
      <c r="C3473" s="7" t="s">
        <v>3970</v>
      </c>
      <c r="D3473" s="7" t="s">
        <v>288</v>
      </c>
      <c r="E3473" s="7" t="s">
        <v>156</v>
      </c>
      <c r="F3473" s="39" t="n">
        <v>45831</v>
      </c>
      <c r="G3473" s="41" t="n">
        <v>134.98</v>
      </c>
      <c r="H3473" s="39" t="n">
        <v>45836</v>
      </c>
      <c r="I3473" s="7" t="s">
        <v>14651</v>
      </c>
      <c r="J3473" s="8" t="str">
        <f aca="false">IF(I3473="Open",DATE(2025,12,31)-F3473,"-")</f>
        <v>-</v>
      </c>
    </row>
    <row r="3474" customFormat="false" ht="15" hidden="false" customHeight="false" outlineLevel="0" collapsed="false">
      <c r="B3474" s="7" t="s">
        <v>18119</v>
      </c>
      <c r="C3474" s="7" t="s">
        <v>3971</v>
      </c>
      <c r="D3474" s="7" t="s">
        <v>291</v>
      </c>
      <c r="E3474" s="7" t="s">
        <v>154</v>
      </c>
      <c r="F3474" s="39" t="n">
        <v>45831</v>
      </c>
      <c r="G3474" s="41" t="n">
        <v>108.99</v>
      </c>
      <c r="H3474" s="39" t="n">
        <v>45881</v>
      </c>
      <c r="I3474" s="7" t="s">
        <v>14651</v>
      </c>
      <c r="J3474" s="8" t="str">
        <f aca="false">IF(I3474="Open",DATE(2025,12,31)-F3474,"-")</f>
        <v>-</v>
      </c>
    </row>
    <row r="3475" customFormat="false" ht="15" hidden="false" customHeight="false" outlineLevel="0" collapsed="false">
      <c r="B3475" s="7" t="s">
        <v>18120</v>
      </c>
      <c r="C3475" s="7" t="s">
        <v>3972</v>
      </c>
      <c r="D3475" s="7" t="s">
        <v>297</v>
      </c>
      <c r="E3475" s="7" t="s">
        <v>156</v>
      </c>
      <c r="F3475" s="39" t="n">
        <v>45831</v>
      </c>
      <c r="G3475" s="41" t="n">
        <v>104.38</v>
      </c>
      <c r="H3475" s="39" t="n">
        <v>45840</v>
      </c>
      <c r="I3475" s="7" t="s">
        <v>14651</v>
      </c>
      <c r="J3475" s="8" t="str">
        <f aca="false">IF(I3475="Open",DATE(2025,12,31)-F3475,"-")</f>
        <v>-</v>
      </c>
    </row>
    <row r="3476" customFormat="false" ht="15" hidden="false" customHeight="false" outlineLevel="0" collapsed="false">
      <c r="B3476" s="7" t="s">
        <v>18121</v>
      </c>
      <c r="C3476" s="7" t="s">
        <v>3973</v>
      </c>
      <c r="D3476" s="7" t="s">
        <v>305</v>
      </c>
      <c r="E3476" s="7" t="s">
        <v>154</v>
      </c>
      <c r="F3476" s="39" t="n">
        <v>45831</v>
      </c>
      <c r="G3476" s="41" t="n">
        <v>97.52</v>
      </c>
      <c r="H3476" s="39" t="n">
        <v>45895</v>
      </c>
      <c r="I3476" s="7" t="s">
        <v>14651</v>
      </c>
      <c r="J3476" s="8" t="str">
        <f aca="false">IF(I3476="Open",DATE(2025,12,31)-F3476,"-")</f>
        <v>-</v>
      </c>
    </row>
    <row r="3477" customFormat="false" ht="15" hidden="false" customHeight="false" outlineLevel="0" collapsed="false">
      <c r="B3477" s="7" t="s">
        <v>18122</v>
      </c>
      <c r="C3477" s="7" t="s">
        <v>3974</v>
      </c>
      <c r="D3477" s="7" t="s">
        <v>307</v>
      </c>
      <c r="E3477" s="7" t="s">
        <v>157</v>
      </c>
      <c r="F3477" s="39" t="n">
        <v>45831</v>
      </c>
      <c r="G3477" s="41" t="n">
        <v>160.05</v>
      </c>
      <c r="H3477" s="39" t="n">
        <v>45850</v>
      </c>
      <c r="I3477" s="7" t="s">
        <v>14651</v>
      </c>
      <c r="J3477" s="8" t="str">
        <f aca="false">IF(I3477="Open",DATE(2025,12,31)-F3477,"-")</f>
        <v>-</v>
      </c>
    </row>
    <row r="3478" customFormat="false" ht="15" hidden="false" customHeight="false" outlineLevel="0" collapsed="false">
      <c r="B3478" s="7" t="s">
        <v>18123</v>
      </c>
      <c r="C3478" s="7" t="s">
        <v>3975</v>
      </c>
      <c r="D3478" s="7" t="s">
        <v>309</v>
      </c>
      <c r="E3478" s="7" t="s">
        <v>159</v>
      </c>
      <c r="F3478" s="39" t="n">
        <v>45831</v>
      </c>
      <c r="G3478" s="41" t="n">
        <v>132.3</v>
      </c>
      <c r="H3478" s="39" t="n">
        <v>45898</v>
      </c>
      <c r="I3478" s="7" t="s">
        <v>14651</v>
      </c>
      <c r="J3478" s="8" t="str">
        <f aca="false">IF(I3478="Open",DATE(2025,12,31)-F3478,"-")</f>
        <v>-</v>
      </c>
    </row>
    <row r="3479" customFormat="false" ht="15" hidden="false" customHeight="false" outlineLevel="0" collapsed="false">
      <c r="B3479" s="7" t="s">
        <v>18124</v>
      </c>
      <c r="C3479" s="7" t="s">
        <v>3976</v>
      </c>
      <c r="D3479" s="7" t="s">
        <v>311</v>
      </c>
      <c r="E3479" s="7" t="s">
        <v>154</v>
      </c>
      <c r="F3479" s="39" t="n">
        <v>45831</v>
      </c>
      <c r="G3479" s="41" t="n">
        <v>80.45</v>
      </c>
      <c r="H3479" s="39" t="n">
        <v>45915</v>
      </c>
      <c r="I3479" s="7" t="s">
        <v>14651</v>
      </c>
      <c r="J3479" s="8" t="str">
        <f aca="false">IF(I3479="Open",DATE(2025,12,31)-F3479,"-")</f>
        <v>-</v>
      </c>
    </row>
    <row r="3480" customFormat="false" ht="15" hidden="false" customHeight="false" outlineLevel="0" collapsed="false">
      <c r="B3480" s="7" t="s">
        <v>18125</v>
      </c>
      <c r="C3480" s="7" t="s">
        <v>3977</v>
      </c>
      <c r="D3480" s="7" t="s">
        <v>313</v>
      </c>
      <c r="E3480" s="7" t="s">
        <v>156</v>
      </c>
      <c r="F3480" s="39" t="n">
        <v>45831</v>
      </c>
      <c r="G3480" s="41" t="n">
        <v>147.22</v>
      </c>
      <c r="H3480" s="39" t="n">
        <v>45833</v>
      </c>
      <c r="I3480" s="7" t="s">
        <v>14651</v>
      </c>
      <c r="J3480" s="8" t="str">
        <f aca="false">IF(I3480="Open",DATE(2025,12,31)-F3480,"-")</f>
        <v>-</v>
      </c>
    </row>
    <row r="3481" customFormat="false" ht="15" hidden="false" customHeight="false" outlineLevel="0" collapsed="false">
      <c r="B3481" s="7" t="s">
        <v>18126</v>
      </c>
      <c r="C3481" s="7" t="s">
        <v>3978</v>
      </c>
      <c r="D3481" s="7" t="s">
        <v>317</v>
      </c>
      <c r="E3481" s="7" t="s">
        <v>156</v>
      </c>
      <c r="F3481" s="39" t="n">
        <v>45831</v>
      </c>
      <c r="G3481" s="41" t="n">
        <v>103.36</v>
      </c>
      <c r="H3481" s="39" t="n">
        <v>45832</v>
      </c>
      <c r="I3481" s="7" t="s">
        <v>14651</v>
      </c>
      <c r="J3481" s="8" t="str">
        <f aca="false">IF(I3481="Open",DATE(2025,12,31)-F3481,"-")</f>
        <v>-</v>
      </c>
    </row>
    <row r="3482" customFormat="false" ht="15" hidden="false" customHeight="false" outlineLevel="0" collapsed="false">
      <c r="B3482" s="7" t="s">
        <v>18127</v>
      </c>
      <c r="C3482" s="7" t="s">
        <v>3979</v>
      </c>
      <c r="D3482" s="7" t="s">
        <v>321</v>
      </c>
      <c r="E3482" s="7" t="s">
        <v>154</v>
      </c>
      <c r="F3482" s="39" t="n">
        <v>45831</v>
      </c>
      <c r="G3482" s="41" t="n">
        <v>106.8</v>
      </c>
      <c r="H3482" s="39" t="n">
        <v>45876</v>
      </c>
      <c r="I3482" s="7" t="s">
        <v>14651</v>
      </c>
      <c r="J3482" s="8" t="str">
        <f aca="false">IF(I3482="Open",DATE(2025,12,31)-F3482,"-")</f>
        <v>-</v>
      </c>
    </row>
    <row r="3483" customFormat="false" ht="15" hidden="false" customHeight="false" outlineLevel="0" collapsed="false">
      <c r="B3483" s="7" t="s">
        <v>18128</v>
      </c>
      <c r="C3483" s="7" t="s">
        <v>3980</v>
      </c>
      <c r="D3483" s="7" t="s">
        <v>325</v>
      </c>
      <c r="E3483" s="7" t="s">
        <v>154</v>
      </c>
      <c r="F3483" s="39" t="n">
        <v>45831</v>
      </c>
      <c r="G3483" s="41" t="n">
        <v>72.34</v>
      </c>
      <c r="H3483" s="39" t="n">
        <v>45858</v>
      </c>
      <c r="I3483" s="7" t="s">
        <v>14651</v>
      </c>
      <c r="J3483" s="8" t="str">
        <f aca="false">IF(I3483="Open",DATE(2025,12,31)-F3483,"-")</f>
        <v>-</v>
      </c>
    </row>
    <row r="3484" customFormat="false" ht="15" hidden="false" customHeight="false" outlineLevel="0" collapsed="false">
      <c r="B3484" s="7" t="s">
        <v>18129</v>
      </c>
      <c r="C3484" s="7" t="s">
        <v>3981</v>
      </c>
      <c r="D3484" s="7" t="s">
        <v>329</v>
      </c>
      <c r="E3484" s="7" t="s">
        <v>156</v>
      </c>
      <c r="F3484" s="39" t="n">
        <v>45831</v>
      </c>
      <c r="G3484" s="41" t="n">
        <v>147.9</v>
      </c>
      <c r="H3484" s="39" t="n">
        <v>45845</v>
      </c>
      <c r="I3484" s="7" t="s">
        <v>14651</v>
      </c>
      <c r="J3484" s="8" t="str">
        <f aca="false">IF(I3484="Open",DATE(2025,12,31)-F3484,"-")</f>
        <v>-</v>
      </c>
    </row>
    <row r="3485" customFormat="false" ht="15" hidden="false" customHeight="false" outlineLevel="0" collapsed="false">
      <c r="B3485" s="7" t="s">
        <v>18130</v>
      </c>
      <c r="C3485" s="7" t="s">
        <v>3982</v>
      </c>
      <c r="D3485" s="7" t="s">
        <v>331</v>
      </c>
      <c r="E3485" s="7" t="s">
        <v>156</v>
      </c>
      <c r="F3485" s="39" t="n">
        <v>45831</v>
      </c>
      <c r="G3485" s="41" t="n">
        <v>127.5</v>
      </c>
      <c r="H3485" s="39" t="n">
        <v>45839</v>
      </c>
      <c r="I3485" s="7" t="s">
        <v>14651</v>
      </c>
      <c r="J3485" s="8" t="str">
        <f aca="false">IF(I3485="Open",DATE(2025,12,31)-F3485,"-")</f>
        <v>-</v>
      </c>
    </row>
    <row r="3486" customFormat="false" ht="15" hidden="false" customHeight="false" outlineLevel="0" collapsed="false">
      <c r="B3486" s="7" t="s">
        <v>18131</v>
      </c>
      <c r="C3486" s="7" t="s">
        <v>3983</v>
      </c>
      <c r="D3486" s="7" t="s">
        <v>335</v>
      </c>
      <c r="E3486" s="7" t="s">
        <v>154</v>
      </c>
      <c r="F3486" s="39" t="n">
        <v>45831</v>
      </c>
      <c r="G3486" s="41" t="n">
        <v>103.88</v>
      </c>
      <c r="H3486" s="39" t="n">
        <v>45902</v>
      </c>
      <c r="I3486" s="7" t="s">
        <v>14651</v>
      </c>
      <c r="J3486" s="8" t="str">
        <f aca="false">IF(I3486="Open",DATE(2025,12,31)-F3486,"-")</f>
        <v>-</v>
      </c>
    </row>
    <row r="3487" customFormat="false" ht="15" hidden="false" customHeight="false" outlineLevel="0" collapsed="false">
      <c r="B3487" s="7" t="s">
        <v>18132</v>
      </c>
      <c r="C3487" s="7" t="s">
        <v>3984</v>
      </c>
      <c r="D3487" s="7" t="s">
        <v>337</v>
      </c>
      <c r="E3487" s="7" t="s">
        <v>154</v>
      </c>
      <c r="F3487" s="39" t="n">
        <v>45831</v>
      </c>
      <c r="G3487" s="41" t="n">
        <v>71.55</v>
      </c>
      <c r="H3487" s="39" t="n">
        <v>45930</v>
      </c>
      <c r="I3487" s="7" t="s">
        <v>14651</v>
      </c>
      <c r="J3487" s="8" t="str">
        <f aca="false">IF(I3487="Open",DATE(2025,12,31)-F3487,"-")</f>
        <v>-</v>
      </c>
    </row>
    <row r="3488" customFormat="false" ht="15" hidden="false" customHeight="false" outlineLevel="0" collapsed="false">
      <c r="B3488" s="7" t="s">
        <v>18133</v>
      </c>
      <c r="C3488" s="7" t="s">
        <v>3985</v>
      </c>
      <c r="D3488" s="7" t="s">
        <v>339</v>
      </c>
      <c r="E3488" s="7" t="s">
        <v>154</v>
      </c>
      <c r="F3488" s="39" t="n">
        <v>45831</v>
      </c>
      <c r="G3488" s="41" t="n">
        <v>91.16</v>
      </c>
      <c r="H3488" s="39" t="n">
        <v>45925</v>
      </c>
      <c r="I3488" s="7" t="s">
        <v>14651</v>
      </c>
      <c r="J3488" s="8" t="str">
        <f aca="false">IF(I3488="Open",DATE(2025,12,31)-F3488,"-")</f>
        <v>-</v>
      </c>
    </row>
    <row r="3489" customFormat="false" ht="15" hidden="false" customHeight="false" outlineLevel="0" collapsed="false">
      <c r="B3489" s="7" t="s">
        <v>18134</v>
      </c>
      <c r="C3489" s="7" t="s">
        <v>3986</v>
      </c>
      <c r="D3489" s="7" t="s">
        <v>341</v>
      </c>
      <c r="E3489" s="7" t="s">
        <v>156</v>
      </c>
      <c r="F3489" s="39" t="n">
        <v>45831</v>
      </c>
      <c r="G3489" s="41" t="n">
        <v>107.78</v>
      </c>
      <c r="H3489" s="39" t="n">
        <v>45839</v>
      </c>
      <c r="I3489" s="7" t="s">
        <v>14651</v>
      </c>
      <c r="J3489" s="8" t="str">
        <f aca="false">IF(I3489="Open",DATE(2025,12,31)-F3489,"-")</f>
        <v>-</v>
      </c>
    </row>
    <row r="3490" customFormat="false" ht="15" hidden="false" customHeight="false" outlineLevel="0" collapsed="false">
      <c r="B3490" s="7" t="s">
        <v>18135</v>
      </c>
      <c r="C3490" s="7" t="s">
        <v>3987</v>
      </c>
      <c r="D3490" s="7" t="s">
        <v>343</v>
      </c>
      <c r="E3490" s="7" t="s">
        <v>154</v>
      </c>
      <c r="F3490" s="39" t="n">
        <v>45831</v>
      </c>
      <c r="G3490" s="41" t="n">
        <v>97.18</v>
      </c>
      <c r="H3490" s="39" t="n">
        <v>45940</v>
      </c>
      <c r="I3490" s="7" t="s">
        <v>14651</v>
      </c>
      <c r="J3490" s="8" t="str">
        <f aca="false">IF(I3490="Open",DATE(2025,12,31)-F3490,"-")</f>
        <v>-</v>
      </c>
    </row>
    <row r="3491" customFormat="false" ht="15" hidden="false" customHeight="false" outlineLevel="0" collapsed="false">
      <c r="B3491" s="7" t="s">
        <v>18136</v>
      </c>
      <c r="C3491" s="7" t="s">
        <v>3988</v>
      </c>
      <c r="D3491" s="7" t="s">
        <v>351</v>
      </c>
      <c r="E3491" s="7" t="s">
        <v>154</v>
      </c>
      <c r="F3491" s="39" t="n">
        <v>45831</v>
      </c>
      <c r="G3491" s="41" t="n">
        <v>76.06</v>
      </c>
      <c r="H3491" s="39" t="n">
        <v>45892</v>
      </c>
      <c r="I3491" s="7" t="s">
        <v>14651</v>
      </c>
      <c r="J3491" s="8" t="str">
        <f aca="false">IF(I3491="Open",DATE(2025,12,31)-F3491,"-")</f>
        <v>-</v>
      </c>
    </row>
    <row r="3492" customFormat="false" ht="15" hidden="false" customHeight="false" outlineLevel="0" collapsed="false">
      <c r="B3492" s="7" t="s">
        <v>18137</v>
      </c>
      <c r="C3492" s="7" t="s">
        <v>3989</v>
      </c>
      <c r="D3492" s="7" t="s">
        <v>353</v>
      </c>
      <c r="E3492" s="7" t="s">
        <v>154</v>
      </c>
      <c r="F3492" s="39" t="n">
        <v>45831</v>
      </c>
      <c r="G3492" s="41" t="n">
        <v>89.84</v>
      </c>
      <c r="H3492" s="39" t="n">
        <v>45928</v>
      </c>
      <c r="I3492" s="7" t="s">
        <v>14651</v>
      </c>
      <c r="J3492" s="8" t="str">
        <f aca="false">IF(I3492="Open",DATE(2025,12,31)-F3492,"-")</f>
        <v>-</v>
      </c>
    </row>
    <row r="3493" customFormat="false" ht="15" hidden="false" customHeight="false" outlineLevel="0" collapsed="false">
      <c r="B3493" s="7" t="s">
        <v>18138</v>
      </c>
      <c r="C3493" s="7" t="s">
        <v>3990</v>
      </c>
      <c r="D3493" s="7" t="s">
        <v>355</v>
      </c>
      <c r="E3493" s="7" t="s">
        <v>154</v>
      </c>
      <c r="F3493" s="39" t="n">
        <v>45831</v>
      </c>
      <c r="G3493" s="41" t="n">
        <v>83.79</v>
      </c>
      <c r="H3493" s="39" t="n">
        <v>45875</v>
      </c>
      <c r="I3493" s="7" t="s">
        <v>14651</v>
      </c>
      <c r="J3493" s="8" t="str">
        <f aca="false">IF(I3493="Open",DATE(2025,12,31)-F3493,"-")</f>
        <v>-</v>
      </c>
    </row>
    <row r="3494" customFormat="false" ht="15" hidden="false" customHeight="false" outlineLevel="0" collapsed="false">
      <c r="B3494" s="7" t="s">
        <v>18139</v>
      </c>
      <c r="C3494" s="7" t="s">
        <v>3991</v>
      </c>
      <c r="D3494" s="7" t="s">
        <v>357</v>
      </c>
      <c r="E3494" s="7" t="s">
        <v>154</v>
      </c>
      <c r="F3494" s="39" t="n">
        <v>45831</v>
      </c>
      <c r="G3494" s="41" t="n">
        <v>85.59</v>
      </c>
      <c r="H3494" s="39" t="n">
        <v>45871</v>
      </c>
      <c r="I3494" s="7" t="s">
        <v>14651</v>
      </c>
      <c r="J3494" s="8" t="str">
        <f aca="false">IF(I3494="Open",DATE(2025,12,31)-F3494,"-")</f>
        <v>-</v>
      </c>
    </row>
    <row r="3495" customFormat="false" ht="15" hidden="false" customHeight="false" outlineLevel="0" collapsed="false">
      <c r="B3495" s="7" t="s">
        <v>18140</v>
      </c>
      <c r="C3495" s="7" t="s">
        <v>3992</v>
      </c>
      <c r="D3495" s="7" t="s">
        <v>359</v>
      </c>
      <c r="E3495" s="7" t="s">
        <v>156</v>
      </c>
      <c r="F3495" s="39" t="n">
        <v>45831</v>
      </c>
      <c r="G3495" s="41" t="n">
        <v>134.98</v>
      </c>
      <c r="H3495" s="39" t="n">
        <v>45846</v>
      </c>
      <c r="I3495" s="7" t="s">
        <v>14651</v>
      </c>
      <c r="J3495" s="8" t="str">
        <f aca="false">IF(I3495="Open",DATE(2025,12,31)-F3495,"-")</f>
        <v>-</v>
      </c>
    </row>
    <row r="3496" customFormat="false" ht="15" hidden="false" customHeight="false" outlineLevel="0" collapsed="false">
      <c r="B3496" s="7" t="s">
        <v>18141</v>
      </c>
      <c r="C3496" s="7" t="s">
        <v>3993</v>
      </c>
      <c r="D3496" s="7" t="s">
        <v>363</v>
      </c>
      <c r="E3496" s="7" t="s">
        <v>156</v>
      </c>
      <c r="F3496" s="39" t="n">
        <v>45831</v>
      </c>
      <c r="G3496" s="41" t="n">
        <v>141.44</v>
      </c>
      <c r="H3496" s="39" t="n">
        <v>45840</v>
      </c>
      <c r="I3496" s="7" t="s">
        <v>14651</v>
      </c>
      <c r="J3496" s="8" t="str">
        <f aca="false">IF(I3496="Open",DATE(2025,12,31)-F3496,"-")</f>
        <v>-</v>
      </c>
    </row>
    <row r="3497" customFormat="false" ht="15" hidden="false" customHeight="false" outlineLevel="0" collapsed="false">
      <c r="B3497" s="7" t="s">
        <v>18142</v>
      </c>
      <c r="C3497" s="7" t="s">
        <v>3994</v>
      </c>
      <c r="D3497" s="7" t="s">
        <v>365</v>
      </c>
      <c r="E3497" s="7" t="s">
        <v>154</v>
      </c>
      <c r="F3497" s="39" t="n">
        <v>45831</v>
      </c>
      <c r="G3497" s="41" t="n">
        <v>96.19</v>
      </c>
      <c r="H3497" s="39" t="n">
        <v>45949</v>
      </c>
      <c r="I3497" s="7" t="s">
        <v>14651</v>
      </c>
      <c r="J3497" s="8" t="str">
        <f aca="false">IF(I3497="Open",DATE(2025,12,31)-F3497,"-")</f>
        <v>-</v>
      </c>
    </row>
    <row r="3498" customFormat="false" ht="15" hidden="false" customHeight="false" outlineLevel="0" collapsed="false">
      <c r="B3498" s="7" t="s">
        <v>18143</v>
      </c>
      <c r="C3498" s="7" t="s">
        <v>3995</v>
      </c>
      <c r="D3498" s="7" t="s">
        <v>371</v>
      </c>
      <c r="E3498" s="7" t="s">
        <v>154</v>
      </c>
      <c r="F3498" s="39" t="n">
        <v>45831</v>
      </c>
      <c r="G3498" s="41" t="n">
        <v>126.94</v>
      </c>
      <c r="H3498" s="39" t="n">
        <v>45889</v>
      </c>
      <c r="I3498" s="7" t="s">
        <v>14651</v>
      </c>
      <c r="J3498" s="8" t="str">
        <f aca="false">IF(I3498="Open",DATE(2025,12,31)-F3498,"-")</f>
        <v>-</v>
      </c>
    </row>
    <row r="3499" customFormat="false" ht="15" hidden="false" customHeight="false" outlineLevel="0" collapsed="false">
      <c r="B3499" s="7" t="s">
        <v>18144</v>
      </c>
      <c r="C3499" s="7" t="s">
        <v>3996</v>
      </c>
      <c r="D3499" s="7" t="s">
        <v>375</v>
      </c>
      <c r="E3499" s="7" t="s">
        <v>156</v>
      </c>
      <c r="F3499" s="39" t="n">
        <v>45831</v>
      </c>
      <c r="G3499" s="41" t="n">
        <v>95.88</v>
      </c>
      <c r="H3499" s="39" t="n">
        <v>45842</v>
      </c>
      <c r="I3499" s="7" t="s">
        <v>14651</v>
      </c>
      <c r="J3499" s="8" t="str">
        <f aca="false">IF(I3499="Open",DATE(2025,12,31)-F3499,"-")</f>
        <v>-</v>
      </c>
    </row>
    <row r="3500" customFormat="false" ht="15" hidden="false" customHeight="false" outlineLevel="0" collapsed="false">
      <c r="B3500" s="7" t="s">
        <v>18145</v>
      </c>
      <c r="C3500" s="7" t="s">
        <v>3997</v>
      </c>
      <c r="D3500" s="7" t="s">
        <v>377</v>
      </c>
      <c r="E3500" s="7" t="s">
        <v>154</v>
      </c>
      <c r="F3500" s="39" t="n">
        <v>45831</v>
      </c>
      <c r="G3500" s="41" t="n">
        <v>101.5</v>
      </c>
      <c r="H3500" s="39" t="n">
        <v>45879</v>
      </c>
      <c r="I3500" s="7" t="s">
        <v>14651</v>
      </c>
      <c r="J3500" s="8" t="str">
        <f aca="false">IF(I3500="Open",DATE(2025,12,31)-F3500,"-")</f>
        <v>-</v>
      </c>
    </row>
    <row r="3501" customFormat="false" ht="15" hidden="false" customHeight="false" outlineLevel="0" collapsed="false">
      <c r="B3501" s="7" t="s">
        <v>18146</v>
      </c>
      <c r="C3501" s="7" t="s">
        <v>3998</v>
      </c>
      <c r="D3501" s="7" t="s">
        <v>379</v>
      </c>
      <c r="E3501" s="7" t="s">
        <v>156</v>
      </c>
      <c r="F3501" s="39" t="n">
        <v>45831</v>
      </c>
      <c r="G3501" s="41" t="n">
        <v>143.82</v>
      </c>
      <c r="H3501" s="39" t="n">
        <v>45839</v>
      </c>
      <c r="I3501" s="7" t="s">
        <v>14651</v>
      </c>
      <c r="J3501" s="8" t="str">
        <f aca="false">IF(I3501="Open",DATE(2025,12,31)-F3501,"-")</f>
        <v>-</v>
      </c>
    </row>
    <row r="3502" customFormat="false" ht="15" hidden="false" customHeight="false" outlineLevel="0" collapsed="false">
      <c r="B3502" s="7" t="s">
        <v>18147</v>
      </c>
      <c r="C3502" s="7" t="s">
        <v>3999</v>
      </c>
      <c r="D3502" s="7" t="s">
        <v>385</v>
      </c>
      <c r="E3502" s="7" t="s">
        <v>156</v>
      </c>
      <c r="F3502" s="39" t="n">
        <v>45831</v>
      </c>
      <c r="G3502" s="41" t="n">
        <v>131.92</v>
      </c>
      <c r="H3502" s="39" t="n">
        <v>45839</v>
      </c>
      <c r="I3502" s="7" t="s">
        <v>14651</v>
      </c>
      <c r="J3502" s="8" t="str">
        <f aca="false">IF(I3502="Open",DATE(2025,12,31)-F3502,"-")</f>
        <v>-</v>
      </c>
    </row>
    <row r="3503" customFormat="false" ht="15" hidden="false" customHeight="false" outlineLevel="0" collapsed="false">
      <c r="B3503" s="7" t="s">
        <v>18148</v>
      </c>
      <c r="C3503" s="7" t="s">
        <v>4000</v>
      </c>
      <c r="D3503" s="7" t="s">
        <v>389</v>
      </c>
      <c r="E3503" s="7" t="s">
        <v>154</v>
      </c>
      <c r="F3503" s="39" t="n">
        <v>45831</v>
      </c>
      <c r="G3503" s="41" t="n">
        <v>95.93</v>
      </c>
      <c r="H3503" s="39" t="n">
        <v>45884</v>
      </c>
      <c r="I3503" s="7" t="s">
        <v>14651</v>
      </c>
      <c r="J3503" s="8" t="str">
        <f aca="false">IF(I3503="Open",DATE(2025,12,31)-F3503,"-")</f>
        <v>-</v>
      </c>
    </row>
    <row r="3504" customFormat="false" ht="15" hidden="false" customHeight="false" outlineLevel="0" collapsed="false">
      <c r="B3504" s="7" t="s">
        <v>18149</v>
      </c>
      <c r="C3504" s="7" t="s">
        <v>4001</v>
      </c>
      <c r="D3504" s="7" t="s">
        <v>391</v>
      </c>
      <c r="E3504" s="7" t="s">
        <v>156</v>
      </c>
      <c r="F3504" s="39" t="n">
        <v>45831</v>
      </c>
      <c r="G3504" s="41" t="n">
        <v>135.66</v>
      </c>
      <c r="H3504" s="39" t="n">
        <v>45842</v>
      </c>
      <c r="I3504" s="7" t="s">
        <v>14651</v>
      </c>
      <c r="J3504" s="8" t="str">
        <f aca="false">IF(I3504="Open",DATE(2025,12,31)-F3504,"-")</f>
        <v>-</v>
      </c>
    </row>
    <row r="3505" customFormat="false" ht="15" hidden="false" customHeight="false" outlineLevel="0" collapsed="false">
      <c r="B3505" s="7" t="s">
        <v>18150</v>
      </c>
      <c r="C3505" s="7" t="s">
        <v>4002</v>
      </c>
      <c r="D3505" s="7" t="s">
        <v>395</v>
      </c>
      <c r="E3505" s="7" t="s">
        <v>156</v>
      </c>
      <c r="F3505" s="39" t="n">
        <v>45831</v>
      </c>
      <c r="G3505" s="41" t="n">
        <v>126.14</v>
      </c>
      <c r="H3505" s="39" t="n">
        <v>45841</v>
      </c>
      <c r="I3505" s="7" t="s">
        <v>14651</v>
      </c>
      <c r="J3505" s="8" t="str">
        <f aca="false">IF(I3505="Open",DATE(2025,12,31)-F3505,"-")</f>
        <v>-</v>
      </c>
    </row>
    <row r="3506" customFormat="false" ht="15" hidden="false" customHeight="false" outlineLevel="0" collapsed="false">
      <c r="B3506" s="7" t="s">
        <v>18151</v>
      </c>
      <c r="C3506" s="7" t="s">
        <v>4003</v>
      </c>
      <c r="D3506" s="7" t="s">
        <v>399</v>
      </c>
      <c r="E3506" s="7" t="s">
        <v>154</v>
      </c>
      <c r="F3506" s="39" t="n">
        <v>45831</v>
      </c>
      <c r="G3506" s="41" t="n">
        <v>81.09</v>
      </c>
      <c r="H3506" s="39" t="n">
        <v>45875</v>
      </c>
      <c r="I3506" s="7" t="s">
        <v>14651</v>
      </c>
      <c r="J3506" s="8" t="str">
        <f aca="false">IF(I3506="Open",DATE(2025,12,31)-F3506,"-")</f>
        <v>-</v>
      </c>
    </row>
    <row r="3507" customFormat="false" ht="15" hidden="false" customHeight="false" outlineLevel="0" collapsed="false">
      <c r="B3507" s="7" t="s">
        <v>18152</v>
      </c>
      <c r="C3507" s="7" t="s">
        <v>4004</v>
      </c>
      <c r="D3507" s="7" t="s">
        <v>401</v>
      </c>
      <c r="E3507" s="7" t="s">
        <v>156</v>
      </c>
      <c r="F3507" s="39" t="n">
        <v>45831</v>
      </c>
      <c r="G3507" s="41" t="n">
        <v>127.16</v>
      </c>
      <c r="H3507" s="39" t="n">
        <v>45845</v>
      </c>
      <c r="I3507" s="7" t="s">
        <v>14651</v>
      </c>
      <c r="J3507" s="8" t="str">
        <f aca="false">IF(I3507="Open",DATE(2025,12,31)-F3507,"-")</f>
        <v>-</v>
      </c>
    </row>
    <row r="3508" customFormat="false" ht="15" hidden="false" customHeight="false" outlineLevel="0" collapsed="false">
      <c r="B3508" s="7" t="s">
        <v>18153</v>
      </c>
      <c r="C3508" s="7" t="s">
        <v>4005</v>
      </c>
      <c r="D3508" s="7" t="s">
        <v>409</v>
      </c>
      <c r="E3508" s="7" t="s">
        <v>154</v>
      </c>
      <c r="F3508" s="39" t="n">
        <v>45831</v>
      </c>
      <c r="G3508" s="41" t="n">
        <v>92.48</v>
      </c>
      <c r="H3508" s="39" t="n">
        <v>45869</v>
      </c>
      <c r="I3508" s="7" t="s">
        <v>14651</v>
      </c>
      <c r="J3508" s="8" t="str">
        <f aca="false">IF(I3508="Open",DATE(2025,12,31)-F3508,"-")</f>
        <v>-</v>
      </c>
    </row>
    <row r="3509" customFormat="false" ht="15" hidden="false" customHeight="false" outlineLevel="0" collapsed="false">
      <c r="B3509" s="7" t="s">
        <v>18154</v>
      </c>
      <c r="C3509" s="7" t="s">
        <v>4006</v>
      </c>
      <c r="D3509" s="7" t="s">
        <v>411</v>
      </c>
      <c r="E3509" s="7" t="s">
        <v>154</v>
      </c>
      <c r="F3509" s="39" t="n">
        <v>45831</v>
      </c>
      <c r="G3509" s="41" t="n">
        <v>129.85</v>
      </c>
      <c r="H3509" s="39" t="n">
        <v>45883</v>
      </c>
      <c r="I3509" s="7" t="s">
        <v>14651</v>
      </c>
      <c r="J3509" s="8" t="str">
        <f aca="false">IF(I3509="Open",DATE(2025,12,31)-F3509,"-")</f>
        <v>-</v>
      </c>
    </row>
    <row r="3510" customFormat="false" ht="15" hidden="false" customHeight="false" outlineLevel="0" collapsed="false">
      <c r="B3510" s="7" t="s">
        <v>18155</v>
      </c>
      <c r="C3510" s="7" t="s">
        <v>4007</v>
      </c>
      <c r="D3510" s="7" t="s">
        <v>288</v>
      </c>
      <c r="E3510" s="7" t="s">
        <v>156</v>
      </c>
      <c r="F3510" s="39" t="n">
        <v>45832</v>
      </c>
      <c r="G3510" s="41" t="n">
        <v>131.24</v>
      </c>
      <c r="H3510" s="39" t="n">
        <v>45838</v>
      </c>
      <c r="I3510" s="7" t="s">
        <v>14651</v>
      </c>
      <c r="J3510" s="8" t="str">
        <f aca="false">IF(I3510="Open",DATE(2025,12,31)-F3510,"-")</f>
        <v>-</v>
      </c>
    </row>
    <row r="3511" customFormat="false" ht="15" hidden="false" customHeight="false" outlineLevel="0" collapsed="false">
      <c r="B3511" s="7" t="s">
        <v>18156</v>
      </c>
      <c r="C3511" s="7" t="s">
        <v>4008</v>
      </c>
      <c r="D3511" s="7" t="s">
        <v>301</v>
      </c>
      <c r="E3511" s="7" t="s">
        <v>157</v>
      </c>
      <c r="F3511" s="39" t="n">
        <v>45832</v>
      </c>
      <c r="G3511" s="41" t="n">
        <v>171.6</v>
      </c>
      <c r="H3511" s="39" t="n">
        <v>45861</v>
      </c>
      <c r="I3511" s="7" t="s">
        <v>14651</v>
      </c>
      <c r="J3511" s="8" t="str">
        <f aca="false">IF(I3511="Open",DATE(2025,12,31)-F3511,"-")</f>
        <v>-</v>
      </c>
    </row>
    <row r="3512" customFormat="false" ht="15" hidden="false" customHeight="false" outlineLevel="0" collapsed="false">
      <c r="B3512" s="7" t="s">
        <v>18157</v>
      </c>
      <c r="C3512" s="7" t="s">
        <v>4009</v>
      </c>
      <c r="D3512" s="7" t="s">
        <v>313</v>
      </c>
      <c r="E3512" s="7" t="s">
        <v>156</v>
      </c>
      <c r="F3512" s="39" t="n">
        <v>45832</v>
      </c>
      <c r="G3512" s="41" t="n">
        <v>136</v>
      </c>
      <c r="H3512" s="39" t="n">
        <v>45842</v>
      </c>
      <c r="I3512" s="7" t="s">
        <v>14651</v>
      </c>
      <c r="J3512" s="8" t="str">
        <f aca="false">IF(I3512="Open",DATE(2025,12,31)-F3512,"-")</f>
        <v>-</v>
      </c>
    </row>
    <row r="3513" customFormat="false" ht="15" hidden="false" customHeight="false" outlineLevel="0" collapsed="false">
      <c r="B3513" s="7" t="s">
        <v>18158</v>
      </c>
      <c r="C3513" s="7" t="s">
        <v>4010</v>
      </c>
      <c r="D3513" s="7" t="s">
        <v>319</v>
      </c>
      <c r="E3513" s="7" t="s">
        <v>157</v>
      </c>
      <c r="F3513" s="39" t="n">
        <v>45832</v>
      </c>
      <c r="G3513" s="41" t="n">
        <v>161.7</v>
      </c>
      <c r="H3513" s="39" t="n">
        <v>45864</v>
      </c>
      <c r="I3513" s="7" t="s">
        <v>14651</v>
      </c>
      <c r="J3513" s="8" t="str">
        <f aca="false">IF(I3513="Open",DATE(2025,12,31)-F3513,"-")</f>
        <v>-</v>
      </c>
    </row>
    <row r="3514" customFormat="false" ht="15" hidden="false" customHeight="false" outlineLevel="0" collapsed="false">
      <c r="B3514" s="7" t="s">
        <v>18159</v>
      </c>
      <c r="C3514" s="7" t="s">
        <v>4011</v>
      </c>
      <c r="D3514" s="7" t="s">
        <v>321</v>
      </c>
      <c r="E3514" s="7" t="s">
        <v>154</v>
      </c>
      <c r="F3514" s="39" t="n">
        <v>45832</v>
      </c>
      <c r="G3514" s="41" t="n">
        <v>115.01</v>
      </c>
      <c r="H3514" s="39" t="n">
        <v>45885</v>
      </c>
      <c r="I3514" s="7" t="s">
        <v>14651</v>
      </c>
      <c r="J3514" s="8" t="str">
        <f aca="false">IF(I3514="Open",DATE(2025,12,31)-F3514,"-")</f>
        <v>-</v>
      </c>
    </row>
    <row r="3515" customFormat="false" ht="15" hidden="false" customHeight="false" outlineLevel="0" collapsed="false">
      <c r="B3515" s="7" t="s">
        <v>18160</v>
      </c>
      <c r="C3515" s="7" t="s">
        <v>4012</v>
      </c>
      <c r="D3515" s="7" t="s">
        <v>327</v>
      </c>
      <c r="E3515" s="7" t="s">
        <v>157</v>
      </c>
      <c r="F3515" s="39" t="n">
        <v>45832</v>
      </c>
      <c r="G3515" s="41" t="n">
        <v>173.25</v>
      </c>
      <c r="H3515" s="39" t="n">
        <v>45871</v>
      </c>
      <c r="I3515" s="7" t="s">
        <v>14651</v>
      </c>
      <c r="J3515" s="8" t="str">
        <f aca="false">IF(I3515="Open",DATE(2025,12,31)-F3515,"-")</f>
        <v>-</v>
      </c>
    </row>
    <row r="3516" customFormat="false" ht="15" hidden="false" customHeight="false" outlineLevel="0" collapsed="false">
      <c r="B3516" s="7" t="s">
        <v>18161</v>
      </c>
      <c r="C3516" s="7" t="s">
        <v>4013</v>
      </c>
      <c r="D3516" s="7" t="s">
        <v>329</v>
      </c>
      <c r="E3516" s="7" t="s">
        <v>156</v>
      </c>
      <c r="F3516" s="39" t="n">
        <v>45832</v>
      </c>
      <c r="G3516" s="41" t="n">
        <v>125.12</v>
      </c>
      <c r="H3516" s="39" t="n">
        <v>45847</v>
      </c>
      <c r="I3516" s="7" t="s">
        <v>14651</v>
      </c>
      <c r="J3516" s="8" t="str">
        <f aca="false">IF(I3516="Open",DATE(2025,12,31)-F3516,"-")</f>
        <v>-</v>
      </c>
    </row>
    <row r="3517" customFormat="false" ht="15" hidden="false" customHeight="false" outlineLevel="0" collapsed="false">
      <c r="B3517" s="7" t="s">
        <v>18162</v>
      </c>
      <c r="C3517" s="7" t="s">
        <v>4014</v>
      </c>
      <c r="D3517" s="7" t="s">
        <v>359</v>
      </c>
      <c r="E3517" s="7" t="s">
        <v>156</v>
      </c>
      <c r="F3517" s="39" t="n">
        <v>45832</v>
      </c>
      <c r="G3517" s="41" t="n">
        <v>133.62</v>
      </c>
      <c r="H3517" s="39" t="n">
        <v>45839</v>
      </c>
      <c r="I3517" s="7" t="s">
        <v>14651</v>
      </c>
      <c r="J3517" s="8" t="str">
        <f aca="false">IF(I3517="Open",DATE(2025,12,31)-F3517,"-")</f>
        <v>-</v>
      </c>
    </row>
    <row r="3518" customFormat="false" ht="15" hidden="false" customHeight="false" outlineLevel="0" collapsed="false">
      <c r="B3518" s="7" t="s">
        <v>18163</v>
      </c>
      <c r="C3518" s="7" t="s">
        <v>4015</v>
      </c>
      <c r="D3518" s="7" t="s">
        <v>361</v>
      </c>
      <c r="E3518" s="7" t="s">
        <v>157</v>
      </c>
      <c r="F3518" s="39" t="n">
        <v>45832</v>
      </c>
      <c r="G3518" s="41" t="n">
        <v>155.1</v>
      </c>
      <c r="H3518" s="39" t="n">
        <v>45872</v>
      </c>
      <c r="I3518" s="7" t="s">
        <v>14651</v>
      </c>
      <c r="J3518" s="8" t="str">
        <f aca="false">IF(I3518="Open",DATE(2025,12,31)-F3518,"-")</f>
        <v>-</v>
      </c>
    </row>
    <row r="3519" customFormat="false" ht="15" hidden="false" customHeight="false" outlineLevel="0" collapsed="false">
      <c r="B3519" s="7" t="s">
        <v>18164</v>
      </c>
      <c r="C3519" s="7" t="s">
        <v>4016</v>
      </c>
      <c r="D3519" s="7" t="s">
        <v>365</v>
      </c>
      <c r="E3519" s="7" t="s">
        <v>154</v>
      </c>
      <c r="F3519" s="39" t="n">
        <v>45832</v>
      </c>
      <c r="G3519" s="41" t="n">
        <v>96.99</v>
      </c>
      <c r="H3519" s="39" t="n">
        <v>45873</v>
      </c>
      <c r="I3519" s="7" t="s">
        <v>14651</v>
      </c>
      <c r="J3519" s="8" t="str">
        <f aca="false">IF(I3519="Open",DATE(2025,12,31)-F3519,"-")</f>
        <v>-</v>
      </c>
    </row>
    <row r="3520" customFormat="false" ht="15" hidden="false" customHeight="false" outlineLevel="0" collapsed="false">
      <c r="B3520" s="7" t="s">
        <v>18165</v>
      </c>
      <c r="C3520" s="7" t="s">
        <v>4017</v>
      </c>
      <c r="D3520" s="7" t="s">
        <v>381</v>
      </c>
      <c r="E3520" s="7" t="s">
        <v>157</v>
      </c>
      <c r="F3520" s="39" t="n">
        <v>45832</v>
      </c>
      <c r="G3520" s="41" t="n">
        <v>148.5</v>
      </c>
      <c r="H3520" s="39" t="n">
        <v>45897</v>
      </c>
      <c r="I3520" s="7" t="s">
        <v>14651</v>
      </c>
      <c r="J3520" s="8" t="str">
        <f aca="false">IF(I3520="Open",DATE(2025,12,31)-F3520,"-")</f>
        <v>-</v>
      </c>
    </row>
    <row r="3521" customFormat="false" ht="15" hidden="false" customHeight="false" outlineLevel="0" collapsed="false">
      <c r="B3521" s="7" t="s">
        <v>18166</v>
      </c>
      <c r="C3521" s="7" t="s">
        <v>4018</v>
      </c>
      <c r="D3521" s="7" t="s">
        <v>389</v>
      </c>
      <c r="E3521" s="7" t="s">
        <v>154</v>
      </c>
      <c r="F3521" s="39" t="n">
        <v>45832</v>
      </c>
      <c r="G3521" s="41" t="n">
        <v>108.65</v>
      </c>
      <c r="H3521" s="39" t="n">
        <v>45874</v>
      </c>
      <c r="I3521" s="7" t="s">
        <v>14651</v>
      </c>
      <c r="J3521" s="8" t="str">
        <f aca="false">IF(I3521="Open",DATE(2025,12,31)-F3521,"-")</f>
        <v>-</v>
      </c>
    </row>
    <row r="3522" customFormat="false" ht="15" hidden="false" customHeight="false" outlineLevel="0" collapsed="false">
      <c r="B3522" s="7" t="s">
        <v>18167</v>
      </c>
      <c r="C3522" s="7" t="s">
        <v>4019</v>
      </c>
      <c r="D3522" s="7" t="s">
        <v>391</v>
      </c>
      <c r="E3522" s="7" t="s">
        <v>156</v>
      </c>
      <c r="F3522" s="39" t="n">
        <v>45832</v>
      </c>
      <c r="G3522" s="41" t="n">
        <v>123.08</v>
      </c>
      <c r="H3522" s="39" t="n">
        <v>45846</v>
      </c>
      <c r="I3522" s="7" t="s">
        <v>14651</v>
      </c>
      <c r="J3522" s="8" t="str">
        <f aca="false">IF(I3522="Open",DATE(2025,12,31)-F3522,"-")</f>
        <v>-</v>
      </c>
    </row>
    <row r="3523" customFormat="false" ht="15" hidden="false" customHeight="false" outlineLevel="0" collapsed="false">
      <c r="B3523" s="7" t="s">
        <v>18168</v>
      </c>
      <c r="C3523" s="7" t="s">
        <v>4020</v>
      </c>
      <c r="D3523" s="7" t="s">
        <v>395</v>
      </c>
      <c r="E3523" s="7" t="s">
        <v>156</v>
      </c>
      <c r="F3523" s="39" t="n">
        <v>45832</v>
      </c>
      <c r="G3523" s="41" t="n">
        <v>132.94</v>
      </c>
      <c r="H3523" s="39" t="n">
        <v>45842</v>
      </c>
      <c r="I3523" s="7" t="s">
        <v>14651</v>
      </c>
      <c r="J3523" s="8" t="str">
        <f aca="false">IF(I3523="Open",DATE(2025,12,31)-F3523,"-")</f>
        <v>-</v>
      </c>
    </row>
    <row r="3524" customFormat="false" ht="15" hidden="false" customHeight="false" outlineLevel="0" collapsed="false">
      <c r="B3524" s="7" t="s">
        <v>18169</v>
      </c>
      <c r="C3524" s="7" t="s">
        <v>4021</v>
      </c>
      <c r="D3524" s="7" t="s">
        <v>397</v>
      </c>
      <c r="E3524" s="7" t="s">
        <v>159</v>
      </c>
      <c r="F3524" s="39" t="n">
        <v>45832</v>
      </c>
      <c r="G3524" s="41" t="n">
        <v>145.8</v>
      </c>
      <c r="H3524" s="39" t="n">
        <v>45871</v>
      </c>
      <c r="I3524" s="7" t="s">
        <v>14651</v>
      </c>
      <c r="J3524" s="8" t="str">
        <f aca="false">IF(I3524="Open",DATE(2025,12,31)-F3524,"-")</f>
        <v>-</v>
      </c>
    </row>
    <row r="3525" customFormat="false" ht="15" hidden="false" customHeight="false" outlineLevel="0" collapsed="false">
      <c r="B3525" s="7" t="s">
        <v>18170</v>
      </c>
      <c r="C3525" s="7" t="s">
        <v>4022</v>
      </c>
      <c r="D3525" s="7" t="s">
        <v>401</v>
      </c>
      <c r="E3525" s="7" t="s">
        <v>156</v>
      </c>
      <c r="F3525" s="39" t="n">
        <v>45832</v>
      </c>
      <c r="G3525" s="41" t="n">
        <v>128.86</v>
      </c>
      <c r="H3525" s="39" t="n">
        <v>45839</v>
      </c>
      <c r="I3525" s="7" t="s">
        <v>14651</v>
      </c>
      <c r="J3525" s="8" t="str">
        <f aca="false">IF(I3525="Open",DATE(2025,12,31)-F3525,"-")</f>
        <v>-</v>
      </c>
    </row>
    <row r="3526" customFormat="false" ht="15" hidden="false" customHeight="false" outlineLevel="0" collapsed="false">
      <c r="B3526" s="7" t="s">
        <v>18171</v>
      </c>
      <c r="C3526" s="7" t="s">
        <v>4023</v>
      </c>
      <c r="D3526" s="7" t="s">
        <v>407</v>
      </c>
      <c r="E3526" s="7" t="s">
        <v>159</v>
      </c>
      <c r="F3526" s="39" t="n">
        <v>45832</v>
      </c>
      <c r="G3526" s="41" t="n">
        <v>117.99</v>
      </c>
      <c r="H3526" s="39" t="n">
        <v>45932</v>
      </c>
      <c r="I3526" s="7" t="s">
        <v>14651</v>
      </c>
      <c r="J3526" s="8" t="str">
        <f aca="false">IF(I3526="Open",DATE(2025,12,31)-F3526,"-")</f>
        <v>-</v>
      </c>
    </row>
    <row r="3527" customFormat="false" ht="15" hidden="false" customHeight="false" outlineLevel="0" collapsed="false">
      <c r="B3527" s="7" t="s">
        <v>18172</v>
      </c>
      <c r="C3527" s="7" t="s">
        <v>4024</v>
      </c>
      <c r="D3527" s="7" t="s">
        <v>280</v>
      </c>
      <c r="E3527" s="7" t="s">
        <v>157</v>
      </c>
      <c r="F3527" s="39" t="n">
        <v>45833</v>
      </c>
      <c r="G3527" s="41" t="n">
        <v>150.15</v>
      </c>
      <c r="H3527" s="39" t="n">
        <v>45879</v>
      </c>
      <c r="I3527" s="7" t="s">
        <v>14651</v>
      </c>
      <c r="J3527" s="8" t="str">
        <f aca="false">IF(I3527="Open",DATE(2025,12,31)-F3527,"-")</f>
        <v>-</v>
      </c>
    </row>
    <row r="3528" customFormat="false" ht="15" hidden="false" customHeight="false" outlineLevel="0" collapsed="false">
      <c r="B3528" s="7" t="s">
        <v>18173</v>
      </c>
      <c r="C3528" s="7" t="s">
        <v>4025</v>
      </c>
      <c r="D3528" s="7" t="s">
        <v>288</v>
      </c>
      <c r="E3528" s="7" t="s">
        <v>156</v>
      </c>
      <c r="F3528" s="39" t="n">
        <v>45833</v>
      </c>
      <c r="G3528" s="41" t="n">
        <v>141.1</v>
      </c>
      <c r="H3528" s="39" t="n">
        <v>45840</v>
      </c>
      <c r="I3528" s="7" t="s">
        <v>14651</v>
      </c>
      <c r="J3528" s="8" t="str">
        <f aca="false">IF(I3528="Open",DATE(2025,12,31)-F3528,"-")</f>
        <v>-</v>
      </c>
    </row>
    <row r="3529" customFormat="false" ht="15" hidden="false" customHeight="false" outlineLevel="0" collapsed="false">
      <c r="B3529" s="7" t="s">
        <v>18174</v>
      </c>
      <c r="C3529" s="7" t="s">
        <v>4026</v>
      </c>
      <c r="D3529" s="7" t="s">
        <v>291</v>
      </c>
      <c r="E3529" s="7" t="s">
        <v>154</v>
      </c>
      <c r="F3529" s="39" t="n">
        <v>45833</v>
      </c>
      <c r="G3529" s="41" t="n">
        <v>131.36</v>
      </c>
      <c r="H3529" s="39" t="n">
        <v>45950</v>
      </c>
      <c r="I3529" s="7" t="s">
        <v>14651</v>
      </c>
      <c r="J3529" s="8" t="str">
        <f aca="false">IF(I3529="Open",DATE(2025,12,31)-F3529,"-")</f>
        <v>-</v>
      </c>
    </row>
    <row r="3530" customFormat="false" ht="15" hidden="false" customHeight="false" outlineLevel="0" collapsed="false">
      <c r="B3530" s="7" t="s">
        <v>18175</v>
      </c>
      <c r="C3530" s="7" t="s">
        <v>4027</v>
      </c>
      <c r="D3530" s="7" t="s">
        <v>305</v>
      </c>
      <c r="E3530" s="7" t="s">
        <v>154</v>
      </c>
      <c r="F3530" s="39" t="n">
        <v>45833</v>
      </c>
      <c r="G3530" s="41" t="n">
        <v>108.12</v>
      </c>
      <c r="H3530" s="39" t="n">
        <v>45935</v>
      </c>
      <c r="I3530" s="7" t="s">
        <v>14651</v>
      </c>
      <c r="J3530" s="8" t="str">
        <f aca="false">IF(I3530="Open",DATE(2025,12,31)-F3530,"-")</f>
        <v>-</v>
      </c>
    </row>
    <row r="3531" customFormat="false" ht="15" hidden="false" customHeight="false" outlineLevel="0" collapsed="false">
      <c r="B3531" s="7" t="s">
        <v>18176</v>
      </c>
      <c r="C3531" s="7" t="s">
        <v>4028</v>
      </c>
      <c r="D3531" s="7" t="s">
        <v>307</v>
      </c>
      <c r="E3531" s="7" t="s">
        <v>157</v>
      </c>
      <c r="F3531" s="39" t="n">
        <v>45833</v>
      </c>
      <c r="G3531" s="41" t="n">
        <v>153.45</v>
      </c>
      <c r="H3531" s="39" t="n">
        <v>45869</v>
      </c>
      <c r="I3531" s="7" t="s">
        <v>14651</v>
      </c>
      <c r="J3531" s="8" t="str">
        <f aca="false">IF(I3531="Open",DATE(2025,12,31)-F3531,"-")</f>
        <v>-</v>
      </c>
    </row>
    <row r="3532" customFormat="false" ht="15" hidden="false" customHeight="false" outlineLevel="0" collapsed="false">
      <c r="B3532" s="7" t="s">
        <v>18177</v>
      </c>
      <c r="C3532" s="7" t="s">
        <v>4029</v>
      </c>
      <c r="D3532" s="7" t="s">
        <v>309</v>
      </c>
      <c r="E3532" s="7" t="s">
        <v>159</v>
      </c>
      <c r="F3532" s="39" t="n">
        <v>45833</v>
      </c>
      <c r="G3532" s="41" t="n">
        <v>121.5</v>
      </c>
      <c r="H3532" s="39" t="n">
        <v>45850</v>
      </c>
      <c r="I3532" s="7" t="s">
        <v>14651</v>
      </c>
      <c r="J3532" s="8" t="str">
        <f aca="false">IF(I3532="Open",DATE(2025,12,31)-F3532,"-")</f>
        <v>-</v>
      </c>
    </row>
    <row r="3533" customFormat="false" ht="15" hidden="false" customHeight="false" outlineLevel="0" collapsed="false">
      <c r="B3533" s="7" t="s">
        <v>18178</v>
      </c>
      <c r="C3533" s="7" t="s">
        <v>4030</v>
      </c>
      <c r="D3533" s="7" t="s">
        <v>313</v>
      </c>
      <c r="E3533" s="7" t="s">
        <v>156</v>
      </c>
      <c r="F3533" s="39" t="n">
        <v>45833</v>
      </c>
      <c r="G3533" s="41" t="n">
        <v>145.86</v>
      </c>
      <c r="H3533" s="39" t="n">
        <v>45839</v>
      </c>
      <c r="I3533" s="7" t="s">
        <v>14651</v>
      </c>
      <c r="J3533" s="8" t="str">
        <f aca="false">IF(I3533="Open",DATE(2025,12,31)-F3533,"-")</f>
        <v>-</v>
      </c>
    </row>
    <row r="3534" customFormat="false" ht="15" hidden="false" customHeight="false" outlineLevel="0" collapsed="false">
      <c r="B3534" s="7" t="s">
        <v>18179</v>
      </c>
      <c r="C3534" s="7" t="s">
        <v>4031</v>
      </c>
      <c r="D3534" s="7" t="s">
        <v>321</v>
      </c>
      <c r="E3534" s="7" t="s">
        <v>154</v>
      </c>
      <c r="F3534" s="39" t="n">
        <v>45833</v>
      </c>
      <c r="G3534" s="41" t="n">
        <v>96.99</v>
      </c>
      <c r="H3534" s="39" t="n">
        <v>45890</v>
      </c>
      <c r="I3534" s="7" t="s">
        <v>14651</v>
      </c>
      <c r="J3534" s="8" t="str">
        <f aca="false">IF(I3534="Open",DATE(2025,12,31)-F3534,"-")</f>
        <v>-</v>
      </c>
    </row>
    <row r="3535" customFormat="false" ht="15" hidden="false" customHeight="false" outlineLevel="0" collapsed="false">
      <c r="B3535" s="7" t="s">
        <v>18180</v>
      </c>
      <c r="C3535" s="7" t="s">
        <v>4032</v>
      </c>
      <c r="D3535" s="7" t="s">
        <v>329</v>
      </c>
      <c r="E3535" s="7" t="s">
        <v>156</v>
      </c>
      <c r="F3535" s="39" t="n">
        <v>45833</v>
      </c>
      <c r="G3535" s="41" t="n">
        <v>141.78</v>
      </c>
      <c r="H3535" s="39" t="n">
        <v>45838</v>
      </c>
      <c r="I3535" s="7" t="s">
        <v>14651</v>
      </c>
      <c r="J3535" s="8" t="str">
        <f aca="false">IF(I3535="Open",DATE(2025,12,31)-F3535,"-")</f>
        <v>-</v>
      </c>
    </row>
    <row r="3536" customFormat="false" ht="15" hidden="false" customHeight="false" outlineLevel="0" collapsed="false">
      <c r="B3536" s="7" t="s">
        <v>18181</v>
      </c>
      <c r="C3536" s="7" t="s">
        <v>4033</v>
      </c>
      <c r="D3536" s="7" t="s">
        <v>335</v>
      </c>
      <c r="E3536" s="7" t="s">
        <v>154</v>
      </c>
      <c r="F3536" s="39" t="n">
        <v>45833</v>
      </c>
      <c r="G3536" s="41" t="n">
        <v>105.89</v>
      </c>
      <c r="H3536" s="39" t="n">
        <v>45914</v>
      </c>
      <c r="I3536" s="7" t="s">
        <v>14651</v>
      </c>
      <c r="J3536" s="8" t="str">
        <f aca="false">IF(I3536="Open",DATE(2025,12,31)-F3536,"-")</f>
        <v>-</v>
      </c>
    </row>
    <row r="3537" customFormat="false" ht="15" hidden="false" customHeight="false" outlineLevel="0" collapsed="false">
      <c r="B3537" s="7" t="s">
        <v>18182</v>
      </c>
      <c r="C3537" s="7" t="s">
        <v>4034</v>
      </c>
      <c r="D3537" s="7" t="s">
        <v>339</v>
      </c>
      <c r="E3537" s="7" t="s">
        <v>154</v>
      </c>
      <c r="F3537" s="39" t="n">
        <v>45833</v>
      </c>
      <c r="G3537" s="41" t="n">
        <v>87.98</v>
      </c>
      <c r="H3537" s="39" t="n">
        <v>45875</v>
      </c>
      <c r="I3537" s="7" t="s">
        <v>14651</v>
      </c>
      <c r="J3537" s="8" t="str">
        <f aca="false">IF(I3537="Open",DATE(2025,12,31)-F3537,"-")</f>
        <v>-</v>
      </c>
    </row>
    <row r="3538" customFormat="false" ht="15" hidden="false" customHeight="false" outlineLevel="0" collapsed="false">
      <c r="B3538" s="7" t="s">
        <v>18183</v>
      </c>
      <c r="C3538" s="7" t="s">
        <v>4035</v>
      </c>
      <c r="D3538" s="7" t="s">
        <v>353</v>
      </c>
      <c r="E3538" s="7" t="s">
        <v>154</v>
      </c>
      <c r="F3538" s="39" t="n">
        <v>45833</v>
      </c>
      <c r="G3538" s="41" t="n">
        <v>86.66</v>
      </c>
      <c r="H3538" s="39" t="n">
        <v>45911</v>
      </c>
      <c r="I3538" s="7" t="s">
        <v>14651</v>
      </c>
      <c r="J3538" s="8" t="str">
        <f aca="false">IF(I3538="Open",DATE(2025,12,31)-F3538,"-")</f>
        <v>-</v>
      </c>
    </row>
    <row r="3539" customFormat="false" ht="15" hidden="false" customHeight="false" outlineLevel="0" collapsed="false">
      <c r="B3539" s="7" t="s">
        <v>18184</v>
      </c>
      <c r="C3539" s="7" t="s">
        <v>4036</v>
      </c>
      <c r="D3539" s="7" t="s">
        <v>355</v>
      </c>
      <c r="E3539" s="7" t="s">
        <v>154</v>
      </c>
      <c r="F3539" s="39" t="n">
        <v>45833</v>
      </c>
      <c r="G3539" s="41" t="n">
        <v>85.86</v>
      </c>
      <c r="H3539" s="39" t="n">
        <v>45904</v>
      </c>
      <c r="I3539" s="7" t="s">
        <v>14651</v>
      </c>
      <c r="J3539" s="8" t="str">
        <f aca="false">IF(I3539="Open",DATE(2025,12,31)-F3539,"-")</f>
        <v>-</v>
      </c>
    </row>
    <row r="3540" customFormat="false" ht="15" hidden="false" customHeight="false" outlineLevel="0" collapsed="false">
      <c r="B3540" s="7" t="s">
        <v>18185</v>
      </c>
      <c r="C3540" s="7" t="s">
        <v>4037</v>
      </c>
      <c r="D3540" s="7" t="s">
        <v>357</v>
      </c>
      <c r="E3540" s="7" t="s">
        <v>154</v>
      </c>
      <c r="F3540" s="39" t="n">
        <v>45833</v>
      </c>
      <c r="G3540" s="41" t="n">
        <v>88.17</v>
      </c>
      <c r="H3540" s="39" t="n">
        <v>45928</v>
      </c>
      <c r="I3540" s="7" t="s">
        <v>14651</v>
      </c>
      <c r="J3540" s="8" t="str">
        <f aca="false">IF(I3540="Open",DATE(2025,12,31)-F3540,"-")</f>
        <v>-</v>
      </c>
    </row>
    <row r="3541" customFormat="false" ht="15" hidden="false" customHeight="false" outlineLevel="0" collapsed="false">
      <c r="B3541" s="7" t="s">
        <v>18186</v>
      </c>
      <c r="C3541" s="7" t="s">
        <v>4038</v>
      </c>
      <c r="D3541" s="7" t="s">
        <v>359</v>
      </c>
      <c r="E3541" s="7" t="s">
        <v>156</v>
      </c>
      <c r="F3541" s="39" t="n">
        <v>45833</v>
      </c>
      <c r="G3541" s="41" t="n">
        <v>126.48</v>
      </c>
      <c r="H3541" s="39" t="n">
        <v>45841</v>
      </c>
      <c r="I3541" s="7" t="s">
        <v>14651</v>
      </c>
      <c r="J3541" s="8" t="str">
        <f aca="false">IF(I3541="Open",DATE(2025,12,31)-F3541,"-")</f>
        <v>-</v>
      </c>
    </row>
    <row r="3542" customFormat="false" ht="15" hidden="false" customHeight="false" outlineLevel="0" collapsed="false">
      <c r="B3542" s="7" t="s">
        <v>18187</v>
      </c>
      <c r="C3542" s="7" t="s">
        <v>4039</v>
      </c>
      <c r="D3542" s="7" t="s">
        <v>365</v>
      </c>
      <c r="E3542" s="7" t="s">
        <v>154</v>
      </c>
      <c r="F3542" s="39" t="n">
        <v>45833</v>
      </c>
      <c r="G3542" s="41" t="n">
        <v>111.3</v>
      </c>
      <c r="H3542" s="39" t="n">
        <v>45870</v>
      </c>
      <c r="I3542" s="7" t="s">
        <v>14651</v>
      </c>
      <c r="J3542" s="8" t="str">
        <f aca="false">IF(I3542="Open",DATE(2025,12,31)-F3542,"-")</f>
        <v>-</v>
      </c>
    </row>
    <row r="3543" customFormat="false" ht="15" hidden="false" customHeight="false" outlineLevel="0" collapsed="false">
      <c r="B3543" s="7" t="s">
        <v>18188</v>
      </c>
      <c r="C3543" s="7" t="s">
        <v>4040</v>
      </c>
      <c r="D3543" s="7" t="s">
        <v>371</v>
      </c>
      <c r="E3543" s="7" t="s">
        <v>154</v>
      </c>
      <c r="F3543" s="39" t="n">
        <v>45833</v>
      </c>
      <c r="G3543" s="41" t="n">
        <v>121.63</v>
      </c>
      <c r="H3543" s="39" t="n">
        <v>45907</v>
      </c>
      <c r="I3543" s="7" t="s">
        <v>14651</v>
      </c>
      <c r="J3543" s="8" t="str">
        <f aca="false">IF(I3543="Open",DATE(2025,12,31)-F3543,"-")</f>
        <v>-</v>
      </c>
    </row>
    <row r="3544" customFormat="false" ht="15" hidden="false" customHeight="false" outlineLevel="0" collapsed="false">
      <c r="B3544" s="7" t="s">
        <v>18189</v>
      </c>
      <c r="C3544" s="7" t="s">
        <v>4041</v>
      </c>
      <c r="D3544" s="7" t="s">
        <v>379</v>
      </c>
      <c r="E3544" s="7" t="s">
        <v>156</v>
      </c>
      <c r="F3544" s="39" t="n">
        <v>45833</v>
      </c>
      <c r="G3544" s="41" t="n">
        <v>167.96</v>
      </c>
      <c r="H3544" s="39" t="n">
        <v>45844</v>
      </c>
      <c r="I3544" s="7" t="s">
        <v>14651</v>
      </c>
      <c r="J3544" s="8" t="str">
        <f aca="false">IF(I3544="Open",DATE(2025,12,31)-F3544,"-")</f>
        <v>-</v>
      </c>
    </row>
    <row r="3545" customFormat="false" ht="15" hidden="false" customHeight="false" outlineLevel="0" collapsed="false">
      <c r="B3545" s="7" t="s">
        <v>18190</v>
      </c>
      <c r="C3545" s="7" t="s">
        <v>4042</v>
      </c>
      <c r="D3545" s="7" t="s">
        <v>385</v>
      </c>
      <c r="E3545" s="7" t="s">
        <v>156</v>
      </c>
      <c r="F3545" s="39" t="n">
        <v>45833</v>
      </c>
      <c r="G3545" s="41" t="n">
        <v>139.74</v>
      </c>
      <c r="H3545" s="39" t="n">
        <v>45843</v>
      </c>
      <c r="I3545" s="7" t="s">
        <v>14651</v>
      </c>
      <c r="J3545" s="8" t="str">
        <f aca="false">IF(I3545="Open",DATE(2025,12,31)-F3545,"-")</f>
        <v>-</v>
      </c>
    </row>
    <row r="3546" customFormat="false" ht="15" hidden="false" customHeight="false" outlineLevel="0" collapsed="false">
      <c r="B3546" s="7" t="s">
        <v>18191</v>
      </c>
      <c r="C3546" s="7" t="s">
        <v>4043</v>
      </c>
      <c r="D3546" s="7" t="s">
        <v>389</v>
      </c>
      <c r="E3546" s="7" t="s">
        <v>154</v>
      </c>
      <c r="F3546" s="39" t="n">
        <v>45833</v>
      </c>
      <c r="G3546" s="41" t="n">
        <v>105.73</v>
      </c>
      <c r="H3546" s="39" t="n">
        <v>45893</v>
      </c>
      <c r="I3546" s="7" t="s">
        <v>14651</v>
      </c>
      <c r="J3546" s="8" t="str">
        <f aca="false">IF(I3546="Open",DATE(2025,12,31)-F3546,"-")</f>
        <v>-</v>
      </c>
    </row>
    <row r="3547" customFormat="false" ht="15" hidden="false" customHeight="false" outlineLevel="0" collapsed="false">
      <c r="B3547" s="7" t="s">
        <v>18192</v>
      </c>
      <c r="C3547" s="7" t="s">
        <v>4044</v>
      </c>
      <c r="D3547" s="7" t="s">
        <v>391</v>
      </c>
      <c r="E3547" s="7" t="s">
        <v>156</v>
      </c>
      <c r="F3547" s="39" t="n">
        <v>45833</v>
      </c>
      <c r="G3547" s="41" t="n">
        <v>130.56</v>
      </c>
      <c r="H3547" s="39" t="n">
        <v>45847</v>
      </c>
      <c r="I3547" s="7" t="s">
        <v>14651</v>
      </c>
      <c r="J3547" s="8" t="str">
        <f aca="false">IF(I3547="Open",DATE(2025,12,31)-F3547,"-")</f>
        <v>-</v>
      </c>
    </row>
    <row r="3548" customFormat="false" ht="15" hidden="false" customHeight="false" outlineLevel="0" collapsed="false">
      <c r="B3548" s="7" t="s">
        <v>18193</v>
      </c>
      <c r="C3548" s="7" t="s">
        <v>4045</v>
      </c>
      <c r="D3548" s="7" t="s">
        <v>393</v>
      </c>
      <c r="E3548" s="7" t="s">
        <v>157</v>
      </c>
      <c r="F3548" s="39" t="n">
        <v>45833</v>
      </c>
      <c r="G3548" s="41" t="n">
        <v>171.6</v>
      </c>
      <c r="H3548" s="39" t="n">
        <v>45873</v>
      </c>
      <c r="I3548" s="7" t="s">
        <v>14651</v>
      </c>
      <c r="J3548" s="8" t="str">
        <f aca="false">IF(I3548="Open",DATE(2025,12,31)-F3548,"-")</f>
        <v>-</v>
      </c>
    </row>
    <row r="3549" customFormat="false" ht="15" hidden="false" customHeight="false" outlineLevel="0" collapsed="false">
      <c r="B3549" s="7" t="s">
        <v>18194</v>
      </c>
      <c r="C3549" s="7" t="s">
        <v>4046</v>
      </c>
      <c r="D3549" s="7" t="s">
        <v>395</v>
      </c>
      <c r="E3549" s="7" t="s">
        <v>156</v>
      </c>
      <c r="F3549" s="39" t="n">
        <v>45833</v>
      </c>
      <c r="G3549" s="41" t="n">
        <v>143.14</v>
      </c>
      <c r="H3549" s="39" t="n">
        <v>45847</v>
      </c>
      <c r="I3549" s="7" t="s">
        <v>14651</v>
      </c>
      <c r="J3549" s="8" t="str">
        <f aca="false">IF(I3549="Open",DATE(2025,12,31)-F3549,"-")</f>
        <v>-</v>
      </c>
    </row>
    <row r="3550" customFormat="false" ht="15" hidden="false" customHeight="false" outlineLevel="0" collapsed="false">
      <c r="B3550" s="7" t="s">
        <v>18195</v>
      </c>
      <c r="C3550" s="7" t="s">
        <v>4047</v>
      </c>
      <c r="D3550" s="7" t="s">
        <v>399</v>
      </c>
      <c r="E3550" s="7" t="s">
        <v>154</v>
      </c>
      <c r="F3550" s="39" t="n">
        <v>45833</v>
      </c>
      <c r="G3550" s="41" t="n">
        <v>83.47</v>
      </c>
      <c r="H3550" s="39" t="n">
        <v>45901</v>
      </c>
      <c r="I3550" s="7" t="s">
        <v>14651</v>
      </c>
      <c r="J3550" s="8" t="str">
        <f aca="false">IF(I3550="Open",DATE(2025,12,31)-F3550,"-")</f>
        <v>-</v>
      </c>
    </row>
    <row r="3551" customFormat="false" ht="15" hidden="false" customHeight="false" outlineLevel="0" collapsed="false">
      <c r="B3551" s="7" t="s">
        <v>18196</v>
      </c>
      <c r="C3551" s="7" t="s">
        <v>4048</v>
      </c>
      <c r="D3551" s="7" t="s">
        <v>401</v>
      </c>
      <c r="E3551" s="7" t="s">
        <v>156</v>
      </c>
      <c r="F3551" s="39" t="n">
        <v>45833</v>
      </c>
      <c r="G3551" s="41" t="n">
        <v>130.9</v>
      </c>
      <c r="H3551" s="39" t="n">
        <v>45843</v>
      </c>
      <c r="I3551" s="7" t="s">
        <v>14651</v>
      </c>
      <c r="J3551" s="8" t="str">
        <f aca="false">IF(I3551="Open",DATE(2025,12,31)-F3551,"-")</f>
        <v>-</v>
      </c>
    </row>
    <row r="3552" customFormat="false" ht="15" hidden="false" customHeight="false" outlineLevel="0" collapsed="false">
      <c r="B3552" s="7" t="s">
        <v>18197</v>
      </c>
      <c r="C3552" s="7" t="s">
        <v>4049</v>
      </c>
      <c r="D3552" s="7" t="s">
        <v>409</v>
      </c>
      <c r="E3552" s="7" t="s">
        <v>154</v>
      </c>
      <c r="F3552" s="39" t="n">
        <v>45833</v>
      </c>
      <c r="G3552" s="41" t="n">
        <v>84.8</v>
      </c>
      <c r="H3552" s="39" t="n">
        <v>45905</v>
      </c>
      <c r="I3552" s="7" t="s">
        <v>14651</v>
      </c>
      <c r="J3552" s="8" t="str">
        <f aca="false">IF(I3552="Open",DATE(2025,12,31)-F3552,"-")</f>
        <v>-</v>
      </c>
    </row>
    <row r="3553" customFormat="false" ht="15" hidden="false" customHeight="false" outlineLevel="0" collapsed="false">
      <c r="B3553" s="7" t="s">
        <v>18198</v>
      </c>
      <c r="C3553" s="7" t="s">
        <v>4050</v>
      </c>
      <c r="D3553" s="7" t="s">
        <v>411</v>
      </c>
      <c r="E3553" s="7" t="s">
        <v>154</v>
      </c>
      <c r="F3553" s="39" t="n">
        <v>45833</v>
      </c>
      <c r="G3553" s="41" t="n">
        <v>111.56</v>
      </c>
      <c r="H3553" s="39" t="n">
        <v>45893</v>
      </c>
      <c r="I3553" s="7" t="s">
        <v>14651</v>
      </c>
      <c r="J3553" s="8" t="str">
        <f aca="false">IF(I3553="Open",DATE(2025,12,31)-F3553,"-")</f>
        <v>-</v>
      </c>
    </row>
    <row r="3554" customFormat="false" ht="15" hidden="false" customHeight="false" outlineLevel="0" collapsed="false">
      <c r="B3554" s="7" t="s">
        <v>18199</v>
      </c>
      <c r="C3554" s="7" t="s">
        <v>4051</v>
      </c>
      <c r="D3554" s="7" t="s">
        <v>288</v>
      </c>
      <c r="E3554" s="7" t="s">
        <v>156</v>
      </c>
      <c r="F3554" s="39" t="n">
        <v>45834</v>
      </c>
      <c r="G3554" s="41" t="n">
        <v>139.06</v>
      </c>
      <c r="H3554" s="39" t="n">
        <v>45848</v>
      </c>
      <c r="I3554" s="7" t="s">
        <v>14651</v>
      </c>
      <c r="J3554" s="8" t="str">
        <f aca="false">IF(I3554="Open",DATE(2025,12,31)-F3554,"-")</f>
        <v>-</v>
      </c>
    </row>
    <row r="3555" customFormat="false" ht="15" hidden="false" customHeight="false" outlineLevel="0" collapsed="false">
      <c r="B3555" s="7" t="s">
        <v>18200</v>
      </c>
      <c r="C3555" s="7" t="s">
        <v>4052</v>
      </c>
      <c r="D3555" s="7" t="s">
        <v>297</v>
      </c>
      <c r="E3555" s="7" t="s">
        <v>156</v>
      </c>
      <c r="F3555" s="39" t="n">
        <v>45834</v>
      </c>
      <c r="G3555" s="41" t="n">
        <v>92.48</v>
      </c>
      <c r="H3555" s="39" t="n">
        <v>45842</v>
      </c>
      <c r="I3555" s="7" t="s">
        <v>14651</v>
      </c>
      <c r="J3555" s="8" t="str">
        <f aca="false">IF(I3555="Open",DATE(2025,12,31)-F3555,"-")</f>
        <v>-</v>
      </c>
    </row>
    <row r="3556" customFormat="false" ht="15" hidden="false" customHeight="false" outlineLevel="0" collapsed="false">
      <c r="B3556" s="7" t="s">
        <v>18201</v>
      </c>
      <c r="C3556" s="7" t="s">
        <v>4053</v>
      </c>
      <c r="D3556" s="7" t="s">
        <v>311</v>
      </c>
      <c r="E3556" s="7" t="s">
        <v>154</v>
      </c>
      <c r="F3556" s="39" t="n">
        <v>45834</v>
      </c>
      <c r="G3556" s="41" t="n">
        <v>80.82</v>
      </c>
      <c r="H3556" s="39" t="n">
        <v>45892</v>
      </c>
      <c r="I3556" s="7" t="s">
        <v>14651</v>
      </c>
      <c r="J3556" s="8" t="str">
        <f aca="false">IF(I3556="Open",DATE(2025,12,31)-F3556,"-")</f>
        <v>-</v>
      </c>
    </row>
    <row r="3557" customFormat="false" ht="15" hidden="false" customHeight="false" outlineLevel="0" collapsed="false">
      <c r="B3557" s="7" t="s">
        <v>18202</v>
      </c>
      <c r="C3557" s="7" t="s">
        <v>4054</v>
      </c>
      <c r="D3557" s="7" t="s">
        <v>313</v>
      </c>
      <c r="E3557" s="7" t="s">
        <v>156</v>
      </c>
      <c r="F3557" s="39" t="n">
        <v>45834</v>
      </c>
      <c r="G3557" s="41" t="n">
        <v>142.8</v>
      </c>
      <c r="H3557" s="39" t="n">
        <v>45858</v>
      </c>
      <c r="I3557" s="7" t="s">
        <v>14651</v>
      </c>
      <c r="J3557" s="8" t="str">
        <f aca="false">IF(I3557="Open",DATE(2025,12,31)-F3557,"-")</f>
        <v>-</v>
      </c>
    </row>
    <row r="3558" customFormat="false" ht="15" hidden="false" customHeight="false" outlineLevel="0" collapsed="false">
      <c r="B3558" s="7" t="s">
        <v>18203</v>
      </c>
      <c r="C3558" s="7" t="s">
        <v>4055</v>
      </c>
      <c r="D3558" s="7" t="s">
        <v>317</v>
      </c>
      <c r="E3558" s="7" t="s">
        <v>156</v>
      </c>
      <c r="F3558" s="39" t="n">
        <v>45834</v>
      </c>
      <c r="G3558" s="41" t="n">
        <v>104.38</v>
      </c>
      <c r="H3558" s="39" t="n">
        <v>45844</v>
      </c>
      <c r="I3558" s="7" t="s">
        <v>14651</v>
      </c>
      <c r="J3558" s="8" t="str">
        <f aca="false">IF(I3558="Open",DATE(2025,12,31)-F3558,"-")</f>
        <v>-</v>
      </c>
    </row>
    <row r="3559" customFormat="false" ht="15" hidden="false" customHeight="false" outlineLevel="0" collapsed="false">
      <c r="B3559" s="7" t="s">
        <v>18204</v>
      </c>
      <c r="C3559" s="7" t="s">
        <v>4056</v>
      </c>
      <c r="D3559" s="7" t="s">
        <v>321</v>
      </c>
      <c r="E3559" s="7" t="s">
        <v>154</v>
      </c>
      <c r="F3559" s="39" t="n">
        <v>45834</v>
      </c>
      <c r="G3559" s="41" t="n">
        <v>98.58</v>
      </c>
      <c r="H3559" s="39" t="n">
        <v>45918</v>
      </c>
      <c r="I3559" s="7" t="s">
        <v>14651</v>
      </c>
      <c r="J3559" s="8" t="str">
        <f aca="false">IF(I3559="Open",DATE(2025,12,31)-F3559,"-")</f>
        <v>-</v>
      </c>
    </row>
    <row r="3560" customFormat="false" ht="15" hidden="false" customHeight="false" outlineLevel="0" collapsed="false">
      <c r="B3560" s="7" t="s">
        <v>18205</v>
      </c>
      <c r="C3560" s="7" t="s">
        <v>4057</v>
      </c>
      <c r="D3560" s="7" t="s">
        <v>325</v>
      </c>
      <c r="E3560" s="7" t="s">
        <v>154</v>
      </c>
      <c r="F3560" s="39" t="n">
        <v>45834</v>
      </c>
      <c r="G3560" s="41" t="n">
        <v>77.38</v>
      </c>
      <c r="H3560" s="39" t="n">
        <v>45853</v>
      </c>
      <c r="I3560" s="7" t="s">
        <v>14651</v>
      </c>
      <c r="J3560" s="8" t="str">
        <f aca="false">IF(I3560="Open",DATE(2025,12,31)-F3560,"-")</f>
        <v>-</v>
      </c>
    </row>
    <row r="3561" customFormat="false" ht="15" hidden="false" customHeight="false" outlineLevel="0" collapsed="false">
      <c r="B3561" s="7" t="s">
        <v>18206</v>
      </c>
      <c r="C3561" s="7" t="s">
        <v>4058</v>
      </c>
      <c r="D3561" s="7" t="s">
        <v>329</v>
      </c>
      <c r="E3561" s="7" t="s">
        <v>156</v>
      </c>
      <c r="F3561" s="39" t="n">
        <v>45834</v>
      </c>
      <c r="G3561" s="41" t="n">
        <v>127.16</v>
      </c>
      <c r="H3561" s="39" t="n">
        <v>45841</v>
      </c>
      <c r="I3561" s="7" t="s">
        <v>14651</v>
      </c>
      <c r="J3561" s="8" t="str">
        <f aca="false">IF(I3561="Open",DATE(2025,12,31)-F3561,"-")</f>
        <v>-</v>
      </c>
    </row>
    <row r="3562" customFormat="false" ht="15" hidden="false" customHeight="false" outlineLevel="0" collapsed="false">
      <c r="B3562" s="7" t="s">
        <v>18207</v>
      </c>
      <c r="C3562" s="7" t="s">
        <v>4059</v>
      </c>
      <c r="D3562" s="7" t="s">
        <v>337</v>
      </c>
      <c r="E3562" s="7" t="s">
        <v>154</v>
      </c>
      <c r="F3562" s="39" t="n">
        <v>45834</v>
      </c>
      <c r="G3562" s="41" t="n">
        <v>77.12</v>
      </c>
      <c r="H3562" s="39" t="n">
        <v>45878</v>
      </c>
      <c r="I3562" s="7" t="s">
        <v>14651</v>
      </c>
      <c r="J3562" s="8" t="str">
        <f aca="false">IF(I3562="Open",DATE(2025,12,31)-F3562,"-")</f>
        <v>-</v>
      </c>
    </row>
    <row r="3563" customFormat="false" ht="15" hidden="false" customHeight="false" outlineLevel="0" collapsed="false">
      <c r="B3563" s="7" t="s">
        <v>18208</v>
      </c>
      <c r="C3563" s="7" t="s">
        <v>4060</v>
      </c>
      <c r="D3563" s="7" t="s">
        <v>341</v>
      </c>
      <c r="E3563" s="7" t="s">
        <v>156</v>
      </c>
      <c r="F3563" s="39" t="n">
        <v>45834</v>
      </c>
      <c r="G3563" s="41" t="n">
        <v>97.58</v>
      </c>
      <c r="H3563" s="39" t="n">
        <v>45856</v>
      </c>
      <c r="I3563" s="7" t="s">
        <v>14651</v>
      </c>
      <c r="J3563" s="8" t="str">
        <f aca="false">IF(I3563="Open",DATE(2025,12,31)-F3563,"-")</f>
        <v>-</v>
      </c>
    </row>
    <row r="3564" customFormat="false" ht="15" hidden="false" customHeight="false" outlineLevel="0" collapsed="false">
      <c r="B3564" s="7" t="s">
        <v>18209</v>
      </c>
      <c r="C3564" s="7" t="s">
        <v>4061</v>
      </c>
      <c r="D3564" s="7" t="s">
        <v>343</v>
      </c>
      <c r="E3564" s="7" t="s">
        <v>154</v>
      </c>
      <c r="F3564" s="39" t="n">
        <v>45834</v>
      </c>
      <c r="G3564" s="41" t="n">
        <v>109.18</v>
      </c>
      <c r="H3564" s="39" t="n">
        <v>45870</v>
      </c>
      <c r="I3564" s="7" t="s">
        <v>14651</v>
      </c>
      <c r="J3564" s="8" t="str">
        <f aca="false">IF(I3564="Open",DATE(2025,12,31)-F3564,"-")</f>
        <v>-</v>
      </c>
    </row>
    <row r="3565" customFormat="false" ht="15" hidden="false" customHeight="false" outlineLevel="0" collapsed="false">
      <c r="B3565" s="7" t="s">
        <v>18210</v>
      </c>
      <c r="C3565" s="7" t="s">
        <v>4062</v>
      </c>
      <c r="D3565" s="7" t="s">
        <v>359</v>
      </c>
      <c r="E3565" s="7" t="s">
        <v>156</v>
      </c>
      <c r="F3565" s="39" t="n">
        <v>45834</v>
      </c>
      <c r="G3565" s="41" t="n">
        <v>145.52</v>
      </c>
      <c r="H3565" s="39" t="n">
        <v>45849</v>
      </c>
      <c r="I3565" s="7" t="s">
        <v>14651</v>
      </c>
      <c r="J3565" s="8" t="str">
        <f aca="false">IF(I3565="Open",DATE(2025,12,31)-F3565,"-")</f>
        <v>-</v>
      </c>
    </row>
    <row r="3566" customFormat="false" ht="15" hidden="false" customHeight="false" outlineLevel="0" collapsed="false">
      <c r="B3566" s="7" t="s">
        <v>18211</v>
      </c>
      <c r="C3566" s="7" t="s">
        <v>4063</v>
      </c>
      <c r="D3566" s="7" t="s">
        <v>363</v>
      </c>
      <c r="E3566" s="7" t="s">
        <v>156</v>
      </c>
      <c r="F3566" s="39" t="n">
        <v>45834</v>
      </c>
      <c r="G3566" s="41" t="n">
        <v>128.52</v>
      </c>
      <c r="H3566" s="39" t="n">
        <v>45849</v>
      </c>
      <c r="I3566" s="7" t="s">
        <v>14651</v>
      </c>
      <c r="J3566" s="8" t="str">
        <f aca="false">IF(I3566="Open",DATE(2025,12,31)-F3566,"-")</f>
        <v>-</v>
      </c>
    </row>
    <row r="3567" customFormat="false" ht="15" hidden="false" customHeight="false" outlineLevel="0" collapsed="false">
      <c r="B3567" s="7" t="s">
        <v>18212</v>
      </c>
      <c r="C3567" s="7" t="s">
        <v>4064</v>
      </c>
      <c r="D3567" s="7" t="s">
        <v>365</v>
      </c>
      <c r="E3567" s="7" t="s">
        <v>154</v>
      </c>
      <c r="F3567" s="39" t="n">
        <v>45834</v>
      </c>
      <c r="G3567" s="41" t="n">
        <v>103.88</v>
      </c>
      <c r="H3567" s="39" t="n">
        <v>45870</v>
      </c>
      <c r="I3567" s="7" t="s">
        <v>14651</v>
      </c>
      <c r="J3567" s="8" t="str">
        <f aca="false">IF(I3567="Open",DATE(2025,12,31)-F3567,"-")</f>
        <v>-</v>
      </c>
    </row>
    <row r="3568" customFormat="false" ht="15" hidden="false" customHeight="false" outlineLevel="0" collapsed="false">
      <c r="B3568" s="7" t="s">
        <v>18213</v>
      </c>
      <c r="C3568" s="7" t="s">
        <v>4065</v>
      </c>
      <c r="D3568" s="7" t="s">
        <v>375</v>
      </c>
      <c r="E3568" s="7" t="s">
        <v>156</v>
      </c>
      <c r="F3568" s="39" t="n">
        <v>45834</v>
      </c>
      <c r="G3568" s="41" t="n">
        <v>93.16</v>
      </c>
      <c r="H3568" s="39" t="n">
        <v>45842</v>
      </c>
      <c r="I3568" s="7" t="s">
        <v>14651</v>
      </c>
      <c r="J3568" s="8" t="str">
        <f aca="false">IF(I3568="Open",DATE(2025,12,31)-F3568,"-")</f>
        <v>-</v>
      </c>
    </row>
    <row r="3569" customFormat="false" ht="15" hidden="false" customHeight="false" outlineLevel="0" collapsed="false">
      <c r="B3569" s="7" t="s">
        <v>18214</v>
      </c>
      <c r="C3569" s="7" t="s">
        <v>4066</v>
      </c>
      <c r="D3569" s="7" t="s">
        <v>377</v>
      </c>
      <c r="E3569" s="7" t="s">
        <v>154</v>
      </c>
      <c r="F3569" s="39" t="n">
        <v>45834</v>
      </c>
      <c r="G3569" s="41" t="n">
        <v>111.04</v>
      </c>
      <c r="H3569" s="39" t="n">
        <v>45896</v>
      </c>
      <c r="I3569" s="7" t="s">
        <v>14651</v>
      </c>
      <c r="J3569" s="8" t="str">
        <f aca="false">IF(I3569="Open",DATE(2025,12,31)-F3569,"-")</f>
        <v>-</v>
      </c>
    </row>
    <row r="3570" customFormat="false" ht="15" hidden="false" customHeight="false" outlineLevel="0" collapsed="false">
      <c r="B3570" s="7" t="s">
        <v>18215</v>
      </c>
      <c r="C3570" s="7" t="s">
        <v>4067</v>
      </c>
      <c r="D3570" s="7" t="s">
        <v>389</v>
      </c>
      <c r="E3570" s="7" t="s">
        <v>154</v>
      </c>
      <c r="F3570" s="39" t="n">
        <v>45834</v>
      </c>
      <c r="G3570" s="41" t="n">
        <v>96.46</v>
      </c>
      <c r="H3570" s="39" t="n">
        <v>45890</v>
      </c>
      <c r="I3570" s="7" t="s">
        <v>14651</v>
      </c>
      <c r="J3570" s="8" t="str">
        <f aca="false">IF(I3570="Open",DATE(2025,12,31)-F3570,"-")</f>
        <v>-</v>
      </c>
    </row>
    <row r="3571" customFormat="false" ht="15" hidden="false" customHeight="false" outlineLevel="0" collapsed="false">
      <c r="B3571" s="7" t="s">
        <v>18216</v>
      </c>
      <c r="C3571" s="7" t="s">
        <v>4068</v>
      </c>
      <c r="D3571" s="7" t="s">
        <v>391</v>
      </c>
      <c r="E3571" s="7" t="s">
        <v>156</v>
      </c>
      <c r="F3571" s="39" t="n">
        <v>45834</v>
      </c>
      <c r="G3571" s="41" t="n">
        <v>129.2</v>
      </c>
      <c r="H3571" s="39" t="n">
        <v>45844</v>
      </c>
      <c r="I3571" s="7" t="s">
        <v>14651</v>
      </c>
      <c r="J3571" s="8" t="str">
        <f aca="false">IF(I3571="Open",DATE(2025,12,31)-F3571,"-")</f>
        <v>-</v>
      </c>
    </row>
    <row r="3572" customFormat="false" ht="15" hidden="false" customHeight="false" outlineLevel="0" collapsed="false">
      <c r="B3572" s="7" t="s">
        <v>18217</v>
      </c>
      <c r="C3572" s="7" t="s">
        <v>4069</v>
      </c>
      <c r="D3572" s="7" t="s">
        <v>395</v>
      </c>
      <c r="E3572" s="7" t="s">
        <v>156</v>
      </c>
      <c r="F3572" s="39" t="n">
        <v>45834</v>
      </c>
      <c r="G3572" s="41" t="n">
        <v>140.08</v>
      </c>
      <c r="H3572" s="39" t="n">
        <v>45850</v>
      </c>
      <c r="I3572" s="7" t="s">
        <v>14651</v>
      </c>
      <c r="J3572" s="8" t="str">
        <f aca="false">IF(I3572="Open",DATE(2025,12,31)-F3572,"-")</f>
        <v>-</v>
      </c>
    </row>
    <row r="3573" customFormat="false" ht="15" hidden="false" customHeight="false" outlineLevel="0" collapsed="false">
      <c r="B3573" s="7" t="s">
        <v>18218</v>
      </c>
      <c r="C3573" s="7" t="s">
        <v>4070</v>
      </c>
      <c r="D3573" s="7" t="s">
        <v>401</v>
      </c>
      <c r="E3573" s="7" t="s">
        <v>156</v>
      </c>
      <c r="F3573" s="39" t="n">
        <v>45834</v>
      </c>
      <c r="G3573" s="41" t="n">
        <v>134.64</v>
      </c>
      <c r="H3573" s="39" t="n">
        <v>45843</v>
      </c>
      <c r="I3573" s="7" t="s">
        <v>14651</v>
      </c>
      <c r="J3573" s="8" t="str">
        <f aca="false">IF(I3573="Open",DATE(2025,12,31)-F3573,"-")</f>
        <v>-</v>
      </c>
    </row>
    <row r="3574" customFormat="false" ht="15" hidden="false" customHeight="false" outlineLevel="0" collapsed="false">
      <c r="B3574" s="7" t="s">
        <v>18219</v>
      </c>
      <c r="C3574" s="7" t="s">
        <v>4071</v>
      </c>
      <c r="D3574" s="7" t="s">
        <v>280</v>
      </c>
      <c r="E3574" s="7" t="s">
        <v>157</v>
      </c>
      <c r="F3574" s="39" t="n">
        <v>45835</v>
      </c>
      <c r="G3574" s="41" t="n">
        <v>166.65</v>
      </c>
      <c r="H3574" s="39" t="n">
        <v>45879</v>
      </c>
      <c r="I3574" s="7" t="s">
        <v>14651</v>
      </c>
      <c r="J3574" s="8" t="str">
        <f aca="false">IF(I3574="Open",DATE(2025,12,31)-F3574,"-")</f>
        <v>-</v>
      </c>
    </row>
    <row r="3575" customFormat="false" ht="15" hidden="false" customHeight="false" outlineLevel="0" collapsed="false">
      <c r="B3575" s="7" t="s">
        <v>18220</v>
      </c>
      <c r="C3575" s="7" t="s">
        <v>4072</v>
      </c>
      <c r="D3575" s="7" t="s">
        <v>288</v>
      </c>
      <c r="E3575" s="7" t="s">
        <v>156</v>
      </c>
      <c r="F3575" s="39" t="n">
        <v>45835</v>
      </c>
      <c r="G3575" s="41" t="n">
        <v>144.84</v>
      </c>
      <c r="H3575" s="39" t="n">
        <v>45851</v>
      </c>
      <c r="I3575" s="7" t="s">
        <v>14651</v>
      </c>
      <c r="J3575" s="8" t="str">
        <f aca="false">IF(I3575="Open",DATE(2025,12,31)-F3575,"-")</f>
        <v>-</v>
      </c>
    </row>
    <row r="3576" customFormat="false" ht="15" hidden="false" customHeight="false" outlineLevel="0" collapsed="false">
      <c r="B3576" s="7" t="s">
        <v>18221</v>
      </c>
      <c r="C3576" s="7" t="s">
        <v>4073</v>
      </c>
      <c r="D3576" s="7" t="s">
        <v>291</v>
      </c>
      <c r="E3576" s="7" t="s">
        <v>154</v>
      </c>
      <c r="F3576" s="39" t="n">
        <v>45835</v>
      </c>
      <c r="G3576" s="41" t="n">
        <v>112.89</v>
      </c>
      <c r="H3576" s="39" t="n">
        <v>45886</v>
      </c>
      <c r="I3576" s="7" t="s">
        <v>14651</v>
      </c>
      <c r="J3576" s="8" t="str">
        <f aca="false">IF(I3576="Open",DATE(2025,12,31)-F3576,"-")</f>
        <v>-</v>
      </c>
    </row>
    <row r="3577" customFormat="false" ht="15" hidden="false" customHeight="false" outlineLevel="0" collapsed="false">
      <c r="B3577" s="7" t="s">
        <v>18222</v>
      </c>
      <c r="C3577" s="7" t="s">
        <v>4074</v>
      </c>
      <c r="D3577" s="7" t="s">
        <v>301</v>
      </c>
      <c r="E3577" s="7" t="s">
        <v>157</v>
      </c>
      <c r="F3577" s="39" t="n">
        <v>45835</v>
      </c>
      <c r="G3577" s="41" t="n">
        <v>168.3</v>
      </c>
      <c r="H3577" s="39" t="n">
        <v>45894</v>
      </c>
      <c r="I3577" s="7" t="s">
        <v>14651</v>
      </c>
      <c r="J3577" s="8" t="str">
        <f aca="false">IF(I3577="Open",DATE(2025,12,31)-F3577,"-")</f>
        <v>-</v>
      </c>
    </row>
    <row r="3578" customFormat="false" ht="15" hidden="false" customHeight="false" outlineLevel="0" collapsed="false">
      <c r="B3578" s="7" t="s">
        <v>18223</v>
      </c>
      <c r="C3578" s="7" t="s">
        <v>4075</v>
      </c>
      <c r="D3578" s="7" t="s">
        <v>305</v>
      </c>
      <c r="E3578" s="7" t="s">
        <v>154</v>
      </c>
      <c r="F3578" s="39" t="n">
        <v>45835</v>
      </c>
      <c r="G3578" s="41" t="n">
        <v>112.1</v>
      </c>
      <c r="H3578" s="39" t="n">
        <v>45868</v>
      </c>
      <c r="I3578" s="7" t="s">
        <v>14651</v>
      </c>
      <c r="J3578" s="8" t="str">
        <f aca="false">IF(I3578="Open",DATE(2025,12,31)-F3578,"-")</f>
        <v>-</v>
      </c>
    </row>
    <row r="3579" customFormat="false" ht="15" hidden="false" customHeight="false" outlineLevel="0" collapsed="false">
      <c r="B3579" s="7" t="s">
        <v>18224</v>
      </c>
      <c r="C3579" s="7" t="s">
        <v>4076</v>
      </c>
      <c r="D3579" s="7" t="s">
        <v>307</v>
      </c>
      <c r="E3579" s="7" t="s">
        <v>157</v>
      </c>
      <c r="F3579" s="39" t="n">
        <v>45835</v>
      </c>
      <c r="G3579" s="41" t="n">
        <v>147.34</v>
      </c>
      <c r="H3579" s="39" t="n">
        <v>45855</v>
      </c>
      <c r="I3579" s="7" t="s">
        <v>14651</v>
      </c>
      <c r="J3579" s="8" t="str">
        <f aca="false">IF(I3579="Open",DATE(2025,12,31)-F3579,"-")</f>
        <v>-</v>
      </c>
    </row>
    <row r="3580" customFormat="false" ht="15" hidden="false" customHeight="false" outlineLevel="0" collapsed="false">
      <c r="B3580" s="7" t="s">
        <v>18225</v>
      </c>
      <c r="C3580" s="7" t="s">
        <v>4077</v>
      </c>
      <c r="D3580" s="7" t="s">
        <v>309</v>
      </c>
      <c r="E3580" s="7" t="s">
        <v>159</v>
      </c>
      <c r="F3580" s="39" t="n">
        <v>45835</v>
      </c>
      <c r="G3580" s="41" t="n">
        <v>126.9</v>
      </c>
      <c r="H3580" s="39" t="n">
        <v>45893</v>
      </c>
      <c r="I3580" s="7" t="s">
        <v>14651</v>
      </c>
      <c r="J3580" s="8" t="str">
        <f aca="false">IF(I3580="Open",DATE(2025,12,31)-F3580,"-")</f>
        <v>-</v>
      </c>
    </row>
    <row r="3581" customFormat="false" ht="15" hidden="false" customHeight="false" outlineLevel="0" collapsed="false">
      <c r="B3581" s="7" t="s">
        <v>18226</v>
      </c>
      <c r="C3581" s="7" t="s">
        <v>4078</v>
      </c>
      <c r="D3581" s="7" t="s">
        <v>313</v>
      </c>
      <c r="E3581" s="7" t="s">
        <v>156</v>
      </c>
      <c r="F3581" s="39" t="n">
        <v>45835</v>
      </c>
      <c r="G3581" s="41" t="n">
        <v>135.66</v>
      </c>
      <c r="H3581" s="39" t="n">
        <v>45844</v>
      </c>
      <c r="I3581" s="7" t="s">
        <v>14651</v>
      </c>
      <c r="J3581" s="8" t="str">
        <f aca="false">IF(I3581="Open",DATE(2025,12,31)-F3581,"-")</f>
        <v>-</v>
      </c>
    </row>
    <row r="3582" customFormat="false" ht="15" hidden="false" customHeight="false" outlineLevel="0" collapsed="false">
      <c r="B3582" s="7" t="s">
        <v>18227</v>
      </c>
      <c r="C3582" s="7" t="s">
        <v>4079</v>
      </c>
      <c r="D3582" s="7" t="s">
        <v>319</v>
      </c>
      <c r="E3582" s="7" t="s">
        <v>157</v>
      </c>
      <c r="F3582" s="39" t="n">
        <v>45835</v>
      </c>
      <c r="G3582" s="41" t="n">
        <v>176.55</v>
      </c>
      <c r="H3582" s="39" t="n">
        <v>45906</v>
      </c>
      <c r="I3582" s="7" t="s">
        <v>14651</v>
      </c>
      <c r="J3582" s="8" t="str">
        <f aca="false">IF(I3582="Open",DATE(2025,12,31)-F3582,"-")</f>
        <v>-</v>
      </c>
    </row>
    <row r="3583" customFormat="false" ht="15" hidden="false" customHeight="false" outlineLevel="0" collapsed="false">
      <c r="B3583" s="7" t="s">
        <v>18228</v>
      </c>
      <c r="C3583" s="7" t="s">
        <v>4080</v>
      </c>
      <c r="D3583" s="7" t="s">
        <v>321</v>
      </c>
      <c r="E3583" s="7" t="s">
        <v>154</v>
      </c>
      <c r="F3583" s="39" t="n">
        <v>45835</v>
      </c>
      <c r="G3583" s="41" t="n">
        <v>111.83</v>
      </c>
      <c r="H3583" s="39" t="n">
        <v>45898</v>
      </c>
      <c r="I3583" s="7" t="s">
        <v>14651</v>
      </c>
      <c r="J3583" s="8" t="str">
        <f aca="false">IF(I3583="Open",DATE(2025,12,31)-F3583,"-")</f>
        <v>-</v>
      </c>
    </row>
    <row r="3584" customFormat="false" ht="15" hidden="false" customHeight="false" outlineLevel="0" collapsed="false">
      <c r="B3584" s="7" t="s">
        <v>18229</v>
      </c>
      <c r="C3584" s="7" t="s">
        <v>4081</v>
      </c>
      <c r="D3584" s="7" t="s">
        <v>323</v>
      </c>
      <c r="E3584" s="7" t="s">
        <v>159</v>
      </c>
      <c r="F3584" s="39" t="n">
        <v>45835</v>
      </c>
      <c r="G3584" s="41" t="n">
        <v>128.11</v>
      </c>
      <c r="H3584" s="39" t="n">
        <v>45909</v>
      </c>
      <c r="I3584" s="7" t="s">
        <v>14651</v>
      </c>
      <c r="J3584" s="8" t="str">
        <f aca="false">IF(I3584="Open",DATE(2025,12,31)-F3584,"-")</f>
        <v>-</v>
      </c>
    </row>
    <row r="3585" customFormat="false" ht="15" hidden="false" customHeight="false" outlineLevel="0" collapsed="false">
      <c r="B3585" s="7" t="s">
        <v>18230</v>
      </c>
      <c r="C3585" s="7" t="s">
        <v>4082</v>
      </c>
      <c r="D3585" s="7" t="s">
        <v>327</v>
      </c>
      <c r="E3585" s="7" t="s">
        <v>157</v>
      </c>
      <c r="F3585" s="39" t="n">
        <v>45835</v>
      </c>
      <c r="G3585" s="41" t="n">
        <v>173.25</v>
      </c>
      <c r="H3585" s="39" t="n">
        <v>45884</v>
      </c>
      <c r="I3585" s="7" t="s">
        <v>14651</v>
      </c>
      <c r="J3585" s="8" t="str">
        <f aca="false">IF(I3585="Open",DATE(2025,12,31)-F3585,"-")</f>
        <v>-</v>
      </c>
    </row>
    <row r="3586" customFormat="false" ht="15" hidden="false" customHeight="false" outlineLevel="0" collapsed="false">
      <c r="B3586" s="7" t="s">
        <v>18231</v>
      </c>
      <c r="C3586" s="7" t="s">
        <v>4083</v>
      </c>
      <c r="D3586" s="7" t="s">
        <v>329</v>
      </c>
      <c r="E3586" s="7" t="s">
        <v>156</v>
      </c>
      <c r="F3586" s="39" t="n">
        <v>45835</v>
      </c>
      <c r="G3586" s="41" t="n">
        <v>127.16</v>
      </c>
      <c r="H3586" s="39" t="n">
        <v>45850</v>
      </c>
      <c r="I3586" s="7" t="s">
        <v>14651</v>
      </c>
      <c r="J3586" s="8" t="str">
        <f aca="false">IF(I3586="Open",DATE(2025,12,31)-F3586,"-")</f>
        <v>-</v>
      </c>
    </row>
    <row r="3587" customFormat="false" ht="15" hidden="false" customHeight="false" outlineLevel="0" collapsed="false">
      <c r="B3587" s="7" t="s">
        <v>18232</v>
      </c>
      <c r="C3587" s="7" t="s">
        <v>4084</v>
      </c>
      <c r="D3587" s="7" t="s">
        <v>335</v>
      </c>
      <c r="E3587" s="7" t="s">
        <v>154</v>
      </c>
      <c r="F3587" s="39" t="n">
        <v>45835</v>
      </c>
      <c r="G3587" s="41" t="n">
        <v>115.54</v>
      </c>
      <c r="H3587" s="39" t="n">
        <v>45945</v>
      </c>
      <c r="I3587" s="7" t="s">
        <v>14651</v>
      </c>
      <c r="J3587" s="8" t="str">
        <f aca="false">IF(I3587="Open",DATE(2025,12,31)-F3587,"-")</f>
        <v>-</v>
      </c>
    </row>
    <row r="3588" customFormat="false" ht="15" hidden="false" customHeight="false" outlineLevel="0" collapsed="false">
      <c r="B3588" s="7" t="s">
        <v>18233</v>
      </c>
      <c r="C3588" s="7" t="s">
        <v>4085</v>
      </c>
      <c r="D3588" s="7" t="s">
        <v>339</v>
      </c>
      <c r="E3588" s="7" t="s">
        <v>154</v>
      </c>
      <c r="F3588" s="39" t="n">
        <v>45835</v>
      </c>
      <c r="G3588" s="41" t="n">
        <v>84</v>
      </c>
      <c r="H3588" s="39" t="n">
        <v>45901</v>
      </c>
      <c r="I3588" s="7" t="s">
        <v>14651</v>
      </c>
      <c r="J3588" s="8" t="str">
        <f aca="false">IF(I3588="Open",DATE(2025,12,31)-F3588,"-")</f>
        <v>-</v>
      </c>
    </row>
    <row r="3589" customFormat="false" ht="15" hidden="false" customHeight="false" outlineLevel="0" collapsed="false">
      <c r="B3589" s="7" t="s">
        <v>18234</v>
      </c>
      <c r="C3589" s="7" t="s">
        <v>4086</v>
      </c>
      <c r="D3589" s="7" t="s">
        <v>353</v>
      </c>
      <c r="E3589" s="7" t="s">
        <v>154</v>
      </c>
      <c r="F3589" s="39" t="n">
        <v>45835</v>
      </c>
      <c r="G3589" s="41" t="n">
        <v>85.06</v>
      </c>
      <c r="H3589" s="39" t="n">
        <v>45872</v>
      </c>
      <c r="I3589" s="7" t="s">
        <v>14651</v>
      </c>
      <c r="J3589" s="8" t="str">
        <f aca="false">IF(I3589="Open",DATE(2025,12,31)-F3589,"-")</f>
        <v>-</v>
      </c>
    </row>
    <row r="3590" customFormat="false" ht="15" hidden="false" customHeight="false" outlineLevel="0" collapsed="false">
      <c r="B3590" s="7" t="s">
        <v>18235</v>
      </c>
      <c r="C3590" s="7" t="s">
        <v>4087</v>
      </c>
      <c r="D3590" s="7" t="s">
        <v>355</v>
      </c>
      <c r="E3590" s="7" t="s">
        <v>154</v>
      </c>
      <c r="F3590" s="39" t="n">
        <v>45835</v>
      </c>
      <c r="G3590" s="41" t="n">
        <v>96.19</v>
      </c>
      <c r="H3590" s="39" t="n">
        <v>45880</v>
      </c>
      <c r="I3590" s="7" t="s">
        <v>14651</v>
      </c>
      <c r="J3590" s="8" t="str">
        <f aca="false">IF(I3590="Open",DATE(2025,12,31)-F3590,"-")</f>
        <v>-</v>
      </c>
    </row>
    <row r="3591" customFormat="false" ht="15" hidden="false" customHeight="false" outlineLevel="0" collapsed="false">
      <c r="B3591" s="7" t="s">
        <v>18236</v>
      </c>
      <c r="C3591" s="7" t="s">
        <v>4088</v>
      </c>
      <c r="D3591" s="7" t="s">
        <v>357</v>
      </c>
      <c r="E3591" s="7" t="s">
        <v>154</v>
      </c>
      <c r="F3591" s="39" t="n">
        <v>45835</v>
      </c>
      <c r="G3591" s="41" t="n">
        <v>96.72</v>
      </c>
      <c r="H3591" s="39" t="n">
        <v>45889</v>
      </c>
      <c r="I3591" s="7" t="s">
        <v>14651</v>
      </c>
      <c r="J3591" s="8" t="str">
        <f aca="false">IF(I3591="Open",DATE(2025,12,31)-F3591,"-")</f>
        <v>-</v>
      </c>
    </row>
    <row r="3592" customFormat="false" ht="15" hidden="false" customHeight="false" outlineLevel="0" collapsed="false">
      <c r="B3592" s="7" t="s">
        <v>18237</v>
      </c>
      <c r="C3592" s="7" t="s">
        <v>4089</v>
      </c>
      <c r="D3592" s="7" t="s">
        <v>359</v>
      </c>
      <c r="E3592" s="7" t="s">
        <v>156</v>
      </c>
      <c r="F3592" s="39" t="n">
        <v>45835</v>
      </c>
      <c r="G3592" s="41" t="n">
        <v>124.1</v>
      </c>
      <c r="H3592" s="39" t="n">
        <v>45851</v>
      </c>
      <c r="I3592" s="7" t="s">
        <v>14651</v>
      </c>
      <c r="J3592" s="8" t="str">
        <f aca="false">IF(I3592="Open",DATE(2025,12,31)-F3592,"-")</f>
        <v>-</v>
      </c>
    </row>
    <row r="3593" customFormat="false" ht="15" hidden="false" customHeight="false" outlineLevel="0" collapsed="false">
      <c r="B3593" s="7" t="s">
        <v>18238</v>
      </c>
      <c r="C3593" s="7" t="s">
        <v>4090</v>
      </c>
      <c r="D3593" s="7" t="s">
        <v>361</v>
      </c>
      <c r="E3593" s="7" t="s">
        <v>157</v>
      </c>
      <c r="F3593" s="39" t="n">
        <v>45835</v>
      </c>
      <c r="G3593" s="41" t="n">
        <v>179.85</v>
      </c>
      <c r="H3593" s="39" t="n">
        <v>45855</v>
      </c>
      <c r="I3593" s="7" t="s">
        <v>14651</v>
      </c>
      <c r="J3593" s="8" t="str">
        <f aca="false">IF(I3593="Open",DATE(2025,12,31)-F3593,"-")</f>
        <v>-</v>
      </c>
    </row>
    <row r="3594" customFormat="false" ht="15" hidden="false" customHeight="false" outlineLevel="0" collapsed="false">
      <c r="B3594" s="7" t="s">
        <v>18239</v>
      </c>
      <c r="C3594" s="7" t="s">
        <v>4091</v>
      </c>
      <c r="D3594" s="7" t="s">
        <v>365</v>
      </c>
      <c r="E3594" s="7" t="s">
        <v>154</v>
      </c>
      <c r="F3594" s="39" t="n">
        <v>45835</v>
      </c>
      <c r="G3594" s="41" t="n">
        <v>106.8</v>
      </c>
      <c r="H3594" s="39" t="n">
        <v>45907</v>
      </c>
      <c r="I3594" s="7" t="s">
        <v>14651</v>
      </c>
      <c r="J3594" s="8" t="str">
        <f aca="false">IF(I3594="Open",DATE(2025,12,31)-F3594,"-")</f>
        <v>-</v>
      </c>
    </row>
    <row r="3595" customFormat="false" ht="15" hidden="false" customHeight="false" outlineLevel="0" collapsed="false">
      <c r="B3595" s="7" t="s">
        <v>18240</v>
      </c>
      <c r="C3595" s="7" t="s">
        <v>4092</v>
      </c>
      <c r="D3595" s="7" t="s">
        <v>371</v>
      </c>
      <c r="E3595" s="7" t="s">
        <v>154</v>
      </c>
      <c r="F3595" s="39" t="n">
        <v>45835</v>
      </c>
      <c r="G3595" s="41" t="n">
        <v>130.12</v>
      </c>
      <c r="H3595" s="39" t="n">
        <v>45906</v>
      </c>
      <c r="I3595" s="7" t="s">
        <v>14651</v>
      </c>
      <c r="J3595" s="8" t="str">
        <f aca="false">IF(I3595="Open",DATE(2025,12,31)-F3595,"-")</f>
        <v>-</v>
      </c>
    </row>
    <row r="3596" customFormat="false" ht="15" hidden="false" customHeight="false" outlineLevel="0" collapsed="false">
      <c r="B3596" s="7" t="s">
        <v>18241</v>
      </c>
      <c r="C3596" s="7" t="s">
        <v>4093</v>
      </c>
      <c r="D3596" s="7" t="s">
        <v>379</v>
      </c>
      <c r="E3596" s="7" t="s">
        <v>156</v>
      </c>
      <c r="F3596" s="39" t="n">
        <v>45835</v>
      </c>
      <c r="G3596" s="41" t="n">
        <v>153</v>
      </c>
      <c r="H3596" s="39" t="n">
        <v>45849</v>
      </c>
      <c r="I3596" s="7" t="s">
        <v>14651</v>
      </c>
      <c r="J3596" s="8" t="str">
        <f aca="false">IF(I3596="Open",DATE(2025,12,31)-F3596,"-")</f>
        <v>-</v>
      </c>
    </row>
    <row r="3597" customFormat="false" ht="15" hidden="false" customHeight="false" outlineLevel="0" collapsed="false">
      <c r="B3597" s="7" t="s">
        <v>18242</v>
      </c>
      <c r="C3597" s="7" t="s">
        <v>4094</v>
      </c>
      <c r="D3597" s="7" t="s">
        <v>381</v>
      </c>
      <c r="E3597" s="7" t="s">
        <v>157</v>
      </c>
      <c r="F3597" s="39" t="n">
        <v>45835</v>
      </c>
      <c r="G3597" s="41" t="n">
        <v>158.4</v>
      </c>
      <c r="H3597" s="39" t="n">
        <v>45873</v>
      </c>
      <c r="I3597" s="7" t="s">
        <v>14651</v>
      </c>
      <c r="J3597" s="8" t="str">
        <f aca="false">IF(I3597="Open",DATE(2025,12,31)-F3597,"-")</f>
        <v>-</v>
      </c>
    </row>
    <row r="3598" customFormat="false" ht="15" hidden="false" customHeight="false" outlineLevel="0" collapsed="false">
      <c r="B3598" s="7" t="s">
        <v>18243</v>
      </c>
      <c r="C3598" s="7" t="s">
        <v>4095</v>
      </c>
      <c r="D3598" s="7" t="s">
        <v>385</v>
      </c>
      <c r="E3598" s="7" t="s">
        <v>156</v>
      </c>
      <c r="F3598" s="39" t="n">
        <v>45835</v>
      </c>
      <c r="G3598" s="41" t="n">
        <v>126.48</v>
      </c>
      <c r="H3598" s="39" t="n">
        <v>45845</v>
      </c>
      <c r="I3598" s="7" t="s">
        <v>14651</v>
      </c>
      <c r="J3598" s="8" t="str">
        <f aca="false">IF(I3598="Open",DATE(2025,12,31)-F3598,"-")</f>
        <v>-</v>
      </c>
    </row>
    <row r="3599" customFormat="false" ht="15" hidden="false" customHeight="false" outlineLevel="0" collapsed="false">
      <c r="B3599" s="7" t="s">
        <v>18244</v>
      </c>
      <c r="C3599" s="7" t="s">
        <v>4096</v>
      </c>
      <c r="D3599" s="7" t="s">
        <v>389</v>
      </c>
      <c r="E3599" s="7" t="s">
        <v>154</v>
      </c>
      <c r="F3599" s="39" t="n">
        <v>45835</v>
      </c>
      <c r="G3599" s="41" t="n">
        <v>112.1</v>
      </c>
      <c r="H3599" s="39" t="n">
        <v>45916</v>
      </c>
      <c r="I3599" s="7" t="s">
        <v>14651</v>
      </c>
      <c r="J3599" s="8" t="str">
        <f aca="false">IF(I3599="Open",DATE(2025,12,31)-F3599,"-")</f>
        <v>-</v>
      </c>
    </row>
    <row r="3600" customFormat="false" ht="15" hidden="false" customHeight="false" outlineLevel="0" collapsed="false">
      <c r="B3600" s="7" t="s">
        <v>18245</v>
      </c>
      <c r="C3600" s="7" t="s">
        <v>4097</v>
      </c>
      <c r="D3600" s="7" t="s">
        <v>391</v>
      </c>
      <c r="E3600" s="7" t="s">
        <v>156</v>
      </c>
      <c r="F3600" s="39" t="n">
        <v>45835</v>
      </c>
      <c r="G3600" s="41" t="n">
        <v>126.82</v>
      </c>
      <c r="H3600" s="39" t="n">
        <v>45849</v>
      </c>
      <c r="I3600" s="7" t="s">
        <v>14651</v>
      </c>
      <c r="J3600" s="8" t="str">
        <f aca="false">IF(I3600="Open",DATE(2025,12,31)-F3600,"-")</f>
        <v>-</v>
      </c>
    </row>
    <row r="3601" customFormat="false" ht="15" hidden="false" customHeight="false" outlineLevel="0" collapsed="false">
      <c r="B3601" s="7" t="s">
        <v>18246</v>
      </c>
      <c r="C3601" s="7" t="s">
        <v>4098</v>
      </c>
      <c r="D3601" s="7" t="s">
        <v>395</v>
      </c>
      <c r="E3601" s="7" t="s">
        <v>156</v>
      </c>
      <c r="F3601" s="39" t="n">
        <v>45835</v>
      </c>
      <c r="G3601" s="41" t="n">
        <v>140.08</v>
      </c>
      <c r="H3601" s="39" t="n">
        <v>45846</v>
      </c>
      <c r="I3601" s="7" t="s">
        <v>14651</v>
      </c>
      <c r="J3601" s="8" t="str">
        <f aca="false">IF(I3601="Open",DATE(2025,12,31)-F3601,"-")</f>
        <v>-</v>
      </c>
    </row>
    <row r="3602" customFormat="false" ht="15" hidden="false" customHeight="false" outlineLevel="0" collapsed="false">
      <c r="B3602" s="7" t="s">
        <v>18247</v>
      </c>
      <c r="C3602" s="7" t="s">
        <v>4099</v>
      </c>
      <c r="D3602" s="7" t="s">
        <v>397</v>
      </c>
      <c r="E3602" s="7" t="s">
        <v>159</v>
      </c>
      <c r="F3602" s="39" t="n">
        <v>45835</v>
      </c>
      <c r="G3602" s="41" t="n">
        <v>128.25</v>
      </c>
      <c r="H3602" s="39" t="n">
        <v>45876</v>
      </c>
      <c r="I3602" s="7" t="s">
        <v>14651</v>
      </c>
      <c r="J3602" s="8" t="str">
        <f aca="false">IF(I3602="Open",DATE(2025,12,31)-F3602,"-")</f>
        <v>-</v>
      </c>
    </row>
    <row r="3603" customFormat="false" ht="15" hidden="false" customHeight="false" outlineLevel="0" collapsed="false">
      <c r="B3603" s="7" t="s">
        <v>18248</v>
      </c>
      <c r="C3603" s="7" t="s">
        <v>4100</v>
      </c>
      <c r="D3603" s="7" t="s">
        <v>399</v>
      </c>
      <c r="E3603" s="7" t="s">
        <v>154</v>
      </c>
      <c r="F3603" s="39" t="n">
        <v>45835</v>
      </c>
      <c r="G3603" s="41" t="n">
        <v>94.6</v>
      </c>
      <c r="H3603" s="39" t="n">
        <v>45890</v>
      </c>
      <c r="I3603" s="7" t="s">
        <v>14651</v>
      </c>
      <c r="J3603" s="8" t="str">
        <f aca="false">IF(I3603="Open",DATE(2025,12,31)-F3603,"-")</f>
        <v>-</v>
      </c>
    </row>
    <row r="3604" customFormat="false" ht="15" hidden="false" customHeight="false" outlineLevel="0" collapsed="false">
      <c r="B3604" s="7" t="s">
        <v>18249</v>
      </c>
      <c r="C3604" s="7" t="s">
        <v>4101</v>
      </c>
      <c r="D3604" s="7" t="s">
        <v>401</v>
      </c>
      <c r="E3604" s="7" t="s">
        <v>156</v>
      </c>
      <c r="F3604" s="39" t="n">
        <v>45835</v>
      </c>
      <c r="G3604" s="41" t="n">
        <v>142.12</v>
      </c>
      <c r="H3604" s="39" t="n">
        <v>45836</v>
      </c>
      <c r="I3604" s="7" t="s">
        <v>14651</v>
      </c>
      <c r="J3604" s="8" t="str">
        <f aca="false">IF(I3604="Open",DATE(2025,12,31)-F3604,"-")</f>
        <v>-</v>
      </c>
    </row>
    <row r="3605" customFormat="false" ht="15" hidden="false" customHeight="false" outlineLevel="0" collapsed="false">
      <c r="B3605" s="7" t="s">
        <v>18250</v>
      </c>
      <c r="C3605" s="7" t="s">
        <v>4102</v>
      </c>
      <c r="D3605" s="7" t="s">
        <v>407</v>
      </c>
      <c r="E3605" s="7" t="s">
        <v>159</v>
      </c>
      <c r="F3605" s="39" t="n">
        <v>45835</v>
      </c>
      <c r="G3605" s="41" t="n">
        <v>129.6</v>
      </c>
      <c r="H3605" s="39" t="n">
        <v>45899</v>
      </c>
      <c r="I3605" s="7" t="s">
        <v>14651</v>
      </c>
      <c r="J3605" s="8" t="str">
        <f aca="false">IF(I3605="Open",DATE(2025,12,31)-F3605,"-")</f>
        <v>-</v>
      </c>
    </row>
    <row r="3606" customFormat="false" ht="15" hidden="false" customHeight="false" outlineLevel="0" collapsed="false">
      <c r="B3606" s="7" t="s">
        <v>18251</v>
      </c>
      <c r="C3606" s="7" t="s">
        <v>4103</v>
      </c>
      <c r="D3606" s="7" t="s">
        <v>409</v>
      </c>
      <c r="E3606" s="7" t="s">
        <v>154</v>
      </c>
      <c r="F3606" s="39" t="n">
        <v>45835</v>
      </c>
      <c r="G3606" s="41" t="n">
        <v>77.12</v>
      </c>
      <c r="H3606" s="39" t="n">
        <v>45908</v>
      </c>
      <c r="I3606" s="7" t="s">
        <v>14651</v>
      </c>
      <c r="J3606" s="8" t="str">
        <f aca="false">IF(I3606="Open",DATE(2025,12,31)-F3606,"-")</f>
        <v>-</v>
      </c>
    </row>
    <row r="3607" customFormat="false" ht="15" hidden="false" customHeight="false" outlineLevel="0" collapsed="false">
      <c r="B3607" s="7" t="s">
        <v>18252</v>
      </c>
      <c r="C3607" s="7" t="s">
        <v>4104</v>
      </c>
      <c r="D3607" s="7" t="s">
        <v>411</v>
      </c>
      <c r="E3607" s="7" t="s">
        <v>154</v>
      </c>
      <c r="F3607" s="39" t="n">
        <v>45835</v>
      </c>
      <c r="G3607" s="41" t="n">
        <v>117.74</v>
      </c>
      <c r="H3607" s="39" t="n">
        <v>45892</v>
      </c>
      <c r="I3607" s="7" t="s">
        <v>14651</v>
      </c>
      <c r="J3607" s="8" t="str">
        <f aca="false">IF(I3607="Open",DATE(2025,12,31)-F3607,"-")</f>
        <v>-</v>
      </c>
    </row>
    <row r="3608" customFormat="false" ht="15" hidden="false" customHeight="false" outlineLevel="0" collapsed="false">
      <c r="B3608" s="7" t="s">
        <v>18253</v>
      </c>
      <c r="C3608" s="7" t="s">
        <v>4105</v>
      </c>
      <c r="D3608" s="7" t="s">
        <v>288</v>
      </c>
      <c r="E3608" s="7" t="s">
        <v>156</v>
      </c>
      <c r="F3608" s="39" t="n">
        <v>45836</v>
      </c>
      <c r="G3608" s="41" t="n">
        <v>134.98</v>
      </c>
      <c r="H3608" s="39" t="n">
        <v>45847</v>
      </c>
      <c r="I3608" s="7" t="s">
        <v>14651</v>
      </c>
      <c r="J3608" s="8" t="str">
        <f aca="false">IF(I3608="Open",DATE(2025,12,31)-F3608,"-")</f>
        <v>-</v>
      </c>
    </row>
    <row r="3609" customFormat="false" ht="15" hidden="false" customHeight="false" outlineLevel="0" collapsed="false">
      <c r="B3609" s="7" t="s">
        <v>18254</v>
      </c>
      <c r="C3609" s="7" t="s">
        <v>4106</v>
      </c>
      <c r="D3609" s="7" t="s">
        <v>321</v>
      </c>
      <c r="E3609" s="7" t="s">
        <v>154</v>
      </c>
      <c r="F3609" s="39" t="n">
        <v>45836</v>
      </c>
      <c r="G3609" s="41" t="n">
        <v>110.5</v>
      </c>
      <c r="H3609" s="39" t="n">
        <v>45925</v>
      </c>
      <c r="I3609" s="7" t="s">
        <v>14651</v>
      </c>
      <c r="J3609" s="8" t="str">
        <f aca="false">IF(I3609="Open",DATE(2025,12,31)-F3609,"-")</f>
        <v>-</v>
      </c>
    </row>
    <row r="3610" customFormat="false" ht="15" hidden="false" customHeight="false" outlineLevel="0" collapsed="false">
      <c r="B3610" s="7" t="s">
        <v>18255</v>
      </c>
      <c r="C3610" s="7" t="s">
        <v>4107</v>
      </c>
      <c r="D3610" s="7" t="s">
        <v>359</v>
      </c>
      <c r="E3610" s="7" t="s">
        <v>156</v>
      </c>
      <c r="F3610" s="39" t="n">
        <v>45836</v>
      </c>
      <c r="G3610" s="41" t="n">
        <v>131.24</v>
      </c>
      <c r="H3610" s="39" t="n">
        <v>45843</v>
      </c>
      <c r="I3610" s="7" t="s">
        <v>14651</v>
      </c>
      <c r="J3610" s="8" t="str">
        <f aca="false">IF(I3610="Open",DATE(2025,12,31)-F3610,"-")</f>
        <v>-</v>
      </c>
    </row>
    <row r="3611" customFormat="false" ht="15" hidden="false" customHeight="false" outlineLevel="0" collapsed="false">
      <c r="B3611" s="7" t="s">
        <v>18256</v>
      </c>
      <c r="C3611" s="7" t="s">
        <v>4108</v>
      </c>
      <c r="D3611" s="7" t="s">
        <v>391</v>
      </c>
      <c r="E3611" s="7" t="s">
        <v>156</v>
      </c>
      <c r="F3611" s="39" t="n">
        <v>45836</v>
      </c>
      <c r="G3611" s="41" t="n">
        <v>137.7</v>
      </c>
      <c r="H3611" s="39" t="n">
        <v>45849</v>
      </c>
      <c r="I3611" s="7" t="s">
        <v>14651</v>
      </c>
      <c r="J3611" s="8" t="str">
        <f aca="false">IF(I3611="Open",DATE(2025,12,31)-F3611,"-")</f>
        <v>-</v>
      </c>
    </row>
    <row r="3612" customFormat="false" ht="15" hidden="false" customHeight="false" outlineLevel="0" collapsed="false">
      <c r="B3612" s="7" t="s">
        <v>18257</v>
      </c>
      <c r="C3612" s="7" t="s">
        <v>4109</v>
      </c>
      <c r="D3612" s="7" t="s">
        <v>395</v>
      </c>
      <c r="E3612" s="7" t="s">
        <v>156</v>
      </c>
      <c r="F3612" s="39" t="n">
        <v>45836</v>
      </c>
      <c r="G3612" s="41" t="n">
        <v>136</v>
      </c>
      <c r="H3612" s="39" t="n">
        <v>45848</v>
      </c>
      <c r="I3612" s="7" t="s">
        <v>14651</v>
      </c>
      <c r="J3612" s="8" t="str">
        <f aca="false">IF(I3612="Open",DATE(2025,12,31)-F3612,"-")</f>
        <v>-</v>
      </c>
    </row>
    <row r="3613" customFormat="false" ht="15" hidden="false" customHeight="false" outlineLevel="0" collapsed="false">
      <c r="B3613" s="7" t="s">
        <v>18258</v>
      </c>
      <c r="C3613" s="7" t="s">
        <v>4110</v>
      </c>
      <c r="D3613" s="7" t="s">
        <v>401</v>
      </c>
      <c r="E3613" s="7" t="s">
        <v>156</v>
      </c>
      <c r="F3613" s="39" t="n">
        <v>45836</v>
      </c>
      <c r="G3613" s="41" t="n">
        <v>128.86</v>
      </c>
      <c r="H3613" s="39" t="n">
        <v>45840</v>
      </c>
      <c r="I3613" s="7" t="s">
        <v>14651</v>
      </c>
      <c r="J3613" s="8" t="str">
        <f aca="false">IF(I3613="Open",DATE(2025,12,31)-F3613,"-")</f>
        <v>-</v>
      </c>
    </row>
    <row r="3614" customFormat="false" ht="15" hidden="false" customHeight="false" outlineLevel="0" collapsed="false">
      <c r="B3614" s="7" t="s">
        <v>18259</v>
      </c>
      <c r="C3614" s="7" t="s">
        <v>4111</v>
      </c>
      <c r="D3614" s="7" t="s">
        <v>288</v>
      </c>
      <c r="E3614" s="7" t="s">
        <v>156</v>
      </c>
      <c r="F3614" s="39" t="n">
        <v>45837</v>
      </c>
      <c r="G3614" s="41" t="n">
        <v>142.12</v>
      </c>
      <c r="H3614" s="39" t="n">
        <v>45850</v>
      </c>
      <c r="I3614" s="7" t="s">
        <v>14651</v>
      </c>
      <c r="J3614" s="8" t="str">
        <f aca="false">IF(I3614="Open",DATE(2025,12,31)-F3614,"-")</f>
        <v>-</v>
      </c>
    </row>
    <row r="3615" customFormat="false" ht="15" hidden="false" customHeight="false" outlineLevel="0" collapsed="false">
      <c r="B3615" s="7" t="s">
        <v>18260</v>
      </c>
      <c r="C3615" s="7" t="s">
        <v>4112</v>
      </c>
      <c r="D3615" s="7" t="s">
        <v>321</v>
      </c>
      <c r="E3615" s="7" t="s">
        <v>154</v>
      </c>
      <c r="F3615" s="39" t="n">
        <v>45837</v>
      </c>
      <c r="G3615" s="41" t="n">
        <v>103.62</v>
      </c>
      <c r="H3615" s="39" t="n">
        <v>45945</v>
      </c>
      <c r="I3615" s="7" t="s">
        <v>14651</v>
      </c>
      <c r="J3615" s="8" t="str">
        <f aca="false">IF(I3615="Open",DATE(2025,12,31)-F3615,"-")</f>
        <v>-</v>
      </c>
    </row>
    <row r="3616" customFormat="false" ht="15" hidden="false" customHeight="false" outlineLevel="0" collapsed="false">
      <c r="B3616" s="7" t="s">
        <v>18261</v>
      </c>
      <c r="C3616" s="7" t="s">
        <v>4113</v>
      </c>
      <c r="D3616" s="7" t="s">
        <v>359</v>
      </c>
      <c r="E3616" s="7" t="s">
        <v>156</v>
      </c>
      <c r="F3616" s="39" t="n">
        <v>45837</v>
      </c>
      <c r="G3616" s="41" t="n">
        <v>129.2</v>
      </c>
      <c r="H3616" s="39" t="n">
        <v>45852</v>
      </c>
      <c r="I3616" s="7" t="s">
        <v>14651</v>
      </c>
      <c r="J3616" s="8" t="str">
        <f aca="false">IF(I3616="Open",DATE(2025,12,31)-F3616,"-")</f>
        <v>-</v>
      </c>
    </row>
    <row r="3617" customFormat="false" ht="15" hidden="false" customHeight="false" outlineLevel="0" collapsed="false">
      <c r="B3617" s="7" t="s">
        <v>18262</v>
      </c>
      <c r="C3617" s="7" t="s">
        <v>4114</v>
      </c>
      <c r="D3617" s="7" t="s">
        <v>391</v>
      </c>
      <c r="E3617" s="7" t="s">
        <v>156</v>
      </c>
      <c r="F3617" s="39" t="n">
        <v>45837</v>
      </c>
      <c r="G3617" s="41" t="n">
        <v>124.1</v>
      </c>
      <c r="H3617" s="39" t="n">
        <v>45841</v>
      </c>
      <c r="I3617" s="7" t="s">
        <v>14651</v>
      </c>
      <c r="J3617" s="8" t="str">
        <f aca="false">IF(I3617="Open",DATE(2025,12,31)-F3617,"-")</f>
        <v>-</v>
      </c>
    </row>
    <row r="3618" customFormat="false" ht="15" hidden="false" customHeight="false" outlineLevel="0" collapsed="false">
      <c r="B3618" s="7" t="s">
        <v>18263</v>
      </c>
      <c r="C3618" s="7" t="s">
        <v>4115</v>
      </c>
      <c r="D3618" s="7" t="s">
        <v>395</v>
      </c>
      <c r="E3618" s="7" t="s">
        <v>156</v>
      </c>
      <c r="F3618" s="39" t="n">
        <v>45837</v>
      </c>
      <c r="G3618" s="41" t="n">
        <v>137.02</v>
      </c>
      <c r="H3618" s="39" t="n">
        <v>45852</v>
      </c>
      <c r="I3618" s="7" t="s">
        <v>14651</v>
      </c>
      <c r="J3618" s="8" t="str">
        <f aca="false">IF(I3618="Open",DATE(2025,12,31)-F3618,"-")</f>
        <v>-</v>
      </c>
    </row>
    <row r="3619" customFormat="false" ht="15" hidden="false" customHeight="false" outlineLevel="0" collapsed="false">
      <c r="B3619" s="7" t="s">
        <v>18264</v>
      </c>
      <c r="C3619" s="7" t="s">
        <v>4116</v>
      </c>
      <c r="D3619" s="7" t="s">
        <v>401</v>
      </c>
      <c r="E3619" s="7" t="s">
        <v>156</v>
      </c>
      <c r="F3619" s="39" t="n">
        <v>45837</v>
      </c>
      <c r="G3619" s="41" t="n">
        <v>135.32</v>
      </c>
      <c r="H3619" s="39" t="n">
        <v>45850</v>
      </c>
      <c r="I3619" s="7" t="s">
        <v>14651</v>
      </c>
      <c r="J3619" s="8" t="str">
        <f aca="false">IF(I3619="Open",DATE(2025,12,31)-F3619,"-")</f>
        <v>-</v>
      </c>
    </row>
    <row r="3620" customFormat="false" ht="15" hidden="false" customHeight="false" outlineLevel="0" collapsed="false">
      <c r="B3620" s="7" t="s">
        <v>18265</v>
      </c>
      <c r="C3620" s="7" t="s">
        <v>4117</v>
      </c>
      <c r="D3620" s="7" t="s">
        <v>280</v>
      </c>
      <c r="E3620" s="7" t="s">
        <v>157</v>
      </c>
      <c r="F3620" s="39" t="n">
        <v>45838</v>
      </c>
      <c r="G3620" s="41" t="n">
        <v>181.5</v>
      </c>
      <c r="H3620" s="39" t="n">
        <v>45878</v>
      </c>
      <c r="I3620" s="7" t="s">
        <v>14651</v>
      </c>
      <c r="J3620" s="8" t="str">
        <f aca="false">IF(I3620="Open",DATE(2025,12,31)-F3620,"-")</f>
        <v>-</v>
      </c>
    </row>
    <row r="3621" customFormat="false" ht="15" hidden="false" customHeight="false" outlineLevel="0" collapsed="false">
      <c r="B3621" s="7" t="s">
        <v>18266</v>
      </c>
      <c r="C3621" s="7" t="s">
        <v>4118</v>
      </c>
      <c r="D3621" s="7" t="s">
        <v>288</v>
      </c>
      <c r="E3621" s="7" t="s">
        <v>156</v>
      </c>
      <c r="F3621" s="39" t="n">
        <v>45838</v>
      </c>
      <c r="G3621" s="41" t="n">
        <v>146.2</v>
      </c>
      <c r="H3621" s="39" t="n">
        <v>45851</v>
      </c>
      <c r="I3621" s="7" t="s">
        <v>14651</v>
      </c>
      <c r="J3621" s="8" t="str">
        <f aca="false">IF(I3621="Open",DATE(2025,12,31)-F3621,"-")</f>
        <v>-</v>
      </c>
    </row>
    <row r="3622" customFormat="false" ht="15" hidden="false" customHeight="false" outlineLevel="0" collapsed="false">
      <c r="B3622" s="7" t="s">
        <v>18267</v>
      </c>
      <c r="C3622" s="7" t="s">
        <v>4119</v>
      </c>
      <c r="D3622" s="7" t="s">
        <v>291</v>
      </c>
      <c r="E3622" s="7" t="s">
        <v>154</v>
      </c>
      <c r="F3622" s="39" t="n">
        <v>45838</v>
      </c>
      <c r="G3622" s="41" t="n">
        <v>122.17</v>
      </c>
      <c r="H3622" s="39" t="n">
        <v>45897</v>
      </c>
      <c r="I3622" s="7" t="s">
        <v>14651</v>
      </c>
      <c r="J3622" s="8" t="str">
        <f aca="false">IF(I3622="Open",DATE(2025,12,31)-F3622,"-")</f>
        <v>-</v>
      </c>
    </row>
    <row r="3623" customFormat="false" ht="15" hidden="false" customHeight="false" outlineLevel="0" collapsed="false">
      <c r="B3623" s="7" t="s">
        <v>18268</v>
      </c>
      <c r="C3623" s="7" t="s">
        <v>4120</v>
      </c>
      <c r="D3623" s="7" t="s">
        <v>297</v>
      </c>
      <c r="E3623" s="7" t="s">
        <v>156</v>
      </c>
      <c r="F3623" s="39" t="n">
        <v>45838</v>
      </c>
      <c r="G3623" s="41" t="n">
        <v>105.4</v>
      </c>
      <c r="H3623" s="39" t="n">
        <v>45849</v>
      </c>
      <c r="I3623" s="7" t="s">
        <v>14651</v>
      </c>
      <c r="J3623" s="8" t="str">
        <f aca="false">IF(I3623="Open",DATE(2025,12,31)-F3623,"-")</f>
        <v>-</v>
      </c>
    </row>
    <row r="3624" customFormat="false" ht="15" hidden="false" customHeight="false" outlineLevel="0" collapsed="false">
      <c r="B3624" s="7" t="s">
        <v>18269</v>
      </c>
      <c r="C3624" s="7" t="s">
        <v>4121</v>
      </c>
      <c r="D3624" s="7" t="s">
        <v>305</v>
      </c>
      <c r="E3624" s="7" t="s">
        <v>154</v>
      </c>
      <c r="F3624" s="39" t="n">
        <v>45838</v>
      </c>
      <c r="G3624" s="41" t="n">
        <v>109.98</v>
      </c>
      <c r="H3624" s="39" t="n">
        <v>45885</v>
      </c>
      <c r="I3624" s="7" t="s">
        <v>14651</v>
      </c>
      <c r="J3624" s="8" t="str">
        <f aca="false">IF(I3624="Open",DATE(2025,12,31)-F3624,"-")</f>
        <v>-</v>
      </c>
    </row>
    <row r="3625" customFormat="false" ht="15" hidden="false" customHeight="false" outlineLevel="0" collapsed="false">
      <c r="B3625" s="7" t="s">
        <v>18270</v>
      </c>
      <c r="C3625" s="7" t="s">
        <v>4122</v>
      </c>
      <c r="D3625" s="7" t="s">
        <v>307</v>
      </c>
      <c r="E3625" s="7" t="s">
        <v>157</v>
      </c>
      <c r="F3625" s="39" t="n">
        <v>45838</v>
      </c>
      <c r="G3625" s="41" t="n">
        <v>176.55</v>
      </c>
      <c r="H3625" s="39" t="n">
        <v>45873</v>
      </c>
      <c r="I3625" s="7" t="s">
        <v>14651</v>
      </c>
      <c r="J3625" s="8" t="str">
        <f aca="false">IF(I3625="Open",DATE(2025,12,31)-F3625,"-")</f>
        <v>-</v>
      </c>
    </row>
    <row r="3626" customFormat="false" ht="15" hidden="false" customHeight="false" outlineLevel="0" collapsed="false">
      <c r="B3626" s="7" t="s">
        <v>18271</v>
      </c>
      <c r="C3626" s="7" t="s">
        <v>4123</v>
      </c>
      <c r="D3626" s="7" t="s">
        <v>309</v>
      </c>
      <c r="E3626" s="7" t="s">
        <v>159</v>
      </c>
      <c r="F3626" s="39" t="n">
        <v>45838</v>
      </c>
      <c r="G3626" s="41" t="n">
        <v>147.15</v>
      </c>
      <c r="H3626" s="39" t="n">
        <v>45897</v>
      </c>
      <c r="I3626" s="7" t="s">
        <v>14651</v>
      </c>
      <c r="J3626" s="8" t="str">
        <f aca="false">IF(I3626="Open",DATE(2025,12,31)-F3626,"-")</f>
        <v>-</v>
      </c>
    </row>
    <row r="3627" customFormat="false" ht="15" hidden="false" customHeight="false" outlineLevel="0" collapsed="false">
      <c r="B3627" s="7" t="s">
        <v>18272</v>
      </c>
      <c r="C3627" s="7" t="s">
        <v>4124</v>
      </c>
      <c r="D3627" s="7" t="s">
        <v>311</v>
      </c>
      <c r="E3627" s="7" t="s">
        <v>154</v>
      </c>
      <c r="F3627" s="39" t="n">
        <v>45838</v>
      </c>
      <c r="G3627" s="41" t="n">
        <v>83.47</v>
      </c>
      <c r="H3627" s="39" t="n">
        <v>45856</v>
      </c>
      <c r="I3627" s="7" t="s">
        <v>14651</v>
      </c>
      <c r="J3627" s="8" t="str">
        <f aca="false">IF(I3627="Open",DATE(2025,12,31)-F3627,"-")</f>
        <v>-</v>
      </c>
    </row>
    <row r="3628" customFormat="false" ht="15" hidden="false" customHeight="false" outlineLevel="0" collapsed="false">
      <c r="B3628" s="7" t="s">
        <v>18273</v>
      </c>
      <c r="C3628" s="7" t="s">
        <v>4125</v>
      </c>
      <c r="D3628" s="7" t="s">
        <v>313</v>
      </c>
      <c r="E3628" s="7" t="s">
        <v>156</v>
      </c>
      <c r="F3628" s="39" t="n">
        <v>45838</v>
      </c>
      <c r="G3628" s="41" t="n">
        <v>128.52</v>
      </c>
      <c r="H3628" s="39" t="n">
        <v>45843</v>
      </c>
      <c r="I3628" s="7" t="s">
        <v>14651</v>
      </c>
      <c r="J3628" s="8" t="str">
        <f aca="false">IF(I3628="Open",DATE(2025,12,31)-F3628,"-")</f>
        <v>-</v>
      </c>
    </row>
    <row r="3629" customFormat="false" ht="15" hidden="false" customHeight="false" outlineLevel="0" collapsed="false">
      <c r="B3629" s="7" t="s">
        <v>18274</v>
      </c>
      <c r="C3629" s="7" t="s">
        <v>4126</v>
      </c>
      <c r="D3629" s="7" t="s">
        <v>317</v>
      </c>
      <c r="E3629" s="7" t="s">
        <v>156</v>
      </c>
      <c r="F3629" s="39" t="n">
        <v>45838</v>
      </c>
      <c r="G3629" s="41" t="n">
        <v>111.52</v>
      </c>
      <c r="H3629" s="39" t="n">
        <v>45851</v>
      </c>
      <c r="I3629" s="7" t="s">
        <v>14651</v>
      </c>
      <c r="J3629" s="8" t="str">
        <f aca="false">IF(I3629="Open",DATE(2025,12,31)-F3629,"-")</f>
        <v>-</v>
      </c>
    </row>
    <row r="3630" customFormat="false" ht="15" hidden="false" customHeight="false" outlineLevel="0" collapsed="false">
      <c r="B3630" s="7" t="s">
        <v>18275</v>
      </c>
      <c r="C3630" s="7" t="s">
        <v>4127</v>
      </c>
      <c r="D3630" s="7" t="s">
        <v>321</v>
      </c>
      <c r="E3630" s="7" t="s">
        <v>154</v>
      </c>
      <c r="F3630" s="39" t="n">
        <v>45838</v>
      </c>
      <c r="G3630" s="41" t="n">
        <v>115.27</v>
      </c>
      <c r="H3630" s="39" t="n">
        <v>45934</v>
      </c>
      <c r="I3630" s="7" t="s">
        <v>14651</v>
      </c>
      <c r="J3630" s="8" t="str">
        <f aca="false">IF(I3630="Open",DATE(2025,12,31)-F3630,"-")</f>
        <v>-</v>
      </c>
    </row>
    <row r="3631" customFormat="false" ht="15" hidden="false" customHeight="false" outlineLevel="0" collapsed="false">
      <c r="B3631" s="7" t="s">
        <v>18276</v>
      </c>
      <c r="C3631" s="7" t="s">
        <v>4128</v>
      </c>
      <c r="D3631" s="7" t="s">
        <v>325</v>
      </c>
      <c r="E3631" s="7" t="s">
        <v>154</v>
      </c>
      <c r="F3631" s="39" t="n">
        <v>45838</v>
      </c>
      <c r="G3631" s="41" t="n">
        <v>78.44</v>
      </c>
      <c r="H3631" s="39" t="n">
        <v>45913</v>
      </c>
      <c r="I3631" s="7" t="s">
        <v>14651</v>
      </c>
      <c r="J3631" s="8" t="str">
        <f aca="false">IF(I3631="Open",DATE(2025,12,31)-F3631,"-")</f>
        <v>-</v>
      </c>
    </row>
    <row r="3632" customFormat="false" ht="15" hidden="false" customHeight="false" outlineLevel="0" collapsed="false">
      <c r="B3632" s="7" t="s">
        <v>18277</v>
      </c>
      <c r="C3632" s="7" t="s">
        <v>4129</v>
      </c>
      <c r="D3632" s="7" t="s">
        <v>329</v>
      </c>
      <c r="E3632" s="7" t="s">
        <v>156</v>
      </c>
      <c r="F3632" s="39" t="n">
        <v>45838</v>
      </c>
      <c r="G3632" s="41" t="n">
        <v>124.1</v>
      </c>
      <c r="H3632" s="39" t="n">
        <v>45849</v>
      </c>
      <c r="I3632" s="7" t="s">
        <v>14651</v>
      </c>
      <c r="J3632" s="8" t="str">
        <f aca="false">IF(I3632="Open",DATE(2025,12,31)-F3632,"-")</f>
        <v>-</v>
      </c>
    </row>
    <row r="3633" customFormat="false" ht="15" hidden="false" customHeight="false" outlineLevel="0" collapsed="false">
      <c r="B3633" s="7" t="s">
        <v>18278</v>
      </c>
      <c r="C3633" s="7" t="s">
        <v>4130</v>
      </c>
      <c r="D3633" s="7" t="s">
        <v>331</v>
      </c>
      <c r="E3633" s="7" t="s">
        <v>156</v>
      </c>
      <c r="F3633" s="39" t="n">
        <v>45838</v>
      </c>
      <c r="G3633" s="41" t="n">
        <v>137.7</v>
      </c>
      <c r="H3633" s="39" t="n">
        <v>45851</v>
      </c>
      <c r="I3633" s="7" t="s">
        <v>14651</v>
      </c>
      <c r="J3633" s="8" t="str">
        <f aca="false">IF(I3633="Open",DATE(2025,12,31)-F3633,"-")</f>
        <v>-</v>
      </c>
    </row>
    <row r="3634" customFormat="false" ht="15" hidden="false" customHeight="false" outlineLevel="0" collapsed="false">
      <c r="B3634" s="7" t="s">
        <v>18279</v>
      </c>
      <c r="C3634" s="7" t="s">
        <v>4131</v>
      </c>
      <c r="D3634" s="7" t="s">
        <v>335</v>
      </c>
      <c r="E3634" s="7" t="s">
        <v>154</v>
      </c>
      <c r="F3634" s="39" t="n">
        <v>45838</v>
      </c>
      <c r="G3634" s="41" t="n">
        <v>113.95</v>
      </c>
      <c r="H3634" s="39" t="n">
        <v>45890</v>
      </c>
      <c r="I3634" s="7" t="s">
        <v>14651</v>
      </c>
      <c r="J3634" s="8" t="str">
        <f aca="false">IF(I3634="Open",DATE(2025,12,31)-F3634,"-")</f>
        <v>-</v>
      </c>
    </row>
    <row r="3635" customFormat="false" ht="15" hidden="false" customHeight="false" outlineLevel="0" collapsed="false">
      <c r="B3635" s="7" t="s">
        <v>18280</v>
      </c>
      <c r="C3635" s="7" t="s">
        <v>4132</v>
      </c>
      <c r="D3635" s="7" t="s">
        <v>337</v>
      </c>
      <c r="E3635" s="7" t="s">
        <v>154</v>
      </c>
      <c r="F3635" s="39" t="n">
        <v>45838</v>
      </c>
      <c r="G3635" s="41" t="n">
        <v>73.78</v>
      </c>
      <c r="H3635" s="39" t="n">
        <v>45912</v>
      </c>
      <c r="I3635" s="7" t="s">
        <v>14651</v>
      </c>
      <c r="J3635" s="8" t="str">
        <f aca="false">IF(I3635="Open",DATE(2025,12,31)-F3635,"-")</f>
        <v>-</v>
      </c>
    </row>
    <row r="3636" customFormat="false" ht="15" hidden="false" customHeight="false" outlineLevel="0" collapsed="false">
      <c r="B3636" s="7" t="s">
        <v>18281</v>
      </c>
      <c r="C3636" s="7" t="s">
        <v>4133</v>
      </c>
      <c r="D3636" s="7" t="s">
        <v>339</v>
      </c>
      <c r="E3636" s="7" t="s">
        <v>154</v>
      </c>
      <c r="F3636" s="39" t="n">
        <v>45838</v>
      </c>
      <c r="G3636" s="41" t="n">
        <v>80.82</v>
      </c>
      <c r="H3636" s="39" t="n">
        <v>45916</v>
      </c>
      <c r="I3636" s="7" t="s">
        <v>14651</v>
      </c>
      <c r="J3636" s="8" t="str">
        <f aca="false">IF(I3636="Open",DATE(2025,12,31)-F3636,"-")</f>
        <v>-</v>
      </c>
    </row>
    <row r="3637" customFormat="false" ht="15" hidden="false" customHeight="false" outlineLevel="0" collapsed="false">
      <c r="B3637" s="7" t="s">
        <v>18282</v>
      </c>
      <c r="C3637" s="7" t="s">
        <v>4134</v>
      </c>
      <c r="D3637" s="7" t="s">
        <v>341</v>
      </c>
      <c r="E3637" s="7" t="s">
        <v>156</v>
      </c>
      <c r="F3637" s="39" t="n">
        <v>45838</v>
      </c>
      <c r="G3637" s="41" t="n">
        <v>94.18</v>
      </c>
      <c r="H3637" s="39" t="n">
        <v>45846</v>
      </c>
      <c r="I3637" s="7" t="s">
        <v>14651</v>
      </c>
      <c r="J3637" s="8" t="str">
        <f aca="false">IF(I3637="Open",DATE(2025,12,31)-F3637,"-")</f>
        <v>-</v>
      </c>
    </row>
    <row r="3638" customFormat="false" ht="15" hidden="false" customHeight="false" outlineLevel="0" collapsed="false">
      <c r="B3638" s="7" t="s">
        <v>18283</v>
      </c>
      <c r="C3638" s="7" t="s">
        <v>4135</v>
      </c>
      <c r="D3638" s="7" t="s">
        <v>343</v>
      </c>
      <c r="E3638" s="7" t="s">
        <v>154</v>
      </c>
      <c r="F3638" s="39" t="n">
        <v>45838</v>
      </c>
      <c r="G3638" s="41" t="n">
        <v>113.42</v>
      </c>
      <c r="H3638" s="39" t="n">
        <v>45907</v>
      </c>
      <c r="I3638" s="7" t="s">
        <v>14651</v>
      </c>
      <c r="J3638" s="8" t="str">
        <f aca="false">IF(I3638="Open",DATE(2025,12,31)-F3638,"-")</f>
        <v>-</v>
      </c>
    </row>
    <row r="3639" customFormat="false" ht="15" hidden="false" customHeight="false" outlineLevel="0" collapsed="false">
      <c r="B3639" s="7" t="s">
        <v>18284</v>
      </c>
      <c r="C3639" s="7" t="s">
        <v>4136</v>
      </c>
      <c r="D3639" s="7" t="s">
        <v>351</v>
      </c>
      <c r="E3639" s="7" t="s">
        <v>154</v>
      </c>
      <c r="F3639" s="39" t="n">
        <v>45838</v>
      </c>
      <c r="G3639" s="41" t="n">
        <v>87.45</v>
      </c>
      <c r="H3639" s="39" t="n">
        <v>45892</v>
      </c>
      <c r="I3639" s="7" t="s">
        <v>14651</v>
      </c>
      <c r="J3639" s="8" t="str">
        <f aca="false">IF(I3639="Open",DATE(2025,12,31)-F3639,"-")</f>
        <v>-</v>
      </c>
    </row>
    <row r="3640" customFormat="false" ht="15" hidden="false" customHeight="false" outlineLevel="0" collapsed="false">
      <c r="B3640" s="7" t="s">
        <v>18285</v>
      </c>
      <c r="C3640" s="7" t="s">
        <v>4137</v>
      </c>
      <c r="D3640" s="7" t="s">
        <v>353</v>
      </c>
      <c r="E3640" s="7" t="s">
        <v>154</v>
      </c>
      <c r="F3640" s="39" t="n">
        <v>45838</v>
      </c>
      <c r="G3640" s="41" t="n">
        <v>87.19</v>
      </c>
      <c r="H3640" s="39" t="n">
        <v>45872</v>
      </c>
      <c r="I3640" s="7" t="s">
        <v>14651</v>
      </c>
      <c r="J3640" s="8" t="str">
        <f aca="false">IF(I3640="Open",DATE(2025,12,31)-F3640,"-")</f>
        <v>-</v>
      </c>
    </row>
    <row r="3641" customFormat="false" ht="15" hidden="false" customHeight="false" outlineLevel="0" collapsed="false">
      <c r="B3641" s="7" t="s">
        <v>18286</v>
      </c>
      <c r="C3641" s="7" t="s">
        <v>4138</v>
      </c>
      <c r="D3641" s="7" t="s">
        <v>355</v>
      </c>
      <c r="E3641" s="7" t="s">
        <v>154</v>
      </c>
      <c r="F3641" s="39" t="n">
        <v>45838</v>
      </c>
      <c r="G3641" s="41" t="n">
        <v>95.13</v>
      </c>
      <c r="H3641" s="39" t="n">
        <v>45915</v>
      </c>
      <c r="I3641" s="7" t="s">
        <v>14651</v>
      </c>
      <c r="J3641" s="8" t="str">
        <f aca="false">IF(I3641="Open",DATE(2025,12,31)-F3641,"-")</f>
        <v>-</v>
      </c>
    </row>
    <row r="3642" customFormat="false" ht="15" hidden="false" customHeight="false" outlineLevel="0" collapsed="false">
      <c r="B3642" s="7" t="s">
        <v>18287</v>
      </c>
      <c r="C3642" s="7" t="s">
        <v>4139</v>
      </c>
      <c r="D3642" s="7" t="s">
        <v>357</v>
      </c>
      <c r="E3642" s="7" t="s">
        <v>154</v>
      </c>
      <c r="F3642" s="39" t="n">
        <v>45838</v>
      </c>
      <c r="G3642" s="41" t="n">
        <v>80.82</v>
      </c>
      <c r="H3642" s="39" t="n">
        <v>45924</v>
      </c>
      <c r="I3642" s="7" t="s">
        <v>14651</v>
      </c>
      <c r="J3642" s="8" t="str">
        <f aca="false">IF(I3642="Open",DATE(2025,12,31)-F3642,"-")</f>
        <v>-</v>
      </c>
    </row>
    <row r="3643" customFormat="false" ht="15" hidden="false" customHeight="false" outlineLevel="0" collapsed="false">
      <c r="B3643" s="7" t="s">
        <v>18288</v>
      </c>
      <c r="C3643" s="7" t="s">
        <v>4140</v>
      </c>
      <c r="D3643" s="7" t="s">
        <v>359</v>
      </c>
      <c r="E3643" s="7" t="s">
        <v>156</v>
      </c>
      <c r="F3643" s="39" t="n">
        <v>45838</v>
      </c>
      <c r="G3643" s="41" t="n">
        <v>136.68</v>
      </c>
      <c r="H3643" s="39" t="n">
        <v>45849</v>
      </c>
      <c r="I3643" s="7" t="s">
        <v>14651</v>
      </c>
      <c r="J3643" s="8" t="str">
        <f aca="false">IF(I3643="Open",DATE(2025,12,31)-F3643,"-")</f>
        <v>-</v>
      </c>
    </row>
    <row r="3644" customFormat="false" ht="15" hidden="false" customHeight="false" outlineLevel="0" collapsed="false">
      <c r="B3644" s="7" t="s">
        <v>18289</v>
      </c>
      <c r="C3644" s="7" t="s">
        <v>4141</v>
      </c>
      <c r="D3644" s="7" t="s">
        <v>363</v>
      </c>
      <c r="E3644" s="7" t="s">
        <v>156</v>
      </c>
      <c r="F3644" s="39" t="n">
        <v>45838</v>
      </c>
      <c r="G3644" s="41" t="n">
        <v>133.28</v>
      </c>
      <c r="H3644" s="39" t="n">
        <v>45853</v>
      </c>
      <c r="I3644" s="7" t="s">
        <v>14651</v>
      </c>
      <c r="J3644" s="8" t="str">
        <f aca="false">IF(I3644="Open",DATE(2025,12,31)-F3644,"-")</f>
        <v>-</v>
      </c>
    </row>
    <row r="3645" customFormat="false" ht="15" hidden="false" customHeight="false" outlineLevel="0" collapsed="false">
      <c r="B3645" s="7" t="s">
        <v>18290</v>
      </c>
      <c r="C3645" s="7" t="s">
        <v>4142</v>
      </c>
      <c r="D3645" s="7" t="s">
        <v>371</v>
      </c>
      <c r="E3645" s="7" t="s">
        <v>154</v>
      </c>
      <c r="F3645" s="39" t="n">
        <v>45838</v>
      </c>
      <c r="G3645" s="41" t="n">
        <v>121.9</v>
      </c>
      <c r="H3645" s="39" t="n">
        <v>45925</v>
      </c>
      <c r="I3645" s="7" t="s">
        <v>14651</v>
      </c>
      <c r="J3645" s="8" t="str">
        <f aca="false">IF(I3645="Open",DATE(2025,12,31)-F3645,"-")</f>
        <v>-</v>
      </c>
    </row>
    <row r="3646" customFormat="false" ht="15" hidden="false" customHeight="false" outlineLevel="0" collapsed="false">
      <c r="B3646" s="7" t="s">
        <v>18291</v>
      </c>
      <c r="C3646" s="7" t="s">
        <v>4143</v>
      </c>
      <c r="D3646" s="7" t="s">
        <v>375</v>
      </c>
      <c r="E3646" s="7" t="s">
        <v>156</v>
      </c>
      <c r="F3646" s="39" t="n">
        <v>45838</v>
      </c>
      <c r="G3646" s="41" t="n">
        <v>105.4</v>
      </c>
      <c r="H3646" s="39" t="n">
        <v>45853</v>
      </c>
      <c r="I3646" s="7" t="s">
        <v>14651</v>
      </c>
      <c r="J3646" s="8" t="str">
        <f aca="false">IF(I3646="Open",DATE(2025,12,31)-F3646,"-")</f>
        <v>-</v>
      </c>
    </row>
    <row r="3647" customFormat="false" ht="15" hidden="false" customHeight="false" outlineLevel="0" collapsed="false">
      <c r="B3647" s="7" t="s">
        <v>18292</v>
      </c>
      <c r="C3647" s="7" t="s">
        <v>4144</v>
      </c>
      <c r="D3647" s="7" t="s">
        <v>377</v>
      </c>
      <c r="E3647" s="7" t="s">
        <v>154</v>
      </c>
      <c r="F3647" s="39" t="n">
        <v>45838</v>
      </c>
      <c r="G3647" s="41" t="n">
        <v>109.44</v>
      </c>
      <c r="H3647" s="39" t="n">
        <v>45891</v>
      </c>
      <c r="I3647" s="7" t="s">
        <v>14651</v>
      </c>
      <c r="J3647" s="8" t="str">
        <f aca="false">IF(I3647="Open",DATE(2025,12,31)-F3647,"-")</f>
        <v>-</v>
      </c>
    </row>
    <row r="3648" customFormat="false" ht="15" hidden="false" customHeight="false" outlineLevel="0" collapsed="false">
      <c r="B3648" s="7" t="s">
        <v>18293</v>
      </c>
      <c r="C3648" s="7" t="s">
        <v>4145</v>
      </c>
      <c r="D3648" s="7" t="s">
        <v>379</v>
      </c>
      <c r="E3648" s="7" t="s">
        <v>156</v>
      </c>
      <c r="F3648" s="39" t="n">
        <v>45838</v>
      </c>
      <c r="G3648" s="41" t="n">
        <v>154.02</v>
      </c>
      <c r="H3648" s="39" t="n">
        <v>45855</v>
      </c>
      <c r="I3648" s="7" t="s">
        <v>14651</v>
      </c>
      <c r="J3648" s="8" t="str">
        <f aca="false">IF(I3648="Open",DATE(2025,12,31)-F3648,"-")</f>
        <v>-</v>
      </c>
    </row>
    <row r="3649" customFormat="false" ht="15" hidden="false" customHeight="false" outlineLevel="0" collapsed="false">
      <c r="B3649" s="7" t="s">
        <v>18294</v>
      </c>
      <c r="C3649" s="7" t="s">
        <v>4146</v>
      </c>
      <c r="D3649" s="7" t="s">
        <v>385</v>
      </c>
      <c r="E3649" s="7" t="s">
        <v>156</v>
      </c>
      <c r="F3649" s="39" t="n">
        <v>45838</v>
      </c>
      <c r="G3649" s="41" t="n">
        <v>126.48</v>
      </c>
      <c r="H3649" s="39" t="n">
        <v>45854</v>
      </c>
      <c r="I3649" s="7" t="s">
        <v>14651</v>
      </c>
      <c r="J3649" s="8" t="str">
        <f aca="false">IF(I3649="Open",DATE(2025,12,31)-F3649,"-")</f>
        <v>-</v>
      </c>
    </row>
    <row r="3650" customFormat="false" ht="15" hidden="false" customHeight="false" outlineLevel="0" collapsed="false">
      <c r="B3650" s="7" t="s">
        <v>18295</v>
      </c>
      <c r="C3650" s="7" t="s">
        <v>4147</v>
      </c>
      <c r="D3650" s="7" t="s">
        <v>389</v>
      </c>
      <c r="E3650" s="7" t="s">
        <v>154</v>
      </c>
      <c r="F3650" s="39" t="n">
        <v>45838</v>
      </c>
      <c r="G3650" s="41" t="n">
        <v>99.38</v>
      </c>
      <c r="H3650" s="39" t="n">
        <v>45878</v>
      </c>
      <c r="I3650" s="7" t="s">
        <v>14651</v>
      </c>
      <c r="J3650" s="8" t="str">
        <f aca="false">IF(I3650="Open",DATE(2025,12,31)-F3650,"-")</f>
        <v>-</v>
      </c>
    </row>
    <row r="3651" customFormat="false" ht="15" hidden="false" customHeight="false" outlineLevel="0" collapsed="false">
      <c r="B3651" s="7" t="s">
        <v>18296</v>
      </c>
      <c r="C3651" s="7" t="s">
        <v>4148</v>
      </c>
      <c r="D3651" s="7" t="s">
        <v>391</v>
      </c>
      <c r="E3651" s="7" t="s">
        <v>156</v>
      </c>
      <c r="F3651" s="39" t="n">
        <v>45838</v>
      </c>
      <c r="G3651" s="41" t="n">
        <v>145.52</v>
      </c>
      <c r="H3651" s="39" t="n">
        <v>45852</v>
      </c>
      <c r="I3651" s="7" t="s">
        <v>14651</v>
      </c>
      <c r="J3651" s="8" t="str">
        <f aca="false">IF(I3651="Open",DATE(2025,12,31)-F3651,"-")</f>
        <v>-</v>
      </c>
    </row>
    <row r="3652" customFormat="false" ht="15" hidden="false" customHeight="false" outlineLevel="0" collapsed="false">
      <c r="B3652" s="7" t="s">
        <v>18297</v>
      </c>
      <c r="C3652" s="7" t="s">
        <v>4149</v>
      </c>
      <c r="D3652" s="7" t="s">
        <v>395</v>
      </c>
      <c r="E3652" s="7" t="s">
        <v>156</v>
      </c>
      <c r="F3652" s="39" t="n">
        <v>45838</v>
      </c>
      <c r="G3652" s="41" t="n">
        <v>148.24</v>
      </c>
      <c r="H3652" s="39" t="n">
        <v>45854</v>
      </c>
      <c r="I3652" s="7" t="s">
        <v>14651</v>
      </c>
      <c r="J3652" s="8" t="str">
        <f aca="false">IF(I3652="Open",DATE(2025,12,31)-F3652,"-")</f>
        <v>-</v>
      </c>
    </row>
    <row r="3653" customFormat="false" ht="15" hidden="false" customHeight="false" outlineLevel="0" collapsed="false">
      <c r="B3653" s="7" t="s">
        <v>18298</v>
      </c>
      <c r="C3653" s="7" t="s">
        <v>4150</v>
      </c>
      <c r="D3653" s="7" t="s">
        <v>399</v>
      </c>
      <c r="E3653" s="7" t="s">
        <v>154</v>
      </c>
      <c r="F3653" s="39" t="n">
        <v>45838</v>
      </c>
      <c r="G3653" s="41" t="n">
        <v>83.47</v>
      </c>
      <c r="H3653" s="39" t="n">
        <v>45880</v>
      </c>
      <c r="I3653" s="7" t="s">
        <v>14651</v>
      </c>
      <c r="J3653" s="8" t="str">
        <f aca="false">IF(I3653="Open",DATE(2025,12,31)-F3653,"-")</f>
        <v>-</v>
      </c>
    </row>
    <row r="3654" customFormat="false" ht="15" hidden="false" customHeight="false" outlineLevel="0" collapsed="false">
      <c r="B3654" s="7" t="s">
        <v>18299</v>
      </c>
      <c r="C3654" s="7" t="s">
        <v>4151</v>
      </c>
      <c r="D3654" s="7" t="s">
        <v>401</v>
      </c>
      <c r="E3654" s="7" t="s">
        <v>156</v>
      </c>
      <c r="F3654" s="39" t="n">
        <v>45838</v>
      </c>
      <c r="G3654" s="41" t="n">
        <v>149.26</v>
      </c>
      <c r="H3654" s="39" t="n">
        <v>45840</v>
      </c>
      <c r="I3654" s="7" t="s">
        <v>14651</v>
      </c>
      <c r="J3654" s="8" t="str">
        <f aca="false">IF(I3654="Open",DATE(2025,12,31)-F3654,"-")</f>
        <v>-</v>
      </c>
    </row>
    <row r="3655" customFormat="false" ht="15" hidden="false" customHeight="false" outlineLevel="0" collapsed="false">
      <c r="B3655" s="7" t="s">
        <v>18300</v>
      </c>
      <c r="C3655" s="7" t="s">
        <v>4152</v>
      </c>
      <c r="D3655" s="7" t="s">
        <v>409</v>
      </c>
      <c r="E3655" s="7" t="s">
        <v>154</v>
      </c>
      <c r="F3655" s="39" t="n">
        <v>45838</v>
      </c>
      <c r="G3655" s="41" t="n">
        <v>93.02</v>
      </c>
      <c r="H3655" s="39" t="n">
        <v>45913</v>
      </c>
      <c r="I3655" s="7" t="s">
        <v>14651</v>
      </c>
      <c r="J3655" s="8" t="str">
        <f aca="false">IF(I3655="Open",DATE(2025,12,31)-F3655,"-")</f>
        <v>-</v>
      </c>
    </row>
    <row r="3656" customFormat="false" ht="15" hidden="false" customHeight="false" outlineLevel="0" collapsed="false">
      <c r="B3656" s="7" t="s">
        <v>18301</v>
      </c>
      <c r="C3656" s="7" t="s">
        <v>4153</v>
      </c>
      <c r="D3656" s="7" t="s">
        <v>411</v>
      </c>
      <c r="E3656" s="7" t="s">
        <v>154</v>
      </c>
      <c r="F3656" s="39" t="n">
        <v>45838</v>
      </c>
      <c r="G3656" s="41" t="n">
        <v>134.62</v>
      </c>
      <c r="H3656" s="39" t="n">
        <v>45889</v>
      </c>
      <c r="I3656" s="7" t="s">
        <v>14651</v>
      </c>
      <c r="J3656" s="8" t="str">
        <f aca="false">IF(I3656="Open",DATE(2025,12,31)-F3656,"-")</f>
        <v>-</v>
      </c>
    </row>
    <row r="3657" customFormat="false" ht="15" hidden="false" customHeight="false" outlineLevel="0" collapsed="false">
      <c r="B3657" s="7" t="s">
        <v>18302</v>
      </c>
      <c r="C3657" s="7" t="s">
        <v>4154</v>
      </c>
      <c r="D3657" s="7" t="s">
        <v>288</v>
      </c>
      <c r="E3657" s="7" t="s">
        <v>156</v>
      </c>
      <c r="F3657" s="39" t="n">
        <v>45839</v>
      </c>
      <c r="G3657" s="41" t="n">
        <v>123.08</v>
      </c>
      <c r="H3657" s="39" t="n">
        <v>45850</v>
      </c>
      <c r="I3657" s="7" t="s">
        <v>14651</v>
      </c>
      <c r="J3657" s="8" t="str">
        <f aca="false">IF(I3657="Open",DATE(2025,12,31)-F3657,"-")</f>
        <v>-</v>
      </c>
    </row>
    <row r="3658" customFormat="false" ht="15" hidden="false" customHeight="false" outlineLevel="0" collapsed="false">
      <c r="B3658" s="7" t="s">
        <v>18303</v>
      </c>
      <c r="C3658" s="7" t="s">
        <v>4155</v>
      </c>
      <c r="D3658" s="7" t="s">
        <v>301</v>
      </c>
      <c r="E3658" s="7" t="s">
        <v>157</v>
      </c>
      <c r="F3658" s="39" t="n">
        <v>45839</v>
      </c>
      <c r="G3658" s="41" t="n">
        <v>163.35</v>
      </c>
      <c r="H3658" s="39" t="n">
        <v>45868</v>
      </c>
      <c r="I3658" s="7" t="s">
        <v>14651</v>
      </c>
      <c r="J3658" s="8" t="str">
        <f aca="false">IF(I3658="Open",DATE(2025,12,31)-F3658,"-")</f>
        <v>-</v>
      </c>
    </row>
    <row r="3659" customFormat="false" ht="15" hidden="false" customHeight="false" outlineLevel="0" collapsed="false">
      <c r="B3659" s="7" t="s">
        <v>18304</v>
      </c>
      <c r="C3659" s="7" t="s">
        <v>4156</v>
      </c>
      <c r="D3659" s="7" t="s">
        <v>313</v>
      </c>
      <c r="E3659" s="7" t="s">
        <v>156</v>
      </c>
      <c r="F3659" s="39" t="n">
        <v>45839</v>
      </c>
      <c r="G3659" s="41" t="n">
        <v>132.6</v>
      </c>
      <c r="H3659" s="39" t="n">
        <v>45844</v>
      </c>
      <c r="I3659" s="7" t="s">
        <v>14651</v>
      </c>
      <c r="J3659" s="8" t="str">
        <f aca="false">IF(I3659="Open",DATE(2025,12,31)-F3659,"-")</f>
        <v>-</v>
      </c>
    </row>
    <row r="3660" customFormat="false" ht="15" hidden="false" customHeight="false" outlineLevel="0" collapsed="false">
      <c r="B3660" s="7" t="s">
        <v>18305</v>
      </c>
      <c r="C3660" s="7" t="s">
        <v>4157</v>
      </c>
      <c r="D3660" s="7" t="s">
        <v>319</v>
      </c>
      <c r="E3660" s="7" t="s">
        <v>157</v>
      </c>
      <c r="F3660" s="39" t="n">
        <v>45839</v>
      </c>
      <c r="G3660" s="41" t="n">
        <v>155.1</v>
      </c>
      <c r="H3660" s="39" t="n">
        <v>45885</v>
      </c>
      <c r="I3660" s="7" t="s">
        <v>14651</v>
      </c>
      <c r="J3660" s="8" t="str">
        <f aca="false">IF(I3660="Open",DATE(2025,12,31)-F3660,"-")</f>
        <v>-</v>
      </c>
    </row>
    <row r="3661" customFormat="false" ht="15" hidden="false" customHeight="false" outlineLevel="0" collapsed="false">
      <c r="B3661" s="7" t="s">
        <v>18306</v>
      </c>
      <c r="C3661" s="7" t="s">
        <v>4158</v>
      </c>
      <c r="D3661" s="7" t="s">
        <v>321</v>
      </c>
      <c r="E3661" s="7" t="s">
        <v>154</v>
      </c>
      <c r="F3661" s="39" t="n">
        <v>45839</v>
      </c>
      <c r="G3661" s="41" t="n">
        <v>95.11</v>
      </c>
      <c r="H3661" s="39" t="n">
        <v>45889</v>
      </c>
      <c r="I3661" s="7" t="s">
        <v>14651</v>
      </c>
      <c r="J3661" s="8" t="str">
        <f aca="false">IF(I3661="Open",DATE(2025,12,31)-F3661,"-")</f>
        <v>-</v>
      </c>
    </row>
    <row r="3662" customFormat="false" ht="15" hidden="false" customHeight="false" outlineLevel="0" collapsed="false">
      <c r="B3662" s="7" t="s">
        <v>18307</v>
      </c>
      <c r="C3662" s="7" t="s">
        <v>4159</v>
      </c>
      <c r="D3662" s="7" t="s">
        <v>323</v>
      </c>
      <c r="E3662" s="7" t="s">
        <v>159</v>
      </c>
      <c r="F3662" s="39" t="n">
        <v>45839</v>
      </c>
      <c r="G3662" s="41" t="n">
        <v>135</v>
      </c>
      <c r="H3662" s="39" t="n">
        <v>45881</v>
      </c>
      <c r="I3662" s="7" t="s">
        <v>14651</v>
      </c>
      <c r="J3662" s="8" t="str">
        <f aca="false">IF(I3662="Open",DATE(2025,12,31)-F3662,"-")</f>
        <v>-</v>
      </c>
    </row>
    <row r="3663" customFormat="false" ht="15" hidden="false" customHeight="false" outlineLevel="0" collapsed="false">
      <c r="B3663" s="7" t="s">
        <v>18308</v>
      </c>
      <c r="C3663" s="7" t="s">
        <v>4160</v>
      </c>
      <c r="D3663" s="7" t="s">
        <v>327</v>
      </c>
      <c r="E3663" s="7" t="s">
        <v>157</v>
      </c>
      <c r="F3663" s="39" t="n">
        <v>45839</v>
      </c>
      <c r="G3663" s="41" t="n">
        <v>158.4</v>
      </c>
      <c r="H3663" s="39" t="n">
        <v>45874</v>
      </c>
      <c r="I3663" s="7" t="s">
        <v>14651</v>
      </c>
      <c r="J3663" s="8" t="str">
        <f aca="false">IF(I3663="Open",DATE(2025,12,31)-F3663,"-")</f>
        <v>-</v>
      </c>
    </row>
    <row r="3664" customFormat="false" ht="15" hidden="false" customHeight="false" outlineLevel="0" collapsed="false">
      <c r="B3664" s="7" t="s">
        <v>18309</v>
      </c>
      <c r="C3664" s="7" t="s">
        <v>4161</v>
      </c>
      <c r="D3664" s="7" t="s">
        <v>329</v>
      </c>
      <c r="E3664" s="7" t="s">
        <v>156</v>
      </c>
      <c r="F3664" s="39" t="n">
        <v>45839</v>
      </c>
      <c r="G3664" s="41" t="n">
        <v>144.16</v>
      </c>
      <c r="H3664" s="39" t="n">
        <v>45852</v>
      </c>
      <c r="I3664" s="7" t="s">
        <v>14651</v>
      </c>
      <c r="J3664" s="8" t="str">
        <f aca="false">IF(I3664="Open",DATE(2025,12,31)-F3664,"-")</f>
        <v>-</v>
      </c>
    </row>
    <row r="3665" customFormat="false" ht="15" hidden="false" customHeight="false" outlineLevel="0" collapsed="false">
      <c r="B3665" s="7" t="s">
        <v>18310</v>
      </c>
      <c r="C3665" s="7" t="s">
        <v>4162</v>
      </c>
      <c r="D3665" s="7" t="s">
        <v>359</v>
      </c>
      <c r="E3665" s="7" t="s">
        <v>156</v>
      </c>
      <c r="F3665" s="39" t="n">
        <v>45839</v>
      </c>
      <c r="G3665" s="41" t="n">
        <v>125.46</v>
      </c>
      <c r="H3665" s="39" t="n">
        <v>45853</v>
      </c>
      <c r="I3665" s="7" t="s">
        <v>14651</v>
      </c>
      <c r="J3665" s="8" t="str">
        <f aca="false">IF(I3665="Open",DATE(2025,12,31)-F3665,"-")</f>
        <v>-</v>
      </c>
    </row>
    <row r="3666" customFormat="false" ht="15" hidden="false" customHeight="false" outlineLevel="0" collapsed="false">
      <c r="B3666" s="7" t="s">
        <v>18311</v>
      </c>
      <c r="C3666" s="7" t="s">
        <v>4163</v>
      </c>
      <c r="D3666" s="7" t="s">
        <v>361</v>
      </c>
      <c r="E3666" s="7" t="s">
        <v>157</v>
      </c>
      <c r="F3666" s="39" t="n">
        <v>45839</v>
      </c>
      <c r="G3666" s="41" t="n">
        <v>153.62</v>
      </c>
      <c r="H3666" s="39" t="n">
        <v>45936</v>
      </c>
      <c r="I3666" s="7" t="s">
        <v>14651</v>
      </c>
      <c r="J3666" s="8" t="str">
        <f aca="false">IF(I3666="Open",DATE(2025,12,31)-F3666,"-")</f>
        <v>-</v>
      </c>
    </row>
    <row r="3667" customFormat="false" ht="15" hidden="false" customHeight="false" outlineLevel="0" collapsed="false">
      <c r="B3667" s="7" t="s">
        <v>18312</v>
      </c>
      <c r="C3667" s="7" t="s">
        <v>4164</v>
      </c>
      <c r="D3667" s="7" t="s">
        <v>365</v>
      </c>
      <c r="E3667" s="7" t="s">
        <v>154</v>
      </c>
      <c r="F3667" s="39" t="n">
        <v>45839</v>
      </c>
      <c r="G3667" s="41" t="n">
        <v>99.98</v>
      </c>
      <c r="H3667" s="39" t="n">
        <v>45913</v>
      </c>
      <c r="I3667" s="7" t="s">
        <v>14651</v>
      </c>
      <c r="J3667" s="8" t="str">
        <f aca="false">IF(I3667="Open",DATE(2025,12,31)-F3667,"-")</f>
        <v>-</v>
      </c>
    </row>
    <row r="3668" customFormat="false" ht="15" hidden="false" customHeight="false" outlineLevel="0" collapsed="false">
      <c r="B3668" s="7" t="s">
        <v>18313</v>
      </c>
      <c r="C3668" s="7" t="s">
        <v>4165</v>
      </c>
      <c r="D3668" s="7" t="s">
        <v>381</v>
      </c>
      <c r="E3668" s="7" t="s">
        <v>157</v>
      </c>
      <c r="F3668" s="39" t="n">
        <v>45839</v>
      </c>
      <c r="G3668" s="41" t="n">
        <v>179.85</v>
      </c>
      <c r="H3668" s="39" t="n">
        <v>45884</v>
      </c>
      <c r="I3668" s="7" t="s">
        <v>14651</v>
      </c>
      <c r="J3668" s="8" t="str">
        <f aca="false">IF(I3668="Open",DATE(2025,12,31)-F3668,"-")</f>
        <v>-</v>
      </c>
    </row>
    <row r="3669" customFormat="false" ht="15" hidden="false" customHeight="false" outlineLevel="0" collapsed="false">
      <c r="B3669" s="7" t="s">
        <v>18314</v>
      </c>
      <c r="C3669" s="7" t="s">
        <v>4166</v>
      </c>
      <c r="D3669" s="7" t="s">
        <v>389</v>
      </c>
      <c r="E3669" s="7" t="s">
        <v>154</v>
      </c>
      <c r="F3669" s="39" t="n">
        <v>45839</v>
      </c>
      <c r="G3669" s="41" t="n">
        <v>110.24</v>
      </c>
      <c r="H3669" s="39" t="n">
        <v>45917</v>
      </c>
      <c r="I3669" s="7" t="s">
        <v>14651</v>
      </c>
      <c r="J3669" s="8" t="str">
        <f aca="false">IF(I3669="Open",DATE(2025,12,31)-F3669,"-")</f>
        <v>-</v>
      </c>
    </row>
    <row r="3670" customFormat="false" ht="15" hidden="false" customHeight="false" outlineLevel="0" collapsed="false">
      <c r="B3670" s="7" t="s">
        <v>18315</v>
      </c>
      <c r="C3670" s="7" t="s">
        <v>4167</v>
      </c>
      <c r="D3670" s="7" t="s">
        <v>395</v>
      </c>
      <c r="E3670" s="7" t="s">
        <v>156</v>
      </c>
      <c r="F3670" s="39" t="n">
        <v>45839</v>
      </c>
      <c r="G3670" s="41" t="n">
        <v>142.12</v>
      </c>
      <c r="H3670" s="39" t="n">
        <v>45849</v>
      </c>
      <c r="I3670" s="7" t="s">
        <v>14651</v>
      </c>
      <c r="J3670" s="8" t="str">
        <f aca="false">IF(I3670="Open",DATE(2025,12,31)-F3670,"-")</f>
        <v>-</v>
      </c>
    </row>
    <row r="3671" customFormat="false" ht="15" hidden="false" customHeight="false" outlineLevel="0" collapsed="false">
      <c r="B3671" s="7" t="s">
        <v>18316</v>
      </c>
      <c r="C3671" s="7" t="s">
        <v>4168</v>
      </c>
      <c r="D3671" s="7" t="s">
        <v>397</v>
      </c>
      <c r="E3671" s="7" t="s">
        <v>159</v>
      </c>
      <c r="F3671" s="39" t="n">
        <v>45839</v>
      </c>
      <c r="G3671" s="41" t="n">
        <v>134.32</v>
      </c>
      <c r="H3671" s="39" t="n">
        <v>45936</v>
      </c>
      <c r="I3671" s="7" t="s">
        <v>14651</v>
      </c>
      <c r="J3671" s="8" t="str">
        <f aca="false">IF(I3671="Open",DATE(2025,12,31)-F3671,"-")</f>
        <v>-</v>
      </c>
    </row>
    <row r="3672" customFormat="false" ht="15" hidden="false" customHeight="false" outlineLevel="0" collapsed="false">
      <c r="B3672" s="7" t="s">
        <v>18317</v>
      </c>
      <c r="C3672" s="7" t="s">
        <v>4169</v>
      </c>
      <c r="D3672" s="7" t="s">
        <v>401</v>
      </c>
      <c r="E3672" s="7" t="s">
        <v>156</v>
      </c>
      <c r="F3672" s="39" t="n">
        <v>45839</v>
      </c>
      <c r="G3672" s="41" t="n">
        <v>136.34</v>
      </c>
      <c r="H3672" s="39" t="n">
        <v>45852</v>
      </c>
      <c r="I3672" s="7" t="s">
        <v>14651</v>
      </c>
      <c r="J3672" s="8" t="str">
        <f aca="false">IF(I3672="Open",DATE(2025,12,31)-F3672,"-")</f>
        <v>-</v>
      </c>
    </row>
    <row r="3673" customFormat="false" ht="15" hidden="false" customHeight="false" outlineLevel="0" collapsed="false">
      <c r="B3673" s="7" t="s">
        <v>18318</v>
      </c>
      <c r="C3673" s="7" t="s">
        <v>4170</v>
      </c>
      <c r="D3673" s="7" t="s">
        <v>407</v>
      </c>
      <c r="E3673" s="7" t="s">
        <v>159</v>
      </c>
      <c r="F3673" s="39" t="n">
        <v>45839</v>
      </c>
      <c r="G3673" s="41" t="n">
        <v>122.85</v>
      </c>
      <c r="H3673" s="39" t="n">
        <v>45907</v>
      </c>
      <c r="I3673" s="7" t="s">
        <v>14651</v>
      </c>
      <c r="J3673" s="8" t="str">
        <f aca="false">IF(I3673="Open",DATE(2025,12,31)-F3673,"-")</f>
        <v>-</v>
      </c>
    </row>
    <row r="3674" customFormat="false" ht="15" hidden="false" customHeight="false" outlineLevel="0" collapsed="false">
      <c r="B3674" s="7" t="s">
        <v>18319</v>
      </c>
      <c r="C3674" s="7" t="s">
        <v>4171</v>
      </c>
      <c r="D3674" s="7" t="s">
        <v>280</v>
      </c>
      <c r="E3674" s="7" t="s">
        <v>157</v>
      </c>
      <c r="F3674" s="39" t="n">
        <v>45840</v>
      </c>
      <c r="G3674" s="41" t="n">
        <v>173.25</v>
      </c>
      <c r="H3674" s="39" t="n">
        <v>45900</v>
      </c>
      <c r="I3674" s="7" t="s">
        <v>14651</v>
      </c>
      <c r="J3674" s="8" t="str">
        <f aca="false">IF(I3674="Open",DATE(2025,12,31)-F3674,"-")</f>
        <v>-</v>
      </c>
    </row>
    <row r="3675" customFormat="false" ht="15" hidden="false" customHeight="false" outlineLevel="0" collapsed="false">
      <c r="B3675" s="7" t="s">
        <v>18320</v>
      </c>
      <c r="C3675" s="7" t="s">
        <v>4172</v>
      </c>
      <c r="D3675" s="7" t="s">
        <v>288</v>
      </c>
      <c r="E3675" s="7" t="s">
        <v>156</v>
      </c>
      <c r="F3675" s="39" t="n">
        <v>45840</v>
      </c>
      <c r="G3675" s="41" t="n">
        <v>144.84</v>
      </c>
      <c r="H3675" s="39" t="n">
        <v>45858</v>
      </c>
      <c r="I3675" s="7" t="s">
        <v>14651</v>
      </c>
      <c r="J3675" s="8" t="str">
        <f aca="false">IF(I3675="Open",DATE(2025,12,31)-F3675,"-")</f>
        <v>-</v>
      </c>
    </row>
    <row r="3676" customFormat="false" ht="15" hidden="false" customHeight="false" outlineLevel="0" collapsed="false">
      <c r="B3676" s="7" t="s">
        <v>18321</v>
      </c>
      <c r="C3676" s="7" t="s">
        <v>4173</v>
      </c>
      <c r="D3676" s="7" t="s">
        <v>291</v>
      </c>
      <c r="E3676" s="7" t="s">
        <v>154</v>
      </c>
      <c r="F3676" s="39" t="n">
        <v>45840</v>
      </c>
      <c r="G3676" s="41" t="n">
        <v>135.15</v>
      </c>
      <c r="H3676" s="39" t="n">
        <v>45961</v>
      </c>
      <c r="I3676" s="7" t="s">
        <v>14651</v>
      </c>
      <c r="J3676" s="8" t="str">
        <f aca="false">IF(I3676="Open",DATE(2025,12,31)-F3676,"-")</f>
        <v>-</v>
      </c>
    </row>
    <row r="3677" customFormat="false" ht="15" hidden="false" customHeight="false" outlineLevel="0" collapsed="false">
      <c r="B3677" s="7" t="s">
        <v>18322</v>
      </c>
      <c r="C3677" s="7" t="s">
        <v>4174</v>
      </c>
      <c r="D3677" s="7" t="s">
        <v>305</v>
      </c>
      <c r="E3677" s="7" t="s">
        <v>154</v>
      </c>
      <c r="F3677" s="39" t="n">
        <v>45840</v>
      </c>
      <c r="G3677" s="41" t="n">
        <v>96.41</v>
      </c>
      <c r="H3677" s="39" t="n">
        <v>45955</v>
      </c>
      <c r="I3677" s="7" t="s">
        <v>14651</v>
      </c>
      <c r="J3677" s="8" t="str">
        <f aca="false">IF(I3677="Open",DATE(2025,12,31)-F3677,"-")</f>
        <v>-</v>
      </c>
    </row>
    <row r="3678" customFormat="false" ht="15" hidden="false" customHeight="false" outlineLevel="0" collapsed="false">
      <c r="B3678" s="7" t="s">
        <v>18323</v>
      </c>
      <c r="C3678" s="7" t="s">
        <v>4175</v>
      </c>
      <c r="D3678" s="7" t="s">
        <v>307</v>
      </c>
      <c r="E3678" s="7" t="s">
        <v>157</v>
      </c>
      <c r="F3678" s="39" t="n">
        <v>45840</v>
      </c>
      <c r="G3678" s="41" t="n">
        <v>153.45</v>
      </c>
      <c r="H3678" s="39" t="n">
        <v>45908</v>
      </c>
      <c r="I3678" s="7" t="s">
        <v>14651</v>
      </c>
      <c r="J3678" s="8" t="str">
        <f aca="false">IF(I3678="Open",DATE(2025,12,31)-F3678,"-")</f>
        <v>-</v>
      </c>
    </row>
    <row r="3679" customFormat="false" ht="15" hidden="false" customHeight="false" outlineLevel="0" collapsed="false">
      <c r="B3679" s="7" t="s">
        <v>18324</v>
      </c>
      <c r="C3679" s="7" t="s">
        <v>4176</v>
      </c>
      <c r="D3679" s="7" t="s">
        <v>309</v>
      </c>
      <c r="E3679" s="7" t="s">
        <v>159</v>
      </c>
      <c r="F3679" s="39" t="n">
        <v>45840</v>
      </c>
      <c r="G3679" s="41" t="n">
        <v>139.05</v>
      </c>
      <c r="H3679" s="39" t="n">
        <v>45926</v>
      </c>
      <c r="I3679" s="7" t="s">
        <v>14651</v>
      </c>
      <c r="J3679" s="8" t="str">
        <f aca="false">IF(I3679="Open",DATE(2025,12,31)-F3679,"-")</f>
        <v>-</v>
      </c>
    </row>
    <row r="3680" customFormat="false" ht="15" hidden="false" customHeight="false" outlineLevel="0" collapsed="false">
      <c r="B3680" s="7" t="s">
        <v>18325</v>
      </c>
      <c r="C3680" s="7" t="s">
        <v>4177</v>
      </c>
      <c r="D3680" s="7" t="s">
        <v>313</v>
      </c>
      <c r="E3680" s="7" t="s">
        <v>156</v>
      </c>
      <c r="F3680" s="39" t="n">
        <v>45840</v>
      </c>
      <c r="G3680" s="41" t="n">
        <v>131.24</v>
      </c>
      <c r="H3680" s="39" t="n">
        <v>45858</v>
      </c>
      <c r="I3680" s="7" t="s">
        <v>14651</v>
      </c>
      <c r="J3680" s="8" t="str">
        <f aca="false">IF(I3680="Open",DATE(2025,12,31)-F3680,"-")</f>
        <v>-</v>
      </c>
    </row>
    <row r="3681" customFormat="false" ht="15" hidden="false" customHeight="false" outlineLevel="0" collapsed="false">
      <c r="B3681" s="7" t="s">
        <v>18326</v>
      </c>
      <c r="C3681" s="7" t="s">
        <v>4178</v>
      </c>
      <c r="D3681" s="7" t="s">
        <v>321</v>
      </c>
      <c r="E3681" s="7" t="s">
        <v>154</v>
      </c>
      <c r="F3681" s="39" t="n">
        <v>45840</v>
      </c>
      <c r="G3681" s="41" t="n">
        <v>114.21</v>
      </c>
      <c r="H3681" s="39" t="n">
        <v>45880</v>
      </c>
      <c r="I3681" s="7" t="s">
        <v>14651</v>
      </c>
      <c r="J3681" s="8" t="str">
        <f aca="false">IF(I3681="Open",DATE(2025,12,31)-F3681,"-")</f>
        <v>-</v>
      </c>
    </row>
    <row r="3682" customFormat="false" ht="15" hidden="false" customHeight="false" outlineLevel="0" collapsed="false">
      <c r="B3682" s="7" t="s">
        <v>18327</v>
      </c>
      <c r="C3682" s="7" t="s">
        <v>4179</v>
      </c>
      <c r="D3682" s="7" t="s">
        <v>329</v>
      </c>
      <c r="E3682" s="7" t="s">
        <v>156</v>
      </c>
      <c r="F3682" s="39" t="n">
        <v>45840</v>
      </c>
      <c r="G3682" s="41" t="n">
        <v>147.22</v>
      </c>
      <c r="H3682" s="39" t="n">
        <v>45856</v>
      </c>
      <c r="I3682" s="7" t="s">
        <v>14651</v>
      </c>
      <c r="J3682" s="8" t="str">
        <f aca="false">IF(I3682="Open",DATE(2025,12,31)-F3682,"-")</f>
        <v>-</v>
      </c>
    </row>
    <row r="3683" customFormat="false" ht="15" hidden="false" customHeight="false" outlineLevel="0" collapsed="false">
      <c r="B3683" s="7" t="s">
        <v>18328</v>
      </c>
      <c r="C3683" s="7" t="s">
        <v>4180</v>
      </c>
      <c r="D3683" s="7" t="s">
        <v>335</v>
      </c>
      <c r="E3683" s="7" t="s">
        <v>154</v>
      </c>
      <c r="F3683" s="39" t="n">
        <v>45840</v>
      </c>
      <c r="G3683" s="41" t="n">
        <v>108.12</v>
      </c>
      <c r="H3683" s="39" t="n">
        <v>45893</v>
      </c>
      <c r="I3683" s="7" t="s">
        <v>14651</v>
      </c>
      <c r="J3683" s="8" t="str">
        <f aca="false">IF(I3683="Open",DATE(2025,12,31)-F3683,"-")</f>
        <v>-</v>
      </c>
    </row>
    <row r="3684" customFormat="false" ht="15" hidden="false" customHeight="false" outlineLevel="0" collapsed="false">
      <c r="B3684" s="7" t="s">
        <v>18329</v>
      </c>
      <c r="C3684" s="7" t="s">
        <v>4181</v>
      </c>
      <c r="D3684" s="7" t="s">
        <v>339</v>
      </c>
      <c r="E3684" s="7" t="s">
        <v>154</v>
      </c>
      <c r="F3684" s="39" t="n">
        <v>45840</v>
      </c>
      <c r="G3684" s="41" t="n">
        <v>77.38</v>
      </c>
      <c r="H3684" s="39" t="n">
        <v>45914</v>
      </c>
      <c r="I3684" s="7" t="s">
        <v>14651</v>
      </c>
      <c r="J3684" s="8" t="str">
        <f aca="false">IF(I3684="Open",DATE(2025,12,31)-F3684,"-")</f>
        <v>-</v>
      </c>
    </row>
    <row r="3685" customFormat="false" ht="15" hidden="false" customHeight="false" outlineLevel="0" collapsed="false">
      <c r="B3685" s="7" t="s">
        <v>18330</v>
      </c>
      <c r="C3685" s="7" t="s">
        <v>4182</v>
      </c>
      <c r="D3685" s="7" t="s">
        <v>353</v>
      </c>
      <c r="E3685" s="7" t="s">
        <v>154</v>
      </c>
      <c r="F3685" s="39" t="n">
        <v>45840</v>
      </c>
      <c r="G3685" s="41" t="n">
        <v>96.99</v>
      </c>
      <c r="H3685" s="39" t="n">
        <v>45938</v>
      </c>
      <c r="I3685" s="7" t="s">
        <v>14651</v>
      </c>
      <c r="J3685" s="8" t="str">
        <f aca="false">IF(I3685="Open",DATE(2025,12,31)-F3685,"-")</f>
        <v>-</v>
      </c>
    </row>
    <row r="3686" customFormat="false" ht="15" hidden="false" customHeight="false" outlineLevel="0" collapsed="false">
      <c r="B3686" s="7" t="s">
        <v>18331</v>
      </c>
      <c r="C3686" s="7" t="s">
        <v>4183</v>
      </c>
      <c r="D3686" s="7" t="s">
        <v>355</v>
      </c>
      <c r="E3686" s="7" t="s">
        <v>154</v>
      </c>
      <c r="F3686" s="39" t="n">
        <v>45840</v>
      </c>
      <c r="G3686" s="41" t="n">
        <v>96.99</v>
      </c>
      <c r="H3686" s="39" t="n">
        <v>45892</v>
      </c>
      <c r="I3686" s="7" t="s">
        <v>14651</v>
      </c>
      <c r="J3686" s="8" t="str">
        <f aca="false">IF(I3686="Open",DATE(2025,12,31)-F3686,"-")</f>
        <v>-</v>
      </c>
    </row>
    <row r="3687" customFormat="false" ht="15" hidden="false" customHeight="false" outlineLevel="0" collapsed="false">
      <c r="B3687" s="7" t="s">
        <v>18332</v>
      </c>
      <c r="C3687" s="7" t="s">
        <v>4184</v>
      </c>
      <c r="D3687" s="7" t="s">
        <v>357</v>
      </c>
      <c r="E3687" s="7" t="s">
        <v>154</v>
      </c>
      <c r="F3687" s="39" t="n">
        <v>45840</v>
      </c>
      <c r="G3687" s="41" t="n">
        <v>81.88</v>
      </c>
      <c r="H3687" s="39" t="n">
        <v>45895</v>
      </c>
      <c r="I3687" s="7" t="s">
        <v>14651</v>
      </c>
      <c r="J3687" s="8" t="str">
        <f aca="false">IF(I3687="Open",DATE(2025,12,31)-F3687,"-")</f>
        <v>-</v>
      </c>
    </row>
    <row r="3688" customFormat="false" ht="15" hidden="false" customHeight="false" outlineLevel="0" collapsed="false">
      <c r="B3688" s="7" t="s">
        <v>18333</v>
      </c>
      <c r="C3688" s="7" t="s">
        <v>4185</v>
      </c>
      <c r="D3688" s="7" t="s">
        <v>359</v>
      </c>
      <c r="E3688" s="7" t="s">
        <v>156</v>
      </c>
      <c r="F3688" s="39" t="n">
        <v>45840</v>
      </c>
      <c r="G3688" s="41" t="n">
        <v>130.9</v>
      </c>
      <c r="H3688" s="39" t="n">
        <v>45853</v>
      </c>
      <c r="I3688" s="7" t="s">
        <v>14651</v>
      </c>
      <c r="J3688" s="8" t="str">
        <f aca="false">IF(I3688="Open",DATE(2025,12,31)-F3688,"-")</f>
        <v>-</v>
      </c>
    </row>
    <row r="3689" customFormat="false" ht="15" hidden="false" customHeight="false" outlineLevel="0" collapsed="false">
      <c r="B3689" s="7" t="s">
        <v>18334</v>
      </c>
      <c r="C3689" s="7" t="s">
        <v>4186</v>
      </c>
      <c r="D3689" s="7" t="s">
        <v>365</v>
      </c>
      <c r="E3689" s="7" t="s">
        <v>154</v>
      </c>
      <c r="F3689" s="39" t="n">
        <v>45840</v>
      </c>
      <c r="G3689" s="41" t="n">
        <v>109.44</v>
      </c>
      <c r="H3689" s="39" t="n">
        <v>45959</v>
      </c>
      <c r="I3689" s="7" t="s">
        <v>14651</v>
      </c>
      <c r="J3689" s="8" t="str">
        <f aca="false">IF(I3689="Open",DATE(2025,12,31)-F3689,"-")</f>
        <v>-</v>
      </c>
    </row>
    <row r="3690" customFormat="false" ht="15" hidden="false" customHeight="false" outlineLevel="0" collapsed="false">
      <c r="B3690" s="7" t="s">
        <v>18335</v>
      </c>
      <c r="C3690" s="7" t="s">
        <v>4187</v>
      </c>
      <c r="D3690" s="7" t="s">
        <v>371</v>
      </c>
      <c r="E3690" s="7" t="s">
        <v>154</v>
      </c>
      <c r="F3690" s="39" t="n">
        <v>45840</v>
      </c>
      <c r="G3690" s="41" t="n">
        <v>129.06</v>
      </c>
      <c r="H3690" s="39" t="n">
        <v>45899</v>
      </c>
      <c r="I3690" s="7" t="s">
        <v>14651</v>
      </c>
      <c r="J3690" s="8" t="str">
        <f aca="false">IF(I3690="Open",DATE(2025,12,31)-F3690,"-")</f>
        <v>-</v>
      </c>
    </row>
    <row r="3691" customFormat="false" ht="15" hidden="false" customHeight="false" outlineLevel="0" collapsed="false">
      <c r="B3691" s="7" t="s">
        <v>18336</v>
      </c>
      <c r="C3691" s="7" t="s">
        <v>4188</v>
      </c>
      <c r="D3691" s="7" t="s">
        <v>379</v>
      </c>
      <c r="E3691" s="7" t="s">
        <v>156</v>
      </c>
      <c r="F3691" s="39" t="n">
        <v>45840</v>
      </c>
      <c r="G3691" s="41" t="n">
        <v>170</v>
      </c>
      <c r="H3691" s="39" t="n">
        <v>45852</v>
      </c>
      <c r="I3691" s="7" t="s">
        <v>14651</v>
      </c>
      <c r="J3691" s="8" t="str">
        <f aca="false">IF(I3691="Open",DATE(2025,12,31)-F3691,"-")</f>
        <v>-</v>
      </c>
    </row>
    <row r="3692" customFormat="false" ht="15" hidden="false" customHeight="false" outlineLevel="0" collapsed="false">
      <c r="B3692" s="7" t="s">
        <v>18337</v>
      </c>
      <c r="C3692" s="7" t="s">
        <v>4189</v>
      </c>
      <c r="D3692" s="7" t="s">
        <v>385</v>
      </c>
      <c r="E3692" s="7" t="s">
        <v>156</v>
      </c>
      <c r="F3692" s="39" t="n">
        <v>45840</v>
      </c>
      <c r="G3692" s="41" t="n">
        <v>125.8</v>
      </c>
      <c r="H3692" s="39" t="n">
        <v>45856</v>
      </c>
      <c r="I3692" s="7" t="s">
        <v>14651</v>
      </c>
      <c r="J3692" s="8" t="str">
        <f aca="false">IF(I3692="Open",DATE(2025,12,31)-F3692,"-")</f>
        <v>-</v>
      </c>
    </row>
    <row r="3693" customFormat="false" ht="15" hidden="false" customHeight="false" outlineLevel="0" collapsed="false">
      <c r="B3693" s="7" t="s">
        <v>18338</v>
      </c>
      <c r="C3693" s="7" t="s">
        <v>4190</v>
      </c>
      <c r="D3693" s="7" t="s">
        <v>389</v>
      </c>
      <c r="E3693" s="7" t="s">
        <v>154</v>
      </c>
      <c r="F3693" s="39" t="n">
        <v>45840</v>
      </c>
      <c r="G3693" s="41" t="n">
        <v>97.25</v>
      </c>
      <c r="H3693" s="39" t="n">
        <v>45942</v>
      </c>
      <c r="I3693" s="7" t="s">
        <v>14651</v>
      </c>
      <c r="J3693" s="8" t="str">
        <f aca="false">IF(I3693="Open",DATE(2025,12,31)-F3693,"-")</f>
        <v>-</v>
      </c>
    </row>
    <row r="3694" customFormat="false" ht="15" hidden="false" customHeight="false" outlineLevel="0" collapsed="false">
      <c r="B3694" s="7" t="s">
        <v>18339</v>
      </c>
      <c r="C3694" s="7" t="s">
        <v>4191</v>
      </c>
      <c r="D3694" s="7" t="s">
        <v>391</v>
      </c>
      <c r="E3694" s="7" t="s">
        <v>156</v>
      </c>
      <c r="F3694" s="39" t="n">
        <v>45840</v>
      </c>
      <c r="G3694" s="41" t="n">
        <v>146.54</v>
      </c>
      <c r="H3694" s="39" t="n">
        <v>45849</v>
      </c>
      <c r="I3694" s="7" t="s">
        <v>14651</v>
      </c>
      <c r="J3694" s="8" t="str">
        <f aca="false">IF(I3694="Open",DATE(2025,12,31)-F3694,"-")</f>
        <v>-</v>
      </c>
    </row>
    <row r="3695" customFormat="false" ht="15" hidden="false" customHeight="false" outlineLevel="0" collapsed="false">
      <c r="B3695" s="7" t="s">
        <v>18340</v>
      </c>
      <c r="C3695" s="7" t="s">
        <v>4192</v>
      </c>
      <c r="D3695" s="7" t="s">
        <v>393</v>
      </c>
      <c r="E3695" s="7" t="s">
        <v>157</v>
      </c>
      <c r="F3695" s="39" t="n">
        <v>45840</v>
      </c>
      <c r="G3695" s="41" t="n">
        <v>155.1</v>
      </c>
      <c r="H3695" s="39" t="n">
        <v>45886</v>
      </c>
      <c r="I3695" s="7" t="s">
        <v>14651</v>
      </c>
      <c r="J3695" s="8" t="str">
        <f aca="false">IF(I3695="Open",DATE(2025,12,31)-F3695,"-")</f>
        <v>-</v>
      </c>
    </row>
    <row r="3696" customFormat="false" ht="15" hidden="false" customHeight="false" outlineLevel="0" collapsed="false">
      <c r="B3696" s="7" t="s">
        <v>18341</v>
      </c>
      <c r="C3696" s="7" t="s">
        <v>4193</v>
      </c>
      <c r="D3696" s="7" t="s">
        <v>395</v>
      </c>
      <c r="E3696" s="7" t="s">
        <v>156</v>
      </c>
      <c r="F3696" s="39" t="n">
        <v>45840</v>
      </c>
      <c r="G3696" s="41" t="n">
        <v>148.92</v>
      </c>
      <c r="H3696" s="39" t="n">
        <v>45843</v>
      </c>
      <c r="I3696" s="7" t="s">
        <v>14651</v>
      </c>
      <c r="J3696" s="8" t="str">
        <f aca="false">IF(I3696="Open",DATE(2025,12,31)-F3696,"-")</f>
        <v>-</v>
      </c>
    </row>
    <row r="3697" customFormat="false" ht="15" hidden="false" customHeight="false" outlineLevel="0" collapsed="false">
      <c r="B3697" s="7" t="s">
        <v>18342</v>
      </c>
      <c r="C3697" s="7" t="s">
        <v>4194</v>
      </c>
      <c r="D3697" s="7" t="s">
        <v>399</v>
      </c>
      <c r="E3697" s="7" t="s">
        <v>154</v>
      </c>
      <c r="F3697" s="39" t="n">
        <v>45840</v>
      </c>
      <c r="G3697" s="41" t="n">
        <v>89.57</v>
      </c>
      <c r="H3697" s="39" t="n">
        <v>45905</v>
      </c>
      <c r="I3697" s="7" t="s">
        <v>14651</v>
      </c>
      <c r="J3697" s="8" t="str">
        <f aca="false">IF(I3697="Open",DATE(2025,12,31)-F3697,"-")</f>
        <v>-</v>
      </c>
    </row>
    <row r="3698" customFormat="false" ht="15" hidden="false" customHeight="false" outlineLevel="0" collapsed="false">
      <c r="B3698" s="7" t="s">
        <v>18343</v>
      </c>
      <c r="C3698" s="7" t="s">
        <v>4195</v>
      </c>
      <c r="D3698" s="7" t="s">
        <v>401</v>
      </c>
      <c r="E3698" s="7" t="s">
        <v>156</v>
      </c>
      <c r="F3698" s="39" t="n">
        <v>45840</v>
      </c>
      <c r="G3698" s="41" t="n">
        <v>132.6</v>
      </c>
      <c r="H3698" s="39" t="n">
        <v>45855</v>
      </c>
      <c r="I3698" s="7" t="s">
        <v>14651</v>
      </c>
      <c r="J3698" s="8" t="str">
        <f aca="false">IF(I3698="Open",DATE(2025,12,31)-F3698,"-")</f>
        <v>-</v>
      </c>
    </row>
    <row r="3699" customFormat="false" ht="15" hidden="false" customHeight="false" outlineLevel="0" collapsed="false">
      <c r="B3699" s="7" t="s">
        <v>18344</v>
      </c>
      <c r="C3699" s="7" t="s">
        <v>4196</v>
      </c>
      <c r="D3699" s="7" t="s">
        <v>409</v>
      </c>
      <c r="E3699" s="7" t="s">
        <v>154</v>
      </c>
      <c r="F3699" s="39" t="n">
        <v>45840</v>
      </c>
      <c r="G3699" s="41" t="n">
        <v>94.6</v>
      </c>
      <c r="H3699" s="39" t="n">
        <v>45878</v>
      </c>
      <c r="I3699" s="7" t="s">
        <v>14651</v>
      </c>
      <c r="J3699" s="8" t="str">
        <f aca="false">IF(I3699="Open",DATE(2025,12,31)-F3699,"-")</f>
        <v>-</v>
      </c>
    </row>
    <row r="3700" customFormat="false" ht="15" hidden="false" customHeight="false" outlineLevel="0" collapsed="false">
      <c r="B3700" s="7" t="s">
        <v>18345</v>
      </c>
      <c r="C3700" s="7" t="s">
        <v>4197</v>
      </c>
      <c r="D3700" s="7" t="s">
        <v>411</v>
      </c>
      <c r="E3700" s="7" t="s">
        <v>154</v>
      </c>
      <c r="F3700" s="39" t="n">
        <v>45840</v>
      </c>
      <c r="G3700" s="41" t="n">
        <v>126.94</v>
      </c>
      <c r="H3700" s="39" t="n">
        <v>45855</v>
      </c>
      <c r="I3700" s="7" t="s">
        <v>14651</v>
      </c>
      <c r="J3700" s="8" t="str">
        <f aca="false">IF(I3700="Open",DATE(2025,12,31)-F3700,"-")</f>
        <v>-</v>
      </c>
    </row>
    <row r="3701" customFormat="false" ht="15" hidden="false" customHeight="false" outlineLevel="0" collapsed="false">
      <c r="B3701" s="7" t="s">
        <v>18346</v>
      </c>
      <c r="C3701" s="7" t="s">
        <v>4198</v>
      </c>
      <c r="D3701" s="7" t="s">
        <v>288</v>
      </c>
      <c r="E3701" s="7" t="s">
        <v>156</v>
      </c>
      <c r="F3701" s="39" t="n">
        <v>45841</v>
      </c>
      <c r="G3701" s="41" t="n">
        <v>122.74</v>
      </c>
      <c r="H3701" s="39" t="n">
        <v>45856</v>
      </c>
      <c r="I3701" s="7" t="s">
        <v>14651</v>
      </c>
      <c r="J3701" s="8" t="str">
        <f aca="false">IF(I3701="Open",DATE(2025,12,31)-F3701,"-")</f>
        <v>-</v>
      </c>
    </row>
    <row r="3702" customFormat="false" ht="15" hidden="false" customHeight="false" outlineLevel="0" collapsed="false">
      <c r="B3702" s="7" t="s">
        <v>18347</v>
      </c>
      <c r="C3702" s="7" t="s">
        <v>4199</v>
      </c>
      <c r="D3702" s="7" t="s">
        <v>297</v>
      </c>
      <c r="E3702" s="7" t="s">
        <v>156</v>
      </c>
      <c r="F3702" s="39" t="n">
        <v>45841</v>
      </c>
      <c r="G3702" s="41" t="n">
        <v>98.26</v>
      </c>
      <c r="H3702" s="39" t="n">
        <v>45853</v>
      </c>
      <c r="I3702" s="7" t="s">
        <v>14651</v>
      </c>
      <c r="J3702" s="8" t="str">
        <f aca="false">IF(I3702="Open",DATE(2025,12,31)-F3702,"-")</f>
        <v>-</v>
      </c>
    </row>
    <row r="3703" customFormat="false" ht="15" hidden="false" customHeight="false" outlineLevel="0" collapsed="false">
      <c r="B3703" s="7" t="s">
        <v>18348</v>
      </c>
      <c r="C3703" s="7" t="s">
        <v>4200</v>
      </c>
      <c r="D3703" s="7" t="s">
        <v>311</v>
      </c>
      <c r="E3703" s="7" t="s">
        <v>154</v>
      </c>
      <c r="F3703" s="39" t="n">
        <v>45841</v>
      </c>
      <c r="G3703" s="41" t="n">
        <v>77.12</v>
      </c>
      <c r="H3703" s="39" t="n">
        <v>45875</v>
      </c>
      <c r="I3703" s="7" t="s">
        <v>14651</v>
      </c>
      <c r="J3703" s="8" t="str">
        <f aca="false">IF(I3703="Open",DATE(2025,12,31)-F3703,"-")</f>
        <v>-</v>
      </c>
    </row>
    <row r="3704" customFormat="false" ht="15" hidden="false" customHeight="false" outlineLevel="0" collapsed="false">
      <c r="B3704" s="7" t="s">
        <v>18349</v>
      </c>
      <c r="C3704" s="7" t="s">
        <v>4201</v>
      </c>
      <c r="D3704" s="7" t="s">
        <v>313</v>
      </c>
      <c r="E3704" s="7" t="s">
        <v>156</v>
      </c>
      <c r="F3704" s="39" t="n">
        <v>45841</v>
      </c>
      <c r="G3704" s="41" t="n">
        <v>138.04</v>
      </c>
      <c r="H3704" s="39" t="n">
        <v>45849</v>
      </c>
      <c r="I3704" s="7" t="s">
        <v>14651</v>
      </c>
      <c r="J3704" s="8" t="str">
        <f aca="false">IF(I3704="Open",DATE(2025,12,31)-F3704,"-")</f>
        <v>-</v>
      </c>
    </row>
    <row r="3705" customFormat="false" ht="15" hidden="false" customHeight="false" outlineLevel="0" collapsed="false">
      <c r="B3705" s="7" t="s">
        <v>18350</v>
      </c>
      <c r="C3705" s="7" t="s">
        <v>4202</v>
      </c>
      <c r="D3705" s="7" t="s">
        <v>317</v>
      </c>
      <c r="E3705" s="7" t="s">
        <v>156</v>
      </c>
      <c r="F3705" s="39" t="n">
        <v>45841</v>
      </c>
      <c r="G3705" s="41" t="n">
        <v>104.38</v>
      </c>
      <c r="H3705" s="39" t="n">
        <v>45851</v>
      </c>
      <c r="I3705" s="7" t="s">
        <v>14651</v>
      </c>
      <c r="J3705" s="8" t="str">
        <f aca="false">IF(I3705="Open",DATE(2025,12,31)-F3705,"-")</f>
        <v>-</v>
      </c>
    </row>
    <row r="3706" customFormat="false" ht="15" hidden="false" customHeight="false" outlineLevel="0" collapsed="false">
      <c r="B3706" s="7" t="s">
        <v>18351</v>
      </c>
      <c r="C3706" s="7" t="s">
        <v>4203</v>
      </c>
      <c r="D3706" s="7" t="s">
        <v>321</v>
      </c>
      <c r="E3706" s="7" t="s">
        <v>154</v>
      </c>
      <c r="F3706" s="39" t="n">
        <v>45841</v>
      </c>
      <c r="G3706" s="41" t="n">
        <v>101.23</v>
      </c>
      <c r="H3706" s="39" t="n">
        <v>45896</v>
      </c>
      <c r="I3706" s="7" t="s">
        <v>14651</v>
      </c>
      <c r="J3706" s="8" t="str">
        <f aca="false">IF(I3706="Open",DATE(2025,12,31)-F3706,"-")</f>
        <v>-</v>
      </c>
    </row>
    <row r="3707" customFormat="false" ht="15" hidden="false" customHeight="false" outlineLevel="0" collapsed="false">
      <c r="B3707" s="7" t="s">
        <v>18352</v>
      </c>
      <c r="C3707" s="7" t="s">
        <v>4204</v>
      </c>
      <c r="D3707" s="7" t="s">
        <v>325</v>
      </c>
      <c r="E3707" s="7" t="s">
        <v>154</v>
      </c>
      <c r="F3707" s="39" t="n">
        <v>45841</v>
      </c>
      <c r="G3707" s="41" t="n">
        <v>76.85</v>
      </c>
      <c r="H3707" s="39" t="n">
        <v>45897</v>
      </c>
      <c r="I3707" s="7" t="s">
        <v>14651</v>
      </c>
      <c r="J3707" s="8" t="str">
        <f aca="false">IF(I3707="Open",DATE(2025,12,31)-F3707,"-")</f>
        <v>-</v>
      </c>
    </row>
    <row r="3708" customFormat="false" ht="15" hidden="false" customHeight="false" outlineLevel="0" collapsed="false">
      <c r="B3708" s="7" t="s">
        <v>18353</v>
      </c>
      <c r="C3708" s="7" t="s">
        <v>4205</v>
      </c>
      <c r="D3708" s="7" t="s">
        <v>329</v>
      </c>
      <c r="E3708" s="7" t="s">
        <v>156</v>
      </c>
      <c r="F3708" s="39" t="n">
        <v>45841</v>
      </c>
      <c r="G3708" s="41" t="n">
        <v>146.2</v>
      </c>
      <c r="H3708" s="39" t="n">
        <v>45847</v>
      </c>
      <c r="I3708" s="7" t="s">
        <v>14651</v>
      </c>
      <c r="J3708" s="8" t="str">
        <f aca="false">IF(I3708="Open",DATE(2025,12,31)-F3708,"-")</f>
        <v>-</v>
      </c>
    </row>
    <row r="3709" customFormat="false" ht="15" hidden="false" customHeight="false" outlineLevel="0" collapsed="false">
      <c r="B3709" s="7" t="s">
        <v>18354</v>
      </c>
      <c r="C3709" s="7" t="s">
        <v>4206</v>
      </c>
      <c r="D3709" s="7" t="s">
        <v>331</v>
      </c>
      <c r="E3709" s="7" t="s">
        <v>156</v>
      </c>
      <c r="F3709" s="39" t="n">
        <v>45841</v>
      </c>
      <c r="G3709" s="41" t="n">
        <v>125.12</v>
      </c>
      <c r="H3709" s="39" t="n">
        <v>45849</v>
      </c>
      <c r="I3709" s="7" t="s">
        <v>14651</v>
      </c>
      <c r="J3709" s="8" t="str">
        <f aca="false">IF(I3709="Open",DATE(2025,12,31)-F3709,"-")</f>
        <v>-</v>
      </c>
    </row>
    <row r="3710" customFormat="false" ht="15" hidden="false" customHeight="false" outlineLevel="0" collapsed="false">
      <c r="B3710" s="7" t="s">
        <v>18355</v>
      </c>
      <c r="C3710" s="7" t="s">
        <v>4207</v>
      </c>
      <c r="D3710" s="7" t="s">
        <v>337</v>
      </c>
      <c r="E3710" s="7" t="s">
        <v>154</v>
      </c>
      <c r="F3710" s="39" t="n">
        <v>45841</v>
      </c>
      <c r="G3710" s="41" t="n">
        <v>75.79</v>
      </c>
      <c r="H3710" s="39" t="n">
        <v>45916</v>
      </c>
      <c r="I3710" s="7" t="s">
        <v>14651</v>
      </c>
      <c r="J3710" s="8" t="str">
        <f aca="false">IF(I3710="Open",DATE(2025,12,31)-F3710,"-")</f>
        <v>-</v>
      </c>
    </row>
    <row r="3711" customFormat="false" ht="15" hidden="false" customHeight="false" outlineLevel="0" collapsed="false">
      <c r="B3711" s="7" t="s">
        <v>18356</v>
      </c>
      <c r="C3711" s="7" t="s">
        <v>4208</v>
      </c>
      <c r="D3711" s="7" t="s">
        <v>341</v>
      </c>
      <c r="E3711" s="7" t="s">
        <v>156</v>
      </c>
      <c r="F3711" s="39" t="n">
        <v>45841</v>
      </c>
      <c r="G3711" s="41" t="n">
        <v>92.48</v>
      </c>
      <c r="H3711" s="39" t="n">
        <v>45854</v>
      </c>
      <c r="I3711" s="7" t="s">
        <v>14651</v>
      </c>
      <c r="J3711" s="8" t="str">
        <f aca="false">IF(I3711="Open",DATE(2025,12,31)-F3711,"-")</f>
        <v>-</v>
      </c>
    </row>
    <row r="3712" customFormat="false" ht="15" hidden="false" customHeight="false" outlineLevel="0" collapsed="false">
      <c r="B3712" s="7" t="s">
        <v>18357</v>
      </c>
      <c r="C3712" s="7" t="s">
        <v>4209</v>
      </c>
      <c r="D3712" s="7" t="s">
        <v>343</v>
      </c>
      <c r="E3712" s="7" t="s">
        <v>154</v>
      </c>
      <c r="F3712" s="39" t="n">
        <v>45841</v>
      </c>
      <c r="G3712" s="41" t="n">
        <v>116.07</v>
      </c>
      <c r="H3712" s="39" t="n">
        <v>45879</v>
      </c>
      <c r="I3712" s="7" t="s">
        <v>14651</v>
      </c>
      <c r="J3712" s="8" t="str">
        <f aca="false">IF(I3712="Open",DATE(2025,12,31)-F3712,"-")</f>
        <v>-</v>
      </c>
    </row>
    <row r="3713" customFormat="false" ht="15" hidden="false" customHeight="false" outlineLevel="0" collapsed="false">
      <c r="B3713" s="7" t="s">
        <v>18358</v>
      </c>
      <c r="C3713" s="7" t="s">
        <v>4210</v>
      </c>
      <c r="D3713" s="7" t="s">
        <v>351</v>
      </c>
      <c r="E3713" s="7" t="s">
        <v>154</v>
      </c>
      <c r="F3713" s="39" t="n">
        <v>45841</v>
      </c>
      <c r="G3713" s="41" t="n">
        <v>76.32</v>
      </c>
      <c r="H3713" s="39" t="n">
        <v>45942</v>
      </c>
      <c r="I3713" s="7" t="s">
        <v>14651</v>
      </c>
      <c r="J3713" s="8" t="str">
        <f aca="false">IF(I3713="Open",DATE(2025,12,31)-F3713,"-")</f>
        <v>-</v>
      </c>
    </row>
    <row r="3714" customFormat="false" ht="15" hidden="false" customHeight="false" outlineLevel="0" collapsed="false">
      <c r="B3714" s="7" t="s">
        <v>18359</v>
      </c>
      <c r="C3714" s="7" t="s">
        <v>4211</v>
      </c>
      <c r="D3714" s="7" t="s">
        <v>359</v>
      </c>
      <c r="E3714" s="7" t="s">
        <v>156</v>
      </c>
      <c r="F3714" s="39" t="n">
        <v>45841</v>
      </c>
      <c r="G3714" s="41" t="n">
        <v>134.3</v>
      </c>
      <c r="H3714" s="39" t="n">
        <v>45847</v>
      </c>
      <c r="I3714" s="7" t="s">
        <v>14651</v>
      </c>
      <c r="J3714" s="8" t="str">
        <f aca="false">IF(I3714="Open",DATE(2025,12,31)-F3714,"-")</f>
        <v>-</v>
      </c>
    </row>
    <row r="3715" customFormat="false" ht="15" hidden="false" customHeight="false" outlineLevel="0" collapsed="false">
      <c r="B3715" s="7" t="s">
        <v>18360</v>
      </c>
      <c r="C3715" s="7" t="s">
        <v>4212</v>
      </c>
      <c r="D3715" s="7" t="s">
        <v>363</v>
      </c>
      <c r="E3715" s="7" t="s">
        <v>156</v>
      </c>
      <c r="F3715" s="39" t="n">
        <v>45841</v>
      </c>
      <c r="G3715" s="41" t="n">
        <v>148.92</v>
      </c>
      <c r="H3715" s="39" t="n">
        <v>45842</v>
      </c>
      <c r="I3715" s="7" t="s">
        <v>14651</v>
      </c>
      <c r="J3715" s="8" t="str">
        <f aca="false">IF(I3715="Open",DATE(2025,12,31)-F3715,"-")</f>
        <v>-</v>
      </c>
    </row>
    <row r="3716" customFormat="false" ht="15" hidden="false" customHeight="false" outlineLevel="0" collapsed="false">
      <c r="B3716" s="7" t="s">
        <v>18361</v>
      </c>
      <c r="C3716" s="7" t="s">
        <v>4213</v>
      </c>
      <c r="D3716" s="7" t="s">
        <v>365</v>
      </c>
      <c r="E3716" s="7" t="s">
        <v>154</v>
      </c>
      <c r="F3716" s="39" t="n">
        <v>45841</v>
      </c>
      <c r="G3716" s="41" t="n">
        <v>110.8</v>
      </c>
      <c r="H3716" s="39" t="n">
        <v>45888</v>
      </c>
      <c r="I3716" s="7" t="s">
        <v>14651</v>
      </c>
      <c r="J3716" s="8" t="str">
        <f aca="false">IF(I3716="Open",DATE(2025,12,31)-F3716,"-")</f>
        <v>-</v>
      </c>
    </row>
    <row r="3717" customFormat="false" ht="15" hidden="false" customHeight="false" outlineLevel="0" collapsed="false">
      <c r="B3717" s="7" t="s">
        <v>18362</v>
      </c>
      <c r="C3717" s="7" t="s">
        <v>4214</v>
      </c>
      <c r="D3717" s="7" t="s">
        <v>375</v>
      </c>
      <c r="E3717" s="7" t="s">
        <v>156</v>
      </c>
      <c r="F3717" s="39" t="n">
        <v>45841</v>
      </c>
      <c r="G3717" s="41" t="n">
        <v>105.74</v>
      </c>
      <c r="H3717" s="39" t="n">
        <v>45844</v>
      </c>
      <c r="I3717" s="7" t="s">
        <v>14651</v>
      </c>
      <c r="J3717" s="8" t="str">
        <f aca="false">IF(I3717="Open",DATE(2025,12,31)-F3717,"-")</f>
        <v>-</v>
      </c>
    </row>
    <row r="3718" customFormat="false" ht="15" hidden="false" customHeight="false" outlineLevel="0" collapsed="false">
      <c r="B3718" s="7" t="s">
        <v>18363</v>
      </c>
      <c r="C3718" s="7" t="s">
        <v>4215</v>
      </c>
      <c r="D3718" s="7" t="s">
        <v>377</v>
      </c>
      <c r="E3718" s="7" t="s">
        <v>154</v>
      </c>
      <c r="F3718" s="39" t="n">
        <v>45841</v>
      </c>
      <c r="G3718" s="41" t="n">
        <v>111.3</v>
      </c>
      <c r="H3718" s="39" t="n">
        <v>45869</v>
      </c>
      <c r="I3718" s="7" t="s">
        <v>14651</v>
      </c>
      <c r="J3718" s="8" t="str">
        <f aca="false">IF(I3718="Open",DATE(2025,12,31)-F3718,"-")</f>
        <v>-</v>
      </c>
    </row>
    <row r="3719" customFormat="false" ht="15" hidden="false" customHeight="false" outlineLevel="0" collapsed="false">
      <c r="B3719" s="7" t="s">
        <v>18364</v>
      </c>
      <c r="C3719" s="7" t="s">
        <v>4216</v>
      </c>
      <c r="D3719" s="7" t="s">
        <v>389</v>
      </c>
      <c r="E3719" s="7" t="s">
        <v>154</v>
      </c>
      <c r="F3719" s="39" t="n">
        <v>45841</v>
      </c>
      <c r="G3719" s="41" t="n">
        <v>104.12</v>
      </c>
      <c r="H3719" s="39" t="n">
        <v>45918</v>
      </c>
      <c r="I3719" s="7" t="s">
        <v>14651</v>
      </c>
      <c r="J3719" s="8" t="str">
        <f aca="false">IF(I3719="Open",DATE(2025,12,31)-F3719,"-")</f>
        <v>-</v>
      </c>
    </row>
    <row r="3720" customFormat="false" ht="15" hidden="false" customHeight="false" outlineLevel="0" collapsed="false">
      <c r="B3720" s="7" t="s">
        <v>18365</v>
      </c>
      <c r="C3720" s="7" t="s">
        <v>4217</v>
      </c>
      <c r="D3720" s="7" t="s">
        <v>391</v>
      </c>
      <c r="E3720" s="7" t="s">
        <v>156</v>
      </c>
      <c r="F3720" s="39" t="n">
        <v>45841</v>
      </c>
      <c r="G3720" s="41" t="n">
        <v>137.02</v>
      </c>
      <c r="H3720" s="39" t="n">
        <v>45854</v>
      </c>
      <c r="I3720" s="7" t="s">
        <v>14651</v>
      </c>
      <c r="J3720" s="8" t="str">
        <f aca="false">IF(I3720="Open",DATE(2025,12,31)-F3720,"-")</f>
        <v>-</v>
      </c>
    </row>
    <row r="3721" customFormat="false" ht="15" hidden="false" customHeight="false" outlineLevel="0" collapsed="false">
      <c r="B3721" s="7" t="s">
        <v>18366</v>
      </c>
      <c r="C3721" s="7" t="s">
        <v>4218</v>
      </c>
      <c r="D3721" s="7" t="s">
        <v>395</v>
      </c>
      <c r="E3721" s="7" t="s">
        <v>156</v>
      </c>
      <c r="F3721" s="39" t="n">
        <v>45841</v>
      </c>
      <c r="G3721" s="41" t="n">
        <v>149.6</v>
      </c>
      <c r="H3721" s="39" t="n">
        <v>45852</v>
      </c>
      <c r="I3721" s="7" t="s">
        <v>14651</v>
      </c>
      <c r="J3721" s="8" t="str">
        <f aca="false">IF(I3721="Open",DATE(2025,12,31)-F3721,"-")</f>
        <v>-</v>
      </c>
    </row>
    <row r="3722" customFormat="false" ht="15" hidden="false" customHeight="false" outlineLevel="0" collapsed="false">
      <c r="B3722" s="7" t="s">
        <v>18367</v>
      </c>
      <c r="C3722" s="7" t="s">
        <v>4219</v>
      </c>
      <c r="D3722" s="7" t="s">
        <v>401</v>
      </c>
      <c r="E3722" s="7" t="s">
        <v>156</v>
      </c>
      <c r="F3722" s="39" t="n">
        <v>45841</v>
      </c>
      <c r="G3722" s="41" t="n">
        <v>140.76</v>
      </c>
      <c r="H3722" s="39" t="n">
        <v>45858</v>
      </c>
      <c r="I3722" s="7" t="s">
        <v>14651</v>
      </c>
      <c r="J3722" s="8" t="str">
        <f aca="false">IF(I3722="Open",DATE(2025,12,31)-F3722,"-")</f>
        <v>-</v>
      </c>
    </row>
    <row r="3723" customFormat="false" ht="15" hidden="false" customHeight="false" outlineLevel="0" collapsed="false">
      <c r="B3723" s="7" t="s">
        <v>18368</v>
      </c>
      <c r="C3723" s="7" t="s">
        <v>4220</v>
      </c>
      <c r="D3723" s="7" t="s">
        <v>280</v>
      </c>
      <c r="E3723" s="7" t="s">
        <v>157</v>
      </c>
      <c r="F3723" s="39" t="n">
        <v>45842</v>
      </c>
      <c r="G3723" s="41" t="n">
        <v>156.75</v>
      </c>
      <c r="H3723" s="39" t="n">
        <v>45869</v>
      </c>
      <c r="I3723" s="7" t="s">
        <v>14651</v>
      </c>
      <c r="J3723" s="8" t="str">
        <f aca="false">IF(I3723="Open",DATE(2025,12,31)-F3723,"-")</f>
        <v>-</v>
      </c>
    </row>
    <row r="3724" customFormat="false" ht="15" hidden="false" customHeight="false" outlineLevel="0" collapsed="false">
      <c r="B3724" s="7" t="s">
        <v>18369</v>
      </c>
      <c r="C3724" s="7" t="s">
        <v>4221</v>
      </c>
      <c r="D3724" s="7" t="s">
        <v>288</v>
      </c>
      <c r="E3724" s="7" t="s">
        <v>156</v>
      </c>
      <c r="F3724" s="39" t="n">
        <v>45842</v>
      </c>
      <c r="G3724" s="41" t="n">
        <v>137.02</v>
      </c>
      <c r="H3724" s="39" t="n">
        <v>45849</v>
      </c>
      <c r="I3724" s="7" t="s">
        <v>14651</v>
      </c>
      <c r="J3724" s="8" t="str">
        <f aca="false">IF(I3724="Open",DATE(2025,12,31)-F3724,"-")</f>
        <v>-</v>
      </c>
    </row>
    <row r="3725" customFormat="false" ht="15" hidden="false" customHeight="false" outlineLevel="0" collapsed="false">
      <c r="B3725" s="7" t="s">
        <v>18370</v>
      </c>
      <c r="C3725" s="7" t="s">
        <v>4222</v>
      </c>
      <c r="D3725" s="7" t="s">
        <v>291</v>
      </c>
      <c r="E3725" s="7" t="s">
        <v>154</v>
      </c>
      <c r="F3725" s="39" t="n">
        <v>45842</v>
      </c>
      <c r="G3725" s="41" t="n">
        <v>118.19</v>
      </c>
      <c r="H3725" s="39" t="n">
        <v>45952</v>
      </c>
      <c r="I3725" s="7" t="s">
        <v>14651</v>
      </c>
      <c r="J3725" s="8" t="str">
        <f aca="false">IF(I3725="Open",DATE(2025,12,31)-F3725,"-")</f>
        <v>-</v>
      </c>
    </row>
    <row r="3726" customFormat="false" ht="15" hidden="false" customHeight="false" outlineLevel="0" collapsed="false">
      <c r="B3726" s="7" t="s">
        <v>18371</v>
      </c>
      <c r="C3726" s="7" t="s">
        <v>4223</v>
      </c>
      <c r="D3726" s="7" t="s">
        <v>301</v>
      </c>
      <c r="E3726" s="7" t="s">
        <v>157</v>
      </c>
      <c r="F3726" s="39" t="n">
        <v>45842</v>
      </c>
      <c r="G3726" s="41" t="n">
        <v>158.4</v>
      </c>
      <c r="H3726" s="39" t="n">
        <v>45931</v>
      </c>
      <c r="I3726" s="7" t="s">
        <v>14651</v>
      </c>
      <c r="J3726" s="8" t="str">
        <f aca="false">IF(I3726="Open",DATE(2025,12,31)-F3726,"-")</f>
        <v>-</v>
      </c>
    </row>
    <row r="3727" customFormat="false" ht="15" hidden="false" customHeight="false" outlineLevel="0" collapsed="false">
      <c r="B3727" s="7" t="s">
        <v>18372</v>
      </c>
      <c r="C3727" s="7" t="s">
        <v>4224</v>
      </c>
      <c r="D3727" s="7" t="s">
        <v>305</v>
      </c>
      <c r="E3727" s="7" t="s">
        <v>154</v>
      </c>
      <c r="F3727" s="39" t="n">
        <v>45842</v>
      </c>
      <c r="G3727" s="41" t="n">
        <v>110.8</v>
      </c>
      <c r="H3727" s="39" t="n">
        <v>45885</v>
      </c>
      <c r="I3727" s="7" t="s">
        <v>14651</v>
      </c>
      <c r="J3727" s="8" t="str">
        <f aca="false">IF(I3727="Open",DATE(2025,12,31)-F3727,"-")</f>
        <v>-</v>
      </c>
    </row>
    <row r="3728" customFormat="false" ht="15" hidden="false" customHeight="false" outlineLevel="0" collapsed="false">
      <c r="B3728" s="7" t="s">
        <v>18373</v>
      </c>
      <c r="C3728" s="7" t="s">
        <v>4225</v>
      </c>
      <c r="D3728" s="7" t="s">
        <v>309</v>
      </c>
      <c r="E3728" s="7" t="s">
        <v>159</v>
      </c>
      <c r="F3728" s="39" t="n">
        <v>45842</v>
      </c>
      <c r="G3728" s="41" t="n">
        <v>140.4</v>
      </c>
      <c r="H3728" s="39" t="n">
        <v>45867</v>
      </c>
      <c r="I3728" s="7" t="s">
        <v>14651</v>
      </c>
      <c r="J3728" s="8" t="str">
        <f aca="false">IF(I3728="Open",DATE(2025,12,31)-F3728,"-")</f>
        <v>-</v>
      </c>
    </row>
    <row r="3729" customFormat="false" ht="15" hidden="false" customHeight="false" outlineLevel="0" collapsed="false">
      <c r="B3729" s="7" t="s">
        <v>18374</v>
      </c>
      <c r="C3729" s="7" t="s">
        <v>4226</v>
      </c>
      <c r="D3729" s="7" t="s">
        <v>313</v>
      </c>
      <c r="E3729" s="7" t="s">
        <v>156</v>
      </c>
      <c r="F3729" s="39" t="n">
        <v>45842</v>
      </c>
      <c r="G3729" s="41" t="n">
        <v>142.46</v>
      </c>
      <c r="H3729" s="39" t="n">
        <v>45854</v>
      </c>
      <c r="I3729" s="7" t="s">
        <v>14651</v>
      </c>
      <c r="J3729" s="8" t="str">
        <f aca="false">IF(I3729="Open",DATE(2025,12,31)-F3729,"-")</f>
        <v>-</v>
      </c>
    </row>
    <row r="3730" customFormat="false" ht="15" hidden="false" customHeight="false" outlineLevel="0" collapsed="false">
      <c r="B3730" s="7" t="s">
        <v>18375</v>
      </c>
      <c r="C3730" s="7" t="s">
        <v>4227</v>
      </c>
      <c r="D3730" s="7" t="s">
        <v>319</v>
      </c>
      <c r="E3730" s="7" t="s">
        <v>157</v>
      </c>
      <c r="F3730" s="39" t="n">
        <v>45842</v>
      </c>
      <c r="G3730" s="41" t="n">
        <v>173.25</v>
      </c>
      <c r="H3730" s="39" t="n">
        <v>45881</v>
      </c>
      <c r="I3730" s="7" t="s">
        <v>14651</v>
      </c>
      <c r="J3730" s="8" t="str">
        <f aca="false">IF(I3730="Open",DATE(2025,12,31)-F3730,"-")</f>
        <v>-</v>
      </c>
    </row>
    <row r="3731" customFormat="false" ht="15" hidden="false" customHeight="false" outlineLevel="0" collapsed="false">
      <c r="B3731" s="7" t="s">
        <v>18376</v>
      </c>
      <c r="C3731" s="7" t="s">
        <v>4228</v>
      </c>
      <c r="D3731" s="7" t="s">
        <v>321</v>
      </c>
      <c r="E3731" s="7" t="s">
        <v>154</v>
      </c>
      <c r="F3731" s="39" t="n">
        <v>45842</v>
      </c>
      <c r="G3731" s="41" t="n">
        <v>98.84</v>
      </c>
      <c r="H3731" s="39" t="n">
        <v>45871</v>
      </c>
      <c r="I3731" s="7" t="s">
        <v>14651</v>
      </c>
      <c r="J3731" s="8" t="str">
        <f aca="false">IF(I3731="Open",DATE(2025,12,31)-F3731,"-")</f>
        <v>-</v>
      </c>
    </row>
    <row r="3732" customFormat="false" ht="15" hidden="false" customHeight="false" outlineLevel="0" collapsed="false">
      <c r="B3732" s="7" t="s">
        <v>18377</v>
      </c>
      <c r="C3732" s="7" t="s">
        <v>4229</v>
      </c>
      <c r="D3732" s="7" t="s">
        <v>323</v>
      </c>
      <c r="E3732" s="7" t="s">
        <v>159</v>
      </c>
      <c r="F3732" s="39" t="n">
        <v>45842</v>
      </c>
      <c r="G3732" s="41" t="n">
        <v>148.5</v>
      </c>
      <c r="H3732" s="39" t="n">
        <v>45929</v>
      </c>
      <c r="I3732" s="7" t="s">
        <v>14651</v>
      </c>
      <c r="J3732" s="8" t="str">
        <f aca="false">IF(I3732="Open",DATE(2025,12,31)-F3732,"-")</f>
        <v>-</v>
      </c>
    </row>
    <row r="3733" customFormat="false" ht="15" hidden="false" customHeight="false" outlineLevel="0" collapsed="false">
      <c r="B3733" s="7" t="s">
        <v>18378</v>
      </c>
      <c r="C3733" s="7" t="s">
        <v>4230</v>
      </c>
      <c r="D3733" s="7" t="s">
        <v>327</v>
      </c>
      <c r="E3733" s="7" t="s">
        <v>157</v>
      </c>
      <c r="F3733" s="39" t="n">
        <v>45842</v>
      </c>
      <c r="G3733" s="41" t="n">
        <v>161.7</v>
      </c>
      <c r="H3733" s="39" t="n">
        <v>45892</v>
      </c>
      <c r="I3733" s="7" t="s">
        <v>14651</v>
      </c>
      <c r="J3733" s="8" t="str">
        <f aca="false">IF(I3733="Open",DATE(2025,12,31)-F3733,"-")</f>
        <v>-</v>
      </c>
    </row>
    <row r="3734" customFormat="false" ht="15" hidden="false" customHeight="false" outlineLevel="0" collapsed="false">
      <c r="B3734" s="7" t="s">
        <v>18379</v>
      </c>
      <c r="C3734" s="7" t="s">
        <v>4231</v>
      </c>
      <c r="D3734" s="7" t="s">
        <v>329</v>
      </c>
      <c r="E3734" s="7" t="s">
        <v>156</v>
      </c>
      <c r="F3734" s="39" t="n">
        <v>45842</v>
      </c>
      <c r="G3734" s="41" t="n">
        <v>131.92</v>
      </c>
      <c r="H3734" s="39" t="n">
        <v>45852</v>
      </c>
      <c r="I3734" s="7" t="s">
        <v>14651</v>
      </c>
      <c r="J3734" s="8" t="str">
        <f aca="false">IF(I3734="Open",DATE(2025,12,31)-F3734,"-")</f>
        <v>-</v>
      </c>
    </row>
    <row r="3735" customFormat="false" ht="15" hidden="false" customHeight="false" outlineLevel="0" collapsed="false">
      <c r="B3735" s="7" t="s">
        <v>18380</v>
      </c>
      <c r="C3735" s="7" t="s">
        <v>4232</v>
      </c>
      <c r="D3735" s="7" t="s">
        <v>335</v>
      </c>
      <c r="E3735" s="7" t="s">
        <v>154</v>
      </c>
      <c r="F3735" s="39" t="n">
        <v>45842</v>
      </c>
      <c r="G3735" s="41" t="n">
        <v>98.31</v>
      </c>
      <c r="H3735" s="39" t="n">
        <v>45899</v>
      </c>
      <c r="I3735" s="7" t="s">
        <v>14651</v>
      </c>
      <c r="J3735" s="8" t="str">
        <f aca="false">IF(I3735="Open",DATE(2025,12,31)-F3735,"-")</f>
        <v>-</v>
      </c>
    </row>
    <row r="3736" customFormat="false" ht="15" hidden="false" customHeight="false" outlineLevel="0" collapsed="false">
      <c r="B3736" s="7" t="s">
        <v>18381</v>
      </c>
      <c r="C3736" s="7" t="s">
        <v>4233</v>
      </c>
      <c r="D3736" s="7" t="s">
        <v>339</v>
      </c>
      <c r="E3736" s="7" t="s">
        <v>154</v>
      </c>
      <c r="F3736" s="39" t="n">
        <v>45842</v>
      </c>
      <c r="G3736" s="41" t="n">
        <v>89.84</v>
      </c>
      <c r="H3736" s="39" t="n">
        <v>45946</v>
      </c>
      <c r="I3736" s="7" t="s">
        <v>14651</v>
      </c>
      <c r="J3736" s="8" t="str">
        <f aca="false">IF(I3736="Open",DATE(2025,12,31)-F3736,"-")</f>
        <v>-</v>
      </c>
    </row>
    <row r="3737" customFormat="false" ht="15" hidden="false" customHeight="false" outlineLevel="0" collapsed="false">
      <c r="B3737" s="7" t="s">
        <v>18382</v>
      </c>
      <c r="C3737" s="7" t="s">
        <v>4234</v>
      </c>
      <c r="D3737" s="7" t="s">
        <v>353</v>
      </c>
      <c r="E3737" s="7" t="s">
        <v>154</v>
      </c>
      <c r="F3737" s="39" t="n">
        <v>45842</v>
      </c>
      <c r="G3737" s="41" t="n">
        <v>81.88</v>
      </c>
      <c r="H3737" s="39" t="n">
        <v>45945</v>
      </c>
      <c r="I3737" s="7" t="s">
        <v>14651</v>
      </c>
      <c r="J3737" s="8" t="str">
        <f aca="false">IF(I3737="Open",DATE(2025,12,31)-F3737,"-")</f>
        <v>-</v>
      </c>
    </row>
    <row r="3738" customFormat="false" ht="15" hidden="false" customHeight="false" outlineLevel="0" collapsed="false">
      <c r="B3738" s="7" t="s">
        <v>18383</v>
      </c>
      <c r="C3738" s="7" t="s">
        <v>4235</v>
      </c>
      <c r="D3738" s="7" t="s">
        <v>355</v>
      </c>
      <c r="E3738" s="7" t="s">
        <v>154</v>
      </c>
      <c r="F3738" s="39" t="n">
        <v>45842</v>
      </c>
      <c r="G3738" s="41" t="n">
        <v>90.63</v>
      </c>
      <c r="H3738" s="39" t="n">
        <v>45869</v>
      </c>
      <c r="I3738" s="7" t="s">
        <v>14651</v>
      </c>
      <c r="J3738" s="8" t="str">
        <f aca="false">IF(I3738="Open",DATE(2025,12,31)-F3738,"-")</f>
        <v>-</v>
      </c>
    </row>
    <row r="3739" customFormat="false" ht="15" hidden="false" customHeight="false" outlineLevel="0" collapsed="false">
      <c r="B3739" s="7" t="s">
        <v>18384</v>
      </c>
      <c r="C3739" s="7" t="s">
        <v>4236</v>
      </c>
      <c r="D3739" s="7" t="s">
        <v>357</v>
      </c>
      <c r="E3739" s="7" t="s">
        <v>154</v>
      </c>
      <c r="F3739" s="39" t="n">
        <v>45842</v>
      </c>
      <c r="G3739" s="41" t="n">
        <v>93.02</v>
      </c>
      <c r="H3739" s="39" t="n">
        <v>45898</v>
      </c>
      <c r="I3739" s="7" t="s">
        <v>14651</v>
      </c>
      <c r="J3739" s="8" t="str">
        <f aca="false">IF(I3739="Open",DATE(2025,12,31)-F3739,"-")</f>
        <v>-</v>
      </c>
    </row>
    <row r="3740" customFormat="false" ht="15" hidden="false" customHeight="false" outlineLevel="0" collapsed="false">
      <c r="B3740" s="7" t="s">
        <v>18385</v>
      </c>
      <c r="C3740" s="7" t="s">
        <v>4237</v>
      </c>
      <c r="D3740" s="7" t="s">
        <v>359</v>
      </c>
      <c r="E3740" s="7" t="s">
        <v>156</v>
      </c>
      <c r="F3740" s="39" t="n">
        <v>45842</v>
      </c>
      <c r="G3740" s="41" t="n">
        <v>134.3</v>
      </c>
      <c r="H3740" s="39" t="n">
        <v>45854</v>
      </c>
      <c r="I3740" s="7" t="s">
        <v>14651</v>
      </c>
      <c r="J3740" s="8" t="str">
        <f aca="false">IF(I3740="Open",DATE(2025,12,31)-F3740,"-")</f>
        <v>-</v>
      </c>
    </row>
    <row r="3741" customFormat="false" ht="15" hidden="false" customHeight="false" outlineLevel="0" collapsed="false">
      <c r="B3741" s="7" t="s">
        <v>18386</v>
      </c>
      <c r="C3741" s="7" t="s">
        <v>4238</v>
      </c>
      <c r="D3741" s="7" t="s">
        <v>361</v>
      </c>
      <c r="E3741" s="7" t="s">
        <v>157</v>
      </c>
      <c r="F3741" s="39" t="n">
        <v>45842</v>
      </c>
      <c r="G3741" s="41" t="n">
        <v>178.2</v>
      </c>
      <c r="H3741" s="39" t="n">
        <v>45863</v>
      </c>
      <c r="I3741" s="7" t="s">
        <v>14651</v>
      </c>
      <c r="J3741" s="8" t="str">
        <f aca="false">IF(I3741="Open",DATE(2025,12,31)-F3741,"-")</f>
        <v>-</v>
      </c>
    </row>
    <row r="3742" customFormat="false" ht="15" hidden="false" customHeight="false" outlineLevel="0" collapsed="false">
      <c r="B3742" s="7" t="s">
        <v>18387</v>
      </c>
      <c r="C3742" s="7" t="s">
        <v>4239</v>
      </c>
      <c r="D3742" s="7" t="s">
        <v>365</v>
      </c>
      <c r="E3742" s="7" t="s">
        <v>154</v>
      </c>
      <c r="F3742" s="39" t="n">
        <v>45842</v>
      </c>
      <c r="G3742" s="41" t="n">
        <v>110.53</v>
      </c>
      <c r="H3742" s="39" t="n">
        <v>45928</v>
      </c>
      <c r="I3742" s="7" t="s">
        <v>14651</v>
      </c>
      <c r="J3742" s="8" t="str">
        <f aca="false">IF(I3742="Open",DATE(2025,12,31)-F3742,"-")</f>
        <v>-</v>
      </c>
    </row>
    <row r="3743" customFormat="false" ht="15" hidden="false" customHeight="false" outlineLevel="0" collapsed="false">
      <c r="B3743" s="7" t="s">
        <v>18388</v>
      </c>
      <c r="C3743" s="7" t="s">
        <v>4240</v>
      </c>
      <c r="D3743" s="7" t="s">
        <v>371</v>
      </c>
      <c r="E3743" s="7" t="s">
        <v>154</v>
      </c>
      <c r="F3743" s="39" t="n">
        <v>45842</v>
      </c>
      <c r="G3743" s="41" t="n">
        <v>131.97</v>
      </c>
      <c r="H3743" s="39" t="n">
        <v>45864</v>
      </c>
      <c r="I3743" s="7" t="s">
        <v>14651</v>
      </c>
      <c r="J3743" s="8" t="str">
        <f aca="false">IF(I3743="Open",DATE(2025,12,31)-F3743,"-")</f>
        <v>-</v>
      </c>
    </row>
    <row r="3744" customFormat="false" ht="15" hidden="false" customHeight="false" outlineLevel="0" collapsed="false">
      <c r="B3744" s="7" t="s">
        <v>18389</v>
      </c>
      <c r="C3744" s="7" t="s">
        <v>4241</v>
      </c>
      <c r="D3744" s="7" t="s">
        <v>379</v>
      </c>
      <c r="E3744" s="7" t="s">
        <v>156</v>
      </c>
      <c r="F3744" s="39" t="n">
        <v>45842</v>
      </c>
      <c r="G3744" s="41" t="n">
        <v>156.4</v>
      </c>
      <c r="H3744" s="39" t="n">
        <v>45846</v>
      </c>
      <c r="I3744" s="7" t="s">
        <v>14651</v>
      </c>
      <c r="J3744" s="8" t="str">
        <f aca="false">IF(I3744="Open",DATE(2025,12,31)-F3744,"-")</f>
        <v>-</v>
      </c>
    </row>
    <row r="3745" customFormat="false" ht="15" hidden="false" customHeight="false" outlineLevel="0" collapsed="false">
      <c r="B3745" s="7" t="s">
        <v>18390</v>
      </c>
      <c r="C3745" s="7" t="s">
        <v>4242</v>
      </c>
      <c r="D3745" s="7" t="s">
        <v>381</v>
      </c>
      <c r="E3745" s="7" t="s">
        <v>157</v>
      </c>
      <c r="F3745" s="39" t="n">
        <v>45842</v>
      </c>
      <c r="G3745" s="41" t="n">
        <v>176.55</v>
      </c>
      <c r="H3745" s="39" t="n">
        <v>45877</v>
      </c>
      <c r="I3745" s="7" t="s">
        <v>14651</v>
      </c>
      <c r="J3745" s="8" t="str">
        <f aca="false">IF(I3745="Open",DATE(2025,12,31)-F3745,"-")</f>
        <v>-</v>
      </c>
    </row>
    <row r="3746" customFormat="false" ht="15" hidden="false" customHeight="false" outlineLevel="0" collapsed="false">
      <c r="B3746" s="7" t="s">
        <v>18391</v>
      </c>
      <c r="C3746" s="7" t="s">
        <v>4243</v>
      </c>
      <c r="D3746" s="7" t="s">
        <v>385</v>
      </c>
      <c r="E3746" s="7" t="s">
        <v>156</v>
      </c>
      <c r="F3746" s="39" t="n">
        <v>45842</v>
      </c>
      <c r="G3746" s="41" t="n">
        <v>136.68</v>
      </c>
      <c r="H3746" s="39" t="n">
        <v>45857</v>
      </c>
      <c r="I3746" s="7" t="s">
        <v>14651</v>
      </c>
      <c r="J3746" s="8" t="str">
        <f aca="false">IF(I3746="Open",DATE(2025,12,31)-F3746,"-")</f>
        <v>-</v>
      </c>
    </row>
    <row r="3747" customFormat="false" ht="15" hidden="false" customHeight="false" outlineLevel="0" collapsed="false">
      <c r="B3747" s="7" t="s">
        <v>18392</v>
      </c>
      <c r="C3747" s="7" t="s">
        <v>4244</v>
      </c>
      <c r="D3747" s="7" t="s">
        <v>389</v>
      </c>
      <c r="E3747" s="7" t="s">
        <v>154</v>
      </c>
      <c r="F3747" s="39" t="n">
        <v>45842</v>
      </c>
      <c r="G3747" s="41" t="n">
        <v>115.81</v>
      </c>
      <c r="H3747" s="39" t="n">
        <v>45961</v>
      </c>
      <c r="I3747" s="7" t="s">
        <v>14651</v>
      </c>
      <c r="J3747" s="8" t="str">
        <f aca="false">IF(I3747="Open",DATE(2025,12,31)-F3747,"-")</f>
        <v>-</v>
      </c>
    </row>
    <row r="3748" customFormat="false" ht="15" hidden="false" customHeight="false" outlineLevel="0" collapsed="false">
      <c r="B3748" s="7" t="s">
        <v>18393</v>
      </c>
      <c r="C3748" s="7" t="s">
        <v>4245</v>
      </c>
      <c r="D3748" s="7" t="s">
        <v>391</v>
      </c>
      <c r="E3748" s="7" t="s">
        <v>156</v>
      </c>
      <c r="F3748" s="39" t="n">
        <v>45842</v>
      </c>
      <c r="G3748" s="41" t="n">
        <v>145.52</v>
      </c>
      <c r="H3748" s="39" t="n">
        <v>45845</v>
      </c>
      <c r="I3748" s="7" t="s">
        <v>14651</v>
      </c>
      <c r="J3748" s="8" t="str">
        <f aca="false">IF(I3748="Open",DATE(2025,12,31)-F3748,"-")</f>
        <v>-</v>
      </c>
    </row>
    <row r="3749" customFormat="false" ht="15" hidden="false" customHeight="false" outlineLevel="0" collapsed="false">
      <c r="B3749" s="7" t="s">
        <v>18394</v>
      </c>
      <c r="C3749" s="7" t="s">
        <v>4246</v>
      </c>
      <c r="D3749" s="7" t="s">
        <v>395</v>
      </c>
      <c r="E3749" s="7" t="s">
        <v>156</v>
      </c>
      <c r="F3749" s="39" t="n">
        <v>45842</v>
      </c>
      <c r="G3749" s="41" t="n">
        <v>134.3</v>
      </c>
      <c r="H3749" s="39" t="n">
        <v>45850</v>
      </c>
      <c r="I3749" s="7" t="s">
        <v>14651</v>
      </c>
      <c r="J3749" s="8" t="str">
        <f aca="false">IF(I3749="Open",DATE(2025,12,31)-F3749,"-")</f>
        <v>-</v>
      </c>
    </row>
    <row r="3750" customFormat="false" ht="15" hidden="false" customHeight="false" outlineLevel="0" collapsed="false">
      <c r="B3750" s="7" t="s">
        <v>18395</v>
      </c>
      <c r="C3750" s="7" t="s">
        <v>4247</v>
      </c>
      <c r="D3750" s="7" t="s">
        <v>397</v>
      </c>
      <c r="E3750" s="7" t="s">
        <v>159</v>
      </c>
      <c r="F3750" s="39" t="n">
        <v>45842</v>
      </c>
      <c r="G3750" s="41" t="n">
        <v>141.75</v>
      </c>
      <c r="H3750" s="39" t="n">
        <v>45876</v>
      </c>
      <c r="I3750" s="7" t="s">
        <v>14651</v>
      </c>
      <c r="J3750" s="8" t="str">
        <f aca="false">IF(I3750="Open",DATE(2025,12,31)-F3750,"-")</f>
        <v>-</v>
      </c>
    </row>
    <row r="3751" customFormat="false" ht="15" hidden="false" customHeight="false" outlineLevel="0" collapsed="false">
      <c r="B3751" s="7" t="s">
        <v>18396</v>
      </c>
      <c r="C3751" s="7" t="s">
        <v>4248</v>
      </c>
      <c r="D3751" s="7" t="s">
        <v>399</v>
      </c>
      <c r="E3751" s="7" t="s">
        <v>154</v>
      </c>
      <c r="F3751" s="39" t="n">
        <v>45842</v>
      </c>
      <c r="G3751" s="41" t="n">
        <v>95.4</v>
      </c>
      <c r="H3751" s="39" t="n">
        <v>45898</v>
      </c>
      <c r="I3751" s="7" t="s">
        <v>14651</v>
      </c>
      <c r="J3751" s="8" t="str">
        <f aca="false">IF(I3751="Open",DATE(2025,12,31)-F3751,"-")</f>
        <v>-</v>
      </c>
    </row>
    <row r="3752" customFormat="false" ht="15" hidden="false" customHeight="false" outlineLevel="0" collapsed="false">
      <c r="B3752" s="7" t="s">
        <v>18397</v>
      </c>
      <c r="C3752" s="7" t="s">
        <v>4249</v>
      </c>
      <c r="D3752" s="7" t="s">
        <v>401</v>
      </c>
      <c r="E3752" s="7" t="s">
        <v>156</v>
      </c>
      <c r="F3752" s="39" t="n">
        <v>45842</v>
      </c>
      <c r="G3752" s="41" t="n">
        <v>145.18</v>
      </c>
      <c r="H3752" s="39" t="n">
        <v>45860</v>
      </c>
      <c r="I3752" s="7" t="s">
        <v>14651</v>
      </c>
      <c r="J3752" s="8" t="str">
        <f aca="false">IF(I3752="Open",DATE(2025,12,31)-F3752,"-")</f>
        <v>-</v>
      </c>
    </row>
    <row r="3753" customFormat="false" ht="15" hidden="false" customHeight="false" outlineLevel="0" collapsed="false">
      <c r="B3753" s="7" t="s">
        <v>18398</v>
      </c>
      <c r="C3753" s="7" t="s">
        <v>4250</v>
      </c>
      <c r="D3753" s="7" t="s">
        <v>407</v>
      </c>
      <c r="E3753" s="7" t="s">
        <v>159</v>
      </c>
      <c r="F3753" s="39" t="n">
        <v>45842</v>
      </c>
      <c r="G3753" s="41" t="n">
        <v>124.2</v>
      </c>
      <c r="H3753" s="39" t="n">
        <v>45908</v>
      </c>
      <c r="I3753" s="7" t="s">
        <v>14651</v>
      </c>
      <c r="J3753" s="8" t="str">
        <f aca="false">IF(I3753="Open",DATE(2025,12,31)-F3753,"-")</f>
        <v>-</v>
      </c>
    </row>
    <row r="3754" customFormat="false" ht="15" hidden="false" customHeight="false" outlineLevel="0" collapsed="false">
      <c r="B3754" s="7" t="s">
        <v>18399</v>
      </c>
      <c r="C3754" s="7" t="s">
        <v>4251</v>
      </c>
      <c r="D3754" s="7" t="s">
        <v>409</v>
      </c>
      <c r="E3754" s="7" t="s">
        <v>154</v>
      </c>
      <c r="F3754" s="39" t="n">
        <v>45842</v>
      </c>
      <c r="G3754" s="41" t="n">
        <v>88.25</v>
      </c>
      <c r="H3754" s="39" t="n">
        <v>45905</v>
      </c>
      <c r="I3754" s="7" t="s">
        <v>14651</v>
      </c>
      <c r="J3754" s="8" t="str">
        <f aca="false">IF(I3754="Open",DATE(2025,12,31)-F3754,"-")</f>
        <v>-</v>
      </c>
    </row>
    <row r="3755" customFormat="false" ht="15" hidden="false" customHeight="false" outlineLevel="0" collapsed="false">
      <c r="B3755" s="7" t="s">
        <v>18400</v>
      </c>
      <c r="C3755" s="7" t="s">
        <v>4252</v>
      </c>
      <c r="D3755" s="7" t="s">
        <v>411</v>
      </c>
      <c r="E3755" s="7" t="s">
        <v>154</v>
      </c>
      <c r="F3755" s="39" t="n">
        <v>45842</v>
      </c>
      <c r="G3755" s="41" t="n">
        <v>113.95</v>
      </c>
      <c r="H3755" s="39" t="n">
        <v>45875</v>
      </c>
      <c r="I3755" s="7" t="s">
        <v>14651</v>
      </c>
      <c r="J3755" s="8" t="str">
        <f aca="false">IF(I3755="Open",DATE(2025,12,31)-F3755,"-")</f>
        <v>-</v>
      </c>
    </row>
    <row r="3756" customFormat="false" ht="15" hidden="false" customHeight="false" outlineLevel="0" collapsed="false">
      <c r="B3756" s="7" t="s">
        <v>18401</v>
      </c>
      <c r="C3756" s="7" t="s">
        <v>4253</v>
      </c>
      <c r="D3756" s="7" t="s">
        <v>288</v>
      </c>
      <c r="E3756" s="7" t="s">
        <v>156</v>
      </c>
      <c r="F3756" s="39" t="n">
        <v>45843</v>
      </c>
      <c r="G3756" s="41" t="n">
        <v>137.7</v>
      </c>
      <c r="H3756" s="39" t="n">
        <v>45853</v>
      </c>
      <c r="I3756" s="7" t="s">
        <v>14651</v>
      </c>
      <c r="J3756" s="8" t="str">
        <f aca="false">IF(I3756="Open",DATE(2025,12,31)-F3756,"-")</f>
        <v>-</v>
      </c>
    </row>
    <row r="3757" customFormat="false" ht="15" hidden="false" customHeight="false" outlineLevel="0" collapsed="false">
      <c r="B3757" s="7" t="s">
        <v>18402</v>
      </c>
      <c r="C3757" s="7" t="s">
        <v>4254</v>
      </c>
      <c r="D3757" s="7" t="s">
        <v>321</v>
      </c>
      <c r="E3757" s="7" t="s">
        <v>154</v>
      </c>
      <c r="F3757" s="39" t="n">
        <v>45843</v>
      </c>
      <c r="G3757" s="41" t="n">
        <v>110.53</v>
      </c>
      <c r="H3757" s="39" t="n">
        <v>45899</v>
      </c>
      <c r="I3757" s="7" t="s">
        <v>14651</v>
      </c>
      <c r="J3757" s="8" t="str">
        <f aca="false">IF(I3757="Open",DATE(2025,12,31)-F3757,"-")</f>
        <v>-</v>
      </c>
    </row>
    <row r="3758" customFormat="false" ht="15" hidden="false" customHeight="false" outlineLevel="0" collapsed="false">
      <c r="B3758" s="7" t="s">
        <v>18403</v>
      </c>
      <c r="C3758" s="7" t="s">
        <v>4255</v>
      </c>
      <c r="D3758" s="7" t="s">
        <v>359</v>
      </c>
      <c r="E3758" s="7" t="s">
        <v>156</v>
      </c>
      <c r="F3758" s="39" t="n">
        <v>45843</v>
      </c>
      <c r="G3758" s="41" t="n">
        <v>125.46</v>
      </c>
      <c r="H3758" s="39" t="n">
        <v>45850</v>
      </c>
      <c r="I3758" s="7" t="s">
        <v>14651</v>
      </c>
      <c r="J3758" s="8" t="str">
        <f aca="false">IF(I3758="Open",DATE(2025,12,31)-F3758,"-")</f>
        <v>-</v>
      </c>
    </row>
    <row r="3759" customFormat="false" ht="15" hidden="false" customHeight="false" outlineLevel="0" collapsed="false">
      <c r="B3759" s="7" t="s">
        <v>18404</v>
      </c>
      <c r="C3759" s="7" t="s">
        <v>4256</v>
      </c>
      <c r="D3759" s="7" t="s">
        <v>391</v>
      </c>
      <c r="E3759" s="7" t="s">
        <v>156</v>
      </c>
      <c r="F3759" s="39" t="n">
        <v>45843</v>
      </c>
      <c r="G3759" s="41" t="n">
        <v>125.46</v>
      </c>
      <c r="H3759" s="39" t="n">
        <v>45859</v>
      </c>
      <c r="I3759" s="7" t="s">
        <v>14651</v>
      </c>
      <c r="J3759" s="8" t="str">
        <f aca="false">IF(I3759="Open",DATE(2025,12,31)-F3759,"-")</f>
        <v>-</v>
      </c>
    </row>
    <row r="3760" customFormat="false" ht="15" hidden="false" customHeight="false" outlineLevel="0" collapsed="false">
      <c r="B3760" s="7" t="s">
        <v>18405</v>
      </c>
      <c r="C3760" s="7" t="s">
        <v>4257</v>
      </c>
      <c r="D3760" s="7" t="s">
        <v>395</v>
      </c>
      <c r="E3760" s="7" t="s">
        <v>156</v>
      </c>
      <c r="F3760" s="39" t="n">
        <v>45843</v>
      </c>
      <c r="G3760" s="41" t="n">
        <v>140.76</v>
      </c>
      <c r="H3760" s="39" t="n">
        <v>45855</v>
      </c>
      <c r="I3760" s="7" t="s">
        <v>14651</v>
      </c>
      <c r="J3760" s="8" t="str">
        <f aca="false">IF(I3760="Open",DATE(2025,12,31)-F3760,"-")</f>
        <v>-</v>
      </c>
    </row>
    <row r="3761" customFormat="false" ht="15" hidden="false" customHeight="false" outlineLevel="0" collapsed="false">
      <c r="B3761" s="7" t="s">
        <v>18406</v>
      </c>
      <c r="C3761" s="7" t="s">
        <v>4258</v>
      </c>
      <c r="D3761" s="7" t="s">
        <v>401</v>
      </c>
      <c r="E3761" s="7" t="s">
        <v>156</v>
      </c>
      <c r="F3761" s="39" t="n">
        <v>45843</v>
      </c>
      <c r="G3761" s="41" t="n">
        <v>132.94</v>
      </c>
      <c r="H3761" s="39" t="n">
        <v>45845</v>
      </c>
      <c r="I3761" s="7" t="s">
        <v>14651</v>
      </c>
      <c r="J3761" s="8" t="str">
        <f aca="false">IF(I3761="Open",DATE(2025,12,31)-F3761,"-")</f>
        <v>-</v>
      </c>
    </row>
    <row r="3762" customFormat="false" ht="15" hidden="false" customHeight="false" outlineLevel="0" collapsed="false">
      <c r="B3762" s="7" t="s">
        <v>18407</v>
      </c>
      <c r="C3762" s="7" t="s">
        <v>4259</v>
      </c>
      <c r="D3762" s="7" t="s">
        <v>288</v>
      </c>
      <c r="E3762" s="7" t="s">
        <v>156</v>
      </c>
      <c r="F3762" s="39" t="n">
        <v>45844</v>
      </c>
      <c r="G3762" s="41" t="n">
        <v>143.82</v>
      </c>
      <c r="H3762" s="39" t="n">
        <v>45859</v>
      </c>
      <c r="I3762" s="7" t="s">
        <v>14651</v>
      </c>
      <c r="J3762" s="8" t="str">
        <f aca="false">IF(I3762="Open",DATE(2025,12,31)-F3762,"-")</f>
        <v>-</v>
      </c>
    </row>
    <row r="3763" customFormat="false" ht="15" hidden="false" customHeight="false" outlineLevel="0" collapsed="false">
      <c r="B3763" s="7" t="s">
        <v>18408</v>
      </c>
      <c r="C3763" s="7" t="s">
        <v>4260</v>
      </c>
      <c r="D3763" s="7" t="s">
        <v>321</v>
      </c>
      <c r="E3763" s="7" t="s">
        <v>154</v>
      </c>
      <c r="F3763" s="39" t="n">
        <v>45844</v>
      </c>
      <c r="G3763" s="41" t="n">
        <v>103.88</v>
      </c>
      <c r="H3763" s="39" t="n">
        <v>45897</v>
      </c>
      <c r="I3763" s="7" t="s">
        <v>14651</v>
      </c>
      <c r="J3763" s="8" t="str">
        <f aca="false">IF(I3763="Open",DATE(2025,12,31)-F3763,"-")</f>
        <v>-</v>
      </c>
    </row>
    <row r="3764" customFormat="false" ht="15" hidden="false" customHeight="false" outlineLevel="0" collapsed="false">
      <c r="B3764" s="7" t="s">
        <v>18409</v>
      </c>
      <c r="C3764" s="7" t="s">
        <v>4261</v>
      </c>
      <c r="D3764" s="7" t="s">
        <v>359</v>
      </c>
      <c r="E3764" s="7" t="s">
        <v>156</v>
      </c>
      <c r="F3764" s="39" t="n">
        <v>45844</v>
      </c>
      <c r="G3764" s="41" t="n">
        <v>134.3</v>
      </c>
      <c r="H3764" s="39" t="n">
        <v>45858</v>
      </c>
      <c r="I3764" s="7" t="s">
        <v>14651</v>
      </c>
      <c r="J3764" s="8" t="str">
        <f aca="false">IF(I3764="Open",DATE(2025,12,31)-F3764,"-")</f>
        <v>-</v>
      </c>
    </row>
    <row r="3765" customFormat="false" ht="15" hidden="false" customHeight="false" outlineLevel="0" collapsed="false">
      <c r="B3765" s="7" t="s">
        <v>18410</v>
      </c>
      <c r="C3765" s="7" t="s">
        <v>4262</v>
      </c>
      <c r="D3765" s="7" t="s">
        <v>391</v>
      </c>
      <c r="E3765" s="7" t="s">
        <v>156</v>
      </c>
      <c r="F3765" s="39" t="n">
        <v>45844</v>
      </c>
      <c r="G3765" s="41" t="n">
        <v>123.08</v>
      </c>
      <c r="H3765" s="39" t="n">
        <v>45849</v>
      </c>
      <c r="I3765" s="7" t="s">
        <v>14651</v>
      </c>
      <c r="J3765" s="8" t="str">
        <f aca="false">IF(I3765="Open",DATE(2025,12,31)-F3765,"-")</f>
        <v>-</v>
      </c>
    </row>
    <row r="3766" customFormat="false" ht="15" hidden="false" customHeight="false" outlineLevel="0" collapsed="false">
      <c r="B3766" s="7" t="s">
        <v>18411</v>
      </c>
      <c r="C3766" s="7" t="s">
        <v>4263</v>
      </c>
      <c r="D3766" s="7" t="s">
        <v>395</v>
      </c>
      <c r="E3766" s="7" t="s">
        <v>156</v>
      </c>
      <c r="F3766" s="39" t="n">
        <v>45844</v>
      </c>
      <c r="G3766" s="41" t="n">
        <v>147.56</v>
      </c>
      <c r="H3766" s="39" t="n">
        <v>45859</v>
      </c>
      <c r="I3766" s="7" t="s">
        <v>14651</v>
      </c>
      <c r="J3766" s="8" t="str">
        <f aca="false">IF(I3766="Open",DATE(2025,12,31)-F3766,"-")</f>
        <v>-</v>
      </c>
    </row>
    <row r="3767" customFormat="false" ht="15" hidden="false" customHeight="false" outlineLevel="0" collapsed="false">
      <c r="B3767" s="7" t="s">
        <v>18412</v>
      </c>
      <c r="C3767" s="7" t="s">
        <v>4264</v>
      </c>
      <c r="D3767" s="7" t="s">
        <v>401</v>
      </c>
      <c r="E3767" s="7" t="s">
        <v>156</v>
      </c>
      <c r="F3767" s="39" t="n">
        <v>45844</v>
      </c>
      <c r="G3767" s="41" t="n">
        <v>145.52</v>
      </c>
      <c r="H3767" s="39" t="n">
        <v>45866</v>
      </c>
      <c r="I3767" s="7" t="s">
        <v>14651</v>
      </c>
      <c r="J3767" s="8" t="str">
        <f aca="false">IF(I3767="Open",DATE(2025,12,31)-F3767,"-")</f>
        <v>-</v>
      </c>
    </row>
    <row r="3768" customFormat="false" ht="15" hidden="false" customHeight="false" outlineLevel="0" collapsed="false">
      <c r="B3768" s="7" t="s">
        <v>18413</v>
      </c>
      <c r="C3768" s="7" t="s">
        <v>4265</v>
      </c>
      <c r="D3768" s="7" t="s">
        <v>280</v>
      </c>
      <c r="E3768" s="7" t="s">
        <v>157</v>
      </c>
      <c r="F3768" s="39" t="n">
        <v>45845</v>
      </c>
      <c r="G3768" s="41" t="n">
        <v>160.05</v>
      </c>
      <c r="H3768" s="39" t="n">
        <v>45877</v>
      </c>
      <c r="I3768" s="7" t="s">
        <v>14651</v>
      </c>
      <c r="J3768" s="8" t="str">
        <f aca="false">IF(I3768="Open",DATE(2025,12,31)-F3768,"-")</f>
        <v>-</v>
      </c>
    </row>
    <row r="3769" customFormat="false" ht="15" hidden="false" customHeight="false" outlineLevel="0" collapsed="false">
      <c r="B3769" s="7" t="s">
        <v>18414</v>
      </c>
      <c r="C3769" s="7" t="s">
        <v>4266</v>
      </c>
      <c r="D3769" s="7" t="s">
        <v>288</v>
      </c>
      <c r="E3769" s="7" t="s">
        <v>156</v>
      </c>
      <c r="F3769" s="39" t="n">
        <v>45845</v>
      </c>
      <c r="G3769" s="41" t="n">
        <v>134.64</v>
      </c>
      <c r="H3769" s="39" t="n">
        <v>45857</v>
      </c>
      <c r="I3769" s="7" t="s">
        <v>14651</v>
      </c>
      <c r="J3769" s="8" t="str">
        <f aca="false">IF(I3769="Open",DATE(2025,12,31)-F3769,"-")</f>
        <v>-</v>
      </c>
    </row>
    <row r="3770" customFormat="false" ht="15" hidden="false" customHeight="false" outlineLevel="0" collapsed="false">
      <c r="B3770" s="7" t="s">
        <v>18415</v>
      </c>
      <c r="C3770" s="7" t="s">
        <v>4267</v>
      </c>
      <c r="D3770" s="7" t="s">
        <v>291</v>
      </c>
      <c r="E3770" s="7" t="s">
        <v>154</v>
      </c>
      <c r="F3770" s="39" t="n">
        <v>45845</v>
      </c>
      <c r="G3770" s="41" t="n">
        <v>126.94</v>
      </c>
      <c r="H3770" s="39" t="n">
        <v>45879</v>
      </c>
      <c r="I3770" s="7" t="s">
        <v>14651</v>
      </c>
      <c r="J3770" s="8" t="str">
        <f aca="false">IF(I3770="Open",DATE(2025,12,31)-F3770,"-")</f>
        <v>-</v>
      </c>
    </row>
    <row r="3771" customFormat="false" ht="15" hidden="false" customHeight="false" outlineLevel="0" collapsed="false">
      <c r="B3771" s="7" t="s">
        <v>18416</v>
      </c>
      <c r="C3771" s="7" t="s">
        <v>4268</v>
      </c>
      <c r="D3771" s="7" t="s">
        <v>297</v>
      </c>
      <c r="E3771" s="7" t="s">
        <v>156</v>
      </c>
      <c r="F3771" s="39" t="n">
        <v>45845</v>
      </c>
      <c r="G3771" s="41" t="n">
        <v>103.36</v>
      </c>
      <c r="H3771" s="39" t="n">
        <v>45854</v>
      </c>
      <c r="I3771" s="7" t="s">
        <v>14651</v>
      </c>
      <c r="J3771" s="8" t="str">
        <f aca="false">IF(I3771="Open",DATE(2025,12,31)-F3771,"-")</f>
        <v>-</v>
      </c>
    </row>
    <row r="3772" customFormat="false" ht="15" hidden="false" customHeight="false" outlineLevel="0" collapsed="false">
      <c r="B3772" s="7" t="s">
        <v>18417</v>
      </c>
      <c r="C3772" s="7" t="s">
        <v>4269</v>
      </c>
      <c r="D3772" s="7" t="s">
        <v>305</v>
      </c>
      <c r="E3772" s="7" t="s">
        <v>154</v>
      </c>
      <c r="F3772" s="39" t="n">
        <v>45845</v>
      </c>
      <c r="G3772" s="41" t="n">
        <v>111.04</v>
      </c>
      <c r="H3772" s="39" t="n">
        <v>45881</v>
      </c>
      <c r="I3772" s="7" t="s">
        <v>14651</v>
      </c>
      <c r="J3772" s="8" t="str">
        <f aca="false">IF(I3772="Open",DATE(2025,12,31)-F3772,"-")</f>
        <v>-</v>
      </c>
    </row>
    <row r="3773" customFormat="false" ht="15" hidden="false" customHeight="false" outlineLevel="0" collapsed="false">
      <c r="B3773" s="7" t="s">
        <v>18418</v>
      </c>
      <c r="C3773" s="7" t="s">
        <v>4270</v>
      </c>
      <c r="D3773" s="7" t="s">
        <v>307</v>
      </c>
      <c r="E3773" s="7" t="s">
        <v>157</v>
      </c>
      <c r="F3773" s="39" t="n">
        <v>45845</v>
      </c>
      <c r="G3773" s="41" t="n">
        <v>145.69</v>
      </c>
      <c r="H3773" s="39" t="n">
        <v>45924</v>
      </c>
      <c r="I3773" s="7" t="s">
        <v>14651</v>
      </c>
      <c r="J3773" s="8" t="str">
        <f aca="false">IF(I3773="Open",DATE(2025,12,31)-F3773,"-")</f>
        <v>-</v>
      </c>
    </row>
    <row r="3774" customFormat="false" ht="15" hidden="false" customHeight="false" outlineLevel="0" collapsed="false">
      <c r="B3774" s="7" t="s">
        <v>18419</v>
      </c>
      <c r="C3774" s="7" t="s">
        <v>4271</v>
      </c>
      <c r="D3774" s="7" t="s">
        <v>309</v>
      </c>
      <c r="E3774" s="7" t="s">
        <v>159</v>
      </c>
      <c r="F3774" s="39" t="n">
        <v>45845</v>
      </c>
      <c r="G3774" s="41" t="n">
        <v>130.95</v>
      </c>
      <c r="H3774" s="39" t="n">
        <v>45903</v>
      </c>
      <c r="I3774" s="7" t="s">
        <v>14651</v>
      </c>
      <c r="J3774" s="8" t="str">
        <f aca="false">IF(I3774="Open",DATE(2025,12,31)-F3774,"-")</f>
        <v>-</v>
      </c>
    </row>
    <row r="3775" customFormat="false" ht="15" hidden="false" customHeight="false" outlineLevel="0" collapsed="false">
      <c r="B3775" s="7" t="s">
        <v>18420</v>
      </c>
      <c r="C3775" s="7" t="s">
        <v>4272</v>
      </c>
      <c r="D3775" s="7" t="s">
        <v>311</v>
      </c>
      <c r="E3775" s="7" t="s">
        <v>154</v>
      </c>
      <c r="F3775" s="39" t="n">
        <v>45845</v>
      </c>
      <c r="G3775" s="41" t="n">
        <v>86.92</v>
      </c>
      <c r="H3775" s="39" t="n">
        <v>45918</v>
      </c>
      <c r="I3775" s="7" t="s">
        <v>14651</v>
      </c>
      <c r="J3775" s="8" t="str">
        <f aca="false">IF(I3775="Open",DATE(2025,12,31)-F3775,"-")</f>
        <v>-</v>
      </c>
    </row>
    <row r="3776" customFormat="false" ht="15" hidden="false" customHeight="false" outlineLevel="0" collapsed="false">
      <c r="B3776" s="7" t="s">
        <v>18421</v>
      </c>
      <c r="C3776" s="7" t="s">
        <v>4273</v>
      </c>
      <c r="D3776" s="7" t="s">
        <v>313</v>
      </c>
      <c r="E3776" s="7" t="s">
        <v>156</v>
      </c>
      <c r="F3776" s="39" t="n">
        <v>45845</v>
      </c>
      <c r="G3776" s="41" t="n">
        <v>147.22</v>
      </c>
      <c r="H3776" s="39" t="n">
        <v>45860</v>
      </c>
      <c r="I3776" s="7" t="s">
        <v>14651</v>
      </c>
      <c r="J3776" s="8" t="str">
        <f aca="false">IF(I3776="Open",DATE(2025,12,31)-F3776,"-")</f>
        <v>-</v>
      </c>
    </row>
    <row r="3777" customFormat="false" ht="15" hidden="false" customHeight="false" outlineLevel="0" collapsed="false">
      <c r="B3777" s="7" t="s">
        <v>18422</v>
      </c>
      <c r="C3777" s="7" t="s">
        <v>4274</v>
      </c>
      <c r="D3777" s="7" t="s">
        <v>317</v>
      </c>
      <c r="E3777" s="7" t="s">
        <v>156</v>
      </c>
      <c r="F3777" s="39" t="n">
        <v>45845</v>
      </c>
      <c r="G3777" s="41" t="n">
        <v>104.38</v>
      </c>
      <c r="H3777" s="39" t="n">
        <v>45856</v>
      </c>
      <c r="I3777" s="7" t="s">
        <v>14651</v>
      </c>
      <c r="J3777" s="8" t="str">
        <f aca="false">IF(I3777="Open",DATE(2025,12,31)-F3777,"-")</f>
        <v>-</v>
      </c>
    </row>
    <row r="3778" customFormat="false" ht="15" hidden="false" customHeight="false" outlineLevel="0" collapsed="false">
      <c r="B3778" s="7" t="s">
        <v>18423</v>
      </c>
      <c r="C3778" s="7" t="s">
        <v>4275</v>
      </c>
      <c r="D3778" s="7" t="s">
        <v>321</v>
      </c>
      <c r="E3778" s="7" t="s">
        <v>154</v>
      </c>
      <c r="F3778" s="39" t="n">
        <v>45845</v>
      </c>
      <c r="G3778" s="41" t="n">
        <v>99.64</v>
      </c>
      <c r="H3778" s="39" t="n">
        <v>45889</v>
      </c>
      <c r="I3778" s="7" t="s">
        <v>14651</v>
      </c>
      <c r="J3778" s="8" t="str">
        <f aca="false">IF(I3778="Open",DATE(2025,12,31)-F3778,"-")</f>
        <v>-</v>
      </c>
    </row>
    <row r="3779" customFormat="false" ht="15" hidden="false" customHeight="false" outlineLevel="0" collapsed="false">
      <c r="B3779" s="7" t="s">
        <v>18424</v>
      </c>
      <c r="C3779" s="7" t="s">
        <v>4276</v>
      </c>
      <c r="D3779" s="7" t="s">
        <v>325</v>
      </c>
      <c r="E3779" s="7" t="s">
        <v>154</v>
      </c>
      <c r="F3779" s="39" t="n">
        <v>45845</v>
      </c>
      <c r="G3779" s="41" t="n">
        <v>76.85</v>
      </c>
      <c r="H3779" s="39" t="n">
        <v>45937</v>
      </c>
      <c r="I3779" s="7" t="s">
        <v>14651</v>
      </c>
      <c r="J3779" s="8" t="str">
        <f aca="false">IF(I3779="Open",DATE(2025,12,31)-F3779,"-")</f>
        <v>-</v>
      </c>
    </row>
    <row r="3780" customFormat="false" ht="15" hidden="false" customHeight="false" outlineLevel="0" collapsed="false">
      <c r="B3780" s="7" t="s">
        <v>18425</v>
      </c>
      <c r="C3780" s="7" t="s">
        <v>4277</v>
      </c>
      <c r="D3780" s="7" t="s">
        <v>329</v>
      </c>
      <c r="E3780" s="7" t="s">
        <v>156</v>
      </c>
      <c r="F3780" s="39" t="n">
        <v>45845</v>
      </c>
      <c r="G3780" s="41" t="n">
        <v>148.58</v>
      </c>
      <c r="H3780" s="39" t="n">
        <v>45863</v>
      </c>
      <c r="I3780" s="7" t="s">
        <v>14651</v>
      </c>
      <c r="J3780" s="8" t="str">
        <f aca="false">IF(I3780="Open",DATE(2025,12,31)-F3780,"-")</f>
        <v>-</v>
      </c>
    </row>
    <row r="3781" customFormat="false" ht="15" hidden="false" customHeight="false" outlineLevel="0" collapsed="false">
      <c r="B3781" s="7" t="s">
        <v>18426</v>
      </c>
      <c r="C3781" s="7" t="s">
        <v>4278</v>
      </c>
      <c r="D3781" s="7" t="s">
        <v>331</v>
      </c>
      <c r="E3781" s="7" t="s">
        <v>156</v>
      </c>
      <c r="F3781" s="39" t="n">
        <v>45845</v>
      </c>
      <c r="G3781" s="41" t="n">
        <v>138.38</v>
      </c>
      <c r="H3781" s="39" t="n">
        <v>45846</v>
      </c>
      <c r="I3781" s="7" t="s">
        <v>14651</v>
      </c>
      <c r="J3781" s="8" t="str">
        <f aca="false">IF(I3781="Open",DATE(2025,12,31)-F3781,"-")</f>
        <v>-</v>
      </c>
    </row>
    <row r="3782" customFormat="false" ht="15" hidden="false" customHeight="false" outlineLevel="0" collapsed="false">
      <c r="B3782" s="7" t="s">
        <v>18427</v>
      </c>
      <c r="C3782" s="7" t="s">
        <v>4279</v>
      </c>
      <c r="D3782" s="7" t="s">
        <v>335</v>
      </c>
      <c r="E3782" s="7" t="s">
        <v>154</v>
      </c>
      <c r="F3782" s="39" t="n">
        <v>45845</v>
      </c>
      <c r="G3782" s="41" t="n">
        <v>107.32</v>
      </c>
      <c r="H3782" s="39" t="n">
        <v>45877</v>
      </c>
      <c r="I3782" s="7" t="s">
        <v>14651</v>
      </c>
      <c r="J3782" s="8" t="str">
        <f aca="false">IF(I3782="Open",DATE(2025,12,31)-F3782,"-")</f>
        <v>-</v>
      </c>
    </row>
    <row r="3783" customFormat="false" ht="15" hidden="false" customHeight="false" outlineLevel="0" collapsed="false">
      <c r="B3783" s="7" t="s">
        <v>18428</v>
      </c>
      <c r="C3783" s="7" t="s">
        <v>4280</v>
      </c>
      <c r="D3783" s="7" t="s">
        <v>337</v>
      </c>
      <c r="E3783" s="7" t="s">
        <v>154</v>
      </c>
      <c r="F3783" s="39" t="n">
        <v>45845</v>
      </c>
      <c r="G3783" s="41" t="n">
        <v>77.91</v>
      </c>
      <c r="H3783" s="39" t="n">
        <v>45906</v>
      </c>
      <c r="I3783" s="7" t="s">
        <v>14651</v>
      </c>
      <c r="J3783" s="8" t="str">
        <f aca="false">IF(I3783="Open",DATE(2025,12,31)-F3783,"-")</f>
        <v>-</v>
      </c>
    </row>
    <row r="3784" customFormat="false" ht="15" hidden="false" customHeight="false" outlineLevel="0" collapsed="false">
      <c r="B3784" s="7" t="s">
        <v>18429</v>
      </c>
      <c r="C3784" s="7" t="s">
        <v>4281</v>
      </c>
      <c r="D3784" s="7" t="s">
        <v>339</v>
      </c>
      <c r="E3784" s="7" t="s">
        <v>154</v>
      </c>
      <c r="F3784" s="39" t="n">
        <v>45845</v>
      </c>
      <c r="G3784" s="41" t="n">
        <v>81.09</v>
      </c>
      <c r="H3784" s="39" t="n">
        <v>45954</v>
      </c>
      <c r="I3784" s="7" t="s">
        <v>14651</v>
      </c>
      <c r="J3784" s="8" t="str">
        <f aca="false">IF(I3784="Open",DATE(2025,12,31)-F3784,"-")</f>
        <v>-</v>
      </c>
    </row>
    <row r="3785" customFormat="false" ht="15" hidden="false" customHeight="false" outlineLevel="0" collapsed="false">
      <c r="B3785" s="7" t="s">
        <v>18430</v>
      </c>
      <c r="C3785" s="7" t="s">
        <v>4282</v>
      </c>
      <c r="D3785" s="7" t="s">
        <v>341</v>
      </c>
      <c r="E3785" s="7" t="s">
        <v>156</v>
      </c>
      <c r="F3785" s="39" t="n">
        <v>45845</v>
      </c>
      <c r="G3785" s="41" t="n">
        <v>99.96</v>
      </c>
      <c r="H3785" s="39" t="n">
        <v>45850</v>
      </c>
      <c r="I3785" s="7" t="s">
        <v>14651</v>
      </c>
      <c r="J3785" s="8" t="str">
        <f aca="false">IF(I3785="Open",DATE(2025,12,31)-F3785,"-")</f>
        <v>-</v>
      </c>
    </row>
    <row r="3786" customFormat="false" ht="15" hidden="false" customHeight="false" outlineLevel="0" collapsed="false">
      <c r="B3786" s="7" t="s">
        <v>18431</v>
      </c>
      <c r="C3786" s="7" t="s">
        <v>4283</v>
      </c>
      <c r="D3786" s="7" t="s">
        <v>343</v>
      </c>
      <c r="E3786" s="7" t="s">
        <v>154</v>
      </c>
      <c r="F3786" s="39" t="n">
        <v>45845</v>
      </c>
      <c r="G3786" s="41" t="n">
        <v>103.59</v>
      </c>
      <c r="H3786" s="39" t="n">
        <v>45963</v>
      </c>
      <c r="I3786" s="7" t="s">
        <v>14651</v>
      </c>
      <c r="J3786" s="8" t="str">
        <f aca="false">IF(I3786="Open",DATE(2025,12,31)-F3786,"-")</f>
        <v>-</v>
      </c>
    </row>
    <row r="3787" customFormat="false" ht="15" hidden="false" customHeight="false" outlineLevel="0" collapsed="false">
      <c r="B3787" s="7" t="s">
        <v>18432</v>
      </c>
      <c r="C3787" s="7" t="s">
        <v>4284</v>
      </c>
      <c r="D3787" s="7" t="s">
        <v>351</v>
      </c>
      <c r="E3787" s="7" t="s">
        <v>154</v>
      </c>
      <c r="F3787" s="39" t="n">
        <v>45845</v>
      </c>
      <c r="G3787" s="41" t="n">
        <v>86.66</v>
      </c>
      <c r="H3787" s="39" t="n">
        <v>45938</v>
      </c>
      <c r="I3787" s="7" t="s">
        <v>14651</v>
      </c>
      <c r="J3787" s="8" t="str">
        <f aca="false">IF(I3787="Open",DATE(2025,12,31)-F3787,"-")</f>
        <v>-</v>
      </c>
    </row>
    <row r="3788" customFormat="false" ht="15" hidden="false" customHeight="false" outlineLevel="0" collapsed="false">
      <c r="B3788" s="7" t="s">
        <v>18433</v>
      </c>
      <c r="C3788" s="7" t="s">
        <v>4285</v>
      </c>
      <c r="D3788" s="7" t="s">
        <v>353</v>
      </c>
      <c r="E3788" s="7" t="s">
        <v>154</v>
      </c>
      <c r="F3788" s="39" t="n">
        <v>45845</v>
      </c>
      <c r="G3788" s="41" t="n">
        <v>82.26</v>
      </c>
      <c r="H3788" s="39" t="n">
        <v>45862</v>
      </c>
      <c r="I3788" s="7" t="s">
        <v>14651</v>
      </c>
      <c r="J3788" s="8" t="str">
        <f aca="false">IF(I3788="Open",DATE(2025,12,31)-F3788,"-")</f>
        <v>-</v>
      </c>
    </row>
    <row r="3789" customFormat="false" ht="15" hidden="false" customHeight="false" outlineLevel="0" collapsed="false">
      <c r="B3789" s="7" t="s">
        <v>18434</v>
      </c>
      <c r="C3789" s="7" t="s">
        <v>4286</v>
      </c>
      <c r="D3789" s="7" t="s">
        <v>355</v>
      </c>
      <c r="E3789" s="7" t="s">
        <v>154</v>
      </c>
      <c r="F3789" s="39" t="n">
        <v>45845</v>
      </c>
      <c r="G3789" s="41" t="n">
        <v>94.34</v>
      </c>
      <c r="H3789" s="39" t="n">
        <v>45920</v>
      </c>
      <c r="I3789" s="7" t="s">
        <v>14651</v>
      </c>
      <c r="J3789" s="8" t="str">
        <f aca="false">IF(I3789="Open",DATE(2025,12,31)-F3789,"-")</f>
        <v>-</v>
      </c>
    </row>
    <row r="3790" customFormat="false" ht="15" hidden="false" customHeight="false" outlineLevel="0" collapsed="false">
      <c r="B3790" s="7" t="s">
        <v>18435</v>
      </c>
      <c r="C3790" s="7" t="s">
        <v>4287</v>
      </c>
      <c r="D3790" s="7" t="s">
        <v>357</v>
      </c>
      <c r="E3790" s="7" t="s">
        <v>154</v>
      </c>
      <c r="F3790" s="39" t="n">
        <v>45845</v>
      </c>
      <c r="G3790" s="41" t="n">
        <v>89.31</v>
      </c>
      <c r="H3790" s="39" t="n">
        <v>45893</v>
      </c>
      <c r="I3790" s="7" t="s">
        <v>14651</v>
      </c>
      <c r="J3790" s="8" t="str">
        <f aca="false">IF(I3790="Open",DATE(2025,12,31)-F3790,"-")</f>
        <v>-</v>
      </c>
    </row>
    <row r="3791" customFormat="false" ht="15" hidden="false" customHeight="false" outlineLevel="0" collapsed="false">
      <c r="B3791" s="7" t="s">
        <v>18436</v>
      </c>
      <c r="C3791" s="7" t="s">
        <v>4288</v>
      </c>
      <c r="D3791" s="7" t="s">
        <v>359</v>
      </c>
      <c r="E3791" s="7" t="s">
        <v>156</v>
      </c>
      <c r="F3791" s="39" t="n">
        <v>45845</v>
      </c>
      <c r="G3791" s="41" t="n">
        <v>136</v>
      </c>
      <c r="H3791" s="39" t="n">
        <v>45852</v>
      </c>
      <c r="I3791" s="7" t="s">
        <v>14651</v>
      </c>
      <c r="J3791" s="8" t="str">
        <f aca="false">IF(I3791="Open",DATE(2025,12,31)-F3791,"-")</f>
        <v>-</v>
      </c>
    </row>
    <row r="3792" customFormat="false" ht="15" hidden="false" customHeight="false" outlineLevel="0" collapsed="false">
      <c r="B3792" s="7" t="s">
        <v>18437</v>
      </c>
      <c r="C3792" s="7" t="s">
        <v>4289</v>
      </c>
      <c r="D3792" s="7" t="s">
        <v>363</v>
      </c>
      <c r="E3792" s="7" t="s">
        <v>156</v>
      </c>
      <c r="F3792" s="39" t="n">
        <v>45845</v>
      </c>
      <c r="G3792" s="41" t="n">
        <v>128.52</v>
      </c>
      <c r="H3792" s="39" t="n">
        <v>45855</v>
      </c>
      <c r="I3792" s="7" t="s">
        <v>14651</v>
      </c>
      <c r="J3792" s="8" t="str">
        <f aca="false">IF(I3792="Open",DATE(2025,12,31)-F3792,"-")</f>
        <v>-</v>
      </c>
    </row>
    <row r="3793" customFormat="false" ht="15" hidden="false" customHeight="false" outlineLevel="0" collapsed="false">
      <c r="B3793" s="7" t="s">
        <v>18438</v>
      </c>
      <c r="C3793" s="7" t="s">
        <v>4290</v>
      </c>
      <c r="D3793" s="7" t="s">
        <v>365</v>
      </c>
      <c r="E3793" s="7" t="s">
        <v>154</v>
      </c>
      <c r="F3793" s="39" t="n">
        <v>45845</v>
      </c>
      <c r="G3793" s="41" t="n">
        <v>92.8</v>
      </c>
      <c r="H3793" s="39" t="n">
        <v>45903</v>
      </c>
      <c r="I3793" s="7" t="s">
        <v>14651</v>
      </c>
      <c r="J3793" s="8" t="str">
        <f aca="false">IF(I3793="Open",DATE(2025,12,31)-F3793,"-")</f>
        <v>-</v>
      </c>
    </row>
    <row r="3794" customFormat="false" ht="15" hidden="false" customHeight="false" outlineLevel="0" collapsed="false">
      <c r="B3794" s="7" t="s">
        <v>18439</v>
      </c>
      <c r="C3794" s="7" t="s">
        <v>4291</v>
      </c>
      <c r="D3794" s="7" t="s">
        <v>371</v>
      </c>
      <c r="E3794" s="7" t="s">
        <v>154</v>
      </c>
      <c r="F3794" s="39" t="n">
        <v>45845</v>
      </c>
      <c r="G3794" s="41" t="n">
        <v>126.4</v>
      </c>
      <c r="H3794" s="39" t="n">
        <v>45892</v>
      </c>
      <c r="I3794" s="7" t="s">
        <v>14651</v>
      </c>
      <c r="J3794" s="8" t="str">
        <f aca="false">IF(I3794="Open",DATE(2025,12,31)-F3794,"-")</f>
        <v>-</v>
      </c>
    </row>
    <row r="3795" customFormat="false" ht="15" hidden="false" customHeight="false" outlineLevel="0" collapsed="false">
      <c r="B3795" s="7" t="s">
        <v>18440</v>
      </c>
      <c r="C3795" s="7" t="s">
        <v>4292</v>
      </c>
      <c r="D3795" s="7" t="s">
        <v>375</v>
      </c>
      <c r="E3795" s="7" t="s">
        <v>156</v>
      </c>
      <c r="F3795" s="39" t="n">
        <v>45845</v>
      </c>
      <c r="G3795" s="41" t="n">
        <v>103.02</v>
      </c>
      <c r="H3795" s="39" t="n">
        <v>45859</v>
      </c>
      <c r="I3795" s="7" t="s">
        <v>14651</v>
      </c>
      <c r="J3795" s="8" t="str">
        <f aca="false">IF(I3795="Open",DATE(2025,12,31)-F3795,"-")</f>
        <v>-</v>
      </c>
    </row>
    <row r="3796" customFormat="false" ht="15" hidden="false" customHeight="false" outlineLevel="0" collapsed="false">
      <c r="B3796" s="7" t="s">
        <v>18441</v>
      </c>
      <c r="C3796" s="7" t="s">
        <v>4293</v>
      </c>
      <c r="D3796" s="7" t="s">
        <v>377</v>
      </c>
      <c r="E3796" s="7" t="s">
        <v>154</v>
      </c>
      <c r="F3796" s="39" t="n">
        <v>45845</v>
      </c>
      <c r="G3796" s="41" t="n">
        <v>113.42</v>
      </c>
      <c r="H3796" s="39" t="n">
        <v>45902</v>
      </c>
      <c r="I3796" s="7" t="s">
        <v>14651</v>
      </c>
      <c r="J3796" s="8" t="str">
        <f aca="false">IF(I3796="Open",DATE(2025,12,31)-F3796,"-")</f>
        <v>-</v>
      </c>
    </row>
    <row r="3797" customFormat="false" ht="15" hidden="false" customHeight="false" outlineLevel="0" collapsed="false">
      <c r="B3797" s="7" t="s">
        <v>18442</v>
      </c>
      <c r="C3797" s="7" t="s">
        <v>4294</v>
      </c>
      <c r="D3797" s="7" t="s">
        <v>379</v>
      </c>
      <c r="E3797" s="7" t="s">
        <v>156</v>
      </c>
      <c r="F3797" s="39" t="n">
        <v>45845</v>
      </c>
      <c r="G3797" s="41" t="n">
        <v>171.02</v>
      </c>
      <c r="H3797" s="39" t="n">
        <v>45858</v>
      </c>
      <c r="I3797" s="7" t="s">
        <v>14651</v>
      </c>
      <c r="J3797" s="8" t="str">
        <f aca="false">IF(I3797="Open",DATE(2025,12,31)-F3797,"-")</f>
        <v>-</v>
      </c>
    </row>
    <row r="3798" customFormat="false" ht="15" hidden="false" customHeight="false" outlineLevel="0" collapsed="false">
      <c r="B3798" s="7" t="s">
        <v>18443</v>
      </c>
      <c r="C3798" s="7" t="s">
        <v>4295</v>
      </c>
      <c r="D3798" s="7" t="s">
        <v>385</v>
      </c>
      <c r="E3798" s="7" t="s">
        <v>156</v>
      </c>
      <c r="F3798" s="39" t="n">
        <v>45845</v>
      </c>
      <c r="G3798" s="41" t="n">
        <v>141.78</v>
      </c>
      <c r="H3798" s="39" t="n">
        <v>45857</v>
      </c>
      <c r="I3798" s="7" t="s">
        <v>14651</v>
      </c>
      <c r="J3798" s="8" t="str">
        <f aca="false">IF(I3798="Open",DATE(2025,12,31)-F3798,"-")</f>
        <v>-</v>
      </c>
    </row>
    <row r="3799" customFormat="false" ht="15" hidden="false" customHeight="false" outlineLevel="0" collapsed="false">
      <c r="B3799" s="7" t="s">
        <v>18444</v>
      </c>
      <c r="C3799" s="7" t="s">
        <v>4296</v>
      </c>
      <c r="D3799" s="7" t="s">
        <v>389</v>
      </c>
      <c r="E3799" s="7" t="s">
        <v>154</v>
      </c>
      <c r="F3799" s="39" t="n">
        <v>45845</v>
      </c>
      <c r="G3799" s="41" t="n">
        <v>100.97</v>
      </c>
      <c r="H3799" s="39" t="n">
        <v>45944</v>
      </c>
      <c r="I3799" s="7" t="s">
        <v>14651</v>
      </c>
      <c r="J3799" s="8" t="str">
        <f aca="false">IF(I3799="Open",DATE(2025,12,31)-F3799,"-")</f>
        <v>-</v>
      </c>
    </row>
    <row r="3800" customFormat="false" ht="15" hidden="false" customHeight="false" outlineLevel="0" collapsed="false">
      <c r="B3800" s="7" t="s">
        <v>18445</v>
      </c>
      <c r="C3800" s="7" t="s">
        <v>4297</v>
      </c>
      <c r="D3800" s="7" t="s">
        <v>391</v>
      </c>
      <c r="E3800" s="7" t="s">
        <v>156</v>
      </c>
      <c r="F3800" s="39" t="n">
        <v>45845</v>
      </c>
      <c r="G3800" s="41" t="n">
        <v>147.9</v>
      </c>
      <c r="H3800" s="39" t="n">
        <v>45855</v>
      </c>
      <c r="I3800" s="7" t="s">
        <v>14651</v>
      </c>
      <c r="J3800" s="8" t="str">
        <f aca="false">IF(I3800="Open",DATE(2025,12,31)-F3800,"-")</f>
        <v>-</v>
      </c>
    </row>
    <row r="3801" customFormat="false" ht="15" hidden="false" customHeight="false" outlineLevel="0" collapsed="false">
      <c r="B3801" s="7" t="s">
        <v>18446</v>
      </c>
      <c r="C3801" s="7" t="s">
        <v>4298</v>
      </c>
      <c r="D3801" s="7" t="s">
        <v>395</v>
      </c>
      <c r="E3801" s="7" t="s">
        <v>156</v>
      </c>
      <c r="F3801" s="39" t="n">
        <v>45845</v>
      </c>
      <c r="G3801" s="41" t="n">
        <v>148.58</v>
      </c>
      <c r="H3801" s="39" t="n">
        <v>45857</v>
      </c>
      <c r="I3801" s="7" t="s">
        <v>14651</v>
      </c>
      <c r="J3801" s="8" t="str">
        <f aca="false">IF(I3801="Open",DATE(2025,12,31)-F3801,"-")</f>
        <v>-</v>
      </c>
    </row>
    <row r="3802" customFormat="false" ht="15" hidden="false" customHeight="false" outlineLevel="0" collapsed="false">
      <c r="B3802" s="7" t="s">
        <v>18447</v>
      </c>
      <c r="C3802" s="7" t="s">
        <v>4299</v>
      </c>
      <c r="D3802" s="7" t="s">
        <v>399</v>
      </c>
      <c r="E3802" s="7" t="s">
        <v>154</v>
      </c>
      <c r="F3802" s="39" t="n">
        <v>45845</v>
      </c>
      <c r="G3802" s="41" t="n">
        <v>96.99</v>
      </c>
      <c r="H3802" s="39" t="n">
        <v>45939</v>
      </c>
      <c r="I3802" s="7" t="s">
        <v>14651</v>
      </c>
      <c r="J3802" s="8" t="str">
        <f aca="false">IF(I3802="Open",DATE(2025,12,31)-F3802,"-")</f>
        <v>-</v>
      </c>
    </row>
    <row r="3803" customFormat="false" ht="15" hidden="false" customHeight="false" outlineLevel="0" collapsed="false">
      <c r="B3803" s="7" t="s">
        <v>18448</v>
      </c>
      <c r="C3803" s="7" t="s">
        <v>4300</v>
      </c>
      <c r="D3803" s="7" t="s">
        <v>401</v>
      </c>
      <c r="E3803" s="7" t="s">
        <v>156</v>
      </c>
      <c r="F3803" s="39" t="n">
        <v>45845</v>
      </c>
      <c r="G3803" s="41" t="n">
        <v>125.12</v>
      </c>
      <c r="H3803" s="39" t="n">
        <v>45849</v>
      </c>
      <c r="I3803" s="7" t="s">
        <v>14651</v>
      </c>
      <c r="J3803" s="8" t="str">
        <f aca="false">IF(I3803="Open",DATE(2025,12,31)-F3803,"-")</f>
        <v>-</v>
      </c>
    </row>
    <row r="3804" customFormat="false" ht="15" hidden="false" customHeight="false" outlineLevel="0" collapsed="false">
      <c r="B3804" s="7" t="s">
        <v>18449</v>
      </c>
      <c r="C3804" s="7" t="s">
        <v>4301</v>
      </c>
      <c r="D3804" s="7" t="s">
        <v>409</v>
      </c>
      <c r="E3804" s="7" t="s">
        <v>154</v>
      </c>
      <c r="F3804" s="39" t="n">
        <v>45845</v>
      </c>
      <c r="G3804" s="41" t="n">
        <v>89.2</v>
      </c>
      <c r="H3804" s="39" t="n">
        <v>45962</v>
      </c>
      <c r="I3804" s="7" t="s">
        <v>14651</v>
      </c>
      <c r="J3804" s="8" t="str">
        <f aca="false">IF(I3804="Open",DATE(2025,12,31)-F3804,"-")</f>
        <v>-</v>
      </c>
    </row>
    <row r="3805" customFormat="false" ht="15" hidden="false" customHeight="false" outlineLevel="0" collapsed="false">
      <c r="B3805" s="7" t="s">
        <v>18450</v>
      </c>
      <c r="C3805" s="7" t="s">
        <v>4302</v>
      </c>
      <c r="D3805" s="7" t="s">
        <v>411</v>
      </c>
      <c r="E3805" s="7" t="s">
        <v>154</v>
      </c>
      <c r="F3805" s="39" t="n">
        <v>45845</v>
      </c>
      <c r="G3805" s="41" t="n">
        <v>131.7</v>
      </c>
      <c r="H3805" s="39" t="n">
        <v>45948</v>
      </c>
      <c r="I3805" s="7" t="s">
        <v>14651</v>
      </c>
      <c r="J3805" s="8" t="str">
        <f aca="false">IF(I3805="Open",DATE(2025,12,31)-F3805,"-")</f>
        <v>-</v>
      </c>
    </row>
    <row r="3806" customFormat="false" ht="15" hidden="false" customHeight="false" outlineLevel="0" collapsed="false">
      <c r="B3806" s="7" t="s">
        <v>18451</v>
      </c>
      <c r="C3806" s="7" t="s">
        <v>4303</v>
      </c>
      <c r="D3806" s="7" t="s">
        <v>288</v>
      </c>
      <c r="E3806" s="7" t="s">
        <v>156</v>
      </c>
      <c r="F3806" s="39" t="n">
        <v>45846</v>
      </c>
      <c r="G3806" s="41" t="n">
        <v>141.44</v>
      </c>
      <c r="H3806" s="39" t="n">
        <v>45859</v>
      </c>
      <c r="I3806" s="7" t="s">
        <v>14651</v>
      </c>
      <c r="J3806" s="8" t="str">
        <f aca="false">IF(I3806="Open",DATE(2025,12,31)-F3806,"-")</f>
        <v>-</v>
      </c>
    </row>
    <row r="3807" customFormat="false" ht="15" hidden="false" customHeight="false" outlineLevel="0" collapsed="false">
      <c r="B3807" s="7" t="s">
        <v>18452</v>
      </c>
      <c r="C3807" s="7" t="s">
        <v>4304</v>
      </c>
      <c r="D3807" s="7" t="s">
        <v>301</v>
      </c>
      <c r="E3807" s="7" t="s">
        <v>157</v>
      </c>
      <c r="F3807" s="39" t="n">
        <v>45846</v>
      </c>
      <c r="G3807" s="41" t="n">
        <v>166.65</v>
      </c>
      <c r="H3807" s="39" t="n">
        <v>45880</v>
      </c>
      <c r="I3807" s="7" t="s">
        <v>14651</v>
      </c>
      <c r="J3807" s="8" t="str">
        <f aca="false">IF(I3807="Open",DATE(2025,12,31)-F3807,"-")</f>
        <v>-</v>
      </c>
    </row>
    <row r="3808" customFormat="false" ht="15" hidden="false" customHeight="false" outlineLevel="0" collapsed="false">
      <c r="B3808" s="7" t="s">
        <v>18453</v>
      </c>
      <c r="C3808" s="7" t="s">
        <v>4305</v>
      </c>
      <c r="D3808" s="7" t="s">
        <v>313</v>
      </c>
      <c r="E3808" s="7" t="s">
        <v>156</v>
      </c>
      <c r="F3808" s="39" t="n">
        <v>45846</v>
      </c>
      <c r="G3808" s="41" t="n">
        <v>136</v>
      </c>
      <c r="H3808" s="39" t="n">
        <v>45861</v>
      </c>
      <c r="I3808" s="7" t="s">
        <v>14651</v>
      </c>
      <c r="J3808" s="8" t="str">
        <f aca="false">IF(I3808="Open",DATE(2025,12,31)-F3808,"-")</f>
        <v>-</v>
      </c>
    </row>
    <row r="3809" customFormat="false" ht="15" hidden="false" customHeight="false" outlineLevel="0" collapsed="false">
      <c r="B3809" s="7" t="s">
        <v>18454</v>
      </c>
      <c r="C3809" s="7" t="s">
        <v>4306</v>
      </c>
      <c r="D3809" s="7" t="s">
        <v>319</v>
      </c>
      <c r="E3809" s="7" t="s">
        <v>157</v>
      </c>
      <c r="F3809" s="39" t="n">
        <v>45846</v>
      </c>
      <c r="G3809" s="41" t="n">
        <v>153.45</v>
      </c>
      <c r="H3809" s="39" t="n">
        <v>45894</v>
      </c>
      <c r="I3809" s="7" t="s">
        <v>14651</v>
      </c>
      <c r="J3809" s="8" t="str">
        <f aca="false">IF(I3809="Open",DATE(2025,12,31)-F3809,"-")</f>
        <v>-</v>
      </c>
    </row>
    <row r="3810" customFormat="false" ht="15" hidden="false" customHeight="false" outlineLevel="0" collapsed="false">
      <c r="B3810" s="7" t="s">
        <v>18455</v>
      </c>
      <c r="C3810" s="7" t="s">
        <v>4307</v>
      </c>
      <c r="D3810" s="7" t="s">
        <v>321</v>
      </c>
      <c r="E3810" s="7" t="s">
        <v>154</v>
      </c>
      <c r="F3810" s="39" t="n">
        <v>45846</v>
      </c>
      <c r="G3810" s="41" t="n">
        <v>96.72</v>
      </c>
      <c r="H3810" s="39" t="n">
        <v>45890</v>
      </c>
      <c r="I3810" s="7" t="s">
        <v>14651</v>
      </c>
      <c r="J3810" s="8" t="str">
        <f aca="false">IF(I3810="Open",DATE(2025,12,31)-F3810,"-")</f>
        <v>-</v>
      </c>
    </row>
    <row r="3811" customFormat="false" ht="15" hidden="false" customHeight="false" outlineLevel="0" collapsed="false">
      <c r="B3811" s="7" t="s">
        <v>18456</v>
      </c>
      <c r="C3811" s="7" t="s">
        <v>4308</v>
      </c>
      <c r="D3811" s="7" t="s">
        <v>323</v>
      </c>
      <c r="E3811" s="7" t="s">
        <v>159</v>
      </c>
      <c r="F3811" s="39" t="n">
        <v>45846</v>
      </c>
      <c r="G3811" s="41" t="n">
        <v>116.78</v>
      </c>
      <c r="H3811" s="39" t="n">
        <v>45924</v>
      </c>
      <c r="I3811" s="7" t="s">
        <v>14651</v>
      </c>
      <c r="J3811" s="8" t="str">
        <f aca="false">IF(I3811="Open",DATE(2025,12,31)-F3811,"-")</f>
        <v>-</v>
      </c>
    </row>
    <row r="3812" customFormat="false" ht="15" hidden="false" customHeight="false" outlineLevel="0" collapsed="false">
      <c r="B3812" s="7" t="s">
        <v>18457</v>
      </c>
      <c r="C3812" s="7" t="s">
        <v>4309</v>
      </c>
      <c r="D3812" s="7" t="s">
        <v>327</v>
      </c>
      <c r="E3812" s="7" t="s">
        <v>157</v>
      </c>
      <c r="F3812" s="39" t="n">
        <v>45846</v>
      </c>
      <c r="G3812" s="41" t="n">
        <v>171.6</v>
      </c>
      <c r="H3812" s="39" t="n">
        <v>45873</v>
      </c>
      <c r="I3812" s="7" t="s">
        <v>14651</v>
      </c>
      <c r="J3812" s="8" t="str">
        <f aca="false">IF(I3812="Open",DATE(2025,12,31)-F3812,"-")</f>
        <v>-</v>
      </c>
    </row>
    <row r="3813" customFormat="false" ht="15" hidden="false" customHeight="false" outlineLevel="0" collapsed="false">
      <c r="B3813" s="7" t="s">
        <v>18458</v>
      </c>
      <c r="C3813" s="7" t="s">
        <v>4310</v>
      </c>
      <c r="D3813" s="7" t="s">
        <v>329</v>
      </c>
      <c r="E3813" s="7" t="s">
        <v>156</v>
      </c>
      <c r="F3813" s="39" t="n">
        <v>45846</v>
      </c>
      <c r="G3813" s="41" t="n">
        <v>142.12</v>
      </c>
      <c r="H3813" s="39" t="n">
        <v>45853</v>
      </c>
      <c r="I3813" s="7" t="s">
        <v>14651</v>
      </c>
      <c r="J3813" s="8" t="str">
        <f aca="false">IF(I3813="Open",DATE(2025,12,31)-F3813,"-")</f>
        <v>-</v>
      </c>
    </row>
    <row r="3814" customFormat="false" ht="15" hidden="false" customHeight="false" outlineLevel="0" collapsed="false">
      <c r="B3814" s="7" t="s">
        <v>18459</v>
      </c>
      <c r="C3814" s="7" t="s">
        <v>4311</v>
      </c>
      <c r="D3814" s="7" t="s">
        <v>359</v>
      </c>
      <c r="E3814" s="7" t="s">
        <v>156</v>
      </c>
      <c r="F3814" s="39" t="n">
        <v>45846</v>
      </c>
      <c r="G3814" s="41" t="n">
        <v>141.44</v>
      </c>
      <c r="H3814" s="39" t="n">
        <v>45852</v>
      </c>
      <c r="I3814" s="7" t="s">
        <v>14651</v>
      </c>
      <c r="J3814" s="8" t="str">
        <f aca="false">IF(I3814="Open",DATE(2025,12,31)-F3814,"-")</f>
        <v>-</v>
      </c>
    </row>
    <row r="3815" customFormat="false" ht="15" hidden="false" customHeight="false" outlineLevel="0" collapsed="false">
      <c r="B3815" s="7" t="s">
        <v>18460</v>
      </c>
      <c r="C3815" s="7" t="s">
        <v>4312</v>
      </c>
      <c r="D3815" s="7" t="s">
        <v>361</v>
      </c>
      <c r="E3815" s="7" t="s">
        <v>157</v>
      </c>
      <c r="F3815" s="39" t="n">
        <v>45846</v>
      </c>
      <c r="G3815" s="41" t="n">
        <v>163.35</v>
      </c>
      <c r="H3815" s="39" t="n">
        <v>45880</v>
      </c>
      <c r="I3815" s="7" t="s">
        <v>14651</v>
      </c>
      <c r="J3815" s="8" t="str">
        <f aca="false">IF(I3815="Open",DATE(2025,12,31)-F3815,"-")</f>
        <v>-</v>
      </c>
    </row>
    <row r="3816" customFormat="false" ht="15" hidden="false" customHeight="false" outlineLevel="0" collapsed="false">
      <c r="B3816" s="7" t="s">
        <v>18461</v>
      </c>
      <c r="C3816" s="7" t="s">
        <v>4313</v>
      </c>
      <c r="D3816" s="7" t="s">
        <v>365</v>
      </c>
      <c r="E3816" s="7" t="s">
        <v>154</v>
      </c>
      <c r="F3816" s="39" t="n">
        <v>45846</v>
      </c>
      <c r="G3816" s="41" t="n">
        <v>102.29</v>
      </c>
      <c r="H3816" s="39" t="n">
        <v>45928</v>
      </c>
      <c r="I3816" s="7" t="s">
        <v>14651</v>
      </c>
      <c r="J3816" s="8" t="str">
        <f aca="false">IF(I3816="Open",DATE(2025,12,31)-F3816,"-")</f>
        <v>-</v>
      </c>
    </row>
    <row r="3817" customFormat="false" ht="15" hidden="false" customHeight="false" outlineLevel="0" collapsed="false">
      <c r="B3817" s="7" t="s">
        <v>18462</v>
      </c>
      <c r="C3817" s="7" t="s">
        <v>4314</v>
      </c>
      <c r="D3817" s="7" t="s">
        <v>381</v>
      </c>
      <c r="E3817" s="7" t="s">
        <v>157</v>
      </c>
      <c r="F3817" s="39" t="n">
        <v>45846</v>
      </c>
      <c r="G3817" s="41" t="n">
        <v>179.85</v>
      </c>
      <c r="H3817" s="39" t="n">
        <v>45893</v>
      </c>
      <c r="I3817" s="7" t="s">
        <v>14651</v>
      </c>
      <c r="J3817" s="8" t="str">
        <f aca="false">IF(I3817="Open",DATE(2025,12,31)-F3817,"-")</f>
        <v>-</v>
      </c>
    </row>
    <row r="3818" customFormat="false" ht="15" hidden="false" customHeight="false" outlineLevel="0" collapsed="false">
      <c r="B3818" s="7" t="s">
        <v>18463</v>
      </c>
      <c r="C3818" s="7" t="s">
        <v>4315</v>
      </c>
      <c r="D3818" s="7" t="s">
        <v>389</v>
      </c>
      <c r="E3818" s="7" t="s">
        <v>154</v>
      </c>
      <c r="F3818" s="39" t="n">
        <v>45846</v>
      </c>
      <c r="G3818" s="41" t="n">
        <v>106.69</v>
      </c>
      <c r="H3818" s="39" t="n">
        <v>45896</v>
      </c>
      <c r="I3818" s="7" t="s">
        <v>14651</v>
      </c>
      <c r="J3818" s="8" t="str">
        <f aca="false">IF(I3818="Open",DATE(2025,12,31)-F3818,"-")</f>
        <v>-</v>
      </c>
    </row>
    <row r="3819" customFormat="false" ht="15" hidden="false" customHeight="false" outlineLevel="0" collapsed="false">
      <c r="B3819" s="7" t="s">
        <v>18464</v>
      </c>
      <c r="C3819" s="7" t="s">
        <v>4316</v>
      </c>
      <c r="D3819" s="7" t="s">
        <v>391</v>
      </c>
      <c r="E3819" s="7" t="s">
        <v>156</v>
      </c>
      <c r="F3819" s="39" t="n">
        <v>45846</v>
      </c>
      <c r="G3819" s="41" t="n">
        <v>139.06</v>
      </c>
      <c r="H3819" s="39" t="n">
        <v>45860</v>
      </c>
      <c r="I3819" s="7" t="s">
        <v>14651</v>
      </c>
      <c r="J3819" s="8" t="str">
        <f aca="false">IF(I3819="Open",DATE(2025,12,31)-F3819,"-")</f>
        <v>-</v>
      </c>
    </row>
    <row r="3820" customFormat="false" ht="15" hidden="false" customHeight="false" outlineLevel="0" collapsed="false">
      <c r="B3820" s="7" t="s">
        <v>18465</v>
      </c>
      <c r="C3820" s="7" t="s">
        <v>4317</v>
      </c>
      <c r="D3820" s="7" t="s">
        <v>395</v>
      </c>
      <c r="E3820" s="7" t="s">
        <v>156</v>
      </c>
      <c r="F3820" s="39" t="n">
        <v>45846</v>
      </c>
      <c r="G3820" s="41" t="n">
        <v>125.8</v>
      </c>
      <c r="H3820" s="39" t="n">
        <v>45865</v>
      </c>
      <c r="I3820" s="7" t="s">
        <v>14651</v>
      </c>
      <c r="J3820" s="8" t="str">
        <f aca="false">IF(I3820="Open",DATE(2025,12,31)-F3820,"-")</f>
        <v>-</v>
      </c>
    </row>
    <row r="3821" customFormat="false" ht="15" hidden="false" customHeight="false" outlineLevel="0" collapsed="false">
      <c r="B3821" s="7" t="s">
        <v>18466</v>
      </c>
      <c r="C3821" s="7" t="s">
        <v>4318</v>
      </c>
      <c r="D3821" s="7" t="s">
        <v>397</v>
      </c>
      <c r="E3821" s="7" t="s">
        <v>159</v>
      </c>
      <c r="F3821" s="39" t="n">
        <v>45846</v>
      </c>
      <c r="G3821" s="41" t="n">
        <v>136.35</v>
      </c>
      <c r="H3821" s="39" t="n">
        <v>45922</v>
      </c>
      <c r="I3821" s="7" t="s">
        <v>14651</v>
      </c>
      <c r="J3821" s="8" t="str">
        <f aca="false">IF(I3821="Open",DATE(2025,12,31)-F3821,"-")</f>
        <v>-</v>
      </c>
    </row>
    <row r="3822" customFormat="false" ht="15" hidden="false" customHeight="false" outlineLevel="0" collapsed="false">
      <c r="B3822" s="7" t="s">
        <v>18467</v>
      </c>
      <c r="C3822" s="7" t="s">
        <v>4319</v>
      </c>
      <c r="D3822" s="7" t="s">
        <v>401</v>
      </c>
      <c r="E3822" s="7" t="s">
        <v>156</v>
      </c>
      <c r="F3822" s="39" t="n">
        <v>45846</v>
      </c>
      <c r="G3822" s="41" t="n">
        <v>129.2</v>
      </c>
      <c r="H3822" s="39" t="n">
        <v>45857</v>
      </c>
      <c r="I3822" s="7" t="s">
        <v>14651</v>
      </c>
      <c r="J3822" s="8" t="str">
        <f aca="false">IF(I3822="Open",DATE(2025,12,31)-F3822,"-")</f>
        <v>-</v>
      </c>
    </row>
    <row r="3823" customFormat="false" ht="15" hidden="false" customHeight="false" outlineLevel="0" collapsed="false">
      <c r="B3823" s="7" t="s">
        <v>18468</v>
      </c>
      <c r="C3823" s="7" t="s">
        <v>4320</v>
      </c>
      <c r="D3823" s="7" t="s">
        <v>407</v>
      </c>
      <c r="E3823" s="7" t="s">
        <v>159</v>
      </c>
      <c r="F3823" s="39" t="n">
        <v>45846</v>
      </c>
      <c r="G3823" s="41" t="n">
        <v>126.9</v>
      </c>
      <c r="H3823" s="39" t="n">
        <v>45887</v>
      </c>
      <c r="I3823" s="7" t="s">
        <v>14651</v>
      </c>
      <c r="J3823" s="8" t="str">
        <f aca="false">IF(I3823="Open",DATE(2025,12,31)-F3823,"-")</f>
        <v>-</v>
      </c>
    </row>
    <row r="3824" customFormat="false" ht="15" hidden="false" customHeight="false" outlineLevel="0" collapsed="false">
      <c r="B3824" s="7" t="s">
        <v>18469</v>
      </c>
      <c r="C3824" s="7" t="s">
        <v>4321</v>
      </c>
      <c r="D3824" s="7" t="s">
        <v>280</v>
      </c>
      <c r="E3824" s="7" t="s">
        <v>157</v>
      </c>
      <c r="F3824" s="39" t="n">
        <v>45847</v>
      </c>
      <c r="G3824" s="41" t="n">
        <v>156.75</v>
      </c>
      <c r="H3824" s="39" t="n">
        <v>45892</v>
      </c>
      <c r="I3824" s="7" t="s">
        <v>14651</v>
      </c>
      <c r="J3824" s="8" t="str">
        <f aca="false">IF(I3824="Open",DATE(2025,12,31)-F3824,"-")</f>
        <v>-</v>
      </c>
    </row>
    <row r="3825" customFormat="false" ht="15" hidden="false" customHeight="false" outlineLevel="0" collapsed="false">
      <c r="B3825" s="7" t="s">
        <v>18470</v>
      </c>
      <c r="C3825" s="7" t="s">
        <v>4322</v>
      </c>
      <c r="D3825" s="7" t="s">
        <v>288</v>
      </c>
      <c r="E3825" s="7" t="s">
        <v>156</v>
      </c>
      <c r="F3825" s="39" t="n">
        <v>45847</v>
      </c>
      <c r="G3825" s="41" t="n">
        <v>148.24</v>
      </c>
      <c r="H3825" s="39" t="n">
        <v>45860</v>
      </c>
      <c r="I3825" s="7" t="s">
        <v>14651</v>
      </c>
      <c r="J3825" s="8" t="str">
        <f aca="false">IF(I3825="Open",DATE(2025,12,31)-F3825,"-")</f>
        <v>-</v>
      </c>
    </row>
    <row r="3826" customFormat="false" ht="15" hidden="false" customHeight="false" outlineLevel="0" collapsed="false">
      <c r="B3826" s="7" t="s">
        <v>18471</v>
      </c>
      <c r="C3826" s="7" t="s">
        <v>4323</v>
      </c>
      <c r="D3826" s="7" t="s">
        <v>291</v>
      </c>
      <c r="E3826" s="7" t="s">
        <v>154</v>
      </c>
      <c r="F3826" s="39" t="n">
        <v>45847</v>
      </c>
      <c r="G3826" s="41" t="n">
        <v>120.84</v>
      </c>
      <c r="H3826" s="39" t="n">
        <v>45889</v>
      </c>
      <c r="I3826" s="7" t="s">
        <v>14651</v>
      </c>
      <c r="J3826" s="8" t="str">
        <f aca="false">IF(I3826="Open",DATE(2025,12,31)-F3826,"-")</f>
        <v>-</v>
      </c>
    </row>
    <row r="3827" customFormat="false" ht="15" hidden="false" customHeight="false" outlineLevel="0" collapsed="false">
      <c r="B3827" s="7" t="s">
        <v>18472</v>
      </c>
      <c r="C3827" s="7" t="s">
        <v>4324</v>
      </c>
      <c r="D3827" s="7" t="s">
        <v>305</v>
      </c>
      <c r="E3827" s="7" t="s">
        <v>154</v>
      </c>
      <c r="F3827" s="39" t="n">
        <v>45847</v>
      </c>
      <c r="G3827" s="41" t="n">
        <v>99.38</v>
      </c>
      <c r="H3827" s="39" t="n">
        <v>45936</v>
      </c>
      <c r="I3827" s="7" t="s">
        <v>14651</v>
      </c>
      <c r="J3827" s="8" t="str">
        <f aca="false">IF(I3827="Open",DATE(2025,12,31)-F3827,"-")</f>
        <v>-</v>
      </c>
    </row>
    <row r="3828" customFormat="false" ht="15" hidden="false" customHeight="false" outlineLevel="0" collapsed="false">
      <c r="B3828" s="7" t="s">
        <v>18473</v>
      </c>
      <c r="C3828" s="7" t="s">
        <v>4325</v>
      </c>
      <c r="D3828" s="7" t="s">
        <v>307</v>
      </c>
      <c r="E3828" s="7" t="s">
        <v>157</v>
      </c>
      <c r="F3828" s="39" t="n">
        <v>45847</v>
      </c>
      <c r="G3828" s="41" t="n">
        <v>155.1</v>
      </c>
      <c r="H3828" s="39" t="n">
        <v>45939</v>
      </c>
      <c r="I3828" s="7" t="s">
        <v>14651</v>
      </c>
      <c r="J3828" s="8" t="str">
        <f aca="false">IF(I3828="Open",DATE(2025,12,31)-F3828,"-")</f>
        <v>-</v>
      </c>
    </row>
    <row r="3829" customFormat="false" ht="15" hidden="false" customHeight="false" outlineLevel="0" collapsed="false">
      <c r="B3829" s="7" t="s">
        <v>18474</v>
      </c>
      <c r="C3829" s="7" t="s">
        <v>4326</v>
      </c>
      <c r="D3829" s="7" t="s">
        <v>309</v>
      </c>
      <c r="E3829" s="7" t="s">
        <v>159</v>
      </c>
      <c r="F3829" s="39" t="n">
        <v>45847</v>
      </c>
      <c r="G3829" s="41" t="n">
        <v>128.25</v>
      </c>
      <c r="H3829" s="39" t="n">
        <v>45907</v>
      </c>
      <c r="I3829" s="7" t="s">
        <v>14651</v>
      </c>
      <c r="J3829" s="8" t="str">
        <f aca="false">IF(I3829="Open",DATE(2025,12,31)-F3829,"-")</f>
        <v>-</v>
      </c>
    </row>
    <row r="3830" customFormat="false" ht="15" hidden="false" customHeight="false" outlineLevel="0" collapsed="false">
      <c r="B3830" s="7" t="s">
        <v>18475</v>
      </c>
      <c r="C3830" s="7" t="s">
        <v>4327</v>
      </c>
      <c r="D3830" s="7" t="s">
        <v>313</v>
      </c>
      <c r="E3830" s="7" t="s">
        <v>156</v>
      </c>
      <c r="F3830" s="39" t="n">
        <v>45847</v>
      </c>
      <c r="G3830" s="41" t="n">
        <v>140.08</v>
      </c>
      <c r="H3830" s="39" t="n">
        <v>45861</v>
      </c>
      <c r="I3830" s="7" t="s">
        <v>14651</v>
      </c>
      <c r="J3830" s="8" t="str">
        <f aca="false">IF(I3830="Open",DATE(2025,12,31)-F3830,"-")</f>
        <v>-</v>
      </c>
    </row>
    <row r="3831" customFormat="false" ht="15" hidden="false" customHeight="false" outlineLevel="0" collapsed="false">
      <c r="B3831" s="7" t="s">
        <v>18476</v>
      </c>
      <c r="C3831" s="7" t="s">
        <v>4328</v>
      </c>
      <c r="D3831" s="7" t="s">
        <v>321</v>
      </c>
      <c r="E3831" s="7" t="s">
        <v>154</v>
      </c>
      <c r="F3831" s="39" t="n">
        <v>45847</v>
      </c>
      <c r="G3831" s="41" t="n">
        <v>97.52</v>
      </c>
      <c r="H3831" s="39" t="n">
        <v>45926</v>
      </c>
      <c r="I3831" s="7" t="s">
        <v>14651</v>
      </c>
      <c r="J3831" s="8" t="str">
        <f aca="false">IF(I3831="Open",DATE(2025,12,31)-F3831,"-")</f>
        <v>-</v>
      </c>
    </row>
    <row r="3832" customFormat="false" ht="15" hidden="false" customHeight="false" outlineLevel="0" collapsed="false">
      <c r="B3832" s="7" t="s">
        <v>18477</v>
      </c>
      <c r="C3832" s="7" t="s">
        <v>4329</v>
      </c>
      <c r="D3832" s="7" t="s">
        <v>329</v>
      </c>
      <c r="E3832" s="7" t="s">
        <v>156</v>
      </c>
      <c r="F3832" s="39" t="n">
        <v>45847</v>
      </c>
      <c r="G3832" s="41" t="n">
        <v>124.1</v>
      </c>
      <c r="H3832" s="39" t="n">
        <v>45861</v>
      </c>
      <c r="I3832" s="7" t="s">
        <v>14651</v>
      </c>
      <c r="J3832" s="8" t="str">
        <f aca="false">IF(I3832="Open",DATE(2025,12,31)-F3832,"-")</f>
        <v>-</v>
      </c>
    </row>
    <row r="3833" customFormat="false" ht="15" hidden="false" customHeight="false" outlineLevel="0" collapsed="false">
      <c r="B3833" s="7" t="s">
        <v>18478</v>
      </c>
      <c r="C3833" s="7" t="s">
        <v>4330</v>
      </c>
      <c r="D3833" s="7" t="s">
        <v>339</v>
      </c>
      <c r="E3833" s="7" t="s">
        <v>154</v>
      </c>
      <c r="F3833" s="39" t="n">
        <v>45847</v>
      </c>
      <c r="G3833" s="41" t="n">
        <v>79.77</v>
      </c>
      <c r="H3833" s="39" t="n">
        <v>45903</v>
      </c>
      <c r="I3833" s="7" t="s">
        <v>14651</v>
      </c>
      <c r="J3833" s="8" t="str">
        <f aca="false">IF(I3833="Open",DATE(2025,12,31)-F3833,"-")</f>
        <v>-</v>
      </c>
    </row>
    <row r="3834" customFormat="false" ht="15" hidden="false" customHeight="false" outlineLevel="0" collapsed="false">
      <c r="B3834" s="7" t="s">
        <v>18479</v>
      </c>
      <c r="C3834" s="7" t="s">
        <v>4331</v>
      </c>
      <c r="D3834" s="7" t="s">
        <v>353</v>
      </c>
      <c r="E3834" s="7" t="s">
        <v>154</v>
      </c>
      <c r="F3834" s="39" t="n">
        <v>45847</v>
      </c>
      <c r="G3834" s="41" t="n">
        <v>93.55</v>
      </c>
      <c r="H3834" s="39" t="n">
        <v>45899</v>
      </c>
      <c r="I3834" s="7" t="s">
        <v>14651</v>
      </c>
      <c r="J3834" s="8" t="str">
        <f aca="false">IF(I3834="Open",DATE(2025,12,31)-F3834,"-")</f>
        <v>-</v>
      </c>
    </row>
    <row r="3835" customFormat="false" ht="15" hidden="false" customHeight="false" outlineLevel="0" collapsed="false">
      <c r="B3835" s="7" t="s">
        <v>18480</v>
      </c>
      <c r="C3835" s="7" t="s">
        <v>4332</v>
      </c>
      <c r="D3835" s="7" t="s">
        <v>355</v>
      </c>
      <c r="E3835" s="7" t="s">
        <v>154</v>
      </c>
      <c r="F3835" s="39" t="n">
        <v>45847</v>
      </c>
      <c r="G3835" s="41" t="n">
        <v>80.82</v>
      </c>
      <c r="H3835" s="39" t="n">
        <v>45949</v>
      </c>
      <c r="I3835" s="7" t="s">
        <v>14651</v>
      </c>
      <c r="J3835" s="8" t="str">
        <f aca="false">IF(I3835="Open",DATE(2025,12,31)-F3835,"-")</f>
        <v>-</v>
      </c>
    </row>
    <row r="3836" customFormat="false" ht="15" hidden="false" customHeight="false" outlineLevel="0" collapsed="false">
      <c r="B3836" s="7" t="s">
        <v>18481</v>
      </c>
      <c r="C3836" s="7" t="s">
        <v>4333</v>
      </c>
      <c r="D3836" s="7" t="s">
        <v>357</v>
      </c>
      <c r="E3836" s="7" t="s">
        <v>154</v>
      </c>
      <c r="F3836" s="39" t="n">
        <v>45847</v>
      </c>
      <c r="G3836" s="41" t="n">
        <v>88.25</v>
      </c>
      <c r="H3836" s="39" t="n">
        <v>45917</v>
      </c>
      <c r="I3836" s="7" t="s">
        <v>14651</v>
      </c>
      <c r="J3836" s="8" t="str">
        <f aca="false">IF(I3836="Open",DATE(2025,12,31)-F3836,"-")</f>
        <v>-</v>
      </c>
    </row>
    <row r="3837" customFormat="false" ht="15" hidden="false" customHeight="false" outlineLevel="0" collapsed="false">
      <c r="B3837" s="7" t="s">
        <v>18482</v>
      </c>
      <c r="C3837" s="7" t="s">
        <v>4334</v>
      </c>
      <c r="D3837" s="7" t="s">
        <v>359</v>
      </c>
      <c r="E3837" s="7" t="s">
        <v>156</v>
      </c>
      <c r="F3837" s="39" t="n">
        <v>45847</v>
      </c>
      <c r="G3837" s="41" t="n">
        <v>125.12</v>
      </c>
      <c r="H3837" s="39" t="n">
        <v>45860</v>
      </c>
      <c r="I3837" s="7" t="s">
        <v>14651</v>
      </c>
      <c r="J3837" s="8" t="str">
        <f aca="false">IF(I3837="Open",DATE(2025,12,31)-F3837,"-")</f>
        <v>-</v>
      </c>
    </row>
    <row r="3838" customFormat="false" ht="15" hidden="false" customHeight="false" outlineLevel="0" collapsed="false">
      <c r="B3838" s="7" t="s">
        <v>18483</v>
      </c>
      <c r="C3838" s="7" t="s">
        <v>4335</v>
      </c>
      <c r="D3838" s="7" t="s">
        <v>365</v>
      </c>
      <c r="E3838" s="7" t="s">
        <v>154</v>
      </c>
      <c r="F3838" s="39" t="n">
        <v>45847</v>
      </c>
      <c r="G3838" s="41" t="n">
        <v>107.59</v>
      </c>
      <c r="H3838" s="39" t="n">
        <v>45895</v>
      </c>
      <c r="I3838" s="7" t="s">
        <v>14651</v>
      </c>
      <c r="J3838" s="8" t="str">
        <f aca="false">IF(I3838="Open",DATE(2025,12,31)-F3838,"-")</f>
        <v>-</v>
      </c>
    </row>
    <row r="3839" customFormat="false" ht="15" hidden="false" customHeight="false" outlineLevel="0" collapsed="false">
      <c r="B3839" s="7" t="s">
        <v>18484</v>
      </c>
      <c r="C3839" s="7" t="s">
        <v>4336</v>
      </c>
      <c r="D3839" s="7" t="s">
        <v>371</v>
      </c>
      <c r="E3839" s="7" t="s">
        <v>154</v>
      </c>
      <c r="F3839" s="39" t="n">
        <v>45847</v>
      </c>
      <c r="G3839" s="41" t="n">
        <v>129.03</v>
      </c>
      <c r="H3839" s="39" t="n">
        <v>45909</v>
      </c>
      <c r="I3839" s="7" t="s">
        <v>14651</v>
      </c>
      <c r="J3839" s="8" t="str">
        <f aca="false">IF(I3839="Open",DATE(2025,12,31)-F3839,"-")</f>
        <v>-</v>
      </c>
    </row>
    <row r="3840" customFormat="false" ht="15" hidden="false" customHeight="false" outlineLevel="0" collapsed="false">
      <c r="B3840" s="7" t="s">
        <v>18485</v>
      </c>
      <c r="C3840" s="7" t="s">
        <v>4337</v>
      </c>
      <c r="D3840" s="7" t="s">
        <v>379</v>
      </c>
      <c r="E3840" s="7" t="s">
        <v>156</v>
      </c>
      <c r="F3840" s="39" t="n">
        <v>45847</v>
      </c>
      <c r="G3840" s="41" t="n">
        <v>168.64</v>
      </c>
      <c r="H3840" s="39" t="n">
        <v>45859</v>
      </c>
      <c r="I3840" s="7" t="s">
        <v>14651</v>
      </c>
      <c r="J3840" s="8" t="str">
        <f aca="false">IF(I3840="Open",DATE(2025,12,31)-F3840,"-")</f>
        <v>-</v>
      </c>
    </row>
    <row r="3841" customFormat="false" ht="15" hidden="false" customHeight="false" outlineLevel="0" collapsed="false">
      <c r="B3841" s="7" t="s">
        <v>18486</v>
      </c>
      <c r="C3841" s="7" t="s">
        <v>4338</v>
      </c>
      <c r="D3841" s="7" t="s">
        <v>385</v>
      </c>
      <c r="E3841" s="7" t="s">
        <v>156</v>
      </c>
      <c r="F3841" s="39" t="n">
        <v>45847</v>
      </c>
      <c r="G3841" s="41" t="n">
        <v>137.02</v>
      </c>
      <c r="H3841" s="39" t="n">
        <v>45857</v>
      </c>
      <c r="I3841" s="7" t="s">
        <v>14651</v>
      </c>
      <c r="J3841" s="8" t="str">
        <f aca="false">IF(I3841="Open",DATE(2025,12,31)-F3841,"-")</f>
        <v>-</v>
      </c>
    </row>
    <row r="3842" customFormat="false" ht="15" hidden="false" customHeight="false" outlineLevel="0" collapsed="false">
      <c r="B3842" s="7" t="s">
        <v>18487</v>
      </c>
      <c r="C3842" s="7" t="s">
        <v>4339</v>
      </c>
      <c r="D3842" s="7" t="s">
        <v>389</v>
      </c>
      <c r="E3842" s="7" t="s">
        <v>154</v>
      </c>
      <c r="F3842" s="39" t="n">
        <v>45847</v>
      </c>
      <c r="G3842" s="41" t="n">
        <v>112.62</v>
      </c>
      <c r="H3842" s="39" t="n">
        <v>45897</v>
      </c>
      <c r="I3842" s="7" t="s">
        <v>14651</v>
      </c>
      <c r="J3842" s="8" t="str">
        <f aca="false">IF(I3842="Open",DATE(2025,12,31)-F3842,"-")</f>
        <v>-</v>
      </c>
    </row>
    <row r="3843" customFormat="false" ht="15" hidden="false" customHeight="false" outlineLevel="0" collapsed="false">
      <c r="B3843" s="7" t="s">
        <v>18488</v>
      </c>
      <c r="C3843" s="7" t="s">
        <v>4340</v>
      </c>
      <c r="D3843" s="7" t="s">
        <v>391</v>
      </c>
      <c r="E3843" s="7" t="s">
        <v>156</v>
      </c>
      <c r="F3843" s="39" t="n">
        <v>45847</v>
      </c>
      <c r="G3843" s="41" t="n">
        <v>131.92</v>
      </c>
      <c r="H3843" s="39" t="n">
        <v>45864</v>
      </c>
      <c r="I3843" s="7" t="s">
        <v>14651</v>
      </c>
      <c r="J3843" s="8" t="str">
        <f aca="false">IF(I3843="Open",DATE(2025,12,31)-F3843,"-")</f>
        <v>-</v>
      </c>
    </row>
    <row r="3844" customFormat="false" ht="15" hidden="false" customHeight="false" outlineLevel="0" collapsed="false">
      <c r="B3844" s="7" t="s">
        <v>18489</v>
      </c>
      <c r="C3844" s="7" t="s">
        <v>4341</v>
      </c>
      <c r="D3844" s="7" t="s">
        <v>393</v>
      </c>
      <c r="E3844" s="7" t="s">
        <v>157</v>
      </c>
      <c r="F3844" s="39" t="n">
        <v>45847</v>
      </c>
      <c r="G3844" s="41" t="n">
        <v>178.2</v>
      </c>
      <c r="H3844" s="39" t="n">
        <v>45895</v>
      </c>
      <c r="I3844" s="7" t="s">
        <v>14651</v>
      </c>
      <c r="J3844" s="8" t="str">
        <f aca="false">IF(I3844="Open",DATE(2025,12,31)-F3844,"-")</f>
        <v>-</v>
      </c>
    </row>
    <row r="3845" customFormat="false" ht="15" hidden="false" customHeight="false" outlineLevel="0" collapsed="false">
      <c r="B3845" s="7" t="s">
        <v>18490</v>
      </c>
      <c r="C3845" s="7" t="s">
        <v>4342</v>
      </c>
      <c r="D3845" s="7" t="s">
        <v>395</v>
      </c>
      <c r="E3845" s="7" t="s">
        <v>156</v>
      </c>
      <c r="F3845" s="39" t="n">
        <v>45847</v>
      </c>
      <c r="G3845" s="41" t="n">
        <v>149.6</v>
      </c>
      <c r="H3845" s="39" t="n">
        <v>45857</v>
      </c>
      <c r="I3845" s="7" t="s">
        <v>14651</v>
      </c>
      <c r="J3845" s="8" t="str">
        <f aca="false">IF(I3845="Open",DATE(2025,12,31)-F3845,"-")</f>
        <v>-</v>
      </c>
    </row>
    <row r="3846" customFormat="false" ht="15" hidden="false" customHeight="false" outlineLevel="0" collapsed="false">
      <c r="B3846" s="7" t="s">
        <v>18491</v>
      </c>
      <c r="C3846" s="7" t="s">
        <v>4343</v>
      </c>
      <c r="D3846" s="7" t="s">
        <v>399</v>
      </c>
      <c r="E3846" s="7" t="s">
        <v>154</v>
      </c>
      <c r="F3846" s="39" t="n">
        <v>45847</v>
      </c>
      <c r="G3846" s="41" t="n">
        <v>95.93</v>
      </c>
      <c r="H3846" s="39" t="n">
        <v>45883</v>
      </c>
      <c r="I3846" s="7" t="s">
        <v>14651</v>
      </c>
      <c r="J3846" s="8" t="str">
        <f aca="false">IF(I3846="Open",DATE(2025,12,31)-F3846,"-")</f>
        <v>-</v>
      </c>
    </row>
    <row r="3847" customFormat="false" ht="15" hidden="false" customHeight="false" outlineLevel="0" collapsed="false">
      <c r="B3847" s="7" t="s">
        <v>18492</v>
      </c>
      <c r="C3847" s="7" t="s">
        <v>4344</v>
      </c>
      <c r="D3847" s="7" t="s">
        <v>401</v>
      </c>
      <c r="E3847" s="7" t="s">
        <v>156</v>
      </c>
      <c r="F3847" s="39" t="n">
        <v>45847</v>
      </c>
      <c r="G3847" s="41" t="n">
        <v>148.24</v>
      </c>
      <c r="H3847" s="39" t="n">
        <v>45857</v>
      </c>
      <c r="I3847" s="7" t="s">
        <v>14651</v>
      </c>
      <c r="J3847" s="8" t="str">
        <f aca="false">IF(I3847="Open",DATE(2025,12,31)-F3847,"-")</f>
        <v>-</v>
      </c>
    </row>
    <row r="3848" customFormat="false" ht="15" hidden="false" customHeight="false" outlineLevel="0" collapsed="false">
      <c r="B3848" s="7" t="s">
        <v>18493</v>
      </c>
      <c r="C3848" s="7" t="s">
        <v>4345</v>
      </c>
      <c r="D3848" s="7" t="s">
        <v>409</v>
      </c>
      <c r="E3848" s="7" t="s">
        <v>154</v>
      </c>
      <c r="F3848" s="39" t="n">
        <v>45847</v>
      </c>
      <c r="G3848" s="41" t="n">
        <v>83.74</v>
      </c>
      <c r="H3848" s="39" t="n">
        <v>45917</v>
      </c>
      <c r="I3848" s="7" t="s">
        <v>14651</v>
      </c>
      <c r="J3848" s="8" t="str">
        <f aca="false">IF(I3848="Open",DATE(2025,12,31)-F3848,"-")</f>
        <v>-</v>
      </c>
    </row>
    <row r="3849" customFormat="false" ht="15" hidden="false" customHeight="false" outlineLevel="0" collapsed="false">
      <c r="B3849" s="7" t="s">
        <v>18494</v>
      </c>
      <c r="C3849" s="7" t="s">
        <v>4346</v>
      </c>
      <c r="D3849" s="7" t="s">
        <v>411</v>
      </c>
      <c r="E3849" s="7" t="s">
        <v>154</v>
      </c>
      <c r="F3849" s="39" t="n">
        <v>45847</v>
      </c>
      <c r="G3849" s="41" t="n">
        <v>119.78</v>
      </c>
      <c r="H3849" s="39" t="n">
        <v>45884</v>
      </c>
      <c r="I3849" s="7" t="s">
        <v>14651</v>
      </c>
      <c r="J3849" s="8" t="str">
        <f aca="false">IF(I3849="Open",DATE(2025,12,31)-F3849,"-")</f>
        <v>-</v>
      </c>
    </row>
    <row r="3850" customFormat="false" ht="15" hidden="false" customHeight="false" outlineLevel="0" collapsed="false">
      <c r="B3850" s="7" t="s">
        <v>18495</v>
      </c>
      <c r="C3850" s="7" t="s">
        <v>4347</v>
      </c>
      <c r="D3850" s="7" t="s">
        <v>288</v>
      </c>
      <c r="E3850" s="7" t="s">
        <v>156</v>
      </c>
      <c r="F3850" s="39" t="n">
        <v>45848</v>
      </c>
      <c r="G3850" s="41" t="n">
        <v>124.1</v>
      </c>
      <c r="H3850" s="39" t="n">
        <v>45851</v>
      </c>
      <c r="I3850" s="7" t="s">
        <v>14651</v>
      </c>
      <c r="J3850" s="8" t="str">
        <f aca="false">IF(I3850="Open",DATE(2025,12,31)-F3850,"-")</f>
        <v>-</v>
      </c>
    </row>
    <row r="3851" customFormat="false" ht="15" hidden="false" customHeight="false" outlineLevel="0" collapsed="false">
      <c r="B3851" s="7" t="s">
        <v>18496</v>
      </c>
      <c r="C3851" s="7" t="s">
        <v>4348</v>
      </c>
      <c r="D3851" s="7" t="s">
        <v>297</v>
      </c>
      <c r="E3851" s="7" t="s">
        <v>156</v>
      </c>
      <c r="F3851" s="39" t="n">
        <v>45848</v>
      </c>
      <c r="G3851" s="41" t="n">
        <v>110.5</v>
      </c>
      <c r="H3851" s="39" t="n">
        <v>45856</v>
      </c>
      <c r="I3851" s="7" t="s">
        <v>14651</v>
      </c>
      <c r="J3851" s="8" t="str">
        <f aca="false">IF(I3851="Open",DATE(2025,12,31)-F3851,"-")</f>
        <v>-</v>
      </c>
    </row>
    <row r="3852" customFormat="false" ht="15" hidden="false" customHeight="false" outlineLevel="0" collapsed="false">
      <c r="B3852" s="7" t="s">
        <v>18497</v>
      </c>
      <c r="C3852" s="7" t="s">
        <v>4349</v>
      </c>
      <c r="D3852" s="7" t="s">
        <v>311</v>
      </c>
      <c r="E3852" s="7" t="s">
        <v>154</v>
      </c>
      <c r="F3852" s="39" t="n">
        <v>45848</v>
      </c>
      <c r="G3852" s="41" t="n">
        <v>73.14</v>
      </c>
      <c r="H3852" s="39" t="n">
        <v>45935</v>
      </c>
      <c r="I3852" s="7" t="s">
        <v>14651</v>
      </c>
      <c r="J3852" s="8" t="str">
        <f aca="false">IF(I3852="Open",DATE(2025,12,31)-F3852,"-")</f>
        <v>-</v>
      </c>
    </row>
    <row r="3853" customFormat="false" ht="15" hidden="false" customHeight="false" outlineLevel="0" collapsed="false">
      <c r="B3853" s="7" t="s">
        <v>18498</v>
      </c>
      <c r="C3853" s="7" t="s">
        <v>4350</v>
      </c>
      <c r="D3853" s="7" t="s">
        <v>313</v>
      </c>
      <c r="E3853" s="7" t="s">
        <v>156</v>
      </c>
      <c r="F3853" s="39" t="n">
        <v>45848</v>
      </c>
      <c r="G3853" s="41" t="n">
        <v>131.24</v>
      </c>
      <c r="H3853" s="39" t="n">
        <v>45866</v>
      </c>
      <c r="I3853" s="7" t="s">
        <v>14651</v>
      </c>
      <c r="J3853" s="8" t="str">
        <f aca="false">IF(I3853="Open",DATE(2025,12,31)-F3853,"-")</f>
        <v>-</v>
      </c>
    </row>
    <row r="3854" customFormat="false" ht="15" hidden="false" customHeight="false" outlineLevel="0" collapsed="false">
      <c r="B3854" s="7" t="s">
        <v>18499</v>
      </c>
      <c r="C3854" s="7" t="s">
        <v>4351</v>
      </c>
      <c r="D3854" s="7" t="s">
        <v>317</v>
      </c>
      <c r="E3854" s="7" t="s">
        <v>156</v>
      </c>
      <c r="F3854" s="39" t="n">
        <v>45848</v>
      </c>
      <c r="G3854" s="41" t="n">
        <v>102.68</v>
      </c>
      <c r="H3854" s="39" t="n">
        <v>45864</v>
      </c>
      <c r="I3854" s="7" t="s">
        <v>14651</v>
      </c>
      <c r="J3854" s="8" t="str">
        <f aca="false">IF(I3854="Open",DATE(2025,12,31)-F3854,"-")</f>
        <v>-</v>
      </c>
    </row>
    <row r="3855" customFormat="false" ht="15" hidden="false" customHeight="false" outlineLevel="0" collapsed="false">
      <c r="B3855" s="7" t="s">
        <v>18500</v>
      </c>
      <c r="C3855" s="7" t="s">
        <v>4352</v>
      </c>
      <c r="D3855" s="7" t="s">
        <v>321</v>
      </c>
      <c r="E3855" s="7" t="s">
        <v>154</v>
      </c>
      <c r="F3855" s="39" t="n">
        <v>45848</v>
      </c>
      <c r="G3855" s="41" t="n">
        <v>99.64</v>
      </c>
      <c r="H3855" s="39" t="n">
        <v>45950</v>
      </c>
      <c r="I3855" s="7" t="s">
        <v>14651</v>
      </c>
      <c r="J3855" s="8" t="str">
        <f aca="false">IF(I3855="Open",DATE(2025,12,31)-F3855,"-")</f>
        <v>-</v>
      </c>
    </row>
    <row r="3856" customFormat="false" ht="15" hidden="false" customHeight="false" outlineLevel="0" collapsed="false">
      <c r="B3856" s="7" t="s">
        <v>18501</v>
      </c>
      <c r="C3856" s="7" t="s">
        <v>4353</v>
      </c>
      <c r="D3856" s="7" t="s">
        <v>325</v>
      </c>
      <c r="E3856" s="7" t="s">
        <v>154</v>
      </c>
      <c r="F3856" s="39" t="n">
        <v>45848</v>
      </c>
      <c r="G3856" s="41" t="n">
        <v>74.73</v>
      </c>
      <c r="H3856" s="39" t="n">
        <v>45945</v>
      </c>
      <c r="I3856" s="7" t="s">
        <v>14651</v>
      </c>
      <c r="J3856" s="8" t="str">
        <f aca="false">IF(I3856="Open",DATE(2025,12,31)-F3856,"-")</f>
        <v>-</v>
      </c>
    </row>
    <row r="3857" customFormat="false" ht="15" hidden="false" customHeight="false" outlineLevel="0" collapsed="false">
      <c r="B3857" s="7" t="s">
        <v>18502</v>
      </c>
      <c r="C3857" s="7" t="s">
        <v>4354</v>
      </c>
      <c r="D3857" s="7" t="s">
        <v>329</v>
      </c>
      <c r="E3857" s="7" t="s">
        <v>156</v>
      </c>
      <c r="F3857" s="39" t="n">
        <v>45848</v>
      </c>
      <c r="G3857" s="41" t="n">
        <v>132.6</v>
      </c>
      <c r="H3857" s="39" t="n">
        <v>45863</v>
      </c>
      <c r="I3857" s="7" t="s">
        <v>14651</v>
      </c>
      <c r="J3857" s="8" t="str">
        <f aca="false">IF(I3857="Open",DATE(2025,12,31)-F3857,"-")</f>
        <v>-</v>
      </c>
    </row>
    <row r="3858" customFormat="false" ht="15" hidden="false" customHeight="false" outlineLevel="0" collapsed="false">
      <c r="B3858" s="7" t="s">
        <v>18503</v>
      </c>
      <c r="C3858" s="7" t="s">
        <v>4355</v>
      </c>
      <c r="D3858" s="7" t="s">
        <v>331</v>
      </c>
      <c r="E3858" s="7" t="s">
        <v>156</v>
      </c>
      <c r="F3858" s="39" t="n">
        <v>45848</v>
      </c>
      <c r="G3858" s="41" t="n">
        <v>131.24</v>
      </c>
      <c r="H3858" s="39" t="n">
        <v>45859</v>
      </c>
      <c r="I3858" s="7" t="s">
        <v>14651</v>
      </c>
      <c r="J3858" s="8" t="str">
        <f aca="false">IF(I3858="Open",DATE(2025,12,31)-F3858,"-")</f>
        <v>-</v>
      </c>
    </row>
    <row r="3859" customFormat="false" ht="15" hidden="false" customHeight="false" outlineLevel="0" collapsed="false">
      <c r="B3859" s="7" t="s">
        <v>18504</v>
      </c>
      <c r="C3859" s="7" t="s">
        <v>4356</v>
      </c>
      <c r="D3859" s="7" t="s">
        <v>337</v>
      </c>
      <c r="E3859" s="7" t="s">
        <v>154</v>
      </c>
      <c r="F3859" s="39" t="n">
        <v>45848</v>
      </c>
      <c r="G3859" s="41" t="n">
        <v>79.5</v>
      </c>
      <c r="H3859" s="39" t="n">
        <v>45912</v>
      </c>
      <c r="I3859" s="7" t="s">
        <v>14651</v>
      </c>
      <c r="J3859" s="8" t="str">
        <f aca="false">IF(I3859="Open",DATE(2025,12,31)-F3859,"-")</f>
        <v>-</v>
      </c>
    </row>
    <row r="3860" customFormat="false" ht="15" hidden="false" customHeight="false" outlineLevel="0" collapsed="false">
      <c r="B3860" s="7" t="s">
        <v>18505</v>
      </c>
      <c r="C3860" s="7" t="s">
        <v>4357</v>
      </c>
      <c r="D3860" s="7" t="s">
        <v>341</v>
      </c>
      <c r="E3860" s="7" t="s">
        <v>156</v>
      </c>
      <c r="F3860" s="39" t="n">
        <v>45848</v>
      </c>
      <c r="G3860" s="41" t="n">
        <v>105.74</v>
      </c>
      <c r="H3860" s="39" t="n">
        <v>45865</v>
      </c>
      <c r="I3860" s="7" t="s">
        <v>14651</v>
      </c>
      <c r="J3860" s="8" t="str">
        <f aca="false">IF(I3860="Open",DATE(2025,12,31)-F3860,"-")</f>
        <v>-</v>
      </c>
    </row>
    <row r="3861" customFormat="false" ht="15" hidden="false" customHeight="false" outlineLevel="0" collapsed="false">
      <c r="B3861" s="7" t="s">
        <v>18506</v>
      </c>
      <c r="C3861" s="7" t="s">
        <v>4358</v>
      </c>
      <c r="D3861" s="7" t="s">
        <v>343</v>
      </c>
      <c r="E3861" s="7" t="s">
        <v>154</v>
      </c>
      <c r="F3861" s="39" t="n">
        <v>45848</v>
      </c>
      <c r="G3861" s="41" t="n">
        <v>99.38</v>
      </c>
      <c r="H3861" s="39" t="n">
        <v>45898</v>
      </c>
      <c r="I3861" s="7" t="s">
        <v>14651</v>
      </c>
      <c r="J3861" s="8" t="str">
        <f aca="false">IF(I3861="Open",DATE(2025,12,31)-F3861,"-")</f>
        <v>-</v>
      </c>
    </row>
    <row r="3862" customFormat="false" ht="15" hidden="false" customHeight="false" outlineLevel="0" collapsed="false">
      <c r="B3862" s="7" t="s">
        <v>18507</v>
      </c>
      <c r="C3862" s="7" t="s">
        <v>4359</v>
      </c>
      <c r="D3862" s="7" t="s">
        <v>351</v>
      </c>
      <c r="E3862" s="7" t="s">
        <v>154</v>
      </c>
      <c r="F3862" s="39" t="n">
        <v>45848</v>
      </c>
      <c r="G3862" s="41" t="n">
        <v>74.28</v>
      </c>
      <c r="H3862" s="39" t="n">
        <v>45929</v>
      </c>
      <c r="I3862" s="7" t="s">
        <v>14651</v>
      </c>
      <c r="J3862" s="8" t="str">
        <f aca="false">IF(I3862="Open",DATE(2025,12,31)-F3862,"-")</f>
        <v>-</v>
      </c>
    </row>
    <row r="3863" customFormat="false" ht="15" hidden="false" customHeight="false" outlineLevel="0" collapsed="false">
      <c r="B3863" s="7" t="s">
        <v>18508</v>
      </c>
      <c r="C3863" s="7" t="s">
        <v>4360</v>
      </c>
      <c r="D3863" s="7" t="s">
        <v>359</v>
      </c>
      <c r="E3863" s="7" t="s">
        <v>156</v>
      </c>
      <c r="F3863" s="39" t="n">
        <v>45848</v>
      </c>
      <c r="G3863" s="41" t="n">
        <v>148.58</v>
      </c>
      <c r="H3863" s="39" t="n">
        <v>45869</v>
      </c>
      <c r="I3863" s="7" t="s">
        <v>14651</v>
      </c>
      <c r="J3863" s="8" t="str">
        <f aca="false">IF(I3863="Open",DATE(2025,12,31)-F3863,"-")</f>
        <v>-</v>
      </c>
    </row>
    <row r="3864" customFormat="false" ht="15" hidden="false" customHeight="false" outlineLevel="0" collapsed="false">
      <c r="B3864" s="7" t="s">
        <v>18509</v>
      </c>
      <c r="C3864" s="7" t="s">
        <v>4361</v>
      </c>
      <c r="D3864" s="7" t="s">
        <v>363</v>
      </c>
      <c r="E3864" s="7" t="s">
        <v>156</v>
      </c>
      <c r="F3864" s="39" t="n">
        <v>45848</v>
      </c>
      <c r="G3864" s="41" t="n">
        <v>123.76</v>
      </c>
      <c r="H3864" s="39" t="n">
        <v>45855</v>
      </c>
      <c r="I3864" s="7" t="s">
        <v>14651</v>
      </c>
      <c r="J3864" s="8" t="str">
        <f aca="false">IF(I3864="Open",DATE(2025,12,31)-F3864,"-")</f>
        <v>-</v>
      </c>
    </row>
    <row r="3865" customFormat="false" ht="15" hidden="false" customHeight="false" outlineLevel="0" collapsed="false">
      <c r="B3865" s="7" t="s">
        <v>18510</v>
      </c>
      <c r="C3865" s="7" t="s">
        <v>4362</v>
      </c>
      <c r="D3865" s="7" t="s">
        <v>365</v>
      </c>
      <c r="E3865" s="7" t="s">
        <v>154</v>
      </c>
      <c r="F3865" s="39" t="n">
        <v>45848</v>
      </c>
      <c r="G3865" s="41" t="n">
        <v>111.04</v>
      </c>
      <c r="H3865" s="39" t="n">
        <v>45909</v>
      </c>
      <c r="I3865" s="7" t="s">
        <v>14651</v>
      </c>
      <c r="J3865" s="8" t="str">
        <f aca="false">IF(I3865="Open",DATE(2025,12,31)-F3865,"-")</f>
        <v>-</v>
      </c>
    </row>
    <row r="3866" customFormat="false" ht="15" hidden="false" customHeight="false" outlineLevel="0" collapsed="false">
      <c r="B3866" s="7" t="s">
        <v>18511</v>
      </c>
      <c r="C3866" s="7" t="s">
        <v>4363</v>
      </c>
      <c r="D3866" s="7" t="s">
        <v>375</v>
      </c>
      <c r="E3866" s="7" t="s">
        <v>156</v>
      </c>
      <c r="F3866" s="39" t="n">
        <v>45848</v>
      </c>
      <c r="G3866" s="41" t="n">
        <v>99.28</v>
      </c>
      <c r="H3866" s="39" t="n">
        <v>45866</v>
      </c>
      <c r="I3866" s="7" t="s">
        <v>14651</v>
      </c>
      <c r="J3866" s="8" t="str">
        <f aca="false">IF(I3866="Open",DATE(2025,12,31)-F3866,"-")</f>
        <v>-</v>
      </c>
    </row>
    <row r="3867" customFormat="false" ht="15" hidden="false" customHeight="false" outlineLevel="0" collapsed="false">
      <c r="B3867" s="7" t="s">
        <v>18512</v>
      </c>
      <c r="C3867" s="7" t="s">
        <v>4364</v>
      </c>
      <c r="D3867" s="7" t="s">
        <v>377</v>
      </c>
      <c r="E3867" s="7" t="s">
        <v>154</v>
      </c>
      <c r="F3867" s="39" t="n">
        <v>45848</v>
      </c>
      <c r="G3867" s="41" t="n">
        <v>97.52</v>
      </c>
      <c r="H3867" s="39" t="n">
        <v>45947</v>
      </c>
      <c r="I3867" s="7" t="s">
        <v>14651</v>
      </c>
      <c r="J3867" s="8" t="str">
        <f aca="false">IF(I3867="Open",DATE(2025,12,31)-F3867,"-")</f>
        <v>-</v>
      </c>
    </row>
    <row r="3868" customFormat="false" ht="15" hidden="false" customHeight="false" outlineLevel="0" collapsed="false">
      <c r="B3868" s="7" t="s">
        <v>18513</v>
      </c>
      <c r="C3868" s="7" t="s">
        <v>4365</v>
      </c>
      <c r="D3868" s="7" t="s">
        <v>389</v>
      </c>
      <c r="E3868" s="7" t="s">
        <v>154</v>
      </c>
      <c r="F3868" s="39" t="n">
        <v>45848</v>
      </c>
      <c r="G3868" s="41" t="n">
        <v>110.5</v>
      </c>
      <c r="H3868" s="39" t="n">
        <v>45911</v>
      </c>
      <c r="I3868" s="7" t="s">
        <v>14651</v>
      </c>
      <c r="J3868" s="8" t="str">
        <f aca="false">IF(I3868="Open",DATE(2025,12,31)-F3868,"-")</f>
        <v>-</v>
      </c>
    </row>
    <row r="3869" customFormat="false" ht="15" hidden="false" customHeight="false" outlineLevel="0" collapsed="false">
      <c r="B3869" s="7" t="s">
        <v>18514</v>
      </c>
      <c r="C3869" s="7" t="s">
        <v>4366</v>
      </c>
      <c r="D3869" s="7" t="s">
        <v>391</v>
      </c>
      <c r="E3869" s="7" t="s">
        <v>156</v>
      </c>
      <c r="F3869" s="39" t="n">
        <v>45848</v>
      </c>
      <c r="G3869" s="41" t="n">
        <v>128.18</v>
      </c>
      <c r="H3869" s="39" t="n">
        <v>45863</v>
      </c>
      <c r="I3869" s="7" t="s">
        <v>14651</v>
      </c>
      <c r="J3869" s="8" t="str">
        <f aca="false">IF(I3869="Open",DATE(2025,12,31)-F3869,"-")</f>
        <v>-</v>
      </c>
    </row>
    <row r="3870" customFormat="false" ht="15" hidden="false" customHeight="false" outlineLevel="0" collapsed="false">
      <c r="B3870" s="7" t="s">
        <v>18515</v>
      </c>
      <c r="C3870" s="7" t="s">
        <v>4367</v>
      </c>
      <c r="D3870" s="7" t="s">
        <v>395</v>
      </c>
      <c r="E3870" s="7" t="s">
        <v>156</v>
      </c>
      <c r="F3870" s="39" t="n">
        <v>45848</v>
      </c>
      <c r="G3870" s="41" t="n">
        <v>147.56</v>
      </c>
      <c r="H3870" s="39" t="n">
        <v>45857</v>
      </c>
      <c r="I3870" s="7" t="s">
        <v>14651</v>
      </c>
      <c r="J3870" s="8" t="str">
        <f aca="false">IF(I3870="Open",DATE(2025,12,31)-F3870,"-")</f>
        <v>-</v>
      </c>
    </row>
    <row r="3871" customFormat="false" ht="15" hidden="false" customHeight="false" outlineLevel="0" collapsed="false">
      <c r="B3871" s="7" t="s">
        <v>18516</v>
      </c>
      <c r="C3871" s="7" t="s">
        <v>4368</v>
      </c>
      <c r="D3871" s="7" t="s">
        <v>280</v>
      </c>
      <c r="E3871" s="7" t="s">
        <v>157</v>
      </c>
      <c r="F3871" s="39" t="n">
        <v>45849</v>
      </c>
      <c r="G3871" s="41" t="n">
        <v>169.95</v>
      </c>
      <c r="H3871" s="39" t="n">
        <v>45920</v>
      </c>
      <c r="I3871" s="7" t="s">
        <v>14651</v>
      </c>
      <c r="J3871" s="8" t="str">
        <f aca="false">IF(I3871="Open",DATE(2025,12,31)-F3871,"-")</f>
        <v>-</v>
      </c>
    </row>
    <row r="3872" customFormat="false" ht="15" hidden="false" customHeight="false" outlineLevel="0" collapsed="false">
      <c r="B3872" s="7" t="s">
        <v>18517</v>
      </c>
      <c r="C3872" s="7" t="s">
        <v>4369</v>
      </c>
      <c r="D3872" s="7" t="s">
        <v>288</v>
      </c>
      <c r="E3872" s="7" t="s">
        <v>156</v>
      </c>
      <c r="F3872" s="39" t="n">
        <v>45849</v>
      </c>
      <c r="G3872" s="41" t="n">
        <v>127.16</v>
      </c>
      <c r="H3872" s="39" t="n">
        <v>45857</v>
      </c>
      <c r="I3872" s="7" t="s">
        <v>14651</v>
      </c>
      <c r="J3872" s="8" t="str">
        <f aca="false">IF(I3872="Open",DATE(2025,12,31)-F3872,"-")</f>
        <v>-</v>
      </c>
    </row>
    <row r="3873" customFormat="false" ht="15" hidden="false" customHeight="false" outlineLevel="0" collapsed="false">
      <c r="B3873" s="7" t="s">
        <v>18518</v>
      </c>
      <c r="C3873" s="7" t="s">
        <v>4370</v>
      </c>
      <c r="D3873" s="7" t="s">
        <v>291</v>
      </c>
      <c r="E3873" s="7" t="s">
        <v>154</v>
      </c>
      <c r="F3873" s="39" t="n">
        <v>45849</v>
      </c>
      <c r="G3873" s="41" t="n">
        <v>128.02</v>
      </c>
      <c r="H3873" s="39" t="n">
        <v>45901</v>
      </c>
      <c r="I3873" s="7" t="s">
        <v>14651</v>
      </c>
      <c r="J3873" s="8" t="str">
        <f aca="false">IF(I3873="Open",DATE(2025,12,31)-F3873,"-")</f>
        <v>-</v>
      </c>
    </row>
    <row r="3874" customFormat="false" ht="15" hidden="false" customHeight="false" outlineLevel="0" collapsed="false">
      <c r="B3874" s="7" t="s">
        <v>18519</v>
      </c>
      <c r="C3874" s="7" t="s">
        <v>4371</v>
      </c>
      <c r="D3874" s="7" t="s">
        <v>301</v>
      </c>
      <c r="E3874" s="7" t="s">
        <v>157</v>
      </c>
      <c r="F3874" s="39" t="n">
        <v>45849</v>
      </c>
      <c r="G3874" s="41" t="n">
        <v>156.75</v>
      </c>
      <c r="H3874" s="39" t="n">
        <v>45941</v>
      </c>
      <c r="I3874" s="7" t="s">
        <v>14651</v>
      </c>
      <c r="J3874" s="8" t="str">
        <f aca="false">IF(I3874="Open",DATE(2025,12,31)-F3874,"-")</f>
        <v>-</v>
      </c>
    </row>
    <row r="3875" customFormat="false" ht="15" hidden="false" customHeight="false" outlineLevel="0" collapsed="false">
      <c r="B3875" s="7" t="s">
        <v>18520</v>
      </c>
      <c r="C3875" s="7" t="s">
        <v>4372</v>
      </c>
      <c r="D3875" s="7" t="s">
        <v>305</v>
      </c>
      <c r="E3875" s="7" t="s">
        <v>154</v>
      </c>
      <c r="F3875" s="39" t="n">
        <v>45849</v>
      </c>
      <c r="G3875" s="41" t="n">
        <v>104.41</v>
      </c>
      <c r="H3875" s="39" t="n">
        <v>45906</v>
      </c>
      <c r="I3875" s="7" t="s">
        <v>14651</v>
      </c>
      <c r="J3875" s="8" t="str">
        <f aca="false">IF(I3875="Open",DATE(2025,12,31)-F3875,"-")</f>
        <v>-</v>
      </c>
    </row>
    <row r="3876" customFormat="false" ht="15" hidden="false" customHeight="false" outlineLevel="0" collapsed="false">
      <c r="B3876" s="7" t="s">
        <v>18521</v>
      </c>
      <c r="C3876" s="7" t="s">
        <v>4373</v>
      </c>
      <c r="D3876" s="7" t="s">
        <v>307</v>
      </c>
      <c r="E3876" s="7" t="s">
        <v>157</v>
      </c>
      <c r="F3876" s="39" t="n">
        <v>45849</v>
      </c>
      <c r="G3876" s="41" t="n">
        <v>169.95</v>
      </c>
      <c r="H3876" s="39" t="n">
        <v>45935</v>
      </c>
      <c r="I3876" s="7" t="s">
        <v>14651</v>
      </c>
      <c r="J3876" s="8" t="str">
        <f aca="false">IF(I3876="Open",DATE(2025,12,31)-F3876,"-")</f>
        <v>-</v>
      </c>
    </row>
    <row r="3877" customFormat="false" ht="15" hidden="false" customHeight="false" outlineLevel="0" collapsed="false">
      <c r="B3877" s="7" t="s">
        <v>18522</v>
      </c>
      <c r="C3877" s="7" t="s">
        <v>4374</v>
      </c>
      <c r="D3877" s="7" t="s">
        <v>309</v>
      </c>
      <c r="E3877" s="7" t="s">
        <v>159</v>
      </c>
      <c r="F3877" s="39" t="n">
        <v>45849</v>
      </c>
      <c r="G3877" s="41" t="n">
        <v>141.75</v>
      </c>
      <c r="H3877" s="39" t="n">
        <v>45909</v>
      </c>
      <c r="I3877" s="7" t="s">
        <v>14651</v>
      </c>
      <c r="J3877" s="8" t="str">
        <f aca="false">IF(I3877="Open",DATE(2025,12,31)-F3877,"-")</f>
        <v>-</v>
      </c>
    </row>
    <row r="3878" customFormat="false" ht="15" hidden="false" customHeight="false" outlineLevel="0" collapsed="false">
      <c r="B3878" s="7" t="s">
        <v>18523</v>
      </c>
      <c r="C3878" s="7" t="s">
        <v>4375</v>
      </c>
      <c r="D3878" s="7" t="s">
        <v>313</v>
      </c>
      <c r="E3878" s="7" t="s">
        <v>156</v>
      </c>
      <c r="F3878" s="39" t="n">
        <v>45849</v>
      </c>
      <c r="G3878" s="41" t="n">
        <v>133.62</v>
      </c>
      <c r="H3878" s="39" t="n">
        <v>45862</v>
      </c>
      <c r="I3878" s="7" t="s">
        <v>14651</v>
      </c>
      <c r="J3878" s="8" t="str">
        <f aca="false">IF(I3878="Open",DATE(2025,12,31)-F3878,"-")</f>
        <v>-</v>
      </c>
    </row>
    <row r="3879" customFormat="false" ht="15" hidden="false" customHeight="false" outlineLevel="0" collapsed="false">
      <c r="B3879" s="7" t="s">
        <v>18524</v>
      </c>
      <c r="C3879" s="7" t="s">
        <v>4376</v>
      </c>
      <c r="D3879" s="7" t="s">
        <v>319</v>
      </c>
      <c r="E3879" s="7" t="s">
        <v>157</v>
      </c>
      <c r="F3879" s="39" t="n">
        <v>45849</v>
      </c>
      <c r="G3879" s="41" t="n">
        <v>178.2</v>
      </c>
      <c r="H3879" s="39" t="n">
        <v>45945</v>
      </c>
      <c r="I3879" s="7" t="s">
        <v>14651</v>
      </c>
      <c r="J3879" s="8" t="str">
        <f aca="false">IF(I3879="Open",DATE(2025,12,31)-F3879,"-")</f>
        <v>-</v>
      </c>
    </row>
    <row r="3880" customFormat="false" ht="15" hidden="false" customHeight="false" outlineLevel="0" collapsed="false">
      <c r="B3880" s="7" t="s">
        <v>18525</v>
      </c>
      <c r="C3880" s="7" t="s">
        <v>4377</v>
      </c>
      <c r="D3880" s="7" t="s">
        <v>321</v>
      </c>
      <c r="E3880" s="7" t="s">
        <v>154</v>
      </c>
      <c r="F3880" s="39" t="n">
        <v>45849</v>
      </c>
      <c r="G3880" s="41" t="n">
        <v>108.12</v>
      </c>
      <c r="H3880" s="39" t="n">
        <v>45968</v>
      </c>
      <c r="I3880" s="7" t="s">
        <v>14651</v>
      </c>
      <c r="J3880" s="8" t="str">
        <f aca="false">IF(I3880="Open",DATE(2025,12,31)-F3880,"-")</f>
        <v>-</v>
      </c>
    </row>
    <row r="3881" customFormat="false" ht="15" hidden="false" customHeight="false" outlineLevel="0" collapsed="false">
      <c r="B3881" s="7" t="s">
        <v>18526</v>
      </c>
      <c r="C3881" s="7" t="s">
        <v>4378</v>
      </c>
      <c r="D3881" s="7" t="s">
        <v>323</v>
      </c>
      <c r="E3881" s="7" t="s">
        <v>159</v>
      </c>
      <c r="F3881" s="39" t="n">
        <v>45849</v>
      </c>
      <c r="G3881" s="41" t="n">
        <v>140.4</v>
      </c>
      <c r="H3881" s="39" t="n">
        <v>45878</v>
      </c>
      <c r="I3881" s="7" t="s">
        <v>14651</v>
      </c>
      <c r="J3881" s="8" t="str">
        <f aca="false">IF(I3881="Open",DATE(2025,12,31)-F3881,"-")</f>
        <v>-</v>
      </c>
    </row>
    <row r="3882" customFormat="false" ht="15" hidden="false" customHeight="false" outlineLevel="0" collapsed="false">
      <c r="B3882" s="7" t="s">
        <v>18527</v>
      </c>
      <c r="C3882" s="7" t="s">
        <v>4379</v>
      </c>
      <c r="D3882" s="7" t="s">
        <v>327</v>
      </c>
      <c r="E3882" s="7" t="s">
        <v>157</v>
      </c>
      <c r="F3882" s="39" t="n">
        <v>45849</v>
      </c>
      <c r="G3882" s="41" t="n">
        <v>147.34</v>
      </c>
      <c r="H3882" s="39" t="n">
        <v>45885</v>
      </c>
      <c r="I3882" s="7" t="s">
        <v>14651</v>
      </c>
      <c r="J3882" s="8" t="str">
        <f aca="false">IF(I3882="Open",DATE(2025,12,31)-F3882,"-")</f>
        <v>-</v>
      </c>
    </row>
    <row r="3883" customFormat="false" ht="15" hidden="false" customHeight="false" outlineLevel="0" collapsed="false">
      <c r="B3883" s="7" t="s">
        <v>18528</v>
      </c>
      <c r="C3883" s="7" t="s">
        <v>4380</v>
      </c>
      <c r="D3883" s="7" t="s">
        <v>329</v>
      </c>
      <c r="E3883" s="7" t="s">
        <v>156</v>
      </c>
      <c r="F3883" s="39" t="n">
        <v>45849</v>
      </c>
      <c r="G3883" s="41" t="n">
        <v>146.88</v>
      </c>
      <c r="H3883" s="39" t="n">
        <v>45861</v>
      </c>
      <c r="I3883" s="7" t="s">
        <v>14651</v>
      </c>
      <c r="J3883" s="8" t="str">
        <f aca="false">IF(I3883="Open",DATE(2025,12,31)-F3883,"-")</f>
        <v>-</v>
      </c>
    </row>
    <row r="3884" customFormat="false" ht="15" hidden="false" customHeight="false" outlineLevel="0" collapsed="false">
      <c r="B3884" s="7" t="s">
        <v>18529</v>
      </c>
      <c r="C3884" s="7" t="s">
        <v>4381</v>
      </c>
      <c r="D3884" s="7" t="s">
        <v>335</v>
      </c>
      <c r="E3884" s="7" t="s">
        <v>154</v>
      </c>
      <c r="F3884" s="39" t="n">
        <v>45849</v>
      </c>
      <c r="G3884" s="41" t="n">
        <v>102.29</v>
      </c>
      <c r="H3884" s="39" t="n">
        <v>45915</v>
      </c>
      <c r="I3884" s="7" t="s">
        <v>14651</v>
      </c>
      <c r="J3884" s="8" t="str">
        <f aca="false">IF(I3884="Open",DATE(2025,12,31)-F3884,"-")</f>
        <v>-</v>
      </c>
    </row>
    <row r="3885" customFormat="false" ht="15" hidden="false" customHeight="false" outlineLevel="0" collapsed="false">
      <c r="B3885" s="7" t="s">
        <v>18530</v>
      </c>
      <c r="C3885" s="7" t="s">
        <v>4382</v>
      </c>
      <c r="D3885" s="7" t="s">
        <v>339</v>
      </c>
      <c r="E3885" s="7" t="s">
        <v>154</v>
      </c>
      <c r="F3885" s="39" t="n">
        <v>45849</v>
      </c>
      <c r="G3885" s="41" t="n">
        <v>91.43</v>
      </c>
      <c r="H3885" s="39" t="n">
        <v>45938</v>
      </c>
      <c r="I3885" s="7" t="s">
        <v>14651</v>
      </c>
      <c r="J3885" s="8" t="str">
        <f aca="false">IF(I3885="Open",DATE(2025,12,31)-F3885,"-")</f>
        <v>-</v>
      </c>
    </row>
    <row r="3886" customFormat="false" ht="15" hidden="false" customHeight="false" outlineLevel="0" collapsed="false">
      <c r="B3886" s="7" t="s">
        <v>18531</v>
      </c>
      <c r="C3886" s="7" t="s">
        <v>4383</v>
      </c>
      <c r="D3886" s="7" t="s">
        <v>347</v>
      </c>
      <c r="E3886" s="7" t="s">
        <v>154</v>
      </c>
      <c r="F3886" s="39" t="n">
        <v>45849</v>
      </c>
      <c r="G3886" s="41" t="n">
        <v>124.55</v>
      </c>
      <c r="H3886" s="39" t="n">
        <v>45906</v>
      </c>
      <c r="I3886" s="7" t="s">
        <v>14651</v>
      </c>
      <c r="J3886" s="8" t="str">
        <f aca="false">IF(I3886="Open",DATE(2025,12,31)-F3886,"-")</f>
        <v>-</v>
      </c>
    </row>
    <row r="3887" customFormat="false" ht="15" hidden="false" customHeight="false" outlineLevel="0" collapsed="false">
      <c r="B3887" s="7" t="s">
        <v>18532</v>
      </c>
      <c r="C3887" s="7" t="s">
        <v>4384</v>
      </c>
      <c r="D3887" s="7" t="s">
        <v>353</v>
      </c>
      <c r="E3887" s="7" t="s">
        <v>154</v>
      </c>
      <c r="F3887" s="39" t="n">
        <v>45849</v>
      </c>
      <c r="G3887" s="41" t="n">
        <v>81.35</v>
      </c>
      <c r="H3887" s="39" t="n">
        <v>45913</v>
      </c>
      <c r="I3887" s="7" t="s">
        <v>14651</v>
      </c>
      <c r="J3887" s="8" t="str">
        <f aca="false">IF(I3887="Open",DATE(2025,12,31)-F3887,"-")</f>
        <v>-</v>
      </c>
    </row>
    <row r="3888" customFormat="false" ht="15" hidden="false" customHeight="false" outlineLevel="0" collapsed="false">
      <c r="B3888" s="7" t="s">
        <v>18533</v>
      </c>
      <c r="C3888" s="7" t="s">
        <v>4385</v>
      </c>
      <c r="D3888" s="7" t="s">
        <v>355</v>
      </c>
      <c r="E3888" s="7" t="s">
        <v>154</v>
      </c>
      <c r="F3888" s="39" t="n">
        <v>45849</v>
      </c>
      <c r="G3888" s="41" t="n">
        <v>95.13</v>
      </c>
      <c r="H3888" s="39" t="n">
        <v>45914</v>
      </c>
      <c r="I3888" s="7" t="s">
        <v>14651</v>
      </c>
      <c r="J3888" s="8" t="str">
        <f aca="false">IF(I3888="Open",DATE(2025,12,31)-F3888,"-")</f>
        <v>-</v>
      </c>
    </row>
    <row r="3889" customFormat="false" ht="15" hidden="false" customHeight="false" outlineLevel="0" collapsed="false">
      <c r="B3889" s="7" t="s">
        <v>18534</v>
      </c>
      <c r="C3889" s="7" t="s">
        <v>4386</v>
      </c>
      <c r="D3889" s="7" t="s">
        <v>357</v>
      </c>
      <c r="E3889" s="7" t="s">
        <v>154</v>
      </c>
      <c r="F3889" s="39" t="n">
        <v>45849</v>
      </c>
      <c r="G3889" s="41" t="n">
        <v>88.25</v>
      </c>
      <c r="H3889" s="39" t="n">
        <v>45964</v>
      </c>
      <c r="I3889" s="7" t="s">
        <v>14651</v>
      </c>
      <c r="J3889" s="8" t="str">
        <f aca="false">IF(I3889="Open",DATE(2025,12,31)-F3889,"-")</f>
        <v>-</v>
      </c>
    </row>
    <row r="3890" customFormat="false" ht="15" hidden="false" customHeight="false" outlineLevel="0" collapsed="false">
      <c r="B3890" s="7" t="s">
        <v>18535</v>
      </c>
      <c r="C3890" s="7" t="s">
        <v>4387</v>
      </c>
      <c r="D3890" s="7" t="s">
        <v>359</v>
      </c>
      <c r="E3890" s="7" t="s">
        <v>156</v>
      </c>
      <c r="F3890" s="39" t="n">
        <v>45849</v>
      </c>
      <c r="G3890" s="41" t="n">
        <v>135.32</v>
      </c>
      <c r="H3890" s="39" t="n">
        <v>45853</v>
      </c>
      <c r="I3890" s="7" t="s">
        <v>14651</v>
      </c>
      <c r="J3890" s="8" t="str">
        <f aca="false">IF(I3890="Open",DATE(2025,12,31)-F3890,"-")</f>
        <v>-</v>
      </c>
    </row>
    <row r="3891" customFormat="false" ht="15" hidden="false" customHeight="false" outlineLevel="0" collapsed="false">
      <c r="B3891" s="7" t="s">
        <v>18536</v>
      </c>
      <c r="C3891" s="7" t="s">
        <v>4388</v>
      </c>
      <c r="D3891" s="7" t="s">
        <v>361</v>
      </c>
      <c r="E3891" s="7" t="s">
        <v>157</v>
      </c>
      <c r="F3891" s="39" t="n">
        <v>45849</v>
      </c>
      <c r="G3891" s="41" t="n">
        <v>161.7</v>
      </c>
      <c r="H3891" s="39" t="n">
        <v>45877</v>
      </c>
      <c r="I3891" s="7" t="s">
        <v>14651</v>
      </c>
      <c r="J3891" s="8" t="str">
        <f aca="false">IF(I3891="Open",DATE(2025,12,31)-F3891,"-")</f>
        <v>-</v>
      </c>
    </row>
    <row r="3892" customFormat="false" ht="15" hidden="false" customHeight="false" outlineLevel="0" collapsed="false">
      <c r="B3892" s="7" t="s">
        <v>18537</v>
      </c>
      <c r="C3892" s="7" t="s">
        <v>4389</v>
      </c>
      <c r="D3892" s="7" t="s">
        <v>365</v>
      </c>
      <c r="E3892" s="7" t="s">
        <v>154</v>
      </c>
      <c r="F3892" s="39" t="n">
        <v>45849</v>
      </c>
      <c r="G3892" s="41" t="n">
        <v>96.72</v>
      </c>
      <c r="H3892" s="39" t="n">
        <v>45951</v>
      </c>
      <c r="I3892" s="7" t="s">
        <v>14651</v>
      </c>
      <c r="J3892" s="8" t="str">
        <f aca="false">IF(I3892="Open",DATE(2025,12,31)-F3892,"-")</f>
        <v>-</v>
      </c>
    </row>
    <row r="3893" customFormat="false" ht="15" hidden="false" customHeight="false" outlineLevel="0" collapsed="false">
      <c r="B3893" s="7" t="s">
        <v>18538</v>
      </c>
      <c r="C3893" s="7" t="s">
        <v>4390</v>
      </c>
      <c r="D3893" s="7" t="s">
        <v>371</v>
      </c>
      <c r="E3893" s="7" t="s">
        <v>154</v>
      </c>
      <c r="F3893" s="39" t="n">
        <v>45849</v>
      </c>
      <c r="G3893" s="41" t="n">
        <v>129.58</v>
      </c>
      <c r="H3893" s="39" t="n">
        <v>45876</v>
      </c>
      <c r="I3893" s="7" t="s">
        <v>14651</v>
      </c>
      <c r="J3893" s="8" t="str">
        <f aca="false">IF(I3893="Open",DATE(2025,12,31)-F3893,"-")</f>
        <v>-</v>
      </c>
    </row>
    <row r="3894" customFormat="false" ht="15" hidden="false" customHeight="false" outlineLevel="0" collapsed="false">
      <c r="B3894" s="7" t="s">
        <v>18539</v>
      </c>
      <c r="C3894" s="7" t="s">
        <v>4391</v>
      </c>
      <c r="D3894" s="7" t="s">
        <v>379</v>
      </c>
      <c r="E3894" s="7" t="s">
        <v>156</v>
      </c>
      <c r="F3894" s="39" t="n">
        <v>45849</v>
      </c>
      <c r="G3894" s="41" t="n">
        <v>163.88</v>
      </c>
      <c r="H3894" s="39" t="n">
        <v>45866</v>
      </c>
      <c r="I3894" s="7" t="s">
        <v>14651</v>
      </c>
      <c r="J3894" s="8" t="str">
        <f aca="false">IF(I3894="Open",DATE(2025,12,31)-F3894,"-")</f>
        <v>-</v>
      </c>
    </row>
    <row r="3895" customFormat="false" ht="15" hidden="false" customHeight="false" outlineLevel="0" collapsed="false">
      <c r="B3895" s="7" t="s">
        <v>18540</v>
      </c>
      <c r="C3895" s="7" t="s">
        <v>4392</v>
      </c>
      <c r="D3895" s="7" t="s">
        <v>381</v>
      </c>
      <c r="E3895" s="7" t="s">
        <v>157</v>
      </c>
      <c r="F3895" s="39" t="n">
        <v>45849</v>
      </c>
      <c r="G3895" s="41" t="n">
        <v>164.5</v>
      </c>
      <c r="H3895" s="39" t="n">
        <v>45892</v>
      </c>
      <c r="I3895" s="7" t="s">
        <v>14651</v>
      </c>
      <c r="J3895" s="8" t="str">
        <f aca="false">IF(I3895="Open",DATE(2025,12,31)-F3895,"-")</f>
        <v>-</v>
      </c>
    </row>
    <row r="3896" customFormat="false" ht="15" hidden="false" customHeight="false" outlineLevel="0" collapsed="false">
      <c r="B3896" s="7" t="s">
        <v>18541</v>
      </c>
      <c r="C3896" s="7" t="s">
        <v>4393</v>
      </c>
      <c r="D3896" s="7" t="s">
        <v>385</v>
      </c>
      <c r="E3896" s="7" t="s">
        <v>156</v>
      </c>
      <c r="F3896" s="39" t="n">
        <v>45849</v>
      </c>
      <c r="G3896" s="41" t="n">
        <v>122.74</v>
      </c>
      <c r="H3896" s="39" t="n">
        <v>45863</v>
      </c>
      <c r="I3896" s="7" t="s">
        <v>14651</v>
      </c>
      <c r="J3896" s="8" t="str">
        <f aca="false">IF(I3896="Open",DATE(2025,12,31)-F3896,"-")</f>
        <v>-</v>
      </c>
    </row>
    <row r="3897" customFormat="false" ht="15" hidden="false" customHeight="false" outlineLevel="0" collapsed="false">
      <c r="B3897" s="7" t="s">
        <v>18542</v>
      </c>
      <c r="C3897" s="7" t="s">
        <v>4394</v>
      </c>
      <c r="D3897" s="7" t="s">
        <v>389</v>
      </c>
      <c r="E3897" s="7" t="s">
        <v>154</v>
      </c>
      <c r="F3897" s="39" t="n">
        <v>45849</v>
      </c>
      <c r="G3897" s="41" t="n">
        <v>100.7</v>
      </c>
      <c r="H3897" s="39" t="n">
        <v>45891</v>
      </c>
      <c r="I3897" s="7" t="s">
        <v>14651</v>
      </c>
      <c r="J3897" s="8" t="str">
        <f aca="false">IF(I3897="Open",DATE(2025,12,31)-F3897,"-")</f>
        <v>-</v>
      </c>
    </row>
    <row r="3898" customFormat="false" ht="15" hidden="false" customHeight="false" outlineLevel="0" collapsed="false">
      <c r="B3898" s="7" t="s">
        <v>18543</v>
      </c>
      <c r="C3898" s="7" t="s">
        <v>4395</v>
      </c>
      <c r="D3898" s="7" t="s">
        <v>391</v>
      </c>
      <c r="E3898" s="7" t="s">
        <v>156</v>
      </c>
      <c r="F3898" s="39" t="n">
        <v>45849</v>
      </c>
      <c r="G3898" s="41" t="n">
        <v>146.88</v>
      </c>
      <c r="H3898" s="39" t="n">
        <v>45859</v>
      </c>
      <c r="I3898" s="7" t="s">
        <v>14651</v>
      </c>
      <c r="J3898" s="8" t="str">
        <f aca="false">IF(I3898="Open",DATE(2025,12,31)-F3898,"-")</f>
        <v>-</v>
      </c>
    </row>
    <row r="3899" customFormat="false" ht="15" hidden="false" customHeight="false" outlineLevel="0" collapsed="false">
      <c r="B3899" s="7" t="s">
        <v>18544</v>
      </c>
      <c r="C3899" s="7" t="s">
        <v>4396</v>
      </c>
      <c r="D3899" s="7" t="s">
        <v>395</v>
      </c>
      <c r="E3899" s="7" t="s">
        <v>156</v>
      </c>
      <c r="F3899" s="39" t="n">
        <v>45849</v>
      </c>
      <c r="G3899" s="41" t="n">
        <v>148.24</v>
      </c>
      <c r="H3899" s="39" t="n">
        <v>45864</v>
      </c>
      <c r="I3899" s="7" t="s">
        <v>14651</v>
      </c>
      <c r="J3899" s="8" t="str">
        <f aca="false">IF(I3899="Open",DATE(2025,12,31)-F3899,"-")</f>
        <v>-</v>
      </c>
    </row>
    <row r="3900" customFormat="false" ht="15" hidden="false" customHeight="false" outlineLevel="0" collapsed="false">
      <c r="B3900" s="7" t="s">
        <v>18545</v>
      </c>
      <c r="C3900" s="7" t="s">
        <v>4397</v>
      </c>
      <c r="D3900" s="7" t="s">
        <v>397</v>
      </c>
      <c r="E3900" s="7" t="s">
        <v>159</v>
      </c>
      <c r="F3900" s="39" t="n">
        <v>45849</v>
      </c>
      <c r="G3900" s="41" t="n">
        <v>139.05</v>
      </c>
      <c r="H3900" s="39" t="n">
        <v>45909</v>
      </c>
      <c r="I3900" s="7" t="s">
        <v>14651</v>
      </c>
      <c r="J3900" s="8" t="str">
        <f aca="false">IF(I3900="Open",DATE(2025,12,31)-F3900,"-")</f>
        <v>-</v>
      </c>
    </row>
    <row r="3901" customFormat="false" ht="15" hidden="false" customHeight="false" outlineLevel="0" collapsed="false">
      <c r="B3901" s="7" t="s">
        <v>18546</v>
      </c>
      <c r="C3901" s="7" t="s">
        <v>4398</v>
      </c>
      <c r="D3901" s="7" t="s">
        <v>399</v>
      </c>
      <c r="E3901" s="7" t="s">
        <v>154</v>
      </c>
      <c r="F3901" s="39" t="n">
        <v>45849</v>
      </c>
      <c r="G3901" s="41" t="n">
        <v>80.03</v>
      </c>
      <c r="H3901" s="39" t="n">
        <v>45876</v>
      </c>
      <c r="I3901" s="7" t="s">
        <v>14651</v>
      </c>
      <c r="J3901" s="8" t="str">
        <f aca="false">IF(I3901="Open",DATE(2025,12,31)-F3901,"-")</f>
        <v>-</v>
      </c>
    </row>
    <row r="3902" customFormat="false" ht="15" hidden="false" customHeight="false" outlineLevel="0" collapsed="false">
      <c r="B3902" s="7" t="s">
        <v>18547</v>
      </c>
      <c r="C3902" s="7" t="s">
        <v>4399</v>
      </c>
      <c r="D3902" s="7" t="s">
        <v>401</v>
      </c>
      <c r="E3902" s="7" t="s">
        <v>156</v>
      </c>
      <c r="F3902" s="39" t="n">
        <v>45849</v>
      </c>
      <c r="G3902" s="41" t="n">
        <v>130.22</v>
      </c>
      <c r="H3902" s="39" t="n">
        <v>45868</v>
      </c>
      <c r="I3902" s="7" t="s">
        <v>14651</v>
      </c>
      <c r="J3902" s="8" t="str">
        <f aca="false">IF(I3902="Open",DATE(2025,12,31)-F3902,"-")</f>
        <v>-</v>
      </c>
    </row>
    <row r="3903" customFormat="false" ht="15" hidden="false" customHeight="false" outlineLevel="0" collapsed="false">
      <c r="B3903" s="7" t="s">
        <v>18548</v>
      </c>
      <c r="C3903" s="7" t="s">
        <v>4400</v>
      </c>
      <c r="D3903" s="7" t="s">
        <v>407</v>
      </c>
      <c r="E3903" s="7" t="s">
        <v>159</v>
      </c>
      <c r="F3903" s="39" t="n">
        <v>45849</v>
      </c>
      <c r="G3903" s="41" t="n">
        <v>120.56</v>
      </c>
      <c r="H3903" s="39" t="n">
        <v>45897</v>
      </c>
      <c r="I3903" s="7" t="s">
        <v>14651</v>
      </c>
      <c r="J3903" s="8" t="str">
        <f aca="false">IF(I3903="Open",DATE(2025,12,31)-F3903,"-")</f>
        <v>-</v>
      </c>
    </row>
    <row r="3904" customFormat="false" ht="15" hidden="false" customHeight="false" outlineLevel="0" collapsed="false">
      <c r="B3904" s="7" t="s">
        <v>18549</v>
      </c>
      <c r="C3904" s="7" t="s">
        <v>4401</v>
      </c>
      <c r="D3904" s="7" t="s">
        <v>411</v>
      </c>
      <c r="E3904" s="7" t="s">
        <v>154</v>
      </c>
      <c r="F3904" s="39" t="n">
        <v>45849</v>
      </c>
      <c r="G3904" s="41" t="n">
        <v>115.54</v>
      </c>
      <c r="H3904" s="39" t="n">
        <v>45905</v>
      </c>
      <c r="I3904" s="7" t="s">
        <v>14651</v>
      </c>
      <c r="J3904" s="8" t="str">
        <f aca="false">IF(I3904="Open",DATE(2025,12,31)-F3904,"-")</f>
        <v>-</v>
      </c>
    </row>
    <row r="3905" customFormat="false" ht="15" hidden="false" customHeight="false" outlineLevel="0" collapsed="false">
      <c r="B3905" s="7" t="s">
        <v>18550</v>
      </c>
      <c r="C3905" s="7" t="s">
        <v>4402</v>
      </c>
      <c r="D3905" s="7" t="s">
        <v>288</v>
      </c>
      <c r="E3905" s="7" t="s">
        <v>156</v>
      </c>
      <c r="F3905" s="39" t="n">
        <v>45850</v>
      </c>
      <c r="G3905" s="41" t="n">
        <v>126.14</v>
      </c>
      <c r="H3905" s="39" t="n">
        <v>45864</v>
      </c>
      <c r="I3905" s="7" t="s">
        <v>14651</v>
      </c>
      <c r="J3905" s="8" t="str">
        <f aca="false">IF(I3905="Open",DATE(2025,12,31)-F3905,"-")</f>
        <v>-</v>
      </c>
    </row>
    <row r="3906" customFormat="false" ht="15" hidden="false" customHeight="false" outlineLevel="0" collapsed="false">
      <c r="B3906" s="7" t="s">
        <v>18551</v>
      </c>
      <c r="C3906" s="7" t="s">
        <v>4403</v>
      </c>
      <c r="D3906" s="7" t="s">
        <v>321</v>
      </c>
      <c r="E3906" s="7" t="s">
        <v>154</v>
      </c>
      <c r="F3906" s="39" t="n">
        <v>45850</v>
      </c>
      <c r="G3906" s="41" t="n">
        <v>95.4</v>
      </c>
      <c r="H3906" s="39" t="n">
        <v>45901</v>
      </c>
      <c r="I3906" s="7" t="s">
        <v>14651</v>
      </c>
      <c r="J3906" s="8" t="str">
        <f aca="false">IF(I3906="Open",DATE(2025,12,31)-F3906,"-")</f>
        <v>-</v>
      </c>
    </row>
    <row r="3907" customFormat="false" ht="15" hidden="false" customHeight="false" outlineLevel="0" collapsed="false">
      <c r="B3907" s="7" t="s">
        <v>18552</v>
      </c>
      <c r="C3907" s="7" t="s">
        <v>4404</v>
      </c>
      <c r="D3907" s="7" t="s">
        <v>359</v>
      </c>
      <c r="E3907" s="7" t="s">
        <v>156</v>
      </c>
      <c r="F3907" s="39" t="n">
        <v>45850</v>
      </c>
      <c r="G3907" s="41" t="n">
        <v>137.7</v>
      </c>
      <c r="H3907" s="39" t="n">
        <v>45860</v>
      </c>
      <c r="I3907" s="7" t="s">
        <v>14651</v>
      </c>
      <c r="J3907" s="8" t="str">
        <f aca="false">IF(I3907="Open",DATE(2025,12,31)-F3907,"-")</f>
        <v>-</v>
      </c>
    </row>
    <row r="3908" customFormat="false" ht="15" hidden="false" customHeight="false" outlineLevel="0" collapsed="false">
      <c r="B3908" s="7" t="s">
        <v>18553</v>
      </c>
      <c r="C3908" s="7" t="s">
        <v>4405</v>
      </c>
      <c r="D3908" s="7" t="s">
        <v>391</v>
      </c>
      <c r="E3908" s="7" t="s">
        <v>156</v>
      </c>
      <c r="F3908" s="39" t="n">
        <v>45850</v>
      </c>
      <c r="G3908" s="41" t="n">
        <v>124.44</v>
      </c>
      <c r="H3908" s="39" t="n">
        <v>45868</v>
      </c>
      <c r="I3908" s="7" t="s">
        <v>14651</v>
      </c>
      <c r="J3908" s="8" t="str">
        <f aca="false">IF(I3908="Open",DATE(2025,12,31)-F3908,"-")</f>
        <v>-</v>
      </c>
    </row>
    <row r="3909" customFormat="false" ht="15" hidden="false" customHeight="false" outlineLevel="0" collapsed="false">
      <c r="B3909" s="7" t="s">
        <v>18554</v>
      </c>
      <c r="C3909" s="7" t="s">
        <v>4406</v>
      </c>
      <c r="D3909" s="7" t="s">
        <v>395</v>
      </c>
      <c r="E3909" s="7" t="s">
        <v>156</v>
      </c>
      <c r="F3909" s="39" t="n">
        <v>45850</v>
      </c>
      <c r="G3909" s="41" t="n">
        <v>147.9</v>
      </c>
      <c r="H3909" s="39" t="n">
        <v>45861</v>
      </c>
      <c r="I3909" s="7" t="s">
        <v>14651</v>
      </c>
      <c r="J3909" s="8" t="str">
        <f aca="false">IF(I3909="Open",DATE(2025,12,31)-F3909,"-")</f>
        <v>-</v>
      </c>
    </row>
    <row r="3910" customFormat="false" ht="15" hidden="false" customHeight="false" outlineLevel="0" collapsed="false">
      <c r="B3910" s="7" t="s">
        <v>18555</v>
      </c>
      <c r="C3910" s="7" t="s">
        <v>4407</v>
      </c>
      <c r="D3910" s="7" t="s">
        <v>401</v>
      </c>
      <c r="E3910" s="7" t="s">
        <v>156</v>
      </c>
      <c r="F3910" s="39" t="n">
        <v>45850</v>
      </c>
      <c r="G3910" s="41" t="n">
        <v>139.06</v>
      </c>
      <c r="H3910" s="39" t="n">
        <v>45862</v>
      </c>
      <c r="I3910" s="7" t="s">
        <v>14651</v>
      </c>
      <c r="J3910" s="8" t="str">
        <f aca="false">IF(I3910="Open",DATE(2025,12,31)-F3910,"-")</f>
        <v>-</v>
      </c>
    </row>
    <row r="3911" customFormat="false" ht="15" hidden="false" customHeight="false" outlineLevel="0" collapsed="false">
      <c r="B3911" s="7" t="s">
        <v>18556</v>
      </c>
      <c r="C3911" s="7" t="s">
        <v>4408</v>
      </c>
      <c r="D3911" s="7" t="s">
        <v>288</v>
      </c>
      <c r="E3911" s="7" t="s">
        <v>156</v>
      </c>
      <c r="F3911" s="39" t="n">
        <v>45851</v>
      </c>
      <c r="G3911" s="41" t="n">
        <v>141.1</v>
      </c>
      <c r="H3911" s="39" t="n">
        <v>45867</v>
      </c>
      <c r="I3911" s="7" t="s">
        <v>14651</v>
      </c>
      <c r="J3911" s="8" t="str">
        <f aca="false">IF(I3911="Open",DATE(2025,12,31)-F3911,"-")</f>
        <v>-</v>
      </c>
    </row>
    <row r="3912" customFormat="false" ht="15" hidden="false" customHeight="false" outlineLevel="0" collapsed="false">
      <c r="B3912" s="7" t="s">
        <v>18557</v>
      </c>
      <c r="C3912" s="7" t="s">
        <v>4409</v>
      </c>
      <c r="D3912" s="7" t="s">
        <v>321</v>
      </c>
      <c r="E3912" s="7" t="s">
        <v>154</v>
      </c>
      <c r="F3912" s="39" t="n">
        <v>45851</v>
      </c>
      <c r="G3912" s="41" t="n">
        <v>108.92</v>
      </c>
      <c r="H3912" s="39" t="n">
        <v>45963</v>
      </c>
      <c r="I3912" s="7" t="s">
        <v>14651</v>
      </c>
      <c r="J3912" s="8" t="str">
        <f aca="false">IF(I3912="Open",DATE(2025,12,31)-F3912,"-")</f>
        <v>-</v>
      </c>
    </row>
    <row r="3913" customFormat="false" ht="15" hidden="false" customHeight="false" outlineLevel="0" collapsed="false">
      <c r="B3913" s="7" t="s">
        <v>18558</v>
      </c>
      <c r="C3913" s="7" t="s">
        <v>4410</v>
      </c>
      <c r="D3913" s="7" t="s">
        <v>359</v>
      </c>
      <c r="E3913" s="7" t="s">
        <v>156</v>
      </c>
      <c r="F3913" s="39" t="n">
        <v>45851</v>
      </c>
      <c r="G3913" s="41" t="n">
        <v>134.64</v>
      </c>
      <c r="H3913" s="39" t="n">
        <v>45856</v>
      </c>
      <c r="I3913" s="7" t="s">
        <v>14651</v>
      </c>
      <c r="J3913" s="8" t="str">
        <f aca="false">IF(I3913="Open",DATE(2025,12,31)-F3913,"-")</f>
        <v>-</v>
      </c>
    </row>
    <row r="3914" customFormat="false" ht="15" hidden="false" customHeight="false" outlineLevel="0" collapsed="false">
      <c r="B3914" s="7" t="s">
        <v>18559</v>
      </c>
      <c r="C3914" s="7" t="s">
        <v>4411</v>
      </c>
      <c r="D3914" s="7" t="s">
        <v>391</v>
      </c>
      <c r="E3914" s="7" t="s">
        <v>156</v>
      </c>
      <c r="F3914" s="39" t="n">
        <v>45851</v>
      </c>
      <c r="G3914" s="41" t="n">
        <v>139.74</v>
      </c>
      <c r="H3914" s="39" t="n">
        <v>45861</v>
      </c>
      <c r="I3914" s="7" t="s">
        <v>14651</v>
      </c>
      <c r="J3914" s="8" t="str">
        <f aca="false">IF(I3914="Open",DATE(2025,12,31)-F3914,"-")</f>
        <v>-</v>
      </c>
    </row>
    <row r="3915" customFormat="false" ht="15" hidden="false" customHeight="false" outlineLevel="0" collapsed="false">
      <c r="B3915" s="7" t="s">
        <v>18560</v>
      </c>
      <c r="C3915" s="7" t="s">
        <v>4412</v>
      </c>
      <c r="D3915" s="7" t="s">
        <v>395</v>
      </c>
      <c r="E3915" s="7" t="s">
        <v>156</v>
      </c>
      <c r="F3915" s="39" t="n">
        <v>45851</v>
      </c>
      <c r="G3915" s="41" t="n">
        <v>149.6</v>
      </c>
      <c r="H3915" s="39" t="n">
        <v>45869</v>
      </c>
      <c r="I3915" s="7" t="s">
        <v>14651</v>
      </c>
      <c r="J3915" s="8" t="str">
        <f aca="false">IF(I3915="Open",DATE(2025,12,31)-F3915,"-")</f>
        <v>-</v>
      </c>
    </row>
    <row r="3916" customFormat="false" ht="15" hidden="false" customHeight="false" outlineLevel="0" collapsed="false">
      <c r="B3916" s="7" t="s">
        <v>18561</v>
      </c>
      <c r="C3916" s="7" t="s">
        <v>4413</v>
      </c>
      <c r="D3916" s="7" t="s">
        <v>401</v>
      </c>
      <c r="E3916" s="7" t="s">
        <v>156</v>
      </c>
      <c r="F3916" s="39" t="n">
        <v>45851</v>
      </c>
      <c r="G3916" s="41" t="n">
        <v>123.08</v>
      </c>
      <c r="H3916" s="39" t="n">
        <v>45862</v>
      </c>
      <c r="I3916" s="7" t="s">
        <v>14651</v>
      </c>
      <c r="J3916" s="8" t="str">
        <f aca="false">IF(I3916="Open",DATE(2025,12,31)-F3916,"-")</f>
        <v>-</v>
      </c>
    </row>
    <row r="3917" customFormat="false" ht="15" hidden="false" customHeight="false" outlineLevel="0" collapsed="false">
      <c r="B3917" s="7" t="s">
        <v>18562</v>
      </c>
      <c r="C3917" s="7" t="s">
        <v>4414</v>
      </c>
      <c r="D3917" s="7" t="s">
        <v>280</v>
      </c>
      <c r="E3917" s="7" t="s">
        <v>157</v>
      </c>
      <c r="F3917" s="39" t="n">
        <v>45852</v>
      </c>
      <c r="G3917" s="41" t="n">
        <v>163.35</v>
      </c>
      <c r="H3917" s="39" t="n">
        <v>45906</v>
      </c>
      <c r="I3917" s="7" t="s">
        <v>14651</v>
      </c>
      <c r="J3917" s="8" t="str">
        <f aca="false">IF(I3917="Open",DATE(2025,12,31)-F3917,"-")</f>
        <v>-</v>
      </c>
    </row>
    <row r="3918" customFormat="false" ht="15" hidden="false" customHeight="false" outlineLevel="0" collapsed="false">
      <c r="B3918" s="7" t="s">
        <v>18563</v>
      </c>
      <c r="C3918" s="7" t="s">
        <v>4415</v>
      </c>
      <c r="D3918" s="7" t="s">
        <v>288</v>
      </c>
      <c r="E3918" s="7" t="s">
        <v>156</v>
      </c>
      <c r="F3918" s="39" t="n">
        <v>45852</v>
      </c>
      <c r="G3918" s="41" t="n">
        <v>128.52</v>
      </c>
      <c r="H3918" s="39" t="n">
        <v>45859</v>
      </c>
      <c r="I3918" s="7" t="s">
        <v>14651</v>
      </c>
      <c r="J3918" s="8" t="str">
        <f aca="false">IF(I3918="Open",DATE(2025,12,31)-F3918,"-")</f>
        <v>-</v>
      </c>
    </row>
    <row r="3919" customFormat="false" ht="15" hidden="false" customHeight="false" outlineLevel="0" collapsed="false">
      <c r="B3919" s="7" t="s">
        <v>18564</v>
      </c>
      <c r="C3919" s="7" t="s">
        <v>4416</v>
      </c>
      <c r="D3919" s="7" t="s">
        <v>291</v>
      </c>
      <c r="E3919" s="7" t="s">
        <v>154</v>
      </c>
      <c r="F3919" s="39" t="n">
        <v>45852</v>
      </c>
      <c r="G3919" s="41" t="n">
        <v>121.37</v>
      </c>
      <c r="H3919" s="39" t="n">
        <v>45955</v>
      </c>
      <c r="I3919" s="7" t="s">
        <v>14651</v>
      </c>
      <c r="J3919" s="8" t="str">
        <f aca="false">IF(I3919="Open",DATE(2025,12,31)-F3919,"-")</f>
        <v>-</v>
      </c>
    </row>
    <row r="3920" customFormat="false" ht="15" hidden="false" customHeight="false" outlineLevel="0" collapsed="false">
      <c r="B3920" s="7" t="s">
        <v>18565</v>
      </c>
      <c r="C3920" s="7" t="s">
        <v>4417</v>
      </c>
      <c r="D3920" s="7" t="s">
        <v>297</v>
      </c>
      <c r="E3920" s="7" t="s">
        <v>156</v>
      </c>
      <c r="F3920" s="39" t="n">
        <v>45852</v>
      </c>
      <c r="G3920" s="41" t="n">
        <v>100.98</v>
      </c>
      <c r="H3920" s="39" t="n">
        <v>45863</v>
      </c>
      <c r="I3920" s="7" t="s">
        <v>14651</v>
      </c>
      <c r="J3920" s="8" t="str">
        <f aca="false">IF(I3920="Open",DATE(2025,12,31)-F3920,"-")</f>
        <v>-</v>
      </c>
    </row>
    <row r="3921" customFormat="false" ht="15" hidden="false" customHeight="false" outlineLevel="0" collapsed="false">
      <c r="B3921" s="7" t="s">
        <v>18566</v>
      </c>
      <c r="C3921" s="7" t="s">
        <v>4418</v>
      </c>
      <c r="D3921" s="7" t="s">
        <v>305</v>
      </c>
      <c r="E3921" s="7" t="s">
        <v>154</v>
      </c>
      <c r="F3921" s="39" t="n">
        <v>45852</v>
      </c>
      <c r="G3921" s="41" t="n">
        <v>99.48</v>
      </c>
      <c r="H3921" s="39" t="n">
        <v>45954</v>
      </c>
      <c r="I3921" s="7" t="s">
        <v>14651</v>
      </c>
      <c r="J3921" s="8" t="str">
        <f aca="false">IF(I3921="Open",DATE(2025,12,31)-F3921,"-")</f>
        <v>-</v>
      </c>
    </row>
    <row r="3922" customFormat="false" ht="15" hidden="false" customHeight="false" outlineLevel="0" collapsed="false">
      <c r="B3922" s="7" t="s">
        <v>18567</v>
      </c>
      <c r="C3922" s="7" t="s">
        <v>4419</v>
      </c>
      <c r="D3922" s="7" t="s">
        <v>307</v>
      </c>
      <c r="E3922" s="7" t="s">
        <v>157</v>
      </c>
      <c r="F3922" s="39" t="n">
        <v>45852</v>
      </c>
      <c r="G3922" s="41" t="n">
        <v>166.65</v>
      </c>
      <c r="H3922" s="39" t="n">
        <v>45884</v>
      </c>
      <c r="I3922" s="7" t="s">
        <v>14651</v>
      </c>
      <c r="J3922" s="8" t="str">
        <f aca="false">IF(I3922="Open",DATE(2025,12,31)-F3922,"-")</f>
        <v>-</v>
      </c>
    </row>
    <row r="3923" customFormat="false" ht="15" hidden="false" customHeight="false" outlineLevel="0" collapsed="false">
      <c r="B3923" s="7" t="s">
        <v>18568</v>
      </c>
      <c r="C3923" s="7" t="s">
        <v>4420</v>
      </c>
      <c r="D3923" s="7" t="s">
        <v>309</v>
      </c>
      <c r="E3923" s="7" t="s">
        <v>159</v>
      </c>
      <c r="F3923" s="39" t="n">
        <v>45852</v>
      </c>
      <c r="G3923" s="41" t="n">
        <v>136.35</v>
      </c>
      <c r="H3923" s="39" t="n">
        <v>45889</v>
      </c>
      <c r="I3923" s="7" t="s">
        <v>14651</v>
      </c>
      <c r="J3923" s="8" t="str">
        <f aca="false">IF(I3923="Open",DATE(2025,12,31)-F3923,"-")</f>
        <v>-</v>
      </c>
    </row>
    <row r="3924" customFormat="false" ht="15" hidden="false" customHeight="false" outlineLevel="0" collapsed="false">
      <c r="B3924" s="7" t="s">
        <v>18569</v>
      </c>
      <c r="C3924" s="7" t="s">
        <v>4421</v>
      </c>
      <c r="D3924" s="7" t="s">
        <v>311</v>
      </c>
      <c r="E3924" s="7" t="s">
        <v>154</v>
      </c>
      <c r="F3924" s="39" t="n">
        <v>45852</v>
      </c>
      <c r="G3924" s="41" t="n">
        <v>84</v>
      </c>
      <c r="H3924" s="39" t="n">
        <v>45902</v>
      </c>
      <c r="I3924" s="7" t="s">
        <v>14651</v>
      </c>
      <c r="J3924" s="8" t="str">
        <f aca="false">IF(I3924="Open",DATE(2025,12,31)-F3924,"-")</f>
        <v>-</v>
      </c>
    </row>
    <row r="3925" customFormat="false" ht="15" hidden="false" customHeight="false" outlineLevel="0" collapsed="false">
      <c r="B3925" s="7" t="s">
        <v>18570</v>
      </c>
      <c r="C3925" s="7" t="s">
        <v>4422</v>
      </c>
      <c r="D3925" s="7" t="s">
        <v>313</v>
      </c>
      <c r="E3925" s="7" t="s">
        <v>156</v>
      </c>
      <c r="F3925" s="39" t="n">
        <v>45852</v>
      </c>
      <c r="G3925" s="41" t="n">
        <v>145.86</v>
      </c>
      <c r="H3925" s="39" t="n">
        <v>45865</v>
      </c>
      <c r="I3925" s="7" t="s">
        <v>14651</v>
      </c>
      <c r="J3925" s="8" t="str">
        <f aca="false">IF(I3925="Open",DATE(2025,12,31)-F3925,"-")</f>
        <v>-</v>
      </c>
    </row>
    <row r="3926" customFormat="false" ht="15" hidden="false" customHeight="false" outlineLevel="0" collapsed="false">
      <c r="B3926" s="7" t="s">
        <v>18571</v>
      </c>
      <c r="C3926" s="7" t="s">
        <v>4423</v>
      </c>
      <c r="D3926" s="7" t="s">
        <v>317</v>
      </c>
      <c r="E3926" s="7" t="s">
        <v>156</v>
      </c>
      <c r="F3926" s="39" t="n">
        <v>45852</v>
      </c>
      <c r="G3926" s="41" t="n">
        <v>97.92</v>
      </c>
      <c r="H3926" s="39" t="n">
        <v>45865</v>
      </c>
      <c r="I3926" s="7" t="s">
        <v>14651</v>
      </c>
      <c r="J3926" s="8" t="str">
        <f aca="false">IF(I3926="Open",DATE(2025,12,31)-F3926,"-")</f>
        <v>-</v>
      </c>
    </row>
    <row r="3927" customFormat="false" ht="15" hidden="false" customHeight="false" outlineLevel="0" collapsed="false">
      <c r="B3927" s="7" t="s">
        <v>18572</v>
      </c>
      <c r="C3927" s="7" t="s">
        <v>4424</v>
      </c>
      <c r="D3927" s="7" t="s">
        <v>321</v>
      </c>
      <c r="E3927" s="7" t="s">
        <v>154</v>
      </c>
      <c r="F3927" s="39" t="n">
        <v>45852</v>
      </c>
      <c r="G3927" s="41" t="n">
        <v>106.8</v>
      </c>
      <c r="H3927" s="39" t="n">
        <v>45883</v>
      </c>
      <c r="I3927" s="7" t="s">
        <v>14651</v>
      </c>
      <c r="J3927" s="8" t="str">
        <f aca="false">IF(I3927="Open",DATE(2025,12,31)-F3927,"-")</f>
        <v>-</v>
      </c>
    </row>
    <row r="3928" customFormat="false" ht="15" hidden="false" customHeight="false" outlineLevel="0" collapsed="false">
      <c r="B3928" s="7" t="s">
        <v>18573</v>
      </c>
      <c r="C3928" s="7" t="s">
        <v>4425</v>
      </c>
      <c r="D3928" s="7" t="s">
        <v>325</v>
      </c>
      <c r="E3928" s="7" t="s">
        <v>154</v>
      </c>
      <c r="F3928" s="39" t="n">
        <v>45852</v>
      </c>
      <c r="G3928" s="41" t="n">
        <v>84.06</v>
      </c>
      <c r="H3928" s="39" t="n">
        <v>45953</v>
      </c>
      <c r="I3928" s="7" t="s">
        <v>14651</v>
      </c>
      <c r="J3928" s="8" t="str">
        <f aca="false">IF(I3928="Open",DATE(2025,12,31)-F3928,"-")</f>
        <v>-</v>
      </c>
    </row>
    <row r="3929" customFormat="false" ht="15" hidden="false" customHeight="false" outlineLevel="0" collapsed="false">
      <c r="B3929" s="7" t="s">
        <v>18574</v>
      </c>
      <c r="C3929" s="7" t="s">
        <v>4426</v>
      </c>
      <c r="D3929" s="7" t="s">
        <v>329</v>
      </c>
      <c r="E3929" s="7" t="s">
        <v>156</v>
      </c>
      <c r="F3929" s="39" t="n">
        <v>45852</v>
      </c>
      <c r="G3929" s="41" t="n">
        <v>128.18</v>
      </c>
      <c r="H3929" s="39" t="n">
        <v>45867</v>
      </c>
      <c r="I3929" s="7" t="s">
        <v>14651</v>
      </c>
      <c r="J3929" s="8" t="str">
        <f aca="false">IF(I3929="Open",DATE(2025,12,31)-F3929,"-")</f>
        <v>-</v>
      </c>
    </row>
    <row r="3930" customFormat="false" ht="15" hidden="false" customHeight="false" outlineLevel="0" collapsed="false">
      <c r="B3930" s="7" t="s">
        <v>18575</v>
      </c>
      <c r="C3930" s="7" t="s">
        <v>4427</v>
      </c>
      <c r="D3930" s="7" t="s">
        <v>331</v>
      </c>
      <c r="E3930" s="7" t="s">
        <v>156</v>
      </c>
      <c r="F3930" s="39" t="n">
        <v>45852</v>
      </c>
      <c r="G3930" s="41" t="n">
        <v>132.94</v>
      </c>
      <c r="H3930" s="39" t="n">
        <v>45866</v>
      </c>
      <c r="I3930" s="7" t="s">
        <v>14651</v>
      </c>
      <c r="J3930" s="8" t="str">
        <f aca="false">IF(I3930="Open",DATE(2025,12,31)-F3930,"-")</f>
        <v>-</v>
      </c>
    </row>
    <row r="3931" customFormat="false" ht="15" hidden="false" customHeight="false" outlineLevel="0" collapsed="false">
      <c r="B3931" s="7" t="s">
        <v>18576</v>
      </c>
      <c r="C3931" s="7" t="s">
        <v>4428</v>
      </c>
      <c r="D3931" s="7" t="s">
        <v>335</v>
      </c>
      <c r="E3931" s="7" t="s">
        <v>154</v>
      </c>
      <c r="F3931" s="39" t="n">
        <v>45852</v>
      </c>
      <c r="G3931" s="41" t="n">
        <v>104.68</v>
      </c>
      <c r="H3931" s="39" t="n">
        <v>45970</v>
      </c>
      <c r="I3931" s="7" t="s">
        <v>14651</v>
      </c>
      <c r="J3931" s="8" t="str">
        <f aca="false">IF(I3931="Open",DATE(2025,12,31)-F3931,"-")</f>
        <v>-</v>
      </c>
    </row>
    <row r="3932" customFormat="false" ht="15" hidden="false" customHeight="false" outlineLevel="0" collapsed="false">
      <c r="B3932" s="7" t="s">
        <v>18577</v>
      </c>
      <c r="C3932" s="7" t="s">
        <v>4429</v>
      </c>
      <c r="D3932" s="7" t="s">
        <v>337</v>
      </c>
      <c r="E3932" s="7" t="s">
        <v>154</v>
      </c>
      <c r="F3932" s="39" t="n">
        <v>45852</v>
      </c>
      <c r="G3932" s="41" t="n">
        <v>82.15</v>
      </c>
      <c r="H3932" s="39" t="n">
        <v>45920</v>
      </c>
      <c r="I3932" s="7" t="s">
        <v>14651</v>
      </c>
      <c r="J3932" s="8" t="str">
        <f aca="false">IF(I3932="Open",DATE(2025,12,31)-F3932,"-")</f>
        <v>-</v>
      </c>
    </row>
    <row r="3933" customFormat="false" ht="15" hidden="false" customHeight="false" outlineLevel="0" collapsed="false">
      <c r="B3933" s="7" t="s">
        <v>18578</v>
      </c>
      <c r="C3933" s="7" t="s">
        <v>4430</v>
      </c>
      <c r="D3933" s="7" t="s">
        <v>339</v>
      </c>
      <c r="E3933" s="7" t="s">
        <v>154</v>
      </c>
      <c r="F3933" s="39" t="n">
        <v>45852</v>
      </c>
      <c r="G3933" s="41" t="n">
        <v>89.57</v>
      </c>
      <c r="H3933" s="39" t="n">
        <v>45890</v>
      </c>
      <c r="I3933" s="7" t="s">
        <v>14651</v>
      </c>
      <c r="J3933" s="8" t="str">
        <f aca="false">IF(I3933="Open",DATE(2025,12,31)-F3933,"-")</f>
        <v>-</v>
      </c>
    </row>
    <row r="3934" customFormat="false" ht="15" hidden="false" customHeight="false" outlineLevel="0" collapsed="false">
      <c r="B3934" s="7" t="s">
        <v>18579</v>
      </c>
      <c r="C3934" s="7" t="s">
        <v>4431</v>
      </c>
      <c r="D3934" s="7" t="s">
        <v>341</v>
      </c>
      <c r="E3934" s="7" t="s">
        <v>156</v>
      </c>
      <c r="F3934" s="39" t="n">
        <v>45852</v>
      </c>
      <c r="G3934" s="41" t="n">
        <v>107.78</v>
      </c>
      <c r="H3934" s="39" t="n">
        <v>45865</v>
      </c>
      <c r="I3934" s="7" t="s">
        <v>14651</v>
      </c>
      <c r="J3934" s="8" t="str">
        <f aca="false">IF(I3934="Open",DATE(2025,12,31)-F3934,"-")</f>
        <v>-</v>
      </c>
    </row>
    <row r="3935" customFormat="false" ht="15" hidden="false" customHeight="false" outlineLevel="0" collapsed="false">
      <c r="B3935" s="7" t="s">
        <v>18580</v>
      </c>
      <c r="C3935" s="7" t="s">
        <v>4432</v>
      </c>
      <c r="D3935" s="7" t="s">
        <v>343</v>
      </c>
      <c r="E3935" s="7" t="s">
        <v>154</v>
      </c>
      <c r="F3935" s="39" t="n">
        <v>45852</v>
      </c>
      <c r="G3935" s="41" t="n">
        <v>105.2</v>
      </c>
      <c r="H3935" s="39" t="n">
        <v>45893</v>
      </c>
      <c r="I3935" s="7" t="s">
        <v>14651</v>
      </c>
      <c r="J3935" s="8" t="str">
        <f aca="false">IF(I3935="Open",DATE(2025,12,31)-F3935,"-")</f>
        <v>-</v>
      </c>
    </row>
    <row r="3936" customFormat="false" ht="15" hidden="false" customHeight="false" outlineLevel="0" collapsed="false">
      <c r="B3936" s="7" t="s">
        <v>18581</v>
      </c>
      <c r="C3936" s="7" t="s">
        <v>4433</v>
      </c>
      <c r="D3936" s="7" t="s">
        <v>347</v>
      </c>
      <c r="E3936" s="7" t="s">
        <v>154</v>
      </c>
      <c r="F3936" s="39" t="n">
        <v>45852</v>
      </c>
      <c r="G3936" s="41" t="n">
        <v>123.23</v>
      </c>
      <c r="H3936" s="39" t="n">
        <v>45898</v>
      </c>
      <c r="I3936" s="7" t="s">
        <v>14651</v>
      </c>
      <c r="J3936" s="8" t="str">
        <f aca="false">IF(I3936="Open",DATE(2025,12,31)-F3936,"-")</f>
        <v>-</v>
      </c>
    </row>
    <row r="3937" customFormat="false" ht="15" hidden="false" customHeight="false" outlineLevel="0" collapsed="false">
      <c r="B3937" s="7" t="s">
        <v>18582</v>
      </c>
      <c r="C3937" s="7" t="s">
        <v>4434</v>
      </c>
      <c r="D3937" s="7" t="s">
        <v>351</v>
      </c>
      <c r="E3937" s="7" t="s">
        <v>154</v>
      </c>
      <c r="F3937" s="39" t="n">
        <v>45852</v>
      </c>
      <c r="G3937" s="41" t="n">
        <v>77.62</v>
      </c>
      <c r="H3937" s="39" t="n">
        <v>45913</v>
      </c>
      <c r="I3937" s="7" t="s">
        <v>14651</v>
      </c>
      <c r="J3937" s="8" t="str">
        <f aca="false">IF(I3937="Open",DATE(2025,12,31)-F3937,"-")</f>
        <v>-</v>
      </c>
    </row>
    <row r="3938" customFormat="false" ht="15" hidden="false" customHeight="false" outlineLevel="0" collapsed="false">
      <c r="B3938" s="7" t="s">
        <v>18583</v>
      </c>
      <c r="C3938" s="7" t="s">
        <v>4435</v>
      </c>
      <c r="D3938" s="7" t="s">
        <v>353</v>
      </c>
      <c r="E3938" s="7" t="s">
        <v>154</v>
      </c>
      <c r="F3938" s="39" t="n">
        <v>45852</v>
      </c>
      <c r="G3938" s="41" t="n">
        <v>78.65</v>
      </c>
      <c r="H3938" s="39" t="n">
        <v>45901</v>
      </c>
      <c r="I3938" s="7" t="s">
        <v>14651</v>
      </c>
      <c r="J3938" s="8" t="str">
        <f aca="false">IF(I3938="Open",DATE(2025,12,31)-F3938,"-")</f>
        <v>-</v>
      </c>
    </row>
    <row r="3939" customFormat="false" ht="15" hidden="false" customHeight="false" outlineLevel="0" collapsed="false">
      <c r="B3939" s="7" t="s">
        <v>18584</v>
      </c>
      <c r="C3939" s="7" t="s">
        <v>4436</v>
      </c>
      <c r="D3939" s="7" t="s">
        <v>355</v>
      </c>
      <c r="E3939" s="7" t="s">
        <v>154</v>
      </c>
      <c r="F3939" s="39" t="n">
        <v>45852</v>
      </c>
      <c r="G3939" s="41" t="n">
        <v>95.66</v>
      </c>
      <c r="H3939" s="39" t="n">
        <v>45898</v>
      </c>
      <c r="I3939" s="7" t="s">
        <v>14651</v>
      </c>
      <c r="J3939" s="8" t="str">
        <f aca="false">IF(I3939="Open",DATE(2025,12,31)-F3939,"-")</f>
        <v>-</v>
      </c>
    </row>
    <row r="3940" customFormat="false" ht="15" hidden="false" customHeight="false" outlineLevel="0" collapsed="false">
      <c r="B3940" s="7" t="s">
        <v>18585</v>
      </c>
      <c r="C3940" s="7" t="s">
        <v>4437</v>
      </c>
      <c r="D3940" s="7" t="s">
        <v>357</v>
      </c>
      <c r="E3940" s="7" t="s">
        <v>154</v>
      </c>
      <c r="F3940" s="39" t="n">
        <v>45852</v>
      </c>
      <c r="G3940" s="41" t="n">
        <v>81.09</v>
      </c>
      <c r="H3940" s="39" t="n">
        <v>45906</v>
      </c>
      <c r="I3940" s="7" t="s">
        <v>14651</v>
      </c>
      <c r="J3940" s="8" t="str">
        <f aca="false">IF(I3940="Open",DATE(2025,12,31)-F3940,"-")</f>
        <v>-</v>
      </c>
    </row>
    <row r="3941" customFormat="false" ht="15" hidden="false" customHeight="false" outlineLevel="0" collapsed="false">
      <c r="B3941" s="7" t="s">
        <v>18586</v>
      </c>
      <c r="C3941" s="7" t="s">
        <v>4438</v>
      </c>
      <c r="D3941" s="7" t="s">
        <v>359</v>
      </c>
      <c r="E3941" s="7" t="s">
        <v>156</v>
      </c>
      <c r="F3941" s="39" t="n">
        <v>45852</v>
      </c>
      <c r="G3941" s="41" t="n">
        <v>142.46</v>
      </c>
      <c r="H3941" s="39" t="n">
        <v>45861</v>
      </c>
      <c r="I3941" s="7" t="s">
        <v>14651</v>
      </c>
      <c r="J3941" s="8" t="str">
        <f aca="false">IF(I3941="Open",DATE(2025,12,31)-F3941,"-")</f>
        <v>-</v>
      </c>
    </row>
    <row r="3942" customFormat="false" ht="15" hidden="false" customHeight="false" outlineLevel="0" collapsed="false">
      <c r="B3942" s="7" t="s">
        <v>18587</v>
      </c>
      <c r="C3942" s="7" t="s">
        <v>4439</v>
      </c>
      <c r="D3942" s="7" t="s">
        <v>363</v>
      </c>
      <c r="E3942" s="7" t="s">
        <v>156</v>
      </c>
      <c r="F3942" s="39" t="n">
        <v>45852</v>
      </c>
      <c r="G3942" s="41" t="n">
        <v>132.26</v>
      </c>
      <c r="H3942" s="39" t="n">
        <v>45859</v>
      </c>
      <c r="I3942" s="7" t="s">
        <v>14651</v>
      </c>
      <c r="J3942" s="8" t="str">
        <f aca="false">IF(I3942="Open",DATE(2025,12,31)-F3942,"-")</f>
        <v>-</v>
      </c>
    </row>
    <row r="3943" customFormat="false" ht="15" hidden="false" customHeight="false" outlineLevel="0" collapsed="false">
      <c r="B3943" s="7" t="s">
        <v>18588</v>
      </c>
      <c r="C3943" s="7" t="s">
        <v>4440</v>
      </c>
      <c r="D3943" s="7" t="s">
        <v>365</v>
      </c>
      <c r="E3943" s="7" t="s">
        <v>154</v>
      </c>
      <c r="F3943" s="39" t="n">
        <v>45852</v>
      </c>
      <c r="G3943" s="41" t="n">
        <v>112.89</v>
      </c>
      <c r="H3943" s="39" t="n">
        <v>45918</v>
      </c>
      <c r="I3943" s="7" t="s">
        <v>14651</v>
      </c>
      <c r="J3943" s="8" t="str">
        <f aca="false">IF(I3943="Open",DATE(2025,12,31)-F3943,"-")</f>
        <v>-</v>
      </c>
    </row>
    <row r="3944" customFormat="false" ht="15" hidden="false" customHeight="false" outlineLevel="0" collapsed="false">
      <c r="B3944" s="7" t="s">
        <v>18589</v>
      </c>
      <c r="C3944" s="7" t="s">
        <v>4441</v>
      </c>
      <c r="D3944" s="7" t="s">
        <v>371</v>
      </c>
      <c r="E3944" s="7" t="s">
        <v>154</v>
      </c>
      <c r="F3944" s="39" t="n">
        <v>45852</v>
      </c>
      <c r="G3944" s="41" t="n">
        <v>118.45</v>
      </c>
      <c r="H3944" s="39" t="n">
        <v>45922</v>
      </c>
      <c r="I3944" s="7" t="s">
        <v>14651</v>
      </c>
      <c r="J3944" s="8" t="str">
        <f aca="false">IF(I3944="Open",DATE(2025,12,31)-F3944,"-")</f>
        <v>-</v>
      </c>
    </row>
    <row r="3945" customFormat="false" ht="15" hidden="false" customHeight="false" outlineLevel="0" collapsed="false">
      <c r="B3945" s="7" t="s">
        <v>18590</v>
      </c>
      <c r="C3945" s="7" t="s">
        <v>4442</v>
      </c>
      <c r="D3945" s="7" t="s">
        <v>375</v>
      </c>
      <c r="E3945" s="7" t="s">
        <v>156</v>
      </c>
      <c r="F3945" s="39" t="n">
        <v>45852</v>
      </c>
      <c r="G3945" s="41" t="n">
        <v>110.16</v>
      </c>
      <c r="H3945" s="39" t="n">
        <v>45870</v>
      </c>
      <c r="I3945" s="7" t="s">
        <v>14651</v>
      </c>
      <c r="J3945" s="8" t="str">
        <f aca="false">IF(I3945="Open",DATE(2025,12,31)-F3945,"-")</f>
        <v>-</v>
      </c>
    </row>
    <row r="3946" customFormat="false" ht="15" hidden="false" customHeight="false" outlineLevel="0" collapsed="false">
      <c r="B3946" s="7" t="s">
        <v>18591</v>
      </c>
      <c r="C3946" s="7" t="s">
        <v>4443</v>
      </c>
      <c r="D3946" s="7" t="s">
        <v>377</v>
      </c>
      <c r="E3946" s="7" t="s">
        <v>154</v>
      </c>
      <c r="F3946" s="39" t="n">
        <v>45852</v>
      </c>
      <c r="G3946" s="41" t="n">
        <v>106.8</v>
      </c>
      <c r="H3946" s="39" t="n">
        <v>45952</v>
      </c>
      <c r="I3946" s="7" t="s">
        <v>14651</v>
      </c>
      <c r="J3946" s="8" t="str">
        <f aca="false">IF(I3946="Open",DATE(2025,12,31)-F3946,"-")</f>
        <v>-</v>
      </c>
    </row>
    <row r="3947" customFormat="false" ht="15" hidden="false" customHeight="false" outlineLevel="0" collapsed="false">
      <c r="B3947" s="7" t="s">
        <v>18592</v>
      </c>
      <c r="C3947" s="7" t="s">
        <v>4444</v>
      </c>
      <c r="D3947" s="7" t="s">
        <v>379</v>
      </c>
      <c r="E3947" s="7" t="s">
        <v>156</v>
      </c>
      <c r="F3947" s="39" t="n">
        <v>45852</v>
      </c>
      <c r="G3947" s="41" t="n">
        <v>160.48</v>
      </c>
      <c r="H3947" s="39" t="n">
        <v>45866</v>
      </c>
      <c r="I3947" s="7" t="s">
        <v>14651</v>
      </c>
      <c r="J3947" s="8" t="str">
        <f aca="false">IF(I3947="Open",DATE(2025,12,31)-F3947,"-")</f>
        <v>-</v>
      </c>
    </row>
    <row r="3948" customFormat="false" ht="15" hidden="false" customHeight="false" outlineLevel="0" collapsed="false">
      <c r="B3948" s="7" t="s">
        <v>18593</v>
      </c>
      <c r="C3948" s="7" t="s">
        <v>4445</v>
      </c>
      <c r="D3948" s="7" t="s">
        <v>385</v>
      </c>
      <c r="E3948" s="7" t="s">
        <v>156</v>
      </c>
      <c r="F3948" s="39" t="n">
        <v>45852</v>
      </c>
      <c r="G3948" s="41" t="n">
        <v>141.1</v>
      </c>
      <c r="H3948" s="39" t="n">
        <v>45876</v>
      </c>
      <c r="I3948" s="7" t="s">
        <v>14651</v>
      </c>
      <c r="J3948" s="8" t="str">
        <f aca="false">IF(I3948="Open",DATE(2025,12,31)-F3948,"-")</f>
        <v>-</v>
      </c>
    </row>
    <row r="3949" customFormat="false" ht="15" hidden="false" customHeight="false" outlineLevel="0" collapsed="false">
      <c r="B3949" s="7" t="s">
        <v>18594</v>
      </c>
      <c r="C3949" s="7" t="s">
        <v>4446</v>
      </c>
      <c r="D3949" s="7" t="s">
        <v>389</v>
      </c>
      <c r="E3949" s="7" t="s">
        <v>154</v>
      </c>
      <c r="F3949" s="39" t="n">
        <v>45852</v>
      </c>
      <c r="G3949" s="41" t="n">
        <v>109.44</v>
      </c>
      <c r="H3949" s="39" t="n">
        <v>45901</v>
      </c>
      <c r="I3949" s="7" t="s">
        <v>14651</v>
      </c>
      <c r="J3949" s="8" t="str">
        <f aca="false">IF(I3949="Open",DATE(2025,12,31)-F3949,"-")</f>
        <v>-</v>
      </c>
    </row>
    <row r="3950" customFormat="false" ht="15" hidden="false" customHeight="false" outlineLevel="0" collapsed="false">
      <c r="B3950" s="7" t="s">
        <v>18595</v>
      </c>
      <c r="C3950" s="7" t="s">
        <v>4447</v>
      </c>
      <c r="D3950" s="7" t="s">
        <v>391</v>
      </c>
      <c r="E3950" s="7" t="s">
        <v>156</v>
      </c>
      <c r="F3950" s="39" t="n">
        <v>45852</v>
      </c>
      <c r="G3950" s="41" t="n">
        <v>142.8</v>
      </c>
      <c r="H3950" s="39" t="n">
        <v>45867</v>
      </c>
      <c r="I3950" s="7" t="s">
        <v>14651</v>
      </c>
      <c r="J3950" s="8" t="str">
        <f aca="false">IF(I3950="Open",DATE(2025,12,31)-F3950,"-")</f>
        <v>-</v>
      </c>
    </row>
    <row r="3951" customFormat="false" ht="15" hidden="false" customHeight="false" outlineLevel="0" collapsed="false">
      <c r="B3951" s="7" t="s">
        <v>18596</v>
      </c>
      <c r="C3951" s="7" t="s">
        <v>4448</v>
      </c>
      <c r="D3951" s="7" t="s">
        <v>395</v>
      </c>
      <c r="E3951" s="7" t="s">
        <v>156</v>
      </c>
      <c r="F3951" s="39" t="n">
        <v>45852</v>
      </c>
      <c r="G3951" s="41" t="n">
        <v>132.6</v>
      </c>
      <c r="H3951" s="39" t="n">
        <v>45863</v>
      </c>
      <c r="I3951" s="7" t="s">
        <v>14651</v>
      </c>
      <c r="J3951" s="8" t="str">
        <f aca="false">IF(I3951="Open",DATE(2025,12,31)-F3951,"-")</f>
        <v>-</v>
      </c>
    </row>
    <row r="3952" customFormat="false" ht="15" hidden="false" customHeight="false" outlineLevel="0" collapsed="false">
      <c r="B3952" s="7" t="s">
        <v>18597</v>
      </c>
      <c r="C3952" s="7" t="s">
        <v>4449</v>
      </c>
      <c r="D3952" s="7" t="s">
        <v>399</v>
      </c>
      <c r="E3952" s="7" t="s">
        <v>154</v>
      </c>
      <c r="F3952" s="39" t="n">
        <v>45852</v>
      </c>
      <c r="G3952" s="41" t="n">
        <v>91.69</v>
      </c>
      <c r="H3952" s="39" t="n">
        <v>45944</v>
      </c>
      <c r="I3952" s="7" t="s">
        <v>14651</v>
      </c>
      <c r="J3952" s="8" t="str">
        <f aca="false">IF(I3952="Open",DATE(2025,12,31)-F3952,"-")</f>
        <v>-</v>
      </c>
    </row>
    <row r="3953" customFormat="false" ht="15" hidden="false" customHeight="false" outlineLevel="0" collapsed="false">
      <c r="B3953" s="7" t="s">
        <v>18598</v>
      </c>
      <c r="C3953" s="7" t="s">
        <v>4450</v>
      </c>
      <c r="D3953" s="7" t="s">
        <v>401</v>
      </c>
      <c r="E3953" s="7" t="s">
        <v>156</v>
      </c>
      <c r="F3953" s="39" t="n">
        <v>45852</v>
      </c>
      <c r="G3953" s="41" t="n">
        <v>127.5</v>
      </c>
      <c r="H3953" s="39" t="n">
        <v>45858</v>
      </c>
      <c r="I3953" s="7" t="s">
        <v>14651</v>
      </c>
      <c r="J3953" s="8" t="str">
        <f aca="false">IF(I3953="Open",DATE(2025,12,31)-F3953,"-")</f>
        <v>-</v>
      </c>
    </row>
    <row r="3954" customFormat="false" ht="15" hidden="false" customHeight="false" outlineLevel="0" collapsed="false">
      <c r="B3954" s="7" t="s">
        <v>18599</v>
      </c>
      <c r="C3954" s="7" t="s">
        <v>4451</v>
      </c>
      <c r="D3954" s="7" t="s">
        <v>409</v>
      </c>
      <c r="E3954" s="7" t="s">
        <v>154</v>
      </c>
      <c r="F3954" s="39" t="n">
        <v>45852</v>
      </c>
      <c r="G3954" s="41" t="n">
        <v>96.19</v>
      </c>
      <c r="H3954" s="39" t="n">
        <v>45915</v>
      </c>
      <c r="I3954" s="7" t="s">
        <v>14651</v>
      </c>
      <c r="J3954" s="8" t="str">
        <f aca="false">IF(I3954="Open",DATE(2025,12,31)-F3954,"-")</f>
        <v>-</v>
      </c>
    </row>
    <row r="3955" customFormat="false" ht="15" hidden="false" customHeight="false" outlineLevel="0" collapsed="false">
      <c r="B3955" s="7" t="s">
        <v>18600</v>
      </c>
      <c r="C3955" s="7" t="s">
        <v>4452</v>
      </c>
      <c r="D3955" s="7" t="s">
        <v>411</v>
      </c>
      <c r="E3955" s="7" t="s">
        <v>154</v>
      </c>
      <c r="F3955" s="39" t="n">
        <v>45852</v>
      </c>
      <c r="G3955" s="41" t="n">
        <v>131.6</v>
      </c>
      <c r="H3955" s="39" t="n">
        <v>45891</v>
      </c>
      <c r="I3955" s="7" t="s">
        <v>14651</v>
      </c>
      <c r="J3955" s="8" t="str">
        <f aca="false">IF(I3955="Open",DATE(2025,12,31)-F3955,"-")</f>
        <v>-</v>
      </c>
    </row>
    <row r="3956" customFormat="false" ht="15" hidden="false" customHeight="false" outlineLevel="0" collapsed="false">
      <c r="B3956" s="7" t="s">
        <v>18601</v>
      </c>
      <c r="C3956" s="7" t="s">
        <v>4453</v>
      </c>
      <c r="D3956" s="7" t="s">
        <v>288</v>
      </c>
      <c r="E3956" s="7" t="s">
        <v>156</v>
      </c>
      <c r="F3956" s="39" t="n">
        <v>45853</v>
      </c>
      <c r="G3956" s="41" t="n">
        <v>126.14</v>
      </c>
      <c r="H3956" s="39" t="n">
        <v>45871</v>
      </c>
      <c r="I3956" s="7" t="s">
        <v>14651</v>
      </c>
      <c r="J3956" s="8" t="str">
        <f aca="false">IF(I3956="Open",DATE(2025,12,31)-F3956,"-")</f>
        <v>-</v>
      </c>
    </row>
    <row r="3957" customFormat="false" ht="15" hidden="false" customHeight="false" outlineLevel="0" collapsed="false">
      <c r="B3957" s="7" t="s">
        <v>18602</v>
      </c>
      <c r="C3957" s="7" t="s">
        <v>4454</v>
      </c>
      <c r="D3957" s="7" t="s">
        <v>301</v>
      </c>
      <c r="E3957" s="7" t="s">
        <v>157</v>
      </c>
      <c r="F3957" s="39" t="n">
        <v>45853</v>
      </c>
      <c r="G3957" s="41" t="n">
        <v>151.8</v>
      </c>
      <c r="H3957" s="39" t="n">
        <v>45879</v>
      </c>
      <c r="I3957" s="7" t="s">
        <v>14651</v>
      </c>
      <c r="J3957" s="8" t="str">
        <f aca="false">IF(I3957="Open",DATE(2025,12,31)-F3957,"-")</f>
        <v>-</v>
      </c>
    </row>
    <row r="3958" customFormat="false" ht="15" hidden="false" customHeight="false" outlineLevel="0" collapsed="false">
      <c r="B3958" s="7" t="s">
        <v>18603</v>
      </c>
      <c r="C3958" s="7" t="s">
        <v>4455</v>
      </c>
      <c r="D3958" s="7" t="s">
        <v>313</v>
      </c>
      <c r="E3958" s="7" t="s">
        <v>156</v>
      </c>
      <c r="F3958" s="39" t="n">
        <v>45853</v>
      </c>
      <c r="G3958" s="41" t="n">
        <v>127.84</v>
      </c>
      <c r="H3958" s="39" t="n">
        <v>45866</v>
      </c>
      <c r="I3958" s="7" t="s">
        <v>14651</v>
      </c>
      <c r="J3958" s="8" t="str">
        <f aca="false">IF(I3958="Open",DATE(2025,12,31)-F3958,"-")</f>
        <v>-</v>
      </c>
    </row>
    <row r="3959" customFormat="false" ht="15" hidden="false" customHeight="false" outlineLevel="0" collapsed="false">
      <c r="B3959" s="7" t="s">
        <v>18604</v>
      </c>
      <c r="C3959" s="7" t="s">
        <v>4456</v>
      </c>
      <c r="D3959" s="7" t="s">
        <v>319</v>
      </c>
      <c r="E3959" s="7" t="s">
        <v>157</v>
      </c>
      <c r="F3959" s="39" t="n">
        <v>45853</v>
      </c>
      <c r="G3959" s="41" t="n">
        <v>174.9</v>
      </c>
      <c r="H3959" s="39" t="n">
        <v>45861</v>
      </c>
      <c r="I3959" s="7" t="s">
        <v>14651</v>
      </c>
      <c r="J3959" s="8" t="str">
        <f aca="false">IF(I3959="Open",DATE(2025,12,31)-F3959,"-")</f>
        <v>-</v>
      </c>
    </row>
    <row r="3960" customFormat="false" ht="15" hidden="false" customHeight="false" outlineLevel="0" collapsed="false">
      <c r="B3960" s="7" t="s">
        <v>18605</v>
      </c>
      <c r="C3960" s="7" t="s">
        <v>4457</v>
      </c>
      <c r="D3960" s="7" t="s">
        <v>321</v>
      </c>
      <c r="E3960" s="7" t="s">
        <v>154</v>
      </c>
      <c r="F3960" s="39" t="n">
        <v>45853</v>
      </c>
      <c r="G3960" s="41" t="n">
        <v>116.33</v>
      </c>
      <c r="H3960" s="39" t="n">
        <v>45915</v>
      </c>
      <c r="I3960" s="7" t="s">
        <v>14651</v>
      </c>
      <c r="J3960" s="8" t="str">
        <f aca="false">IF(I3960="Open",DATE(2025,12,31)-F3960,"-")</f>
        <v>-</v>
      </c>
    </row>
    <row r="3961" customFormat="false" ht="15" hidden="false" customHeight="false" outlineLevel="0" collapsed="false">
      <c r="B3961" s="7" t="s">
        <v>18606</v>
      </c>
      <c r="C3961" s="7" t="s">
        <v>4458</v>
      </c>
      <c r="D3961" s="7" t="s">
        <v>323</v>
      </c>
      <c r="E3961" s="7" t="s">
        <v>159</v>
      </c>
      <c r="F3961" s="39" t="n">
        <v>45853</v>
      </c>
      <c r="G3961" s="41" t="n">
        <v>137.7</v>
      </c>
      <c r="H3961" s="39" t="n">
        <v>45877</v>
      </c>
      <c r="I3961" s="7" t="s">
        <v>14651</v>
      </c>
      <c r="J3961" s="8" t="str">
        <f aca="false">IF(I3961="Open",DATE(2025,12,31)-F3961,"-")</f>
        <v>-</v>
      </c>
    </row>
    <row r="3962" customFormat="false" ht="15" hidden="false" customHeight="false" outlineLevel="0" collapsed="false">
      <c r="B3962" s="7" t="s">
        <v>18607</v>
      </c>
      <c r="C3962" s="7" t="s">
        <v>4459</v>
      </c>
      <c r="D3962" s="7" t="s">
        <v>327</v>
      </c>
      <c r="E3962" s="7" t="s">
        <v>157</v>
      </c>
      <c r="F3962" s="39" t="n">
        <v>45853</v>
      </c>
      <c r="G3962" s="41" t="n">
        <v>156.75</v>
      </c>
      <c r="H3962" s="39" t="n">
        <v>45919</v>
      </c>
      <c r="I3962" s="7" t="s">
        <v>14651</v>
      </c>
      <c r="J3962" s="8" t="str">
        <f aca="false">IF(I3962="Open",DATE(2025,12,31)-F3962,"-")</f>
        <v>-</v>
      </c>
    </row>
    <row r="3963" customFormat="false" ht="15" hidden="false" customHeight="false" outlineLevel="0" collapsed="false">
      <c r="B3963" s="7" t="s">
        <v>18608</v>
      </c>
      <c r="C3963" s="7" t="s">
        <v>4460</v>
      </c>
      <c r="D3963" s="7" t="s">
        <v>359</v>
      </c>
      <c r="E3963" s="7" t="s">
        <v>156</v>
      </c>
      <c r="F3963" s="39" t="n">
        <v>45853</v>
      </c>
      <c r="G3963" s="41" t="n">
        <v>146.88</v>
      </c>
      <c r="H3963" s="39" t="n">
        <v>45870</v>
      </c>
      <c r="I3963" s="7" t="s">
        <v>14651</v>
      </c>
      <c r="J3963" s="8" t="str">
        <f aca="false">IF(I3963="Open",DATE(2025,12,31)-F3963,"-")</f>
        <v>-</v>
      </c>
    </row>
    <row r="3964" customFormat="false" ht="15" hidden="false" customHeight="false" outlineLevel="0" collapsed="false">
      <c r="B3964" s="7" t="s">
        <v>18609</v>
      </c>
      <c r="C3964" s="7" t="s">
        <v>4461</v>
      </c>
      <c r="D3964" s="7" t="s">
        <v>361</v>
      </c>
      <c r="E3964" s="7" t="s">
        <v>157</v>
      </c>
      <c r="F3964" s="39" t="n">
        <v>45853</v>
      </c>
      <c r="G3964" s="41" t="n">
        <v>156.75</v>
      </c>
      <c r="H3964" s="39" t="n">
        <v>45883</v>
      </c>
      <c r="I3964" s="7" t="s">
        <v>14651</v>
      </c>
      <c r="J3964" s="8" t="str">
        <f aca="false">IF(I3964="Open",DATE(2025,12,31)-F3964,"-")</f>
        <v>-</v>
      </c>
    </row>
    <row r="3965" customFormat="false" ht="15" hidden="false" customHeight="false" outlineLevel="0" collapsed="false">
      <c r="B3965" s="7" t="s">
        <v>18610</v>
      </c>
      <c r="C3965" s="7" t="s">
        <v>4462</v>
      </c>
      <c r="D3965" s="7" t="s">
        <v>365</v>
      </c>
      <c r="E3965" s="7" t="s">
        <v>154</v>
      </c>
      <c r="F3965" s="39" t="n">
        <v>45853</v>
      </c>
      <c r="G3965" s="41" t="n">
        <v>101.23</v>
      </c>
      <c r="H3965" s="39" t="n">
        <v>45895</v>
      </c>
      <c r="I3965" s="7" t="s">
        <v>14651</v>
      </c>
      <c r="J3965" s="8" t="str">
        <f aca="false">IF(I3965="Open",DATE(2025,12,31)-F3965,"-")</f>
        <v>-</v>
      </c>
    </row>
    <row r="3966" customFormat="false" ht="15" hidden="false" customHeight="false" outlineLevel="0" collapsed="false">
      <c r="B3966" s="7" t="s">
        <v>18611</v>
      </c>
      <c r="C3966" s="7" t="s">
        <v>4463</v>
      </c>
      <c r="D3966" s="7" t="s">
        <v>381</v>
      </c>
      <c r="E3966" s="7" t="s">
        <v>157</v>
      </c>
      <c r="F3966" s="39" t="n">
        <v>45853</v>
      </c>
      <c r="G3966" s="41" t="n">
        <v>161.37</v>
      </c>
      <c r="H3966" s="39" t="n">
        <v>45879</v>
      </c>
      <c r="I3966" s="7" t="s">
        <v>14651</v>
      </c>
      <c r="J3966" s="8" t="str">
        <f aca="false">IF(I3966="Open",DATE(2025,12,31)-F3966,"-")</f>
        <v>-</v>
      </c>
    </row>
    <row r="3967" customFormat="false" ht="15" hidden="false" customHeight="false" outlineLevel="0" collapsed="false">
      <c r="B3967" s="7" t="s">
        <v>18612</v>
      </c>
      <c r="C3967" s="7" t="s">
        <v>4464</v>
      </c>
      <c r="D3967" s="7" t="s">
        <v>389</v>
      </c>
      <c r="E3967" s="7" t="s">
        <v>154</v>
      </c>
      <c r="F3967" s="39" t="n">
        <v>45853</v>
      </c>
      <c r="G3967" s="41" t="n">
        <v>110.53</v>
      </c>
      <c r="H3967" s="39" t="n">
        <v>45968</v>
      </c>
      <c r="I3967" s="7" t="s">
        <v>14651</v>
      </c>
      <c r="J3967" s="8" t="str">
        <f aca="false">IF(I3967="Open",DATE(2025,12,31)-F3967,"-")</f>
        <v>-</v>
      </c>
    </row>
    <row r="3968" customFormat="false" ht="15" hidden="false" customHeight="false" outlineLevel="0" collapsed="false">
      <c r="B3968" s="7" t="s">
        <v>18613</v>
      </c>
      <c r="C3968" s="7" t="s">
        <v>4465</v>
      </c>
      <c r="D3968" s="7" t="s">
        <v>391</v>
      </c>
      <c r="E3968" s="7" t="s">
        <v>156</v>
      </c>
      <c r="F3968" s="39" t="n">
        <v>45853</v>
      </c>
      <c r="G3968" s="41" t="n">
        <v>138.04</v>
      </c>
      <c r="H3968" s="39" t="n">
        <v>45867</v>
      </c>
      <c r="I3968" s="7" t="s">
        <v>14651</v>
      </c>
      <c r="J3968" s="8" t="str">
        <f aca="false">IF(I3968="Open",DATE(2025,12,31)-F3968,"-")</f>
        <v>-</v>
      </c>
    </row>
    <row r="3969" customFormat="false" ht="15" hidden="false" customHeight="false" outlineLevel="0" collapsed="false">
      <c r="B3969" s="7" t="s">
        <v>18614</v>
      </c>
      <c r="C3969" s="7" t="s">
        <v>4466</v>
      </c>
      <c r="D3969" s="7" t="s">
        <v>395</v>
      </c>
      <c r="E3969" s="7" t="s">
        <v>156</v>
      </c>
      <c r="F3969" s="39" t="n">
        <v>45853</v>
      </c>
      <c r="G3969" s="41" t="n">
        <v>135.32</v>
      </c>
      <c r="H3969" s="39" t="n">
        <v>45863</v>
      </c>
      <c r="I3969" s="7" t="s">
        <v>14651</v>
      </c>
      <c r="J3969" s="8" t="str">
        <f aca="false">IF(I3969="Open",DATE(2025,12,31)-F3969,"-")</f>
        <v>-</v>
      </c>
    </row>
    <row r="3970" customFormat="false" ht="15" hidden="false" customHeight="false" outlineLevel="0" collapsed="false">
      <c r="B3970" s="7" t="s">
        <v>18615</v>
      </c>
      <c r="C3970" s="7" t="s">
        <v>4467</v>
      </c>
      <c r="D3970" s="7" t="s">
        <v>397</v>
      </c>
      <c r="E3970" s="7" t="s">
        <v>159</v>
      </c>
      <c r="F3970" s="39" t="n">
        <v>45853</v>
      </c>
      <c r="G3970" s="41" t="n">
        <v>128.25</v>
      </c>
      <c r="H3970" s="39" t="n">
        <v>45949</v>
      </c>
      <c r="I3970" s="7" t="s">
        <v>14651</v>
      </c>
      <c r="J3970" s="8" t="str">
        <f aca="false">IF(I3970="Open",DATE(2025,12,31)-F3970,"-")</f>
        <v>-</v>
      </c>
    </row>
    <row r="3971" customFormat="false" ht="15" hidden="false" customHeight="false" outlineLevel="0" collapsed="false">
      <c r="B3971" s="7" t="s">
        <v>18616</v>
      </c>
      <c r="C3971" s="7" t="s">
        <v>4468</v>
      </c>
      <c r="D3971" s="7" t="s">
        <v>401</v>
      </c>
      <c r="E3971" s="7" t="s">
        <v>156</v>
      </c>
      <c r="F3971" s="39" t="n">
        <v>45853</v>
      </c>
      <c r="G3971" s="41" t="n">
        <v>136.34</v>
      </c>
      <c r="H3971" s="39" t="n">
        <v>45868</v>
      </c>
      <c r="I3971" s="7" t="s">
        <v>14651</v>
      </c>
      <c r="J3971" s="8" t="str">
        <f aca="false">IF(I3971="Open",DATE(2025,12,31)-F3971,"-")</f>
        <v>-</v>
      </c>
    </row>
    <row r="3972" customFormat="false" ht="15" hidden="false" customHeight="false" outlineLevel="0" collapsed="false">
      <c r="B3972" s="7" t="s">
        <v>18617</v>
      </c>
      <c r="C3972" s="7" t="s">
        <v>4469</v>
      </c>
      <c r="D3972" s="7" t="s">
        <v>407</v>
      </c>
      <c r="E3972" s="7" t="s">
        <v>159</v>
      </c>
      <c r="F3972" s="39" t="n">
        <v>45853</v>
      </c>
      <c r="G3972" s="41" t="n">
        <v>140.4</v>
      </c>
      <c r="H3972" s="39" t="n">
        <v>45905</v>
      </c>
      <c r="I3972" s="7" t="s">
        <v>14651</v>
      </c>
      <c r="J3972" s="8" t="str">
        <f aca="false">IF(I3972="Open",DATE(2025,12,31)-F3972,"-")</f>
        <v>-</v>
      </c>
    </row>
    <row r="3973" customFormat="false" ht="15" hidden="false" customHeight="false" outlineLevel="0" collapsed="false">
      <c r="B3973" s="7" t="s">
        <v>18618</v>
      </c>
      <c r="C3973" s="7" t="s">
        <v>4470</v>
      </c>
      <c r="D3973" s="7" t="s">
        <v>280</v>
      </c>
      <c r="E3973" s="7" t="s">
        <v>157</v>
      </c>
      <c r="F3973" s="39" t="n">
        <v>45854</v>
      </c>
      <c r="G3973" s="41" t="n">
        <v>156.75</v>
      </c>
      <c r="H3973" s="39" t="n">
        <v>45883</v>
      </c>
      <c r="I3973" s="7" t="s">
        <v>14651</v>
      </c>
      <c r="J3973" s="8" t="str">
        <f aca="false">IF(I3973="Open",DATE(2025,12,31)-F3973,"-")</f>
        <v>-</v>
      </c>
    </row>
    <row r="3974" customFormat="false" ht="15" hidden="false" customHeight="false" outlineLevel="0" collapsed="false">
      <c r="B3974" s="7" t="s">
        <v>18619</v>
      </c>
      <c r="C3974" s="7" t="s">
        <v>4471</v>
      </c>
      <c r="D3974" s="7" t="s">
        <v>288</v>
      </c>
      <c r="E3974" s="7" t="s">
        <v>156</v>
      </c>
      <c r="F3974" s="39" t="n">
        <v>45854</v>
      </c>
      <c r="G3974" s="41" t="n">
        <v>124.78</v>
      </c>
      <c r="H3974" s="39" t="n">
        <v>45859</v>
      </c>
      <c r="I3974" s="7" t="s">
        <v>14651</v>
      </c>
      <c r="J3974" s="8" t="str">
        <f aca="false">IF(I3974="Open",DATE(2025,12,31)-F3974,"-")</f>
        <v>-</v>
      </c>
    </row>
    <row r="3975" customFormat="false" ht="15" hidden="false" customHeight="false" outlineLevel="0" collapsed="false">
      <c r="B3975" s="7" t="s">
        <v>18620</v>
      </c>
      <c r="C3975" s="7" t="s">
        <v>4472</v>
      </c>
      <c r="D3975" s="7" t="s">
        <v>291</v>
      </c>
      <c r="E3975" s="7" t="s">
        <v>154</v>
      </c>
      <c r="F3975" s="39" t="n">
        <v>45854</v>
      </c>
      <c r="G3975" s="41" t="n">
        <v>133.82</v>
      </c>
      <c r="H3975" s="39" t="n">
        <v>45922</v>
      </c>
      <c r="I3975" s="7" t="s">
        <v>14651</v>
      </c>
      <c r="J3975" s="8" t="str">
        <f aca="false">IF(I3975="Open",DATE(2025,12,31)-F3975,"-")</f>
        <v>-</v>
      </c>
    </row>
    <row r="3976" customFormat="false" ht="15" hidden="false" customHeight="false" outlineLevel="0" collapsed="false">
      <c r="B3976" s="7" t="s">
        <v>18621</v>
      </c>
      <c r="C3976" s="7" t="s">
        <v>4473</v>
      </c>
      <c r="D3976" s="7" t="s">
        <v>305</v>
      </c>
      <c r="E3976" s="7" t="s">
        <v>154</v>
      </c>
      <c r="F3976" s="39" t="n">
        <v>45854</v>
      </c>
      <c r="G3976" s="41" t="n">
        <v>95.93</v>
      </c>
      <c r="H3976" s="39" t="n">
        <v>45909</v>
      </c>
      <c r="I3976" s="7" t="s">
        <v>14651</v>
      </c>
      <c r="J3976" s="8" t="str">
        <f aca="false">IF(I3976="Open",DATE(2025,12,31)-F3976,"-")</f>
        <v>-</v>
      </c>
    </row>
    <row r="3977" customFormat="false" ht="15" hidden="false" customHeight="false" outlineLevel="0" collapsed="false">
      <c r="B3977" s="7" t="s">
        <v>18622</v>
      </c>
      <c r="C3977" s="7" t="s">
        <v>4474</v>
      </c>
      <c r="D3977" s="7" t="s">
        <v>307</v>
      </c>
      <c r="E3977" s="7" t="s">
        <v>157</v>
      </c>
      <c r="F3977" s="39" t="n">
        <v>45854</v>
      </c>
      <c r="G3977" s="41" t="n">
        <v>148.83</v>
      </c>
      <c r="H3977" s="39" t="n">
        <v>45884</v>
      </c>
      <c r="I3977" s="7" t="s">
        <v>14651</v>
      </c>
      <c r="J3977" s="8" t="str">
        <f aca="false">IF(I3977="Open",DATE(2025,12,31)-F3977,"-")</f>
        <v>-</v>
      </c>
    </row>
    <row r="3978" customFormat="false" ht="15" hidden="false" customHeight="false" outlineLevel="0" collapsed="false">
      <c r="B3978" s="7" t="s">
        <v>18623</v>
      </c>
      <c r="C3978" s="7" t="s">
        <v>4475</v>
      </c>
      <c r="D3978" s="7" t="s">
        <v>309</v>
      </c>
      <c r="E3978" s="7" t="s">
        <v>159</v>
      </c>
      <c r="F3978" s="39" t="n">
        <v>45854</v>
      </c>
      <c r="G3978" s="41" t="n">
        <v>126.76</v>
      </c>
      <c r="H3978" s="39" t="n">
        <v>45961</v>
      </c>
      <c r="I3978" s="7" t="s">
        <v>14651</v>
      </c>
      <c r="J3978" s="8" t="str">
        <f aca="false">IF(I3978="Open",DATE(2025,12,31)-F3978,"-")</f>
        <v>-</v>
      </c>
    </row>
    <row r="3979" customFormat="false" ht="15" hidden="false" customHeight="false" outlineLevel="0" collapsed="false">
      <c r="B3979" s="7" t="s">
        <v>18624</v>
      </c>
      <c r="C3979" s="7" t="s">
        <v>4476</v>
      </c>
      <c r="D3979" s="7" t="s">
        <v>313</v>
      </c>
      <c r="E3979" s="7" t="s">
        <v>156</v>
      </c>
      <c r="F3979" s="39" t="n">
        <v>45854</v>
      </c>
      <c r="G3979" s="41" t="n">
        <v>124.44</v>
      </c>
      <c r="H3979" s="39" t="n">
        <v>45860</v>
      </c>
      <c r="I3979" s="7" t="s">
        <v>14651</v>
      </c>
      <c r="J3979" s="8" t="str">
        <f aca="false">IF(I3979="Open",DATE(2025,12,31)-F3979,"-")</f>
        <v>-</v>
      </c>
    </row>
    <row r="3980" customFormat="false" ht="15" hidden="false" customHeight="false" outlineLevel="0" collapsed="false">
      <c r="B3980" s="7" t="s">
        <v>18625</v>
      </c>
      <c r="C3980" s="7" t="s">
        <v>4477</v>
      </c>
      <c r="D3980" s="7" t="s">
        <v>321</v>
      </c>
      <c r="E3980" s="7" t="s">
        <v>154</v>
      </c>
      <c r="F3980" s="39" t="n">
        <v>45854</v>
      </c>
      <c r="G3980" s="41" t="n">
        <v>99.48</v>
      </c>
      <c r="H3980" s="39" t="n">
        <v>45905</v>
      </c>
      <c r="I3980" s="7" t="s">
        <v>14651</v>
      </c>
      <c r="J3980" s="8" t="str">
        <f aca="false">IF(I3980="Open",DATE(2025,12,31)-F3980,"-")</f>
        <v>-</v>
      </c>
    </row>
    <row r="3981" customFormat="false" ht="15" hidden="false" customHeight="false" outlineLevel="0" collapsed="false">
      <c r="B3981" s="7" t="s">
        <v>18626</v>
      </c>
      <c r="C3981" s="7" t="s">
        <v>4478</v>
      </c>
      <c r="D3981" s="7" t="s">
        <v>329</v>
      </c>
      <c r="E3981" s="7" t="s">
        <v>156</v>
      </c>
      <c r="F3981" s="39" t="n">
        <v>45854</v>
      </c>
      <c r="G3981" s="41" t="n">
        <v>138.38</v>
      </c>
      <c r="H3981" s="39" t="n">
        <v>45861</v>
      </c>
      <c r="I3981" s="7" t="s">
        <v>14651</v>
      </c>
      <c r="J3981" s="8" t="str">
        <f aca="false">IF(I3981="Open",DATE(2025,12,31)-F3981,"-")</f>
        <v>-</v>
      </c>
    </row>
    <row r="3982" customFormat="false" ht="15" hidden="false" customHeight="false" outlineLevel="0" collapsed="false">
      <c r="B3982" s="7" t="s">
        <v>18627</v>
      </c>
      <c r="C3982" s="7" t="s">
        <v>4479</v>
      </c>
      <c r="D3982" s="7" t="s">
        <v>335</v>
      </c>
      <c r="E3982" s="7" t="s">
        <v>154</v>
      </c>
      <c r="F3982" s="39" t="n">
        <v>45854</v>
      </c>
      <c r="G3982" s="41" t="n">
        <v>108.65</v>
      </c>
      <c r="H3982" s="39" t="n">
        <v>45889</v>
      </c>
      <c r="I3982" s="7" t="s">
        <v>14651</v>
      </c>
      <c r="J3982" s="8" t="str">
        <f aca="false">IF(I3982="Open",DATE(2025,12,31)-F3982,"-")</f>
        <v>-</v>
      </c>
    </row>
    <row r="3983" customFormat="false" ht="15" hidden="false" customHeight="false" outlineLevel="0" collapsed="false">
      <c r="B3983" s="7" t="s">
        <v>18628</v>
      </c>
      <c r="C3983" s="7" t="s">
        <v>4480</v>
      </c>
      <c r="D3983" s="7" t="s">
        <v>339</v>
      </c>
      <c r="E3983" s="7" t="s">
        <v>154</v>
      </c>
      <c r="F3983" s="39" t="n">
        <v>45854</v>
      </c>
      <c r="G3983" s="41" t="n">
        <v>87.66</v>
      </c>
      <c r="H3983" s="39" t="n">
        <v>45932</v>
      </c>
      <c r="I3983" s="7" t="s">
        <v>14651</v>
      </c>
      <c r="J3983" s="8" t="str">
        <f aca="false">IF(I3983="Open",DATE(2025,12,31)-F3983,"-")</f>
        <v>-</v>
      </c>
    </row>
    <row r="3984" customFormat="false" ht="15" hidden="false" customHeight="false" outlineLevel="0" collapsed="false">
      <c r="B3984" s="7" t="s">
        <v>18629</v>
      </c>
      <c r="C3984" s="7" t="s">
        <v>4481</v>
      </c>
      <c r="D3984" s="7" t="s">
        <v>347</v>
      </c>
      <c r="E3984" s="7" t="s">
        <v>154</v>
      </c>
      <c r="F3984" s="39" t="n">
        <v>45854</v>
      </c>
      <c r="G3984" s="41" t="n">
        <v>134.09</v>
      </c>
      <c r="H3984" s="39" t="n">
        <v>45907</v>
      </c>
      <c r="I3984" s="7" t="s">
        <v>14651</v>
      </c>
      <c r="J3984" s="8" t="str">
        <f aca="false">IF(I3984="Open",DATE(2025,12,31)-F3984,"-")</f>
        <v>-</v>
      </c>
    </row>
    <row r="3985" customFormat="false" ht="15" hidden="false" customHeight="false" outlineLevel="0" collapsed="false">
      <c r="B3985" s="7" t="s">
        <v>18630</v>
      </c>
      <c r="C3985" s="7" t="s">
        <v>4482</v>
      </c>
      <c r="D3985" s="7" t="s">
        <v>353</v>
      </c>
      <c r="E3985" s="7" t="s">
        <v>154</v>
      </c>
      <c r="F3985" s="39" t="n">
        <v>45854</v>
      </c>
      <c r="G3985" s="41" t="n">
        <v>92.22</v>
      </c>
      <c r="H3985" s="39" t="n">
        <v>45900</v>
      </c>
      <c r="I3985" s="7" t="s">
        <v>14651</v>
      </c>
      <c r="J3985" s="8" t="str">
        <f aca="false">IF(I3985="Open",DATE(2025,12,31)-F3985,"-")</f>
        <v>-</v>
      </c>
    </row>
    <row r="3986" customFormat="false" ht="15" hidden="false" customHeight="false" outlineLevel="0" collapsed="false">
      <c r="B3986" s="7" t="s">
        <v>18631</v>
      </c>
      <c r="C3986" s="7" t="s">
        <v>4483</v>
      </c>
      <c r="D3986" s="7" t="s">
        <v>355</v>
      </c>
      <c r="E3986" s="7" t="s">
        <v>154</v>
      </c>
      <c r="F3986" s="39" t="n">
        <v>45854</v>
      </c>
      <c r="G3986" s="41" t="n">
        <v>91.69</v>
      </c>
      <c r="H3986" s="39" t="n">
        <v>45890</v>
      </c>
      <c r="I3986" s="7" t="s">
        <v>14651</v>
      </c>
      <c r="J3986" s="8" t="str">
        <f aca="false">IF(I3986="Open",DATE(2025,12,31)-F3986,"-")</f>
        <v>-</v>
      </c>
    </row>
    <row r="3987" customFormat="false" ht="15" hidden="false" customHeight="false" outlineLevel="0" collapsed="false">
      <c r="B3987" s="7" t="s">
        <v>18632</v>
      </c>
      <c r="C3987" s="7" t="s">
        <v>4484</v>
      </c>
      <c r="D3987" s="7" t="s">
        <v>357</v>
      </c>
      <c r="E3987" s="7" t="s">
        <v>154</v>
      </c>
      <c r="F3987" s="39" t="n">
        <v>45854</v>
      </c>
      <c r="G3987" s="41" t="n">
        <v>86.39</v>
      </c>
      <c r="H3987" s="39" t="n">
        <v>45928</v>
      </c>
      <c r="I3987" s="7" t="s">
        <v>14651</v>
      </c>
      <c r="J3987" s="8" t="str">
        <f aca="false">IF(I3987="Open",DATE(2025,12,31)-F3987,"-")</f>
        <v>-</v>
      </c>
    </row>
    <row r="3988" customFormat="false" ht="15" hidden="false" customHeight="false" outlineLevel="0" collapsed="false">
      <c r="B3988" s="7" t="s">
        <v>18633</v>
      </c>
      <c r="C3988" s="7" t="s">
        <v>4485</v>
      </c>
      <c r="D3988" s="7" t="s">
        <v>359</v>
      </c>
      <c r="E3988" s="7" t="s">
        <v>156</v>
      </c>
      <c r="F3988" s="39" t="n">
        <v>45854</v>
      </c>
      <c r="G3988" s="41" t="n">
        <v>144.5</v>
      </c>
      <c r="H3988" s="39" t="n">
        <v>45868</v>
      </c>
      <c r="I3988" s="7" t="s">
        <v>14651</v>
      </c>
      <c r="J3988" s="8" t="str">
        <f aca="false">IF(I3988="Open",DATE(2025,12,31)-F3988,"-")</f>
        <v>-</v>
      </c>
    </row>
    <row r="3989" customFormat="false" ht="15" hidden="false" customHeight="false" outlineLevel="0" collapsed="false">
      <c r="B3989" s="7" t="s">
        <v>18634</v>
      </c>
      <c r="C3989" s="7" t="s">
        <v>4486</v>
      </c>
      <c r="D3989" s="7" t="s">
        <v>365</v>
      </c>
      <c r="E3989" s="7" t="s">
        <v>154</v>
      </c>
      <c r="F3989" s="39" t="n">
        <v>45854</v>
      </c>
      <c r="G3989" s="41" t="n">
        <v>99.38</v>
      </c>
      <c r="H3989" s="39" t="n">
        <v>45904</v>
      </c>
      <c r="I3989" s="7" t="s">
        <v>14651</v>
      </c>
      <c r="J3989" s="8" t="str">
        <f aca="false">IF(I3989="Open",DATE(2025,12,31)-F3989,"-")</f>
        <v>-</v>
      </c>
    </row>
    <row r="3990" customFormat="false" ht="15" hidden="false" customHeight="false" outlineLevel="0" collapsed="false">
      <c r="B3990" s="7" t="s">
        <v>18635</v>
      </c>
      <c r="C3990" s="7" t="s">
        <v>4487</v>
      </c>
      <c r="D3990" s="7" t="s">
        <v>371</v>
      </c>
      <c r="E3990" s="7" t="s">
        <v>154</v>
      </c>
      <c r="F3990" s="39" t="n">
        <v>45854</v>
      </c>
      <c r="G3990" s="41" t="n">
        <v>132.76</v>
      </c>
      <c r="H3990" s="39" t="n">
        <v>45945</v>
      </c>
      <c r="I3990" s="7" t="s">
        <v>14651</v>
      </c>
      <c r="J3990" s="8" t="str">
        <f aca="false">IF(I3990="Open",DATE(2025,12,31)-F3990,"-")</f>
        <v>-</v>
      </c>
    </row>
    <row r="3991" customFormat="false" ht="15" hidden="false" customHeight="false" outlineLevel="0" collapsed="false">
      <c r="B3991" s="7" t="s">
        <v>18636</v>
      </c>
      <c r="C3991" s="7" t="s">
        <v>4488</v>
      </c>
      <c r="D3991" s="7" t="s">
        <v>379</v>
      </c>
      <c r="E3991" s="7" t="s">
        <v>156</v>
      </c>
      <c r="F3991" s="39" t="n">
        <v>45854</v>
      </c>
      <c r="G3991" s="41" t="n">
        <v>143.14</v>
      </c>
      <c r="H3991" s="39" t="n">
        <v>45873</v>
      </c>
      <c r="I3991" s="7" t="s">
        <v>14651</v>
      </c>
      <c r="J3991" s="8" t="str">
        <f aca="false">IF(I3991="Open",DATE(2025,12,31)-F3991,"-")</f>
        <v>-</v>
      </c>
    </row>
    <row r="3992" customFormat="false" ht="15" hidden="false" customHeight="false" outlineLevel="0" collapsed="false">
      <c r="B3992" s="7" t="s">
        <v>18637</v>
      </c>
      <c r="C3992" s="7" t="s">
        <v>4489</v>
      </c>
      <c r="D3992" s="7" t="s">
        <v>385</v>
      </c>
      <c r="E3992" s="7" t="s">
        <v>156</v>
      </c>
      <c r="F3992" s="39" t="n">
        <v>45854</v>
      </c>
      <c r="G3992" s="41" t="n">
        <v>126.48</v>
      </c>
      <c r="H3992" s="39" t="n">
        <v>45856</v>
      </c>
      <c r="I3992" s="7" t="s">
        <v>14651</v>
      </c>
      <c r="J3992" s="8" t="str">
        <f aca="false">IF(I3992="Open",DATE(2025,12,31)-F3992,"-")</f>
        <v>-</v>
      </c>
    </row>
    <row r="3993" customFormat="false" ht="15" hidden="false" customHeight="false" outlineLevel="0" collapsed="false">
      <c r="B3993" s="7" t="s">
        <v>18638</v>
      </c>
      <c r="C3993" s="7" t="s">
        <v>4490</v>
      </c>
      <c r="D3993" s="7" t="s">
        <v>389</v>
      </c>
      <c r="E3993" s="7" t="s">
        <v>154</v>
      </c>
      <c r="F3993" s="39" t="n">
        <v>45854</v>
      </c>
      <c r="G3993" s="41" t="n">
        <v>106.93</v>
      </c>
      <c r="H3993" s="39" t="n">
        <v>45970</v>
      </c>
      <c r="I3993" s="7" t="s">
        <v>14651</v>
      </c>
      <c r="J3993" s="8" t="str">
        <f aca="false">IF(I3993="Open",DATE(2025,12,31)-F3993,"-")</f>
        <v>-</v>
      </c>
    </row>
    <row r="3994" customFormat="false" ht="15" hidden="false" customHeight="false" outlineLevel="0" collapsed="false">
      <c r="B3994" s="7" t="s">
        <v>18639</v>
      </c>
      <c r="C3994" s="7" t="s">
        <v>4491</v>
      </c>
      <c r="D3994" s="7" t="s">
        <v>391</v>
      </c>
      <c r="E3994" s="7" t="s">
        <v>156</v>
      </c>
      <c r="F3994" s="39" t="n">
        <v>45854</v>
      </c>
      <c r="G3994" s="41" t="n">
        <v>127.5</v>
      </c>
      <c r="H3994" s="39" t="n">
        <v>45873</v>
      </c>
      <c r="I3994" s="7" t="s">
        <v>14651</v>
      </c>
      <c r="J3994" s="8" t="str">
        <f aca="false">IF(I3994="Open",DATE(2025,12,31)-F3994,"-")</f>
        <v>-</v>
      </c>
    </row>
    <row r="3995" customFormat="false" ht="15" hidden="false" customHeight="false" outlineLevel="0" collapsed="false">
      <c r="B3995" s="7" t="s">
        <v>18640</v>
      </c>
      <c r="C3995" s="7" t="s">
        <v>4492</v>
      </c>
      <c r="D3995" s="7" t="s">
        <v>393</v>
      </c>
      <c r="E3995" s="7" t="s">
        <v>157</v>
      </c>
      <c r="F3995" s="39" t="n">
        <v>45854</v>
      </c>
      <c r="G3995" s="41" t="n">
        <v>153.45</v>
      </c>
      <c r="H3995" s="39" t="n">
        <v>45903</v>
      </c>
      <c r="I3995" s="7" t="s">
        <v>14651</v>
      </c>
      <c r="J3995" s="8" t="str">
        <f aca="false">IF(I3995="Open",DATE(2025,12,31)-F3995,"-")</f>
        <v>-</v>
      </c>
    </row>
    <row r="3996" customFormat="false" ht="15" hidden="false" customHeight="false" outlineLevel="0" collapsed="false">
      <c r="B3996" s="7" t="s">
        <v>18641</v>
      </c>
      <c r="C3996" s="7" t="s">
        <v>4493</v>
      </c>
      <c r="D3996" s="7" t="s">
        <v>395</v>
      </c>
      <c r="E3996" s="7" t="s">
        <v>156</v>
      </c>
      <c r="F3996" s="39" t="n">
        <v>45854</v>
      </c>
      <c r="G3996" s="41" t="n">
        <v>138.72</v>
      </c>
      <c r="H3996" s="39" t="n">
        <v>45864</v>
      </c>
      <c r="I3996" s="7" t="s">
        <v>14651</v>
      </c>
      <c r="J3996" s="8" t="str">
        <f aca="false">IF(I3996="Open",DATE(2025,12,31)-F3996,"-")</f>
        <v>-</v>
      </c>
    </row>
    <row r="3997" customFormat="false" ht="15" hidden="false" customHeight="false" outlineLevel="0" collapsed="false">
      <c r="B3997" s="7" t="s">
        <v>18642</v>
      </c>
      <c r="C3997" s="7" t="s">
        <v>4494</v>
      </c>
      <c r="D3997" s="7" t="s">
        <v>399</v>
      </c>
      <c r="E3997" s="7" t="s">
        <v>154</v>
      </c>
      <c r="F3997" s="39" t="n">
        <v>45854</v>
      </c>
      <c r="G3997" s="41" t="n">
        <v>86.92</v>
      </c>
      <c r="H3997" s="39" t="n">
        <v>45896</v>
      </c>
      <c r="I3997" s="7" t="s">
        <v>14651</v>
      </c>
      <c r="J3997" s="8" t="str">
        <f aca="false">IF(I3997="Open",DATE(2025,12,31)-F3997,"-")</f>
        <v>-</v>
      </c>
    </row>
    <row r="3998" customFormat="false" ht="15" hidden="false" customHeight="false" outlineLevel="0" collapsed="false">
      <c r="B3998" s="7" t="s">
        <v>18643</v>
      </c>
      <c r="C3998" s="7" t="s">
        <v>4495</v>
      </c>
      <c r="D3998" s="7" t="s">
        <v>401</v>
      </c>
      <c r="E3998" s="7" t="s">
        <v>156</v>
      </c>
      <c r="F3998" s="39" t="n">
        <v>45854</v>
      </c>
      <c r="G3998" s="41" t="n">
        <v>140.08</v>
      </c>
      <c r="H3998" s="39" t="n">
        <v>45872</v>
      </c>
      <c r="I3998" s="7" t="s">
        <v>14651</v>
      </c>
      <c r="J3998" s="8" t="str">
        <f aca="false">IF(I3998="Open",DATE(2025,12,31)-F3998,"-")</f>
        <v>-</v>
      </c>
    </row>
    <row r="3999" customFormat="false" ht="15" hidden="false" customHeight="false" outlineLevel="0" collapsed="false">
      <c r="B3999" s="7" t="s">
        <v>18644</v>
      </c>
      <c r="C3999" s="7" t="s">
        <v>4496</v>
      </c>
      <c r="D3999" s="7" t="s">
        <v>409</v>
      </c>
      <c r="E3999" s="7" t="s">
        <v>154</v>
      </c>
      <c r="F3999" s="39" t="n">
        <v>45854</v>
      </c>
      <c r="G3999" s="41" t="n">
        <v>89.97</v>
      </c>
      <c r="H3999" s="39" t="n">
        <v>45907</v>
      </c>
      <c r="I3999" s="7" t="s">
        <v>14651</v>
      </c>
      <c r="J3999" s="8" t="str">
        <f aca="false">IF(I3999="Open",DATE(2025,12,31)-F3999,"-")</f>
        <v>-</v>
      </c>
    </row>
    <row r="4000" customFormat="false" ht="15" hidden="false" customHeight="false" outlineLevel="0" collapsed="false">
      <c r="B4000" s="7" t="s">
        <v>18645</v>
      </c>
      <c r="C4000" s="7" t="s">
        <v>4497</v>
      </c>
      <c r="D4000" s="7" t="s">
        <v>411</v>
      </c>
      <c r="E4000" s="7" t="s">
        <v>154</v>
      </c>
      <c r="F4000" s="39" t="n">
        <v>45854</v>
      </c>
      <c r="G4000" s="41" t="n">
        <v>119.78</v>
      </c>
      <c r="H4000" s="39" t="n">
        <v>45949</v>
      </c>
      <c r="I4000" s="7" t="s">
        <v>14651</v>
      </c>
      <c r="J4000" s="8" t="str">
        <f aca="false">IF(I4000="Open",DATE(2025,12,31)-F4000,"-")</f>
        <v>-</v>
      </c>
    </row>
    <row r="4001" customFormat="false" ht="15" hidden="false" customHeight="false" outlineLevel="0" collapsed="false">
      <c r="B4001" s="7" t="s">
        <v>18646</v>
      </c>
      <c r="C4001" s="7" t="s">
        <v>4498</v>
      </c>
      <c r="D4001" s="7" t="s">
        <v>288</v>
      </c>
      <c r="E4001" s="7" t="s">
        <v>156</v>
      </c>
      <c r="F4001" s="39" t="n">
        <v>45855</v>
      </c>
      <c r="G4001" s="41" t="n">
        <v>144.5</v>
      </c>
      <c r="H4001" s="39" t="n">
        <v>45866</v>
      </c>
      <c r="I4001" s="7" t="s">
        <v>14651</v>
      </c>
      <c r="J4001" s="8" t="str">
        <f aca="false">IF(I4001="Open",DATE(2025,12,31)-F4001,"-")</f>
        <v>-</v>
      </c>
    </row>
    <row r="4002" customFormat="false" ht="15" hidden="false" customHeight="false" outlineLevel="0" collapsed="false">
      <c r="B4002" s="7" t="s">
        <v>18647</v>
      </c>
      <c r="C4002" s="7" t="s">
        <v>4499</v>
      </c>
      <c r="D4002" s="7" t="s">
        <v>297</v>
      </c>
      <c r="E4002" s="7" t="s">
        <v>156</v>
      </c>
      <c r="F4002" s="39" t="n">
        <v>45855</v>
      </c>
      <c r="G4002" s="41" t="n">
        <v>107.1</v>
      </c>
      <c r="H4002" s="39" t="n">
        <v>45872</v>
      </c>
      <c r="I4002" s="7" t="s">
        <v>14651</v>
      </c>
      <c r="J4002" s="8" t="str">
        <f aca="false">IF(I4002="Open",DATE(2025,12,31)-F4002,"-")</f>
        <v>-</v>
      </c>
    </row>
    <row r="4003" customFormat="false" ht="15" hidden="false" customHeight="false" outlineLevel="0" collapsed="false">
      <c r="B4003" s="7" t="s">
        <v>18648</v>
      </c>
      <c r="C4003" s="7" t="s">
        <v>4500</v>
      </c>
      <c r="D4003" s="7" t="s">
        <v>311</v>
      </c>
      <c r="E4003" s="7" t="s">
        <v>154</v>
      </c>
      <c r="F4003" s="39" t="n">
        <v>45855</v>
      </c>
      <c r="G4003" s="41" t="n">
        <v>86.12</v>
      </c>
      <c r="H4003" s="39" t="n">
        <v>45898</v>
      </c>
      <c r="I4003" s="7" t="s">
        <v>14651</v>
      </c>
      <c r="J4003" s="8" t="str">
        <f aca="false">IF(I4003="Open",DATE(2025,12,31)-F4003,"-")</f>
        <v>-</v>
      </c>
    </row>
    <row r="4004" customFormat="false" ht="15" hidden="false" customHeight="false" outlineLevel="0" collapsed="false">
      <c r="B4004" s="7" t="s">
        <v>18649</v>
      </c>
      <c r="C4004" s="7" t="s">
        <v>4501</v>
      </c>
      <c r="D4004" s="7" t="s">
        <v>313</v>
      </c>
      <c r="E4004" s="7" t="s">
        <v>156</v>
      </c>
      <c r="F4004" s="39" t="n">
        <v>45855</v>
      </c>
      <c r="G4004" s="41" t="n">
        <v>140.76</v>
      </c>
      <c r="H4004" s="39" t="n">
        <v>45868</v>
      </c>
      <c r="I4004" s="7" t="s">
        <v>14651</v>
      </c>
      <c r="J4004" s="8" t="str">
        <f aca="false">IF(I4004="Open",DATE(2025,12,31)-F4004,"-")</f>
        <v>-</v>
      </c>
    </row>
    <row r="4005" customFormat="false" ht="15" hidden="false" customHeight="false" outlineLevel="0" collapsed="false">
      <c r="B4005" s="7" t="s">
        <v>18650</v>
      </c>
      <c r="C4005" s="7" t="s">
        <v>4502</v>
      </c>
      <c r="D4005" s="7" t="s">
        <v>317</v>
      </c>
      <c r="E4005" s="7" t="s">
        <v>156</v>
      </c>
      <c r="F4005" s="39" t="n">
        <v>45855</v>
      </c>
      <c r="G4005" s="41" t="n">
        <v>108.8</v>
      </c>
      <c r="H4005" s="39" t="n">
        <v>45863</v>
      </c>
      <c r="I4005" s="7" t="s">
        <v>14651</v>
      </c>
      <c r="J4005" s="8" t="str">
        <f aca="false">IF(I4005="Open",DATE(2025,12,31)-F4005,"-")</f>
        <v>-</v>
      </c>
    </row>
    <row r="4006" customFormat="false" ht="15" hidden="false" customHeight="false" outlineLevel="0" collapsed="false">
      <c r="B4006" s="7" t="s">
        <v>18651</v>
      </c>
      <c r="C4006" s="7" t="s">
        <v>4503</v>
      </c>
      <c r="D4006" s="7" t="s">
        <v>321</v>
      </c>
      <c r="E4006" s="7" t="s">
        <v>154</v>
      </c>
      <c r="F4006" s="39" t="n">
        <v>45855</v>
      </c>
      <c r="G4006" s="41" t="n">
        <v>105.47</v>
      </c>
      <c r="H4006" s="39" t="n">
        <v>45956</v>
      </c>
      <c r="I4006" s="7" t="s">
        <v>14651</v>
      </c>
      <c r="J4006" s="8" t="str">
        <f aca="false">IF(I4006="Open",DATE(2025,12,31)-F4006,"-")</f>
        <v>-</v>
      </c>
    </row>
    <row r="4007" customFormat="false" ht="15" hidden="false" customHeight="false" outlineLevel="0" collapsed="false">
      <c r="B4007" s="7" t="s">
        <v>18652</v>
      </c>
      <c r="C4007" s="7" t="s">
        <v>4504</v>
      </c>
      <c r="D4007" s="7" t="s">
        <v>325</v>
      </c>
      <c r="E4007" s="7" t="s">
        <v>154</v>
      </c>
      <c r="F4007" s="39" t="n">
        <v>45855</v>
      </c>
      <c r="G4007" s="41" t="n">
        <v>76.59</v>
      </c>
      <c r="H4007" s="39" t="n">
        <v>45928</v>
      </c>
      <c r="I4007" s="7" t="s">
        <v>14651</v>
      </c>
      <c r="J4007" s="8" t="str">
        <f aca="false">IF(I4007="Open",DATE(2025,12,31)-F4007,"-")</f>
        <v>-</v>
      </c>
    </row>
    <row r="4008" customFormat="false" ht="15" hidden="false" customHeight="false" outlineLevel="0" collapsed="false">
      <c r="B4008" s="7" t="s">
        <v>18653</v>
      </c>
      <c r="C4008" s="7" t="s">
        <v>4505</v>
      </c>
      <c r="D4008" s="7" t="s">
        <v>329</v>
      </c>
      <c r="E4008" s="7" t="s">
        <v>156</v>
      </c>
      <c r="F4008" s="39" t="n">
        <v>45855</v>
      </c>
      <c r="G4008" s="41" t="n">
        <v>127.16</v>
      </c>
      <c r="H4008" s="39" t="n">
        <v>45857</v>
      </c>
      <c r="I4008" s="7" t="s">
        <v>14651</v>
      </c>
      <c r="J4008" s="8" t="str">
        <f aca="false">IF(I4008="Open",DATE(2025,12,31)-F4008,"-")</f>
        <v>-</v>
      </c>
    </row>
    <row r="4009" customFormat="false" ht="15" hidden="false" customHeight="false" outlineLevel="0" collapsed="false">
      <c r="B4009" s="7" t="s">
        <v>18654</v>
      </c>
      <c r="C4009" s="7" t="s">
        <v>4506</v>
      </c>
      <c r="D4009" s="7" t="s">
        <v>331</v>
      </c>
      <c r="E4009" s="7" t="s">
        <v>156</v>
      </c>
      <c r="F4009" s="39" t="n">
        <v>45855</v>
      </c>
      <c r="G4009" s="41" t="n">
        <v>146.2</v>
      </c>
      <c r="H4009" s="39" t="n">
        <v>45870</v>
      </c>
      <c r="I4009" s="7" t="s">
        <v>14651</v>
      </c>
      <c r="J4009" s="8" t="str">
        <f aca="false">IF(I4009="Open",DATE(2025,12,31)-F4009,"-")</f>
        <v>-</v>
      </c>
    </row>
    <row r="4010" customFormat="false" ht="15" hidden="false" customHeight="false" outlineLevel="0" collapsed="false">
      <c r="B4010" s="7" t="s">
        <v>18655</v>
      </c>
      <c r="C4010" s="7" t="s">
        <v>4507</v>
      </c>
      <c r="D4010" s="7" t="s">
        <v>337</v>
      </c>
      <c r="E4010" s="7" t="s">
        <v>154</v>
      </c>
      <c r="F4010" s="39" t="n">
        <v>45855</v>
      </c>
      <c r="G4010" s="41" t="n">
        <v>86.66</v>
      </c>
      <c r="H4010" s="39" t="n">
        <v>45890</v>
      </c>
      <c r="I4010" s="7" t="s">
        <v>14651</v>
      </c>
      <c r="J4010" s="8" t="str">
        <f aca="false">IF(I4010="Open",DATE(2025,12,31)-F4010,"-")</f>
        <v>-</v>
      </c>
    </row>
    <row r="4011" customFormat="false" ht="15" hidden="false" customHeight="false" outlineLevel="0" collapsed="false">
      <c r="B4011" s="7" t="s">
        <v>18656</v>
      </c>
      <c r="C4011" s="7" t="s">
        <v>4508</v>
      </c>
      <c r="D4011" s="7" t="s">
        <v>341</v>
      </c>
      <c r="E4011" s="7" t="s">
        <v>156</v>
      </c>
      <c r="F4011" s="39" t="n">
        <v>45855</v>
      </c>
      <c r="G4011" s="41" t="n">
        <v>101.32</v>
      </c>
      <c r="H4011" s="39" t="n">
        <v>45860</v>
      </c>
      <c r="I4011" s="7" t="s">
        <v>14651</v>
      </c>
      <c r="J4011" s="8" t="str">
        <f aca="false">IF(I4011="Open",DATE(2025,12,31)-F4011,"-")</f>
        <v>-</v>
      </c>
    </row>
    <row r="4012" customFormat="false" ht="15" hidden="false" customHeight="false" outlineLevel="0" collapsed="false">
      <c r="B4012" s="7" t="s">
        <v>18657</v>
      </c>
      <c r="C4012" s="7" t="s">
        <v>4509</v>
      </c>
      <c r="D4012" s="7" t="s">
        <v>343</v>
      </c>
      <c r="E4012" s="7" t="s">
        <v>154</v>
      </c>
      <c r="F4012" s="39" t="n">
        <v>45855</v>
      </c>
      <c r="G4012" s="41" t="n">
        <v>103.62</v>
      </c>
      <c r="H4012" s="39" t="n">
        <v>45935</v>
      </c>
      <c r="I4012" s="7" t="s">
        <v>14651</v>
      </c>
      <c r="J4012" s="8" t="str">
        <f aca="false">IF(I4012="Open",DATE(2025,12,31)-F4012,"-")</f>
        <v>-</v>
      </c>
    </row>
    <row r="4013" customFormat="false" ht="15" hidden="false" customHeight="false" outlineLevel="0" collapsed="false">
      <c r="B4013" s="7" t="s">
        <v>18658</v>
      </c>
      <c r="C4013" s="7" t="s">
        <v>4510</v>
      </c>
      <c r="D4013" s="7" t="s">
        <v>351</v>
      </c>
      <c r="E4013" s="7" t="s">
        <v>154</v>
      </c>
      <c r="F4013" s="39" t="n">
        <v>45855</v>
      </c>
      <c r="G4013" s="41" t="n">
        <v>75.31</v>
      </c>
      <c r="H4013" s="39" t="n">
        <v>45903</v>
      </c>
      <c r="I4013" s="7" t="s">
        <v>14651</v>
      </c>
      <c r="J4013" s="8" t="str">
        <f aca="false">IF(I4013="Open",DATE(2025,12,31)-F4013,"-")</f>
        <v>-</v>
      </c>
    </row>
    <row r="4014" customFormat="false" ht="15" hidden="false" customHeight="false" outlineLevel="0" collapsed="false">
      <c r="B4014" s="7" t="s">
        <v>18659</v>
      </c>
      <c r="C4014" s="7" t="s">
        <v>4511</v>
      </c>
      <c r="D4014" s="7" t="s">
        <v>359</v>
      </c>
      <c r="E4014" s="7" t="s">
        <v>156</v>
      </c>
      <c r="F4014" s="39" t="n">
        <v>45855</v>
      </c>
      <c r="G4014" s="41" t="n">
        <v>132.26</v>
      </c>
      <c r="H4014" s="39" t="n">
        <v>45867</v>
      </c>
      <c r="I4014" s="7" t="s">
        <v>14651</v>
      </c>
      <c r="J4014" s="8" t="str">
        <f aca="false">IF(I4014="Open",DATE(2025,12,31)-F4014,"-")</f>
        <v>-</v>
      </c>
    </row>
    <row r="4015" customFormat="false" ht="15" hidden="false" customHeight="false" outlineLevel="0" collapsed="false">
      <c r="B4015" s="7" t="s">
        <v>18660</v>
      </c>
      <c r="C4015" s="7" t="s">
        <v>4512</v>
      </c>
      <c r="D4015" s="7" t="s">
        <v>363</v>
      </c>
      <c r="E4015" s="7" t="s">
        <v>156</v>
      </c>
      <c r="F4015" s="39" t="n">
        <v>45855</v>
      </c>
      <c r="G4015" s="41" t="n">
        <v>148.24</v>
      </c>
      <c r="H4015" s="39" t="n">
        <v>45858</v>
      </c>
      <c r="I4015" s="7" t="s">
        <v>14651</v>
      </c>
      <c r="J4015" s="8" t="str">
        <f aca="false">IF(I4015="Open",DATE(2025,12,31)-F4015,"-")</f>
        <v>-</v>
      </c>
    </row>
    <row r="4016" customFormat="false" ht="15" hidden="false" customHeight="false" outlineLevel="0" collapsed="false">
      <c r="B4016" s="7" t="s">
        <v>18661</v>
      </c>
      <c r="C4016" s="7" t="s">
        <v>4513</v>
      </c>
      <c r="D4016" s="7" t="s">
        <v>365</v>
      </c>
      <c r="E4016" s="7" t="s">
        <v>154</v>
      </c>
      <c r="F4016" s="39" t="n">
        <v>45855</v>
      </c>
      <c r="G4016" s="41" t="n">
        <v>105.47</v>
      </c>
      <c r="H4016" s="39" t="n">
        <v>45877</v>
      </c>
      <c r="I4016" s="7" t="s">
        <v>14651</v>
      </c>
      <c r="J4016" s="8" t="str">
        <f aca="false">IF(I4016="Open",DATE(2025,12,31)-F4016,"-")</f>
        <v>-</v>
      </c>
    </row>
    <row r="4017" customFormat="false" ht="15" hidden="false" customHeight="false" outlineLevel="0" collapsed="false">
      <c r="B4017" s="7" t="s">
        <v>18662</v>
      </c>
      <c r="C4017" s="7" t="s">
        <v>4514</v>
      </c>
      <c r="D4017" s="7" t="s">
        <v>375</v>
      </c>
      <c r="E4017" s="7" t="s">
        <v>156</v>
      </c>
      <c r="F4017" s="39" t="n">
        <v>45855</v>
      </c>
      <c r="G4017" s="41" t="n">
        <v>102</v>
      </c>
      <c r="H4017" s="39" t="n">
        <v>45872</v>
      </c>
      <c r="I4017" s="7" t="s">
        <v>14651</v>
      </c>
      <c r="J4017" s="8" t="str">
        <f aca="false">IF(I4017="Open",DATE(2025,12,31)-F4017,"-")</f>
        <v>-</v>
      </c>
    </row>
    <row r="4018" customFormat="false" ht="15" hidden="false" customHeight="false" outlineLevel="0" collapsed="false">
      <c r="B4018" s="7" t="s">
        <v>18663</v>
      </c>
      <c r="C4018" s="7" t="s">
        <v>4515</v>
      </c>
      <c r="D4018" s="7" t="s">
        <v>377</v>
      </c>
      <c r="E4018" s="7" t="s">
        <v>154</v>
      </c>
      <c r="F4018" s="39" t="n">
        <v>45855</v>
      </c>
      <c r="G4018" s="41" t="n">
        <v>113.42</v>
      </c>
      <c r="H4018" s="39" t="n">
        <v>45899</v>
      </c>
      <c r="I4018" s="7" t="s">
        <v>14651</v>
      </c>
      <c r="J4018" s="8" t="str">
        <f aca="false">IF(I4018="Open",DATE(2025,12,31)-F4018,"-")</f>
        <v>-</v>
      </c>
    </row>
    <row r="4019" customFormat="false" ht="15" hidden="false" customHeight="false" outlineLevel="0" collapsed="false">
      <c r="B4019" s="7" t="s">
        <v>18664</v>
      </c>
      <c r="C4019" s="7" t="s">
        <v>4516</v>
      </c>
      <c r="D4019" s="7" t="s">
        <v>389</v>
      </c>
      <c r="E4019" s="7" t="s">
        <v>154</v>
      </c>
      <c r="F4019" s="39" t="n">
        <v>45855</v>
      </c>
      <c r="G4019" s="41" t="n">
        <v>108.38</v>
      </c>
      <c r="H4019" s="39" t="n">
        <v>45915</v>
      </c>
      <c r="I4019" s="7" t="s">
        <v>14651</v>
      </c>
      <c r="J4019" s="8" t="str">
        <f aca="false">IF(I4019="Open",DATE(2025,12,31)-F4019,"-")</f>
        <v>-</v>
      </c>
    </row>
    <row r="4020" customFormat="false" ht="15" hidden="false" customHeight="false" outlineLevel="0" collapsed="false">
      <c r="B4020" s="7" t="s">
        <v>18665</v>
      </c>
      <c r="C4020" s="7" t="s">
        <v>4517</v>
      </c>
      <c r="D4020" s="7" t="s">
        <v>391</v>
      </c>
      <c r="E4020" s="7" t="s">
        <v>156</v>
      </c>
      <c r="F4020" s="39" t="n">
        <v>45855</v>
      </c>
      <c r="G4020" s="41" t="n">
        <v>145.52</v>
      </c>
      <c r="H4020" s="39" t="n">
        <v>45866</v>
      </c>
      <c r="I4020" s="7" t="s">
        <v>14651</v>
      </c>
      <c r="J4020" s="8" t="str">
        <f aca="false">IF(I4020="Open",DATE(2025,12,31)-F4020,"-")</f>
        <v>-</v>
      </c>
    </row>
    <row r="4021" customFormat="false" ht="15" hidden="false" customHeight="false" outlineLevel="0" collapsed="false">
      <c r="B4021" s="7" t="s">
        <v>18666</v>
      </c>
      <c r="C4021" s="7" t="s">
        <v>4518</v>
      </c>
      <c r="D4021" s="7" t="s">
        <v>395</v>
      </c>
      <c r="E4021" s="7" t="s">
        <v>156</v>
      </c>
      <c r="F4021" s="39" t="n">
        <v>45855</v>
      </c>
      <c r="G4021" s="41" t="n">
        <v>131.92</v>
      </c>
      <c r="H4021" s="39" t="n">
        <v>45877</v>
      </c>
      <c r="I4021" s="7" t="s">
        <v>14651</v>
      </c>
      <c r="J4021" s="8" t="str">
        <f aca="false">IF(I4021="Open",DATE(2025,12,31)-F4021,"-")</f>
        <v>-</v>
      </c>
    </row>
    <row r="4022" customFormat="false" ht="15" hidden="false" customHeight="false" outlineLevel="0" collapsed="false">
      <c r="B4022" s="7" t="s">
        <v>18667</v>
      </c>
      <c r="C4022" s="7" t="s">
        <v>4519</v>
      </c>
      <c r="D4022" s="7" t="s">
        <v>401</v>
      </c>
      <c r="E4022" s="7" t="s">
        <v>156</v>
      </c>
      <c r="F4022" s="39" t="n">
        <v>45855</v>
      </c>
      <c r="G4022" s="41" t="n">
        <v>141.44</v>
      </c>
      <c r="H4022" s="39" t="n">
        <v>45866</v>
      </c>
      <c r="I4022" s="7" t="s">
        <v>14651</v>
      </c>
      <c r="J4022" s="8" t="str">
        <f aca="false">IF(I4022="Open",DATE(2025,12,31)-F4022,"-")</f>
        <v>-</v>
      </c>
    </row>
    <row r="4023" customFormat="false" ht="15" hidden="false" customHeight="false" outlineLevel="0" collapsed="false">
      <c r="B4023" s="7" t="s">
        <v>18668</v>
      </c>
      <c r="C4023" s="7" t="s">
        <v>4520</v>
      </c>
      <c r="D4023" s="7" t="s">
        <v>280</v>
      </c>
      <c r="E4023" s="7" t="s">
        <v>157</v>
      </c>
      <c r="F4023" s="39" t="n">
        <v>45856</v>
      </c>
      <c r="G4023" s="41" t="n">
        <v>165</v>
      </c>
      <c r="H4023" s="39" t="n">
        <v>45880</v>
      </c>
      <c r="I4023" s="7" t="s">
        <v>14651</v>
      </c>
      <c r="J4023" s="8" t="str">
        <f aca="false">IF(I4023="Open",DATE(2025,12,31)-F4023,"-")</f>
        <v>-</v>
      </c>
    </row>
    <row r="4024" customFormat="false" ht="15" hidden="false" customHeight="false" outlineLevel="0" collapsed="false">
      <c r="B4024" s="7" t="s">
        <v>18669</v>
      </c>
      <c r="C4024" s="7" t="s">
        <v>4521</v>
      </c>
      <c r="D4024" s="7" t="s">
        <v>288</v>
      </c>
      <c r="E4024" s="7" t="s">
        <v>156</v>
      </c>
      <c r="F4024" s="39" t="n">
        <v>45856</v>
      </c>
      <c r="G4024" s="41" t="n">
        <v>135.66</v>
      </c>
      <c r="H4024" s="39" t="n">
        <v>45871</v>
      </c>
      <c r="I4024" s="7" t="s">
        <v>14651</v>
      </c>
      <c r="J4024" s="8" t="str">
        <f aca="false">IF(I4024="Open",DATE(2025,12,31)-F4024,"-")</f>
        <v>-</v>
      </c>
    </row>
    <row r="4025" customFormat="false" ht="15" hidden="false" customHeight="false" outlineLevel="0" collapsed="false">
      <c r="B4025" s="7" t="s">
        <v>18670</v>
      </c>
      <c r="C4025" s="7" t="s">
        <v>4522</v>
      </c>
      <c r="D4025" s="7" t="s">
        <v>291</v>
      </c>
      <c r="E4025" s="7" t="s">
        <v>154</v>
      </c>
      <c r="F4025" s="39" t="n">
        <v>45856</v>
      </c>
      <c r="G4025" s="41" t="n">
        <v>118.98</v>
      </c>
      <c r="H4025" s="39" t="n">
        <v>45906</v>
      </c>
      <c r="I4025" s="7" t="s">
        <v>14651</v>
      </c>
      <c r="J4025" s="8" t="str">
        <f aca="false">IF(I4025="Open",DATE(2025,12,31)-F4025,"-")</f>
        <v>-</v>
      </c>
    </row>
    <row r="4026" customFormat="false" ht="15" hidden="false" customHeight="false" outlineLevel="0" collapsed="false">
      <c r="B4026" s="7" t="s">
        <v>18671</v>
      </c>
      <c r="C4026" s="7" t="s">
        <v>4523</v>
      </c>
      <c r="D4026" s="7" t="s">
        <v>301</v>
      </c>
      <c r="E4026" s="7" t="s">
        <v>157</v>
      </c>
      <c r="F4026" s="39" t="n">
        <v>45856</v>
      </c>
      <c r="G4026" s="41" t="n">
        <v>168.3</v>
      </c>
      <c r="H4026" s="39" t="n">
        <v>45898</v>
      </c>
      <c r="I4026" s="7" t="s">
        <v>14651</v>
      </c>
      <c r="J4026" s="8" t="str">
        <f aca="false">IF(I4026="Open",DATE(2025,12,31)-F4026,"-")</f>
        <v>-</v>
      </c>
    </row>
    <row r="4027" customFormat="false" ht="15" hidden="false" customHeight="false" outlineLevel="0" collapsed="false">
      <c r="B4027" s="7" t="s">
        <v>18672</v>
      </c>
      <c r="C4027" s="7" t="s">
        <v>4524</v>
      </c>
      <c r="D4027" s="7" t="s">
        <v>305</v>
      </c>
      <c r="E4027" s="7" t="s">
        <v>154</v>
      </c>
      <c r="F4027" s="39" t="n">
        <v>45856</v>
      </c>
      <c r="G4027" s="41" t="n">
        <v>100.25</v>
      </c>
      <c r="H4027" s="39" t="n">
        <v>45960</v>
      </c>
      <c r="I4027" s="7" t="s">
        <v>14651</v>
      </c>
      <c r="J4027" s="8" t="str">
        <f aca="false">IF(I4027="Open",DATE(2025,12,31)-F4027,"-")</f>
        <v>-</v>
      </c>
    </row>
    <row r="4028" customFormat="false" ht="15" hidden="false" customHeight="false" outlineLevel="0" collapsed="false">
      <c r="B4028" s="7" t="s">
        <v>18673</v>
      </c>
      <c r="C4028" s="7" t="s">
        <v>4525</v>
      </c>
      <c r="D4028" s="7" t="s">
        <v>307</v>
      </c>
      <c r="E4028" s="7" t="s">
        <v>157</v>
      </c>
      <c r="F4028" s="39" t="n">
        <v>45856</v>
      </c>
      <c r="G4028" s="41" t="n">
        <v>158.23</v>
      </c>
      <c r="H4028" s="39" t="n">
        <v>45878</v>
      </c>
      <c r="I4028" s="7" t="s">
        <v>14651</v>
      </c>
      <c r="J4028" s="8" t="str">
        <f aca="false">IF(I4028="Open",DATE(2025,12,31)-F4028,"-")</f>
        <v>-</v>
      </c>
    </row>
    <row r="4029" customFormat="false" ht="15" hidden="false" customHeight="false" outlineLevel="0" collapsed="false">
      <c r="B4029" s="7" t="s">
        <v>18674</v>
      </c>
      <c r="C4029" s="7" t="s">
        <v>4526</v>
      </c>
      <c r="D4029" s="7" t="s">
        <v>309</v>
      </c>
      <c r="E4029" s="7" t="s">
        <v>159</v>
      </c>
      <c r="F4029" s="39" t="n">
        <v>45856</v>
      </c>
      <c r="G4029" s="41" t="n">
        <v>130.95</v>
      </c>
      <c r="H4029" s="39" t="n">
        <v>45928</v>
      </c>
      <c r="I4029" s="7" t="s">
        <v>14651</v>
      </c>
      <c r="J4029" s="8" t="str">
        <f aca="false">IF(I4029="Open",DATE(2025,12,31)-F4029,"-")</f>
        <v>-</v>
      </c>
    </row>
    <row r="4030" customFormat="false" ht="15" hidden="false" customHeight="false" outlineLevel="0" collapsed="false">
      <c r="B4030" s="7" t="s">
        <v>18675</v>
      </c>
      <c r="C4030" s="7" t="s">
        <v>4527</v>
      </c>
      <c r="D4030" s="7" t="s">
        <v>313</v>
      </c>
      <c r="E4030" s="7" t="s">
        <v>156</v>
      </c>
      <c r="F4030" s="39" t="n">
        <v>45856</v>
      </c>
      <c r="G4030" s="41" t="n">
        <v>141.1</v>
      </c>
      <c r="H4030" s="39" t="n">
        <v>45871</v>
      </c>
      <c r="I4030" s="7" t="s">
        <v>14651</v>
      </c>
      <c r="J4030" s="8" t="str">
        <f aca="false">IF(I4030="Open",DATE(2025,12,31)-F4030,"-")</f>
        <v>-</v>
      </c>
    </row>
    <row r="4031" customFormat="false" ht="15" hidden="false" customHeight="false" outlineLevel="0" collapsed="false">
      <c r="B4031" s="7" t="s">
        <v>18676</v>
      </c>
      <c r="C4031" s="7" t="s">
        <v>4528</v>
      </c>
      <c r="D4031" s="7" t="s">
        <v>319</v>
      </c>
      <c r="E4031" s="7" t="s">
        <v>157</v>
      </c>
      <c r="F4031" s="39" t="n">
        <v>45856</v>
      </c>
      <c r="G4031" s="41" t="n">
        <v>169.95</v>
      </c>
      <c r="H4031" s="39" t="n">
        <v>45866</v>
      </c>
      <c r="I4031" s="7" t="s">
        <v>14651</v>
      </c>
      <c r="J4031" s="8" t="str">
        <f aca="false">IF(I4031="Open",DATE(2025,12,31)-F4031,"-")</f>
        <v>-</v>
      </c>
    </row>
    <row r="4032" customFormat="false" ht="15" hidden="false" customHeight="false" outlineLevel="0" collapsed="false">
      <c r="B4032" s="7" t="s">
        <v>18677</v>
      </c>
      <c r="C4032" s="7" t="s">
        <v>4529</v>
      </c>
      <c r="D4032" s="7" t="s">
        <v>321</v>
      </c>
      <c r="E4032" s="7" t="s">
        <v>154</v>
      </c>
      <c r="F4032" s="39" t="n">
        <v>45856</v>
      </c>
      <c r="G4032" s="41" t="n">
        <v>101.23</v>
      </c>
      <c r="H4032" s="39" t="n">
        <v>45954</v>
      </c>
      <c r="I4032" s="7" t="s">
        <v>14651</v>
      </c>
      <c r="J4032" s="8" t="str">
        <f aca="false">IF(I4032="Open",DATE(2025,12,31)-F4032,"-")</f>
        <v>-</v>
      </c>
    </row>
    <row r="4033" customFormat="false" ht="15" hidden="false" customHeight="false" outlineLevel="0" collapsed="false">
      <c r="B4033" s="7" t="s">
        <v>18678</v>
      </c>
      <c r="C4033" s="7" t="s">
        <v>4530</v>
      </c>
      <c r="D4033" s="7" t="s">
        <v>323</v>
      </c>
      <c r="E4033" s="7" t="s">
        <v>159</v>
      </c>
      <c r="F4033" s="39" t="n">
        <v>45856</v>
      </c>
      <c r="G4033" s="41" t="n">
        <v>140.4</v>
      </c>
      <c r="H4033" s="39" t="n">
        <v>45945</v>
      </c>
      <c r="I4033" s="7" t="s">
        <v>14651</v>
      </c>
      <c r="J4033" s="8" t="str">
        <f aca="false">IF(I4033="Open",DATE(2025,12,31)-F4033,"-")</f>
        <v>-</v>
      </c>
    </row>
    <row r="4034" customFormat="false" ht="15" hidden="false" customHeight="false" outlineLevel="0" collapsed="false">
      <c r="B4034" s="7" t="s">
        <v>18679</v>
      </c>
      <c r="C4034" s="7" t="s">
        <v>4531</v>
      </c>
      <c r="D4034" s="7" t="s">
        <v>327</v>
      </c>
      <c r="E4034" s="7" t="s">
        <v>157</v>
      </c>
      <c r="F4034" s="39" t="n">
        <v>45856</v>
      </c>
      <c r="G4034" s="41" t="n">
        <v>174.9</v>
      </c>
      <c r="H4034" s="39" t="n">
        <v>45926</v>
      </c>
      <c r="I4034" s="7" t="s">
        <v>14651</v>
      </c>
      <c r="J4034" s="8" t="str">
        <f aca="false">IF(I4034="Open",DATE(2025,12,31)-F4034,"-")</f>
        <v>-</v>
      </c>
    </row>
    <row r="4035" customFormat="false" ht="15" hidden="false" customHeight="false" outlineLevel="0" collapsed="false">
      <c r="B4035" s="7" t="s">
        <v>18680</v>
      </c>
      <c r="C4035" s="7" t="s">
        <v>4532</v>
      </c>
      <c r="D4035" s="7" t="s">
        <v>329</v>
      </c>
      <c r="E4035" s="7" t="s">
        <v>156</v>
      </c>
      <c r="F4035" s="39" t="n">
        <v>45856</v>
      </c>
      <c r="G4035" s="41" t="n">
        <v>141.78</v>
      </c>
      <c r="H4035" s="39" t="n">
        <v>45868</v>
      </c>
      <c r="I4035" s="7" t="s">
        <v>14651</v>
      </c>
      <c r="J4035" s="8" t="str">
        <f aca="false">IF(I4035="Open",DATE(2025,12,31)-F4035,"-")</f>
        <v>-</v>
      </c>
    </row>
    <row r="4036" customFormat="false" ht="15" hidden="false" customHeight="false" outlineLevel="0" collapsed="false">
      <c r="B4036" s="7" t="s">
        <v>18681</v>
      </c>
      <c r="C4036" s="7" t="s">
        <v>4533</v>
      </c>
      <c r="D4036" s="7" t="s">
        <v>335</v>
      </c>
      <c r="E4036" s="7" t="s">
        <v>154</v>
      </c>
      <c r="F4036" s="39" t="n">
        <v>45856</v>
      </c>
      <c r="G4036" s="41" t="n">
        <v>100.7</v>
      </c>
      <c r="H4036" s="39" t="n">
        <v>45959</v>
      </c>
      <c r="I4036" s="7" t="s">
        <v>14651</v>
      </c>
      <c r="J4036" s="8" t="str">
        <f aca="false">IF(I4036="Open",DATE(2025,12,31)-F4036,"-")</f>
        <v>-</v>
      </c>
    </row>
    <row r="4037" customFormat="false" ht="15" hidden="false" customHeight="false" outlineLevel="0" collapsed="false">
      <c r="B4037" s="7" t="s">
        <v>18682</v>
      </c>
      <c r="C4037" s="7" t="s">
        <v>4534</v>
      </c>
      <c r="D4037" s="7" t="s">
        <v>339</v>
      </c>
      <c r="E4037" s="7" t="s">
        <v>154</v>
      </c>
      <c r="F4037" s="39" t="n">
        <v>45856</v>
      </c>
      <c r="G4037" s="41" t="n">
        <v>85.06</v>
      </c>
      <c r="H4037" s="39" t="n">
        <v>45916</v>
      </c>
      <c r="I4037" s="7" t="s">
        <v>14651</v>
      </c>
      <c r="J4037" s="8" t="str">
        <f aca="false">IF(I4037="Open",DATE(2025,12,31)-F4037,"-")</f>
        <v>-</v>
      </c>
    </row>
    <row r="4038" customFormat="false" ht="15" hidden="false" customHeight="false" outlineLevel="0" collapsed="false">
      <c r="B4038" s="7" t="s">
        <v>18683</v>
      </c>
      <c r="C4038" s="7" t="s">
        <v>4535</v>
      </c>
      <c r="D4038" s="7" t="s">
        <v>347</v>
      </c>
      <c r="E4038" s="7" t="s">
        <v>154</v>
      </c>
      <c r="F4038" s="39" t="n">
        <v>45856</v>
      </c>
      <c r="G4038" s="41" t="n">
        <v>115.01</v>
      </c>
      <c r="H4038" s="39" t="n">
        <v>45906</v>
      </c>
      <c r="I4038" s="7" t="s">
        <v>14651</v>
      </c>
      <c r="J4038" s="8" t="str">
        <f aca="false">IF(I4038="Open",DATE(2025,12,31)-F4038,"-")</f>
        <v>-</v>
      </c>
    </row>
    <row r="4039" customFormat="false" ht="15" hidden="false" customHeight="false" outlineLevel="0" collapsed="false">
      <c r="B4039" s="7" t="s">
        <v>18684</v>
      </c>
      <c r="C4039" s="7" t="s">
        <v>4536</v>
      </c>
      <c r="D4039" s="7" t="s">
        <v>353</v>
      </c>
      <c r="E4039" s="7" t="s">
        <v>154</v>
      </c>
      <c r="F4039" s="39" t="n">
        <v>45856</v>
      </c>
      <c r="G4039" s="41" t="n">
        <v>87.72</v>
      </c>
      <c r="H4039" s="39" t="n">
        <v>45896</v>
      </c>
      <c r="I4039" s="7" t="s">
        <v>14651</v>
      </c>
      <c r="J4039" s="8" t="str">
        <f aca="false">IF(I4039="Open",DATE(2025,12,31)-F4039,"-")</f>
        <v>-</v>
      </c>
    </row>
    <row r="4040" customFormat="false" ht="15" hidden="false" customHeight="false" outlineLevel="0" collapsed="false">
      <c r="B4040" s="7" t="s">
        <v>18685</v>
      </c>
      <c r="C4040" s="7" t="s">
        <v>4537</v>
      </c>
      <c r="D4040" s="7" t="s">
        <v>355</v>
      </c>
      <c r="E4040" s="7" t="s">
        <v>154</v>
      </c>
      <c r="F4040" s="39" t="n">
        <v>45856</v>
      </c>
      <c r="G4040" s="41" t="n">
        <v>92.48</v>
      </c>
      <c r="H4040" s="39" t="n">
        <v>45974</v>
      </c>
      <c r="I4040" s="7" t="s">
        <v>14651</v>
      </c>
      <c r="J4040" s="8" t="str">
        <f aca="false">IF(I4040="Open",DATE(2025,12,31)-F4040,"-")</f>
        <v>-</v>
      </c>
    </row>
    <row r="4041" customFormat="false" ht="15" hidden="false" customHeight="false" outlineLevel="0" collapsed="false">
      <c r="B4041" s="7" t="s">
        <v>18686</v>
      </c>
      <c r="C4041" s="7" t="s">
        <v>4538</v>
      </c>
      <c r="D4041" s="7" t="s">
        <v>357</v>
      </c>
      <c r="E4041" s="7" t="s">
        <v>154</v>
      </c>
      <c r="F4041" s="39" t="n">
        <v>45856</v>
      </c>
      <c r="G4041" s="41" t="n">
        <v>82.94</v>
      </c>
      <c r="H4041" s="39" t="n">
        <v>45941</v>
      </c>
      <c r="I4041" s="7" t="s">
        <v>14651</v>
      </c>
      <c r="J4041" s="8" t="str">
        <f aca="false">IF(I4041="Open",DATE(2025,12,31)-F4041,"-")</f>
        <v>-</v>
      </c>
    </row>
    <row r="4042" customFormat="false" ht="15" hidden="false" customHeight="false" outlineLevel="0" collapsed="false">
      <c r="B4042" s="7" t="s">
        <v>18687</v>
      </c>
      <c r="C4042" s="7" t="s">
        <v>4539</v>
      </c>
      <c r="D4042" s="7" t="s">
        <v>359</v>
      </c>
      <c r="E4042" s="7" t="s">
        <v>156</v>
      </c>
      <c r="F4042" s="39" t="n">
        <v>45856</v>
      </c>
      <c r="G4042" s="41" t="n">
        <v>132.26</v>
      </c>
      <c r="H4042" s="39" t="n">
        <v>45868</v>
      </c>
      <c r="I4042" s="7" t="s">
        <v>14651</v>
      </c>
      <c r="J4042" s="8" t="str">
        <f aca="false">IF(I4042="Open",DATE(2025,12,31)-F4042,"-")</f>
        <v>-</v>
      </c>
    </row>
    <row r="4043" customFormat="false" ht="15" hidden="false" customHeight="false" outlineLevel="0" collapsed="false">
      <c r="B4043" s="7" t="s">
        <v>18688</v>
      </c>
      <c r="C4043" s="7" t="s">
        <v>4540</v>
      </c>
      <c r="D4043" s="7" t="s">
        <v>361</v>
      </c>
      <c r="E4043" s="7" t="s">
        <v>157</v>
      </c>
      <c r="F4043" s="39" t="n">
        <v>45856</v>
      </c>
      <c r="G4043" s="41" t="n">
        <v>169.95</v>
      </c>
      <c r="H4043" s="39" t="n">
        <v>45894</v>
      </c>
      <c r="I4043" s="7" t="s">
        <v>14651</v>
      </c>
      <c r="J4043" s="8" t="str">
        <f aca="false">IF(I4043="Open",DATE(2025,12,31)-F4043,"-")</f>
        <v>-</v>
      </c>
    </row>
    <row r="4044" customFormat="false" ht="15" hidden="false" customHeight="false" outlineLevel="0" collapsed="false">
      <c r="B4044" s="7" t="s">
        <v>18689</v>
      </c>
      <c r="C4044" s="7" t="s">
        <v>4541</v>
      </c>
      <c r="D4044" s="7" t="s">
        <v>365</v>
      </c>
      <c r="E4044" s="7" t="s">
        <v>154</v>
      </c>
      <c r="F4044" s="39" t="n">
        <v>45856</v>
      </c>
      <c r="G4044" s="41" t="n">
        <v>105.73</v>
      </c>
      <c r="H4044" s="39" t="n">
        <v>45910</v>
      </c>
      <c r="I4044" s="7" t="s">
        <v>14651</v>
      </c>
      <c r="J4044" s="8" t="str">
        <f aca="false">IF(I4044="Open",DATE(2025,12,31)-F4044,"-")</f>
        <v>-</v>
      </c>
    </row>
    <row r="4045" customFormat="false" ht="15" hidden="false" customHeight="false" outlineLevel="0" collapsed="false">
      <c r="B4045" s="7" t="s">
        <v>18690</v>
      </c>
      <c r="C4045" s="7" t="s">
        <v>4542</v>
      </c>
      <c r="D4045" s="7" t="s">
        <v>371</v>
      </c>
      <c r="E4045" s="7" t="s">
        <v>154</v>
      </c>
      <c r="F4045" s="39" t="n">
        <v>45856</v>
      </c>
      <c r="G4045" s="41" t="n">
        <v>119.25</v>
      </c>
      <c r="H4045" s="39" t="n">
        <v>45967</v>
      </c>
      <c r="I4045" s="7" t="s">
        <v>14651</v>
      </c>
      <c r="J4045" s="8" t="str">
        <f aca="false">IF(I4045="Open",DATE(2025,12,31)-F4045,"-")</f>
        <v>-</v>
      </c>
    </row>
    <row r="4046" customFormat="false" ht="15" hidden="false" customHeight="false" outlineLevel="0" collapsed="false">
      <c r="B4046" s="7" t="s">
        <v>18691</v>
      </c>
      <c r="C4046" s="7" t="s">
        <v>4543</v>
      </c>
      <c r="D4046" s="7" t="s">
        <v>379</v>
      </c>
      <c r="E4046" s="7" t="s">
        <v>156</v>
      </c>
      <c r="F4046" s="39" t="n">
        <v>45856</v>
      </c>
      <c r="G4046" s="41" t="n">
        <v>159.8</v>
      </c>
      <c r="H4046" s="39" t="n">
        <v>45869</v>
      </c>
      <c r="I4046" s="7" t="s">
        <v>14651</v>
      </c>
      <c r="J4046" s="8" t="str">
        <f aca="false">IF(I4046="Open",DATE(2025,12,31)-F4046,"-")</f>
        <v>-</v>
      </c>
    </row>
    <row r="4047" customFormat="false" ht="15" hidden="false" customHeight="false" outlineLevel="0" collapsed="false">
      <c r="B4047" s="7" t="s">
        <v>18692</v>
      </c>
      <c r="C4047" s="7" t="s">
        <v>4544</v>
      </c>
      <c r="D4047" s="7" t="s">
        <v>381</v>
      </c>
      <c r="E4047" s="7" t="s">
        <v>157</v>
      </c>
      <c r="F4047" s="39" t="n">
        <v>45856</v>
      </c>
      <c r="G4047" s="41" t="n">
        <v>170.77</v>
      </c>
      <c r="H4047" s="39" t="n">
        <v>45902</v>
      </c>
      <c r="I4047" s="7" t="s">
        <v>14651</v>
      </c>
      <c r="J4047" s="8" t="str">
        <f aca="false">IF(I4047="Open",DATE(2025,12,31)-F4047,"-")</f>
        <v>-</v>
      </c>
    </row>
    <row r="4048" customFormat="false" ht="15" hidden="false" customHeight="false" outlineLevel="0" collapsed="false">
      <c r="B4048" s="7" t="s">
        <v>18693</v>
      </c>
      <c r="C4048" s="7" t="s">
        <v>4545</v>
      </c>
      <c r="D4048" s="7" t="s">
        <v>385</v>
      </c>
      <c r="E4048" s="7" t="s">
        <v>156</v>
      </c>
      <c r="F4048" s="39" t="n">
        <v>45856</v>
      </c>
      <c r="G4048" s="41" t="n">
        <v>142.46</v>
      </c>
      <c r="H4048" s="39" t="n">
        <v>45862</v>
      </c>
      <c r="I4048" s="7" t="s">
        <v>14651</v>
      </c>
      <c r="J4048" s="8" t="str">
        <f aca="false">IF(I4048="Open",DATE(2025,12,31)-F4048,"-")</f>
        <v>-</v>
      </c>
    </row>
    <row r="4049" customFormat="false" ht="15" hidden="false" customHeight="false" outlineLevel="0" collapsed="false">
      <c r="B4049" s="7" t="s">
        <v>18694</v>
      </c>
      <c r="C4049" s="7" t="s">
        <v>4546</v>
      </c>
      <c r="D4049" s="7" t="s">
        <v>389</v>
      </c>
      <c r="E4049" s="7" t="s">
        <v>154</v>
      </c>
      <c r="F4049" s="39" t="n">
        <v>45856</v>
      </c>
      <c r="G4049" s="41" t="n">
        <v>112.36</v>
      </c>
      <c r="H4049" s="39" t="n">
        <v>45905</v>
      </c>
      <c r="I4049" s="7" t="s">
        <v>14651</v>
      </c>
      <c r="J4049" s="8" t="str">
        <f aca="false">IF(I4049="Open",DATE(2025,12,31)-F4049,"-")</f>
        <v>-</v>
      </c>
    </row>
    <row r="4050" customFormat="false" ht="15" hidden="false" customHeight="false" outlineLevel="0" collapsed="false">
      <c r="B4050" s="7" t="s">
        <v>18695</v>
      </c>
      <c r="C4050" s="7" t="s">
        <v>4547</v>
      </c>
      <c r="D4050" s="7" t="s">
        <v>391</v>
      </c>
      <c r="E4050" s="7" t="s">
        <v>156</v>
      </c>
      <c r="F4050" s="39" t="n">
        <v>45856</v>
      </c>
      <c r="G4050" s="41" t="n">
        <v>133.96</v>
      </c>
      <c r="H4050" s="39" t="n">
        <v>45861</v>
      </c>
      <c r="I4050" s="7" t="s">
        <v>14651</v>
      </c>
      <c r="J4050" s="8" t="str">
        <f aca="false">IF(I4050="Open",DATE(2025,12,31)-F4050,"-")</f>
        <v>-</v>
      </c>
    </row>
    <row r="4051" customFormat="false" ht="15" hidden="false" customHeight="false" outlineLevel="0" collapsed="false">
      <c r="B4051" s="7" t="s">
        <v>18696</v>
      </c>
      <c r="C4051" s="7" t="s">
        <v>4548</v>
      </c>
      <c r="D4051" s="7" t="s">
        <v>395</v>
      </c>
      <c r="E4051" s="7" t="s">
        <v>156</v>
      </c>
      <c r="F4051" s="39" t="n">
        <v>45856</v>
      </c>
      <c r="G4051" s="41" t="n">
        <v>129.54</v>
      </c>
      <c r="H4051" s="39" t="n">
        <v>45865</v>
      </c>
      <c r="I4051" s="7" t="s">
        <v>14651</v>
      </c>
      <c r="J4051" s="8" t="str">
        <f aca="false">IF(I4051="Open",DATE(2025,12,31)-F4051,"-")</f>
        <v>-</v>
      </c>
    </row>
    <row r="4052" customFormat="false" ht="15" hidden="false" customHeight="false" outlineLevel="0" collapsed="false">
      <c r="B4052" s="7" t="s">
        <v>18697</v>
      </c>
      <c r="C4052" s="7" t="s">
        <v>4549</v>
      </c>
      <c r="D4052" s="7" t="s">
        <v>397</v>
      </c>
      <c r="E4052" s="7" t="s">
        <v>159</v>
      </c>
      <c r="F4052" s="39" t="n">
        <v>45856</v>
      </c>
      <c r="G4052" s="41" t="n">
        <v>129.33</v>
      </c>
      <c r="H4052" s="39" t="n">
        <v>45893</v>
      </c>
      <c r="I4052" s="7" t="s">
        <v>14651</v>
      </c>
      <c r="J4052" s="8" t="str">
        <f aca="false">IF(I4052="Open",DATE(2025,12,31)-F4052,"-")</f>
        <v>-</v>
      </c>
    </row>
    <row r="4053" customFormat="false" ht="15" hidden="false" customHeight="false" outlineLevel="0" collapsed="false">
      <c r="B4053" s="7" t="s">
        <v>18698</v>
      </c>
      <c r="C4053" s="7" t="s">
        <v>4550</v>
      </c>
      <c r="D4053" s="7" t="s">
        <v>399</v>
      </c>
      <c r="E4053" s="7" t="s">
        <v>154</v>
      </c>
      <c r="F4053" s="39" t="n">
        <v>45856</v>
      </c>
      <c r="G4053" s="41" t="n">
        <v>87.72</v>
      </c>
      <c r="H4053" s="39" t="n">
        <v>45933</v>
      </c>
      <c r="I4053" s="7" t="s">
        <v>14651</v>
      </c>
      <c r="J4053" s="8" t="str">
        <f aca="false">IF(I4053="Open",DATE(2025,12,31)-F4053,"-")</f>
        <v>-</v>
      </c>
    </row>
    <row r="4054" customFormat="false" ht="15" hidden="false" customHeight="false" outlineLevel="0" collapsed="false">
      <c r="B4054" s="7" t="s">
        <v>18699</v>
      </c>
      <c r="C4054" s="7" t="s">
        <v>4551</v>
      </c>
      <c r="D4054" s="7" t="s">
        <v>401</v>
      </c>
      <c r="E4054" s="7" t="s">
        <v>156</v>
      </c>
      <c r="F4054" s="39" t="n">
        <v>45856</v>
      </c>
      <c r="G4054" s="41" t="n">
        <v>132.94</v>
      </c>
      <c r="H4054" s="39" t="n">
        <v>45864</v>
      </c>
      <c r="I4054" s="7" t="s">
        <v>14651</v>
      </c>
      <c r="J4054" s="8" t="str">
        <f aca="false">IF(I4054="Open",DATE(2025,12,31)-F4054,"-")</f>
        <v>-</v>
      </c>
    </row>
    <row r="4055" customFormat="false" ht="15" hidden="false" customHeight="false" outlineLevel="0" collapsed="false">
      <c r="B4055" s="7" t="s">
        <v>18700</v>
      </c>
      <c r="C4055" s="7" t="s">
        <v>4552</v>
      </c>
      <c r="D4055" s="7" t="s">
        <v>407</v>
      </c>
      <c r="E4055" s="7" t="s">
        <v>159</v>
      </c>
      <c r="F4055" s="39" t="n">
        <v>45856</v>
      </c>
      <c r="G4055" s="41" t="n">
        <v>129.6</v>
      </c>
      <c r="H4055" s="39" t="n">
        <v>45911</v>
      </c>
      <c r="I4055" s="7" t="s">
        <v>14651</v>
      </c>
      <c r="J4055" s="8" t="str">
        <f aca="false">IF(I4055="Open",DATE(2025,12,31)-F4055,"-")</f>
        <v>-</v>
      </c>
    </row>
    <row r="4056" customFormat="false" ht="15" hidden="false" customHeight="false" outlineLevel="0" collapsed="false">
      <c r="B4056" s="7" t="s">
        <v>18701</v>
      </c>
      <c r="C4056" s="7" t="s">
        <v>4553</v>
      </c>
      <c r="D4056" s="7" t="s">
        <v>409</v>
      </c>
      <c r="E4056" s="7" t="s">
        <v>154</v>
      </c>
      <c r="F4056" s="39" t="n">
        <v>45856</v>
      </c>
      <c r="G4056" s="41" t="n">
        <v>82.94</v>
      </c>
      <c r="H4056" s="39" t="n">
        <v>45932</v>
      </c>
      <c r="I4056" s="7" t="s">
        <v>14651</v>
      </c>
      <c r="J4056" s="8" t="str">
        <f aca="false">IF(I4056="Open",DATE(2025,12,31)-F4056,"-")</f>
        <v>-</v>
      </c>
    </row>
    <row r="4057" customFormat="false" ht="15" hidden="false" customHeight="false" outlineLevel="0" collapsed="false">
      <c r="B4057" s="7" t="s">
        <v>18702</v>
      </c>
      <c r="C4057" s="7" t="s">
        <v>4554</v>
      </c>
      <c r="D4057" s="7" t="s">
        <v>411</v>
      </c>
      <c r="E4057" s="7" t="s">
        <v>154</v>
      </c>
      <c r="F4057" s="39" t="n">
        <v>45856</v>
      </c>
      <c r="G4057" s="41" t="n">
        <v>122.11</v>
      </c>
      <c r="H4057" s="39" t="n">
        <v>45899</v>
      </c>
      <c r="I4057" s="7" t="s">
        <v>14651</v>
      </c>
      <c r="J4057" s="8" t="str">
        <f aca="false">IF(I4057="Open",DATE(2025,12,31)-F4057,"-")</f>
        <v>-</v>
      </c>
    </row>
    <row r="4058" customFormat="false" ht="15" hidden="false" customHeight="false" outlineLevel="0" collapsed="false">
      <c r="B4058" s="7" t="s">
        <v>18703</v>
      </c>
      <c r="C4058" s="7" t="s">
        <v>4555</v>
      </c>
      <c r="D4058" s="7" t="s">
        <v>288</v>
      </c>
      <c r="E4058" s="7" t="s">
        <v>156</v>
      </c>
      <c r="F4058" s="39" t="n">
        <v>45857</v>
      </c>
      <c r="G4058" s="41" t="n">
        <v>123.76</v>
      </c>
      <c r="H4058" s="39" t="n">
        <v>45862</v>
      </c>
      <c r="I4058" s="7" t="s">
        <v>14651</v>
      </c>
      <c r="J4058" s="8" t="str">
        <f aca="false">IF(I4058="Open",DATE(2025,12,31)-F4058,"-")</f>
        <v>-</v>
      </c>
    </row>
    <row r="4059" customFormat="false" ht="15" hidden="false" customHeight="false" outlineLevel="0" collapsed="false">
      <c r="B4059" s="7" t="s">
        <v>18704</v>
      </c>
      <c r="C4059" s="7" t="s">
        <v>4556</v>
      </c>
      <c r="D4059" s="7" t="s">
        <v>321</v>
      </c>
      <c r="E4059" s="7" t="s">
        <v>154</v>
      </c>
      <c r="F4059" s="39" t="n">
        <v>45857</v>
      </c>
      <c r="G4059" s="41" t="n">
        <v>102.03</v>
      </c>
      <c r="H4059" s="39" t="n">
        <v>45903</v>
      </c>
      <c r="I4059" s="7" t="s">
        <v>14651</v>
      </c>
      <c r="J4059" s="8" t="str">
        <f aca="false">IF(I4059="Open",DATE(2025,12,31)-F4059,"-")</f>
        <v>-</v>
      </c>
    </row>
    <row r="4060" customFormat="false" ht="15" hidden="false" customHeight="false" outlineLevel="0" collapsed="false">
      <c r="B4060" s="7" t="s">
        <v>18705</v>
      </c>
      <c r="C4060" s="7" t="s">
        <v>4557</v>
      </c>
      <c r="D4060" s="7" t="s">
        <v>359</v>
      </c>
      <c r="E4060" s="7" t="s">
        <v>156</v>
      </c>
      <c r="F4060" s="39" t="n">
        <v>45857</v>
      </c>
      <c r="G4060" s="41" t="n">
        <v>139.4</v>
      </c>
      <c r="H4060" s="39" t="n">
        <v>45866</v>
      </c>
      <c r="I4060" s="7" t="s">
        <v>14651</v>
      </c>
      <c r="J4060" s="8" t="str">
        <f aca="false">IF(I4060="Open",DATE(2025,12,31)-F4060,"-")</f>
        <v>-</v>
      </c>
    </row>
    <row r="4061" customFormat="false" ht="15" hidden="false" customHeight="false" outlineLevel="0" collapsed="false">
      <c r="B4061" s="7" t="s">
        <v>18706</v>
      </c>
      <c r="C4061" s="7" t="s">
        <v>4558</v>
      </c>
      <c r="D4061" s="7" t="s">
        <v>391</v>
      </c>
      <c r="E4061" s="7" t="s">
        <v>156</v>
      </c>
      <c r="F4061" s="39" t="n">
        <v>45857</v>
      </c>
      <c r="G4061" s="41" t="n">
        <v>139.06</v>
      </c>
      <c r="H4061" s="39" t="n">
        <v>45867</v>
      </c>
      <c r="I4061" s="7" t="s">
        <v>14651</v>
      </c>
      <c r="J4061" s="8" t="str">
        <f aca="false">IF(I4061="Open",DATE(2025,12,31)-F4061,"-")</f>
        <v>-</v>
      </c>
    </row>
    <row r="4062" customFormat="false" ht="15" hidden="false" customHeight="false" outlineLevel="0" collapsed="false">
      <c r="B4062" s="7" t="s">
        <v>18707</v>
      </c>
      <c r="C4062" s="7" t="s">
        <v>4559</v>
      </c>
      <c r="D4062" s="7" t="s">
        <v>395</v>
      </c>
      <c r="E4062" s="7" t="s">
        <v>156</v>
      </c>
      <c r="F4062" s="39" t="n">
        <v>45857</v>
      </c>
      <c r="G4062" s="41" t="n">
        <v>131.24</v>
      </c>
      <c r="H4062" s="39" t="n">
        <v>45872</v>
      </c>
      <c r="I4062" s="7" t="s">
        <v>14651</v>
      </c>
      <c r="J4062" s="8" t="str">
        <f aca="false">IF(I4062="Open",DATE(2025,12,31)-F4062,"-")</f>
        <v>-</v>
      </c>
    </row>
    <row r="4063" customFormat="false" ht="15" hidden="false" customHeight="false" outlineLevel="0" collapsed="false">
      <c r="B4063" s="7" t="s">
        <v>18708</v>
      </c>
      <c r="C4063" s="7" t="s">
        <v>4560</v>
      </c>
      <c r="D4063" s="7" t="s">
        <v>401</v>
      </c>
      <c r="E4063" s="7" t="s">
        <v>156</v>
      </c>
      <c r="F4063" s="39" t="n">
        <v>45857</v>
      </c>
      <c r="G4063" s="41" t="n">
        <v>136.34</v>
      </c>
      <c r="H4063" s="39" t="n">
        <v>45874</v>
      </c>
      <c r="I4063" s="7" t="s">
        <v>14651</v>
      </c>
      <c r="J4063" s="8" t="str">
        <f aca="false">IF(I4063="Open",DATE(2025,12,31)-F4063,"-")</f>
        <v>-</v>
      </c>
    </row>
    <row r="4064" customFormat="false" ht="15" hidden="false" customHeight="false" outlineLevel="0" collapsed="false">
      <c r="B4064" s="7" t="s">
        <v>18709</v>
      </c>
      <c r="C4064" s="7" t="s">
        <v>4561</v>
      </c>
      <c r="D4064" s="7" t="s">
        <v>288</v>
      </c>
      <c r="E4064" s="7" t="s">
        <v>156</v>
      </c>
      <c r="F4064" s="39" t="n">
        <v>45858</v>
      </c>
      <c r="G4064" s="41" t="n">
        <v>136</v>
      </c>
      <c r="H4064" s="39" t="n">
        <v>45864</v>
      </c>
      <c r="I4064" s="7" t="s">
        <v>14651</v>
      </c>
      <c r="J4064" s="8" t="str">
        <f aca="false">IF(I4064="Open",DATE(2025,12,31)-F4064,"-")</f>
        <v>-</v>
      </c>
    </row>
    <row r="4065" customFormat="false" ht="15" hidden="false" customHeight="false" outlineLevel="0" collapsed="false">
      <c r="B4065" s="7" t="s">
        <v>18710</v>
      </c>
      <c r="C4065" s="7" t="s">
        <v>4562</v>
      </c>
      <c r="D4065" s="7" t="s">
        <v>321</v>
      </c>
      <c r="E4065" s="7" t="s">
        <v>154</v>
      </c>
      <c r="F4065" s="39" t="n">
        <v>45858</v>
      </c>
      <c r="G4065" s="41" t="n">
        <v>106.53</v>
      </c>
      <c r="H4065" s="39" t="n">
        <v>45890</v>
      </c>
      <c r="I4065" s="7" t="s">
        <v>14651</v>
      </c>
      <c r="J4065" s="8" t="str">
        <f aca="false">IF(I4065="Open",DATE(2025,12,31)-F4065,"-")</f>
        <v>-</v>
      </c>
    </row>
    <row r="4066" customFormat="false" ht="15" hidden="false" customHeight="false" outlineLevel="0" collapsed="false">
      <c r="B4066" s="7" t="s">
        <v>18711</v>
      </c>
      <c r="C4066" s="7" t="s">
        <v>4563</v>
      </c>
      <c r="D4066" s="7" t="s">
        <v>359</v>
      </c>
      <c r="E4066" s="7" t="s">
        <v>156</v>
      </c>
      <c r="F4066" s="39" t="n">
        <v>45858</v>
      </c>
      <c r="G4066" s="41" t="n">
        <v>142.8</v>
      </c>
      <c r="H4066" s="39" t="n">
        <v>45872</v>
      </c>
      <c r="I4066" s="7" t="s">
        <v>14651</v>
      </c>
      <c r="J4066" s="8" t="str">
        <f aca="false">IF(I4066="Open",DATE(2025,12,31)-F4066,"-")</f>
        <v>-</v>
      </c>
    </row>
    <row r="4067" customFormat="false" ht="15" hidden="false" customHeight="false" outlineLevel="0" collapsed="false">
      <c r="B4067" s="7" t="s">
        <v>18712</v>
      </c>
      <c r="C4067" s="7" t="s">
        <v>4564</v>
      </c>
      <c r="D4067" s="7" t="s">
        <v>391</v>
      </c>
      <c r="E4067" s="7" t="s">
        <v>156</v>
      </c>
      <c r="F4067" s="39" t="n">
        <v>45858</v>
      </c>
      <c r="G4067" s="41" t="n">
        <v>131.58</v>
      </c>
      <c r="H4067" s="39" t="n">
        <v>45867</v>
      </c>
      <c r="I4067" s="7" t="s">
        <v>14651</v>
      </c>
      <c r="J4067" s="8" t="str">
        <f aca="false">IF(I4067="Open",DATE(2025,12,31)-F4067,"-")</f>
        <v>-</v>
      </c>
    </row>
    <row r="4068" customFormat="false" ht="15" hidden="false" customHeight="false" outlineLevel="0" collapsed="false">
      <c r="B4068" s="7" t="s">
        <v>18713</v>
      </c>
      <c r="C4068" s="7" t="s">
        <v>4565</v>
      </c>
      <c r="D4068" s="7" t="s">
        <v>395</v>
      </c>
      <c r="E4068" s="7" t="s">
        <v>156</v>
      </c>
      <c r="F4068" s="39" t="n">
        <v>45858</v>
      </c>
      <c r="G4068" s="41" t="n">
        <v>124.1</v>
      </c>
      <c r="H4068" s="39" t="n">
        <v>45868</v>
      </c>
      <c r="I4068" s="7" t="s">
        <v>14651</v>
      </c>
      <c r="J4068" s="8" t="str">
        <f aca="false">IF(I4068="Open",DATE(2025,12,31)-F4068,"-")</f>
        <v>-</v>
      </c>
    </row>
    <row r="4069" customFormat="false" ht="15" hidden="false" customHeight="false" outlineLevel="0" collapsed="false">
      <c r="B4069" s="7" t="s">
        <v>18714</v>
      </c>
      <c r="C4069" s="7" t="s">
        <v>4566</v>
      </c>
      <c r="D4069" s="7" t="s">
        <v>401</v>
      </c>
      <c r="E4069" s="7" t="s">
        <v>156</v>
      </c>
      <c r="F4069" s="39" t="n">
        <v>45858</v>
      </c>
      <c r="G4069" s="41" t="n">
        <v>141.44</v>
      </c>
      <c r="H4069" s="39" t="n">
        <v>45871</v>
      </c>
      <c r="I4069" s="7" t="s">
        <v>14651</v>
      </c>
      <c r="J4069" s="8" t="str">
        <f aca="false">IF(I4069="Open",DATE(2025,12,31)-F4069,"-")</f>
        <v>-</v>
      </c>
    </row>
    <row r="4070" customFormat="false" ht="15" hidden="false" customHeight="false" outlineLevel="0" collapsed="false">
      <c r="B4070" s="7" t="s">
        <v>18715</v>
      </c>
      <c r="C4070" s="7" t="s">
        <v>4567</v>
      </c>
      <c r="D4070" s="7" t="s">
        <v>280</v>
      </c>
      <c r="E4070" s="7" t="s">
        <v>157</v>
      </c>
      <c r="F4070" s="39" t="n">
        <v>45859</v>
      </c>
      <c r="G4070" s="41" t="n">
        <v>155.1</v>
      </c>
      <c r="H4070" s="39" t="n">
        <v>45873</v>
      </c>
      <c r="I4070" s="7" t="s">
        <v>14651</v>
      </c>
      <c r="J4070" s="8" t="str">
        <f aca="false">IF(I4070="Open",DATE(2025,12,31)-F4070,"-")</f>
        <v>-</v>
      </c>
    </row>
    <row r="4071" customFormat="false" ht="15" hidden="false" customHeight="false" outlineLevel="0" collapsed="false">
      <c r="B4071" s="7" t="s">
        <v>18716</v>
      </c>
      <c r="C4071" s="7" t="s">
        <v>4568</v>
      </c>
      <c r="D4071" s="7" t="s">
        <v>288</v>
      </c>
      <c r="E4071" s="7" t="s">
        <v>156</v>
      </c>
      <c r="F4071" s="39" t="n">
        <v>45859</v>
      </c>
      <c r="G4071" s="41" t="n">
        <v>145.86</v>
      </c>
      <c r="H4071" s="39" t="n">
        <v>45872</v>
      </c>
      <c r="I4071" s="7" t="s">
        <v>14651</v>
      </c>
      <c r="J4071" s="8" t="str">
        <f aca="false">IF(I4071="Open",DATE(2025,12,31)-F4071,"-")</f>
        <v>-</v>
      </c>
    </row>
    <row r="4072" customFormat="false" ht="15" hidden="false" customHeight="false" outlineLevel="0" collapsed="false">
      <c r="B4072" s="7" t="s">
        <v>18717</v>
      </c>
      <c r="C4072" s="7" t="s">
        <v>4569</v>
      </c>
      <c r="D4072" s="7" t="s">
        <v>291</v>
      </c>
      <c r="E4072" s="7" t="s">
        <v>154</v>
      </c>
      <c r="F4072" s="39" t="n">
        <v>45859</v>
      </c>
      <c r="G4072" s="41" t="n">
        <v>125.08</v>
      </c>
      <c r="H4072" s="39" t="n">
        <v>45898</v>
      </c>
      <c r="I4072" s="7" t="s">
        <v>14651</v>
      </c>
      <c r="J4072" s="8" t="str">
        <f aca="false">IF(I4072="Open",DATE(2025,12,31)-F4072,"-")</f>
        <v>-</v>
      </c>
    </row>
    <row r="4073" customFormat="false" ht="15" hidden="false" customHeight="false" outlineLevel="0" collapsed="false">
      <c r="B4073" s="7" t="s">
        <v>18718</v>
      </c>
      <c r="C4073" s="7" t="s">
        <v>4570</v>
      </c>
      <c r="D4073" s="7" t="s">
        <v>297</v>
      </c>
      <c r="E4073" s="7" t="s">
        <v>156</v>
      </c>
      <c r="F4073" s="39" t="n">
        <v>45859</v>
      </c>
      <c r="G4073" s="41" t="n">
        <v>96.56</v>
      </c>
      <c r="H4073" s="39" t="n">
        <v>45877</v>
      </c>
      <c r="I4073" s="7" t="s">
        <v>14651</v>
      </c>
      <c r="J4073" s="8" t="str">
        <f aca="false">IF(I4073="Open",DATE(2025,12,31)-F4073,"-")</f>
        <v>-</v>
      </c>
    </row>
    <row r="4074" customFormat="false" ht="15" hidden="false" customHeight="false" outlineLevel="0" collapsed="false">
      <c r="B4074" s="7" t="s">
        <v>18719</v>
      </c>
      <c r="C4074" s="7" t="s">
        <v>4571</v>
      </c>
      <c r="D4074" s="7" t="s">
        <v>305</v>
      </c>
      <c r="E4074" s="7" t="s">
        <v>154</v>
      </c>
      <c r="F4074" s="39" t="n">
        <v>45859</v>
      </c>
      <c r="G4074" s="41" t="n">
        <v>100.44</v>
      </c>
      <c r="H4074" s="39" t="n">
        <v>45916</v>
      </c>
      <c r="I4074" s="7" t="s">
        <v>14651</v>
      </c>
      <c r="J4074" s="8" t="str">
        <f aca="false">IF(I4074="Open",DATE(2025,12,31)-F4074,"-")</f>
        <v>-</v>
      </c>
    </row>
    <row r="4075" customFormat="false" ht="15" hidden="false" customHeight="false" outlineLevel="0" collapsed="false">
      <c r="B4075" s="7" t="s">
        <v>18720</v>
      </c>
      <c r="C4075" s="7" t="s">
        <v>4572</v>
      </c>
      <c r="D4075" s="7" t="s">
        <v>307</v>
      </c>
      <c r="E4075" s="7" t="s">
        <v>157</v>
      </c>
      <c r="F4075" s="39" t="n">
        <v>45859</v>
      </c>
      <c r="G4075" s="41" t="n">
        <v>165</v>
      </c>
      <c r="H4075" s="39" t="n">
        <v>45934</v>
      </c>
      <c r="I4075" s="7" t="s">
        <v>14651</v>
      </c>
      <c r="J4075" s="8" t="str">
        <f aca="false">IF(I4075="Open",DATE(2025,12,31)-F4075,"-")</f>
        <v>-</v>
      </c>
    </row>
    <row r="4076" customFormat="false" ht="15" hidden="false" customHeight="false" outlineLevel="0" collapsed="false">
      <c r="B4076" s="7" t="s">
        <v>18721</v>
      </c>
      <c r="C4076" s="7" t="s">
        <v>4573</v>
      </c>
      <c r="D4076" s="7" t="s">
        <v>311</v>
      </c>
      <c r="E4076" s="7" t="s">
        <v>154</v>
      </c>
      <c r="F4076" s="39" t="n">
        <v>45859</v>
      </c>
      <c r="G4076" s="41" t="n">
        <v>79.5</v>
      </c>
      <c r="H4076" s="39" t="n">
        <v>45978</v>
      </c>
      <c r="I4076" s="7" t="s">
        <v>14651</v>
      </c>
      <c r="J4076" s="8" t="str">
        <f aca="false">IF(I4076="Open",DATE(2025,12,31)-F4076,"-")</f>
        <v>-</v>
      </c>
    </row>
    <row r="4077" customFormat="false" ht="15" hidden="false" customHeight="false" outlineLevel="0" collapsed="false">
      <c r="B4077" s="7" t="s">
        <v>18722</v>
      </c>
      <c r="C4077" s="7" t="s">
        <v>4574</v>
      </c>
      <c r="D4077" s="7" t="s">
        <v>313</v>
      </c>
      <c r="E4077" s="7" t="s">
        <v>156</v>
      </c>
      <c r="F4077" s="39" t="n">
        <v>45859</v>
      </c>
      <c r="G4077" s="41" t="n">
        <v>137.36</v>
      </c>
      <c r="H4077" s="39" t="n">
        <v>45871</v>
      </c>
      <c r="I4077" s="7" t="s">
        <v>14651</v>
      </c>
      <c r="J4077" s="8" t="str">
        <f aca="false">IF(I4077="Open",DATE(2025,12,31)-F4077,"-")</f>
        <v>-</v>
      </c>
    </row>
    <row r="4078" customFormat="false" ht="15" hidden="false" customHeight="false" outlineLevel="0" collapsed="false">
      <c r="B4078" s="7" t="s">
        <v>18723</v>
      </c>
      <c r="C4078" s="7" t="s">
        <v>4575</v>
      </c>
      <c r="D4078" s="7" t="s">
        <v>317</v>
      </c>
      <c r="E4078" s="7" t="s">
        <v>156</v>
      </c>
      <c r="F4078" s="39" t="n">
        <v>45859</v>
      </c>
      <c r="G4078" s="41" t="n">
        <v>96.22</v>
      </c>
      <c r="H4078" s="39" t="n">
        <v>45875</v>
      </c>
      <c r="I4078" s="7" t="s">
        <v>14651</v>
      </c>
      <c r="J4078" s="8" t="str">
        <f aca="false">IF(I4078="Open",DATE(2025,12,31)-F4078,"-")</f>
        <v>-</v>
      </c>
    </row>
    <row r="4079" customFormat="false" ht="15" hidden="false" customHeight="false" outlineLevel="0" collapsed="false">
      <c r="B4079" s="7" t="s">
        <v>18724</v>
      </c>
      <c r="C4079" s="7" t="s">
        <v>4576</v>
      </c>
      <c r="D4079" s="7" t="s">
        <v>321</v>
      </c>
      <c r="E4079" s="7" t="s">
        <v>154</v>
      </c>
      <c r="F4079" s="39" t="n">
        <v>45859</v>
      </c>
      <c r="G4079" s="41" t="n">
        <v>110.24</v>
      </c>
      <c r="H4079" s="39" t="n">
        <v>45919</v>
      </c>
      <c r="I4079" s="7" t="s">
        <v>14651</v>
      </c>
      <c r="J4079" s="8" t="str">
        <f aca="false">IF(I4079="Open",DATE(2025,12,31)-F4079,"-")</f>
        <v>-</v>
      </c>
    </row>
    <row r="4080" customFormat="false" ht="15" hidden="false" customHeight="false" outlineLevel="0" collapsed="false">
      <c r="B4080" s="7" t="s">
        <v>18725</v>
      </c>
      <c r="C4080" s="7" t="s">
        <v>4577</v>
      </c>
      <c r="D4080" s="7" t="s">
        <v>325</v>
      </c>
      <c r="E4080" s="7" t="s">
        <v>154</v>
      </c>
      <c r="F4080" s="39" t="n">
        <v>45859</v>
      </c>
      <c r="G4080" s="41" t="n">
        <v>85.86</v>
      </c>
      <c r="H4080" s="39" t="n">
        <v>45907</v>
      </c>
      <c r="I4080" s="7" t="s">
        <v>14651</v>
      </c>
      <c r="J4080" s="8" t="str">
        <f aca="false">IF(I4080="Open",DATE(2025,12,31)-F4080,"-")</f>
        <v>-</v>
      </c>
    </row>
    <row r="4081" customFormat="false" ht="15" hidden="false" customHeight="false" outlineLevel="0" collapsed="false">
      <c r="B4081" s="7" t="s">
        <v>18726</v>
      </c>
      <c r="C4081" s="7" t="s">
        <v>4578</v>
      </c>
      <c r="D4081" s="7" t="s">
        <v>329</v>
      </c>
      <c r="E4081" s="7" t="s">
        <v>156</v>
      </c>
      <c r="F4081" s="39" t="n">
        <v>45859</v>
      </c>
      <c r="G4081" s="41" t="n">
        <v>122.74</v>
      </c>
      <c r="H4081" s="39" t="n">
        <v>45878</v>
      </c>
      <c r="I4081" s="7" t="s">
        <v>14651</v>
      </c>
      <c r="J4081" s="8" t="str">
        <f aca="false">IF(I4081="Open",DATE(2025,12,31)-F4081,"-")</f>
        <v>-</v>
      </c>
    </row>
    <row r="4082" customFormat="false" ht="15" hidden="false" customHeight="false" outlineLevel="0" collapsed="false">
      <c r="B4082" s="7" t="s">
        <v>18727</v>
      </c>
      <c r="C4082" s="7" t="s">
        <v>4579</v>
      </c>
      <c r="D4082" s="7" t="s">
        <v>331</v>
      </c>
      <c r="E4082" s="7" t="s">
        <v>156</v>
      </c>
      <c r="F4082" s="39" t="n">
        <v>45859</v>
      </c>
      <c r="G4082" s="41" t="n">
        <v>129.54</v>
      </c>
      <c r="H4082" s="39" t="n">
        <v>45864</v>
      </c>
      <c r="I4082" s="7" t="s">
        <v>14651</v>
      </c>
      <c r="J4082" s="8" t="str">
        <f aca="false">IF(I4082="Open",DATE(2025,12,31)-F4082,"-")</f>
        <v>-</v>
      </c>
    </row>
    <row r="4083" customFormat="false" ht="15" hidden="false" customHeight="false" outlineLevel="0" collapsed="false">
      <c r="B4083" s="7" t="s">
        <v>18728</v>
      </c>
      <c r="C4083" s="7" t="s">
        <v>4580</v>
      </c>
      <c r="D4083" s="7" t="s">
        <v>335</v>
      </c>
      <c r="E4083" s="7" t="s">
        <v>154</v>
      </c>
      <c r="F4083" s="39" t="n">
        <v>45859</v>
      </c>
      <c r="G4083" s="41" t="n">
        <v>113.15</v>
      </c>
      <c r="H4083" s="39" t="n">
        <v>45908</v>
      </c>
      <c r="I4083" s="7" t="s">
        <v>14651</v>
      </c>
      <c r="J4083" s="8" t="str">
        <f aca="false">IF(I4083="Open",DATE(2025,12,31)-F4083,"-")</f>
        <v>-</v>
      </c>
    </row>
    <row r="4084" customFormat="false" ht="15" hidden="false" customHeight="false" outlineLevel="0" collapsed="false">
      <c r="B4084" s="7" t="s">
        <v>18729</v>
      </c>
      <c r="C4084" s="7" t="s">
        <v>4581</v>
      </c>
      <c r="D4084" s="7" t="s">
        <v>337</v>
      </c>
      <c r="E4084" s="7" t="s">
        <v>154</v>
      </c>
      <c r="F4084" s="39" t="n">
        <v>45859</v>
      </c>
      <c r="G4084" s="41" t="n">
        <v>74.73</v>
      </c>
      <c r="H4084" s="39" t="n">
        <v>45972</v>
      </c>
      <c r="I4084" s="7" t="s">
        <v>14651</v>
      </c>
      <c r="J4084" s="8" t="str">
        <f aca="false">IF(I4084="Open",DATE(2025,12,31)-F4084,"-")</f>
        <v>-</v>
      </c>
    </row>
    <row r="4085" customFormat="false" ht="15" hidden="false" customHeight="false" outlineLevel="0" collapsed="false">
      <c r="B4085" s="7" t="s">
        <v>18730</v>
      </c>
      <c r="C4085" s="7" t="s">
        <v>4582</v>
      </c>
      <c r="D4085" s="7" t="s">
        <v>339</v>
      </c>
      <c r="E4085" s="7" t="s">
        <v>154</v>
      </c>
      <c r="F4085" s="39" t="n">
        <v>45859</v>
      </c>
      <c r="G4085" s="41" t="n">
        <v>90.9</v>
      </c>
      <c r="H4085" s="39" t="n">
        <v>45874</v>
      </c>
      <c r="I4085" s="7" t="s">
        <v>14651</v>
      </c>
      <c r="J4085" s="8" t="str">
        <f aca="false">IF(I4085="Open",DATE(2025,12,31)-F4085,"-")</f>
        <v>-</v>
      </c>
    </row>
    <row r="4086" customFormat="false" ht="15" hidden="false" customHeight="false" outlineLevel="0" collapsed="false">
      <c r="B4086" s="7" t="s">
        <v>18731</v>
      </c>
      <c r="C4086" s="7" t="s">
        <v>4583</v>
      </c>
      <c r="D4086" s="7" t="s">
        <v>341</v>
      </c>
      <c r="E4086" s="7" t="s">
        <v>156</v>
      </c>
      <c r="F4086" s="39" t="n">
        <v>45859</v>
      </c>
      <c r="G4086" s="41" t="n">
        <v>111.52</v>
      </c>
      <c r="H4086" s="39" t="n">
        <v>45860</v>
      </c>
      <c r="I4086" s="7" t="s">
        <v>14651</v>
      </c>
      <c r="J4086" s="8" t="str">
        <f aca="false">IF(I4086="Open",DATE(2025,12,31)-F4086,"-")</f>
        <v>-</v>
      </c>
    </row>
    <row r="4087" customFormat="false" ht="15" hidden="false" customHeight="false" outlineLevel="0" collapsed="false">
      <c r="B4087" s="7" t="s">
        <v>18732</v>
      </c>
      <c r="C4087" s="7" t="s">
        <v>4584</v>
      </c>
      <c r="D4087" s="7" t="s">
        <v>343</v>
      </c>
      <c r="E4087" s="7" t="s">
        <v>154</v>
      </c>
      <c r="F4087" s="39" t="n">
        <v>45859</v>
      </c>
      <c r="G4087" s="41" t="n">
        <v>99.64</v>
      </c>
      <c r="H4087" s="39" t="n">
        <v>45895</v>
      </c>
      <c r="I4087" s="7" t="s">
        <v>14651</v>
      </c>
      <c r="J4087" s="8" t="str">
        <f aca="false">IF(I4087="Open",DATE(2025,12,31)-F4087,"-")</f>
        <v>-</v>
      </c>
    </row>
    <row r="4088" customFormat="false" ht="15" hidden="false" customHeight="false" outlineLevel="0" collapsed="false">
      <c r="B4088" s="7" t="s">
        <v>18733</v>
      </c>
      <c r="C4088" s="7" t="s">
        <v>4585</v>
      </c>
      <c r="D4088" s="7" t="s">
        <v>347</v>
      </c>
      <c r="E4088" s="7" t="s">
        <v>154</v>
      </c>
      <c r="F4088" s="39" t="n">
        <v>45859</v>
      </c>
      <c r="G4088" s="41" t="n">
        <v>129.58</v>
      </c>
      <c r="H4088" s="39" t="n">
        <v>45947</v>
      </c>
      <c r="I4088" s="7" t="s">
        <v>14651</v>
      </c>
      <c r="J4088" s="8" t="str">
        <f aca="false">IF(I4088="Open",DATE(2025,12,31)-F4088,"-")</f>
        <v>-</v>
      </c>
    </row>
    <row r="4089" customFormat="false" ht="15" hidden="false" customHeight="false" outlineLevel="0" collapsed="false">
      <c r="B4089" s="7" t="s">
        <v>18734</v>
      </c>
      <c r="C4089" s="7" t="s">
        <v>4586</v>
      </c>
      <c r="D4089" s="7" t="s">
        <v>351</v>
      </c>
      <c r="E4089" s="7" t="s">
        <v>154</v>
      </c>
      <c r="F4089" s="39" t="n">
        <v>45859</v>
      </c>
      <c r="G4089" s="41" t="n">
        <v>80.56</v>
      </c>
      <c r="H4089" s="39" t="n">
        <v>45911</v>
      </c>
      <c r="I4089" s="7" t="s">
        <v>14651</v>
      </c>
      <c r="J4089" s="8" t="str">
        <f aca="false">IF(I4089="Open",DATE(2025,12,31)-F4089,"-")</f>
        <v>-</v>
      </c>
    </row>
    <row r="4090" customFormat="false" ht="15" hidden="false" customHeight="false" outlineLevel="0" collapsed="false">
      <c r="B4090" s="7" t="s">
        <v>18735</v>
      </c>
      <c r="C4090" s="7" t="s">
        <v>4587</v>
      </c>
      <c r="D4090" s="7" t="s">
        <v>353</v>
      </c>
      <c r="E4090" s="7" t="s">
        <v>154</v>
      </c>
      <c r="F4090" s="39" t="n">
        <v>45859</v>
      </c>
      <c r="G4090" s="41" t="n">
        <v>91.43</v>
      </c>
      <c r="H4090" s="39" t="n">
        <v>45954</v>
      </c>
      <c r="I4090" s="7" t="s">
        <v>14651</v>
      </c>
      <c r="J4090" s="8" t="str">
        <f aca="false">IF(I4090="Open",DATE(2025,12,31)-F4090,"-")</f>
        <v>-</v>
      </c>
    </row>
    <row r="4091" customFormat="false" ht="15" hidden="false" customHeight="false" outlineLevel="0" collapsed="false">
      <c r="B4091" s="7" t="s">
        <v>18736</v>
      </c>
      <c r="C4091" s="7" t="s">
        <v>4588</v>
      </c>
      <c r="D4091" s="7" t="s">
        <v>355</v>
      </c>
      <c r="E4091" s="7" t="s">
        <v>154</v>
      </c>
      <c r="F4091" s="39" t="n">
        <v>45859</v>
      </c>
      <c r="G4091" s="41" t="n">
        <v>85.86</v>
      </c>
      <c r="H4091" s="39" t="n">
        <v>45977</v>
      </c>
      <c r="I4091" s="7" t="s">
        <v>14651</v>
      </c>
      <c r="J4091" s="8" t="str">
        <f aca="false">IF(I4091="Open",DATE(2025,12,31)-F4091,"-")</f>
        <v>-</v>
      </c>
    </row>
    <row r="4092" customFormat="false" ht="15" hidden="false" customHeight="false" outlineLevel="0" collapsed="false">
      <c r="B4092" s="7" t="s">
        <v>18737</v>
      </c>
      <c r="C4092" s="7" t="s">
        <v>4589</v>
      </c>
      <c r="D4092" s="7" t="s">
        <v>357</v>
      </c>
      <c r="E4092" s="7" t="s">
        <v>154</v>
      </c>
      <c r="F4092" s="39" t="n">
        <v>45859</v>
      </c>
      <c r="G4092" s="41" t="n">
        <v>89.57</v>
      </c>
      <c r="H4092" s="39" t="n">
        <v>45918</v>
      </c>
      <c r="I4092" s="7" t="s">
        <v>14651</v>
      </c>
      <c r="J4092" s="8" t="str">
        <f aca="false">IF(I4092="Open",DATE(2025,12,31)-F4092,"-")</f>
        <v>-</v>
      </c>
    </row>
    <row r="4093" customFormat="false" ht="15" hidden="false" customHeight="false" outlineLevel="0" collapsed="false">
      <c r="B4093" s="7" t="s">
        <v>18738</v>
      </c>
      <c r="C4093" s="7" t="s">
        <v>4590</v>
      </c>
      <c r="D4093" s="7" t="s">
        <v>359</v>
      </c>
      <c r="E4093" s="7" t="s">
        <v>156</v>
      </c>
      <c r="F4093" s="39" t="n">
        <v>45859</v>
      </c>
      <c r="G4093" s="41" t="n">
        <v>136.34</v>
      </c>
      <c r="H4093" s="39" t="n">
        <v>45866</v>
      </c>
      <c r="I4093" s="7" t="s">
        <v>14651</v>
      </c>
      <c r="J4093" s="8" t="str">
        <f aca="false">IF(I4093="Open",DATE(2025,12,31)-F4093,"-")</f>
        <v>-</v>
      </c>
    </row>
    <row r="4094" customFormat="false" ht="15" hidden="false" customHeight="false" outlineLevel="0" collapsed="false">
      <c r="B4094" s="7" t="s">
        <v>18739</v>
      </c>
      <c r="C4094" s="7" t="s">
        <v>4591</v>
      </c>
      <c r="D4094" s="7" t="s">
        <v>363</v>
      </c>
      <c r="E4094" s="7" t="s">
        <v>156</v>
      </c>
      <c r="F4094" s="39" t="n">
        <v>45859</v>
      </c>
      <c r="G4094" s="41" t="n">
        <v>145.86</v>
      </c>
      <c r="H4094" s="39" t="n">
        <v>45864</v>
      </c>
      <c r="I4094" s="7" t="s">
        <v>14651</v>
      </c>
      <c r="J4094" s="8" t="str">
        <f aca="false">IF(I4094="Open",DATE(2025,12,31)-F4094,"-")</f>
        <v>-</v>
      </c>
    </row>
    <row r="4095" customFormat="false" ht="15" hidden="false" customHeight="false" outlineLevel="0" collapsed="false">
      <c r="B4095" s="7" t="s">
        <v>18740</v>
      </c>
      <c r="C4095" s="7" t="s">
        <v>4592</v>
      </c>
      <c r="D4095" s="7" t="s">
        <v>365</v>
      </c>
      <c r="E4095" s="7" t="s">
        <v>154</v>
      </c>
      <c r="F4095" s="39" t="n">
        <v>45859</v>
      </c>
      <c r="G4095" s="41" t="n">
        <v>103.62</v>
      </c>
      <c r="H4095" s="39" t="n">
        <v>45976</v>
      </c>
      <c r="I4095" s="7" t="s">
        <v>14651</v>
      </c>
      <c r="J4095" s="8" t="str">
        <f aca="false">IF(I4095="Open",DATE(2025,12,31)-F4095,"-")</f>
        <v>-</v>
      </c>
    </row>
    <row r="4096" customFormat="false" ht="15" hidden="false" customHeight="false" outlineLevel="0" collapsed="false">
      <c r="B4096" s="7" t="s">
        <v>18741</v>
      </c>
      <c r="C4096" s="7" t="s">
        <v>4593</v>
      </c>
      <c r="D4096" s="7" t="s">
        <v>371</v>
      </c>
      <c r="E4096" s="7" t="s">
        <v>154</v>
      </c>
      <c r="F4096" s="39" t="n">
        <v>45859</v>
      </c>
      <c r="G4096" s="41" t="n">
        <v>126.14</v>
      </c>
      <c r="H4096" s="39" t="n">
        <v>45913</v>
      </c>
      <c r="I4096" s="7" t="s">
        <v>14651</v>
      </c>
      <c r="J4096" s="8" t="str">
        <f aca="false">IF(I4096="Open",DATE(2025,12,31)-F4096,"-")</f>
        <v>-</v>
      </c>
    </row>
    <row r="4097" customFormat="false" ht="15" hidden="false" customHeight="false" outlineLevel="0" collapsed="false">
      <c r="B4097" s="7" t="s">
        <v>18742</v>
      </c>
      <c r="C4097" s="7" t="s">
        <v>4594</v>
      </c>
      <c r="D4097" s="7" t="s">
        <v>375</v>
      </c>
      <c r="E4097" s="7" t="s">
        <v>156</v>
      </c>
      <c r="F4097" s="39" t="n">
        <v>45859</v>
      </c>
      <c r="G4097" s="41" t="n">
        <v>103.36</v>
      </c>
      <c r="H4097" s="39" t="n">
        <v>45863</v>
      </c>
      <c r="I4097" s="7" t="s">
        <v>14651</v>
      </c>
      <c r="J4097" s="8" t="str">
        <f aca="false">IF(I4097="Open",DATE(2025,12,31)-F4097,"-")</f>
        <v>-</v>
      </c>
    </row>
    <row r="4098" customFormat="false" ht="15" hidden="false" customHeight="false" outlineLevel="0" collapsed="false">
      <c r="B4098" s="7" t="s">
        <v>18743</v>
      </c>
      <c r="C4098" s="7" t="s">
        <v>4595</v>
      </c>
      <c r="D4098" s="7" t="s">
        <v>377</v>
      </c>
      <c r="E4098" s="7" t="s">
        <v>154</v>
      </c>
      <c r="F4098" s="39" t="n">
        <v>45859</v>
      </c>
      <c r="G4098" s="41" t="n">
        <v>113.69</v>
      </c>
      <c r="H4098" s="39" t="n">
        <v>45911</v>
      </c>
      <c r="I4098" s="7" t="s">
        <v>14651</v>
      </c>
      <c r="J4098" s="8" t="str">
        <f aca="false">IF(I4098="Open",DATE(2025,12,31)-F4098,"-")</f>
        <v>-</v>
      </c>
    </row>
    <row r="4099" customFormat="false" ht="15" hidden="false" customHeight="false" outlineLevel="0" collapsed="false">
      <c r="B4099" s="7" t="s">
        <v>18744</v>
      </c>
      <c r="C4099" s="7" t="s">
        <v>4596</v>
      </c>
      <c r="D4099" s="7" t="s">
        <v>379</v>
      </c>
      <c r="E4099" s="7" t="s">
        <v>156</v>
      </c>
      <c r="F4099" s="39" t="n">
        <v>45859</v>
      </c>
      <c r="G4099" s="41" t="n">
        <v>171.02</v>
      </c>
      <c r="H4099" s="39" t="n">
        <v>45860</v>
      </c>
      <c r="I4099" s="7" t="s">
        <v>14651</v>
      </c>
      <c r="J4099" s="8" t="str">
        <f aca="false">IF(I4099="Open",DATE(2025,12,31)-F4099,"-")</f>
        <v>-</v>
      </c>
    </row>
    <row r="4100" customFormat="false" ht="15" hidden="false" customHeight="false" outlineLevel="0" collapsed="false">
      <c r="B4100" s="7" t="s">
        <v>18745</v>
      </c>
      <c r="C4100" s="7" t="s">
        <v>4597</v>
      </c>
      <c r="D4100" s="7" t="s">
        <v>385</v>
      </c>
      <c r="E4100" s="7" t="s">
        <v>156</v>
      </c>
      <c r="F4100" s="39" t="n">
        <v>45859</v>
      </c>
      <c r="G4100" s="41" t="n">
        <v>145.86</v>
      </c>
      <c r="H4100" s="39" t="n">
        <v>45870</v>
      </c>
      <c r="I4100" s="7" t="s">
        <v>14651</v>
      </c>
      <c r="J4100" s="8" t="str">
        <f aca="false">IF(I4100="Open",DATE(2025,12,31)-F4100,"-")</f>
        <v>-</v>
      </c>
    </row>
    <row r="4101" customFormat="false" ht="15" hidden="false" customHeight="false" outlineLevel="0" collapsed="false">
      <c r="B4101" s="7" t="s">
        <v>18746</v>
      </c>
      <c r="C4101" s="7" t="s">
        <v>4598</v>
      </c>
      <c r="D4101" s="7" t="s">
        <v>389</v>
      </c>
      <c r="E4101" s="7" t="s">
        <v>154</v>
      </c>
      <c r="F4101" s="39" t="n">
        <v>45859</v>
      </c>
      <c r="G4101" s="41" t="n">
        <v>101.76</v>
      </c>
      <c r="H4101" s="39" t="n">
        <v>45969</v>
      </c>
      <c r="I4101" s="7" t="s">
        <v>14651</v>
      </c>
      <c r="J4101" s="8" t="str">
        <f aca="false">IF(I4101="Open",DATE(2025,12,31)-F4101,"-")</f>
        <v>-</v>
      </c>
    </row>
    <row r="4102" customFormat="false" ht="15" hidden="false" customHeight="false" outlineLevel="0" collapsed="false">
      <c r="B4102" s="7" t="s">
        <v>18747</v>
      </c>
      <c r="C4102" s="7" t="s">
        <v>4599</v>
      </c>
      <c r="D4102" s="7" t="s">
        <v>391</v>
      </c>
      <c r="E4102" s="7" t="s">
        <v>156</v>
      </c>
      <c r="F4102" s="39" t="n">
        <v>45859</v>
      </c>
      <c r="G4102" s="41" t="n">
        <v>126.82</v>
      </c>
      <c r="H4102" s="39" t="n">
        <v>45874</v>
      </c>
      <c r="I4102" s="7" t="s">
        <v>14651</v>
      </c>
      <c r="J4102" s="8" t="str">
        <f aca="false">IF(I4102="Open",DATE(2025,12,31)-F4102,"-")</f>
        <v>-</v>
      </c>
    </row>
    <row r="4103" customFormat="false" ht="15" hidden="false" customHeight="false" outlineLevel="0" collapsed="false">
      <c r="B4103" s="7" t="s">
        <v>18748</v>
      </c>
      <c r="C4103" s="7" t="s">
        <v>4600</v>
      </c>
      <c r="D4103" s="7" t="s">
        <v>395</v>
      </c>
      <c r="E4103" s="7" t="s">
        <v>156</v>
      </c>
      <c r="F4103" s="39" t="n">
        <v>45859</v>
      </c>
      <c r="G4103" s="41" t="n">
        <v>127.5</v>
      </c>
      <c r="H4103" s="39" t="n">
        <v>45874</v>
      </c>
      <c r="I4103" s="7" t="s">
        <v>14651</v>
      </c>
      <c r="J4103" s="8" t="str">
        <f aca="false">IF(I4103="Open",DATE(2025,12,31)-F4103,"-")</f>
        <v>-</v>
      </c>
    </row>
    <row r="4104" customFormat="false" ht="15" hidden="false" customHeight="false" outlineLevel="0" collapsed="false">
      <c r="B4104" s="7" t="s">
        <v>18749</v>
      </c>
      <c r="C4104" s="7" t="s">
        <v>4601</v>
      </c>
      <c r="D4104" s="7" t="s">
        <v>399</v>
      </c>
      <c r="E4104" s="7" t="s">
        <v>154</v>
      </c>
      <c r="F4104" s="39" t="n">
        <v>45859</v>
      </c>
      <c r="G4104" s="41" t="n">
        <v>80.82</v>
      </c>
      <c r="H4104" s="39" t="n">
        <v>45974</v>
      </c>
      <c r="I4104" s="7" t="s">
        <v>14651</v>
      </c>
      <c r="J4104" s="8" t="str">
        <f aca="false">IF(I4104="Open",DATE(2025,12,31)-F4104,"-")</f>
        <v>-</v>
      </c>
    </row>
    <row r="4105" customFormat="false" ht="15" hidden="false" customHeight="false" outlineLevel="0" collapsed="false">
      <c r="B4105" s="7" t="s">
        <v>18750</v>
      </c>
      <c r="C4105" s="7" t="s">
        <v>4602</v>
      </c>
      <c r="D4105" s="7" t="s">
        <v>401</v>
      </c>
      <c r="E4105" s="7" t="s">
        <v>156</v>
      </c>
      <c r="F4105" s="39" t="n">
        <v>45859</v>
      </c>
      <c r="G4105" s="41" t="n">
        <v>123.42</v>
      </c>
      <c r="H4105" s="39" t="n">
        <v>45870</v>
      </c>
      <c r="I4105" s="7" t="s">
        <v>14651</v>
      </c>
      <c r="J4105" s="8" t="str">
        <f aca="false">IF(I4105="Open",DATE(2025,12,31)-F4105,"-")</f>
        <v>-</v>
      </c>
    </row>
    <row r="4106" customFormat="false" ht="15" hidden="false" customHeight="false" outlineLevel="0" collapsed="false">
      <c r="B4106" s="7" t="s">
        <v>18751</v>
      </c>
      <c r="C4106" s="7" t="s">
        <v>4603</v>
      </c>
      <c r="D4106" s="7" t="s">
        <v>409</v>
      </c>
      <c r="E4106" s="7" t="s">
        <v>154</v>
      </c>
      <c r="F4106" s="39" t="n">
        <v>45859</v>
      </c>
      <c r="G4106" s="41" t="n">
        <v>87.45</v>
      </c>
      <c r="H4106" s="39" t="n">
        <v>45882</v>
      </c>
      <c r="I4106" s="7" t="s">
        <v>14651</v>
      </c>
      <c r="J4106" s="8" t="str">
        <f aca="false">IF(I4106="Open",DATE(2025,12,31)-F4106,"-")</f>
        <v>-</v>
      </c>
    </row>
    <row r="4107" customFormat="false" ht="15" hidden="false" customHeight="false" outlineLevel="0" collapsed="false">
      <c r="B4107" s="7" t="s">
        <v>18752</v>
      </c>
      <c r="C4107" s="7" t="s">
        <v>4604</v>
      </c>
      <c r="D4107" s="7" t="s">
        <v>411</v>
      </c>
      <c r="E4107" s="7" t="s">
        <v>154</v>
      </c>
      <c r="F4107" s="39" t="n">
        <v>45859</v>
      </c>
      <c r="G4107" s="41" t="n">
        <v>133.82</v>
      </c>
      <c r="H4107" s="39" t="n">
        <v>45876</v>
      </c>
      <c r="I4107" s="7" t="s">
        <v>14651</v>
      </c>
      <c r="J4107" s="8" t="str">
        <f aca="false">IF(I4107="Open",DATE(2025,12,31)-F4107,"-")</f>
        <v>-</v>
      </c>
    </row>
    <row r="4108" customFormat="false" ht="15" hidden="false" customHeight="false" outlineLevel="0" collapsed="false">
      <c r="B4108" s="7" t="s">
        <v>18753</v>
      </c>
      <c r="C4108" s="7" t="s">
        <v>4605</v>
      </c>
      <c r="D4108" s="7" t="s">
        <v>288</v>
      </c>
      <c r="E4108" s="7" t="s">
        <v>156</v>
      </c>
      <c r="F4108" s="39" t="n">
        <v>45860</v>
      </c>
      <c r="G4108" s="41" t="n">
        <v>148.24</v>
      </c>
      <c r="H4108" s="39" t="n">
        <v>45872</v>
      </c>
      <c r="I4108" s="7" t="s">
        <v>14651</v>
      </c>
      <c r="J4108" s="8" t="str">
        <f aca="false">IF(I4108="Open",DATE(2025,12,31)-F4108,"-")</f>
        <v>-</v>
      </c>
    </row>
    <row r="4109" customFormat="false" ht="15" hidden="false" customHeight="false" outlineLevel="0" collapsed="false">
      <c r="B4109" s="7" t="s">
        <v>18754</v>
      </c>
      <c r="C4109" s="7" t="s">
        <v>4606</v>
      </c>
      <c r="D4109" s="7" t="s">
        <v>301</v>
      </c>
      <c r="E4109" s="7" t="s">
        <v>157</v>
      </c>
      <c r="F4109" s="39" t="n">
        <v>45860</v>
      </c>
      <c r="G4109" s="41" t="n">
        <v>151.8</v>
      </c>
      <c r="H4109" s="39" t="n">
        <v>45885</v>
      </c>
      <c r="I4109" s="7" t="s">
        <v>14651</v>
      </c>
      <c r="J4109" s="8" t="str">
        <f aca="false">IF(I4109="Open",DATE(2025,12,31)-F4109,"-")</f>
        <v>-</v>
      </c>
    </row>
    <row r="4110" customFormat="false" ht="15" hidden="false" customHeight="false" outlineLevel="0" collapsed="false">
      <c r="B4110" s="7" t="s">
        <v>18755</v>
      </c>
      <c r="C4110" s="7" t="s">
        <v>4607</v>
      </c>
      <c r="D4110" s="7" t="s">
        <v>313</v>
      </c>
      <c r="E4110" s="7" t="s">
        <v>156</v>
      </c>
      <c r="F4110" s="39" t="n">
        <v>45860</v>
      </c>
      <c r="G4110" s="41" t="n">
        <v>146.54</v>
      </c>
      <c r="H4110" s="39" t="n">
        <v>45877</v>
      </c>
      <c r="I4110" s="7" t="s">
        <v>14651</v>
      </c>
      <c r="J4110" s="8" t="str">
        <f aca="false">IF(I4110="Open",DATE(2025,12,31)-F4110,"-")</f>
        <v>-</v>
      </c>
    </row>
    <row r="4111" customFormat="false" ht="15" hidden="false" customHeight="false" outlineLevel="0" collapsed="false">
      <c r="B4111" s="7" t="s">
        <v>18756</v>
      </c>
      <c r="C4111" s="7" t="s">
        <v>4608</v>
      </c>
      <c r="D4111" s="7" t="s">
        <v>319</v>
      </c>
      <c r="E4111" s="7" t="s">
        <v>157</v>
      </c>
      <c r="F4111" s="39" t="n">
        <v>45860</v>
      </c>
      <c r="G4111" s="41" t="n">
        <v>141.07</v>
      </c>
      <c r="H4111" s="39" t="n">
        <v>45901</v>
      </c>
      <c r="I4111" s="7" t="s">
        <v>14651</v>
      </c>
      <c r="J4111" s="8" t="str">
        <f aca="false">IF(I4111="Open",DATE(2025,12,31)-F4111,"-")</f>
        <v>-</v>
      </c>
    </row>
    <row r="4112" customFormat="false" ht="15" hidden="false" customHeight="false" outlineLevel="0" collapsed="false">
      <c r="B4112" s="7" t="s">
        <v>18757</v>
      </c>
      <c r="C4112" s="7" t="s">
        <v>4609</v>
      </c>
      <c r="D4112" s="7" t="s">
        <v>321</v>
      </c>
      <c r="E4112" s="7" t="s">
        <v>154</v>
      </c>
      <c r="F4112" s="39" t="n">
        <v>45860</v>
      </c>
      <c r="G4112" s="41" t="n">
        <v>109.98</v>
      </c>
      <c r="H4112" s="39" t="n">
        <v>45950</v>
      </c>
      <c r="I4112" s="7" t="s">
        <v>14651</v>
      </c>
      <c r="J4112" s="8" t="str">
        <f aca="false">IF(I4112="Open",DATE(2025,12,31)-F4112,"-")</f>
        <v>-</v>
      </c>
    </row>
    <row r="4113" customFormat="false" ht="15" hidden="false" customHeight="false" outlineLevel="0" collapsed="false">
      <c r="B4113" s="7" t="s">
        <v>18758</v>
      </c>
      <c r="C4113" s="7" t="s">
        <v>4610</v>
      </c>
      <c r="D4113" s="7" t="s">
        <v>323</v>
      </c>
      <c r="E4113" s="7" t="s">
        <v>159</v>
      </c>
      <c r="F4113" s="39" t="n">
        <v>45860</v>
      </c>
      <c r="G4113" s="41" t="n">
        <v>132.3</v>
      </c>
      <c r="H4113" s="39" t="n">
        <v>45897</v>
      </c>
      <c r="I4113" s="7" t="s">
        <v>14651</v>
      </c>
      <c r="J4113" s="8" t="str">
        <f aca="false">IF(I4113="Open",DATE(2025,12,31)-F4113,"-")</f>
        <v>-</v>
      </c>
    </row>
    <row r="4114" customFormat="false" ht="15" hidden="false" customHeight="false" outlineLevel="0" collapsed="false">
      <c r="B4114" s="7" t="s">
        <v>18759</v>
      </c>
      <c r="C4114" s="7" t="s">
        <v>4611</v>
      </c>
      <c r="D4114" s="7" t="s">
        <v>327</v>
      </c>
      <c r="E4114" s="7" t="s">
        <v>157</v>
      </c>
      <c r="F4114" s="39" t="n">
        <v>45860</v>
      </c>
      <c r="G4114" s="41" t="n">
        <v>155.1</v>
      </c>
      <c r="H4114" s="39" t="n">
        <v>45879</v>
      </c>
      <c r="I4114" s="7" t="s">
        <v>14651</v>
      </c>
      <c r="J4114" s="8" t="str">
        <f aca="false">IF(I4114="Open",DATE(2025,12,31)-F4114,"-")</f>
        <v>-</v>
      </c>
    </row>
    <row r="4115" customFormat="false" ht="15" hidden="false" customHeight="false" outlineLevel="0" collapsed="false">
      <c r="B4115" s="7" t="s">
        <v>18760</v>
      </c>
      <c r="C4115" s="7" t="s">
        <v>4612</v>
      </c>
      <c r="D4115" s="7" t="s">
        <v>329</v>
      </c>
      <c r="E4115" s="7" t="s">
        <v>156</v>
      </c>
      <c r="F4115" s="39" t="n">
        <v>45860</v>
      </c>
      <c r="G4115" s="41" t="n">
        <v>146.88</v>
      </c>
      <c r="H4115" s="39" t="n">
        <v>45876</v>
      </c>
      <c r="I4115" s="7" t="s">
        <v>14651</v>
      </c>
      <c r="J4115" s="8" t="str">
        <f aca="false">IF(I4115="Open",DATE(2025,12,31)-F4115,"-")</f>
        <v>-</v>
      </c>
    </row>
    <row r="4116" customFormat="false" ht="15" hidden="false" customHeight="false" outlineLevel="0" collapsed="false">
      <c r="B4116" s="7" t="s">
        <v>18761</v>
      </c>
      <c r="C4116" s="7" t="s">
        <v>4613</v>
      </c>
      <c r="D4116" s="7" t="s">
        <v>359</v>
      </c>
      <c r="E4116" s="7" t="s">
        <v>156</v>
      </c>
      <c r="F4116" s="39" t="n">
        <v>45860</v>
      </c>
      <c r="G4116" s="41" t="n">
        <v>146.2</v>
      </c>
      <c r="H4116" s="39" t="n">
        <v>45864</v>
      </c>
      <c r="I4116" s="7" t="s">
        <v>14651</v>
      </c>
      <c r="J4116" s="8" t="str">
        <f aca="false">IF(I4116="Open",DATE(2025,12,31)-F4116,"-")</f>
        <v>-</v>
      </c>
    </row>
    <row r="4117" customFormat="false" ht="15" hidden="false" customHeight="false" outlineLevel="0" collapsed="false">
      <c r="B4117" s="7" t="s">
        <v>18762</v>
      </c>
      <c r="C4117" s="7" t="s">
        <v>4614</v>
      </c>
      <c r="D4117" s="7" t="s">
        <v>361</v>
      </c>
      <c r="E4117" s="7" t="s">
        <v>157</v>
      </c>
      <c r="F4117" s="39" t="n">
        <v>45860</v>
      </c>
      <c r="G4117" s="41" t="n">
        <v>156.75</v>
      </c>
      <c r="H4117" s="39" t="n">
        <v>45894</v>
      </c>
      <c r="I4117" s="7" t="s">
        <v>14651</v>
      </c>
      <c r="J4117" s="8" t="str">
        <f aca="false">IF(I4117="Open",DATE(2025,12,31)-F4117,"-")</f>
        <v>-</v>
      </c>
    </row>
    <row r="4118" customFormat="false" ht="15" hidden="false" customHeight="false" outlineLevel="0" collapsed="false">
      <c r="B4118" s="7" t="s">
        <v>18763</v>
      </c>
      <c r="C4118" s="7" t="s">
        <v>4615</v>
      </c>
      <c r="D4118" s="7" t="s">
        <v>365</v>
      </c>
      <c r="E4118" s="7" t="s">
        <v>154</v>
      </c>
      <c r="F4118" s="39" t="n">
        <v>45860</v>
      </c>
      <c r="G4118" s="41" t="n">
        <v>99.38</v>
      </c>
      <c r="H4118" s="39" t="n">
        <v>45898</v>
      </c>
      <c r="I4118" s="7" t="s">
        <v>14651</v>
      </c>
      <c r="J4118" s="8" t="str">
        <f aca="false">IF(I4118="Open",DATE(2025,12,31)-F4118,"-")</f>
        <v>-</v>
      </c>
    </row>
    <row r="4119" customFormat="false" ht="15" hidden="false" customHeight="false" outlineLevel="0" collapsed="false">
      <c r="B4119" s="7" t="s">
        <v>18764</v>
      </c>
      <c r="C4119" s="7" t="s">
        <v>4616</v>
      </c>
      <c r="D4119" s="7" t="s">
        <v>369</v>
      </c>
      <c r="E4119" s="7" t="s">
        <v>159</v>
      </c>
      <c r="F4119" s="39" t="n">
        <v>45860</v>
      </c>
      <c r="G4119" s="41" t="n">
        <v>148.5</v>
      </c>
      <c r="H4119" s="39" t="n">
        <v>45897</v>
      </c>
      <c r="I4119" s="7" t="s">
        <v>14651</v>
      </c>
      <c r="J4119" s="8" t="str">
        <f aca="false">IF(I4119="Open",DATE(2025,12,31)-F4119,"-")</f>
        <v>-</v>
      </c>
    </row>
    <row r="4120" customFormat="false" ht="15" hidden="false" customHeight="false" outlineLevel="0" collapsed="false">
      <c r="B4120" s="7" t="s">
        <v>18765</v>
      </c>
      <c r="C4120" s="7" t="s">
        <v>4617</v>
      </c>
      <c r="D4120" s="7" t="s">
        <v>381</v>
      </c>
      <c r="E4120" s="7" t="s">
        <v>157</v>
      </c>
      <c r="F4120" s="39" t="n">
        <v>45860</v>
      </c>
      <c r="G4120" s="41" t="n">
        <v>176.55</v>
      </c>
      <c r="H4120" s="39" t="n">
        <v>45900</v>
      </c>
      <c r="I4120" s="7" t="s">
        <v>14651</v>
      </c>
      <c r="J4120" s="8" t="str">
        <f aca="false">IF(I4120="Open",DATE(2025,12,31)-F4120,"-")</f>
        <v>-</v>
      </c>
    </row>
    <row r="4121" customFormat="false" ht="15" hidden="false" customHeight="false" outlineLevel="0" collapsed="false">
      <c r="B4121" s="7" t="s">
        <v>18766</v>
      </c>
      <c r="C4121" s="7" t="s">
        <v>4618</v>
      </c>
      <c r="D4121" s="7" t="s">
        <v>389</v>
      </c>
      <c r="E4121" s="7" t="s">
        <v>154</v>
      </c>
      <c r="F4121" s="39" t="n">
        <v>45860</v>
      </c>
      <c r="G4121" s="41" t="n">
        <v>112.1</v>
      </c>
      <c r="H4121" s="39" t="n">
        <v>45892</v>
      </c>
      <c r="I4121" s="7" t="s">
        <v>14651</v>
      </c>
      <c r="J4121" s="8" t="str">
        <f aca="false">IF(I4121="Open",DATE(2025,12,31)-F4121,"-")</f>
        <v>-</v>
      </c>
    </row>
    <row r="4122" customFormat="false" ht="15" hidden="false" customHeight="false" outlineLevel="0" collapsed="false">
      <c r="B4122" s="7" t="s">
        <v>18767</v>
      </c>
      <c r="C4122" s="7" t="s">
        <v>4619</v>
      </c>
      <c r="D4122" s="7" t="s">
        <v>391</v>
      </c>
      <c r="E4122" s="7" t="s">
        <v>156</v>
      </c>
      <c r="F4122" s="39" t="n">
        <v>45860</v>
      </c>
      <c r="G4122" s="41" t="n">
        <v>130.22</v>
      </c>
      <c r="H4122" s="39" t="n">
        <v>45881</v>
      </c>
      <c r="I4122" s="7" t="s">
        <v>14651</v>
      </c>
      <c r="J4122" s="8" t="str">
        <f aca="false">IF(I4122="Open",DATE(2025,12,31)-F4122,"-")</f>
        <v>-</v>
      </c>
    </row>
    <row r="4123" customFormat="false" ht="15" hidden="false" customHeight="false" outlineLevel="0" collapsed="false">
      <c r="B4123" s="7" t="s">
        <v>18768</v>
      </c>
      <c r="C4123" s="7" t="s">
        <v>4620</v>
      </c>
      <c r="D4123" s="7" t="s">
        <v>395</v>
      </c>
      <c r="E4123" s="7" t="s">
        <v>156</v>
      </c>
      <c r="F4123" s="39" t="n">
        <v>45860</v>
      </c>
      <c r="G4123" s="41" t="n">
        <v>144.84</v>
      </c>
      <c r="H4123" s="39" t="n">
        <v>45872</v>
      </c>
      <c r="I4123" s="7" t="s">
        <v>14651</v>
      </c>
      <c r="J4123" s="8" t="str">
        <f aca="false">IF(I4123="Open",DATE(2025,12,31)-F4123,"-")</f>
        <v>-</v>
      </c>
    </row>
    <row r="4124" customFormat="false" ht="15" hidden="false" customHeight="false" outlineLevel="0" collapsed="false">
      <c r="B4124" s="7" t="s">
        <v>18769</v>
      </c>
      <c r="C4124" s="7" t="s">
        <v>4621</v>
      </c>
      <c r="D4124" s="7" t="s">
        <v>397</v>
      </c>
      <c r="E4124" s="7" t="s">
        <v>159</v>
      </c>
      <c r="F4124" s="39" t="n">
        <v>45860</v>
      </c>
      <c r="G4124" s="41" t="n">
        <v>145.8</v>
      </c>
      <c r="H4124" s="39" t="n">
        <v>45891</v>
      </c>
      <c r="I4124" s="7" t="s">
        <v>14651</v>
      </c>
      <c r="J4124" s="8" t="str">
        <f aca="false">IF(I4124="Open",DATE(2025,12,31)-F4124,"-")</f>
        <v>-</v>
      </c>
    </row>
    <row r="4125" customFormat="false" ht="15" hidden="false" customHeight="false" outlineLevel="0" collapsed="false">
      <c r="B4125" s="7" t="s">
        <v>18770</v>
      </c>
      <c r="C4125" s="7" t="s">
        <v>4622</v>
      </c>
      <c r="D4125" s="7" t="s">
        <v>401</v>
      </c>
      <c r="E4125" s="7" t="s">
        <v>156</v>
      </c>
      <c r="F4125" s="39" t="n">
        <v>45860</v>
      </c>
      <c r="G4125" s="41" t="n">
        <v>131.24</v>
      </c>
      <c r="H4125" s="39" t="n">
        <v>45874</v>
      </c>
      <c r="I4125" s="7" t="s">
        <v>14651</v>
      </c>
      <c r="J4125" s="8" t="str">
        <f aca="false">IF(I4125="Open",DATE(2025,12,31)-F4125,"-")</f>
        <v>-</v>
      </c>
    </row>
    <row r="4126" customFormat="false" ht="15" hidden="false" customHeight="false" outlineLevel="0" collapsed="false">
      <c r="B4126" s="7" t="s">
        <v>18771</v>
      </c>
      <c r="C4126" s="7" t="s">
        <v>4623</v>
      </c>
      <c r="D4126" s="7" t="s">
        <v>407</v>
      </c>
      <c r="E4126" s="7" t="s">
        <v>159</v>
      </c>
      <c r="F4126" s="39" t="n">
        <v>45860</v>
      </c>
      <c r="G4126" s="41" t="n">
        <v>137.7</v>
      </c>
      <c r="H4126" s="39" t="n">
        <v>45881</v>
      </c>
      <c r="I4126" s="7" t="s">
        <v>14651</v>
      </c>
      <c r="J4126" s="8" t="str">
        <f aca="false">IF(I4126="Open",DATE(2025,12,31)-F4126,"-")</f>
        <v>-</v>
      </c>
    </row>
    <row r="4127" customFormat="false" ht="15" hidden="false" customHeight="false" outlineLevel="0" collapsed="false">
      <c r="B4127" s="7" t="s">
        <v>18772</v>
      </c>
      <c r="C4127" s="7" t="s">
        <v>4624</v>
      </c>
      <c r="D4127" s="7" t="s">
        <v>280</v>
      </c>
      <c r="E4127" s="7" t="s">
        <v>157</v>
      </c>
      <c r="F4127" s="39" t="n">
        <v>45861</v>
      </c>
      <c r="G4127" s="41" t="n">
        <v>173.25</v>
      </c>
      <c r="H4127" s="39" t="n">
        <v>45908</v>
      </c>
      <c r="I4127" s="7" t="s">
        <v>14651</v>
      </c>
      <c r="J4127" s="8" t="str">
        <f aca="false">IF(I4127="Open",DATE(2025,12,31)-F4127,"-")</f>
        <v>-</v>
      </c>
    </row>
    <row r="4128" customFormat="false" ht="15" hidden="false" customHeight="false" outlineLevel="0" collapsed="false">
      <c r="B4128" s="7" t="s">
        <v>18773</v>
      </c>
      <c r="C4128" s="7" t="s">
        <v>4625</v>
      </c>
      <c r="D4128" s="7" t="s">
        <v>288</v>
      </c>
      <c r="E4128" s="7" t="s">
        <v>156</v>
      </c>
      <c r="F4128" s="39" t="n">
        <v>45861</v>
      </c>
      <c r="G4128" s="41" t="n">
        <v>146.54</v>
      </c>
      <c r="H4128" s="39" t="n">
        <v>45876</v>
      </c>
      <c r="I4128" s="7" t="s">
        <v>14651</v>
      </c>
      <c r="J4128" s="8" t="str">
        <f aca="false">IF(I4128="Open",DATE(2025,12,31)-F4128,"-")</f>
        <v>-</v>
      </c>
    </row>
    <row r="4129" customFormat="false" ht="15" hidden="false" customHeight="false" outlineLevel="0" collapsed="false">
      <c r="B4129" s="7" t="s">
        <v>18774</v>
      </c>
      <c r="C4129" s="7" t="s">
        <v>4626</v>
      </c>
      <c r="D4129" s="7" t="s">
        <v>291</v>
      </c>
      <c r="E4129" s="7" t="s">
        <v>154</v>
      </c>
      <c r="F4129" s="39" t="n">
        <v>45861</v>
      </c>
      <c r="G4129" s="41" t="n">
        <v>121.9</v>
      </c>
      <c r="H4129" s="39" t="n">
        <v>45915</v>
      </c>
      <c r="I4129" s="7" t="s">
        <v>14651</v>
      </c>
      <c r="J4129" s="8" t="str">
        <f aca="false">IF(I4129="Open",DATE(2025,12,31)-F4129,"-")</f>
        <v>-</v>
      </c>
    </row>
    <row r="4130" customFormat="false" ht="15" hidden="false" customHeight="false" outlineLevel="0" collapsed="false">
      <c r="B4130" s="7" t="s">
        <v>18775</v>
      </c>
      <c r="C4130" s="7" t="s">
        <v>4627</v>
      </c>
      <c r="D4130" s="7" t="s">
        <v>305</v>
      </c>
      <c r="E4130" s="7" t="s">
        <v>154</v>
      </c>
      <c r="F4130" s="39" t="n">
        <v>45861</v>
      </c>
      <c r="G4130" s="41" t="n">
        <v>102.56</v>
      </c>
      <c r="H4130" s="39" t="n">
        <v>45909</v>
      </c>
      <c r="I4130" s="7" t="s">
        <v>14651</v>
      </c>
      <c r="J4130" s="8" t="str">
        <f aca="false">IF(I4130="Open",DATE(2025,12,31)-F4130,"-")</f>
        <v>-</v>
      </c>
    </row>
    <row r="4131" customFormat="false" ht="15" hidden="false" customHeight="false" outlineLevel="0" collapsed="false">
      <c r="B4131" s="7" t="s">
        <v>18776</v>
      </c>
      <c r="C4131" s="7" t="s">
        <v>4628</v>
      </c>
      <c r="D4131" s="7" t="s">
        <v>307</v>
      </c>
      <c r="E4131" s="7" t="s">
        <v>157</v>
      </c>
      <c r="F4131" s="39" t="n">
        <v>45861</v>
      </c>
      <c r="G4131" s="41" t="n">
        <v>173.25</v>
      </c>
      <c r="H4131" s="39" t="n">
        <v>45901</v>
      </c>
      <c r="I4131" s="7" t="s">
        <v>14651</v>
      </c>
      <c r="J4131" s="8" t="str">
        <f aca="false">IF(I4131="Open",DATE(2025,12,31)-F4131,"-")</f>
        <v>-</v>
      </c>
    </row>
    <row r="4132" customFormat="false" ht="15" hidden="false" customHeight="false" outlineLevel="0" collapsed="false">
      <c r="B4132" s="7" t="s">
        <v>18777</v>
      </c>
      <c r="C4132" s="7" t="s">
        <v>4629</v>
      </c>
      <c r="D4132" s="7" t="s">
        <v>309</v>
      </c>
      <c r="E4132" s="7" t="s">
        <v>159</v>
      </c>
      <c r="F4132" s="39" t="n">
        <v>45861</v>
      </c>
      <c r="G4132" s="41" t="n">
        <v>122.85</v>
      </c>
      <c r="H4132" s="39" t="n">
        <v>45937</v>
      </c>
      <c r="I4132" s="7" t="s">
        <v>14651</v>
      </c>
      <c r="J4132" s="8" t="str">
        <f aca="false">IF(I4132="Open",DATE(2025,12,31)-F4132,"-")</f>
        <v>-</v>
      </c>
    </row>
    <row r="4133" customFormat="false" ht="15" hidden="false" customHeight="false" outlineLevel="0" collapsed="false">
      <c r="B4133" s="7" t="s">
        <v>18778</v>
      </c>
      <c r="C4133" s="7" t="s">
        <v>4630</v>
      </c>
      <c r="D4133" s="7" t="s">
        <v>313</v>
      </c>
      <c r="E4133" s="7" t="s">
        <v>156</v>
      </c>
      <c r="F4133" s="39" t="n">
        <v>45861</v>
      </c>
      <c r="G4133" s="41" t="n">
        <v>139.4</v>
      </c>
      <c r="H4133" s="39" t="n">
        <v>45873</v>
      </c>
      <c r="I4133" s="7" t="s">
        <v>14651</v>
      </c>
      <c r="J4133" s="8" t="str">
        <f aca="false">IF(I4133="Open",DATE(2025,12,31)-F4133,"-")</f>
        <v>-</v>
      </c>
    </row>
    <row r="4134" customFormat="false" ht="15" hidden="false" customHeight="false" outlineLevel="0" collapsed="false">
      <c r="B4134" s="7" t="s">
        <v>18779</v>
      </c>
      <c r="C4134" s="7" t="s">
        <v>4631</v>
      </c>
      <c r="D4134" s="7" t="s">
        <v>321</v>
      </c>
      <c r="E4134" s="7" t="s">
        <v>154</v>
      </c>
      <c r="F4134" s="39" t="n">
        <v>45861</v>
      </c>
      <c r="G4134" s="41" t="n">
        <v>113.15</v>
      </c>
      <c r="H4134" s="39" t="n">
        <v>45918</v>
      </c>
      <c r="I4134" s="7" t="s">
        <v>14651</v>
      </c>
      <c r="J4134" s="8" t="str">
        <f aca="false">IF(I4134="Open",DATE(2025,12,31)-F4134,"-")</f>
        <v>-</v>
      </c>
    </row>
    <row r="4135" customFormat="false" ht="15" hidden="false" customHeight="false" outlineLevel="0" collapsed="false">
      <c r="B4135" s="7" t="s">
        <v>18780</v>
      </c>
      <c r="C4135" s="7" t="s">
        <v>4632</v>
      </c>
      <c r="D4135" s="7" t="s">
        <v>329</v>
      </c>
      <c r="E4135" s="7" t="s">
        <v>156</v>
      </c>
      <c r="F4135" s="39" t="n">
        <v>45861</v>
      </c>
      <c r="G4135" s="41" t="n">
        <v>126.14</v>
      </c>
      <c r="H4135" s="39" t="n">
        <v>45867</v>
      </c>
      <c r="I4135" s="7" t="s">
        <v>14651</v>
      </c>
      <c r="J4135" s="8" t="str">
        <f aca="false">IF(I4135="Open",DATE(2025,12,31)-F4135,"-")</f>
        <v>-</v>
      </c>
    </row>
    <row r="4136" customFormat="false" ht="15" hidden="false" customHeight="false" outlineLevel="0" collapsed="false">
      <c r="B4136" s="7" t="s">
        <v>18781</v>
      </c>
      <c r="C4136" s="7" t="s">
        <v>4633</v>
      </c>
      <c r="D4136" s="7" t="s">
        <v>335</v>
      </c>
      <c r="E4136" s="7" t="s">
        <v>154</v>
      </c>
      <c r="F4136" s="39" t="n">
        <v>45861</v>
      </c>
      <c r="G4136" s="41" t="n">
        <v>109.98</v>
      </c>
      <c r="H4136" s="39" t="n">
        <v>45894</v>
      </c>
      <c r="I4136" s="7" t="s">
        <v>14651</v>
      </c>
      <c r="J4136" s="8" t="str">
        <f aca="false">IF(I4136="Open",DATE(2025,12,31)-F4136,"-")</f>
        <v>-</v>
      </c>
    </row>
    <row r="4137" customFormat="false" ht="15" hidden="false" customHeight="false" outlineLevel="0" collapsed="false">
      <c r="B4137" s="7" t="s">
        <v>18782</v>
      </c>
      <c r="C4137" s="7" t="s">
        <v>4634</v>
      </c>
      <c r="D4137" s="7" t="s">
        <v>339</v>
      </c>
      <c r="E4137" s="7" t="s">
        <v>154</v>
      </c>
      <c r="F4137" s="39" t="n">
        <v>45861</v>
      </c>
      <c r="G4137" s="41" t="n">
        <v>78.92</v>
      </c>
      <c r="H4137" s="39" t="n">
        <v>45883</v>
      </c>
      <c r="I4137" s="7" t="s">
        <v>14651</v>
      </c>
      <c r="J4137" s="8" t="str">
        <f aca="false">IF(I4137="Open",DATE(2025,12,31)-F4137,"-")</f>
        <v>-</v>
      </c>
    </row>
    <row r="4138" customFormat="false" ht="15" hidden="false" customHeight="false" outlineLevel="0" collapsed="false">
      <c r="B4138" s="7" t="s">
        <v>18783</v>
      </c>
      <c r="C4138" s="7" t="s">
        <v>4635</v>
      </c>
      <c r="D4138" s="7" t="s">
        <v>353</v>
      </c>
      <c r="E4138" s="7" t="s">
        <v>154</v>
      </c>
      <c r="F4138" s="39" t="n">
        <v>45861</v>
      </c>
      <c r="G4138" s="41" t="n">
        <v>91.16</v>
      </c>
      <c r="H4138" s="39" t="n">
        <v>45960</v>
      </c>
      <c r="I4138" s="7" t="s">
        <v>14651</v>
      </c>
      <c r="J4138" s="8" t="str">
        <f aca="false">IF(I4138="Open",DATE(2025,12,31)-F4138,"-")</f>
        <v>-</v>
      </c>
    </row>
    <row r="4139" customFormat="false" ht="15" hidden="false" customHeight="false" outlineLevel="0" collapsed="false">
      <c r="B4139" s="7" t="s">
        <v>18784</v>
      </c>
      <c r="C4139" s="7" t="s">
        <v>4636</v>
      </c>
      <c r="D4139" s="7" t="s">
        <v>355</v>
      </c>
      <c r="E4139" s="7" t="s">
        <v>154</v>
      </c>
      <c r="F4139" s="39" t="n">
        <v>45861</v>
      </c>
      <c r="G4139" s="41" t="n">
        <v>89.2</v>
      </c>
      <c r="H4139" s="39" t="n">
        <v>45949</v>
      </c>
      <c r="I4139" s="7" t="s">
        <v>14651</v>
      </c>
      <c r="J4139" s="8" t="str">
        <f aca="false">IF(I4139="Open",DATE(2025,12,31)-F4139,"-")</f>
        <v>-</v>
      </c>
    </row>
    <row r="4140" customFormat="false" ht="15" hidden="false" customHeight="false" outlineLevel="0" collapsed="false">
      <c r="B4140" s="7" t="s">
        <v>18785</v>
      </c>
      <c r="C4140" s="7" t="s">
        <v>4637</v>
      </c>
      <c r="D4140" s="7" t="s">
        <v>357</v>
      </c>
      <c r="E4140" s="7" t="s">
        <v>154</v>
      </c>
      <c r="F4140" s="39" t="n">
        <v>45861</v>
      </c>
      <c r="G4140" s="41" t="n">
        <v>92.48</v>
      </c>
      <c r="H4140" s="39" t="n">
        <v>45921</v>
      </c>
      <c r="I4140" s="7" t="s">
        <v>14651</v>
      </c>
      <c r="J4140" s="8" t="str">
        <f aca="false">IF(I4140="Open",DATE(2025,12,31)-F4140,"-")</f>
        <v>-</v>
      </c>
    </row>
    <row r="4141" customFormat="false" ht="15" hidden="false" customHeight="false" outlineLevel="0" collapsed="false">
      <c r="B4141" s="7" t="s">
        <v>18786</v>
      </c>
      <c r="C4141" s="7" t="s">
        <v>4638</v>
      </c>
      <c r="D4141" s="7" t="s">
        <v>359</v>
      </c>
      <c r="E4141" s="7" t="s">
        <v>156</v>
      </c>
      <c r="F4141" s="39" t="n">
        <v>45861</v>
      </c>
      <c r="G4141" s="41" t="n">
        <v>133.28</v>
      </c>
      <c r="H4141" s="39" t="n">
        <v>45875</v>
      </c>
      <c r="I4141" s="7" t="s">
        <v>14651</v>
      </c>
      <c r="J4141" s="8" t="str">
        <f aca="false">IF(I4141="Open",DATE(2025,12,31)-F4141,"-")</f>
        <v>-</v>
      </c>
    </row>
    <row r="4142" customFormat="false" ht="15" hidden="false" customHeight="false" outlineLevel="0" collapsed="false">
      <c r="B4142" s="7" t="s">
        <v>18787</v>
      </c>
      <c r="C4142" s="7" t="s">
        <v>4639</v>
      </c>
      <c r="D4142" s="7" t="s">
        <v>365</v>
      </c>
      <c r="E4142" s="7" t="s">
        <v>154</v>
      </c>
      <c r="F4142" s="39" t="n">
        <v>45861</v>
      </c>
      <c r="G4142" s="41" t="n">
        <v>102.82</v>
      </c>
      <c r="H4142" s="39" t="n">
        <v>45918</v>
      </c>
      <c r="I4142" s="7" t="s">
        <v>14651</v>
      </c>
      <c r="J4142" s="8" t="str">
        <f aca="false">IF(I4142="Open",DATE(2025,12,31)-F4142,"-")</f>
        <v>-</v>
      </c>
    </row>
    <row r="4143" customFormat="false" ht="15" hidden="false" customHeight="false" outlineLevel="0" collapsed="false">
      <c r="B4143" s="7" t="s">
        <v>18788</v>
      </c>
      <c r="C4143" s="7" t="s">
        <v>4640</v>
      </c>
      <c r="D4143" s="7" t="s">
        <v>371</v>
      </c>
      <c r="E4143" s="7" t="s">
        <v>154</v>
      </c>
      <c r="F4143" s="39" t="n">
        <v>45861</v>
      </c>
      <c r="G4143" s="41" t="n">
        <v>113.95</v>
      </c>
      <c r="H4143" s="39" t="n">
        <v>45903</v>
      </c>
      <c r="I4143" s="7" t="s">
        <v>14651</v>
      </c>
      <c r="J4143" s="8" t="str">
        <f aca="false">IF(I4143="Open",DATE(2025,12,31)-F4143,"-")</f>
        <v>-</v>
      </c>
    </row>
    <row r="4144" customFormat="false" ht="15" hidden="false" customHeight="false" outlineLevel="0" collapsed="false">
      <c r="B4144" s="7" t="s">
        <v>18789</v>
      </c>
      <c r="C4144" s="7" t="s">
        <v>4641</v>
      </c>
      <c r="D4144" s="7" t="s">
        <v>379</v>
      </c>
      <c r="E4144" s="7" t="s">
        <v>156</v>
      </c>
      <c r="F4144" s="39" t="n">
        <v>45861</v>
      </c>
      <c r="G4144" s="41" t="n">
        <v>169.32</v>
      </c>
      <c r="H4144" s="39" t="n">
        <v>45866</v>
      </c>
      <c r="I4144" s="7" t="s">
        <v>14651</v>
      </c>
      <c r="J4144" s="8" t="str">
        <f aca="false">IF(I4144="Open",DATE(2025,12,31)-F4144,"-")</f>
        <v>-</v>
      </c>
    </row>
    <row r="4145" customFormat="false" ht="15" hidden="false" customHeight="false" outlineLevel="0" collapsed="false">
      <c r="B4145" s="7" t="s">
        <v>18790</v>
      </c>
      <c r="C4145" s="7" t="s">
        <v>4642</v>
      </c>
      <c r="D4145" s="7" t="s">
        <v>385</v>
      </c>
      <c r="E4145" s="7" t="s">
        <v>156</v>
      </c>
      <c r="F4145" s="39" t="n">
        <v>45861</v>
      </c>
      <c r="G4145" s="41" t="n">
        <v>122.4</v>
      </c>
      <c r="H4145" s="39" t="n">
        <v>45876</v>
      </c>
      <c r="I4145" s="7" t="s">
        <v>14651</v>
      </c>
      <c r="J4145" s="8" t="str">
        <f aca="false">IF(I4145="Open",DATE(2025,12,31)-F4145,"-")</f>
        <v>-</v>
      </c>
    </row>
    <row r="4146" customFormat="false" ht="15" hidden="false" customHeight="false" outlineLevel="0" collapsed="false">
      <c r="B4146" s="7" t="s">
        <v>18791</v>
      </c>
      <c r="C4146" s="7" t="s">
        <v>4643</v>
      </c>
      <c r="D4146" s="7" t="s">
        <v>389</v>
      </c>
      <c r="E4146" s="7" t="s">
        <v>154</v>
      </c>
      <c r="F4146" s="39" t="n">
        <v>45861</v>
      </c>
      <c r="G4146" s="41" t="n">
        <v>94.84</v>
      </c>
      <c r="H4146" s="39" t="n">
        <v>45911</v>
      </c>
      <c r="I4146" s="7" t="s">
        <v>14651</v>
      </c>
      <c r="J4146" s="8" t="str">
        <f aca="false">IF(I4146="Open",DATE(2025,12,31)-F4146,"-")</f>
        <v>-</v>
      </c>
    </row>
    <row r="4147" customFormat="false" ht="15" hidden="false" customHeight="false" outlineLevel="0" collapsed="false">
      <c r="B4147" s="7" t="s">
        <v>18792</v>
      </c>
      <c r="C4147" s="7" t="s">
        <v>4644</v>
      </c>
      <c r="D4147" s="7" t="s">
        <v>391</v>
      </c>
      <c r="E4147" s="7" t="s">
        <v>156</v>
      </c>
      <c r="F4147" s="39" t="n">
        <v>45861</v>
      </c>
      <c r="G4147" s="41" t="n">
        <v>148.24</v>
      </c>
      <c r="H4147" s="39" t="n">
        <v>45877</v>
      </c>
      <c r="I4147" s="7" t="s">
        <v>14651</v>
      </c>
      <c r="J4147" s="8" t="str">
        <f aca="false">IF(I4147="Open",DATE(2025,12,31)-F4147,"-")</f>
        <v>-</v>
      </c>
    </row>
    <row r="4148" customFormat="false" ht="15" hidden="false" customHeight="false" outlineLevel="0" collapsed="false">
      <c r="B4148" s="7" t="s">
        <v>18793</v>
      </c>
      <c r="C4148" s="7" t="s">
        <v>4645</v>
      </c>
      <c r="D4148" s="7" t="s">
        <v>393</v>
      </c>
      <c r="E4148" s="7" t="s">
        <v>157</v>
      </c>
      <c r="F4148" s="39" t="n">
        <v>45861</v>
      </c>
      <c r="G4148" s="41" t="n">
        <v>167.64</v>
      </c>
      <c r="H4148" s="39" t="n">
        <v>45907</v>
      </c>
      <c r="I4148" s="7" t="s">
        <v>14651</v>
      </c>
      <c r="J4148" s="8" t="str">
        <f aca="false">IF(I4148="Open",DATE(2025,12,31)-F4148,"-")</f>
        <v>-</v>
      </c>
    </row>
    <row r="4149" customFormat="false" ht="15" hidden="false" customHeight="false" outlineLevel="0" collapsed="false">
      <c r="B4149" s="7" t="s">
        <v>18794</v>
      </c>
      <c r="C4149" s="7" t="s">
        <v>4646</v>
      </c>
      <c r="D4149" s="7" t="s">
        <v>399</v>
      </c>
      <c r="E4149" s="7" t="s">
        <v>154</v>
      </c>
      <c r="F4149" s="39" t="n">
        <v>45861</v>
      </c>
      <c r="G4149" s="41" t="n">
        <v>82.26</v>
      </c>
      <c r="H4149" s="39" t="n">
        <v>45942</v>
      </c>
      <c r="I4149" s="7" t="s">
        <v>14651</v>
      </c>
      <c r="J4149" s="8" t="str">
        <f aca="false">IF(I4149="Open",DATE(2025,12,31)-F4149,"-")</f>
        <v>-</v>
      </c>
    </row>
    <row r="4150" customFormat="false" ht="15" hidden="false" customHeight="false" outlineLevel="0" collapsed="false">
      <c r="B4150" s="7" t="s">
        <v>18795</v>
      </c>
      <c r="C4150" s="7" t="s">
        <v>4647</v>
      </c>
      <c r="D4150" s="7" t="s">
        <v>401</v>
      </c>
      <c r="E4150" s="7" t="s">
        <v>156</v>
      </c>
      <c r="F4150" s="39" t="n">
        <v>45861</v>
      </c>
      <c r="G4150" s="41" t="n">
        <v>134.64</v>
      </c>
      <c r="H4150" s="39" t="n">
        <v>45883</v>
      </c>
      <c r="I4150" s="7" t="s">
        <v>14651</v>
      </c>
      <c r="J4150" s="8" t="str">
        <f aca="false">IF(I4150="Open",DATE(2025,12,31)-F4150,"-")</f>
        <v>-</v>
      </c>
    </row>
    <row r="4151" customFormat="false" ht="15" hidden="false" customHeight="false" outlineLevel="0" collapsed="false">
      <c r="B4151" s="7" t="s">
        <v>18796</v>
      </c>
      <c r="C4151" s="7" t="s">
        <v>4648</v>
      </c>
      <c r="D4151" s="7" t="s">
        <v>411</v>
      </c>
      <c r="E4151" s="7" t="s">
        <v>154</v>
      </c>
      <c r="F4151" s="39" t="n">
        <v>45861</v>
      </c>
      <c r="G4151" s="41" t="n">
        <v>118.72</v>
      </c>
      <c r="H4151" s="39" t="n">
        <v>45942</v>
      </c>
      <c r="I4151" s="7" t="s">
        <v>14651</v>
      </c>
      <c r="J4151" s="8" t="str">
        <f aca="false">IF(I4151="Open",DATE(2025,12,31)-F4151,"-")</f>
        <v>-</v>
      </c>
    </row>
    <row r="4152" customFormat="false" ht="15" hidden="false" customHeight="false" outlineLevel="0" collapsed="false">
      <c r="B4152" s="7" t="s">
        <v>18797</v>
      </c>
      <c r="C4152" s="7" t="s">
        <v>4649</v>
      </c>
      <c r="D4152" s="7" t="s">
        <v>288</v>
      </c>
      <c r="E4152" s="7" t="s">
        <v>156</v>
      </c>
      <c r="F4152" s="39" t="n">
        <v>45862</v>
      </c>
      <c r="G4152" s="41" t="n">
        <v>133.96</v>
      </c>
      <c r="H4152" s="39" t="n">
        <v>45869</v>
      </c>
      <c r="I4152" s="7" t="s">
        <v>14651</v>
      </c>
      <c r="J4152" s="8" t="str">
        <f aca="false">IF(I4152="Open",DATE(2025,12,31)-F4152,"-")</f>
        <v>-</v>
      </c>
    </row>
    <row r="4153" customFormat="false" ht="15" hidden="false" customHeight="false" outlineLevel="0" collapsed="false">
      <c r="B4153" s="7" t="s">
        <v>18798</v>
      </c>
      <c r="C4153" s="7" t="s">
        <v>4650</v>
      </c>
      <c r="D4153" s="7" t="s">
        <v>297</v>
      </c>
      <c r="E4153" s="7" t="s">
        <v>156</v>
      </c>
      <c r="F4153" s="39" t="n">
        <v>45862</v>
      </c>
      <c r="G4153" s="41" t="n">
        <v>104.04</v>
      </c>
      <c r="H4153" s="39" t="n">
        <v>45868</v>
      </c>
      <c r="I4153" s="7" t="s">
        <v>14651</v>
      </c>
      <c r="J4153" s="8" t="str">
        <f aca="false">IF(I4153="Open",DATE(2025,12,31)-F4153,"-")</f>
        <v>-</v>
      </c>
    </row>
    <row r="4154" customFormat="false" ht="15" hidden="false" customHeight="false" outlineLevel="0" collapsed="false">
      <c r="B4154" s="7" t="s">
        <v>18799</v>
      </c>
      <c r="C4154" s="7" t="s">
        <v>4651</v>
      </c>
      <c r="D4154" s="7" t="s">
        <v>311</v>
      </c>
      <c r="E4154" s="7" t="s">
        <v>154</v>
      </c>
      <c r="F4154" s="39" t="n">
        <v>45862</v>
      </c>
      <c r="G4154" s="41" t="n">
        <v>79.5</v>
      </c>
      <c r="H4154" s="39" t="n">
        <v>45905</v>
      </c>
      <c r="I4154" s="7" t="s">
        <v>14651</v>
      </c>
      <c r="J4154" s="8" t="str">
        <f aca="false">IF(I4154="Open",DATE(2025,12,31)-F4154,"-")</f>
        <v>-</v>
      </c>
    </row>
    <row r="4155" customFormat="false" ht="15" hidden="false" customHeight="false" outlineLevel="0" collapsed="false">
      <c r="B4155" s="7" t="s">
        <v>18800</v>
      </c>
      <c r="C4155" s="7" t="s">
        <v>4652</v>
      </c>
      <c r="D4155" s="7" t="s">
        <v>313</v>
      </c>
      <c r="E4155" s="7" t="s">
        <v>156</v>
      </c>
      <c r="F4155" s="39" t="n">
        <v>45862</v>
      </c>
      <c r="G4155" s="41" t="n">
        <v>135.32</v>
      </c>
      <c r="H4155" s="39" t="n">
        <v>45874</v>
      </c>
      <c r="I4155" s="7" t="s">
        <v>14651</v>
      </c>
      <c r="J4155" s="8" t="str">
        <f aca="false">IF(I4155="Open",DATE(2025,12,31)-F4155,"-")</f>
        <v>-</v>
      </c>
    </row>
    <row r="4156" customFormat="false" ht="15" hidden="false" customHeight="false" outlineLevel="0" collapsed="false">
      <c r="B4156" s="7" t="s">
        <v>18801</v>
      </c>
      <c r="C4156" s="7" t="s">
        <v>4653</v>
      </c>
      <c r="D4156" s="7" t="s">
        <v>317</v>
      </c>
      <c r="E4156" s="7" t="s">
        <v>156</v>
      </c>
      <c r="F4156" s="39" t="n">
        <v>45862</v>
      </c>
      <c r="G4156" s="41" t="n">
        <v>107.44</v>
      </c>
      <c r="H4156" s="39" t="n">
        <v>45868</v>
      </c>
      <c r="I4156" s="7" t="s">
        <v>14651</v>
      </c>
      <c r="J4156" s="8" t="str">
        <f aca="false">IF(I4156="Open",DATE(2025,12,31)-F4156,"-")</f>
        <v>-</v>
      </c>
    </row>
    <row r="4157" customFormat="false" ht="15" hidden="false" customHeight="false" outlineLevel="0" collapsed="false">
      <c r="B4157" s="7" t="s">
        <v>18802</v>
      </c>
      <c r="C4157" s="7" t="s">
        <v>4654</v>
      </c>
      <c r="D4157" s="7" t="s">
        <v>321</v>
      </c>
      <c r="E4157" s="7" t="s">
        <v>154</v>
      </c>
      <c r="F4157" s="39" t="n">
        <v>45862</v>
      </c>
      <c r="G4157" s="41" t="n">
        <v>113.95</v>
      </c>
      <c r="H4157" s="39" t="n">
        <v>45903</v>
      </c>
      <c r="I4157" s="7" t="s">
        <v>14651</v>
      </c>
      <c r="J4157" s="8" t="str">
        <f aca="false">IF(I4157="Open",DATE(2025,12,31)-F4157,"-")</f>
        <v>-</v>
      </c>
    </row>
    <row r="4158" customFormat="false" ht="15" hidden="false" customHeight="false" outlineLevel="0" collapsed="false">
      <c r="B4158" s="7" t="s">
        <v>18803</v>
      </c>
      <c r="C4158" s="7" t="s">
        <v>4655</v>
      </c>
      <c r="D4158" s="7" t="s">
        <v>325</v>
      </c>
      <c r="E4158" s="7" t="s">
        <v>154</v>
      </c>
      <c r="F4158" s="39" t="n">
        <v>45862</v>
      </c>
      <c r="G4158" s="41" t="n">
        <v>87.45</v>
      </c>
      <c r="H4158" s="39" t="n">
        <v>45936</v>
      </c>
      <c r="I4158" s="7" t="s">
        <v>14651</v>
      </c>
      <c r="J4158" s="8" t="str">
        <f aca="false">IF(I4158="Open",DATE(2025,12,31)-F4158,"-")</f>
        <v>-</v>
      </c>
    </row>
    <row r="4159" customFormat="false" ht="15" hidden="false" customHeight="false" outlineLevel="0" collapsed="false">
      <c r="B4159" s="7" t="s">
        <v>18804</v>
      </c>
      <c r="C4159" s="7" t="s">
        <v>4656</v>
      </c>
      <c r="D4159" s="7" t="s">
        <v>329</v>
      </c>
      <c r="E4159" s="7" t="s">
        <v>156</v>
      </c>
      <c r="F4159" s="39" t="n">
        <v>45862</v>
      </c>
      <c r="G4159" s="41" t="n">
        <v>124.78</v>
      </c>
      <c r="H4159" s="39" t="n">
        <v>45864</v>
      </c>
      <c r="I4159" s="7" t="s">
        <v>14651</v>
      </c>
      <c r="J4159" s="8" t="str">
        <f aca="false">IF(I4159="Open",DATE(2025,12,31)-F4159,"-")</f>
        <v>-</v>
      </c>
    </row>
    <row r="4160" customFormat="false" ht="15" hidden="false" customHeight="false" outlineLevel="0" collapsed="false">
      <c r="B4160" s="7" t="s">
        <v>18805</v>
      </c>
      <c r="C4160" s="7" t="s">
        <v>4657</v>
      </c>
      <c r="D4160" s="7" t="s">
        <v>331</v>
      </c>
      <c r="E4160" s="7" t="s">
        <v>156</v>
      </c>
      <c r="F4160" s="39" t="n">
        <v>45862</v>
      </c>
      <c r="G4160" s="41" t="n">
        <v>129.2</v>
      </c>
      <c r="H4160" s="39" t="n">
        <v>45873</v>
      </c>
      <c r="I4160" s="7" t="s">
        <v>14651</v>
      </c>
      <c r="J4160" s="8" t="str">
        <f aca="false">IF(I4160="Open",DATE(2025,12,31)-F4160,"-")</f>
        <v>-</v>
      </c>
    </row>
    <row r="4161" customFormat="false" ht="15" hidden="false" customHeight="false" outlineLevel="0" collapsed="false">
      <c r="B4161" s="7" t="s">
        <v>18806</v>
      </c>
      <c r="C4161" s="7" t="s">
        <v>4658</v>
      </c>
      <c r="D4161" s="7" t="s">
        <v>337</v>
      </c>
      <c r="E4161" s="7" t="s">
        <v>154</v>
      </c>
      <c r="F4161" s="39" t="n">
        <v>45862</v>
      </c>
      <c r="G4161" s="41" t="n">
        <v>73.14</v>
      </c>
      <c r="H4161" s="39" t="n">
        <v>45923</v>
      </c>
      <c r="I4161" s="7" t="s">
        <v>14651</v>
      </c>
      <c r="J4161" s="8" t="str">
        <f aca="false">IF(I4161="Open",DATE(2025,12,31)-F4161,"-")</f>
        <v>-</v>
      </c>
    </row>
    <row r="4162" customFormat="false" ht="15" hidden="false" customHeight="false" outlineLevel="0" collapsed="false">
      <c r="B4162" s="7" t="s">
        <v>18807</v>
      </c>
      <c r="C4162" s="7" t="s">
        <v>4659</v>
      </c>
      <c r="D4162" s="7" t="s">
        <v>341</v>
      </c>
      <c r="E4162" s="7" t="s">
        <v>156</v>
      </c>
      <c r="F4162" s="39" t="n">
        <v>45862</v>
      </c>
      <c r="G4162" s="41" t="n">
        <v>104.04</v>
      </c>
      <c r="H4162" s="39" t="n">
        <v>45870</v>
      </c>
      <c r="I4162" s="7" t="s">
        <v>14651</v>
      </c>
      <c r="J4162" s="8" t="str">
        <f aca="false">IF(I4162="Open",DATE(2025,12,31)-F4162,"-")</f>
        <v>-</v>
      </c>
    </row>
    <row r="4163" customFormat="false" ht="15" hidden="false" customHeight="false" outlineLevel="0" collapsed="false">
      <c r="B4163" s="7" t="s">
        <v>18808</v>
      </c>
      <c r="C4163" s="7" t="s">
        <v>4660</v>
      </c>
      <c r="D4163" s="7" t="s">
        <v>343</v>
      </c>
      <c r="E4163" s="7" t="s">
        <v>154</v>
      </c>
      <c r="F4163" s="39" t="n">
        <v>45862</v>
      </c>
      <c r="G4163" s="41" t="n">
        <v>107.06</v>
      </c>
      <c r="H4163" s="39" t="n">
        <v>45885</v>
      </c>
      <c r="I4163" s="7" t="s">
        <v>14651</v>
      </c>
      <c r="J4163" s="8" t="str">
        <f aca="false">IF(I4163="Open",DATE(2025,12,31)-F4163,"-")</f>
        <v>-</v>
      </c>
    </row>
    <row r="4164" customFormat="false" ht="15" hidden="false" customHeight="false" outlineLevel="0" collapsed="false">
      <c r="B4164" s="7" t="s">
        <v>18809</v>
      </c>
      <c r="C4164" s="7" t="s">
        <v>4661</v>
      </c>
      <c r="D4164" s="7" t="s">
        <v>359</v>
      </c>
      <c r="E4164" s="7" t="s">
        <v>156</v>
      </c>
      <c r="F4164" s="39" t="n">
        <v>45862</v>
      </c>
      <c r="G4164" s="41" t="n">
        <v>138.38</v>
      </c>
      <c r="H4164" s="39" t="n">
        <v>45872</v>
      </c>
      <c r="I4164" s="7" t="s">
        <v>14651</v>
      </c>
      <c r="J4164" s="8" t="str">
        <f aca="false">IF(I4164="Open",DATE(2025,12,31)-F4164,"-")</f>
        <v>-</v>
      </c>
    </row>
    <row r="4165" customFormat="false" ht="15" hidden="false" customHeight="false" outlineLevel="0" collapsed="false">
      <c r="B4165" s="7" t="s">
        <v>18810</v>
      </c>
      <c r="C4165" s="7" t="s">
        <v>4662</v>
      </c>
      <c r="D4165" s="7" t="s">
        <v>363</v>
      </c>
      <c r="E4165" s="7" t="s">
        <v>156</v>
      </c>
      <c r="F4165" s="39" t="n">
        <v>45862</v>
      </c>
      <c r="G4165" s="41" t="n">
        <v>134.64</v>
      </c>
      <c r="H4165" s="39" t="n">
        <v>45863</v>
      </c>
      <c r="I4165" s="7" t="s">
        <v>14651</v>
      </c>
      <c r="J4165" s="8" t="str">
        <f aca="false">IF(I4165="Open",DATE(2025,12,31)-F4165,"-")</f>
        <v>-</v>
      </c>
    </row>
    <row r="4166" customFormat="false" ht="15" hidden="false" customHeight="false" outlineLevel="0" collapsed="false">
      <c r="B4166" s="7" t="s">
        <v>18811</v>
      </c>
      <c r="C4166" s="7" t="s">
        <v>4663</v>
      </c>
      <c r="D4166" s="7" t="s">
        <v>365</v>
      </c>
      <c r="E4166" s="7" t="s">
        <v>154</v>
      </c>
      <c r="F4166" s="39" t="n">
        <v>45862</v>
      </c>
      <c r="G4166" s="41" t="n">
        <v>110.24</v>
      </c>
      <c r="H4166" s="39" t="n">
        <v>45890</v>
      </c>
      <c r="I4166" s="7" t="s">
        <v>14651</v>
      </c>
      <c r="J4166" s="8" t="str">
        <f aca="false">IF(I4166="Open",DATE(2025,12,31)-F4166,"-")</f>
        <v>-</v>
      </c>
    </row>
    <row r="4167" customFormat="false" ht="15" hidden="false" customHeight="false" outlineLevel="0" collapsed="false">
      <c r="B4167" s="7" t="s">
        <v>18812</v>
      </c>
      <c r="C4167" s="7" t="s">
        <v>4664</v>
      </c>
      <c r="D4167" s="7" t="s">
        <v>375</v>
      </c>
      <c r="E4167" s="7" t="s">
        <v>156</v>
      </c>
      <c r="F4167" s="39" t="n">
        <v>45862</v>
      </c>
      <c r="G4167" s="41" t="n">
        <v>105.06</v>
      </c>
      <c r="H4167" s="39" t="n">
        <v>45872</v>
      </c>
      <c r="I4167" s="7" t="s">
        <v>14651</v>
      </c>
      <c r="J4167" s="8" t="str">
        <f aca="false">IF(I4167="Open",DATE(2025,12,31)-F4167,"-")</f>
        <v>-</v>
      </c>
    </row>
    <row r="4168" customFormat="false" ht="15" hidden="false" customHeight="false" outlineLevel="0" collapsed="false">
      <c r="B4168" s="7" t="s">
        <v>18813</v>
      </c>
      <c r="C4168" s="7" t="s">
        <v>4665</v>
      </c>
      <c r="D4168" s="7" t="s">
        <v>377</v>
      </c>
      <c r="E4168" s="7" t="s">
        <v>154</v>
      </c>
      <c r="F4168" s="39" t="n">
        <v>45862</v>
      </c>
      <c r="G4168" s="41" t="n">
        <v>110.24</v>
      </c>
      <c r="H4168" s="39" t="n">
        <v>45923</v>
      </c>
      <c r="I4168" s="7" t="s">
        <v>14651</v>
      </c>
      <c r="J4168" s="8" t="str">
        <f aca="false">IF(I4168="Open",DATE(2025,12,31)-F4168,"-")</f>
        <v>-</v>
      </c>
    </row>
    <row r="4169" customFormat="false" ht="15" hidden="false" customHeight="false" outlineLevel="0" collapsed="false">
      <c r="B4169" s="7" t="s">
        <v>18814</v>
      </c>
      <c r="C4169" s="7" t="s">
        <v>4666</v>
      </c>
      <c r="D4169" s="7" t="s">
        <v>389</v>
      </c>
      <c r="E4169" s="7" t="s">
        <v>154</v>
      </c>
      <c r="F4169" s="39" t="n">
        <v>45862</v>
      </c>
      <c r="G4169" s="41" t="n">
        <v>101.5</v>
      </c>
      <c r="H4169" s="39" t="n">
        <v>45899</v>
      </c>
      <c r="I4169" s="7" t="s">
        <v>14651</v>
      </c>
      <c r="J4169" s="8" t="str">
        <f aca="false">IF(I4169="Open",DATE(2025,12,31)-F4169,"-")</f>
        <v>-</v>
      </c>
    </row>
    <row r="4170" customFormat="false" ht="15" hidden="false" customHeight="false" outlineLevel="0" collapsed="false">
      <c r="B4170" s="7" t="s">
        <v>18815</v>
      </c>
      <c r="C4170" s="7" t="s">
        <v>4667</v>
      </c>
      <c r="D4170" s="7" t="s">
        <v>391</v>
      </c>
      <c r="E4170" s="7" t="s">
        <v>156</v>
      </c>
      <c r="F4170" s="39" t="n">
        <v>45862</v>
      </c>
      <c r="G4170" s="41" t="n">
        <v>131.58</v>
      </c>
      <c r="H4170" s="39" t="n">
        <v>45874</v>
      </c>
      <c r="I4170" s="7" t="s">
        <v>14651</v>
      </c>
      <c r="J4170" s="8" t="str">
        <f aca="false">IF(I4170="Open",DATE(2025,12,31)-F4170,"-")</f>
        <v>-</v>
      </c>
    </row>
    <row r="4171" customFormat="false" ht="15" hidden="false" customHeight="false" outlineLevel="0" collapsed="false">
      <c r="B4171" s="7" t="s">
        <v>18816</v>
      </c>
      <c r="C4171" s="7" t="s">
        <v>4668</v>
      </c>
      <c r="D4171" s="7" t="s">
        <v>395</v>
      </c>
      <c r="E4171" s="7" t="s">
        <v>156</v>
      </c>
      <c r="F4171" s="39" t="n">
        <v>45862</v>
      </c>
      <c r="G4171" s="41" t="n">
        <v>145.18</v>
      </c>
      <c r="H4171" s="39" t="n">
        <v>45873</v>
      </c>
      <c r="I4171" s="7" t="s">
        <v>14651</v>
      </c>
      <c r="J4171" s="8" t="str">
        <f aca="false">IF(I4171="Open",DATE(2025,12,31)-F4171,"-")</f>
        <v>-</v>
      </c>
    </row>
    <row r="4172" customFormat="false" ht="15" hidden="false" customHeight="false" outlineLevel="0" collapsed="false">
      <c r="B4172" s="7" t="s">
        <v>18817</v>
      </c>
      <c r="C4172" s="7" t="s">
        <v>4669</v>
      </c>
      <c r="D4172" s="7" t="s">
        <v>401</v>
      </c>
      <c r="E4172" s="7" t="s">
        <v>156</v>
      </c>
      <c r="F4172" s="39" t="n">
        <v>45862</v>
      </c>
      <c r="G4172" s="41" t="n">
        <v>122.4</v>
      </c>
      <c r="H4172" s="39" t="n">
        <v>45868</v>
      </c>
      <c r="I4172" s="7" t="s">
        <v>14651</v>
      </c>
      <c r="J4172" s="8" t="str">
        <f aca="false">IF(I4172="Open",DATE(2025,12,31)-F4172,"-")</f>
        <v>-</v>
      </c>
    </row>
    <row r="4173" customFormat="false" ht="15" hidden="false" customHeight="false" outlineLevel="0" collapsed="false">
      <c r="B4173" s="7" t="s">
        <v>18818</v>
      </c>
      <c r="C4173" s="7" t="s">
        <v>4670</v>
      </c>
      <c r="D4173" s="7" t="s">
        <v>280</v>
      </c>
      <c r="E4173" s="7" t="s">
        <v>157</v>
      </c>
      <c r="F4173" s="39" t="n">
        <v>45863</v>
      </c>
      <c r="G4173" s="41" t="n">
        <v>169.29</v>
      </c>
      <c r="H4173" s="39" t="n">
        <v>45882</v>
      </c>
      <c r="I4173" s="7" t="s">
        <v>14651</v>
      </c>
      <c r="J4173" s="8" t="str">
        <f aca="false">IF(I4173="Open",DATE(2025,12,31)-F4173,"-")</f>
        <v>-</v>
      </c>
    </row>
    <row r="4174" customFormat="false" ht="15" hidden="false" customHeight="false" outlineLevel="0" collapsed="false">
      <c r="B4174" s="7" t="s">
        <v>18819</v>
      </c>
      <c r="C4174" s="7" t="s">
        <v>4671</v>
      </c>
      <c r="D4174" s="7" t="s">
        <v>288</v>
      </c>
      <c r="E4174" s="7" t="s">
        <v>156</v>
      </c>
      <c r="F4174" s="39" t="n">
        <v>45863</v>
      </c>
      <c r="G4174" s="41" t="n">
        <v>127.5</v>
      </c>
      <c r="H4174" s="39" t="n">
        <v>45871</v>
      </c>
      <c r="I4174" s="7" t="s">
        <v>14651</v>
      </c>
      <c r="J4174" s="8" t="str">
        <f aca="false">IF(I4174="Open",DATE(2025,12,31)-F4174,"-")</f>
        <v>-</v>
      </c>
    </row>
    <row r="4175" customFormat="false" ht="15" hidden="false" customHeight="false" outlineLevel="0" collapsed="false">
      <c r="B4175" s="7" t="s">
        <v>18820</v>
      </c>
      <c r="C4175" s="7" t="s">
        <v>4672</v>
      </c>
      <c r="D4175" s="7" t="s">
        <v>291</v>
      </c>
      <c r="E4175" s="7" t="s">
        <v>154</v>
      </c>
      <c r="F4175" s="39" t="n">
        <v>45863</v>
      </c>
      <c r="G4175" s="41" t="n">
        <v>122.43</v>
      </c>
      <c r="H4175" s="39" t="n">
        <v>45924</v>
      </c>
      <c r="I4175" s="7" t="s">
        <v>14651</v>
      </c>
      <c r="J4175" s="8" t="str">
        <f aca="false">IF(I4175="Open",DATE(2025,12,31)-F4175,"-")</f>
        <v>-</v>
      </c>
    </row>
    <row r="4176" customFormat="false" ht="15" hidden="false" customHeight="false" outlineLevel="0" collapsed="false">
      <c r="B4176" s="7" t="s">
        <v>18821</v>
      </c>
      <c r="C4176" s="7" t="s">
        <v>4673</v>
      </c>
      <c r="D4176" s="7" t="s">
        <v>301</v>
      </c>
      <c r="E4176" s="7" t="s">
        <v>157</v>
      </c>
      <c r="F4176" s="39" t="n">
        <v>45863</v>
      </c>
      <c r="G4176" s="41" t="n">
        <v>151.8</v>
      </c>
      <c r="H4176" s="39" t="n">
        <v>45916</v>
      </c>
      <c r="I4176" s="7" t="s">
        <v>14651</v>
      </c>
      <c r="J4176" s="8" t="str">
        <f aca="false">IF(I4176="Open",DATE(2025,12,31)-F4176,"-")</f>
        <v>-</v>
      </c>
    </row>
    <row r="4177" customFormat="false" ht="15" hidden="false" customHeight="false" outlineLevel="0" collapsed="false">
      <c r="B4177" s="7" t="s">
        <v>18822</v>
      </c>
      <c r="C4177" s="7" t="s">
        <v>4674</v>
      </c>
      <c r="D4177" s="7" t="s">
        <v>305</v>
      </c>
      <c r="E4177" s="7" t="s">
        <v>154</v>
      </c>
      <c r="F4177" s="39" t="n">
        <v>45863</v>
      </c>
      <c r="G4177" s="41" t="n">
        <v>115.54</v>
      </c>
      <c r="H4177" s="39" t="n">
        <v>45954</v>
      </c>
      <c r="I4177" s="7" t="s">
        <v>14651</v>
      </c>
      <c r="J4177" s="8" t="str">
        <f aca="false">IF(I4177="Open",DATE(2025,12,31)-F4177,"-")</f>
        <v>-</v>
      </c>
    </row>
    <row r="4178" customFormat="false" ht="15" hidden="false" customHeight="false" outlineLevel="0" collapsed="false">
      <c r="B4178" s="7" t="s">
        <v>18823</v>
      </c>
      <c r="C4178" s="7" t="s">
        <v>4675</v>
      </c>
      <c r="D4178" s="7" t="s">
        <v>307</v>
      </c>
      <c r="E4178" s="7" t="s">
        <v>157</v>
      </c>
      <c r="F4178" s="39" t="n">
        <v>45863</v>
      </c>
      <c r="G4178" s="41" t="n">
        <v>151.97</v>
      </c>
      <c r="H4178" s="39" t="n">
        <v>45884</v>
      </c>
      <c r="I4178" s="7" t="s">
        <v>14651</v>
      </c>
      <c r="J4178" s="8" t="str">
        <f aca="false">IF(I4178="Open",DATE(2025,12,31)-F4178,"-")</f>
        <v>-</v>
      </c>
    </row>
    <row r="4179" customFormat="false" ht="15" hidden="false" customHeight="false" outlineLevel="0" collapsed="false">
      <c r="B4179" s="7" t="s">
        <v>18824</v>
      </c>
      <c r="C4179" s="7" t="s">
        <v>4676</v>
      </c>
      <c r="D4179" s="7" t="s">
        <v>309</v>
      </c>
      <c r="E4179" s="7" t="s">
        <v>159</v>
      </c>
      <c r="F4179" s="39" t="n">
        <v>45863</v>
      </c>
      <c r="G4179" s="41" t="n">
        <v>136.35</v>
      </c>
      <c r="H4179" s="39" t="n">
        <v>45927</v>
      </c>
      <c r="I4179" s="7" t="s">
        <v>14651</v>
      </c>
      <c r="J4179" s="8" t="str">
        <f aca="false">IF(I4179="Open",DATE(2025,12,31)-F4179,"-")</f>
        <v>-</v>
      </c>
    </row>
    <row r="4180" customFormat="false" ht="15" hidden="false" customHeight="false" outlineLevel="0" collapsed="false">
      <c r="B4180" s="7" t="s">
        <v>18825</v>
      </c>
      <c r="C4180" s="7" t="s">
        <v>4677</v>
      </c>
      <c r="D4180" s="7" t="s">
        <v>313</v>
      </c>
      <c r="E4180" s="7" t="s">
        <v>156</v>
      </c>
      <c r="F4180" s="39" t="n">
        <v>45863</v>
      </c>
      <c r="G4180" s="41" t="n">
        <v>125.46</v>
      </c>
      <c r="H4180" s="39" t="n">
        <v>45878</v>
      </c>
      <c r="I4180" s="7" t="s">
        <v>14651</v>
      </c>
      <c r="J4180" s="8" t="str">
        <f aca="false">IF(I4180="Open",DATE(2025,12,31)-F4180,"-")</f>
        <v>-</v>
      </c>
    </row>
    <row r="4181" customFormat="false" ht="15" hidden="false" customHeight="false" outlineLevel="0" collapsed="false">
      <c r="B4181" s="7" t="s">
        <v>18826</v>
      </c>
      <c r="C4181" s="7" t="s">
        <v>4678</v>
      </c>
      <c r="D4181" s="7" t="s">
        <v>319</v>
      </c>
      <c r="E4181" s="7" t="s">
        <v>157</v>
      </c>
      <c r="F4181" s="39" t="n">
        <v>45863</v>
      </c>
      <c r="G4181" s="41" t="n">
        <v>158.23</v>
      </c>
      <c r="H4181" s="39" t="n">
        <v>45957</v>
      </c>
      <c r="I4181" s="7" t="s">
        <v>14651</v>
      </c>
      <c r="J4181" s="8" t="str">
        <f aca="false">IF(I4181="Open",DATE(2025,12,31)-F4181,"-")</f>
        <v>-</v>
      </c>
    </row>
    <row r="4182" customFormat="false" ht="15" hidden="false" customHeight="false" outlineLevel="0" collapsed="false">
      <c r="B4182" s="7" t="s">
        <v>18827</v>
      </c>
      <c r="C4182" s="7" t="s">
        <v>4679</v>
      </c>
      <c r="D4182" s="7" t="s">
        <v>321</v>
      </c>
      <c r="E4182" s="7" t="s">
        <v>154</v>
      </c>
      <c r="F4182" s="39" t="n">
        <v>45863</v>
      </c>
      <c r="G4182" s="41" t="n">
        <v>100.97</v>
      </c>
      <c r="H4182" s="39" t="n">
        <v>45924</v>
      </c>
      <c r="I4182" s="7" t="s">
        <v>14651</v>
      </c>
      <c r="J4182" s="8" t="str">
        <f aca="false">IF(I4182="Open",DATE(2025,12,31)-F4182,"-")</f>
        <v>-</v>
      </c>
    </row>
    <row r="4183" customFormat="false" ht="15" hidden="false" customHeight="false" outlineLevel="0" collapsed="false">
      <c r="B4183" s="7" t="s">
        <v>18828</v>
      </c>
      <c r="C4183" s="7" t="s">
        <v>4680</v>
      </c>
      <c r="D4183" s="7" t="s">
        <v>323</v>
      </c>
      <c r="E4183" s="7" t="s">
        <v>159</v>
      </c>
      <c r="F4183" s="39" t="n">
        <v>45863</v>
      </c>
      <c r="G4183" s="41" t="n">
        <v>132.3</v>
      </c>
      <c r="H4183" s="39" t="n">
        <v>45930</v>
      </c>
      <c r="I4183" s="7" t="s">
        <v>14651</v>
      </c>
      <c r="J4183" s="8" t="str">
        <f aca="false">IF(I4183="Open",DATE(2025,12,31)-F4183,"-")</f>
        <v>-</v>
      </c>
    </row>
    <row r="4184" customFormat="false" ht="15" hidden="false" customHeight="false" outlineLevel="0" collapsed="false">
      <c r="B4184" s="7" t="s">
        <v>18829</v>
      </c>
      <c r="C4184" s="7" t="s">
        <v>4681</v>
      </c>
      <c r="D4184" s="7" t="s">
        <v>327</v>
      </c>
      <c r="E4184" s="7" t="s">
        <v>157</v>
      </c>
      <c r="F4184" s="39" t="n">
        <v>45863</v>
      </c>
      <c r="G4184" s="41" t="n">
        <v>178.2</v>
      </c>
      <c r="H4184" s="39" t="n">
        <v>45879</v>
      </c>
      <c r="I4184" s="7" t="s">
        <v>14651</v>
      </c>
      <c r="J4184" s="8" t="str">
        <f aca="false">IF(I4184="Open",DATE(2025,12,31)-F4184,"-")</f>
        <v>-</v>
      </c>
    </row>
    <row r="4185" customFormat="false" ht="15" hidden="false" customHeight="false" outlineLevel="0" collapsed="false">
      <c r="B4185" s="7" t="s">
        <v>18830</v>
      </c>
      <c r="C4185" s="7" t="s">
        <v>4682</v>
      </c>
      <c r="D4185" s="7" t="s">
        <v>329</v>
      </c>
      <c r="E4185" s="7" t="s">
        <v>156</v>
      </c>
      <c r="F4185" s="39" t="n">
        <v>45863</v>
      </c>
      <c r="G4185" s="41" t="n">
        <v>138.04</v>
      </c>
      <c r="H4185" s="39" t="n">
        <v>45871</v>
      </c>
      <c r="I4185" s="7" t="s">
        <v>14651</v>
      </c>
      <c r="J4185" s="8" t="str">
        <f aca="false">IF(I4185="Open",DATE(2025,12,31)-F4185,"-")</f>
        <v>-</v>
      </c>
    </row>
    <row r="4186" customFormat="false" ht="15" hidden="false" customHeight="false" outlineLevel="0" collapsed="false">
      <c r="B4186" s="7" t="s">
        <v>18831</v>
      </c>
      <c r="C4186" s="7" t="s">
        <v>4683</v>
      </c>
      <c r="D4186" s="7" t="s">
        <v>335</v>
      </c>
      <c r="E4186" s="7" t="s">
        <v>154</v>
      </c>
      <c r="F4186" s="39" t="n">
        <v>45863</v>
      </c>
      <c r="G4186" s="41" t="n">
        <v>116.6</v>
      </c>
      <c r="H4186" s="39" t="n">
        <v>45909</v>
      </c>
      <c r="I4186" s="7" t="s">
        <v>14651</v>
      </c>
      <c r="J4186" s="8" t="str">
        <f aca="false">IF(I4186="Open",DATE(2025,12,31)-F4186,"-")</f>
        <v>-</v>
      </c>
    </row>
    <row r="4187" customFormat="false" ht="15" hidden="false" customHeight="false" outlineLevel="0" collapsed="false">
      <c r="B4187" s="7" t="s">
        <v>18832</v>
      </c>
      <c r="C4187" s="7" t="s">
        <v>4684</v>
      </c>
      <c r="D4187" s="7" t="s">
        <v>339</v>
      </c>
      <c r="E4187" s="7" t="s">
        <v>154</v>
      </c>
      <c r="F4187" s="39" t="n">
        <v>45863</v>
      </c>
      <c r="G4187" s="41" t="n">
        <v>80.56</v>
      </c>
      <c r="H4187" s="39" t="n">
        <v>45962</v>
      </c>
      <c r="I4187" s="7" t="s">
        <v>14651</v>
      </c>
      <c r="J4187" s="8" t="str">
        <f aca="false">IF(I4187="Open",DATE(2025,12,31)-F4187,"-")</f>
        <v>-</v>
      </c>
    </row>
    <row r="4188" customFormat="false" ht="15" hidden="false" customHeight="false" outlineLevel="0" collapsed="false">
      <c r="B4188" s="7" t="s">
        <v>18833</v>
      </c>
      <c r="C4188" s="7" t="s">
        <v>4685</v>
      </c>
      <c r="D4188" s="7" t="s">
        <v>347</v>
      </c>
      <c r="E4188" s="7" t="s">
        <v>154</v>
      </c>
      <c r="F4188" s="39" t="n">
        <v>45863</v>
      </c>
      <c r="G4188" s="41" t="n">
        <v>121.63</v>
      </c>
      <c r="H4188" s="39" t="n">
        <v>45940</v>
      </c>
      <c r="I4188" s="7" t="s">
        <v>14651</v>
      </c>
      <c r="J4188" s="8" t="str">
        <f aca="false">IF(I4188="Open",DATE(2025,12,31)-F4188,"-")</f>
        <v>-</v>
      </c>
    </row>
    <row r="4189" customFormat="false" ht="15" hidden="false" customHeight="false" outlineLevel="0" collapsed="false">
      <c r="B4189" s="7" t="s">
        <v>18834</v>
      </c>
      <c r="C4189" s="7" t="s">
        <v>4686</v>
      </c>
      <c r="D4189" s="7" t="s">
        <v>353</v>
      </c>
      <c r="E4189" s="7" t="s">
        <v>154</v>
      </c>
      <c r="F4189" s="39" t="n">
        <v>45863</v>
      </c>
      <c r="G4189" s="41" t="n">
        <v>82.15</v>
      </c>
      <c r="H4189" s="39" t="n">
        <v>45939</v>
      </c>
      <c r="I4189" s="7" t="s">
        <v>14651</v>
      </c>
      <c r="J4189" s="8" t="str">
        <f aca="false">IF(I4189="Open",DATE(2025,12,31)-F4189,"-")</f>
        <v>-</v>
      </c>
    </row>
    <row r="4190" customFormat="false" ht="15" hidden="false" customHeight="false" outlineLevel="0" collapsed="false">
      <c r="B4190" s="7" t="s">
        <v>18835</v>
      </c>
      <c r="C4190" s="7" t="s">
        <v>4687</v>
      </c>
      <c r="D4190" s="7" t="s">
        <v>355</v>
      </c>
      <c r="E4190" s="7" t="s">
        <v>154</v>
      </c>
      <c r="F4190" s="39" t="n">
        <v>45863</v>
      </c>
      <c r="G4190" s="41" t="n">
        <v>79.77</v>
      </c>
      <c r="H4190" s="39" t="n">
        <v>45938</v>
      </c>
      <c r="I4190" s="7" t="s">
        <v>14651</v>
      </c>
      <c r="J4190" s="8" t="str">
        <f aca="false">IF(I4190="Open",DATE(2025,12,31)-F4190,"-")</f>
        <v>-</v>
      </c>
    </row>
    <row r="4191" customFormat="false" ht="15" hidden="false" customHeight="false" outlineLevel="0" collapsed="false">
      <c r="B4191" s="7" t="s">
        <v>18836</v>
      </c>
      <c r="C4191" s="7" t="s">
        <v>4688</v>
      </c>
      <c r="D4191" s="7" t="s">
        <v>357</v>
      </c>
      <c r="E4191" s="7" t="s">
        <v>154</v>
      </c>
      <c r="F4191" s="39" t="n">
        <v>45863</v>
      </c>
      <c r="G4191" s="41" t="n">
        <v>81.62</v>
      </c>
      <c r="H4191" s="39" t="n">
        <v>45899</v>
      </c>
      <c r="I4191" s="7" t="s">
        <v>14651</v>
      </c>
      <c r="J4191" s="8" t="str">
        <f aca="false">IF(I4191="Open",DATE(2025,12,31)-F4191,"-")</f>
        <v>-</v>
      </c>
    </row>
    <row r="4192" customFormat="false" ht="15" hidden="false" customHeight="false" outlineLevel="0" collapsed="false">
      <c r="B4192" s="7" t="s">
        <v>18837</v>
      </c>
      <c r="C4192" s="7" t="s">
        <v>4689</v>
      </c>
      <c r="D4192" s="7" t="s">
        <v>359</v>
      </c>
      <c r="E4192" s="7" t="s">
        <v>156</v>
      </c>
      <c r="F4192" s="39" t="n">
        <v>45863</v>
      </c>
      <c r="G4192" s="41" t="n">
        <v>122.74</v>
      </c>
      <c r="H4192" s="39" t="n">
        <v>45867</v>
      </c>
      <c r="I4192" s="7" t="s">
        <v>14651</v>
      </c>
      <c r="J4192" s="8" t="str">
        <f aca="false">IF(I4192="Open",DATE(2025,12,31)-F4192,"-")</f>
        <v>-</v>
      </c>
    </row>
    <row r="4193" customFormat="false" ht="15" hidden="false" customHeight="false" outlineLevel="0" collapsed="false">
      <c r="B4193" s="7" t="s">
        <v>18838</v>
      </c>
      <c r="C4193" s="7" t="s">
        <v>4690</v>
      </c>
      <c r="D4193" s="7" t="s">
        <v>361</v>
      </c>
      <c r="E4193" s="7" t="s">
        <v>157</v>
      </c>
      <c r="F4193" s="39" t="n">
        <v>45863</v>
      </c>
      <c r="G4193" s="41" t="n">
        <v>156.75</v>
      </c>
      <c r="H4193" s="39" t="n">
        <v>45881</v>
      </c>
      <c r="I4193" s="7" t="s">
        <v>14651</v>
      </c>
      <c r="J4193" s="8" t="str">
        <f aca="false">IF(I4193="Open",DATE(2025,12,31)-F4193,"-")</f>
        <v>-</v>
      </c>
    </row>
    <row r="4194" customFormat="false" ht="15" hidden="false" customHeight="false" outlineLevel="0" collapsed="false">
      <c r="B4194" s="7" t="s">
        <v>18839</v>
      </c>
      <c r="C4194" s="7" t="s">
        <v>4691</v>
      </c>
      <c r="D4194" s="7" t="s">
        <v>365</v>
      </c>
      <c r="E4194" s="7" t="s">
        <v>154</v>
      </c>
      <c r="F4194" s="39" t="n">
        <v>45863</v>
      </c>
      <c r="G4194" s="41" t="n">
        <v>109.44</v>
      </c>
      <c r="H4194" s="39" t="n">
        <v>45935</v>
      </c>
      <c r="I4194" s="7" t="s">
        <v>14651</v>
      </c>
      <c r="J4194" s="8" t="str">
        <f aca="false">IF(I4194="Open",DATE(2025,12,31)-F4194,"-")</f>
        <v>-</v>
      </c>
    </row>
    <row r="4195" customFormat="false" ht="15" hidden="false" customHeight="false" outlineLevel="0" collapsed="false">
      <c r="B4195" s="7" t="s">
        <v>18840</v>
      </c>
      <c r="C4195" s="7" t="s">
        <v>4692</v>
      </c>
      <c r="D4195" s="7" t="s">
        <v>369</v>
      </c>
      <c r="E4195" s="7" t="s">
        <v>159</v>
      </c>
      <c r="F4195" s="39" t="n">
        <v>45863</v>
      </c>
      <c r="G4195" s="41" t="n">
        <v>125.55</v>
      </c>
      <c r="H4195" s="39" t="n">
        <v>45905</v>
      </c>
      <c r="I4195" s="7" t="s">
        <v>14651</v>
      </c>
      <c r="J4195" s="8" t="str">
        <f aca="false">IF(I4195="Open",DATE(2025,12,31)-F4195,"-")</f>
        <v>-</v>
      </c>
    </row>
    <row r="4196" customFormat="false" ht="15" hidden="false" customHeight="false" outlineLevel="0" collapsed="false">
      <c r="B4196" s="7" t="s">
        <v>18841</v>
      </c>
      <c r="C4196" s="7" t="s">
        <v>4693</v>
      </c>
      <c r="D4196" s="7" t="s">
        <v>371</v>
      </c>
      <c r="E4196" s="7" t="s">
        <v>154</v>
      </c>
      <c r="F4196" s="39" t="n">
        <v>45863</v>
      </c>
      <c r="G4196" s="41" t="n">
        <v>132.5</v>
      </c>
      <c r="H4196" s="39" t="n">
        <v>45900</v>
      </c>
      <c r="I4196" s="7" t="s">
        <v>14651</v>
      </c>
      <c r="J4196" s="8" t="str">
        <f aca="false">IF(I4196="Open",DATE(2025,12,31)-F4196,"-")</f>
        <v>-</v>
      </c>
    </row>
    <row r="4197" customFormat="false" ht="15" hidden="false" customHeight="false" outlineLevel="0" collapsed="false">
      <c r="B4197" s="7" t="s">
        <v>18842</v>
      </c>
      <c r="C4197" s="7" t="s">
        <v>4694</v>
      </c>
      <c r="D4197" s="7" t="s">
        <v>379</v>
      </c>
      <c r="E4197" s="7" t="s">
        <v>156</v>
      </c>
      <c r="F4197" s="39" t="n">
        <v>45863</v>
      </c>
      <c r="G4197" s="41" t="n">
        <v>170</v>
      </c>
      <c r="H4197" s="39" t="n">
        <v>45876</v>
      </c>
      <c r="I4197" s="7" t="s">
        <v>14651</v>
      </c>
      <c r="J4197" s="8" t="str">
        <f aca="false">IF(I4197="Open",DATE(2025,12,31)-F4197,"-")</f>
        <v>-</v>
      </c>
    </row>
    <row r="4198" customFormat="false" ht="15" hidden="false" customHeight="false" outlineLevel="0" collapsed="false">
      <c r="B4198" s="7" t="s">
        <v>18843</v>
      </c>
      <c r="C4198" s="7" t="s">
        <v>4695</v>
      </c>
      <c r="D4198" s="7" t="s">
        <v>381</v>
      </c>
      <c r="E4198" s="7" t="s">
        <v>157</v>
      </c>
      <c r="F4198" s="39" t="n">
        <v>45863</v>
      </c>
      <c r="G4198" s="41" t="n">
        <v>156.75</v>
      </c>
      <c r="H4198" s="39" t="n">
        <v>45914</v>
      </c>
      <c r="I4198" s="7" t="s">
        <v>14651</v>
      </c>
      <c r="J4198" s="8" t="str">
        <f aca="false">IF(I4198="Open",DATE(2025,12,31)-F4198,"-")</f>
        <v>-</v>
      </c>
    </row>
    <row r="4199" customFormat="false" ht="15" hidden="false" customHeight="false" outlineLevel="0" collapsed="false">
      <c r="B4199" s="7" t="s">
        <v>18844</v>
      </c>
      <c r="C4199" s="7" t="s">
        <v>4696</v>
      </c>
      <c r="D4199" s="7" t="s">
        <v>385</v>
      </c>
      <c r="E4199" s="7" t="s">
        <v>156</v>
      </c>
      <c r="F4199" s="39" t="n">
        <v>45863</v>
      </c>
      <c r="G4199" s="41" t="n">
        <v>126.82</v>
      </c>
      <c r="H4199" s="39" t="n">
        <v>45874</v>
      </c>
      <c r="I4199" s="7" t="s">
        <v>14651</v>
      </c>
      <c r="J4199" s="8" t="str">
        <f aca="false">IF(I4199="Open",DATE(2025,12,31)-F4199,"-")</f>
        <v>-</v>
      </c>
    </row>
    <row r="4200" customFormat="false" ht="15" hidden="false" customHeight="false" outlineLevel="0" collapsed="false">
      <c r="B4200" s="7" t="s">
        <v>18845</v>
      </c>
      <c r="C4200" s="7" t="s">
        <v>4697</v>
      </c>
      <c r="D4200" s="7" t="s">
        <v>389</v>
      </c>
      <c r="E4200" s="7" t="s">
        <v>154</v>
      </c>
      <c r="F4200" s="39" t="n">
        <v>45863</v>
      </c>
      <c r="G4200" s="41" t="n">
        <v>108.65</v>
      </c>
      <c r="H4200" s="39" t="n">
        <v>45888</v>
      </c>
      <c r="I4200" s="7" t="s">
        <v>14651</v>
      </c>
      <c r="J4200" s="8" t="str">
        <f aca="false">IF(I4200="Open",DATE(2025,12,31)-F4200,"-")</f>
        <v>-</v>
      </c>
    </row>
    <row r="4201" customFormat="false" ht="15" hidden="false" customHeight="false" outlineLevel="0" collapsed="false">
      <c r="B4201" s="7" t="s">
        <v>18846</v>
      </c>
      <c r="C4201" s="7" t="s">
        <v>4698</v>
      </c>
      <c r="D4201" s="7" t="s">
        <v>391</v>
      </c>
      <c r="E4201" s="7" t="s">
        <v>156</v>
      </c>
      <c r="F4201" s="39" t="n">
        <v>45863</v>
      </c>
      <c r="G4201" s="41" t="n">
        <v>133.62</v>
      </c>
      <c r="H4201" s="39" t="n">
        <v>45882</v>
      </c>
      <c r="I4201" s="7" t="s">
        <v>14651</v>
      </c>
      <c r="J4201" s="8" t="str">
        <f aca="false">IF(I4201="Open",DATE(2025,12,31)-F4201,"-")</f>
        <v>-</v>
      </c>
    </row>
    <row r="4202" customFormat="false" ht="15" hidden="false" customHeight="false" outlineLevel="0" collapsed="false">
      <c r="B4202" s="7" t="s">
        <v>18847</v>
      </c>
      <c r="C4202" s="7" t="s">
        <v>4699</v>
      </c>
      <c r="D4202" s="7" t="s">
        <v>395</v>
      </c>
      <c r="E4202" s="7" t="s">
        <v>156</v>
      </c>
      <c r="F4202" s="39" t="n">
        <v>45863</v>
      </c>
      <c r="G4202" s="41" t="n">
        <v>131.24</v>
      </c>
      <c r="H4202" s="39" t="n">
        <v>45877</v>
      </c>
      <c r="I4202" s="7" t="s">
        <v>14651</v>
      </c>
      <c r="J4202" s="8" t="str">
        <f aca="false">IF(I4202="Open",DATE(2025,12,31)-F4202,"-")</f>
        <v>-</v>
      </c>
    </row>
    <row r="4203" customFormat="false" ht="15" hidden="false" customHeight="false" outlineLevel="0" collapsed="false">
      <c r="B4203" s="7" t="s">
        <v>18848</v>
      </c>
      <c r="C4203" s="7" t="s">
        <v>4700</v>
      </c>
      <c r="D4203" s="7" t="s">
        <v>397</v>
      </c>
      <c r="E4203" s="7" t="s">
        <v>159</v>
      </c>
      <c r="F4203" s="39" t="n">
        <v>45863</v>
      </c>
      <c r="G4203" s="41" t="n">
        <v>141.75</v>
      </c>
      <c r="H4203" s="39" t="n">
        <v>45910</v>
      </c>
      <c r="I4203" s="7" t="s">
        <v>14651</v>
      </c>
      <c r="J4203" s="8" t="str">
        <f aca="false">IF(I4203="Open",DATE(2025,12,31)-F4203,"-")</f>
        <v>-</v>
      </c>
    </row>
    <row r="4204" customFormat="false" ht="15" hidden="false" customHeight="false" outlineLevel="0" collapsed="false">
      <c r="B4204" s="7" t="s">
        <v>18849</v>
      </c>
      <c r="C4204" s="7" t="s">
        <v>4701</v>
      </c>
      <c r="D4204" s="7" t="s">
        <v>399</v>
      </c>
      <c r="E4204" s="7" t="s">
        <v>154</v>
      </c>
      <c r="F4204" s="39" t="n">
        <v>45863</v>
      </c>
      <c r="G4204" s="41" t="n">
        <v>94.34</v>
      </c>
      <c r="H4204" s="39" t="n">
        <v>45898</v>
      </c>
      <c r="I4204" s="7" t="s">
        <v>14651</v>
      </c>
      <c r="J4204" s="8" t="str">
        <f aca="false">IF(I4204="Open",DATE(2025,12,31)-F4204,"-")</f>
        <v>-</v>
      </c>
    </row>
    <row r="4205" customFormat="false" ht="15" hidden="false" customHeight="false" outlineLevel="0" collapsed="false">
      <c r="B4205" s="7" t="s">
        <v>18850</v>
      </c>
      <c r="C4205" s="7" t="s">
        <v>4702</v>
      </c>
      <c r="D4205" s="7" t="s">
        <v>401</v>
      </c>
      <c r="E4205" s="7" t="s">
        <v>156</v>
      </c>
      <c r="F4205" s="39" t="n">
        <v>45863</v>
      </c>
      <c r="G4205" s="41" t="n">
        <v>148.24</v>
      </c>
      <c r="H4205" s="39" t="n">
        <v>45878</v>
      </c>
      <c r="I4205" s="7" t="s">
        <v>14651</v>
      </c>
      <c r="J4205" s="8" t="str">
        <f aca="false">IF(I4205="Open",DATE(2025,12,31)-F4205,"-")</f>
        <v>-</v>
      </c>
    </row>
    <row r="4206" customFormat="false" ht="15" hidden="false" customHeight="false" outlineLevel="0" collapsed="false">
      <c r="B4206" s="7" t="s">
        <v>18851</v>
      </c>
      <c r="C4206" s="7" t="s">
        <v>4703</v>
      </c>
      <c r="D4206" s="7" t="s">
        <v>407</v>
      </c>
      <c r="E4206" s="7" t="s">
        <v>159</v>
      </c>
      <c r="F4206" s="39" t="n">
        <v>45863</v>
      </c>
      <c r="G4206" s="41" t="n">
        <v>144.45</v>
      </c>
      <c r="H4206" s="39" t="n">
        <v>45925</v>
      </c>
      <c r="I4206" s="7" t="s">
        <v>14651</v>
      </c>
      <c r="J4206" s="8" t="str">
        <f aca="false">IF(I4206="Open",DATE(2025,12,31)-F4206,"-")</f>
        <v>-</v>
      </c>
    </row>
    <row r="4207" customFormat="false" ht="15" hidden="false" customHeight="false" outlineLevel="0" collapsed="false">
      <c r="B4207" s="7" t="s">
        <v>18852</v>
      </c>
      <c r="C4207" s="7" t="s">
        <v>4704</v>
      </c>
      <c r="D4207" s="7" t="s">
        <v>409</v>
      </c>
      <c r="E4207" s="7" t="s">
        <v>154</v>
      </c>
      <c r="F4207" s="39" t="n">
        <v>45863</v>
      </c>
      <c r="G4207" s="41" t="n">
        <v>86.12</v>
      </c>
      <c r="H4207" s="39" t="n">
        <v>45914</v>
      </c>
      <c r="I4207" s="7" t="s">
        <v>14651</v>
      </c>
      <c r="J4207" s="8" t="str">
        <f aca="false">IF(I4207="Open",DATE(2025,12,31)-F4207,"-")</f>
        <v>-</v>
      </c>
    </row>
    <row r="4208" customFormat="false" ht="15" hidden="false" customHeight="false" outlineLevel="0" collapsed="false">
      <c r="B4208" s="7" t="s">
        <v>18853</v>
      </c>
      <c r="C4208" s="7" t="s">
        <v>4705</v>
      </c>
      <c r="D4208" s="7" t="s">
        <v>411</v>
      </c>
      <c r="E4208" s="7" t="s">
        <v>154</v>
      </c>
      <c r="F4208" s="39" t="n">
        <v>45863</v>
      </c>
      <c r="G4208" s="41" t="n">
        <v>126.14</v>
      </c>
      <c r="H4208" s="39" t="n">
        <v>45973</v>
      </c>
      <c r="I4208" s="7" t="s">
        <v>14651</v>
      </c>
      <c r="J4208" s="8" t="str">
        <f aca="false">IF(I4208="Open",DATE(2025,12,31)-F4208,"-")</f>
        <v>-</v>
      </c>
    </row>
    <row r="4209" customFormat="false" ht="15" hidden="false" customHeight="false" outlineLevel="0" collapsed="false">
      <c r="B4209" s="7" t="s">
        <v>18854</v>
      </c>
      <c r="C4209" s="7" t="s">
        <v>4706</v>
      </c>
      <c r="D4209" s="7" t="s">
        <v>288</v>
      </c>
      <c r="E4209" s="7" t="s">
        <v>156</v>
      </c>
      <c r="F4209" s="39" t="n">
        <v>45864</v>
      </c>
      <c r="G4209" s="41" t="n">
        <v>141.44</v>
      </c>
      <c r="H4209" s="39" t="n">
        <v>45879</v>
      </c>
      <c r="I4209" s="7" t="s">
        <v>14651</v>
      </c>
      <c r="J4209" s="8" t="str">
        <f aca="false">IF(I4209="Open",DATE(2025,12,31)-F4209,"-")</f>
        <v>-</v>
      </c>
    </row>
    <row r="4210" customFormat="false" ht="15" hidden="false" customHeight="false" outlineLevel="0" collapsed="false">
      <c r="B4210" s="7" t="s">
        <v>18855</v>
      </c>
      <c r="C4210" s="7" t="s">
        <v>4707</v>
      </c>
      <c r="D4210" s="7" t="s">
        <v>321</v>
      </c>
      <c r="E4210" s="7" t="s">
        <v>154</v>
      </c>
      <c r="F4210" s="39" t="n">
        <v>45864</v>
      </c>
      <c r="G4210" s="41" t="n">
        <v>103.62</v>
      </c>
      <c r="H4210" s="39" t="n">
        <v>45960</v>
      </c>
      <c r="I4210" s="7" t="s">
        <v>14651</v>
      </c>
      <c r="J4210" s="8" t="str">
        <f aca="false">IF(I4210="Open",DATE(2025,12,31)-F4210,"-")</f>
        <v>-</v>
      </c>
    </row>
    <row r="4211" customFormat="false" ht="15" hidden="false" customHeight="false" outlineLevel="0" collapsed="false">
      <c r="B4211" s="7" t="s">
        <v>18856</v>
      </c>
      <c r="C4211" s="7" t="s">
        <v>4708</v>
      </c>
      <c r="D4211" s="7" t="s">
        <v>359</v>
      </c>
      <c r="E4211" s="7" t="s">
        <v>156</v>
      </c>
      <c r="F4211" s="39" t="n">
        <v>45864</v>
      </c>
      <c r="G4211" s="41" t="n">
        <v>147.22</v>
      </c>
      <c r="H4211" s="39" t="n">
        <v>45878</v>
      </c>
      <c r="I4211" s="7" t="s">
        <v>14651</v>
      </c>
      <c r="J4211" s="8" t="str">
        <f aca="false">IF(I4211="Open",DATE(2025,12,31)-F4211,"-")</f>
        <v>-</v>
      </c>
    </row>
    <row r="4212" customFormat="false" ht="15" hidden="false" customHeight="false" outlineLevel="0" collapsed="false">
      <c r="B4212" s="7" t="s">
        <v>18857</v>
      </c>
      <c r="C4212" s="7" t="s">
        <v>4709</v>
      </c>
      <c r="D4212" s="7" t="s">
        <v>391</v>
      </c>
      <c r="E4212" s="7" t="s">
        <v>156</v>
      </c>
      <c r="F4212" s="39" t="n">
        <v>45864</v>
      </c>
      <c r="G4212" s="41" t="n">
        <v>147.56</v>
      </c>
      <c r="H4212" s="39" t="n">
        <v>45877</v>
      </c>
      <c r="I4212" s="7" t="s">
        <v>14651</v>
      </c>
      <c r="J4212" s="8" t="str">
        <f aca="false">IF(I4212="Open",DATE(2025,12,31)-F4212,"-")</f>
        <v>-</v>
      </c>
    </row>
    <row r="4213" customFormat="false" ht="15" hidden="false" customHeight="false" outlineLevel="0" collapsed="false">
      <c r="B4213" s="7" t="s">
        <v>18858</v>
      </c>
      <c r="C4213" s="7" t="s">
        <v>4710</v>
      </c>
      <c r="D4213" s="7" t="s">
        <v>395</v>
      </c>
      <c r="E4213" s="7" t="s">
        <v>156</v>
      </c>
      <c r="F4213" s="39" t="n">
        <v>45864</v>
      </c>
      <c r="G4213" s="41" t="n">
        <v>135.66</v>
      </c>
      <c r="H4213" s="39" t="n">
        <v>45884</v>
      </c>
      <c r="I4213" s="7" t="s">
        <v>14651</v>
      </c>
      <c r="J4213" s="8" t="str">
        <f aca="false">IF(I4213="Open",DATE(2025,12,31)-F4213,"-")</f>
        <v>-</v>
      </c>
    </row>
    <row r="4214" customFormat="false" ht="15" hidden="false" customHeight="false" outlineLevel="0" collapsed="false">
      <c r="B4214" s="7" t="s">
        <v>18859</v>
      </c>
      <c r="C4214" s="7" t="s">
        <v>4711</v>
      </c>
      <c r="D4214" s="7" t="s">
        <v>401</v>
      </c>
      <c r="E4214" s="7" t="s">
        <v>156</v>
      </c>
      <c r="F4214" s="39" t="n">
        <v>45864</v>
      </c>
      <c r="G4214" s="41" t="n">
        <v>138.38</v>
      </c>
      <c r="H4214" s="39" t="n">
        <v>45871</v>
      </c>
      <c r="I4214" s="7" t="s">
        <v>14651</v>
      </c>
      <c r="J4214" s="8" t="str">
        <f aca="false">IF(I4214="Open",DATE(2025,12,31)-F4214,"-")</f>
        <v>-</v>
      </c>
    </row>
    <row r="4215" customFormat="false" ht="15" hidden="false" customHeight="false" outlineLevel="0" collapsed="false">
      <c r="B4215" s="7" t="s">
        <v>18860</v>
      </c>
      <c r="C4215" s="7" t="s">
        <v>4712</v>
      </c>
      <c r="D4215" s="7" t="s">
        <v>288</v>
      </c>
      <c r="E4215" s="7" t="s">
        <v>156</v>
      </c>
      <c r="F4215" s="39" t="n">
        <v>45865</v>
      </c>
      <c r="G4215" s="41" t="n">
        <v>138.72</v>
      </c>
      <c r="H4215" s="39" t="n">
        <v>45879</v>
      </c>
      <c r="I4215" s="7" t="s">
        <v>14651</v>
      </c>
      <c r="J4215" s="8" t="str">
        <f aca="false">IF(I4215="Open",DATE(2025,12,31)-F4215,"-")</f>
        <v>-</v>
      </c>
    </row>
    <row r="4216" customFormat="false" ht="15" hidden="false" customHeight="false" outlineLevel="0" collapsed="false">
      <c r="B4216" s="7" t="s">
        <v>18861</v>
      </c>
      <c r="C4216" s="7" t="s">
        <v>4713</v>
      </c>
      <c r="D4216" s="7" t="s">
        <v>321</v>
      </c>
      <c r="E4216" s="7" t="s">
        <v>154</v>
      </c>
      <c r="F4216" s="39" t="n">
        <v>45865</v>
      </c>
      <c r="G4216" s="41" t="n">
        <v>97.25</v>
      </c>
      <c r="H4216" s="39" t="n">
        <v>45897</v>
      </c>
      <c r="I4216" s="7" t="s">
        <v>14651</v>
      </c>
      <c r="J4216" s="8" t="str">
        <f aca="false">IF(I4216="Open",DATE(2025,12,31)-F4216,"-")</f>
        <v>-</v>
      </c>
    </row>
    <row r="4217" customFormat="false" ht="15" hidden="false" customHeight="false" outlineLevel="0" collapsed="false">
      <c r="B4217" s="7" t="s">
        <v>18862</v>
      </c>
      <c r="C4217" s="7" t="s">
        <v>4714</v>
      </c>
      <c r="D4217" s="7" t="s">
        <v>359</v>
      </c>
      <c r="E4217" s="7" t="s">
        <v>156</v>
      </c>
      <c r="F4217" s="39" t="n">
        <v>45865</v>
      </c>
      <c r="G4217" s="41" t="n">
        <v>136.34</v>
      </c>
      <c r="H4217" s="39" t="n">
        <v>45880</v>
      </c>
      <c r="I4217" s="7" t="s">
        <v>14651</v>
      </c>
      <c r="J4217" s="8" t="str">
        <f aca="false">IF(I4217="Open",DATE(2025,12,31)-F4217,"-")</f>
        <v>-</v>
      </c>
    </row>
    <row r="4218" customFormat="false" ht="15" hidden="false" customHeight="false" outlineLevel="0" collapsed="false">
      <c r="B4218" s="7" t="s">
        <v>18863</v>
      </c>
      <c r="C4218" s="7" t="s">
        <v>4715</v>
      </c>
      <c r="D4218" s="7" t="s">
        <v>391</v>
      </c>
      <c r="E4218" s="7" t="s">
        <v>156</v>
      </c>
      <c r="F4218" s="39" t="n">
        <v>45865</v>
      </c>
      <c r="G4218" s="41" t="n">
        <v>147.9</v>
      </c>
      <c r="H4218" s="39" t="n">
        <v>45874</v>
      </c>
      <c r="I4218" s="7" t="s">
        <v>14651</v>
      </c>
      <c r="J4218" s="8" t="str">
        <f aca="false">IF(I4218="Open",DATE(2025,12,31)-F4218,"-")</f>
        <v>-</v>
      </c>
    </row>
    <row r="4219" customFormat="false" ht="15" hidden="false" customHeight="false" outlineLevel="0" collapsed="false">
      <c r="B4219" s="7" t="s">
        <v>18864</v>
      </c>
      <c r="C4219" s="7" t="s">
        <v>4716</v>
      </c>
      <c r="D4219" s="7" t="s">
        <v>395</v>
      </c>
      <c r="E4219" s="7" t="s">
        <v>156</v>
      </c>
      <c r="F4219" s="39" t="n">
        <v>45865</v>
      </c>
      <c r="G4219" s="41" t="n">
        <v>128.52</v>
      </c>
      <c r="H4219" s="39" t="n">
        <v>45871</v>
      </c>
      <c r="I4219" s="7" t="s">
        <v>14651</v>
      </c>
      <c r="J4219" s="8" t="str">
        <f aca="false">IF(I4219="Open",DATE(2025,12,31)-F4219,"-")</f>
        <v>-</v>
      </c>
    </row>
    <row r="4220" customFormat="false" ht="15" hidden="false" customHeight="false" outlineLevel="0" collapsed="false">
      <c r="B4220" s="7" t="s">
        <v>18865</v>
      </c>
      <c r="C4220" s="7" t="s">
        <v>4717</v>
      </c>
      <c r="D4220" s="7" t="s">
        <v>401</v>
      </c>
      <c r="E4220" s="7" t="s">
        <v>156</v>
      </c>
      <c r="F4220" s="39" t="n">
        <v>45865</v>
      </c>
      <c r="G4220" s="41" t="n">
        <v>128.86</v>
      </c>
      <c r="H4220" s="39" t="n">
        <v>45882</v>
      </c>
      <c r="I4220" s="7" t="s">
        <v>14651</v>
      </c>
      <c r="J4220" s="8" t="str">
        <f aca="false">IF(I4220="Open",DATE(2025,12,31)-F4220,"-")</f>
        <v>-</v>
      </c>
    </row>
    <row r="4221" customFormat="false" ht="15" hidden="false" customHeight="false" outlineLevel="0" collapsed="false">
      <c r="B4221" s="7" t="s">
        <v>18866</v>
      </c>
      <c r="C4221" s="7" t="s">
        <v>4718</v>
      </c>
      <c r="D4221" s="7" t="s">
        <v>280</v>
      </c>
      <c r="E4221" s="7" t="s">
        <v>157</v>
      </c>
      <c r="F4221" s="39" t="n">
        <v>45866</v>
      </c>
      <c r="G4221" s="41" t="n">
        <v>155.1</v>
      </c>
      <c r="H4221" s="39" t="n">
        <v>45956</v>
      </c>
      <c r="I4221" s="7" t="s">
        <v>14651</v>
      </c>
      <c r="J4221" s="8" t="str">
        <f aca="false">IF(I4221="Open",DATE(2025,12,31)-F4221,"-")</f>
        <v>-</v>
      </c>
    </row>
    <row r="4222" customFormat="false" ht="15" hidden="false" customHeight="false" outlineLevel="0" collapsed="false">
      <c r="B4222" s="7" t="s">
        <v>18867</v>
      </c>
      <c r="C4222" s="7" t="s">
        <v>4719</v>
      </c>
      <c r="D4222" s="7" t="s">
        <v>288</v>
      </c>
      <c r="E4222" s="7" t="s">
        <v>156</v>
      </c>
      <c r="F4222" s="39" t="n">
        <v>45866</v>
      </c>
      <c r="G4222" s="41" t="n">
        <v>129.88</v>
      </c>
      <c r="H4222" s="39" t="n">
        <v>45867</v>
      </c>
      <c r="I4222" s="7" t="s">
        <v>14651</v>
      </c>
      <c r="J4222" s="8" t="str">
        <f aca="false">IF(I4222="Open",DATE(2025,12,31)-F4222,"-")</f>
        <v>-</v>
      </c>
    </row>
    <row r="4223" customFormat="false" ht="15" hidden="false" customHeight="false" outlineLevel="0" collapsed="false">
      <c r="B4223" s="7" t="s">
        <v>18868</v>
      </c>
      <c r="C4223" s="7" t="s">
        <v>4720</v>
      </c>
      <c r="D4223" s="7" t="s">
        <v>291</v>
      </c>
      <c r="E4223" s="7" t="s">
        <v>154</v>
      </c>
      <c r="F4223" s="39" t="n">
        <v>45866</v>
      </c>
      <c r="G4223" s="41" t="n">
        <v>133.3</v>
      </c>
      <c r="H4223" s="39" t="n">
        <v>45928</v>
      </c>
      <c r="I4223" s="7" t="s">
        <v>14651</v>
      </c>
      <c r="J4223" s="8" t="str">
        <f aca="false">IF(I4223="Open",DATE(2025,12,31)-F4223,"-")</f>
        <v>-</v>
      </c>
    </row>
    <row r="4224" customFormat="false" ht="15" hidden="false" customHeight="false" outlineLevel="0" collapsed="false">
      <c r="B4224" s="7" t="s">
        <v>18869</v>
      </c>
      <c r="C4224" s="7" t="s">
        <v>4721</v>
      </c>
      <c r="D4224" s="7" t="s">
        <v>297</v>
      </c>
      <c r="E4224" s="7" t="s">
        <v>156</v>
      </c>
      <c r="F4224" s="39" t="n">
        <v>45866</v>
      </c>
      <c r="G4224" s="41" t="n">
        <v>97.92</v>
      </c>
      <c r="H4224" s="39" t="n">
        <v>45875</v>
      </c>
      <c r="I4224" s="7" t="s">
        <v>14651</v>
      </c>
      <c r="J4224" s="8" t="str">
        <f aca="false">IF(I4224="Open",DATE(2025,12,31)-F4224,"-")</f>
        <v>-</v>
      </c>
    </row>
    <row r="4225" customFormat="false" ht="15" hidden="false" customHeight="false" outlineLevel="0" collapsed="false">
      <c r="B4225" s="7" t="s">
        <v>18870</v>
      </c>
      <c r="C4225" s="7" t="s">
        <v>4722</v>
      </c>
      <c r="D4225" s="7" t="s">
        <v>305</v>
      </c>
      <c r="E4225" s="7" t="s">
        <v>154</v>
      </c>
      <c r="F4225" s="39" t="n">
        <v>45866</v>
      </c>
      <c r="G4225" s="41" t="n">
        <v>106.8</v>
      </c>
      <c r="H4225" s="39" t="n">
        <v>45960</v>
      </c>
      <c r="I4225" s="7" t="s">
        <v>14651</v>
      </c>
      <c r="J4225" s="8" t="str">
        <f aca="false">IF(I4225="Open",DATE(2025,12,31)-F4225,"-")</f>
        <v>-</v>
      </c>
    </row>
    <row r="4226" customFormat="false" ht="15" hidden="false" customHeight="false" outlineLevel="0" collapsed="false">
      <c r="B4226" s="7" t="s">
        <v>18871</v>
      </c>
      <c r="C4226" s="7" t="s">
        <v>4723</v>
      </c>
      <c r="D4226" s="7" t="s">
        <v>307</v>
      </c>
      <c r="E4226" s="7" t="s">
        <v>157</v>
      </c>
      <c r="F4226" s="39" t="n">
        <v>45866</v>
      </c>
      <c r="G4226" s="41" t="n">
        <v>168.3</v>
      </c>
      <c r="H4226" s="39" t="n">
        <v>45901</v>
      </c>
      <c r="I4226" s="7" t="s">
        <v>14651</v>
      </c>
      <c r="J4226" s="8" t="str">
        <f aca="false">IF(I4226="Open",DATE(2025,12,31)-F4226,"-")</f>
        <v>-</v>
      </c>
    </row>
    <row r="4227" customFormat="false" ht="15" hidden="false" customHeight="false" outlineLevel="0" collapsed="false">
      <c r="B4227" s="7" t="s">
        <v>18872</v>
      </c>
      <c r="C4227" s="7" t="s">
        <v>4724</v>
      </c>
      <c r="D4227" s="7" t="s">
        <v>309</v>
      </c>
      <c r="E4227" s="7" t="s">
        <v>159</v>
      </c>
      <c r="F4227" s="39" t="n">
        <v>45866</v>
      </c>
      <c r="G4227" s="41" t="n">
        <v>145.8</v>
      </c>
      <c r="H4227" s="39" t="n">
        <v>45907</v>
      </c>
      <c r="I4227" s="7" t="s">
        <v>14651</v>
      </c>
      <c r="J4227" s="8" t="str">
        <f aca="false">IF(I4227="Open",DATE(2025,12,31)-F4227,"-")</f>
        <v>-</v>
      </c>
    </row>
    <row r="4228" customFormat="false" ht="15" hidden="false" customHeight="false" outlineLevel="0" collapsed="false">
      <c r="B4228" s="7" t="s">
        <v>18873</v>
      </c>
      <c r="C4228" s="7" t="s">
        <v>4725</v>
      </c>
      <c r="D4228" s="7" t="s">
        <v>311</v>
      </c>
      <c r="E4228" s="7" t="s">
        <v>154</v>
      </c>
      <c r="F4228" s="39" t="n">
        <v>45866</v>
      </c>
      <c r="G4228" s="41" t="n">
        <v>84</v>
      </c>
      <c r="H4228" s="39" t="n">
        <v>45936</v>
      </c>
      <c r="I4228" s="7" t="s">
        <v>14651</v>
      </c>
      <c r="J4228" s="8" t="str">
        <f aca="false">IF(I4228="Open",DATE(2025,12,31)-F4228,"-")</f>
        <v>-</v>
      </c>
    </row>
    <row r="4229" customFormat="false" ht="15" hidden="false" customHeight="false" outlineLevel="0" collapsed="false">
      <c r="B4229" s="7" t="s">
        <v>18874</v>
      </c>
      <c r="C4229" s="7" t="s">
        <v>4726</v>
      </c>
      <c r="D4229" s="7" t="s">
        <v>313</v>
      </c>
      <c r="E4229" s="7" t="s">
        <v>156</v>
      </c>
      <c r="F4229" s="39" t="n">
        <v>45866</v>
      </c>
      <c r="G4229" s="41" t="n">
        <v>140.08</v>
      </c>
      <c r="H4229" s="39" t="n">
        <v>45872</v>
      </c>
      <c r="I4229" s="7" t="s">
        <v>14651</v>
      </c>
      <c r="J4229" s="8" t="str">
        <f aca="false">IF(I4229="Open",DATE(2025,12,31)-F4229,"-")</f>
        <v>-</v>
      </c>
    </row>
    <row r="4230" customFormat="false" ht="15" hidden="false" customHeight="false" outlineLevel="0" collapsed="false">
      <c r="B4230" s="7" t="s">
        <v>18875</v>
      </c>
      <c r="C4230" s="7" t="s">
        <v>4727</v>
      </c>
      <c r="D4230" s="7" t="s">
        <v>317</v>
      </c>
      <c r="E4230" s="7" t="s">
        <v>156</v>
      </c>
      <c r="F4230" s="39" t="n">
        <v>45866</v>
      </c>
      <c r="G4230" s="41" t="n">
        <v>101.66</v>
      </c>
      <c r="H4230" s="39" t="n">
        <v>45874</v>
      </c>
      <c r="I4230" s="7" t="s">
        <v>14651</v>
      </c>
      <c r="J4230" s="8" t="str">
        <f aca="false">IF(I4230="Open",DATE(2025,12,31)-F4230,"-")</f>
        <v>-</v>
      </c>
    </row>
    <row r="4231" customFormat="false" ht="15" hidden="false" customHeight="false" outlineLevel="0" collapsed="false">
      <c r="B4231" s="7" t="s">
        <v>18876</v>
      </c>
      <c r="C4231" s="7" t="s">
        <v>4728</v>
      </c>
      <c r="D4231" s="7" t="s">
        <v>321</v>
      </c>
      <c r="E4231" s="7" t="s">
        <v>154</v>
      </c>
      <c r="F4231" s="39" t="n">
        <v>45866</v>
      </c>
      <c r="G4231" s="41" t="n">
        <v>106.8</v>
      </c>
      <c r="H4231" s="39" t="n">
        <v>45922</v>
      </c>
      <c r="I4231" s="7" t="s">
        <v>14651</v>
      </c>
      <c r="J4231" s="8" t="str">
        <f aca="false">IF(I4231="Open",DATE(2025,12,31)-F4231,"-")</f>
        <v>-</v>
      </c>
    </row>
    <row r="4232" customFormat="false" ht="15" hidden="false" customHeight="false" outlineLevel="0" collapsed="false">
      <c r="B4232" s="7" t="s">
        <v>18877</v>
      </c>
      <c r="C4232" s="7" t="s">
        <v>4729</v>
      </c>
      <c r="D4232" s="7" t="s">
        <v>325</v>
      </c>
      <c r="E4232" s="7" t="s">
        <v>154</v>
      </c>
      <c r="F4232" s="39" t="n">
        <v>45866</v>
      </c>
      <c r="G4232" s="41" t="n">
        <v>75.53</v>
      </c>
      <c r="H4232" s="39" t="n">
        <v>45889</v>
      </c>
      <c r="I4232" s="7" t="s">
        <v>14651</v>
      </c>
      <c r="J4232" s="8" t="str">
        <f aca="false">IF(I4232="Open",DATE(2025,12,31)-F4232,"-")</f>
        <v>-</v>
      </c>
    </row>
    <row r="4233" customFormat="false" ht="15" hidden="false" customHeight="false" outlineLevel="0" collapsed="false">
      <c r="B4233" s="7" t="s">
        <v>18878</v>
      </c>
      <c r="C4233" s="7" t="s">
        <v>4730</v>
      </c>
      <c r="D4233" s="7" t="s">
        <v>329</v>
      </c>
      <c r="E4233" s="7" t="s">
        <v>156</v>
      </c>
      <c r="F4233" s="39" t="n">
        <v>45866</v>
      </c>
      <c r="G4233" s="41" t="n">
        <v>122.4</v>
      </c>
      <c r="H4233" s="39" t="n">
        <v>45874</v>
      </c>
      <c r="I4233" s="7" t="s">
        <v>14651</v>
      </c>
      <c r="J4233" s="8" t="str">
        <f aca="false">IF(I4233="Open",DATE(2025,12,31)-F4233,"-")</f>
        <v>-</v>
      </c>
    </row>
    <row r="4234" customFormat="false" ht="15" hidden="false" customHeight="false" outlineLevel="0" collapsed="false">
      <c r="B4234" s="7" t="s">
        <v>18879</v>
      </c>
      <c r="C4234" s="7" t="s">
        <v>4731</v>
      </c>
      <c r="D4234" s="7" t="s">
        <v>331</v>
      </c>
      <c r="E4234" s="7" t="s">
        <v>156</v>
      </c>
      <c r="F4234" s="39" t="n">
        <v>45866</v>
      </c>
      <c r="G4234" s="41" t="n">
        <v>147.56</v>
      </c>
      <c r="H4234" s="39" t="n">
        <v>45880</v>
      </c>
      <c r="I4234" s="7" t="s">
        <v>14651</v>
      </c>
      <c r="J4234" s="8" t="str">
        <f aca="false">IF(I4234="Open",DATE(2025,12,31)-F4234,"-")</f>
        <v>-</v>
      </c>
    </row>
    <row r="4235" customFormat="false" ht="15" hidden="false" customHeight="false" outlineLevel="0" collapsed="false">
      <c r="B4235" s="7" t="s">
        <v>18880</v>
      </c>
      <c r="C4235" s="7" t="s">
        <v>4732</v>
      </c>
      <c r="D4235" s="7" t="s">
        <v>335</v>
      </c>
      <c r="E4235" s="7" t="s">
        <v>154</v>
      </c>
      <c r="F4235" s="39" t="n">
        <v>45866</v>
      </c>
      <c r="G4235" s="41" t="n">
        <v>107.86</v>
      </c>
      <c r="H4235" s="39" t="n">
        <v>45980</v>
      </c>
      <c r="I4235" s="7" t="s">
        <v>14651</v>
      </c>
      <c r="J4235" s="8" t="str">
        <f aca="false">IF(I4235="Open",DATE(2025,12,31)-F4235,"-")</f>
        <v>-</v>
      </c>
    </row>
    <row r="4236" customFormat="false" ht="15" hidden="false" customHeight="false" outlineLevel="0" collapsed="false">
      <c r="B4236" s="7" t="s">
        <v>18881</v>
      </c>
      <c r="C4236" s="7" t="s">
        <v>4733</v>
      </c>
      <c r="D4236" s="7" t="s">
        <v>337</v>
      </c>
      <c r="E4236" s="7" t="s">
        <v>154</v>
      </c>
      <c r="F4236" s="39" t="n">
        <v>45866</v>
      </c>
      <c r="G4236" s="41" t="n">
        <v>74.73</v>
      </c>
      <c r="H4236" s="39" t="n">
        <v>45908</v>
      </c>
      <c r="I4236" s="7" t="s">
        <v>14651</v>
      </c>
      <c r="J4236" s="8" t="str">
        <f aca="false">IF(I4236="Open",DATE(2025,12,31)-F4236,"-")</f>
        <v>-</v>
      </c>
    </row>
    <row r="4237" customFormat="false" ht="15" hidden="false" customHeight="false" outlineLevel="0" collapsed="false">
      <c r="B4237" s="7" t="s">
        <v>18882</v>
      </c>
      <c r="C4237" s="7" t="s">
        <v>4734</v>
      </c>
      <c r="D4237" s="7" t="s">
        <v>339</v>
      </c>
      <c r="E4237" s="7" t="s">
        <v>154</v>
      </c>
      <c r="F4237" s="39" t="n">
        <v>45866</v>
      </c>
      <c r="G4237" s="41" t="n">
        <v>96.72</v>
      </c>
      <c r="H4237" s="39" t="n">
        <v>45962</v>
      </c>
      <c r="I4237" s="7" t="s">
        <v>14651</v>
      </c>
      <c r="J4237" s="8" t="str">
        <f aca="false">IF(I4237="Open",DATE(2025,12,31)-F4237,"-")</f>
        <v>-</v>
      </c>
    </row>
    <row r="4238" customFormat="false" ht="15" hidden="false" customHeight="false" outlineLevel="0" collapsed="false">
      <c r="B4238" s="7" t="s">
        <v>18883</v>
      </c>
      <c r="C4238" s="7" t="s">
        <v>4735</v>
      </c>
      <c r="D4238" s="7" t="s">
        <v>341</v>
      </c>
      <c r="E4238" s="7" t="s">
        <v>156</v>
      </c>
      <c r="F4238" s="39" t="n">
        <v>45866</v>
      </c>
      <c r="G4238" s="41" t="n">
        <v>99.62</v>
      </c>
      <c r="H4238" s="39" t="n">
        <v>45880</v>
      </c>
      <c r="I4238" s="7" t="s">
        <v>14651</v>
      </c>
      <c r="J4238" s="8" t="str">
        <f aca="false">IF(I4238="Open",DATE(2025,12,31)-F4238,"-")</f>
        <v>-</v>
      </c>
    </row>
    <row r="4239" customFormat="false" ht="15" hidden="false" customHeight="false" outlineLevel="0" collapsed="false">
      <c r="B4239" s="7" t="s">
        <v>18884</v>
      </c>
      <c r="C4239" s="7" t="s">
        <v>4736</v>
      </c>
      <c r="D4239" s="7" t="s">
        <v>343</v>
      </c>
      <c r="E4239" s="7" t="s">
        <v>154</v>
      </c>
      <c r="F4239" s="39" t="n">
        <v>45866</v>
      </c>
      <c r="G4239" s="41" t="n">
        <v>99.98</v>
      </c>
      <c r="H4239" s="39" t="n">
        <v>45905</v>
      </c>
      <c r="I4239" s="7" t="s">
        <v>14651</v>
      </c>
      <c r="J4239" s="8" t="str">
        <f aca="false">IF(I4239="Open",DATE(2025,12,31)-F4239,"-")</f>
        <v>-</v>
      </c>
    </row>
    <row r="4240" customFormat="false" ht="15" hidden="false" customHeight="false" outlineLevel="0" collapsed="false">
      <c r="B4240" s="7" t="s">
        <v>18885</v>
      </c>
      <c r="C4240" s="7" t="s">
        <v>4737</v>
      </c>
      <c r="D4240" s="7" t="s">
        <v>347</v>
      </c>
      <c r="E4240" s="7" t="s">
        <v>154</v>
      </c>
      <c r="F4240" s="39" t="n">
        <v>45866</v>
      </c>
      <c r="G4240" s="41" t="n">
        <v>113.15</v>
      </c>
      <c r="H4240" s="39" t="n">
        <v>45935</v>
      </c>
      <c r="I4240" s="7" t="s">
        <v>14651</v>
      </c>
      <c r="J4240" s="8" t="str">
        <f aca="false">IF(I4240="Open",DATE(2025,12,31)-F4240,"-")</f>
        <v>-</v>
      </c>
    </row>
    <row r="4241" customFormat="false" ht="15" hidden="false" customHeight="false" outlineLevel="0" collapsed="false">
      <c r="B4241" s="7" t="s">
        <v>18886</v>
      </c>
      <c r="C4241" s="7" t="s">
        <v>4738</v>
      </c>
      <c r="D4241" s="7" t="s">
        <v>351</v>
      </c>
      <c r="E4241" s="7" t="s">
        <v>154</v>
      </c>
      <c r="F4241" s="39" t="n">
        <v>45866</v>
      </c>
      <c r="G4241" s="41" t="n">
        <v>73.67</v>
      </c>
      <c r="H4241" s="39" t="n">
        <v>45950</v>
      </c>
      <c r="I4241" s="7" t="s">
        <v>14651</v>
      </c>
      <c r="J4241" s="8" t="str">
        <f aca="false">IF(I4241="Open",DATE(2025,12,31)-F4241,"-")</f>
        <v>-</v>
      </c>
    </row>
    <row r="4242" customFormat="false" ht="15" hidden="false" customHeight="false" outlineLevel="0" collapsed="false">
      <c r="B4242" s="7" t="s">
        <v>18887</v>
      </c>
      <c r="C4242" s="7" t="s">
        <v>4739</v>
      </c>
      <c r="D4242" s="7" t="s">
        <v>353</v>
      </c>
      <c r="E4242" s="7" t="s">
        <v>154</v>
      </c>
      <c r="F4242" s="39" t="n">
        <v>45866</v>
      </c>
      <c r="G4242" s="41" t="n">
        <v>86.92</v>
      </c>
      <c r="H4242" s="39" t="n">
        <v>45950</v>
      </c>
      <c r="I4242" s="7" t="s">
        <v>14651</v>
      </c>
      <c r="J4242" s="8" t="str">
        <f aca="false">IF(I4242="Open",DATE(2025,12,31)-F4242,"-")</f>
        <v>-</v>
      </c>
    </row>
    <row r="4243" customFormat="false" ht="15" hidden="false" customHeight="false" outlineLevel="0" collapsed="false">
      <c r="B4243" s="7" t="s">
        <v>18888</v>
      </c>
      <c r="C4243" s="7" t="s">
        <v>4740</v>
      </c>
      <c r="D4243" s="7" t="s">
        <v>355</v>
      </c>
      <c r="E4243" s="7" t="s">
        <v>154</v>
      </c>
      <c r="F4243" s="39" t="n">
        <v>45866</v>
      </c>
      <c r="G4243" s="41" t="n">
        <v>80.56</v>
      </c>
      <c r="H4243" s="39" t="n">
        <v>45951</v>
      </c>
      <c r="I4243" s="7" t="s">
        <v>14651</v>
      </c>
      <c r="J4243" s="8" t="str">
        <f aca="false">IF(I4243="Open",DATE(2025,12,31)-F4243,"-")</f>
        <v>-</v>
      </c>
    </row>
    <row r="4244" customFormat="false" ht="15" hidden="false" customHeight="false" outlineLevel="0" collapsed="false">
      <c r="B4244" s="7" t="s">
        <v>18889</v>
      </c>
      <c r="C4244" s="7" t="s">
        <v>4741</v>
      </c>
      <c r="D4244" s="7" t="s">
        <v>357</v>
      </c>
      <c r="E4244" s="7" t="s">
        <v>154</v>
      </c>
      <c r="F4244" s="39" t="n">
        <v>45866</v>
      </c>
      <c r="G4244" s="41" t="n">
        <v>92.22</v>
      </c>
      <c r="H4244" s="39" t="n">
        <v>45926</v>
      </c>
      <c r="I4244" s="7" t="s">
        <v>14651</v>
      </c>
      <c r="J4244" s="8" t="str">
        <f aca="false">IF(I4244="Open",DATE(2025,12,31)-F4244,"-")</f>
        <v>-</v>
      </c>
    </row>
    <row r="4245" customFormat="false" ht="15" hidden="false" customHeight="false" outlineLevel="0" collapsed="false">
      <c r="B4245" s="7" t="s">
        <v>18890</v>
      </c>
      <c r="C4245" s="7" t="s">
        <v>4742</v>
      </c>
      <c r="D4245" s="7" t="s">
        <v>359</v>
      </c>
      <c r="E4245" s="7" t="s">
        <v>156</v>
      </c>
      <c r="F4245" s="39" t="n">
        <v>45866</v>
      </c>
      <c r="G4245" s="41" t="n">
        <v>128.52</v>
      </c>
      <c r="H4245" s="39" t="n">
        <v>45876</v>
      </c>
      <c r="I4245" s="7" t="s">
        <v>14651</v>
      </c>
      <c r="J4245" s="8" t="str">
        <f aca="false">IF(I4245="Open",DATE(2025,12,31)-F4245,"-")</f>
        <v>-</v>
      </c>
    </row>
    <row r="4246" customFormat="false" ht="15" hidden="false" customHeight="false" outlineLevel="0" collapsed="false">
      <c r="B4246" s="7" t="s">
        <v>18891</v>
      </c>
      <c r="C4246" s="7" t="s">
        <v>4743</v>
      </c>
      <c r="D4246" s="7" t="s">
        <v>363</v>
      </c>
      <c r="E4246" s="7" t="s">
        <v>156</v>
      </c>
      <c r="F4246" s="39" t="n">
        <v>45866</v>
      </c>
      <c r="G4246" s="41" t="n">
        <v>131.92</v>
      </c>
      <c r="H4246" s="39" t="n">
        <v>45875</v>
      </c>
      <c r="I4246" s="7" t="s">
        <v>14651</v>
      </c>
      <c r="J4246" s="8" t="str">
        <f aca="false">IF(I4246="Open",DATE(2025,12,31)-F4246,"-")</f>
        <v>-</v>
      </c>
    </row>
    <row r="4247" customFormat="false" ht="15" hidden="false" customHeight="false" outlineLevel="0" collapsed="false">
      <c r="B4247" s="7" t="s">
        <v>18892</v>
      </c>
      <c r="C4247" s="7" t="s">
        <v>4744</v>
      </c>
      <c r="D4247" s="7" t="s">
        <v>365</v>
      </c>
      <c r="E4247" s="7" t="s">
        <v>154</v>
      </c>
      <c r="F4247" s="39" t="n">
        <v>45866</v>
      </c>
      <c r="G4247" s="41" t="n">
        <v>107.86</v>
      </c>
      <c r="H4247" s="39" t="n">
        <v>45881</v>
      </c>
      <c r="I4247" s="7" t="s">
        <v>14651</v>
      </c>
      <c r="J4247" s="8" t="str">
        <f aca="false">IF(I4247="Open",DATE(2025,12,31)-F4247,"-")</f>
        <v>-</v>
      </c>
    </row>
    <row r="4248" customFormat="false" ht="15" hidden="false" customHeight="false" outlineLevel="0" collapsed="false">
      <c r="B4248" s="7" t="s">
        <v>18893</v>
      </c>
      <c r="C4248" s="7" t="s">
        <v>4745</v>
      </c>
      <c r="D4248" s="7" t="s">
        <v>371</v>
      </c>
      <c r="E4248" s="7" t="s">
        <v>154</v>
      </c>
      <c r="F4248" s="39" t="n">
        <v>45866</v>
      </c>
      <c r="G4248" s="41" t="n">
        <v>135.15</v>
      </c>
      <c r="H4248" s="39" t="n">
        <v>45960</v>
      </c>
      <c r="I4248" s="7" t="s">
        <v>14651</v>
      </c>
      <c r="J4248" s="8" t="str">
        <f aca="false">IF(I4248="Open",DATE(2025,12,31)-F4248,"-")</f>
        <v>-</v>
      </c>
    </row>
    <row r="4249" customFormat="false" ht="15" hidden="false" customHeight="false" outlineLevel="0" collapsed="false">
      <c r="B4249" s="7" t="s">
        <v>18894</v>
      </c>
      <c r="C4249" s="7" t="s">
        <v>4746</v>
      </c>
      <c r="D4249" s="7" t="s">
        <v>375</v>
      </c>
      <c r="E4249" s="7" t="s">
        <v>156</v>
      </c>
      <c r="F4249" s="39" t="n">
        <v>45866</v>
      </c>
      <c r="G4249" s="41" t="n">
        <v>92.14</v>
      </c>
      <c r="H4249" s="39" t="n">
        <v>45874</v>
      </c>
      <c r="I4249" s="7" t="s">
        <v>14651</v>
      </c>
      <c r="J4249" s="8" t="str">
        <f aca="false">IF(I4249="Open",DATE(2025,12,31)-F4249,"-")</f>
        <v>-</v>
      </c>
    </row>
    <row r="4250" customFormat="false" ht="15" hidden="false" customHeight="false" outlineLevel="0" collapsed="false">
      <c r="B4250" s="7" t="s">
        <v>18895</v>
      </c>
      <c r="C4250" s="7" t="s">
        <v>4747</v>
      </c>
      <c r="D4250" s="7" t="s">
        <v>377</v>
      </c>
      <c r="E4250" s="7" t="s">
        <v>154</v>
      </c>
      <c r="F4250" s="39" t="n">
        <v>45866</v>
      </c>
      <c r="G4250" s="41" t="n">
        <v>108.38</v>
      </c>
      <c r="H4250" s="39" t="n">
        <v>45922</v>
      </c>
      <c r="I4250" s="7" t="s">
        <v>14651</v>
      </c>
      <c r="J4250" s="8" t="str">
        <f aca="false">IF(I4250="Open",DATE(2025,12,31)-F4250,"-")</f>
        <v>-</v>
      </c>
    </row>
    <row r="4251" customFormat="false" ht="15" hidden="false" customHeight="false" outlineLevel="0" collapsed="false">
      <c r="B4251" s="7" t="s">
        <v>18896</v>
      </c>
      <c r="C4251" s="7" t="s">
        <v>4748</v>
      </c>
      <c r="D4251" s="7" t="s">
        <v>379</v>
      </c>
      <c r="E4251" s="7" t="s">
        <v>156</v>
      </c>
      <c r="F4251" s="39" t="n">
        <v>45866</v>
      </c>
      <c r="G4251" s="41" t="n">
        <v>146.88</v>
      </c>
      <c r="H4251" s="39" t="n">
        <v>45880</v>
      </c>
      <c r="I4251" s="7" t="s">
        <v>14651</v>
      </c>
      <c r="J4251" s="8" t="str">
        <f aca="false">IF(I4251="Open",DATE(2025,12,31)-F4251,"-")</f>
        <v>-</v>
      </c>
    </row>
    <row r="4252" customFormat="false" ht="15" hidden="false" customHeight="false" outlineLevel="0" collapsed="false">
      <c r="B4252" s="7" t="s">
        <v>18897</v>
      </c>
      <c r="C4252" s="7" t="s">
        <v>4749</v>
      </c>
      <c r="D4252" s="7" t="s">
        <v>385</v>
      </c>
      <c r="E4252" s="7" t="s">
        <v>156</v>
      </c>
      <c r="F4252" s="39" t="n">
        <v>45866</v>
      </c>
      <c r="G4252" s="41" t="n">
        <v>128.86</v>
      </c>
      <c r="H4252" s="39" t="n">
        <v>45869</v>
      </c>
      <c r="I4252" s="7" t="s">
        <v>14651</v>
      </c>
      <c r="J4252" s="8" t="str">
        <f aca="false">IF(I4252="Open",DATE(2025,12,31)-F4252,"-")</f>
        <v>-</v>
      </c>
    </row>
    <row r="4253" customFormat="false" ht="15" hidden="false" customHeight="false" outlineLevel="0" collapsed="false">
      <c r="B4253" s="7" t="s">
        <v>18898</v>
      </c>
      <c r="C4253" s="7" t="s">
        <v>4750</v>
      </c>
      <c r="D4253" s="7" t="s">
        <v>387</v>
      </c>
      <c r="E4253" s="7" t="s">
        <v>154</v>
      </c>
      <c r="F4253" s="39" t="n">
        <v>45866</v>
      </c>
      <c r="G4253" s="41" t="n">
        <v>111.3</v>
      </c>
      <c r="H4253" s="39" t="n">
        <v>45907</v>
      </c>
      <c r="I4253" s="7" t="s">
        <v>14651</v>
      </c>
      <c r="J4253" s="8" t="str">
        <f aca="false">IF(I4253="Open",DATE(2025,12,31)-F4253,"-")</f>
        <v>-</v>
      </c>
    </row>
    <row r="4254" customFormat="false" ht="15" hidden="false" customHeight="false" outlineLevel="0" collapsed="false">
      <c r="B4254" s="7" t="s">
        <v>18899</v>
      </c>
      <c r="C4254" s="7" t="s">
        <v>4751</v>
      </c>
      <c r="D4254" s="7" t="s">
        <v>389</v>
      </c>
      <c r="E4254" s="7" t="s">
        <v>154</v>
      </c>
      <c r="F4254" s="39" t="n">
        <v>45866</v>
      </c>
      <c r="G4254" s="41" t="n">
        <v>109.71</v>
      </c>
      <c r="H4254" s="39" t="n">
        <v>45976</v>
      </c>
      <c r="I4254" s="7" t="s">
        <v>14651</v>
      </c>
      <c r="J4254" s="8" t="str">
        <f aca="false">IF(I4254="Open",DATE(2025,12,31)-F4254,"-")</f>
        <v>-</v>
      </c>
    </row>
    <row r="4255" customFormat="false" ht="15" hidden="false" customHeight="false" outlineLevel="0" collapsed="false">
      <c r="B4255" s="7" t="s">
        <v>18900</v>
      </c>
      <c r="C4255" s="7" t="s">
        <v>4752</v>
      </c>
      <c r="D4255" s="7" t="s">
        <v>391</v>
      </c>
      <c r="E4255" s="7" t="s">
        <v>156</v>
      </c>
      <c r="F4255" s="39" t="n">
        <v>45866</v>
      </c>
      <c r="G4255" s="41" t="n">
        <v>145.52</v>
      </c>
      <c r="H4255" s="39" t="n">
        <v>45890</v>
      </c>
      <c r="I4255" s="7" t="s">
        <v>14651</v>
      </c>
      <c r="J4255" s="8" t="str">
        <f aca="false">IF(I4255="Open",DATE(2025,12,31)-F4255,"-")</f>
        <v>-</v>
      </c>
    </row>
    <row r="4256" customFormat="false" ht="15" hidden="false" customHeight="false" outlineLevel="0" collapsed="false">
      <c r="B4256" s="7" t="s">
        <v>18901</v>
      </c>
      <c r="C4256" s="7" t="s">
        <v>4753</v>
      </c>
      <c r="D4256" s="7" t="s">
        <v>395</v>
      </c>
      <c r="E4256" s="7" t="s">
        <v>156</v>
      </c>
      <c r="F4256" s="39" t="n">
        <v>45866</v>
      </c>
      <c r="G4256" s="41" t="n">
        <v>145.52</v>
      </c>
      <c r="H4256" s="39" t="n">
        <v>45878</v>
      </c>
      <c r="I4256" s="7" t="s">
        <v>14651</v>
      </c>
      <c r="J4256" s="8" t="str">
        <f aca="false">IF(I4256="Open",DATE(2025,12,31)-F4256,"-")</f>
        <v>-</v>
      </c>
    </row>
    <row r="4257" customFormat="false" ht="15" hidden="false" customHeight="false" outlineLevel="0" collapsed="false">
      <c r="B4257" s="7" t="s">
        <v>18902</v>
      </c>
      <c r="C4257" s="7" t="s">
        <v>4754</v>
      </c>
      <c r="D4257" s="7" t="s">
        <v>399</v>
      </c>
      <c r="E4257" s="7" t="s">
        <v>154</v>
      </c>
      <c r="F4257" s="39" t="n">
        <v>45866</v>
      </c>
      <c r="G4257" s="41" t="n">
        <v>79.69</v>
      </c>
      <c r="H4257" s="39" t="n">
        <v>45909</v>
      </c>
      <c r="I4257" s="7" t="s">
        <v>14651</v>
      </c>
      <c r="J4257" s="8" t="str">
        <f aca="false">IF(I4257="Open",DATE(2025,12,31)-F4257,"-")</f>
        <v>-</v>
      </c>
    </row>
    <row r="4258" customFormat="false" ht="15" hidden="false" customHeight="false" outlineLevel="0" collapsed="false">
      <c r="B4258" s="7" t="s">
        <v>18903</v>
      </c>
      <c r="C4258" s="7" t="s">
        <v>4755</v>
      </c>
      <c r="D4258" s="7" t="s">
        <v>401</v>
      </c>
      <c r="E4258" s="7" t="s">
        <v>156</v>
      </c>
      <c r="F4258" s="39" t="n">
        <v>45866</v>
      </c>
      <c r="G4258" s="41" t="n">
        <v>143.14</v>
      </c>
      <c r="H4258" s="39" t="n">
        <v>45875</v>
      </c>
      <c r="I4258" s="7" t="s">
        <v>14651</v>
      </c>
      <c r="J4258" s="8" t="str">
        <f aca="false">IF(I4258="Open",DATE(2025,12,31)-F4258,"-")</f>
        <v>-</v>
      </c>
    </row>
    <row r="4259" customFormat="false" ht="15" hidden="false" customHeight="false" outlineLevel="0" collapsed="false">
      <c r="B4259" s="7" t="s">
        <v>18904</v>
      </c>
      <c r="C4259" s="7" t="s">
        <v>4756</v>
      </c>
      <c r="D4259" s="7" t="s">
        <v>409</v>
      </c>
      <c r="E4259" s="7" t="s">
        <v>154</v>
      </c>
      <c r="F4259" s="39" t="n">
        <v>45866</v>
      </c>
      <c r="G4259" s="41" t="n">
        <v>87.19</v>
      </c>
      <c r="H4259" s="39" t="n">
        <v>45964</v>
      </c>
      <c r="I4259" s="7" t="s">
        <v>14651</v>
      </c>
      <c r="J4259" s="8" t="str">
        <f aca="false">IF(I4259="Open",DATE(2025,12,31)-F4259,"-")</f>
        <v>-</v>
      </c>
    </row>
    <row r="4260" customFormat="false" ht="15" hidden="false" customHeight="false" outlineLevel="0" collapsed="false">
      <c r="B4260" s="7" t="s">
        <v>18905</v>
      </c>
      <c r="C4260" s="7" t="s">
        <v>4757</v>
      </c>
      <c r="D4260" s="7" t="s">
        <v>411</v>
      </c>
      <c r="E4260" s="7" t="s">
        <v>154</v>
      </c>
      <c r="F4260" s="39" t="n">
        <v>45866</v>
      </c>
      <c r="G4260" s="41" t="n">
        <v>111.83</v>
      </c>
      <c r="H4260" s="39" t="n">
        <v>45982</v>
      </c>
      <c r="I4260" s="7" t="s">
        <v>14651</v>
      </c>
      <c r="J4260" s="8" t="str">
        <f aca="false">IF(I4260="Open",DATE(2025,12,31)-F4260,"-")</f>
        <v>-</v>
      </c>
    </row>
    <row r="4261" customFormat="false" ht="15" hidden="false" customHeight="false" outlineLevel="0" collapsed="false">
      <c r="B4261" s="7" t="s">
        <v>18906</v>
      </c>
      <c r="C4261" s="7" t="s">
        <v>4758</v>
      </c>
      <c r="D4261" s="7" t="s">
        <v>288</v>
      </c>
      <c r="E4261" s="7" t="s">
        <v>156</v>
      </c>
      <c r="F4261" s="39" t="n">
        <v>45867</v>
      </c>
      <c r="G4261" s="41" t="n">
        <v>134.3</v>
      </c>
      <c r="H4261" s="39" t="n">
        <v>45880</v>
      </c>
      <c r="I4261" s="7" t="s">
        <v>14651</v>
      </c>
      <c r="J4261" s="8" t="str">
        <f aca="false">IF(I4261="Open",DATE(2025,12,31)-F4261,"-")</f>
        <v>-</v>
      </c>
    </row>
    <row r="4262" customFormat="false" ht="15" hidden="false" customHeight="false" outlineLevel="0" collapsed="false">
      <c r="B4262" s="7" t="s">
        <v>18907</v>
      </c>
      <c r="C4262" s="7" t="s">
        <v>4759</v>
      </c>
      <c r="D4262" s="7" t="s">
        <v>301</v>
      </c>
      <c r="E4262" s="7" t="s">
        <v>157</v>
      </c>
      <c r="F4262" s="39" t="n">
        <v>45867</v>
      </c>
      <c r="G4262" s="41" t="n">
        <v>168.3</v>
      </c>
      <c r="H4262" s="39" t="n">
        <v>45886</v>
      </c>
      <c r="I4262" s="7" t="s">
        <v>14651</v>
      </c>
      <c r="J4262" s="8" t="str">
        <f aca="false">IF(I4262="Open",DATE(2025,12,31)-F4262,"-")</f>
        <v>-</v>
      </c>
    </row>
    <row r="4263" customFormat="false" ht="15" hidden="false" customHeight="false" outlineLevel="0" collapsed="false">
      <c r="B4263" s="7" t="s">
        <v>18908</v>
      </c>
      <c r="C4263" s="7" t="s">
        <v>4760</v>
      </c>
      <c r="D4263" s="7" t="s">
        <v>313</v>
      </c>
      <c r="E4263" s="7" t="s">
        <v>156</v>
      </c>
      <c r="F4263" s="39" t="n">
        <v>45867</v>
      </c>
      <c r="G4263" s="41" t="n">
        <v>143.82</v>
      </c>
      <c r="H4263" s="39" t="n">
        <v>45873</v>
      </c>
      <c r="I4263" s="7" t="s">
        <v>14651</v>
      </c>
      <c r="J4263" s="8" t="str">
        <f aca="false">IF(I4263="Open",DATE(2025,12,31)-F4263,"-")</f>
        <v>-</v>
      </c>
    </row>
    <row r="4264" customFormat="false" ht="15" hidden="false" customHeight="false" outlineLevel="0" collapsed="false">
      <c r="B4264" s="7" t="s">
        <v>18909</v>
      </c>
      <c r="C4264" s="7" t="s">
        <v>4761</v>
      </c>
      <c r="D4264" s="7" t="s">
        <v>319</v>
      </c>
      <c r="E4264" s="7" t="s">
        <v>157</v>
      </c>
      <c r="F4264" s="39" t="n">
        <v>45867</v>
      </c>
      <c r="G4264" s="41" t="n">
        <v>161.7</v>
      </c>
      <c r="H4264" s="39" t="n">
        <v>45942</v>
      </c>
      <c r="I4264" s="7" t="s">
        <v>14651</v>
      </c>
      <c r="J4264" s="8" t="str">
        <f aca="false">IF(I4264="Open",DATE(2025,12,31)-F4264,"-")</f>
        <v>-</v>
      </c>
    </row>
    <row r="4265" customFormat="false" ht="15" hidden="false" customHeight="false" outlineLevel="0" collapsed="false">
      <c r="B4265" s="7" t="s">
        <v>18910</v>
      </c>
      <c r="C4265" s="7" t="s">
        <v>4762</v>
      </c>
      <c r="D4265" s="7" t="s">
        <v>321</v>
      </c>
      <c r="E4265" s="7" t="s">
        <v>154</v>
      </c>
      <c r="F4265" s="39" t="n">
        <v>45867</v>
      </c>
      <c r="G4265" s="41" t="n">
        <v>100.17</v>
      </c>
      <c r="H4265" s="39" t="n">
        <v>45893</v>
      </c>
      <c r="I4265" s="7" t="s">
        <v>14651</v>
      </c>
      <c r="J4265" s="8" t="str">
        <f aca="false">IF(I4265="Open",DATE(2025,12,31)-F4265,"-")</f>
        <v>-</v>
      </c>
    </row>
    <row r="4266" customFormat="false" ht="15" hidden="false" customHeight="false" outlineLevel="0" collapsed="false">
      <c r="B4266" s="7" t="s">
        <v>18911</v>
      </c>
      <c r="C4266" s="7" t="s">
        <v>4763</v>
      </c>
      <c r="D4266" s="7" t="s">
        <v>323</v>
      </c>
      <c r="E4266" s="7" t="s">
        <v>159</v>
      </c>
      <c r="F4266" s="39" t="n">
        <v>45867</v>
      </c>
      <c r="G4266" s="41" t="n">
        <v>121.5</v>
      </c>
      <c r="H4266" s="39" t="n">
        <v>45912</v>
      </c>
      <c r="I4266" s="7" t="s">
        <v>14651</v>
      </c>
      <c r="J4266" s="8" t="str">
        <f aca="false">IF(I4266="Open",DATE(2025,12,31)-F4266,"-")</f>
        <v>-</v>
      </c>
    </row>
    <row r="4267" customFormat="false" ht="15" hidden="false" customHeight="false" outlineLevel="0" collapsed="false">
      <c r="B4267" s="7" t="s">
        <v>18912</v>
      </c>
      <c r="C4267" s="7" t="s">
        <v>4764</v>
      </c>
      <c r="D4267" s="7" t="s">
        <v>327</v>
      </c>
      <c r="E4267" s="7" t="s">
        <v>157</v>
      </c>
      <c r="F4267" s="39" t="n">
        <v>45867</v>
      </c>
      <c r="G4267" s="41" t="n">
        <v>171.6</v>
      </c>
      <c r="H4267" s="39" t="n">
        <v>45886</v>
      </c>
      <c r="I4267" s="7" t="s">
        <v>14651</v>
      </c>
      <c r="J4267" s="8" t="str">
        <f aca="false">IF(I4267="Open",DATE(2025,12,31)-F4267,"-")</f>
        <v>-</v>
      </c>
    </row>
    <row r="4268" customFormat="false" ht="15" hidden="false" customHeight="false" outlineLevel="0" collapsed="false">
      <c r="B4268" s="7" t="s">
        <v>18913</v>
      </c>
      <c r="C4268" s="7" t="s">
        <v>4765</v>
      </c>
      <c r="D4268" s="7" t="s">
        <v>329</v>
      </c>
      <c r="E4268" s="7" t="s">
        <v>156</v>
      </c>
      <c r="F4268" s="39" t="n">
        <v>45867</v>
      </c>
      <c r="G4268" s="41" t="n">
        <v>132.94</v>
      </c>
      <c r="H4268" s="39" t="n">
        <v>45881</v>
      </c>
      <c r="I4268" s="7" t="s">
        <v>14651</v>
      </c>
      <c r="J4268" s="8" t="str">
        <f aca="false">IF(I4268="Open",DATE(2025,12,31)-F4268,"-")</f>
        <v>-</v>
      </c>
    </row>
    <row r="4269" customFormat="false" ht="15" hidden="false" customHeight="false" outlineLevel="0" collapsed="false">
      <c r="B4269" s="7" t="s">
        <v>18914</v>
      </c>
      <c r="C4269" s="7" t="s">
        <v>4766</v>
      </c>
      <c r="D4269" s="7" t="s">
        <v>359</v>
      </c>
      <c r="E4269" s="7" t="s">
        <v>156</v>
      </c>
      <c r="F4269" s="39" t="n">
        <v>45867</v>
      </c>
      <c r="G4269" s="41" t="n">
        <v>135.66</v>
      </c>
      <c r="H4269" s="39" t="n">
        <v>45881</v>
      </c>
      <c r="I4269" s="7" t="s">
        <v>14651</v>
      </c>
      <c r="J4269" s="8" t="str">
        <f aca="false">IF(I4269="Open",DATE(2025,12,31)-F4269,"-")</f>
        <v>-</v>
      </c>
    </row>
    <row r="4270" customFormat="false" ht="15" hidden="false" customHeight="false" outlineLevel="0" collapsed="false">
      <c r="B4270" s="7" t="s">
        <v>18915</v>
      </c>
      <c r="C4270" s="7" t="s">
        <v>4767</v>
      </c>
      <c r="D4270" s="7" t="s">
        <v>361</v>
      </c>
      <c r="E4270" s="7" t="s">
        <v>157</v>
      </c>
      <c r="F4270" s="39" t="n">
        <v>45867</v>
      </c>
      <c r="G4270" s="41" t="n">
        <v>156.75</v>
      </c>
      <c r="H4270" s="39" t="n">
        <v>45957</v>
      </c>
      <c r="I4270" s="7" t="s">
        <v>14651</v>
      </c>
      <c r="J4270" s="8" t="str">
        <f aca="false">IF(I4270="Open",DATE(2025,12,31)-F4270,"-")</f>
        <v>-</v>
      </c>
    </row>
    <row r="4271" customFormat="false" ht="15" hidden="false" customHeight="false" outlineLevel="0" collapsed="false">
      <c r="B4271" s="7" t="s">
        <v>18916</v>
      </c>
      <c r="C4271" s="7" t="s">
        <v>4768</v>
      </c>
      <c r="D4271" s="7" t="s">
        <v>365</v>
      </c>
      <c r="E4271" s="7" t="s">
        <v>154</v>
      </c>
      <c r="F4271" s="39" t="n">
        <v>45867</v>
      </c>
      <c r="G4271" s="41" t="n">
        <v>116.6</v>
      </c>
      <c r="H4271" s="39" t="n">
        <v>45942</v>
      </c>
      <c r="I4271" s="7" t="s">
        <v>14651</v>
      </c>
      <c r="J4271" s="8" t="str">
        <f aca="false">IF(I4271="Open",DATE(2025,12,31)-F4271,"-")</f>
        <v>-</v>
      </c>
    </row>
    <row r="4272" customFormat="false" ht="15" hidden="false" customHeight="false" outlineLevel="0" collapsed="false">
      <c r="B4272" s="7" t="s">
        <v>18917</v>
      </c>
      <c r="C4272" s="7" t="s">
        <v>4769</v>
      </c>
      <c r="D4272" s="7" t="s">
        <v>369</v>
      </c>
      <c r="E4272" s="7" t="s">
        <v>159</v>
      </c>
      <c r="F4272" s="39" t="n">
        <v>45867</v>
      </c>
      <c r="G4272" s="41" t="n">
        <v>144.45</v>
      </c>
      <c r="H4272" s="39" t="n">
        <v>45976</v>
      </c>
      <c r="I4272" s="7" t="s">
        <v>14651</v>
      </c>
      <c r="J4272" s="8" t="str">
        <f aca="false">IF(I4272="Open",DATE(2025,12,31)-F4272,"-")</f>
        <v>-</v>
      </c>
    </row>
    <row r="4273" customFormat="false" ht="15" hidden="false" customHeight="false" outlineLevel="0" collapsed="false">
      <c r="B4273" s="7" t="s">
        <v>18918</v>
      </c>
      <c r="C4273" s="7" t="s">
        <v>4770</v>
      </c>
      <c r="D4273" s="7" t="s">
        <v>381</v>
      </c>
      <c r="E4273" s="7" t="s">
        <v>157</v>
      </c>
      <c r="F4273" s="39" t="n">
        <v>45867</v>
      </c>
      <c r="G4273" s="41" t="n">
        <v>174.9</v>
      </c>
      <c r="H4273" s="39" t="n">
        <v>45930</v>
      </c>
      <c r="I4273" s="7" t="s">
        <v>14651</v>
      </c>
      <c r="J4273" s="8" t="str">
        <f aca="false">IF(I4273="Open",DATE(2025,12,31)-F4273,"-")</f>
        <v>-</v>
      </c>
    </row>
    <row r="4274" customFormat="false" ht="15" hidden="false" customHeight="false" outlineLevel="0" collapsed="false">
      <c r="B4274" s="7" t="s">
        <v>18919</v>
      </c>
      <c r="C4274" s="7" t="s">
        <v>4771</v>
      </c>
      <c r="D4274" s="7" t="s">
        <v>383</v>
      </c>
      <c r="E4274" s="7" t="s">
        <v>157</v>
      </c>
      <c r="F4274" s="39" t="n">
        <v>45867</v>
      </c>
      <c r="G4274" s="41" t="n">
        <v>151.97</v>
      </c>
      <c r="H4274" s="39" t="n">
        <v>45925</v>
      </c>
      <c r="I4274" s="7" t="s">
        <v>14651</v>
      </c>
      <c r="J4274" s="8" t="str">
        <f aca="false">IF(I4274="Open",DATE(2025,12,31)-F4274,"-")</f>
        <v>-</v>
      </c>
    </row>
    <row r="4275" customFormat="false" ht="15" hidden="false" customHeight="false" outlineLevel="0" collapsed="false">
      <c r="B4275" s="7" t="s">
        <v>18920</v>
      </c>
      <c r="C4275" s="7" t="s">
        <v>4772</v>
      </c>
      <c r="D4275" s="7" t="s">
        <v>387</v>
      </c>
      <c r="E4275" s="7" t="s">
        <v>154</v>
      </c>
      <c r="F4275" s="39" t="n">
        <v>45867</v>
      </c>
      <c r="G4275" s="41" t="n">
        <v>114.75</v>
      </c>
      <c r="H4275" s="39" t="n">
        <v>45945</v>
      </c>
      <c r="I4275" s="7" t="s">
        <v>14651</v>
      </c>
      <c r="J4275" s="8" t="str">
        <f aca="false">IF(I4275="Open",DATE(2025,12,31)-F4275,"-")</f>
        <v>-</v>
      </c>
    </row>
    <row r="4276" customFormat="false" ht="15" hidden="false" customHeight="false" outlineLevel="0" collapsed="false">
      <c r="B4276" s="7" t="s">
        <v>18921</v>
      </c>
      <c r="C4276" s="7" t="s">
        <v>4773</v>
      </c>
      <c r="D4276" s="7" t="s">
        <v>389</v>
      </c>
      <c r="E4276" s="7" t="s">
        <v>154</v>
      </c>
      <c r="F4276" s="39" t="n">
        <v>45867</v>
      </c>
      <c r="G4276" s="41" t="n">
        <v>96.46</v>
      </c>
      <c r="H4276" s="39" t="n">
        <v>45907</v>
      </c>
      <c r="I4276" s="7" t="s">
        <v>14651</v>
      </c>
      <c r="J4276" s="8" t="str">
        <f aca="false">IF(I4276="Open",DATE(2025,12,31)-F4276,"-")</f>
        <v>-</v>
      </c>
    </row>
    <row r="4277" customFormat="false" ht="15" hidden="false" customHeight="false" outlineLevel="0" collapsed="false">
      <c r="B4277" s="7" t="s">
        <v>18922</v>
      </c>
      <c r="C4277" s="7" t="s">
        <v>4774</v>
      </c>
      <c r="D4277" s="7" t="s">
        <v>391</v>
      </c>
      <c r="E4277" s="7" t="s">
        <v>156</v>
      </c>
      <c r="F4277" s="39" t="n">
        <v>45867</v>
      </c>
      <c r="G4277" s="41" t="n">
        <v>134.64</v>
      </c>
      <c r="H4277" s="39" t="n">
        <v>45883</v>
      </c>
      <c r="I4277" s="7" t="s">
        <v>14651</v>
      </c>
      <c r="J4277" s="8" t="str">
        <f aca="false">IF(I4277="Open",DATE(2025,12,31)-F4277,"-")</f>
        <v>-</v>
      </c>
    </row>
    <row r="4278" customFormat="false" ht="15" hidden="false" customHeight="false" outlineLevel="0" collapsed="false">
      <c r="B4278" s="7" t="s">
        <v>18923</v>
      </c>
      <c r="C4278" s="7" t="s">
        <v>4775</v>
      </c>
      <c r="D4278" s="7" t="s">
        <v>395</v>
      </c>
      <c r="E4278" s="7" t="s">
        <v>156</v>
      </c>
      <c r="F4278" s="39" t="n">
        <v>45867</v>
      </c>
      <c r="G4278" s="41" t="n">
        <v>129.88</v>
      </c>
      <c r="H4278" s="39" t="n">
        <v>45873</v>
      </c>
      <c r="I4278" s="7" t="s">
        <v>14651</v>
      </c>
      <c r="J4278" s="8" t="str">
        <f aca="false">IF(I4278="Open",DATE(2025,12,31)-F4278,"-")</f>
        <v>-</v>
      </c>
    </row>
    <row r="4279" customFormat="false" ht="15" hidden="false" customHeight="false" outlineLevel="0" collapsed="false">
      <c r="B4279" s="7" t="s">
        <v>18924</v>
      </c>
      <c r="C4279" s="7" t="s">
        <v>4776</v>
      </c>
      <c r="D4279" s="7" t="s">
        <v>397</v>
      </c>
      <c r="E4279" s="7" t="s">
        <v>159</v>
      </c>
      <c r="F4279" s="39" t="n">
        <v>45867</v>
      </c>
      <c r="G4279" s="41" t="n">
        <v>129.6</v>
      </c>
      <c r="H4279" s="39" t="n">
        <v>45916</v>
      </c>
      <c r="I4279" s="7" t="s">
        <v>14651</v>
      </c>
      <c r="J4279" s="8" t="str">
        <f aca="false">IF(I4279="Open",DATE(2025,12,31)-F4279,"-")</f>
        <v>-</v>
      </c>
    </row>
    <row r="4280" customFormat="false" ht="15" hidden="false" customHeight="false" outlineLevel="0" collapsed="false">
      <c r="B4280" s="7" t="s">
        <v>18925</v>
      </c>
      <c r="C4280" s="7" t="s">
        <v>4777</v>
      </c>
      <c r="D4280" s="7" t="s">
        <v>401</v>
      </c>
      <c r="E4280" s="7" t="s">
        <v>156</v>
      </c>
      <c r="F4280" s="39" t="n">
        <v>45867</v>
      </c>
      <c r="G4280" s="41" t="n">
        <v>124.78</v>
      </c>
      <c r="H4280" s="39" t="n">
        <v>45877</v>
      </c>
      <c r="I4280" s="7" t="s">
        <v>14651</v>
      </c>
      <c r="J4280" s="8" t="str">
        <f aca="false">IF(I4280="Open",DATE(2025,12,31)-F4280,"-")</f>
        <v>-</v>
      </c>
    </row>
    <row r="4281" customFormat="false" ht="15" hidden="false" customHeight="false" outlineLevel="0" collapsed="false">
      <c r="B4281" s="7" t="s">
        <v>18926</v>
      </c>
      <c r="C4281" s="7" t="s">
        <v>4778</v>
      </c>
      <c r="D4281" s="7" t="s">
        <v>407</v>
      </c>
      <c r="E4281" s="7" t="s">
        <v>159</v>
      </c>
      <c r="F4281" s="39" t="n">
        <v>45867</v>
      </c>
      <c r="G4281" s="41" t="n">
        <v>143.1</v>
      </c>
      <c r="H4281" s="39" t="n">
        <v>45924</v>
      </c>
      <c r="I4281" s="7" t="s">
        <v>14651</v>
      </c>
      <c r="J4281" s="8" t="str">
        <f aca="false">IF(I4281="Open",DATE(2025,12,31)-F4281,"-")</f>
        <v>-</v>
      </c>
    </row>
    <row r="4282" customFormat="false" ht="15" hidden="false" customHeight="false" outlineLevel="0" collapsed="false">
      <c r="B4282" s="7" t="s">
        <v>18927</v>
      </c>
      <c r="C4282" s="7" t="s">
        <v>4779</v>
      </c>
      <c r="D4282" s="7" t="s">
        <v>280</v>
      </c>
      <c r="E4282" s="7" t="s">
        <v>157</v>
      </c>
      <c r="F4282" s="39" t="n">
        <v>45868</v>
      </c>
      <c r="G4282" s="41" t="n">
        <v>155.1</v>
      </c>
      <c r="H4282" s="39" t="n">
        <v>45919</v>
      </c>
      <c r="I4282" s="7" t="s">
        <v>14651</v>
      </c>
      <c r="J4282" s="8" t="str">
        <f aca="false">IF(I4282="Open",DATE(2025,12,31)-F4282,"-")</f>
        <v>-</v>
      </c>
    </row>
    <row r="4283" customFormat="false" ht="15" hidden="false" customHeight="false" outlineLevel="0" collapsed="false">
      <c r="B4283" s="7" t="s">
        <v>18928</v>
      </c>
      <c r="C4283" s="7" t="s">
        <v>4780</v>
      </c>
      <c r="D4283" s="7" t="s">
        <v>288</v>
      </c>
      <c r="E4283" s="7" t="s">
        <v>156</v>
      </c>
      <c r="F4283" s="39" t="n">
        <v>45868</v>
      </c>
      <c r="G4283" s="41" t="n">
        <v>146.88</v>
      </c>
      <c r="H4283" s="39" t="n">
        <v>45873</v>
      </c>
      <c r="I4283" s="7" t="s">
        <v>14651</v>
      </c>
      <c r="J4283" s="8" t="str">
        <f aca="false">IF(I4283="Open",DATE(2025,12,31)-F4283,"-")</f>
        <v>-</v>
      </c>
    </row>
    <row r="4284" customFormat="false" ht="15" hidden="false" customHeight="false" outlineLevel="0" collapsed="false">
      <c r="B4284" s="7" t="s">
        <v>18929</v>
      </c>
      <c r="C4284" s="7" t="s">
        <v>4781</v>
      </c>
      <c r="D4284" s="7" t="s">
        <v>291</v>
      </c>
      <c r="E4284" s="7" t="s">
        <v>154</v>
      </c>
      <c r="F4284" s="39" t="n">
        <v>45868</v>
      </c>
      <c r="G4284" s="41" t="n">
        <v>113.15</v>
      </c>
      <c r="H4284" s="39" t="n">
        <v>45988</v>
      </c>
      <c r="I4284" s="7" t="s">
        <v>14651</v>
      </c>
      <c r="J4284" s="8" t="str">
        <f aca="false">IF(I4284="Open",DATE(2025,12,31)-F4284,"-")</f>
        <v>-</v>
      </c>
    </row>
    <row r="4285" customFormat="false" ht="15" hidden="false" customHeight="false" outlineLevel="0" collapsed="false">
      <c r="B4285" s="7" t="s">
        <v>18930</v>
      </c>
      <c r="C4285" s="7" t="s">
        <v>4782</v>
      </c>
      <c r="D4285" s="7" t="s">
        <v>305</v>
      </c>
      <c r="E4285" s="7" t="s">
        <v>154</v>
      </c>
      <c r="F4285" s="39" t="n">
        <v>45868</v>
      </c>
      <c r="G4285" s="41" t="n">
        <v>112.1</v>
      </c>
      <c r="H4285" s="39" t="n">
        <v>45919</v>
      </c>
      <c r="I4285" s="7" t="s">
        <v>14651</v>
      </c>
      <c r="J4285" s="8" t="str">
        <f aca="false">IF(I4285="Open",DATE(2025,12,31)-F4285,"-")</f>
        <v>-</v>
      </c>
    </row>
    <row r="4286" customFormat="false" ht="15" hidden="false" customHeight="false" outlineLevel="0" collapsed="false">
      <c r="B4286" s="7" t="s">
        <v>18931</v>
      </c>
      <c r="C4286" s="7" t="s">
        <v>4783</v>
      </c>
      <c r="D4286" s="7" t="s">
        <v>307</v>
      </c>
      <c r="E4286" s="7" t="s">
        <v>157</v>
      </c>
      <c r="F4286" s="39" t="n">
        <v>45868</v>
      </c>
      <c r="G4286" s="41" t="n">
        <v>166.65</v>
      </c>
      <c r="H4286" s="39" t="n">
        <v>45894</v>
      </c>
      <c r="I4286" s="7" t="s">
        <v>14651</v>
      </c>
      <c r="J4286" s="8" t="str">
        <f aca="false">IF(I4286="Open",DATE(2025,12,31)-F4286,"-")</f>
        <v>-</v>
      </c>
    </row>
    <row r="4287" customFormat="false" ht="15" hidden="false" customHeight="false" outlineLevel="0" collapsed="false">
      <c r="B4287" s="7" t="s">
        <v>18932</v>
      </c>
      <c r="C4287" s="7" t="s">
        <v>4784</v>
      </c>
      <c r="D4287" s="7" t="s">
        <v>309</v>
      </c>
      <c r="E4287" s="7" t="s">
        <v>159</v>
      </c>
      <c r="F4287" s="39" t="n">
        <v>45868</v>
      </c>
      <c r="G4287" s="41" t="n">
        <v>136.35</v>
      </c>
      <c r="H4287" s="39" t="n">
        <v>45911</v>
      </c>
      <c r="I4287" s="7" t="s">
        <v>14651</v>
      </c>
      <c r="J4287" s="8" t="str">
        <f aca="false">IF(I4287="Open",DATE(2025,12,31)-F4287,"-")</f>
        <v>-</v>
      </c>
    </row>
    <row r="4288" customFormat="false" ht="15" hidden="false" customHeight="false" outlineLevel="0" collapsed="false">
      <c r="B4288" s="7" t="s">
        <v>18933</v>
      </c>
      <c r="C4288" s="7" t="s">
        <v>4785</v>
      </c>
      <c r="D4288" s="7" t="s">
        <v>313</v>
      </c>
      <c r="E4288" s="7" t="s">
        <v>156</v>
      </c>
      <c r="F4288" s="39" t="n">
        <v>45868</v>
      </c>
      <c r="G4288" s="41" t="n">
        <v>131.24</v>
      </c>
      <c r="H4288" s="39" t="n">
        <v>45884</v>
      </c>
      <c r="I4288" s="7" t="s">
        <v>14651</v>
      </c>
      <c r="J4288" s="8" t="str">
        <f aca="false">IF(I4288="Open",DATE(2025,12,31)-F4288,"-")</f>
        <v>-</v>
      </c>
    </row>
    <row r="4289" customFormat="false" ht="15" hidden="false" customHeight="false" outlineLevel="0" collapsed="false">
      <c r="B4289" s="7" t="s">
        <v>18934</v>
      </c>
      <c r="C4289" s="7" t="s">
        <v>4786</v>
      </c>
      <c r="D4289" s="7" t="s">
        <v>321</v>
      </c>
      <c r="E4289" s="7" t="s">
        <v>154</v>
      </c>
      <c r="F4289" s="39" t="n">
        <v>45868</v>
      </c>
      <c r="G4289" s="41" t="n">
        <v>112.62</v>
      </c>
      <c r="H4289" s="39" t="n">
        <v>45928</v>
      </c>
      <c r="I4289" s="7" t="s">
        <v>14651</v>
      </c>
      <c r="J4289" s="8" t="str">
        <f aca="false">IF(I4289="Open",DATE(2025,12,31)-F4289,"-")</f>
        <v>-</v>
      </c>
    </row>
    <row r="4290" customFormat="false" ht="15" hidden="false" customHeight="false" outlineLevel="0" collapsed="false">
      <c r="B4290" s="7" t="s">
        <v>18935</v>
      </c>
      <c r="C4290" s="7" t="s">
        <v>4787</v>
      </c>
      <c r="D4290" s="7" t="s">
        <v>329</v>
      </c>
      <c r="E4290" s="7" t="s">
        <v>156</v>
      </c>
      <c r="F4290" s="39" t="n">
        <v>45868</v>
      </c>
      <c r="G4290" s="41" t="n">
        <v>133.28</v>
      </c>
      <c r="H4290" s="39" t="n">
        <v>45878</v>
      </c>
      <c r="I4290" s="7" t="s">
        <v>14651</v>
      </c>
      <c r="J4290" s="8" t="str">
        <f aca="false">IF(I4290="Open",DATE(2025,12,31)-F4290,"-")</f>
        <v>-</v>
      </c>
    </row>
    <row r="4291" customFormat="false" ht="15" hidden="false" customHeight="false" outlineLevel="0" collapsed="false">
      <c r="B4291" s="7" t="s">
        <v>18936</v>
      </c>
      <c r="C4291" s="7" t="s">
        <v>4788</v>
      </c>
      <c r="D4291" s="7" t="s">
        <v>335</v>
      </c>
      <c r="E4291" s="7" t="s">
        <v>154</v>
      </c>
      <c r="F4291" s="39" t="n">
        <v>45868</v>
      </c>
      <c r="G4291" s="41" t="n">
        <v>113.42</v>
      </c>
      <c r="H4291" s="39" t="n">
        <v>45974</v>
      </c>
      <c r="I4291" s="7" t="s">
        <v>14651</v>
      </c>
      <c r="J4291" s="8" t="str">
        <f aca="false">IF(I4291="Open",DATE(2025,12,31)-F4291,"-")</f>
        <v>-</v>
      </c>
    </row>
    <row r="4292" customFormat="false" ht="15" hidden="false" customHeight="false" outlineLevel="0" collapsed="false">
      <c r="B4292" s="7" t="s">
        <v>18937</v>
      </c>
      <c r="C4292" s="7" t="s">
        <v>4789</v>
      </c>
      <c r="D4292" s="7" t="s">
        <v>339</v>
      </c>
      <c r="E4292" s="7" t="s">
        <v>154</v>
      </c>
      <c r="F4292" s="39" t="n">
        <v>45868</v>
      </c>
      <c r="G4292" s="41" t="n">
        <v>85.86</v>
      </c>
      <c r="H4292" s="39" t="n">
        <v>45974</v>
      </c>
      <c r="I4292" s="7" t="s">
        <v>14651</v>
      </c>
      <c r="J4292" s="8" t="str">
        <f aca="false">IF(I4292="Open",DATE(2025,12,31)-F4292,"-")</f>
        <v>-</v>
      </c>
    </row>
    <row r="4293" customFormat="false" ht="15" hidden="false" customHeight="false" outlineLevel="0" collapsed="false">
      <c r="B4293" s="7" t="s">
        <v>18938</v>
      </c>
      <c r="C4293" s="7" t="s">
        <v>4790</v>
      </c>
      <c r="D4293" s="7" t="s">
        <v>347</v>
      </c>
      <c r="E4293" s="7" t="s">
        <v>154</v>
      </c>
      <c r="F4293" s="39" t="n">
        <v>45868</v>
      </c>
      <c r="G4293" s="41" t="n">
        <v>122.43</v>
      </c>
      <c r="H4293" s="39" t="n">
        <v>45957</v>
      </c>
      <c r="I4293" s="7" t="s">
        <v>14651</v>
      </c>
      <c r="J4293" s="8" t="str">
        <f aca="false">IF(I4293="Open",DATE(2025,12,31)-F4293,"-")</f>
        <v>-</v>
      </c>
    </row>
    <row r="4294" customFormat="false" ht="15" hidden="false" customHeight="false" outlineLevel="0" collapsed="false">
      <c r="B4294" s="7" t="s">
        <v>18939</v>
      </c>
      <c r="C4294" s="7" t="s">
        <v>4791</v>
      </c>
      <c r="D4294" s="7" t="s">
        <v>353</v>
      </c>
      <c r="E4294" s="7" t="s">
        <v>154</v>
      </c>
      <c r="F4294" s="39" t="n">
        <v>45868</v>
      </c>
      <c r="G4294" s="41" t="n">
        <v>79.95</v>
      </c>
      <c r="H4294" s="39" t="n">
        <v>45965</v>
      </c>
      <c r="I4294" s="7" t="s">
        <v>14651</v>
      </c>
      <c r="J4294" s="8" t="str">
        <f aca="false">IF(I4294="Open",DATE(2025,12,31)-F4294,"-")</f>
        <v>-</v>
      </c>
    </row>
    <row r="4295" customFormat="false" ht="15" hidden="false" customHeight="false" outlineLevel="0" collapsed="false">
      <c r="B4295" s="7" t="s">
        <v>18940</v>
      </c>
      <c r="C4295" s="7" t="s">
        <v>4792</v>
      </c>
      <c r="D4295" s="7" t="s">
        <v>355</v>
      </c>
      <c r="E4295" s="7" t="s">
        <v>154</v>
      </c>
      <c r="F4295" s="39" t="n">
        <v>45868</v>
      </c>
      <c r="G4295" s="41" t="n">
        <v>96.99</v>
      </c>
      <c r="H4295" s="39" t="n">
        <v>45931</v>
      </c>
      <c r="I4295" s="7" t="s">
        <v>14651</v>
      </c>
      <c r="J4295" s="8" t="str">
        <f aca="false">IF(I4295="Open",DATE(2025,12,31)-F4295,"-")</f>
        <v>-</v>
      </c>
    </row>
    <row r="4296" customFormat="false" ht="15" hidden="false" customHeight="false" outlineLevel="0" collapsed="false">
      <c r="B4296" s="7" t="s">
        <v>18941</v>
      </c>
      <c r="C4296" s="7" t="s">
        <v>4793</v>
      </c>
      <c r="D4296" s="7" t="s">
        <v>357</v>
      </c>
      <c r="E4296" s="7" t="s">
        <v>154</v>
      </c>
      <c r="F4296" s="39" t="n">
        <v>45868</v>
      </c>
      <c r="G4296" s="41" t="n">
        <v>88.78</v>
      </c>
      <c r="H4296" s="39" t="n">
        <v>45889</v>
      </c>
      <c r="I4296" s="7" t="s">
        <v>14651</v>
      </c>
      <c r="J4296" s="8" t="str">
        <f aca="false">IF(I4296="Open",DATE(2025,12,31)-F4296,"-")</f>
        <v>-</v>
      </c>
    </row>
    <row r="4297" customFormat="false" ht="15" hidden="false" customHeight="false" outlineLevel="0" collapsed="false">
      <c r="B4297" s="7" t="s">
        <v>18942</v>
      </c>
      <c r="C4297" s="7" t="s">
        <v>4794</v>
      </c>
      <c r="D4297" s="7" t="s">
        <v>359</v>
      </c>
      <c r="E4297" s="7" t="s">
        <v>156</v>
      </c>
      <c r="F4297" s="39" t="n">
        <v>45868</v>
      </c>
      <c r="G4297" s="41" t="n">
        <v>137.36</v>
      </c>
      <c r="H4297" s="39" t="n">
        <v>45877</v>
      </c>
      <c r="I4297" s="7" t="s">
        <v>14651</v>
      </c>
      <c r="J4297" s="8" t="str">
        <f aca="false">IF(I4297="Open",DATE(2025,12,31)-F4297,"-")</f>
        <v>-</v>
      </c>
    </row>
    <row r="4298" customFormat="false" ht="15" hidden="false" customHeight="false" outlineLevel="0" collapsed="false">
      <c r="B4298" s="7" t="s">
        <v>18943</v>
      </c>
      <c r="C4298" s="7" t="s">
        <v>4795</v>
      </c>
      <c r="D4298" s="7" t="s">
        <v>365</v>
      </c>
      <c r="E4298" s="7" t="s">
        <v>154</v>
      </c>
      <c r="F4298" s="39" t="n">
        <v>45868</v>
      </c>
      <c r="G4298" s="41" t="n">
        <v>109.18</v>
      </c>
      <c r="H4298" s="39" t="n">
        <v>45934</v>
      </c>
      <c r="I4298" s="7" t="s">
        <v>14651</v>
      </c>
      <c r="J4298" s="8" t="str">
        <f aca="false">IF(I4298="Open",DATE(2025,12,31)-F4298,"-")</f>
        <v>-</v>
      </c>
    </row>
    <row r="4299" customFormat="false" ht="15" hidden="false" customHeight="false" outlineLevel="0" collapsed="false">
      <c r="B4299" s="7" t="s">
        <v>18944</v>
      </c>
      <c r="C4299" s="7" t="s">
        <v>4796</v>
      </c>
      <c r="D4299" s="7" t="s">
        <v>371</v>
      </c>
      <c r="E4299" s="7" t="s">
        <v>154</v>
      </c>
      <c r="F4299" s="39" t="n">
        <v>45868</v>
      </c>
      <c r="G4299" s="41" t="n">
        <v>125.61</v>
      </c>
      <c r="H4299" s="39" t="n">
        <v>45936</v>
      </c>
      <c r="I4299" s="7" t="s">
        <v>14651</v>
      </c>
      <c r="J4299" s="8" t="str">
        <f aca="false">IF(I4299="Open",DATE(2025,12,31)-F4299,"-")</f>
        <v>-</v>
      </c>
    </row>
    <row r="4300" customFormat="false" ht="15" hidden="false" customHeight="false" outlineLevel="0" collapsed="false">
      <c r="B4300" s="7" t="s">
        <v>18945</v>
      </c>
      <c r="C4300" s="7" t="s">
        <v>4797</v>
      </c>
      <c r="D4300" s="7" t="s">
        <v>379</v>
      </c>
      <c r="E4300" s="7" t="s">
        <v>156</v>
      </c>
      <c r="F4300" s="39" t="n">
        <v>45868</v>
      </c>
      <c r="G4300" s="41" t="n">
        <v>150.62</v>
      </c>
      <c r="H4300" s="39" t="n">
        <v>45878</v>
      </c>
      <c r="I4300" s="7" t="s">
        <v>14651</v>
      </c>
      <c r="J4300" s="8" t="str">
        <f aca="false">IF(I4300="Open",DATE(2025,12,31)-F4300,"-")</f>
        <v>-</v>
      </c>
    </row>
    <row r="4301" customFormat="false" ht="15" hidden="false" customHeight="false" outlineLevel="0" collapsed="false">
      <c r="B4301" s="7" t="s">
        <v>18946</v>
      </c>
      <c r="C4301" s="7" t="s">
        <v>4798</v>
      </c>
      <c r="D4301" s="7" t="s">
        <v>385</v>
      </c>
      <c r="E4301" s="7" t="s">
        <v>156</v>
      </c>
      <c r="F4301" s="39" t="n">
        <v>45868</v>
      </c>
      <c r="G4301" s="41" t="n">
        <v>145.86</v>
      </c>
      <c r="H4301" s="39" t="n">
        <v>45884</v>
      </c>
      <c r="I4301" s="7" t="s">
        <v>14651</v>
      </c>
      <c r="J4301" s="8" t="str">
        <f aca="false">IF(I4301="Open",DATE(2025,12,31)-F4301,"-")</f>
        <v>-</v>
      </c>
    </row>
    <row r="4302" customFormat="false" ht="15" hidden="false" customHeight="false" outlineLevel="0" collapsed="false">
      <c r="B4302" s="7" t="s">
        <v>18947</v>
      </c>
      <c r="C4302" s="7" t="s">
        <v>4799</v>
      </c>
      <c r="D4302" s="7" t="s">
        <v>387</v>
      </c>
      <c r="E4302" s="7" t="s">
        <v>154</v>
      </c>
      <c r="F4302" s="39" t="n">
        <v>45868</v>
      </c>
      <c r="G4302" s="41" t="n">
        <v>96.99</v>
      </c>
      <c r="H4302" s="39" t="n">
        <v>45896</v>
      </c>
      <c r="I4302" s="7" t="s">
        <v>14651</v>
      </c>
      <c r="J4302" s="8" t="str">
        <f aca="false">IF(I4302="Open",DATE(2025,12,31)-F4302,"-")</f>
        <v>-</v>
      </c>
    </row>
    <row r="4303" customFormat="false" ht="15" hidden="false" customHeight="false" outlineLevel="0" collapsed="false">
      <c r="B4303" s="7" t="s">
        <v>18948</v>
      </c>
      <c r="C4303" s="7" t="s">
        <v>4800</v>
      </c>
      <c r="D4303" s="7" t="s">
        <v>389</v>
      </c>
      <c r="E4303" s="7" t="s">
        <v>154</v>
      </c>
      <c r="F4303" s="39" t="n">
        <v>45868</v>
      </c>
      <c r="G4303" s="41" t="n">
        <v>97.78</v>
      </c>
      <c r="H4303" s="39" t="n">
        <v>45976</v>
      </c>
      <c r="I4303" s="7" t="s">
        <v>14651</v>
      </c>
      <c r="J4303" s="8" t="str">
        <f aca="false">IF(I4303="Open",DATE(2025,12,31)-F4303,"-")</f>
        <v>-</v>
      </c>
    </row>
    <row r="4304" customFormat="false" ht="15" hidden="false" customHeight="false" outlineLevel="0" collapsed="false">
      <c r="B4304" s="7" t="s">
        <v>18949</v>
      </c>
      <c r="C4304" s="7" t="s">
        <v>4801</v>
      </c>
      <c r="D4304" s="7" t="s">
        <v>395</v>
      </c>
      <c r="E4304" s="7" t="s">
        <v>156</v>
      </c>
      <c r="F4304" s="39" t="n">
        <v>45868</v>
      </c>
      <c r="G4304" s="41" t="n">
        <v>143.48</v>
      </c>
      <c r="H4304" s="39" t="n">
        <v>45878</v>
      </c>
      <c r="I4304" s="7" t="s">
        <v>14651</v>
      </c>
      <c r="J4304" s="8" t="str">
        <f aca="false">IF(I4304="Open",DATE(2025,12,31)-F4304,"-")</f>
        <v>-</v>
      </c>
    </row>
    <row r="4305" customFormat="false" ht="15" hidden="false" customHeight="false" outlineLevel="0" collapsed="false">
      <c r="B4305" s="7" t="s">
        <v>18950</v>
      </c>
      <c r="C4305" s="7" t="s">
        <v>4802</v>
      </c>
      <c r="D4305" s="7" t="s">
        <v>399</v>
      </c>
      <c r="E4305" s="7" t="s">
        <v>154</v>
      </c>
      <c r="F4305" s="39" t="n">
        <v>45868</v>
      </c>
      <c r="G4305" s="41" t="n">
        <v>89.84</v>
      </c>
      <c r="H4305" s="39" t="n">
        <v>45960</v>
      </c>
      <c r="I4305" s="7" t="s">
        <v>14651</v>
      </c>
      <c r="J4305" s="8" t="str">
        <f aca="false">IF(I4305="Open",DATE(2025,12,31)-F4305,"-")</f>
        <v>-</v>
      </c>
    </row>
    <row r="4306" customFormat="false" ht="15" hidden="false" customHeight="false" outlineLevel="0" collapsed="false">
      <c r="B4306" s="7" t="s">
        <v>18951</v>
      </c>
      <c r="C4306" s="7" t="s">
        <v>4803</v>
      </c>
      <c r="D4306" s="7" t="s">
        <v>401</v>
      </c>
      <c r="E4306" s="7" t="s">
        <v>156</v>
      </c>
      <c r="F4306" s="39" t="n">
        <v>45868</v>
      </c>
      <c r="G4306" s="41" t="n">
        <v>130.56</v>
      </c>
      <c r="H4306" s="39" t="n">
        <v>45884</v>
      </c>
      <c r="I4306" s="7" t="s">
        <v>14651</v>
      </c>
      <c r="J4306" s="8" t="str">
        <f aca="false">IF(I4306="Open",DATE(2025,12,31)-F4306,"-")</f>
        <v>-</v>
      </c>
    </row>
    <row r="4307" customFormat="false" ht="15" hidden="false" customHeight="false" outlineLevel="0" collapsed="false">
      <c r="B4307" s="7" t="s">
        <v>18952</v>
      </c>
      <c r="C4307" s="7" t="s">
        <v>4804</v>
      </c>
      <c r="D4307" s="7" t="s">
        <v>409</v>
      </c>
      <c r="E4307" s="7" t="s">
        <v>154</v>
      </c>
      <c r="F4307" s="39" t="n">
        <v>45868</v>
      </c>
      <c r="G4307" s="41" t="n">
        <v>83.47</v>
      </c>
      <c r="H4307" s="39" t="n">
        <v>45914</v>
      </c>
      <c r="I4307" s="7" t="s">
        <v>14651</v>
      </c>
      <c r="J4307" s="8" t="str">
        <f aca="false">IF(I4307="Open",DATE(2025,12,31)-F4307,"-")</f>
        <v>-</v>
      </c>
    </row>
    <row r="4308" customFormat="false" ht="15" hidden="false" customHeight="false" outlineLevel="0" collapsed="false">
      <c r="B4308" s="7" t="s">
        <v>18953</v>
      </c>
      <c r="C4308" s="7" t="s">
        <v>4805</v>
      </c>
      <c r="D4308" s="7" t="s">
        <v>411</v>
      </c>
      <c r="E4308" s="7" t="s">
        <v>154</v>
      </c>
      <c r="F4308" s="39" t="n">
        <v>45868</v>
      </c>
      <c r="G4308" s="41" t="n">
        <v>122.96</v>
      </c>
      <c r="H4308" s="39" t="n">
        <v>45958</v>
      </c>
      <c r="I4308" s="7" t="s">
        <v>14651</v>
      </c>
      <c r="J4308" s="8" t="str">
        <f aca="false">IF(I4308="Open",DATE(2025,12,31)-F4308,"-")</f>
        <v>-</v>
      </c>
    </row>
    <row r="4309" customFormat="false" ht="15" hidden="false" customHeight="false" outlineLevel="0" collapsed="false">
      <c r="B4309" s="7" t="s">
        <v>18954</v>
      </c>
      <c r="C4309" s="7" t="s">
        <v>4806</v>
      </c>
      <c r="D4309" s="7" t="s">
        <v>288</v>
      </c>
      <c r="E4309" s="7" t="s">
        <v>156</v>
      </c>
      <c r="F4309" s="39" t="n">
        <v>45869</v>
      </c>
      <c r="G4309" s="41" t="n">
        <v>134.98</v>
      </c>
      <c r="H4309" s="39" t="n">
        <v>45873</v>
      </c>
      <c r="I4309" s="7" t="s">
        <v>14651</v>
      </c>
      <c r="J4309" s="8" t="str">
        <f aca="false">IF(I4309="Open",DATE(2025,12,31)-F4309,"-")</f>
        <v>-</v>
      </c>
    </row>
    <row r="4310" customFormat="false" ht="15" hidden="false" customHeight="false" outlineLevel="0" collapsed="false">
      <c r="B4310" s="7" t="s">
        <v>18955</v>
      </c>
      <c r="C4310" s="7" t="s">
        <v>4807</v>
      </c>
      <c r="D4310" s="7" t="s">
        <v>297</v>
      </c>
      <c r="E4310" s="7" t="s">
        <v>156</v>
      </c>
      <c r="F4310" s="39" t="n">
        <v>45869</v>
      </c>
      <c r="G4310" s="41" t="n">
        <v>94.86</v>
      </c>
      <c r="H4310" s="39" t="n">
        <v>45882</v>
      </c>
      <c r="I4310" s="7" t="s">
        <v>14651</v>
      </c>
      <c r="J4310" s="8" t="str">
        <f aca="false">IF(I4310="Open",DATE(2025,12,31)-F4310,"-")</f>
        <v>-</v>
      </c>
    </row>
    <row r="4311" customFormat="false" ht="15" hidden="false" customHeight="false" outlineLevel="0" collapsed="false">
      <c r="B4311" s="7" t="s">
        <v>18956</v>
      </c>
      <c r="C4311" s="7" t="s">
        <v>4808</v>
      </c>
      <c r="D4311" s="7" t="s">
        <v>311</v>
      </c>
      <c r="E4311" s="7" t="s">
        <v>154</v>
      </c>
      <c r="F4311" s="39" t="n">
        <v>45869</v>
      </c>
      <c r="G4311" s="41" t="n">
        <v>77.38</v>
      </c>
      <c r="H4311" s="39" t="n">
        <v>45984</v>
      </c>
      <c r="I4311" s="7" t="s">
        <v>14651</v>
      </c>
      <c r="J4311" s="8" t="str">
        <f aca="false">IF(I4311="Open",DATE(2025,12,31)-F4311,"-")</f>
        <v>-</v>
      </c>
    </row>
    <row r="4312" customFormat="false" ht="15" hidden="false" customHeight="false" outlineLevel="0" collapsed="false">
      <c r="B4312" s="7" t="s">
        <v>18957</v>
      </c>
      <c r="C4312" s="7" t="s">
        <v>4809</v>
      </c>
      <c r="D4312" s="7" t="s">
        <v>313</v>
      </c>
      <c r="E4312" s="7" t="s">
        <v>156</v>
      </c>
      <c r="F4312" s="39" t="n">
        <v>45869</v>
      </c>
      <c r="G4312" s="41" t="n">
        <v>146.54</v>
      </c>
      <c r="H4312" s="39" t="n">
        <v>45880</v>
      </c>
      <c r="I4312" s="7" t="s">
        <v>14651</v>
      </c>
      <c r="J4312" s="8" t="str">
        <f aca="false">IF(I4312="Open",DATE(2025,12,31)-F4312,"-")</f>
        <v>-</v>
      </c>
    </row>
    <row r="4313" customFormat="false" ht="15" hidden="false" customHeight="false" outlineLevel="0" collapsed="false">
      <c r="B4313" s="7" t="s">
        <v>18958</v>
      </c>
      <c r="C4313" s="7" t="s">
        <v>4810</v>
      </c>
      <c r="D4313" s="7" t="s">
        <v>317</v>
      </c>
      <c r="E4313" s="7" t="s">
        <v>156</v>
      </c>
      <c r="F4313" s="39" t="n">
        <v>45869</v>
      </c>
      <c r="G4313" s="41" t="n">
        <v>97.92</v>
      </c>
      <c r="H4313" s="39" t="n">
        <v>45876</v>
      </c>
      <c r="I4313" s="7" t="s">
        <v>14651</v>
      </c>
      <c r="J4313" s="8" t="str">
        <f aca="false">IF(I4313="Open",DATE(2025,12,31)-F4313,"-")</f>
        <v>-</v>
      </c>
    </row>
    <row r="4314" customFormat="false" ht="15" hidden="false" customHeight="false" outlineLevel="0" collapsed="false">
      <c r="B4314" s="7" t="s">
        <v>18959</v>
      </c>
      <c r="C4314" s="7" t="s">
        <v>4811</v>
      </c>
      <c r="D4314" s="7" t="s">
        <v>321</v>
      </c>
      <c r="E4314" s="7" t="s">
        <v>154</v>
      </c>
      <c r="F4314" s="39" t="n">
        <v>45869</v>
      </c>
      <c r="G4314" s="41" t="n">
        <v>96.19</v>
      </c>
      <c r="H4314" s="39" t="n">
        <v>45984</v>
      </c>
      <c r="I4314" s="7" t="s">
        <v>14651</v>
      </c>
      <c r="J4314" s="8" t="str">
        <f aca="false">IF(I4314="Open",DATE(2025,12,31)-F4314,"-")</f>
        <v>-</v>
      </c>
    </row>
    <row r="4315" customFormat="false" ht="15" hidden="false" customHeight="false" outlineLevel="0" collapsed="false">
      <c r="B4315" s="7" t="s">
        <v>18960</v>
      </c>
      <c r="C4315" s="7" t="s">
        <v>4812</v>
      </c>
      <c r="D4315" s="7" t="s">
        <v>325</v>
      </c>
      <c r="E4315" s="7" t="s">
        <v>154</v>
      </c>
      <c r="F4315" s="39" t="n">
        <v>45869</v>
      </c>
      <c r="G4315" s="41" t="n">
        <v>72.61</v>
      </c>
      <c r="H4315" s="39" t="n">
        <v>45923</v>
      </c>
      <c r="I4315" s="7" t="s">
        <v>14651</v>
      </c>
      <c r="J4315" s="8" t="str">
        <f aca="false">IF(I4315="Open",DATE(2025,12,31)-F4315,"-")</f>
        <v>-</v>
      </c>
    </row>
    <row r="4316" customFormat="false" ht="15" hidden="false" customHeight="false" outlineLevel="0" collapsed="false">
      <c r="B4316" s="7" t="s">
        <v>18961</v>
      </c>
      <c r="C4316" s="7" t="s">
        <v>4813</v>
      </c>
      <c r="D4316" s="7" t="s">
        <v>329</v>
      </c>
      <c r="E4316" s="7" t="s">
        <v>156</v>
      </c>
      <c r="F4316" s="39" t="n">
        <v>45869</v>
      </c>
      <c r="G4316" s="41" t="n">
        <v>126.82</v>
      </c>
      <c r="H4316" s="39" t="n">
        <v>45878</v>
      </c>
      <c r="I4316" s="7" t="s">
        <v>14651</v>
      </c>
      <c r="J4316" s="8" t="str">
        <f aca="false">IF(I4316="Open",DATE(2025,12,31)-F4316,"-")</f>
        <v>-</v>
      </c>
    </row>
    <row r="4317" customFormat="false" ht="15" hidden="false" customHeight="false" outlineLevel="0" collapsed="false">
      <c r="B4317" s="7" t="s">
        <v>18962</v>
      </c>
      <c r="C4317" s="7" t="s">
        <v>4814</v>
      </c>
      <c r="D4317" s="7" t="s">
        <v>331</v>
      </c>
      <c r="E4317" s="7" t="s">
        <v>156</v>
      </c>
      <c r="F4317" s="39" t="n">
        <v>45869</v>
      </c>
      <c r="G4317" s="41" t="n">
        <v>141.78</v>
      </c>
      <c r="H4317" s="39" t="n">
        <v>45877</v>
      </c>
      <c r="I4317" s="7" t="s">
        <v>14651</v>
      </c>
      <c r="J4317" s="8" t="str">
        <f aca="false">IF(I4317="Open",DATE(2025,12,31)-F4317,"-")</f>
        <v>-</v>
      </c>
    </row>
    <row r="4318" customFormat="false" ht="15" hidden="false" customHeight="false" outlineLevel="0" collapsed="false">
      <c r="B4318" s="7" t="s">
        <v>18963</v>
      </c>
      <c r="C4318" s="7" t="s">
        <v>4815</v>
      </c>
      <c r="D4318" s="7" t="s">
        <v>337</v>
      </c>
      <c r="E4318" s="7" t="s">
        <v>154</v>
      </c>
      <c r="F4318" s="39" t="n">
        <v>45869</v>
      </c>
      <c r="G4318" s="41" t="n">
        <v>72.74</v>
      </c>
      <c r="H4318" s="39" t="n">
        <v>45984</v>
      </c>
      <c r="I4318" s="7" t="s">
        <v>14651</v>
      </c>
      <c r="J4318" s="8" t="str">
        <f aca="false">IF(I4318="Open",DATE(2025,12,31)-F4318,"-")</f>
        <v>-</v>
      </c>
    </row>
    <row r="4319" customFormat="false" ht="15" hidden="false" customHeight="false" outlineLevel="0" collapsed="false">
      <c r="B4319" s="7" t="s">
        <v>18964</v>
      </c>
      <c r="C4319" s="7" t="s">
        <v>4816</v>
      </c>
      <c r="D4319" s="7" t="s">
        <v>341</v>
      </c>
      <c r="E4319" s="7" t="s">
        <v>156</v>
      </c>
      <c r="F4319" s="39" t="n">
        <v>45869</v>
      </c>
      <c r="G4319" s="41" t="n">
        <v>99.96</v>
      </c>
      <c r="H4319" s="39" t="n">
        <v>45889</v>
      </c>
      <c r="I4319" s="7" t="s">
        <v>14651</v>
      </c>
      <c r="J4319" s="8" t="str">
        <f aca="false">IF(I4319="Open",DATE(2025,12,31)-F4319,"-")</f>
        <v>-</v>
      </c>
    </row>
    <row r="4320" customFormat="false" ht="15" hidden="false" customHeight="false" outlineLevel="0" collapsed="false">
      <c r="B4320" s="7" t="s">
        <v>18965</v>
      </c>
      <c r="C4320" s="7" t="s">
        <v>4817</v>
      </c>
      <c r="D4320" s="7" t="s">
        <v>343</v>
      </c>
      <c r="E4320" s="7" t="s">
        <v>154</v>
      </c>
      <c r="F4320" s="39" t="n">
        <v>45869</v>
      </c>
      <c r="G4320" s="41" t="n">
        <v>108.65</v>
      </c>
      <c r="H4320" s="39" t="n">
        <v>45950</v>
      </c>
      <c r="I4320" s="7" t="s">
        <v>14651</v>
      </c>
      <c r="J4320" s="8" t="str">
        <f aca="false">IF(I4320="Open",DATE(2025,12,31)-F4320,"-")</f>
        <v>-</v>
      </c>
    </row>
    <row r="4321" customFormat="false" ht="15" hidden="false" customHeight="false" outlineLevel="0" collapsed="false">
      <c r="B4321" s="7" t="s">
        <v>18966</v>
      </c>
      <c r="C4321" s="7" t="s">
        <v>4818</v>
      </c>
      <c r="D4321" s="7" t="s">
        <v>351</v>
      </c>
      <c r="E4321" s="7" t="s">
        <v>154</v>
      </c>
      <c r="F4321" s="39" t="n">
        <v>45869</v>
      </c>
      <c r="G4321" s="41" t="n">
        <v>80.82</v>
      </c>
      <c r="H4321" s="39" t="n">
        <v>45909</v>
      </c>
      <c r="I4321" s="7" t="s">
        <v>14651</v>
      </c>
      <c r="J4321" s="8" t="str">
        <f aca="false">IF(I4321="Open",DATE(2025,12,31)-F4321,"-")</f>
        <v>-</v>
      </c>
    </row>
    <row r="4322" customFormat="false" ht="15" hidden="false" customHeight="false" outlineLevel="0" collapsed="false">
      <c r="B4322" s="7" t="s">
        <v>18967</v>
      </c>
      <c r="C4322" s="7" t="s">
        <v>4819</v>
      </c>
      <c r="D4322" s="7" t="s">
        <v>359</v>
      </c>
      <c r="E4322" s="7" t="s">
        <v>156</v>
      </c>
      <c r="F4322" s="39" t="n">
        <v>45869</v>
      </c>
      <c r="G4322" s="41" t="n">
        <v>134.3</v>
      </c>
      <c r="H4322" s="39" t="n">
        <v>45877</v>
      </c>
      <c r="I4322" s="7" t="s">
        <v>14651</v>
      </c>
      <c r="J4322" s="8" t="str">
        <f aca="false">IF(I4322="Open",DATE(2025,12,31)-F4322,"-")</f>
        <v>-</v>
      </c>
    </row>
    <row r="4323" customFormat="false" ht="15" hidden="false" customHeight="false" outlineLevel="0" collapsed="false">
      <c r="B4323" s="7" t="s">
        <v>18968</v>
      </c>
      <c r="C4323" s="7" t="s">
        <v>4820</v>
      </c>
      <c r="D4323" s="7" t="s">
        <v>363</v>
      </c>
      <c r="E4323" s="7" t="s">
        <v>156</v>
      </c>
      <c r="F4323" s="39" t="n">
        <v>45869</v>
      </c>
      <c r="G4323" s="41" t="n">
        <v>137.7</v>
      </c>
      <c r="H4323" s="39" t="n">
        <v>45870</v>
      </c>
      <c r="I4323" s="7" t="s">
        <v>14651</v>
      </c>
      <c r="J4323" s="8" t="str">
        <f aca="false">IF(I4323="Open",DATE(2025,12,31)-F4323,"-")</f>
        <v>-</v>
      </c>
    </row>
    <row r="4324" customFormat="false" ht="15" hidden="false" customHeight="false" outlineLevel="0" collapsed="false">
      <c r="B4324" s="7" t="s">
        <v>18969</v>
      </c>
      <c r="C4324" s="7" t="s">
        <v>4821</v>
      </c>
      <c r="D4324" s="7" t="s">
        <v>365</v>
      </c>
      <c r="E4324" s="7" t="s">
        <v>154</v>
      </c>
      <c r="F4324" s="39" t="n">
        <v>45869</v>
      </c>
      <c r="G4324" s="41" t="n">
        <v>115.27</v>
      </c>
      <c r="H4324" s="39" t="n">
        <v>45984</v>
      </c>
      <c r="I4324" s="7" t="s">
        <v>14651</v>
      </c>
      <c r="J4324" s="8" t="str">
        <f aca="false">IF(I4324="Open",DATE(2025,12,31)-F4324,"-")</f>
        <v>-</v>
      </c>
    </row>
    <row r="4325" customFormat="false" ht="15" hidden="false" customHeight="false" outlineLevel="0" collapsed="false">
      <c r="B4325" s="7" t="s">
        <v>18970</v>
      </c>
      <c r="C4325" s="7" t="s">
        <v>4822</v>
      </c>
      <c r="D4325" s="7" t="s">
        <v>375</v>
      </c>
      <c r="E4325" s="7" t="s">
        <v>156</v>
      </c>
      <c r="F4325" s="39" t="n">
        <v>45869</v>
      </c>
      <c r="G4325" s="41" t="n">
        <v>100.64</v>
      </c>
      <c r="H4325" s="39" t="n">
        <v>45877</v>
      </c>
      <c r="I4325" s="7" t="s">
        <v>14651</v>
      </c>
      <c r="J4325" s="8" t="str">
        <f aca="false">IF(I4325="Open",DATE(2025,12,31)-F4325,"-")</f>
        <v>-</v>
      </c>
    </row>
    <row r="4326" customFormat="false" ht="15" hidden="false" customHeight="false" outlineLevel="0" collapsed="false">
      <c r="B4326" s="7" t="s">
        <v>18971</v>
      </c>
      <c r="C4326" s="7" t="s">
        <v>4823</v>
      </c>
      <c r="D4326" s="7" t="s">
        <v>377</v>
      </c>
      <c r="E4326" s="7" t="s">
        <v>154</v>
      </c>
      <c r="F4326" s="39" t="n">
        <v>45869</v>
      </c>
      <c r="G4326" s="41" t="n">
        <v>95.37</v>
      </c>
      <c r="H4326" s="39" t="n">
        <v>45902</v>
      </c>
      <c r="I4326" s="7" t="s">
        <v>14651</v>
      </c>
      <c r="J4326" s="8" t="str">
        <f aca="false">IF(I4326="Open",DATE(2025,12,31)-F4326,"-")</f>
        <v>-</v>
      </c>
    </row>
    <row r="4327" customFormat="false" ht="15" hidden="false" customHeight="false" outlineLevel="0" collapsed="false">
      <c r="B4327" s="7" t="s">
        <v>18972</v>
      </c>
      <c r="C4327" s="7" t="s">
        <v>4824</v>
      </c>
      <c r="D4327" s="7" t="s">
        <v>387</v>
      </c>
      <c r="E4327" s="7" t="s">
        <v>154</v>
      </c>
      <c r="F4327" s="39" t="n">
        <v>45869</v>
      </c>
      <c r="G4327" s="41" t="n">
        <v>100.51</v>
      </c>
      <c r="H4327" s="39" t="n">
        <v>45973</v>
      </c>
      <c r="I4327" s="7" t="s">
        <v>14651</v>
      </c>
      <c r="J4327" s="8" t="str">
        <f aca="false">IF(I4327="Open",DATE(2025,12,31)-F4327,"-")</f>
        <v>-</v>
      </c>
    </row>
    <row r="4328" customFormat="false" ht="15" hidden="false" customHeight="false" outlineLevel="0" collapsed="false">
      <c r="B4328" s="7" t="s">
        <v>18973</v>
      </c>
      <c r="C4328" s="7" t="s">
        <v>4825</v>
      </c>
      <c r="D4328" s="7" t="s">
        <v>389</v>
      </c>
      <c r="E4328" s="7" t="s">
        <v>154</v>
      </c>
      <c r="F4328" s="39" t="n">
        <v>45869</v>
      </c>
      <c r="G4328" s="41" t="n">
        <v>101.76</v>
      </c>
      <c r="H4328" s="39" t="n">
        <v>45939</v>
      </c>
      <c r="I4328" s="7" t="s">
        <v>14651</v>
      </c>
      <c r="J4328" s="8" t="str">
        <f aca="false">IF(I4328="Open",DATE(2025,12,31)-F4328,"-")</f>
        <v>-</v>
      </c>
    </row>
    <row r="4329" customFormat="false" ht="15" hidden="false" customHeight="false" outlineLevel="0" collapsed="false">
      <c r="B4329" s="7" t="s">
        <v>18974</v>
      </c>
      <c r="C4329" s="7" t="s">
        <v>4826</v>
      </c>
      <c r="D4329" s="7" t="s">
        <v>391</v>
      </c>
      <c r="E4329" s="7" t="s">
        <v>156</v>
      </c>
      <c r="F4329" s="39" t="n">
        <v>45869</v>
      </c>
      <c r="G4329" s="41" t="n">
        <v>138.04</v>
      </c>
      <c r="H4329" s="39" t="n">
        <v>45880</v>
      </c>
      <c r="I4329" s="7" t="s">
        <v>14651</v>
      </c>
      <c r="J4329" s="8" t="str">
        <f aca="false">IF(I4329="Open",DATE(2025,12,31)-F4329,"-")</f>
        <v>-</v>
      </c>
    </row>
    <row r="4330" customFormat="false" ht="15" hidden="false" customHeight="false" outlineLevel="0" collapsed="false">
      <c r="B4330" s="7" t="s">
        <v>18975</v>
      </c>
      <c r="C4330" s="7" t="s">
        <v>4827</v>
      </c>
      <c r="D4330" s="7" t="s">
        <v>395</v>
      </c>
      <c r="E4330" s="7" t="s">
        <v>156</v>
      </c>
      <c r="F4330" s="39" t="n">
        <v>45869</v>
      </c>
      <c r="G4330" s="41" t="n">
        <v>126.48</v>
      </c>
      <c r="H4330" s="39" t="n">
        <v>45883</v>
      </c>
      <c r="I4330" s="7" t="s">
        <v>14651</v>
      </c>
      <c r="J4330" s="8" t="str">
        <f aca="false">IF(I4330="Open",DATE(2025,12,31)-F4330,"-")</f>
        <v>-</v>
      </c>
    </row>
    <row r="4331" customFormat="false" ht="15" hidden="false" customHeight="false" outlineLevel="0" collapsed="false">
      <c r="B4331" s="7" t="s">
        <v>18976</v>
      </c>
      <c r="C4331" s="7" t="s">
        <v>4828</v>
      </c>
      <c r="D4331" s="7" t="s">
        <v>280</v>
      </c>
      <c r="E4331" s="7" t="s">
        <v>157</v>
      </c>
      <c r="F4331" s="39" t="n">
        <v>45870</v>
      </c>
      <c r="G4331" s="41" t="n">
        <v>153.45</v>
      </c>
      <c r="H4331" s="39" t="n">
        <v>45916</v>
      </c>
      <c r="I4331" s="7" t="s">
        <v>14651</v>
      </c>
      <c r="J4331" s="8" t="str">
        <f aca="false">IF(I4331="Open",DATE(2025,12,31)-F4331,"-")</f>
        <v>-</v>
      </c>
    </row>
    <row r="4332" customFormat="false" ht="15" hidden="false" customHeight="false" outlineLevel="0" collapsed="false">
      <c r="B4332" s="7" t="s">
        <v>18977</v>
      </c>
      <c r="C4332" s="7" t="s">
        <v>4829</v>
      </c>
      <c r="D4332" s="7" t="s">
        <v>288</v>
      </c>
      <c r="E4332" s="7" t="s">
        <v>156</v>
      </c>
      <c r="F4332" s="39" t="n">
        <v>45870</v>
      </c>
      <c r="G4332" s="41" t="n">
        <v>143.82</v>
      </c>
      <c r="H4332" s="39" t="n">
        <v>45889</v>
      </c>
      <c r="I4332" s="7" t="s">
        <v>14651</v>
      </c>
      <c r="J4332" s="8" t="str">
        <f aca="false">IF(I4332="Open",DATE(2025,12,31)-F4332,"-")</f>
        <v>-</v>
      </c>
    </row>
    <row r="4333" customFormat="false" ht="15" hidden="false" customHeight="false" outlineLevel="0" collapsed="false">
      <c r="B4333" s="7" t="s">
        <v>18978</v>
      </c>
      <c r="C4333" s="7" t="s">
        <v>4830</v>
      </c>
      <c r="D4333" s="7" t="s">
        <v>291</v>
      </c>
      <c r="E4333" s="7" t="s">
        <v>154</v>
      </c>
      <c r="F4333" s="39" t="n">
        <v>45870</v>
      </c>
      <c r="G4333" s="41" t="n">
        <v>123.49</v>
      </c>
      <c r="H4333" s="39" t="n">
        <v>45960</v>
      </c>
      <c r="I4333" s="7" t="s">
        <v>14651</v>
      </c>
      <c r="J4333" s="8" t="str">
        <f aca="false">IF(I4333="Open",DATE(2025,12,31)-F4333,"-")</f>
        <v>-</v>
      </c>
    </row>
    <row r="4334" customFormat="false" ht="15" hidden="false" customHeight="false" outlineLevel="0" collapsed="false">
      <c r="B4334" s="7" t="s">
        <v>18979</v>
      </c>
      <c r="C4334" s="7" t="s">
        <v>4831</v>
      </c>
      <c r="D4334" s="7" t="s">
        <v>301</v>
      </c>
      <c r="E4334" s="7" t="s">
        <v>157</v>
      </c>
      <c r="F4334" s="39" t="n">
        <v>45870</v>
      </c>
      <c r="G4334" s="41" t="n">
        <v>178.2</v>
      </c>
      <c r="H4334" s="39" t="n">
        <v>45951</v>
      </c>
      <c r="I4334" s="7" t="s">
        <v>14651</v>
      </c>
      <c r="J4334" s="8" t="str">
        <f aca="false">IF(I4334="Open",DATE(2025,12,31)-F4334,"-")</f>
        <v>-</v>
      </c>
    </row>
    <row r="4335" customFormat="false" ht="15" hidden="false" customHeight="false" outlineLevel="0" collapsed="false">
      <c r="B4335" s="7" t="s">
        <v>18980</v>
      </c>
      <c r="C4335" s="7" t="s">
        <v>4832</v>
      </c>
      <c r="D4335" s="7" t="s">
        <v>305</v>
      </c>
      <c r="E4335" s="7" t="s">
        <v>154</v>
      </c>
      <c r="F4335" s="39" t="n">
        <v>45870</v>
      </c>
      <c r="G4335" s="41" t="n">
        <v>113.42</v>
      </c>
      <c r="H4335" s="39" t="n">
        <v>45902</v>
      </c>
      <c r="I4335" s="7" t="s">
        <v>14651</v>
      </c>
      <c r="J4335" s="8" t="str">
        <f aca="false">IF(I4335="Open",DATE(2025,12,31)-F4335,"-")</f>
        <v>-</v>
      </c>
    </row>
    <row r="4336" customFormat="false" ht="15" hidden="false" customHeight="false" outlineLevel="0" collapsed="false">
      <c r="B4336" s="7" t="s">
        <v>18981</v>
      </c>
      <c r="C4336" s="7" t="s">
        <v>4833</v>
      </c>
      <c r="D4336" s="7" t="s">
        <v>307</v>
      </c>
      <c r="E4336" s="7" t="s">
        <v>157</v>
      </c>
      <c r="F4336" s="39" t="n">
        <v>45870</v>
      </c>
      <c r="G4336" s="41" t="n">
        <v>166.65</v>
      </c>
      <c r="H4336" s="39" t="n">
        <v>45901</v>
      </c>
      <c r="I4336" s="7" t="s">
        <v>14651</v>
      </c>
      <c r="J4336" s="8" t="str">
        <f aca="false">IF(I4336="Open",DATE(2025,12,31)-F4336,"-")</f>
        <v>-</v>
      </c>
    </row>
    <row r="4337" customFormat="false" ht="15" hidden="false" customHeight="false" outlineLevel="0" collapsed="false">
      <c r="B4337" s="7" t="s">
        <v>18982</v>
      </c>
      <c r="C4337" s="7" t="s">
        <v>4834</v>
      </c>
      <c r="D4337" s="7" t="s">
        <v>309</v>
      </c>
      <c r="E4337" s="7" t="s">
        <v>159</v>
      </c>
      <c r="F4337" s="39" t="n">
        <v>45870</v>
      </c>
      <c r="G4337" s="41" t="n">
        <v>130.95</v>
      </c>
      <c r="H4337" s="39" t="n">
        <v>45945</v>
      </c>
      <c r="I4337" s="7" t="s">
        <v>14651</v>
      </c>
      <c r="J4337" s="8" t="str">
        <f aca="false">IF(I4337="Open",DATE(2025,12,31)-F4337,"-")</f>
        <v>-</v>
      </c>
    </row>
    <row r="4338" customFormat="false" ht="15" hidden="false" customHeight="false" outlineLevel="0" collapsed="false">
      <c r="B4338" s="7" t="s">
        <v>18983</v>
      </c>
      <c r="C4338" s="7" t="s">
        <v>4835</v>
      </c>
      <c r="D4338" s="7" t="s">
        <v>313</v>
      </c>
      <c r="E4338" s="7" t="s">
        <v>156</v>
      </c>
      <c r="F4338" s="39" t="n">
        <v>45870</v>
      </c>
      <c r="G4338" s="41" t="n">
        <v>140.42</v>
      </c>
      <c r="H4338" s="39" t="n">
        <v>45881</v>
      </c>
      <c r="I4338" s="7" t="s">
        <v>14651</v>
      </c>
      <c r="J4338" s="8" t="str">
        <f aca="false">IF(I4338="Open",DATE(2025,12,31)-F4338,"-")</f>
        <v>-</v>
      </c>
    </row>
    <row r="4339" customFormat="false" ht="15" hidden="false" customHeight="false" outlineLevel="0" collapsed="false">
      <c r="B4339" s="7" t="s">
        <v>18984</v>
      </c>
      <c r="C4339" s="7" t="s">
        <v>4836</v>
      </c>
      <c r="D4339" s="7" t="s">
        <v>319</v>
      </c>
      <c r="E4339" s="7" t="s">
        <v>157</v>
      </c>
      <c r="F4339" s="39" t="n">
        <v>45870</v>
      </c>
      <c r="G4339" s="41" t="n">
        <v>171.6</v>
      </c>
      <c r="H4339" s="39" t="n">
        <v>45907</v>
      </c>
      <c r="I4339" s="7" t="s">
        <v>14651</v>
      </c>
      <c r="J4339" s="8" t="str">
        <f aca="false">IF(I4339="Open",DATE(2025,12,31)-F4339,"-")</f>
        <v>-</v>
      </c>
    </row>
    <row r="4340" customFormat="false" ht="15" hidden="false" customHeight="false" outlineLevel="0" collapsed="false">
      <c r="B4340" s="7" t="s">
        <v>18985</v>
      </c>
      <c r="C4340" s="7" t="s">
        <v>4837</v>
      </c>
      <c r="D4340" s="7" t="s">
        <v>321</v>
      </c>
      <c r="E4340" s="7" t="s">
        <v>154</v>
      </c>
      <c r="F4340" s="39" t="n">
        <v>45870</v>
      </c>
      <c r="G4340" s="41" t="n">
        <v>100.7</v>
      </c>
      <c r="H4340" s="39" t="n">
        <v>45925</v>
      </c>
      <c r="I4340" s="7" t="s">
        <v>14651</v>
      </c>
      <c r="J4340" s="8" t="str">
        <f aca="false">IF(I4340="Open",DATE(2025,12,31)-F4340,"-")</f>
        <v>-</v>
      </c>
    </row>
    <row r="4341" customFormat="false" ht="15" hidden="false" customHeight="false" outlineLevel="0" collapsed="false">
      <c r="B4341" s="7" t="s">
        <v>18986</v>
      </c>
      <c r="C4341" s="7" t="s">
        <v>4838</v>
      </c>
      <c r="D4341" s="7" t="s">
        <v>323</v>
      </c>
      <c r="E4341" s="7" t="s">
        <v>159</v>
      </c>
      <c r="F4341" s="39" t="n">
        <v>45870</v>
      </c>
      <c r="G4341" s="41" t="n">
        <v>128.25</v>
      </c>
      <c r="H4341" s="39" t="n">
        <v>45914</v>
      </c>
      <c r="I4341" s="7" t="s">
        <v>14651</v>
      </c>
      <c r="J4341" s="8" t="str">
        <f aca="false">IF(I4341="Open",DATE(2025,12,31)-F4341,"-")</f>
        <v>-</v>
      </c>
    </row>
    <row r="4342" customFormat="false" ht="15" hidden="false" customHeight="false" outlineLevel="0" collapsed="false">
      <c r="B4342" s="7" t="s">
        <v>18987</v>
      </c>
      <c r="C4342" s="7" t="s">
        <v>4839</v>
      </c>
      <c r="D4342" s="7" t="s">
        <v>327</v>
      </c>
      <c r="E4342" s="7" t="s">
        <v>157</v>
      </c>
      <c r="F4342" s="39" t="n">
        <v>45870</v>
      </c>
      <c r="G4342" s="41" t="n">
        <v>170.77</v>
      </c>
      <c r="H4342" s="39" t="n">
        <v>45902</v>
      </c>
      <c r="I4342" s="7" t="s">
        <v>14651</v>
      </c>
      <c r="J4342" s="8" t="str">
        <f aca="false">IF(I4342="Open",DATE(2025,12,31)-F4342,"-")</f>
        <v>-</v>
      </c>
    </row>
    <row r="4343" customFormat="false" ht="15" hidden="false" customHeight="false" outlineLevel="0" collapsed="false">
      <c r="B4343" s="7" t="s">
        <v>18988</v>
      </c>
      <c r="C4343" s="7" t="s">
        <v>4840</v>
      </c>
      <c r="D4343" s="7" t="s">
        <v>329</v>
      </c>
      <c r="E4343" s="7" t="s">
        <v>156</v>
      </c>
      <c r="F4343" s="39" t="n">
        <v>45870</v>
      </c>
      <c r="G4343" s="41" t="n">
        <v>138.38</v>
      </c>
      <c r="H4343" s="39" t="n">
        <v>45871</v>
      </c>
      <c r="I4343" s="7" t="s">
        <v>14651</v>
      </c>
      <c r="J4343" s="8" t="str">
        <f aca="false">IF(I4343="Open",DATE(2025,12,31)-F4343,"-")</f>
        <v>-</v>
      </c>
    </row>
    <row r="4344" customFormat="false" ht="15" hidden="false" customHeight="false" outlineLevel="0" collapsed="false">
      <c r="B4344" s="7" t="s">
        <v>18989</v>
      </c>
      <c r="C4344" s="7" t="s">
        <v>4841</v>
      </c>
      <c r="D4344" s="7" t="s">
        <v>335</v>
      </c>
      <c r="E4344" s="7" t="s">
        <v>154</v>
      </c>
      <c r="F4344" s="39" t="n">
        <v>45870</v>
      </c>
      <c r="G4344" s="41" t="n">
        <v>112.89</v>
      </c>
      <c r="H4344" s="39" t="n">
        <v>45910</v>
      </c>
      <c r="I4344" s="7" t="s">
        <v>14651</v>
      </c>
      <c r="J4344" s="8" t="str">
        <f aca="false">IF(I4344="Open",DATE(2025,12,31)-F4344,"-")</f>
        <v>-</v>
      </c>
    </row>
    <row r="4345" customFormat="false" ht="15" hidden="false" customHeight="false" outlineLevel="0" collapsed="false">
      <c r="B4345" s="7" t="s">
        <v>18990</v>
      </c>
      <c r="C4345" s="7" t="s">
        <v>4842</v>
      </c>
      <c r="D4345" s="7" t="s">
        <v>339</v>
      </c>
      <c r="E4345" s="7" t="s">
        <v>154</v>
      </c>
      <c r="F4345" s="39" t="n">
        <v>45870</v>
      </c>
      <c r="G4345" s="41" t="n">
        <v>83.47</v>
      </c>
      <c r="H4345" s="39" t="n">
        <v>45981</v>
      </c>
      <c r="I4345" s="7" t="s">
        <v>14651</v>
      </c>
      <c r="J4345" s="8" t="str">
        <f aca="false">IF(I4345="Open",DATE(2025,12,31)-F4345,"-")</f>
        <v>-</v>
      </c>
    </row>
    <row r="4346" customFormat="false" ht="15" hidden="false" customHeight="false" outlineLevel="0" collapsed="false">
      <c r="B4346" s="7" t="s">
        <v>18991</v>
      </c>
      <c r="C4346" s="7" t="s">
        <v>4843</v>
      </c>
      <c r="D4346" s="7" t="s">
        <v>347</v>
      </c>
      <c r="E4346" s="7" t="s">
        <v>154</v>
      </c>
      <c r="F4346" s="39" t="n">
        <v>45870</v>
      </c>
      <c r="G4346" s="41" t="n">
        <v>115.01</v>
      </c>
      <c r="H4346" s="39" t="n">
        <v>45978</v>
      </c>
      <c r="I4346" s="7" t="s">
        <v>14651</v>
      </c>
      <c r="J4346" s="8" t="str">
        <f aca="false">IF(I4346="Open",DATE(2025,12,31)-F4346,"-")</f>
        <v>-</v>
      </c>
    </row>
    <row r="4347" customFormat="false" ht="15" hidden="false" customHeight="false" outlineLevel="0" collapsed="false">
      <c r="B4347" s="7" t="s">
        <v>18992</v>
      </c>
      <c r="C4347" s="7" t="s">
        <v>4844</v>
      </c>
      <c r="D4347" s="7" t="s">
        <v>353</v>
      </c>
      <c r="E4347" s="7" t="s">
        <v>154</v>
      </c>
      <c r="F4347" s="39" t="n">
        <v>45870</v>
      </c>
      <c r="G4347" s="41" t="n">
        <v>85.86</v>
      </c>
      <c r="H4347" s="39" t="n">
        <v>45893</v>
      </c>
      <c r="I4347" s="7" t="s">
        <v>14651</v>
      </c>
      <c r="J4347" s="8" t="str">
        <f aca="false">IF(I4347="Open",DATE(2025,12,31)-F4347,"-")</f>
        <v>-</v>
      </c>
    </row>
    <row r="4348" customFormat="false" ht="15" hidden="false" customHeight="false" outlineLevel="0" collapsed="false">
      <c r="B4348" s="7" t="s">
        <v>18993</v>
      </c>
      <c r="C4348" s="7" t="s">
        <v>4845</v>
      </c>
      <c r="D4348" s="7" t="s">
        <v>355</v>
      </c>
      <c r="E4348" s="7" t="s">
        <v>154</v>
      </c>
      <c r="F4348" s="39" t="n">
        <v>45870</v>
      </c>
      <c r="G4348" s="41" t="n">
        <v>85.33</v>
      </c>
      <c r="H4348" s="39" t="n">
        <v>45946</v>
      </c>
      <c r="I4348" s="7" t="s">
        <v>14651</v>
      </c>
      <c r="J4348" s="8" t="str">
        <f aca="false">IF(I4348="Open",DATE(2025,12,31)-F4348,"-")</f>
        <v>-</v>
      </c>
    </row>
    <row r="4349" customFormat="false" ht="15" hidden="false" customHeight="false" outlineLevel="0" collapsed="false">
      <c r="B4349" s="7" t="s">
        <v>18994</v>
      </c>
      <c r="C4349" s="7" t="s">
        <v>4846</v>
      </c>
      <c r="D4349" s="7" t="s">
        <v>357</v>
      </c>
      <c r="E4349" s="7" t="s">
        <v>154</v>
      </c>
      <c r="F4349" s="39" t="n">
        <v>45870</v>
      </c>
      <c r="G4349" s="41" t="n">
        <v>85.33</v>
      </c>
      <c r="H4349" s="39" t="n">
        <v>45953</v>
      </c>
      <c r="I4349" s="7" t="s">
        <v>14651</v>
      </c>
      <c r="J4349" s="8" t="str">
        <f aca="false">IF(I4349="Open",DATE(2025,12,31)-F4349,"-")</f>
        <v>-</v>
      </c>
    </row>
    <row r="4350" customFormat="false" ht="15" hidden="false" customHeight="false" outlineLevel="0" collapsed="false">
      <c r="B4350" s="7" t="s">
        <v>18995</v>
      </c>
      <c r="C4350" s="7" t="s">
        <v>4847</v>
      </c>
      <c r="D4350" s="7" t="s">
        <v>359</v>
      </c>
      <c r="E4350" s="7" t="s">
        <v>156</v>
      </c>
      <c r="F4350" s="39" t="n">
        <v>45870</v>
      </c>
      <c r="G4350" s="41" t="n">
        <v>130.9</v>
      </c>
      <c r="H4350" s="39" t="n">
        <v>45886</v>
      </c>
      <c r="I4350" s="7" t="s">
        <v>14651</v>
      </c>
      <c r="J4350" s="8" t="str">
        <f aca="false">IF(I4350="Open",DATE(2025,12,31)-F4350,"-")</f>
        <v>-</v>
      </c>
    </row>
    <row r="4351" customFormat="false" ht="15" hidden="false" customHeight="false" outlineLevel="0" collapsed="false">
      <c r="B4351" s="7" t="s">
        <v>18996</v>
      </c>
      <c r="C4351" s="7" t="s">
        <v>4848</v>
      </c>
      <c r="D4351" s="7" t="s">
        <v>361</v>
      </c>
      <c r="E4351" s="7" t="s">
        <v>157</v>
      </c>
      <c r="F4351" s="39" t="n">
        <v>45870</v>
      </c>
      <c r="G4351" s="41" t="n">
        <v>163.35</v>
      </c>
      <c r="H4351" s="39" t="n">
        <v>45917</v>
      </c>
      <c r="I4351" s="7" t="s">
        <v>14651</v>
      </c>
      <c r="J4351" s="8" t="str">
        <f aca="false">IF(I4351="Open",DATE(2025,12,31)-F4351,"-")</f>
        <v>-</v>
      </c>
    </row>
    <row r="4352" customFormat="false" ht="15" hidden="false" customHeight="false" outlineLevel="0" collapsed="false">
      <c r="B4352" s="7" t="s">
        <v>18997</v>
      </c>
      <c r="C4352" s="7" t="s">
        <v>4849</v>
      </c>
      <c r="D4352" s="7" t="s">
        <v>365</v>
      </c>
      <c r="E4352" s="7" t="s">
        <v>154</v>
      </c>
      <c r="F4352" s="39" t="n">
        <v>45870</v>
      </c>
      <c r="G4352" s="41" t="n">
        <v>102.56</v>
      </c>
      <c r="H4352" s="39" t="n">
        <v>45923</v>
      </c>
      <c r="I4352" s="7" t="s">
        <v>14651</v>
      </c>
      <c r="J4352" s="8" t="str">
        <f aca="false">IF(I4352="Open",DATE(2025,12,31)-F4352,"-")</f>
        <v>-</v>
      </c>
    </row>
    <row r="4353" customFormat="false" ht="15" hidden="false" customHeight="false" outlineLevel="0" collapsed="false">
      <c r="B4353" s="7" t="s">
        <v>18998</v>
      </c>
      <c r="C4353" s="7" t="s">
        <v>4850</v>
      </c>
      <c r="D4353" s="7" t="s">
        <v>369</v>
      </c>
      <c r="E4353" s="7" t="s">
        <v>159</v>
      </c>
      <c r="F4353" s="39" t="n">
        <v>45870</v>
      </c>
      <c r="G4353" s="41" t="n">
        <v>135</v>
      </c>
      <c r="H4353" s="39" t="n">
        <v>45900</v>
      </c>
      <c r="I4353" s="7" t="s">
        <v>14651</v>
      </c>
      <c r="J4353" s="8" t="str">
        <f aca="false">IF(I4353="Open",DATE(2025,12,31)-F4353,"-")</f>
        <v>-</v>
      </c>
    </row>
    <row r="4354" customFormat="false" ht="15" hidden="false" customHeight="false" outlineLevel="0" collapsed="false">
      <c r="B4354" s="7" t="s">
        <v>18999</v>
      </c>
      <c r="C4354" s="7" t="s">
        <v>4851</v>
      </c>
      <c r="D4354" s="7" t="s">
        <v>371</v>
      </c>
      <c r="E4354" s="7" t="s">
        <v>154</v>
      </c>
      <c r="F4354" s="39" t="n">
        <v>45870</v>
      </c>
      <c r="G4354" s="41" t="n">
        <v>121.11</v>
      </c>
      <c r="H4354" s="39" t="n">
        <v>45902</v>
      </c>
      <c r="I4354" s="7" t="s">
        <v>14651</v>
      </c>
      <c r="J4354" s="8" t="str">
        <f aca="false">IF(I4354="Open",DATE(2025,12,31)-F4354,"-")</f>
        <v>-</v>
      </c>
    </row>
    <row r="4355" customFormat="false" ht="15" hidden="false" customHeight="false" outlineLevel="0" collapsed="false">
      <c r="B4355" s="7" t="s">
        <v>19000</v>
      </c>
      <c r="C4355" s="7" t="s">
        <v>4852</v>
      </c>
      <c r="D4355" s="7" t="s">
        <v>379</v>
      </c>
      <c r="E4355" s="7" t="s">
        <v>156</v>
      </c>
      <c r="F4355" s="39" t="n">
        <v>45870</v>
      </c>
      <c r="G4355" s="41" t="n">
        <v>150.28</v>
      </c>
      <c r="H4355" s="39" t="n">
        <v>45885</v>
      </c>
      <c r="I4355" s="7" t="s">
        <v>14651</v>
      </c>
      <c r="J4355" s="8" t="str">
        <f aca="false">IF(I4355="Open",DATE(2025,12,31)-F4355,"-")</f>
        <v>-</v>
      </c>
    </row>
    <row r="4356" customFormat="false" ht="15" hidden="false" customHeight="false" outlineLevel="0" collapsed="false">
      <c r="B4356" s="7" t="s">
        <v>19001</v>
      </c>
      <c r="C4356" s="7" t="s">
        <v>4853</v>
      </c>
      <c r="D4356" s="7" t="s">
        <v>381</v>
      </c>
      <c r="E4356" s="7" t="s">
        <v>157</v>
      </c>
      <c r="F4356" s="39" t="n">
        <v>45870</v>
      </c>
      <c r="G4356" s="41" t="n">
        <v>160.05</v>
      </c>
      <c r="H4356" s="39" t="n">
        <v>45885</v>
      </c>
      <c r="I4356" s="7" t="s">
        <v>14651</v>
      </c>
      <c r="J4356" s="8" t="str">
        <f aca="false">IF(I4356="Open",DATE(2025,12,31)-F4356,"-")</f>
        <v>-</v>
      </c>
    </row>
    <row r="4357" customFormat="false" ht="15" hidden="false" customHeight="false" outlineLevel="0" collapsed="false">
      <c r="B4357" s="7" t="s">
        <v>19002</v>
      </c>
      <c r="C4357" s="7" t="s">
        <v>4854</v>
      </c>
      <c r="D4357" s="7" t="s">
        <v>383</v>
      </c>
      <c r="E4357" s="7" t="s">
        <v>157</v>
      </c>
      <c r="F4357" s="39" t="n">
        <v>45870</v>
      </c>
      <c r="G4357" s="41" t="n">
        <v>167.64</v>
      </c>
      <c r="H4357" s="39" t="n">
        <v>45951</v>
      </c>
      <c r="I4357" s="7" t="s">
        <v>14651</v>
      </c>
      <c r="J4357" s="8" t="str">
        <f aca="false">IF(I4357="Open",DATE(2025,12,31)-F4357,"-")</f>
        <v>-</v>
      </c>
    </row>
    <row r="4358" customFormat="false" ht="15" hidden="false" customHeight="false" outlineLevel="0" collapsed="false">
      <c r="B4358" s="7" t="s">
        <v>19003</v>
      </c>
      <c r="C4358" s="7" t="s">
        <v>4855</v>
      </c>
      <c r="D4358" s="7" t="s">
        <v>385</v>
      </c>
      <c r="E4358" s="7" t="s">
        <v>156</v>
      </c>
      <c r="F4358" s="39" t="n">
        <v>45870</v>
      </c>
      <c r="G4358" s="41" t="n">
        <v>142.46</v>
      </c>
      <c r="H4358" s="39" t="n">
        <v>45883</v>
      </c>
      <c r="I4358" s="7" t="s">
        <v>14651</v>
      </c>
      <c r="J4358" s="8" t="str">
        <f aca="false">IF(I4358="Open",DATE(2025,12,31)-F4358,"-")</f>
        <v>-</v>
      </c>
    </row>
    <row r="4359" customFormat="false" ht="15" hidden="false" customHeight="false" outlineLevel="0" collapsed="false">
      <c r="B4359" s="7" t="s">
        <v>19004</v>
      </c>
      <c r="C4359" s="7" t="s">
        <v>4856</v>
      </c>
      <c r="D4359" s="7" t="s">
        <v>387</v>
      </c>
      <c r="E4359" s="7" t="s">
        <v>154</v>
      </c>
      <c r="F4359" s="39" t="n">
        <v>45870</v>
      </c>
      <c r="G4359" s="41" t="n">
        <v>114.48</v>
      </c>
      <c r="H4359" s="39" t="n">
        <v>45921</v>
      </c>
      <c r="I4359" s="7" t="s">
        <v>14651</v>
      </c>
      <c r="J4359" s="8" t="str">
        <f aca="false">IF(I4359="Open",DATE(2025,12,31)-F4359,"-")</f>
        <v>-</v>
      </c>
    </row>
    <row r="4360" customFormat="false" ht="15" hidden="false" customHeight="false" outlineLevel="0" collapsed="false">
      <c r="B4360" s="7" t="s">
        <v>19005</v>
      </c>
      <c r="C4360" s="7" t="s">
        <v>4857</v>
      </c>
      <c r="D4360" s="7" t="s">
        <v>389</v>
      </c>
      <c r="E4360" s="7" t="s">
        <v>154</v>
      </c>
      <c r="F4360" s="39" t="n">
        <v>45870</v>
      </c>
      <c r="G4360" s="41" t="n">
        <v>106.93</v>
      </c>
      <c r="H4360" s="39" t="n">
        <v>45911</v>
      </c>
      <c r="I4360" s="7" t="s">
        <v>14651</v>
      </c>
      <c r="J4360" s="8" t="str">
        <f aca="false">IF(I4360="Open",DATE(2025,12,31)-F4360,"-")</f>
        <v>-</v>
      </c>
    </row>
    <row r="4361" customFormat="false" ht="15" hidden="false" customHeight="false" outlineLevel="0" collapsed="false">
      <c r="B4361" s="7" t="s">
        <v>19006</v>
      </c>
      <c r="C4361" s="7" t="s">
        <v>4858</v>
      </c>
      <c r="D4361" s="7" t="s">
        <v>391</v>
      </c>
      <c r="E4361" s="7" t="s">
        <v>156</v>
      </c>
      <c r="F4361" s="39" t="n">
        <v>45870</v>
      </c>
      <c r="G4361" s="41" t="n">
        <v>135.32</v>
      </c>
      <c r="H4361" s="39" t="n">
        <v>45881</v>
      </c>
      <c r="I4361" s="7" t="s">
        <v>14651</v>
      </c>
      <c r="J4361" s="8" t="str">
        <f aca="false">IF(I4361="Open",DATE(2025,12,31)-F4361,"-")</f>
        <v>-</v>
      </c>
    </row>
    <row r="4362" customFormat="false" ht="15" hidden="false" customHeight="false" outlineLevel="0" collapsed="false">
      <c r="B4362" s="7" t="s">
        <v>19007</v>
      </c>
      <c r="C4362" s="7" t="s">
        <v>4859</v>
      </c>
      <c r="D4362" s="7" t="s">
        <v>395</v>
      </c>
      <c r="E4362" s="7" t="s">
        <v>156</v>
      </c>
      <c r="F4362" s="39" t="n">
        <v>45870</v>
      </c>
      <c r="G4362" s="41" t="n">
        <v>145.18</v>
      </c>
      <c r="H4362" s="39" t="n">
        <v>45883</v>
      </c>
      <c r="I4362" s="7" t="s">
        <v>14651</v>
      </c>
      <c r="J4362" s="8" t="str">
        <f aca="false">IF(I4362="Open",DATE(2025,12,31)-F4362,"-")</f>
        <v>-</v>
      </c>
    </row>
    <row r="4363" customFormat="false" ht="15" hidden="false" customHeight="false" outlineLevel="0" collapsed="false">
      <c r="B4363" s="7" t="s">
        <v>19008</v>
      </c>
      <c r="C4363" s="7" t="s">
        <v>4860</v>
      </c>
      <c r="D4363" s="7" t="s">
        <v>397</v>
      </c>
      <c r="E4363" s="7" t="s">
        <v>159</v>
      </c>
      <c r="F4363" s="39" t="n">
        <v>45870</v>
      </c>
      <c r="G4363" s="41" t="n">
        <v>130.54</v>
      </c>
      <c r="H4363" s="39" t="n">
        <v>45938</v>
      </c>
      <c r="I4363" s="7" t="s">
        <v>14651</v>
      </c>
      <c r="J4363" s="8" t="str">
        <f aca="false">IF(I4363="Open",DATE(2025,12,31)-F4363,"-")</f>
        <v>-</v>
      </c>
    </row>
    <row r="4364" customFormat="false" ht="15" hidden="false" customHeight="false" outlineLevel="0" collapsed="false">
      <c r="B4364" s="7" t="s">
        <v>19009</v>
      </c>
      <c r="C4364" s="7" t="s">
        <v>4861</v>
      </c>
      <c r="D4364" s="7" t="s">
        <v>399</v>
      </c>
      <c r="E4364" s="7" t="s">
        <v>154</v>
      </c>
      <c r="F4364" s="39" t="n">
        <v>45870</v>
      </c>
      <c r="G4364" s="41" t="n">
        <v>79.95</v>
      </c>
      <c r="H4364" s="39" t="n">
        <v>45928</v>
      </c>
      <c r="I4364" s="7" t="s">
        <v>14651</v>
      </c>
      <c r="J4364" s="8" t="str">
        <f aca="false">IF(I4364="Open",DATE(2025,12,31)-F4364,"-")</f>
        <v>-</v>
      </c>
    </row>
    <row r="4365" customFormat="false" ht="15" hidden="false" customHeight="false" outlineLevel="0" collapsed="false">
      <c r="B4365" s="7" t="s">
        <v>19010</v>
      </c>
      <c r="C4365" s="7" t="s">
        <v>4862</v>
      </c>
      <c r="D4365" s="7" t="s">
        <v>401</v>
      </c>
      <c r="E4365" s="7" t="s">
        <v>156</v>
      </c>
      <c r="F4365" s="39" t="n">
        <v>45870</v>
      </c>
      <c r="G4365" s="41" t="n">
        <v>138.38</v>
      </c>
      <c r="H4365" s="39" t="n">
        <v>45888</v>
      </c>
      <c r="I4365" s="7" t="s">
        <v>14651</v>
      </c>
      <c r="J4365" s="8" t="str">
        <f aca="false">IF(I4365="Open",DATE(2025,12,31)-F4365,"-")</f>
        <v>-</v>
      </c>
    </row>
    <row r="4366" customFormat="false" ht="15" hidden="false" customHeight="false" outlineLevel="0" collapsed="false">
      <c r="B4366" s="7" t="s">
        <v>19011</v>
      </c>
      <c r="C4366" s="7" t="s">
        <v>4863</v>
      </c>
      <c r="D4366" s="7" t="s">
        <v>407</v>
      </c>
      <c r="E4366" s="7" t="s">
        <v>159</v>
      </c>
      <c r="F4366" s="39" t="n">
        <v>45870</v>
      </c>
      <c r="G4366" s="41" t="n">
        <v>143.1</v>
      </c>
      <c r="H4366" s="39" t="n">
        <v>45932</v>
      </c>
      <c r="I4366" s="7" t="s">
        <v>14651</v>
      </c>
      <c r="J4366" s="8" t="str">
        <f aca="false">IF(I4366="Open",DATE(2025,12,31)-F4366,"-")</f>
        <v>-</v>
      </c>
    </row>
    <row r="4367" customFormat="false" ht="15" hidden="false" customHeight="false" outlineLevel="0" collapsed="false">
      <c r="B4367" s="7" t="s">
        <v>19012</v>
      </c>
      <c r="C4367" s="7" t="s">
        <v>4864</v>
      </c>
      <c r="D4367" s="7" t="s">
        <v>409</v>
      </c>
      <c r="E4367" s="7" t="s">
        <v>154</v>
      </c>
      <c r="F4367" s="39" t="n">
        <v>45870</v>
      </c>
      <c r="G4367" s="41" t="n">
        <v>83.79</v>
      </c>
      <c r="H4367" s="39" t="n">
        <v>45936</v>
      </c>
      <c r="I4367" s="7" t="s">
        <v>14651</v>
      </c>
      <c r="J4367" s="8" t="str">
        <f aca="false">IF(I4367="Open",DATE(2025,12,31)-F4367,"-")</f>
        <v>-</v>
      </c>
    </row>
    <row r="4368" customFormat="false" ht="15" hidden="false" customHeight="false" outlineLevel="0" collapsed="false">
      <c r="B4368" s="7" t="s">
        <v>19013</v>
      </c>
      <c r="C4368" s="7" t="s">
        <v>4865</v>
      </c>
      <c r="D4368" s="7" t="s">
        <v>411</v>
      </c>
      <c r="E4368" s="7" t="s">
        <v>154</v>
      </c>
      <c r="F4368" s="39" t="n">
        <v>45870</v>
      </c>
      <c r="G4368" s="41" t="n">
        <v>125.88</v>
      </c>
      <c r="H4368" s="39" t="n">
        <v>45951</v>
      </c>
      <c r="I4368" s="7" t="s">
        <v>14651</v>
      </c>
      <c r="J4368" s="8" t="str">
        <f aca="false">IF(I4368="Open",DATE(2025,12,31)-F4368,"-")</f>
        <v>-</v>
      </c>
    </row>
    <row r="4369" customFormat="false" ht="15" hidden="false" customHeight="false" outlineLevel="0" collapsed="false">
      <c r="B4369" s="7" t="s">
        <v>19014</v>
      </c>
      <c r="C4369" s="7" t="s">
        <v>4866</v>
      </c>
      <c r="D4369" s="7" t="s">
        <v>288</v>
      </c>
      <c r="E4369" s="7" t="s">
        <v>156</v>
      </c>
      <c r="F4369" s="39" t="n">
        <v>45871</v>
      </c>
      <c r="G4369" s="41" t="n">
        <v>145.18</v>
      </c>
      <c r="H4369" s="39" t="n">
        <v>45883</v>
      </c>
      <c r="I4369" s="7" t="s">
        <v>14651</v>
      </c>
      <c r="J4369" s="8" t="str">
        <f aca="false">IF(I4369="Open",DATE(2025,12,31)-F4369,"-")</f>
        <v>-</v>
      </c>
    </row>
    <row r="4370" customFormat="false" ht="15" hidden="false" customHeight="false" outlineLevel="0" collapsed="false">
      <c r="B4370" s="7" t="s">
        <v>19015</v>
      </c>
      <c r="C4370" s="7" t="s">
        <v>4867</v>
      </c>
      <c r="D4370" s="7" t="s">
        <v>321</v>
      </c>
      <c r="E4370" s="7" t="s">
        <v>154</v>
      </c>
      <c r="F4370" s="39" t="n">
        <v>45871</v>
      </c>
      <c r="G4370" s="41" t="n">
        <v>113.42</v>
      </c>
      <c r="H4370" s="39" t="n">
        <v>45974</v>
      </c>
      <c r="I4370" s="7" t="s">
        <v>14651</v>
      </c>
      <c r="J4370" s="8" t="str">
        <f aca="false">IF(I4370="Open",DATE(2025,12,31)-F4370,"-")</f>
        <v>-</v>
      </c>
    </row>
    <row r="4371" customFormat="false" ht="15" hidden="false" customHeight="false" outlineLevel="0" collapsed="false">
      <c r="B4371" s="7" t="s">
        <v>19016</v>
      </c>
      <c r="C4371" s="7" t="s">
        <v>4868</v>
      </c>
      <c r="D4371" s="7" t="s">
        <v>359</v>
      </c>
      <c r="E4371" s="7" t="s">
        <v>156</v>
      </c>
      <c r="F4371" s="39" t="n">
        <v>45871</v>
      </c>
      <c r="G4371" s="41" t="n">
        <v>136.34</v>
      </c>
      <c r="H4371" s="39" t="n">
        <v>45882</v>
      </c>
      <c r="I4371" s="7" t="s">
        <v>14651</v>
      </c>
      <c r="J4371" s="8" t="str">
        <f aca="false">IF(I4371="Open",DATE(2025,12,31)-F4371,"-")</f>
        <v>-</v>
      </c>
    </row>
    <row r="4372" customFormat="false" ht="15" hidden="false" customHeight="false" outlineLevel="0" collapsed="false">
      <c r="B4372" s="7" t="s">
        <v>19017</v>
      </c>
      <c r="C4372" s="7" t="s">
        <v>4869</v>
      </c>
      <c r="D4372" s="7" t="s">
        <v>387</v>
      </c>
      <c r="E4372" s="7" t="s">
        <v>154</v>
      </c>
      <c r="F4372" s="39" t="n">
        <v>45871</v>
      </c>
      <c r="G4372" s="41" t="n">
        <v>96.19</v>
      </c>
      <c r="H4372" s="39" t="n">
        <v>45963</v>
      </c>
      <c r="I4372" s="7" t="s">
        <v>14651</v>
      </c>
      <c r="J4372" s="8" t="str">
        <f aca="false">IF(I4372="Open",DATE(2025,12,31)-F4372,"-")</f>
        <v>-</v>
      </c>
    </row>
    <row r="4373" customFormat="false" ht="15" hidden="false" customHeight="false" outlineLevel="0" collapsed="false">
      <c r="B4373" s="7" t="s">
        <v>19018</v>
      </c>
      <c r="C4373" s="7" t="s">
        <v>4870</v>
      </c>
      <c r="D4373" s="7" t="s">
        <v>391</v>
      </c>
      <c r="E4373" s="7" t="s">
        <v>156</v>
      </c>
      <c r="F4373" s="39" t="n">
        <v>45871</v>
      </c>
      <c r="G4373" s="41" t="n">
        <v>141.44</v>
      </c>
      <c r="H4373" s="39" t="n">
        <v>45888</v>
      </c>
      <c r="I4373" s="7" t="s">
        <v>14651</v>
      </c>
      <c r="J4373" s="8" t="str">
        <f aca="false">IF(I4373="Open",DATE(2025,12,31)-F4373,"-")</f>
        <v>-</v>
      </c>
    </row>
    <row r="4374" customFormat="false" ht="15" hidden="false" customHeight="false" outlineLevel="0" collapsed="false">
      <c r="B4374" s="7" t="s">
        <v>19019</v>
      </c>
      <c r="C4374" s="7" t="s">
        <v>4871</v>
      </c>
      <c r="D4374" s="7" t="s">
        <v>395</v>
      </c>
      <c r="E4374" s="7" t="s">
        <v>156</v>
      </c>
      <c r="F4374" s="39" t="n">
        <v>45871</v>
      </c>
      <c r="G4374" s="41" t="n">
        <v>136.34</v>
      </c>
      <c r="H4374" s="39" t="n">
        <v>45881</v>
      </c>
      <c r="I4374" s="7" t="s">
        <v>14651</v>
      </c>
      <c r="J4374" s="8" t="str">
        <f aca="false">IF(I4374="Open",DATE(2025,12,31)-F4374,"-")</f>
        <v>-</v>
      </c>
    </row>
    <row r="4375" customFormat="false" ht="15" hidden="false" customHeight="false" outlineLevel="0" collapsed="false">
      <c r="B4375" s="7" t="s">
        <v>19020</v>
      </c>
      <c r="C4375" s="7" t="s">
        <v>4872</v>
      </c>
      <c r="D4375" s="7" t="s">
        <v>401</v>
      </c>
      <c r="E4375" s="7" t="s">
        <v>156</v>
      </c>
      <c r="F4375" s="39" t="n">
        <v>45871</v>
      </c>
      <c r="G4375" s="41" t="n">
        <v>133.28</v>
      </c>
      <c r="H4375" s="39" t="n">
        <v>45888</v>
      </c>
      <c r="I4375" s="7" t="s">
        <v>14651</v>
      </c>
      <c r="J4375" s="8" t="str">
        <f aca="false">IF(I4375="Open",DATE(2025,12,31)-F4375,"-")</f>
        <v>-</v>
      </c>
    </row>
    <row r="4376" customFormat="false" ht="15" hidden="false" customHeight="false" outlineLevel="0" collapsed="false">
      <c r="B4376" s="7" t="s">
        <v>19021</v>
      </c>
      <c r="C4376" s="7" t="s">
        <v>4873</v>
      </c>
      <c r="D4376" s="7" t="s">
        <v>288</v>
      </c>
      <c r="E4376" s="7" t="s">
        <v>156</v>
      </c>
      <c r="F4376" s="39" t="n">
        <v>45872</v>
      </c>
      <c r="G4376" s="41" t="n">
        <v>149.26</v>
      </c>
      <c r="H4376" s="39" t="n">
        <v>45889</v>
      </c>
      <c r="I4376" s="7" t="s">
        <v>14651</v>
      </c>
      <c r="J4376" s="8" t="str">
        <f aca="false">IF(I4376="Open",DATE(2025,12,31)-F4376,"-")</f>
        <v>-</v>
      </c>
    </row>
    <row r="4377" customFormat="false" ht="15" hidden="false" customHeight="false" outlineLevel="0" collapsed="false">
      <c r="B4377" s="7" t="s">
        <v>19022</v>
      </c>
      <c r="C4377" s="7" t="s">
        <v>4874</v>
      </c>
      <c r="D4377" s="7" t="s">
        <v>321</v>
      </c>
      <c r="E4377" s="7" t="s">
        <v>154</v>
      </c>
      <c r="F4377" s="39" t="n">
        <v>45872</v>
      </c>
      <c r="G4377" s="41" t="n">
        <v>102.05</v>
      </c>
      <c r="H4377" s="39" t="n">
        <v>45922</v>
      </c>
      <c r="I4377" s="7" t="s">
        <v>14651</v>
      </c>
      <c r="J4377" s="8" t="str">
        <f aca="false">IF(I4377="Open",DATE(2025,12,31)-F4377,"-")</f>
        <v>-</v>
      </c>
    </row>
    <row r="4378" customFormat="false" ht="15" hidden="false" customHeight="false" outlineLevel="0" collapsed="false">
      <c r="B4378" s="7" t="s">
        <v>19023</v>
      </c>
      <c r="C4378" s="7" t="s">
        <v>4875</v>
      </c>
      <c r="D4378" s="7" t="s">
        <v>359</v>
      </c>
      <c r="E4378" s="7" t="s">
        <v>156</v>
      </c>
      <c r="F4378" s="39" t="n">
        <v>45872</v>
      </c>
      <c r="G4378" s="41" t="n">
        <v>124.1</v>
      </c>
      <c r="H4378" s="39" t="n">
        <v>45893</v>
      </c>
      <c r="I4378" s="7" t="s">
        <v>14651</v>
      </c>
      <c r="J4378" s="8" t="str">
        <f aca="false">IF(I4378="Open",DATE(2025,12,31)-F4378,"-")</f>
        <v>-</v>
      </c>
    </row>
    <row r="4379" customFormat="false" ht="15" hidden="false" customHeight="false" outlineLevel="0" collapsed="false">
      <c r="B4379" s="7" t="s">
        <v>19024</v>
      </c>
      <c r="C4379" s="7" t="s">
        <v>4876</v>
      </c>
      <c r="D4379" s="7" t="s">
        <v>387</v>
      </c>
      <c r="E4379" s="7" t="s">
        <v>154</v>
      </c>
      <c r="F4379" s="39" t="n">
        <v>45872</v>
      </c>
      <c r="G4379" s="41" t="n">
        <v>101.79</v>
      </c>
      <c r="H4379" s="39" t="n">
        <v>45935</v>
      </c>
      <c r="I4379" s="7" t="s">
        <v>14651</v>
      </c>
      <c r="J4379" s="8" t="str">
        <f aca="false">IF(I4379="Open",DATE(2025,12,31)-F4379,"-")</f>
        <v>-</v>
      </c>
    </row>
    <row r="4380" customFormat="false" ht="15" hidden="false" customHeight="false" outlineLevel="0" collapsed="false">
      <c r="B4380" s="7" t="s">
        <v>19025</v>
      </c>
      <c r="C4380" s="7" t="s">
        <v>4877</v>
      </c>
      <c r="D4380" s="7" t="s">
        <v>391</v>
      </c>
      <c r="E4380" s="7" t="s">
        <v>156</v>
      </c>
      <c r="F4380" s="39" t="n">
        <v>45872</v>
      </c>
      <c r="G4380" s="41" t="n">
        <v>143.48</v>
      </c>
      <c r="H4380" s="39" t="n">
        <v>45882</v>
      </c>
      <c r="I4380" s="7" t="s">
        <v>14651</v>
      </c>
      <c r="J4380" s="8" t="str">
        <f aca="false">IF(I4380="Open",DATE(2025,12,31)-F4380,"-")</f>
        <v>-</v>
      </c>
    </row>
    <row r="4381" customFormat="false" ht="15" hidden="false" customHeight="false" outlineLevel="0" collapsed="false">
      <c r="B4381" s="7" t="s">
        <v>19026</v>
      </c>
      <c r="C4381" s="7" t="s">
        <v>4878</v>
      </c>
      <c r="D4381" s="7" t="s">
        <v>395</v>
      </c>
      <c r="E4381" s="7" t="s">
        <v>156</v>
      </c>
      <c r="F4381" s="39" t="n">
        <v>45872</v>
      </c>
      <c r="G4381" s="41" t="n">
        <v>141.78</v>
      </c>
      <c r="H4381" s="39" t="n">
        <v>45889</v>
      </c>
      <c r="I4381" s="7" t="s">
        <v>14651</v>
      </c>
      <c r="J4381" s="8" t="str">
        <f aca="false">IF(I4381="Open",DATE(2025,12,31)-F4381,"-")</f>
        <v>-</v>
      </c>
    </row>
    <row r="4382" customFormat="false" ht="15" hidden="false" customHeight="false" outlineLevel="0" collapsed="false">
      <c r="B4382" s="7" t="s">
        <v>19027</v>
      </c>
      <c r="C4382" s="7" t="s">
        <v>4879</v>
      </c>
      <c r="D4382" s="7" t="s">
        <v>401</v>
      </c>
      <c r="E4382" s="7" t="s">
        <v>156</v>
      </c>
      <c r="F4382" s="39" t="n">
        <v>45872</v>
      </c>
      <c r="G4382" s="41" t="n">
        <v>140.08</v>
      </c>
      <c r="H4382" s="39" t="n">
        <v>45888</v>
      </c>
      <c r="I4382" s="7" t="s">
        <v>14651</v>
      </c>
      <c r="J4382" s="8" t="str">
        <f aca="false">IF(I4382="Open",DATE(2025,12,31)-F4382,"-")</f>
        <v>-</v>
      </c>
    </row>
    <row r="4383" customFormat="false" ht="15" hidden="false" customHeight="false" outlineLevel="0" collapsed="false">
      <c r="B4383" s="7" t="s">
        <v>19028</v>
      </c>
      <c r="C4383" s="7" t="s">
        <v>4880</v>
      </c>
      <c r="D4383" s="7" t="s">
        <v>280</v>
      </c>
      <c r="E4383" s="7" t="s">
        <v>157</v>
      </c>
      <c r="F4383" s="39" t="n">
        <v>45873</v>
      </c>
      <c r="G4383" s="41" t="n">
        <v>168.3</v>
      </c>
      <c r="H4383" s="39" t="n">
        <v>45922</v>
      </c>
      <c r="I4383" s="7" t="s">
        <v>14651</v>
      </c>
      <c r="J4383" s="8" t="str">
        <f aca="false">IF(I4383="Open",DATE(2025,12,31)-F4383,"-")</f>
        <v>-</v>
      </c>
    </row>
    <row r="4384" customFormat="false" ht="15" hidden="false" customHeight="false" outlineLevel="0" collapsed="false">
      <c r="B4384" s="7" t="s">
        <v>19029</v>
      </c>
      <c r="C4384" s="7" t="s">
        <v>4881</v>
      </c>
      <c r="D4384" s="7" t="s">
        <v>288</v>
      </c>
      <c r="E4384" s="7" t="s">
        <v>156</v>
      </c>
      <c r="F4384" s="39" t="n">
        <v>45873</v>
      </c>
      <c r="G4384" s="41" t="n">
        <v>135.32</v>
      </c>
      <c r="H4384" s="39" t="n">
        <v>45883</v>
      </c>
      <c r="I4384" s="7" t="s">
        <v>14651</v>
      </c>
      <c r="J4384" s="8" t="str">
        <f aca="false">IF(I4384="Open",DATE(2025,12,31)-F4384,"-")</f>
        <v>-</v>
      </c>
    </row>
    <row r="4385" customFormat="false" ht="15" hidden="false" customHeight="false" outlineLevel="0" collapsed="false">
      <c r="B4385" s="7" t="s">
        <v>19030</v>
      </c>
      <c r="C4385" s="7" t="s">
        <v>4882</v>
      </c>
      <c r="D4385" s="7" t="s">
        <v>291</v>
      </c>
      <c r="E4385" s="7" t="s">
        <v>154</v>
      </c>
      <c r="F4385" s="39" t="n">
        <v>45873</v>
      </c>
      <c r="G4385" s="41" t="n">
        <v>119.78</v>
      </c>
      <c r="H4385" s="39" t="n">
        <v>45912</v>
      </c>
      <c r="I4385" s="7" t="s">
        <v>14651</v>
      </c>
      <c r="J4385" s="8" t="str">
        <f aca="false">IF(I4385="Open",DATE(2025,12,31)-F4385,"-")</f>
        <v>-</v>
      </c>
    </row>
    <row r="4386" customFormat="false" ht="15" hidden="false" customHeight="false" outlineLevel="0" collapsed="false">
      <c r="B4386" s="7" t="s">
        <v>19031</v>
      </c>
      <c r="C4386" s="7" t="s">
        <v>4883</v>
      </c>
      <c r="D4386" s="7" t="s">
        <v>295</v>
      </c>
      <c r="E4386" s="7" t="s">
        <v>154</v>
      </c>
      <c r="F4386" s="39" t="n">
        <v>45873</v>
      </c>
      <c r="G4386" s="41" t="n">
        <v>112.36</v>
      </c>
      <c r="H4386" s="39" t="n">
        <v>45959</v>
      </c>
      <c r="I4386" s="7" t="s">
        <v>14651</v>
      </c>
      <c r="J4386" s="8" t="str">
        <f aca="false">IF(I4386="Open",DATE(2025,12,31)-F4386,"-")</f>
        <v>-</v>
      </c>
    </row>
    <row r="4387" customFormat="false" ht="15" hidden="false" customHeight="false" outlineLevel="0" collapsed="false">
      <c r="B4387" s="7" t="s">
        <v>19032</v>
      </c>
      <c r="C4387" s="7" t="s">
        <v>4884</v>
      </c>
      <c r="D4387" s="7" t="s">
        <v>297</v>
      </c>
      <c r="E4387" s="7" t="s">
        <v>156</v>
      </c>
      <c r="F4387" s="39" t="n">
        <v>45873</v>
      </c>
      <c r="G4387" s="41" t="n">
        <v>101.32</v>
      </c>
      <c r="H4387" s="39" t="n">
        <v>45883</v>
      </c>
      <c r="I4387" s="7" t="s">
        <v>14651</v>
      </c>
      <c r="J4387" s="8" t="str">
        <f aca="false">IF(I4387="Open",DATE(2025,12,31)-F4387,"-")</f>
        <v>-</v>
      </c>
    </row>
    <row r="4388" customFormat="false" ht="15" hidden="false" customHeight="false" outlineLevel="0" collapsed="false">
      <c r="B4388" s="7" t="s">
        <v>19033</v>
      </c>
      <c r="C4388" s="7" t="s">
        <v>4885</v>
      </c>
      <c r="D4388" s="7" t="s">
        <v>305</v>
      </c>
      <c r="E4388" s="7" t="s">
        <v>154</v>
      </c>
      <c r="F4388" s="39" t="n">
        <v>45873</v>
      </c>
      <c r="G4388" s="41" t="n">
        <v>113.69</v>
      </c>
      <c r="H4388" s="39" t="n">
        <v>45936</v>
      </c>
      <c r="I4388" s="7" t="s">
        <v>14651</v>
      </c>
      <c r="J4388" s="8" t="str">
        <f aca="false">IF(I4388="Open",DATE(2025,12,31)-F4388,"-")</f>
        <v>-</v>
      </c>
    </row>
    <row r="4389" customFormat="false" ht="15" hidden="false" customHeight="false" outlineLevel="0" collapsed="false">
      <c r="B4389" s="7" t="s">
        <v>19034</v>
      </c>
      <c r="C4389" s="7" t="s">
        <v>4886</v>
      </c>
      <c r="D4389" s="7" t="s">
        <v>307</v>
      </c>
      <c r="E4389" s="7" t="s">
        <v>157</v>
      </c>
      <c r="F4389" s="39" t="n">
        <v>45873</v>
      </c>
      <c r="G4389" s="41" t="n">
        <v>173.25</v>
      </c>
      <c r="H4389" s="39" t="n">
        <v>45919</v>
      </c>
      <c r="I4389" s="7" t="s">
        <v>14651</v>
      </c>
      <c r="J4389" s="8" t="str">
        <f aca="false">IF(I4389="Open",DATE(2025,12,31)-F4389,"-")</f>
        <v>-</v>
      </c>
    </row>
    <row r="4390" customFormat="false" ht="15" hidden="false" customHeight="false" outlineLevel="0" collapsed="false">
      <c r="B4390" s="7" t="s">
        <v>19035</v>
      </c>
      <c r="C4390" s="7" t="s">
        <v>4887</v>
      </c>
      <c r="D4390" s="7" t="s">
        <v>309</v>
      </c>
      <c r="E4390" s="7" t="s">
        <v>159</v>
      </c>
      <c r="F4390" s="39" t="n">
        <v>45873</v>
      </c>
      <c r="G4390" s="41" t="n">
        <v>147.15</v>
      </c>
      <c r="H4390" s="39" t="n">
        <v>45946</v>
      </c>
      <c r="I4390" s="7" t="s">
        <v>14651</v>
      </c>
      <c r="J4390" s="8" t="str">
        <f aca="false">IF(I4390="Open",DATE(2025,12,31)-F4390,"-")</f>
        <v>-</v>
      </c>
    </row>
    <row r="4391" customFormat="false" ht="15" hidden="false" customHeight="false" outlineLevel="0" collapsed="false">
      <c r="B4391" s="7" t="s">
        <v>19036</v>
      </c>
      <c r="C4391" s="7" t="s">
        <v>4888</v>
      </c>
      <c r="D4391" s="7" t="s">
        <v>311</v>
      </c>
      <c r="E4391" s="7" t="s">
        <v>154</v>
      </c>
      <c r="F4391" s="39" t="n">
        <v>45873</v>
      </c>
      <c r="G4391" s="41" t="n">
        <v>74.47</v>
      </c>
      <c r="H4391" s="39" t="n">
        <v>45983</v>
      </c>
      <c r="I4391" s="7" t="s">
        <v>14651</v>
      </c>
      <c r="J4391" s="8" t="str">
        <f aca="false">IF(I4391="Open",DATE(2025,12,31)-F4391,"-")</f>
        <v>-</v>
      </c>
    </row>
    <row r="4392" customFormat="false" ht="15" hidden="false" customHeight="false" outlineLevel="0" collapsed="false">
      <c r="B4392" s="7" t="s">
        <v>19037</v>
      </c>
      <c r="C4392" s="7" t="s">
        <v>4889</v>
      </c>
      <c r="D4392" s="7" t="s">
        <v>313</v>
      </c>
      <c r="E4392" s="7" t="s">
        <v>156</v>
      </c>
      <c r="F4392" s="39" t="n">
        <v>45873</v>
      </c>
      <c r="G4392" s="41" t="n">
        <v>129.2</v>
      </c>
      <c r="H4392" s="39" t="n">
        <v>45879</v>
      </c>
      <c r="I4392" s="7" t="s">
        <v>14651</v>
      </c>
      <c r="J4392" s="8" t="str">
        <f aca="false">IF(I4392="Open",DATE(2025,12,31)-F4392,"-")</f>
        <v>-</v>
      </c>
    </row>
    <row r="4393" customFormat="false" ht="15" hidden="false" customHeight="false" outlineLevel="0" collapsed="false">
      <c r="B4393" s="7" t="s">
        <v>19038</v>
      </c>
      <c r="C4393" s="7" t="s">
        <v>4890</v>
      </c>
      <c r="D4393" s="7" t="s">
        <v>317</v>
      </c>
      <c r="E4393" s="7" t="s">
        <v>156</v>
      </c>
      <c r="F4393" s="39" t="n">
        <v>45873</v>
      </c>
      <c r="G4393" s="41" t="n">
        <v>98.6</v>
      </c>
      <c r="H4393" s="39" t="n">
        <v>45882</v>
      </c>
      <c r="I4393" s="7" t="s">
        <v>14651</v>
      </c>
      <c r="J4393" s="8" t="str">
        <f aca="false">IF(I4393="Open",DATE(2025,12,31)-F4393,"-")</f>
        <v>-</v>
      </c>
    </row>
    <row r="4394" customFormat="false" ht="15" hidden="false" customHeight="false" outlineLevel="0" collapsed="false">
      <c r="B4394" s="7" t="s">
        <v>19039</v>
      </c>
      <c r="C4394" s="7" t="s">
        <v>4891</v>
      </c>
      <c r="D4394" s="7" t="s">
        <v>321</v>
      </c>
      <c r="E4394" s="7" t="s">
        <v>154</v>
      </c>
      <c r="F4394" s="39" t="n">
        <v>45873</v>
      </c>
      <c r="G4394" s="41" t="n">
        <v>106.27</v>
      </c>
      <c r="H4394" s="39" t="n">
        <v>45992</v>
      </c>
      <c r="I4394" s="7" t="s">
        <v>14651</v>
      </c>
      <c r="J4394" s="8" t="str">
        <f aca="false">IF(I4394="Open",DATE(2025,12,31)-F4394,"-")</f>
        <v>-</v>
      </c>
    </row>
    <row r="4395" customFormat="false" ht="15" hidden="false" customHeight="false" outlineLevel="0" collapsed="false">
      <c r="B4395" s="7" t="s">
        <v>19040</v>
      </c>
      <c r="C4395" s="7" t="s">
        <v>4892</v>
      </c>
      <c r="D4395" s="7" t="s">
        <v>325</v>
      </c>
      <c r="E4395" s="7" t="s">
        <v>154</v>
      </c>
      <c r="F4395" s="39" t="n">
        <v>45873</v>
      </c>
      <c r="G4395" s="41" t="n">
        <v>74.73</v>
      </c>
      <c r="H4395" s="39" t="n">
        <v>45930</v>
      </c>
      <c r="I4395" s="7" t="s">
        <v>14651</v>
      </c>
      <c r="J4395" s="8" t="str">
        <f aca="false">IF(I4395="Open",DATE(2025,12,31)-F4395,"-")</f>
        <v>-</v>
      </c>
    </row>
    <row r="4396" customFormat="false" ht="15" hidden="false" customHeight="false" outlineLevel="0" collapsed="false">
      <c r="B4396" s="7" t="s">
        <v>19041</v>
      </c>
      <c r="C4396" s="7" t="s">
        <v>4893</v>
      </c>
      <c r="D4396" s="7" t="s">
        <v>329</v>
      </c>
      <c r="E4396" s="7" t="s">
        <v>156</v>
      </c>
      <c r="F4396" s="39" t="n">
        <v>45873</v>
      </c>
      <c r="G4396" s="41" t="n">
        <v>139.74</v>
      </c>
      <c r="H4396" s="39" t="n">
        <v>45886</v>
      </c>
      <c r="I4396" s="7" t="s">
        <v>14651</v>
      </c>
      <c r="J4396" s="8" t="str">
        <f aca="false">IF(I4396="Open",DATE(2025,12,31)-F4396,"-")</f>
        <v>-</v>
      </c>
    </row>
    <row r="4397" customFormat="false" ht="15" hidden="false" customHeight="false" outlineLevel="0" collapsed="false">
      <c r="B4397" s="7" t="s">
        <v>19042</v>
      </c>
      <c r="C4397" s="7" t="s">
        <v>4894</v>
      </c>
      <c r="D4397" s="7" t="s">
        <v>335</v>
      </c>
      <c r="E4397" s="7" t="s">
        <v>154</v>
      </c>
      <c r="F4397" s="39" t="n">
        <v>45873</v>
      </c>
      <c r="G4397" s="41" t="n">
        <v>111.83</v>
      </c>
      <c r="H4397" s="39" t="n">
        <v>45945</v>
      </c>
      <c r="I4397" s="7" t="s">
        <v>14651</v>
      </c>
      <c r="J4397" s="8" t="str">
        <f aca="false">IF(I4397="Open",DATE(2025,12,31)-F4397,"-")</f>
        <v>-</v>
      </c>
    </row>
    <row r="4398" customFormat="false" ht="15" hidden="false" customHeight="false" outlineLevel="0" collapsed="false">
      <c r="B4398" s="7" t="s">
        <v>19043</v>
      </c>
      <c r="C4398" s="7" t="s">
        <v>4895</v>
      </c>
      <c r="D4398" s="7" t="s">
        <v>337</v>
      </c>
      <c r="E4398" s="7" t="s">
        <v>154</v>
      </c>
      <c r="F4398" s="39" t="n">
        <v>45873</v>
      </c>
      <c r="G4398" s="41" t="n">
        <v>73.94</v>
      </c>
      <c r="H4398" s="39" t="n">
        <v>45929</v>
      </c>
      <c r="I4398" s="7" t="s">
        <v>14651</v>
      </c>
      <c r="J4398" s="8" t="str">
        <f aca="false">IF(I4398="Open",DATE(2025,12,31)-F4398,"-")</f>
        <v>-</v>
      </c>
    </row>
    <row r="4399" customFormat="false" ht="15" hidden="false" customHeight="false" outlineLevel="0" collapsed="false">
      <c r="B4399" s="7" t="s">
        <v>19044</v>
      </c>
      <c r="C4399" s="7" t="s">
        <v>4896</v>
      </c>
      <c r="D4399" s="7" t="s">
        <v>339</v>
      </c>
      <c r="E4399" s="7" t="s">
        <v>154</v>
      </c>
      <c r="F4399" s="39" t="n">
        <v>45873</v>
      </c>
      <c r="G4399" s="41" t="n">
        <v>92.75</v>
      </c>
      <c r="H4399" s="39" t="n">
        <v>45983</v>
      </c>
      <c r="I4399" s="7" t="s">
        <v>14651</v>
      </c>
      <c r="J4399" s="8" t="str">
        <f aca="false">IF(I4399="Open",DATE(2025,12,31)-F4399,"-")</f>
        <v>-</v>
      </c>
    </row>
    <row r="4400" customFormat="false" ht="15" hidden="false" customHeight="false" outlineLevel="0" collapsed="false">
      <c r="B4400" s="7" t="s">
        <v>19045</v>
      </c>
      <c r="C4400" s="7" t="s">
        <v>4897</v>
      </c>
      <c r="D4400" s="7" t="s">
        <v>341</v>
      </c>
      <c r="E4400" s="7" t="s">
        <v>156</v>
      </c>
      <c r="F4400" s="39" t="n">
        <v>45873</v>
      </c>
      <c r="G4400" s="41" t="n">
        <v>102.68</v>
      </c>
      <c r="H4400" s="39" t="n">
        <v>45882</v>
      </c>
      <c r="I4400" s="7" t="s">
        <v>14651</v>
      </c>
      <c r="J4400" s="8" t="str">
        <f aca="false">IF(I4400="Open",DATE(2025,12,31)-F4400,"-")</f>
        <v>-</v>
      </c>
    </row>
    <row r="4401" customFormat="false" ht="15" hidden="false" customHeight="false" outlineLevel="0" collapsed="false">
      <c r="B4401" s="7" t="s">
        <v>19046</v>
      </c>
      <c r="C4401" s="7" t="s">
        <v>4898</v>
      </c>
      <c r="D4401" s="7" t="s">
        <v>343</v>
      </c>
      <c r="E4401" s="7" t="s">
        <v>154</v>
      </c>
      <c r="F4401" s="39" t="n">
        <v>45873</v>
      </c>
      <c r="G4401" s="41" t="n">
        <v>99.64</v>
      </c>
      <c r="H4401" s="39" t="n">
        <v>45968</v>
      </c>
      <c r="I4401" s="7" t="s">
        <v>14651</v>
      </c>
      <c r="J4401" s="8" t="str">
        <f aca="false">IF(I4401="Open",DATE(2025,12,31)-F4401,"-")</f>
        <v>-</v>
      </c>
    </row>
    <row r="4402" customFormat="false" ht="15" hidden="false" customHeight="false" outlineLevel="0" collapsed="false">
      <c r="B4402" s="7" t="s">
        <v>19047</v>
      </c>
      <c r="C4402" s="7" t="s">
        <v>4899</v>
      </c>
      <c r="D4402" s="7" t="s">
        <v>347</v>
      </c>
      <c r="E4402" s="7" t="s">
        <v>154</v>
      </c>
      <c r="F4402" s="39" t="n">
        <v>45873</v>
      </c>
      <c r="G4402" s="41" t="n">
        <v>129.06</v>
      </c>
      <c r="H4402" s="39" t="n">
        <v>45933</v>
      </c>
      <c r="I4402" s="7" t="s">
        <v>14651</v>
      </c>
      <c r="J4402" s="8" t="str">
        <f aca="false">IF(I4402="Open",DATE(2025,12,31)-F4402,"-")</f>
        <v>-</v>
      </c>
    </row>
    <row r="4403" customFormat="false" ht="15" hidden="false" customHeight="false" outlineLevel="0" collapsed="false">
      <c r="B4403" s="7" t="s">
        <v>19048</v>
      </c>
      <c r="C4403" s="7" t="s">
        <v>4900</v>
      </c>
      <c r="D4403" s="7" t="s">
        <v>351</v>
      </c>
      <c r="E4403" s="7" t="s">
        <v>154</v>
      </c>
      <c r="F4403" s="39" t="n">
        <v>45873</v>
      </c>
      <c r="G4403" s="41" t="n">
        <v>83.47</v>
      </c>
      <c r="H4403" s="39" t="n">
        <v>45949</v>
      </c>
      <c r="I4403" s="7" t="s">
        <v>14651</v>
      </c>
      <c r="J4403" s="8" t="str">
        <f aca="false">IF(I4403="Open",DATE(2025,12,31)-F4403,"-")</f>
        <v>-</v>
      </c>
    </row>
    <row r="4404" customFormat="false" ht="15" hidden="false" customHeight="false" outlineLevel="0" collapsed="false">
      <c r="B4404" s="7" t="s">
        <v>19049</v>
      </c>
      <c r="C4404" s="7" t="s">
        <v>4901</v>
      </c>
      <c r="D4404" s="7" t="s">
        <v>353</v>
      </c>
      <c r="E4404" s="7" t="s">
        <v>154</v>
      </c>
      <c r="F4404" s="39" t="n">
        <v>45873</v>
      </c>
      <c r="G4404" s="41" t="n">
        <v>86.66</v>
      </c>
      <c r="H4404" s="39" t="n">
        <v>45928</v>
      </c>
      <c r="I4404" s="7" t="s">
        <v>14651</v>
      </c>
      <c r="J4404" s="8" t="str">
        <f aca="false">IF(I4404="Open",DATE(2025,12,31)-F4404,"-")</f>
        <v>-</v>
      </c>
    </row>
    <row r="4405" customFormat="false" ht="15" hidden="false" customHeight="false" outlineLevel="0" collapsed="false">
      <c r="B4405" s="7" t="s">
        <v>19050</v>
      </c>
      <c r="C4405" s="7" t="s">
        <v>4902</v>
      </c>
      <c r="D4405" s="7" t="s">
        <v>355</v>
      </c>
      <c r="E4405" s="7" t="s">
        <v>154</v>
      </c>
      <c r="F4405" s="39" t="n">
        <v>45873</v>
      </c>
      <c r="G4405" s="41" t="n">
        <v>87.98</v>
      </c>
      <c r="H4405" s="39" t="n">
        <v>45949</v>
      </c>
      <c r="I4405" s="7" t="s">
        <v>14651</v>
      </c>
      <c r="J4405" s="8" t="str">
        <f aca="false">IF(I4405="Open",DATE(2025,12,31)-F4405,"-")</f>
        <v>-</v>
      </c>
    </row>
    <row r="4406" customFormat="false" ht="15" hidden="false" customHeight="false" outlineLevel="0" collapsed="false">
      <c r="B4406" s="7" t="s">
        <v>19051</v>
      </c>
      <c r="C4406" s="7" t="s">
        <v>4903</v>
      </c>
      <c r="D4406" s="7" t="s">
        <v>357</v>
      </c>
      <c r="E4406" s="7" t="s">
        <v>154</v>
      </c>
      <c r="F4406" s="39" t="n">
        <v>45873</v>
      </c>
      <c r="G4406" s="41" t="n">
        <v>95.66</v>
      </c>
      <c r="H4406" s="39" t="n">
        <v>45926</v>
      </c>
      <c r="I4406" s="7" t="s">
        <v>14651</v>
      </c>
      <c r="J4406" s="8" t="str">
        <f aca="false">IF(I4406="Open",DATE(2025,12,31)-F4406,"-")</f>
        <v>-</v>
      </c>
    </row>
    <row r="4407" customFormat="false" ht="15" hidden="false" customHeight="false" outlineLevel="0" collapsed="false">
      <c r="B4407" s="7" t="s">
        <v>19052</v>
      </c>
      <c r="C4407" s="7" t="s">
        <v>4904</v>
      </c>
      <c r="D4407" s="7" t="s">
        <v>359</v>
      </c>
      <c r="E4407" s="7" t="s">
        <v>156</v>
      </c>
      <c r="F4407" s="39" t="n">
        <v>45873</v>
      </c>
      <c r="G4407" s="41" t="n">
        <v>130.9</v>
      </c>
      <c r="H4407" s="39" t="n">
        <v>45879</v>
      </c>
      <c r="I4407" s="7" t="s">
        <v>14651</v>
      </c>
      <c r="J4407" s="8" t="str">
        <f aca="false">IF(I4407="Open",DATE(2025,12,31)-F4407,"-")</f>
        <v>-</v>
      </c>
    </row>
    <row r="4408" customFormat="false" ht="15" hidden="false" customHeight="false" outlineLevel="0" collapsed="false">
      <c r="B4408" s="7" t="s">
        <v>19053</v>
      </c>
      <c r="C4408" s="7" t="s">
        <v>4905</v>
      </c>
      <c r="D4408" s="7" t="s">
        <v>363</v>
      </c>
      <c r="E4408" s="7" t="s">
        <v>156</v>
      </c>
      <c r="F4408" s="39" t="n">
        <v>45873</v>
      </c>
      <c r="G4408" s="41" t="n">
        <v>146.54</v>
      </c>
      <c r="H4408" s="39" t="n">
        <v>45880</v>
      </c>
      <c r="I4408" s="7" t="s">
        <v>14651</v>
      </c>
      <c r="J4408" s="8" t="str">
        <f aca="false">IF(I4408="Open",DATE(2025,12,31)-F4408,"-")</f>
        <v>-</v>
      </c>
    </row>
    <row r="4409" customFormat="false" ht="15" hidden="false" customHeight="false" outlineLevel="0" collapsed="false">
      <c r="B4409" s="7" t="s">
        <v>19054</v>
      </c>
      <c r="C4409" s="7" t="s">
        <v>4906</v>
      </c>
      <c r="D4409" s="7" t="s">
        <v>365</v>
      </c>
      <c r="E4409" s="7" t="s">
        <v>154</v>
      </c>
      <c r="F4409" s="39" t="n">
        <v>45873</v>
      </c>
      <c r="G4409" s="41" t="n">
        <v>109.44</v>
      </c>
      <c r="H4409" s="39" t="n">
        <v>45907</v>
      </c>
      <c r="I4409" s="7" t="s">
        <v>14651</v>
      </c>
      <c r="J4409" s="8" t="str">
        <f aca="false">IF(I4409="Open",DATE(2025,12,31)-F4409,"-")</f>
        <v>-</v>
      </c>
    </row>
    <row r="4410" customFormat="false" ht="15" hidden="false" customHeight="false" outlineLevel="0" collapsed="false">
      <c r="B4410" s="7" t="s">
        <v>19055</v>
      </c>
      <c r="C4410" s="7" t="s">
        <v>4907</v>
      </c>
      <c r="D4410" s="7" t="s">
        <v>371</v>
      </c>
      <c r="E4410" s="7" t="s">
        <v>154</v>
      </c>
      <c r="F4410" s="39" t="n">
        <v>45873</v>
      </c>
      <c r="G4410" s="41" t="n">
        <v>111.3</v>
      </c>
      <c r="H4410" s="39" t="n">
        <v>45922</v>
      </c>
      <c r="I4410" s="7" t="s">
        <v>14651</v>
      </c>
      <c r="J4410" s="8" t="str">
        <f aca="false">IF(I4410="Open",DATE(2025,12,31)-F4410,"-")</f>
        <v>-</v>
      </c>
    </row>
    <row r="4411" customFormat="false" ht="15" hidden="false" customHeight="false" outlineLevel="0" collapsed="false">
      <c r="B4411" s="7" t="s">
        <v>19056</v>
      </c>
      <c r="C4411" s="7" t="s">
        <v>4908</v>
      </c>
      <c r="D4411" s="7" t="s">
        <v>375</v>
      </c>
      <c r="E4411" s="7" t="s">
        <v>156</v>
      </c>
      <c r="F4411" s="39" t="n">
        <v>45873</v>
      </c>
      <c r="G4411" s="41" t="n">
        <v>108.46</v>
      </c>
      <c r="H4411" s="39" t="n">
        <v>45882</v>
      </c>
      <c r="I4411" s="7" t="s">
        <v>14651</v>
      </c>
      <c r="J4411" s="8" t="str">
        <f aca="false">IF(I4411="Open",DATE(2025,12,31)-F4411,"-")</f>
        <v>-</v>
      </c>
    </row>
    <row r="4412" customFormat="false" ht="15" hidden="false" customHeight="false" outlineLevel="0" collapsed="false">
      <c r="B4412" s="7" t="s">
        <v>19057</v>
      </c>
      <c r="C4412" s="7" t="s">
        <v>4909</v>
      </c>
      <c r="D4412" s="7" t="s">
        <v>377</v>
      </c>
      <c r="E4412" s="7" t="s">
        <v>154</v>
      </c>
      <c r="F4412" s="39" t="n">
        <v>45873</v>
      </c>
      <c r="G4412" s="41" t="n">
        <v>96.46</v>
      </c>
      <c r="H4412" s="39" t="n">
        <v>45893</v>
      </c>
      <c r="I4412" s="7" t="s">
        <v>14651</v>
      </c>
      <c r="J4412" s="8" t="str">
        <f aca="false">IF(I4412="Open",DATE(2025,12,31)-F4412,"-")</f>
        <v>-</v>
      </c>
    </row>
    <row r="4413" customFormat="false" ht="15" hidden="false" customHeight="false" outlineLevel="0" collapsed="false">
      <c r="B4413" s="7" t="s">
        <v>19058</v>
      </c>
      <c r="C4413" s="7" t="s">
        <v>4910</v>
      </c>
      <c r="D4413" s="7" t="s">
        <v>379</v>
      </c>
      <c r="E4413" s="7" t="s">
        <v>156</v>
      </c>
      <c r="F4413" s="39" t="n">
        <v>45873</v>
      </c>
      <c r="G4413" s="41" t="n">
        <v>159.8</v>
      </c>
      <c r="H4413" s="39" t="n">
        <v>45885</v>
      </c>
      <c r="I4413" s="7" t="s">
        <v>14651</v>
      </c>
      <c r="J4413" s="8" t="str">
        <f aca="false">IF(I4413="Open",DATE(2025,12,31)-F4413,"-")</f>
        <v>-</v>
      </c>
    </row>
    <row r="4414" customFormat="false" ht="15" hidden="false" customHeight="false" outlineLevel="0" collapsed="false">
      <c r="B4414" s="7" t="s">
        <v>19059</v>
      </c>
      <c r="C4414" s="7" t="s">
        <v>4911</v>
      </c>
      <c r="D4414" s="7" t="s">
        <v>385</v>
      </c>
      <c r="E4414" s="7" t="s">
        <v>156</v>
      </c>
      <c r="F4414" s="39" t="n">
        <v>45873</v>
      </c>
      <c r="G4414" s="41" t="n">
        <v>122.74</v>
      </c>
      <c r="H4414" s="39" t="n">
        <v>45887</v>
      </c>
      <c r="I4414" s="7" t="s">
        <v>14651</v>
      </c>
      <c r="J4414" s="8" t="str">
        <f aca="false">IF(I4414="Open",DATE(2025,12,31)-F4414,"-")</f>
        <v>-</v>
      </c>
    </row>
    <row r="4415" customFormat="false" ht="15" hidden="false" customHeight="false" outlineLevel="0" collapsed="false">
      <c r="B4415" s="7" t="s">
        <v>19060</v>
      </c>
      <c r="C4415" s="7" t="s">
        <v>4912</v>
      </c>
      <c r="D4415" s="7" t="s">
        <v>387</v>
      </c>
      <c r="E4415" s="7" t="s">
        <v>154</v>
      </c>
      <c r="F4415" s="39" t="n">
        <v>45873</v>
      </c>
      <c r="G4415" s="41" t="n">
        <v>111.56</v>
      </c>
      <c r="H4415" s="39" t="n">
        <v>45916</v>
      </c>
      <c r="I4415" s="7" t="s">
        <v>14651</v>
      </c>
      <c r="J4415" s="8" t="str">
        <f aca="false">IF(I4415="Open",DATE(2025,12,31)-F4415,"-")</f>
        <v>-</v>
      </c>
    </row>
    <row r="4416" customFormat="false" ht="15" hidden="false" customHeight="false" outlineLevel="0" collapsed="false">
      <c r="B4416" s="7" t="s">
        <v>19061</v>
      </c>
      <c r="C4416" s="7" t="s">
        <v>4913</v>
      </c>
      <c r="D4416" s="7" t="s">
        <v>389</v>
      </c>
      <c r="E4416" s="7" t="s">
        <v>154</v>
      </c>
      <c r="F4416" s="39" t="n">
        <v>45873</v>
      </c>
      <c r="G4416" s="41" t="n">
        <v>109.44</v>
      </c>
      <c r="H4416" s="39" t="n">
        <v>45980</v>
      </c>
      <c r="I4416" s="7" t="s">
        <v>14651</v>
      </c>
      <c r="J4416" s="8" t="str">
        <f aca="false">IF(I4416="Open",DATE(2025,12,31)-F4416,"-")</f>
        <v>-</v>
      </c>
    </row>
    <row r="4417" customFormat="false" ht="15" hidden="false" customHeight="false" outlineLevel="0" collapsed="false">
      <c r="B4417" s="7" t="s">
        <v>19062</v>
      </c>
      <c r="C4417" s="7" t="s">
        <v>4914</v>
      </c>
      <c r="D4417" s="7" t="s">
        <v>391</v>
      </c>
      <c r="E4417" s="7" t="s">
        <v>156</v>
      </c>
      <c r="F4417" s="39" t="n">
        <v>45873</v>
      </c>
      <c r="G4417" s="41" t="n">
        <v>137.02</v>
      </c>
      <c r="H4417" s="39" t="n">
        <v>45887</v>
      </c>
      <c r="I4417" s="7" t="s">
        <v>14651</v>
      </c>
      <c r="J4417" s="8" t="str">
        <f aca="false">IF(I4417="Open",DATE(2025,12,31)-F4417,"-")</f>
        <v>-</v>
      </c>
    </row>
    <row r="4418" customFormat="false" ht="15" hidden="false" customHeight="false" outlineLevel="0" collapsed="false">
      <c r="B4418" s="7" t="s">
        <v>19063</v>
      </c>
      <c r="C4418" s="7" t="s">
        <v>4915</v>
      </c>
      <c r="D4418" s="7" t="s">
        <v>395</v>
      </c>
      <c r="E4418" s="7" t="s">
        <v>156</v>
      </c>
      <c r="F4418" s="39" t="n">
        <v>45873</v>
      </c>
      <c r="G4418" s="41" t="n">
        <v>145.52</v>
      </c>
      <c r="H4418" s="39" t="n">
        <v>45891</v>
      </c>
      <c r="I4418" s="7" t="s">
        <v>14651</v>
      </c>
      <c r="J4418" s="8" t="str">
        <f aca="false">IF(I4418="Open",DATE(2025,12,31)-F4418,"-")</f>
        <v>-</v>
      </c>
    </row>
    <row r="4419" customFormat="false" ht="15" hidden="false" customHeight="false" outlineLevel="0" collapsed="false">
      <c r="B4419" s="7" t="s">
        <v>19064</v>
      </c>
      <c r="C4419" s="7" t="s">
        <v>4916</v>
      </c>
      <c r="D4419" s="7" t="s">
        <v>399</v>
      </c>
      <c r="E4419" s="7" t="s">
        <v>154</v>
      </c>
      <c r="F4419" s="39" t="n">
        <v>45873</v>
      </c>
      <c r="G4419" s="41" t="n">
        <v>89.46</v>
      </c>
      <c r="H4419" s="39" t="n">
        <v>45939</v>
      </c>
      <c r="I4419" s="7" t="s">
        <v>14651</v>
      </c>
      <c r="J4419" s="8" t="str">
        <f aca="false">IF(I4419="Open",DATE(2025,12,31)-F4419,"-")</f>
        <v>-</v>
      </c>
    </row>
    <row r="4420" customFormat="false" ht="15" hidden="false" customHeight="false" outlineLevel="0" collapsed="false">
      <c r="B4420" s="7" t="s">
        <v>19065</v>
      </c>
      <c r="C4420" s="7" t="s">
        <v>4917</v>
      </c>
      <c r="D4420" s="7" t="s">
        <v>401</v>
      </c>
      <c r="E4420" s="7" t="s">
        <v>156</v>
      </c>
      <c r="F4420" s="39" t="n">
        <v>45873</v>
      </c>
      <c r="G4420" s="41" t="n">
        <v>133.96</v>
      </c>
      <c r="H4420" s="39" t="n">
        <v>45884</v>
      </c>
      <c r="I4420" s="7" t="s">
        <v>14651</v>
      </c>
      <c r="J4420" s="8" t="str">
        <f aca="false">IF(I4420="Open",DATE(2025,12,31)-F4420,"-")</f>
        <v>-</v>
      </c>
    </row>
    <row r="4421" customFormat="false" ht="15" hidden="false" customHeight="false" outlineLevel="0" collapsed="false">
      <c r="B4421" s="7" t="s">
        <v>19066</v>
      </c>
      <c r="C4421" s="7" t="s">
        <v>4918</v>
      </c>
      <c r="D4421" s="7" t="s">
        <v>409</v>
      </c>
      <c r="E4421" s="7" t="s">
        <v>154</v>
      </c>
      <c r="F4421" s="39" t="n">
        <v>45873</v>
      </c>
      <c r="G4421" s="41" t="n">
        <v>87.98</v>
      </c>
      <c r="H4421" s="39" t="n">
        <v>45931</v>
      </c>
      <c r="I4421" s="7" t="s">
        <v>14651</v>
      </c>
      <c r="J4421" s="8" t="str">
        <f aca="false">IF(I4421="Open",DATE(2025,12,31)-F4421,"-")</f>
        <v>-</v>
      </c>
    </row>
    <row r="4422" customFormat="false" ht="15" hidden="false" customHeight="false" outlineLevel="0" collapsed="false">
      <c r="B4422" s="7" t="s">
        <v>19067</v>
      </c>
      <c r="C4422" s="7" t="s">
        <v>4919</v>
      </c>
      <c r="D4422" s="7" t="s">
        <v>411</v>
      </c>
      <c r="E4422" s="7" t="s">
        <v>154</v>
      </c>
      <c r="F4422" s="39" t="n">
        <v>45873</v>
      </c>
      <c r="G4422" s="41" t="n">
        <v>129.32</v>
      </c>
      <c r="H4422" s="39" t="n">
        <v>45955</v>
      </c>
      <c r="I4422" s="7" t="s">
        <v>14651</v>
      </c>
      <c r="J4422" s="8" t="str">
        <f aca="false">IF(I4422="Open",DATE(2025,12,31)-F4422,"-")</f>
        <v>-</v>
      </c>
    </row>
    <row r="4423" customFormat="false" ht="15" hidden="false" customHeight="false" outlineLevel="0" collapsed="false">
      <c r="B4423" s="7" t="s">
        <v>19068</v>
      </c>
      <c r="C4423" s="7" t="s">
        <v>4920</v>
      </c>
      <c r="D4423" s="7" t="s">
        <v>288</v>
      </c>
      <c r="E4423" s="7" t="s">
        <v>156</v>
      </c>
      <c r="F4423" s="39" t="n">
        <v>45874</v>
      </c>
      <c r="G4423" s="41" t="n">
        <v>129.54</v>
      </c>
      <c r="H4423" s="39" t="n">
        <v>45889</v>
      </c>
      <c r="I4423" s="7" t="s">
        <v>14651</v>
      </c>
      <c r="J4423" s="8" t="str">
        <f aca="false">IF(I4423="Open",DATE(2025,12,31)-F4423,"-")</f>
        <v>-</v>
      </c>
    </row>
    <row r="4424" customFormat="false" ht="15" hidden="false" customHeight="false" outlineLevel="0" collapsed="false">
      <c r="B4424" s="7" t="s">
        <v>19069</v>
      </c>
      <c r="C4424" s="7" t="s">
        <v>4921</v>
      </c>
      <c r="D4424" s="7" t="s">
        <v>301</v>
      </c>
      <c r="E4424" s="7" t="s">
        <v>157</v>
      </c>
      <c r="F4424" s="39" t="n">
        <v>45874</v>
      </c>
      <c r="G4424" s="41" t="n">
        <v>153.45</v>
      </c>
      <c r="H4424" s="39" t="n">
        <v>45929</v>
      </c>
      <c r="I4424" s="7" t="s">
        <v>14651</v>
      </c>
      <c r="J4424" s="8" t="str">
        <f aca="false">IF(I4424="Open",DATE(2025,12,31)-F4424,"-")</f>
        <v>-</v>
      </c>
    </row>
    <row r="4425" customFormat="false" ht="15" hidden="false" customHeight="false" outlineLevel="0" collapsed="false">
      <c r="B4425" s="7" t="s">
        <v>19070</v>
      </c>
      <c r="C4425" s="7" t="s">
        <v>4922</v>
      </c>
      <c r="D4425" s="7" t="s">
        <v>313</v>
      </c>
      <c r="E4425" s="7" t="s">
        <v>156</v>
      </c>
      <c r="F4425" s="39" t="n">
        <v>45874</v>
      </c>
      <c r="G4425" s="41" t="n">
        <v>130.9</v>
      </c>
      <c r="H4425" s="39" t="n">
        <v>45887</v>
      </c>
      <c r="I4425" s="7" t="s">
        <v>14651</v>
      </c>
      <c r="J4425" s="8" t="str">
        <f aca="false">IF(I4425="Open",DATE(2025,12,31)-F4425,"-")</f>
        <v>-</v>
      </c>
    </row>
    <row r="4426" customFormat="false" ht="15" hidden="false" customHeight="false" outlineLevel="0" collapsed="false">
      <c r="B4426" s="7" t="s">
        <v>19071</v>
      </c>
      <c r="C4426" s="7" t="s">
        <v>4923</v>
      </c>
      <c r="D4426" s="7" t="s">
        <v>319</v>
      </c>
      <c r="E4426" s="7" t="s">
        <v>157</v>
      </c>
      <c r="F4426" s="39" t="n">
        <v>45874</v>
      </c>
      <c r="G4426" s="41" t="n">
        <v>150.15</v>
      </c>
      <c r="H4426" s="39" t="n">
        <v>45954</v>
      </c>
      <c r="I4426" s="7" t="s">
        <v>14651</v>
      </c>
      <c r="J4426" s="8" t="str">
        <f aca="false">IF(I4426="Open",DATE(2025,12,31)-F4426,"-")</f>
        <v>-</v>
      </c>
    </row>
    <row r="4427" customFormat="false" ht="15" hidden="false" customHeight="false" outlineLevel="0" collapsed="false">
      <c r="B4427" s="7" t="s">
        <v>19072</v>
      </c>
      <c r="C4427" s="7" t="s">
        <v>4924</v>
      </c>
      <c r="D4427" s="7" t="s">
        <v>323</v>
      </c>
      <c r="E4427" s="7" t="s">
        <v>159</v>
      </c>
      <c r="F4427" s="39" t="n">
        <v>45874</v>
      </c>
      <c r="G4427" s="41" t="n">
        <v>122.85</v>
      </c>
      <c r="H4427" s="39" t="n">
        <v>45901</v>
      </c>
      <c r="I4427" s="7" t="s">
        <v>14651</v>
      </c>
      <c r="J4427" s="8" t="str">
        <f aca="false">IF(I4427="Open",DATE(2025,12,31)-F4427,"-")</f>
        <v>-</v>
      </c>
    </row>
    <row r="4428" customFormat="false" ht="15" hidden="false" customHeight="false" outlineLevel="0" collapsed="false">
      <c r="B4428" s="7" t="s">
        <v>19073</v>
      </c>
      <c r="C4428" s="7" t="s">
        <v>4925</v>
      </c>
      <c r="D4428" s="7" t="s">
        <v>327</v>
      </c>
      <c r="E4428" s="7" t="s">
        <v>157</v>
      </c>
      <c r="F4428" s="39" t="n">
        <v>45874</v>
      </c>
      <c r="G4428" s="41" t="n">
        <v>156.75</v>
      </c>
      <c r="H4428" s="39" t="n">
        <v>45909</v>
      </c>
      <c r="I4428" s="7" t="s">
        <v>14651</v>
      </c>
      <c r="J4428" s="8" t="str">
        <f aca="false">IF(I4428="Open",DATE(2025,12,31)-F4428,"-")</f>
        <v>-</v>
      </c>
    </row>
    <row r="4429" customFormat="false" ht="15" hidden="false" customHeight="false" outlineLevel="0" collapsed="false">
      <c r="B4429" s="7" t="s">
        <v>19074</v>
      </c>
      <c r="C4429" s="7" t="s">
        <v>4926</v>
      </c>
      <c r="D4429" s="7" t="s">
        <v>329</v>
      </c>
      <c r="E4429" s="7" t="s">
        <v>156</v>
      </c>
      <c r="F4429" s="39" t="n">
        <v>45874</v>
      </c>
      <c r="G4429" s="41" t="n">
        <v>131.58</v>
      </c>
      <c r="H4429" s="39" t="n">
        <v>45879</v>
      </c>
      <c r="I4429" s="7" t="s">
        <v>14651</v>
      </c>
      <c r="J4429" s="8" t="str">
        <f aca="false">IF(I4429="Open",DATE(2025,12,31)-F4429,"-")</f>
        <v>-</v>
      </c>
    </row>
    <row r="4430" customFormat="false" ht="15" hidden="false" customHeight="false" outlineLevel="0" collapsed="false">
      <c r="B4430" s="7" t="s">
        <v>19075</v>
      </c>
      <c r="C4430" s="7" t="s">
        <v>4927</v>
      </c>
      <c r="D4430" s="7" t="s">
        <v>359</v>
      </c>
      <c r="E4430" s="7" t="s">
        <v>156</v>
      </c>
      <c r="F4430" s="39" t="n">
        <v>45874</v>
      </c>
      <c r="G4430" s="41" t="n">
        <v>137.02</v>
      </c>
      <c r="H4430" s="39" t="n">
        <v>45885</v>
      </c>
      <c r="I4430" s="7" t="s">
        <v>14651</v>
      </c>
      <c r="J4430" s="8" t="str">
        <f aca="false">IF(I4430="Open",DATE(2025,12,31)-F4430,"-")</f>
        <v>-</v>
      </c>
    </row>
    <row r="4431" customFormat="false" ht="15" hidden="false" customHeight="false" outlineLevel="0" collapsed="false">
      <c r="B4431" s="7" t="s">
        <v>19076</v>
      </c>
      <c r="C4431" s="7" t="s">
        <v>4928</v>
      </c>
      <c r="D4431" s="7" t="s">
        <v>361</v>
      </c>
      <c r="E4431" s="7" t="s">
        <v>157</v>
      </c>
      <c r="F4431" s="39" t="n">
        <v>45874</v>
      </c>
      <c r="G4431" s="41" t="n">
        <v>158.4</v>
      </c>
      <c r="H4431" s="39" t="n">
        <v>45958</v>
      </c>
      <c r="I4431" s="7" t="s">
        <v>14651</v>
      </c>
      <c r="J4431" s="8" t="str">
        <f aca="false">IF(I4431="Open",DATE(2025,12,31)-F4431,"-")</f>
        <v>-</v>
      </c>
    </row>
    <row r="4432" customFormat="false" ht="15" hidden="false" customHeight="false" outlineLevel="0" collapsed="false">
      <c r="B4432" s="7" t="s">
        <v>19077</v>
      </c>
      <c r="C4432" s="7" t="s">
        <v>4929</v>
      </c>
      <c r="D4432" s="7" t="s">
        <v>365</v>
      </c>
      <c r="E4432" s="7" t="s">
        <v>154</v>
      </c>
      <c r="F4432" s="39" t="n">
        <v>45874</v>
      </c>
      <c r="G4432" s="41" t="n">
        <v>102.82</v>
      </c>
      <c r="H4432" s="39" t="n">
        <v>45920</v>
      </c>
      <c r="I4432" s="7" t="s">
        <v>14651</v>
      </c>
      <c r="J4432" s="8" t="str">
        <f aca="false">IF(I4432="Open",DATE(2025,12,31)-F4432,"-")</f>
        <v>-</v>
      </c>
    </row>
    <row r="4433" customFormat="false" ht="15" hidden="false" customHeight="false" outlineLevel="0" collapsed="false">
      <c r="B4433" s="7" t="s">
        <v>19078</v>
      </c>
      <c r="C4433" s="7" t="s">
        <v>4930</v>
      </c>
      <c r="D4433" s="7" t="s">
        <v>369</v>
      </c>
      <c r="E4433" s="7" t="s">
        <v>159</v>
      </c>
      <c r="F4433" s="39" t="n">
        <v>45874</v>
      </c>
      <c r="G4433" s="41" t="n">
        <v>147.15</v>
      </c>
      <c r="H4433" s="39" t="n">
        <v>45985</v>
      </c>
      <c r="I4433" s="7" t="s">
        <v>14651</v>
      </c>
      <c r="J4433" s="8" t="str">
        <f aca="false">IF(I4433="Open",DATE(2025,12,31)-F4433,"-")</f>
        <v>-</v>
      </c>
    </row>
    <row r="4434" customFormat="false" ht="15" hidden="false" customHeight="false" outlineLevel="0" collapsed="false">
      <c r="B4434" s="7" t="s">
        <v>19079</v>
      </c>
      <c r="C4434" s="7" t="s">
        <v>4931</v>
      </c>
      <c r="D4434" s="7" t="s">
        <v>381</v>
      </c>
      <c r="E4434" s="7" t="s">
        <v>157</v>
      </c>
      <c r="F4434" s="39" t="n">
        <v>45874</v>
      </c>
      <c r="G4434" s="41" t="n">
        <v>168.3</v>
      </c>
      <c r="H4434" s="39" t="n">
        <v>45924</v>
      </c>
      <c r="I4434" s="7" t="s">
        <v>14651</v>
      </c>
      <c r="J4434" s="8" t="str">
        <f aca="false">IF(I4434="Open",DATE(2025,12,31)-F4434,"-")</f>
        <v>-</v>
      </c>
    </row>
    <row r="4435" customFormat="false" ht="15" hidden="false" customHeight="false" outlineLevel="0" collapsed="false">
      <c r="B4435" s="7" t="s">
        <v>19080</v>
      </c>
      <c r="C4435" s="7" t="s">
        <v>4932</v>
      </c>
      <c r="D4435" s="7" t="s">
        <v>383</v>
      </c>
      <c r="E4435" s="7" t="s">
        <v>157</v>
      </c>
      <c r="F4435" s="39" t="n">
        <v>45874</v>
      </c>
      <c r="G4435" s="41" t="n">
        <v>181.5</v>
      </c>
      <c r="H4435" s="39" t="n">
        <v>45916</v>
      </c>
      <c r="I4435" s="7" t="s">
        <v>14651</v>
      </c>
      <c r="J4435" s="8" t="str">
        <f aca="false">IF(I4435="Open",DATE(2025,12,31)-F4435,"-")</f>
        <v>-</v>
      </c>
    </row>
    <row r="4436" customFormat="false" ht="15" hidden="false" customHeight="false" outlineLevel="0" collapsed="false">
      <c r="B4436" s="7" t="s">
        <v>19081</v>
      </c>
      <c r="C4436" s="7" t="s">
        <v>4933</v>
      </c>
      <c r="D4436" s="7" t="s">
        <v>387</v>
      </c>
      <c r="E4436" s="7" t="s">
        <v>154</v>
      </c>
      <c r="F4436" s="39" t="n">
        <v>45874</v>
      </c>
      <c r="G4436" s="41" t="n">
        <v>106.53</v>
      </c>
      <c r="H4436" s="39" t="n">
        <v>45957</v>
      </c>
      <c r="I4436" s="7" t="s">
        <v>14651</v>
      </c>
      <c r="J4436" s="8" t="str">
        <f aca="false">IF(I4436="Open",DATE(2025,12,31)-F4436,"-")</f>
        <v>-</v>
      </c>
    </row>
    <row r="4437" customFormat="false" ht="15" hidden="false" customHeight="false" outlineLevel="0" collapsed="false">
      <c r="B4437" s="7" t="s">
        <v>19082</v>
      </c>
      <c r="C4437" s="7" t="s">
        <v>4934</v>
      </c>
      <c r="D4437" s="7" t="s">
        <v>389</v>
      </c>
      <c r="E4437" s="7" t="s">
        <v>154</v>
      </c>
      <c r="F4437" s="39" t="n">
        <v>45874</v>
      </c>
      <c r="G4437" s="41" t="n">
        <v>116.33</v>
      </c>
      <c r="H4437" s="39" t="n">
        <v>45994</v>
      </c>
      <c r="I4437" s="7" t="s">
        <v>14651</v>
      </c>
      <c r="J4437" s="8" t="str">
        <f aca="false">IF(I4437="Open",DATE(2025,12,31)-F4437,"-")</f>
        <v>-</v>
      </c>
    </row>
    <row r="4438" customFormat="false" ht="15" hidden="false" customHeight="false" outlineLevel="0" collapsed="false">
      <c r="B4438" s="7" t="s">
        <v>19083</v>
      </c>
      <c r="C4438" s="7" t="s">
        <v>4935</v>
      </c>
      <c r="D4438" s="7" t="s">
        <v>391</v>
      </c>
      <c r="E4438" s="7" t="s">
        <v>156</v>
      </c>
      <c r="F4438" s="39" t="n">
        <v>45874</v>
      </c>
      <c r="G4438" s="41" t="n">
        <v>131.58</v>
      </c>
      <c r="H4438" s="39" t="n">
        <v>45889</v>
      </c>
      <c r="I4438" s="7" t="s">
        <v>14651</v>
      </c>
      <c r="J4438" s="8" t="str">
        <f aca="false">IF(I4438="Open",DATE(2025,12,31)-F4438,"-")</f>
        <v>-</v>
      </c>
    </row>
    <row r="4439" customFormat="false" ht="15" hidden="false" customHeight="false" outlineLevel="0" collapsed="false">
      <c r="B4439" s="7" t="s">
        <v>19084</v>
      </c>
      <c r="C4439" s="7" t="s">
        <v>4936</v>
      </c>
      <c r="D4439" s="7" t="s">
        <v>395</v>
      </c>
      <c r="E4439" s="7" t="s">
        <v>156</v>
      </c>
      <c r="F4439" s="39" t="n">
        <v>45874</v>
      </c>
      <c r="G4439" s="41" t="n">
        <v>125.12</v>
      </c>
      <c r="H4439" s="39" t="n">
        <v>45876</v>
      </c>
      <c r="I4439" s="7" t="s">
        <v>14651</v>
      </c>
      <c r="J4439" s="8" t="str">
        <f aca="false">IF(I4439="Open",DATE(2025,12,31)-F4439,"-")</f>
        <v>-</v>
      </c>
    </row>
    <row r="4440" customFormat="false" ht="15" hidden="false" customHeight="false" outlineLevel="0" collapsed="false">
      <c r="B4440" s="7" t="s">
        <v>19085</v>
      </c>
      <c r="C4440" s="7" t="s">
        <v>4937</v>
      </c>
      <c r="D4440" s="7" t="s">
        <v>397</v>
      </c>
      <c r="E4440" s="7" t="s">
        <v>159</v>
      </c>
      <c r="F4440" s="39" t="n">
        <v>45874</v>
      </c>
      <c r="G4440" s="41" t="n">
        <v>126.9</v>
      </c>
      <c r="H4440" s="39" t="n">
        <v>45925</v>
      </c>
      <c r="I4440" s="7" t="s">
        <v>14651</v>
      </c>
      <c r="J4440" s="8" t="str">
        <f aca="false">IF(I4440="Open",DATE(2025,12,31)-F4440,"-")</f>
        <v>-</v>
      </c>
    </row>
    <row r="4441" customFormat="false" ht="15" hidden="false" customHeight="false" outlineLevel="0" collapsed="false">
      <c r="B4441" s="7" t="s">
        <v>19086</v>
      </c>
      <c r="C4441" s="7" t="s">
        <v>4938</v>
      </c>
      <c r="D4441" s="7" t="s">
        <v>401</v>
      </c>
      <c r="E4441" s="7" t="s">
        <v>156</v>
      </c>
      <c r="F4441" s="39" t="n">
        <v>45874</v>
      </c>
      <c r="G4441" s="41" t="n">
        <v>143.48</v>
      </c>
      <c r="H4441" s="39" t="n">
        <v>45888</v>
      </c>
      <c r="I4441" s="7" t="s">
        <v>14651</v>
      </c>
      <c r="J4441" s="8" t="str">
        <f aca="false">IF(I4441="Open",DATE(2025,12,31)-F4441,"-")</f>
        <v>-</v>
      </c>
    </row>
    <row r="4442" customFormat="false" ht="15" hidden="false" customHeight="false" outlineLevel="0" collapsed="false">
      <c r="B4442" s="7" t="s">
        <v>19087</v>
      </c>
      <c r="C4442" s="7" t="s">
        <v>4939</v>
      </c>
      <c r="D4442" s="7" t="s">
        <v>407</v>
      </c>
      <c r="E4442" s="7" t="s">
        <v>159</v>
      </c>
      <c r="F4442" s="39" t="n">
        <v>45874</v>
      </c>
      <c r="G4442" s="41" t="n">
        <v>148.5</v>
      </c>
      <c r="H4442" s="39" t="n">
        <v>45892</v>
      </c>
      <c r="I4442" s="7" t="s">
        <v>14651</v>
      </c>
      <c r="J4442" s="8" t="str">
        <f aca="false">IF(I4442="Open",DATE(2025,12,31)-F4442,"-")</f>
        <v>-</v>
      </c>
    </row>
    <row r="4443" customFormat="false" ht="15" hidden="false" customHeight="false" outlineLevel="0" collapsed="false">
      <c r="B4443" s="7" t="s">
        <v>19088</v>
      </c>
      <c r="C4443" s="7" t="s">
        <v>4940</v>
      </c>
      <c r="D4443" s="7" t="s">
        <v>280</v>
      </c>
      <c r="E4443" s="7" t="s">
        <v>157</v>
      </c>
      <c r="F4443" s="39" t="n">
        <v>45875</v>
      </c>
      <c r="G4443" s="41" t="n">
        <v>178.2</v>
      </c>
      <c r="H4443" s="39" t="n">
        <v>45924</v>
      </c>
      <c r="I4443" s="7" t="s">
        <v>14651</v>
      </c>
      <c r="J4443" s="8" t="str">
        <f aca="false">IF(I4443="Open",DATE(2025,12,31)-F4443,"-")</f>
        <v>-</v>
      </c>
    </row>
    <row r="4444" customFormat="false" ht="15" hidden="false" customHeight="false" outlineLevel="0" collapsed="false">
      <c r="B4444" s="7" t="s">
        <v>19089</v>
      </c>
      <c r="C4444" s="7" t="s">
        <v>4941</v>
      </c>
      <c r="D4444" s="7" t="s">
        <v>288</v>
      </c>
      <c r="E4444" s="7" t="s">
        <v>156</v>
      </c>
      <c r="F4444" s="39" t="n">
        <v>45875</v>
      </c>
      <c r="G4444" s="41" t="n">
        <v>132.94</v>
      </c>
      <c r="H4444" s="39" t="n">
        <v>45887</v>
      </c>
      <c r="I4444" s="7" t="s">
        <v>14651</v>
      </c>
      <c r="J4444" s="8" t="str">
        <f aca="false">IF(I4444="Open",DATE(2025,12,31)-F4444,"-")</f>
        <v>-</v>
      </c>
    </row>
    <row r="4445" customFormat="false" ht="15" hidden="false" customHeight="false" outlineLevel="0" collapsed="false">
      <c r="B4445" s="7" t="s">
        <v>19090</v>
      </c>
      <c r="C4445" s="7" t="s">
        <v>4942</v>
      </c>
      <c r="D4445" s="7" t="s">
        <v>291</v>
      </c>
      <c r="E4445" s="7" t="s">
        <v>154</v>
      </c>
      <c r="F4445" s="39" t="n">
        <v>45875</v>
      </c>
      <c r="G4445" s="41" t="n">
        <v>112.1</v>
      </c>
      <c r="H4445" s="39" t="n">
        <v>45963</v>
      </c>
      <c r="I4445" s="7" t="s">
        <v>14651</v>
      </c>
      <c r="J4445" s="8" t="str">
        <f aca="false">IF(I4445="Open",DATE(2025,12,31)-F4445,"-")</f>
        <v>-</v>
      </c>
    </row>
    <row r="4446" customFormat="false" ht="15" hidden="false" customHeight="false" outlineLevel="0" collapsed="false">
      <c r="B4446" s="7" t="s">
        <v>19091</v>
      </c>
      <c r="C4446" s="7" t="s">
        <v>4943</v>
      </c>
      <c r="D4446" s="7" t="s">
        <v>295</v>
      </c>
      <c r="E4446" s="7" t="s">
        <v>154</v>
      </c>
      <c r="F4446" s="39" t="n">
        <v>45875</v>
      </c>
      <c r="G4446" s="41" t="n">
        <v>95.66</v>
      </c>
      <c r="H4446" s="39" t="n">
        <v>45925</v>
      </c>
      <c r="I4446" s="7" t="s">
        <v>14651</v>
      </c>
      <c r="J4446" s="8" t="str">
        <f aca="false">IF(I4446="Open",DATE(2025,12,31)-F4446,"-")</f>
        <v>-</v>
      </c>
    </row>
    <row r="4447" customFormat="false" ht="15" hidden="false" customHeight="false" outlineLevel="0" collapsed="false">
      <c r="B4447" s="7" t="s">
        <v>19092</v>
      </c>
      <c r="C4447" s="7" t="s">
        <v>4944</v>
      </c>
      <c r="D4447" s="7" t="s">
        <v>305</v>
      </c>
      <c r="E4447" s="7" t="s">
        <v>154</v>
      </c>
      <c r="F4447" s="39" t="n">
        <v>45875</v>
      </c>
      <c r="G4447" s="41" t="n">
        <v>99.48</v>
      </c>
      <c r="H4447" s="39" t="n">
        <v>45952</v>
      </c>
      <c r="I4447" s="7" t="s">
        <v>14651</v>
      </c>
      <c r="J4447" s="8" t="str">
        <f aca="false">IF(I4447="Open",DATE(2025,12,31)-F4447,"-")</f>
        <v>-</v>
      </c>
    </row>
    <row r="4448" customFormat="false" ht="15" hidden="false" customHeight="false" outlineLevel="0" collapsed="false">
      <c r="B4448" s="7" t="s">
        <v>19093</v>
      </c>
      <c r="C4448" s="7" t="s">
        <v>4945</v>
      </c>
      <c r="D4448" s="7" t="s">
        <v>307</v>
      </c>
      <c r="E4448" s="7" t="s">
        <v>157</v>
      </c>
      <c r="F4448" s="39" t="n">
        <v>45875</v>
      </c>
      <c r="G4448" s="41" t="n">
        <v>150.48</v>
      </c>
      <c r="H4448" s="39" t="n">
        <v>45922</v>
      </c>
      <c r="I4448" s="7" t="s">
        <v>14651</v>
      </c>
      <c r="J4448" s="8" t="str">
        <f aca="false">IF(I4448="Open",DATE(2025,12,31)-F4448,"-")</f>
        <v>-</v>
      </c>
    </row>
    <row r="4449" customFormat="false" ht="15" hidden="false" customHeight="false" outlineLevel="0" collapsed="false">
      <c r="B4449" s="7" t="s">
        <v>19094</v>
      </c>
      <c r="C4449" s="7" t="s">
        <v>4946</v>
      </c>
      <c r="D4449" s="7" t="s">
        <v>309</v>
      </c>
      <c r="E4449" s="7" t="s">
        <v>159</v>
      </c>
      <c r="F4449" s="39" t="n">
        <v>45875</v>
      </c>
      <c r="G4449" s="41" t="n">
        <v>124.2</v>
      </c>
      <c r="H4449" s="39" t="n">
        <v>45895</v>
      </c>
      <c r="I4449" s="7" t="s">
        <v>14651</v>
      </c>
      <c r="J4449" s="8" t="str">
        <f aca="false">IF(I4449="Open",DATE(2025,12,31)-F4449,"-")</f>
        <v>-</v>
      </c>
    </row>
    <row r="4450" customFormat="false" ht="15" hidden="false" customHeight="false" outlineLevel="0" collapsed="false">
      <c r="B4450" s="7" t="s">
        <v>19095</v>
      </c>
      <c r="C4450" s="7" t="s">
        <v>4947</v>
      </c>
      <c r="D4450" s="7" t="s">
        <v>313</v>
      </c>
      <c r="E4450" s="7" t="s">
        <v>156</v>
      </c>
      <c r="F4450" s="39" t="n">
        <v>45875</v>
      </c>
      <c r="G4450" s="41" t="n">
        <v>138.38</v>
      </c>
      <c r="H4450" s="39" t="n">
        <v>45894</v>
      </c>
      <c r="I4450" s="7" t="s">
        <v>14651</v>
      </c>
      <c r="J4450" s="8" t="str">
        <f aca="false">IF(I4450="Open",DATE(2025,12,31)-F4450,"-")</f>
        <v>-</v>
      </c>
    </row>
    <row r="4451" customFormat="false" ht="15" hidden="false" customHeight="false" outlineLevel="0" collapsed="false">
      <c r="B4451" s="7" t="s">
        <v>19096</v>
      </c>
      <c r="C4451" s="7" t="s">
        <v>4948</v>
      </c>
      <c r="D4451" s="7" t="s">
        <v>315</v>
      </c>
      <c r="E4451" s="7" t="s">
        <v>159</v>
      </c>
      <c r="F4451" s="39" t="n">
        <v>45875</v>
      </c>
      <c r="G4451" s="41" t="n">
        <v>126.76</v>
      </c>
      <c r="H4451" s="39" t="n">
        <v>45902</v>
      </c>
      <c r="I4451" s="7" t="s">
        <v>14651</v>
      </c>
      <c r="J4451" s="8" t="str">
        <f aca="false">IF(I4451="Open",DATE(2025,12,31)-F4451,"-")</f>
        <v>-</v>
      </c>
    </row>
    <row r="4452" customFormat="false" ht="15" hidden="false" customHeight="false" outlineLevel="0" collapsed="false">
      <c r="B4452" s="7" t="s">
        <v>19097</v>
      </c>
      <c r="C4452" s="7" t="s">
        <v>4949</v>
      </c>
      <c r="D4452" s="7" t="s">
        <v>321</v>
      </c>
      <c r="E4452" s="7" t="s">
        <v>154</v>
      </c>
      <c r="F4452" s="39" t="n">
        <v>45875</v>
      </c>
      <c r="G4452" s="41" t="n">
        <v>112.62</v>
      </c>
      <c r="H4452" s="39" t="n">
        <v>45951</v>
      </c>
      <c r="I4452" s="7" t="s">
        <v>14651</v>
      </c>
      <c r="J4452" s="8" t="str">
        <f aca="false">IF(I4452="Open",DATE(2025,12,31)-F4452,"-")</f>
        <v>-</v>
      </c>
    </row>
    <row r="4453" customFormat="false" ht="15" hidden="false" customHeight="false" outlineLevel="0" collapsed="false">
      <c r="B4453" s="7" t="s">
        <v>19098</v>
      </c>
      <c r="C4453" s="7" t="s">
        <v>4950</v>
      </c>
      <c r="D4453" s="7" t="s">
        <v>329</v>
      </c>
      <c r="E4453" s="7" t="s">
        <v>156</v>
      </c>
      <c r="F4453" s="39" t="n">
        <v>45875</v>
      </c>
      <c r="G4453" s="41" t="n">
        <v>129.2</v>
      </c>
      <c r="H4453" s="39" t="n">
        <v>45879</v>
      </c>
      <c r="I4453" s="7" t="s">
        <v>14651</v>
      </c>
      <c r="J4453" s="8" t="str">
        <f aca="false">IF(I4453="Open",DATE(2025,12,31)-F4453,"-")</f>
        <v>-</v>
      </c>
    </row>
    <row r="4454" customFormat="false" ht="15" hidden="false" customHeight="false" outlineLevel="0" collapsed="false">
      <c r="B4454" s="7" t="s">
        <v>19099</v>
      </c>
      <c r="C4454" s="7" t="s">
        <v>4951</v>
      </c>
      <c r="D4454" s="7" t="s">
        <v>335</v>
      </c>
      <c r="E4454" s="7" t="s">
        <v>154</v>
      </c>
      <c r="F4454" s="39" t="n">
        <v>45875</v>
      </c>
      <c r="G4454" s="41" t="n">
        <v>96.19</v>
      </c>
      <c r="H4454" s="39" t="n">
        <v>45916</v>
      </c>
      <c r="I4454" s="7" t="s">
        <v>14651</v>
      </c>
      <c r="J4454" s="8" t="str">
        <f aca="false">IF(I4454="Open",DATE(2025,12,31)-F4454,"-")</f>
        <v>-</v>
      </c>
    </row>
    <row r="4455" customFormat="false" ht="15" hidden="false" customHeight="false" outlineLevel="0" collapsed="false">
      <c r="B4455" s="7" t="s">
        <v>19100</v>
      </c>
      <c r="C4455" s="7" t="s">
        <v>4952</v>
      </c>
      <c r="D4455" s="7" t="s">
        <v>339</v>
      </c>
      <c r="E4455" s="7" t="s">
        <v>154</v>
      </c>
      <c r="F4455" s="39" t="n">
        <v>45875</v>
      </c>
      <c r="G4455" s="41" t="n">
        <v>91.16</v>
      </c>
      <c r="H4455" s="39" t="n">
        <v>45994</v>
      </c>
      <c r="I4455" s="7" t="s">
        <v>14651</v>
      </c>
      <c r="J4455" s="8" t="str">
        <f aca="false">IF(I4455="Open",DATE(2025,12,31)-F4455,"-")</f>
        <v>-</v>
      </c>
    </row>
    <row r="4456" customFormat="false" ht="15" hidden="false" customHeight="false" outlineLevel="0" collapsed="false">
      <c r="B4456" s="7" t="s">
        <v>19101</v>
      </c>
      <c r="C4456" s="7" t="s">
        <v>4953</v>
      </c>
      <c r="D4456" s="7" t="s">
        <v>347</v>
      </c>
      <c r="E4456" s="7" t="s">
        <v>154</v>
      </c>
      <c r="F4456" s="39" t="n">
        <v>45875</v>
      </c>
      <c r="G4456" s="41" t="n">
        <v>131.44</v>
      </c>
      <c r="H4456" s="39" t="n">
        <v>45938</v>
      </c>
      <c r="I4456" s="7" t="s">
        <v>14651</v>
      </c>
      <c r="J4456" s="8" t="str">
        <f aca="false">IF(I4456="Open",DATE(2025,12,31)-F4456,"-")</f>
        <v>-</v>
      </c>
    </row>
    <row r="4457" customFormat="false" ht="15" hidden="false" customHeight="false" outlineLevel="0" collapsed="false">
      <c r="B4457" s="7" t="s">
        <v>19102</v>
      </c>
      <c r="C4457" s="7" t="s">
        <v>4954</v>
      </c>
      <c r="D4457" s="7" t="s">
        <v>353</v>
      </c>
      <c r="E4457" s="7" t="s">
        <v>154</v>
      </c>
      <c r="F4457" s="39" t="n">
        <v>45875</v>
      </c>
      <c r="G4457" s="41" t="n">
        <v>94.6</v>
      </c>
      <c r="H4457" s="39" t="n">
        <v>45990</v>
      </c>
      <c r="I4457" s="7" t="s">
        <v>14651</v>
      </c>
      <c r="J4457" s="8" t="str">
        <f aca="false">IF(I4457="Open",DATE(2025,12,31)-F4457,"-")</f>
        <v>-</v>
      </c>
    </row>
    <row r="4458" customFormat="false" ht="15" hidden="false" customHeight="false" outlineLevel="0" collapsed="false">
      <c r="B4458" s="7" t="s">
        <v>19103</v>
      </c>
      <c r="C4458" s="7" t="s">
        <v>4955</v>
      </c>
      <c r="D4458" s="7" t="s">
        <v>355</v>
      </c>
      <c r="E4458" s="7" t="s">
        <v>154</v>
      </c>
      <c r="F4458" s="39" t="n">
        <v>45875</v>
      </c>
      <c r="G4458" s="41" t="n">
        <v>85.86</v>
      </c>
      <c r="H4458" s="39" t="n">
        <v>45928</v>
      </c>
      <c r="I4458" s="7" t="s">
        <v>14651</v>
      </c>
      <c r="J4458" s="8" t="str">
        <f aca="false">IF(I4458="Open",DATE(2025,12,31)-F4458,"-")</f>
        <v>-</v>
      </c>
    </row>
    <row r="4459" customFormat="false" ht="15" hidden="false" customHeight="false" outlineLevel="0" collapsed="false">
      <c r="B4459" s="7" t="s">
        <v>19104</v>
      </c>
      <c r="C4459" s="7" t="s">
        <v>4956</v>
      </c>
      <c r="D4459" s="7" t="s">
        <v>357</v>
      </c>
      <c r="E4459" s="7" t="s">
        <v>154</v>
      </c>
      <c r="F4459" s="39" t="n">
        <v>45875</v>
      </c>
      <c r="G4459" s="41" t="n">
        <v>86.66</v>
      </c>
      <c r="H4459" s="39" t="n">
        <v>45939</v>
      </c>
      <c r="I4459" s="7" t="s">
        <v>14651</v>
      </c>
      <c r="J4459" s="8" t="str">
        <f aca="false">IF(I4459="Open",DATE(2025,12,31)-F4459,"-")</f>
        <v>-</v>
      </c>
    </row>
    <row r="4460" customFormat="false" ht="15" hidden="false" customHeight="false" outlineLevel="0" collapsed="false">
      <c r="B4460" s="7" t="s">
        <v>19105</v>
      </c>
      <c r="C4460" s="7" t="s">
        <v>4957</v>
      </c>
      <c r="D4460" s="7" t="s">
        <v>359</v>
      </c>
      <c r="E4460" s="7" t="s">
        <v>156</v>
      </c>
      <c r="F4460" s="39" t="n">
        <v>45875</v>
      </c>
      <c r="G4460" s="41" t="n">
        <v>127.5</v>
      </c>
      <c r="H4460" s="39" t="n">
        <v>45889</v>
      </c>
      <c r="I4460" s="7" t="s">
        <v>14651</v>
      </c>
      <c r="J4460" s="8" t="str">
        <f aca="false">IF(I4460="Open",DATE(2025,12,31)-F4460,"-")</f>
        <v>-</v>
      </c>
    </row>
    <row r="4461" customFormat="false" ht="15" hidden="false" customHeight="false" outlineLevel="0" collapsed="false">
      <c r="B4461" s="7" t="s">
        <v>19106</v>
      </c>
      <c r="C4461" s="7" t="s">
        <v>4958</v>
      </c>
      <c r="D4461" s="7" t="s">
        <v>365</v>
      </c>
      <c r="E4461" s="7" t="s">
        <v>154</v>
      </c>
      <c r="F4461" s="39" t="n">
        <v>45875</v>
      </c>
      <c r="G4461" s="41" t="n">
        <v>108.12</v>
      </c>
      <c r="H4461" s="39" t="n">
        <v>45931</v>
      </c>
      <c r="I4461" s="7" t="s">
        <v>14651</v>
      </c>
      <c r="J4461" s="8" t="str">
        <f aca="false">IF(I4461="Open",DATE(2025,12,31)-F4461,"-")</f>
        <v>-</v>
      </c>
    </row>
    <row r="4462" customFormat="false" ht="15" hidden="false" customHeight="false" outlineLevel="0" collapsed="false">
      <c r="B4462" s="7" t="s">
        <v>19107</v>
      </c>
      <c r="C4462" s="7" t="s">
        <v>4959</v>
      </c>
      <c r="D4462" s="7" t="s">
        <v>371</v>
      </c>
      <c r="E4462" s="7" t="s">
        <v>154</v>
      </c>
      <c r="F4462" s="39" t="n">
        <v>45875</v>
      </c>
      <c r="G4462" s="41" t="n">
        <v>113.69</v>
      </c>
      <c r="H4462" s="39" t="n">
        <v>45923</v>
      </c>
      <c r="I4462" s="7" t="s">
        <v>14651</v>
      </c>
      <c r="J4462" s="8" t="str">
        <f aca="false">IF(I4462="Open",DATE(2025,12,31)-F4462,"-")</f>
        <v>-</v>
      </c>
    </row>
    <row r="4463" customFormat="false" ht="15" hidden="false" customHeight="false" outlineLevel="0" collapsed="false">
      <c r="B4463" s="7" t="s">
        <v>19108</v>
      </c>
      <c r="C4463" s="7" t="s">
        <v>4960</v>
      </c>
      <c r="D4463" s="7" t="s">
        <v>379</v>
      </c>
      <c r="E4463" s="7" t="s">
        <v>156</v>
      </c>
      <c r="F4463" s="39" t="n">
        <v>45875</v>
      </c>
      <c r="G4463" s="41" t="n">
        <v>171.02</v>
      </c>
      <c r="H4463" s="39" t="n">
        <v>45889</v>
      </c>
      <c r="I4463" s="7" t="s">
        <v>14651</v>
      </c>
      <c r="J4463" s="8" t="str">
        <f aca="false">IF(I4463="Open",DATE(2025,12,31)-F4463,"-")</f>
        <v>-</v>
      </c>
    </row>
    <row r="4464" customFormat="false" ht="15" hidden="false" customHeight="false" outlineLevel="0" collapsed="false">
      <c r="B4464" s="7" t="s">
        <v>19109</v>
      </c>
      <c r="C4464" s="7" t="s">
        <v>4961</v>
      </c>
      <c r="D4464" s="7" t="s">
        <v>385</v>
      </c>
      <c r="E4464" s="7" t="s">
        <v>156</v>
      </c>
      <c r="F4464" s="39" t="n">
        <v>45875</v>
      </c>
      <c r="G4464" s="41" t="n">
        <v>144.16</v>
      </c>
      <c r="H4464" s="39" t="n">
        <v>45892</v>
      </c>
      <c r="I4464" s="7" t="s">
        <v>14651</v>
      </c>
      <c r="J4464" s="8" t="str">
        <f aca="false">IF(I4464="Open",DATE(2025,12,31)-F4464,"-")</f>
        <v>-</v>
      </c>
    </row>
    <row r="4465" customFormat="false" ht="15" hidden="false" customHeight="false" outlineLevel="0" collapsed="false">
      <c r="B4465" s="7" t="s">
        <v>19110</v>
      </c>
      <c r="C4465" s="7" t="s">
        <v>4962</v>
      </c>
      <c r="D4465" s="7" t="s">
        <v>387</v>
      </c>
      <c r="E4465" s="7" t="s">
        <v>154</v>
      </c>
      <c r="F4465" s="39" t="n">
        <v>45875</v>
      </c>
      <c r="G4465" s="41" t="n">
        <v>113.15</v>
      </c>
      <c r="H4465" s="39" t="n">
        <v>45913</v>
      </c>
      <c r="I4465" s="7" t="s">
        <v>14651</v>
      </c>
      <c r="J4465" s="8" t="str">
        <f aca="false">IF(I4465="Open",DATE(2025,12,31)-F4465,"-")</f>
        <v>-</v>
      </c>
    </row>
    <row r="4466" customFormat="false" ht="15" hidden="false" customHeight="false" outlineLevel="0" collapsed="false">
      <c r="B4466" s="7" t="s">
        <v>19111</v>
      </c>
      <c r="C4466" s="7" t="s">
        <v>4963</v>
      </c>
      <c r="D4466" s="7" t="s">
        <v>389</v>
      </c>
      <c r="E4466" s="7" t="s">
        <v>154</v>
      </c>
      <c r="F4466" s="39" t="n">
        <v>45875</v>
      </c>
      <c r="G4466" s="41" t="n">
        <v>113.69</v>
      </c>
      <c r="H4466" s="39" t="n">
        <v>45934</v>
      </c>
      <c r="I4466" s="7" t="s">
        <v>14651</v>
      </c>
      <c r="J4466" s="8" t="str">
        <f aca="false">IF(I4466="Open",DATE(2025,12,31)-F4466,"-")</f>
        <v>-</v>
      </c>
    </row>
    <row r="4467" customFormat="false" ht="15" hidden="false" customHeight="false" outlineLevel="0" collapsed="false">
      <c r="B4467" s="7" t="s">
        <v>19112</v>
      </c>
      <c r="C4467" s="7" t="s">
        <v>4964</v>
      </c>
      <c r="D4467" s="7" t="s">
        <v>391</v>
      </c>
      <c r="E4467" s="7" t="s">
        <v>156</v>
      </c>
      <c r="F4467" s="39" t="n">
        <v>45875</v>
      </c>
      <c r="G4467" s="41" t="n">
        <v>138.04</v>
      </c>
      <c r="H4467" s="39" t="n">
        <v>45878</v>
      </c>
      <c r="I4467" s="7" t="s">
        <v>14651</v>
      </c>
      <c r="J4467" s="8" t="str">
        <f aca="false">IF(I4467="Open",DATE(2025,12,31)-F4467,"-")</f>
        <v>-</v>
      </c>
    </row>
    <row r="4468" customFormat="false" ht="15" hidden="false" customHeight="false" outlineLevel="0" collapsed="false">
      <c r="B4468" s="7" t="s">
        <v>19113</v>
      </c>
      <c r="C4468" s="7" t="s">
        <v>4965</v>
      </c>
      <c r="D4468" s="7" t="s">
        <v>393</v>
      </c>
      <c r="E4468" s="7" t="s">
        <v>157</v>
      </c>
      <c r="F4468" s="39" t="n">
        <v>45875</v>
      </c>
      <c r="G4468" s="41" t="n">
        <v>166.65</v>
      </c>
      <c r="H4468" s="39" t="n">
        <v>45911</v>
      </c>
      <c r="I4468" s="7" t="s">
        <v>14651</v>
      </c>
      <c r="J4468" s="8" t="str">
        <f aca="false">IF(I4468="Open",DATE(2025,12,31)-F4468,"-")</f>
        <v>-</v>
      </c>
    </row>
    <row r="4469" customFormat="false" ht="15" hidden="false" customHeight="false" outlineLevel="0" collapsed="false">
      <c r="B4469" s="7" t="s">
        <v>19114</v>
      </c>
      <c r="C4469" s="7" t="s">
        <v>4966</v>
      </c>
      <c r="D4469" s="7" t="s">
        <v>395</v>
      </c>
      <c r="E4469" s="7" t="s">
        <v>156</v>
      </c>
      <c r="F4469" s="39" t="n">
        <v>45875</v>
      </c>
      <c r="G4469" s="41" t="n">
        <v>142.8</v>
      </c>
      <c r="H4469" s="39" t="n">
        <v>45881</v>
      </c>
      <c r="I4469" s="7" t="s">
        <v>14651</v>
      </c>
      <c r="J4469" s="8" t="str">
        <f aca="false">IF(I4469="Open",DATE(2025,12,31)-F4469,"-")</f>
        <v>-</v>
      </c>
    </row>
    <row r="4470" customFormat="false" ht="15" hidden="false" customHeight="false" outlineLevel="0" collapsed="false">
      <c r="B4470" s="7" t="s">
        <v>19115</v>
      </c>
      <c r="C4470" s="7" t="s">
        <v>4967</v>
      </c>
      <c r="D4470" s="7" t="s">
        <v>399</v>
      </c>
      <c r="E4470" s="7" t="s">
        <v>154</v>
      </c>
      <c r="F4470" s="39" t="n">
        <v>45875</v>
      </c>
      <c r="G4470" s="41" t="n">
        <v>86.92</v>
      </c>
      <c r="H4470" s="39" t="n">
        <v>45918</v>
      </c>
      <c r="I4470" s="7" t="s">
        <v>14651</v>
      </c>
      <c r="J4470" s="8" t="str">
        <f aca="false">IF(I4470="Open",DATE(2025,12,31)-F4470,"-")</f>
        <v>-</v>
      </c>
    </row>
    <row r="4471" customFormat="false" ht="15" hidden="false" customHeight="false" outlineLevel="0" collapsed="false">
      <c r="B4471" s="7" t="s">
        <v>19116</v>
      </c>
      <c r="C4471" s="7" t="s">
        <v>4968</v>
      </c>
      <c r="D4471" s="7" t="s">
        <v>401</v>
      </c>
      <c r="E4471" s="7" t="s">
        <v>156</v>
      </c>
      <c r="F4471" s="39" t="n">
        <v>45875</v>
      </c>
      <c r="G4471" s="41" t="n">
        <v>126.14</v>
      </c>
      <c r="H4471" s="39" t="n">
        <v>45887</v>
      </c>
      <c r="I4471" s="7" t="s">
        <v>14651</v>
      </c>
      <c r="J4471" s="8" t="str">
        <f aca="false">IF(I4471="Open",DATE(2025,12,31)-F4471,"-")</f>
        <v>-</v>
      </c>
    </row>
    <row r="4472" customFormat="false" ht="15" hidden="false" customHeight="false" outlineLevel="0" collapsed="false">
      <c r="B4472" s="7" t="s">
        <v>19117</v>
      </c>
      <c r="C4472" s="7" t="s">
        <v>4969</v>
      </c>
      <c r="D4472" s="7" t="s">
        <v>409</v>
      </c>
      <c r="E4472" s="7" t="s">
        <v>154</v>
      </c>
      <c r="F4472" s="39" t="n">
        <v>45875</v>
      </c>
      <c r="G4472" s="41" t="n">
        <v>77.12</v>
      </c>
      <c r="H4472" s="39" t="n">
        <v>45912</v>
      </c>
      <c r="I4472" s="7" t="s">
        <v>14651</v>
      </c>
      <c r="J4472" s="8" t="str">
        <f aca="false">IF(I4472="Open",DATE(2025,12,31)-F4472,"-")</f>
        <v>-</v>
      </c>
    </row>
    <row r="4473" customFormat="false" ht="15" hidden="false" customHeight="false" outlineLevel="0" collapsed="false">
      <c r="B4473" s="7" t="s">
        <v>19118</v>
      </c>
      <c r="C4473" s="7" t="s">
        <v>4970</v>
      </c>
      <c r="D4473" s="7" t="s">
        <v>411</v>
      </c>
      <c r="E4473" s="7" t="s">
        <v>154</v>
      </c>
      <c r="F4473" s="39" t="n">
        <v>45875</v>
      </c>
      <c r="G4473" s="41" t="n">
        <v>127.49</v>
      </c>
      <c r="H4473" s="39" t="n">
        <v>45926</v>
      </c>
      <c r="I4473" s="7" t="s">
        <v>14651</v>
      </c>
      <c r="J4473" s="8" t="str">
        <f aca="false">IF(I4473="Open",DATE(2025,12,31)-F4473,"-")</f>
        <v>-</v>
      </c>
    </row>
    <row r="4474" customFormat="false" ht="15" hidden="false" customHeight="false" outlineLevel="0" collapsed="false">
      <c r="B4474" s="7" t="s">
        <v>19119</v>
      </c>
      <c r="C4474" s="7" t="s">
        <v>4971</v>
      </c>
      <c r="D4474" s="7" t="s">
        <v>288</v>
      </c>
      <c r="E4474" s="7" t="s">
        <v>156</v>
      </c>
      <c r="F4474" s="39" t="n">
        <v>45876</v>
      </c>
      <c r="G4474" s="41" t="n">
        <v>126.82</v>
      </c>
      <c r="H4474" s="39" t="n">
        <v>45893</v>
      </c>
      <c r="I4474" s="7" t="s">
        <v>14651</v>
      </c>
      <c r="J4474" s="8" t="str">
        <f aca="false">IF(I4474="Open",DATE(2025,12,31)-F4474,"-")</f>
        <v>-</v>
      </c>
    </row>
    <row r="4475" customFormat="false" ht="15" hidden="false" customHeight="false" outlineLevel="0" collapsed="false">
      <c r="B4475" s="7" t="s">
        <v>19120</v>
      </c>
      <c r="C4475" s="7" t="s">
        <v>4972</v>
      </c>
      <c r="D4475" s="7" t="s">
        <v>297</v>
      </c>
      <c r="E4475" s="7" t="s">
        <v>156</v>
      </c>
      <c r="F4475" s="39" t="n">
        <v>45876</v>
      </c>
      <c r="G4475" s="41" t="n">
        <v>95.2</v>
      </c>
      <c r="H4475" s="39" t="n">
        <v>45888</v>
      </c>
      <c r="I4475" s="7" t="s">
        <v>14651</v>
      </c>
      <c r="J4475" s="8" t="str">
        <f aca="false">IF(I4475="Open",DATE(2025,12,31)-F4475,"-")</f>
        <v>-</v>
      </c>
    </row>
    <row r="4476" customFormat="false" ht="15" hidden="false" customHeight="false" outlineLevel="0" collapsed="false">
      <c r="B4476" s="7" t="s">
        <v>19121</v>
      </c>
      <c r="C4476" s="7" t="s">
        <v>4973</v>
      </c>
      <c r="D4476" s="7" t="s">
        <v>311</v>
      </c>
      <c r="E4476" s="7" t="s">
        <v>154</v>
      </c>
      <c r="F4476" s="39" t="n">
        <v>45876</v>
      </c>
      <c r="G4476" s="41" t="n">
        <v>82.76</v>
      </c>
      <c r="H4476" s="39" t="n">
        <v>45901</v>
      </c>
      <c r="I4476" s="7" t="s">
        <v>14651</v>
      </c>
      <c r="J4476" s="8" t="str">
        <f aca="false">IF(I4476="Open",DATE(2025,12,31)-F4476,"-")</f>
        <v>-</v>
      </c>
    </row>
    <row r="4477" customFormat="false" ht="15" hidden="false" customHeight="false" outlineLevel="0" collapsed="false">
      <c r="B4477" s="7" t="s">
        <v>19122</v>
      </c>
      <c r="C4477" s="7" t="s">
        <v>4974</v>
      </c>
      <c r="D4477" s="7" t="s">
        <v>313</v>
      </c>
      <c r="E4477" s="7" t="s">
        <v>156</v>
      </c>
      <c r="F4477" s="39" t="n">
        <v>45876</v>
      </c>
      <c r="G4477" s="41" t="n">
        <v>128.18</v>
      </c>
      <c r="H4477" s="39" t="n">
        <v>45890</v>
      </c>
      <c r="I4477" s="7" t="s">
        <v>14651</v>
      </c>
      <c r="J4477" s="8" t="str">
        <f aca="false">IF(I4477="Open",DATE(2025,12,31)-F4477,"-")</f>
        <v>-</v>
      </c>
    </row>
    <row r="4478" customFormat="false" ht="15" hidden="false" customHeight="false" outlineLevel="0" collapsed="false">
      <c r="B4478" s="7" t="s">
        <v>19123</v>
      </c>
      <c r="C4478" s="7" t="s">
        <v>4975</v>
      </c>
      <c r="D4478" s="7" t="s">
        <v>317</v>
      </c>
      <c r="E4478" s="7" t="s">
        <v>156</v>
      </c>
      <c r="F4478" s="39" t="n">
        <v>45876</v>
      </c>
      <c r="G4478" s="41" t="n">
        <v>111.18</v>
      </c>
      <c r="H4478" s="39" t="n">
        <v>45898</v>
      </c>
      <c r="I4478" s="7" t="s">
        <v>14651</v>
      </c>
      <c r="J4478" s="8" t="str">
        <f aca="false">IF(I4478="Open",DATE(2025,12,31)-F4478,"-")</f>
        <v>-</v>
      </c>
    </row>
    <row r="4479" customFormat="false" ht="15" hidden="false" customHeight="false" outlineLevel="0" collapsed="false">
      <c r="B4479" s="7" t="s">
        <v>19124</v>
      </c>
      <c r="C4479" s="7" t="s">
        <v>4976</v>
      </c>
      <c r="D4479" s="7" t="s">
        <v>325</v>
      </c>
      <c r="E4479" s="7" t="s">
        <v>154</v>
      </c>
      <c r="F4479" s="39" t="n">
        <v>45876</v>
      </c>
      <c r="G4479" s="41" t="n">
        <v>85.59</v>
      </c>
      <c r="H4479" s="39" t="n">
        <v>45992</v>
      </c>
      <c r="I4479" s="7" t="s">
        <v>14651</v>
      </c>
      <c r="J4479" s="8" t="str">
        <f aca="false">IF(I4479="Open",DATE(2025,12,31)-F4479,"-")</f>
        <v>-</v>
      </c>
    </row>
    <row r="4480" customFormat="false" ht="15" hidden="false" customHeight="false" outlineLevel="0" collapsed="false">
      <c r="B4480" s="7" t="s">
        <v>19125</v>
      </c>
      <c r="C4480" s="7" t="s">
        <v>4977</v>
      </c>
      <c r="D4480" s="7" t="s">
        <v>329</v>
      </c>
      <c r="E4480" s="7" t="s">
        <v>156</v>
      </c>
      <c r="F4480" s="39" t="n">
        <v>45876</v>
      </c>
      <c r="G4480" s="41" t="n">
        <v>128.86</v>
      </c>
      <c r="H4480" s="39" t="n">
        <v>45894</v>
      </c>
      <c r="I4480" s="7" t="s">
        <v>14651</v>
      </c>
      <c r="J4480" s="8" t="str">
        <f aca="false">IF(I4480="Open",DATE(2025,12,31)-F4480,"-")</f>
        <v>-</v>
      </c>
    </row>
    <row r="4481" customFormat="false" ht="15" hidden="false" customHeight="false" outlineLevel="0" collapsed="false">
      <c r="B4481" s="7" t="s">
        <v>19126</v>
      </c>
      <c r="C4481" s="7" t="s">
        <v>4978</v>
      </c>
      <c r="D4481" s="7" t="s">
        <v>331</v>
      </c>
      <c r="E4481" s="7" t="s">
        <v>156</v>
      </c>
      <c r="F4481" s="39" t="n">
        <v>45876</v>
      </c>
      <c r="G4481" s="41" t="n">
        <v>132.94</v>
      </c>
      <c r="H4481" s="39" t="n">
        <v>45890</v>
      </c>
      <c r="I4481" s="7" t="s">
        <v>14651</v>
      </c>
      <c r="J4481" s="8" t="str">
        <f aca="false">IF(I4481="Open",DATE(2025,12,31)-F4481,"-")</f>
        <v>-</v>
      </c>
    </row>
    <row r="4482" customFormat="false" ht="15" hidden="false" customHeight="false" outlineLevel="0" collapsed="false">
      <c r="B4482" s="7" t="s">
        <v>19127</v>
      </c>
      <c r="C4482" s="7" t="s">
        <v>4979</v>
      </c>
      <c r="D4482" s="7" t="s">
        <v>337</v>
      </c>
      <c r="E4482" s="7" t="s">
        <v>154</v>
      </c>
      <c r="F4482" s="39" t="n">
        <v>45876</v>
      </c>
      <c r="G4482" s="41" t="n">
        <v>73.67</v>
      </c>
      <c r="H4482" s="39" t="n">
        <v>45982</v>
      </c>
      <c r="I4482" s="7" t="s">
        <v>14651</v>
      </c>
      <c r="J4482" s="8" t="str">
        <f aca="false">IF(I4482="Open",DATE(2025,12,31)-F4482,"-")</f>
        <v>-</v>
      </c>
    </row>
    <row r="4483" customFormat="false" ht="15" hidden="false" customHeight="false" outlineLevel="0" collapsed="false">
      <c r="B4483" s="7" t="s">
        <v>19128</v>
      </c>
      <c r="C4483" s="7" t="s">
        <v>4980</v>
      </c>
      <c r="D4483" s="7" t="s">
        <v>341</v>
      </c>
      <c r="E4483" s="7" t="s">
        <v>156</v>
      </c>
      <c r="F4483" s="39" t="n">
        <v>45876</v>
      </c>
      <c r="G4483" s="41" t="n">
        <v>103.7</v>
      </c>
      <c r="H4483" s="39" t="n">
        <v>45899</v>
      </c>
      <c r="I4483" s="7" t="s">
        <v>14651</v>
      </c>
      <c r="J4483" s="8" t="str">
        <f aca="false">IF(I4483="Open",DATE(2025,12,31)-F4483,"-")</f>
        <v>-</v>
      </c>
    </row>
    <row r="4484" customFormat="false" ht="15" hidden="false" customHeight="false" outlineLevel="0" collapsed="false">
      <c r="B4484" s="7" t="s">
        <v>19129</v>
      </c>
      <c r="C4484" s="7" t="s">
        <v>4981</v>
      </c>
      <c r="D4484" s="7" t="s">
        <v>343</v>
      </c>
      <c r="E4484" s="7" t="s">
        <v>154</v>
      </c>
      <c r="F4484" s="39" t="n">
        <v>45876</v>
      </c>
      <c r="G4484" s="41" t="n">
        <v>114.21</v>
      </c>
      <c r="H4484" s="39" t="n">
        <v>45978</v>
      </c>
      <c r="I4484" s="7" t="s">
        <v>14651</v>
      </c>
      <c r="J4484" s="8" t="str">
        <f aca="false">IF(I4484="Open",DATE(2025,12,31)-F4484,"-")</f>
        <v>-</v>
      </c>
    </row>
    <row r="4485" customFormat="false" ht="15" hidden="false" customHeight="false" outlineLevel="0" collapsed="false">
      <c r="B4485" s="7" t="s">
        <v>19130</v>
      </c>
      <c r="C4485" s="7" t="s">
        <v>4982</v>
      </c>
      <c r="D4485" s="7" t="s">
        <v>351</v>
      </c>
      <c r="E4485" s="7" t="s">
        <v>154</v>
      </c>
      <c r="F4485" s="39" t="n">
        <v>45876</v>
      </c>
      <c r="G4485" s="41" t="n">
        <v>79.5</v>
      </c>
      <c r="H4485" s="39" t="n">
        <v>45920</v>
      </c>
      <c r="I4485" s="7" t="s">
        <v>14651</v>
      </c>
      <c r="J4485" s="8" t="str">
        <f aca="false">IF(I4485="Open",DATE(2025,12,31)-F4485,"-")</f>
        <v>-</v>
      </c>
    </row>
    <row r="4486" customFormat="false" ht="15" hidden="false" customHeight="false" outlineLevel="0" collapsed="false">
      <c r="B4486" s="7" t="s">
        <v>19131</v>
      </c>
      <c r="C4486" s="7" t="s">
        <v>4983</v>
      </c>
      <c r="D4486" s="7" t="s">
        <v>359</v>
      </c>
      <c r="E4486" s="7" t="s">
        <v>156</v>
      </c>
      <c r="F4486" s="39" t="n">
        <v>45876</v>
      </c>
      <c r="G4486" s="41" t="n">
        <v>127.5</v>
      </c>
      <c r="H4486" s="39" t="n">
        <v>45890</v>
      </c>
      <c r="I4486" s="7" t="s">
        <v>14651</v>
      </c>
      <c r="J4486" s="8" t="str">
        <f aca="false">IF(I4486="Open",DATE(2025,12,31)-F4486,"-")</f>
        <v>-</v>
      </c>
    </row>
    <row r="4487" customFormat="false" ht="15" hidden="false" customHeight="false" outlineLevel="0" collapsed="false">
      <c r="B4487" s="7" t="s">
        <v>19132</v>
      </c>
      <c r="C4487" s="7" t="s">
        <v>4984</v>
      </c>
      <c r="D4487" s="7" t="s">
        <v>363</v>
      </c>
      <c r="E4487" s="7" t="s">
        <v>156</v>
      </c>
      <c r="F4487" s="39" t="n">
        <v>45876</v>
      </c>
      <c r="G4487" s="41" t="n">
        <v>144.5</v>
      </c>
      <c r="H4487" s="39" t="n">
        <v>45883</v>
      </c>
      <c r="I4487" s="7" t="s">
        <v>14651</v>
      </c>
      <c r="J4487" s="8" t="str">
        <f aca="false">IF(I4487="Open",DATE(2025,12,31)-F4487,"-")</f>
        <v>-</v>
      </c>
    </row>
    <row r="4488" customFormat="false" ht="15" hidden="false" customHeight="false" outlineLevel="0" collapsed="false">
      <c r="B4488" s="7" t="s">
        <v>19133</v>
      </c>
      <c r="C4488" s="7" t="s">
        <v>4985</v>
      </c>
      <c r="D4488" s="7" t="s">
        <v>365</v>
      </c>
      <c r="E4488" s="7" t="s">
        <v>154</v>
      </c>
      <c r="F4488" s="39" t="n">
        <v>45876</v>
      </c>
      <c r="G4488" s="41" t="n">
        <v>100.7</v>
      </c>
      <c r="H4488" s="39" t="n">
        <v>45933</v>
      </c>
      <c r="I4488" s="7" t="s">
        <v>14651</v>
      </c>
      <c r="J4488" s="8" t="str">
        <f aca="false">IF(I4488="Open",DATE(2025,12,31)-F4488,"-")</f>
        <v>-</v>
      </c>
    </row>
    <row r="4489" customFormat="false" ht="15" hidden="false" customHeight="false" outlineLevel="0" collapsed="false">
      <c r="B4489" s="7" t="s">
        <v>19134</v>
      </c>
      <c r="C4489" s="7" t="s">
        <v>4986</v>
      </c>
      <c r="D4489" s="7" t="s">
        <v>375</v>
      </c>
      <c r="E4489" s="7" t="s">
        <v>156</v>
      </c>
      <c r="F4489" s="39" t="n">
        <v>45876</v>
      </c>
      <c r="G4489" s="41" t="n">
        <v>96.9</v>
      </c>
      <c r="H4489" s="39" t="n">
        <v>45888</v>
      </c>
      <c r="I4489" s="7" t="s">
        <v>14651</v>
      </c>
      <c r="J4489" s="8" t="str">
        <f aca="false">IF(I4489="Open",DATE(2025,12,31)-F4489,"-")</f>
        <v>-</v>
      </c>
    </row>
    <row r="4490" customFormat="false" ht="15" hidden="false" customHeight="false" outlineLevel="0" collapsed="false">
      <c r="B4490" s="7" t="s">
        <v>19135</v>
      </c>
      <c r="C4490" s="7" t="s">
        <v>4987</v>
      </c>
      <c r="D4490" s="7" t="s">
        <v>377</v>
      </c>
      <c r="E4490" s="7" t="s">
        <v>154</v>
      </c>
      <c r="F4490" s="39" t="n">
        <v>45876</v>
      </c>
      <c r="G4490" s="41" t="n">
        <v>103.88</v>
      </c>
      <c r="H4490" s="39" t="n">
        <v>45927</v>
      </c>
      <c r="I4490" s="7" t="s">
        <v>14651</v>
      </c>
      <c r="J4490" s="8" t="str">
        <f aca="false">IF(I4490="Open",DATE(2025,12,31)-F4490,"-")</f>
        <v>-</v>
      </c>
    </row>
    <row r="4491" customFormat="false" ht="15" hidden="false" customHeight="false" outlineLevel="0" collapsed="false">
      <c r="B4491" s="7" t="s">
        <v>19136</v>
      </c>
      <c r="C4491" s="7" t="s">
        <v>4988</v>
      </c>
      <c r="D4491" s="7" t="s">
        <v>389</v>
      </c>
      <c r="E4491" s="7" t="s">
        <v>154</v>
      </c>
      <c r="F4491" s="39" t="n">
        <v>45876</v>
      </c>
      <c r="G4491" s="41" t="n">
        <v>107.19</v>
      </c>
      <c r="H4491" s="39" t="n">
        <v>45937</v>
      </c>
      <c r="I4491" s="7" t="s">
        <v>14651</v>
      </c>
      <c r="J4491" s="8" t="str">
        <f aca="false">IF(I4491="Open",DATE(2025,12,31)-F4491,"-")</f>
        <v>-</v>
      </c>
    </row>
    <row r="4492" customFormat="false" ht="15" hidden="false" customHeight="false" outlineLevel="0" collapsed="false">
      <c r="B4492" s="7" t="s">
        <v>19137</v>
      </c>
      <c r="C4492" s="7" t="s">
        <v>4989</v>
      </c>
      <c r="D4492" s="7" t="s">
        <v>391</v>
      </c>
      <c r="E4492" s="7" t="s">
        <v>156</v>
      </c>
      <c r="F4492" s="39" t="n">
        <v>45876</v>
      </c>
      <c r="G4492" s="41" t="n">
        <v>125.46</v>
      </c>
      <c r="H4492" s="39" t="n">
        <v>45886</v>
      </c>
      <c r="I4492" s="7" t="s">
        <v>14651</v>
      </c>
      <c r="J4492" s="8" t="str">
        <f aca="false">IF(I4492="Open",DATE(2025,12,31)-F4492,"-")</f>
        <v>-</v>
      </c>
    </row>
    <row r="4493" customFormat="false" ht="15" hidden="false" customHeight="false" outlineLevel="0" collapsed="false">
      <c r="B4493" s="7" t="s">
        <v>19138</v>
      </c>
      <c r="C4493" s="7" t="s">
        <v>4990</v>
      </c>
      <c r="D4493" s="7" t="s">
        <v>395</v>
      </c>
      <c r="E4493" s="7" t="s">
        <v>156</v>
      </c>
      <c r="F4493" s="39" t="n">
        <v>45876</v>
      </c>
      <c r="G4493" s="41" t="n">
        <v>142.12</v>
      </c>
      <c r="H4493" s="39" t="n">
        <v>45890</v>
      </c>
      <c r="I4493" s="7" t="s">
        <v>14651</v>
      </c>
      <c r="J4493" s="8" t="str">
        <f aca="false">IF(I4493="Open",DATE(2025,12,31)-F4493,"-")</f>
        <v>-</v>
      </c>
    </row>
    <row r="4494" customFormat="false" ht="15" hidden="false" customHeight="false" outlineLevel="0" collapsed="false">
      <c r="B4494" s="7" t="s">
        <v>19139</v>
      </c>
      <c r="C4494" s="7" t="s">
        <v>4991</v>
      </c>
      <c r="D4494" s="7" t="s">
        <v>401</v>
      </c>
      <c r="E4494" s="7" t="s">
        <v>156</v>
      </c>
      <c r="F4494" s="39" t="n">
        <v>45876</v>
      </c>
      <c r="G4494" s="41" t="n">
        <v>131.24</v>
      </c>
      <c r="H4494" s="39" t="n">
        <v>45884</v>
      </c>
      <c r="I4494" s="7" t="s">
        <v>14651</v>
      </c>
      <c r="J4494" s="8" t="str">
        <f aca="false">IF(I4494="Open",DATE(2025,12,31)-F4494,"-")</f>
        <v>-</v>
      </c>
    </row>
    <row r="4495" customFormat="false" ht="15" hidden="false" customHeight="false" outlineLevel="0" collapsed="false">
      <c r="B4495" s="7" t="s">
        <v>19140</v>
      </c>
      <c r="C4495" s="7" t="s">
        <v>4992</v>
      </c>
      <c r="D4495" s="7" t="s">
        <v>280</v>
      </c>
      <c r="E4495" s="7" t="s">
        <v>157</v>
      </c>
      <c r="F4495" s="39" t="n">
        <v>45877</v>
      </c>
      <c r="G4495" s="41" t="n">
        <v>171.6</v>
      </c>
      <c r="H4495" s="39" t="n">
        <v>45906</v>
      </c>
      <c r="I4495" s="7" t="s">
        <v>14651</v>
      </c>
      <c r="J4495" s="8" t="str">
        <f aca="false">IF(I4495="Open",DATE(2025,12,31)-F4495,"-")</f>
        <v>-</v>
      </c>
    </row>
    <row r="4496" customFormat="false" ht="15" hidden="false" customHeight="false" outlineLevel="0" collapsed="false">
      <c r="B4496" s="7" t="s">
        <v>19141</v>
      </c>
      <c r="C4496" s="7" t="s">
        <v>4993</v>
      </c>
      <c r="D4496" s="7" t="s">
        <v>288</v>
      </c>
      <c r="E4496" s="7" t="s">
        <v>156</v>
      </c>
      <c r="F4496" s="39" t="n">
        <v>45877</v>
      </c>
      <c r="G4496" s="41" t="n">
        <v>139.74</v>
      </c>
      <c r="H4496" s="39" t="n">
        <v>45880</v>
      </c>
      <c r="I4496" s="7" t="s">
        <v>14651</v>
      </c>
      <c r="J4496" s="8" t="str">
        <f aca="false">IF(I4496="Open",DATE(2025,12,31)-F4496,"-")</f>
        <v>-</v>
      </c>
    </row>
    <row r="4497" customFormat="false" ht="15" hidden="false" customHeight="false" outlineLevel="0" collapsed="false">
      <c r="B4497" s="7" t="s">
        <v>19142</v>
      </c>
      <c r="C4497" s="7" t="s">
        <v>4994</v>
      </c>
      <c r="D4497" s="7" t="s">
        <v>291</v>
      </c>
      <c r="E4497" s="7" t="s">
        <v>154</v>
      </c>
      <c r="F4497" s="39" t="n">
        <v>45877</v>
      </c>
      <c r="G4497" s="41" t="n">
        <v>127.73</v>
      </c>
      <c r="H4497" s="39" t="n">
        <v>45968</v>
      </c>
      <c r="I4497" s="7" t="s">
        <v>14651</v>
      </c>
      <c r="J4497" s="8" t="str">
        <f aca="false">IF(I4497="Open",DATE(2025,12,31)-F4497,"-")</f>
        <v>-</v>
      </c>
    </row>
    <row r="4498" customFormat="false" ht="15" hidden="false" customHeight="false" outlineLevel="0" collapsed="false">
      <c r="B4498" s="7" t="s">
        <v>19143</v>
      </c>
      <c r="C4498" s="7" t="s">
        <v>4995</v>
      </c>
      <c r="D4498" s="7" t="s">
        <v>295</v>
      </c>
      <c r="E4498" s="7" t="s">
        <v>154</v>
      </c>
      <c r="F4498" s="39" t="n">
        <v>45877</v>
      </c>
      <c r="G4498" s="41" t="n">
        <v>102.56</v>
      </c>
      <c r="H4498" s="39" t="n">
        <v>45927</v>
      </c>
      <c r="I4498" s="7" t="s">
        <v>14651</v>
      </c>
      <c r="J4498" s="8" t="str">
        <f aca="false">IF(I4498="Open",DATE(2025,12,31)-F4498,"-")</f>
        <v>-</v>
      </c>
    </row>
    <row r="4499" customFormat="false" ht="15" hidden="false" customHeight="false" outlineLevel="0" collapsed="false">
      <c r="B4499" s="7" t="s">
        <v>19144</v>
      </c>
      <c r="C4499" s="7" t="s">
        <v>4996</v>
      </c>
      <c r="D4499" s="7" t="s">
        <v>301</v>
      </c>
      <c r="E4499" s="7" t="s">
        <v>157</v>
      </c>
      <c r="F4499" s="39" t="n">
        <v>45877</v>
      </c>
      <c r="G4499" s="41" t="n">
        <v>141.07</v>
      </c>
      <c r="H4499" s="39" t="n">
        <v>45911</v>
      </c>
      <c r="I4499" s="7" t="s">
        <v>14651</v>
      </c>
      <c r="J4499" s="8" t="str">
        <f aca="false">IF(I4499="Open",DATE(2025,12,31)-F4499,"-")</f>
        <v>-</v>
      </c>
    </row>
    <row r="4500" customFormat="false" ht="15" hidden="false" customHeight="false" outlineLevel="0" collapsed="false">
      <c r="B4500" s="7" t="s">
        <v>19145</v>
      </c>
      <c r="C4500" s="7" t="s">
        <v>4997</v>
      </c>
      <c r="D4500" s="7" t="s">
        <v>305</v>
      </c>
      <c r="E4500" s="7" t="s">
        <v>154</v>
      </c>
      <c r="F4500" s="39" t="n">
        <v>45877</v>
      </c>
      <c r="G4500" s="41" t="n">
        <v>114.21</v>
      </c>
      <c r="H4500" s="39" t="n">
        <v>45906</v>
      </c>
      <c r="I4500" s="7" t="s">
        <v>14651</v>
      </c>
      <c r="J4500" s="8" t="str">
        <f aca="false">IF(I4500="Open",DATE(2025,12,31)-F4500,"-")</f>
        <v>-</v>
      </c>
    </row>
    <row r="4501" customFormat="false" ht="15" hidden="false" customHeight="false" outlineLevel="0" collapsed="false">
      <c r="B4501" s="7" t="s">
        <v>19146</v>
      </c>
      <c r="C4501" s="7" t="s">
        <v>4998</v>
      </c>
      <c r="D4501" s="7" t="s">
        <v>307</v>
      </c>
      <c r="E4501" s="7" t="s">
        <v>157</v>
      </c>
      <c r="F4501" s="39" t="n">
        <v>45877</v>
      </c>
      <c r="G4501" s="41" t="n">
        <v>158.4</v>
      </c>
      <c r="H4501" s="39" t="n">
        <v>45921</v>
      </c>
      <c r="I4501" s="7" t="s">
        <v>14651</v>
      </c>
      <c r="J4501" s="8" t="str">
        <f aca="false">IF(I4501="Open",DATE(2025,12,31)-F4501,"-")</f>
        <v>-</v>
      </c>
    </row>
    <row r="4502" customFormat="false" ht="15" hidden="false" customHeight="false" outlineLevel="0" collapsed="false">
      <c r="B4502" s="7" t="s">
        <v>19147</v>
      </c>
      <c r="C4502" s="7" t="s">
        <v>4999</v>
      </c>
      <c r="D4502" s="7" t="s">
        <v>309</v>
      </c>
      <c r="E4502" s="7" t="s">
        <v>159</v>
      </c>
      <c r="F4502" s="39" t="n">
        <v>45877</v>
      </c>
      <c r="G4502" s="41" t="n">
        <v>125.55</v>
      </c>
      <c r="H4502" s="39" t="n">
        <v>45916</v>
      </c>
      <c r="I4502" s="7" t="s">
        <v>14651</v>
      </c>
      <c r="J4502" s="8" t="str">
        <f aca="false">IF(I4502="Open",DATE(2025,12,31)-F4502,"-")</f>
        <v>-</v>
      </c>
    </row>
    <row r="4503" customFormat="false" ht="15" hidden="false" customHeight="false" outlineLevel="0" collapsed="false">
      <c r="B4503" s="7" t="s">
        <v>19148</v>
      </c>
      <c r="C4503" s="7" t="s">
        <v>5000</v>
      </c>
      <c r="D4503" s="7" t="s">
        <v>313</v>
      </c>
      <c r="E4503" s="7" t="s">
        <v>156</v>
      </c>
      <c r="F4503" s="39" t="n">
        <v>45877</v>
      </c>
      <c r="G4503" s="41" t="n">
        <v>122.74</v>
      </c>
      <c r="H4503" s="39" t="n">
        <v>45895</v>
      </c>
      <c r="I4503" s="7" t="s">
        <v>14651</v>
      </c>
      <c r="J4503" s="8" t="str">
        <f aca="false">IF(I4503="Open",DATE(2025,12,31)-F4503,"-")</f>
        <v>-</v>
      </c>
    </row>
    <row r="4504" customFormat="false" ht="15" hidden="false" customHeight="false" outlineLevel="0" collapsed="false">
      <c r="B4504" s="7" t="s">
        <v>19149</v>
      </c>
      <c r="C4504" s="7" t="s">
        <v>5001</v>
      </c>
      <c r="D4504" s="7" t="s">
        <v>315</v>
      </c>
      <c r="E4504" s="7" t="s">
        <v>159</v>
      </c>
      <c r="F4504" s="39" t="n">
        <v>45877</v>
      </c>
      <c r="G4504" s="41" t="n">
        <v>137.7</v>
      </c>
      <c r="H4504" s="39" t="n">
        <v>45972</v>
      </c>
      <c r="I4504" s="7" t="s">
        <v>14651</v>
      </c>
      <c r="J4504" s="8" t="str">
        <f aca="false">IF(I4504="Open",DATE(2025,12,31)-F4504,"-")</f>
        <v>-</v>
      </c>
    </row>
    <row r="4505" customFormat="false" ht="15" hidden="false" customHeight="false" outlineLevel="0" collapsed="false">
      <c r="B4505" s="7" t="s">
        <v>19150</v>
      </c>
      <c r="C4505" s="7" t="s">
        <v>5002</v>
      </c>
      <c r="D4505" s="7" t="s">
        <v>319</v>
      </c>
      <c r="E4505" s="7" t="s">
        <v>157</v>
      </c>
      <c r="F4505" s="39" t="n">
        <v>45877</v>
      </c>
      <c r="G4505" s="41" t="n">
        <v>163.35</v>
      </c>
      <c r="H4505" s="39" t="n">
        <v>45925</v>
      </c>
      <c r="I4505" s="7" t="s">
        <v>14651</v>
      </c>
      <c r="J4505" s="8" t="str">
        <f aca="false">IF(I4505="Open",DATE(2025,12,31)-F4505,"-")</f>
        <v>-</v>
      </c>
    </row>
    <row r="4506" customFormat="false" ht="15" hidden="false" customHeight="false" outlineLevel="0" collapsed="false">
      <c r="B4506" s="7" t="s">
        <v>19151</v>
      </c>
      <c r="C4506" s="7" t="s">
        <v>5003</v>
      </c>
      <c r="D4506" s="7" t="s">
        <v>321</v>
      </c>
      <c r="E4506" s="7" t="s">
        <v>154</v>
      </c>
      <c r="F4506" s="39" t="n">
        <v>45877</v>
      </c>
      <c r="G4506" s="41" t="n">
        <v>105.47</v>
      </c>
      <c r="H4506" s="39" t="n">
        <v>45909</v>
      </c>
      <c r="I4506" s="7" t="s">
        <v>14651</v>
      </c>
      <c r="J4506" s="8" t="str">
        <f aca="false">IF(I4506="Open",DATE(2025,12,31)-F4506,"-")</f>
        <v>-</v>
      </c>
    </row>
    <row r="4507" customFormat="false" ht="15" hidden="false" customHeight="false" outlineLevel="0" collapsed="false">
      <c r="B4507" s="7" t="s">
        <v>19152</v>
      </c>
      <c r="C4507" s="7" t="s">
        <v>5004</v>
      </c>
      <c r="D4507" s="7" t="s">
        <v>323</v>
      </c>
      <c r="E4507" s="7" t="s">
        <v>159</v>
      </c>
      <c r="F4507" s="39" t="n">
        <v>45877</v>
      </c>
      <c r="G4507" s="41" t="n">
        <v>117.99</v>
      </c>
      <c r="H4507" s="39" t="n">
        <v>45914</v>
      </c>
      <c r="I4507" s="7" t="s">
        <v>14651</v>
      </c>
      <c r="J4507" s="8" t="str">
        <f aca="false">IF(I4507="Open",DATE(2025,12,31)-F4507,"-")</f>
        <v>-</v>
      </c>
    </row>
    <row r="4508" customFormat="false" ht="15" hidden="false" customHeight="false" outlineLevel="0" collapsed="false">
      <c r="B4508" s="7" t="s">
        <v>19153</v>
      </c>
      <c r="C4508" s="7" t="s">
        <v>5005</v>
      </c>
      <c r="D4508" s="7" t="s">
        <v>327</v>
      </c>
      <c r="E4508" s="7" t="s">
        <v>157</v>
      </c>
      <c r="F4508" s="39" t="n">
        <v>45877</v>
      </c>
      <c r="G4508" s="41" t="n">
        <v>156.75</v>
      </c>
      <c r="H4508" s="39" t="n">
        <v>45919</v>
      </c>
      <c r="I4508" s="7" t="s">
        <v>14651</v>
      </c>
      <c r="J4508" s="8" t="str">
        <f aca="false">IF(I4508="Open",DATE(2025,12,31)-F4508,"-")</f>
        <v>-</v>
      </c>
    </row>
    <row r="4509" customFormat="false" ht="15" hidden="false" customHeight="false" outlineLevel="0" collapsed="false">
      <c r="B4509" s="7" t="s">
        <v>19154</v>
      </c>
      <c r="C4509" s="7" t="s">
        <v>5006</v>
      </c>
      <c r="D4509" s="7" t="s">
        <v>329</v>
      </c>
      <c r="E4509" s="7" t="s">
        <v>156</v>
      </c>
      <c r="F4509" s="39" t="n">
        <v>45877</v>
      </c>
      <c r="G4509" s="41" t="n">
        <v>148.24</v>
      </c>
      <c r="H4509" s="39" t="n">
        <v>45888</v>
      </c>
      <c r="I4509" s="7" t="s">
        <v>14651</v>
      </c>
      <c r="J4509" s="8" t="str">
        <f aca="false">IF(I4509="Open",DATE(2025,12,31)-F4509,"-")</f>
        <v>-</v>
      </c>
    </row>
    <row r="4510" customFormat="false" ht="15" hidden="false" customHeight="false" outlineLevel="0" collapsed="false">
      <c r="B4510" s="7" t="s">
        <v>19155</v>
      </c>
      <c r="C4510" s="7" t="s">
        <v>5007</v>
      </c>
      <c r="D4510" s="7" t="s">
        <v>335</v>
      </c>
      <c r="E4510" s="7" t="s">
        <v>154</v>
      </c>
      <c r="F4510" s="39" t="n">
        <v>45877</v>
      </c>
      <c r="G4510" s="41" t="n">
        <v>97.78</v>
      </c>
      <c r="H4510" s="39" t="n">
        <v>45965</v>
      </c>
      <c r="I4510" s="7" t="s">
        <v>14651</v>
      </c>
      <c r="J4510" s="8" t="str">
        <f aca="false">IF(I4510="Open",DATE(2025,12,31)-F4510,"-")</f>
        <v>-</v>
      </c>
    </row>
    <row r="4511" customFormat="false" ht="15" hidden="false" customHeight="false" outlineLevel="0" collapsed="false">
      <c r="B4511" s="7" t="s">
        <v>19156</v>
      </c>
      <c r="C4511" s="7" t="s">
        <v>5008</v>
      </c>
      <c r="D4511" s="7" t="s">
        <v>339</v>
      </c>
      <c r="E4511" s="7" t="s">
        <v>154</v>
      </c>
      <c r="F4511" s="39" t="n">
        <v>45877</v>
      </c>
      <c r="G4511" s="41" t="n">
        <v>91.69</v>
      </c>
      <c r="H4511" s="39" t="n">
        <v>45937</v>
      </c>
      <c r="I4511" s="7" t="s">
        <v>14651</v>
      </c>
      <c r="J4511" s="8" t="str">
        <f aca="false">IF(I4511="Open",DATE(2025,12,31)-F4511,"-")</f>
        <v>-</v>
      </c>
    </row>
    <row r="4512" customFormat="false" ht="15" hidden="false" customHeight="false" outlineLevel="0" collapsed="false">
      <c r="B4512" s="7" t="s">
        <v>19157</v>
      </c>
      <c r="C4512" s="7" t="s">
        <v>5009</v>
      </c>
      <c r="D4512" s="7" t="s">
        <v>347</v>
      </c>
      <c r="E4512" s="7" t="s">
        <v>154</v>
      </c>
      <c r="F4512" s="39" t="n">
        <v>45877</v>
      </c>
      <c r="G4512" s="41" t="n">
        <v>127.25</v>
      </c>
      <c r="H4512" s="39" t="n">
        <v>45907</v>
      </c>
      <c r="I4512" s="7" t="s">
        <v>14651</v>
      </c>
      <c r="J4512" s="8" t="str">
        <f aca="false">IF(I4512="Open",DATE(2025,12,31)-F4512,"-")</f>
        <v>-</v>
      </c>
    </row>
    <row r="4513" customFormat="false" ht="15" hidden="false" customHeight="false" outlineLevel="0" collapsed="false">
      <c r="B4513" s="7" t="s">
        <v>19158</v>
      </c>
      <c r="C4513" s="7" t="s">
        <v>5010</v>
      </c>
      <c r="D4513" s="7" t="s">
        <v>353</v>
      </c>
      <c r="E4513" s="7" t="s">
        <v>154</v>
      </c>
      <c r="F4513" s="39" t="n">
        <v>45877</v>
      </c>
      <c r="G4513" s="41" t="n">
        <v>89.57</v>
      </c>
      <c r="H4513" s="39" t="n">
        <v>45948</v>
      </c>
      <c r="I4513" s="7" t="s">
        <v>14651</v>
      </c>
      <c r="J4513" s="8" t="str">
        <f aca="false">IF(I4513="Open",DATE(2025,12,31)-F4513,"-")</f>
        <v>-</v>
      </c>
    </row>
    <row r="4514" customFormat="false" ht="15" hidden="false" customHeight="false" outlineLevel="0" collapsed="false">
      <c r="B4514" s="7" t="s">
        <v>19159</v>
      </c>
      <c r="C4514" s="7" t="s">
        <v>5011</v>
      </c>
      <c r="D4514" s="7" t="s">
        <v>355</v>
      </c>
      <c r="E4514" s="7" t="s">
        <v>154</v>
      </c>
      <c r="F4514" s="39" t="n">
        <v>45877</v>
      </c>
      <c r="G4514" s="41" t="n">
        <v>84.53</v>
      </c>
      <c r="H4514" s="39" t="n">
        <v>45921</v>
      </c>
      <c r="I4514" s="7" t="s">
        <v>14651</v>
      </c>
      <c r="J4514" s="8" t="str">
        <f aca="false">IF(I4514="Open",DATE(2025,12,31)-F4514,"-")</f>
        <v>-</v>
      </c>
    </row>
    <row r="4515" customFormat="false" ht="15" hidden="false" customHeight="false" outlineLevel="0" collapsed="false">
      <c r="B4515" s="7" t="s">
        <v>19160</v>
      </c>
      <c r="C4515" s="7" t="s">
        <v>5012</v>
      </c>
      <c r="D4515" s="7" t="s">
        <v>357</v>
      </c>
      <c r="E4515" s="7" t="s">
        <v>154</v>
      </c>
      <c r="F4515" s="39" t="n">
        <v>45877</v>
      </c>
      <c r="G4515" s="41" t="n">
        <v>91.43</v>
      </c>
      <c r="H4515" s="39" t="n">
        <v>45906</v>
      </c>
      <c r="I4515" s="7" t="s">
        <v>14651</v>
      </c>
      <c r="J4515" s="8" t="str">
        <f aca="false">IF(I4515="Open",DATE(2025,12,31)-F4515,"-")</f>
        <v>-</v>
      </c>
    </row>
    <row r="4516" customFormat="false" ht="15" hidden="false" customHeight="false" outlineLevel="0" collapsed="false">
      <c r="B4516" s="7" t="s">
        <v>19161</v>
      </c>
      <c r="C4516" s="7" t="s">
        <v>5013</v>
      </c>
      <c r="D4516" s="7" t="s">
        <v>359</v>
      </c>
      <c r="E4516" s="7" t="s">
        <v>156</v>
      </c>
      <c r="F4516" s="39" t="n">
        <v>45877</v>
      </c>
      <c r="G4516" s="41" t="n">
        <v>144.16</v>
      </c>
      <c r="H4516" s="39" t="n">
        <v>45895</v>
      </c>
      <c r="I4516" s="7" t="s">
        <v>14651</v>
      </c>
      <c r="J4516" s="8" t="str">
        <f aca="false">IF(I4516="Open",DATE(2025,12,31)-F4516,"-")</f>
        <v>-</v>
      </c>
    </row>
    <row r="4517" customFormat="false" ht="15" hidden="false" customHeight="false" outlineLevel="0" collapsed="false">
      <c r="B4517" s="7" t="s">
        <v>19162</v>
      </c>
      <c r="C4517" s="7" t="s">
        <v>5014</v>
      </c>
      <c r="D4517" s="7" t="s">
        <v>365</v>
      </c>
      <c r="E4517" s="7" t="s">
        <v>154</v>
      </c>
      <c r="F4517" s="39" t="n">
        <v>45877</v>
      </c>
      <c r="G4517" s="41" t="n">
        <v>102.29</v>
      </c>
      <c r="H4517" s="39" t="n">
        <v>45915</v>
      </c>
      <c r="I4517" s="7" t="s">
        <v>14651</v>
      </c>
      <c r="J4517" s="8" t="str">
        <f aca="false">IF(I4517="Open",DATE(2025,12,31)-F4517,"-")</f>
        <v>-</v>
      </c>
    </row>
    <row r="4518" customFormat="false" ht="15" hidden="false" customHeight="false" outlineLevel="0" collapsed="false">
      <c r="B4518" s="7" t="s">
        <v>19163</v>
      </c>
      <c r="C4518" s="7" t="s">
        <v>5015</v>
      </c>
      <c r="D4518" s="7" t="s">
        <v>371</v>
      </c>
      <c r="E4518" s="7" t="s">
        <v>154</v>
      </c>
      <c r="F4518" s="39" t="n">
        <v>45877</v>
      </c>
      <c r="G4518" s="41" t="n">
        <v>115.81</v>
      </c>
      <c r="H4518" s="39" t="n">
        <v>45934</v>
      </c>
      <c r="I4518" s="7" t="s">
        <v>14651</v>
      </c>
      <c r="J4518" s="8" t="str">
        <f aca="false">IF(I4518="Open",DATE(2025,12,31)-F4518,"-")</f>
        <v>-</v>
      </c>
    </row>
    <row r="4519" customFormat="false" ht="15" hidden="false" customHeight="false" outlineLevel="0" collapsed="false">
      <c r="B4519" s="7" t="s">
        <v>19164</v>
      </c>
      <c r="C4519" s="7" t="s">
        <v>5016</v>
      </c>
      <c r="D4519" s="7" t="s">
        <v>379</v>
      </c>
      <c r="E4519" s="7" t="s">
        <v>156</v>
      </c>
      <c r="F4519" s="39" t="n">
        <v>45877</v>
      </c>
      <c r="G4519" s="41" t="n">
        <v>156.4</v>
      </c>
      <c r="H4519" s="39" t="n">
        <v>45885</v>
      </c>
      <c r="I4519" s="7" t="s">
        <v>14651</v>
      </c>
      <c r="J4519" s="8" t="str">
        <f aca="false">IF(I4519="Open",DATE(2025,12,31)-F4519,"-")</f>
        <v>-</v>
      </c>
    </row>
    <row r="4520" customFormat="false" ht="15" hidden="false" customHeight="false" outlineLevel="0" collapsed="false">
      <c r="B4520" s="7" t="s">
        <v>19165</v>
      </c>
      <c r="C4520" s="7" t="s">
        <v>5017</v>
      </c>
      <c r="D4520" s="7" t="s">
        <v>381</v>
      </c>
      <c r="E4520" s="7" t="s">
        <v>157</v>
      </c>
      <c r="F4520" s="39" t="n">
        <v>45877</v>
      </c>
      <c r="G4520" s="41" t="n">
        <v>155.1</v>
      </c>
      <c r="H4520" s="39" t="n">
        <v>45968</v>
      </c>
      <c r="I4520" s="7" t="s">
        <v>14651</v>
      </c>
      <c r="J4520" s="8" t="str">
        <f aca="false">IF(I4520="Open",DATE(2025,12,31)-F4520,"-")</f>
        <v>-</v>
      </c>
    </row>
    <row r="4521" customFormat="false" ht="15" hidden="false" customHeight="false" outlineLevel="0" collapsed="false">
      <c r="B4521" s="7" t="s">
        <v>19166</v>
      </c>
      <c r="C4521" s="7" t="s">
        <v>5018</v>
      </c>
      <c r="D4521" s="7" t="s">
        <v>383</v>
      </c>
      <c r="E4521" s="7" t="s">
        <v>157</v>
      </c>
      <c r="F4521" s="39" t="n">
        <v>45877</v>
      </c>
      <c r="G4521" s="41" t="n">
        <v>159.88</v>
      </c>
      <c r="H4521" s="39" t="n">
        <v>45896</v>
      </c>
      <c r="I4521" s="7" t="s">
        <v>14651</v>
      </c>
      <c r="J4521" s="8" t="str">
        <f aca="false">IF(I4521="Open",DATE(2025,12,31)-F4521,"-")</f>
        <v>-</v>
      </c>
    </row>
    <row r="4522" customFormat="false" ht="15" hidden="false" customHeight="false" outlineLevel="0" collapsed="false">
      <c r="B4522" s="7" t="s">
        <v>19167</v>
      </c>
      <c r="C4522" s="7" t="s">
        <v>5019</v>
      </c>
      <c r="D4522" s="7" t="s">
        <v>385</v>
      </c>
      <c r="E4522" s="7" t="s">
        <v>156</v>
      </c>
      <c r="F4522" s="39" t="n">
        <v>45877</v>
      </c>
      <c r="G4522" s="41" t="n">
        <v>135.32</v>
      </c>
      <c r="H4522" s="39" t="n">
        <v>45891</v>
      </c>
      <c r="I4522" s="7" t="s">
        <v>14651</v>
      </c>
      <c r="J4522" s="8" t="str">
        <f aca="false">IF(I4522="Open",DATE(2025,12,31)-F4522,"-")</f>
        <v>-</v>
      </c>
    </row>
    <row r="4523" customFormat="false" ht="15" hidden="false" customHeight="false" outlineLevel="0" collapsed="false">
      <c r="B4523" s="7" t="s">
        <v>19168</v>
      </c>
      <c r="C4523" s="7" t="s">
        <v>5020</v>
      </c>
      <c r="D4523" s="7" t="s">
        <v>387</v>
      </c>
      <c r="E4523" s="7" t="s">
        <v>154</v>
      </c>
      <c r="F4523" s="39" t="n">
        <v>45877</v>
      </c>
      <c r="G4523" s="41" t="n">
        <v>96.46</v>
      </c>
      <c r="H4523" s="39" t="n">
        <v>45951</v>
      </c>
      <c r="I4523" s="7" t="s">
        <v>14651</v>
      </c>
      <c r="J4523" s="8" t="str">
        <f aca="false">IF(I4523="Open",DATE(2025,12,31)-F4523,"-")</f>
        <v>-</v>
      </c>
    </row>
    <row r="4524" customFormat="false" ht="15" hidden="false" customHeight="false" outlineLevel="0" collapsed="false">
      <c r="B4524" s="7" t="s">
        <v>19169</v>
      </c>
      <c r="C4524" s="7" t="s">
        <v>5021</v>
      </c>
      <c r="D4524" s="7" t="s">
        <v>389</v>
      </c>
      <c r="E4524" s="7" t="s">
        <v>154</v>
      </c>
      <c r="F4524" s="39" t="n">
        <v>45877</v>
      </c>
      <c r="G4524" s="41" t="n">
        <v>100.44</v>
      </c>
      <c r="H4524" s="39" t="n">
        <v>45921</v>
      </c>
      <c r="I4524" s="7" t="s">
        <v>14651</v>
      </c>
      <c r="J4524" s="8" t="str">
        <f aca="false">IF(I4524="Open",DATE(2025,12,31)-F4524,"-")</f>
        <v>-</v>
      </c>
    </row>
    <row r="4525" customFormat="false" ht="15" hidden="false" customHeight="false" outlineLevel="0" collapsed="false">
      <c r="B4525" s="7" t="s">
        <v>19170</v>
      </c>
      <c r="C4525" s="7" t="s">
        <v>5022</v>
      </c>
      <c r="D4525" s="7" t="s">
        <v>395</v>
      </c>
      <c r="E4525" s="7" t="s">
        <v>156</v>
      </c>
      <c r="F4525" s="39" t="n">
        <v>45877</v>
      </c>
      <c r="G4525" s="41" t="n">
        <v>125.12</v>
      </c>
      <c r="H4525" s="39" t="n">
        <v>45894</v>
      </c>
      <c r="I4525" s="7" t="s">
        <v>14651</v>
      </c>
      <c r="J4525" s="8" t="str">
        <f aca="false">IF(I4525="Open",DATE(2025,12,31)-F4525,"-")</f>
        <v>-</v>
      </c>
    </row>
    <row r="4526" customFormat="false" ht="15" hidden="false" customHeight="false" outlineLevel="0" collapsed="false">
      <c r="B4526" s="7" t="s">
        <v>19171</v>
      </c>
      <c r="C4526" s="7" t="s">
        <v>5023</v>
      </c>
      <c r="D4526" s="7" t="s">
        <v>397</v>
      </c>
      <c r="E4526" s="7" t="s">
        <v>159</v>
      </c>
      <c r="F4526" s="39" t="n">
        <v>45877</v>
      </c>
      <c r="G4526" s="41" t="n">
        <v>144.45</v>
      </c>
      <c r="H4526" s="39" t="n">
        <v>45973</v>
      </c>
      <c r="I4526" s="7" t="s">
        <v>14651</v>
      </c>
      <c r="J4526" s="8" t="str">
        <f aca="false">IF(I4526="Open",DATE(2025,12,31)-F4526,"-")</f>
        <v>-</v>
      </c>
    </row>
    <row r="4527" customFormat="false" ht="15" hidden="false" customHeight="false" outlineLevel="0" collapsed="false">
      <c r="B4527" s="7" t="s">
        <v>19172</v>
      </c>
      <c r="C4527" s="7" t="s">
        <v>5024</v>
      </c>
      <c r="D4527" s="7" t="s">
        <v>399</v>
      </c>
      <c r="E4527" s="7" t="s">
        <v>154</v>
      </c>
      <c r="F4527" s="39" t="n">
        <v>45877</v>
      </c>
      <c r="G4527" s="41" t="n">
        <v>96.99</v>
      </c>
      <c r="H4527" s="39" t="n">
        <v>45948</v>
      </c>
      <c r="I4527" s="7" t="s">
        <v>14651</v>
      </c>
      <c r="J4527" s="8" t="str">
        <f aca="false">IF(I4527="Open",DATE(2025,12,31)-F4527,"-")</f>
        <v>-</v>
      </c>
    </row>
    <row r="4528" customFormat="false" ht="15" hidden="false" customHeight="false" outlineLevel="0" collapsed="false">
      <c r="B4528" s="7" t="s">
        <v>19173</v>
      </c>
      <c r="C4528" s="7" t="s">
        <v>5025</v>
      </c>
      <c r="D4528" s="7" t="s">
        <v>401</v>
      </c>
      <c r="E4528" s="7" t="s">
        <v>156</v>
      </c>
      <c r="F4528" s="39" t="n">
        <v>45877</v>
      </c>
      <c r="G4528" s="41" t="n">
        <v>126.14</v>
      </c>
      <c r="H4528" s="39" t="n">
        <v>45891</v>
      </c>
      <c r="I4528" s="7" t="s">
        <v>14651</v>
      </c>
      <c r="J4528" s="8" t="str">
        <f aca="false">IF(I4528="Open",DATE(2025,12,31)-F4528,"-")</f>
        <v>-</v>
      </c>
    </row>
    <row r="4529" customFormat="false" ht="15" hidden="false" customHeight="false" outlineLevel="0" collapsed="false">
      <c r="B4529" s="7" t="s">
        <v>19174</v>
      </c>
      <c r="C4529" s="7" t="s">
        <v>5026</v>
      </c>
      <c r="D4529" s="7" t="s">
        <v>407</v>
      </c>
      <c r="E4529" s="7" t="s">
        <v>159</v>
      </c>
      <c r="F4529" s="39" t="n">
        <v>45877</v>
      </c>
      <c r="G4529" s="41" t="n">
        <v>124.2</v>
      </c>
      <c r="H4529" s="39" t="n">
        <v>45927</v>
      </c>
      <c r="I4529" s="7" t="s">
        <v>14651</v>
      </c>
      <c r="J4529" s="8" t="str">
        <f aca="false">IF(I4529="Open",DATE(2025,12,31)-F4529,"-")</f>
        <v>-</v>
      </c>
    </row>
    <row r="4530" customFormat="false" ht="15" hidden="false" customHeight="false" outlineLevel="0" collapsed="false">
      <c r="B4530" s="7" t="s">
        <v>19175</v>
      </c>
      <c r="C4530" s="7" t="s">
        <v>5027</v>
      </c>
      <c r="D4530" s="7" t="s">
        <v>409</v>
      </c>
      <c r="E4530" s="7" t="s">
        <v>154</v>
      </c>
      <c r="F4530" s="39" t="n">
        <v>45877</v>
      </c>
      <c r="G4530" s="41" t="n">
        <v>86.66</v>
      </c>
      <c r="H4530" s="39" t="n">
        <v>45995</v>
      </c>
      <c r="I4530" s="7" t="s">
        <v>14651</v>
      </c>
      <c r="J4530" s="8" t="str">
        <f aca="false">IF(I4530="Open",DATE(2025,12,31)-F4530,"-")</f>
        <v>-</v>
      </c>
    </row>
    <row r="4531" customFormat="false" ht="15" hidden="false" customHeight="false" outlineLevel="0" collapsed="false">
      <c r="B4531" s="7" t="s">
        <v>19176</v>
      </c>
      <c r="C4531" s="7" t="s">
        <v>5028</v>
      </c>
      <c r="D4531" s="7" t="s">
        <v>411</v>
      </c>
      <c r="E4531" s="7" t="s">
        <v>154</v>
      </c>
      <c r="F4531" s="39" t="n">
        <v>45877</v>
      </c>
      <c r="G4531" s="41" t="n">
        <v>129.29</v>
      </c>
      <c r="H4531" s="39" t="n">
        <v>45903</v>
      </c>
      <c r="I4531" s="7" t="s">
        <v>14651</v>
      </c>
      <c r="J4531" s="8" t="str">
        <f aca="false">IF(I4531="Open",DATE(2025,12,31)-F4531,"-")</f>
        <v>-</v>
      </c>
    </row>
    <row r="4532" customFormat="false" ht="15" hidden="false" customHeight="false" outlineLevel="0" collapsed="false">
      <c r="B4532" s="7" t="s">
        <v>19177</v>
      </c>
      <c r="C4532" s="7" t="s">
        <v>5029</v>
      </c>
      <c r="D4532" s="7" t="s">
        <v>288</v>
      </c>
      <c r="E4532" s="7" t="s">
        <v>156</v>
      </c>
      <c r="F4532" s="39" t="n">
        <v>45878</v>
      </c>
      <c r="G4532" s="41" t="n">
        <v>147.56</v>
      </c>
      <c r="H4532" s="39" t="n">
        <v>45893</v>
      </c>
      <c r="I4532" s="7" t="s">
        <v>14651</v>
      </c>
      <c r="J4532" s="8" t="str">
        <f aca="false">IF(I4532="Open",DATE(2025,12,31)-F4532,"-")</f>
        <v>-</v>
      </c>
    </row>
    <row r="4533" customFormat="false" ht="15" hidden="false" customHeight="false" outlineLevel="0" collapsed="false">
      <c r="B4533" s="7" t="s">
        <v>19178</v>
      </c>
      <c r="C4533" s="7" t="s">
        <v>5030</v>
      </c>
      <c r="D4533" s="7" t="s">
        <v>321</v>
      </c>
      <c r="E4533" s="7" t="s">
        <v>154</v>
      </c>
      <c r="F4533" s="39" t="n">
        <v>45878</v>
      </c>
      <c r="G4533" s="41" t="n">
        <v>112.1</v>
      </c>
      <c r="H4533" s="39" t="n">
        <v>45931</v>
      </c>
      <c r="I4533" s="7" t="s">
        <v>14651</v>
      </c>
      <c r="J4533" s="8" t="str">
        <f aca="false">IF(I4533="Open",DATE(2025,12,31)-F4533,"-")</f>
        <v>-</v>
      </c>
    </row>
    <row r="4534" customFormat="false" ht="15" hidden="false" customHeight="false" outlineLevel="0" collapsed="false">
      <c r="B4534" s="7" t="s">
        <v>19179</v>
      </c>
      <c r="C4534" s="7" t="s">
        <v>5031</v>
      </c>
      <c r="D4534" s="7" t="s">
        <v>359</v>
      </c>
      <c r="E4534" s="7" t="s">
        <v>156</v>
      </c>
      <c r="F4534" s="39" t="n">
        <v>45878</v>
      </c>
      <c r="G4534" s="41" t="n">
        <v>143.14</v>
      </c>
      <c r="H4534" s="39" t="n">
        <v>45879</v>
      </c>
      <c r="I4534" s="7" t="s">
        <v>14651</v>
      </c>
      <c r="J4534" s="8" t="str">
        <f aca="false">IF(I4534="Open",DATE(2025,12,31)-F4534,"-")</f>
        <v>-</v>
      </c>
    </row>
    <row r="4535" customFormat="false" ht="15" hidden="false" customHeight="false" outlineLevel="0" collapsed="false">
      <c r="B4535" s="7" t="s">
        <v>19180</v>
      </c>
      <c r="C4535" s="7" t="s">
        <v>5032</v>
      </c>
      <c r="D4535" s="7" t="s">
        <v>387</v>
      </c>
      <c r="E4535" s="7" t="s">
        <v>154</v>
      </c>
      <c r="F4535" s="39" t="n">
        <v>45878</v>
      </c>
      <c r="G4535" s="41" t="n">
        <v>106.16</v>
      </c>
      <c r="H4535" s="39" t="n">
        <v>45965</v>
      </c>
      <c r="I4535" s="7" t="s">
        <v>14651</v>
      </c>
      <c r="J4535" s="8" t="str">
        <f aca="false">IF(I4535="Open",DATE(2025,12,31)-F4535,"-")</f>
        <v>-</v>
      </c>
    </row>
    <row r="4536" customFormat="false" ht="15" hidden="false" customHeight="false" outlineLevel="0" collapsed="false">
      <c r="B4536" s="7" t="s">
        <v>19181</v>
      </c>
      <c r="C4536" s="7" t="s">
        <v>5033</v>
      </c>
      <c r="D4536" s="7" t="s">
        <v>391</v>
      </c>
      <c r="E4536" s="7" t="s">
        <v>156</v>
      </c>
      <c r="F4536" s="39" t="n">
        <v>45878</v>
      </c>
      <c r="G4536" s="41" t="n">
        <v>145.18</v>
      </c>
      <c r="H4536" s="39" t="n">
        <v>45895</v>
      </c>
      <c r="I4536" s="7" t="s">
        <v>14651</v>
      </c>
      <c r="J4536" s="8" t="str">
        <f aca="false">IF(I4536="Open",DATE(2025,12,31)-F4536,"-")</f>
        <v>-</v>
      </c>
    </row>
    <row r="4537" customFormat="false" ht="15" hidden="false" customHeight="false" outlineLevel="0" collapsed="false">
      <c r="B4537" s="7" t="s">
        <v>19182</v>
      </c>
      <c r="C4537" s="7" t="s">
        <v>5034</v>
      </c>
      <c r="D4537" s="7" t="s">
        <v>395</v>
      </c>
      <c r="E4537" s="7" t="s">
        <v>156</v>
      </c>
      <c r="F4537" s="39" t="n">
        <v>45878</v>
      </c>
      <c r="G4537" s="41" t="n">
        <v>133.62</v>
      </c>
      <c r="H4537" s="39" t="n">
        <v>45897</v>
      </c>
      <c r="I4537" s="7" t="s">
        <v>14651</v>
      </c>
      <c r="J4537" s="8" t="str">
        <f aca="false">IF(I4537="Open",DATE(2025,12,31)-F4537,"-")</f>
        <v>-</v>
      </c>
    </row>
    <row r="4538" customFormat="false" ht="15" hidden="false" customHeight="false" outlineLevel="0" collapsed="false">
      <c r="B4538" s="7" t="s">
        <v>19183</v>
      </c>
      <c r="C4538" s="7" t="s">
        <v>5035</v>
      </c>
      <c r="D4538" s="7" t="s">
        <v>401</v>
      </c>
      <c r="E4538" s="7" t="s">
        <v>156</v>
      </c>
      <c r="F4538" s="39" t="n">
        <v>45878</v>
      </c>
      <c r="G4538" s="41" t="n">
        <v>138.38</v>
      </c>
      <c r="H4538" s="39" t="n">
        <v>45896</v>
      </c>
      <c r="I4538" s="7" t="s">
        <v>14651</v>
      </c>
      <c r="J4538" s="8" t="str">
        <f aca="false">IF(I4538="Open",DATE(2025,12,31)-F4538,"-")</f>
        <v>-</v>
      </c>
    </row>
    <row r="4539" customFormat="false" ht="15" hidden="false" customHeight="false" outlineLevel="0" collapsed="false">
      <c r="B4539" s="7" t="s">
        <v>19184</v>
      </c>
      <c r="C4539" s="7" t="s">
        <v>5036</v>
      </c>
      <c r="D4539" s="7" t="s">
        <v>288</v>
      </c>
      <c r="E4539" s="7" t="s">
        <v>156</v>
      </c>
      <c r="F4539" s="39" t="n">
        <v>45879</v>
      </c>
      <c r="G4539" s="41" t="n">
        <v>133.96</v>
      </c>
      <c r="H4539" s="39" t="n">
        <v>45895</v>
      </c>
      <c r="I4539" s="7" t="s">
        <v>14651</v>
      </c>
      <c r="J4539" s="8" t="str">
        <f aca="false">IF(I4539="Open",DATE(2025,12,31)-F4539,"-")</f>
        <v>-</v>
      </c>
    </row>
    <row r="4540" customFormat="false" ht="15" hidden="false" customHeight="false" outlineLevel="0" collapsed="false">
      <c r="B4540" s="7" t="s">
        <v>19185</v>
      </c>
      <c r="C4540" s="7" t="s">
        <v>5037</v>
      </c>
      <c r="D4540" s="7" t="s">
        <v>321</v>
      </c>
      <c r="E4540" s="7" t="s">
        <v>154</v>
      </c>
      <c r="F4540" s="39" t="n">
        <v>45879</v>
      </c>
      <c r="G4540" s="41" t="n">
        <v>107.32</v>
      </c>
      <c r="H4540" s="39" t="n">
        <v>45935</v>
      </c>
      <c r="I4540" s="7" t="s">
        <v>14651</v>
      </c>
      <c r="J4540" s="8" t="str">
        <f aca="false">IF(I4540="Open",DATE(2025,12,31)-F4540,"-")</f>
        <v>-</v>
      </c>
    </row>
    <row r="4541" customFormat="false" ht="15" hidden="false" customHeight="false" outlineLevel="0" collapsed="false">
      <c r="B4541" s="7" t="s">
        <v>19186</v>
      </c>
      <c r="C4541" s="7" t="s">
        <v>5038</v>
      </c>
      <c r="D4541" s="7" t="s">
        <v>359</v>
      </c>
      <c r="E4541" s="7" t="s">
        <v>156</v>
      </c>
      <c r="F4541" s="39" t="n">
        <v>45879</v>
      </c>
      <c r="G4541" s="41" t="n">
        <v>148.92</v>
      </c>
      <c r="H4541" s="39" t="n">
        <v>45891</v>
      </c>
      <c r="I4541" s="7" t="s">
        <v>14651</v>
      </c>
      <c r="J4541" s="8" t="str">
        <f aca="false">IF(I4541="Open",DATE(2025,12,31)-F4541,"-")</f>
        <v>-</v>
      </c>
    </row>
    <row r="4542" customFormat="false" ht="15" hidden="false" customHeight="false" outlineLevel="0" collapsed="false">
      <c r="B4542" s="7" t="s">
        <v>19187</v>
      </c>
      <c r="C4542" s="7" t="s">
        <v>5039</v>
      </c>
      <c r="D4542" s="7" t="s">
        <v>387</v>
      </c>
      <c r="E4542" s="7" t="s">
        <v>154</v>
      </c>
      <c r="F4542" s="39" t="n">
        <v>45879</v>
      </c>
      <c r="G4542" s="41" t="n">
        <v>109.5</v>
      </c>
      <c r="H4542" s="39" t="n">
        <v>45979</v>
      </c>
      <c r="I4542" s="7" t="s">
        <v>14651</v>
      </c>
      <c r="J4542" s="8" t="str">
        <f aca="false">IF(I4542="Open",DATE(2025,12,31)-F4542,"-")</f>
        <v>-</v>
      </c>
    </row>
    <row r="4543" customFormat="false" ht="15" hidden="false" customHeight="false" outlineLevel="0" collapsed="false">
      <c r="B4543" s="7" t="s">
        <v>19188</v>
      </c>
      <c r="C4543" s="7" t="s">
        <v>5040</v>
      </c>
      <c r="D4543" s="7" t="s">
        <v>391</v>
      </c>
      <c r="E4543" s="7" t="s">
        <v>156</v>
      </c>
      <c r="F4543" s="39" t="n">
        <v>45879</v>
      </c>
      <c r="G4543" s="41" t="n">
        <v>127.16</v>
      </c>
      <c r="H4543" s="39" t="n">
        <v>45890</v>
      </c>
      <c r="I4543" s="7" t="s">
        <v>14651</v>
      </c>
      <c r="J4543" s="8" t="str">
        <f aca="false">IF(I4543="Open",DATE(2025,12,31)-F4543,"-")</f>
        <v>-</v>
      </c>
    </row>
    <row r="4544" customFormat="false" ht="15" hidden="false" customHeight="false" outlineLevel="0" collapsed="false">
      <c r="B4544" s="7" t="s">
        <v>19189</v>
      </c>
      <c r="C4544" s="7" t="s">
        <v>5041</v>
      </c>
      <c r="D4544" s="7" t="s">
        <v>395</v>
      </c>
      <c r="E4544" s="7" t="s">
        <v>156</v>
      </c>
      <c r="F4544" s="39" t="n">
        <v>45879</v>
      </c>
      <c r="G4544" s="41" t="n">
        <v>130.56</v>
      </c>
      <c r="H4544" s="39" t="n">
        <v>45895</v>
      </c>
      <c r="I4544" s="7" t="s">
        <v>14651</v>
      </c>
      <c r="J4544" s="8" t="str">
        <f aca="false">IF(I4544="Open",DATE(2025,12,31)-F4544,"-")</f>
        <v>-</v>
      </c>
    </row>
    <row r="4545" customFormat="false" ht="15" hidden="false" customHeight="false" outlineLevel="0" collapsed="false">
      <c r="B4545" s="7" t="s">
        <v>19190</v>
      </c>
      <c r="C4545" s="7" t="s">
        <v>5042</v>
      </c>
      <c r="D4545" s="7" t="s">
        <v>401</v>
      </c>
      <c r="E4545" s="7" t="s">
        <v>156</v>
      </c>
      <c r="F4545" s="39" t="n">
        <v>45879</v>
      </c>
      <c r="G4545" s="41" t="n">
        <v>139.06</v>
      </c>
      <c r="H4545" s="39" t="n">
        <v>45884</v>
      </c>
      <c r="I4545" s="7" t="s">
        <v>14651</v>
      </c>
      <c r="J4545" s="8" t="str">
        <f aca="false">IF(I4545="Open",DATE(2025,12,31)-F4545,"-")</f>
        <v>-</v>
      </c>
    </row>
    <row r="4546" customFormat="false" ht="15" hidden="false" customHeight="false" outlineLevel="0" collapsed="false">
      <c r="B4546" s="7" t="s">
        <v>19191</v>
      </c>
      <c r="C4546" s="7" t="s">
        <v>5043</v>
      </c>
      <c r="D4546" s="7" t="s">
        <v>280</v>
      </c>
      <c r="E4546" s="7" t="s">
        <v>157</v>
      </c>
      <c r="F4546" s="39" t="n">
        <v>45880</v>
      </c>
      <c r="G4546" s="41" t="n">
        <v>171.6</v>
      </c>
      <c r="H4546" s="39" t="n">
        <v>45912</v>
      </c>
      <c r="I4546" s="7" t="s">
        <v>14651</v>
      </c>
      <c r="J4546" s="8" t="str">
        <f aca="false">IF(I4546="Open",DATE(2025,12,31)-F4546,"-")</f>
        <v>-</v>
      </c>
    </row>
    <row r="4547" customFormat="false" ht="15" hidden="false" customHeight="false" outlineLevel="0" collapsed="false">
      <c r="B4547" s="7" t="s">
        <v>19192</v>
      </c>
      <c r="C4547" s="7" t="s">
        <v>5044</v>
      </c>
      <c r="D4547" s="7" t="s">
        <v>288</v>
      </c>
      <c r="E4547" s="7" t="s">
        <v>156</v>
      </c>
      <c r="F4547" s="39" t="n">
        <v>45880</v>
      </c>
      <c r="G4547" s="41" t="n">
        <v>143.14</v>
      </c>
      <c r="H4547" s="39" t="n">
        <v>45896</v>
      </c>
      <c r="I4547" s="7" t="s">
        <v>14651</v>
      </c>
      <c r="J4547" s="8" t="str">
        <f aca="false">IF(I4547="Open",DATE(2025,12,31)-F4547,"-")</f>
        <v>-</v>
      </c>
    </row>
    <row r="4548" customFormat="false" ht="15" hidden="false" customHeight="false" outlineLevel="0" collapsed="false">
      <c r="B4548" s="7" t="s">
        <v>19193</v>
      </c>
      <c r="C4548" s="7" t="s">
        <v>5045</v>
      </c>
      <c r="D4548" s="7" t="s">
        <v>291</v>
      </c>
      <c r="E4548" s="7" t="s">
        <v>154</v>
      </c>
      <c r="F4548" s="39" t="n">
        <v>45880</v>
      </c>
      <c r="G4548" s="41" t="n">
        <v>112.89</v>
      </c>
      <c r="H4548" s="39" t="n">
        <v>45927</v>
      </c>
      <c r="I4548" s="7" t="s">
        <v>14651</v>
      </c>
      <c r="J4548" s="8" t="str">
        <f aca="false">IF(I4548="Open",DATE(2025,12,31)-F4548,"-")</f>
        <v>-</v>
      </c>
    </row>
    <row r="4549" customFormat="false" ht="15" hidden="false" customHeight="false" outlineLevel="0" collapsed="false">
      <c r="B4549" s="7" t="s">
        <v>19194</v>
      </c>
      <c r="C4549" s="7" t="s">
        <v>5046</v>
      </c>
      <c r="D4549" s="7" t="s">
        <v>295</v>
      </c>
      <c r="E4549" s="7" t="s">
        <v>154</v>
      </c>
      <c r="F4549" s="39" t="n">
        <v>45880</v>
      </c>
      <c r="G4549" s="41" t="n">
        <v>95.66</v>
      </c>
      <c r="H4549" s="39" t="n">
        <v>45947</v>
      </c>
      <c r="I4549" s="7" t="s">
        <v>14651</v>
      </c>
      <c r="J4549" s="8" t="str">
        <f aca="false">IF(I4549="Open",DATE(2025,12,31)-F4549,"-")</f>
        <v>-</v>
      </c>
    </row>
    <row r="4550" customFormat="false" ht="15" hidden="false" customHeight="false" outlineLevel="0" collapsed="false">
      <c r="B4550" s="7" t="s">
        <v>19195</v>
      </c>
      <c r="C4550" s="7" t="s">
        <v>5047</v>
      </c>
      <c r="D4550" s="7" t="s">
        <v>297</v>
      </c>
      <c r="E4550" s="7" t="s">
        <v>156</v>
      </c>
      <c r="F4550" s="39" t="n">
        <v>45880</v>
      </c>
      <c r="G4550" s="41" t="n">
        <v>105.74</v>
      </c>
      <c r="H4550" s="39" t="n">
        <v>45901</v>
      </c>
      <c r="I4550" s="7" t="s">
        <v>14651</v>
      </c>
      <c r="J4550" s="8" t="str">
        <f aca="false">IF(I4550="Open",DATE(2025,12,31)-F4550,"-")</f>
        <v>-</v>
      </c>
    </row>
    <row r="4551" customFormat="false" ht="15" hidden="false" customHeight="false" outlineLevel="0" collapsed="false">
      <c r="B4551" s="7" t="s">
        <v>19196</v>
      </c>
      <c r="C4551" s="7" t="s">
        <v>5048</v>
      </c>
      <c r="D4551" s="7" t="s">
        <v>305</v>
      </c>
      <c r="E4551" s="7" t="s">
        <v>154</v>
      </c>
      <c r="F4551" s="39" t="n">
        <v>45880</v>
      </c>
      <c r="G4551" s="41" t="n">
        <v>111.56</v>
      </c>
      <c r="H4551" s="39" t="n">
        <v>45932</v>
      </c>
      <c r="I4551" s="7" t="s">
        <v>14651</v>
      </c>
      <c r="J4551" s="8" t="str">
        <f aca="false">IF(I4551="Open",DATE(2025,12,31)-F4551,"-")</f>
        <v>-</v>
      </c>
    </row>
    <row r="4552" customFormat="false" ht="15" hidden="false" customHeight="false" outlineLevel="0" collapsed="false">
      <c r="B4552" s="7" t="s">
        <v>19197</v>
      </c>
      <c r="C4552" s="7" t="s">
        <v>5049</v>
      </c>
      <c r="D4552" s="7" t="s">
        <v>307</v>
      </c>
      <c r="E4552" s="7" t="s">
        <v>157</v>
      </c>
      <c r="F4552" s="39" t="n">
        <v>45880</v>
      </c>
      <c r="G4552" s="41" t="n">
        <v>151.8</v>
      </c>
      <c r="H4552" s="39" t="n">
        <v>45914</v>
      </c>
      <c r="I4552" s="7" t="s">
        <v>14651</v>
      </c>
      <c r="J4552" s="8" t="str">
        <f aca="false">IF(I4552="Open",DATE(2025,12,31)-F4552,"-")</f>
        <v>-</v>
      </c>
    </row>
    <row r="4553" customFormat="false" ht="15" hidden="false" customHeight="false" outlineLevel="0" collapsed="false">
      <c r="B4553" s="7" t="s">
        <v>19198</v>
      </c>
      <c r="C4553" s="7" t="s">
        <v>5050</v>
      </c>
      <c r="D4553" s="7" t="s">
        <v>309</v>
      </c>
      <c r="E4553" s="7" t="s">
        <v>159</v>
      </c>
      <c r="F4553" s="39" t="n">
        <v>45880</v>
      </c>
      <c r="G4553" s="41" t="n">
        <v>128.25</v>
      </c>
      <c r="H4553" s="39" t="n">
        <v>45918</v>
      </c>
      <c r="I4553" s="7" t="s">
        <v>14651</v>
      </c>
      <c r="J4553" s="8" t="str">
        <f aca="false">IF(I4553="Open",DATE(2025,12,31)-F4553,"-")</f>
        <v>-</v>
      </c>
    </row>
    <row r="4554" customFormat="false" ht="15" hidden="false" customHeight="false" outlineLevel="0" collapsed="false">
      <c r="B4554" s="7" t="s">
        <v>19199</v>
      </c>
      <c r="C4554" s="7" t="s">
        <v>5051</v>
      </c>
      <c r="D4554" s="7" t="s">
        <v>311</v>
      </c>
      <c r="E4554" s="7" t="s">
        <v>154</v>
      </c>
      <c r="F4554" s="39" t="n">
        <v>45880</v>
      </c>
      <c r="G4554" s="41" t="n">
        <v>82.41</v>
      </c>
      <c r="H4554" s="39" t="n">
        <v>45909</v>
      </c>
      <c r="I4554" s="7" t="s">
        <v>14651</v>
      </c>
      <c r="J4554" s="8" t="str">
        <f aca="false">IF(I4554="Open",DATE(2025,12,31)-F4554,"-")</f>
        <v>-</v>
      </c>
    </row>
    <row r="4555" customFormat="false" ht="15" hidden="false" customHeight="false" outlineLevel="0" collapsed="false">
      <c r="B4555" s="7" t="s">
        <v>19200</v>
      </c>
      <c r="C4555" s="7" t="s">
        <v>5052</v>
      </c>
      <c r="D4555" s="7" t="s">
        <v>313</v>
      </c>
      <c r="E4555" s="7" t="s">
        <v>156</v>
      </c>
      <c r="F4555" s="39" t="n">
        <v>45880</v>
      </c>
      <c r="G4555" s="41" t="n">
        <v>146.88</v>
      </c>
      <c r="H4555" s="39" t="n">
        <v>45896</v>
      </c>
      <c r="I4555" s="7" t="s">
        <v>14651</v>
      </c>
      <c r="J4555" s="8" t="str">
        <f aca="false">IF(I4555="Open",DATE(2025,12,31)-F4555,"-")</f>
        <v>-</v>
      </c>
    </row>
    <row r="4556" customFormat="false" ht="15" hidden="false" customHeight="false" outlineLevel="0" collapsed="false">
      <c r="B4556" s="7" t="s">
        <v>19201</v>
      </c>
      <c r="C4556" s="7" t="s">
        <v>5053</v>
      </c>
      <c r="D4556" s="7" t="s">
        <v>315</v>
      </c>
      <c r="E4556" s="7" t="s">
        <v>159</v>
      </c>
      <c r="F4556" s="39" t="n">
        <v>45880</v>
      </c>
      <c r="G4556" s="41" t="n">
        <v>145.8</v>
      </c>
      <c r="H4556" s="39" t="n">
        <v>45924</v>
      </c>
      <c r="I4556" s="7" t="s">
        <v>14651</v>
      </c>
      <c r="J4556" s="8" t="str">
        <f aca="false">IF(I4556="Open",DATE(2025,12,31)-F4556,"-")</f>
        <v>-</v>
      </c>
    </row>
    <row r="4557" customFormat="false" ht="15" hidden="false" customHeight="false" outlineLevel="0" collapsed="false">
      <c r="B4557" s="7" t="s">
        <v>19202</v>
      </c>
      <c r="C4557" s="7" t="s">
        <v>5054</v>
      </c>
      <c r="D4557" s="7" t="s">
        <v>317</v>
      </c>
      <c r="E4557" s="7" t="s">
        <v>156</v>
      </c>
      <c r="F4557" s="39" t="n">
        <v>45880</v>
      </c>
      <c r="G4557" s="41" t="n">
        <v>102.68</v>
      </c>
      <c r="H4557" s="39" t="n">
        <v>45895</v>
      </c>
      <c r="I4557" s="7" t="s">
        <v>14651</v>
      </c>
      <c r="J4557" s="8" t="str">
        <f aca="false">IF(I4557="Open",DATE(2025,12,31)-F4557,"-")</f>
        <v>-</v>
      </c>
    </row>
    <row r="4558" customFormat="false" ht="15" hidden="false" customHeight="false" outlineLevel="0" collapsed="false">
      <c r="B4558" s="7" t="s">
        <v>19203</v>
      </c>
      <c r="C4558" s="7" t="s">
        <v>5055</v>
      </c>
      <c r="D4558" s="7" t="s">
        <v>321</v>
      </c>
      <c r="E4558" s="7" t="s">
        <v>154</v>
      </c>
      <c r="F4558" s="39" t="n">
        <v>45880</v>
      </c>
      <c r="G4558" s="41" t="n">
        <v>104.41</v>
      </c>
      <c r="H4558" s="39" t="n">
        <v>45922</v>
      </c>
      <c r="I4558" s="7" t="s">
        <v>14651</v>
      </c>
      <c r="J4558" s="8" t="str">
        <f aca="false">IF(I4558="Open",DATE(2025,12,31)-F4558,"-")</f>
        <v>-</v>
      </c>
    </row>
    <row r="4559" customFormat="false" ht="15" hidden="false" customHeight="false" outlineLevel="0" collapsed="false">
      <c r="B4559" s="7" t="s">
        <v>19204</v>
      </c>
      <c r="C4559" s="7" t="s">
        <v>5056</v>
      </c>
      <c r="D4559" s="7" t="s">
        <v>325</v>
      </c>
      <c r="E4559" s="7" t="s">
        <v>154</v>
      </c>
      <c r="F4559" s="39" t="n">
        <v>45880</v>
      </c>
      <c r="G4559" s="41" t="n">
        <v>76.06</v>
      </c>
      <c r="H4559" s="39" t="n">
        <v>45955</v>
      </c>
      <c r="I4559" s="7" t="s">
        <v>14651</v>
      </c>
      <c r="J4559" s="8" t="str">
        <f aca="false">IF(I4559="Open",DATE(2025,12,31)-F4559,"-")</f>
        <v>-</v>
      </c>
    </row>
    <row r="4560" customFormat="false" ht="15" hidden="false" customHeight="false" outlineLevel="0" collapsed="false">
      <c r="B4560" s="7" t="s">
        <v>19205</v>
      </c>
      <c r="C4560" s="7" t="s">
        <v>5057</v>
      </c>
      <c r="D4560" s="7" t="s">
        <v>329</v>
      </c>
      <c r="E4560" s="7" t="s">
        <v>156</v>
      </c>
      <c r="F4560" s="39" t="n">
        <v>45880</v>
      </c>
      <c r="G4560" s="41" t="n">
        <v>144.16</v>
      </c>
      <c r="H4560" s="39" t="n">
        <v>45891</v>
      </c>
      <c r="I4560" s="7" t="s">
        <v>14651</v>
      </c>
      <c r="J4560" s="8" t="str">
        <f aca="false">IF(I4560="Open",DATE(2025,12,31)-F4560,"-")</f>
        <v>-</v>
      </c>
    </row>
    <row r="4561" customFormat="false" ht="15" hidden="false" customHeight="false" outlineLevel="0" collapsed="false">
      <c r="B4561" s="7" t="s">
        <v>19206</v>
      </c>
      <c r="C4561" s="7" t="s">
        <v>5058</v>
      </c>
      <c r="D4561" s="7" t="s">
        <v>331</v>
      </c>
      <c r="E4561" s="7" t="s">
        <v>156</v>
      </c>
      <c r="F4561" s="39" t="n">
        <v>45880</v>
      </c>
      <c r="G4561" s="41" t="n">
        <v>130.56</v>
      </c>
      <c r="H4561" s="39" t="n">
        <v>45886</v>
      </c>
      <c r="I4561" s="7" t="s">
        <v>14651</v>
      </c>
      <c r="J4561" s="8" t="str">
        <f aca="false">IF(I4561="Open",DATE(2025,12,31)-F4561,"-")</f>
        <v>-</v>
      </c>
    </row>
    <row r="4562" customFormat="false" ht="15" hidden="false" customHeight="false" outlineLevel="0" collapsed="false">
      <c r="B4562" s="7" t="s">
        <v>19207</v>
      </c>
      <c r="C4562" s="7" t="s">
        <v>5059</v>
      </c>
      <c r="D4562" s="7" t="s">
        <v>335</v>
      </c>
      <c r="E4562" s="7" t="s">
        <v>154</v>
      </c>
      <c r="F4562" s="39" t="n">
        <v>45880</v>
      </c>
      <c r="G4562" s="41" t="n">
        <v>97.25</v>
      </c>
      <c r="H4562" s="39" t="n">
        <v>45933</v>
      </c>
      <c r="I4562" s="7" t="s">
        <v>14651</v>
      </c>
      <c r="J4562" s="8" t="str">
        <f aca="false">IF(I4562="Open",DATE(2025,12,31)-F4562,"-")</f>
        <v>-</v>
      </c>
    </row>
    <row r="4563" customFormat="false" ht="15" hidden="false" customHeight="false" outlineLevel="0" collapsed="false">
      <c r="B4563" s="7" t="s">
        <v>19208</v>
      </c>
      <c r="C4563" s="7" t="s">
        <v>5060</v>
      </c>
      <c r="D4563" s="7" t="s">
        <v>337</v>
      </c>
      <c r="E4563" s="7" t="s">
        <v>154</v>
      </c>
      <c r="F4563" s="39" t="n">
        <v>45880</v>
      </c>
      <c r="G4563" s="41" t="n">
        <v>73.67</v>
      </c>
      <c r="H4563" s="39" t="n">
        <v>45923</v>
      </c>
      <c r="I4563" s="7" t="s">
        <v>14651</v>
      </c>
      <c r="J4563" s="8" t="str">
        <f aca="false">IF(I4563="Open",DATE(2025,12,31)-F4563,"-")</f>
        <v>-</v>
      </c>
    </row>
    <row r="4564" customFormat="false" ht="15" hidden="false" customHeight="false" outlineLevel="0" collapsed="false">
      <c r="B4564" s="7" t="s">
        <v>19209</v>
      </c>
      <c r="C4564" s="7" t="s">
        <v>5061</v>
      </c>
      <c r="D4564" s="7" t="s">
        <v>339</v>
      </c>
      <c r="E4564" s="7" t="s">
        <v>154</v>
      </c>
      <c r="F4564" s="39" t="n">
        <v>45880</v>
      </c>
      <c r="G4564" s="41" t="n">
        <v>89.04</v>
      </c>
      <c r="H4564" s="39" t="n">
        <v>45972</v>
      </c>
      <c r="I4564" s="7" t="s">
        <v>14651</v>
      </c>
      <c r="J4564" s="8" t="str">
        <f aca="false">IF(I4564="Open",DATE(2025,12,31)-F4564,"-")</f>
        <v>-</v>
      </c>
    </row>
    <row r="4565" customFormat="false" ht="15" hidden="false" customHeight="false" outlineLevel="0" collapsed="false">
      <c r="B4565" s="7" t="s">
        <v>19210</v>
      </c>
      <c r="C4565" s="7" t="s">
        <v>5062</v>
      </c>
      <c r="D4565" s="7" t="s">
        <v>341</v>
      </c>
      <c r="E4565" s="7" t="s">
        <v>156</v>
      </c>
      <c r="F4565" s="39" t="n">
        <v>45880</v>
      </c>
      <c r="G4565" s="41" t="n">
        <v>99.96</v>
      </c>
      <c r="H4565" s="39" t="n">
        <v>45883</v>
      </c>
      <c r="I4565" s="7" t="s">
        <v>14651</v>
      </c>
      <c r="J4565" s="8" t="str">
        <f aca="false">IF(I4565="Open",DATE(2025,12,31)-F4565,"-")</f>
        <v>-</v>
      </c>
    </row>
    <row r="4566" customFormat="false" ht="15" hidden="false" customHeight="false" outlineLevel="0" collapsed="false">
      <c r="B4566" s="7" t="s">
        <v>19211</v>
      </c>
      <c r="C4566" s="7" t="s">
        <v>5063</v>
      </c>
      <c r="D4566" s="7" t="s">
        <v>343</v>
      </c>
      <c r="E4566" s="7" t="s">
        <v>154</v>
      </c>
      <c r="F4566" s="39" t="n">
        <v>45880</v>
      </c>
      <c r="G4566" s="41" t="n">
        <v>112.62</v>
      </c>
      <c r="H4566" s="39" t="n">
        <v>45939</v>
      </c>
      <c r="I4566" s="7" t="s">
        <v>14651</v>
      </c>
      <c r="J4566" s="8" t="str">
        <f aca="false">IF(I4566="Open",DATE(2025,12,31)-F4566,"-")</f>
        <v>-</v>
      </c>
    </row>
    <row r="4567" customFormat="false" ht="15" hidden="false" customHeight="false" outlineLevel="0" collapsed="false">
      <c r="B4567" s="7" t="s">
        <v>19212</v>
      </c>
      <c r="C4567" s="7" t="s">
        <v>5064</v>
      </c>
      <c r="D4567" s="7" t="s">
        <v>347</v>
      </c>
      <c r="E4567" s="7" t="s">
        <v>154</v>
      </c>
      <c r="F4567" s="39" t="n">
        <v>45880</v>
      </c>
      <c r="G4567" s="41" t="n">
        <v>117.13</v>
      </c>
      <c r="H4567" s="39" t="n">
        <v>45982</v>
      </c>
      <c r="I4567" s="7" t="s">
        <v>14651</v>
      </c>
      <c r="J4567" s="8" t="str">
        <f aca="false">IF(I4567="Open",DATE(2025,12,31)-F4567,"-")</f>
        <v>-</v>
      </c>
    </row>
    <row r="4568" customFormat="false" ht="15" hidden="false" customHeight="false" outlineLevel="0" collapsed="false">
      <c r="B4568" s="7" t="s">
        <v>19213</v>
      </c>
      <c r="C4568" s="7" t="s">
        <v>5065</v>
      </c>
      <c r="D4568" s="7" t="s">
        <v>351</v>
      </c>
      <c r="E4568" s="7" t="s">
        <v>154</v>
      </c>
      <c r="F4568" s="39" t="n">
        <v>45880</v>
      </c>
      <c r="G4568" s="41" t="n">
        <v>79.77</v>
      </c>
      <c r="H4568" s="39" t="n">
        <v>45986</v>
      </c>
      <c r="I4568" s="7" t="s">
        <v>14651</v>
      </c>
      <c r="J4568" s="8" t="str">
        <f aca="false">IF(I4568="Open",DATE(2025,12,31)-F4568,"-")</f>
        <v>-</v>
      </c>
    </row>
    <row r="4569" customFormat="false" ht="15" hidden="false" customHeight="false" outlineLevel="0" collapsed="false">
      <c r="B4569" s="7" t="s">
        <v>19214</v>
      </c>
      <c r="C4569" s="7" t="s">
        <v>5066</v>
      </c>
      <c r="D4569" s="7" t="s">
        <v>353</v>
      </c>
      <c r="E4569" s="7" t="s">
        <v>154</v>
      </c>
      <c r="F4569" s="39" t="n">
        <v>45880</v>
      </c>
      <c r="G4569" s="41" t="n">
        <v>83.74</v>
      </c>
      <c r="H4569" s="39" t="n">
        <v>45921</v>
      </c>
      <c r="I4569" s="7" t="s">
        <v>14651</v>
      </c>
      <c r="J4569" s="8" t="str">
        <f aca="false">IF(I4569="Open",DATE(2025,12,31)-F4569,"-")</f>
        <v>-</v>
      </c>
    </row>
    <row r="4570" customFormat="false" ht="15" hidden="false" customHeight="false" outlineLevel="0" collapsed="false">
      <c r="B4570" s="7" t="s">
        <v>19215</v>
      </c>
      <c r="C4570" s="7" t="s">
        <v>5067</v>
      </c>
      <c r="D4570" s="7" t="s">
        <v>355</v>
      </c>
      <c r="E4570" s="7" t="s">
        <v>154</v>
      </c>
      <c r="F4570" s="39" t="n">
        <v>45880</v>
      </c>
      <c r="G4570" s="41" t="n">
        <v>89.04</v>
      </c>
      <c r="H4570" s="39" t="n">
        <v>45947</v>
      </c>
      <c r="I4570" s="7" t="s">
        <v>14651</v>
      </c>
      <c r="J4570" s="8" t="str">
        <f aca="false">IF(I4570="Open",DATE(2025,12,31)-F4570,"-")</f>
        <v>-</v>
      </c>
    </row>
    <row r="4571" customFormat="false" ht="15" hidden="false" customHeight="false" outlineLevel="0" collapsed="false">
      <c r="B4571" s="7" t="s">
        <v>19216</v>
      </c>
      <c r="C4571" s="7" t="s">
        <v>5068</v>
      </c>
      <c r="D4571" s="7" t="s">
        <v>357</v>
      </c>
      <c r="E4571" s="7" t="s">
        <v>154</v>
      </c>
      <c r="F4571" s="39" t="n">
        <v>45880</v>
      </c>
      <c r="G4571" s="41" t="n">
        <v>81.88</v>
      </c>
      <c r="H4571" s="39" t="n">
        <v>45983</v>
      </c>
      <c r="I4571" s="7" t="s">
        <v>14651</v>
      </c>
      <c r="J4571" s="8" t="str">
        <f aca="false">IF(I4571="Open",DATE(2025,12,31)-F4571,"-")</f>
        <v>-</v>
      </c>
    </row>
    <row r="4572" customFormat="false" ht="15" hidden="false" customHeight="false" outlineLevel="0" collapsed="false">
      <c r="B4572" s="7" t="s">
        <v>19217</v>
      </c>
      <c r="C4572" s="7" t="s">
        <v>5069</v>
      </c>
      <c r="D4572" s="7" t="s">
        <v>359</v>
      </c>
      <c r="E4572" s="7" t="s">
        <v>156</v>
      </c>
      <c r="F4572" s="39" t="n">
        <v>45880</v>
      </c>
      <c r="G4572" s="41" t="n">
        <v>145.52</v>
      </c>
      <c r="H4572" s="39" t="n">
        <v>45895</v>
      </c>
      <c r="I4572" s="7" t="s">
        <v>14651</v>
      </c>
      <c r="J4572" s="8" t="str">
        <f aca="false">IF(I4572="Open",DATE(2025,12,31)-F4572,"-")</f>
        <v>-</v>
      </c>
    </row>
    <row r="4573" customFormat="false" ht="15" hidden="false" customHeight="false" outlineLevel="0" collapsed="false">
      <c r="B4573" s="7" t="s">
        <v>19218</v>
      </c>
      <c r="C4573" s="7" t="s">
        <v>5070</v>
      </c>
      <c r="D4573" s="7" t="s">
        <v>363</v>
      </c>
      <c r="E4573" s="7" t="s">
        <v>156</v>
      </c>
      <c r="F4573" s="39" t="n">
        <v>45880</v>
      </c>
      <c r="G4573" s="41" t="n">
        <v>124.78</v>
      </c>
      <c r="H4573" s="39" t="n">
        <v>45893</v>
      </c>
      <c r="I4573" s="7" t="s">
        <v>14651</v>
      </c>
      <c r="J4573" s="8" t="str">
        <f aca="false">IF(I4573="Open",DATE(2025,12,31)-F4573,"-")</f>
        <v>-</v>
      </c>
    </row>
    <row r="4574" customFormat="false" ht="15" hidden="false" customHeight="false" outlineLevel="0" collapsed="false">
      <c r="B4574" s="7" t="s">
        <v>19219</v>
      </c>
      <c r="C4574" s="7" t="s">
        <v>5071</v>
      </c>
      <c r="D4574" s="7" t="s">
        <v>365</v>
      </c>
      <c r="E4574" s="7" t="s">
        <v>154</v>
      </c>
      <c r="F4574" s="39" t="n">
        <v>45880</v>
      </c>
      <c r="G4574" s="41" t="n">
        <v>101.28</v>
      </c>
      <c r="H4574" s="39" t="n">
        <v>45959</v>
      </c>
      <c r="I4574" s="7" t="s">
        <v>14651</v>
      </c>
      <c r="J4574" s="8" t="str">
        <f aca="false">IF(I4574="Open",DATE(2025,12,31)-F4574,"-")</f>
        <v>-</v>
      </c>
    </row>
    <row r="4575" customFormat="false" ht="15" hidden="false" customHeight="false" outlineLevel="0" collapsed="false">
      <c r="B4575" s="7" t="s">
        <v>19220</v>
      </c>
      <c r="C4575" s="7" t="s">
        <v>5072</v>
      </c>
      <c r="D4575" s="7" t="s">
        <v>371</v>
      </c>
      <c r="E4575" s="7" t="s">
        <v>154</v>
      </c>
      <c r="F4575" s="39" t="n">
        <v>45880</v>
      </c>
      <c r="G4575" s="41" t="n">
        <v>130.12</v>
      </c>
      <c r="H4575" s="39" t="n">
        <v>45909</v>
      </c>
      <c r="I4575" s="7" t="s">
        <v>14651</v>
      </c>
      <c r="J4575" s="8" t="str">
        <f aca="false">IF(I4575="Open",DATE(2025,12,31)-F4575,"-")</f>
        <v>-</v>
      </c>
    </row>
    <row r="4576" customFormat="false" ht="15" hidden="false" customHeight="false" outlineLevel="0" collapsed="false">
      <c r="B4576" s="7" t="s">
        <v>19221</v>
      </c>
      <c r="C4576" s="7" t="s">
        <v>5073</v>
      </c>
      <c r="D4576" s="7" t="s">
        <v>375</v>
      </c>
      <c r="E4576" s="7" t="s">
        <v>156</v>
      </c>
      <c r="F4576" s="39" t="n">
        <v>45880</v>
      </c>
      <c r="G4576" s="41" t="n">
        <v>112.2</v>
      </c>
      <c r="H4576" s="39" t="n">
        <v>45896</v>
      </c>
      <c r="I4576" s="7" t="s">
        <v>14651</v>
      </c>
      <c r="J4576" s="8" t="str">
        <f aca="false">IF(I4576="Open",DATE(2025,12,31)-F4576,"-")</f>
        <v>-</v>
      </c>
    </row>
    <row r="4577" customFormat="false" ht="15" hidden="false" customHeight="false" outlineLevel="0" collapsed="false">
      <c r="B4577" s="7" t="s">
        <v>19222</v>
      </c>
      <c r="C4577" s="7" t="s">
        <v>5074</v>
      </c>
      <c r="D4577" s="7" t="s">
        <v>377</v>
      </c>
      <c r="E4577" s="7" t="s">
        <v>154</v>
      </c>
      <c r="F4577" s="39" t="n">
        <v>45880</v>
      </c>
      <c r="G4577" s="41" t="n">
        <v>95.66</v>
      </c>
      <c r="H4577" s="39" t="n">
        <v>45937</v>
      </c>
      <c r="I4577" s="7" t="s">
        <v>14651</v>
      </c>
      <c r="J4577" s="8" t="str">
        <f aca="false">IF(I4577="Open",DATE(2025,12,31)-F4577,"-")</f>
        <v>-</v>
      </c>
    </row>
    <row r="4578" customFormat="false" ht="15" hidden="false" customHeight="false" outlineLevel="0" collapsed="false">
      <c r="B4578" s="7" t="s">
        <v>19223</v>
      </c>
      <c r="C4578" s="7" t="s">
        <v>5075</v>
      </c>
      <c r="D4578" s="7" t="s">
        <v>379</v>
      </c>
      <c r="E4578" s="7" t="s">
        <v>156</v>
      </c>
      <c r="F4578" s="39" t="n">
        <v>45880</v>
      </c>
      <c r="G4578" s="41" t="n">
        <v>143.48</v>
      </c>
      <c r="H4578" s="39" t="n">
        <v>45900</v>
      </c>
      <c r="I4578" s="7" t="s">
        <v>14651</v>
      </c>
      <c r="J4578" s="8" t="str">
        <f aca="false">IF(I4578="Open",DATE(2025,12,31)-F4578,"-")</f>
        <v>-</v>
      </c>
    </row>
    <row r="4579" customFormat="false" ht="15" hidden="false" customHeight="false" outlineLevel="0" collapsed="false">
      <c r="B4579" s="7" t="s">
        <v>19224</v>
      </c>
      <c r="C4579" s="7" t="s">
        <v>5076</v>
      </c>
      <c r="D4579" s="7" t="s">
        <v>385</v>
      </c>
      <c r="E4579" s="7" t="s">
        <v>156</v>
      </c>
      <c r="F4579" s="39" t="n">
        <v>45880</v>
      </c>
      <c r="G4579" s="41" t="n">
        <v>131.24</v>
      </c>
      <c r="H4579" s="39" t="n">
        <v>45886</v>
      </c>
      <c r="I4579" s="7" t="s">
        <v>14651</v>
      </c>
      <c r="J4579" s="8" t="str">
        <f aca="false">IF(I4579="Open",DATE(2025,12,31)-F4579,"-")</f>
        <v>-</v>
      </c>
    </row>
    <row r="4580" customFormat="false" ht="15" hidden="false" customHeight="false" outlineLevel="0" collapsed="false">
      <c r="B4580" s="7" t="s">
        <v>19225</v>
      </c>
      <c r="C4580" s="7" t="s">
        <v>5077</v>
      </c>
      <c r="D4580" s="7" t="s">
        <v>387</v>
      </c>
      <c r="E4580" s="7" t="s">
        <v>154</v>
      </c>
      <c r="F4580" s="39" t="n">
        <v>45880</v>
      </c>
      <c r="G4580" s="41" t="n">
        <v>107.86</v>
      </c>
      <c r="H4580" s="39" t="n">
        <v>45987</v>
      </c>
      <c r="I4580" s="7" t="s">
        <v>14651</v>
      </c>
      <c r="J4580" s="8" t="str">
        <f aca="false">IF(I4580="Open",DATE(2025,12,31)-F4580,"-")</f>
        <v>-</v>
      </c>
    </row>
    <row r="4581" customFormat="false" ht="15" hidden="false" customHeight="false" outlineLevel="0" collapsed="false">
      <c r="B4581" s="7" t="s">
        <v>19226</v>
      </c>
      <c r="C4581" s="7" t="s">
        <v>5078</v>
      </c>
      <c r="D4581" s="7" t="s">
        <v>389</v>
      </c>
      <c r="E4581" s="7" t="s">
        <v>154</v>
      </c>
      <c r="F4581" s="39" t="n">
        <v>45880</v>
      </c>
      <c r="G4581" s="41" t="n">
        <v>115.54</v>
      </c>
      <c r="H4581" s="39" t="n">
        <v>45932</v>
      </c>
      <c r="I4581" s="7" t="s">
        <v>14651</v>
      </c>
      <c r="J4581" s="8" t="str">
        <f aca="false">IF(I4581="Open",DATE(2025,12,31)-F4581,"-")</f>
        <v>-</v>
      </c>
    </row>
    <row r="4582" customFormat="false" ht="15" hidden="false" customHeight="false" outlineLevel="0" collapsed="false">
      <c r="B4582" s="7" t="s">
        <v>19227</v>
      </c>
      <c r="C4582" s="7" t="s">
        <v>5079</v>
      </c>
      <c r="D4582" s="7" t="s">
        <v>391</v>
      </c>
      <c r="E4582" s="7" t="s">
        <v>156</v>
      </c>
      <c r="F4582" s="39" t="n">
        <v>45880</v>
      </c>
      <c r="G4582" s="41" t="n">
        <v>137.02</v>
      </c>
      <c r="H4582" s="39" t="n">
        <v>45893</v>
      </c>
      <c r="I4582" s="7" t="s">
        <v>14651</v>
      </c>
      <c r="J4582" s="8" t="str">
        <f aca="false">IF(I4582="Open",DATE(2025,12,31)-F4582,"-")</f>
        <v>-</v>
      </c>
    </row>
    <row r="4583" customFormat="false" ht="15" hidden="false" customHeight="false" outlineLevel="0" collapsed="false">
      <c r="B4583" s="7" t="s">
        <v>19228</v>
      </c>
      <c r="C4583" s="7" t="s">
        <v>5080</v>
      </c>
      <c r="D4583" s="7" t="s">
        <v>395</v>
      </c>
      <c r="E4583" s="7" t="s">
        <v>156</v>
      </c>
      <c r="F4583" s="39" t="n">
        <v>45880</v>
      </c>
      <c r="G4583" s="41" t="n">
        <v>142.8</v>
      </c>
      <c r="H4583" s="39" t="n">
        <v>45896</v>
      </c>
      <c r="I4583" s="7" t="s">
        <v>14651</v>
      </c>
      <c r="J4583" s="8" t="str">
        <f aca="false">IF(I4583="Open",DATE(2025,12,31)-F4583,"-")</f>
        <v>-</v>
      </c>
    </row>
    <row r="4584" customFormat="false" ht="15" hidden="false" customHeight="false" outlineLevel="0" collapsed="false">
      <c r="B4584" s="7" t="s">
        <v>19229</v>
      </c>
      <c r="C4584" s="7" t="s">
        <v>5081</v>
      </c>
      <c r="D4584" s="7" t="s">
        <v>399</v>
      </c>
      <c r="E4584" s="7" t="s">
        <v>154</v>
      </c>
      <c r="F4584" s="39" t="n">
        <v>45880</v>
      </c>
      <c r="G4584" s="41" t="n">
        <v>96.99</v>
      </c>
      <c r="H4584" s="39" t="n">
        <v>45937</v>
      </c>
      <c r="I4584" s="7" t="s">
        <v>14651</v>
      </c>
      <c r="J4584" s="8" t="str">
        <f aca="false">IF(I4584="Open",DATE(2025,12,31)-F4584,"-")</f>
        <v>-</v>
      </c>
    </row>
    <row r="4585" customFormat="false" ht="15" hidden="false" customHeight="false" outlineLevel="0" collapsed="false">
      <c r="B4585" s="7" t="s">
        <v>19230</v>
      </c>
      <c r="C4585" s="7" t="s">
        <v>5082</v>
      </c>
      <c r="D4585" s="7" t="s">
        <v>401</v>
      </c>
      <c r="E4585" s="7" t="s">
        <v>156</v>
      </c>
      <c r="F4585" s="39" t="n">
        <v>45880</v>
      </c>
      <c r="G4585" s="41" t="n">
        <v>136</v>
      </c>
      <c r="H4585" s="39" t="n">
        <v>45890</v>
      </c>
      <c r="I4585" s="7" t="s">
        <v>14651</v>
      </c>
      <c r="J4585" s="8" t="str">
        <f aca="false">IF(I4585="Open",DATE(2025,12,31)-F4585,"-")</f>
        <v>-</v>
      </c>
    </row>
    <row r="4586" customFormat="false" ht="15" hidden="false" customHeight="false" outlineLevel="0" collapsed="false">
      <c r="B4586" s="7" t="s">
        <v>19231</v>
      </c>
      <c r="C4586" s="7" t="s">
        <v>5083</v>
      </c>
      <c r="D4586" s="7" t="s">
        <v>403</v>
      </c>
      <c r="E4586" s="7" t="s">
        <v>156</v>
      </c>
      <c r="F4586" s="39" t="n">
        <v>45880</v>
      </c>
      <c r="G4586" s="41" t="n">
        <v>126.82</v>
      </c>
      <c r="H4586" s="39" t="n">
        <v>45890</v>
      </c>
      <c r="I4586" s="7" t="s">
        <v>14651</v>
      </c>
      <c r="J4586" s="8" t="str">
        <f aca="false">IF(I4586="Open",DATE(2025,12,31)-F4586,"-")</f>
        <v>-</v>
      </c>
    </row>
    <row r="4587" customFormat="false" ht="15" hidden="false" customHeight="false" outlineLevel="0" collapsed="false">
      <c r="B4587" s="7" t="s">
        <v>19232</v>
      </c>
      <c r="C4587" s="7" t="s">
        <v>5084</v>
      </c>
      <c r="D4587" s="7" t="s">
        <v>409</v>
      </c>
      <c r="E4587" s="7" t="s">
        <v>154</v>
      </c>
      <c r="F4587" s="39" t="n">
        <v>45880</v>
      </c>
      <c r="G4587" s="41" t="n">
        <v>91.43</v>
      </c>
      <c r="H4587" s="39" t="n">
        <v>45959</v>
      </c>
      <c r="I4587" s="7" t="s">
        <v>14651</v>
      </c>
      <c r="J4587" s="8" t="str">
        <f aca="false">IF(I4587="Open",DATE(2025,12,31)-F4587,"-")</f>
        <v>-</v>
      </c>
    </row>
    <row r="4588" customFormat="false" ht="15" hidden="false" customHeight="false" outlineLevel="0" collapsed="false">
      <c r="B4588" s="7" t="s">
        <v>19233</v>
      </c>
      <c r="C4588" s="7" t="s">
        <v>5085</v>
      </c>
      <c r="D4588" s="7" t="s">
        <v>411</v>
      </c>
      <c r="E4588" s="7" t="s">
        <v>154</v>
      </c>
      <c r="F4588" s="39" t="n">
        <v>45880</v>
      </c>
      <c r="G4588" s="41" t="n">
        <v>124.29</v>
      </c>
      <c r="H4588" s="39" t="n">
        <v>45992</v>
      </c>
      <c r="I4588" s="7" t="s">
        <v>14651</v>
      </c>
      <c r="J4588" s="8" t="str">
        <f aca="false">IF(I4588="Open",DATE(2025,12,31)-F4588,"-")</f>
        <v>-</v>
      </c>
    </row>
    <row r="4589" customFormat="false" ht="15" hidden="false" customHeight="false" outlineLevel="0" collapsed="false">
      <c r="B4589" s="7" t="s">
        <v>19234</v>
      </c>
      <c r="C4589" s="7" t="s">
        <v>5086</v>
      </c>
      <c r="D4589" s="7" t="s">
        <v>288</v>
      </c>
      <c r="E4589" s="7" t="s">
        <v>156</v>
      </c>
      <c r="F4589" s="39" t="n">
        <v>45881</v>
      </c>
      <c r="G4589" s="41" t="n">
        <v>144.84</v>
      </c>
      <c r="H4589" s="39" t="n">
        <v>45891</v>
      </c>
      <c r="I4589" s="7" t="s">
        <v>14651</v>
      </c>
      <c r="J4589" s="8" t="str">
        <f aca="false">IF(I4589="Open",DATE(2025,12,31)-F4589,"-")</f>
        <v>-</v>
      </c>
    </row>
    <row r="4590" customFormat="false" ht="15" hidden="false" customHeight="false" outlineLevel="0" collapsed="false">
      <c r="B4590" s="7" t="s">
        <v>19235</v>
      </c>
      <c r="C4590" s="7" t="s">
        <v>5087</v>
      </c>
      <c r="D4590" s="7" t="s">
        <v>301</v>
      </c>
      <c r="E4590" s="7" t="s">
        <v>157</v>
      </c>
      <c r="F4590" s="39" t="n">
        <v>45881</v>
      </c>
      <c r="G4590" s="41" t="n">
        <v>163.35</v>
      </c>
      <c r="H4590" s="39" t="n">
        <v>45963</v>
      </c>
      <c r="I4590" s="7" t="s">
        <v>14651</v>
      </c>
      <c r="J4590" s="8" t="str">
        <f aca="false">IF(I4590="Open",DATE(2025,12,31)-F4590,"-")</f>
        <v>-</v>
      </c>
    </row>
    <row r="4591" customFormat="false" ht="15" hidden="false" customHeight="false" outlineLevel="0" collapsed="false">
      <c r="B4591" s="7" t="s">
        <v>19236</v>
      </c>
      <c r="C4591" s="7" t="s">
        <v>5088</v>
      </c>
      <c r="D4591" s="7" t="s">
        <v>313</v>
      </c>
      <c r="E4591" s="7" t="s">
        <v>156</v>
      </c>
      <c r="F4591" s="39" t="n">
        <v>45881</v>
      </c>
      <c r="G4591" s="41" t="n">
        <v>123.76</v>
      </c>
      <c r="H4591" s="39" t="n">
        <v>45885</v>
      </c>
      <c r="I4591" s="7" t="s">
        <v>14651</v>
      </c>
      <c r="J4591" s="8" t="str">
        <f aca="false">IF(I4591="Open",DATE(2025,12,31)-F4591,"-")</f>
        <v>-</v>
      </c>
    </row>
    <row r="4592" customFormat="false" ht="15" hidden="false" customHeight="false" outlineLevel="0" collapsed="false">
      <c r="B4592" s="7" t="s">
        <v>19237</v>
      </c>
      <c r="C4592" s="7" t="s">
        <v>5089</v>
      </c>
      <c r="D4592" s="7" t="s">
        <v>319</v>
      </c>
      <c r="E4592" s="7" t="s">
        <v>157</v>
      </c>
      <c r="F4592" s="39" t="n">
        <v>45881</v>
      </c>
      <c r="G4592" s="41" t="n">
        <v>178.2</v>
      </c>
      <c r="H4592" s="39" t="n">
        <v>45917</v>
      </c>
      <c r="I4592" s="7" t="s">
        <v>14651</v>
      </c>
      <c r="J4592" s="8" t="str">
        <f aca="false">IF(I4592="Open",DATE(2025,12,31)-F4592,"-")</f>
        <v>-</v>
      </c>
    </row>
    <row r="4593" customFormat="false" ht="15" hidden="false" customHeight="false" outlineLevel="0" collapsed="false">
      <c r="B4593" s="7" t="s">
        <v>19238</v>
      </c>
      <c r="C4593" s="7" t="s">
        <v>5090</v>
      </c>
      <c r="D4593" s="7" t="s">
        <v>321</v>
      </c>
      <c r="E4593" s="7" t="s">
        <v>154</v>
      </c>
      <c r="F4593" s="39" t="n">
        <v>45881</v>
      </c>
      <c r="G4593" s="41" t="n">
        <v>97.25</v>
      </c>
      <c r="H4593" s="39" t="n">
        <v>45969</v>
      </c>
      <c r="I4593" s="7" t="s">
        <v>14651</v>
      </c>
      <c r="J4593" s="8" t="str">
        <f aca="false">IF(I4593="Open",DATE(2025,12,31)-F4593,"-")</f>
        <v>-</v>
      </c>
    </row>
    <row r="4594" customFormat="false" ht="15" hidden="false" customHeight="false" outlineLevel="0" collapsed="false">
      <c r="B4594" s="7" t="s">
        <v>19239</v>
      </c>
      <c r="C4594" s="7" t="s">
        <v>5091</v>
      </c>
      <c r="D4594" s="7" t="s">
        <v>323</v>
      </c>
      <c r="E4594" s="7" t="s">
        <v>159</v>
      </c>
      <c r="F4594" s="39" t="n">
        <v>45881</v>
      </c>
      <c r="G4594" s="41" t="n">
        <v>116.78</v>
      </c>
      <c r="H4594" s="39" t="n">
        <v>45976</v>
      </c>
      <c r="I4594" s="7" t="s">
        <v>14651</v>
      </c>
      <c r="J4594" s="8" t="str">
        <f aca="false">IF(I4594="Open",DATE(2025,12,31)-F4594,"-")</f>
        <v>-</v>
      </c>
    </row>
    <row r="4595" customFormat="false" ht="15" hidden="false" customHeight="false" outlineLevel="0" collapsed="false">
      <c r="B4595" s="7" t="s">
        <v>19240</v>
      </c>
      <c r="C4595" s="7" t="s">
        <v>5092</v>
      </c>
      <c r="D4595" s="7" t="s">
        <v>327</v>
      </c>
      <c r="E4595" s="7" t="s">
        <v>157</v>
      </c>
      <c r="F4595" s="39" t="n">
        <v>45881</v>
      </c>
      <c r="G4595" s="41" t="n">
        <v>161.7</v>
      </c>
      <c r="H4595" s="39" t="n">
        <v>45904</v>
      </c>
      <c r="I4595" s="7" t="s">
        <v>14651</v>
      </c>
      <c r="J4595" s="8" t="str">
        <f aca="false">IF(I4595="Open",DATE(2025,12,31)-F4595,"-")</f>
        <v>-</v>
      </c>
    </row>
    <row r="4596" customFormat="false" ht="15" hidden="false" customHeight="false" outlineLevel="0" collapsed="false">
      <c r="B4596" s="7" t="s">
        <v>19241</v>
      </c>
      <c r="C4596" s="7" t="s">
        <v>5093</v>
      </c>
      <c r="D4596" s="7" t="s">
        <v>329</v>
      </c>
      <c r="E4596" s="7" t="s">
        <v>156</v>
      </c>
      <c r="F4596" s="39" t="n">
        <v>45881</v>
      </c>
      <c r="G4596" s="41" t="n">
        <v>149.26</v>
      </c>
      <c r="H4596" s="39" t="n">
        <v>45891</v>
      </c>
      <c r="I4596" s="7" t="s">
        <v>14651</v>
      </c>
      <c r="J4596" s="8" t="str">
        <f aca="false">IF(I4596="Open",DATE(2025,12,31)-F4596,"-")</f>
        <v>-</v>
      </c>
    </row>
    <row r="4597" customFormat="false" ht="15" hidden="false" customHeight="false" outlineLevel="0" collapsed="false">
      <c r="B4597" s="7" t="s">
        <v>19242</v>
      </c>
      <c r="C4597" s="7" t="s">
        <v>5094</v>
      </c>
      <c r="D4597" s="7" t="s">
        <v>359</v>
      </c>
      <c r="E4597" s="7" t="s">
        <v>156</v>
      </c>
      <c r="F4597" s="39" t="n">
        <v>45881</v>
      </c>
      <c r="G4597" s="41" t="n">
        <v>130.9</v>
      </c>
      <c r="H4597" s="39" t="n">
        <v>45896</v>
      </c>
      <c r="I4597" s="7" t="s">
        <v>14651</v>
      </c>
      <c r="J4597" s="8" t="str">
        <f aca="false">IF(I4597="Open",DATE(2025,12,31)-F4597,"-")</f>
        <v>-</v>
      </c>
    </row>
    <row r="4598" customFormat="false" ht="15" hidden="false" customHeight="false" outlineLevel="0" collapsed="false">
      <c r="B4598" s="7" t="s">
        <v>19243</v>
      </c>
      <c r="C4598" s="7" t="s">
        <v>5095</v>
      </c>
      <c r="D4598" s="7" t="s">
        <v>361</v>
      </c>
      <c r="E4598" s="7" t="s">
        <v>157</v>
      </c>
      <c r="F4598" s="39" t="n">
        <v>45881</v>
      </c>
      <c r="G4598" s="41" t="n">
        <v>166.65</v>
      </c>
      <c r="H4598" s="39" t="n">
        <v>45913</v>
      </c>
      <c r="I4598" s="7" t="s">
        <v>14651</v>
      </c>
      <c r="J4598" s="8" t="str">
        <f aca="false">IF(I4598="Open",DATE(2025,12,31)-F4598,"-")</f>
        <v>-</v>
      </c>
    </row>
    <row r="4599" customFormat="false" ht="15" hidden="false" customHeight="false" outlineLevel="0" collapsed="false">
      <c r="B4599" s="7" t="s">
        <v>19244</v>
      </c>
      <c r="C4599" s="7" t="s">
        <v>5096</v>
      </c>
      <c r="D4599" s="7" t="s">
        <v>365</v>
      </c>
      <c r="E4599" s="7" t="s">
        <v>154</v>
      </c>
      <c r="F4599" s="39" t="n">
        <v>45881</v>
      </c>
      <c r="G4599" s="41" t="n">
        <v>104.15</v>
      </c>
      <c r="H4599" s="39" t="n">
        <v>45947</v>
      </c>
      <c r="I4599" s="7" t="s">
        <v>14651</v>
      </c>
      <c r="J4599" s="8" t="str">
        <f aca="false">IF(I4599="Open",DATE(2025,12,31)-F4599,"-")</f>
        <v>-</v>
      </c>
    </row>
    <row r="4600" customFormat="false" ht="15" hidden="false" customHeight="false" outlineLevel="0" collapsed="false">
      <c r="B4600" s="7" t="s">
        <v>19245</v>
      </c>
      <c r="C4600" s="7" t="s">
        <v>5097</v>
      </c>
      <c r="D4600" s="7" t="s">
        <v>369</v>
      </c>
      <c r="E4600" s="7" t="s">
        <v>159</v>
      </c>
      <c r="F4600" s="39" t="n">
        <v>45881</v>
      </c>
      <c r="G4600" s="41" t="n">
        <v>137.7</v>
      </c>
      <c r="H4600" s="39" t="n">
        <v>45927</v>
      </c>
      <c r="I4600" s="7" t="s">
        <v>14651</v>
      </c>
      <c r="J4600" s="8" t="str">
        <f aca="false">IF(I4600="Open",DATE(2025,12,31)-F4600,"-")</f>
        <v>-</v>
      </c>
    </row>
    <row r="4601" customFormat="false" ht="15" hidden="false" customHeight="false" outlineLevel="0" collapsed="false">
      <c r="B4601" s="7" t="s">
        <v>19246</v>
      </c>
      <c r="C4601" s="7" t="s">
        <v>5098</v>
      </c>
      <c r="D4601" s="7" t="s">
        <v>381</v>
      </c>
      <c r="E4601" s="7" t="s">
        <v>157</v>
      </c>
      <c r="F4601" s="39" t="n">
        <v>45881</v>
      </c>
      <c r="G4601" s="41" t="n">
        <v>181.5</v>
      </c>
      <c r="H4601" s="39" t="n">
        <v>45949</v>
      </c>
      <c r="I4601" s="7" t="s">
        <v>14651</v>
      </c>
      <c r="J4601" s="8" t="str">
        <f aca="false">IF(I4601="Open",DATE(2025,12,31)-F4601,"-")</f>
        <v>-</v>
      </c>
    </row>
    <row r="4602" customFormat="false" ht="15" hidden="false" customHeight="false" outlineLevel="0" collapsed="false">
      <c r="B4602" s="7" t="s">
        <v>19247</v>
      </c>
      <c r="C4602" s="7" t="s">
        <v>5099</v>
      </c>
      <c r="D4602" s="7" t="s">
        <v>383</v>
      </c>
      <c r="E4602" s="7" t="s">
        <v>157</v>
      </c>
      <c r="F4602" s="39" t="n">
        <v>45881</v>
      </c>
      <c r="G4602" s="41" t="n">
        <v>179.85</v>
      </c>
      <c r="H4602" s="39" t="n">
        <v>45898</v>
      </c>
      <c r="I4602" s="7" t="s">
        <v>14651</v>
      </c>
      <c r="J4602" s="8" t="str">
        <f aca="false">IF(I4602="Open",DATE(2025,12,31)-F4602,"-")</f>
        <v>-</v>
      </c>
    </row>
    <row r="4603" customFormat="false" ht="15" hidden="false" customHeight="false" outlineLevel="0" collapsed="false">
      <c r="B4603" s="7" t="s">
        <v>19248</v>
      </c>
      <c r="C4603" s="7" t="s">
        <v>5100</v>
      </c>
      <c r="D4603" s="7" t="s">
        <v>387</v>
      </c>
      <c r="E4603" s="7" t="s">
        <v>154</v>
      </c>
      <c r="F4603" s="39" t="n">
        <v>45881</v>
      </c>
      <c r="G4603" s="41" t="n">
        <v>98.05</v>
      </c>
      <c r="H4603" s="39" t="n">
        <v>45929</v>
      </c>
      <c r="I4603" s="7" t="s">
        <v>14651</v>
      </c>
      <c r="J4603" s="8" t="str">
        <f aca="false">IF(I4603="Open",DATE(2025,12,31)-F4603,"-")</f>
        <v>-</v>
      </c>
    </row>
    <row r="4604" customFormat="false" ht="15" hidden="false" customHeight="false" outlineLevel="0" collapsed="false">
      <c r="B4604" s="7" t="s">
        <v>19249</v>
      </c>
      <c r="C4604" s="7" t="s">
        <v>5101</v>
      </c>
      <c r="D4604" s="7" t="s">
        <v>389</v>
      </c>
      <c r="E4604" s="7" t="s">
        <v>154</v>
      </c>
      <c r="F4604" s="39" t="n">
        <v>45881</v>
      </c>
      <c r="G4604" s="41" t="n">
        <v>115.01</v>
      </c>
      <c r="H4604" s="39" t="n">
        <v>45942</v>
      </c>
      <c r="I4604" s="7" t="s">
        <v>14651</v>
      </c>
      <c r="J4604" s="8" t="str">
        <f aca="false">IF(I4604="Open",DATE(2025,12,31)-F4604,"-")</f>
        <v>-</v>
      </c>
    </row>
    <row r="4605" customFormat="false" ht="15" hidden="false" customHeight="false" outlineLevel="0" collapsed="false">
      <c r="B4605" s="7" t="s">
        <v>19250</v>
      </c>
      <c r="C4605" s="7" t="s">
        <v>5102</v>
      </c>
      <c r="D4605" s="7" t="s">
        <v>391</v>
      </c>
      <c r="E4605" s="7" t="s">
        <v>156</v>
      </c>
      <c r="F4605" s="39" t="n">
        <v>45881</v>
      </c>
      <c r="G4605" s="41" t="n">
        <v>136.68</v>
      </c>
      <c r="H4605" s="39" t="n">
        <v>45893</v>
      </c>
      <c r="I4605" s="7" t="s">
        <v>14651</v>
      </c>
      <c r="J4605" s="8" t="str">
        <f aca="false">IF(I4605="Open",DATE(2025,12,31)-F4605,"-")</f>
        <v>-</v>
      </c>
    </row>
    <row r="4606" customFormat="false" ht="15" hidden="false" customHeight="false" outlineLevel="0" collapsed="false">
      <c r="B4606" s="7" t="s">
        <v>19251</v>
      </c>
      <c r="C4606" s="7" t="s">
        <v>5103</v>
      </c>
      <c r="D4606" s="7" t="s">
        <v>395</v>
      </c>
      <c r="E4606" s="7" t="s">
        <v>156</v>
      </c>
      <c r="F4606" s="39" t="n">
        <v>45881</v>
      </c>
      <c r="G4606" s="41" t="n">
        <v>142.46</v>
      </c>
      <c r="H4606" s="39" t="n">
        <v>45900</v>
      </c>
      <c r="I4606" s="7" t="s">
        <v>14651</v>
      </c>
      <c r="J4606" s="8" t="str">
        <f aca="false">IF(I4606="Open",DATE(2025,12,31)-F4606,"-")</f>
        <v>-</v>
      </c>
    </row>
    <row r="4607" customFormat="false" ht="15" hidden="false" customHeight="false" outlineLevel="0" collapsed="false">
      <c r="B4607" s="7" t="s">
        <v>19252</v>
      </c>
      <c r="C4607" s="7" t="s">
        <v>5104</v>
      </c>
      <c r="D4607" s="7" t="s">
        <v>397</v>
      </c>
      <c r="E4607" s="7" t="s">
        <v>159</v>
      </c>
      <c r="F4607" s="39" t="n">
        <v>45881</v>
      </c>
      <c r="G4607" s="41" t="n">
        <v>147.15</v>
      </c>
      <c r="H4607" s="39" t="n">
        <v>45964</v>
      </c>
      <c r="I4607" s="7" t="s">
        <v>14651</v>
      </c>
      <c r="J4607" s="8" t="str">
        <f aca="false">IF(I4607="Open",DATE(2025,12,31)-F4607,"-")</f>
        <v>-</v>
      </c>
    </row>
    <row r="4608" customFormat="false" ht="15" hidden="false" customHeight="false" outlineLevel="0" collapsed="false">
      <c r="B4608" s="7" t="s">
        <v>19253</v>
      </c>
      <c r="C4608" s="7" t="s">
        <v>5105</v>
      </c>
      <c r="D4608" s="7" t="s">
        <v>401</v>
      </c>
      <c r="E4608" s="7" t="s">
        <v>156</v>
      </c>
      <c r="F4608" s="39" t="n">
        <v>45881</v>
      </c>
      <c r="G4608" s="41" t="n">
        <v>135.32</v>
      </c>
      <c r="H4608" s="39" t="n">
        <v>45893</v>
      </c>
      <c r="I4608" s="7" t="s">
        <v>14651</v>
      </c>
      <c r="J4608" s="8" t="str">
        <f aca="false">IF(I4608="Open",DATE(2025,12,31)-F4608,"-")</f>
        <v>-</v>
      </c>
    </row>
    <row r="4609" customFormat="false" ht="15" hidden="false" customHeight="false" outlineLevel="0" collapsed="false">
      <c r="B4609" s="7" t="s">
        <v>19254</v>
      </c>
      <c r="C4609" s="7" t="s">
        <v>5106</v>
      </c>
      <c r="D4609" s="7" t="s">
        <v>407</v>
      </c>
      <c r="E4609" s="7" t="s">
        <v>159</v>
      </c>
      <c r="F4609" s="39" t="n">
        <v>45881</v>
      </c>
      <c r="G4609" s="41" t="n">
        <v>126.9</v>
      </c>
      <c r="H4609" s="39" t="n">
        <v>45913</v>
      </c>
      <c r="I4609" s="7" t="s">
        <v>14651</v>
      </c>
      <c r="J4609" s="8" t="str">
        <f aca="false">IF(I4609="Open",DATE(2025,12,31)-F4609,"-")</f>
        <v>-</v>
      </c>
    </row>
    <row r="4610" customFormat="false" ht="15" hidden="false" customHeight="false" outlineLevel="0" collapsed="false">
      <c r="B4610" s="7" t="s">
        <v>19255</v>
      </c>
      <c r="C4610" s="7" t="s">
        <v>5107</v>
      </c>
      <c r="D4610" s="7" t="s">
        <v>280</v>
      </c>
      <c r="E4610" s="7" t="s">
        <v>157</v>
      </c>
      <c r="F4610" s="39" t="n">
        <v>45882</v>
      </c>
      <c r="G4610" s="41" t="n">
        <v>169.95</v>
      </c>
      <c r="H4610" s="39" t="n">
        <v>45916</v>
      </c>
      <c r="I4610" s="7" t="s">
        <v>14651</v>
      </c>
      <c r="J4610" s="8" t="str">
        <f aca="false">IF(I4610="Open",DATE(2025,12,31)-F4610,"-")</f>
        <v>-</v>
      </c>
    </row>
    <row r="4611" customFormat="false" ht="15" hidden="false" customHeight="false" outlineLevel="0" collapsed="false">
      <c r="B4611" s="7" t="s">
        <v>19256</v>
      </c>
      <c r="C4611" s="7" t="s">
        <v>5108</v>
      </c>
      <c r="D4611" s="7" t="s">
        <v>288</v>
      </c>
      <c r="E4611" s="7" t="s">
        <v>156</v>
      </c>
      <c r="F4611" s="39" t="n">
        <v>45882</v>
      </c>
      <c r="G4611" s="41" t="n">
        <v>140.76</v>
      </c>
      <c r="H4611" s="39" t="n">
        <v>45898</v>
      </c>
      <c r="I4611" s="7" t="s">
        <v>14651</v>
      </c>
      <c r="J4611" s="8" t="str">
        <f aca="false">IF(I4611="Open",DATE(2025,12,31)-F4611,"-")</f>
        <v>-</v>
      </c>
    </row>
    <row r="4612" customFormat="false" ht="15" hidden="false" customHeight="false" outlineLevel="0" collapsed="false">
      <c r="B4612" s="7" t="s">
        <v>19257</v>
      </c>
      <c r="C4612" s="7" t="s">
        <v>5109</v>
      </c>
      <c r="D4612" s="7" t="s">
        <v>291</v>
      </c>
      <c r="E4612" s="7" t="s">
        <v>154</v>
      </c>
      <c r="F4612" s="39" t="n">
        <v>45882</v>
      </c>
      <c r="G4612" s="41" t="n">
        <v>118.72</v>
      </c>
      <c r="H4612" s="39" t="n">
        <v>45937</v>
      </c>
      <c r="I4612" s="7" t="s">
        <v>14651</v>
      </c>
      <c r="J4612" s="8" t="str">
        <f aca="false">IF(I4612="Open",DATE(2025,12,31)-F4612,"-")</f>
        <v>-</v>
      </c>
    </row>
    <row r="4613" customFormat="false" ht="15" hidden="false" customHeight="false" outlineLevel="0" collapsed="false">
      <c r="B4613" s="7" t="s">
        <v>19258</v>
      </c>
      <c r="C4613" s="7" t="s">
        <v>5110</v>
      </c>
      <c r="D4613" s="7" t="s">
        <v>295</v>
      </c>
      <c r="E4613" s="7" t="s">
        <v>154</v>
      </c>
      <c r="F4613" s="39" t="n">
        <v>45882</v>
      </c>
      <c r="G4613" s="41" t="n">
        <v>109.71</v>
      </c>
      <c r="H4613" s="39" t="n">
        <v>45926</v>
      </c>
      <c r="I4613" s="7" t="s">
        <v>14651</v>
      </c>
      <c r="J4613" s="8" t="str">
        <f aca="false">IF(I4613="Open",DATE(2025,12,31)-F4613,"-")</f>
        <v>-</v>
      </c>
    </row>
    <row r="4614" customFormat="false" ht="15" hidden="false" customHeight="false" outlineLevel="0" collapsed="false">
      <c r="B4614" s="7" t="s">
        <v>19259</v>
      </c>
      <c r="C4614" s="7" t="s">
        <v>5111</v>
      </c>
      <c r="D4614" s="7" t="s">
        <v>305</v>
      </c>
      <c r="E4614" s="7" t="s">
        <v>154</v>
      </c>
      <c r="F4614" s="39" t="n">
        <v>45882</v>
      </c>
      <c r="G4614" s="41" t="n">
        <v>98.84</v>
      </c>
      <c r="H4614" s="39" t="n">
        <v>45929</v>
      </c>
      <c r="I4614" s="7" t="s">
        <v>14651</v>
      </c>
      <c r="J4614" s="8" t="str">
        <f aca="false">IF(I4614="Open",DATE(2025,12,31)-F4614,"-")</f>
        <v>-</v>
      </c>
    </row>
    <row r="4615" customFormat="false" ht="15" hidden="false" customHeight="false" outlineLevel="0" collapsed="false">
      <c r="B4615" s="7" t="s">
        <v>19260</v>
      </c>
      <c r="C4615" s="7" t="s">
        <v>5112</v>
      </c>
      <c r="D4615" s="7" t="s">
        <v>307</v>
      </c>
      <c r="E4615" s="7" t="s">
        <v>157</v>
      </c>
      <c r="F4615" s="39" t="n">
        <v>45882</v>
      </c>
      <c r="G4615" s="41" t="n">
        <v>171.6</v>
      </c>
      <c r="H4615" s="39" t="n">
        <v>45944</v>
      </c>
      <c r="I4615" s="7" t="s">
        <v>14651</v>
      </c>
      <c r="J4615" s="8" t="str">
        <f aca="false">IF(I4615="Open",DATE(2025,12,31)-F4615,"-")</f>
        <v>-</v>
      </c>
    </row>
    <row r="4616" customFormat="false" ht="15" hidden="false" customHeight="false" outlineLevel="0" collapsed="false">
      <c r="B4616" s="7" t="s">
        <v>19261</v>
      </c>
      <c r="C4616" s="7" t="s">
        <v>5113</v>
      </c>
      <c r="D4616" s="7" t="s">
        <v>309</v>
      </c>
      <c r="E4616" s="7" t="s">
        <v>159</v>
      </c>
      <c r="F4616" s="39" t="n">
        <v>45882</v>
      </c>
      <c r="G4616" s="41" t="n">
        <v>136.35</v>
      </c>
      <c r="H4616" s="39" t="n">
        <v>45937</v>
      </c>
      <c r="I4616" s="7" t="s">
        <v>14651</v>
      </c>
      <c r="J4616" s="8" t="str">
        <f aca="false">IF(I4616="Open",DATE(2025,12,31)-F4616,"-")</f>
        <v>-</v>
      </c>
    </row>
    <row r="4617" customFormat="false" ht="15" hidden="false" customHeight="false" outlineLevel="0" collapsed="false">
      <c r="B4617" s="7" t="s">
        <v>19262</v>
      </c>
      <c r="C4617" s="7" t="s">
        <v>5114</v>
      </c>
      <c r="D4617" s="7" t="s">
        <v>313</v>
      </c>
      <c r="E4617" s="7" t="s">
        <v>156</v>
      </c>
      <c r="F4617" s="39" t="n">
        <v>45882</v>
      </c>
      <c r="G4617" s="41" t="n">
        <v>143.48</v>
      </c>
      <c r="H4617" s="39" t="n">
        <v>45888</v>
      </c>
      <c r="I4617" s="7" t="s">
        <v>14651</v>
      </c>
      <c r="J4617" s="8" t="str">
        <f aca="false">IF(I4617="Open",DATE(2025,12,31)-F4617,"-")</f>
        <v>-</v>
      </c>
    </row>
    <row r="4618" customFormat="false" ht="15" hidden="false" customHeight="false" outlineLevel="0" collapsed="false">
      <c r="B4618" s="7" t="s">
        <v>19263</v>
      </c>
      <c r="C4618" s="7" t="s">
        <v>5115</v>
      </c>
      <c r="D4618" s="7" t="s">
        <v>315</v>
      </c>
      <c r="E4618" s="7" t="s">
        <v>159</v>
      </c>
      <c r="F4618" s="39" t="n">
        <v>45882</v>
      </c>
      <c r="G4618" s="41" t="n">
        <v>143.1</v>
      </c>
      <c r="H4618" s="39" t="n">
        <v>45987</v>
      </c>
      <c r="I4618" s="7" t="s">
        <v>14651</v>
      </c>
      <c r="J4618" s="8" t="str">
        <f aca="false">IF(I4618="Open",DATE(2025,12,31)-F4618,"-")</f>
        <v>-</v>
      </c>
    </row>
    <row r="4619" customFormat="false" ht="15" hidden="false" customHeight="false" outlineLevel="0" collapsed="false">
      <c r="B4619" s="7" t="s">
        <v>19264</v>
      </c>
      <c r="C4619" s="7" t="s">
        <v>5116</v>
      </c>
      <c r="D4619" s="7" t="s">
        <v>321</v>
      </c>
      <c r="E4619" s="7" t="s">
        <v>154</v>
      </c>
      <c r="F4619" s="39" t="n">
        <v>45882</v>
      </c>
      <c r="G4619" s="41" t="n">
        <v>103.62</v>
      </c>
      <c r="H4619" s="39" t="n">
        <v>45925</v>
      </c>
      <c r="I4619" s="7" t="s">
        <v>14651</v>
      </c>
      <c r="J4619" s="8" t="str">
        <f aca="false">IF(I4619="Open",DATE(2025,12,31)-F4619,"-")</f>
        <v>-</v>
      </c>
    </row>
    <row r="4620" customFormat="false" ht="15" hidden="false" customHeight="false" outlineLevel="0" collapsed="false">
      <c r="B4620" s="7" t="s">
        <v>19265</v>
      </c>
      <c r="C4620" s="7" t="s">
        <v>5117</v>
      </c>
      <c r="D4620" s="7" t="s">
        <v>329</v>
      </c>
      <c r="E4620" s="7" t="s">
        <v>156</v>
      </c>
      <c r="F4620" s="39" t="n">
        <v>45882</v>
      </c>
      <c r="G4620" s="41" t="n">
        <v>143.14</v>
      </c>
      <c r="H4620" s="39" t="n">
        <v>45897</v>
      </c>
      <c r="I4620" s="7" t="s">
        <v>14651</v>
      </c>
      <c r="J4620" s="8" t="str">
        <f aca="false">IF(I4620="Open",DATE(2025,12,31)-F4620,"-")</f>
        <v>-</v>
      </c>
    </row>
    <row r="4621" customFormat="false" ht="15" hidden="false" customHeight="false" outlineLevel="0" collapsed="false">
      <c r="B4621" s="7" t="s">
        <v>19266</v>
      </c>
      <c r="C4621" s="7" t="s">
        <v>5118</v>
      </c>
      <c r="D4621" s="7" t="s">
        <v>335</v>
      </c>
      <c r="E4621" s="7" t="s">
        <v>154</v>
      </c>
      <c r="F4621" s="39" t="n">
        <v>45882</v>
      </c>
      <c r="G4621" s="41" t="n">
        <v>103.88</v>
      </c>
      <c r="H4621" s="39" t="n">
        <v>45911</v>
      </c>
      <c r="I4621" s="7" t="s">
        <v>14651</v>
      </c>
      <c r="J4621" s="8" t="str">
        <f aca="false">IF(I4621="Open",DATE(2025,12,31)-F4621,"-")</f>
        <v>-</v>
      </c>
    </row>
    <row r="4622" customFormat="false" ht="15" hidden="false" customHeight="false" outlineLevel="0" collapsed="false">
      <c r="B4622" s="7" t="s">
        <v>19267</v>
      </c>
      <c r="C4622" s="7" t="s">
        <v>5119</v>
      </c>
      <c r="D4622" s="7" t="s">
        <v>339</v>
      </c>
      <c r="E4622" s="7" t="s">
        <v>154</v>
      </c>
      <c r="F4622" s="39" t="n">
        <v>45882</v>
      </c>
      <c r="G4622" s="41" t="n">
        <v>85.59</v>
      </c>
      <c r="H4622" s="39" t="n">
        <v>45923</v>
      </c>
      <c r="I4622" s="7" t="s">
        <v>14651</v>
      </c>
      <c r="J4622" s="8" t="str">
        <f aca="false">IF(I4622="Open",DATE(2025,12,31)-F4622,"-")</f>
        <v>-</v>
      </c>
    </row>
    <row r="4623" customFormat="false" ht="15" hidden="false" customHeight="false" outlineLevel="0" collapsed="false">
      <c r="B4623" s="7" t="s">
        <v>19268</v>
      </c>
      <c r="C4623" s="7" t="s">
        <v>5120</v>
      </c>
      <c r="D4623" s="7" t="s">
        <v>347</v>
      </c>
      <c r="E4623" s="7" t="s">
        <v>154</v>
      </c>
      <c r="F4623" s="39" t="n">
        <v>45882</v>
      </c>
      <c r="G4623" s="41" t="n">
        <v>131.1</v>
      </c>
      <c r="H4623" s="39" t="n">
        <v>45953</v>
      </c>
      <c r="I4623" s="7" t="s">
        <v>14651</v>
      </c>
      <c r="J4623" s="8" t="str">
        <f aca="false">IF(I4623="Open",DATE(2025,12,31)-F4623,"-")</f>
        <v>-</v>
      </c>
    </row>
    <row r="4624" customFormat="false" ht="15" hidden="false" customHeight="false" outlineLevel="0" collapsed="false">
      <c r="B4624" s="7" t="s">
        <v>19269</v>
      </c>
      <c r="C4624" s="7" t="s">
        <v>5121</v>
      </c>
      <c r="D4624" s="7" t="s">
        <v>353</v>
      </c>
      <c r="E4624" s="7" t="s">
        <v>154</v>
      </c>
      <c r="F4624" s="39" t="n">
        <v>45882</v>
      </c>
      <c r="G4624" s="41" t="n">
        <v>81.09</v>
      </c>
      <c r="H4624" s="39" t="n">
        <v>45952</v>
      </c>
      <c r="I4624" s="7" t="s">
        <v>14651</v>
      </c>
      <c r="J4624" s="8" t="str">
        <f aca="false">IF(I4624="Open",DATE(2025,12,31)-F4624,"-")</f>
        <v>-</v>
      </c>
    </row>
    <row r="4625" customFormat="false" ht="15" hidden="false" customHeight="false" outlineLevel="0" collapsed="false">
      <c r="B4625" s="7" t="s">
        <v>19270</v>
      </c>
      <c r="C4625" s="7" t="s">
        <v>5122</v>
      </c>
      <c r="D4625" s="7" t="s">
        <v>355</v>
      </c>
      <c r="E4625" s="7" t="s">
        <v>154</v>
      </c>
      <c r="F4625" s="39" t="n">
        <v>45882</v>
      </c>
      <c r="G4625" s="41" t="n">
        <v>84.53</v>
      </c>
      <c r="H4625" s="39" t="n">
        <v>45992</v>
      </c>
      <c r="I4625" s="7" t="s">
        <v>14651</v>
      </c>
      <c r="J4625" s="8" t="str">
        <f aca="false">IF(I4625="Open",DATE(2025,12,31)-F4625,"-")</f>
        <v>-</v>
      </c>
    </row>
    <row r="4626" customFormat="false" ht="15" hidden="false" customHeight="false" outlineLevel="0" collapsed="false">
      <c r="B4626" s="7" t="s">
        <v>19271</v>
      </c>
      <c r="C4626" s="7" t="s">
        <v>5123</v>
      </c>
      <c r="D4626" s="7" t="s">
        <v>357</v>
      </c>
      <c r="E4626" s="7" t="s">
        <v>154</v>
      </c>
      <c r="F4626" s="39" t="n">
        <v>45882</v>
      </c>
      <c r="G4626" s="41" t="n">
        <v>93.81</v>
      </c>
      <c r="H4626" s="39" t="n">
        <v>45944</v>
      </c>
      <c r="I4626" s="7" t="s">
        <v>14651</v>
      </c>
      <c r="J4626" s="8" t="str">
        <f aca="false">IF(I4626="Open",DATE(2025,12,31)-F4626,"-")</f>
        <v>-</v>
      </c>
    </row>
    <row r="4627" customFormat="false" ht="15" hidden="false" customHeight="false" outlineLevel="0" collapsed="false">
      <c r="B4627" s="7" t="s">
        <v>19272</v>
      </c>
      <c r="C4627" s="7" t="s">
        <v>5124</v>
      </c>
      <c r="D4627" s="7" t="s">
        <v>359</v>
      </c>
      <c r="E4627" s="7" t="s">
        <v>156</v>
      </c>
      <c r="F4627" s="39" t="n">
        <v>45882</v>
      </c>
      <c r="G4627" s="41" t="n">
        <v>143.48</v>
      </c>
      <c r="H4627" s="39" t="n">
        <v>45892</v>
      </c>
      <c r="I4627" s="7" t="s">
        <v>14651</v>
      </c>
      <c r="J4627" s="8" t="str">
        <f aca="false">IF(I4627="Open",DATE(2025,12,31)-F4627,"-")</f>
        <v>-</v>
      </c>
    </row>
    <row r="4628" customFormat="false" ht="15" hidden="false" customHeight="false" outlineLevel="0" collapsed="false">
      <c r="B4628" s="7" t="s">
        <v>19273</v>
      </c>
      <c r="C4628" s="7" t="s">
        <v>5125</v>
      </c>
      <c r="D4628" s="7" t="s">
        <v>365</v>
      </c>
      <c r="E4628" s="7" t="s">
        <v>154</v>
      </c>
      <c r="F4628" s="39" t="n">
        <v>45882</v>
      </c>
      <c r="G4628" s="41" t="n">
        <v>110.24</v>
      </c>
      <c r="H4628" s="39" t="n">
        <v>45949</v>
      </c>
      <c r="I4628" s="7" t="s">
        <v>14651</v>
      </c>
      <c r="J4628" s="8" t="str">
        <f aca="false">IF(I4628="Open",DATE(2025,12,31)-F4628,"-")</f>
        <v>-</v>
      </c>
    </row>
    <row r="4629" customFormat="false" ht="15" hidden="false" customHeight="false" outlineLevel="0" collapsed="false">
      <c r="B4629" s="7" t="s">
        <v>19274</v>
      </c>
      <c r="C4629" s="7" t="s">
        <v>5126</v>
      </c>
      <c r="D4629" s="7" t="s">
        <v>371</v>
      </c>
      <c r="E4629" s="7" t="s">
        <v>154</v>
      </c>
      <c r="F4629" s="39" t="n">
        <v>45882</v>
      </c>
      <c r="G4629" s="41" t="n">
        <v>114.64</v>
      </c>
      <c r="H4629" s="39" t="n">
        <v>45938</v>
      </c>
      <c r="I4629" s="7" t="s">
        <v>14651</v>
      </c>
      <c r="J4629" s="8" t="str">
        <f aca="false">IF(I4629="Open",DATE(2025,12,31)-F4629,"-")</f>
        <v>-</v>
      </c>
    </row>
    <row r="4630" customFormat="false" ht="15" hidden="false" customHeight="false" outlineLevel="0" collapsed="false">
      <c r="B4630" s="7" t="s">
        <v>19275</v>
      </c>
      <c r="C4630" s="7" t="s">
        <v>5127</v>
      </c>
      <c r="D4630" s="7" t="s">
        <v>379</v>
      </c>
      <c r="E4630" s="7" t="s">
        <v>156</v>
      </c>
      <c r="F4630" s="39" t="n">
        <v>45882</v>
      </c>
      <c r="G4630" s="41" t="n">
        <v>162.18</v>
      </c>
      <c r="H4630" s="39" t="n">
        <v>45892</v>
      </c>
      <c r="I4630" s="7" t="s">
        <v>14651</v>
      </c>
      <c r="J4630" s="8" t="str">
        <f aca="false">IF(I4630="Open",DATE(2025,12,31)-F4630,"-")</f>
        <v>-</v>
      </c>
    </row>
    <row r="4631" customFormat="false" ht="15" hidden="false" customHeight="false" outlineLevel="0" collapsed="false">
      <c r="B4631" s="7" t="s">
        <v>19276</v>
      </c>
      <c r="C4631" s="7" t="s">
        <v>5128</v>
      </c>
      <c r="D4631" s="7" t="s">
        <v>385</v>
      </c>
      <c r="E4631" s="7" t="s">
        <v>156</v>
      </c>
      <c r="F4631" s="39" t="n">
        <v>45882</v>
      </c>
      <c r="G4631" s="41" t="n">
        <v>131.58</v>
      </c>
      <c r="H4631" s="39" t="n">
        <v>45893</v>
      </c>
      <c r="I4631" s="7" t="s">
        <v>14651</v>
      </c>
      <c r="J4631" s="8" t="str">
        <f aca="false">IF(I4631="Open",DATE(2025,12,31)-F4631,"-")</f>
        <v>-</v>
      </c>
    </row>
    <row r="4632" customFormat="false" ht="15" hidden="false" customHeight="false" outlineLevel="0" collapsed="false">
      <c r="B4632" s="7" t="s">
        <v>19277</v>
      </c>
      <c r="C4632" s="7" t="s">
        <v>5129</v>
      </c>
      <c r="D4632" s="7" t="s">
        <v>387</v>
      </c>
      <c r="E4632" s="7" t="s">
        <v>154</v>
      </c>
      <c r="F4632" s="39" t="n">
        <v>45882</v>
      </c>
      <c r="G4632" s="41" t="n">
        <v>116.33</v>
      </c>
      <c r="H4632" s="39" t="n">
        <v>45936</v>
      </c>
      <c r="I4632" s="7" t="s">
        <v>14651</v>
      </c>
      <c r="J4632" s="8" t="str">
        <f aca="false">IF(I4632="Open",DATE(2025,12,31)-F4632,"-")</f>
        <v>-</v>
      </c>
    </row>
    <row r="4633" customFormat="false" ht="15" hidden="false" customHeight="false" outlineLevel="0" collapsed="false">
      <c r="B4633" s="7" t="s">
        <v>19278</v>
      </c>
      <c r="C4633" s="7" t="s">
        <v>5130</v>
      </c>
      <c r="D4633" s="7" t="s">
        <v>389</v>
      </c>
      <c r="E4633" s="7" t="s">
        <v>154</v>
      </c>
      <c r="F4633" s="39" t="n">
        <v>45882</v>
      </c>
      <c r="G4633" s="41" t="n">
        <v>99.91</v>
      </c>
      <c r="H4633" s="39" t="n">
        <v>45947</v>
      </c>
      <c r="I4633" s="7" t="s">
        <v>14651</v>
      </c>
      <c r="J4633" s="8" t="str">
        <f aca="false">IF(I4633="Open",DATE(2025,12,31)-F4633,"-")</f>
        <v>-</v>
      </c>
    </row>
    <row r="4634" customFormat="false" ht="15" hidden="false" customHeight="false" outlineLevel="0" collapsed="false">
      <c r="B4634" s="7" t="s">
        <v>19279</v>
      </c>
      <c r="C4634" s="7" t="s">
        <v>5131</v>
      </c>
      <c r="D4634" s="7" t="s">
        <v>391</v>
      </c>
      <c r="E4634" s="7" t="s">
        <v>156</v>
      </c>
      <c r="F4634" s="39" t="n">
        <v>45882</v>
      </c>
      <c r="G4634" s="41" t="n">
        <v>127.84</v>
      </c>
      <c r="H4634" s="39" t="n">
        <v>45894</v>
      </c>
      <c r="I4634" s="7" t="s">
        <v>14651</v>
      </c>
      <c r="J4634" s="8" t="str">
        <f aca="false">IF(I4634="Open",DATE(2025,12,31)-F4634,"-")</f>
        <v>-</v>
      </c>
    </row>
    <row r="4635" customFormat="false" ht="15" hidden="false" customHeight="false" outlineLevel="0" collapsed="false">
      <c r="B4635" s="7" t="s">
        <v>19280</v>
      </c>
      <c r="C4635" s="7" t="s">
        <v>5132</v>
      </c>
      <c r="D4635" s="7" t="s">
        <v>393</v>
      </c>
      <c r="E4635" s="7" t="s">
        <v>157</v>
      </c>
      <c r="F4635" s="39" t="n">
        <v>45882</v>
      </c>
      <c r="G4635" s="41" t="n">
        <v>178.2</v>
      </c>
      <c r="H4635" s="39" t="n">
        <v>45920</v>
      </c>
      <c r="I4635" s="7" t="s">
        <v>14651</v>
      </c>
      <c r="J4635" s="8" t="str">
        <f aca="false">IF(I4635="Open",DATE(2025,12,31)-F4635,"-")</f>
        <v>-</v>
      </c>
    </row>
    <row r="4636" customFormat="false" ht="15" hidden="false" customHeight="false" outlineLevel="0" collapsed="false">
      <c r="B4636" s="7" t="s">
        <v>19281</v>
      </c>
      <c r="C4636" s="7" t="s">
        <v>5133</v>
      </c>
      <c r="D4636" s="7" t="s">
        <v>395</v>
      </c>
      <c r="E4636" s="7" t="s">
        <v>156</v>
      </c>
      <c r="F4636" s="39" t="n">
        <v>45882</v>
      </c>
      <c r="G4636" s="41" t="n">
        <v>144.5</v>
      </c>
      <c r="H4636" s="39" t="n">
        <v>45898</v>
      </c>
      <c r="I4636" s="7" t="s">
        <v>14651</v>
      </c>
      <c r="J4636" s="8" t="str">
        <f aca="false">IF(I4636="Open",DATE(2025,12,31)-F4636,"-")</f>
        <v>-</v>
      </c>
    </row>
    <row r="4637" customFormat="false" ht="15" hidden="false" customHeight="false" outlineLevel="0" collapsed="false">
      <c r="B4637" s="7" t="s">
        <v>19282</v>
      </c>
      <c r="C4637" s="7" t="s">
        <v>5134</v>
      </c>
      <c r="D4637" s="7" t="s">
        <v>399</v>
      </c>
      <c r="E4637" s="7" t="s">
        <v>154</v>
      </c>
      <c r="F4637" s="39" t="n">
        <v>45882</v>
      </c>
      <c r="G4637" s="41" t="n">
        <v>91.95</v>
      </c>
      <c r="H4637" s="39" t="n">
        <v>45922</v>
      </c>
      <c r="I4637" s="7" t="s">
        <v>14651</v>
      </c>
      <c r="J4637" s="8" t="str">
        <f aca="false">IF(I4637="Open",DATE(2025,12,31)-F4637,"-")</f>
        <v>-</v>
      </c>
    </row>
    <row r="4638" customFormat="false" ht="15" hidden="false" customHeight="false" outlineLevel="0" collapsed="false">
      <c r="B4638" s="7" t="s">
        <v>19283</v>
      </c>
      <c r="C4638" s="7" t="s">
        <v>5135</v>
      </c>
      <c r="D4638" s="7" t="s">
        <v>401</v>
      </c>
      <c r="E4638" s="7" t="s">
        <v>156</v>
      </c>
      <c r="F4638" s="39" t="n">
        <v>45882</v>
      </c>
      <c r="G4638" s="41" t="n">
        <v>143.82</v>
      </c>
      <c r="H4638" s="39" t="n">
        <v>45889</v>
      </c>
      <c r="I4638" s="7" t="s">
        <v>14651</v>
      </c>
      <c r="J4638" s="8" t="str">
        <f aca="false">IF(I4638="Open",DATE(2025,12,31)-F4638,"-")</f>
        <v>-</v>
      </c>
    </row>
    <row r="4639" customFormat="false" ht="15" hidden="false" customHeight="false" outlineLevel="0" collapsed="false">
      <c r="B4639" s="7" t="s">
        <v>19284</v>
      </c>
      <c r="C4639" s="7" t="s">
        <v>5136</v>
      </c>
      <c r="D4639" s="7" t="s">
        <v>403</v>
      </c>
      <c r="E4639" s="7" t="s">
        <v>156</v>
      </c>
      <c r="F4639" s="39" t="n">
        <v>45882</v>
      </c>
      <c r="G4639" s="41" t="n">
        <v>127.84</v>
      </c>
      <c r="H4639" s="39" t="n">
        <v>45904</v>
      </c>
      <c r="I4639" s="7" t="s">
        <v>14651</v>
      </c>
      <c r="J4639" s="8" t="str">
        <f aca="false">IF(I4639="Open",DATE(2025,12,31)-F4639,"-")</f>
        <v>-</v>
      </c>
    </row>
    <row r="4640" customFormat="false" ht="15" hidden="false" customHeight="false" outlineLevel="0" collapsed="false">
      <c r="B4640" s="7" t="s">
        <v>19285</v>
      </c>
      <c r="C4640" s="7" t="s">
        <v>5137</v>
      </c>
      <c r="D4640" s="7" t="s">
        <v>409</v>
      </c>
      <c r="E4640" s="7" t="s">
        <v>154</v>
      </c>
      <c r="F4640" s="39" t="n">
        <v>45882</v>
      </c>
      <c r="G4640" s="41" t="n">
        <v>82.94</v>
      </c>
      <c r="H4640" s="39" t="n">
        <v>45979</v>
      </c>
      <c r="I4640" s="7" t="s">
        <v>14651</v>
      </c>
      <c r="J4640" s="8" t="str">
        <f aca="false">IF(I4640="Open",DATE(2025,12,31)-F4640,"-")</f>
        <v>-</v>
      </c>
    </row>
    <row r="4641" customFormat="false" ht="15" hidden="false" customHeight="false" outlineLevel="0" collapsed="false">
      <c r="B4641" s="7" t="s">
        <v>19286</v>
      </c>
      <c r="C4641" s="7" t="s">
        <v>5138</v>
      </c>
      <c r="D4641" s="7" t="s">
        <v>411</v>
      </c>
      <c r="E4641" s="7" t="s">
        <v>154</v>
      </c>
      <c r="F4641" s="39" t="n">
        <v>45882</v>
      </c>
      <c r="G4641" s="41" t="n">
        <v>119.25</v>
      </c>
      <c r="H4641" s="39" t="n">
        <v>45951</v>
      </c>
      <c r="I4641" s="7" t="s">
        <v>14651</v>
      </c>
      <c r="J4641" s="8" t="str">
        <f aca="false">IF(I4641="Open",DATE(2025,12,31)-F4641,"-")</f>
        <v>-</v>
      </c>
    </row>
    <row r="4642" customFormat="false" ht="15" hidden="false" customHeight="false" outlineLevel="0" collapsed="false">
      <c r="B4642" s="7" t="s">
        <v>19287</v>
      </c>
      <c r="C4642" s="7" t="s">
        <v>5139</v>
      </c>
      <c r="D4642" s="7" t="s">
        <v>288</v>
      </c>
      <c r="E4642" s="7" t="s">
        <v>156</v>
      </c>
      <c r="F4642" s="39" t="n">
        <v>45883</v>
      </c>
      <c r="G4642" s="41" t="n">
        <v>145.52</v>
      </c>
      <c r="H4642" s="39" t="n">
        <v>45886</v>
      </c>
      <c r="I4642" s="7" t="s">
        <v>14651</v>
      </c>
      <c r="J4642" s="8" t="str">
        <f aca="false">IF(I4642="Open",DATE(2025,12,31)-F4642,"-")</f>
        <v>-</v>
      </c>
    </row>
    <row r="4643" customFormat="false" ht="15" hidden="false" customHeight="false" outlineLevel="0" collapsed="false">
      <c r="B4643" s="7" t="s">
        <v>19288</v>
      </c>
      <c r="C4643" s="7" t="s">
        <v>5140</v>
      </c>
      <c r="D4643" s="7" t="s">
        <v>297</v>
      </c>
      <c r="E4643" s="7" t="s">
        <v>156</v>
      </c>
      <c r="F4643" s="39" t="n">
        <v>45883</v>
      </c>
      <c r="G4643" s="41" t="n">
        <v>104.38</v>
      </c>
      <c r="H4643" s="39" t="n">
        <v>45891</v>
      </c>
      <c r="I4643" s="7" t="s">
        <v>14651</v>
      </c>
      <c r="J4643" s="8" t="str">
        <f aca="false">IF(I4643="Open",DATE(2025,12,31)-F4643,"-")</f>
        <v>-</v>
      </c>
    </row>
    <row r="4644" customFormat="false" ht="15" hidden="false" customHeight="false" outlineLevel="0" collapsed="false">
      <c r="B4644" s="7" t="s">
        <v>19289</v>
      </c>
      <c r="C4644" s="7" t="s">
        <v>5141</v>
      </c>
      <c r="D4644" s="7" t="s">
        <v>311</v>
      </c>
      <c r="E4644" s="7" t="s">
        <v>154</v>
      </c>
      <c r="F4644" s="39" t="n">
        <v>45883</v>
      </c>
      <c r="G4644" s="41" t="n">
        <v>76.85</v>
      </c>
      <c r="H4644" s="39" t="n">
        <v>46003</v>
      </c>
      <c r="I4644" s="7" t="s">
        <v>14651</v>
      </c>
      <c r="J4644" s="8" t="str">
        <f aca="false">IF(I4644="Open",DATE(2025,12,31)-F4644,"-")</f>
        <v>-</v>
      </c>
    </row>
    <row r="4645" customFormat="false" ht="15" hidden="false" customHeight="false" outlineLevel="0" collapsed="false">
      <c r="B4645" s="7" t="s">
        <v>19290</v>
      </c>
      <c r="C4645" s="7" t="s">
        <v>5142</v>
      </c>
      <c r="D4645" s="7" t="s">
        <v>313</v>
      </c>
      <c r="E4645" s="7" t="s">
        <v>156</v>
      </c>
      <c r="F4645" s="39" t="n">
        <v>45883</v>
      </c>
      <c r="G4645" s="41" t="n">
        <v>136</v>
      </c>
      <c r="H4645" s="39" t="n">
        <v>45893</v>
      </c>
      <c r="I4645" s="7" t="s">
        <v>14651</v>
      </c>
      <c r="J4645" s="8" t="str">
        <f aca="false">IF(I4645="Open",DATE(2025,12,31)-F4645,"-")</f>
        <v>-</v>
      </c>
    </row>
    <row r="4646" customFormat="false" ht="15" hidden="false" customHeight="false" outlineLevel="0" collapsed="false">
      <c r="B4646" s="7" t="s">
        <v>19291</v>
      </c>
      <c r="C4646" s="7" t="s">
        <v>5143</v>
      </c>
      <c r="D4646" s="7" t="s">
        <v>317</v>
      </c>
      <c r="E4646" s="7" t="s">
        <v>156</v>
      </c>
      <c r="F4646" s="39" t="n">
        <v>45883</v>
      </c>
      <c r="G4646" s="41" t="n">
        <v>109.48</v>
      </c>
      <c r="H4646" s="39" t="n">
        <v>45890</v>
      </c>
      <c r="I4646" s="7" t="s">
        <v>14651</v>
      </c>
      <c r="J4646" s="8" t="str">
        <f aca="false">IF(I4646="Open",DATE(2025,12,31)-F4646,"-")</f>
        <v>-</v>
      </c>
    </row>
    <row r="4647" customFormat="false" ht="15" hidden="false" customHeight="false" outlineLevel="0" collapsed="false">
      <c r="B4647" s="7" t="s">
        <v>19292</v>
      </c>
      <c r="C4647" s="7" t="s">
        <v>5144</v>
      </c>
      <c r="D4647" s="7" t="s">
        <v>321</v>
      </c>
      <c r="E4647" s="7" t="s">
        <v>154</v>
      </c>
      <c r="F4647" s="39" t="n">
        <v>45883</v>
      </c>
      <c r="G4647" s="41" t="n">
        <v>99.38</v>
      </c>
      <c r="H4647" s="39" t="n">
        <v>45928</v>
      </c>
      <c r="I4647" s="7" t="s">
        <v>14651</v>
      </c>
      <c r="J4647" s="8" t="str">
        <f aca="false">IF(I4647="Open",DATE(2025,12,31)-F4647,"-")</f>
        <v>-</v>
      </c>
    </row>
    <row r="4648" customFormat="false" ht="15" hidden="false" customHeight="false" outlineLevel="0" collapsed="false">
      <c r="B4648" s="7" t="s">
        <v>19293</v>
      </c>
      <c r="C4648" s="7" t="s">
        <v>5145</v>
      </c>
      <c r="D4648" s="7" t="s">
        <v>325</v>
      </c>
      <c r="E4648" s="7" t="s">
        <v>154</v>
      </c>
      <c r="F4648" s="39" t="n">
        <v>45883</v>
      </c>
      <c r="G4648" s="41" t="n">
        <v>69.91</v>
      </c>
      <c r="H4648" s="39" t="n">
        <v>45917</v>
      </c>
      <c r="I4648" s="7" t="s">
        <v>14651</v>
      </c>
      <c r="J4648" s="8" t="str">
        <f aca="false">IF(I4648="Open",DATE(2025,12,31)-F4648,"-")</f>
        <v>-</v>
      </c>
    </row>
    <row r="4649" customFormat="false" ht="15" hidden="false" customHeight="false" outlineLevel="0" collapsed="false">
      <c r="B4649" s="7" t="s">
        <v>19294</v>
      </c>
      <c r="C4649" s="7" t="s">
        <v>5146</v>
      </c>
      <c r="D4649" s="7" t="s">
        <v>329</v>
      </c>
      <c r="E4649" s="7" t="s">
        <v>156</v>
      </c>
      <c r="F4649" s="39" t="n">
        <v>45883</v>
      </c>
      <c r="G4649" s="41" t="n">
        <v>125.8</v>
      </c>
      <c r="H4649" s="39" t="n">
        <v>45890</v>
      </c>
      <c r="I4649" s="7" t="s">
        <v>14651</v>
      </c>
      <c r="J4649" s="8" t="str">
        <f aca="false">IF(I4649="Open",DATE(2025,12,31)-F4649,"-")</f>
        <v>-</v>
      </c>
    </row>
    <row r="4650" customFormat="false" ht="15" hidden="false" customHeight="false" outlineLevel="0" collapsed="false">
      <c r="B4650" s="7" t="s">
        <v>19295</v>
      </c>
      <c r="C4650" s="7" t="s">
        <v>5147</v>
      </c>
      <c r="D4650" s="7" t="s">
        <v>331</v>
      </c>
      <c r="E4650" s="7" t="s">
        <v>156</v>
      </c>
      <c r="F4650" s="39" t="n">
        <v>45883</v>
      </c>
      <c r="G4650" s="41" t="n">
        <v>129.2</v>
      </c>
      <c r="H4650" s="39" t="n">
        <v>45894</v>
      </c>
      <c r="I4650" s="7" t="s">
        <v>14651</v>
      </c>
      <c r="J4650" s="8" t="str">
        <f aca="false">IF(I4650="Open",DATE(2025,12,31)-F4650,"-")</f>
        <v>-</v>
      </c>
    </row>
    <row r="4651" customFormat="false" ht="15" hidden="false" customHeight="false" outlineLevel="0" collapsed="false">
      <c r="B4651" s="7" t="s">
        <v>19296</v>
      </c>
      <c r="C4651" s="7" t="s">
        <v>5148</v>
      </c>
      <c r="D4651" s="7" t="s">
        <v>337</v>
      </c>
      <c r="E4651" s="7" t="s">
        <v>154</v>
      </c>
      <c r="F4651" s="39" t="n">
        <v>45883</v>
      </c>
      <c r="G4651" s="41" t="n">
        <v>82.68</v>
      </c>
      <c r="H4651" s="39" t="n">
        <v>45934</v>
      </c>
      <c r="I4651" s="7" t="s">
        <v>14651</v>
      </c>
      <c r="J4651" s="8" t="str">
        <f aca="false">IF(I4651="Open",DATE(2025,12,31)-F4651,"-")</f>
        <v>-</v>
      </c>
    </row>
    <row r="4652" customFormat="false" ht="15" hidden="false" customHeight="false" outlineLevel="0" collapsed="false">
      <c r="B4652" s="7" t="s">
        <v>19297</v>
      </c>
      <c r="C4652" s="7" t="s">
        <v>5149</v>
      </c>
      <c r="D4652" s="7" t="s">
        <v>341</v>
      </c>
      <c r="E4652" s="7" t="s">
        <v>156</v>
      </c>
      <c r="F4652" s="39" t="n">
        <v>45883</v>
      </c>
      <c r="G4652" s="41" t="n">
        <v>111.86</v>
      </c>
      <c r="H4652" s="39" t="n">
        <v>45896</v>
      </c>
      <c r="I4652" s="7" t="s">
        <v>14651</v>
      </c>
      <c r="J4652" s="8" t="str">
        <f aca="false">IF(I4652="Open",DATE(2025,12,31)-F4652,"-")</f>
        <v>-</v>
      </c>
    </row>
    <row r="4653" customFormat="false" ht="15" hidden="false" customHeight="false" outlineLevel="0" collapsed="false">
      <c r="B4653" s="7" t="s">
        <v>19298</v>
      </c>
      <c r="C4653" s="7" t="s">
        <v>5150</v>
      </c>
      <c r="D4653" s="7" t="s">
        <v>351</v>
      </c>
      <c r="E4653" s="7" t="s">
        <v>154</v>
      </c>
      <c r="F4653" s="39" t="n">
        <v>45883</v>
      </c>
      <c r="G4653" s="41" t="n">
        <v>82.41</v>
      </c>
      <c r="H4653" s="39" t="n">
        <v>45954</v>
      </c>
      <c r="I4653" s="7" t="s">
        <v>14651</v>
      </c>
      <c r="J4653" s="8" t="str">
        <f aca="false">IF(I4653="Open",DATE(2025,12,31)-F4653,"-")</f>
        <v>-</v>
      </c>
    </row>
    <row r="4654" customFormat="false" ht="15" hidden="false" customHeight="false" outlineLevel="0" collapsed="false">
      <c r="B4654" s="7" t="s">
        <v>19299</v>
      </c>
      <c r="C4654" s="7" t="s">
        <v>5151</v>
      </c>
      <c r="D4654" s="7" t="s">
        <v>359</v>
      </c>
      <c r="E4654" s="7" t="s">
        <v>156</v>
      </c>
      <c r="F4654" s="39" t="n">
        <v>45883</v>
      </c>
      <c r="G4654" s="41" t="n">
        <v>131.92</v>
      </c>
      <c r="H4654" s="39" t="n">
        <v>45893</v>
      </c>
      <c r="I4654" s="7" t="s">
        <v>14651</v>
      </c>
      <c r="J4654" s="8" t="str">
        <f aca="false">IF(I4654="Open",DATE(2025,12,31)-F4654,"-")</f>
        <v>-</v>
      </c>
    </row>
    <row r="4655" customFormat="false" ht="15" hidden="false" customHeight="false" outlineLevel="0" collapsed="false">
      <c r="B4655" s="7" t="s">
        <v>19300</v>
      </c>
      <c r="C4655" s="7" t="s">
        <v>5152</v>
      </c>
      <c r="D4655" s="7" t="s">
        <v>363</v>
      </c>
      <c r="E4655" s="7" t="s">
        <v>156</v>
      </c>
      <c r="F4655" s="39" t="n">
        <v>45883</v>
      </c>
      <c r="G4655" s="41" t="n">
        <v>124.44</v>
      </c>
      <c r="H4655" s="39" t="n">
        <v>45905</v>
      </c>
      <c r="I4655" s="7" t="s">
        <v>14651</v>
      </c>
      <c r="J4655" s="8" t="str">
        <f aca="false">IF(I4655="Open",DATE(2025,12,31)-F4655,"-")</f>
        <v>-</v>
      </c>
    </row>
    <row r="4656" customFormat="false" ht="15" hidden="false" customHeight="false" outlineLevel="0" collapsed="false">
      <c r="B4656" s="7" t="s">
        <v>19301</v>
      </c>
      <c r="C4656" s="7" t="s">
        <v>5153</v>
      </c>
      <c r="D4656" s="7" t="s">
        <v>365</v>
      </c>
      <c r="E4656" s="7" t="s">
        <v>154</v>
      </c>
      <c r="F4656" s="39" t="n">
        <v>45883</v>
      </c>
      <c r="G4656" s="41" t="n">
        <v>111.83</v>
      </c>
      <c r="H4656" s="39" t="n">
        <v>45979</v>
      </c>
      <c r="I4656" s="7" t="s">
        <v>14651</v>
      </c>
      <c r="J4656" s="8" t="str">
        <f aca="false">IF(I4656="Open",DATE(2025,12,31)-F4656,"-")</f>
        <v>-</v>
      </c>
    </row>
    <row r="4657" customFormat="false" ht="15" hidden="false" customHeight="false" outlineLevel="0" collapsed="false">
      <c r="B4657" s="7" t="s">
        <v>19302</v>
      </c>
      <c r="C4657" s="7" t="s">
        <v>5154</v>
      </c>
      <c r="D4657" s="7" t="s">
        <v>375</v>
      </c>
      <c r="E4657" s="7" t="s">
        <v>156</v>
      </c>
      <c r="F4657" s="39" t="n">
        <v>45883</v>
      </c>
      <c r="G4657" s="41" t="n">
        <v>96.56</v>
      </c>
      <c r="H4657" s="39" t="n">
        <v>45884</v>
      </c>
      <c r="I4657" s="7" t="s">
        <v>14651</v>
      </c>
      <c r="J4657" s="8" t="str">
        <f aca="false">IF(I4657="Open",DATE(2025,12,31)-F4657,"-")</f>
        <v>-</v>
      </c>
    </row>
    <row r="4658" customFormat="false" ht="15" hidden="false" customHeight="false" outlineLevel="0" collapsed="false">
      <c r="B4658" s="7" t="s">
        <v>19303</v>
      </c>
      <c r="C4658" s="7" t="s">
        <v>5155</v>
      </c>
      <c r="D4658" s="7" t="s">
        <v>377</v>
      </c>
      <c r="E4658" s="7" t="s">
        <v>154</v>
      </c>
      <c r="F4658" s="39" t="n">
        <v>45883</v>
      </c>
      <c r="G4658" s="41" t="n">
        <v>113.15</v>
      </c>
      <c r="H4658" s="39" t="n">
        <v>45930</v>
      </c>
      <c r="I4658" s="7" t="s">
        <v>14651</v>
      </c>
      <c r="J4658" s="8" t="str">
        <f aca="false">IF(I4658="Open",DATE(2025,12,31)-F4658,"-")</f>
        <v>-</v>
      </c>
    </row>
    <row r="4659" customFormat="false" ht="15" hidden="false" customHeight="false" outlineLevel="0" collapsed="false">
      <c r="B4659" s="7" t="s">
        <v>19304</v>
      </c>
      <c r="C4659" s="7" t="s">
        <v>5156</v>
      </c>
      <c r="D4659" s="7" t="s">
        <v>387</v>
      </c>
      <c r="E4659" s="7" t="s">
        <v>154</v>
      </c>
      <c r="F4659" s="39" t="n">
        <v>45883</v>
      </c>
      <c r="G4659" s="41" t="n">
        <v>104.15</v>
      </c>
      <c r="H4659" s="39" t="n">
        <v>45944</v>
      </c>
      <c r="I4659" s="7" t="s">
        <v>14651</v>
      </c>
      <c r="J4659" s="8" t="str">
        <f aca="false">IF(I4659="Open",DATE(2025,12,31)-F4659,"-")</f>
        <v>-</v>
      </c>
    </row>
    <row r="4660" customFormat="false" ht="15" hidden="false" customHeight="false" outlineLevel="0" collapsed="false">
      <c r="B4660" s="7" t="s">
        <v>19305</v>
      </c>
      <c r="C4660" s="7" t="s">
        <v>5157</v>
      </c>
      <c r="D4660" s="7" t="s">
        <v>389</v>
      </c>
      <c r="E4660" s="7" t="s">
        <v>154</v>
      </c>
      <c r="F4660" s="39" t="n">
        <v>45883</v>
      </c>
      <c r="G4660" s="41" t="n">
        <v>115.27</v>
      </c>
      <c r="H4660" s="39" t="n">
        <v>45961</v>
      </c>
      <c r="I4660" s="7" t="s">
        <v>14651</v>
      </c>
      <c r="J4660" s="8" t="str">
        <f aca="false">IF(I4660="Open",DATE(2025,12,31)-F4660,"-")</f>
        <v>-</v>
      </c>
    </row>
    <row r="4661" customFormat="false" ht="15" hidden="false" customHeight="false" outlineLevel="0" collapsed="false">
      <c r="B4661" s="7" t="s">
        <v>19306</v>
      </c>
      <c r="C4661" s="7" t="s">
        <v>5158</v>
      </c>
      <c r="D4661" s="7" t="s">
        <v>391</v>
      </c>
      <c r="E4661" s="7" t="s">
        <v>156</v>
      </c>
      <c r="F4661" s="39" t="n">
        <v>45883</v>
      </c>
      <c r="G4661" s="41" t="n">
        <v>124.44</v>
      </c>
      <c r="H4661" s="39" t="n">
        <v>45892</v>
      </c>
      <c r="I4661" s="7" t="s">
        <v>14651</v>
      </c>
      <c r="J4661" s="8" t="str">
        <f aca="false">IF(I4661="Open",DATE(2025,12,31)-F4661,"-")</f>
        <v>-</v>
      </c>
    </row>
    <row r="4662" customFormat="false" ht="15" hidden="false" customHeight="false" outlineLevel="0" collapsed="false">
      <c r="B4662" s="7" t="s">
        <v>19307</v>
      </c>
      <c r="C4662" s="7" t="s">
        <v>5159</v>
      </c>
      <c r="D4662" s="7" t="s">
        <v>395</v>
      </c>
      <c r="E4662" s="7" t="s">
        <v>156</v>
      </c>
      <c r="F4662" s="39" t="n">
        <v>45883</v>
      </c>
      <c r="G4662" s="41" t="n">
        <v>133.62</v>
      </c>
      <c r="H4662" s="39" t="n">
        <v>45900</v>
      </c>
      <c r="I4662" s="7" t="s">
        <v>14651</v>
      </c>
      <c r="J4662" s="8" t="str">
        <f aca="false">IF(I4662="Open",DATE(2025,12,31)-F4662,"-")</f>
        <v>-</v>
      </c>
    </row>
    <row r="4663" customFormat="false" ht="15" hidden="false" customHeight="false" outlineLevel="0" collapsed="false">
      <c r="B4663" s="7" t="s">
        <v>19308</v>
      </c>
      <c r="C4663" s="7" t="s">
        <v>5160</v>
      </c>
      <c r="D4663" s="7" t="s">
        <v>401</v>
      </c>
      <c r="E4663" s="7" t="s">
        <v>156</v>
      </c>
      <c r="F4663" s="39" t="n">
        <v>45883</v>
      </c>
      <c r="G4663" s="41" t="n">
        <v>141.44</v>
      </c>
      <c r="H4663" s="39" t="n">
        <v>45887</v>
      </c>
      <c r="I4663" s="7" t="s">
        <v>14651</v>
      </c>
      <c r="J4663" s="8" t="str">
        <f aca="false">IF(I4663="Open",DATE(2025,12,31)-F4663,"-")</f>
        <v>-</v>
      </c>
    </row>
    <row r="4664" customFormat="false" ht="15" hidden="false" customHeight="false" outlineLevel="0" collapsed="false">
      <c r="B4664" s="7" t="s">
        <v>19309</v>
      </c>
      <c r="C4664" s="7" t="s">
        <v>5161</v>
      </c>
      <c r="D4664" s="7" t="s">
        <v>280</v>
      </c>
      <c r="E4664" s="7" t="s">
        <v>157</v>
      </c>
      <c r="F4664" s="39" t="n">
        <v>45884</v>
      </c>
      <c r="G4664" s="41" t="n">
        <v>165</v>
      </c>
      <c r="H4664" s="39" t="n">
        <v>45975</v>
      </c>
      <c r="I4664" s="7" t="s">
        <v>14651</v>
      </c>
      <c r="J4664" s="8" t="str">
        <f aca="false">IF(I4664="Open",DATE(2025,12,31)-F4664,"-")</f>
        <v>-</v>
      </c>
    </row>
    <row r="4665" customFormat="false" ht="15" hidden="false" customHeight="false" outlineLevel="0" collapsed="false">
      <c r="B4665" s="7" t="s">
        <v>19310</v>
      </c>
      <c r="C4665" s="7" t="s">
        <v>5162</v>
      </c>
      <c r="D4665" s="7" t="s">
        <v>288</v>
      </c>
      <c r="E4665" s="7" t="s">
        <v>156</v>
      </c>
      <c r="F4665" s="39" t="n">
        <v>45884</v>
      </c>
      <c r="G4665" s="41" t="n">
        <v>144.84</v>
      </c>
      <c r="H4665" s="39" t="n">
        <v>45894</v>
      </c>
      <c r="I4665" s="7" t="s">
        <v>14651</v>
      </c>
      <c r="J4665" s="8" t="str">
        <f aca="false">IF(I4665="Open",DATE(2025,12,31)-F4665,"-")</f>
        <v>-</v>
      </c>
    </row>
    <row r="4666" customFormat="false" ht="15" hidden="false" customHeight="false" outlineLevel="0" collapsed="false">
      <c r="B4666" s="7" t="s">
        <v>19311</v>
      </c>
      <c r="C4666" s="7" t="s">
        <v>5163</v>
      </c>
      <c r="D4666" s="7" t="s">
        <v>291</v>
      </c>
      <c r="E4666" s="7" t="s">
        <v>154</v>
      </c>
      <c r="F4666" s="39" t="n">
        <v>45884</v>
      </c>
      <c r="G4666" s="41" t="n">
        <v>134.36</v>
      </c>
      <c r="H4666" s="39" t="n">
        <v>45971</v>
      </c>
      <c r="I4666" s="7" t="s">
        <v>14651</v>
      </c>
      <c r="J4666" s="8" t="str">
        <f aca="false">IF(I4666="Open",DATE(2025,12,31)-F4666,"-")</f>
        <v>-</v>
      </c>
    </row>
    <row r="4667" customFormat="false" ht="15" hidden="false" customHeight="false" outlineLevel="0" collapsed="false">
      <c r="B4667" s="7" t="s">
        <v>19312</v>
      </c>
      <c r="C4667" s="7" t="s">
        <v>5164</v>
      </c>
      <c r="D4667" s="7" t="s">
        <v>295</v>
      </c>
      <c r="E4667" s="7" t="s">
        <v>154</v>
      </c>
      <c r="F4667" s="39" t="n">
        <v>45884</v>
      </c>
      <c r="G4667" s="41" t="n">
        <v>107.96</v>
      </c>
      <c r="H4667" s="39" t="n">
        <v>45970</v>
      </c>
      <c r="I4667" s="7" t="s">
        <v>14651</v>
      </c>
      <c r="J4667" s="8" t="str">
        <f aca="false">IF(I4667="Open",DATE(2025,12,31)-F4667,"-")</f>
        <v>-</v>
      </c>
    </row>
    <row r="4668" customFormat="false" ht="15" hidden="false" customHeight="false" outlineLevel="0" collapsed="false">
      <c r="B4668" s="7" t="s">
        <v>19313</v>
      </c>
      <c r="C4668" s="7" t="s">
        <v>5165</v>
      </c>
      <c r="D4668" s="7" t="s">
        <v>301</v>
      </c>
      <c r="E4668" s="7" t="s">
        <v>157</v>
      </c>
      <c r="F4668" s="39" t="n">
        <v>45884</v>
      </c>
      <c r="G4668" s="41" t="n">
        <v>173.25</v>
      </c>
      <c r="H4668" s="39" t="n">
        <v>45965</v>
      </c>
      <c r="I4668" s="7" t="s">
        <v>14651</v>
      </c>
      <c r="J4668" s="8" t="str">
        <f aca="false">IF(I4668="Open",DATE(2025,12,31)-F4668,"-")</f>
        <v>-</v>
      </c>
    </row>
    <row r="4669" customFormat="false" ht="15" hidden="false" customHeight="false" outlineLevel="0" collapsed="false">
      <c r="B4669" s="7" t="s">
        <v>19314</v>
      </c>
      <c r="C4669" s="7" t="s">
        <v>5166</v>
      </c>
      <c r="D4669" s="7" t="s">
        <v>305</v>
      </c>
      <c r="E4669" s="7" t="s">
        <v>154</v>
      </c>
      <c r="F4669" s="39" t="n">
        <v>45884</v>
      </c>
      <c r="G4669" s="41" t="n">
        <v>115.27</v>
      </c>
      <c r="H4669" s="39" t="n">
        <v>45999</v>
      </c>
      <c r="I4669" s="7" t="s">
        <v>14651</v>
      </c>
      <c r="J4669" s="8" t="str">
        <f aca="false">IF(I4669="Open",DATE(2025,12,31)-F4669,"-")</f>
        <v>-</v>
      </c>
    </row>
    <row r="4670" customFormat="false" ht="15" hidden="false" customHeight="false" outlineLevel="0" collapsed="false">
      <c r="B4670" s="7" t="s">
        <v>19315</v>
      </c>
      <c r="C4670" s="7" t="s">
        <v>5167</v>
      </c>
      <c r="D4670" s="7" t="s">
        <v>307</v>
      </c>
      <c r="E4670" s="7" t="s">
        <v>157</v>
      </c>
      <c r="F4670" s="39" t="n">
        <v>45884</v>
      </c>
      <c r="G4670" s="41" t="n">
        <v>150.15</v>
      </c>
      <c r="H4670" s="39" t="n">
        <v>45967</v>
      </c>
      <c r="I4670" s="7" t="s">
        <v>14651</v>
      </c>
      <c r="J4670" s="8" t="str">
        <f aca="false">IF(I4670="Open",DATE(2025,12,31)-F4670,"-")</f>
        <v>-</v>
      </c>
    </row>
    <row r="4671" customFormat="false" ht="15" hidden="false" customHeight="false" outlineLevel="0" collapsed="false">
      <c r="B4671" s="7" t="s">
        <v>19316</v>
      </c>
      <c r="C4671" s="7" t="s">
        <v>5168</v>
      </c>
      <c r="D4671" s="7" t="s">
        <v>309</v>
      </c>
      <c r="E4671" s="7" t="s">
        <v>159</v>
      </c>
      <c r="F4671" s="39" t="n">
        <v>45884</v>
      </c>
      <c r="G4671" s="41" t="n">
        <v>132.3</v>
      </c>
      <c r="H4671" s="39" t="n">
        <v>45984</v>
      </c>
      <c r="I4671" s="7" t="s">
        <v>14651</v>
      </c>
      <c r="J4671" s="8" t="str">
        <f aca="false">IF(I4671="Open",DATE(2025,12,31)-F4671,"-")</f>
        <v>-</v>
      </c>
    </row>
    <row r="4672" customFormat="false" ht="15" hidden="false" customHeight="false" outlineLevel="0" collapsed="false">
      <c r="B4672" s="7" t="s">
        <v>19317</v>
      </c>
      <c r="C4672" s="7" t="s">
        <v>5169</v>
      </c>
      <c r="D4672" s="7" t="s">
        <v>313</v>
      </c>
      <c r="E4672" s="7" t="s">
        <v>156</v>
      </c>
      <c r="F4672" s="39" t="n">
        <v>45884</v>
      </c>
      <c r="G4672" s="41" t="n">
        <v>143.14</v>
      </c>
      <c r="H4672" s="39" t="n">
        <v>45901</v>
      </c>
      <c r="I4672" s="7" t="s">
        <v>14651</v>
      </c>
      <c r="J4672" s="8" t="str">
        <f aca="false">IF(I4672="Open",DATE(2025,12,31)-F4672,"-")</f>
        <v>-</v>
      </c>
    </row>
    <row r="4673" customFormat="false" ht="15" hidden="false" customHeight="false" outlineLevel="0" collapsed="false">
      <c r="B4673" s="7" t="s">
        <v>19318</v>
      </c>
      <c r="C4673" s="7" t="s">
        <v>5170</v>
      </c>
      <c r="D4673" s="7" t="s">
        <v>315</v>
      </c>
      <c r="E4673" s="7" t="s">
        <v>159</v>
      </c>
      <c r="F4673" s="39" t="n">
        <v>45884</v>
      </c>
      <c r="G4673" s="41" t="n">
        <v>122.85</v>
      </c>
      <c r="H4673" s="39" t="n">
        <v>45949</v>
      </c>
      <c r="I4673" s="7" t="s">
        <v>14651</v>
      </c>
      <c r="J4673" s="8" t="str">
        <f aca="false">IF(I4673="Open",DATE(2025,12,31)-F4673,"-")</f>
        <v>-</v>
      </c>
    </row>
    <row r="4674" customFormat="false" ht="15" hidden="false" customHeight="false" outlineLevel="0" collapsed="false">
      <c r="B4674" s="7" t="s">
        <v>19319</v>
      </c>
      <c r="C4674" s="7" t="s">
        <v>5171</v>
      </c>
      <c r="D4674" s="7" t="s">
        <v>319</v>
      </c>
      <c r="E4674" s="7" t="s">
        <v>157</v>
      </c>
      <c r="F4674" s="39" t="n">
        <v>45884</v>
      </c>
      <c r="G4674" s="41" t="n">
        <v>179.85</v>
      </c>
      <c r="H4674" s="39" t="n">
        <v>45932</v>
      </c>
      <c r="I4674" s="7" t="s">
        <v>14651</v>
      </c>
      <c r="J4674" s="8" t="str">
        <f aca="false">IF(I4674="Open",DATE(2025,12,31)-F4674,"-")</f>
        <v>-</v>
      </c>
    </row>
    <row r="4675" customFormat="false" ht="15" hidden="false" customHeight="false" outlineLevel="0" collapsed="false">
      <c r="B4675" s="7" t="s">
        <v>19320</v>
      </c>
      <c r="C4675" s="7" t="s">
        <v>5172</v>
      </c>
      <c r="D4675" s="7" t="s">
        <v>321</v>
      </c>
      <c r="E4675" s="7" t="s">
        <v>154</v>
      </c>
      <c r="F4675" s="39" t="n">
        <v>45884</v>
      </c>
      <c r="G4675" s="41" t="n">
        <v>102.56</v>
      </c>
      <c r="H4675" s="39" t="n">
        <v>45942</v>
      </c>
      <c r="I4675" s="7" t="s">
        <v>14651</v>
      </c>
      <c r="J4675" s="8" t="str">
        <f aca="false">IF(I4675="Open",DATE(2025,12,31)-F4675,"-")</f>
        <v>-</v>
      </c>
    </row>
    <row r="4676" customFormat="false" ht="15" hidden="false" customHeight="false" outlineLevel="0" collapsed="false">
      <c r="B4676" s="7" t="s">
        <v>19321</v>
      </c>
      <c r="C4676" s="7" t="s">
        <v>5173</v>
      </c>
      <c r="D4676" s="7" t="s">
        <v>323</v>
      </c>
      <c r="E4676" s="7" t="s">
        <v>159</v>
      </c>
      <c r="F4676" s="39" t="n">
        <v>45884</v>
      </c>
      <c r="G4676" s="41" t="n">
        <v>126.76</v>
      </c>
      <c r="H4676" s="39" t="n">
        <v>45972</v>
      </c>
      <c r="I4676" s="7" t="s">
        <v>14651</v>
      </c>
      <c r="J4676" s="8" t="str">
        <f aca="false">IF(I4676="Open",DATE(2025,12,31)-F4676,"-")</f>
        <v>-</v>
      </c>
    </row>
    <row r="4677" customFormat="false" ht="15" hidden="false" customHeight="false" outlineLevel="0" collapsed="false">
      <c r="B4677" s="7" t="s">
        <v>19322</v>
      </c>
      <c r="C4677" s="7" t="s">
        <v>5174</v>
      </c>
      <c r="D4677" s="7" t="s">
        <v>327</v>
      </c>
      <c r="E4677" s="7" t="s">
        <v>157</v>
      </c>
      <c r="F4677" s="39" t="n">
        <v>45884</v>
      </c>
      <c r="G4677" s="41" t="n">
        <v>169.95</v>
      </c>
      <c r="H4677" s="39" t="n">
        <v>45925</v>
      </c>
      <c r="I4677" s="7" t="s">
        <v>14651</v>
      </c>
      <c r="J4677" s="8" t="str">
        <f aca="false">IF(I4677="Open",DATE(2025,12,31)-F4677,"-")</f>
        <v>-</v>
      </c>
    </row>
    <row r="4678" customFormat="false" ht="15" hidden="false" customHeight="false" outlineLevel="0" collapsed="false">
      <c r="B4678" s="7" t="s">
        <v>19323</v>
      </c>
      <c r="C4678" s="7" t="s">
        <v>5175</v>
      </c>
      <c r="D4678" s="7" t="s">
        <v>329</v>
      </c>
      <c r="E4678" s="7" t="s">
        <v>156</v>
      </c>
      <c r="F4678" s="39" t="n">
        <v>45884</v>
      </c>
      <c r="G4678" s="41" t="n">
        <v>140.08</v>
      </c>
      <c r="H4678" s="39" t="n">
        <v>45893</v>
      </c>
      <c r="I4678" s="7" t="s">
        <v>14651</v>
      </c>
      <c r="J4678" s="8" t="str">
        <f aca="false">IF(I4678="Open",DATE(2025,12,31)-F4678,"-")</f>
        <v>-</v>
      </c>
    </row>
    <row r="4679" customFormat="false" ht="15" hidden="false" customHeight="false" outlineLevel="0" collapsed="false">
      <c r="B4679" s="7" t="s">
        <v>19324</v>
      </c>
      <c r="C4679" s="7" t="s">
        <v>5176</v>
      </c>
      <c r="D4679" s="7" t="s">
        <v>335</v>
      </c>
      <c r="E4679" s="7" t="s">
        <v>154</v>
      </c>
      <c r="F4679" s="39" t="n">
        <v>45884</v>
      </c>
      <c r="G4679" s="41" t="n">
        <v>106.53</v>
      </c>
      <c r="H4679" s="39" t="n">
        <v>45928</v>
      </c>
      <c r="I4679" s="7" t="s">
        <v>14651</v>
      </c>
      <c r="J4679" s="8" t="str">
        <f aca="false">IF(I4679="Open",DATE(2025,12,31)-F4679,"-")</f>
        <v>-</v>
      </c>
    </row>
    <row r="4680" customFormat="false" ht="15" hidden="false" customHeight="false" outlineLevel="0" collapsed="false">
      <c r="B4680" s="7" t="s">
        <v>19325</v>
      </c>
      <c r="C4680" s="7" t="s">
        <v>5177</v>
      </c>
      <c r="D4680" s="7" t="s">
        <v>339</v>
      </c>
      <c r="E4680" s="7" t="s">
        <v>154</v>
      </c>
      <c r="F4680" s="39" t="n">
        <v>45884</v>
      </c>
      <c r="G4680" s="41" t="n">
        <v>80.3</v>
      </c>
      <c r="H4680" s="39" t="n">
        <v>45930</v>
      </c>
      <c r="I4680" s="7" t="s">
        <v>14651</v>
      </c>
      <c r="J4680" s="8" t="str">
        <f aca="false">IF(I4680="Open",DATE(2025,12,31)-F4680,"-")</f>
        <v>-</v>
      </c>
    </row>
    <row r="4681" customFormat="false" ht="15" hidden="false" customHeight="false" outlineLevel="0" collapsed="false">
      <c r="B4681" s="7" t="s">
        <v>19326</v>
      </c>
      <c r="C4681" s="7" t="s">
        <v>5178</v>
      </c>
      <c r="D4681" s="7" t="s">
        <v>347</v>
      </c>
      <c r="E4681" s="7" t="s">
        <v>154</v>
      </c>
      <c r="F4681" s="39" t="n">
        <v>45884</v>
      </c>
      <c r="G4681" s="41" t="n">
        <v>111.3</v>
      </c>
      <c r="H4681" s="39" t="n">
        <v>45935</v>
      </c>
      <c r="I4681" s="7" t="s">
        <v>14651</v>
      </c>
      <c r="J4681" s="8" t="str">
        <f aca="false">IF(I4681="Open",DATE(2025,12,31)-F4681,"-")</f>
        <v>-</v>
      </c>
    </row>
    <row r="4682" customFormat="false" ht="15" hidden="false" customHeight="false" outlineLevel="0" collapsed="false">
      <c r="B4682" s="7" t="s">
        <v>19327</v>
      </c>
      <c r="C4682" s="7" t="s">
        <v>5179</v>
      </c>
      <c r="D4682" s="7" t="s">
        <v>353</v>
      </c>
      <c r="E4682" s="7" t="s">
        <v>154</v>
      </c>
      <c r="F4682" s="39" t="n">
        <v>45884</v>
      </c>
      <c r="G4682" s="41" t="n">
        <v>82.94</v>
      </c>
      <c r="H4682" s="39" t="n">
        <v>45950</v>
      </c>
      <c r="I4682" s="7" t="s">
        <v>14651</v>
      </c>
      <c r="J4682" s="8" t="str">
        <f aca="false">IF(I4682="Open",DATE(2025,12,31)-F4682,"-")</f>
        <v>-</v>
      </c>
    </row>
    <row r="4683" customFormat="false" ht="15" hidden="false" customHeight="false" outlineLevel="0" collapsed="false">
      <c r="B4683" s="7" t="s">
        <v>19328</v>
      </c>
      <c r="C4683" s="7" t="s">
        <v>5180</v>
      </c>
      <c r="D4683" s="7" t="s">
        <v>355</v>
      </c>
      <c r="E4683" s="7" t="s">
        <v>154</v>
      </c>
      <c r="F4683" s="39" t="n">
        <v>45884</v>
      </c>
      <c r="G4683" s="41" t="n">
        <v>91.16</v>
      </c>
      <c r="H4683" s="39" t="n">
        <v>45942</v>
      </c>
      <c r="I4683" s="7" t="s">
        <v>14651</v>
      </c>
      <c r="J4683" s="8" t="str">
        <f aca="false">IF(I4683="Open",DATE(2025,12,31)-F4683,"-")</f>
        <v>-</v>
      </c>
    </row>
    <row r="4684" customFormat="false" ht="15" hidden="false" customHeight="false" outlineLevel="0" collapsed="false">
      <c r="B4684" s="7" t="s">
        <v>19329</v>
      </c>
      <c r="C4684" s="7" t="s">
        <v>5181</v>
      </c>
      <c r="D4684" s="7" t="s">
        <v>357</v>
      </c>
      <c r="E4684" s="7" t="s">
        <v>154</v>
      </c>
      <c r="F4684" s="39" t="n">
        <v>45884</v>
      </c>
      <c r="G4684" s="41" t="n">
        <v>81.88</v>
      </c>
      <c r="H4684" s="39" t="n">
        <v>45979</v>
      </c>
      <c r="I4684" s="7" t="s">
        <v>14651</v>
      </c>
      <c r="J4684" s="8" t="str">
        <f aca="false">IF(I4684="Open",DATE(2025,12,31)-F4684,"-")</f>
        <v>-</v>
      </c>
    </row>
    <row r="4685" customFormat="false" ht="15" hidden="false" customHeight="false" outlineLevel="0" collapsed="false">
      <c r="B4685" s="7" t="s">
        <v>19330</v>
      </c>
      <c r="C4685" s="7" t="s">
        <v>5182</v>
      </c>
      <c r="D4685" s="7" t="s">
        <v>359</v>
      </c>
      <c r="E4685" s="7" t="s">
        <v>156</v>
      </c>
      <c r="F4685" s="39" t="n">
        <v>45884</v>
      </c>
      <c r="G4685" s="41" t="n">
        <v>132.6</v>
      </c>
      <c r="H4685" s="39" t="n">
        <v>45899</v>
      </c>
      <c r="I4685" s="7" t="s">
        <v>14651</v>
      </c>
      <c r="J4685" s="8" t="str">
        <f aca="false">IF(I4685="Open",DATE(2025,12,31)-F4685,"-")</f>
        <v>-</v>
      </c>
    </row>
    <row r="4686" customFormat="false" ht="15" hidden="false" customHeight="false" outlineLevel="0" collapsed="false">
      <c r="B4686" s="7" t="s">
        <v>19331</v>
      </c>
      <c r="C4686" s="7" t="s">
        <v>5183</v>
      </c>
      <c r="D4686" s="7" t="s">
        <v>361</v>
      </c>
      <c r="E4686" s="7" t="s">
        <v>157</v>
      </c>
      <c r="F4686" s="39" t="n">
        <v>45884</v>
      </c>
      <c r="G4686" s="41" t="n">
        <v>151.97</v>
      </c>
      <c r="H4686" s="39" t="n">
        <v>45931</v>
      </c>
      <c r="I4686" s="7" t="s">
        <v>14651</v>
      </c>
      <c r="J4686" s="8" t="str">
        <f aca="false">IF(I4686="Open",DATE(2025,12,31)-F4686,"-")</f>
        <v>-</v>
      </c>
    </row>
    <row r="4687" customFormat="false" ht="15" hidden="false" customHeight="false" outlineLevel="0" collapsed="false">
      <c r="B4687" s="7" t="s">
        <v>19332</v>
      </c>
      <c r="C4687" s="7" t="s">
        <v>5184</v>
      </c>
      <c r="D4687" s="7" t="s">
        <v>365</v>
      </c>
      <c r="E4687" s="7" t="s">
        <v>154</v>
      </c>
      <c r="F4687" s="39" t="n">
        <v>45884</v>
      </c>
      <c r="G4687" s="41" t="n">
        <v>112.89</v>
      </c>
      <c r="H4687" s="39" t="n">
        <v>45970</v>
      </c>
      <c r="I4687" s="7" t="s">
        <v>14651</v>
      </c>
      <c r="J4687" s="8" t="str">
        <f aca="false">IF(I4687="Open",DATE(2025,12,31)-F4687,"-")</f>
        <v>-</v>
      </c>
    </row>
    <row r="4688" customFormat="false" ht="15" hidden="false" customHeight="false" outlineLevel="0" collapsed="false">
      <c r="B4688" s="7" t="s">
        <v>19333</v>
      </c>
      <c r="C4688" s="7" t="s">
        <v>5185</v>
      </c>
      <c r="D4688" s="7" t="s">
        <v>369</v>
      </c>
      <c r="E4688" s="7" t="s">
        <v>159</v>
      </c>
      <c r="F4688" s="39" t="n">
        <v>45884</v>
      </c>
      <c r="G4688" s="41" t="n">
        <v>137.7</v>
      </c>
      <c r="H4688" s="39" t="n">
        <v>45951</v>
      </c>
      <c r="I4688" s="7" t="s">
        <v>14651</v>
      </c>
      <c r="J4688" s="8" t="str">
        <f aca="false">IF(I4688="Open",DATE(2025,12,31)-F4688,"-")</f>
        <v>-</v>
      </c>
    </row>
    <row r="4689" customFormat="false" ht="15" hidden="false" customHeight="false" outlineLevel="0" collapsed="false">
      <c r="B4689" s="7" t="s">
        <v>19334</v>
      </c>
      <c r="C4689" s="7" t="s">
        <v>5186</v>
      </c>
      <c r="D4689" s="7" t="s">
        <v>371</v>
      </c>
      <c r="E4689" s="7" t="s">
        <v>154</v>
      </c>
      <c r="F4689" s="39" t="n">
        <v>45884</v>
      </c>
      <c r="G4689" s="41" t="n">
        <v>125.61</v>
      </c>
      <c r="H4689" s="39" t="n">
        <v>45994</v>
      </c>
      <c r="I4689" s="7" t="s">
        <v>14651</v>
      </c>
      <c r="J4689" s="8" t="str">
        <f aca="false">IF(I4689="Open",DATE(2025,12,31)-F4689,"-")</f>
        <v>-</v>
      </c>
    </row>
    <row r="4690" customFormat="false" ht="15" hidden="false" customHeight="false" outlineLevel="0" collapsed="false">
      <c r="B4690" s="7" t="s">
        <v>19335</v>
      </c>
      <c r="C4690" s="7" t="s">
        <v>5187</v>
      </c>
      <c r="D4690" s="7" t="s">
        <v>379</v>
      </c>
      <c r="E4690" s="7" t="s">
        <v>156</v>
      </c>
      <c r="F4690" s="39" t="n">
        <v>45884</v>
      </c>
      <c r="G4690" s="41" t="n">
        <v>157.08</v>
      </c>
      <c r="H4690" s="39" t="n">
        <v>45903</v>
      </c>
      <c r="I4690" s="7" t="s">
        <v>14651</v>
      </c>
      <c r="J4690" s="8" t="str">
        <f aca="false">IF(I4690="Open",DATE(2025,12,31)-F4690,"-")</f>
        <v>-</v>
      </c>
    </row>
    <row r="4691" customFormat="false" ht="15" hidden="false" customHeight="false" outlineLevel="0" collapsed="false">
      <c r="B4691" s="7" t="s">
        <v>19336</v>
      </c>
      <c r="C4691" s="7" t="s">
        <v>5188</v>
      </c>
      <c r="D4691" s="7" t="s">
        <v>381</v>
      </c>
      <c r="E4691" s="7" t="s">
        <v>157</v>
      </c>
      <c r="F4691" s="39" t="n">
        <v>45884</v>
      </c>
      <c r="G4691" s="41" t="n">
        <v>161.7</v>
      </c>
      <c r="H4691" s="39" t="n">
        <v>45932</v>
      </c>
      <c r="I4691" s="7" t="s">
        <v>14651</v>
      </c>
      <c r="J4691" s="8" t="str">
        <f aca="false">IF(I4691="Open",DATE(2025,12,31)-F4691,"-")</f>
        <v>-</v>
      </c>
    </row>
    <row r="4692" customFormat="false" ht="15" hidden="false" customHeight="false" outlineLevel="0" collapsed="false">
      <c r="B4692" s="7" t="s">
        <v>19337</v>
      </c>
      <c r="C4692" s="7" t="s">
        <v>5189</v>
      </c>
      <c r="D4692" s="7" t="s">
        <v>383</v>
      </c>
      <c r="E4692" s="7" t="s">
        <v>157</v>
      </c>
      <c r="F4692" s="39" t="n">
        <v>45884</v>
      </c>
      <c r="G4692" s="41" t="n">
        <v>179.85</v>
      </c>
      <c r="H4692" s="39" t="n">
        <v>45916</v>
      </c>
      <c r="I4692" s="7" t="s">
        <v>14651</v>
      </c>
      <c r="J4692" s="8" t="str">
        <f aca="false">IF(I4692="Open",DATE(2025,12,31)-F4692,"-")</f>
        <v>-</v>
      </c>
    </row>
    <row r="4693" customFormat="false" ht="15" hidden="false" customHeight="false" outlineLevel="0" collapsed="false">
      <c r="B4693" s="7" t="s">
        <v>19338</v>
      </c>
      <c r="C4693" s="7" t="s">
        <v>5190</v>
      </c>
      <c r="D4693" s="7" t="s">
        <v>385</v>
      </c>
      <c r="E4693" s="7" t="s">
        <v>156</v>
      </c>
      <c r="F4693" s="39" t="n">
        <v>45884</v>
      </c>
      <c r="G4693" s="41" t="n">
        <v>144.5</v>
      </c>
      <c r="H4693" s="39" t="n">
        <v>45896</v>
      </c>
      <c r="I4693" s="7" t="s">
        <v>14651</v>
      </c>
      <c r="J4693" s="8" t="str">
        <f aca="false">IF(I4693="Open",DATE(2025,12,31)-F4693,"-")</f>
        <v>-</v>
      </c>
    </row>
    <row r="4694" customFormat="false" ht="15" hidden="false" customHeight="false" outlineLevel="0" collapsed="false">
      <c r="B4694" s="7" t="s">
        <v>19339</v>
      </c>
      <c r="C4694" s="7" t="s">
        <v>5191</v>
      </c>
      <c r="D4694" s="7" t="s">
        <v>387</v>
      </c>
      <c r="E4694" s="7" t="s">
        <v>154</v>
      </c>
      <c r="F4694" s="39" t="n">
        <v>45884</v>
      </c>
      <c r="G4694" s="41" t="n">
        <v>112.89</v>
      </c>
      <c r="H4694" s="39" t="n">
        <v>45996</v>
      </c>
      <c r="I4694" s="7" t="s">
        <v>14651</v>
      </c>
      <c r="J4694" s="8" t="str">
        <f aca="false">IF(I4694="Open",DATE(2025,12,31)-F4694,"-")</f>
        <v>-</v>
      </c>
    </row>
    <row r="4695" customFormat="false" ht="15" hidden="false" customHeight="false" outlineLevel="0" collapsed="false">
      <c r="B4695" s="7" t="s">
        <v>19340</v>
      </c>
      <c r="C4695" s="7" t="s">
        <v>5192</v>
      </c>
      <c r="D4695" s="7" t="s">
        <v>389</v>
      </c>
      <c r="E4695" s="7" t="s">
        <v>154</v>
      </c>
      <c r="F4695" s="39" t="n">
        <v>45884</v>
      </c>
      <c r="G4695" s="41" t="n">
        <v>111.3</v>
      </c>
      <c r="H4695" s="39" t="n">
        <v>45957</v>
      </c>
      <c r="I4695" s="7" t="s">
        <v>14651</v>
      </c>
      <c r="J4695" s="8" t="str">
        <f aca="false">IF(I4695="Open",DATE(2025,12,31)-F4695,"-")</f>
        <v>-</v>
      </c>
    </row>
    <row r="4696" customFormat="false" ht="15" hidden="false" customHeight="false" outlineLevel="0" collapsed="false">
      <c r="B4696" s="7" t="s">
        <v>19341</v>
      </c>
      <c r="C4696" s="7" t="s">
        <v>5193</v>
      </c>
      <c r="D4696" s="7" t="s">
        <v>391</v>
      </c>
      <c r="E4696" s="7" t="s">
        <v>156</v>
      </c>
      <c r="F4696" s="39" t="n">
        <v>45884</v>
      </c>
      <c r="G4696" s="41" t="n">
        <v>145.52</v>
      </c>
      <c r="H4696" s="39" t="n">
        <v>45892</v>
      </c>
      <c r="I4696" s="7" t="s">
        <v>14651</v>
      </c>
      <c r="J4696" s="8" t="str">
        <f aca="false">IF(I4696="Open",DATE(2025,12,31)-F4696,"-")</f>
        <v>-</v>
      </c>
    </row>
    <row r="4697" customFormat="false" ht="15" hidden="false" customHeight="false" outlineLevel="0" collapsed="false">
      <c r="B4697" s="7" t="s">
        <v>19342</v>
      </c>
      <c r="C4697" s="7" t="s">
        <v>5194</v>
      </c>
      <c r="D4697" s="7" t="s">
        <v>395</v>
      </c>
      <c r="E4697" s="7" t="s">
        <v>156</v>
      </c>
      <c r="F4697" s="39" t="n">
        <v>45884</v>
      </c>
      <c r="G4697" s="41" t="n">
        <v>126.48</v>
      </c>
      <c r="H4697" s="39" t="n">
        <v>45899</v>
      </c>
      <c r="I4697" s="7" t="s">
        <v>14651</v>
      </c>
      <c r="J4697" s="8" t="str">
        <f aca="false">IF(I4697="Open",DATE(2025,12,31)-F4697,"-")</f>
        <v>-</v>
      </c>
    </row>
    <row r="4698" customFormat="false" ht="15" hidden="false" customHeight="false" outlineLevel="0" collapsed="false">
      <c r="B4698" s="7" t="s">
        <v>19343</v>
      </c>
      <c r="C4698" s="7" t="s">
        <v>5195</v>
      </c>
      <c r="D4698" s="7" t="s">
        <v>397</v>
      </c>
      <c r="E4698" s="7" t="s">
        <v>159</v>
      </c>
      <c r="F4698" s="39" t="n">
        <v>45884</v>
      </c>
      <c r="G4698" s="41" t="n">
        <v>129.33</v>
      </c>
      <c r="H4698" s="39" t="n">
        <v>45937</v>
      </c>
      <c r="I4698" s="7" t="s">
        <v>14651</v>
      </c>
      <c r="J4698" s="8" t="str">
        <f aca="false">IF(I4698="Open",DATE(2025,12,31)-F4698,"-")</f>
        <v>-</v>
      </c>
    </row>
    <row r="4699" customFormat="false" ht="15" hidden="false" customHeight="false" outlineLevel="0" collapsed="false">
      <c r="B4699" s="7" t="s">
        <v>19344</v>
      </c>
      <c r="C4699" s="7" t="s">
        <v>5196</v>
      </c>
      <c r="D4699" s="7" t="s">
        <v>399</v>
      </c>
      <c r="E4699" s="7" t="s">
        <v>154</v>
      </c>
      <c r="F4699" s="39" t="n">
        <v>45884</v>
      </c>
      <c r="G4699" s="41" t="n">
        <v>89.57</v>
      </c>
      <c r="H4699" s="39" t="n">
        <v>45954</v>
      </c>
      <c r="I4699" s="7" t="s">
        <v>14651</v>
      </c>
      <c r="J4699" s="8" t="str">
        <f aca="false">IF(I4699="Open",DATE(2025,12,31)-F4699,"-")</f>
        <v>-</v>
      </c>
    </row>
    <row r="4700" customFormat="false" ht="15" hidden="false" customHeight="false" outlineLevel="0" collapsed="false">
      <c r="B4700" s="7" t="s">
        <v>19345</v>
      </c>
      <c r="C4700" s="7" t="s">
        <v>5197</v>
      </c>
      <c r="D4700" s="7" t="s">
        <v>401</v>
      </c>
      <c r="E4700" s="7" t="s">
        <v>156</v>
      </c>
      <c r="F4700" s="39" t="n">
        <v>45884</v>
      </c>
      <c r="G4700" s="41" t="n">
        <v>138.04</v>
      </c>
      <c r="H4700" s="39" t="n">
        <v>45888</v>
      </c>
      <c r="I4700" s="7" t="s">
        <v>14651</v>
      </c>
      <c r="J4700" s="8" t="str">
        <f aca="false">IF(I4700="Open",DATE(2025,12,31)-F4700,"-")</f>
        <v>-</v>
      </c>
    </row>
    <row r="4701" customFormat="false" ht="15" hidden="false" customHeight="false" outlineLevel="0" collapsed="false">
      <c r="B4701" s="7" t="s">
        <v>19346</v>
      </c>
      <c r="C4701" s="7" t="s">
        <v>5198</v>
      </c>
      <c r="D4701" s="7" t="s">
        <v>403</v>
      </c>
      <c r="E4701" s="7" t="s">
        <v>156</v>
      </c>
      <c r="F4701" s="39" t="n">
        <v>45884</v>
      </c>
      <c r="G4701" s="41" t="n">
        <v>148.24</v>
      </c>
      <c r="H4701" s="39" t="n">
        <v>45887</v>
      </c>
      <c r="I4701" s="7" t="s">
        <v>14651</v>
      </c>
      <c r="J4701" s="8" t="str">
        <f aca="false">IF(I4701="Open",DATE(2025,12,31)-F4701,"-")</f>
        <v>-</v>
      </c>
    </row>
    <row r="4702" customFormat="false" ht="15" hidden="false" customHeight="false" outlineLevel="0" collapsed="false">
      <c r="B4702" s="7" t="s">
        <v>19347</v>
      </c>
      <c r="C4702" s="7" t="s">
        <v>5199</v>
      </c>
      <c r="D4702" s="7" t="s">
        <v>407</v>
      </c>
      <c r="E4702" s="7" t="s">
        <v>159</v>
      </c>
      <c r="F4702" s="39" t="n">
        <v>45884</v>
      </c>
      <c r="G4702" s="41" t="n">
        <v>144.45</v>
      </c>
      <c r="H4702" s="39" t="n">
        <v>45943</v>
      </c>
      <c r="I4702" s="7" t="s">
        <v>14651</v>
      </c>
      <c r="J4702" s="8" t="str">
        <f aca="false">IF(I4702="Open",DATE(2025,12,31)-F4702,"-")</f>
        <v>-</v>
      </c>
    </row>
    <row r="4703" customFormat="false" ht="15" hidden="false" customHeight="false" outlineLevel="0" collapsed="false">
      <c r="B4703" s="7" t="s">
        <v>19348</v>
      </c>
      <c r="C4703" s="7" t="s">
        <v>5200</v>
      </c>
      <c r="D4703" s="7" t="s">
        <v>409</v>
      </c>
      <c r="E4703" s="7" t="s">
        <v>154</v>
      </c>
      <c r="F4703" s="39" t="n">
        <v>45884</v>
      </c>
      <c r="G4703" s="41" t="n">
        <v>93.28</v>
      </c>
      <c r="H4703" s="39" t="n">
        <v>45943</v>
      </c>
      <c r="I4703" s="7" t="s">
        <v>14651</v>
      </c>
      <c r="J4703" s="8" t="str">
        <f aca="false">IF(I4703="Open",DATE(2025,12,31)-F4703,"-")</f>
        <v>-</v>
      </c>
    </row>
    <row r="4704" customFormat="false" ht="15" hidden="false" customHeight="false" outlineLevel="0" collapsed="false">
      <c r="B4704" s="7" t="s">
        <v>19349</v>
      </c>
      <c r="C4704" s="7" t="s">
        <v>5201</v>
      </c>
      <c r="D4704" s="7" t="s">
        <v>411</v>
      </c>
      <c r="E4704" s="7" t="s">
        <v>154</v>
      </c>
      <c r="F4704" s="39" t="n">
        <v>45884</v>
      </c>
      <c r="G4704" s="41" t="n">
        <v>121.58</v>
      </c>
      <c r="H4704" s="39" t="n">
        <v>45938</v>
      </c>
      <c r="I4704" s="7" t="s">
        <v>14651</v>
      </c>
      <c r="J4704" s="8" t="str">
        <f aca="false">IF(I4704="Open",DATE(2025,12,31)-F4704,"-")</f>
        <v>-</v>
      </c>
    </row>
    <row r="4705" customFormat="false" ht="15" hidden="false" customHeight="false" outlineLevel="0" collapsed="false">
      <c r="B4705" s="7" t="s">
        <v>19350</v>
      </c>
      <c r="C4705" s="7" t="s">
        <v>5202</v>
      </c>
      <c r="D4705" s="7" t="s">
        <v>321</v>
      </c>
      <c r="E4705" s="7" t="s">
        <v>154</v>
      </c>
      <c r="F4705" s="39" t="n">
        <v>45885</v>
      </c>
      <c r="G4705" s="41" t="n">
        <v>102.32</v>
      </c>
      <c r="H4705" s="39" t="n">
        <v>45944</v>
      </c>
      <c r="I4705" s="7" t="s">
        <v>14651</v>
      </c>
      <c r="J4705" s="8" t="str">
        <f aca="false">IF(I4705="Open",DATE(2025,12,31)-F4705,"-")</f>
        <v>-</v>
      </c>
    </row>
    <row r="4706" customFormat="false" ht="15" hidden="false" customHeight="false" outlineLevel="0" collapsed="false">
      <c r="B4706" s="7" t="s">
        <v>19351</v>
      </c>
      <c r="C4706" s="7" t="s">
        <v>5203</v>
      </c>
      <c r="D4706" s="7" t="s">
        <v>359</v>
      </c>
      <c r="E4706" s="7" t="s">
        <v>156</v>
      </c>
      <c r="F4706" s="39" t="n">
        <v>45885</v>
      </c>
      <c r="G4706" s="41" t="n">
        <v>143.14</v>
      </c>
      <c r="H4706" s="39" t="n">
        <v>45893</v>
      </c>
      <c r="I4706" s="7" t="s">
        <v>14651</v>
      </c>
      <c r="J4706" s="8" t="str">
        <f aca="false">IF(I4706="Open",DATE(2025,12,31)-F4706,"-")</f>
        <v>-</v>
      </c>
    </row>
    <row r="4707" customFormat="false" ht="15" hidden="false" customHeight="false" outlineLevel="0" collapsed="false">
      <c r="B4707" s="7" t="s">
        <v>19352</v>
      </c>
      <c r="C4707" s="7" t="s">
        <v>5204</v>
      </c>
      <c r="D4707" s="7" t="s">
        <v>387</v>
      </c>
      <c r="E4707" s="7" t="s">
        <v>154</v>
      </c>
      <c r="F4707" s="39" t="n">
        <v>45885</v>
      </c>
      <c r="G4707" s="41" t="n">
        <v>99.11</v>
      </c>
      <c r="H4707" s="39" t="n">
        <v>45931</v>
      </c>
      <c r="I4707" s="7" t="s">
        <v>14651</v>
      </c>
      <c r="J4707" s="8" t="str">
        <f aca="false">IF(I4707="Open",DATE(2025,12,31)-F4707,"-")</f>
        <v>-</v>
      </c>
    </row>
    <row r="4708" customFormat="false" ht="15" hidden="false" customHeight="false" outlineLevel="0" collapsed="false">
      <c r="B4708" s="7" t="s">
        <v>19353</v>
      </c>
      <c r="C4708" s="7" t="s">
        <v>5205</v>
      </c>
      <c r="D4708" s="7" t="s">
        <v>391</v>
      </c>
      <c r="E4708" s="7" t="s">
        <v>156</v>
      </c>
      <c r="F4708" s="39" t="n">
        <v>45885</v>
      </c>
      <c r="G4708" s="41" t="n">
        <v>149.6</v>
      </c>
      <c r="H4708" s="39" t="n">
        <v>45904</v>
      </c>
      <c r="I4708" s="7" t="s">
        <v>14651</v>
      </c>
      <c r="J4708" s="8" t="str">
        <f aca="false">IF(I4708="Open",DATE(2025,12,31)-F4708,"-")</f>
        <v>-</v>
      </c>
    </row>
    <row r="4709" customFormat="false" ht="15" hidden="false" customHeight="false" outlineLevel="0" collapsed="false">
      <c r="B4709" s="7" t="s">
        <v>19354</v>
      </c>
      <c r="C4709" s="7" t="s">
        <v>5206</v>
      </c>
      <c r="D4709" s="7" t="s">
        <v>395</v>
      </c>
      <c r="E4709" s="7" t="s">
        <v>156</v>
      </c>
      <c r="F4709" s="39" t="n">
        <v>45885</v>
      </c>
      <c r="G4709" s="41" t="n">
        <v>131.24</v>
      </c>
      <c r="H4709" s="39" t="n">
        <v>45898</v>
      </c>
      <c r="I4709" s="7" t="s">
        <v>14651</v>
      </c>
      <c r="J4709" s="8" t="str">
        <f aca="false">IF(I4709="Open",DATE(2025,12,31)-F4709,"-")</f>
        <v>-</v>
      </c>
    </row>
    <row r="4710" customFormat="false" ht="15" hidden="false" customHeight="false" outlineLevel="0" collapsed="false">
      <c r="B4710" s="7" t="s">
        <v>19355</v>
      </c>
      <c r="C4710" s="7" t="s">
        <v>5207</v>
      </c>
      <c r="D4710" s="7" t="s">
        <v>401</v>
      </c>
      <c r="E4710" s="7" t="s">
        <v>156</v>
      </c>
      <c r="F4710" s="39" t="n">
        <v>45885</v>
      </c>
      <c r="G4710" s="41" t="n">
        <v>140.08</v>
      </c>
      <c r="H4710" s="39" t="n">
        <v>45901</v>
      </c>
      <c r="I4710" s="7" t="s">
        <v>14651</v>
      </c>
      <c r="J4710" s="8" t="str">
        <f aca="false">IF(I4710="Open",DATE(2025,12,31)-F4710,"-")</f>
        <v>-</v>
      </c>
    </row>
    <row r="4711" customFormat="false" ht="15" hidden="false" customHeight="false" outlineLevel="0" collapsed="false">
      <c r="B4711" s="7" t="s">
        <v>19356</v>
      </c>
      <c r="C4711" s="7" t="s">
        <v>5208</v>
      </c>
      <c r="D4711" s="7" t="s">
        <v>288</v>
      </c>
      <c r="E4711" s="7" t="s">
        <v>156</v>
      </c>
      <c r="F4711" s="39" t="n">
        <v>45886</v>
      </c>
      <c r="G4711" s="41" t="n">
        <v>140.42</v>
      </c>
      <c r="H4711" s="39" t="n">
        <v>45900</v>
      </c>
      <c r="I4711" s="7" t="s">
        <v>14651</v>
      </c>
      <c r="J4711" s="8" t="str">
        <f aca="false">IF(I4711="Open",DATE(2025,12,31)-F4711,"-")</f>
        <v>-</v>
      </c>
    </row>
    <row r="4712" customFormat="false" ht="15" hidden="false" customHeight="false" outlineLevel="0" collapsed="false">
      <c r="B4712" s="7" t="s">
        <v>19357</v>
      </c>
      <c r="C4712" s="7" t="s">
        <v>5209</v>
      </c>
      <c r="D4712" s="7" t="s">
        <v>321</v>
      </c>
      <c r="E4712" s="7" t="s">
        <v>154</v>
      </c>
      <c r="F4712" s="39" t="n">
        <v>45886</v>
      </c>
      <c r="G4712" s="41" t="n">
        <v>116.07</v>
      </c>
      <c r="H4712" s="39" t="n">
        <v>45936</v>
      </c>
      <c r="I4712" s="7" t="s">
        <v>14651</v>
      </c>
      <c r="J4712" s="8" t="str">
        <f aca="false">IF(I4712="Open",DATE(2025,12,31)-F4712,"-")</f>
        <v>-</v>
      </c>
    </row>
    <row r="4713" customFormat="false" ht="15" hidden="false" customHeight="false" outlineLevel="0" collapsed="false">
      <c r="B4713" s="7" t="s">
        <v>19358</v>
      </c>
      <c r="C4713" s="7" t="s">
        <v>5210</v>
      </c>
      <c r="D4713" s="7" t="s">
        <v>359</v>
      </c>
      <c r="E4713" s="7" t="s">
        <v>156</v>
      </c>
      <c r="F4713" s="39" t="n">
        <v>45886</v>
      </c>
      <c r="G4713" s="41" t="n">
        <v>148.58</v>
      </c>
      <c r="H4713" s="39" t="n">
        <v>45897</v>
      </c>
      <c r="I4713" s="7" t="s">
        <v>14651</v>
      </c>
      <c r="J4713" s="8" t="str">
        <f aca="false">IF(I4713="Open",DATE(2025,12,31)-F4713,"-")</f>
        <v>-</v>
      </c>
    </row>
    <row r="4714" customFormat="false" ht="15" hidden="false" customHeight="false" outlineLevel="0" collapsed="false">
      <c r="B4714" s="7" t="s">
        <v>19359</v>
      </c>
      <c r="C4714" s="7" t="s">
        <v>5211</v>
      </c>
      <c r="D4714" s="7" t="s">
        <v>387</v>
      </c>
      <c r="E4714" s="7" t="s">
        <v>154</v>
      </c>
      <c r="F4714" s="39" t="n">
        <v>45886</v>
      </c>
      <c r="G4714" s="41" t="n">
        <v>114.48</v>
      </c>
      <c r="H4714" s="39" t="n">
        <v>45923</v>
      </c>
      <c r="I4714" s="7" t="s">
        <v>14651</v>
      </c>
      <c r="J4714" s="8" t="str">
        <f aca="false">IF(I4714="Open",DATE(2025,12,31)-F4714,"-")</f>
        <v>-</v>
      </c>
    </row>
    <row r="4715" customFormat="false" ht="15" hidden="false" customHeight="false" outlineLevel="0" collapsed="false">
      <c r="B4715" s="7" t="s">
        <v>19360</v>
      </c>
      <c r="C4715" s="7" t="s">
        <v>5212</v>
      </c>
      <c r="D4715" s="7" t="s">
        <v>391</v>
      </c>
      <c r="E4715" s="7" t="s">
        <v>156</v>
      </c>
      <c r="F4715" s="39" t="n">
        <v>45886</v>
      </c>
      <c r="G4715" s="41" t="n">
        <v>123.08</v>
      </c>
      <c r="H4715" s="39" t="n">
        <v>45893</v>
      </c>
      <c r="I4715" s="7" t="s">
        <v>14651</v>
      </c>
      <c r="J4715" s="8" t="str">
        <f aca="false">IF(I4715="Open",DATE(2025,12,31)-F4715,"-")</f>
        <v>-</v>
      </c>
    </row>
    <row r="4716" customFormat="false" ht="15" hidden="false" customHeight="false" outlineLevel="0" collapsed="false">
      <c r="B4716" s="7" t="s">
        <v>19361</v>
      </c>
      <c r="C4716" s="7" t="s">
        <v>5213</v>
      </c>
      <c r="D4716" s="7" t="s">
        <v>395</v>
      </c>
      <c r="E4716" s="7" t="s">
        <v>156</v>
      </c>
      <c r="F4716" s="39" t="n">
        <v>45886</v>
      </c>
      <c r="G4716" s="41" t="n">
        <v>133.28</v>
      </c>
      <c r="H4716" s="39" t="n">
        <v>45903</v>
      </c>
      <c r="I4716" s="7" t="s">
        <v>14651</v>
      </c>
      <c r="J4716" s="8" t="str">
        <f aca="false">IF(I4716="Open",DATE(2025,12,31)-F4716,"-")</f>
        <v>-</v>
      </c>
    </row>
    <row r="4717" customFormat="false" ht="15" hidden="false" customHeight="false" outlineLevel="0" collapsed="false">
      <c r="B4717" s="7" t="s">
        <v>19362</v>
      </c>
      <c r="C4717" s="7" t="s">
        <v>5214</v>
      </c>
      <c r="D4717" s="7" t="s">
        <v>401</v>
      </c>
      <c r="E4717" s="7" t="s">
        <v>156</v>
      </c>
      <c r="F4717" s="39" t="n">
        <v>45886</v>
      </c>
      <c r="G4717" s="41" t="n">
        <v>126.48</v>
      </c>
      <c r="H4717" s="39" t="n">
        <v>45905</v>
      </c>
      <c r="I4717" s="7" t="s">
        <v>14651</v>
      </c>
      <c r="J4717" s="8" t="str">
        <f aca="false">IF(I4717="Open",DATE(2025,12,31)-F4717,"-")</f>
        <v>-</v>
      </c>
    </row>
    <row r="4718" customFormat="false" ht="15" hidden="false" customHeight="false" outlineLevel="0" collapsed="false">
      <c r="B4718" s="7" t="s">
        <v>19363</v>
      </c>
      <c r="C4718" s="7" t="s">
        <v>5215</v>
      </c>
      <c r="D4718" s="7" t="s">
        <v>280</v>
      </c>
      <c r="E4718" s="7" t="s">
        <v>157</v>
      </c>
      <c r="F4718" s="39" t="n">
        <v>45887</v>
      </c>
      <c r="G4718" s="41" t="n">
        <v>166.65</v>
      </c>
      <c r="H4718" s="39" t="n">
        <v>45981</v>
      </c>
      <c r="I4718" s="7" t="s">
        <v>14651</v>
      </c>
      <c r="J4718" s="8" t="str">
        <f aca="false">IF(I4718="Open",DATE(2025,12,31)-F4718,"-")</f>
        <v>-</v>
      </c>
    </row>
    <row r="4719" customFormat="false" ht="15" hidden="false" customHeight="false" outlineLevel="0" collapsed="false">
      <c r="B4719" s="7" t="s">
        <v>19364</v>
      </c>
      <c r="C4719" s="7" t="s">
        <v>5216</v>
      </c>
      <c r="D4719" s="7" t="s">
        <v>288</v>
      </c>
      <c r="E4719" s="7" t="s">
        <v>156</v>
      </c>
      <c r="F4719" s="39" t="n">
        <v>45887</v>
      </c>
      <c r="G4719" s="41" t="n">
        <v>139.4</v>
      </c>
      <c r="H4719" s="39" t="n">
        <v>45897</v>
      </c>
      <c r="I4719" s="7" t="s">
        <v>14651</v>
      </c>
      <c r="J4719" s="8" t="str">
        <f aca="false">IF(I4719="Open",DATE(2025,12,31)-F4719,"-")</f>
        <v>-</v>
      </c>
    </row>
    <row r="4720" customFormat="false" ht="15" hidden="false" customHeight="false" outlineLevel="0" collapsed="false">
      <c r="B4720" s="7" t="s">
        <v>19365</v>
      </c>
      <c r="C4720" s="7" t="s">
        <v>5217</v>
      </c>
      <c r="D4720" s="7" t="s">
        <v>291</v>
      </c>
      <c r="E4720" s="7" t="s">
        <v>154</v>
      </c>
      <c r="F4720" s="39" t="n">
        <v>45887</v>
      </c>
      <c r="G4720" s="41" t="n">
        <v>123.23</v>
      </c>
      <c r="H4720" s="39" t="n">
        <v>45934</v>
      </c>
      <c r="I4720" s="7" t="s">
        <v>14651</v>
      </c>
      <c r="J4720" s="8" t="str">
        <f aca="false">IF(I4720="Open",DATE(2025,12,31)-F4720,"-")</f>
        <v>-</v>
      </c>
    </row>
    <row r="4721" customFormat="false" ht="15" hidden="false" customHeight="false" outlineLevel="0" collapsed="false">
      <c r="B4721" s="7" t="s">
        <v>19366</v>
      </c>
      <c r="C4721" s="7" t="s">
        <v>5218</v>
      </c>
      <c r="D4721" s="7" t="s">
        <v>295</v>
      </c>
      <c r="E4721" s="7" t="s">
        <v>154</v>
      </c>
      <c r="F4721" s="39" t="n">
        <v>45887</v>
      </c>
      <c r="G4721" s="41" t="n">
        <v>109.98</v>
      </c>
      <c r="H4721" s="39" t="n">
        <v>45952</v>
      </c>
      <c r="I4721" s="7" t="s">
        <v>14651</v>
      </c>
      <c r="J4721" s="8" t="str">
        <f aca="false">IF(I4721="Open",DATE(2025,12,31)-F4721,"-")</f>
        <v>-</v>
      </c>
    </row>
    <row r="4722" customFormat="false" ht="15" hidden="false" customHeight="false" outlineLevel="0" collapsed="false">
      <c r="B4722" s="7" t="s">
        <v>19367</v>
      </c>
      <c r="C4722" s="7" t="s">
        <v>5219</v>
      </c>
      <c r="D4722" s="7" t="s">
        <v>297</v>
      </c>
      <c r="E4722" s="7" t="s">
        <v>156</v>
      </c>
      <c r="F4722" s="39" t="n">
        <v>45887</v>
      </c>
      <c r="G4722" s="41" t="n">
        <v>102.68</v>
      </c>
      <c r="H4722" s="39" t="n">
        <v>45909</v>
      </c>
      <c r="I4722" s="7" t="s">
        <v>14651</v>
      </c>
      <c r="J4722" s="8" t="str">
        <f aca="false">IF(I4722="Open",DATE(2025,12,31)-F4722,"-")</f>
        <v>-</v>
      </c>
    </row>
    <row r="4723" customFormat="false" ht="15" hidden="false" customHeight="false" outlineLevel="0" collapsed="false">
      <c r="B4723" s="7" t="s">
        <v>19368</v>
      </c>
      <c r="C4723" s="7" t="s">
        <v>5220</v>
      </c>
      <c r="D4723" s="7" t="s">
        <v>305</v>
      </c>
      <c r="E4723" s="7" t="s">
        <v>154</v>
      </c>
      <c r="F4723" s="39" t="n">
        <v>45887</v>
      </c>
      <c r="G4723" s="41" t="n">
        <v>111.3</v>
      </c>
      <c r="H4723" s="39" t="n">
        <v>45994</v>
      </c>
      <c r="I4723" s="7" t="s">
        <v>14651</v>
      </c>
      <c r="J4723" s="8" t="str">
        <f aca="false">IF(I4723="Open",DATE(2025,12,31)-F4723,"-")</f>
        <v>-</v>
      </c>
    </row>
    <row r="4724" customFormat="false" ht="15" hidden="false" customHeight="false" outlineLevel="0" collapsed="false">
      <c r="B4724" s="7" t="s">
        <v>19369</v>
      </c>
      <c r="C4724" s="7" t="s">
        <v>5221</v>
      </c>
      <c r="D4724" s="7" t="s">
        <v>307</v>
      </c>
      <c r="E4724" s="7" t="s">
        <v>157</v>
      </c>
      <c r="F4724" s="39" t="n">
        <v>45887</v>
      </c>
      <c r="G4724" s="41" t="n">
        <v>156.75</v>
      </c>
      <c r="H4724" s="39" t="n">
        <v>45910</v>
      </c>
      <c r="I4724" s="7" t="s">
        <v>14651</v>
      </c>
      <c r="J4724" s="8" t="str">
        <f aca="false">IF(I4724="Open",DATE(2025,12,31)-F4724,"-")</f>
        <v>-</v>
      </c>
    </row>
    <row r="4725" customFormat="false" ht="15" hidden="false" customHeight="false" outlineLevel="0" collapsed="false">
      <c r="B4725" s="7" t="s">
        <v>19370</v>
      </c>
      <c r="C4725" s="7" t="s">
        <v>5222</v>
      </c>
      <c r="D4725" s="7" t="s">
        <v>309</v>
      </c>
      <c r="E4725" s="7" t="s">
        <v>159</v>
      </c>
      <c r="F4725" s="39" t="n">
        <v>45887</v>
      </c>
      <c r="G4725" s="41" t="n">
        <v>143.1</v>
      </c>
      <c r="H4725" s="39" t="n">
        <v>45989</v>
      </c>
      <c r="I4725" s="7" t="s">
        <v>14651</v>
      </c>
      <c r="J4725" s="8" t="str">
        <f aca="false">IF(I4725="Open",DATE(2025,12,31)-F4725,"-")</f>
        <v>-</v>
      </c>
    </row>
    <row r="4726" customFormat="false" ht="15" hidden="false" customHeight="false" outlineLevel="0" collapsed="false">
      <c r="B4726" s="7" t="s">
        <v>19371</v>
      </c>
      <c r="C4726" s="7" t="s">
        <v>5223</v>
      </c>
      <c r="D4726" s="7" t="s">
        <v>311</v>
      </c>
      <c r="E4726" s="7" t="s">
        <v>154</v>
      </c>
      <c r="F4726" s="39" t="n">
        <v>45887</v>
      </c>
      <c r="G4726" s="41" t="n">
        <v>79.18</v>
      </c>
      <c r="H4726" s="39" t="n">
        <v>45922</v>
      </c>
      <c r="I4726" s="7" t="s">
        <v>14651</v>
      </c>
      <c r="J4726" s="8" t="str">
        <f aca="false">IF(I4726="Open",DATE(2025,12,31)-F4726,"-")</f>
        <v>-</v>
      </c>
    </row>
    <row r="4727" customFormat="false" ht="15" hidden="false" customHeight="false" outlineLevel="0" collapsed="false">
      <c r="B4727" s="7" t="s">
        <v>19372</v>
      </c>
      <c r="C4727" s="7" t="s">
        <v>5224</v>
      </c>
      <c r="D4727" s="7" t="s">
        <v>313</v>
      </c>
      <c r="E4727" s="7" t="s">
        <v>156</v>
      </c>
      <c r="F4727" s="39" t="n">
        <v>45887</v>
      </c>
      <c r="G4727" s="41" t="n">
        <v>148.58</v>
      </c>
      <c r="H4727" s="39" t="n">
        <v>45900</v>
      </c>
      <c r="I4727" s="7" t="s">
        <v>14651</v>
      </c>
      <c r="J4727" s="8" t="str">
        <f aca="false">IF(I4727="Open",DATE(2025,12,31)-F4727,"-")</f>
        <v>-</v>
      </c>
    </row>
    <row r="4728" customFormat="false" ht="15" hidden="false" customHeight="false" outlineLevel="0" collapsed="false">
      <c r="B4728" s="7" t="s">
        <v>19373</v>
      </c>
      <c r="C4728" s="7" t="s">
        <v>5225</v>
      </c>
      <c r="D4728" s="7" t="s">
        <v>315</v>
      </c>
      <c r="E4728" s="7" t="s">
        <v>159</v>
      </c>
      <c r="F4728" s="39" t="n">
        <v>45887</v>
      </c>
      <c r="G4728" s="41" t="n">
        <v>121.5</v>
      </c>
      <c r="H4728" s="39" t="n">
        <v>45978</v>
      </c>
      <c r="I4728" s="7" t="s">
        <v>14651</v>
      </c>
      <c r="J4728" s="8" t="str">
        <f aca="false">IF(I4728="Open",DATE(2025,12,31)-F4728,"-")</f>
        <v>-</v>
      </c>
    </row>
    <row r="4729" customFormat="false" ht="15" hidden="false" customHeight="false" outlineLevel="0" collapsed="false">
      <c r="B4729" s="7" t="s">
        <v>19374</v>
      </c>
      <c r="C4729" s="7" t="s">
        <v>5226</v>
      </c>
      <c r="D4729" s="7" t="s">
        <v>317</v>
      </c>
      <c r="E4729" s="7" t="s">
        <v>156</v>
      </c>
      <c r="F4729" s="39" t="n">
        <v>45887</v>
      </c>
      <c r="G4729" s="41" t="n">
        <v>99.62</v>
      </c>
      <c r="H4729" s="39" t="n">
        <v>45896</v>
      </c>
      <c r="I4729" s="7" t="s">
        <v>14651</v>
      </c>
      <c r="J4729" s="8" t="str">
        <f aca="false">IF(I4729="Open",DATE(2025,12,31)-F4729,"-")</f>
        <v>-</v>
      </c>
    </row>
    <row r="4730" customFormat="false" ht="15" hidden="false" customHeight="false" outlineLevel="0" collapsed="false">
      <c r="B4730" s="7" t="s">
        <v>19375</v>
      </c>
      <c r="C4730" s="7" t="s">
        <v>5227</v>
      </c>
      <c r="D4730" s="7" t="s">
        <v>321</v>
      </c>
      <c r="E4730" s="7" t="s">
        <v>154</v>
      </c>
      <c r="F4730" s="39" t="n">
        <v>45887</v>
      </c>
      <c r="G4730" s="41" t="n">
        <v>96.46</v>
      </c>
      <c r="H4730" s="39" t="n">
        <v>45966</v>
      </c>
      <c r="I4730" s="7" t="s">
        <v>14651</v>
      </c>
      <c r="J4730" s="8" t="str">
        <f aca="false">IF(I4730="Open",DATE(2025,12,31)-F4730,"-")</f>
        <v>-</v>
      </c>
    </row>
    <row r="4731" customFormat="false" ht="15" hidden="false" customHeight="false" outlineLevel="0" collapsed="false">
      <c r="B4731" s="7" t="s">
        <v>19376</v>
      </c>
      <c r="C4731" s="7" t="s">
        <v>5228</v>
      </c>
      <c r="D4731" s="7" t="s">
        <v>325</v>
      </c>
      <c r="E4731" s="7" t="s">
        <v>154</v>
      </c>
      <c r="F4731" s="39" t="n">
        <v>45887</v>
      </c>
      <c r="G4731" s="41" t="n">
        <v>79.5</v>
      </c>
      <c r="H4731" s="39" t="n">
        <v>45925</v>
      </c>
      <c r="I4731" s="7" t="s">
        <v>14651</v>
      </c>
      <c r="J4731" s="8" t="str">
        <f aca="false">IF(I4731="Open",DATE(2025,12,31)-F4731,"-")</f>
        <v>-</v>
      </c>
    </row>
    <row r="4732" customFormat="false" ht="15" hidden="false" customHeight="false" outlineLevel="0" collapsed="false">
      <c r="B4732" s="7" t="s">
        <v>19377</v>
      </c>
      <c r="C4732" s="7" t="s">
        <v>5229</v>
      </c>
      <c r="D4732" s="7" t="s">
        <v>329</v>
      </c>
      <c r="E4732" s="7" t="s">
        <v>156</v>
      </c>
      <c r="F4732" s="39" t="n">
        <v>45887</v>
      </c>
      <c r="G4732" s="41" t="n">
        <v>131.58</v>
      </c>
      <c r="H4732" s="39" t="n">
        <v>45888</v>
      </c>
      <c r="I4732" s="7" t="s">
        <v>14651</v>
      </c>
      <c r="J4732" s="8" t="str">
        <f aca="false">IF(I4732="Open",DATE(2025,12,31)-F4732,"-")</f>
        <v>-</v>
      </c>
    </row>
    <row r="4733" customFormat="false" ht="15" hidden="false" customHeight="false" outlineLevel="0" collapsed="false">
      <c r="B4733" s="7" t="s">
        <v>19378</v>
      </c>
      <c r="C4733" s="7" t="s">
        <v>5230</v>
      </c>
      <c r="D4733" s="7" t="s">
        <v>331</v>
      </c>
      <c r="E4733" s="7" t="s">
        <v>156</v>
      </c>
      <c r="F4733" s="39" t="n">
        <v>45887</v>
      </c>
      <c r="G4733" s="41" t="n">
        <v>123.76</v>
      </c>
      <c r="H4733" s="39" t="n">
        <v>45897</v>
      </c>
      <c r="I4733" s="7" t="s">
        <v>14651</v>
      </c>
      <c r="J4733" s="8" t="str">
        <f aca="false">IF(I4733="Open",DATE(2025,12,31)-F4733,"-")</f>
        <v>-</v>
      </c>
    </row>
    <row r="4734" customFormat="false" ht="15" hidden="false" customHeight="false" outlineLevel="0" collapsed="false">
      <c r="B4734" s="7" t="s">
        <v>19379</v>
      </c>
      <c r="C4734" s="7" t="s">
        <v>5231</v>
      </c>
      <c r="D4734" s="7" t="s">
        <v>335</v>
      </c>
      <c r="E4734" s="7" t="s">
        <v>154</v>
      </c>
      <c r="F4734" s="39" t="n">
        <v>45887</v>
      </c>
      <c r="G4734" s="41" t="n">
        <v>108.38</v>
      </c>
      <c r="H4734" s="39" t="n">
        <v>45934</v>
      </c>
      <c r="I4734" s="7" t="s">
        <v>14651</v>
      </c>
      <c r="J4734" s="8" t="str">
        <f aca="false">IF(I4734="Open",DATE(2025,12,31)-F4734,"-")</f>
        <v>-</v>
      </c>
    </row>
    <row r="4735" customFormat="false" ht="15" hidden="false" customHeight="false" outlineLevel="0" collapsed="false">
      <c r="B4735" s="7" t="s">
        <v>19380</v>
      </c>
      <c r="C4735" s="7" t="s">
        <v>5232</v>
      </c>
      <c r="D4735" s="7" t="s">
        <v>337</v>
      </c>
      <c r="E4735" s="7" t="s">
        <v>154</v>
      </c>
      <c r="F4735" s="39" t="n">
        <v>45887</v>
      </c>
      <c r="G4735" s="41" t="n">
        <v>81.09</v>
      </c>
      <c r="H4735" s="39" t="n">
        <v>45994</v>
      </c>
      <c r="I4735" s="7" t="s">
        <v>14651</v>
      </c>
      <c r="J4735" s="8" t="str">
        <f aca="false">IF(I4735="Open",DATE(2025,12,31)-F4735,"-")</f>
        <v>-</v>
      </c>
    </row>
    <row r="4736" customFormat="false" ht="15" hidden="false" customHeight="false" outlineLevel="0" collapsed="false">
      <c r="B4736" s="7" t="s">
        <v>19381</v>
      </c>
      <c r="C4736" s="7" t="s">
        <v>5233</v>
      </c>
      <c r="D4736" s="7" t="s">
        <v>339</v>
      </c>
      <c r="E4736" s="7" t="s">
        <v>154</v>
      </c>
      <c r="F4736" s="39" t="n">
        <v>45887</v>
      </c>
      <c r="G4736" s="41" t="n">
        <v>87.45</v>
      </c>
      <c r="H4736" s="39" t="n">
        <v>45927</v>
      </c>
      <c r="I4736" s="7" t="s">
        <v>14651</v>
      </c>
      <c r="J4736" s="8" t="str">
        <f aca="false">IF(I4736="Open",DATE(2025,12,31)-F4736,"-")</f>
        <v>-</v>
      </c>
    </row>
    <row r="4737" customFormat="false" ht="15" hidden="false" customHeight="false" outlineLevel="0" collapsed="false">
      <c r="B4737" s="7" t="s">
        <v>19382</v>
      </c>
      <c r="C4737" s="7" t="s">
        <v>5234</v>
      </c>
      <c r="D4737" s="7" t="s">
        <v>341</v>
      </c>
      <c r="E4737" s="7" t="s">
        <v>156</v>
      </c>
      <c r="F4737" s="39" t="n">
        <v>45887</v>
      </c>
      <c r="G4737" s="41" t="n">
        <v>102.34</v>
      </c>
      <c r="H4737" s="39" t="n">
        <v>45903</v>
      </c>
      <c r="I4737" s="7" t="s">
        <v>14651</v>
      </c>
      <c r="J4737" s="8" t="str">
        <f aca="false">IF(I4737="Open",DATE(2025,12,31)-F4737,"-")</f>
        <v>-</v>
      </c>
    </row>
    <row r="4738" customFormat="false" ht="15" hidden="false" customHeight="false" outlineLevel="0" collapsed="false">
      <c r="B4738" s="7" t="s">
        <v>19383</v>
      </c>
      <c r="C4738" s="7" t="s">
        <v>5235</v>
      </c>
      <c r="D4738" s="7" t="s">
        <v>343</v>
      </c>
      <c r="E4738" s="7" t="s">
        <v>154</v>
      </c>
      <c r="F4738" s="39" t="n">
        <v>45887</v>
      </c>
      <c r="G4738" s="41" t="n">
        <v>108.92</v>
      </c>
      <c r="H4738" s="39" t="n">
        <v>45973</v>
      </c>
      <c r="I4738" s="7" t="s">
        <v>14651</v>
      </c>
      <c r="J4738" s="8" t="str">
        <f aca="false">IF(I4738="Open",DATE(2025,12,31)-F4738,"-")</f>
        <v>-</v>
      </c>
    </row>
    <row r="4739" customFormat="false" ht="15" hidden="false" customHeight="false" outlineLevel="0" collapsed="false">
      <c r="B4739" s="7" t="s">
        <v>19384</v>
      </c>
      <c r="C4739" s="7" t="s">
        <v>5236</v>
      </c>
      <c r="D4739" s="7" t="s">
        <v>347</v>
      </c>
      <c r="E4739" s="7" t="s">
        <v>154</v>
      </c>
      <c r="F4739" s="39" t="n">
        <v>45887</v>
      </c>
      <c r="G4739" s="41" t="n">
        <v>113.37</v>
      </c>
      <c r="H4739" s="39" t="n">
        <v>45916</v>
      </c>
      <c r="I4739" s="7" t="s">
        <v>14651</v>
      </c>
      <c r="J4739" s="8" t="str">
        <f aca="false">IF(I4739="Open",DATE(2025,12,31)-F4739,"-")</f>
        <v>-</v>
      </c>
    </row>
    <row r="4740" customFormat="false" ht="15" hidden="false" customHeight="false" outlineLevel="0" collapsed="false">
      <c r="B4740" s="7" t="s">
        <v>19385</v>
      </c>
      <c r="C4740" s="7" t="s">
        <v>5237</v>
      </c>
      <c r="D4740" s="7" t="s">
        <v>351</v>
      </c>
      <c r="E4740" s="7" t="s">
        <v>154</v>
      </c>
      <c r="F4740" s="39" t="n">
        <v>45887</v>
      </c>
      <c r="G4740" s="41" t="n">
        <v>79.5</v>
      </c>
      <c r="H4740" s="39" t="n">
        <v>45944</v>
      </c>
      <c r="I4740" s="7" t="s">
        <v>14651</v>
      </c>
      <c r="J4740" s="8" t="str">
        <f aca="false">IF(I4740="Open",DATE(2025,12,31)-F4740,"-")</f>
        <v>-</v>
      </c>
    </row>
    <row r="4741" customFormat="false" ht="15" hidden="false" customHeight="false" outlineLevel="0" collapsed="false">
      <c r="B4741" s="7" t="s">
        <v>19386</v>
      </c>
      <c r="C4741" s="7" t="s">
        <v>5238</v>
      </c>
      <c r="D4741" s="7" t="s">
        <v>353</v>
      </c>
      <c r="E4741" s="7" t="s">
        <v>154</v>
      </c>
      <c r="F4741" s="39" t="n">
        <v>45887</v>
      </c>
      <c r="G4741" s="41" t="n">
        <v>82.41</v>
      </c>
      <c r="H4741" s="39" t="n">
        <v>45935</v>
      </c>
      <c r="I4741" s="7" t="s">
        <v>14651</v>
      </c>
      <c r="J4741" s="8" t="str">
        <f aca="false">IF(I4741="Open",DATE(2025,12,31)-F4741,"-")</f>
        <v>-</v>
      </c>
    </row>
    <row r="4742" customFormat="false" ht="15" hidden="false" customHeight="false" outlineLevel="0" collapsed="false">
      <c r="B4742" s="7" t="s">
        <v>19387</v>
      </c>
      <c r="C4742" s="7" t="s">
        <v>5239</v>
      </c>
      <c r="D4742" s="7" t="s">
        <v>355</v>
      </c>
      <c r="E4742" s="7" t="s">
        <v>154</v>
      </c>
      <c r="F4742" s="39" t="n">
        <v>45887</v>
      </c>
      <c r="G4742" s="41" t="n">
        <v>81.88</v>
      </c>
      <c r="H4742" s="39" t="n">
        <v>45994</v>
      </c>
      <c r="I4742" s="7" t="s">
        <v>14651</v>
      </c>
      <c r="J4742" s="8" t="str">
        <f aca="false">IF(I4742="Open",DATE(2025,12,31)-F4742,"-")</f>
        <v>-</v>
      </c>
    </row>
    <row r="4743" customFormat="false" ht="15" hidden="false" customHeight="false" outlineLevel="0" collapsed="false">
      <c r="B4743" s="7" t="s">
        <v>19388</v>
      </c>
      <c r="C4743" s="7" t="s">
        <v>5240</v>
      </c>
      <c r="D4743" s="7" t="s">
        <v>357</v>
      </c>
      <c r="E4743" s="7" t="s">
        <v>154</v>
      </c>
      <c r="F4743" s="39" t="n">
        <v>45887</v>
      </c>
      <c r="G4743" s="41" t="n">
        <v>91.43</v>
      </c>
      <c r="H4743" s="39" t="n">
        <v>45926</v>
      </c>
      <c r="I4743" s="7" t="s">
        <v>14651</v>
      </c>
      <c r="J4743" s="8" t="str">
        <f aca="false">IF(I4743="Open",DATE(2025,12,31)-F4743,"-")</f>
        <v>-</v>
      </c>
    </row>
    <row r="4744" customFormat="false" ht="15" hidden="false" customHeight="false" outlineLevel="0" collapsed="false">
      <c r="B4744" s="7" t="s">
        <v>19389</v>
      </c>
      <c r="C4744" s="7" t="s">
        <v>5241</v>
      </c>
      <c r="D4744" s="7" t="s">
        <v>359</v>
      </c>
      <c r="E4744" s="7" t="s">
        <v>156</v>
      </c>
      <c r="F4744" s="39" t="n">
        <v>45887</v>
      </c>
      <c r="G4744" s="41" t="n">
        <v>137.36</v>
      </c>
      <c r="H4744" s="39" t="n">
        <v>45898</v>
      </c>
      <c r="I4744" s="7" t="s">
        <v>14651</v>
      </c>
      <c r="J4744" s="8" t="str">
        <f aca="false">IF(I4744="Open",DATE(2025,12,31)-F4744,"-")</f>
        <v>-</v>
      </c>
    </row>
    <row r="4745" customFormat="false" ht="15" hidden="false" customHeight="false" outlineLevel="0" collapsed="false">
      <c r="B4745" s="7" t="s">
        <v>19390</v>
      </c>
      <c r="C4745" s="7" t="s">
        <v>5242</v>
      </c>
      <c r="D4745" s="7" t="s">
        <v>363</v>
      </c>
      <c r="E4745" s="7" t="s">
        <v>156</v>
      </c>
      <c r="F4745" s="39" t="n">
        <v>45887</v>
      </c>
      <c r="G4745" s="41" t="n">
        <v>144.84</v>
      </c>
      <c r="H4745" s="39" t="n">
        <v>45892</v>
      </c>
      <c r="I4745" s="7" t="s">
        <v>14651</v>
      </c>
      <c r="J4745" s="8" t="str">
        <f aca="false">IF(I4745="Open",DATE(2025,12,31)-F4745,"-")</f>
        <v>-</v>
      </c>
    </row>
    <row r="4746" customFormat="false" ht="15" hidden="false" customHeight="false" outlineLevel="0" collapsed="false">
      <c r="B4746" s="7" t="s">
        <v>19391</v>
      </c>
      <c r="C4746" s="7" t="s">
        <v>5243</v>
      </c>
      <c r="D4746" s="7" t="s">
        <v>365</v>
      </c>
      <c r="E4746" s="7" t="s">
        <v>154</v>
      </c>
      <c r="F4746" s="39" t="n">
        <v>45887</v>
      </c>
      <c r="G4746" s="41" t="n">
        <v>116.33</v>
      </c>
      <c r="H4746" s="39" t="n">
        <v>46008</v>
      </c>
      <c r="I4746" s="7" t="s">
        <v>14651</v>
      </c>
      <c r="J4746" s="8" t="str">
        <f aca="false">IF(I4746="Open",DATE(2025,12,31)-F4746,"-")</f>
        <v>-</v>
      </c>
    </row>
    <row r="4747" customFormat="false" ht="15" hidden="false" customHeight="false" outlineLevel="0" collapsed="false">
      <c r="B4747" s="7" t="s">
        <v>19392</v>
      </c>
      <c r="C4747" s="7" t="s">
        <v>5244</v>
      </c>
      <c r="D4747" s="7" t="s">
        <v>371</v>
      </c>
      <c r="E4747" s="7" t="s">
        <v>154</v>
      </c>
      <c r="F4747" s="39" t="n">
        <v>45887</v>
      </c>
      <c r="G4747" s="41" t="n">
        <v>109.5</v>
      </c>
      <c r="H4747" s="39" t="n">
        <v>45956</v>
      </c>
      <c r="I4747" s="7" t="s">
        <v>14651</v>
      </c>
      <c r="J4747" s="8" t="str">
        <f aca="false">IF(I4747="Open",DATE(2025,12,31)-F4747,"-")</f>
        <v>-</v>
      </c>
    </row>
    <row r="4748" customFormat="false" ht="15" hidden="false" customHeight="false" outlineLevel="0" collapsed="false">
      <c r="B4748" s="7" t="s">
        <v>19393</v>
      </c>
      <c r="C4748" s="7" t="s">
        <v>5245</v>
      </c>
      <c r="D4748" s="7" t="s">
        <v>375</v>
      </c>
      <c r="E4748" s="7" t="s">
        <v>156</v>
      </c>
      <c r="F4748" s="39" t="n">
        <v>45887</v>
      </c>
      <c r="G4748" s="41" t="n">
        <v>110.84</v>
      </c>
      <c r="H4748" s="39" t="n">
        <v>45899</v>
      </c>
      <c r="I4748" s="7" t="s">
        <v>14651</v>
      </c>
      <c r="J4748" s="8" t="str">
        <f aca="false">IF(I4748="Open",DATE(2025,12,31)-F4748,"-")</f>
        <v>-</v>
      </c>
    </row>
    <row r="4749" customFormat="false" ht="15" hidden="false" customHeight="false" outlineLevel="0" collapsed="false">
      <c r="B4749" s="7" t="s">
        <v>19394</v>
      </c>
      <c r="C4749" s="7" t="s">
        <v>5246</v>
      </c>
      <c r="D4749" s="7" t="s">
        <v>377</v>
      </c>
      <c r="E4749" s="7" t="s">
        <v>154</v>
      </c>
      <c r="F4749" s="39" t="n">
        <v>45887</v>
      </c>
      <c r="G4749" s="41" t="n">
        <v>116.07</v>
      </c>
      <c r="H4749" s="39" t="n">
        <v>46004</v>
      </c>
      <c r="I4749" s="7" t="s">
        <v>14651</v>
      </c>
      <c r="J4749" s="8" t="str">
        <f aca="false">IF(I4749="Open",DATE(2025,12,31)-F4749,"-")</f>
        <v>-</v>
      </c>
    </row>
    <row r="4750" customFormat="false" ht="15" hidden="false" customHeight="false" outlineLevel="0" collapsed="false">
      <c r="B4750" s="7" t="s">
        <v>19395</v>
      </c>
      <c r="C4750" s="7" t="s">
        <v>5247</v>
      </c>
      <c r="D4750" s="7" t="s">
        <v>379</v>
      </c>
      <c r="E4750" s="7" t="s">
        <v>156</v>
      </c>
      <c r="F4750" s="39" t="n">
        <v>45887</v>
      </c>
      <c r="G4750" s="41" t="n">
        <v>145.52</v>
      </c>
      <c r="H4750" s="39" t="n">
        <v>45908</v>
      </c>
      <c r="I4750" s="7" t="s">
        <v>14651</v>
      </c>
      <c r="J4750" s="8" t="str">
        <f aca="false">IF(I4750="Open",DATE(2025,12,31)-F4750,"-")</f>
        <v>-</v>
      </c>
    </row>
    <row r="4751" customFormat="false" ht="15" hidden="false" customHeight="false" outlineLevel="0" collapsed="false">
      <c r="B4751" s="7" t="s">
        <v>19396</v>
      </c>
      <c r="C4751" s="7" t="s">
        <v>5248</v>
      </c>
      <c r="D4751" s="7" t="s">
        <v>385</v>
      </c>
      <c r="E4751" s="7" t="s">
        <v>156</v>
      </c>
      <c r="F4751" s="39" t="n">
        <v>45887</v>
      </c>
      <c r="G4751" s="41" t="n">
        <v>132.26</v>
      </c>
      <c r="H4751" s="39" t="n">
        <v>45900</v>
      </c>
      <c r="I4751" s="7" t="s">
        <v>14651</v>
      </c>
      <c r="J4751" s="8" t="str">
        <f aca="false">IF(I4751="Open",DATE(2025,12,31)-F4751,"-")</f>
        <v>-</v>
      </c>
    </row>
    <row r="4752" customFormat="false" ht="15" hidden="false" customHeight="false" outlineLevel="0" collapsed="false">
      <c r="B4752" s="7" t="s">
        <v>19397</v>
      </c>
      <c r="C4752" s="7" t="s">
        <v>5249</v>
      </c>
      <c r="D4752" s="7" t="s">
        <v>387</v>
      </c>
      <c r="E4752" s="7" t="s">
        <v>154</v>
      </c>
      <c r="F4752" s="39" t="n">
        <v>45887</v>
      </c>
      <c r="G4752" s="41" t="n">
        <v>114.75</v>
      </c>
      <c r="H4752" s="39" t="n">
        <v>45973</v>
      </c>
      <c r="I4752" s="7" t="s">
        <v>14651</v>
      </c>
      <c r="J4752" s="8" t="str">
        <f aca="false">IF(I4752="Open",DATE(2025,12,31)-F4752,"-")</f>
        <v>-</v>
      </c>
    </row>
    <row r="4753" customFormat="false" ht="15" hidden="false" customHeight="false" outlineLevel="0" collapsed="false">
      <c r="B4753" s="7" t="s">
        <v>19398</v>
      </c>
      <c r="C4753" s="7" t="s">
        <v>5250</v>
      </c>
      <c r="D4753" s="7" t="s">
        <v>389</v>
      </c>
      <c r="E4753" s="7" t="s">
        <v>154</v>
      </c>
      <c r="F4753" s="39" t="n">
        <v>45887</v>
      </c>
      <c r="G4753" s="41" t="n">
        <v>115.01</v>
      </c>
      <c r="H4753" s="39" t="n">
        <v>45917</v>
      </c>
      <c r="I4753" s="7" t="s">
        <v>14651</v>
      </c>
      <c r="J4753" s="8" t="str">
        <f aca="false">IF(I4753="Open",DATE(2025,12,31)-F4753,"-")</f>
        <v>-</v>
      </c>
    </row>
    <row r="4754" customFormat="false" ht="15" hidden="false" customHeight="false" outlineLevel="0" collapsed="false">
      <c r="B4754" s="7" t="s">
        <v>19399</v>
      </c>
      <c r="C4754" s="7" t="s">
        <v>5251</v>
      </c>
      <c r="D4754" s="7" t="s">
        <v>391</v>
      </c>
      <c r="E4754" s="7" t="s">
        <v>156</v>
      </c>
      <c r="F4754" s="39" t="n">
        <v>45887</v>
      </c>
      <c r="G4754" s="41" t="n">
        <v>149.6</v>
      </c>
      <c r="H4754" s="39" t="n">
        <v>45899</v>
      </c>
      <c r="I4754" s="7" t="s">
        <v>14651</v>
      </c>
      <c r="J4754" s="8" t="str">
        <f aca="false">IF(I4754="Open",DATE(2025,12,31)-F4754,"-")</f>
        <v>-</v>
      </c>
    </row>
    <row r="4755" customFormat="false" ht="15" hidden="false" customHeight="false" outlineLevel="0" collapsed="false">
      <c r="B4755" s="7" t="s">
        <v>19400</v>
      </c>
      <c r="C4755" s="7" t="s">
        <v>5252</v>
      </c>
      <c r="D4755" s="7" t="s">
        <v>395</v>
      </c>
      <c r="E4755" s="7" t="s">
        <v>156</v>
      </c>
      <c r="F4755" s="39" t="n">
        <v>45887</v>
      </c>
      <c r="G4755" s="41" t="n">
        <v>124.44</v>
      </c>
      <c r="H4755" s="39" t="n">
        <v>45900</v>
      </c>
      <c r="I4755" s="7" t="s">
        <v>14651</v>
      </c>
      <c r="J4755" s="8" t="str">
        <f aca="false">IF(I4755="Open",DATE(2025,12,31)-F4755,"-")</f>
        <v>-</v>
      </c>
    </row>
    <row r="4756" customFormat="false" ht="15" hidden="false" customHeight="false" outlineLevel="0" collapsed="false">
      <c r="B4756" s="7" t="s">
        <v>19401</v>
      </c>
      <c r="C4756" s="7" t="s">
        <v>5253</v>
      </c>
      <c r="D4756" s="7" t="s">
        <v>399</v>
      </c>
      <c r="E4756" s="7" t="s">
        <v>154</v>
      </c>
      <c r="F4756" s="39" t="n">
        <v>45887</v>
      </c>
      <c r="G4756" s="41" t="n">
        <v>83.47</v>
      </c>
      <c r="H4756" s="39" t="n">
        <v>45938</v>
      </c>
      <c r="I4756" s="7" t="s">
        <v>14651</v>
      </c>
      <c r="J4756" s="8" t="str">
        <f aca="false">IF(I4756="Open",DATE(2025,12,31)-F4756,"-")</f>
        <v>-</v>
      </c>
    </row>
    <row r="4757" customFormat="false" ht="15" hidden="false" customHeight="false" outlineLevel="0" collapsed="false">
      <c r="B4757" s="7" t="s">
        <v>19402</v>
      </c>
      <c r="C4757" s="7" t="s">
        <v>5254</v>
      </c>
      <c r="D4757" s="7" t="s">
        <v>401</v>
      </c>
      <c r="E4757" s="7" t="s">
        <v>156</v>
      </c>
      <c r="F4757" s="39" t="n">
        <v>45887</v>
      </c>
      <c r="G4757" s="41" t="n">
        <v>130.9</v>
      </c>
      <c r="H4757" s="39" t="n">
        <v>45901</v>
      </c>
      <c r="I4757" s="7" t="s">
        <v>14651</v>
      </c>
      <c r="J4757" s="8" t="str">
        <f aca="false">IF(I4757="Open",DATE(2025,12,31)-F4757,"-")</f>
        <v>-</v>
      </c>
    </row>
    <row r="4758" customFormat="false" ht="15" hidden="false" customHeight="false" outlineLevel="0" collapsed="false">
      <c r="B4758" s="7" t="s">
        <v>19403</v>
      </c>
      <c r="C4758" s="7" t="s">
        <v>5255</v>
      </c>
      <c r="D4758" s="7" t="s">
        <v>403</v>
      </c>
      <c r="E4758" s="7" t="s">
        <v>156</v>
      </c>
      <c r="F4758" s="39" t="n">
        <v>45887</v>
      </c>
      <c r="G4758" s="41" t="n">
        <v>148.92</v>
      </c>
      <c r="H4758" s="39" t="n">
        <v>45902</v>
      </c>
      <c r="I4758" s="7" t="s">
        <v>14651</v>
      </c>
      <c r="J4758" s="8" t="str">
        <f aca="false">IF(I4758="Open",DATE(2025,12,31)-F4758,"-")</f>
        <v>-</v>
      </c>
    </row>
    <row r="4759" customFormat="false" ht="15" hidden="false" customHeight="false" outlineLevel="0" collapsed="false">
      <c r="B4759" s="7" t="s">
        <v>19404</v>
      </c>
      <c r="C4759" s="7" t="s">
        <v>5256</v>
      </c>
      <c r="D4759" s="7" t="s">
        <v>409</v>
      </c>
      <c r="E4759" s="7" t="s">
        <v>154</v>
      </c>
      <c r="F4759" s="39" t="n">
        <v>45887</v>
      </c>
      <c r="G4759" s="41" t="n">
        <v>87.45</v>
      </c>
      <c r="H4759" s="39" t="n">
        <v>45948</v>
      </c>
      <c r="I4759" s="7" t="s">
        <v>14651</v>
      </c>
      <c r="J4759" s="8" t="str">
        <f aca="false">IF(I4759="Open",DATE(2025,12,31)-F4759,"-")</f>
        <v>-</v>
      </c>
    </row>
    <row r="4760" customFormat="false" ht="15" hidden="false" customHeight="false" outlineLevel="0" collapsed="false">
      <c r="B4760" s="7" t="s">
        <v>19405</v>
      </c>
      <c r="C4760" s="7" t="s">
        <v>5257</v>
      </c>
      <c r="D4760" s="7" t="s">
        <v>411</v>
      </c>
      <c r="E4760" s="7" t="s">
        <v>154</v>
      </c>
      <c r="F4760" s="39" t="n">
        <v>45887</v>
      </c>
      <c r="G4760" s="41" t="n">
        <v>118.98</v>
      </c>
      <c r="H4760" s="39" t="n">
        <v>45965</v>
      </c>
      <c r="I4760" s="7" t="s">
        <v>14651</v>
      </c>
      <c r="J4760" s="8" t="str">
        <f aca="false">IF(I4760="Open",DATE(2025,12,31)-F4760,"-")</f>
        <v>-</v>
      </c>
    </row>
    <row r="4761" customFormat="false" ht="15" hidden="false" customHeight="false" outlineLevel="0" collapsed="false">
      <c r="B4761" s="7" t="s">
        <v>19406</v>
      </c>
      <c r="C4761" s="7" t="s">
        <v>5258</v>
      </c>
      <c r="D4761" s="7" t="s">
        <v>288</v>
      </c>
      <c r="E4761" s="7" t="s">
        <v>156</v>
      </c>
      <c r="F4761" s="39" t="n">
        <v>45888</v>
      </c>
      <c r="G4761" s="41" t="n">
        <v>126.82</v>
      </c>
      <c r="H4761" s="39" t="n">
        <v>45902</v>
      </c>
      <c r="I4761" s="7" t="s">
        <v>14651</v>
      </c>
      <c r="J4761" s="8" t="str">
        <f aca="false">IF(I4761="Open",DATE(2025,12,31)-F4761,"-")</f>
        <v>-</v>
      </c>
    </row>
    <row r="4762" customFormat="false" ht="15" hidden="false" customHeight="false" outlineLevel="0" collapsed="false">
      <c r="B4762" s="7" t="s">
        <v>19407</v>
      </c>
      <c r="C4762" s="7" t="s">
        <v>5259</v>
      </c>
      <c r="D4762" s="7" t="s">
        <v>301</v>
      </c>
      <c r="E4762" s="7" t="s">
        <v>157</v>
      </c>
      <c r="F4762" s="39" t="n">
        <v>45888</v>
      </c>
      <c r="G4762" s="41" t="n">
        <v>161.7</v>
      </c>
      <c r="H4762" s="39" t="n">
        <v>45927</v>
      </c>
      <c r="I4762" s="7" t="s">
        <v>14651</v>
      </c>
      <c r="J4762" s="8" t="str">
        <f aca="false">IF(I4762="Open",DATE(2025,12,31)-F4762,"-")</f>
        <v>-</v>
      </c>
    </row>
    <row r="4763" customFormat="false" ht="15" hidden="false" customHeight="false" outlineLevel="0" collapsed="false">
      <c r="B4763" s="7" t="s">
        <v>19408</v>
      </c>
      <c r="C4763" s="7" t="s">
        <v>5260</v>
      </c>
      <c r="D4763" s="7" t="s">
        <v>313</v>
      </c>
      <c r="E4763" s="7" t="s">
        <v>156</v>
      </c>
      <c r="F4763" s="39" t="n">
        <v>45888</v>
      </c>
      <c r="G4763" s="41" t="n">
        <v>125.12</v>
      </c>
      <c r="H4763" s="39" t="n">
        <v>45898</v>
      </c>
      <c r="I4763" s="7" t="s">
        <v>14651</v>
      </c>
      <c r="J4763" s="8" t="str">
        <f aca="false">IF(I4763="Open",DATE(2025,12,31)-F4763,"-")</f>
        <v>-</v>
      </c>
    </row>
    <row r="4764" customFormat="false" ht="15" hidden="false" customHeight="false" outlineLevel="0" collapsed="false">
      <c r="B4764" s="7" t="s">
        <v>19409</v>
      </c>
      <c r="C4764" s="7" t="s">
        <v>5261</v>
      </c>
      <c r="D4764" s="7" t="s">
        <v>319</v>
      </c>
      <c r="E4764" s="7" t="s">
        <v>157</v>
      </c>
      <c r="F4764" s="39" t="n">
        <v>45888</v>
      </c>
      <c r="G4764" s="41" t="n">
        <v>156.75</v>
      </c>
      <c r="H4764" s="39" t="n">
        <v>45932</v>
      </c>
      <c r="I4764" s="7" t="s">
        <v>14651</v>
      </c>
      <c r="J4764" s="8" t="str">
        <f aca="false">IF(I4764="Open",DATE(2025,12,31)-F4764,"-")</f>
        <v>-</v>
      </c>
    </row>
    <row r="4765" customFormat="false" ht="15" hidden="false" customHeight="false" outlineLevel="0" collapsed="false">
      <c r="B4765" s="7" t="s">
        <v>19410</v>
      </c>
      <c r="C4765" s="7" t="s">
        <v>5262</v>
      </c>
      <c r="D4765" s="7" t="s">
        <v>321</v>
      </c>
      <c r="E4765" s="7" t="s">
        <v>154</v>
      </c>
      <c r="F4765" s="39" t="n">
        <v>45888</v>
      </c>
      <c r="G4765" s="41" t="n">
        <v>94.6</v>
      </c>
      <c r="H4765" s="39" t="n">
        <v>45946</v>
      </c>
      <c r="I4765" s="7" t="s">
        <v>14651</v>
      </c>
      <c r="J4765" s="8" t="str">
        <f aca="false">IF(I4765="Open",DATE(2025,12,31)-F4765,"-")</f>
        <v>-</v>
      </c>
    </row>
    <row r="4766" customFormat="false" ht="15" hidden="false" customHeight="false" outlineLevel="0" collapsed="false">
      <c r="B4766" s="7" t="s">
        <v>19411</v>
      </c>
      <c r="C4766" s="7" t="s">
        <v>5263</v>
      </c>
      <c r="D4766" s="7" t="s">
        <v>323</v>
      </c>
      <c r="E4766" s="7" t="s">
        <v>159</v>
      </c>
      <c r="F4766" s="39" t="n">
        <v>45888</v>
      </c>
      <c r="G4766" s="41" t="n">
        <v>125.55</v>
      </c>
      <c r="H4766" s="39" t="n">
        <v>45981</v>
      </c>
      <c r="I4766" s="7" t="s">
        <v>14651</v>
      </c>
      <c r="J4766" s="8" t="str">
        <f aca="false">IF(I4766="Open",DATE(2025,12,31)-F4766,"-")</f>
        <v>-</v>
      </c>
    </row>
    <row r="4767" customFormat="false" ht="15" hidden="false" customHeight="false" outlineLevel="0" collapsed="false">
      <c r="B4767" s="7" t="s">
        <v>19412</v>
      </c>
      <c r="C4767" s="7" t="s">
        <v>5264</v>
      </c>
      <c r="D4767" s="7" t="s">
        <v>327</v>
      </c>
      <c r="E4767" s="7" t="s">
        <v>157</v>
      </c>
      <c r="F4767" s="39" t="n">
        <v>45888</v>
      </c>
      <c r="G4767" s="41" t="n">
        <v>169.95</v>
      </c>
      <c r="H4767" s="39" t="n">
        <v>45937</v>
      </c>
      <c r="I4767" s="7" t="s">
        <v>14651</v>
      </c>
      <c r="J4767" s="8" t="str">
        <f aca="false">IF(I4767="Open",DATE(2025,12,31)-F4767,"-")</f>
        <v>-</v>
      </c>
    </row>
    <row r="4768" customFormat="false" ht="15" hidden="false" customHeight="false" outlineLevel="0" collapsed="false">
      <c r="B4768" s="7" t="s">
        <v>19413</v>
      </c>
      <c r="C4768" s="7" t="s">
        <v>5265</v>
      </c>
      <c r="D4768" s="7" t="s">
        <v>329</v>
      </c>
      <c r="E4768" s="7" t="s">
        <v>156</v>
      </c>
      <c r="F4768" s="39" t="n">
        <v>45888</v>
      </c>
      <c r="G4768" s="41" t="n">
        <v>122.74</v>
      </c>
      <c r="H4768" s="39" t="n">
        <v>45903</v>
      </c>
      <c r="I4768" s="7" t="s">
        <v>14651</v>
      </c>
      <c r="J4768" s="8" t="str">
        <f aca="false">IF(I4768="Open",DATE(2025,12,31)-F4768,"-")</f>
        <v>-</v>
      </c>
    </row>
    <row r="4769" customFormat="false" ht="15" hidden="false" customHeight="false" outlineLevel="0" collapsed="false">
      <c r="B4769" s="7" t="s">
        <v>19414</v>
      </c>
      <c r="C4769" s="7" t="s">
        <v>5266</v>
      </c>
      <c r="D4769" s="7" t="s">
        <v>359</v>
      </c>
      <c r="E4769" s="7" t="s">
        <v>156</v>
      </c>
      <c r="F4769" s="39" t="n">
        <v>45888</v>
      </c>
      <c r="G4769" s="41" t="n">
        <v>135.66</v>
      </c>
      <c r="H4769" s="39" t="n">
        <v>45897</v>
      </c>
      <c r="I4769" s="7" t="s">
        <v>14651</v>
      </c>
      <c r="J4769" s="8" t="str">
        <f aca="false">IF(I4769="Open",DATE(2025,12,31)-F4769,"-")</f>
        <v>-</v>
      </c>
    </row>
    <row r="4770" customFormat="false" ht="15" hidden="false" customHeight="false" outlineLevel="0" collapsed="false">
      <c r="B4770" s="7" t="s">
        <v>19415</v>
      </c>
      <c r="C4770" s="7" t="s">
        <v>5267</v>
      </c>
      <c r="D4770" s="7" t="s">
        <v>361</v>
      </c>
      <c r="E4770" s="7" t="s">
        <v>157</v>
      </c>
      <c r="F4770" s="39" t="n">
        <v>45888</v>
      </c>
      <c r="G4770" s="41" t="n">
        <v>151.8</v>
      </c>
      <c r="H4770" s="39" t="n">
        <v>45925</v>
      </c>
      <c r="I4770" s="7" t="s">
        <v>14651</v>
      </c>
      <c r="J4770" s="8" t="str">
        <f aca="false">IF(I4770="Open",DATE(2025,12,31)-F4770,"-")</f>
        <v>-</v>
      </c>
    </row>
    <row r="4771" customFormat="false" ht="15" hidden="false" customHeight="false" outlineLevel="0" collapsed="false">
      <c r="B4771" s="7" t="s">
        <v>19416</v>
      </c>
      <c r="C4771" s="7" t="s">
        <v>5268</v>
      </c>
      <c r="D4771" s="7" t="s">
        <v>365</v>
      </c>
      <c r="E4771" s="7" t="s">
        <v>154</v>
      </c>
      <c r="F4771" s="39" t="n">
        <v>45888</v>
      </c>
      <c r="G4771" s="41" t="n">
        <v>116.07</v>
      </c>
      <c r="H4771" s="39" t="n">
        <v>45927</v>
      </c>
      <c r="I4771" s="7" t="s">
        <v>14651</v>
      </c>
      <c r="J4771" s="8" t="str">
        <f aca="false">IF(I4771="Open",DATE(2025,12,31)-F4771,"-")</f>
        <v>-</v>
      </c>
    </row>
    <row r="4772" customFormat="false" ht="15" hidden="false" customHeight="false" outlineLevel="0" collapsed="false">
      <c r="B4772" s="7" t="s">
        <v>19417</v>
      </c>
      <c r="C4772" s="7" t="s">
        <v>5269</v>
      </c>
      <c r="D4772" s="7" t="s">
        <v>369</v>
      </c>
      <c r="E4772" s="7" t="s">
        <v>159</v>
      </c>
      <c r="F4772" s="39" t="n">
        <v>45888</v>
      </c>
      <c r="G4772" s="41" t="n">
        <v>141.75</v>
      </c>
      <c r="H4772" s="39" t="n">
        <v>45929</v>
      </c>
      <c r="I4772" s="7" t="s">
        <v>14651</v>
      </c>
      <c r="J4772" s="8" t="str">
        <f aca="false">IF(I4772="Open",DATE(2025,12,31)-F4772,"-")</f>
        <v>-</v>
      </c>
    </row>
    <row r="4773" customFormat="false" ht="15" hidden="false" customHeight="false" outlineLevel="0" collapsed="false">
      <c r="B4773" s="7" t="s">
        <v>19418</v>
      </c>
      <c r="C4773" s="7" t="s">
        <v>5270</v>
      </c>
      <c r="D4773" s="7" t="s">
        <v>381</v>
      </c>
      <c r="E4773" s="7" t="s">
        <v>157</v>
      </c>
      <c r="F4773" s="39" t="n">
        <v>45888</v>
      </c>
      <c r="G4773" s="41" t="n">
        <v>168.3</v>
      </c>
      <c r="H4773" s="39" t="n">
        <v>45919</v>
      </c>
      <c r="I4773" s="7" t="s">
        <v>14651</v>
      </c>
      <c r="J4773" s="8" t="str">
        <f aca="false">IF(I4773="Open",DATE(2025,12,31)-F4773,"-")</f>
        <v>-</v>
      </c>
    </row>
    <row r="4774" customFormat="false" ht="15" hidden="false" customHeight="false" outlineLevel="0" collapsed="false">
      <c r="B4774" s="7" t="s">
        <v>19419</v>
      </c>
      <c r="C4774" s="7" t="s">
        <v>5271</v>
      </c>
      <c r="D4774" s="7" t="s">
        <v>383</v>
      </c>
      <c r="E4774" s="7" t="s">
        <v>157</v>
      </c>
      <c r="F4774" s="39" t="n">
        <v>45888</v>
      </c>
      <c r="G4774" s="41" t="n">
        <v>176.55</v>
      </c>
      <c r="H4774" s="39" t="n">
        <v>45920</v>
      </c>
      <c r="I4774" s="7" t="s">
        <v>14651</v>
      </c>
      <c r="J4774" s="8" t="str">
        <f aca="false">IF(I4774="Open",DATE(2025,12,31)-F4774,"-")</f>
        <v>-</v>
      </c>
    </row>
    <row r="4775" customFormat="false" ht="15" hidden="false" customHeight="false" outlineLevel="0" collapsed="false">
      <c r="B4775" s="7" t="s">
        <v>19420</v>
      </c>
      <c r="C4775" s="7" t="s">
        <v>5272</v>
      </c>
      <c r="D4775" s="7" t="s">
        <v>387</v>
      </c>
      <c r="E4775" s="7" t="s">
        <v>154</v>
      </c>
      <c r="F4775" s="39" t="n">
        <v>45888</v>
      </c>
      <c r="G4775" s="41" t="n">
        <v>113.95</v>
      </c>
      <c r="H4775" s="39" t="n">
        <v>45931</v>
      </c>
      <c r="I4775" s="7" t="s">
        <v>14651</v>
      </c>
      <c r="J4775" s="8" t="str">
        <f aca="false">IF(I4775="Open",DATE(2025,12,31)-F4775,"-")</f>
        <v>-</v>
      </c>
    </row>
    <row r="4776" customFormat="false" ht="15" hidden="false" customHeight="false" outlineLevel="0" collapsed="false">
      <c r="B4776" s="7" t="s">
        <v>19421</v>
      </c>
      <c r="C4776" s="7" t="s">
        <v>5273</v>
      </c>
      <c r="D4776" s="7" t="s">
        <v>389</v>
      </c>
      <c r="E4776" s="7" t="s">
        <v>154</v>
      </c>
      <c r="F4776" s="39" t="n">
        <v>45888</v>
      </c>
      <c r="G4776" s="41" t="n">
        <v>106.69</v>
      </c>
      <c r="H4776" s="39" t="n">
        <v>45965</v>
      </c>
      <c r="I4776" s="7" t="s">
        <v>14651</v>
      </c>
      <c r="J4776" s="8" t="str">
        <f aca="false">IF(I4776="Open",DATE(2025,12,31)-F4776,"-")</f>
        <v>-</v>
      </c>
    </row>
    <row r="4777" customFormat="false" ht="15" hidden="false" customHeight="false" outlineLevel="0" collapsed="false">
      <c r="B4777" s="7" t="s">
        <v>19422</v>
      </c>
      <c r="C4777" s="7" t="s">
        <v>5274</v>
      </c>
      <c r="D4777" s="7" t="s">
        <v>391</v>
      </c>
      <c r="E4777" s="7" t="s">
        <v>156</v>
      </c>
      <c r="F4777" s="39" t="n">
        <v>45888</v>
      </c>
      <c r="G4777" s="41" t="n">
        <v>128.52</v>
      </c>
      <c r="H4777" s="39" t="n">
        <v>45897</v>
      </c>
      <c r="I4777" s="7" t="s">
        <v>14651</v>
      </c>
      <c r="J4777" s="8" t="str">
        <f aca="false">IF(I4777="Open",DATE(2025,12,31)-F4777,"-")</f>
        <v>-</v>
      </c>
    </row>
    <row r="4778" customFormat="false" ht="15" hidden="false" customHeight="false" outlineLevel="0" collapsed="false">
      <c r="B4778" s="7" t="s">
        <v>19423</v>
      </c>
      <c r="C4778" s="7" t="s">
        <v>5275</v>
      </c>
      <c r="D4778" s="7" t="s">
        <v>395</v>
      </c>
      <c r="E4778" s="7" t="s">
        <v>156</v>
      </c>
      <c r="F4778" s="39" t="n">
        <v>45888</v>
      </c>
      <c r="G4778" s="41" t="n">
        <v>123.08</v>
      </c>
      <c r="H4778" s="39" t="n">
        <v>45894</v>
      </c>
      <c r="I4778" s="7" t="s">
        <v>14651</v>
      </c>
      <c r="J4778" s="8" t="str">
        <f aca="false">IF(I4778="Open",DATE(2025,12,31)-F4778,"-")</f>
        <v>-</v>
      </c>
    </row>
    <row r="4779" customFormat="false" ht="15" hidden="false" customHeight="false" outlineLevel="0" collapsed="false">
      <c r="B4779" s="7" t="s">
        <v>19424</v>
      </c>
      <c r="C4779" s="7" t="s">
        <v>5276</v>
      </c>
      <c r="D4779" s="7" t="s">
        <v>397</v>
      </c>
      <c r="E4779" s="7" t="s">
        <v>159</v>
      </c>
      <c r="F4779" s="39" t="n">
        <v>45888</v>
      </c>
      <c r="G4779" s="41" t="n">
        <v>140.4</v>
      </c>
      <c r="H4779" s="39" t="n">
        <v>45928</v>
      </c>
      <c r="I4779" s="7" t="s">
        <v>14651</v>
      </c>
      <c r="J4779" s="8" t="str">
        <f aca="false">IF(I4779="Open",DATE(2025,12,31)-F4779,"-")</f>
        <v>-</v>
      </c>
    </row>
    <row r="4780" customFormat="false" ht="15" hidden="false" customHeight="false" outlineLevel="0" collapsed="false">
      <c r="B4780" s="7" t="s">
        <v>19425</v>
      </c>
      <c r="C4780" s="7" t="s">
        <v>5277</v>
      </c>
      <c r="D4780" s="7" t="s">
        <v>401</v>
      </c>
      <c r="E4780" s="7" t="s">
        <v>156</v>
      </c>
      <c r="F4780" s="39" t="n">
        <v>45888</v>
      </c>
      <c r="G4780" s="41" t="n">
        <v>149.6</v>
      </c>
      <c r="H4780" s="39" t="n">
        <v>45908</v>
      </c>
      <c r="I4780" s="7" t="s">
        <v>14651</v>
      </c>
      <c r="J4780" s="8" t="str">
        <f aca="false">IF(I4780="Open",DATE(2025,12,31)-F4780,"-")</f>
        <v>-</v>
      </c>
    </row>
    <row r="4781" customFormat="false" ht="15" hidden="false" customHeight="false" outlineLevel="0" collapsed="false">
      <c r="B4781" s="7" t="s">
        <v>19426</v>
      </c>
      <c r="C4781" s="7" t="s">
        <v>5278</v>
      </c>
      <c r="D4781" s="7" t="s">
        <v>407</v>
      </c>
      <c r="E4781" s="7" t="s">
        <v>159</v>
      </c>
      <c r="F4781" s="39" t="n">
        <v>45888</v>
      </c>
      <c r="G4781" s="41" t="n">
        <v>132.3</v>
      </c>
      <c r="H4781" s="39" t="n">
        <v>45934</v>
      </c>
      <c r="I4781" s="7" t="s">
        <v>14651</v>
      </c>
      <c r="J4781" s="8" t="str">
        <f aca="false">IF(I4781="Open",DATE(2025,12,31)-F4781,"-")</f>
        <v>-</v>
      </c>
    </row>
    <row r="4782" customFormat="false" ht="15" hidden="false" customHeight="false" outlineLevel="0" collapsed="false">
      <c r="B4782" s="7" t="s">
        <v>19427</v>
      </c>
      <c r="C4782" s="7" t="s">
        <v>5279</v>
      </c>
      <c r="D4782" s="7" t="s">
        <v>280</v>
      </c>
      <c r="E4782" s="7" t="s">
        <v>157</v>
      </c>
      <c r="F4782" s="39" t="n">
        <v>45889</v>
      </c>
      <c r="G4782" s="41" t="n">
        <v>153.62</v>
      </c>
      <c r="H4782" s="39" t="n">
        <v>45930</v>
      </c>
      <c r="I4782" s="7" t="s">
        <v>14651</v>
      </c>
      <c r="J4782" s="8" t="str">
        <f aca="false">IF(I4782="Open",DATE(2025,12,31)-F4782,"-")</f>
        <v>-</v>
      </c>
    </row>
    <row r="4783" customFormat="false" ht="15" hidden="false" customHeight="false" outlineLevel="0" collapsed="false">
      <c r="B4783" s="7" t="s">
        <v>19428</v>
      </c>
      <c r="C4783" s="7" t="s">
        <v>5280</v>
      </c>
      <c r="D4783" s="7" t="s">
        <v>288</v>
      </c>
      <c r="E4783" s="7" t="s">
        <v>156</v>
      </c>
      <c r="F4783" s="39" t="n">
        <v>45889</v>
      </c>
      <c r="G4783" s="41" t="n">
        <v>143.82</v>
      </c>
      <c r="H4783" s="39" t="n">
        <v>45900</v>
      </c>
      <c r="I4783" s="7" t="s">
        <v>14651</v>
      </c>
      <c r="J4783" s="8" t="str">
        <f aca="false">IF(I4783="Open",DATE(2025,12,31)-F4783,"-")</f>
        <v>-</v>
      </c>
    </row>
    <row r="4784" customFormat="false" ht="15" hidden="false" customHeight="false" outlineLevel="0" collapsed="false">
      <c r="B4784" s="7" t="s">
        <v>19429</v>
      </c>
      <c r="C4784" s="7" t="s">
        <v>5281</v>
      </c>
      <c r="D4784" s="7" t="s">
        <v>291</v>
      </c>
      <c r="E4784" s="7" t="s">
        <v>154</v>
      </c>
      <c r="F4784" s="39" t="n">
        <v>45889</v>
      </c>
      <c r="G4784" s="41" t="n">
        <v>114.75</v>
      </c>
      <c r="H4784" s="39" t="n">
        <v>45933</v>
      </c>
      <c r="I4784" s="7" t="s">
        <v>14651</v>
      </c>
      <c r="J4784" s="8" t="str">
        <f aca="false">IF(I4784="Open",DATE(2025,12,31)-F4784,"-")</f>
        <v>-</v>
      </c>
    </row>
    <row r="4785" customFormat="false" ht="15" hidden="false" customHeight="false" outlineLevel="0" collapsed="false">
      <c r="B4785" s="7" t="s">
        <v>19430</v>
      </c>
      <c r="C4785" s="7" t="s">
        <v>5282</v>
      </c>
      <c r="D4785" s="7" t="s">
        <v>295</v>
      </c>
      <c r="E4785" s="7" t="s">
        <v>154</v>
      </c>
      <c r="F4785" s="39" t="n">
        <v>45889</v>
      </c>
      <c r="G4785" s="41" t="n">
        <v>100.17</v>
      </c>
      <c r="H4785" s="39" t="n">
        <v>45981</v>
      </c>
      <c r="I4785" s="7" t="s">
        <v>14651</v>
      </c>
      <c r="J4785" s="8" t="str">
        <f aca="false">IF(I4785="Open",DATE(2025,12,31)-F4785,"-")</f>
        <v>-</v>
      </c>
    </row>
    <row r="4786" customFormat="false" ht="15" hidden="false" customHeight="false" outlineLevel="0" collapsed="false">
      <c r="B4786" s="7" t="s">
        <v>19431</v>
      </c>
      <c r="C4786" s="7" t="s">
        <v>5283</v>
      </c>
      <c r="D4786" s="7" t="s">
        <v>305</v>
      </c>
      <c r="E4786" s="7" t="s">
        <v>154</v>
      </c>
      <c r="F4786" s="39" t="n">
        <v>45889</v>
      </c>
      <c r="G4786" s="41" t="n">
        <v>97.25</v>
      </c>
      <c r="H4786" s="39" t="n">
        <v>45946</v>
      </c>
      <c r="I4786" s="7" t="s">
        <v>14651</v>
      </c>
      <c r="J4786" s="8" t="str">
        <f aca="false">IF(I4786="Open",DATE(2025,12,31)-F4786,"-")</f>
        <v>-</v>
      </c>
    </row>
    <row r="4787" customFormat="false" ht="15" hidden="false" customHeight="false" outlineLevel="0" collapsed="false">
      <c r="B4787" s="7" t="s">
        <v>19432</v>
      </c>
      <c r="C4787" s="7" t="s">
        <v>5284</v>
      </c>
      <c r="D4787" s="7" t="s">
        <v>307</v>
      </c>
      <c r="E4787" s="7" t="s">
        <v>157</v>
      </c>
      <c r="F4787" s="39" t="n">
        <v>45889</v>
      </c>
      <c r="G4787" s="41" t="n">
        <v>160.05</v>
      </c>
      <c r="H4787" s="39" t="n">
        <v>45951</v>
      </c>
      <c r="I4787" s="7" t="s">
        <v>14651</v>
      </c>
      <c r="J4787" s="8" t="str">
        <f aca="false">IF(I4787="Open",DATE(2025,12,31)-F4787,"-")</f>
        <v>-</v>
      </c>
    </row>
    <row r="4788" customFormat="false" ht="15" hidden="false" customHeight="false" outlineLevel="0" collapsed="false">
      <c r="B4788" s="7" t="s">
        <v>19433</v>
      </c>
      <c r="C4788" s="7" t="s">
        <v>5285</v>
      </c>
      <c r="D4788" s="7" t="s">
        <v>309</v>
      </c>
      <c r="E4788" s="7" t="s">
        <v>159</v>
      </c>
      <c r="F4788" s="39" t="n">
        <v>45889</v>
      </c>
      <c r="G4788" s="41" t="n">
        <v>133.65</v>
      </c>
      <c r="H4788" s="39" t="n">
        <v>45934</v>
      </c>
      <c r="I4788" s="7" t="s">
        <v>14651</v>
      </c>
      <c r="J4788" s="8" t="str">
        <f aca="false">IF(I4788="Open",DATE(2025,12,31)-F4788,"-")</f>
        <v>-</v>
      </c>
    </row>
    <row r="4789" customFormat="false" ht="15" hidden="false" customHeight="false" outlineLevel="0" collapsed="false">
      <c r="B4789" s="7" t="s">
        <v>19434</v>
      </c>
      <c r="C4789" s="7" t="s">
        <v>5286</v>
      </c>
      <c r="D4789" s="7" t="s">
        <v>313</v>
      </c>
      <c r="E4789" s="7" t="s">
        <v>156</v>
      </c>
      <c r="F4789" s="39" t="n">
        <v>45889</v>
      </c>
      <c r="G4789" s="41" t="n">
        <v>138.04</v>
      </c>
      <c r="H4789" s="39" t="n">
        <v>45892</v>
      </c>
      <c r="I4789" s="7" t="s">
        <v>14651</v>
      </c>
      <c r="J4789" s="8" t="str">
        <f aca="false">IF(I4789="Open",DATE(2025,12,31)-F4789,"-")</f>
        <v>-</v>
      </c>
    </row>
    <row r="4790" customFormat="false" ht="15" hidden="false" customHeight="false" outlineLevel="0" collapsed="false">
      <c r="B4790" s="7" t="s">
        <v>19435</v>
      </c>
      <c r="C4790" s="7" t="s">
        <v>5287</v>
      </c>
      <c r="D4790" s="7" t="s">
        <v>315</v>
      </c>
      <c r="E4790" s="7" t="s">
        <v>159</v>
      </c>
      <c r="F4790" s="39" t="n">
        <v>45889</v>
      </c>
      <c r="G4790" s="41" t="n">
        <v>141.75</v>
      </c>
      <c r="H4790" s="39" t="n">
        <v>45934</v>
      </c>
      <c r="I4790" s="7" t="s">
        <v>14651</v>
      </c>
      <c r="J4790" s="8" t="str">
        <f aca="false">IF(I4790="Open",DATE(2025,12,31)-F4790,"-")</f>
        <v>-</v>
      </c>
    </row>
    <row r="4791" customFormat="false" ht="15" hidden="false" customHeight="false" outlineLevel="0" collapsed="false">
      <c r="B4791" s="7" t="s">
        <v>19436</v>
      </c>
      <c r="C4791" s="7" t="s">
        <v>5288</v>
      </c>
      <c r="D4791" s="7" t="s">
        <v>321</v>
      </c>
      <c r="E4791" s="7" t="s">
        <v>154</v>
      </c>
      <c r="F4791" s="39" t="n">
        <v>45889</v>
      </c>
      <c r="G4791" s="41" t="n">
        <v>98.31</v>
      </c>
      <c r="H4791" s="39" t="n">
        <v>45952</v>
      </c>
      <c r="I4791" s="7" t="s">
        <v>14651</v>
      </c>
      <c r="J4791" s="8" t="str">
        <f aca="false">IF(I4791="Open",DATE(2025,12,31)-F4791,"-")</f>
        <v>-</v>
      </c>
    </row>
    <row r="4792" customFormat="false" ht="15" hidden="false" customHeight="false" outlineLevel="0" collapsed="false">
      <c r="B4792" s="7" t="s">
        <v>19437</v>
      </c>
      <c r="C4792" s="7" t="s">
        <v>5289</v>
      </c>
      <c r="D4792" s="7" t="s">
        <v>329</v>
      </c>
      <c r="E4792" s="7" t="s">
        <v>156</v>
      </c>
      <c r="F4792" s="39" t="n">
        <v>45889</v>
      </c>
      <c r="G4792" s="41" t="n">
        <v>142.8</v>
      </c>
      <c r="H4792" s="39" t="n">
        <v>45902</v>
      </c>
      <c r="I4792" s="7" t="s">
        <v>14651</v>
      </c>
      <c r="J4792" s="8" t="str">
        <f aca="false">IF(I4792="Open",DATE(2025,12,31)-F4792,"-")</f>
        <v>-</v>
      </c>
    </row>
    <row r="4793" customFormat="false" ht="15" hidden="false" customHeight="false" outlineLevel="0" collapsed="false">
      <c r="B4793" s="7" t="s">
        <v>19438</v>
      </c>
      <c r="C4793" s="7" t="s">
        <v>5290</v>
      </c>
      <c r="D4793" s="7" t="s">
        <v>335</v>
      </c>
      <c r="E4793" s="7" t="s">
        <v>154</v>
      </c>
      <c r="F4793" s="39" t="n">
        <v>45889</v>
      </c>
      <c r="G4793" s="41" t="n">
        <v>106.8</v>
      </c>
      <c r="H4793" s="39" t="n">
        <v>45948</v>
      </c>
      <c r="I4793" s="7" t="s">
        <v>14651</v>
      </c>
      <c r="J4793" s="8" t="str">
        <f aca="false">IF(I4793="Open",DATE(2025,12,31)-F4793,"-")</f>
        <v>-</v>
      </c>
    </row>
    <row r="4794" customFormat="false" ht="15" hidden="false" customHeight="false" outlineLevel="0" collapsed="false">
      <c r="B4794" s="7" t="s">
        <v>19439</v>
      </c>
      <c r="C4794" s="7" t="s">
        <v>5291</v>
      </c>
      <c r="D4794" s="7" t="s">
        <v>339</v>
      </c>
      <c r="E4794" s="7" t="s">
        <v>154</v>
      </c>
      <c r="F4794" s="39" t="n">
        <v>45889</v>
      </c>
      <c r="G4794" s="41" t="n">
        <v>90.63</v>
      </c>
      <c r="H4794" s="39" t="n">
        <v>45968</v>
      </c>
      <c r="I4794" s="7" t="s">
        <v>14651</v>
      </c>
      <c r="J4794" s="8" t="str">
        <f aca="false">IF(I4794="Open",DATE(2025,12,31)-F4794,"-")</f>
        <v>-</v>
      </c>
    </row>
    <row r="4795" customFormat="false" ht="15" hidden="false" customHeight="false" outlineLevel="0" collapsed="false">
      <c r="B4795" s="7" t="s">
        <v>19440</v>
      </c>
      <c r="C4795" s="7" t="s">
        <v>5292</v>
      </c>
      <c r="D4795" s="7" t="s">
        <v>347</v>
      </c>
      <c r="E4795" s="7" t="s">
        <v>154</v>
      </c>
      <c r="F4795" s="39" t="n">
        <v>45889</v>
      </c>
      <c r="G4795" s="41" t="n">
        <v>128.79</v>
      </c>
      <c r="H4795" s="39" t="n">
        <v>45935</v>
      </c>
      <c r="I4795" s="7" t="s">
        <v>14651</v>
      </c>
      <c r="J4795" s="8" t="str">
        <f aca="false">IF(I4795="Open",DATE(2025,12,31)-F4795,"-")</f>
        <v>-</v>
      </c>
    </row>
    <row r="4796" customFormat="false" ht="15" hidden="false" customHeight="false" outlineLevel="0" collapsed="false">
      <c r="B4796" s="7" t="s">
        <v>19441</v>
      </c>
      <c r="C4796" s="7" t="s">
        <v>5293</v>
      </c>
      <c r="D4796" s="7" t="s">
        <v>353</v>
      </c>
      <c r="E4796" s="7" t="s">
        <v>154</v>
      </c>
      <c r="F4796" s="39" t="n">
        <v>45889</v>
      </c>
      <c r="G4796" s="41" t="n">
        <v>95.66</v>
      </c>
      <c r="H4796" s="39" t="n">
        <v>45922</v>
      </c>
      <c r="I4796" s="7" t="s">
        <v>14651</v>
      </c>
      <c r="J4796" s="8" t="str">
        <f aca="false">IF(I4796="Open",DATE(2025,12,31)-F4796,"-")</f>
        <v>-</v>
      </c>
    </row>
    <row r="4797" customFormat="false" ht="15" hidden="false" customHeight="false" outlineLevel="0" collapsed="false">
      <c r="B4797" s="7" t="s">
        <v>19442</v>
      </c>
      <c r="C4797" s="7" t="s">
        <v>5294</v>
      </c>
      <c r="D4797" s="7" t="s">
        <v>355</v>
      </c>
      <c r="E4797" s="7" t="s">
        <v>154</v>
      </c>
      <c r="F4797" s="39" t="n">
        <v>45889</v>
      </c>
      <c r="G4797" s="41" t="n">
        <v>96.19</v>
      </c>
      <c r="H4797" s="39" t="n">
        <v>45936</v>
      </c>
      <c r="I4797" s="7" t="s">
        <v>14651</v>
      </c>
      <c r="J4797" s="8" t="str">
        <f aca="false">IF(I4797="Open",DATE(2025,12,31)-F4797,"-")</f>
        <v>-</v>
      </c>
    </row>
    <row r="4798" customFormat="false" ht="15" hidden="false" customHeight="false" outlineLevel="0" collapsed="false">
      <c r="B4798" s="7" t="s">
        <v>19443</v>
      </c>
      <c r="C4798" s="7" t="s">
        <v>5295</v>
      </c>
      <c r="D4798" s="7" t="s">
        <v>357</v>
      </c>
      <c r="E4798" s="7" t="s">
        <v>154</v>
      </c>
      <c r="F4798" s="39" t="n">
        <v>45889</v>
      </c>
      <c r="G4798" s="41" t="n">
        <v>94.34</v>
      </c>
      <c r="H4798" s="39" t="n">
        <v>45940</v>
      </c>
      <c r="I4798" s="7" t="s">
        <v>14651</v>
      </c>
      <c r="J4798" s="8" t="str">
        <f aca="false">IF(I4798="Open",DATE(2025,12,31)-F4798,"-")</f>
        <v>-</v>
      </c>
    </row>
    <row r="4799" customFormat="false" ht="15" hidden="false" customHeight="false" outlineLevel="0" collapsed="false">
      <c r="B4799" s="7" t="s">
        <v>19444</v>
      </c>
      <c r="C4799" s="7" t="s">
        <v>5296</v>
      </c>
      <c r="D4799" s="7" t="s">
        <v>359</v>
      </c>
      <c r="E4799" s="7" t="s">
        <v>156</v>
      </c>
      <c r="F4799" s="39" t="n">
        <v>45889</v>
      </c>
      <c r="G4799" s="41" t="n">
        <v>141.78</v>
      </c>
      <c r="H4799" s="39" t="n">
        <v>45903</v>
      </c>
      <c r="I4799" s="7" t="s">
        <v>14651</v>
      </c>
      <c r="J4799" s="8" t="str">
        <f aca="false">IF(I4799="Open",DATE(2025,12,31)-F4799,"-")</f>
        <v>-</v>
      </c>
    </row>
    <row r="4800" customFormat="false" ht="15" hidden="false" customHeight="false" outlineLevel="0" collapsed="false">
      <c r="B4800" s="7" t="s">
        <v>19445</v>
      </c>
      <c r="C4800" s="7" t="s">
        <v>5297</v>
      </c>
      <c r="D4800" s="7" t="s">
        <v>365</v>
      </c>
      <c r="E4800" s="7" t="s">
        <v>154</v>
      </c>
      <c r="F4800" s="39" t="n">
        <v>45889</v>
      </c>
      <c r="G4800" s="41" t="n">
        <v>101.76</v>
      </c>
      <c r="H4800" s="39" t="n">
        <v>45945</v>
      </c>
      <c r="I4800" s="7" t="s">
        <v>14651</v>
      </c>
      <c r="J4800" s="8" t="str">
        <f aca="false">IF(I4800="Open",DATE(2025,12,31)-F4800,"-")</f>
        <v>-</v>
      </c>
    </row>
    <row r="4801" customFormat="false" ht="15" hidden="false" customHeight="false" outlineLevel="0" collapsed="false">
      <c r="B4801" s="7" t="s">
        <v>19446</v>
      </c>
      <c r="C4801" s="7" t="s">
        <v>5298</v>
      </c>
      <c r="D4801" s="7" t="s">
        <v>371</v>
      </c>
      <c r="E4801" s="7" t="s">
        <v>154</v>
      </c>
      <c r="F4801" s="39" t="n">
        <v>45889</v>
      </c>
      <c r="G4801" s="41" t="n">
        <v>122.62</v>
      </c>
      <c r="H4801" s="39" t="n">
        <v>45925</v>
      </c>
      <c r="I4801" s="7" t="s">
        <v>14651</v>
      </c>
      <c r="J4801" s="8" t="str">
        <f aca="false">IF(I4801="Open",DATE(2025,12,31)-F4801,"-")</f>
        <v>-</v>
      </c>
    </row>
    <row r="4802" customFormat="false" ht="15" hidden="false" customHeight="false" outlineLevel="0" collapsed="false">
      <c r="B4802" s="7" t="s">
        <v>19447</v>
      </c>
      <c r="C4802" s="7" t="s">
        <v>5299</v>
      </c>
      <c r="D4802" s="7" t="s">
        <v>379</v>
      </c>
      <c r="E4802" s="7" t="s">
        <v>156</v>
      </c>
      <c r="F4802" s="39" t="n">
        <v>45889</v>
      </c>
      <c r="G4802" s="41" t="n">
        <v>145.52</v>
      </c>
      <c r="H4802" s="39" t="n">
        <v>45901</v>
      </c>
      <c r="I4802" s="7" t="s">
        <v>14651</v>
      </c>
      <c r="J4802" s="8" t="str">
        <f aca="false">IF(I4802="Open",DATE(2025,12,31)-F4802,"-")</f>
        <v>-</v>
      </c>
    </row>
    <row r="4803" customFormat="false" ht="15" hidden="false" customHeight="false" outlineLevel="0" collapsed="false">
      <c r="B4803" s="7" t="s">
        <v>19448</v>
      </c>
      <c r="C4803" s="7" t="s">
        <v>5300</v>
      </c>
      <c r="D4803" s="7" t="s">
        <v>385</v>
      </c>
      <c r="E4803" s="7" t="s">
        <v>156</v>
      </c>
      <c r="F4803" s="39" t="n">
        <v>45889</v>
      </c>
      <c r="G4803" s="41" t="n">
        <v>136.34</v>
      </c>
      <c r="H4803" s="39" t="n">
        <v>45898</v>
      </c>
      <c r="I4803" s="7" t="s">
        <v>14651</v>
      </c>
      <c r="J4803" s="8" t="str">
        <f aca="false">IF(I4803="Open",DATE(2025,12,31)-F4803,"-")</f>
        <v>-</v>
      </c>
    </row>
    <row r="4804" customFormat="false" ht="15" hidden="false" customHeight="false" outlineLevel="0" collapsed="false">
      <c r="B4804" s="7" t="s">
        <v>19449</v>
      </c>
      <c r="C4804" s="7" t="s">
        <v>5301</v>
      </c>
      <c r="D4804" s="7" t="s">
        <v>387</v>
      </c>
      <c r="E4804" s="7" t="s">
        <v>154</v>
      </c>
      <c r="F4804" s="39" t="n">
        <v>45889</v>
      </c>
      <c r="G4804" s="41" t="n">
        <v>93.31</v>
      </c>
      <c r="H4804" s="39" t="n">
        <v>45927</v>
      </c>
      <c r="I4804" s="7" t="s">
        <v>14651</v>
      </c>
      <c r="J4804" s="8" t="str">
        <f aca="false">IF(I4804="Open",DATE(2025,12,31)-F4804,"-")</f>
        <v>-</v>
      </c>
    </row>
    <row r="4805" customFormat="false" ht="15" hidden="false" customHeight="false" outlineLevel="0" collapsed="false">
      <c r="B4805" s="7" t="s">
        <v>19450</v>
      </c>
      <c r="C4805" s="7" t="s">
        <v>5302</v>
      </c>
      <c r="D4805" s="7" t="s">
        <v>389</v>
      </c>
      <c r="E4805" s="7" t="s">
        <v>154</v>
      </c>
      <c r="F4805" s="39" t="n">
        <v>45889</v>
      </c>
      <c r="G4805" s="41" t="n">
        <v>115.01</v>
      </c>
      <c r="H4805" s="39" t="n">
        <v>45938</v>
      </c>
      <c r="I4805" s="7" t="s">
        <v>14651</v>
      </c>
      <c r="J4805" s="8" t="str">
        <f aca="false">IF(I4805="Open",DATE(2025,12,31)-F4805,"-")</f>
        <v>-</v>
      </c>
    </row>
    <row r="4806" customFormat="false" ht="15" hidden="false" customHeight="false" outlineLevel="0" collapsed="false">
      <c r="B4806" s="7" t="s">
        <v>19451</v>
      </c>
      <c r="C4806" s="7" t="s">
        <v>5303</v>
      </c>
      <c r="D4806" s="7" t="s">
        <v>391</v>
      </c>
      <c r="E4806" s="7" t="s">
        <v>156</v>
      </c>
      <c r="F4806" s="39" t="n">
        <v>45889</v>
      </c>
      <c r="G4806" s="41" t="n">
        <v>134.64</v>
      </c>
      <c r="H4806" s="39" t="n">
        <v>45898</v>
      </c>
      <c r="I4806" s="7" t="s">
        <v>14651</v>
      </c>
      <c r="J4806" s="8" t="str">
        <f aca="false">IF(I4806="Open",DATE(2025,12,31)-F4806,"-")</f>
        <v>-</v>
      </c>
    </row>
    <row r="4807" customFormat="false" ht="15" hidden="false" customHeight="false" outlineLevel="0" collapsed="false">
      <c r="B4807" s="7" t="s">
        <v>19452</v>
      </c>
      <c r="C4807" s="7" t="s">
        <v>5304</v>
      </c>
      <c r="D4807" s="7" t="s">
        <v>393</v>
      </c>
      <c r="E4807" s="7" t="s">
        <v>157</v>
      </c>
      <c r="F4807" s="39" t="n">
        <v>45889</v>
      </c>
      <c r="G4807" s="41" t="n">
        <v>179.85</v>
      </c>
      <c r="H4807" s="39" t="n">
        <v>45941</v>
      </c>
      <c r="I4807" s="7" t="s">
        <v>14651</v>
      </c>
      <c r="J4807" s="8" t="str">
        <f aca="false">IF(I4807="Open",DATE(2025,12,31)-F4807,"-")</f>
        <v>-</v>
      </c>
    </row>
    <row r="4808" customFormat="false" ht="15" hidden="false" customHeight="false" outlineLevel="0" collapsed="false">
      <c r="B4808" s="7" t="s">
        <v>19453</v>
      </c>
      <c r="C4808" s="7" t="s">
        <v>5305</v>
      </c>
      <c r="D4808" s="7" t="s">
        <v>395</v>
      </c>
      <c r="E4808" s="7" t="s">
        <v>156</v>
      </c>
      <c r="F4808" s="39" t="n">
        <v>45889</v>
      </c>
      <c r="G4808" s="41" t="n">
        <v>134.64</v>
      </c>
      <c r="H4808" s="39" t="n">
        <v>45891</v>
      </c>
      <c r="I4808" s="7" t="s">
        <v>14651</v>
      </c>
      <c r="J4808" s="8" t="str">
        <f aca="false">IF(I4808="Open",DATE(2025,12,31)-F4808,"-")</f>
        <v>-</v>
      </c>
    </row>
    <row r="4809" customFormat="false" ht="15" hidden="false" customHeight="false" outlineLevel="0" collapsed="false">
      <c r="B4809" s="7" t="s">
        <v>19454</v>
      </c>
      <c r="C4809" s="7" t="s">
        <v>5306</v>
      </c>
      <c r="D4809" s="7" t="s">
        <v>399</v>
      </c>
      <c r="E4809" s="7" t="s">
        <v>154</v>
      </c>
      <c r="F4809" s="39" t="n">
        <v>45889</v>
      </c>
      <c r="G4809" s="41" t="n">
        <v>90.37</v>
      </c>
      <c r="H4809" s="39" t="n">
        <v>45927</v>
      </c>
      <c r="I4809" s="7" t="s">
        <v>14651</v>
      </c>
      <c r="J4809" s="8" t="str">
        <f aca="false">IF(I4809="Open",DATE(2025,12,31)-F4809,"-")</f>
        <v>-</v>
      </c>
    </row>
    <row r="4810" customFormat="false" ht="15" hidden="false" customHeight="false" outlineLevel="0" collapsed="false">
      <c r="B4810" s="7" t="s">
        <v>19455</v>
      </c>
      <c r="C4810" s="7" t="s">
        <v>5307</v>
      </c>
      <c r="D4810" s="7" t="s">
        <v>401</v>
      </c>
      <c r="E4810" s="7" t="s">
        <v>156</v>
      </c>
      <c r="F4810" s="39" t="n">
        <v>45889</v>
      </c>
      <c r="G4810" s="41" t="n">
        <v>137.02</v>
      </c>
      <c r="H4810" s="39" t="n">
        <v>45890</v>
      </c>
      <c r="I4810" s="7" t="s">
        <v>14651</v>
      </c>
      <c r="J4810" s="8" t="str">
        <f aca="false">IF(I4810="Open",DATE(2025,12,31)-F4810,"-")</f>
        <v>-</v>
      </c>
    </row>
    <row r="4811" customFormat="false" ht="15" hidden="false" customHeight="false" outlineLevel="0" collapsed="false">
      <c r="B4811" s="7" t="s">
        <v>19456</v>
      </c>
      <c r="C4811" s="7" t="s">
        <v>5308</v>
      </c>
      <c r="D4811" s="7" t="s">
        <v>403</v>
      </c>
      <c r="E4811" s="7" t="s">
        <v>156</v>
      </c>
      <c r="F4811" s="39" t="n">
        <v>45889</v>
      </c>
      <c r="G4811" s="41" t="n">
        <v>139.4</v>
      </c>
      <c r="H4811" s="39" t="n">
        <v>45909</v>
      </c>
      <c r="I4811" s="7" t="s">
        <v>14651</v>
      </c>
      <c r="J4811" s="8" t="str">
        <f aca="false">IF(I4811="Open",DATE(2025,12,31)-F4811,"-")</f>
        <v>-</v>
      </c>
    </row>
    <row r="4812" customFormat="false" ht="15" hidden="false" customHeight="false" outlineLevel="0" collapsed="false">
      <c r="B4812" s="7" t="s">
        <v>19457</v>
      </c>
      <c r="C4812" s="7" t="s">
        <v>5309</v>
      </c>
      <c r="D4812" s="7" t="s">
        <v>409</v>
      </c>
      <c r="E4812" s="7" t="s">
        <v>154</v>
      </c>
      <c r="F4812" s="39" t="n">
        <v>45889</v>
      </c>
      <c r="G4812" s="41" t="n">
        <v>92.22</v>
      </c>
      <c r="H4812" s="39" t="n">
        <v>45949</v>
      </c>
      <c r="I4812" s="7" t="s">
        <v>14651</v>
      </c>
      <c r="J4812" s="8" t="str">
        <f aca="false">IF(I4812="Open",DATE(2025,12,31)-F4812,"-")</f>
        <v>-</v>
      </c>
    </row>
    <row r="4813" customFormat="false" ht="15" hidden="false" customHeight="false" outlineLevel="0" collapsed="false">
      <c r="B4813" s="7" t="s">
        <v>19458</v>
      </c>
      <c r="C4813" s="7" t="s">
        <v>5310</v>
      </c>
      <c r="D4813" s="7" t="s">
        <v>411</v>
      </c>
      <c r="E4813" s="7" t="s">
        <v>154</v>
      </c>
      <c r="F4813" s="39" t="n">
        <v>45889</v>
      </c>
      <c r="G4813" s="41" t="n">
        <v>119.25</v>
      </c>
      <c r="H4813" s="39" t="n">
        <v>45938</v>
      </c>
      <c r="I4813" s="7" t="s">
        <v>14651</v>
      </c>
      <c r="J4813" s="8" t="str">
        <f aca="false">IF(I4813="Open",DATE(2025,12,31)-F4813,"-")</f>
        <v>-</v>
      </c>
    </row>
    <row r="4814" customFormat="false" ht="15" hidden="false" customHeight="false" outlineLevel="0" collapsed="false">
      <c r="B4814" s="7" t="s">
        <v>19459</v>
      </c>
      <c r="C4814" s="7" t="s">
        <v>5311</v>
      </c>
      <c r="D4814" s="7" t="s">
        <v>288</v>
      </c>
      <c r="E4814" s="7" t="s">
        <v>156</v>
      </c>
      <c r="F4814" s="39" t="n">
        <v>45890</v>
      </c>
      <c r="G4814" s="41" t="n">
        <v>142.8</v>
      </c>
      <c r="H4814" s="39" t="n">
        <v>45914</v>
      </c>
      <c r="I4814" s="7" t="s">
        <v>14651</v>
      </c>
      <c r="J4814" s="8" t="str">
        <f aca="false">IF(I4814="Open",DATE(2025,12,31)-F4814,"-")</f>
        <v>-</v>
      </c>
    </row>
    <row r="4815" customFormat="false" ht="15" hidden="false" customHeight="false" outlineLevel="0" collapsed="false">
      <c r="B4815" s="7" t="s">
        <v>19460</v>
      </c>
      <c r="C4815" s="7" t="s">
        <v>5312</v>
      </c>
      <c r="D4815" s="7" t="s">
        <v>297</v>
      </c>
      <c r="E4815" s="7" t="s">
        <v>156</v>
      </c>
      <c r="F4815" s="39" t="n">
        <v>45890</v>
      </c>
      <c r="G4815" s="41" t="n">
        <v>102.34</v>
      </c>
      <c r="H4815" s="39" t="n">
        <v>45906</v>
      </c>
      <c r="I4815" s="7" t="s">
        <v>14651</v>
      </c>
      <c r="J4815" s="8" t="str">
        <f aca="false">IF(I4815="Open",DATE(2025,12,31)-F4815,"-")</f>
        <v>-</v>
      </c>
    </row>
    <row r="4816" customFormat="false" ht="15" hidden="false" customHeight="false" outlineLevel="0" collapsed="false">
      <c r="B4816" s="7" t="s">
        <v>19461</v>
      </c>
      <c r="C4816" s="7" t="s">
        <v>5313</v>
      </c>
      <c r="D4816" s="7" t="s">
        <v>311</v>
      </c>
      <c r="E4816" s="7" t="s">
        <v>154</v>
      </c>
      <c r="F4816" s="39" t="n">
        <v>45890</v>
      </c>
      <c r="G4816" s="41" t="n">
        <v>79.18</v>
      </c>
      <c r="H4816" s="39" t="n">
        <v>45963</v>
      </c>
      <c r="I4816" s="7" t="s">
        <v>14651</v>
      </c>
      <c r="J4816" s="8" t="str">
        <f aca="false">IF(I4816="Open",DATE(2025,12,31)-F4816,"-")</f>
        <v>-</v>
      </c>
    </row>
    <row r="4817" customFormat="false" ht="15" hidden="false" customHeight="false" outlineLevel="0" collapsed="false">
      <c r="B4817" s="7" t="s">
        <v>19462</v>
      </c>
      <c r="C4817" s="7" t="s">
        <v>5314</v>
      </c>
      <c r="D4817" s="7" t="s">
        <v>313</v>
      </c>
      <c r="E4817" s="7" t="s">
        <v>156</v>
      </c>
      <c r="F4817" s="39" t="n">
        <v>45890</v>
      </c>
      <c r="G4817" s="41" t="n">
        <v>129.88</v>
      </c>
      <c r="H4817" s="39" t="n">
        <v>45893</v>
      </c>
      <c r="I4817" s="7" t="s">
        <v>14651</v>
      </c>
      <c r="J4817" s="8" t="str">
        <f aca="false">IF(I4817="Open",DATE(2025,12,31)-F4817,"-")</f>
        <v>-</v>
      </c>
    </row>
    <row r="4818" customFormat="false" ht="15" hidden="false" customHeight="false" outlineLevel="0" collapsed="false">
      <c r="B4818" s="7" t="s">
        <v>19463</v>
      </c>
      <c r="C4818" s="7" t="s">
        <v>5315</v>
      </c>
      <c r="D4818" s="7" t="s">
        <v>317</v>
      </c>
      <c r="E4818" s="7" t="s">
        <v>156</v>
      </c>
      <c r="F4818" s="39" t="n">
        <v>45890</v>
      </c>
      <c r="G4818" s="41" t="n">
        <v>99.28</v>
      </c>
      <c r="H4818" s="39" t="n">
        <v>45897</v>
      </c>
      <c r="I4818" s="7" t="s">
        <v>14651</v>
      </c>
      <c r="J4818" s="8" t="str">
        <f aca="false">IF(I4818="Open",DATE(2025,12,31)-F4818,"-")</f>
        <v>-</v>
      </c>
    </row>
    <row r="4819" customFormat="false" ht="15" hidden="false" customHeight="false" outlineLevel="0" collapsed="false">
      <c r="B4819" s="7" t="s">
        <v>19464</v>
      </c>
      <c r="C4819" s="7" t="s">
        <v>5316</v>
      </c>
      <c r="D4819" s="7" t="s">
        <v>321</v>
      </c>
      <c r="E4819" s="7" t="s">
        <v>154</v>
      </c>
      <c r="F4819" s="39" t="n">
        <v>45890</v>
      </c>
      <c r="G4819" s="41" t="n">
        <v>108.65</v>
      </c>
      <c r="H4819" s="39" t="n">
        <v>45930</v>
      </c>
      <c r="I4819" s="7" t="s">
        <v>14651</v>
      </c>
      <c r="J4819" s="8" t="str">
        <f aca="false">IF(I4819="Open",DATE(2025,12,31)-F4819,"-")</f>
        <v>-</v>
      </c>
    </row>
    <row r="4820" customFormat="false" ht="15" hidden="false" customHeight="false" outlineLevel="0" collapsed="false">
      <c r="B4820" s="7" t="s">
        <v>19465</v>
      </c>
      <c r="C4820" s="7" t="s">
        <v>5317</v>
      </c>
      <c r="D4820" s="7" t="s">
        <v>325</v>
      </c>
      <c r="E4820" s="7" t="s">
        <v>154</v>
      </c>
      <c r="F4820" s="39" t="n">
        <v>45890</v>
      </c>
      <c r="G4820" s="41" t="n">
        <v>72.08</v>
      </c>
      <c r="H4820" s="39" t="n">
        <v>45937</v>
      </c>
      <c r="I4820" s="7" t="s">
        <v>14651</v>
      </c>
      <c r="J4820" s="8" t="str">
        <f aca="false">IF(I4820="Open",DATE(2025,12,31)-F4820,"-")</f>
        <v>-</v>
      </c>
    </row>
    <row r="4821" customFormat="false" ht="15" hidden="false" customHeight="false" outlineLevel="0" collapsed="false">
      <c r="B4821" s="7" t="s">
        <v>19466</v>
      </c>
      <c r="C4821" s="7" t="s">
        <v>5318</v>
      </c>
      <c r="D4821" s="7" t="s">
        <v>329</v>
      </c>
      <c r="E4821" s="7" t="s">
        <v>156</v>
      </c>
      <c r="F4821" s="39" t="n">
        <v>45890</v>
      </c>
      <c r="G4821" s="41" t="n">
        <v>127.16</v>
      </c>
      <c r="H4821" s="39" t="n">
        <v>45898</v>
      </c>
      <c r="I4821" s="7" t="s">
        <v>14651</v>
      </c>
      <c r="J4821" s="8" t="str">
        <f aca="false">IF(I4821="Open",DATE(2025,12,31)-F4821,"-")</f>
        <v>-</v>
      </c>
    </row>
    <row r="4822" customFormat="false" ht="15" hidden="false" customHeight="false" outlineLevel="0" collapsed="false">
      <c r="B4822" s="7" t="s">
        <v>19467</v>
      </c>
      <c r="C4822" s="7" t="s">
        <v>5319</v>
      </c>
      <c r="D4822" s="7" t="s">
        <v>331</v>
      </c>
      <c r="E4822" s="7" t="s">
        <v>156</v>
      </c>
      <c r="F4822" s="39" t="n">
        <v>45890</v>
      </c>
      <c r="G4822" s="41" t="n">
        <v>129.54</v>
      </c>
      <c r="H4822" s="39" t="n">
        <v>45903</v>
      </c>
      <c r="I4822" s="7" t="s">
        <v>14651</v>
      </c>
      <c r="J4822" s="8" t="str">
        <f aca="false">IF(I4822="Open",DATE(2025,12,31)-F4822,"-")</f>
        <v>-</v>
      </c>
    </row>
    <row r="4823" customFormat="false" ht="15" hidden="false" customHeight="false" outlineLevel="0" collapsed="false">
      <c r="B4823" s="7" t="s">
        <v>19468</v>
      </c>
      <c r="C4823" s="7" t="s">
        <v>5320</v>
      </c>
      <c r="D4823" s="7" t="s">
        <v>341</v>
      </c>
      <c r="E4823" s="7" t="s">
        <v>156</v>
      </c>
      <c r="F4823" s="39" t="n">
        <v>45890</v>
      </c>
      <c r="G4823" s="41" t="n">
        <v>101.32</v>
      </c>
      <c r="H4823" s="39" t="n">
        <v>45900</v>
      </c>
      <c r="I4823" s="7" t="s">
        <v>14651</v>
      </c>
      <c r="J4823" s="8" t="str">
        <f aca="false">IF(I4823="Open",DATE(2025,12,31)-F4823,"-")</f>
        <v>-</v>
      </c>
    </row>
    <row r="4824" customFormat="false" ht="15" hidden="false" customHeight="false" outlineLevel="0" collapsed="false">
      <c r="B4824" s="7" t="s">
        <v>19469</v>
      </c>
      <c r="C4824" s="7" t="s">
        <v>5321</v>
      </c>
      <c r="D4824" s="7" t="s">
        <v>343</v>
      </c>
      <c r="E4824" s="7" t="s">
        <v>154</v>
      </c>
      <c r="F4824" s="39" t="n">
        <v>45890</v>
      </c>
      <c r="G4824" s="41" t="n">
        <v>112.89</v>
      </c>
      <c r="H4824" s="39" t="n">
        <v>45928</v>
      </c>
      <c r="I4824" s="7" t="s">
        <v>14651</v>
      </c>
      <c r="J4824" s="8" t="str">
        <f aca="false">IF(I4824="Open",DATE(2025,12,31)-F4824,"-")</f>
        <v>-</v>
      </c>
    </row>
    <row r="4825" customFormat="false" ht="15" hidden="false" customHeight="false" outlineLevel="0" collapsed="false">
      <c r="B4825" s="7" t="s">
        <v>19470</v>
      </c>
      <c r="C4825" s="7" t="s">
        <v>5322</v>
      </c>
      <c r="D4825" s="7" t="s">
        <v>351</v>
      </c>
      <c r="E4825" s="7" t="s">
        <v>154</v>
      </c>
      <c r="F4825" s="39" t="n">
        <v>45890</v>
      </c>
      <c r="G4825" s="41" t="n">
        <v>81.62</v>
      </c>
      <c r="H4825" s="39" t="n">
        <v>45980</v>
      </c>
      <c r="I4825" s="7" t="s">
        <v>14651</v>
      </c>
      <c r="J4825" s="8" t="str">
        <f aca="false">IF(I4825="Open",DATE(2025,12,31)-F4825,"-")</f>
        <v>-</v>
      </c>
    </row>
    <row r="4826" customFormat="false" ht="15" hidden="false" customHeight="false" outlineLevel="0" collapsed="false">
      <c r="B4826" s="7" t="s">
        <v>19471</v>
      </c>
      <c r="C4826" s="7" t="s">
        <v>5323</v>
      </c>
      <c r="D4826" s="7" t="s">
        <v>359</v>
      </c>
      <c r="E4826" s="7" t="s">
        <v>156</v>
      </c>
      <c r="F4826" s="39" t="n">
        <v>45890</v>
      </c>
      <c r="G4826" s="41" t="n">
        <v>138.04</v>
      </c>
      <c r="H4826" s="39" t="n">
        <v>45900</v>
      </c>
      <c r="I4826" s="7" t="s">
        <v>14651</v>
      </c>
      <c r="J4826" s="8" t="str">
        <f aca="false">IF(I4826="Open",DATE(2025,12,31)-F4826,"-")</f>
        <v>-</v>
      </c>
    </row>
    <row r="4827" customFormat="false" ht="15" hidden="false" customHeight="false" outlineLevel="0" collapsed="false">
      <c r="B4827" s="7" t="s">
        <v>19472</v>
      </c>
      <c r="C4827" s="7" t="s">
        <v>5324</v>
      </c>
      <c r="D4827" s="7" t="s">
        <v>363</v>
      </c>
      <c r="E4827" s="7" t="s">
        <v>156</v>
      </c>
      <c r="F4827" s="39" t="n">
        <v>45890</v>
      </c>
      <c r="G4827" s="41" t="n">
        <v>128.52</v>
      </c>
      <c r="H4827" s="39" t="n">
        <v>45903</v>
      </c>
      <c r="I4827" s="7" t="s">
        <v>14651</v>
      </c>
      <c r="J4827" s="8" t="str">
        <f aca="false">IF(I4827="Open",DATE(2025,12,31)-F4827,"-")</f>
        <v>-</v>
      </c>
    </row>
    <row r="4828" customFormat="false" ht="15" hidden="false" customHeight="false" outlineLevel="0" collapsed="false">
      <c r="B4828" s="7" t="s">
        <v>19473</v>
      </c>
      <c r="C4828" s="7" t="s">
        <v>5325</v>
      </c>
      <c r="D4828" s="7" t="s">
        <v>365</v>
      </c>
      <c r="E4828" s="7" t="s">
        <v>154</v>
      </c>
      <c r="F4828" s="39" t="n">
        <v>45890</v>
      </c>
      <c r="G4828" s="41" t="n">
        <v>111.04</v>
      </c>
      <c r="H4828" s="39" t="n">
        <v>45942</v>
      </c>
      <c r="I4828" s="7" t="s">
        <v>14651</v>
      </c>
      <c r="J4828" s="8" t="str">
        <f aca="false">IF(I4828="Open",DATE(2025,12,31)-F4828,"-")</f>
        <v>-</v>
      </c>
    </row>
    <row r="4829" customFormat="false" ht="15" hidden="false" customHeight="false" outlineLevel="0" collapsed="false">
      <c r="B4829" s="7" t="s">
        <v>19474</v>
      </c>
      <c r="C4829" s="7" t="s">
        <v>5326</v>
      </c>
      <c r="D4829" s="7" t="s">
        <v>375</v>
      </c>
      <c r="E4829" s="7" t="s">
        <v>156</v>
      </c>
      <c r="F4829" s="39" t="n">
        <v>45890</v>
      </c>
      <c r="G4829" s="41" t="n">
        <v>99.96</v>
      </c>
      <c r="H4829" s="39" t="n">
        <v>45895</v>
      </c>
      <c r="I4829" s="7" t="s">
        <v>14651</v>
      </c>
      <c r="J4829" s="8" t="str">
        <f aca="false">IF(I4829="Open",DATE(2025,12,31)-F4829,"-")</f>
        <v>-</v>
      </c>
    </row>
    <row r="4830" customFormat="false" ht="15" hidden="false" customHeight="false" outlineLevel="0" collapsed="false">
      <c r="B4830" s="7" t="s">
        <v>19475</v>
      </c>
      <c r="C4830" s="7" t="s">
        <v>5327</v>
      </c>
      <c r="D4830" s="7" t="s">
        <v>377</v>
      </c>
      <c r="E4830" s="7" t="s">
        <v>154</v>
      </c>
      <c r="F4830" s="39" t="n">
        <v>45890</v>
      </c>
      <c r="G4830" s="41" t="n">
        <v>114.75</v>
      </c>
      <c r="H4830" s="39" t="n">
        <v>45945</v>
      </c>
      <c r="I4830" s="7" t="s">
        <v>14651</v>
      </c>
      <c r="J4830" s="8" t="str">
        <f aca="false">IF(I4830="Open",DATE(2025,12,31)-F4830,"-")</f>
        <v>-</v>
      </c>
    </row>
    <row r="4831" customFormat="false" ht="15" hidden="false" customHeight="false" outlineLevel="0" collapsed="false">
      <c r="B4831" s="7" t="s">
        <v>19476</v>
      </c>
      <c r="C4831" s="7" t="s">
        <v>5328</v>
      </c>
      <c r="D4831" s="7" t="s">
        <v>387</v>
      </c>
      <c r="E4831" s="7" t="s">
        <v>154</v>
      </c>
      <c r="F4831" s="39" t="n">
        <v>45890</v>
      </c>
      <c r="G4831" s="41" t="n">
        <v>110.77</v>
      </c>
      <c r="H4831" s="39" t="n">
        <v>45932</v>
      </c>
      <c r="I4831" s="7" t="s">
        <v>14651</v>
      </c>
      <c r="J4831" s="8" t="str">
        <f aca="false">IF(I4831="Open",DATE(2025,12,31)-F4831,"-")</f>
        <v>-</v>
      </c>
    </row>
    <row r="4832" customFormat="false" ht="15" hidden="false" customHeight="false" outlineLevel="0" collapsed="false">
      <c r="B4832" s="7" t="s">
        <v>19477</v>
      </c>
      <c r="C4832" s="7" t="s">
        <v>5329</v>
      </c>
      <c r="D4832" s="7" t="s">
        <v>389</v>
      </c>
      <c r="E4832" s="7" t="s">
        <v>154</v>
      </c>
      <c r="F4832" s="39" t="n">
        <v>45890</v>
      </c>
      <c r="G4832" s="41" t="n">
        <v>115.54</v>
      </c>
      <c r="H4832" s="39" t="n">
        <v>45993</v>
      </c>
      <c r="I4832" s="7" t="s">
        <v>14651</v>
      </c>
      <c r="J4832" s="8" t="str">
        <f aca="false">IF(I4832="Open",DATE(2025,12,31)-F4832,"-")</f>
        <v>-</v>
      </c>
    </row>
    <row r="4833" customFormat="false" ht="15" hidden="false" customHeight="false" outlineLevel="0" collapsed="false">
      <c r="B4833" s="7" t="s">
        <v>19478</v>
      </c>
      <c r="C4833" s="7" t="s">
        <v>5330</v>
      </c>
      <c r="D4833" s="7" t="s">
        <v>391</v>
      </c>
      <c r="E4833" s="7" t="s">
        <v>156</v>
      </c>
      <c r="F4833" s="39" t="n">
        <v>45890</v>
      </c>
      <c r="G4833" s="41" t="n">
        <v>127.16</v>
      </c>
      <c r="H4833" s="39" t="n">
        <v>45902</v>
      </c>
      <c r="I4833" s="7" t="s">
        <v>14651</v>
      </c>
      <c r="J4833" s="8" t="str">
        <f aca="false">IF(I4833="Open",DATE(2025,12,31)-F4833,"-")</f>
        <v>-</v>
      </c>
    </row>
    <row r="4834" customFormat="false" ht="15" hidden="false" customHeight="false" outlineLevel="0" collapsed="false">
      <c r="B4834" s="7" t="s">
        <v>19479</v>
      </c>
      <c r="C4834" s="7" t="s">
        <v>5331</v>
      </c>
      <c r="D4834" s="7" t="s">
        <v>395</v>
      </c>
      <c r="E4834" s="7" t="s">
        <v>156</v>
      </c>
      <c r="F4834" s="39" t="n">
        <v>45890</v>
      </c>
      <c r="G4834" s="41" t="n">
        <v>141.44</v>
      </c>
      <c r="H4834" s="39" t="n">
        <v>45897</v>
      </c>
      <c r="I4834" s="7" t="s">
        <v>14651</v>
      </c>
      <c r="J4834" s="8" t="str">
        <f aca="false">IF(I4834="Open",DATE(2025,12,31)-F4834,"-")</f>
        <v>-</v>
      </c>
    </row>
    <row r="4835" customFormat="false" ht="15" hidden="false" customHeight="false" outlineLevel="0" collapsed="false">
      <c r="B4835" s="7" t="s">
        <v>19480</v>
      </c>
      <c r="C4835" s="7" t="s">
        <v>5332</v>
      </c>
      <c r="D4835" s="7" t="s">
        <v>401</v>
      </c>
      <c r="E4835" s="7" t="s">
        <v>156</v>
      </c>
      <c r="F4835" s="39" t="n">
        <v>45890</v>
      </c>
      <c r="G4835" s="41" t="n">
        <v>141.1</v>
      </c>
      <c r="H4835" s="39" t="n">
        <v>45904</v>
      </c>
      <c r="I4835" s="7" t="s">
        <v>14651</v>
      </c>
      <c r="J4835" s="8" t="str">
        <f aca="false">IF(I4835="Open",DATE(2025,12,31)-F4835,"-")</f>
        <v>-</v>
      </c>
    </row>
    <row r="4836" customFormat="false" ht="15" hidden="false" customHeight="false" outlineLevel="0" collapsed="false">
      <c r="B4836" s="7" t="s">
        <v>19481</v>
      </c>
      <c r="C4836" s="7" t="s">
        <v>5333</v>
      </c>
      <c r="D4836" s="7" t="s">
        <v>280</v>
      </c>
      <c r="E4836" s="7" t="s">
        <v>157</v>
      </c>
      <c r="F4836" s="39" t="n">
        <v>45891</v>
      </c>
      <c r="G4836" s="41" t="n">
        <v>179.85</v>
      </c>
      <c r="H4836" s="39" t="n">
        <v>45939</v>
      </c>
      <c r="I4836" s="7" t="s">
        <v>14651</v>
      </c>
      <c r="J4836" s="8" t="str">
        <f aca="false">IF(I4836="Open",DATE(2025,12,31)-F4836,"-")</f>
        <v>-</v>
      </c>
    </row>
    <row r="4837" customFormat="false" ht="15" hidden="false" customHeight="false" outlineLevel="0" collapsed="false">
      <c r="B4837" s="7" t="s">
        <v>19482</v>
      </c>
      <c r="C4837" s="7" t="s">
        <v>5334</v>
      </c>
      <c r="D4837" s="7" t="s">
        <v>288</v>
      </c>
      <c r="E4837" s="7" t="s">
        <v>156</v>
      </c>
      <c r="F4837" s="39" t="n">
        <v>45891</v>
      </c>
      <c r="G4837" s="41" t="n">
        <v>132.6</v>
      </c>
      <c r="H4837" s="39" t="n">
        <v>45902</v>
      </c>
      <c r="I4837" s="7" t="s">
        <v>14651</v>
      </c>
      <c r="J4837" s="8" t="str">
        <f aca="false">IF(I4837="Open",DATE(2025,12,31)-F4837,"-")</f>
        <v>-</v>
      </c>
    </row>
    <row r="4838" customFormat="false" ht="15" hidden="false" customHeight="false" outlineLevel="0" collapsed="false">
      <c r="B4838" s="7" t="s">
        <v>19483</v>
      </c>
      <c r="C4838" s="7" t="s">
        <v>5335</v>
      </c>
      <c r="D4838" s="7" t="s">
        <v>291</v>
      </c>
      <c r="E4838" s="7" t="s">
        <v>154</v>
      </c>
      <c r="F4838" s="39" t="n">
        <v>45891</v>
      </c>
      <c r="G4838" s="41" t="n">
        <v>134.88</v>
      </c>
      <c r="H4838" s="39" t="n">
        <v>45950</v>
      </c>
      <c r="I4838" s="7" t="s">
        <v>14651</v>
      </c>
      <c r="J4838" s="8" t="str">
        <f aca="false">IF(I4838="Open",DATE(2025,12,31)-F4838,"-")</f>
        <v>-</v>
      </c>
    </row>
    <row r="4839" customFormat="false" ht="15" hidden="false" customHeight="false" outlineLevel="0" collapsed="false">
      <c r="B4839" s="7" t="s">
        <v>19484</v>
      </c>
      <c r="C4839" s="7" t="s">
        <v>5336</v>
      </c>
      <c r="D4839" s="7" t="s">
        <v>295</v>
      </c>
      <c r="E4839" s="7" t="s">
        <v>154</v>
      </c>
      <c r="F4839" s="39" t="n">
        <v>45891</v>
      </c>
      <c r="G4839" s="41" t="n">
        <v>95.66</v>
      </c>
      <c r="H4839" s="39" t="n">
        <v>45951</v>
      </c>
      <c r="I4839" s="7" t="s">
        <v>14651</v>
      </c>
      <c r="J4839" s="8" t="str">
        <f aca="false">IF(I4839="Open",DATE(2025,12,31)-F4839,"-")</f>
        <v>-</v>
      </c>
    </row>
    <row r="4840" customFormat="false" ht="15" hidden="false" customHeight="false" outlineLevel="0" collapsed="false">
      <c r="B4840" s="7" t="s">
        <v>19485</v>
      </c>
      <c r="C4840" s="7" t="s">
        <v>5337</v>
      </c>
      <c r="D4840" s="7" t="s">
        <v>301</v>
      </c>
      <c r="E4840" s="7" t="s">
        <v>157</v>
      </c>
      <c r="F4840" s="39" t="n">
        <v>45891</v>
      </c>
      <c r="G4840" s="41" t="n">
        <v>171.6</v>
      </c>
      <c r="H4840" s="39" t="n">
        <v>45917</v>
      </c>
      <c r="I4840" s="7" t="s">
        <v>14651</v>
      </c>
      <c r="J4840" s="8" t="str">
        <f aca="false">IF(I4840="Open",DATE(2025,12,31)-F4840,"-")</f>
        <v>-</v>
      </c>
    </row>
    <row r="4841" customFormat="false" ht="15" hidden="false" customHeight="false" outlineLevel="0" collapsed="false">
      <c r="B4841" s="7" t="s">
        <v>19486</v>
      </c>
      <c r="C4841" s="7" t="s">
        <v>5338</v>
      </c>
      <c r="D4841" s="7" t="s">
        <v>305</v>
      </c>
      <c r="E4841" s="7" t="s">
        <v>154</v>
      </c>
      <c r="F4841" s="39" t="n">
        <v>45891</v>
      </c>
      <c r="G4841" s="41" t="n">
        <v>96.65</v>
      </c>
      <c r="H4841" s="39" t="n">
        <v>45951</v>
      </c>
      <c r="I4841" s="7" t="s">
        <v>14651</v>
      </c>
      <c r="J4841" s="8" t="str">
        <f aca="false">IF(I4841="Open",DATE(2025,12,31)-F4841,"-")</f>
        <v>-</v>
      </c>
    </row>
    <row r="4842" customFormat="false" ht="15" hidden="false" customHeight="false" outlineLevel="0" collapsed="false">
      <c r="B4842" s="7" t="s">
        <v>19487</v>
      </c>
      <c r="C4842" s="7" t="s">
        <v>5339</v>
      </c>
      <c r="D4842" s="7" t="s">
        <v>307</v>
      </c>
      <c r="E4842" s="7" t="s">
        <v>157</v>
      </c>
      <c r="F4842" s="39" t="n">
        <v>45891</v>
      </c>
      <c r="G4842" s="41" t="n">
        <v>171.6</v>
      </c>
      <c r="H4842" s="39" t="n">
        <v>45925</v>
      </c>
      <c r="I4842" s="7" t="s">
        <v>14651</v>
      </c>
      <c r="J4842" s="8" t="str">
        <f aca="false">IF(I4842="Open",DATE(2025,12,31)-F4842,"-")</f>
        <v>-</v>
      </c>
    </row>
    <row r="4843" customFormat="false" ht="15" hidden="false" customHeight="false" outlineLevel="0" collapsed="false">
      <c r="B4843" s="7" t="s">
        <v>19488</v>
      </c>
      <c r="C4843" s="7" t="s">
        <v>5340</v>
      </c>
      <c r="D4843" s="7" t="s">
        <v>309</v>
      </c>
      <c r="E4843" s="7" t="s">
        <v>159</v>
      </c>
      <c r="F4843" s="39" t="n">
        <v>45891</v>
      </c>
      <c r="G4843" s="41" t="n">
        <v>147.15</v>
      </c>
      <c r="H4843" s="39" t="n">
        <v>45992</v>
      </c>
      <c r="I4843" s="7" t="s">
        <v>14651</v>
      </c>
      <c r="J4843" s="8" t="str">
        <f aca="false">IF(I4843="Open",DATE(2025,12,31)-F4843,"-")</f>
        <v>-</v>
      </c>
    </row>
    <row r="4844" customFormat="false" ht="15" hidden="false" customHeight="false" outlineLevel="0" collapsed="false">
      <c r="B4844" s="7" t="s">
        <v>19489</v>
      </c>
      <c r="C4844" s="7" t="s">
        <v>5341</v>
      </c>
      <c r="D4844" s="7" t="s">
        <v>313</v>
      </c>
      <c r="E4844" s="7" t="s">
        <v>156</v>
      </c>
      <c r="F4844" s="39" t="n">
        <v>45891</v>
      </c>
      <c r="G4844" s="41" t="n">
        <v>135.66</v>
      </c>
      <c r="H4844" s="39" t="n">
        <v>45893</v>
      </c>
      <c r="I4844" s="7" t="s">
        <v>14651</v>
      </c>
      <c r="J4844" s="8" t="str">
        <f aca="false">IF(I4844="Open",DATE(2025,12,31)-F4844,"-")</f>
        <v>-</v>
      </c>
    </row>
    <row r="4845" customFormat="false" ht="15" hidden="false" customHeight="false" outlineLevel="0" collapsed="false">
      <c r="B4845" s="7" t="s">
        <v>19490</v>
      </c>
      <c r="C4845" s="7" t="s">
        <v>5342</v>
      </c>
      <c r="D4845" s="7" t="s">
        <v>315</v>
      </c>
      <c r="E4845" s="7" t="s">
        <v>159</v>
      </c>
      <c r="F4845" s="39" t="n">
        <v>45891</v>
      </c>
      <c r="G4845" s="41" t="n">
        <v>140.4</v>
      </c>
      <c r="H4845" s="39" t="n">
        <v>45952</v>
      </c>
      <c r="I4845" s="7" t="s">
        <v>14651</v>
      </c>
      <c r="J4845" s="8" t="str">
        <f aca="false">IF(I4845="Open",DATE(2025,12,31)-F4845,"-")</f>
        <v>-</v>
      </c>
    </row>
    <row r="4846" customFormat="false" ht="15" hidden="false" customHeight="false" outlineLevel="0" collapsed="false">
      <c r="B4846" s="7" t="s">
        <v>19491</v>
      </c>
      <c r="C4846" s="7" t="s">
        <v>5343</v>
      </c>
      <c r="D4846" s="7" t="s">
        <v>319</v>
      </c>
      <c r="E4846" s="7" t="s">
        <v>157</v>
      </c>
      <c r="F4846" s="39" t="n">
        <v>45891</v>
      </c>
      <c r="G4846" s="41" t="n">
        <v>150.15</v>
      </c>
      <c r="H4846" s="39" t="n">
        <v>45933</v>
      </c>
      <c r="I4846" s="7" t="s">
        <v>14651</v>
      </c>
      <c r="J4846" s="8" t="str">
        <f aca="false">IF(I4846="Open",DATE(2025,12,31)-F4846,"-")</f>
        <v>-</v>
      </c>
    </row>
    <row r="4847" customFormat="false" ht="15" hidden="false" customHeight="false" outlineLevel="0" collapsed="false">
      <c r="B4847" s="7" t="s">
        <v>19492</v>
      </c>
      <c r="C4847" s="7" t="s">
        <v>5344</v>
      </c>
      <c r="D4847" s="7" t="s">
        <v>321</v>
      </c>
      <c r="E4847" s="7" t="s">
        <v>154</v>
      </c>
      <c r="F4847" s="39" t="n">
        <v>45891</v>
      </c>
      <c r="G4847" s="41" t="n">
        <v>102.03</v>
      </c>
      <c r="H4847" s="39" t="n">
        <v>46000</v>
      </c>
      <c r="I4847" s="7" t="s">
        <v>14651</v>
      </c>
      <c r="J4847" s="8" t="str">
        <f aca="false">IF(I4847="Open",DATE(2025,12,31)-F4847,"-")</f>
        <v>-</v>
      </c>
    </row>
    <row r="4848" customFormat="false" ht="15" hidden="false" customHeight="false" outlineLevel="0" collapsed="false">
      <c r="B4848" s="7" t="s">
        <v>19493</v>
      </c>
      <c r="C4848" s="7" t="s">
        <v>5345</v>
      </c>
      <c r="D4848" s="7" t="s">
        <v>323</v>
      </c>
      <c r="E4848" s="7" t="s">
        <v>159</v>
      </c>
      <c r="F4848" s="39" t="n">
        <v>45891</v>
      </c>
      <c r="G4848" s="41" t="n">
        <v>121.77</v>
      </c>
      <c r="H4848" s="39" t="n">
        <v>45915</v>
      </c>
      <c r="I4848" s="7" t="s">
        <v>14651</v>
      </c>
      <c r="J4848" s="8" t="str">
        <f aca="false">IF(I4848="Open",DATE(2025,12,31)-F4848,"-")</f>
        <v>-</v>
      </c>
    </row>
    <row r="4849" customFormat="false" ht="15" hidden="false" customHeight="false" outlineLevel="0" collapsed="false">
      <c r="B4849" s="7" t="s">
        <v>19494</v>
      </c>
      <c r="C4849" s="7" t="s">
        <v>5346</v>
      </c>
      <c r="D4849" s="7" t="s">
        <v>327</v>
      </c>
      <c r="E4849" s="7" t="s">
        <v>157</v>
      </c>
      <c r="F4849" s="39" t="n">
        <v>45891</v>
      </c>
      <c r="G4849" s="41" t="n">
        <v>173.25</v>
      </c>
      <c r="H4849" s="39" t="n">
        <v>45919</v>
      </c>
      <c r="I4849" s="7" t="s">
        <v>14651</v>
      </c>
      <c r="J4849" s="8" t="str">
        <f aca="false">IF(I4849="Open",DATE(2025,12,31)-F4849,"-")</f>
        <v>-</v>
      </c>
    </row>
    <row r="4850" customFormat="false" ht="15" hidden="false" customHeight="false" outlineLevel="0" collapsed="false">
      <c r="B4850" s="7" t="s">
        <v>19495</v>
      </c>
      <c r="C4850" s="7" t="s">
        <v>5347</v>
      </c>
      <c r="D4850" s="7" t="s">
        <v>329</v>
      </c>
      <c r="E4850" s="7" t="s">
        <v>156</v>
      </c>
      <c r="F4850" s="39" t="n">
        <v>45891</v>
      </c>
      <c r="G4850" s="41" t="n">
        <v>144.5</v>
      </c>
      <c r="H4850" s="39" t="n">
        <v>45904</v>
      </c>
      <c r="I4850" s="7" t="s">
        <v>14651</v>
      </c>
      <c r="J4850" s="8" t="str">
        <f aca="false">IF(I4850="Open",DATE(2025,12,31)-F4850,"-")</f>
        <v>-</v>
      </c>
    </row>
    <row r="4851" customFormat="false" ht="15" hidden="false" customHeight="false" outlineLevel="0" collapsed="false">
      <c r="B4851" s="7" t="s">
        <v>19496</v>
      </c>
      <c r="C4851" s="7" t="s">
        <v>5348</v>
      </c>
      <c r="D4851" s="7" t="s">
        <v>335</v>
      </c>
      <c r="E4851" s="7" t="s">
        <v>154</v>
      </c>
      <c r="F4851" s="39" t="n">
        <v>45891</v>
      </c>
      <c r="G4851" s="41" t="n">
        <v>106.53</v>
      </c>
      <c r="H4851" s="39" t="n">
        <v>45923</v>
      </c>
      <c r="I4851" s="7" t="s">
        <v>14651</v>
      </c>
      <c r="J4851" s="8" t="str">
        <f aca="false">IF(I4851="Open",DATE(2025,12,31)-F4851,"-")</f>
        <v>-</v>
      </c>
    </row>
    <row r="4852" customFormat="false" ht="15" hidden="false" customHeight="false" outlineLevel="0" collapsed="false">
      <c r="B4852" s="7" t="s">
        <v>19497</v>
      </c>
      <c r="C4852" s="7" t="s">
        <v>5349</v>
      </c>
      <c r="D4852" s="7" t="s">
        <v>339</v>
      </c>
      <c r="E4852" s="7" t="s">
        <v>154</v>
      </c>
      <c r="F4852" s="39" t="n">
        <v>45891</v>
      </c>
      <c r="G4852" s="41" t="n">
        <v>94.6</v>
      </c>
      <c r="H4852" s="39" t="n">
        <v>45970</v>
      </c>
      <c r="I4852" s="7" t="s">
        <v>14651</v>
      </c>
      <c r="J4852" s="8" t="str">
        <f aca="false">IF(I4852="Open",DATE(2025,12,31)-F4852,"-")</f>
        <v>-</v>
      </c>
    </row>
    <row r="4853" customFormat="false" ht="15" hidden="false" customHeight="false" outlineLevel="0" collapsed="false">
      <c r="B4853" s="7" t="s">
        <v>19498</v>
      </c>
      <c r="C4853" s="7" t="s">
        <v>5350</v>
      </c>
      <c r="D4853" s="7" t="s">
        <v>347</v>
      </c>
      <c r="E4853" s="7" t="s">
        <v>154</v>
      </c>
      <c r="F4853" s="39" t="n">
        <v>45891</v>
      </c>
      <c r="G4853" s="41" t="n">
        <v>117.93</v>
      </c>
      <c r="H4853" s="39" t="n">
        <v>45935</v>
      </c>
      <c r="I4853" s="7" t="s">
        <v>14651</v>
      </c>
      <c r="J4853" s="8" t="str">
        <f aca="false">IF(I4853="Open",DATE(2025,12,31)-F4853,"-")</f>
        <v>-</v>
      </c>
    </row>
    <row r="4854" customFormat="false" ht="15" hidden="false" customHeight="false" outlineLevel="0" collapsed="false">
      <c r="B4854" s="7" t="s">
        <v>19499</v>
      </c>
      <c r="C4854" s="7" t="s">
        <v>5351</v>
      </c>
      <c r="D4854" s="7" t="s">
        <v>353</v>
      </c>
      <c r="E4854" s="7" t="s">
        <v>154</v>
      </c>
      <c r="F4854" s="39" t="n">
        <v>45891</v>
      </c>
      <c r="G4854" s="41" t="n">
        <v>90.9</v>
      </c>
      <c r="H4854" s="39" t="n">
        <v>45937</v>
      </c>
      <c r="I4854" s="7" t="s">
        <v>14651</v>
      </c>
      <c r="J4854" s="8" t="str">
        <f aca="false">IF(I4854="Open",DATE(2025,12,31)-F4854,"-")</f>
        <v>-</v>
      </c>
    </row>
    <row r="4855" customFormat="false" ht="15" hidden="false" customHeight="false" outlineLevel="0" collapsed="false">
      <c r="B4855" s="7" t="s">
        <v>19500</v>
      </c>
      <c r="C4855" s="7" t="s">
        <v>5352</v>
      </c>
      <c r="D4855" s="7" t="s">
        <v>355</v>
      </c>
      <c r="E4855" s="7" t="s">
        <v>154</v>
      </c>
      <c r="F4855" s="39" t="n">
        <v>45891</v>
      </c>
      <c r="G4855" s="41" t="n">
        <v>93.55</v>
      </c>
      <c r="H4855" s="39" t="n">
        <v>45964</v>
      </c>
      <c r="I4855" s="7" t="s">
        <v>14651</v>
      </c>
      <c r="J4855" s="8" t="str">
        <f aca="false">IF(I4855="Open",DATE(2025,12,31)-F4855,"-")</f>
        <v>-</v>
      </c>
    </row>
    <row r="4856" customFormat="false" ht="15" hidden="false" customHeight="false" outlineLevel="0" collapsed="false">
      <c r="B4856" s="7" t="s">
        <v>19501</v>
      </c>
      <c r="C4856" s="7" t="s">
        <v>5353</v>
      </c>
      <c r="D4856" s="7" t="s">
        <v>357</v>
      </c>
      <c r="E4856" s="7" t="s">
        <v>154</v>
      </c>
      <c r="F4856" s="39" t="n">
        <v>45891</v>
      </c>
      <c r="G4856" s="41" t="n">
        <v>87.45</v>
      </c>
      <c r="H4856" s="39" t="n">
        <v>45921</v>
      </c>
      <c r="I4856" s="7" t="s">
        <v>14651</v>
      </c>
      <c r="J4856" s="8" t="str">
        <f aca="false">IF(I4856="Open",DATE(2025,12,31)-F4856,"-")</f>
        <v>-</v>
      </c>
    </row>
    <row r="4857" customFormat="false" ht="15" hidden="false" customHeight="false" outlineLevel="0" collapsed="false">
      <c r="B4857" s="7" t="s">
        <v>19502</v>
      </c>
      <c r="C4857" s="7" t="s">
        <v>5354</v>
      </c>
      <c r="D4857" s="7" t="s">
        <v>359</v>
      </c>
      <c r="E4857" s="7" t="s">
        <v>156</v>
      </c>
      <c r="F4857" s="39" t="n">
        <v>45891</v>
      </c>
      <c r="G4857" s="41" t="n">
        <v>125.8</v>
      </c>
      <c r="H4857" s="39" t="n">
        <v>45906</v>
      </c>
      <c r="I4857" s="7" t="s">
        <v>14651</v>
      </c>
      <c r="J4857" s="8" t="str">
        <f aca="false">IF(I4857="Open",DATE(2025,12,31)-F4857,"-")</f>
        <v>-</v>
      </c>
    </row>
    <row r="4858" customFormat="false" ht="15" hidden="false" customHeight="false" outlineLevel="0" collapsed="false">
      <c r="B4858" s="7" t="s">
        <v>19503</v>
      </c>
      <c r="C4858" s="7" t="s">
        <v>5355</v>
      </c>
      <c r="D4858" s="7" t="s">
        <v>361</v>
      </c>
      <c r="E4858" s="7" t="s">
        <v>157</v>
      </c>
      <c r="F4858" s="39" t="n">
        <v>45891</v>
      </c>
      <c r="G4858" s="41" t="n">
        <v>168.3</v>
      </c>
      <c r="H4858" s="39" t="n">
        <v>45940</v>
      </c>
      <c r="I4858" s="7" t="s">
        <v>14651</v>
      </c>
      <c r="J4858" s="8" t="str">
        <f aca="false">IF(I4858="Open",DATE(2025,12,31)-F4858,"-")</f>
        <v>-</v>
      </c>
    </row>
    <row r="4859" customFormat="false" ht="15" hidden="false" customHeight="false" outlineLevel="0" collapsed="false">
      <c r="B4859" s="7" t="s">
        <v>19504</v>
      </c>
      <c r="C4859" s="7" t="s">
        <v>5356</v>
      </c>
      <c r="D4859" s="7" t="s">
        <v>365</v>
      </c>
      <c r="E4859" s="7" t="s">
        <v>154</v>
      </c>
      <c r="F4859" s="39" t="n">
        <v>45891</v>
      </c>
      <c r="G4859" s="41" t="n">
        <v>95.66</v>
      </c>
      <c r="H4859" s="39" t="n">
        <v>45997</v>
      </c>
      <c r="I4859" s="7" t="s">
        <v>14651</v>
      </c>
      <c r="J4859" s="8" t="str">
        <f aca="false">IF(I4859="Open",DATE(2025,12,31)-F4859,"-")</f>
        <v>-</v>
      </c>
    </row>
    <row r="4860" customFormat="false" ht="15" hidden="false" customHeight="false" outlineLevel="0" collapsed="false">
      <c r="B4860" s="7" t="s">
        <v>19505</v>
      </c>
      <c r="C4860" s="7" t="s">
        <v>5357</v>
      </c>
      <c r="D4860" s="7" t="s">
        <v>369</v>
      </c>
      <c r="E4860" s="7" t="s">
        <v>159</v>
      </c>
      <c r="F4860" s="39" t="n">
        <v>45891</v>
      </c>
      <c r="G4860" s="41" t="n">
        <v>135</v>
      </c>
      <c r="H4860" s="39" t="n">
        <v>45987</v>
      </c>
      <c r="I4860" s="7" t="s">
        <v>14651</v>
      </c>
      <c r="J4860" s="8" t="str">
        <f aca="false">IF(I4860="Open",DATE(2025,12,31)-F4860,"-")</f>
        <v>-</v>
      </c>
    </row>
    <row r="4861" customFormat="false" ht="15" hidden="false" customHeight="false" outlineLevel="0" collapsed="false">
      <c r="B4861" s="7" t="s">
        <v>19506</v>
      </c>
      <c r="C4861" s="7" t="s">
        <v>5358</v>
      </c>
      <c r="D4861" s="7" t="s">
        <v>371</v>
      </c>
      <c r="E4861" s="7" t="s">
        <v>154</v>
      </c>
      <c r="F4861" s="39" t="n">
        <v>45891</v>
      </c>
      <c r="G4861" s="41" t="n">
        <v>121.37</v>
      </c>
      <c r="H4861" s="39" t="n">
        <v>45910</v>
      </c>
      <c r="I4861" s="7" t="s">
        <v>14651</v>
      </c>
      <c r="J4861" s="8" t="str">
        <f aca="false">IF(I4861="Open",DATE(2025,12,31)-F4861,"-")</f>
        <v>-</v>
      </c>
    </row>
    <row r="4862" customFormat="false" ht="15" hidden="false" customHeight="false" outlineLevel="0" collapsed="false">
      <c r="B4862" s="7" t="s">
        <v>19507</v>
      </c>
      <c r="C4862" s="7" t="s">
        <v>5359</v>
      </c>
      <c r="D4862" s="7" t="s">
        <v>379</v>
      </c>
      <c r="E4862" s="7" t="s">
        <v>156</v>
      </c>
      <c r="F4862" s="39" t="n">
        <v>45891</v>
      </c>
      <c r="G4862" s="41" t="n">
        <v>160.48</v>
      </c>
      <c r="H4862" s="39" t="n">
        <v>45898</v>
      </c>
      <c r="I4862" s="7" t="s">
        <v>14651</v>
      </c>
      <c r="J4862" s="8" t="str">
        <f aca="false">IF(I4862="Open",DATE(2025,12,31)-F4862,"-")</f>
        <v>-</v>
      </c>
    </row>
    <row r="4863" customFormat="false" ht="15" hidden="false" customHeight="false" outlineLevel="0" collapsed="false">
      <c r="B4863" s="7" t="s">
        <v>19508</v>
      </c>
      <c r="C4863" s="7" t="s">
        <v>5360</v>
      </c>
      <c r="D4863" s="7" t="s">
        <v>381</v>
      </c>
      <c r="E4863" s="7" t="s">
        <v>157</v>
      </c>
      <c r="F4863" s="39" t="n">
        <v>45891</v>
      </c>
      <c r="G4863" s="41" t="n">
        <v>161.7</v>
      </c>
      <c r="H4863" s="39" t="n">
        <v>45949</v>
      </c>
      <c r="I4863" s="7" t="s">
        <v>14651</v>
      </c>
      <c r="J4863" s="8" t="str">
        <f aca="false">IF(I4863="Open",DATE(2025,12,31)-F4863,"-")</f>
        <v>-</v>
      </c>
    </row>
    <row r="4864" customFormat="false" ht="15" hidden="false" customHeight="false" outlineLevel="0" collapsed="false">
      <c r="B4864" s="7" t="s">
        <v>19509</v>
      </c>
      <c r="C4864" s="7" t="s">
        <v>5361</v>
      </c>
      <c r="D4864" s="7" t="s">
        <v>383</v>
      </c>
      <c r="E4864" s="7" t="s">
        <v>157</v>
      </c>
      <c r="F4864" s="39" t="n">
        <v>45891</v>
      </c>
      <c r="G4864" s="41" t="n">
        <v>168.3</v>
      </c>
      <c r="H4864" s="39" t="n">
        <v>45955</v>
      </c>
      <c r="I4864" s="7" t="s">
        <v>14651</v>
      </c>
      <c r="J4864" s="8" t="str">
        <f aca="false">IF(I4864="Open",DATE(2025,12,31)-F4864,"-")</f>
        <v>-</v>
      </c>
    </row>
    <row r="4865" customFormat="false" ht="15" hidden="false" customHeight="false" outlineLevel="0" collapsed="false">
      <c r="B4865" s="7" t="s">
        <v>19510</v>
      </c>
      <c r="C4865" s="7" t="s">
        <v>5362</v>
      </c>
      <c r="D4865" s="7" t="s">
        <v>385</v>
      </c>
      <c r="E4865" s="7" t="s">
        <v>156</v>
      </c>
      <c r="F4865" s="39" t="n">
        <v>45891</v>
      </c>
      <c r="G4865" s="41" t="n">
        <v>137.02</v>
      </c>
      <c r="H4865" s="39" t="n">
        <v>45901</v>
      </c>
      <c r="I4865" s="7" t="s">
        <v>14651</v>
      </c>
      <c r="J4865" s="8" t="str">
        <f aca="false">IF(I4865="Open",DATE(2025,12,31)-F4865,"-")</f>
        <v>-</v>
      </c>
    </row>
    <row r="4866" customFormat="false" ht="15" hidden="false" customHeight="false" outlineLevel="0" collapsed="false">
      <c r="B4866" s="7" t="s">
        <v>19511</v>
      </c>
      <c r="C4866" s="7" t="s">
        <v>5363</v>
      </c>
      <c r="D4866" s="7" t="s">
        <v>387</v>
      </c>
      <c r="E4866" s="7" t="s">
        <v>154</v>
      </c>
      <c r="F4866" s="39" t="n">
        <v>45891</v>
      </c>
      <c r="G4866" s="41" t="n">
        <v>98.31</v>
      </c>
      <c r="H4866" s="39" t="n">
        <v>45968</v>
      </c>
      <c r="I4866" s="7" t="s">
        <v>14651</v>
      </c>
      <c r="J4866" s="8" t="str">
        <f aca="false">IF(I4866="Open",DATE(2025,12,31)-F4866,"-")</f>
        <v>-</v>
      </c>
    </row>
    <row r="4867" customFormat="false" ht="15" hidden="false" customHeight="false" outlineLevel="0" collapsed="false">
      <c r="B4867" s="7" t="s">
        <v>19512</v>
      </c>
      <c r="C4867" s="7" t="s">
        <v>5364</v>
      </c>
      <c r="D4867" s="7" t="s">
        <v>389</v>
      </c>
      <c r="E4867" s="7" t="s">
        <v>154</v>
      </c>
      <c r="F4867" s="39" t="n">
        <v>45891</v>
      </c>
      <c r="G4867" s="41" t="n">
        <v>116.33</v>
      </c>
      <c r="H4867" s="39" t="n">
        <v>45973</v>
      </c>
      <c r="I4867" s="7" t="s">
        <v>14651</v>
      </c>
      <c r="J4867" s="8" t="str">
        <f aca="false">IF(I4867="Open",DATE(2025,12,31)-F4867,"-")</f>
        <v>-</v>
      </c>
    </row>
    <row r="4868" customFormat="false" ht="15" hidden="false" customHeight="false" outlineLevel="0" collapsed="false">
      <c r="B4868" s="7" t="s">
        <v>19513</v>
      </c>
      <c r="C4868" s="7" t="s">
        <v>5365</v>
      </c>
      <c r="D4868" s="7" t="s">
        <v>391</v>
      </c>
      <c r="E4868" s="7" t="s">
        <v>156</v>
      </c>
      <c r="F4868" s="39" t="n">
        <v>45891</v>
      </c>
      <c r="G4868" s="41" t="n">
        <v>139.74</v>
      </c>
      <c r="H4868" s="39" t="n">
        <v>45909</v>
      </c>
      <c r="I4868" s="7" t="s">
        <v>14651</v>
      </c>
      <c r="J4868" s="8" t="str">
        <f aca="false">IF(I4868="Open",DATE(2025,12,31)-F4868,"-")</f>
        <v>-</v>
      </c>
    </row>
    <row r="4869" customFormat="false" ht="15" hidden="false" customHeight="false" outlineLevel="0" collapsed="false">
      <c r="B4869" s="7" t="s">
        <v>19514</v>
      </c>
      <c r="C4869" s="7" t="s">
        <v>5366</v>
      </c>
      <c r="D4869" s="7" t="s">
        <v>395</v>
      </c>
      <c r="E4869" s="7" t="s">
        <v>156</v>
      </c>
      <c r="F4869" s="39" t="n">
        <v>45891</v>
      </c>
      <c r="G4869" s="41" t="n">
        <v>132.26</v>
      </c>
      <c r="H4869" s="39" t="n">
        <v>45906</v>
      </c>
      <c r="I4869" s="7" t="s">
        <v>14651</v>
      </c>
      <c r="J4869" s="8" t="str">
        <f aca="false">IF(I4869="Open",DATE(2025,12,31)-F4869,"-")</f>
        <v>-</v>
      </c>
    </row>
    <row r="4870" customFormat="false" ht="15" hidden="false" customHeight="false" outlineLevel="0" collapsed="false">
      <c r="B4870" s="7" t="s">
        <v>19515</v>
      </c>
      <c r="C4870" s="7" t="s">
        <v>5367</v>
      </c>
      <c r="D4870" s="7" t="s">
        <v>397</v>
      </c>
      <c r="E4870" s="7" t="s">
        <v>159</v>
      </c>
      <c r="F4870" s="39" t="n">
        <v>45891</v>
      </c>
      <c r="G4870" s="41" t="n">
        <v>144.45</v>
      </c>
      <c r="H4870" s="39" t="n">
        <v>45921</v>
      </c>
      <c r="I4870" s="7" t="s">
        <v>14651</v>
      </c>
      <c r="J4870" s="8" t="str">
        <f aca="false">IF(I4870="Open",DATE(2025,12,31)-F4870,"-")</f>
        <v>-</v>
      </c>
    </row>
    <row r="4871" customFormat="false" ht="15" hidden="false" customHeight="false" outlineLevel="0" collapsed="false">
      <c r="B4871" s="7" t="s">
        <v>19516</v>
      </c>
      <c r="C4871" s="7" t="s">
        <v>5368</v>
      </c>
      <c r="D4871" s="7" t="s">
        <v>399</v>
      </c>
      <c r="E4871" s="7" t="s">
        <v>154</v>
      </c>
      <c r="F4871" s="39" t="n">
        <v>45891</v>
      </c>
      <c r="G4871" s="41" t="n">
        <v>84.8</v>
      </c>
      <c r="H4871" s="39" t="n">
        <v>45934</v>
      </c>
      <c r="I4871" s="7" t="s">
        <v>14651</v>
      </c>
      <c r="J4871" s="8" t="str">
        <f aca="false">IF(I4871="Open",DATE(2025,12,31)-F4871,"-")</f>
        <v>-</v>
      </c>
    </row>
    <row r="4872" customFormat="false" ht="15" hidden="false" customHeight="false" outlineLevel="0" collapsed="false">
      <c r="B4872" s="7" t="s">
        <v>19517</v>
      </c>
      <c r="C4872" s="7" t="s">
        <v>5369</v>
      </c>
      <c r="D4872" s="7" t="s">
        <v>401</v>
      </c>
      <c r="E4872" s="7" t="s">
        <v>156</v>
      </c>
      <c r="F4872" s="39" t="n">
        <v>45891</v>
      </c>
      <c r="G4872" s="41" t="n">
        <v>144.5</v>
      </c>
      <c r="H4872" s="39" t="n">
        <v>45908</v>
      </c>
      <c r="I4872" s="7" t="s">
        <v>14651</v>
      </c>
      <c r="J4872" s="8" t="str">
        <f aca="false">IF(I4872="Open",DATE(2025,12,31)-F4872,"-")</f>
        <v>-</v>
      </c>
    </row>
    <row r="4873" customFormat="false" ht="15" hidden="false" customHeight="false" outlineLevel="0" collapsed="false">
      <c r="B4873" s="7" t="s">
        <v>19518</v>
      </c>
      <c r="C4873" s="7" t="s">
        <v>5370</v>
      </c>
      <c r="D4873" s="7" t="s">
        <v>403</v>
      </c>
      <c r="E4873" s="7" t="s">
        <v>156</v>
      </c>
      <c r="F4873" s="39" t="n">
        <v>45891</v>
      </c>
      <c r="G4873" s="41" t="n">
        <v>126.14</v>
      </c>
      <c r="H4873" s="39" t="n">
        <v>45907</v>
      </c>
      <c r="I4873" s="7" t="s">
        <v>14651</v>
      </c>
      <c r="J4873" s="8" t="str">
        <f aca="false">IF(I4873="Open",DATE(2025,12,31)-F4873,"-")</f>
        <v>-</v>
      </c>
    </row>
    <row r="4874" customFormat="false" ht="15" hidden="false" customHeight="false" outlineLevel="0" collapsed="false">
      <c r="B4874" s="7" t="s">
        <v>19519</v>
      </c>
      <c r="C4874" s="7" t="s">
        <v>5371</v>
      </c>
      <c r="D4874" s="7" t="s">
        <v>407</v>
      </c>
      <c r="E4874" s="7" t="s">
        <v>159</v>
      </c>
      <c r="F4874" s="39" t="n">
        <v>45891</v>
      </c>
      <c r="G4874" s="41" t="n">
        <v>122.85</v>
      </c>
      <c r="H4874" s="39" t="n">
        <v>45930</v>
      </c>
      <c r="I4874" s="7" t="s">
        <v>14651</v>
      </c>
      <c r="J4874" s="8" t="str">
        <f aca="false">IF(I4874="Open",DATE(2025,12,31)-F4874,"-")</f>
        <v>-</v>
      </c>
    </row>
    <row r="4875" customFormat="false" ht="15" hidden="false" customHeight="false" outlineLevel="0" collapsed="false">
      <c r="B4875" s="7" t="s">
        <v>19520</v>
      </c>
      <c r="C4875" s="7" t="s">
        <v>5372</v>
      </c>
      <c r="D4875" s="7" t="s">
        <v>409</v>
      </c>
      <c r="E4875" s="7" t="s">
        <v>154</v>
      </c>
      <c r="F4875" s="39" t="n">
        <v>45891</v>
      </c>
      <c r="G4875" s="41" t="n">
        <v>83.47</v>
      </c>
      <c r="H4875" s="39" t="n">
        <v>45965</v>
      </c>
      <c r="I4875" s="7" t="s">
        <v>14651</v>
      </c>
      <c r="J4875" s="8" t="str">
        <f aca="false">IF(I4875="Open",DATE(2025,12,31)-F4875,"-")</f>
        <v>-</v>
      </c>
    </row>
    <row r="4876" customFormat="false" ht="15" hidden="false" customHeight="false" outlineLevel="0" collapsed="false">
      <c r="B4876" s="7" t="s">
        <v>19521</v>
      </c>
      <c r="C4876" s="7" t="s">
        <v>5373</v>
      </c>
      <c r="D4876" s="7" t="s">
        <v>411</v>
      </c>
      <c r="E4876" s="7" t="s">
        <v>154</v>
      </c>
      <c r="F4876" s="39" t="n">
        <v>45891</v>
      </c>
      <c r="G4876" s="41" t="n">
        <v>134.88</v>
      </c>
      <c r="H4876" s="39" t="n">
        <v>45938</v>
      </c>
      <c r="I4876" s="7" t="s">
        <v>14651</v>
      </c>
      <c r="J4876" s="8" t="str">
        <f aca="false">IF(I4876="Open",DATE(2025,12,31)-F4876,"-")</f>
        <v>-</v>
      </c>
    </row>
    <row r="4877" customFormat="false" ht="15" hidden="false" customHeight="false" outlineLevel="0" collapsed="false">
      <c r="B4877" s="7" t="s">
        <v>19522</v>
      </c>
      <c r="C4877" s="7" t="s">
        <v>5374</v>
      </c>
      <c r="D4877" s="7" t="s">
        <v>288</v>
      </c>
      <c r="E4877" s="7" t="s">
        <v>156</v>
      </c>
      <c r="F4877" s="39" t="n">
        <v>45892</v>
      </c>
      <c r="G4877" s="41" t="n">
        <v>146.54</v>
      </c>
      <c r="H4877" s="39" t="n">
        <v>45895</v>
      </c>
      <c r="I4877" s="7" t="s">
        <v>14651</v>
      </c>
      <c r="J4877" s="8" t="str">
        <f aca="false">IF(I4877="Open",DATE(2025,12,31)-F4877,"-")</f>
        <v>-</v>
      </c>
    </row>
    <row r="4878" customFormat="false" ht="15" hidden="false" customHeight="false" outlineLevel="0" collapsed="false">
      <c r="B4878" s="7" t="s">
        <v>19523</v>
      </c>
      <c r="C4878" s="7" t="s">
        <v>5375</v>
      </c>
      <c r="D4878" s="7" t="s">
        <v>359</v>
      </c>
      <c r="E4878" s="7" t="s">
        <v>156</v>
      </c>
      <c r="F4878" s="39" t="n">
        <v>45892</v>
      </c>
      <c r="G4878" s="41" t="n">
        <v>135.32</v>
      </c>
      <c r="H4878" s="39" t="n">
        <v>45912</v>
      </c>
      <c r="I4878" s="7" t="s">
        <v>14651</v>
      </c>
      <c r="J4878" s="8" t="str">
        <f aca="false">IF(I4878="Open",DATE(2025,12,31)-F4878,"-")</f>
        <v>-</v>
      </c>
    </row>
    <row r="4879" customFormat="false" ht="15" hidden="false" customHeight="false" outlineLevel="0" collapsed="false">
      <c r="B4879" s="7" t="s">
        <v>19524</v>
      </c>
      <c r="C4879" s="7" t="s">
        <v>5376</v>
      </c>
      <c r="D4879" s="7" t="s">
        <v>387</v>
      </c>
      <c r="E4879" s="7" t="s">
        <v>154</v>
      </c>
      <c r="F4879" s="39" t="n">
        <v>45892</v>
      </c>
      <c r="G4879" s="41" t="n">
        <v>99.38</v>
      </c>
      <c r="H4879" s="39" t="n">
        <v>45928</v>
      </c>
      <c r="I4879" s="7" t="s">
        <v>14651</v>
      </c>
      <c r="J4879" s="8" t="str">
        <f aca="false">IF(I4879="Open",DATE(2025,12,31)-F4879,"-")</f>
        <v>-</v>
      </c>
    </row>
    <row r="4880" customFormat="false" ht="15" hidden="false" customHeight="false" outlineLevel="0" collapsed="false">
      <c r="B4880" s="7" t="s">
        <v>19525</v>
      </c>
      <c r="C4880" s="7" t="s">
        <v>5377</v>
      </c>
      <c r="D4880" s="7" t="s">
        <v>391</v>
      </c>
      <c r="E4880" s="7" t="s">
        <v>156</v>
      </c>
      <c r="F4880" s="39" t="n">
        <v>45892</v>
      </c>
      <c r="G4880" s="41" t="n">
        <v>145.52</v>
      </c>
      <c r="H4880" s="39" t="n">
        <v>45906</v>
      </c>
      <c r="I4880" s="7" t="s">
        <v>14651</v>
      </c>
      <c r="J4880" s="8" t="str">
        <f aca="false">IF(I4880="Open",DATE(2025,12,31)-F4880,"-")</f>
        <v>-</v>
      </c>
    </row>
    <row r="4881" customFormat="false" ht="15" hidden="false" customHeight="false" outlineLevel="0" collapsed="false">
      <c r="B4881" s="7" t="s">
        <v>19526</v>
      </c>
      <c r="C4881" s="7" t="s">
        <v>5378</v>
      </c>
      <c r="D4881" s="7" t="s">
        <v>395</v>
      </c>
      <c r="E4881" s="7" t="s">
        <v>156</v>
      </c>
      <c r="F4881" s="39" t="n">
        <v>45892</v>
      </c>
      <c r="G4881" s="41" t="n">
        <v>138.38</v>
      </c>
      <c r="H4881" s="39" t="n">
        <v>45906</v>
      </c>
      <c r="I4881" s="7" t="s">
        <v>14651</v>
      </c>
      <c r="J4881" s="8" t="str">
        <f aca="false">IF(I4881="Open",DATE(2025,12,31)-F4881,"-")</f>
        <v>-</v>
      </c>
    </row>
    <row r="4882" customFormat="false" ht="15" hidden="false" customHeight="false" outlineLevel="0" collapsed="false">
      <c r="B4882" s="7" t="s">
        <v>19527</v>
      </c>
      <c r="C4882" s="7" t="s">
        <v>5379</v>
      </c>
      <c r="D4882" s="7" t="s">
        <v>401</v>
      </c>
      <c r="E4882" s="7" t="s">
        <v>156</v>
      </c>
      <c r="F4882" s="39" t="n">
        <v>45892</v>
      </c>
      <c r="G4882" s="41" t="n">
        <v>136</v>
      </c>
      <c r="H4882" s="39" t="n">
        <v>45901</v>
      </c>
      <c r="I4882" s="7" t="s">
        <v>14651</v>
      </c>
      <c r="J4882" s="8" t="str">
        <f aca="false">IF(I4882="Open",DATE(2025,12,31)-F4882,"-")</f>
        <v>-</v>
      </c>
    </row>
    <row r="4883" customFormat="false" ht="15" hidden="false" customHeight="false" outlineLevel="0" collapsed="false">
      <c r="B4883" s="7" t="s">
        <v>19528</v>
      </c>
      <c r="C4883" s="7" t="s">
        <v>5380</v>
      </c>
      <c r="D4883" s="7" t="s">
        <v>288</v>
      </c>
      <c r="E4883" s="7" t="s">
        <v>156</v>
      </c>
      <c r="F4883" s="39" t="n">
        <v>45893</v>
      </c>
      <c r="G4883" s="41" t="n">
        <v>128.52</v>
      </c>
      <c r="H4883" s="39" t="n">
        <v>45900</v>
      </c>
      <c r="I4883" s="7" t="s">
        <v>14651</v>
      </c>
      <c r="J4883" s="8" t="str">
        <f aca="false">IF(I4883="Open",DATE(2025,12,31)-F4883,"-")</f>
        <v>-</v>
      </c>
    </row>
    <row r="4884" customFormat="false" ht="15" hidden="false" customHeight="false" outlineLevel="0" collapsed="false">
      <c r="B4884" s="7" t="s">
        <v>19529</v>
      </c>
      <c r="C4884" s="7" t="s">
        <v>5381</v>
      </c>
      <c r="D4884" s="7" t="s">
        <v>321</v>
      </c>
      <c r="E4884" s="7" t="s">
        <v>154</v>
      </c>
      <c r="F4884" s="39" t="n">
        <v>45893</v>
      </c>
      <c r="G4884" s="41" t="n">
        <v>101.5</v>
      </c>
      <c r="H4884" s="39" t="n">
        <v>45935</v>
      </c>
      <c r="I4884" s="7" t="s">
        <v>14651</v>
      </c>
      <c r="J4884" s="8" t="str">
        <f aca="false">IF(I4884="Open",DATE(2025,12,31)-F4884,"-")</f>
        <v>-</v>
      </c>
    </row>
    <row r="4885" customFormat="false" ht="15" hidden="false" customHeight="false" outlineLevel="0" collapsed="false">
      <c r="B4885" s="7" t="s">
        <v>19530</v>
      </c>
      <c r="C4885" s="7" t="s">
        <v>5382</v>
      </c>
      <c r="D4885" s="7" t="s">
        <v>359</v>
      </c>
      <c r="E4885" s="7" t="s">
        <v>156</v>
      </c>
      <c r="F4885" s="39" t="n">
        <v>45893</v>
      </c>
      <c r="G4885" s="41" t="n">
        <v>125.8</v>
      </c>
      <c r="H4885" s="39" t="n">
        <v>45903</v>
      </c>
      <c r="I4885" s="7" t="s">
        <v>14651</v>
      </c>
      <c r="J4885" s="8" t="str">
        <f aca="false">IF(I4885="Open",DATE(2025,12,31)-F4885,"-")</f>
        <v>-</v>
      </c>
    </row>
    <row r="4886" customFormat="false" ht="15" hidden="false" customHeight="false" outlineLevel="0" collapsed="false">
      <c r="B4886" s="7" t="s">
        <v>19531</v>
      </c>
      <c r="C4886" s="7" t="s">
        <v>5383</v>
      </c>
      <c r="D4886" s="7" t="s">
        <v>387</v>
      </c>
      <c r="E4886" s="7" t="s">
        <v>154</v>
      </c>
      <c r="F4886" s="39" t="n">
        <v>45893</v>
      </c>
      <c r="G4886" s="41" t="n">
        <v>98.45</v>
      </c>
      <c r="H4886" s="39" t="n">
        <v>45960</v>
      </c>
      <c r="I4886" s="7" t="s">
        <v>14651</v>
      </c>
      <c r="J4886" s="8" t="str">
        <f aca="false">IF(I4886="Open",DATE(2025,12,31)-F4886,"-")</f>
        <v>-</v>
      </c>
    </row>
    <row r="4887" customFormat="false" ht="15" hidden="false" customHeight="false" outlineLevel="0" collapsed="false">
      <c r="B4887" s="7" t="s">
        <v>19532</v>
      </c>
      <c r="C4887" s="7" t="s">
        <v>5384</v>
      </c>
      <c r="D4887" s="7" t="s">
        <v>391</v>
      </c>
      <c r="E4887" s="7" t="s">
        <v>156</v>
      </c>
      <c r="F4887" s="39" t="n">
        <v>45893</v>
      </c>
      <c r="G4887" s="41" t="n">
        <v>128.18</v>
      </c>
      <c r="H4887" s="39" t="n">
        <v>45908</v>
      </c>
      <c r="I4887" s="7" t="s">
        <v>14651</v>
      </c>
      <c r="J4887" s="8" t="str">
        <f aca="false">IF(I4887="Open",DATE(2025,12,31)-F4887,"-")</f>
        <v>-</v>
      </c>
    </row>
    <row r="4888" customFormat="false" ht="15" hidden="false" customHeight="false" outlineLevel="0" collapsed="false">
      <c r="B4888" s="7" t="s">
        <v>19533</v>
      </c>
      <c r="C4888" s="7" t="s">
        <v>5385</v>
      </c>
      <c r="D4888" s="7" t="s">
        <v>395</v>
      </c>
      <c r="E4888" s="7" t="s">
        <v>156</v>
      </c>
      <c r="F4888" s="39" t="n">
        <v>45893</v>
      </c>
      <c r="G4888" s="41" t="n">
        <v>144.5</v>
      </c>
      <c r="H4888" s="39" t="n">
        <v>45904</v>
      </c>
      <c r="I4888" s="7" t="s">
        <v>14651</v>
      </c>
      <c r="J4888" s="8" t="str">
        <f aca="false">IF(I4888="Open",DATE(2025,12,31)-F4888,"-")</f>
        <v>-</v>
      </c>
    </row>
    <row r="4889" customFormat="false" ht="15" hidden="false" customHeight="false" outlineLevel="0" collapsed="false">
      <c r="B4889" s="7" t="s">
        <v>19534</v>
      </c>
      <c r="C4889" s="7" t="s">
        <v>5386</v>
      </c>
      <c r="D4889" s="7" t="s">
        <v>401</v>
      </c>
      <c r="E4889" s="7" t="s">
        <v>156</v>
      </c>
      <c r="F4889" s="39" t="n">
        <v>45893</v>
      </c>
      <c r="G4889" s="41" t="n">
        <v>145.18</v>
      </c>
      <c r="H4889" s="39" t="n">
        <v>45905</v>
      </c>
      <c r="I4889" s="7" t="s">
        <v>14651</v>
      </c>
      <c r="J4889" s="8" t="str">
        <f aca="false">IF(I4889="Open",DATE(2025,12,31)-F4889,"-")</f>
        <v>-</v>
      </c>
    </row>
    <row r="4890" customFormat="false" ht="15" hidden="false" customHeight="false" outlineLevel="0" collapsed="false">
      <c r="B4890" s="7" t="s">
        <v>19535</v>
      </c>
      <c r="C4890" s="7" t="s">
        <v>5387</v>
      </c>
      <c r="D4890" s="7" t="s">
        <v>288</v>
      </c>
      <c r="E4890" s="7" t="s">
        <v>156</v>
      </c>
      <c r="F4890" s="39" t="n">
        <v>45894</v>
      </c>
      <c r="G4890" s="41" t="n">
        <v>146.2</v>
      </c>
      <c r="H4890" s="39" t="n">
        <v>45895</v>
      </c>
      <c r="I4890" s="7" t="s">
        <v>14651</v>
      </c>
      <c r="J4890" s="8" t="str">
        <f aca="false">IF(I4890="Open",DATE(2025,12,31)-F4890,"-")</f>
        <v>-</v>
      </c>
    </row>
    <row r="4891" customFormat="false" ht="15" hidden="false" customHeight="false" outlineLevel="0" collapsed="false">
      <c r="B4891" s="7" t="s">
        <v>19536</v>
      </c>
      <c r="C4891" s="7" t="s">
        <v>5388</v>
      </c>
      <c r="D4891" s="7" t="s">
        <v>291</v>
      </c>
      <c r="E4891" s="7" t="s">
        <v>154</v>
      </c>
      <c r="F4891" s="39" t="n">
        <v>45894</v>
      </c>
      <c r="G4891" s="41" t="n">
        <v>112.89</v>
      </c>
      <c r="H4891" s="39" t="n">
        <v>45956</v>
      </c>
      <c r="I4891" s="7" t="s">
        <v>14651</v>
      </c>
      <c r="J4891" s="8" t="str">
        <f aca="false">IF(I4891="Open",DATE(2025,12,31)-F4891,"-")</f>
        <v>-</v>
      </c>
    </row>
    <row r="4892" customFormat="false" ht="15" hidden="false" customHeight="false" outlineLevel="0" collapsed="false">
      <c r="B4892" s="7" t="s">
        <v>19537</v>
      </c>
      <c r="C4892" s="7" t="s">
        <v>5389</v>
      </c>
      <c r="D4892" s="7" t="s">
        <v>295</v>
      </c>
      <c r="E4892" s="7" t="s">
        <v>154</v>
      </c>
      <c r="F4892" s="39" t="n">
        <v>45894</v>
      </c>
      <c r="G4892" s="41" t="n">
        <v>106.53</v>
      </c>
      <c r="H4892" s="39" t="n">
        <v>45936</v>
      </c>
      <c r="I4892" s="7" t="s">
        <v>14651</v>
      </c>
      <c r="J4892" s="8" t="str">
        <f aca="false">IF(I4892="Open",DATE(2025,12,31)-F4892,"-")</f>
        <v>-</v>
      </c>
    </row>
    <row r="4893" customFormat="false" ht="15" hidden="false" customHeight="false" outlineLevel="0" collapsed="false">
      <c r="B4893" s="7" t="s">
        <v>19538</v>
      </c>
      <c r="C4893" s="7" t="s">
        <v>5390</v>
      </c>
      <c r="D4893" s="7" t="s">
        <v>297</v>
      </c>
      <c r="E4893" s="7" t="s">
        <v>156</v>
      </c>
      <c r="F4893" s="39" t="n">
        <v>45894</v>
      </c>
      <c r="G4893" s="41" t="n">
        <v>95.88</v>
      </c>
      <c r="H4893" s="39" t="n">
        <v>45904</v>
      </c>
      <c r="I4893" s="7" t="s">
        <v>14651</v>
      </c>
      <c r="J4893" s="8" t="str">
        <f aca="false">IF(I4893="Open",DATE(2025,12,31)-F4893,"-")</f>
        <v>-</v>
      </c>
    </row>
    <row r="4894" customFormat="false" ht="15" hidden="false" customHeight="false" outlineLevel="0" collapsed="false">
      <c r="B4894" s="7" t="s">
        <v>19539</v>
      </c>
      <c r="C4894" s="7" t="s">
        <v>5391</v>
      </c>
      <c r="D4894" s="7" t="s">
        <v>305</v>
      </c>
      <c r="E4894" s="7" t="s">
        <v>154</v>
      </c>
      <c r="F4894" s="39" t="n">
        <v>45894</v>
      </c>
      <c r="G4894" s="41" t="n">
        <v>106.8</v>
      </c>
      <c r="H4894" s="39" t="n">
        <v>45937</v>
      </c>
      <c r="I4894" s="7" t="s">
        <v>14651</v>
      </c>
      <c r="J4894" s="8" t="str">
        <f aca="false">IF(I4894="Open",DATE(2025,12,31)-F4894,"-")</f>
        <v>-</v>
      </c>
    </row>
    <row r="4895" customFormat="false" ht="15" hidden="false" customHeight="false" outlineLevel="0" collapsed="false">
      <c r="B4895" s="7" t="s">
        <v>19540</v>
      </c>
      <c r="C4895" s="7" t="s">
        <v>5392</v>
      </c>
      <c r="D4895" s="7" t="s">
        <v>307</v>
      </c>
      <c r="E4895" s="7" t="s">
        <v>157</v>
      </c>
      <c r="F4895" s="39" t="n">
        <v>45894</v>
      </c>
      <c r="G4895" s="41" t="n">
        <v>171.6</v>
      </c>
      <c r="H4895" s="39" t="n">
        <v>45930</v>
      </c>
      <c r="I4895" s="7" t="s">
        <v>14651</v>
      </c>
      <c r="J4895" s="8" t="str">
        <f aca="false">IF(I4895="Open",DATE(2025,12,31)-F4895,"-")</f>
        <v>-</v>
      </c>
    </row>
    <row r="4896" customFormat="false" ht="15" hidden="false" customHeight="false" outlineLevel="0" collapsed="false">
      <c r="B4896" s="7" t="s">
        <v>19541</v>
      </c>
      <c r="C4896" s="7" t="s">
        <v>5393</v>
      </c>
      <c r="D4896" s="7" t="s">
        <v>309</v>
      </c>
      <c r="E4896" s="7" t="s">
        <v>159</v>
      </c>
      <c r="F4896" s="39" t="n">
        <v>45894</v>
      </c>
      <c r="G4896" s="41" t="n">
        <v>126.9</v>
      </c>
      <c r="H4896" s="39" t="n">
        <v>45927</v>
      </c>
      <c r="I4896" s="7" t="s">
        <v>14651</v>
      </c>
      <c r="J4896" s="8" t="str">
        <f aca="false">IF(I4896="Open",DATE(2025,12,31)-F4896,"-")</f>
        <v>-</v>
      </c>
    </row>
    <row r="4897" customFormat="false" ht="15" hidden="false" customHeight="false" outlineLevel="0" collapsed="false">
      <c r="B4897" s="7" t="s">
        <v>19542</v>
      </c>
      <c r="C4897" s="7" t="s">
        <v>5394</v>
      </c>
      <c r="D4897" s="7" t="s">
        <v>311</v>
      </c>
      <c r="E4897" s="7" t="s">
        <v>154</v>
      </c>
      <c r="F4897" s="39" t="n">
        <v>45894</v>
      </c>
      <c r="G4897" s="41" t="n">
        <v>75.79</v>
      </c>
      <c r="H4897" s="39" t="n">
        <v>45972</v>
      </c>
      <c r="I4897" s="7" t="s">
        <v>14651</v>
      </c>
      <c r="J4897" s="8" t="str">
        <f aca="false">IF(I4897="Open",DATE(2025,12,31)-F4897,"-")</f>
        <v>-</v>
      </c>
    </row>
    <row r="4898" customFormat="false" ht="15" hidden="false" customHeight="false" outlineLevel="0" collapsed="false">
      <c r="B4898" s="7" t="s">
        <v>19543</v>
      </c>
      <c r="C4898" s="7" t="s">
        <v>5395</v>
      </c>
      <c r="D4898" s="7" t="s">
        <v>313</v>
      </c>
      <c r="E4898" s="7" t="s">
        <v>156</v>
      </c>
      <c r="F4898" s="39" t="n">
        <v>45894</v>
      </c>
      <c r="G4898" s="41" t="n">
        <v>129.54</v>
      </c>
      <c r="H4898" s="39" t="n">
        <v>45908</v>
      </c>
      <c r="I4898" s="7" t="s">
        <v>14651</v>
      </c>
      <c r="J4898" s="8" t="str">
        <f aca="false">IF(I4898="Open",DATE(2025,12,31)-F4898,"-")</f>
        <v>-</v>
      </c>
    </row>
    <row r="4899" customFormat="false" ht="15" hidden="false" customHeight="false" outlineLevel="0" collapsed="false">
      <c r="B4899" s="7" t="s">
        <v>19544</v>
      </c>
      <c r="C4899" s="7" t="s">
        <v>5396</v>
      </c>
      <c r="D4899" s="7" t="s">
        <v>315</v>
      </c>
      <c r="E4899" s="7" t="s">
        <v>159</v>
      </c>
      <c r="F4899" s="39" t="n">
        <v>45894</v>
      </c>
      <c r="G4899" s="41" t="n">
        <v>126.76</v>
      </c>
      <c r="H4899" s="39" t="n">
        <v>45922</v>
      </c>
      <c r="I4899" s="7" t="s">
        <v>14651</v>
      </c>
      <c r="J4899" s="8" t="str">
        <f aca="false">IF(I4899="Open",DATE(2025,12,31)-F4899,"-")</f>
        <v>-</v>
      </c>
    </row>
    <row r="4900" customFormat="false" ht="15" hidden="false" customHeight="false" outlineLevel="0" collapsed="false">
      <c r="B4900" s="7" t="s">
        <v>19545</v>
      </c>
      <c r="C4900" s="7" t="s">
        <v>5397</v>
      </c>
      <c r="D4900" s="7" t="s">
        <v>317</v>
      </c>
      <c r="E4900" s="7" t="s">
        <v>156</v>
      </c>
      <c r="F4900" s="39" t="n">
        <v>45894</v>
      </c>
      <c r="G4900" s="41" t="n">
        <v>93.5</v>
      </c>
      <c r="H4900" s="39" t="n">
        <v>45895</v>
      </c>
      <c r="I4900" s="7" t="s">
        <v>14651</v>
      </c>
      <c r="J4900" s="8" t="str">
        <f aca="false">IF(I4900="Open",DATE(2025,12,31)-F4900,"-")</f>
        <v>-</v>
      </c>
    </row>
    <row r="4901" customFormat="false" ht="15" hidden="false" customHeight="false" outlineLevel="0" collapsed="false">
      <c r="B4901" s="7" t="s">
        <v>19546</v>
      </c>
      <c r="C4901" s="7" t="s">
        <v>5398</v>
      </c>
      <c r="D4901" s="7" t="s">
        <v>321</v>
      </c>
      <c r="E4901" s="7" t="s">
        <v>154</v>
      </c>
      <c r="F4901" s="39" t="n">
        <v>45894</v>
      </c>
      <c r="G4901" s="41" t="n">
        <v>111.04</v>
      </c>
      <c r="H4901" s="39" t="n">
        <v>45971</v>
      </c>
      <c r="I4901" s="7" t="s">
        <v>14651</v>
      </c>
      <c r="J4901" s="8" t="str">
        <f aca="false">IF(I4901="Open",DATE(2025,12,31)-F4901,"-")</f>
        <v>-</v>
      </c>
    </row>
    <row r="4902" customFormat="false" ht="15" hidden="false" customHeight="false" outlineLevel="0" collapsed="false">
      <c r="B4902" s="7" t="s">
        <v>19547</v>
      </c>
      <c r="C4902" s="7" t="s">
        <v>5399</v>
      </c>
      <c r="D4902" s="7" t="s">
        <v>325</v>
      </c>
      <c r="E4902" s="7" t="s">
        <v>154</v>
      </c>
      <c r="F4902" s="39" t="n">
        <v>45894</v>
      </c>
      <c r="G4902" s="41" t="n">
        <v>75.26</v>
      </c>
      <c r="H4902" s="39" t="n">
        <v>45947</v>
      </c>
      <c r="I4902" s="7" t="s">
        <v>14651</v>
      </c>
      <c r="J4902" s="8" t="str">
        <f aca="false">IF(I4902="Open",DATE(2025,12,31)-F4902,"-")</f>
        <v>-</v>
      </c>
    </row>
    <row r="4903" customFormat="false" ht="15" hidden="false" customHeight="false" outlineLevel="0" collapsed="false">
      <c r="B4903" s="7" t="s">
        <v>19548</v>
      </c>
      <c r="C4903" s="7" t="s">
        <v>5400</v>
      </c>
      <c r="D4903" s="7" t="s">
        <v>329</v>
      </c>
      <c r="E4903" s="7" t="s">
        <v>156</v>
      </c>
      <c r="F4903" s="39" t="n">
        <v>45894</v>
      </c>
      <c r="G4903" s="41" t="n">
        <v>127.5</v>
      </c>
      <c r="H4903" s="39" t="n">
        <v>45905</v>
      </c>
      <c r="I4903" s="7" t="s">
        <v>14651</v>
      </c>
      <c r="J4903" s="8" t="str">
        <f aca="false">IF(I4903="Open",DATE(2025,12,31)-F4903,"-")</f>
        <v>-</v>
      </c>
    </row>
    <row r="4904" customFormat="false" ht="15" hidden="false" customHeight="false" outlineLevel="0" collapsed="false">
      <c r="B4904" s="7" t="s">
        <v>19549</v>
      </c>
      <c r="C4904" s="7" t="s">
        <v>5401</v>
      </c>
      <c r="D4904" s="7" t="s">
        <v>331</v>
      </c>
      <c r="E4904" s="7" t="s">
        <v>156</v>
      </c>
      <c r="F4904" s="39" t="n">
        <v>45894</v>
      </c>
      <c r="G4904" s="41" t="n">
        <v>135.32</v>
      </c>
      <c r="H4904" s="39" t="n">
        <v>45902</v>
      </c>
      <c r="I4904" s="7" t="s">
        <v>14651</v>
      </c>
      <c r="J4904" s="8" t="str">
        <f aca="false">IF(I4904="Open",DATE(2025,12,31)-F4904,"-")</f>
        <v>-</v>
      </c>
    </row>
    <row r="4905" customFormat="false" ht="15" hidden="false" customHeight="false" outlineLevel="0" collapsed="false">
      <c r="B4905" s="7" t="s">
        <v>19550</v>
      </c>
      <c r="C4905" s="7" t="s">
        <v>5402</v>
      </c>
      <c r="D4905" s="7" t="s">
        <v>335</v>
      </c>
      <c r="E4905" s="7" t="s">
        <v>154</v>
      </c>
      <c r="F4905" s="39" t="n">
        <v>45894</v>
      </c>
      <c r="G4905" s="41" t="n">
        <v>99.64</v>
      </c>
      <c r="H4905" s="39" t="n">
        <v>45940</v>
      </c>
      <c r="I4905" s="7" t="s">
        <v>14651</v>
      </c>
      <c r="J4905" s="8" t="str">
        <f aca="false">IF(I4905="Open",DATE(2025,12,31)-F4905,"-")</f>
        <v>-</v>
      </c>
    </row>
    <row r="4906" customFormat="false" ht="15" hidden="false" customHeight="false" outlineLevel="0" collapsed="false">
      <c r="B4906" s="7" t="s">
        <v>19551</v>
      </c>
      <c r="C4906" s="7" t="s">
        <v>5403</v>
      </c>
      <c r="D4906" s="7" t="s">
        <v>339</v>
      </c>
      <c r="E4906" s="7" t="s">
        <v>154</v>
      </c>
      <c r="F4906" s="39" t="n">
        <v>45894</v>
      </c>
      <c r="G4906" s="41" t="n">
        <v>95.93</v>
      </c>
      <c r="H4906" s="39" t="n">
        <v>45939</v>
      </c>
      <c r="I4906" s="7" t="s">
        <v>14651</v>
      </c>
      <c r="J4906" s="8" t="str">
        <f aca="false">IF(I4906="Open",DATE(2025,12,31)-F4906,"-")</f>
        <v>-</v>
      </c>
    </row>
    <row r="4907" customFormat="false" ht="15" hidden="false" customHeight="false" outlineLevel="0" collapsed="false">
      <c r="B4907" s="7" t="s">
        <v>19552</v>
      </c>
      <c r="C4907" s="7" t="s">
        <v>5404</v>
      </c>
      <c r="D4907" s="7" t="s">
        <v>341</v>
      </c>
      <c r="E4907" s="7" t="s">
        <v>156</v>
      </c>
      <c r="F4907" s="39" t="n">
        <v>45894</v>
      </c>
      <c r="G4907" s="41" t="n">
        <v>111.18</v>
      </c>
      <c r="H4907" s="39" t="n">
        <v>45897</v>
      </c>
      <c r="I4907" s="7" t="s">
        <v>14651</v>
      </c>
      <c r="J4907" s="8" t="str">
        <f aca="false">IF(I4907="Open",DATE(2025,12,31)-F4907,"-")</f>
        <v>-</v>
      </c>
    </row>
    <row r="4908" customFormat="false" ht="15" hidden="false" customHeight="false" outlineLevel="0" collapsed="false">
      <c r="B4908" s="7" t="s">
        <v>19553</v>
      </c>
      <c r="C4908" s="7" t="s">
        <v>5405</v>
      </c>
      <c r="D4908" s="7" t="s">
        <v>343</v>
      </c>
      <c r="E4908" s="7" t="s">
        <v>154</v>
      </c>
      <c r="F4908" s="39" t="n">
        <v>45894</v>
      </c>
      <c r="G4908" s="41" t="n">
        <v>99.11</v>
      </c>
      <c r="H4908" s="39" t="n">
        <v>45968</v>
      </c>
      <c r="I4908" s="7" t="s">
        <v>14651</v>
      </c>
      <c r="J4908" s="8" t="str">
        <f aca="false">IF(I4908="Open",DATE(2025,12,31)-F4908,"-")</f>
        <v>-</v>
      </c>
    </row>
    <row r="4909" customFormat="false" ht="15" hidden="false" customHeight="false" outlineLevel="0" collapsed="false">
      <c r="B4909" s="7" t="s">
        <v>19554</v>
      </c>
      <c r="C4909" s="7" t="s">
        <v>5406</v>
      </c>
      <c r="D4909" s="7" t="s">
        <v>347</v>
      </c>
      <c r="E4909" s="7" t="s">
        <v>154</v>
      </c>
      <c r="F4909" s="39" t="n">
        <v>45894</v>
      </c>
      <c r="G4909" s="41" t="n">
        <v>116.6</v>
      </c>
      <c r="H4909" s="39" t="n">
        <v>45946</v>
      </c>
      <c r="I4909" s="7" t="s">
        <v>14651</v>
      </c>
      <c r="J4909" s="8" t="str">
        <f aca="false">IF(I4909="Open",DATE(2025,12,31)-F4909,"-")</f>
        <v>-</v>
      </c>
    </row>
    <row r="4910" customFormat="false" ht="15" hidden="false" customHeight="false" outlineLevel="0" collapsed="false">
      <c r="B4910" s="7" t="s">
        <v>19555</v>
      </c>
      <c r="C4910" s="7" t="s">
        <v>5407</v>
      </c>
      <c r="D4910" s="7" t="s">
        <v>351</v>
      </c>
      <c r="E4910" s="7" t="s">
        <v>154</v>
      </c>
      <c r="F4910" s="39" t="n">
        <v>45894</v>
      </c>
      <c r="G4910" s="41" t="n">
        <v>73.14</v>
      </c>
      <c r="H4910" s="39" t="n">
        <v>45956</v>
      </c>
      <c r="I4910" s="7" t="s">
        <v>14651</v>
      </c>
      <c r="J4910" s="8" t="str">
        <f aca="false">IF(I4910="Open",DATE(2025,12,31)-F4910,"-")</f>
        <v>-</v>
      </c>
    </row>
    <row r="4911" customFormat="false" ht="15" hidden="false" customHeight="false" outlineLevel="0" collapsed="false">
      <c r="B4911" s="7" t="s">
        <v>19556</v>
      </c>
      <c r="C4911" s="7" t="s">
        <v>5408</v>
      </c>
      <c r="D4911" s="7" t="s">
        <v>353</v>
      </c>
      <c r="E4911" s="7" t="s">
        <v>154</v>
      </c>
      <c r="F4911" s="39" t="n">
        <v>45894</v>
      </c>
      <c r="G4911" s="41" t="n">
        <v>94.6</v>
      </c>
      <c r="H4911" s="39" t="n">
        <v>45991</v>
      </c>
      <c r="I4911" s="7" t="s">
        <v>14651</v>
      </c>
      <c r="J4911" s="8" t="str">
        <f aca="false">IF(I4911="Open",DATE(2025,12,31)-F4911,"-")</f>
        <v>-</v>
      </c>
    </row>
    <row r="4912" customFormat="false" ht="15" hidden="false" customHeight="false" outlineLevel="0" collapsed="false">
      <c r="B4912" s="7" t="s">
        <v>19557</v>
      </c>
      <c r="C4912" s="7" t="s">
        <v>5409</v>
      </c>
      <c r="D4912" s="7" t="s">
        <v>355</v>
      </c>
      <c r="E4912" s="7" t="s">
        <v>154</v>
      </c>
      <c r="F4912" s="39" t="n">
        <v>45894</v>
      </c>
      <c r="G4912" s="41" t="n">
        <v>89.31</v>
      </c>
      <c r="H4912" s="39" t="n">
        <v>45968</v>
      </c>
      <c r="I4912" s="7" t="s">
        <v>14651</v>
      </c>
      <c r="J4912" s="8" t="str">
        <f aca="false">IF(I4912="Open",DATE(2025,12,31)-F4912,"-")</f>
        <v>-</v>
      </c>
    </row>
    <row r="4913" customFormat="false" ht="15" hidden="false" customHeight="false" outlineLevel="0" collapsed="false">
      <c r="B4913" s="7" t="s">
        <v>19558</v>
      </c>
      <c r="C4913" s="7" t="s">
        <v>5410</v>
      </c>
      <c r="D4913" s="7" t="s">
        <v>357</v>
      </c>
      <c r="E4913" s="7" t="s">
        <v>154</v>
      </c>
      <c r="F4913" s="39" t="n">
        <v>45894</v>
      </c>
      <c r="G4913" s="41" t="n">
        <v>85.33</v>
      </c>
      <c r="H4913" s="39" t="n">
        <v>45980</v>
      </c>
      <c r="I4913" s="7" t="s">
        <v>14651</v>
      </c>
      <c r="J4913" s="8" t="str">
        <f aca="false">IF(I4913="Open",DATE(2025,12,31)-F4913,"-")</f>
        <v>-</v>
      </c>
    </row>
    <row r="4914" customFormat="false" ht="15" hidden="false" customHeight="false" outlineLevel="0" collapsed="false">
      <c r="B4914" s="7" t="s">
        <v>19559</v>
      </c>
      <c r="C4914" s="7" t="s">
        <v>5411</v>
      </c>
      <c r="D4914" s="7" t="s">
        <v>359</v>
      </c>
      <c r="E4914" s="7" t="s">
        <v>156</v>
      </c>
      <c r="F4914" s="39" t="n">
        <v>45894</v>
      </c>
      <c r="G4914" s="41" t="n">
        <v>143.82</v>
      </c>
      <c r="H4914" s="39" t="n">
        <v>45915</v>
      </c>
      <c r="I4914" s="7" t="s">
        <v>14651</v>
      </c>
      <c r="J4914" s="8" t="str">
        <f aca="false">IF(I4914="Open",DATE(2025,12,31)-F4914,"-")</f>
        <v>-</v>
      </c>
    </row>
    <row r="4915" customFormat="false" ht="15" hidden="false" customHeight="false" outlineLevel="0" collapsed="false">
      <c r="B4915" s="7" t="s">
        <v>19560</v>
      </c>
      <c r="C4915" s="7" t="s">
        <v>5412</v>
      </c>
      <c r="D4915" s="7" t="s">
        <v>363</v>
      </c>
      <c r="E4915" s="7" t="s">
        <v>156</v>
      </c>
      <c r="F4915" s="39" t="n">
        <v>45894</v>
      </c>
      <c r="G4915" s="41" t="n">
        <v>137.36</v>
      </c>
      <c r="H4915" s="39" t="n">
        <v>45906</v>
      </c>
      <c r="I4915" s="7" t="s">
        <v>14651</v>
      </c>
      <c r="J4915" s="8" t="str">
        <f aca="false">IF(I4915="Open",DATE(2025,12,31)-F4915,"-")</f>
        <v>-</v>
      </c>
    </row>
    <row r="4916" customFormat="false" ht="15" hidden="false" customHeight="false" outlineLevel="0" collapsed="false">
      <c r="B4916" s="7" t="s">
        <v>19561</v>
      </c>
      <c r="C4916" s="7" t="s">
        <v>5413</v>
      </c>
      <c r="D4916" s="7" t="s">
        <v>365</v>
      </c>
      <c r="E4916" s="7" t="s">
        <v>154</v>
      </c>
      <c r="F4916" s="39" t="n">
        <v>45894</v>
      </c>
      <c r="G4916" s="41" t="n">
        <v>105.73</v>
      </c>
      <c r="H4916" s="39" t="n">
        <v>45926</v>
      </c>
      <c r="I4916" s="7" t="s">
        <v>14651</v>
      </c>
      <c r="J4916" s="8" t="str">
        <f aca="false">IF(I4916="Open",DATE(2025,12,31)-F4916,"-")</f>
        <v>-</v>
      </c>
    </row>
    <row r="4917" customFormat="false" ht="15" hidden="false" customHeight="false" outlineLevel="0" collapsed="false">
      <c r="B4917" s="7" t="s">
        <v>19562</v>
      </c>
      <c r="C4917" s="7" t="s">
        <v>5414</v>
      </c>
      <c r="D4917" s="7" t="s">
        <v>371</v>
      </c>
      <c r="E4917" s="7" t="s">
        <v>154</v>
      </c>
      <c r="F4917" s="39" t="n">
        <v>45894</v>
      </c>
      <c r="G4917" s="41" t="n">
        <v>133.03</v>
      </c>
      <c r="H4917" s="39" t="n">
        <v>45934</v>
      </c>
      <c r="I4917" s="7" t="s">
        <v>14651</v>
      </c>
      <c r="J4917" s="8" t="str">
        <f aca="false">IF(I4917="Open",DATE(2025,12,31)-F4917,"-")</f>
        <v>-</v>
      </c>
    </row>
    <row r="4918" customFormat="false" ht="15" hidden="false" customHeight="false" outlineLevel="0" collapsed="false">
      <c r="B4918" s="7" t="s">
        <v>19563</v>
      </c>
      <c r="C4918" s="7" t="s">
        <v>5415</v>
      </c>
      <c r="D4918" s="7" t="s">
        <v>375</v>
      </c>
      <c r="E4918" s="7" t="s">
        <v>156</v>
      </c>
      <c r="F4918" s="39" t="n">
        <v>45894</v>
      </c>
      <c r="G4918" s="41" t="n">
        <v>97.58</v>
      </c>
      <c r="H4918" s="39" t="n">
        <v>45901</v>
      </c>
      <c r="I4918" s="7" t="s">
        <v>14651</v>
      </c>
      <c r="J4918" s="8" t="str">
        <f aca="false">IF(I4918="Open",DATE(2025,12,31)-F4918,"-")</f>
        <v>-</v>
      </c>
    </row>
    <row r="4919" customFormat="false" ht="15" hidden="false" customHeight="false" outlineLevel="0" collapsed="false">
      <c r="B4919" s="7" t="s">
        <v>19564</v>
      </c>
      <c r="C4919" s="7" t="s">
        <v>5416</v>
      </c>
      <c r="D4919" s="7" t="s">
        <v>377</v>
      </c>
      <c r="E4919" s="7" t="s">
        <v>154</v>
      </c>
      <c r="F4919" s="39" t="n">
        <v>45894</v>
      </c>
      <c r="G4919" s="41" t="n">
        <v>100.97</v>
      </c>
      <c r="H4919" s="39" t="n">
        <v>45940</v>
      </c>
      <c r="I4919" s="7" t="s">
        <v>14651</v>
      </c>
      <c r="J4919" s="8" t="str">
        <f aca="false">IF(I4919="Open",DATE(2025,12,31)-F4919,"-")</f>
        <v>-</v>
      </c>
    </row>
    <row r="4920" customFormat="false" ht="15" hidden="false" customHeight="false" outlineLevel="0" collapsed="false">
      <c r="B4920" s="7" t="s">
        <v>19565</v>
      </c>
      <c r="C4920" s="7" t="s">
        <v>5417</v>
      </c>
      <c r="D4920" s="7" t="s">
        <v>379</v>
      </c>
      <c r="E4920" s="7" t="s">
        <v>156</v>
      </c>
      <c r="F4920" s="39" t="n">
        <v>45894</v>
      </c>
      <c r="G4920" s="41" t="n">
        <v>167.28</v>
      </c>
      <c r="H4920" s="39" t="n">
        <v>45898</v>
      </c>
      <c r="I4920" s="7" t="s">
        <v>14651</v>
      </c>
      <c r="J4920" s="8" t="str">
        <f aca="false">IF(I4920="Open",DATE(2025,12,31)-F4920,"-")</f>
        <v>-</v>
      </c>
    </row>
    <row r="4921" customFormat="false" ht="15" hidden="false" customHeight="false" outlineLevel="0" collapsed="false">
      <c r="B4921" s="7" t="s">
        <v>19566</v>
      </c>
      <c r="C4921" s="7" t="s">
        <v>5418</v>
      </c>
      <c r="D4921" s="7" t="s">
        <v>385</v>
      </c>
      <c r="E4921" s="7" t="s">
        <v>156</v>
      </c>
      <c r="F4921" s="39" t="n">
        <v>45894</v>
      </c>
      <c r="G4921" s="41" t="n">
        <v>127.16</v>
      </c>
      <c r="H4921" s="39" t="n">
        <v>45904</v>
      </c>
      <c r="I4921" s="7" t="s">
        <v>14651</v>
      </c>
      <c r="J4921" s="8" t="str">
        <f aca="false">IF(I4921="Open",DATE(2025,12,31)-F4921,"-")</f>
        <v>-</v>
      </c>
    </row>
    <row r="4922" customFormat="false" ht="15" hidden="false" customHeight="false" outlineLevel="0" collapsed="false">
      <c r="B4922" s="7" t="s">
        <v>19567</v>
      </c>
      <c r="C4922" s="7" t="s">
        <v>5419</v>
      </c>
      <c r="D4922" s="7" t="s">
        <v>387</v>
      </c>
      <c r="E4922" s="7" t="s">
        <v>154</v>
      </c>
      <c r="F4922" s="39" t="n">
        <v>45894</v>
      </c>
      <c r="G4922" s="41" t="n">
        <v>113.69</v>
      </c>
      <c r="H4922" s="39" t="n">
        <v>45979</v>
      </c>
      <c r="I4922" s="7" t="s">
        <v>14651</v>
      </c>
      <c r="J4922" s="8" t="str">
        <f aca="false">IF(I4922="Open",DATE(2025,12,31)-F4922,"-")</f>
        <v>-</v>
      </c>
    </row>
    <row r="4923" customFormat="false" ht="15" hidden="false" customHeight="false" outlineLevel="0" collapsed="false">
      <c r="B4923" s="7" t="s">
        <v>19568</v>
      </c>
      <c r="C4923" s="7" t="s">
        <v>5420</v>
      </c>
      <c r="D4923" s="7" t="s">
        <v>389</v>
      </c>
      <c r="E4923" s="7" t="s">
        <v>154</v>
      </c>
      <c r="F4923" s="39" t="n">
        <v>45894</v>
      </c>
      <c r="G4923" s="41" t="n">
        <v>96.14</v>
      </c>
      <c r="H4923" s="39" t="n">
        <v>45964</v>
      </c>
      <c r="I4923" s="7" t="s">
        <v>14651</v>
      </c>
      <c r="J4923" s="8" t="str">
        <f aca="false">IF(I4923="Open",DATE(2025,12,31)-F4923,"-")</f>
        <v>-</v>
      </c>
    </row>
    <row r="4924" customFormat="false" ht="15" hidden="false" customHeight="false" outlineLevel="0" collapsed="false">
      <c r="B4924" s="7" t="s">
        <v>19569</v>
      </c>
      <c r="C4924" s="7" t="s">
        <v>5421</v>
      </c>
      <c r="D4924" s="7" t="s">
        <v>391</v>
      </c>
      <c r="E4924" s="7" t="s">
        <v>156</v>
      </c>
      <c r="F4924" s="39" t="n">
        <v>45894</v>
      </c>
      <c r="G4924" s="41" t="n">
        <v>129.2</v>
      </c>
      <c r="H4924" s="39" t="n">
        <v>45903</v>
      </c>
      <c r="I4924" s="7" t="s">
        <v>14651</v>
      </c>
      <c r="J4924" s="8" t="str">
        <f aca="false">IF(I4924="Open",DATE(2025,12,31)-F4924,"-")</f>
        <v>-</v>
      </c>
    </row>
    <row r="4925" customFormat="false" ht="15" hidden="false" customHeight="false" outlineLevel="0" collapsed="false">
      <c r="B4925" s="7" t="s">
        <v>19570</v>
      </c>
      <c r="C4925" s="7" t="s">
        <v>5422</v>
      </c>
      <c r="D4925" s="7" t="s">
        <v>395</v>
      </c>
      <c r="E4925" s="7" t="s">
        <v>156</v>
      </c>
      <c r="F4925" s="39" t="n">
        <v>45894</v>
      </c>
      <c r="G4925" s="41" t="n">
        <v>136.68</v>
      </c>
      <c r="H4925" s="39" t="n">
        <v>45903</v>
      </c>
      <c r="I4925" s="7" t="s">
        <v>14651</v>
      </c>
      <c r="J4925" s="8" t="str">
        <f aca="false">IF(I4925="Open",DATE(2025,12,31)-F4925,"-")</f>
        <v>-</v>
      </c>
    </row>
    <row r="4926" customFormat="false" ht="15" hidden="false" customHeight="false" outlineLevel="0" collapsed="false">
      <c r="B4926" s="7" t="s">
        <v>19571</v>
      </c>
      <c r="C4926" s="7" t="s">
        <v>5423</v>
      </c>
      <c r="D4926" s="7" t="s">
        <v>399</v>
      </c>
      <c r="E4926" s="7" t="s">
        <v>154</v>
      </c>
      <c r="F4926" s="39" t="n">
        <v>45894</v>
      </c>
      <c r="G4926" s="41" t="n">
        <v>85.59</v>
      </c>
      <c r="H4926" s="39" t="n">
        <v>45957</v>
      </c>
      <c r="I4926" s="7" t="s">
        <v>14651</v>
      </c>
      <c r="J4926" s="8" t="str">
        <f aca="false">IF(I4926="Open",DATE(2025,12,31)-F4926,"-")</f>
        <v>-</v>
      </c>
    </row>
    <row r="4927" customFormat="false" ht="15" hidden="false" customHeight="false" outlineLevel="0" collapsed="false">
      <c r="B4927" s="7" t="s">
        <v>19572</v>
      </c>
      <c r="C4927" s="7" t="s">
        <v>5424</v>
      </c>
      <c r="D4927" s="7" t="s">
        <v>401</v>
      </c>
      <c r="E4927" s="7" t="s">
        <v>156</v>
      </c>
      <c r="F4927" s="39" t="n">
        <v>45894</v>
      </c>
      <c r="G4927" s="41" t="n">
        <v>148.24</v>
      </c>
      <c r="H4927" s="39" t="n">
        <v>45899</v>
      </c>
      <c r="I4927" s="7" t="s">
        <v>14651</v>
      </c>
      <c r="J4927" s="8" t="str">
        <f aca="false">IF(I4927="Open",DATE(2025,12,31)-F4927,"-")</f>
        <v>-</v>
      </c>
    </row>
    <row r="4928" customFormat="false" ht="15" hidden="false" customHeight="false" outlineLevel="0" collapsed="false">
      <c r="B4928" s="7" t="s">
        <v>19573</v>
      </c>
      <c r="C4928" s="7" t="s">
        <v>5425</v>
      </c>
      <c r="D4928" s="7" t="s">
        <v>403</v>
      </c>
      <c r="E4928" s="7" t="s">
        <v>156</v>
      </c>
      <c r="F4928" s="39" t="n">
        <v>45894</v>
      </c>
      <c r="G4928" s="41" t="n">
        <v>125.8</v>
      </c>
      <c r="H4928" s="39" t="n">
        <v>45898</v>
      </c>
      <c r="I4928" s="7" t="s">
        <v>14651</v>
      </c>
      <c r="J4928" s="8" t="str">
        <f aca="false">IF(I4928="Open",DATE(2025,12,31)-F4928,"-")</f>
        <v>-</v>
      </c>
    </row>
    <row r="4929" customFormat="false" ht="15" hidden="false" customHeight="false" outlineLevel="0" collapsed="false">
      <c r="B4929" s="7" t="s">
        <v>19574</v>
      </c>
      <c r="C4929" s="7" t="s">
        <v>5426</v>
      </c>
      <c r="D4929" s="7" t="s">
        <v>409</v>
      </c>
      <c r="E4929" s="7" t="s">
        <v>154</v>
      </c>
      <c r="F4929" s="39" t="n">
        <v>45894</v>
      </c>
      <c r="G4929" s="41" t="n">
        <v>96.72</v>
      </c>
      <c r="H4929" s="39" t="n">
        <v>45964</v>
      </c>
      <c r="I4929" s="7" t="s">
        <v>14651</v>
      </c>
      <c r="J4929" s="8" t="str">
        <f aca="false">IF(I4929="Open",DATE(2025,12,31)-F4929,"-")</f>
        <v>-</v>
      </c>
    </row>
    <row r="4930" customFormat="false" ht="15" hidden="false" customHeight="false" outlineLevel="0" collapsed="false">
      <c r="B4930" s="7" t="s">
        <v>19575</v>
      </c>
      <c r="C4930" s="7" t="s">
        <v>5427</v>
      </c>
      <c r="D4930" s="7" t="s">
        <v>411</v>
      </c>
      <c r="E4930" s="7" t="s">
        <v>154</v>
      </c>
      <c r="F4930" s="39" t="n">
        <v>45894</v>
      </c>
      <c r="G4930" s="41" t="n">
        <v>125.45</v>
      </c>
      <c r="H4930" s="39" t="n">
        <v>45930</v>
      </c>
      <c r="I4930" s="7" t="s">
        <v>14651</v>
      </c>
      <c r="J4930" s="8" t="str">
        <f aca="false">IF(I4930="Open",DATE(2025,12,31)-F4930,"-")</f>
        <v>-</v>
      </c>
    </row>
    <row r="4931" customFormat="false" ht="15" hidden="false" customHeight="false" outlineLevel="0" collapsed="false">
      <c r="B4931" s="7" t="s">
        <v>19576</v>
      </c>
      <c r="C4931" s="7" t="s">
        <v>5428</v>
      </c>
      <c r="D4931" s="7" t="s">
        <v>288</v>
      </c>
      <c r="E4931" s="7" t="s">
        <v>156</v>
      </c>
      <c r="F4931" s="39" t="n">
        <v>45895</v>
      </c>
      <c r="G4931" s="41" t="n">
        <v>127.5</v>
      </c>
      <c r="H4931" s="39" t="n">
        <v>45899</v>
      </c>
      <c r="I4931" s="7" t="s">
        <v>14651</v>
      </c>
      <c r="J4931" s="8" t="str">
        <f aca="false">IF(I4931="Open",DATE(2025,12,31)-F4931,"-")</f>
        <v>-</v>
      </c>
    </row>
    <row r="4932" customFormat="false" ht="15" hidden="false" customHeight="false" outlineLevel="0" collapsed="false">
      <c r="B4932" s="7" t="s">
        <v>19577</v>
      </c>
      <c r="C4932" s="7" t="s">
        <v>5429</v>
      </c>
      <c r="D4932" s="7" t="s">
        <v>301</v>
      </c>
      <c r="E4932" s="7" t="s">
        <v>157</v>
      </c>
      <c r="F4932" s="39" t="n">
        <v>45895</v>
      </c>
      <c r="G4932" s="41" t="n">
        <v>166.65</v>
      </c>
      <c r="H4932" s="39" t="n">
        <v>45919</v>
      </c>
      <c r="I4932" s="7" t="s">
        <v>14651</v>
      </c>
      <c r="J4932" s="8" t="str">
        <f aca="false">IF(I4932="Open",DATE(2025,12,31)-F4932,"-")</f>
        <v>-</v>
      </c>
    </row>
    <row r="4933" customFormat="false" ht="15" hidden="false" customHeight="false" outlineLevel="0" collapsed="false">
      <c r="B4933" s="7" t="s">
        <v>19578</v>
      </c>
      <c r="C4933" s="7" t="s">
        <v>5430</v>
      </c>
      <c r="D4933" s="7" t="s">
        <v>313</v>
      </c>
      <c r="E4933" s="7" t="s">
        <v>156</v>
      </c>
      <c r="F4933" s="39" t="n">
        <v>45895</v>
      </c>
      <c r="G4933" s="41" t="n">
        <v>146.54</v>
      </c>
      <c r="H4933" s="39" t="n">
        <v>45906</v>
      </c>
      <c r="I4933" s="7" t="s">
        <v>14651</v>
      </c>
      <c r="J4933" s="8" t="str">
        <f aca="false">IF(I4933="Open",DATE(2025,12,31)-F4933,"-")</f>
        <v>-</v>
      </c>
    </row>
    <row r="4934" customFormat="false" ht="15" hidden="false" customHeight="false" outlineLevel="0" collapsed="false">
      <c r="B4934" s="7" t="s">
        <v>19579</v>
      </c>
      <c r="C4934" s="7" t="s">
        <v>5431</v>
      </c>
      <c r="D4934" s="7" t="s">
        <v>319</v>
      </c>
      <c r="E4934" s="7" t="s">
        <v>157</v>
      </c>
      <c r="F4934" s="39" t="n">
        <v>45895</v>
      </c>
      <c r="G4934" s="41" t="n">
        <v>166.65</v>
      </c>
      <c r="H4934" s="39" t="n">
        <v>45929</v>
      </c>
      <c r="I4934" s="7" t="s">
        <v>14651</v>
      </c>
      <c r="J4934" s="8" t="str">
        <f aca="false">IF(I4934="Open",DATE(2025,12,31)-F4934,"-")</f>
        <v>-</v>
      </c>
    </row>
    <row r="4935" customFormat="false" ht="15" hidden="false" customHeight="false" outlineLevel="0" collapsed="false">
      <c r="B4935" s="7" t="s">
        <v>19580</v>
      </c>
      <c r="C4935" s="7" t="s">
        <v>5432</v>
      </c>
      <c r="D4935" s="7" t="s">
        <v>321</v>
      </c>
      <c r="E4935" s="7" t="s">
        <v>154</v>
      </c>
      <c r="F4935" s="39" t="n">
        <v>45895</v>
      </c>
      <c r="G4935" s="41" t="n">
        <v>111.04</v>
      </c>
      <c r="H4935" s="39" t="n">
        <v>46010</v>
      </c>
      <c r="I4935" s="7" t="s">
        <v>14651</v>
      </c>
      <c r="J4935" s="8" t="str">
        <f aca="false">IF(I4935="Open",DATE(2025,12,31)-F4935,"-")</f>
        <v>-</v>
      </c>
    </row>
    <row r="4936" customFormat="false" ht="15" hidden="false" customHeight="false" outlineLevel="0" collapsed="false">
      <c r="B4936" s="7" t="s">
        <v>19581</v>
      </c>
      <c r="C4936" s="7" t="s">
        <v>5433</v>
      </c>
      <c r="D4936" s="7" t="s">
        <v>323</v>
      </c>
      <c r="E4936" s="7" t="s">
        <v>159</v>
      </c>
      <c r="F4936" s="39" t="n">
        <v>45895</v>
      </c>
      <c r="G4936" s="41" t="n">
        <v>135</v>
      </c>
      <c r="H4936" s="39" t="n">
        <v>45935</v>
      </c>
      <c r="I4936" s="7" t="s">
        <v>14651</v>
      </c>
      <c r="J4936" s="8" t="str">
        <f aca="false">IF(I4936="Open",DATE(2025,12,31)-F4936,"-")</f>
        <v>-</v>
      </c>
    </row>
    <row r="4937" customFormat="false" ht="15" hidden="false" customHeight="false" outlineLevel="0" collapsed="false">
      <c r="B4937" s="7" t="s">
        <v>19582</v>
      </c>
      <c r="C4937" s="7" t="s">
        <v>5434</v>
      </c>
      <c r="D4937" s="7" t="s">
        <v>327</v>
      </c>
      <c r="E4937" s="7" t="s">
        <v>157</v>
      </c>
      <c r="F4937" s="39" t="n">
        <v>45895</v>
      </c>
      <c r="G4937" s="41" t="n">
        <v>161.7</v>
      </c>
      <c r="H4937" s="39" t="n">
        <v>45914</v>
      </c>
      <c r="I4937" s="7" t="s">
        <v>14651</v>
      </c>
      <c r="J4937" s="8" t="str">
        <f aca="false">IF(I4937="Open",DATE(2025,12,31)-F4937,"-")</f>
        <v>-</v>
      </c>
    </row>
    <row r="4938" customFormat="false" ht="15" hidden="false" customHeight="false" outlineLevel="0" collapsed="false">
      <c r="B4938" s="7" t="s">
        <v>19583</v>
      </c>
      <c r="C4938" s="7" t="s">
        <v>5435</v>
      </c>
      <c r="D4938" s="7" t="s">
        <v>329</v>
      </c>
      <c r="E4938" s="7" t="s">
        <v>156</v>
      </c>
      <c r="F4938" s="39" t="n">
        <v>45895</v>
      </c>
      <c r="G4938" s="41" t="n">
        <v>142.8</v>
      </c>
      <c r="H4938" s="39" t="n">
        <v>45906</v>
      </c>
      <c r="I4938" s="7" t="s">
        <v>14651</v>
      </c>
      <c r="J4938" s="8" t="str">
        <f aca="false">IF(I4938="Open",DATE(2025,12,31)-F4938,"-")</f>
        <v>-</v>
      </c>
    </row>
    <row r="4939" customFormat="false" ht="15" hidden="false" customHeight="false" outlineLevel="0" collapsed="false">
      <c r="B4939" s="7" t="s">
        <v>19584</v>
      </c>
      <c r="C4939" s="7" t="s">
        <v>5436</v>
      </c>
      <c r="D4939" s="7" t="s">
        <v>359</v>
      </c>
      <c r="E4939" s="7" t="s">
        <v>156</v>
      </c>
      <c r="F4939" s="39" t="n">
        <v>45895</v>
      </c>
      <c r="G4939" s="41" t="n">
        <v>127.84</v>
      </c>
      <c r="H4939" s="39" t="n">
        <v>45907</v>
      </c>
      <c r="I4939" s="7" t="s">
        <v>14651</v>
      </c>
      <c r="J4939" s="8" t="str">
        <f aca="false">IF(I4939="Open",DATE(2025,12,31)-F4939,"-")</f>
        <v>-</v>
      </c>
    </row>
    <row r="4940" customFormat="false" ht="15" hidden="false" customHeight="false" outlineLevel="0" collapsed="false">
      <c r="B4940" s="7" t="s">
        <v>19585</v>
      </c>
      <c r="C4940" s="7" t="s">
        <v>5437</v>
      </c>
      <c r="D4940" s="7" t="s">
        <v>361</v>
      </c>
      <c r="E4940" s="7" t="s">
        <v>157</v>
      </c>
      <c r="F4940" s="39" t="n">
        <v>45895</v>
      </c>
      <c r="G4940" s="41" t="n">
        <v>161.7</v>
      </c>
      <c r="H4940" s="39" t="n">
        <v>45925</v>
      </c>
      <c r="I4940" s="7" t="s">
        <v>14651</v>
      </c>
      <c r="J4940" s="8" t="str">
        <f aca="false">IF(I4940="Open",DATE(2025,12,31)-F4940,"-")</f>
        <v>-</v>
      </c>
    </row>
    <row r="4941" customFormat="false" ht="15" hidden="false" customHeight="false" outlineLevel="0" collapsed="false">
      <c r="B4941" s="7" t="s">
        <v>19586</v>
      </c>
      <c r="C4941" s="7" t="s">
        <v>5438</v>
      </c>
      <c r="D4941" s="7" t="s">
        <v>365</v>
      </c>
      <c r="E4941" s="7" t="s">
        <v>154</v>
      </c>
      <c r="F4941" s="39" t="n">
        <v>45895</v>
      </c>
      <c r="G4941" s="41" t="n">
        <v>112.36</v>
      </c>
      <c r="H4941" s="39" t="n">
        <v>45926</v>
      </c>
      <c r="I4941" s="7" t="s">
        <v>14651</v>
      </c>
      <c r="J4941" s="8" t="str">
        <f aca="false">IF(I4941="Open",DATE(2025,12,31)-F4941,"-")</f>
        <v>-</v>
      </c>
    </row>
    <row r="4942" customFormat="false" ht="15" hidden="false" customHeight="false" outlineLevel="0" collapsed="false">
      <c r="B4942" s="7" t="s">
        <v>19587</v>
      </c>
      <c r="C4942" s="7" t="s">
        <v>5439</v>
      </c>
      <c r="D4942" s="7" t="s">
        <v>369</v>
      </c>
      <c r="E4942" s="7" t="s">
        <v>159</v>
      </c>
      <c r="F4942" s="39" t="n">
        <v>45895</v>
      </c>
      <c r="G4942" s="41" t="n">
        <v>130.95</v>
      </c>
      <c r="H4942" s="39" t="n">
        <v>45939</v>
      </c>
      <c r="I4942" s="7" t="s">
        <v>14651</v>
      </c>
      <c r="J4942" s="8" t="str">
        <f aca="false">IF(I4942="Open",DATE(2025,12,31)-F4942,"-")</f>
        <v>-</v>
      </c>
    </row>
    <row r="4943" customFormat="false" ht="15" hidden="false" customHeight="false" outlineLevel="0" collapsed="false">
      <c r="B4943" s="7" t="s">
        <v>19588</v>
      </c>
      <c r="C4943" s="7" t="s">
        <v>5440</v>
      </c>
      <c r="D4943" s="7" t="s">
        <v>381</v>
      </c>
      <c r="E4943" s="7" t="s">
        <v>157</v>
      </c>
      <c r="F4943" s="39" t="n">
        <v>45895</v>
      </c>
      <c r="G4943" s="41" t="n">
        <v>176.55</v>
      </c>
      <c r="H4943" s="39" t="n">
        <v>45935</v>
      </c>
      <c r="I4943" s="7" t="s">
        <v>14651</v>
      </c>
      <c r="J4943" s="8" t="str">
        <f aca="false">IF(I4943="Open",DATE(2025,12,31)-F4943,"-")</f>
        <v>-</v>
      </c>
    </row>
    <row r="4944" customFormat="false" ht="15" hidden="false" customHeight="false" outlineLevel="0" collapsed="false">
      <c r="B4944" s="7" t="s">
        <v>19589</v>
      </c>
      <c r="C4944" s="7" t="s">
        <v>5441</v>
      </c>
      <c r="D4944" s="7" t="s">
        <v>383</v>
      </c>
      <c r="E4944" s="7" t="s">
        <v>157</v>
      </c>
      <c r="F4944" s="39" t="n">
        <v>45895</v>
      </c>
      <c r="G4944" s="41" t="n">
        <v>151.8</v>
      </c>
      <c r="H4944" s="39" t="n">
        <v>45934</v>
      </c>
      <c r="I4944" s="7" t="s">
        <v>14651</v>
      </c>
      <c r="J4944" s="8" t="str">
        <f aca="false">IF(I4944="Open",DATE(2025,12,31)-F4944,"-")</f>
        <v>-</v>
      </c>
    </row>
    <row r="4945" customFormat="false" ht="15" hidden="false" customHeight="false" outlineLevel="0" collapsed="false">
      <c r="B4945" s="7" t="s">
        <v>19590</v>
      </c>
      <c r="C4945" s="7" t="s">
        <v>5442</v>
      </c>
      <c r="D4945" s="7" t="s">
        <v>387</v>
      </c>
      <c r="E4945" s="7" t="s">
        <v>154</v>
      </c>
      <c r="F4945" s="39" t="n">
        <v>45895</v>
      </c>
      <c r="G4945" s="41" t="n">
        <v>98.84</v>
      </c>
      <c r="H4945" s="39" t="n">
        <v>45965</v>
      </c>
      <c r="I4945" s="7" t="s">
        <v>14651</v>
      </c>
      <c r="J4945" s="8" t="str">
        <f aca="false">IF(I4945="Open",DATE(2025,12,31)-F4945,"-")</f>
        <v>-</v>
      </c>
    </row>
    <row r="4946" customFormat="false" ht="15" hidden="false" customHeight="false" outlineLevel="0" collapsed="false">
      <c r="B4946" s="7" t="s">
        <v>19591</v>
      </c>
      <c r="C4946" s="7" t="s">
        <v>5443</v>
      </c>
      <c r="D4946" s="7" t="s">
        <v>389</v>
      </c>
      <c r="E4946" s="7" t="s">
        <v>154</v>
      </c>
      <c r="F4946" s="39" t="n">
        <v>45895</v>
      </c>
      <c r="G4946" s="41" t="n">
        <v>107.96</v>
      </c>
      <c r="H4946" s="39" t="n">
        <v>46000</v>
      </c>
      <c r="I4946" s="7" t="s">
        <v>14651</v>
      </c>
      <c r="J4946" s="8" t="str">
        <f aca="false">IF(I4946="Open",DATE(2025,12,31)-F4946,"-")</f>
        <v>-</v>
      </c>
    </row>
    <row r="4947" customFormat="false" ht="15" hidden="false" customHeight="false" outlineLevel="0" collapsed="false">
      <c r="B4947" s="7" t="s">
        <v>19592</v>
      </c>
      <c r="C4947" s="7" t="s">
        <v>5444</v>
      </c>
      <c r="D4947" s="7" t="s">
        <v>391</v>
      </c>
      <c r="E4947" s="7" t="s">
        <v>156</v>
      </c>
      <c r="F4947" s="39" t="n">
        <v>45895</v>
      </c>
      <c r="G4947" s="41" t="n">
        <v>127.84</v>
      </c>
      <c r="H4947" s="39" t="n">
        <v>45915</v>
      </c>
      <c r="I4947" s="7" t="s">
        <v>14651</v>
      </c>
      <c r="J4947" s="8" t="str">
        <f aca="false">IF(I4947="Open",DATE(2025,12,31)-F4947,"-")</f>
        <v>-</v>
      </c>
    </row>
    <row r="4948" customFormat="false" ht="15" hidden="false" customHeight="false" outlineLevel="0" collapsed="false">
      <c r="B4948" s="7" t="s">
        <v>19593</v>
      </c>
      <c r="C4948" s="7" t="s">
        <v>5445</v>
      </c>
      <c r="D4948" s="7" t="s">
        <v>395</v>
      </c>
      <c r="E4948" s="7" t="s">
        <v>156</v>
      </c>
      <c r="F4948" s="39" t="n">
        <v>45895</v>
      </c>
      <c r="G4948" s="41" t="n">
        <v>136.34</v>
      </c>
      <c r="H4948" s="39" t="n">
        <v>45909</v>
      </c>
      <c r="I4948" s="7" t="s">
        <v>14651</v>
      </c>
      <c r="J4948" s="8" t="str">
        <f aca="false">IF(I4948="Open",DATE(2025,12,31)-F4948,"-")</f>
        <v>-</v>
      </c>
    </row>
    <row r="4949" customFormat="false" ht="15" hidden="false" customHeight="false" outlineLevel="0" collapsed="false">
      <c r="B4949" s="7" t="s">
        <v>19594</v>
      </c>
      <c r="C4949" s="7" t="s">
        <v>5446</v>
      </c>
      <c r="D4949" s="7" t="s">
        <v>397</v>
      </c>
      <c r="E4949" s="7" t="s">
        <v>159</v>
      </c>
      <c r="F4949" s="39" t="n">
        <v>45895</v>
      </c>
      <c r="G4949" s="41" t="n">
        <v>145.8</v>
      </c>
      <c r="H4949" s="39" t="n">
        <v>45955</v>
      </c>
      <c r="I4949" s="7" t="s">
        <v>14651</v>
      </c>
      <c r="J4949" s="8" t="str">
        <f aca="false">IF(I4949="Open",DATE(2025,12,31)-F4949,"-")</f>
        <v>-</v>
      </c>
    </row>
    <row r="4950" customFormat="false" ht="15" hidden="false" customHeight="false" outlineLevel="0" collapsed="false">
      <c r="B4950" s="7" t="s">
        <v>19595</v>
      </c>
      <c r="C4950" s="7" t="s">
        <v>5447</v>
      </c>
      <c r="D4950" s="7" t="s">
        <v>401</v>
      </c>
      <c r="E4950" s="7" t="s">
        <v>156</v>
      </c>
      <c r="F4950" s="39" t="n">
        <v>45895</v>
      </c>
      <c r="G4950" s="41" t="n">
        <v>124.78</v>
      </c>
      <c r="H4950" s="39" t="n">
        <v>45912</v>
      </c>
      <c r="I4950" s="7" t="s">
        <v>14651</v>
      </c>
      <c r="J4950" s="8" t="str">
        <f aca="false">IF(I4950="Open",DATE(2025,12,31)-F4950,"-")</f>
        <v>-</v>
      </c>
    </row>
    <row r="4951" customFormat="false" ht="15" hidden="false" customHeight="false" outlineLevel="0" collapsed="false">
      <c r="B4951" s="7" t="s">
        <v>19596</v>
      </c>
      <c r="C4951" s="7" t="s">
        <v>5448</v>
      </c>
      <c r="D4951" s="7" t="s">
        <v>407</v>
      </c>
      <c r="E4951" s="7" t="s">
        <v>159</v>
      </c>
      <c r="F4951" s="39" t="n">
        <v>45895</v>
      </c>
      <c r="G4951" s="41" t="n">
        <v>137.7</v>
      </c>
      <c r="H4951" s="39" t="n">
        <v>45927</v>
      </c>
      <c r="I4951" s="7" t="s">
        <v>14651</v>
      </c>
      <c r="J4951" s="8" t="str">
        <f aca="false">IF(I4951="Open",DATE(2025,12,31)-F4951,"-")</f>
        <v>-</v>
      </c>
    </row>
    <row r="4952" customFormat="false" ht="15" hidden="false" customHeight="false" outlineLevel="0" collapsed="false">
      <c r="B4952" s="7" t="s">
        <v>19597</v>
      </c>
      <c r="C4952" s="7" t="s">
        <v>5449</v>
      </c>
      <c r="D4952" s="7" t="s">
        <v>288</v>
      </c>
      <c r="E4952" s="7" t="s">
        <v>156</v>
      </c>
      <c r="F4952" s="39" t="n">
        <v>45896</v>
      </c>
      <c r="G4952" s="41" t="n">
        <v>139.74</v>
      </c>
      <c r="H4952" s="39" t="n">
        <v>45911</v>
      </c>
      <c r="I4952" s="7" t="s">
        <v>14651</v>
      </c>
      <c r="J4952" s="8" t="str">
        <f aca="false">IF(I4952="Open",DATE(2025,12,31)-F4952,"-")</f>
        <v>-</v>
      </c>
    </row>
    <row r="4953" customFormat="false" ht="15" hidden="false" customHeight="false" outlineLevel="0" collapsed="false">
      <c r="B4953" s="7" t="s">
        <v>19598</v>
      </c>
      <c r="C4953" s="7" t="s">
        <v>5450</v>
      </c>
      <c r="D4953" s="7" t="s">
        <v>291</v>
      </c>
      <c r="E4953" s="7" t="s">
        <v>154</v>
      </c>
      <c r="F4953" s="39" t="n">
        <v>45896</v>
      </c>
      <c r="G4953" s="41" t="n">
        <v>114.21</v>
      </c>
      <c r="H4953" s="39" t="n">
        <v>45957</v>
      </c>
      <c r="I4953" s="7" t="s">
        <v>14651</v>
      </c>
      <c r="J4953" s="8" t="str">
        <f aca="false">IF(I4953="Open",DATE(2025,12,31)-F4953,"-")</f>
        <v>-</v>
      </c>
    </row>
    <row r="4954" customFormat="false" ht="15" hidden="false" customHeight="false" outlineLevel="0" collapsed="false">
      <c r="B4954" s="7" t="s">
        <v>19599</v>
      </c>
      <c r="C4954" s="7" t="s">
        <v>5451</v>
      </c>
      <c r="D4954" s="7" t="s">
        <v>295</v>
      </c>
      <c r="E4954" s="7" t="s">
        <v>154</v>
      </c>
      <c r="F4954" s="39" t="n">
        <v>45896</v>
      </c>
      <c r="G4954" s="41" t="n">
        <v>105.2</v>
      </c>
      <c r="H4954" s="39" t="n">
        <v>45951</v>
      </c>
      <c r="I4954" s="7" t="s">
        <v>14651</v>
      </c>
      <c r="J4954" s="8" t="str">
        <f aca="false">IF(I4954="Open",DATE(2025,12,31)-F4954,"-")</f>
        <v>-</v>
      </c>
    </row>
    <row r="4955" customFormat="false" ht="15" hidden="false" customHeight="false" outlineLevel="0" collapsed="false">
      <c r="B4955" s="7" t="s">
        <v>19600</v>
      </c>
      <c r="C4955" s="7" t="s">
        <v>5452</v>
      </c>
      <c r="D4955" s="7" t="s">
        <v>305</v>
      </c>
      <c r="E4955" s="7" t="s">
        <v>154</v>
      </c>
      <c r="F4955" s="39" t="n">
        <v>45896</v>
      </c>
      <c r="G4955" s="41" t="n">
        <v>96.46</v>
      </c>
      <c r="H4955" s="39" t="n">
        <v>45958</v>
      </c>
      <c r="I4955" s="7" t="s">
        <v>14651</v>
      </c>
      <c r="J4955" s="8" t="str">
        <f aca="false">IF(I4955="Open",DATE(2025,12,31)-F4955,"-")</f>
        <v>-</v>
      </c>
    </row>
    <row r="4956" customFormat="false" ht="15" hidden="false" customHeight="false" outlineLevel="0" collapsed="false">
      <c r="B4956" s="7" t="s">
        <v>19601</v>
      </c>
      <c r="C4956" s="7" t="s">
        <v>5453</v>
      </c>
      <c r="D4956" s="7" t="s">
        <v>307</v>
      </c>
      <c r="E4956" s="7" t="s">
        <v>157</v>
      </c>
      <c r="F4956" s="39" t="n">
        <v>45896</v>
      </c>
      <c r="G4956" s="41" t="n">
        <v>151.8</v>
      </c>
      <c r="H4956" s="39" t="n">
        <v>45993</v>
      </c>
      <c r="I4956" s="7" t="s">
        <v>14651</v>
      </c>
      <c r="J4956" s="8" t="str">
        <f aca="false">IF(I4956="Open",DATE(2025,12,31)-F4956,"-")</f>
        <v>-</v>
      </c>
    </row>
    <row r="4957" customFormat="false" ht="15" hidden="false" customHeight="false" outlineLevel="0" collapsed="false">
      <c r="B4957" s="7" t="s">
        <v>19602</v>
      </c>
      <c r="C4957" s="7" t="s">
        <v>5454</v>
      </c>
      <c r="D4957" s="7" t="s">
        <v>309</v>
      </c>
      <c r="E4957" s="7" t="s">
        <v>159</v>
      </c>
      <c r="F4957" s="39" t="n">
        <v>45896</v>
      </c>
      <c r="G4957" s="41" t="n">
        <v>116.78</v>
      </c>
      <c r="H4957" s="39" t="n">
        <v>45940</v>
      </c>
      <c r="I4957" s="7" t="s">
        <v>14651</v>
      </c>
      <c r="J4957" s="8" t="str">
        <f aca="false">IF(I4957="Open",DATE(2025,12,31)-F4957,"-")</f>
        <v>-</v>
      </c>
    </row>
    <row r="4958" customFormat="false" ht="15" hidden="false" customHeight="false" outlineLevel="0" collapsed="false">
      <c r="B4958" s="7" t="s">
        <v>19603</v>
      </c>
      <c r="C4958" s="7" t="s">
        <v>5455</v>
      </c>
      <c r="D4958" s="7" t="s">
        <v>313</v>
      </c>
      <c r="E4958" s="7" t="s">
        <v>156</v>
      </c>
      <c r="F4958" s="39" t="n">
        <v>45896</v>
      </c>
      <c r="G4958" s="41" t="n">
        <v>142.12</v>
      </c>
      <c r="H4958" s="39" t="n">
        <v>45914</v>
      </c>
      <c r="I4958" s="7" t="s">
        <v>14651</v>
      </c>
      <c r="J4958" s="8" t="str">
        <f aca="false">IF(I4958="Open",DATE(2025,12,31)-F4958,"-")</f>
        <v>-</v>
      </c>
    </row>
    <row r="4959" customFormat="false" ht="15" hidden="false" customHeight="false" outlineLevel="0" collapsed="false">
      <c r="B4959" s="7" t="s">
        <v>19604</v>
      </c>
      <c r="C4959" s="7" t="s">
        <v>5456</v>
      </c>
      <c r="D4959" s="7" t="s">
        <v>315</v>
      </c>
      <c r="E4959" s="7" t="s">
        <v>159</v>
      </c>
      <c r="F4959" s="39" t="n">
        <v>45896</v>
      </c>
      <c r="G4959" s="41" t="n">
        <v>139.05</v>
      </c>
      <c r="H4959" s="39" t="n">
        <v>45942</v>
      </c>
      <c r="I4959" s="7" t="s">
        <v>14651</v>
      </c>
      <c r="J4959" s="8" t="str">
        <f aca="false">IF(I4959="Open",DATE(2025,12,31)-F4959,"-")</f>
        <v>-</v>
      </c>
    </row>
    <row r="4960" customFormat="false" ht="15" hidden="false" customHeight="false" outlineLevel="0" collapsed="false">
      <c r="B4960" s="7" t="s">
        <v>19605</v>
      </c>
      <c r="C4960" s="7" t="s">
        <v>5457</v>
      </c>
      <c r="D4960" s="7" t="s">
        <v>321</v>
      </c>
      <c r="E4960" s="7" t="s">
        <v>154</v>
      </c>
      <c r="F4960" s="39" t="n">
        <v>45896</v>
      </c>
      <c r="G4960" s="41" t="n">
        <v>115.27</v>
      </c>
      <c r="H4960" s="39" t="n">
        <v>45960</v>
      </c>
      <c r="I4960" s="7" t="s">
        <v>14651</v>
      </c>
      <c r="J4960" s="8" t="str">
        <f aca="false">IF(I4960="Open",DATE(2025,12,31)-F4960,"-")</f>
        <v>-</v>
      </c>
    </row>
    <row r="4961" customFormat="false" ht="15" hidden="false" customHeight="false" outlineLevel="0" collapsed="false">
      <c r="B4961" s="7" t="s">
        <v>19606</v>
      </c>
      <c r="C4961" s="7" t="s">
        <v>5458</v>
      </c>
      <c r="D4961" s="7" t="s">
        <v>329</v>
      </c>
      <c r="E4961" s="7" t="s">
        <v>156</v>
      </c>
      <c r="F4961" s="39" t="n">
        <v>45896</v>
      </c>
      <c r="G4961" s="41" t="n">
        <v>142.12</v>
      </c>
      <c r="H4961" s="39" t="n">
        <v>45904</v>
      </c>
      <c r="I4961" s="7" t="s">
        <v>14651</v>
      </c>
      <c r="J4961" s="8" t="str">
        <f aca="false">IF(I4961="Open",DATE(2025,12,31)-F4961,"-")</f>
        <v>-</v>
      </c>
    </row>
    <row r="4962" customFormat="false" ht="15" hidden="false" customHeight="false" outlineLevel="0" collapsed="false">
      <c r="B4962" s="7" t="s">
        <v>19607</v>
      </c>
      <c r="C4962" s="7" t="s">
        <v>5459</v>
      </c>
      <c r="D4962" s="7" t="s">
        <v>335</v>
      </c>
      <c r="E4962" s="7" t="s">
        <v>154</v>
      </c>
      <c r="F4962" s="39" t="n">
        <v>45896</v>
      </c>
      <c r="G4962" s="41" t="n">
        <v>104.68</v>
      </c>
      <c r="H4962" s="39" t="n">
        <v>45911</v>
      </c>
      <c r="I4962" s="7" t="s">
        <v>14651</v>
      </c>
      <c r="J4962" s="8" t="str">
        <f aca="false">IF(I4962="Open",DATE(2025,12,31)-F4962,"-")</f>
        <v>-</v>
      </c>
    </row>
    <row r="4963" customFormat="false" ht="15" hidden="false" customHeight="false" outlineLevel="0" collapsed="false">
      <c r="B4963" s="7" t="s">
        <v>19608</v>
      </c>
      <c r="C4963" s="7" t="s">
        <v>5460</v>
      </c>
      <c r="D4963" s="7" t="s">
        <v>339</v>
      </c>
      <c r="E4963" s="7" t="s">
        <v>154</v>
      </c>
      <c r="F4963" s="39" t="n">
        <v>45896</v>
      </c>
      <c r="G4963" s="41" t="n">
        <v>91.16</v>
      </c>
      <c r="H4963" s="39" t="n">
        <v>45984</v>
      </c>
      <c r="I4963" s="7" t="s">
        <v>14651</v>
      </c>
      <c r="J4963" s="8" t="str">
        <f aca="false">IF(I4963="Open",DATE(2025,12,31)-F4963,"-")</f>
        <v>-</v>
      </c>
    </row>
    <row r="4964" customFormat="false" ht="15" hidden="false" customHeight="false" outlineLevel="0" collapsed="false">
      <c r="B4964" s="7" t="s">
        <v>19609</v>
      </c>
      <c r="C4964" s="7" t="s">
        <v>5461</v>
      </c>
      <c r="D4964" s="7" t="s">
        <v>347</v>
      </c>
      <c r="E4964" s="7" t="s">
        <v>154</v>
      </c>
      <c r="F4964" s="39" t="n">
        <v>45896</v>
      </c>
      <c r="G4964" s="41" t="n">
        <v>127.49</v>
      </c>
      <c r="H4964" s="39" t="n">
        <v>45971</v>
      </c>
      <c r="I4964" s="7" t="s">
        <v>14651</v>
      </c>
      <c r="J4964" s="8" t="str">
        <f aca="false">IF(I4964="Open",DATE(2025,12,31)-F4964,"-")</f>
        <v>-</v>
      </c>
    </row>
    <row r="4965" customFormat="false" ht="15" hidden="false" customHeight="false" outlineLevel="0" collapsed="false">
      <c r="B4965" s="7" t="s">
        <v>19610</v>
      </c>
      <c r="C4965" s="7" t="s">
        <v>5462</v>
      </c>
      <c r="D4965" s="7" t="s">
        <v>353</v>
      </c>
      <c r="E4965" s="7" t="s">
        <v>154</v>
      </c>
      <c r="F4965" s="39" t="n">
        <v>45896</v>
      </c>
      <c r="G4965" s="41" t="n">
        <v>90.23</v>
      </c>
      <c r="H4965" s="39" t="n">
        <v>45925</v>
      </c>
      <c r="I4965" s="7" t="s">
        <v>14651</v>
      </c>
      <c r="J4965" s="8" t="str">
        <f aca="false">IF(I4965="Open",DATE(2025,12,31)-F4965,"-")</f>
        <v>-</v>
      </c>
    </row>
    <row r="4966" customFormat="false" ht="15" hidden="false" customHeight="false" outlineLevel="0" collapsed="false">
      <c r="B4966" s="7" t="s">
        <v>19611</v>
      </c>
      <c r="C4966" s="7" t="s">
        <v>5463</v>
      </c>
      <c r="D4966" s="7" t="s">
        <v>355</v>
      </c>
      <c r="E4966" s="7" t="s">
        <v>154</v>
      </c>
      <c r="F4966" s="39" t="n">
        <v>45896</v>
      </c>
      <c r="G4966" s="41" t="n">
        <v>84.53</v>
      </c>
      <c r="H4966" s="39" t="n">
        <v>45953</v>
      </c>
      <c r="I4966" s="7" t="s">
        <v>14651</v>
      </c>
      <c r="J4966" s="8" t="str">
        <f aca="false">IF(I4966="Open",DATE(2025,12,31)-F4966,"-")</f>
        <v>-</v>
      </c>
    </row>
    <row r="4967" customFormat="false" ht="15" hidden="false" customHeight="false" outlineLevel="0" collapsed="false">
      <c r="B4967" s="7" t="s">
        <v>19612</v>
      </c>
      <c r="C4967" s="7" t="s">
        <v>5464</v>
      </c>
      <c r="D4967" s="7" t="s">
        <v>357</v>
      </c>
      <c r="E4967" s="7" t="s">
        <v>154</v>
      </c>
      <c r="F4967" s="39" t="n">
        <v>45896</v>
      </c>
      <c r="G4967" s="41" t="n">
        <v>90.63</v>
      </c>
      <c r="H4967" s="39" t="n">
        <v>45936</v>
      </c>
      <c r="I4967" s="7" t="s">
        <v>14651</v>
      </c>
      <c r="J4967" s="8" t="str">
        <f aca="false">IF(I4967="Open",DATE(2025,12,31)-F4967,"-")</f>
        <v>-</v>
      </c>
    </row>
    <row r="4968" customFormat="false" ht="15" hidden="false" customHeight="false" outlineLevel="0" collapsed="false">
      <c r="B4968" s="7" t="s">
        <v>19613</v>
      </c>
      <c r="C4968" s="7" t="s">
        <v>5465</v>
      </c>
      <c r="D4968" s="7" t="s">
        <v>359</v>
      </c>
      <c r="E4968" s="7" t="s">
        <v>156</v>
      </c>
      <c r="F4968" s="39" t="n">
        <v>45896</v>
      </c>
      <c r="G4968" s="41" t="n">
        <v>122.74</v>
      </c>
      <c r="H4968" s="39" t="n">
        <v>45910</v>
      </c>
      <c r="I4968" s="7" t="s">
        <v>14651</v>
      </c>
      <c r="J4968" s="8" t="str">
        <f aca="false">IF(I4968="Open",DATE(2025,12,31)-F4968,"-")</f>
        <v>-</v>
      </c>
    </row>
    <row r="4969" customFormat="false" ht="15" hidden="false" customHeight="false" outlineLevel="0" collapsed="false">
      <c r="B4969" s="7" t="s">
        <v>19614</v>
      </c>
      <c r="C4969" s="7" t="s">
        <v>5466</v>
      </c>
      <c r="D4969" s="7" t="s">
        <v>365</v>
      </c>
      <c r="E4969" s="7" t="s">
        <v>154</v>
      </c>
      <c r="F4969" s="39" t="n">
        <v>45896</v>
      </c>
      <c r="G4969" s="41" t="n">
        <v>101.5</v>
      </c>
      <c r="H4969" s="39" t="n">
        <v>45991</v>
      </c>
      <c r="I4969" s="7" t="s">
        <v>14651</v>
      </c>
      <c r="J4969" s="8" t="str">
        <f aca="false">IF(I4969="Open",DATE(2025,12,31)-F4969,"-")</f>
        <v>-</v>
      </c>
    </row>
    <row r="4970" customFormat="false" ht="15" hidden="false" customHeight="false" outlineLevel="0" collapsed="false">
      <c r="B4970" s="7" t="s">
        <v>19615</v>
      </c>
      <c r="C4970" s="7" t="s">
        <v>5467</v>
      </c>
      <c r="D4970" s="7" t="s">
        <v>371</v>
      </c>
      <c r="E4970" s="7" t="s">
        <v>154</v>
      </c>
      <c r="F4970" s="39" t="n">
        <v>45896</v>
      </c>
      <c r="G4970" s="41" t="n">
        <v>125.88</v>
      </c>
      <c r="H4970" s="39" t="n">
        <v>45972</v>
      </c>
      <c r="I4970" s="7" t="s">
        <v>14651</v>
      </c>
      <c r="J4970" s="8" t="str">
        <f aca="false">IF(I4970="Open",DATE(2025,12,31)-F4970,"-")</f>
        <v>-</v>
      </c>
    </row>
    <row r="4971" customFormat="false" ht="15" hidden="false" customHeight="false" outlineLevel="0" collapsed="false">
      <c r="B4971" s="7" t="s">
        <v>19616</v>
      </c>
      <c r="C4971" s="7" t="s">
        <v>5468</v>
      </c>
      <c r="D4971" s="7" t="s">
        <v>379</v>
      </c>
      <c r="E4971" s="7" t="s">
        <v>156</v>
      </c>
      <c r="F4971" s="39" t="n">
        <v>45896</v>
      </c>
      <c r="G4971" s="41" t="n">
        <v>173.4</v>
      </c>
      <c r="H4971" s="39" t="n">
        <v>45908</v>
      </c>
      <c r="I4971" s="7" t="s">
        <v>14651</v>
      </c>
      <c r="J4971" s="8" t="str">
        <f aca="false">IF(I4971="Open",DATE(2025,12,31)-F4971,"-")</f>
        <v>-</v>
      </c>
    </row>
    <row r="4972" customFormat="false" ht="15" hidden="false" customHeight="false" outlineLevel="0" collapsed="false">
      <c r="B4972" s="7" t="s">
        <v>19617</v>
      </c>
      <c r="C4972" s="7" t="s">
        <v>5469</v>
      </c>
      <c r="D4972" s="7" t="s">
        <v>385</v>
      </c>
      <c r="E4972" s="7" t="s">
        <v>156</v>
      </c>
      <c r="F4972" s="39" t="n">
        <v>45896</v>
      </c>
      <c r="G4972" s="41" t="n">
        <v>124.1</v>
      </c>
      <c r="H4972" s="39" t="n">
        <v>45914</v>
      </c>
      <c r="I4972" s="7" t="s">
        <v>14651</v>
      </c>
      <c r="J4972" s="8" t="str">
        <f aca="false">IF(I4972="Open",DATE(2025,12,31)-F4972,"-")</f>
        <v>-</v>
      </c>
    </row>
    <row r="4973" customFormat="false" ht="15" hidden="false" customHeight="false" outlineLevel="0" collapsed="false">
      <c r="B4973" s="7" t="s">
        <v>19618</v>
      </c>
      <c r="C4973" s="7" t="s">
        <v>5470</v>
      </c>
      <c r="D4973" s="7" t="s">
        <v>387</v>
      </c>
      <c r="E4973" s="7" t="s">
        <v>154</v>
      </c>
      <c r="F4973" s="39" t="n">
        <v>45896</v>
      </c>
      <c r="G4973" s="41" t="n">
        <v>112.36</v>
      </c>
      <c r="H4973" s="39" t="n">
        <v>45979</v>
      </c>
      <c r="I4973" s="7" t="s">
        <v>14651</v>
      </c>
      <c r="J4973" s="8" t="str">
        <f aca="false">IF(I4973="Open",DATE(2025,12,31)-F4973,"-")</f>
        <v>-</v>
      </c>
    </row>
    <row r="4974" customFormat="false" ht="15" hidden="false" customHeight="false" outlineLevel="0" collapsed="false">
      <c r="B4974" s="7" t="s">
        <v>19619</v>
      </c>
      <c r="C4974" s="7" t="s">
        <v>5471</v>
      </c>
      <c r="D4974" s="7" t="s">
        <v>389</v>
      </c>
      <c r="E4974" s="7" t="s">
        <v>154</v>
      </c>
      <c r="F4974" s="39" t="n">
        <v>45896</v>
      </c>
      <c r="G4974" s="41" t="n">
        <v>108.12</v>
      </c>
      <c r="H4974" s="39" t="n">
        <v>45961</v>
      </c>
      <c r="I4974" s="7" t="s">
        <v>14651</v>
      </c>
      <c r="J4974" s="8" t="str">
        <f aca="false">IF(I4974="Open",DATE(2025,12,31)-F4974,"-")</f>
        <v>-</v>
      </c>
    </row>
    <row r="4975" customFormat="false" ht="15" hidden="false" customHeight="false" outlineLevel="0" collapsed="false">
      <c r="B4975" s="7" t="s">
        <v>19620</v>
      </c>
      <c r="C4975" s="7" t="s">
        <v>5472</v>
      </c>
      <c r="D4975" s="7" t="s">
        <v>393</v>
      </c>
      <c r="E4975" s="7" t="s">
        <v>157</v>
      </c>
      <c r="F4975" s="39" t="n">
        <v>45896</v>
      </c>
      <c r="G4975" s="41" t="n">
        <v>148.83</v>
      </c>
      <c r="H4975" s="39" t="n">
        <v>45949</v>
      </c>
      <c r="I4975" s="7" t="s">
        <v>14651</v>
      </c>
      <c r="J4975" s="8" t="str">
        <f aca="false">IF(I4975="Open",DATE(2025,12,31)-F4975,"-")</f>
        <v>-</v>
      </c>
    </row>
    <row r="4976" customFormat="false" ht="15" hidden="false" customHeight="false" outlineLevel="0" collapsed="false">
      <c r="B4976" s="7" t="s">
        <v>19621</v>
      </c>
      <c r="C4976" s="7" t="s">
        <v>5473</v>
      </c>
      <c r="D4976" s="7" t="s">
        <v>395</v>
      </c>
      <c r="E4976" s="7" t="s">
        <v>156</v>
      </c>
      <c r="F4976" s="39" t="n">
        <v>45896</v>
      </c>
      <c r="G4976" s="41" t="n">
        <v>127.5</v>
      </c>
      <c r="H4976" s="39" t="n">
        <v>45914</v>
      </c>
      <c r="I4976" s="7" t="s">
        <v>14651</v>
      </c>
      <c r="J4976" s="8" t="str">
        <f aca="false">IF(I4976="Open",DATE(2025,12,31)-F4976,"-")</f>
        <v>-</v>
      </c>
    </row>
    <row r="4977" customFormat="false" ht="15" hidden="false" customHeight="false" outlineLevel="0" collapsed="false">
      <c r="B4977" s="7" t="s">
        <v>19622</v>
      </c>
      <c r="C4977" s="7" t="s">
        <v>5474</v>
      </c>
      <c r="D4977" s="7" t="s">
        <v>399</v>
      </c>
      <c r="E4977" s="7" t="s">
        <v>154</v>
      </c>
      <c r="F4977" s="39" t="n">
        <v>45896</v>
      </c>
      <c r="G4977" s="41" t="n">
        <v>89.04</v>
      </c>
      <c r="H4977" s="39" t="n">
        <v>45990</v>
      </c>
      <c r="I4977" s="7" t="s">
        <v>14651</v>
      </c>
      <c r="J4977" s="8" t="str">
        <f aca="false">IF(I4977="Open",DATE(2025,12,31)-F4977,"-")</f>
        <v>-</v>
      </c>
    </row>
    <row r="4978" customFormat="false" ht="15" hidden="false" customHeight="false" outlineLevel="0" collapsed="false">
      <c r="B4978" s="7" t="s">
        <v>19623</v>
      </c>
      <c r="C4978" s="7" t="s">
        <v>5475</v>
      </c>
      <c r="D4978" s="7" t="s">
        <v>401</v>
      </c>
      <c r="E4978" s="7" t="s">
        <v>156</v>
      </c>
      <c r="F4978" s="39" t="n">
        <v>45896</v>
      </c>
      <c r="G4978" s="41" t="n">
        <v>123.08</v>
      </c>
      <c r="H4978" s="39" t="n">
        <v>45897</v>
      </c>
      <c r="I4978" s="7" t="s">
        <v>14651</v>
      </c>
      <c r="J4978" s="8" t="str">
        <f aca="false">IF(I4978="Open",DATE(2025,12,31)-F4978,"-")</f>
        <v>-</v>
      </c>
    </row>
    <row r="4979" customFormat="false" ht="15" hidden="false" customHeight="false" outlineLevel="0" collapsed="false">
      <c r="B4979" s="7" t="s">
        <v>19624</v>
      </c>
      <c r="C4979" s="7" t="s">
        <v>5476</v>
      </c>
      <c r="D4979" s="7" t="s">
        <v>403</v>
      </c>
      <c r="E4979" s="7" t="s">
        <v>156</v>
      </c>
      <c r="F4979" s="39" t="n">
        <v>45896</v>
      </c>
      <c r="G4979" s="41" t="n">
        <v>143.48</v>
      </c>
      <c r="H4979" s="39" t="n">
        <v>45907</v>
      </c>
      <c r="I4979" s="7" t="s">
        <v>14651</v>
      </c>
      <c r="J4979" s="8" t="str">
        <f aca="false">IF(I4979="Open",DATE(2025,12,31)-F4979,"-")</f>
        <v>-</v>
      </c>
    </row>
    <row r="4980" customFormat="false" ht="15" hidden="false" customHeight="false" outlineLevel="0" collapsed="false">
      <c r="B4980" s="7" t="s">
        <v>19625</v>
      </c>
      <c r="C4980" s="7" t="s">
        <v>5477</v>
      </c>
      <c r="D4980" s="7" t="s">
        <v>409</v>
      </c>
      <c r="E4980" s="7" t="s">
        <v>154</v>
      </c>
      <c r="F4980" s="39" t="n">
        <v>45896</v>
      </c>
      <c r="G4980" s="41" t="n">
        <v>95.93</v>
      </c>
      <c r="H4980" s="39" t="n">
        <v>45940</v>
      </c>
      <c r="I4980" s="7" t="s">
        <v>14651</v>
      </c>
      <c r="J4980" s="8" t="str">
        <f aca="false">IF(I4980="Open",DATE(2025,12,31)-F4980,"-")</f>
        <v>-</v>
      </c>
    </row>
    <row r="4981" customFormat="false" ht="15" hidden="false" customHeight="false" outlineLevel="0" collapsed="false">
      <c r="B4981" s="7" t="s">
        <v>19626</v>
      </c>
      <c r="C4981" s="7" t="s">
        <v>5478</v>
      </c>
      <c r="D4981" s="7" t="s">
        <v>411</v>
      </c>
      <c r="E4981" s="7" t="s">
        <v>154</v>
      </c>
      <c r="F4981" s="39" t="n">
        <v>45896</v>
      </c>
      <c r="G4981" s="41" t="n">
        <v>115.27</v>
      </c>
      <c r="H4981" s="39" t="n">
        <v>45955</v>
      </c>
      <c r="I4981" s="7" t="s">
        <v>14651</v>
      </c>
      <c r="J4981" s="8" t="str">
        <f aca="false">IF(I4981="Open",DATE(2025,12,31)-F4981,"-")</f>
        <v>-</v>
      </c>
    </row>
    <row r="4982" customFormat="false" ht="15" hidden="false" customHeight="false" outlineLevel="0" collapsed="false">
      <c r="B4982" s="7" t="s">
        <v>19627</v>
      </c>
      <c r="C4982" s="7" t="s">
        <v>5479</v>
      </c>
      <c r="D4982" s="7" t="s">
        <v>288</v>
      </c>
      <c r="E4982" s="7" t="s">
        <v>156</v>
      </c>
      <c r="F4982" s="39" t="n">
        <v>45897</v>
      </c>
      <c r="G4982" s="41" t="n">
        <v>124.1</v>
      </c>
      <c r="H4982" s="39" t="n">
        <v>45904</v>
      </c>
      <c r="I4982" s="7" t="s">
        <v>14651</v>
      </c>
      <c r="J4982" s="8" t="str">
        <f aca="false">IF(I4982="Open",DATE(2025,12,31)-F4982,"-")</f>
        <v>-</v>
      </c>
    </row>
    <row r="4983" customFormat="false" ht="15" hidden="false" customHeight="false" outlineLevel="0" collapsed="false">
      <c r="B4983" s="7" t="s">
        <v>19628</v>
      </c>
      <c r="C4983" s="7" t="s">
        <v>5480</v>
      </c>
      <c r="D4983" s="7" t="s">
        <v>297</v>
      </c>
      <c r="E4983" s="7" t="s">
        <v>156</v>
      </c>
      <c r="F4983" s="39" t="n">
        <v>45897</v>
      </c>
      <c r="G4983" s="41" t="n">
        <v>106.42</v>
      </c>
      <c r="H4983" s="39" t="n">
        <v>45903</v>
      </c>
      <c r="I4983" s="7" t="s">
        <v>14651</v>
      </c>
      <c r="J4983" s="8" t="str">
        <f aca="false">IF(I4983="Open",DATE(2025,12,31)-F4983,"-")</f>
        <v>-</v>
      </c>
    </row>
    <row r="4984" customFormat="false" ht="15" hidden="false" customHeight="false" outlineLevel="0" collapsed="false">
      <c r="B4984" s="7" t="s">
        <v>19629</v>
      </c>
      <c r="C4984" s="7" t="s">
        <v>5481</v>
      </c>
      <c r="D4984" s="7" t="s">
        <v>311</v>
      </c>
      <c r="E4984" s="7" t="s">
        <v>154</v>
      </c>
      <c r="F4984" s="39" t="n">
        <v>45897</v>
      </c>
      <c r="G4984" s="41" t="n">
        <v>78.41</v>
      </c>
      <c r="H4984" s="39" t="n">
        <v>45958</v>
      </c>
      <c r="I4984" s="7" t="s">
        <v>14651</v>
      </c>
      <c r="J4984" s="8" t="str">
        <f aca="false">IF(I4984="Open",DATE(2025,12,31)-F4984,"-")</f>
        <v>-</v>
      </c>
    </row>
    <row r="4985" customFormat="false" ht="15" hidden="false" customHeight="false" outlineLevel="0" collapsed="false">
      <c r="B4985" s="7" t="s">
        <v>19630</v>
      </c>
      <c r="C4985" s="7" t="s">
        <v>5482</v>
      </c>
      <c r="D4985" s="7" t="s">
        <v>313</v>
      </c>
      <c r="E4985" s="7" t="s">
        <v>156</v>
      </c>
      <c r="F4985" s="39" t="n">
        <v>45897</v>
      </c>
      <c r="G4985" s="41" t="n">
        <v>145.86</v>
      </c>
      <c r="H4985" s="39" t="n">
        <v>45908</v>
      </c>
      <c r="I4985" s="7" t="s">
        <v>14651</v>
      </c>
      <c r="J4985" s="8" t="str">
        <f aca="false">IF(I4985="Open",DATE(2025,12,31)-F4985,"-")</f>
        <v>-</v>
      </c>
    </row>
    <row r="4986" customFormat="false" ht="15" hidden="false" customHeight="false" outlineLevel="0" collapsed="false">
      <c r="B4986" s="7" t="s">
        <v>19631</v>
      </c>
      <c r="C4986" s="7" t="s">
        <v>5483</v>
      </c>
      <c r="D4986" s="7" t="s">
        <v>317</v>
      </c>
      <c r="E4986" s="7" t="s">
        <v>156</v>
      </c>
      <c r="F4986" s="39" t="n">
        <v>45897</v>
      </c>
      <c r="G4986" s="41" t="n">
        <v>93.84</v>
      </c>
      <c r="H4986" s="39" t="n">
        <v>45910</v>
      </c>
      <c r="I4986" s="7" t="s">
        <v>14651</v>
      </c>
      <c r="J4986" s="8" t="str">
        <f aca="false">IF(I4986="Open",DATE(2025,12,31)-F4986,"-")</f>
        <v>-</v>
      </c>
    </row>
    <row r="4987" customFormat="false" ht="15" hidden="false" customHeight="false" outlineLevel="0" collapsed="false">
      <c r="B4987" s="7" t="s">
        <v>19632</v>
      </c>
      <c r="C4987" s="7" t="s">
        <v>5484</v>
      </c>
      <c r="D4987" s="7" t="s">
        <v>321</v>
      </c>
      <c r="E4987" s="7" t="s">
        <v>154</v>
      </c>
      <c r="F4987" s="39" t="n">
        <v>45897</v>
      </c>
      <c r="G4987" s="41" t="n">
        <v>109.98</v>
      </c>
      <c r="H4987" s="39" t="n">
        <v>45987</v>
      </c>
      <c r="I4987" s="7" t="s">
        <v>14651</v>
      </c>
      <c r="J4987" s="8" t="str">
        <f aca="false">IF(I4987="Open",DATE(2025,12,31)-F4987,"-")</f>
        <v>-</v>
      </c>
    </row>
    <row r="4988" customFormat="false" ht="15" hidden="false" customHeight="false" outlineLevel="0" collapsed="false">
      <c r="B4988" s="7" t="s">
        <v>19633</v>
      </c>
      <c r="C4988" s="7" t="s">
        <v>5485</v>
      </c>
      <c r="D4988" s="7" t="s">
        <v>325</v>
      </c>
      <c r="E4988" s="7" t="s">
        <v>154</v>
      </c>
      <c r="F4988" s="39" t="n">
        <v>45897</v>
      </c>
      <c r="G4988" s="41" t="n">
        <v>80.45</v>
      </c>
      <c r="H4988" s="39" t="n">
        <v>45942</v>
      </c>
      <c r="I4988" s="7" t="s">
        <v>14651</v>
      </c>
      <c r="J4988" s="8" t="str">
        <f aca="false">IF(I4988="Open",DATE(2025,12,31)-F4988,"-")</f>
        <v>-</v>
      </c>
    </row>
    <row r="4989" customFormat="false" ht="15" hidden="false" customHeight="false" outlineLevel="0" collapsed="false">
      <c r="B4989" s="7" t="s">
        <v>19634</v>
      </c>
      <c r="C4989" s="7" t="s">
        <v>5486</v>
      </c>
      <c r="D4989" s="7" t="s">
        <v>329</v>
      </c>
      <c r="E4989" s="7" t="s">
        <v>156</v>
      </c>
      <c r="F4989" s="39" t="n">
        <v>45897</v>
      </c>
      <c r="G4989" s="41" t="n">
        <v>122.74</v>
      </c>
      <c r="H4989" s="39" t="n">
        <v>45915</v>
      </c>
      <c r="I4989" s="7" t="s">
        <v>14651</v>
      </c>
      <c r="J4989" s="8" t="str">
        <f aca="false">IF(I4989="Open",DATE(2025,12,31)-F4989,"-")</f>
        <v>-</v>
      </c>
    </row>
    <row r="4990" customFormat="false" ht="15" hidden="false" customHeight="false" outlineLevel="0" collapsed="false">
      <c r="B4990" s="7" t="s">
        <v>19635</v>
      </c>
      <c r="C4990" s="7" t="s">
        <v>5487</v>
      </c>
      <c r="D4990" s="7" t="s">
        <v>331</v>
      </c>
      <c r="E4990" s="7" t="s">
        <v>156</v>
      </c>
      <c r="F4990" s="39" t="n">
        <v>45897</v>
      </c>
      <c r="G4990" s="41" t="n">
        <v>148.58</v>
      </c>
      <c r="H4990" s="39" t="n">
        <v>45909</v>
      </c>
      <c r="I4990" s="7" t="s">
        <v>14651</v>
      </c>
      <c r="J4990" s="8" t="str">
        <f aca="false">IF(I4990="Open",DATE(2025,12,31)-F4990,"-")</f>
        <v>-</v>
      </c>
    </row>
    <row r="4991" customFormat="false" ht="15" hidden="false" customHeight="false" outlineLevel="0" collapsed="false">
      <c r="B4991" s="7" t="s">
        <v>19636</v>
      </c>
      <c r="C4991" s="7" t="s">
        <v>5488</v>
      </c>
      <c r="D4991" s="7" t="s">
        <v>341</v>
      </c>
      <c r="E4991" s="7" t="s">
        <v>156</v>
      </c>
      <c r="F4991" s="39" t="n">
        <v>45897</v>
      </c>
      <c r="G4991" s="41" t="n">
        <v>100.98</v>
      </c>
      <c r="H4991" s="39" t="n">
        <v>45917</v>
      </c>
      <c r="I4991" s="7" t="s">
        <v>14651</v>
      </c>
      <c r="J4991" s="8" t="str">
        <f aca="false">IF(I4991="Open",DATE(2025,12,31)-F4991,"-")</f>
        <v>-</v>
      </c>
    </row>
    <row r="4992" customFormat="false" ht="15" hidden="false" customHeight="false" outlineLevel="0" collapsed="false">
      <c r="B4992" s="7" t="s">
        <v>19637</v>
      </c>
      <c r="C4992" s="7" t="s">
        <v>5489</v>
      </c>
      <c r="D4992" s="7" t="s">
        <v>343</v>
      </c>
      <c r="E4992" s="7" t="s">
        <v>154</v>
      </c>
      <c r="F4992" s="39" t="n">
        <v>45897</v>
      </c>
      <c r="G4992" s="41" t="n">
        <v>108.65</v>
      </c>
      <c r="H4992" s="39" t="n">
        <v>45949</v>
      </c>
      <c r="I4992" s="7" t="s">
        <v>14651</v>
      </c>
      <c r="J4992" s="8" t="str">
        <f aca="false">IF(I4992="Open",DATE(2025,12,31)-F4992,"-")</f>
        <v>-</v>
      </c>
    </row>
    <row r="4993" customFormat="false" ht="15" hidden="false" customHeight="false" outlineLevel="0" collapsed="false">
      <c r="B4993" s="7" t="s">
        <v>19638</v>
      </c>
      <c r="C4993" s="7" t="s">
        <v>5490</v>
      </c>
      <c r="D4993" s="7" t="s">
        <v>351</v>
      </c>
      <c r="E4993" s="7" t="s">
        <v>154</v>
      </c>
      <c r="F4993" s="39" t="n">
        <v>45897</v>
      </c>
      <c r="G4993" s="41" t="n">
        <v>78.44</v>
      </c>
      <c r="H4993" s="39" t="n">
        <v>46007</v>
      </c>
      <c r="I4993" s="7" t="s">
        <v>14651</v>
      </c>
      <c r="J4993" s="8" t="str">
        <f aca="false">IF(I4993="Open",DATE(2025,12,31)-F4993,"-")</f>
        <v>-</v>
      </c>
    </row>
    <row r="4994" customFormat="false" ht="15" hidden="false" customHeight="false" outlineLevel="0" collapsed="false">
      <c r="B4994" s="7" t="s">
        <v>19639</v>
      </c>
      <c r="C4994" s="7" t="s">
        <v>5491</v>
      </c>
      <c r="D4994" s="7" t="s">
        <v>359</v>
      </c>
      <c r="E4994" s="7" t="s">
        <v>156</v>
      </c>
      <c r="F4994" s="39" t="n">
        <v>45897</v>
      </c>
      <c r="G4994" s="41" t="n">
        <v>135.32</v>
      </c>
      <c r="H4994" s="39" t="n">
        <v>45910</v>
      </c>
      <c r="I4994" s="7" t="s">
        <v>14651</v>
      </c>
      <c r="J4994" s="8" t="str">
        <f aca="false">IF(I4994="Open",DATE(2025,12,31)-F4994,"-")</f>
        <v>-</v>
      </c>
    </row>
    <row r="4995" customFormat="false" ht="15" hidden="false" customHeight="false" outlineLevel="0" collapsed="false">
      <c r="B4995" s="7" t="s">
        <v>19640</v>
      </c>
      <c r="C4995" s="7" t="s">
        <v>5492</v>
      </c>
      <c r="D4995" s="7" t="s">
        <v>363</v>
      </c>
      <c r="E4995" s="7" t="s">
        <v>156</v>
      </c>
      <c r="F4995" s="39" t="n">
        <v>45897</v>
      </c>
      <c r="G4995" s="41" t="n">
        <v>122.4</v>
      </c>
      <c r="H4995" s="39" t="n">
        <v>45905</v>
      </c>
      <c r="I4995" s="7" t="s">
        <v>14651</v>
      </c>
      <c r="J4995" s="8" t="str">
        <f aca="false">IF(I4995="Open",DATE(2025,12,31)-F4995,"-")</f>
        <v>-</v>
      </c>
    </row>
    <row r="4996" customFormat="false" ht="15" hidden="false" customHeight="false" outlineLevel="0" collapsed="false">
      <c r="B4996" s="7" t="s">
        <v>19641</v>
      </c>
      <c r="C4996" s="7" t="s">
        <v>5493</v>
      </c>
      <c r="D4996" s="7" t="s">
        <v>365</v>
      </c>
      <c r="E4996" s="7" t="s">
        <v>154</v>
      </c>
      <c r="F4996" s="39" t="n">
        <v>45897</v>
      </c>
      <c r="G4996" s="41" t="n">
        <v>94.84</v>
      </c>
      <c r="H4996" s="39" t="n">
        <v>45982</v>
      </c>
      <c r="I4996" s="7" t="s">
        <v>14651</v>
      </c>
      <c r="J4996" s="8" t="str">
        <f aca="false">IF(I4996="Open",DATE(2025,12,31)-F4996,"-")</f>
        <v>-</v>
      </c>
    </row>
    <row r="4997" customFormat="false" ht="15" hidden="false" customHeight="false" outlineLevel="0" collapsed="false">
      <c r="B4997" s="7" t="s">
        <v>19642</v>
      </c>
      <c r="C4997" s="7" t="s">
        <v>5494</v>
      </c>
      <c r="D4997" s="7" t="s">
        <v>375</v>
      </c>
      <c r="E4997" s="7" t="s">
        <v>156</v>
      </c>
      <c r="F4997" s="39" t="n">
        <v>45897</v>
      </c>
      <c r="G4997" s="41" t="n">
        <v>95.88</v>
      </c>
      <c r="H4997" s="39" t="n">
        <v>45907</v>
      </c>
      <c r="I4997" s="7" t="s">
        <v>14651</v>
      </c>
      <c r="J4997" s="8" t="str">
        <f aca="false">IF(I4997="Open",DATE(2025,12,31)-F4997,"-")</f>
        <v>-</v>
      </c>
    </row>
    <row r="4998" customFormat="false" ht="15" hidden="false" customHeight="false" outlineLevel="0" collapsed="false">
      <c r="B4998" s="7" t="s">
        <v>19643</v>
      </c>
      <c r="C4998" s="7" t="s">
        <v>5495</v>
      </c>
      <c r="D4998" s="7" t="s">
        <v>377</v>
      </c>
      <c r="E4998" s="7" t="s">
        <v>154</v>
      </c>
      <c r="F4998" s="39" t="n">
        <v>45897</v>
      </c>
      <c r="G4998" s="41" t="n">
        <v>104.15</v>
      </c>
      <c r="H4998" s="39" t="n">
        <v>45988</v>
      </c>
      <c r="I4998" s="7" t="s">
        <v>14651</v>
      </c>
      <c r="J4998" s="8" t="str">
        <f aca="false">IF(I4998="Open",DATE(2025,12,31)-F4998,"-")</f>
        <v>-</v>
      </c>
    </row>
    <row r="4999" customFormat="false" ht="15" hidden="false" customHeight="false" outlineLevel="0" collapsed="false">
      <c r="B4999" s="7" t="s">
        <v>19644</v>
      </c>
      <c r="C4999" s="7" t="s">
        <v>5496</v>
      </c>
      <c r="D4999" s="7" t="s">
        <v>387</v>
      </c>
      <c r="E4999" s="7" t="s">
        <v>154</v>
      </c>
      <c r="F4999" s="39" t="n">
        <v>45897</v>
      </c>
      <c r="G4999" s="41" t="n">
        <v>101.23</v>
      </c>
      <c r="H4999" s="39" t="n">
        <v>45954</v>
      </c>
      <c r="I4999" s="7" t="s">
        <v>14651</v>
      </c>
      <c r="J4999" s="8" t="str">
        <f aca="false">IF(I4999="Open",DATE(2025,12,31)-F4999,"-")</f>
        <v>-</v>
      </c>
    </row>
    <row r="5000" customFormat="false" ht="15" hidden="false" customHeight="false" outlineLevel="0" collapsed="false">
      <c r="B5000" s="7" t="s">
        <v>19645</v>
      </c>
      <c r="C5000" s="7" t="s">
        <v>5497</v>
      </c>
      <c r="D5000" s="7" t="s">
        <v>389</v>
      </c>
      <c r="E5000" s="7" t="s">
        <v>154</v>
      </c>
      <c r="F5000" s="39" t="n">
        <v>45897</v>
      </c>
      <c r="G5000" s="41" t="n">
        <v>101.28</v>
      </c>
      <c r="H5000" s="39" t="n">
        <v>45927</v>
      </c>
      <c r="I5000" s="7" t="s">
        <v>14651</v>
      </c>
      <c r="J5000" s="8" t="str">
        <f aca="false">IF(I5000="Open",DATE(2025,12,31)-F5000,"-")</f>
        <v>-</v>
      </c>
    </row>
    <row r="5001" customFormat="false" ht="15" hidden="false" customHeight="false" outlineLevel="0" collapsed="false">
      <c r="B5001" s="7" t="s">
        <v>19646</v>
      </c>
      <c r="C5001" s="7" t="s">
        <v>5498</v>
      </c>
      <c r="D5001" s="7" t="s">
        <v>391</v>
      </c>
      <c r="E5001" s="7" t="s">
        <v>156</v>
      </c>
      <c r="F5001" s="39" t="n">
        <v>45897</v>
      </c>
      <c r="G5001" s="41" t="n">
        <v>125.12</v>
      </c>
      <c r="H5001" s="39" t="n">
        <v>45908</v>
      </c>
      <c r="I5001" s="7" t="s">
        <v>14651</v>
      </c>
      <c r="J5001" s="8" t="str">
        <f aca="false">IF(I5001="Open",DATE(2025,12,31)-F5001,"-")</f>
        <v>-</v>
      </c>
    </row>
    <row r="5002" customFormat="false" ht="15" hidden="false" customHeight="false" outlineLevel="0" collapsed="false">
      <c r="B5002" s="7" t="s">
        <v>19647</v>
      </c>
      <c r="C5002" s="7" t="s">
        <v>5499</v>
      </c>
      <c r="D5002" s="7" t="s">
        <v>395</v>
      </c>
      <c r="E5002" s="7" t="s">
        <v>156</v>
      </c>
      <c r="F5002" s="39" t="n">
        <v>45897</v>
      </c>
      <c r="G5002" s="41" t="n">
        <v>125.46</v>
      </c>
      <c r="H5002" s="39" t="n">
        <v>45907</v>
      </c>
      <c r="I5002" s="7" t="s">
        <v>14651</v>
      </c>
      <c r="J5002" s="8" t="str">
        <f aca="false">IF(I5002="Open",DATE(2025,12,31)-F5002,"-")</f>
        <v>-</v>
      </c>
    </row>
    <row r="5003" customFormat="false" ht="15" hidden="false" customHeight="false" outlineLevel="0" collapsed="false">
      <c r="B5003" s="7" t="s">
        <v>19648</v>
      </c>
      <c r="C5003" s="7" t="s">
        <v>5500</v>
      </c>
      <c r="D5003" s="7" t="s">
        <v>401</v>
      </c>
      <c r="E5003" s="7" t="s">
        <v>156</v>
      </c>
      <c r="F5003" s="39" t="n">
        <v>45897</v>
      </c>
      <c r="G5003" s="41" t="n">
        <v>125.46</v>
      </c>
      <c r="H5003" s="39" t="n">
        <v>45913</v>
      </c>
      <c r="I5003" s="7" t="s">
        <v>14651</v>
      </c>
      <c r="J5003" s="8" t="str">
        <f aca="false">IF(I5003="Open",DATE(2025,12,31)-F5003,"-")</f>
        <v>-</v>
      </c>
    </row>
    <row r="5004" customFormat="false" ht="15" hidden="false" customHeight="false" outlineLevel="0" collapsed="false">
      <c r="B5004" s="7" t="s">
        <v>19649</v>
      </c>
      <c r="C5004" s="7" t="s">
        <v>5501</v>
      </c>
      <c r="D5004" s="7" t="s">
        <v>288</v>
      </c>
      <c r="E5004" s="7" t="s">
        <v>156</v>
      </c>
      <c r="F5004" s="39" t="n">
        <v>45898</v>
      </c>
      <c r="G5004" s="41" t="n">
        <v>124.78</v>
      </c>
      <c r="H5004" s="39" t="n">
        <v>45903</v>
      </c>
      <c r="I5004" s="7" t="s">
        <v>14651</v>
      </c>
      <c r="J5004" s="8" t="str">
        <f aca="false">IF(I5004="Open",DATE(2025,12,31)-F5004,"-")</f>
        <v>-</v>
      </c>
    </row>
    <row r="5005" customFormat="false" ht="15" hidden="false" customHeight="false" outlineLevel="0" collapsed="false">
      <c r="B5005" s="7" t="s">
        <v>19650</v>
      </c>
      <c r="C5005" s="7" t="s">
        <v>5502</v>
      </c>
      <c r="D5005" s="7" t="s">
        <v>291</v>
      </c>
      <c r="E5005" s="7" t="s">
        <v>154</v>
      </c>
      <c r="F5005" s="39" t="n">
        <v>45898</v>
      </c>
      <c r="G5005" s="41" t="n">
        <v>117.39</v>
      </c>
      <c r="H5005" s="39" t="n">
        <v>45950</v>
      </c>
      <c r="I5005" s="7" t="s">
        <v>14651</v>
      </c>
      <c r="J5005" s="8" t="str">
        <f aca="false">IF(I5005="Open",DATE(2025,12,31)-F5005,"-")</f>
        <v>-</v>
      </c>
    </row>
    <row r="5006" customFormat="false" ht="15" hidden="false" customHeight="false" outlineLevel="0" collapsed="false">
      <c r="B5006" s="7" t="s">
        <v>19651</v>
      </c>
      <c r="C5006" s="7" t="s">
        <v>5503</v>
      </c>
      <c r="D5006" s="7" t="s">
        <v>295</v>
      </c>
      <c r="E5006" s="7" t="s">
        <v>154</v>
      </c>
      <c r="F5006" s="39" t="n">
        <v>45898</v>
      </c>
      <c r="G5006" s="41" t="n">
        <v>96.99</v>
      </c>
      <c r="H5006" s="39" t="n">
        <v>45977</v>
      </c>
      <c r="I5006" s="7" t="s">
        <v>14651</v>
      </c>
      <c r="J5006" s="8" t="str">
        <f aca="false">IF(I5006="Open",DATE(2025,12,31)-F5006,"-")</f>
        <v>-</v>
      </c>
    </row>
    <row r="5007" customFormat="false" ht="15" hidden="false" customHeight="false" outlineLevel="0" collapsed="false">
      <c r="B5007" s="7" t="s">
        <v>19652</v>
      </c>
      <c r="C5007" s="7" t="s">
        <v>5504</v>
      </c>
      <c r="D5007" s="7" t="s">
        <v>301</v>
      </c>
      <c r="E5007" s="7" t="s">
        <v>157</v>
      </c>
      <c r="F5007" s="39" t="n">
        <v>45898</v>
      </c>
      <c r="G5007" s="41" t="n">
        <v>160.05</v>
      </c>
      <c r="H5007" s="39" t="n">
        <v>45961</v>
      </c>
      <c r="I5007" s="7" t="s">
        <v>14651</v>
      </c>
      <c r="J5007" s="8" t="str">
        <f aca="false">IF(I5007="Open",DATE(2025,12,31)-F5007,"-")</f>
        <v>-</v>
      </c>
    </row>
    <row r="5008" customFormat="false" ht="15" hidden="false" customHeight="false" outlineLevel="0" collapsed="false">
      <c r="B5008" s="7" t="s">
        <v>19653</v>
      </c>
      <c r="C5008" s="7" t="s">
        <v>5505</v>
      </c>
      <c r="D5008" s="7" t="s">
        <v>305</v>
      </c>
      <c r="E5008" s="7" t="s">
        <v>154</v>
      </c>
      <c r="F5008" s="39" t="n">
        <v>45898</v>
      </c>
      <c r="G5008" s="41" t="n">
        <v>101.76</v>
      </c>
      <c r="H5008" s="39" t="n">
        <v>45953</v>
      </c>
      <c r="I5008" s="7" t="s">
        <v>14651</v>
      </c>
      <c r="J5008" s="8" t="str">
        <f aca="false">IF(I5008="Open",DATE(2025,12,31)-F5008,"-")</f>
        <v>-</v>
      </c>
    </row>
    <row r="5009" customFormat="false" ht="15" hidden="false" customHeight="false" outlineLevel="0" collapsed="false">
      <c r="B5009" s="7" t="s">
        <v>19654</v>
      </c>
      <c r="C5009" s="7" t="s">
        <v>5506</v>
      </c>
      <c r="D5009" s="7" t="s">
        <v>309</v>
      </c>
      <c r="E5009" s="7" t="s">
        <v>159</v>
      </c>
      <c r="F5009" s="39" t="n">
        <v>45898</v>
      </c>
      <c r="G5009" s="41" t="n">
        <v>133.65</v>
      </c>
      <c r="H5009" s="39" t="n">
        <v>45979</v>
      </c>
      <c r="I5009" s="7" t="s">
        <v>14651</v>
      </c>
      <c r="J5009" s="8" t="str">
        <f aca="false">IF(I5009="Open",DATE(2025,12,31)-F5009,"-")</f>
        <v>-</v>
      </c>
    </row>
    <row r="5010" customFormat="false" ht="15" hidden="false" customHeight="false" outlineLevel="0" collapsed="false">
      <c r="B5010" s="7" t="s">
        <v>19655</v>
      </c>
      <c r="C5010" s="7" t="s">
        <v>5507</v>
      </c>
      <c r="D5010" s="7" t="s">
        <v>313</v>
      </c>
      <c r="E5010" s="7" t="s">
        <v>156</v>
      </c>
      <c r="F5010" s="39" t="n">
        <v>45898</v>
      </c>
      <c r="G5010" s="41" t="n">
        <v>140.76</v>
      </c>
      <c r="H5010" s="39" t="n">
        <v>45915</v>
      </c>
      <c r="I5010" s="7" t="s">
        <v>14651</v>
      </c>
      <c r="J5010" s="8" t="str">
        <f aca="false">IF(I5010="Open",DATE(2025,12,31)-F5010,"-")</f>
        <v>-</v>
      </c>
    </row>
    <row r="5011" customFormat="false" ht="15" hidden="false" customHeight="false" outlineLevel="0" collapsed="false">
      <c r="B5011" s="7" t="s">
        <v>19656</v>
      </c>
      <c r="C5011" s="7" t="s">
        <v>5508</v>
      </c>
      <c r="D5011" s="7" t="s">
        <v>315</v>
      </c>
      <c r="E5011" s="7" t="s">
        <v>159</v>
      </c>
      <c r="F5011" s="39" t="n">
        <v>45898</v>
      </c>
      <c r="G5011" s="41" t="n">
        <v>137.7</v>
      </c>
      <c r="H5011" s="39" t="n">
        <v>45986</v>
      </c>
      <c r="I5011" s="7" t="s">
        <v>14651</v>
      </c>
      <c r="J5011" s="8" t="str">
        <f aca="false">IF(I5011="Open",DATE(2025,12,31)-F5011,"-")</f>
        <v>-</v>
      </c>
    </row>
    <row r="5012" customFormat="false" ht="15" hidden="false" customHeight="false" outlineLevel="0" collapsed="false">
      <c r="B5012" s="7" t="s">
        <v>19657</v>
      </c>
      <c r="C5012" s="7" t="s">
        <v>5509</v>
      </c>
      <c r="D5012" s="7" t="s">
        <v>319</v>
      </c>
      <c r="E5012" s="7" t="s">
        <v>157</v>
      </c>
      <c r="F5012" s="39" t="n">
        <v>45898</v>
      </c>
      <c r="G5012" s="41" t="n">
        <v>166.65</v>
      </c>
      <c r="H5012" s="39" t="n">
        <v>45955</v>
      </c>
      <c r="I5012" s="7" t="s">
        <v>14651</v>
      </c>
      <c r="J5012" s="8" t="str">
        <f aca="false">IF(I5012="Open",DATE(2025,12,31)-F5012,"-")</f>
        <v>-</v>
      </c>
    </row>
    <row r="5013" customFormat="false" ht="15" hidden="false" customHeight="false" outlineLevel="0" collapsed="false">
      <c r="B5013" s="7" t="s">
        <v>19658</v>
      </c>
      <c r="C5013" s="7" t="s">
        <v>5510</v>
      </c>
      <c r="D5013" s="7" t="s">
        <v>321</v>
      </c>
      <c r="E5013" s="7" t="s">
        <v>154</v>
      </c>
      <c r="F5013" s="39" t="n">
        <v>45898</v>
      </c>
      <c r="G5013" s="41" t="n">
        <v>112.36</v>
      </c>
      <c r="H5013" s="39" t="n">
        <v>45932</v>
      </c>
      <c r="I5013" s="7" t="s">
        <v>14651</v>
      </c>
      <c r="J5013" s="8" t="str">
        <f aca="false">IF(I5013="Open",DATE(2025,12,31)-F5013,"-")</f>
        <v>-</v>
      </c>
    </row>
    <row r="5014" customFormat="false" ht="15" hidden="false" customHeight="false" outlineLevel="0" collapsed="false">
      <c r="B5014" s="7" t="s">
        <v>19659</v>
      </c>
      <c r="C5014" s="7" t="s">
        <v>5511</v>
      </c>
      <c r="D5014" s="7" t="s">
        <v>323</v>
      </c>
      <c r="E5014" s="7" t="s">
        <v>159</v>
      </c>
      <c r="F5014" s="39" t="n">
        <v>45898</v>
      </c>
      <c r="G5014" s="41" t="n">
        <v>125.55</v>
      </c>
      <c r="H5014" s="39" t="n">
        <v>45938</v>
      </c>
      <c r="I5014" s="7" t="s">
        <v>14651</v>
      </c>
      <c r="J5014" s="8" t="str">
        <f aca="false">IF(I5014="Open",DATE(2025,12,31)-F5014,"-")</f>
        <v>-</v>
      </c>
    </row>
    <row r="5015" customFormat="false" ht="15" hidden="false" customHeight="false" outlineLevel="0" collapsed="false">
      <c r="B5015" s="7" t="s">
        <v>19660</v>
      </c>
      <c r="C5015" s="7" t="s">
        <v>5512</v>
      </c>
      <c r="D5015" s="7" t="s">
        <v>327</v>
      </c>
      <c r="E5015" s="7" t="s">
        <v>157</v>
      </c>
      <c r="F5015" s="39" t="n">
        <v>45898</v>
      </c>
      <c r="G5015" s="41" t="n">
        <v>178.2</v>
      </c>
      <c r="H5015" s="39" t="n">
        <v>45942</v>
      </c>
      <c r="I5015" s="7" t="s">
        <v>14651</v>
      </c>
      <c r="J5015" s="8" t="str">
        <f aca="false">IF(I5015="Open",DATE(2025,12,31)-F5015,"-")</f>
        <v>-</v>
      </c>
    </row>
    <row r="5016" customFormat="false" ht="15" hidden="false" customHeight="false" outlineLevel="0" collapsed="false">
      <c r="B5016" s="7" t="s">
        <v>19661</v>
      </c>
      <c r="C5016" s="7" t="s">
        <v>5513</v>
      </c>
      <c r="D5016" s="7" t="s">
        <v>329</v>
      </c>
      <c r="E5016" s="7" t="s">
        <v>156</v>
      </c>
      <c r="F5016" s="39" t="n">
        <v>45898</v>
      </c>
      <c r="G5016" s="41" t="n">
        <v>134.3</v>
      </c>
      <c r="H5016" s="39" t="n">
        <v>45905</v>
      </c>
      <c r="I5016" s="7" t="s">
        <v>14651</v>
      </c>
      <c r="J5016" s="8" t="str">
        <f aca="false">IF(I5016="Open",DATE(2025,12,31)-F5016,"-")</f>
        <v>-</v>
      </c>
    </row>
    <row r="5017" customFormat="false" ht="15" hidden="false" customHeight="false" outlineLevel="0" collapsed="false">
      <c r="B5017" s="7" t="s">
        <v>19662</v>
      </c>
      <c r="C5017" s="7" t="s">
        <v>5514</v>
      </c>
      <c r="D5017" s="7" t="s">
        <v>335</v>
      </c>
      <c r="E5017" s="7" t="s">
        <v>154</v>
      </c>
      <c r="F5017" s="39" t="n">
        <v>45898</v>
      </c>
      <c r="G5017" s="41" t="n">
        <v>93.81</v>
      </c>
      <c r="H5017" s="39" t="n">
        <v>45938</v>
      </c>
      <c r="I5017" s="7" t="s">
        <v>14651</v>
      </c>
      <c r="J5017" s="8" t="str">
        <f aca="false">IF(I5017="Open",DATE(2025,12,31)-F5017,"-")</f>
        <v>-</v>
      </c>
    </row>
    <row r="5018" customFormat="false" ht="15" hidden="false" customHeight="false" outlineLevel="0" collapsed="false">
      <c r="B5018" s="7" t="s">
        <v>19663</v>
      </c>
      <c r="C5018" s="7" t="s">
        <v>5515</v>
      </c>
      <c r="D5018" s="7" t="s">
        <v>347</v>
      </c>
      <c r="E5018" s="7" t="s">
        <v>154</v>
      </c>
      <c r="F5018" s="39" t="n">
        <v>45898</v>
      </c>
      <c r="G5018" s="41" t="n">
        <v>135.42</v>
      </c>
      <c r="H5018" s="39" t="n">
        <v>46000</v>
      </c>
      <c r="I5018" s="7" t="s">
        <v>14651</v>
      </c>
      <c r="J5018" s="8" t="str">
        <f aca="false">IF(I5018="Open",DATE(2025,12,31)-F5018,"-")</f>
        <v>-</v>
      </c>
    </row>
    <row r="5019" customFormat="false" ht="15" hidden="false" customHeight="false" outlineLevel="0" collapsed="false">
      <c r="B5019" s="7" t="s">
        <v>19664</v>
      </c>
      <c r="C5019" s="7" t="s">
        <v>5516</v>
      </c>
      <c r="D5019" s="7" t="s">
        <v>353</v>
      </c>
      <c r="E5019" s="7" t="s">
        <v>154</v>
      </c>
      <c r="F5019" s="39" t="n">
        <v>45898</v>
      </c>
      <c r="G5019" s="41" t="n">
        <v>85.06</v>
      </c>
      <c r="H5019" s="39" t="n">
        <v>46004</v>
      </c>
      <c r="I5019" s="7" t="s">
        <v>14651</v>
      </c>
      <c r="J5019" s="8" t="str">
        <f aca="false">IF(I5019="Open",DATE(2025,12,31)-F5019,"-")</f>
        <v>-</v>
      </c>
    </row>
    <row r="5020" customFormat="false" ht="15" hidden="false" customHeight="false" outlineLevel="0" collapsed="false">
      <c r="B5020" s="7" t="s">
        <v>19665</v>
      </c>
      <c r="C5020" s="7" t="s">
        <v>5517</v>
      </c>
      <c r="D5020" s="7" t="s">
        <v>355</v>
      </c>
      <c r="E5020" s="7" t="s">
        <v>154</v>
      </c>
      <c r="F5020" s="39" t="n">
        <v>45898</v>
      </c>
      <c r="G5020" s="41" t="n">
        <v>89.97</v>
      </c>
      <c r="H5020" s="39" t="n">
        <v>45999</v>
      </c>
      <c r="I5020" s="7" t="s">
        <v>14651</v>
      </c>
      <c r="J5020" s="8" t="str">
        <f aca="false">IF(I5020="Open",DATE(2025,12,31)-F5020,"-")</f>
        <v>-</v>
      </c>
    </row>
    <row r="5021" customFormat="false" ht="15" hidden="false" customHeight="false" outlineLevel="0" collapsed="false">
      <c r="B5021" s="7" t="s">
        <v>19666</v>
      </c>
      <c r="C5021" s="7" t="s">
        <v>5518</v>
      </c>
      <c r="D5021" s="7" t="s">
        <v>357</v>
      </c>
      <c r="E5021" s="7" t="s">
        <v>154</v>
      </c>
      <c r="F5021" s="39" t="n">
        <v>45898</v>
      </c>
      <c r="G5021" s="41" t="n">
        <v>89.84</v>
      </c>
      <c r="H5021" s="39" t="n">
        <v>45928</v>
      </c>
      <c r="I5021" s="7" t="s">
        <v>14651</v>
      </c>
      <c r="J5021" s="8" t="str">
        <f aca="false">IF(I5021="Open",DATE(2025,12,31)-F5021,"-")</f>
        <v>-</v>
      </c>
    </row>
    <row r="5022" customFormat="false" ht="15" hidden="false" customHeight="false" outlineLevel="0" collapsed="false">
      <c r="B5022" s="7" t="s">
        <v>19667</v>
      </c>
      <c r="C5022" s="7" t="s">
        <v>5519</v>
      </c>
      <c r="D5022" s="7" t="s">
        <v>359</v>
      </c>
      <c r="E5022" s="7" t="s">
        <v>156</v>
      </c>
      <c r="F5022" s="39" t="n">
        <v>45898</v>
      </c>
      <c r="G5022" s="41" t="n">
        <v>123.42</v>
      </c>
      <c r="H5022" s="39" t="n">
        <v>45908</v>
      </c>
      <c r="I5022" s="7" t="s">
        <v>14651</v>
      </c>
      <c r="J5022" s="8" t="str">
        <f aca="false">IF(I5022="Open",DATE(2025,12,31)-F5022,"-")</f>
        <v>-</v>
      </c>
    </row>
    <row r="5023" customFormat="false" ht="15" hidden="false" customHeight="false" outlineLevel="0" collapsed="false">
      <c r="B5023" s="7" t="s">
        <v>19668</v>
      </c>
      <c r="C5023" s="7" t="s">
        <v>5520</v>
      </c>
      <c r="D5023" s="7" t="s">
        <v>361</v>
      </c>
      <c r="E5023" s="7" t="s">
        <v>157</v>
      </c>
      <c r="F5023" s="39" t="n">
        <v>45898</v>
      </c>
      <c r="G5023" s="41" t="n">
        <v>158.23</v>
      </c>
      <c r="H5023" s="39" t="n">
        <v>45952</v>
      </c>
      <c r="I5023" s="7" t="s">
        <v>14651</v>
      </c>
      <c r="J5023" s="8" t="str">
        <f aca="false">IF(I5023="Open",DATE(2025,12,31)-F5023,"-")</f>
        <v>-</v>
      </c>
    </row>
    <row r="5024" customFormat="false" ht="15" hidden="false" customHeight="false" outlineLevel="0" collapsed="false">
      <c r="B5024" s="7" t="s">
        <v>19669</v>
      </c>
      <c r="C5024" s="7" t="s">
        <v>5521</v>
      </c>
      <c r="D5024" s="7" t="s">
        <v>365</v>
      </c>
      <c r="E5024" s="7" t="s">
        <v>154</v>
      </c>
      <c r="F5024" s="39" t="n">
        <v>45898</v>
      </c>
      <c r="G5024" s="41" t="n">
        <v>110.5</v>
      </c>
      <c r="H5024" s="39" t="n">
        <v>45949</v>
      </c>
      <c r="I5024" s="7" t="s">
        <v>14651</v>
      </c>
      <c r="J5024" s="8" t="str">
        <f aca="false">IF(I5024="Open",DATE(2025,12,31)-F5024,"-")</f>
        <v>-</v>
      </c>
    </row>
    <row r="5025" customFormat="false" ht="15" hidden="false" customHeight="false" outlineLevel="0" collapsed="false">
      <c r="B5025" s="7" t="s">
        <v>19670</v>
      </c>
      <c r="C5025" s="7" t="s">
        <v>5522</v>
      </c>
      <c r="D5025" s="7" t="s">
        <v>369</v>
      </c>
      <c r="E5025" s="7" t="s">
        <v>159</v>
      </c>
      <c r="F5025" s="39" t="n">
        <v>45898</v>
      </c>
      <c r="G5025" s="41" t="n">
        <v>129.33</v>
      </c>
      <c r="H5025" s="39" t="n">
        <v>45994</v>
      </c>
      <c r="I5025" s="7" t="s">
        <v>14651</v>
      </c>
      <c r="J5025" s="8" t="str">
        <f aca="false">IF(I5025="Open",DATE(2025,12,31)-F5025,"-")</f>
        <v>-</v>
      </c>
    </row>
    <row r="5026" customFormat="false" ht="15" hidden="false" customHeight="false" outlineLevel="0" collapsed="false">
      <c r="B5026" s="7" t="s">
        <v>19671</v>
      </c>
      <c r="C5026" s="7" t="s">
        <v>5523</v>
      </c>
      <c r="D5026" s="7" t="s">
        <v>371</v>
      </c>
      <c r="E5026" s="7" t="s">
        <v>154</v>
      </c>
      <c r="F5026" s="39" t="n">
        <v>45898</v>
      </c>
      <c r="G5026" s="41" t="n">
        <v>113.87</v>
      </c>
      <c r="H5026" s="39" t="n">
        <v>45996</v>
      </c>
      <c r="I5026" s="7" t="s">
        <v>14651</v>
      </c>
      <c r="J5026" s="8" t="str">
        <f aca="false">IF(I5026="Open",DATE(2025,12,31)-F5026,"-")</f>
        <v>-</v>
      </c>
    </row>
    <row r="5027" customFormat="false" ht="15" hidden="false" customHeight="false" outlineLevel="0" collapsed="false">
      <c r="B5027" s="7" t="s">
        <v>19672</v>
      </c>
      <c r="C5027" s="7" t="s">
        <v>5524</v>
      </c>
      <c r="D5027" s="7" t="s">
        <v>379</v>
      </c>
      <c r="E5027" s="7" t="s">
        <v>156</v>
      </c>
      <c r="F5027" s="39" t="n">
        <v>45898</v>
      </c>
      <c r="G5027" s="41" t="n">
        <v>167.62</v>
      </c>
      <c r="H5027" s="39" t="n">
        <v>45911</v>
      </c>
      <c r="I5027" s="7" t="s">
        <v>14651</v>
      </c>
      <c r="J5027" s="8" t="str">
        <f aca="false">IF(I5027="Open",DATE(2025,12,31)-F5027,"-")</f>
        <v>-</v>
      </c>
    </row>
    <row r="5028" customFormat="false" ht="15" hidden="false" customHeight="false" outlineLevel="0" collapsed="false">
      <c r="B5028" s="7" t="s">
        <v>19673</v>
      </c>
      <c r="C5028" s="7" t="s">
        <v>5525</v>
      </c>
      <c r="D5028" s="7" t="s">
        <v>381</v>
      </c>
      <c r="E5028" s="7" t="s">
        <v>157</v>
      </c>
      <c r="F5028" s="39" t="n">
        <v>45898</v>
      </c>
      <c r="G5028" s="41" t="n">
        <v>165</v>
      </c>
      <c r="H5028" s="39" t="n">
        <v>45925</v>
      </c>
      <c r="I5028" s="7" t="s">
        <v>14651</v>
      </c>
      <c r="J5028" s="8" t="str">
        <f aca="false">IF(I5028="Open",DATE(2025,12,31)-F5028,"-")</f>
        <v>-</v>
      </c>
    </row>
    <row r="5029" customFormat="false" ht="15" hidden="false" customHeight="false" outlineLevel="0" collapsed="false">
      <c r="B5029" s="7" t="s">
        <v>19674</v>
      </c>
      <c r="C5029" s="7" t="s">
        <v>5526</v>
      </c>
      <c r="D5029" s="7" t="s">
        <v>383</v>
      </c>
      <c r="E5029" s="7" t="s">
        <v>157</v>
      </c>
      <c r="F5029" s="39" t="n">
        <v>45898</v>
      </c>
      <c r="G5029" s="41" t="n">
        <v>176.55</v>
      </c>
      <c r="H5029" s="39" t="n">
        <v>45936</v>
      </c>
      <c r="I5029" s="7" t="s">
        <v>14651</v>
      </c>
      <c r="J5029" s="8" t="str">
        <f aca="false">IF(I5029="Open",DATE(2025,12,31)-F5029,"-")</f>
        <v>-</v>
      </c>
    </row>
    <row r="5030" customFormat="false" ht="15" hidden="false" customHeight="false" outlineLevel="0" collapsed="false">
      <c r="B5030" s="7" t="s">
        <v>19675</v>
      </c>
      <c r="C5030" s="7" t="s">
        <v>5527</v>
      </c>
      <c r="D5030" s="7" t="s">
        <v>385</v>
      </c>
      <c r="E5030" s="7" t="s">
        <v>156</v>
      </c>
      <c r="F5030" s="39" t="n">
        <v>45898</v>
      </c>
      <c r="G5030" s="41" t="n">
        <v>133.28</v>
      </c>
      <c r="H5030" s="39" t="n">
        <v>45901</v>
      </c>
      <c r="I5030" s="7" t="s">
        <v>14651</v>
      </c>
      <c r="J5030" s="8" t="str">
        <f aca="false">IF(I5030="Open",DATE(2025,12,31)-F5030,"-")</f>
        <v>-</v>
      </c>
    </row>
    <row r="5031" customFormat="false" ht="15" hidden="false" customHeight="false" outlineLevel="0" collapsed="false">
      <c r="B5031" s="7" t="s">
        <v>19676</v>
      </c>
      <c r="C5031" s="7" t="s">
        <v>5528</v>
      </c>
      <c r="D5031" s="7" t="s">
        <v>387</v>
      </c>
      <c r="E5031" s="7" t="s">
        <v>154</v>
      </c>
      <c r="F5031" s="39" t="n">
        <v>45898</v>
      </c>
      <c r="G5031" s="41" t="n">
        <v>108.92</v>
      </c>
      <c r="H5031" s="39" t="n">
        <v>45939</v>
      </c>
      <c r="I5031" s="7" t="s">
        <v>14651</v>
      </c>
      <c r="J5031" s="8" t="str">
        <f aca="false">IF(I5031="Open",DATE(2025,12,31)-F5031,"-")</f>
        <v>-</v>
      </c>
    </row>
    <row r="5032" customFormat="false" ht="15" hidden="false" customHeight="false" outlineLevel="0" collapsed="false">
      <c r="B5032" s="7" t="s">
        <v>19677</v>
      </c>
      <c r="C5032" s="7" t="s">
        <v>5529</v>
      </c>
      <c r="D5032" s="7" t="s">
        <v>389</v>
      </c>
      <c r="E5032" s="7" t="s">
        <v>154</v>
      </c>
      <c r="F5032" s="39" t="n">
        <v>45898</v>
      </c>
      <c r="G5032" s="41" t="n">
        <v>107.86</v>
      </c>
      <c r="H5032" s="39" t="n">
        <v>45973</v>
      </c>
      <c r="I5032" s="7" t="s">
        <v>14651</v>
      </c>
      <c r="J5032" s="8" t="str">
        <f aca="false">IF(I5032="Open",DATE(2025,12,31)-F5032,"-")</f>
        <v>-</v>
      </c>
    </row>
    <row r="5033" customFormat="false" ht="15" hidden="false" customHeight="false" outlineLevel="0" collapsed="false">
      <c r="B5033" s="7" t="s">
        <v>19678</v>
      </c>
      <c r="C5033" s="7" t="s">
        <v>5530</v>
      </c>
      <c r="D5033" s="7" t="s">
        <v>391</v>
      </c>
      <c r="E5033" s="7" t="s">
        <v>156</v>
      </c>
      <c r="F5033" s="39" t="n">
        <v>45898</v>
      </c>
      <c r="G5033" s="41" t="n">
        <v>132.94</v>
      </c>
      <c r="H5033" s="39" t="n">
        <v>45910</v>
      </c>
      <c r="I5033" s="7" t="s">
        <v>14651</v>
      </c>
      <c r="J5033" s="8" t="str">
        <f aca="false">IF(I5033="Open",DATE(2025,12,31)-F5033,"-")</f>
        <v>-</v>
      </c>
    </row>
    <row r="5034" customFormat="false" ht="15" hidden="false" customHeight="false" outlineLevel="0" collapsed="false">
      <c r="B5034" s="7" t="s">
        <v>19679</v>
      </c>
      <c r="C5034" s="7" t="s">
        <v>5531</v>
      </c>
      <c r="D5034" s="7" t="s">
        <v>395</v>
      </c>
      <c r="E5034" s="7" t="s">
        <v>156</v>
      </c>
      <c r="F5034" s="39" t="n">
        <v>45898</v>
      </c>
      <c r="G5034" s="41" t="n">
        <v>133.62</v>
      </c>
      <c r="H5034" s="39" t="n">
        <v>45904</v>
      </c>
      <c r="I5034" s="7" t="s">
        <v>14651</v>
      </c>
      <c r="J5034" s="8" t="str">
        <f aca="false">IF(I5034="Open",DATE(2025,12,31)-F5034,"-")</f>
        <v>-</v>
      </c>
    </row>
    <row r="5035" customFormat="false" ht="15" hidden="false" customHeight="false" outlineLevel="0" collapsed="false">
      <c r="B5035" s="7" t="s">
        <v>19680</v>
      </c>
      <c r="C5035" s="7" t="s">
        <v>5532</v>
      </c>
      <c r="D5035" s="7" t="s">
        <v>397</v>
      </c>
      <c r="E5035" s="7" t="s">
        <v>159</v>
      </c>
      <c r="F5035" s="39" t="n">
        <v>45898</v>
      </c>
      <c r="G5035" s="41" t="n">
        <v>117.99</v>
      </c>
      <c r="H5035" s="39" t="n">
        <v>45942</v>
      </c>
      <c r="I5035" s="7" t="s">
        <v>14651</v>
      </c>
      <c r="J5035" s="8" t="str">
        <f aca="false">IF(I5035="Open",DATE(2025,12,31)-F5035,"-")</f>
        <v>-</v>
      </c>
    </row>
    <row r="5036" customFormat="false" ht="15" hidden="false" customHeight="false" outlineLevel="0" collapsed="false">
      <c r="B5036" s="7" t="s">
        <v>19681</v>
      </c>
      <c r="C5036" s="7" t="s">
        <v>5533</v>
      </c>
      <c r="D5036" s="7" t="s">
        <v>399</v>
      </c>
      <c r="E5036" s="7" t="s">
        <v>154</v>
      </c>
      <c r="F5036" s="39" t="n">
        <v>45898</v>
      </c>
      <c r="G5036" s="41" t="n">
        <v>87.98</v>
      </c>
      <c r="H5036" s="39" t="n">
        <v>45948</v>
      </c>
      <c r="I5036" s="7" t="s">
        <v>14651</v>
      </c>
      <c r="J5036" s="8" t="str">
        <f aca="false">IF(I5036="Open",DATE(2025,12,31)-F5036,"-")</f>
        <v>-</v>
      </c>
    </row>
    <row r="5037" customFormat="false" ht="15" hidden="false" customHeight="false" outlineLevel="0" collapsed="false">
      <c r="B5037" s="7" t="s">
        <v>19682</v>
      </c>
      <c r="C5037" s="7" t="s">
        <v>5534</v>
      </c>
      <c r="D5037" s="7" t="s">
        <v>401</v>
      </c>
      <c r="E5037" s="7" t="s">
        <v>156</v>
      </c>
      <c r="F5037" s="39" t="n">
        <v>45898</v>
      </c>
      <c r="G5037" s="41" t="n">
        <v>143.14</v>
      </c>
      <c r="H5037" s="39" t="n">
        <v>45907</v>
      </c>
      <c r="I5037" s="7" t="s">
        <v>14651</v>
      </c>
      <c r="J5037" s="8" t="str">
        <f aca="false">IF(I5037="Open",DATE(2025,12,31)-F5037,"-")</f>
        <v>-</v>
      </c>
    </row>
    <row r="5038" customFormat="false" ht="15" hidden="false" customHeight="false" outlineLevel="0" collapsed="false">
      <c r="B5038" s="7" t="s">
        <v>19683</v>
      </c>
      <c r="C5038" s="7" t="s">
        <v>5535</v>
      </c>
      <c r="D5038" s="7" t="s">
        <v>403</v>
      </c>
      <c r="E5038" s="7" t="s">
        <v>156</v>
      </c>
      <c r="F5038" s="39" t="n">
        <v>45898</v>
      </c>
      <c r="G5038" s="41" t="n">
        <v>141.1</v>
      </c>
      <c r="H5038" s="39" t="n">
        <v>45903</v>
      </c>
      <c r="I5038" s="7" t="s">
        <v>14651</v>
      </c>
      <c r="J5038" s="8" t="str">
        <f aca="false">IF(I5038="Open",DATE(2025,12,31)-F5038,"-")</f>
        <v>-</v>
      </c>
    </row>
    <row r="5039" customFormat="false" ht="15" hidden="false" customHeight="false" outlineLevel="0" collapsed="false">
      <c r="B5039" s="7" t="s">
        <v>19684</v>
      </c>
      <c r="C5039" s="7" t="s">
        <v>5536</v>
      </c>
      <c r="D5039" s="7" t="s">
        <v>407</v>
      </c>
      <c r="E5039" s="7" t="s">
        <v>159</v>
      </c>
      <c r="F5039" s="39" t="n">
        <v>45898</v>
      </c>
      <c r="G5039" s="41" t="n">
        <v>120.56</v>
      </c>
      <c r="H5039" s="39" t="n">
        <v>45937</v>
      </c>
      <c r="I5039" s="7" t="s">
        <v>14651</v>
      </c>
      <c r="J5039" s="8" t="str">
        <f aca="false">IF(I5039="Open",DATE(2025,12,31)-F5039,"-")</f>
        <v>-</v>
      </c>
    </row>
    <row r="5040" customFormat="false" ht="15" hidden="false" customHeight="false" outlineLevel="0" collapsed="false">
      <c r="B5040" s="7" t="s">
        <v>19685</v>
      </c>
      <c r="C5040" s="7" t="s">
        <v>5537</v>
      </c>
      <c r="D5040" s="7" t="s">
        <v>409</v>
      </c>
      <c r="E5040" s="7" t="s">
        <v>154</v>
      </c>
      <c r="F5040" s="39" t="n">
        <v>45898</v>
      </c>
      <c r="G5040" s="41" t="n">
        <v>87.66</v>
      </c>
      <c r="H5040" s="39" t="n">
        <v>45979</v>
      </c>
      <c r="I5040" s="7" t="s">
        <v>14651</v>
      </c>
      <c r="J5040" s="8" t="str">
        <f aca="false">IF(I5040="Open",DATE(2025,12,31)-F5040,"-")</f>
        <v>-</v>
      </c>
    </row>
    <row r="5041" customFormat="false" ht="15" hidden="false" customHeight="false" outlineLevel="0" collapsed="false">
      <c r="B5041" s="7" t="s">
        <v>19686</v>
      </c>
      <c r="C5041" s="7" t="s">
        <v>5538</v>
      </c>
      <c r="D5041" s="7" t="s">
        <v>411</v>
      </c>
      <c r="E5041" s="7" t="s">
        <v>154</v>
      </c>
      <c r="F5041" s="39" t="n">
        <v>45898</v>
      </c>
      <c r="G5041" s="41" t="n">
        <v>131.7</v>
      </c>
      <c r="H5041" s="39" t="n">
        <v>45972</v>
      </c>
      <c r="I5041" s="7" t="s">
        <v>14651</v>
      </c>
      <c r="J5041" s="8" t="str">
        <f aca="false">IF(I5041="Open",DATE(2025,12,31)-F5041,"-")</f>
        <v>-</v>
      </c>
    </row>
    <row r="5042" customFormat="false" ht="15" hidden="false" customHeight="false" outlineLevel="0" collapsed="false">
      <c r="B5042" s="7" t="s">
        <v>19687</v>
      </c>
      <c r="C5042" s="7" t="s">
        <v>5539</v>
      </c>
      <c r="D5042" s="7" t="s">
        <v>288</v>
      </c>
      <c r="E5042" s="7" t="s">
        <v>156</v>
      </c>
      <c r="F5042" s="39" t="n">
        <v>45899</v>
      </c>
      <c r="G5042" s="41" t="n">
        <v>145.52</v>
      </c>
      <c r="H5042" s="39" t="n">
        <v>45902</v>
      </c>
      <c r="I5042" s="7" t="s">
        <v>14651</v>
      </c>
      <c r="J5042" s="8" t="str">
        <f aca="false">IF(I5042="Open",DATE(2025,12,31)-F5042,"-")</f>
        <v>-</v>
      </c>
    </row>
    <row r="5043" customFormat="false" ht="15" hidden="false" customHeight="false" outlineLevel="0" collapsed="false">
      <c r="B5043" s="7" t="s">
        <v>19688</v>
      </c>
      <c r="C5043" s="7" t="s">
        <v>5540</v>
      </c>
      <c r="D5043" s="7" t="s">
        <v>321</v>
      </c>
      <c r="E5043" s="7" t="s">
        <v>154</v>
      </c>
      <c r="F5043" s="39" t="n">
        <v>45899</v>
      </c>
      <c r="G5043" s="41" t="n">
        <v>105.2</v>
      </c>
      <c r="H5043" s="39" t="n">
        <v>46004</v>
      </c>
      <c r="I5043" s="7" t="s">
        <v>14651</v>
      </c>
      <c r="J5043" s="8" t="str">
        <f aca="false">IF(I5043="Open",DATE(2025,12,31)-F5043,"-")</f>
        <v>-</v>
      </c>
    </row>
    <row r="5044" customFormat="false" ht="15" hidden="false" customHeight="false" outlineLevel="0" collapsed="false">
      <c r="B5044" s="7" t="s">
        <v>19689</v>
      </c>
      <c r="C5044" s="7" t="s">
        <v>5541</v>
      </c>
      <c r="D5044" s="7" t="s">
        <v>359</v>
      </c>
      <c r="E5044" s="7" t="s">
        <v>156</v>
      </c>
      <c r="F5044" s="39" t="n">
        <v>45899</v>
      </c>
      <c r="G5044" s="41" t="n">
        <v>137.02</v>
      </c>
      <c r="H5044" s="39" t="n">
        <v>45915</v>
      </c>
      <c r="I5044" s="7" t="s">
        <v>14651</v>
      </c>
      <c r="J5044" s="8" t="str">
        <f aca="false">IF(I5044="Open",DATE(2025,12,31)-F5044,"-")</f>
        <v>-</v>
      </c>
    </row>
    <row r="5045" customFormat="false" ht="15" hidden="false" customHeight="false" outlineLevel="0" collapsed="false">
      <c r="B5045" s="7" t="s">
        <v>19690</v>
      </c>
      <c r="C5045" s="7" t="s">
        <v>5542</v>
      </c>
      <c r="D5045" s="7" t="s">
        <v>387</v>
      </c>
      <c r="E5045" s="7" t="s">
        <v>154</v>
      </c>
      <c r="F5045" s="39" t="n">
        <v>45899</v>
      </c>
      <c r="G5045" s="41" t="n">
        <v>113.15</v>
      </c>
      <c r="H5045" s="39" t="n">
        <v>45955</v>
      </c>
      <c r="I5045" s="7" t="s">
        <v>14651</v>
      </c>
      <c r="J5045" s="8" t="str">
        <f aca="false">IF(I5045="Open",DATE(2025,12,31)-F5045,"-")</f>
        <v>-</v>
      </c>
    </row>
    <row r="5046" customFormat="false" ht="15" hidden="false" customHeight="false" outlineLevel="0" collapsed="false">
      <c r="B5046" s="7" t="s">
        <v>19691</v>
      </c>
      <c r="C5046" s="7" t="s">
        <v>5543</v>
      </c>
      <c r="D5046" s="7" t="s">
        <v>391</v>
      </c>
      <c r="E5046" s="7" t="s">
        <v>156</v>
      </c>
      <c r="F5046" s="39" t="n">
        <v>45899</v>
      </c>
      <c r="G5046" s="41" t="n">
        <v>139.4</v>
      </c>
      <c r="H5046" s="39" t="n">
        <v>45912</v>
      </c>
      <c r="I5046" s="7" t="s">
        <v>14651</v>
      </c>
      <c r="J5046" s="8" t="str">
        <f aca="false">IF(I5046="Open",DATE(2025,12,31)-F5046,"-")</f>
        <v>-</v>
      </c>
    </row>
    <row r="5047" customFormat="false" ht="15" hidden="false" customHeight="false" outlineLevel="0" collapsed="false">
      <c r="B5047" s="7" t="s">
        <v>19692</v>
      </c>
      <c r="C5047" s="7" t="s">
        <v>5544</v>
      </c>
      <c r="D5047" s="7" t="s">
        <v>395</v>
      </c>
      <c r="E5047" s="7" t="s">
        <v>156</v>
      </c>
      <c r="F5047" s="39" t="n">
        <v>45899</v>
      </c>
      <c r="G5047" s="41" t="n">
        <v>145.52</v>
      </c>
      <c r="H5047" s="39" t="n">
        <v>45911</v>
      </c>
      <c r="I5047" s="7" t="s">
        <v>14651</v>
      </c>
      <c r="J5047" s="8" t="str">
        <f aca="false">IF(I5047="Open",DATE(2025,12,31)-F5047,"-")</f>
        <v>-</v>
      </c>
    </row>
    <row r="5048" customFormat="false" ht="15" hidden="false" customHeight="false" outlineLevel="0" collapsed="false">
      <c r="B5048" s="7" t="s">
        <v>19693</v>
      </c>
      <c r="C5048" s="7" t="s">
        <v>5545</v>
      </c>
      <c r="D5048" s="7" t="s">
        <v>401</v>
      </c>
      <c r="E5048" s="7" t="s">
        <v>156</v>
      </c>
      <c r="F5048" s="39" t="n">
        <v>45899</v>
      </c>
      <c r="G5048" s="41" t="n">
        <v>148.92</v>
      </c>
      <c r="H5048" s="39" t="n">
        <v>45909</v>
      </c>
      <c r="I5048" s="7" t="s">
        <v>14651</v>
      </c>
      <c r="J5048" s="8" t="str">
        <f aca="false">IF(I5048="Open",DATE(2025,12,31)-F5048,"-")</f>
        <v>-</v>
      </c>
    </row>
    <row r="5049" customFormat="false" ht="15" hidden="false" customHeight="false" outlineLevel="0" collapsed="false">
      <c r="B5049" s="7" t="s">
        <v>19694</v>
      </c>
      <c r="C5049" s="7" t="s">
        <v>5546</v>
      </c>
      <c r="D5049" s="7" t="s">
        <v>288</v>
      </c>
      <c r="E5049" s="7" t="s">
        <v>156</v>
      </c>
      <c r="F5049" s="39" t="n">
        <v>45900</v>
      </c>
      <c r="G5049" s="41" t="n">
        <v>141.44</v>
      </c>
      <c r="H5049" s="39" t="n">
        <v>45902</v>
      </c>
      <c r="I5049" s="7" t="s">
        <v>14651</v>
      </c>
      <c r="J5049" s="8" t="str">
        <f aca="false">IF(I5049="Open",DATE(2025,12,31)-F5049,"-")</f>
        <v>-</v>
      </c>
    </row>
    <row r="5050" customFormat="false" ht="15" hidden="false" customHeight="false" outlineLevel="0" collapsed="false">
      <c r="B5050" s="7" t="s">
        <v>19695</v>
      </c>
      <c r="C5050" s="7" t="s">
        <v>5547</v>
      </c>
      <c r="D5050" s="7" t="s">
        <v>321</v>
      </c>
      <c r="E5050" s="7" t="s">
        <v>154</v>
      </c>
      <c r="F5050" s="39" t="n">
        <v>45900</v>
      </c>
      <c r="G5050" s="41" t="n">
        <v>114.21</v>
      </c>
      <c r="H5050" s="39" t="n">
        <v>45925</v>
      </c>
      <c r="I5050" s="7" t="s">
        <v>14651</v>
      </c>
      <c r="J5050" s="8" t="str">
        <f aca="false">IF(I5050="Open",DATE(2025,12,31)-F5050,"-")</f>
        <v>-</v>
      </c>
    </row>
    <row r="5051" customFormat="false" ht="15" hidden="false" customHeight="false" outlineLevel="0" collapsed="false">
      <c r="B5051" s="7" t="s">
        <v>19696</v>
      </c>
      <c r="C5051" s="7" t="s">
        <v>5548</v>
      </c>
      <c r="D5051" s="7" t="s">
        <v>359</v>
      </c>
      <c r="E5051" s="7" t="s">
        <v>156</v>
      </c>
      <c r="F5051" s="39" t="n">
        <v>45900</v>
      </c>
      <c r="G5051" s="41" t="n">
        <v>126.48</v>
      </c>
      <c r="H5051" s="39" t="n">
        <v>45908</v>
      </c>
      <c r="I5051" s="7" t="s">
        <v>14651</v>
      </c>
      <c r="J5051" s="8" t="str">
        <f aca="false">IF(I5051="Open",DATE(2025,12,31)-F5051,"-")</f>
        <v>-</v>
      </c>
    </row>
    <row r="5052" customFormat="false" ht="15" hidden="false" customHeight="false" outlineLevel="0" collapsed="false">
      <c r="B5052" s="7" t="s">
        <v>19697</v>
      </c>
      <c r="C5052" s="7" t="s">
        <v>5549</v>
      </c>
      <c r="D5052" s="7" t="s">
        <v>387</v>
      </c>
      <c r="E5052" s="7" t="s">
        <v>154</v>
      </c>
      <c r="F5052" s="39" t="n">
        <v>45900</v>
      </c>
      <c r="G5052" s="41" t="n">
        <v>110.77</v>
      </c>
      <c r="H5052" s="39" t="n">
        <v>46017</v>
      </c>
      <c r="I5052" s="7" t="s">
        <v>14651</v>
      </c>
      <c r="J5052" s="8" t="str">
        <f aca="false">IF(I5052="Open",DATE(2025,12,31)-F5052,"-")</f>
        <v>-</v>
      </c>
    </row>
    <row r="5053" customFormat="false" ht="15" hidden="false" customHeight="false" outlineLevel="0" collapsed="false">
      <c r="B5053" s="7" t="s">
        <v>19698</v>
      </c>
      <c r="C5053" s="7" t="s">
        <v>5550</v>
      </c>
      <c r="D5053" s="7" t="s">
        <v>391</v>
      </c>
      <c r="E5053" s="7" t="s">
        <v>156</v>
      </c>
      <c r="F5053" s="39" t="n">
        <v>45900</v>
      </c>
      <c r="G5053" s="41" t="n">
        <v>148.58</v>
      </c>
      <c r="H5053" s="39" t="n">
        <v>45915</v>
      </c>
      <c r="I5053" s="7" t="s">
        <v>14651</v>
      </c>
      <c r="J5053" s="8" t="str">
        <f aca="false">IF(I5053="Open",DATE(2025,12,31)-F5053,"-")</f>
        <v>-</v>
      </c>
    </row>
    <row r="5054" customFormat="false" ht="15" hidden="false" customHeight="false" outlineLevel="0" collapsed="false">
      <c r="B5054" s="7" t="s">
        <v>19699</v>
      </c>
      <c r="C5054" s="7" t="s">
        <v>5551</v>
      </c>
      <c r="D5054" s="7" t="s">
        <v>395</v>
      </c>
      <c r="E5054" s="7" t="s">
        <v>156</v>
      </c>
      <c r="F5054" s="39" t="n">
        <v>45900</v>
      </c>
      <c r="G5054" s="41" t="n">
        <v>144.5</v>
      </c>
      <c r="H5054" s="39" t="n">
        <v>45914</v>
      </c>
      <c r="I5054" s="7" t="s">
        <v>14651</v>
      </c>
      <c r="J5054" s="8" t="str">
        <f aca="false">IF(I5054="Open",DATE(2025,12,31)-F5054,"-")</f>
        <v>-</v>
      </c>
    </row>
    <row r="5055" customFormat="false" ht="15" hidden="false" customHeight="false" outlineLevel="0" collapsed="false">
      <c r="B5055" s="7" t="s">
        <v>19700</v>
      </c>
      <c r="C5055" s="7" t="s">
        <v>5552</v>
      </c>
      <c r="D5055" s="7" t="s">
        <v>401</v>
      </c>
      <c r="E5055" s="7" t="s">
        <v>156</v>
      </c>
      <c r="F5055" s="39" t="n">
        <v>45900</v>
      </c>
      <c r="G5055" s="41" t="n">
        <v>147.56</v>
      </c>
      <c r="H5055" s="39" t="n">
        <v>45906</v>
      </c>
      <c r="I5055" s="7" t="s">
        <v>14651</v>
      </c>
      <c r="J5055" s="8" t="str">
        <f aca="false">IF(I5055="Open",DATE(2025,12,31)-F5055,"-")</f>
        <v>-</v>
      </c>
    </row>
    <row r="5056" customFormat="false" ht="15" hidden="false" customHeight="false" outlineLevel="0" collapsed="false">
      <c r="B5056" s="7" t="s">
        <v>19701</v>
      </c>
      <c r="C5056" s="7" t="s">
        <v>5553</v>
      </c>
      <c r="D5056" s="7" t="s">
        <v>288</v>
      </c>
      <c r="E5056" s="7" t="s">
        <v>156</v>
      </c>
      <c r="F5056" s="39" t="n">
        <v>45901</v>
      </c>
      <c r="G5056" s="41" t="n">
        <v>126.14</v>
      </c>
      <c r="H5056" s="39" t="n">
        <v>45910</v>
      </c>
      <c r="I5056" s="7" t="s">
        <v>14651</v>
      </c>
      <c r="J5056" s="8" t="str">
        <f aca="false">IF(I5056="Open",DATE(2025,12,31)-F5056,"-")</f>
        <v>-</v>
      </c>
    </row>
    <row r="5057" customFormat="false" ht="15" hidden="false" customHeight="false" outlineLevel="0" collapsed="false">
      <c r="B5057" s="7" t="s">
        <v>19702</v>
      </c>
      <c r="C5057" s="7" t="s">
        <v>5554</v>
      </c>
      <c r="D5057" s="7" t="s">
        <v>291</v>
      </c>
      <c r="E5057" s="7" t="s">
        <v>154</v>
      </c>
      <c r="F5057" s="39" t="n">
        <v>45901</v>
      </c>
      <c r="G5057" s="41" t="n">
        <v>133.03</v>
      </c>
      <c r="H5057" s="39" t="n">
        <v>45958</v>
      </c>
      <c r="I5057" s="7" t="s">
        <v>14651</v>
      </c>
      <c r="J5057" s="8" t="str">
        <f aca="false">IF(I5057="Open",DATE(2025,12,31)-F5057,"-")</f>
        <v>-</v>
      </c>
    </row>
    <row r="5058" customFormat="false" ht="15" hidden="false" customHeight="false" outlineLevel="0" collapsed="false">
      <c r="B5058" s="7" t="s">
        <v>19703</v>
      </c>
      <c r="C5058" s="7" t="s">
        <v>5555</v>
      </c>
      <c r="D5058" s="7" t="s">
        <v>295</v>
      </c>
      <c r="E5058" s="7" t="s">
        <v>154</v>
      </c>
      <c r="F5058" s="39" t="n">
        <v>45901</v>
      </c>
      <c r="G5058" s="41" t="n">
        <v>100.44</v>
      </c>
      <c r="H5058" s="39" t="n">
        <v>45916</v>
      </c>
      <c r="I5058" s="7" t="s">
        <v>14651</v>
      </c>
      <c r="J5058" s="8" t="str">
        <f aca="false">IF(I5058="Open",DATE(2025,12,31)-F5058,"-")</f>
        <v>-</v>
      </c>
    </row>
    <row r="5059" customFormat="false" ht="15" hidden="false" customHeight="false" outlineLevel="0" collapsed="false">
      <c r="B5059" s="7" t="s">
        <v>19704</v>
      </c>
      <c r="C5059" s="7" t="s">
        <v>5556</v>
      </c>
      <c r="D5059" s="7" t="s">
        <v>297</v>
      </c>
      <c r="E5059" s="7" t="s">
        <v>156</v>
      </c>
      <c r="F5059" s="39" t="n">
        <v>45901</v>
      </c>
      <c r="G5059" s="41" t="n">
        <v>99.28</v>
      </c>
      <c r="H5059" s="39" t="n">
        <v>45909</v>
      </c>
      <c r="I5059" s="7" t="s">
        <v>14651</v>
      </c>
      <c r="J5059" s="8" t="str">
        <f aca="false">IF(I5059="Open",DATE(2025,12,31)-F5059,"-")</f>
        <v>-</v>
      </c>
    </row>
    <row r="5060" customFormat="false" ht="15" hidden="false" customHeight="false" outlineLevel="0" collapsed="false">
      <c r="B5060" s="7" t="s">
        <v>19705</v>
      </c>
      <c r="C5060" s="7" t="s">
        <v>5557</v>
      </c>
      <c r="D5060" s="7" t="s">
        <v>305</v>
      </c>
      <c r="E5060" s="7" t="s">
        <v>154</v>
      </c>
      <c r="F5060" s="39" t="n">
        <v>45901</v>
      </c>
      <c r="G5060" s="41" t="n">
        <v>96.72</v>
      </c>
      <c r="H5060" s="39" t="n">
        <v>45975</v>
      </c>
      <c r="I5060" s="7" t="s">
        <v>14651</v>
      </c>
      <c r="J5060" s="8" t="str">
        <f aca="false">IF(I5060="Open",DATE(2025,12,31)-F5060,"-")</f>
        <v>-</v>
      </c>
    </row>
    <row r="5061" customFormat="false" ht="15" hidden="false" customHeight="false" outlineLevel="0" collapsed="false">
      <c r="B5061" s="7" t="s">
        <v>19706</v>
      </c>
      <c r="C5061" s="7" t="s">
        <v>5558</v>
      </c>
      <c r="D5061" s="7" t="s">
        <v>307</v>
      </c>
      <c r="E5061" s="7" t="s">
        <v>157</v>
      </c>
      <c r="F5061" s="39" t="n">
        <v>45901</v>
      </c>
      <c r="G5061" s="41" t="n">
        <v>161.7</v>
      </c>
      <c r="H5061" s="39" t="n">
        <v>45926</v>
      </c>
      <c r="I5061" s="7" t="s">
        <v>14651</v>
      </c>
      <c r="J5061" s="8" t="str">
        <f aca="false">IF(I5061="Open",DATE(2025,12,31)-F5061,"-")</f>
        <v>-</v>
      </c>
    </row>
    <row r="5062" customFormat="false" ht="15" hidden="false" customHeight="false" outlineLevel="0" collapsed="false">
      <c r="B5062" s="7" t="s">
        <v>19707</v>
      </c>
      <c r="C5062" s="7" t="s">
        <v>5559</v>
      </c>
      <c r="D5062" s="7" t="s">
        <v>309</v>
      </c>
      <c r="E5062" s="7" t="s">
        <v>159</v>
      </c>
      <c r="F5062" s="39" t="n">
        <v>45901</v>
      </c>
      <c r="G5062" s="41" t="n">
        <v>144.45</v>
      </c>
      <c r="H5062" s="39" t="n">
        <v>45937</v>
      </c>
      <c r="I5062" s="7" t="s">
        <v>14651</v>
      </c>
      <c r="J5062" s="8" t="str">
        <f aca="false">IF(I5062="Open",DATE(2025,12,31)-F5062,"-")</f>
        <v>-</v>
      </c>
    </row>
    <row r="5063" customFormat="false" ht="15" hidden="false" customHeight="false" outlineLevel="0" collapsed="false">
      <c r="B5063" s="7" t="s">
        <v>19708</v>
      </c>
      <c r="C5063" s="7" t="s">
        <v>5560</v>
      </c>
      <c r="D5063" s="7" t="s">
        <v>311</v>
      </c>
      <c r="E5063" s="7" t="s">
        <v>154</v>
      </c>
      <c r="F5063" s="39" t="n">
        <v>45901</v>
      </c>
      <c r="G5063" s="41" t="n">
        <v>80.56</v>
      </c>
      <c r="H5063" s="39" t="n">
        <v>46010</v>
      </c>
      <c r="I5063" s="7" t="s">
        <v>14651</v>
      </c>
      <c r="J5063" s="8" t="str">
        <f aca="false">IF(I5063="Open",DATE(2025,12,31)-F5063,"-")</f>
        <v>-</v>
      </c>
    </row>
    <row r="5064" customFormat="false" ht="15" hidden="false" customHeight="false" outlineLevel="0" collapsed="false">
      <c r="B5064" s="7" t="s">
        <v>19709</v>
      </c>
      <c r="C5064" s="7" t="s">
        <v>5561</v>
      </c>
      <c r="D5064" s="7" t="s">
        <v>313</v>
      </c>
      <c r="E5064" s="7" t="s">
        <v>156</v>
      </c>
      <c r="F5064" s="39" t="n">
        <v>45901</v>
      </c>
      <c r="G5064" s="41" t="n">
        <v>143.14</v>
      </c>
      <c r="H5064" s="39" t="n">
        <v>45915</v>
      </c>
      <c r="I5064" s="7" t="s">
        <v>14651</v>
      </c>
      <c r="J5064" s="8" t="str">
        <f aca="false">IF(I5064="Open",DATE(2025,12,31)-F5064,"-")</f>
        <v>-</v>
      </c>
    </row>
    <row r="5065" customFormat="false" ht="15" hidden="false" customHeight="false" outlineLevel="0" collapsed="false">
      <c r="B5065" s="7" t="s">
        <v>19710</v>
      </c>
      <c r="C5065" s="7" t="s">
        <v>5562</v>
      </c>
      <c r="D5065" s="7" t="s">
        <v>315</v>
      </c>
      <c r="E5065" s="7" t="s">
        <v>159</v>
      </c>
      <c r="F5065" s="39" t="n">
        <v>45901</v>
      </c>
      <c r="G5065" s="41" t="n">
        <v>135</v>
      </c>
      <c r="H5065" s="39" t="n">
        <v>45931</v>
      </c>
      <c r="I5065" s="7" t="s">
        <v>14651</v>
      </c>
      <c r="J5065" s="8" t="str">
        <f aca="false">IF(I5065="Open",DATE(2025,12,31)-F5065,"-")</f>
        <v>-</v>
      </c>
    </row>
    <row r="5066" customFormat="false" ht="15" hidden="false" customHeight="false" outlineLevel="0" collapsed="false">
      <c r="B5066" s="7" t="s">
        <v>19711</v>
      </c>
      <c r="C5066" s="7" t="s">
        <v>5563</v>
      </c>
      <c r="D5066" s="7" t="s">
        <v>317</v>
      </c>
      <c r="E5066" s="7" t="s">
        <v>156</v>
      </c>
      <c r="F5066" s="39" t="n">
        <v>45901</v>
      </c>
      <c r="G5066" s="41" t="n">
        <v>97.24</v>
      </c>
      <c r="H5066" s="39" t="n">
        <v>45914</v>
      </c>
      <c r="I5066" s="7" t="s">
        <v>14651</v>
      </c>
      <c r="J5066" s="8" t="str">
        <f aca="false">IF(I5066="Open",DATE(2025,12,31)-F5066,"-")</f>
        <v>-</v>
      </c>
    </row>
    <row r="5067" customFormat="false" ht="15" hidden="false" customHeight="false" outlineLevel="0" collapsed="false">
      <c r="B5067" s="7" t="s">
        <v>19712</v>
      </c>
      <c r="C5067" s="7" t="s">
        <v>5564</v>
      </c>
      <c r="D5067" s="7" t="s">
        <v>321</v>
      </c>
      <c r="E5067" s="7" t="s">
        <v>154</v>
      </c>
      <c r="F5067" s="39" t="n">
        <v>45901</v>
      </c>
      <c r="G5067" s="41" t="n">
        <v>106</v>
      </c>
      <c r="H5067" s="39" t="n">
        <v>45978</v>
      </c>
      <c r="I5067" s="7" t="s">
        <v>14651</v>
      </c>
      <c r="J5067" s="8" t="str">
        <f aca="false">IF(I5067="Open",DATE(2025,12,31)-F5067,"-")</f>
        <v>-</v>
      </c>
    </row>
    <row r="5068" customFormat="false" ht="15" hidden="false" customHeight="false" outlineLevel="0" collapsed="false">
      <c r="B5068" s="7" t="s">
        <v>19713</v>
      </c>
      <c r="C5068" s="7" t="s">
        <v>5565</v>
      </c>
      <c r="D5068" s="7" t="s">
        <v>325</v>
      </c>
      <c r="E5068" s="7" t="s">
        <v>154</v>
      </c>
      <c r="F5068" s="39" t="n">
        <v>45901</v>
      </c>
      <c r="G5068" s="41" t="n">
        <v>80.82</v>
      </c>
      <c r="H5068" s="39" t="n">
        <v>45964</v>
      </c>
      <c r="I5068" s="7" t="s">
        <v>14651</v>
      </c>
      <c r="J5068" s="8" t="str">
        <f aca="false">IF(I5068="Open",DATE(2025,12,31)-F5068,"-")</f>
        <v>-</v>
      </c>
    </row>
    <row r="5069" customFormat="false" ht="15" hidden="false" customHeight="false" outlineLevel="0" collapsed="false">
      <c r="B5069" s="7" t="s">
        <v>19714</v>
      </c>
      <c r="C5069" s="7" t="s">
        <v>5566</v>
      </c>
      <c r="D5069" s="7" t="s">
        <v>329</v>
      </c>
      <c r="E5069" s="7" t="s">
        <v>156</v>
      </c>
      <c r="F5069" s="39" t="n">
        <v>45901</v>
      </c>
      <c r="G5069" s="41" t="n">
        <v>123.76</v>
      </c>
      <c r="H5069" s="39" t="n">
        <v>45914</v>
      </c>
      <c r="I5069" s="7" t="s">
        <v>14651</v>
      </c>
      <c r="J5069" s="8" t="str">
        <f aca="false">IF(I5069="Open",DATE(2025,12,31)-F5069,"-")</f>
        <v>-</v>
      </c>
    </row>
    <row r="5070" customFormat="false" ht="15" hidden="false" customHeight="false" outlineLevel="0" collapsed="false">
      <c r="B5070" s="7" t="s">
        <v>19715</v>
      </c>
      <c r="C5070" s="7" t="s">
        <v>5567</v>
      </c>
      <c r="D5070" s="7" t="s">
        <v>331</v>
      </c>
      <c r="E5070" s="7" t="s">
        <v>156</v>
      </c>
      <c r="F5070" s="39" t="n">
        <v>45901</v>
      </c>
      <c r="G5070" s="41" t="n">
        <v>141.78</v>
      </c>
      <c r="H5070" s="39" t="n">
        <v>45903</v>
      </c>
      <c r="I5070" s="7" t="s">
        <v>14651</v>
      </c>
      <c r="J5070" s="8" t="str">
        <f aca="false">IF(I5070="Open",DATE(2025,12,31)-F5070,"-")</f>
        <v>-</v>
      </c>
    </row>
    <row r="5071" customFormat="false" ht="15" hidden="false" customHeight="false" outlineLevel="0" collapsed="false">
      <c r="B5071" s="7" t="s">
        <v>19716</v>
      </c>
      <c r="C5071" s="7" t="s">
        <v>5568</v>
      </c>
      <c r="D5071" s="7" t="s">
        <v>335</v>
      </c>
      <c r="E5071" s="7" t="s">
        <v>154</v>
      </c>
      <c r="F5071" s="39" t="n">
        <v>45901</v>
      </c>
      <c r="G5071" s="41" t="n">
        <v>112.1</v>
      </c>
      <c r="H5071" s="39" t="n">
        <v>45940</v>
      </c>
      <c r="I5071" s="7" t="s">
        <v>14651</v>
      </c>
      <c r="J5071" s="8" t="str">
        <f aca="false">IF(I5071="Open",DATE(2025,12,31)-F5071,"-")</f>
        <v>-</v>
      </c>
    </row>
    <row r="5072" customFormat="false" ht="15" hidden="false" customHeight="false" outlineLevel="0" collapsed="false">
      <c r="B5072" s="7" t="s">
        <v>19717</v>
      </c>
      <c r="C5072" s="7" t="s">
        <v>5569</v>
      </c>
      <c r="D5072" s="7" t="s">
        <v>339</v>
      </c>
      <c r="E5072" s="7" t="s">
        <v>154</v>
      </c>
      <c r="F5072" s="39" t="n">
        <v>45901</v>
      </c>
      <c r="G5072" s="41" t="n">
        <v>80.3</v>
      </c>
      <c r="H5072" s="39" t="n">
        <v>45937</v>
      </c>
      <c r="I5072" s="7" t="s">
        <v>14651</v>
      </c>
      <c r="J5072" s="8" t="str">
        <f aca="false">IF(I5072="Open",DATE(2025,12,31)-F5072,"-")</f>
        <v>-</v>
      </c>
    </row>
    <row r="5073" customFormat="false" ht="15" hidden="false" customHeight="false" outlineLevel="0" collapsed="false">
      <c r="B5073" s="7" t="s">
        <v>19718</v>
      </c>
      <c r="C5073" s="7" t="s">
        <v>5570</v>
      </c>
      <c r="D5073" s="7" t="s">
        <v>341</v>
      </c>
      <c r="E5073" s="7" t="s">
        <v>156</v>
      </c>
      <c r="F5073" s="39" t="n">
        <v>45901</v>
      </c>
      <c r="G5073" s="41" t="n">
        <v>95.54</v>
      </c>
      <c r="H5073" s="39" t="n">
        <v>45904</v>
      </c>
      <c r="I5073" s="7" t="s">
        <v>14651</v>
      </c>
      <c r="J5073" s="8" t="str">
        <f aca="false">IF(I5073="Open",DATE(2025,12,31)-F5073,"-")</f>
        <v>-</v>
      </c>
    </row>
    <row r="5074" customFormat="false" ht="15" hidden="false" customHeight="false" outlineLevel="0" collapsed="false">
      <c r="B5074" s="7" t="s">
        <v>19719</v>
      </c>
      <c r="C5074" s="7" t="s">
        <v>5571</v>
      </c>
      <c r="D5074" s="7" t="s">
        <v>343</v>
      </c>
      <c r="E5074" s="7" t="s">
        <v>154</v>
      </c>
      <c r="F5074" s="39" t="n">
        <v>45901</v>
      </c>
      <c r="G5074" s="41" t="n">
        <v>109.98</v>
      </c>
      <c r="H5074" s="39" t="n">
        <v>45973</v>
      </c>
      <c r="I5074" s="7" t="s">
        <v>14651</v>
      </c>
      <c r="J5074" s="8" t="str">
        <f aca="false">IF(I5074="Open",DATE(2025,12,31)-F5074,"-")</f>
        <v>-</v>
      </c>
    </row>
    <row r="5075" customFormat="false" ht="15" hidden="false" customHeight="false" outlineLevel="0" collapsed="false">
      <c r="B5075" s="7" t="s">
        <v>19720</v>
      </c>
      <c r="C5075" s="7" t="s">
        <v>5572</v>
      </c>
      <c r="D5075" s="7" t="s">
        <v>347</v>
      </c>
      <c r="E5075" s="7" t="s">
        <v>154</v>
      </c>
      <c r="F5075" s="39" t="n">
        <v>45901</v>
      </c>
      <c r="G5075" s="41" t="n">
        <v>120.05</v>
      </c>
      <c r="H5075" s="39" t="n">
        <v>45949</v>
      </c>
      <c r="I5075" s="7" t="s">
        <v>14651</v>
      </c>
      <c r="J5075" s="8" t="str">
        <f aca="false">IF(I5075="Open",DATE(2025,12,31)-F5075,"-")</f>
        <v>-</v>
      </c>
    </row>
    <row r="5076" customFormat="false" ht="15" hidden="false" customHeight="false" outlineLevel="0" collapsed="false">
      <c r="B5076" s="7" t="s">
        <v>19721</v>
      </c>
      <c r="C5076" s="7" t="s">
        <v>5573</v>
      </c>
      <c r="D5076" s="7" t="s">
        <v>351</v>
      </c>
      <c r="E5076" s="7" t="s">
        <v>154</v>
      </c>
      <c r="F5076" s="39" t="n">
        <v>45901</v>
      </c>
      <c r="G5076" s="41" t="n">
        <v>84.27</v>
      </c>
      <c r="H5076" s="39" t="n">
        <v>45957</v>
      </c>
      <c r="I5076" s="7" t="s">
        <v>14651</v>
      </c>
      <c r="J5076" s="8" t="str">
        <f aca="false">IF(I5076="Open",DATE(2025,12,31)-F5076,"-")</f>
        <v>-</v>
      </c>
    </row>
    <row r="5077" customFormat="false" ht="15" hidden="false" customHeight="false" outlineLevel="0" collapsed="false">
      <c r="B5077" s="7" t="s">
        <v>19722</v>
      </c>
      <c r="C5077" s="7" t="s">
        <v>5574</v>
      </c>
      <c r="D5077" s="7" t="s">
        <v>353</v>
      </c>
      <c r="E5077" s="7" t="s">
        <v>154</v>
      </c>
      <c r="F5077" s="39" t="n">
        <v>45901</v>
      </c>
      <c r="G5077" s="41" t="n">
        <v>84.06</v>
      </c>
      <c r="H5077" s="39" t="n">
        <v>45975</v>
      </c>
      <c r="I5077" s="7" t="s">
        <v>14651</v>
      </c>
      <c r="J5077" s="8" t="str">
        <f aca="false">IF(I5077="Open",DATE(2025,12,31)-F5077,"-")</f>
        <v>-</v>
      </c>
    </row>
    <row r="5078" customFormat="false" ht="15" hidden="false" customHeight="false" outlineLevel="0" collapsed="false">
      <c r="B5078" s="7" t="s">
        <v>19723</v>
      </c>
      <c r="C5078" s="7" t="s">
        <v>5575</v>
      </c>
      <c r="D5078" s="7" t="s">
        <v>355</v>
      </c>
      <c r="E5078" s="7" t="s">
        <v>154</v>
      </c>
      <c r="F5078" s="39" t="n">
        <v>45901</v>
      </c>
      <c r="G5078" s="41" t="n">
        <v>90.1</v>
      </c>
      <c r="H5078" s="39" t="n">
        <v>45964</v>
      </c>
      <c r="I5078" s="7" t="s">
        <v>14651</v>
      </c>
      <c r="J5078" s="8" t="str">
        <f aca="false">IF(I5078="Open",DATE(2025,12,31)-F5078,"-")</f>
        <v>-</v>
      </c>
    </row>
    <row r="5079" customFormat="false" ht="15" hidden="false" customHeight="false" outlineLevel="0" collapsed="false">
      <c r="B5079" s="7" t="s">
        <v>19724</v>
      </c>
      <c r="C5079" s="7" t="s">
        <v>5576</v>
      </c>
      <c r="D5079" s="7" t="s">
        <v>357</v>
      </c>
      <c r="E5079" s="7" t="s">
        <v>154</v>
      </c>
      <c r="F5079" s="39" t="n">
        <v>45901</v>
      </c>
      <c r="G5079" s="41" t="n">
        <v>94.34</v>
      </c>
      <c r="H5079" s="39" t="n">
        <v>46021</v>
      </c>
      <c r="I5079" s="7" t="s">
        <v>14651</v>
      </c>
      <c r="J5079" s="8" t="str">
        <f aca="false">IF(I5079="Open",DATE(2025,12,31)-F5079,"-")</f>
        <v>-</v>
      </c>
    </row>
    <row r="5080" customFormat="false" ht="15" hidden="false" customHeight="false" outlineLevel="0" collapsed="false">
      <c r="B5080" s="7" t="s">
        <v>19725</v>
      </c>
      <c r="C5080" s="7" t="s">
        <v>5577</v>
      </c>
      <c r="D5080" s="7" t="s">
        <v>359</v>
      </c>
      <c r="E5080" s="7" t="s">
        <v>156</v>
      </c>
      <c r="F5080" s="39" t="n">
        <v>45901</v>
      </c>
      <c r="G5080" s="41" t="n">
        <v>129.54</v>
      </c>
      <c r="H5080" s="39" t="n">
        <v>45916</v>
      </c>
      <c r="I5080" s="7" t="s">
        <v>14651</v>
      </c>
      <c r="J5080" s="8" t="str">
        <f aca="false">IF(I5080="Open",DATE(2025,12,31)-F5080,"-")</f>
        <v>-</v>
      </c>
    </row>
    <row r="5081" customFormat="false" ht="15" hidden="false" customHeight="false" outlineLevel="0" collapsed="false">
      <c r="B5081" s="7" t="s">
        <v>19726</v>
      </c>
      <c r="C5081" s="7" t="s">
        <v>5578</v>
      </c>
      <c r="D5081" s="7" t="s">
        <v>363</v>
      </c>
      <c r="E5081" s="7" t="s">
        <v>156</v>
      </c>
      <c r="F5081" s="39" t="n">
        <v>45901</v>
      </c>
      <c r="G5081" s="41" t="n">
        <v>136.34</v>
      </c>
      <c r="H5081" s="39" t="n">
        <v>45916</v>
      </c>
      <c r="I5081" s="7" t="s">
        <v>14651</v>
      </c>
      <c r="J5081" s="8" t="str">
        <f aca="false">IF(I5081="Open",DATE(2025,12,31)-F5081,"-")</f>
        <v>-</v>
      </c>
    </row>
    <row r="5082" customFormat="false" ht="15" hidden="false" customHeight="false" outlineLevel="0" collapsed="false">
      <c r="B5082" s="7" t="s">
        <v>19727</v>
      </c>
      <c r="C5082" s="7" t="s">
        <v>5579</v>
      </c>
      <c r="D5082" s="7" t="s">
        <v>365</v>
      </c>
      <c r="E5082" s="7" t="s">
        <v>154</v>
      </c>
      <c r="F5082" s="39" t="n">
        <v>45901</v>
      </c>
      <c r="G5082" s="41" t="n">
        <v>98.58</v>
      </c>
      <c r="H5082" s="39" t="n">
        <v>45951</v>
      </c>
      <c r="I5082" s="7" t="s">
        <v>14651</v>
      </c>
      <c r="J5082" s="8" t="str">
        <f aca="false">IF(I5082="Open",DATE(2025,12,31)-F5082,"-")</f>
        <v>-</v>
      </c>
    </row>
    <row r="5083" customFormat="false" ht="15" hidden="false" customHeight="false" outlineLevel="0" collapsed="false">
      <c r="B5083" s="7" t="s">
        <v>19728</v>
      </c>
      <c r="C5083" s="7" t="s">
        <v>5580</v>
      </c>
      <c r="D5083" s="7" t="s">
        <v>371</v>
      </c>
      <c r="E5083" s="7" t="s">
        <v>154</v>
      </c>
      <c r="F5083" s="39" t="n">
        <v>45901</v>
      </c>
      <c r="G5083" s="41" t="n">
        <v>115.27</v>
      </c>
      <c r="H5083" s="39" t="n">
        <v>45956</v>
      </c>
      <c r="I5083" s="7" t="s">
        <v>14651</v>
      </c>
      <c r="J5083" s="8" t="str">
        <f aca="false">IF(I5083="Open",DATE(2025,12,31)-F5083,"-")</f>
        <v>-</v>
      </c>
    </row>
    <row r="5084" customFormat="false" ht="15" hidden="false" customHeight="false" outlineLevel="0" collapsed="false">
      <c r="B5084" s="7" t="s">
        <v>19729</v>
      </c>
      <c r="C5084" s="7" t="s">
        <v>5581</v>
      </c>
      <c r="D5084" s="7" t="s">
        <v>375</v>
      </c>
      <c r="E5084" s="7" t="s">
        <v>156</v>
      </c>
      <c r="F5084" s="39" t="n">
        <v>45901</v>
      </c>
      <c r="G5084" s="41" t="n">
        <v>96.9</v>
      </c>
      <c r="H5084" s="39" t="n">
        <v>45917</v>
      </c>
      <c r="I5084" s="7" t="s">
        <v>14651</v>
      </c>
      <c r="J5084" s="8" t="str">
        <f aca="false">IF(I5084="Open",DATE(2025,12,31)-F5084,"-")</f>
        <v>-</v>
      </c>
    </row>
    <row r="5085" customFormat="false" ht="15" hidden="false" customHeight="false" outlineLevel="0" collapsed="false">
      <c r="B5085" s="7" t="s">
        <v>19730</v>
      </c>
      <c r="C5085" s="7" t="s">
        <v>5582</v>
      </c>
      <c r="D5085" s="7" t="s">
        <v>379</v>
      </c>
      <c r="E5085" s="7" t="s">
        <v>156</v>
      </c>
      <c r="F5085" s="39" t="n">
        <v>45901</v>
      </c>
      <c r="G5085" s="41" t="n">
        <v>173.4</v>
      </c>
      <c r="H5085" s="39" t="n">
        <v>45912</v>
      </c>
      <c r="I5085" s="7" t="s">
        <v>14651</v>
      </c>
      <c r="J5085" s="8" t="str">
        <f aca="false">IF(I5085="Open",DATE(2025,12,31)-F5085,"-")</f>
        <v>-</v>
      </c>
    </row>
    <row r="5086" customFormat="false" ht="15" hidden="false" customHeight="false" outlineLevel="0" collapsed="false">
      <c r="B5086" s="7" t="s">
        <v>19731</v>
      </c>
      <c r="C5086" s="7" t="s">
        <v>5583</v>
      </c>
      <c r="D5086" s="7" t="s">
        <v>385</v>
      </c>
      <c r="E5086" s="7" t="s">
        <v>156</v>
      </c>
      <c r="F5086" s="39" t="n">
        <v>45901</v>
      </c>
      <c r="G5086" s="41" t="n">
        <v>133.28</v>
      </c>
      <c r="H5086" s="39" t="n">
        <v>45903</v>
      </c>
      <c r="I5086" s="7" t="s">
        <v>14651</v>
      </c>
      <c r="J5086" s="8" t="str">
        <f aca="false">IF(I5086="Open",DATE(2025,12,31)-F5086,"-")</f>
        <v>-</v>
      </c>
    </row>
    <row r="5087" customFormat="false" ht="15" hidden="false" customHeight="false" outlineLevel="0" collapsed="false">
      <c r="B5087" s="7" t="s">
        <v>19732</v>
      </c>
      <c r="C5087" s="7" t="s">
        <v>5584</v>
      </c>
      <c r="D5087" s="7" t="s">
        <v>387</v>
      </c>
      <c r="E5087" s="7" t="s">
        <v>154</v>
      </c>
      <c r="F5087" s="39" t="n">
        <v>45901</v>
      </c>
      <c r="G5087" s="41" t="n">
        <v>96.19</v>
      </c>
      <c r="H5087" s="39" t="n">
        <v>45951</v>
      </c>
      <c r="I5087" s="7" t="s">
        <v>14651</v>
      </c>
      <c r="J5087" s="8" t="str">
        <f aca="false">IF(I5087="Open",DATE(2025,12,31)-F5087,"-")</f>
        <v>-</v>
      </c>
    </row>
    <row r="5088" customFormat="false" ht="15" hidden="false" customHeight="false" outlineLevel="0" collapsed="false">
      <c r="B5088" s="7" t="s">
        <v>19733</v>
      </c>
      <c r="C5088" s="7" t="s">
        <v>5585</v>
      </c>
      <c r="D5088" s="7" t="s">
        <v>389</v>
      </c>
      <c r="E5088" s="7" t="s">
        <v>154</v>
      </c>
      <c r="F5088" s="39" t="n">
        <v>45901</v>
      </c>
      <c r="G5088" s="41" t="n">
        <v>103.88</v>
      </c>
      <c r="H5088" s="39" t="n">
        <v>45949</v>
      </c>
      <c r="I5088" s="7" t="s">
        <v>14651</v>
      </c>
      <c r="J5088" s="8" t="str">
        <f aca="false">IF(I5088="Open",DATE(2025,12,31)-F5088,"-")</f>
        <v>-</v>
      </c>
    </row>
    <row r="5089" customFormat="false" ht="15" hidden="false" customHeight="false" outlineLevel="0" collapsed="false">
      <c r="B5089" s="7" t="s">
        <v>19734</v>
      </c>
      <c r="C5089" s="7" t="s">
        <v>5586</v>
      </c>
      <c r="D5089" s="7" t="s">
        <v>391</v>
      </c>
      <c r="E5089" s="7" t="s">
        <v>156</v>
      </c>
      <c r="F5089" s="39" t="n">
        <v>45901</v>
      </c>
      <c r="G5089" s="41" t="n">
        <v>136.68</v>
      </c>
      <c r="H5089" s="39" t="n">
        <v>45924</v>
      </c>
      <c r="I5089" s="7" t="s">
        <v>14651</v>
      </c>
      <c r="J5089" s="8" t="str">
        <f aca="false">IF(I5089="Open",DATE(2025,12,31)-F5089,"-")</f>
        <v>-</v>
      </c>
    </row>
    <row r="5090" customFormat="false" ht="15" hidden="false" customHeight="false" outlineLevel="0" collapsed="false">
      <c r="B5090" s="7" t="s">
        <v>19735</v>
      </c>
      <c r="C5090" s="7" t="s">
        <v>5587</v>
      </c>
      <c r="D5090" s="7" t="s">
        <v>395</v>
      </c>
      <c r="E5090" s="7" t="s">
        <v>156</v>
      </c>
      <c r="F5090" s="39" t="n">
        <v>45901</v>
      </c>
      <c r="G5090" s="41" t="n">
        <v>123.08</v>
      </c>
      <c r="H5090" s="39" t="n">
        <v>45905</v>
      </c>
      <c r="I5090" s="7" t="s">
        <v>14651</v>
      </c>
      <c r="J5090" s="8" t="str">
        <f aca="false">IF(I5090="Open",DATE(2025,12,31)-F5090,"-")</f>
        <v>-</v>
      </c>
    </row>
    <row r="5091" customFormat="false" ht="15" hidden="false" customHeight="false" outlineLevel="0" collapsed="false">
      <c r="B5091" s="7" t="s">
        <v>19736</v>
      </c>
      <c r="C5091" s="7" t="s">
        <v>5588</v>
      </c>
      <c r="D5091" s="7" t="s">
        <v>399</v>
      </c>
      <c r="E5091" s="7" t="s">
        <v>154</v>
      </c>
      <c r="F5091" s="39" t="n">
        <v>45901</v>
      </c>
      <c r="G5091" s="41" t="n">
        <v>80.82</v>
      </c>
      <c r="H5091" s="39" t="n">
        <v>45953</v>
      </c>
      <c r="I5091" s="7" t="s">
        <v>14651</v>
      </c>
      <c r="J5091" s="8" t="str">
        <f aca="false">IF(I5091="Open",DATE(2025,12,31)-F5091,"-")</f>
        <v>-</v>
      </c>
    </row>
    <row r="5092" customFormat="false" ht="15" hidden="false" customHeight="false" outlineLevel="0" collapsed="false">
      <c r="B5092" s="7" t="s">
        <v>19737</v>
      </c>
      <c r="C5092" s="7" t="s">
        <v>5589</v>
      </c>
      <c r="D5092" s="7" t="s">
        <v>401</v>
      </c>
      <c r="E5092" s="7" t="s">
        <v>156</v>
      </c>
      <c r="F5092" s="39" t="n">
        <v>45901</v>
      </c>
      <c r="G5092" s="41" t="n">
        <v>143.14</v>
      </c>
      <c r="H5092" s="39" t="n">
        <v>45912</v>
      </c>
      <c r="I5092" s="7" t="s">
        <v>14651</v>
      </c>
      <c r="J5092" s="8" t="str">
        <f aca="false">IF(I5092="Open",DATE(2025,12,31)-F5092,"-")</f>
        <v>-</v>
      </c>
    </row>
    <row r="5093" customFormat="false" ht="15" hidden="false" customHeight="false" outlineLevel="0" collapsed="false">
      <c r="B5093" s="7" t="s">
        <v>19738</v>
      </c>
      <c r="C5093" s="7" t="s">
        <v>5590</v>
      </c>
      <c r="D5093" s="7" t="s">
        <v>403</v>
      </c>
      <c r="E5093" s="7" t="s">
        <v>156</v>
      </c>
      <c r="F5093" s="39" t="n">
        <v>45901</v>
      </c>
      <c r="G5093" s="41" t="n">
        <v>142.8</v>
      </c>
      <c r="H5093" s="39" t="n">
        <v>45914</v>
      </c>
      <c r="I5093" s="7" t="s">
        <v>14651</v>
      </c>
      <c r="J5093" s="8" t="str">
        <f aca="false">IF(I5093="Open",DATE(2025,12,31)-F5093,"-")</f>
        <v>-</v>
      </c>
    </row>
    <row r="5094" customFormat="false" ht="15" hidden="false" customHeight="false" outlineLevel="0" collapsed="false">
      <c r="B5094" s="7" t="s">
        <v>19739</v>
      </c>
      <c r="C5094" s="7" t="s">
        <v>5591</v>
      </c>
      <c r="D5094" s="7" t="s">
        <v>409</v>
      </c>
      <c r="E5094" s="7" t="s">
        <v>154</v>
      </c>
      <c r="F5094" s="39" t="n">
        <v>45901</v>
      </c>
      <c r="G5094" s="41" t="n">
        <v>97.25</v>
      </c>
      <c r="H5094" s="39" t="n">
        <v>45955</v>
      </c>
      <c r="I5094" s="7" t="s">
        <v>14651</v>
      </c>
      <c r="J5094" s="8" t="str">
        <f aca="false">IF(I5094="Open",DATE(2025,12,31)-F5094,"-")</f>
        <v>-</v>
      </c>
    </row>
    <row r="5095" customFormat="false" ht="15" hidden="false" customHeight="false" outlineLevel="0" collapsed="false">
      <c r="B5095" s="7" t="s">
        <v>19740</v>
      </c>
      <c r="C5095" s="7" t="s">
        <v>5592</v>
      </c>
      <c r="D5095" s="7" t="s">
        <v>411</v>
      </c>
      <c r="E5095" s="7" t="s">
        <v>154</v>
      </c>
      <c r="F5095" s="39" t="n">
        <v>45901</v>
      </c>
      <c r="G5095" s="41" t="n">
        <v>113.95</v>
      </c>
      <c r="H5095" s="39" t="n">
        <v>45939</v>
      </c>
      <c r="I5095" s="7" t="s">
        <v>14651</v>
      </c>
      <c r="J5095" s="8" t="str">
        <f aca="false">IF(I5095="Open",DATE(2025,12,31)-F5095,"-")</f>
        <v>-</v>
      </c>
    </row>
    <row r="5096" customFormat="false" ht="15" hidden="false" customHeight="false" outlineLevel="0" collapsed="false">
      <c r="B5096" s="7" t="s">
        <v>19741</v>
      </c>
      <c r="C5096" s="7" t="s">
        <v>5593</v>
      </c>
      <c r="D5096" s="7" t="s">
        <v>288</v>
      </c>
      <c r="E5096" s="7" t="s">
        <v>156</v>
      </c>
      <c r="F5096" s="39" t="n">
        <v>45902</v>
      </c>
      <c r="G5096" s="41" t="n">
        <v>146.88</v>
      </c>
      <c r="H5096" s="39" t="n">
        <v>45908</v>
      </c>
      <c r="I5096" s="7" t="s">
        <v>14651</v>
      </c>
      <c r="J5096" s="8" t="str">
        <f aca="false">IF(I5096="Open",DATE(2025,12,31)-F5096,"-")</f>
        <v>-</v>
      </c>
    </row>
    <row r="5097" customFormat="false" ht="15" hidden="false" customHeight="false" outlineLevel="0" collapsed="false">
      <c r="B5097" s="7" t="s">
        <v>19742</v>
      </c>
      <c r="C5097" s="7" t="s">
        <v>5594</v>
      </c>
      <c r="D5097" s="7" t="s">
        <v>301</v>
      </c>
      <c r="E5097" s="7" t="s">
        <v>157</v>
      </c>
      <c r="F5097" s="39" t="n">
        <v>45902</v>
      </c>
      <c r="G5097" s="41" t="n">
        <v>148.83</v>
      </c>
      <c r="H5097" s="39" t="n">
        <v>45946</v>
      </c>
      <c r="I5097" s="7" t="s">
        <v>14651</v>
      </c>
      <c r="J5097" s="8" t="str">
        <f aca="false">IF(I5097="Open",DATE(2025,12,31)-F5097,"-")</f>
        <v>-</v>
      </c>
    </row>
    <row r="5098" customFormat="false" ht="15" hidden="false" customHeight="false" outlineLevel="0" collapsed="false">
      <c r="B5098" s="7" t="s">
        <v>19743</v>
      </c>
      <c r="C5098" s="7" t="s">
        <v>5595</v>
      </c>
      <c r="D5098" s="7" t="s">
        <v>313</v>
      </c>
      <c r="E5098" s="7" t="s">
        <v>156</v>
      </c>
      <c r="F5098" s="39" t="n">
        <v>45902</v>
      </c>
      <c r="G5098" s="41" t="n">
        <v>131.58</v>
      </c>
      <c r="H5098" s="39" t="n">
        <v>45904</v>
      </c>
      <c r="I5098" s="7" t="s">
        <v>14651</v>
      </c>
      <c r="J5098" s="8" t="str">
        <f aca="false">IF(I5098="Open",DATE(2025,12,31)-F5098,"-")</f>
        <v>-</v>
      </c>
    </row>
    <row r="5099" customFormat="false" ht="15" hidden="false" customHeight="false" outlineLevel="0" collapsed="false">
      <c r="B5099" s="7" t="s">
        <v>19744</v>
      </c>
      <c r="C5099" s="7" t="s">
        <v>5596</v>
      </c>
      <c r="D5099" s="7" t="s">
        <v>319</v>
      </c>
      <c r="E5099" s="7" t="s">
        <v>157</v>
      </c>
      <c r="F5099" s="39" t="n">
        <v>45902</v>
      </c>
      <c r="G5099" s="41" t="n">
        <v>153.45</v>
      </c>
      <c r="H5099" s="39" t="n">
        <v>45970</v>
      </c>
      <c r="I5099" s="7" t="s">
        <v>14651</v>
      </c>
      <c r="J5099" s="8" t="str">
        <f aca="false">IF(I5099="Open",DATE(2025,12,31)-F5099,"-")</f>
        <v>-</v>
      </c>
    </row>
    <row r="5100" customFormat="false" ht="15" hidden="false" customHeight="false" outlineLevel="0" collapsed="false">
      <c r="B5100" s="7" t="s">
        <v>19745</v>
      </c>
      <c r="C5100" s="7" t="s">
        <v>5597</v>
      </c>
      <c r="D5100" s="7" t="s">
        <v>321</v>
      </c>
      <c r="E5100" s="7" t="s">
        <v>154</v>
      </c>
      <c r="F5100" s="39" t="n">
        <v>45902</v>
      </c>
      <c r="G5100" s="41" t="n">
        <v>98.71</v>
      </c>
      <c r="H5100" s="39" t="n">
        <v>45953</v>
      </c>
      <c r="I5100" s="7" t="s">
        <v>14651</v>
      </c>
      <c r="J5100" s="8" t="str">
        <f aca="false">IF(I5100="Open",DATE(2025,12,31)-F5100,"-")</f>
        <v>-</v>
      </c>
    </row>
    <row r="5101" customFormat="false" ht="15" hidden="false" customHeight="false" outlineLevel="0" collapsed="false">
      <c r="B5101" s="7" t="s">
        <v>19746</v>
      </c>
      <c r="C5101" s="7" t="s">
        <v>5598</v>
      </c>
      <c r="D5101" s="7" t="s">
        <v>323</v>
      </c>
      <c r="E5101" s="7" t="s">
        <v>159</v>
      </c>
      <c r="F5101" s="39" t="n">
        <v>45902</v>
      </c>
      <c r="G5101" s="41" t="n">
        <v>115.56</v>
      </c>
      <c r="H5101" s="39" t="n">
        <v>45944</v>
      </c>
      <c r="I5101" s="7" t="s">
        <v>14651</v>
      </c>
      <c r="J5101" s="8" t="str">
        <f aca="false">IF(I5101="Open",DATE(2025,12,31)-F5101,"-")</f>
        <v>-</v>
      </c>
    </row>
    <row r="5102" customFormat="false" ht="15" hidden="false" customHeight="false" outlineLevel="0" collapsed="false">
      <c r="B5102" s="7" t="s">
        <v>19747</v>
      </c>
      <c r="C5102" s="7" t="s">
        <v>5599</v>
      </c>
      <c r="D5102" s="7" t="s">
        <v>327</v>
      </c>
      <c r="E5102" s="7" t="s">
        <v>157</v>
      </c>
      <c r="F5102" s="39" t="n">
        <v>45902</v>
      </c>
      <c r="G5102" s="41" t="n">
        <v>147.34</v>
      </c>
      <c r="H5102" s="39" t="n">
        <v>45946</v>
      </c>
      <c r="I5102" s="7" t="s">
        <v>14651</v>
      </c>
      <c r="J5102" s="8" t="str">
        <f aca="false">IF(I5102="Open",DATE(2025,12,31)-F5102,"-")</f>
        <v>-</v>
      </c>
    </row>
    <row r="5103" customFormat="false" ht="15" hidden="false" customHeight="false" outlineLevel="0" collapsed="false">
      <c r="B5103" s="7" t="s">
        <v>19748</v>
      </c>
      <c r="C5103" s="7" t="s">
        <v>5600</v>
      </c>
      <c r="D5103" s="7" t="s">
        <v>329</v>
      </c>
      <c r="E5103" s="7" t="s">
        <v>156</v>
      </c>
      <c r="F5103" s="39" t="n">
        <v>45902</v>
      </c>
      <c r="G5103" s="41" t="n">
        <v>137.7</v>
      </c>
      <c r="H5103" s="39" t="n">
        <v>45914</v>
      </c>
      <c r="I5103" s="7" t="s">
        <v>14651</v>
      </c>
      <c r="J5103" s="8" t="str">
        <f aca="false">IF(I5103="Open",DATE(2025,12,31)-F5103,"-")</f>
        <v>-</v>
      </c>
    </row>
    <row r="5104" customFormat="false" ht="15" hidden="false" customHeight="false" outlineLevel="0" collapsed="false">
      <c r="B5104" s="7" t="s">
        <v>19749</v>
      </c>
      <c r="C5104" s="7" t="s">
        <v>5601</v>
      </c>
      <c r="D5104" s="7" t="s">
        <v>359</v>
      </c>
      <c r="E5104" s="7" t="s">
        <v>156</v>
      </c>
      <c r="F5104" s="39" t="n">
        <v>45902</v>
      </c>
      <c r="G5104" s="41" t="n">
        <v>142.8</v>
      </c>
      <c r="H5104" s="39" t="n">
        <v>45908</v>
      </c>
      <c r="I5104" s="7" t="s">
        <v>14651</v>
      </c>
      <c r="J5104" s="8" t="str">
        <f aca="false">IF(I5104="Open",DATE(2025,12,31)-F5104,"-")</f>
        <v>-</v>
      </c>
    </row>
    <row r="5105" customFormat="false" ht="15" hidden="false" customHeight="false" outlineLevel="0" collapsed="false">
      <c r="B5105" s="7" t="s">
        <v>19750</v>
      </c>
      <c r="C5105" s="7" t="s">
        <v>5602</v>
      </c>
      <c r="D5105" s="7" t="s">
        <v>361</v>
      </c>
      <c r="E5105" s="7" t="s">
        <v>157</v>
      </c>
      <c r="F5105" s="39" t="n">
        <v>45902</v>
      </c>
      <c r="G5105" s="41" t="n">
        <v>153.45</v>
      </c>
      <c r="H5105" s="39" t="n">
        <v>45942</v>
      </c>
      <c r="I5105" s="7" t="s">
        <v>14651</v>
      </c>
      <c r="J5105" s="8" t="str">
        <f aca="false">IF(I5105="Open",DATE(2025,12,31)-F5105,"-")</f>
        <v>-</v>
      </c>
    </row>
    <row r="5106" customFormat="false" ht="15" hidden="false" customHeight="false" outlineLevel="0" collapsed="false">
      <c r="B5106" s="7" t="s">
        <v>19751</v>
      </c>
      <c r="C5106" s="7" t="s">
        <v>5603</v>
      </c>
      <c r="D5106" s="7" t="s">
        <v>365</v>
      </c>
      <c r="E5106" s="7" t="s">
        <v>154</v>
      </c>
      <c r="F5106" s="39" t="n">
        <v>45902</v>
      </c>
      <c r="G5106" s="41" t="n">
        <v>111.3</v>
      </c>
      <c r="H5106" s="39" t="n">
        <v>45965</v>
      </c>
      <c r="I5106" s="7" t="s">
        <v>14651</v>
      </c>
      <c r="J5106" s="8" t="str">
        <f aca="false">IF(I5106="Open",DATE(2025,12,31)-F5106,"-")</f>
        <v>-</v>
      </c>
    </row>
    <row r="5107" customFormat="false" ht="15" hidden="false" customHeight="false" outlineLevel="0" collapsed="false">
      <c r="B5107" s="7" t="s">
        <v>19752</v>
      </c>
      <c r="C5107" s="7" t="s">
        <v>5604</v>
      </c>
      <c r="D5107" s="7" t="s">
        <v>369</v>
      </c>
      <c r="E5107" s="7" t="s">
        <v>159</v>
      </c>
      <c r="F5107" s="39" t="n">
        <v>45902</v>
      </c>
      <c r="G5107" s="41" t="n">
        <v>147.15</v>
      </c>
      <c r="H5107" s="39" t="n">
        <v>45943</v>
      </c>
      <c r="I5107" s="7" t="s">
        <v>14651</v>
      </c>
      <c r="J5107" s="8" t="str">
        <f aca="false">IF(I5107="Open",DATE(2025,12,31)-F5107,"-")</f>
        <v>-</v>
      </c>
    </row>
    <row r="5108" customFormat="false" ht="15" hidden="false" customHeight="false" outlineLevel="0" collapsed="false">
      <c r="B5108" s="7" t="s">
        <v>19753</v>
      </c>
      <c r="C5108" s="7" t="s">
        <v>5605</v>
      </c>
      <c r="D5108" s="7" t="s">
        <v>381</v>
      </c>
      <c r="E5108" s="7" t="s">
        <v>157</v>
      </c>
      <c r="F5108" s="39" t="n">
        <v>45902</v>
      </c>
      <c r="G5108" s="41" t="n">
        <v>155.1</v>
      </c>
      <c r="H5108" s="39" t="n">
        <v>45962</v>
      </c>
      <c r="I5108" s="7" t="s">
        <v>14651</v>
      </c>
      <c r="J5108" s="8" t="str">
        <f aca="false">IF(I5108="Open",DATE(2025,12,31)-F5108,"-")</f>
        <v>-</v>
      </c>
    </row>
    <row r="5109" customFormat="false" ht="15" hidden="false" customHeight="false" outlineLevel="0" collapsed="false">
      <c r="B5109" s="7" t="s">
        <v>19754</v>
      </c>
      <c r="C5109" s="7" t="s">
        <v>5606</v>
      </c>
      <c r="D5109" s="7" t="s">
        <v>383</v>
      </c>
      <c r="E5109" s="7" t="s">
        <v>157</v>
      </c>
      <c r="F5109" s="39" t="n">
        <v>45902</v>
      </c>
      <c r="G5109" s="41" t="n">
        <v>151.8</v>
      </c>
      <c r="H5109" s="39" t="n">
        <v>45938</v>
      </c>
      <c r="I5109" s="7" t="s">
        <v>14651</v>
      </c>
      <c r="J5109" s="8" t="str">
        <f aca="false">IF(I5109="Open",DATE(2025,12,31)-F5109,"-")</f>
        <v>-</v>
      </c>
    </row>
    <row r="5110" customFormat="false" ht="15" hidden="false" customHeight="false" outlineLevel="0" collapsed="false">
      <c r="B5110" s="7" t="s">
        <v>19755</v>
      </c>
      <c r="C5110" s="7" t="s">
        <v>5607</v>
      </c>
      <c r="D5110" s="7" t="s">
        <v>387</v>
      </c>
      <c r="E5110" s="7" t="s">
        <v>154</v>
      </c>
      <c r="F5110" s="39" t="n">
        <v>45902</v>
      </c>
      <c r="G5110" s="41" t="n">
        <v>116.6</v>
      </c>
      <c r="H5110" s="39" t="n">
        <v>45962</v>
      </c>
      <c r="I5110" s="7" t="s">
        <v>14651</v>
      </c>
      <c r="J5110" s="8" t="str">
        <f aca="false">IF(I5110="Open",DATE(2025,12,31)-F5110,"-")</f>
        <v>-</v>
      </c>
    </row>
    <row r="5111" customFormat="false" ht="15" hidden="false" customHeight="false" outlineLevel="0" collapsed="false">
      <c r="B5111" s="7" t="s">
        <v>19756</v>
      </c>
      <c r="C5111" s="7" t="s">
        <v>5608</v>
      </c>
      <c r="D5111" s="7" t="s">
        <v>389</v>
      </c>
      <c r="E5111" s="7" t="s">
        <v>154</v>
      </c>
      <c r="F5111" s="39" t="n">
        <v>45902</v>
      </c>
      <c r="G5111" s="41" t="n">
        <v>108.65</v>
      </c>
      <c r="H5111" s="39" t="n">
        <v>45932</v>
      </c>
      <c r="I5111" s="7" t="s">
        <v>14651</v>
      </c>
      <c r="J5111" s="8" t="str">
        <f aca="false">IF(I5111="Open",DATE(2025,12,31)-F5111,"-")</f>
        <v>-</v>
      </c>
    </row>
    <row r="5112" customFormat="false" ht="15" hidden="false" customHeight="false" outlineLevel="0" collapsed="false">
      <c r="B5112" s="7" t="s">
        <v>19757</v>
      </c>
      <c r="C5112" s="7" t="s">
        <v>5609</v>
      </c>
      <c r="D5112" s="7" t="s">
        <v>391</v>
      </c>
      <c r="E5112" s="7" t="s">
        <v>156</v>
      </c>
      <c r="F5112" s="39" t="n">
        <v>45902</v>
      </c>
      <c r="G5112" s="41" t="n">
        <v>148.24</v>
      </c>
      <c r="H5112" s="39" t="n">
        <v>45914</v>
      </c>
      <c r="I5112" s="7" t="s">
        <v>14651</v>
      </c>
      <c r="J5112" s="8" t="str">
        <f aca="false">IF(I5112="Open",DATE(2025,12,31)-F5112,"-")</f>
        <v>-</v>
      </c>
    </row>
    <row r="5113" customFormat="false" ht="15" hidden="false" customHeight="false" outlineLevel="0" collapsed="false">
      <c r="B5113" s="7" t="s">
        <v>19758</v>
      </c>
      <c r="C5113" s="7" t="s">
        <v>5610</v>
      </c>
      <c r="D5113" s="7" t="s">
        <v>395</v>
      </c>
      <c r="E5113" s="7" t="s">
        <v>156</v>
      </c>
      <c r="F5113" s="39" t="n">
        <v>45902</v>
      </c>
      <c r="G5113" s="41" t="n">
        <v>137.02</v>
      </c>
      <c r="H5113" s="39" t="n">
        <v>45921</v>
      </c>
      <c r="I5113" s="7" t="s">
        <v>14651</v>
      </c>
      <c r="J5113" s="8" t="str">
        <f aca="false">IF(I5113="Open",DATE(2025,12,31)-F5113,"-")</f>
        <v>-</v>
      </c>
    </row>
    <row r="5114" customFormat="false" ht="15" hidden="false" customHeight="false" outlineLevel="0" collapsed="false">
      <c r="B5114" s="7" t="s">
        <v>19759</v>
      </c>
      <c r="C5114" s="7" t="s">
        <v>5611</v>
      </c>
      <c r="D5114" s="7" t="s">
        <v>397</v>
      </c>
      <c r="E5114" s="7" t="s">
        <v>159</v>
      </c>
      <c r="F5114" s="39" t="n">
        <v>45902</v>
      </c>
      <c r="G5114" s="41" t="n">
        <v>148.5</v>
      </c>
      <c r="H5114" s="39" t="n">
        <v>45929</v>
      </c>
      <c r="I5114" s="7" t="s">
        <v>14651</v>
      </c>
      <c r="J5114" s="8" t="str">
        <f aca="false">IF(I5114="Open",DATE(2025,12,31)-F5114,"-")</f>
        <v>-</v>
      </c>
    </row>
    <row r="5115" customFormat="false" ht="15" hidden="false" customHeight="false" outlineLevel="0" collapsed="false">
      <c r="B5115" s="7" t="s">
        <v>19760</v>
      </c>
      <c r="C5115" s="7" t="s">
        <v>5612</v>
      </c>
      <c r="D5115" s="7" t="s">
        <v>401</v>
      </c>
      <c r="E5115" s="7" t="s">
        <v>156</v>
      </c>
      <c r="F5115" s="39" t="n">
        <v>45902</v>
      </c>
      <c r="G5115" s="41" t="n">
        <v>134.3</v>
      </c>
      <c r="H5115" s="39" t="n">
        <v>45918</v>
      </c>
      <c r="I5115" s="7" t="s">
        <v>14651</v>
      </c>
      <c r="J5115" s="8" t="str">
        <f aca="false">IF(I5115="Open",DATE(2025,12,31)-F5115,"-")</f>
        <v>-</v>
      </c>
    </row>
    <row r="5116" customFormat="false" ht="15" hidden="false" customHeight="false" outlineLevel="0" collapsed="false">
      <c r="B5116" s="7" t="s">
        <v>19761</v>
      </c>
      <c r="C5116" s="7" t="s">
        <v>5613</v>
      </c>
      <c r="D5116" s="7" t="s">
        <v>407</v>
      </c>
      <c r="E5116" s="7" t="s">
        <v>159</v>
      </c>
      <c r="F5116" s="39" t="n">
        <v>45902</v>
      </c>
      <c r="G5116" s="41" t="n">
        <v>120.56</v>
      </c>
      <c r="H5116" s="39" t="n">
        <v>45969</v>
      </c>
      <c r="I5116" s="7" t="s">
        <v>14651</v>
      </c>
      <c r="J5116" s="8" t="str">
        <f aca="false">IF(I5116="Open",DATE(2025,12,31)-F5116,"-")</f>
        <v>-</v>
      </c>
    </row>
    <row r="5117" customFormat="false" ht="15" hidden="false" customHeight="false" outlineLevel="0" collapsed="false">
      <c r="B5117" s="7" t="s">
        <v>19762</v>
      </c>
      <c r="C5117" s="7" t="s">
        <v>5614</v>
      </c>
      <c r="D5117" s="7" t="s">
        <v>288</v>
      </c>
      <c r="E5117" s="7" t="s">
        <v>156</v>
      </c>
      <c r="F5117" s="39" t="n">
        <v>45903</v>
      </c>
      <c r="G5117" s="41" t="n">
        <v>131.58</v>
      </c>
      <c r="H5117" s="39" t="n">
        <v>45918</v>
      </c>
      <c r="I5117" s="7" t="s">
        <v>14651</v>
      </c>
      <c r="J5117" s="8" t="str">
        <f aca="false">IF(I5117="Open",DATE(2025,12,31)-F5117,"-")</f>
        <v>-</v>
      </c>
    </row>
    <row r="5118" customFormat="false" ht="15" hidden="false" customHeight="false" outlineLevel="0" collapsed="false">
      <c r="B5118" s="7" t="s">
        <v>19763</v>
      </c>
      <c r="C5118" s="7" t="s">
        <v>5615</v>
      </c>
      <c r="D5118" s="7" t="s">
        <v>291</v>
      </c>
      <c r="E5118" s="7" t="s">
        <v>154</v>
      </c>
      <c r="F5118" s="39" t="n">
        <v>45903</v>
      </c>
      <c r="G5118" s="41" t="n">
        <v>109.23</v>
      </c>
      <c r="H5118" s="39" t="n">
        <v>45952</v>
      </c>
      <c r="I5118" s="7" t="s">
        <v>14651</v>
      </c>
      <c r="J5118" s="8" t="str">
        <f aca="false">IF(I5118="Open",DATE(2025,12,31)-F5118,"-")</f>
        <v>-</v>
      </c>
    </row>
    <row r="5119" customFormat="false" ht="15" hidden="false" customHeight="false" outlineLevel="0" collapsed="false">
      <c r="B5119" s="7" t="s">
        <v>19764</v>
      </c>
      <c r="C5119" s="7" t="s">
        <v>5616</v>
      </c>
      <c r="D5119" s="7" t="s">
        <v>295</v>
      </c>
      <c r="E5119" s="7" t="s">
        <v>154</v>
      </c>
      <c r="F5119" s="39" t="n">
        <v>45903</v>
      </c>
      <c r="G5119" s="41" t="n">
        <v>108.12</v>
      </c>
      <c r="H5119" s="39" t="n">
        <v>45957</v>
      </c>
      <c r="I5119" s="7" t="s">
        <v>14651</v>
      </c>
      <c r="J5119" s="8" t="str">
        <f aca="false">IF(I5119="Open",DATE(2025,12,31)-F5119,"-")</f>
        <v>-</v>
      </c>
    </row>
    <row r="5120" customFormat="false" ht="15" hidden="false" customHeight="false" outlineLevel="0" collapsed="false">
      <c r="B5120" s="7" t="s">
        <v>19765</v>
      </c>
      <c r="C5120" s="7" t="s">
        <v>5617</v>
      </c>
      <c r="D5120" s="7" t="s">
        <v>305</v>
      </c>
      <c r="E5120" s="7" t="s">
        <v>154</v>
      </c>
      <c r="F5120" s="39" t="n">
        <v>45903</v>
      </c>
      <c r="G5120" s="41" t="n">
        <v>111.83</v>
      </c>
      <c r="H5120" s="39" t="n">
        <v>45985</v>
      </c>
      <c r="I5120" s="7" t="s">
        <v>14651</v>
      </c>
      <c r="J5120" s="8" t="str">
        <f aca="false">IF(I5120="Open",DATE(2025,12,31)-F5120,"-")</f>
        <v>-</v>
      </c>
    </row>
    <row r="5121" customFormat="false" ht="15" hidden="false" customHeight="false" outlineLevel="0" collapsed="false">
      <c r="B5121" s="7" t="s">
        <v>19766</v>
      </c>
      <c r="C5121" s="7" t="s">
        <v>5618</v>
      </c>
      <c r="D5121" s="7" t="s">
        <v>307</v>
      </c>
      <c r="E5121" s="7" t="s">
        <v>157</v>
      </c>
      <c r="F5121" s="39" t="n">
        <v>45903</v>
      </c>
      <c r="G5121" s="41" t="n">
        <v>170.77</v>
      </c>
      <c r="H5121" s="39" t="n">
        <v>45933</v>
      </c>
      <c r="I5121" s="7" t="s">
        <v>14651</v>
      </c>
      <c r="J5121" s="8" t="str">
        <f aca="false">IF(I5121="Open",DATE(2025,12,31)-F5121,"-")</f>
        <v>-</v>
      </c>
    </row>
    <row r="5122" customFormat="false" ht="15" hidden="false" customHeight="false" outlineLevel="0" collapsed="false">
      <c r="B5122" s="7" t="s">
        <v>19767</v>
      </c>
      <c r="C5122" s="7" t="s">
        <v>5619</v>
      </c>
      <c r="D5122" s="7" t="s">
        <v>309</v>
      </c>
      <c r="E5122" s="7" t="s">
        <v>159</v>
      </c>
      <c r="F5122" s="39" t="n">
        <v>45903</v>
      </c>
      <c r="G5122" s="41" t="n">
        <v>124.2</v>
      </c>
      <c r="H5122" s="39" t="n">
        <v>46015</v>
      </c>
      <c r="I5122" s="7" t="s">
        <v>14651</v>
      </c>
      <c r="J5122" s="8" t="str">
        <f aca="false">IF(I5122="Open",DATE(2025,12,31)-F5122,"-")</f>
        <v>-</v>
      </c>
    </row>
    <row r="5123" customFormat="false" ht="15" hidden="false" customHeight="false" outlineLevel="0" collapsed="false">
      <c r="B5123" s="7" t="s">
        <v>19768</v>
      </c>
      <c r="C5123" s="7" t="s">
        <v>5620</v>
      </c>
      <c r="D5123" s="7" t="s">
        <v>313</v>
      </c>
      <c r="E5123" s="7" t="s">
        <v>156</v>
      </c>
      <c r="F5123" s="39" t="n">
        <v>45903</v>
      </c>
      <c r="G5123" s="41" t="n">
        <v>142.12</v>
      </c>
      <c r="H5123" s="39" t="n">
        <v>45919</v>
      </c>
      <c r="I5123" s="7" t="s">
        <v>14651</v>
      </c>
      <c r="J5123" s="8" t="str">
        <f aca="false">IF(I5123="Open",DATE(2025,12,31)-F5123,"-")</f>
        <v>-</v>
      </c>
    </row>
    <row r="5124" customFormat="false" ht="15" hidden="false" customHeight="false" outlineLevel="0" collapsed="false">
      <c r="B5124" s="7" t="s">
        <v>19769</v>
      </c>
      <c r="C5124" s="7" t="s">
        <v>5621</v>
      </c>
      <c r="D5124" s="7" t="s">
        <v>315</v>
      </c>
      <c r="E5124" s="7" t="s">
        <v>159</v>
      </c>
      <c r="F5124" s="39" t="n">
        <v>45903</v>
      </c>
      <c r="G5124" s="41" t="n">
        <v>141.75</v>
      </c>
      <c r="H5124" s="39" t="n">
        <v>45974</v>
      </c>
      <c r="I5124" s="7" t="s">
        <v>14651</v>
      </c>
      <c r="J5124" s="8" t="str">
        <f aca="false">IF(I5124="Open",DATE(2025,12,31)-F5124,"-")</f>
        <v>-</v>
      </c>
    </row>
    <row r="5125" customFormat="false" ht="15" hidden="false" customHeight="false" outlineLevel="0" collapsed="false">
      <c r="B5125" s="7" t="s">
        <v>19770</v>
      </c>
      <c r="C5125" s="7" t="s">
        <v>5622</v>
      </c>
      <c r="D5125" s="7" t="s">
        <v>321</v>
      </c>
      <c r="E5125" s="7" t="s">
        <v>154</v>
      </c>
      <c r="F5125" s="39" t="n">
        <v>45903</v>
      </c>
      <c r="G5125" s="41" t="n">
        <v>104.41</v>
      </c>
      <c r="H5125" s="39" t="n">
        <v>45998</v>
      </c>
      <c r="I5125" s="7" t="s">
        <v>14651</v>
      </c>
      <c r="J5125" s="8" t="str">
        <f aca="false">IF(I5125="Open",DATE(2025,12,31)-F5125,"-")</f>
        <v>-</v>
      </c>
    </row>
    <row r="5126" customFormat="false" ht="15" hidden="false" customHeight="false" outlineLevel="0" collapsed="false">
      <c r="B5126" s="7" t="s">
        <v>19771</v>
      </c>
      <c r="C5126" s="7" t="s">
        <v>5623</v>
      </c>
      <c r="D5126" s="7" t="s">
        <v>329</v>
      </c>
      <c r="E5126" s="7" t="s">
        <v>156</v>
      </c>
      <c r="F5126" s="39" t="n">
        <v>45903</v>
      </c>
      <c r="G5126" s="41" t="n">
        <v>140.08</v>
      </c>
      <c r="H5126" s="39" t="n">
        <v>45921</v>
      </c>
      <c r="I5126" s="7" t="s">
        <v>14651</v>
      </c>
      <c r="J5126" s="8" t="str">
        <f aca="false">IF(I5126="Open",DATE(2025,12,31)-F5126,"-")</f>
        <v>-</v>
      </c>
    </row>
    <row r="5127" customFormat="false" ht="15" hidden="false" customHeight="false" outlineLevel="0" collapsed="false">
      <c r="B5127" s="7" t="s">
        <v>19772</v>
      </c>
      <c r="C5127" s="7" t="s">
        <v>5624</v>
      </c>
      <c r="D5127" s="7" t="s">
        <v>335</v>
      </c>
      <c r="E5127" s="7" t="s">
        <v>154</v>
      </c>
      <c r="F5127" s="39" t="n">
        <v>45903</v>
      </c>
      <c r="G5127" s="41" t="n">
        <v>102.29</v>
      </c>
      <c r="H5127" s="39" t="n">
        <v>45962</v>
      </c>
      <c r="I5127" s="7" t="s">
        <v>14651</v>
      </c>
      <c r="J5127" s="8" t="str">
        <f aca="false">IF(I5127="Open",DATE(2025,12,31)-F5127,"-")</f>
        <v>-</v>
      </c>
    </row>
    <row r="5128" customFormat="false" ht="15" hidden="false" customHeight="false" outlineLevel="0" collapsed="false">
      <c r="B5128" s="7" t="s">
        <v>19773</v>
      </c>
      <c r="C5128" s="7" t="s">
        <v>5625</v>
      </c>
      <c r="D5128" s="7" t="s">
        <v>347</v>
      </c>
      <c r="E5128" s="7" t="s">
        <v>154</v>
      </c>
      <c r="F5128" s="39" t="n">
        <v>45903</v>
      </c>
      <c r="G5128" s="41" t="n">
        <v>123.65</v>
      </c>
      <c r="H5128" s="39" t="n">
        <v>45960</v>
      </c>
      <c r="I5128" s="7" t="s">
        <v>14651</v>
      </c>
      <c r="J5128" s="8" t="str">
        <f aca="false">IF(I5128="Open",DATE(2025,12,31)-F5128,"-")</f>
        <v>-</v>
      </c>
    </row>
    <row r="5129" customFormat="false" ht="15" hidden="false" customHeight="false" outlineLevel="0" collapsed="false">
      <c r="B5129" s="7" t="s">
        <v>19774</v>
      </c>
      <c r="C5129" s="7" t="s">
        <v>5626</v>
      </c>
      <c r="D5129" s="7" t="s">
        <v>353</v>
      </c>
      <c r="E5129" s="7" t="s">
        <v>154</v>
      </c>
      <c r="F5129" s="39" t="n">
        <v>45903</v>
      </c>
      <c r="G5129" s="41" t="n">
        <v>88.78</v>
      </c>
      <c r="H5129" s="39" t="n">
        <v>45950</v>
      </c>
      <c r="I5129" s="7" t="s">
        <v>14651</v>
      </c>
      <c r="J5129" s="8" t="str">
        <f aca="false">IF(I5129="Open",DATE(2025,12,31)-F5129,"-")</f>
        <v>-</v>
      </c>
    </row>
    <row r="5130" customFormat="false" ht="15" hidden="false" customHeight="false" outlineLevel="0" collapsed="false">
      <c r="B5130" s="7" t="s">
        <v>19775</v>
      </c>
      <c r="C5130" s="7" t="s">
        <v>5627</v>
      </c>
      <c r="D5130" s="7" t="s">
        <v>355</v>
      </c>
      <c r="E5130" s="7" t="s">
        <v>154</v>
      </c>
      <c r="F5130" s="39" t="n">
        <v>45903</v>
      </c>
      <c r="G5130" s="41" t="n">
        <v>84.8</v>
      </c>
      <c r="H5130" s="39" t="n">
        <v>45956</v>
      </c>
      <c r="I5130" s="7" t="s">
        <v>14651</v>
      </c>
      <c r="J5130" s="8" t="str">
        <f aca="false">IF(I5130="Open",DATE(2025,12,31)-F5130,"-")</f>
        <v>-</v>
      </c>
    </row>
    <row r="5131" customFormat="false" ht="15" hidden="false" customHeight="false" outlineLevel="0" collapsed="false">
      <c r="B5131" s="7" t="s">
        <v>19776</v>
      </c>
      <c r="C5131" s="7" t="s">
        <v>5628</v>
      </c>
      <c r="D5131" s="7" t="s">
        <v>357</v>
      </c>
      <c r="E5131" s="7" t="s">
        <v>154</v>
      </c>
      <c r="F5131" s="39" t="n">
        <v>45903</v>
      </c>
      <c r="G5131" s="41" t="n">
        <v>94.87</v>
      </c>
      <c r="H5131" s="39" t="n">
        <v>45962</v>
      </c>
      <c r="I5131" s="7" t="s">
        <v>14651</v>
      </c>
      <c r="J5131" s="8" t="str">
        <f aca="false">IF(I5131="Open",DATE(2025,12,31)-F5131,"-")</f>
        <v>-</v>
      </c>
    </row>
    <row r="5132" customFormat="false" ht="15" hidden="false" customHeight="false" outlineLevel="0" collapsed="false">
      <c r="B5132" s="7" t="s">
        <v>19777</v>
      </c>
      <c r="C5132" s="7" t="s">
        <v>5629</v>
      </c>
      <c r="D5132" s="7" t="s">
        <v>359</v>
      </c>
      <c r="E5132" s="7" t="s">
        <v>156</v>
      </c>
      <c r="F5132" s="39" t="n">
        <v>45903</v>
      </c>
      <c r="G5132" s="41" t="n">
        <v>134.3</v>
      </c>
      <c r="H5132" s="39" t="n">
        <v>45910</v>
      </c>
      <c r="I5132" s="7" t="s">
        <v>14651</v>
      </c>
      <c r="J5132" s="8" t="str">
        <f aca="false">IF(I5132="Open",DATE(2025,12,31)-F5132,"-")</f>
        <v>-</v>
      </c>
    </row>
    <row r="5133" customFormat="false" ht="15" hidden="false" customHeight="false" outlineLevel="0" collapsed="false">
      <c r="B5133" s="7" t="s">
        <v>19778</v>
      </c>
      <c r="C5133" s="7" t="s">
        <v>5630</v>
      </c>
      <c r="D5133" s="7" t="s">
        <v>371</v>
      </c>
      <c r="E5133" s="7" t="s">
        <v>154</v>
      </c>
      <c r="F5133" s="39" t="n">
        <v>45903</v>
      </c>
      <c r="G5133" s="41" t="n">
        <v>118.98</v>
      </c>
      <c r="H5133" s="39" t="n">
        <v>46000</v>
      </c>
      <c r="I5133" s="7" t="s">
        <v>14651</v>
      </c>
      <c r="J5133" s="8" t="str">
        <f aca="false">IF(I5133="Open",DATE(2025,12,31)-F5133,"-")</f>
        <v>-</v>
      </c>
    </row>
    <row r="5134" customFormat="false" ht="15" hidden="false" customHeight="false" outlineLevel="0" collapsed="false">
      <c r="B5134" s="7" t="s">
        <v>19779</v>
      </c>
      <c r="C5134" s="7" t="s">
        <v>5631</v>
      </c>
      <c r="D5134" s="7" t="s">
        <v>379</v>
      </c>
      <c r="E5134" s="7" t="s">
        <v>156</v>
      </c>
      <c r="F5134" s="39" t="n">
        <v>45903</v>
      </c>
      <c r="G5134" s="41" t="n">
        <v>156.74</v>
      </c>
      <c r="H5134" s="39" t="n">
        <v>45914</v>
      </c>
      <c r="I5134" s="7" t="s">
        <v>14651</v>
      </c>
      <c r="J5134" s="8" t="str">
        <f aca="false">IF(I5134="Open",DATE(2025,12,31)-F5134,"-")</f>
        <v>-</v>
      </c>
    </row>
    <row r="5135" customFormat="false" ht="15" hidden="false" customHeight="false" outlineLevel="0" collapsed="false">
      <c r="B5135" s="7" t="s">
        <v>19780</v>
      </c>
      <c r="C5135" s="7" t="s">
        <v>5632</v>
      </c>
      <c r="D5135" s="7" t="s">
        <v>385</v>
      </c>
      <c r="E5135" s="7" t="s">
        <v>156</v>
      </c>
      <c r="F5135" s="39" t="n">
        <v>45903</v>
      </c>
      <c r="G5135" s="41" t="n">
        <v>134.64</v>
      </c>
      <c r="H5135" s="39" t="n">
        <v>45914</v>
      </c>
      <c r="I5135" s="7" t="s">
        <v>14651</v>
      </c>
      <c r="J5135" s="8" t="str">
        <f aca="false">IF(I5135="Open",DATE(2025,12,31)-F5135,"-")</f>
        <v>-</v>
      </c>
    </row>
    <row r="5136" customFormat="false" ht="15" hidden="false" customHeight="false" outlineLevel="0" collapsed="false">
      <c r="B5136" s="7" t="s">
        <v>19781</v>
      </c>
      <c r="C5136" s="7" t="s">
        <v>5633</v>
      </c>
      <c r="D5136" s="7" t="s">
        <v>387</v>
      </c>
      <c r="E5136" s="7" t="s">
        <v>154</v>
      </c>
      <c r="F5136" s="39" t="n">
        <v>45903</v>
      </c>
      <c r="G5136" s="41" t="n">
        <v>115.81</v>
      </c>
      <c r="H5136" s="39" t="n">
        <v>45938</v>
      </c>
      <c r="I5136" s="7" t="s">
        <v>14651</v>
      </c>
      <c r="J5136" s="8" t="str">
        <f aca="false">IF(I5136="Open",DATE(2025,12,31)-F5136,"-")</f>
        <v>-</v>
      </c>
    </row>
    <row r="5137" customFormat="false" ht="15" hidden="false" customHeight="false" outlineLevel="0" collapsed="false">
      <c r="B5137" s="7" t="s">
        <v>19782</v>
      </c>
      <c r="C5137" s="7" t="s">
        <v>5634</v>
      </c>
      <c r="D5137" s="7" t="s">
        <v>389</v>
      </c>
      <c r="E5137" s="7" t="s">
        <v>154</v>
      </c>
      <c r="F5137" s="39" t="n">
        <v>45903</v>
      </c>
      <c r="G5137" s="41" t="n">
        <v>108.38</v>
      </c>
      <c r="H5137" s="39" t="n">
        <v>45993</v>
      </c>
      <c r="I5137" s="7" t="s">
        <v>14651</v>
      </c>
      <c r="J5137" s="8" t="str">
        <f aca="false">IF(I5137="Open",DATE(2025,12,31)-F5137,"-")</f>
        <v>-</v>
      </c>
    </row>
    <row r="5138" customFormat="false" ht="15" hidden="false" customHeight="false" outlineLevel="0" collapsed="false">
      <c r="B5138" s="7" t="s">
        <v>19783</v>
      </c>
      <c r="C5138" s="7" t="s">
        <v>5635</v>
      </c>
      <c r="D5138" s="7" t="s">
        <v>391</v>
      </c>
      <c r="E5138" s="7" t="s">
        <v>156</v>
      </c>
      <c r="F5138" s="39" t="n">
        <v>45903</v>
      </c>
      <c r="G5138" s="41" t="n">
        <v>143.82</v>
      </c>
      <c r="H5138" s="39" t="n">
        <v>45920</v>
      </c>
      <c r="I5138" s="7" t="s">
        <v>14651</v>
      </c>
      <c r="J5138" s="8" t="str">
        <f aca="false">IF(I5138="Open",DATE(2025,12,31)-F5138,"-")</f>
        <v>-</v>
      </c>
    </row>
    <row r="5139" customFormat="false" ht="15" hidden="false" customHeight="false" outlineLevel="0" collapsed="false">
      <c r="B5139" s="7" t="s">
        <v>19784</v>
      </c>
      <c r="C5139" s="7" t="s">
        <v>5636</v>
      </c>
      <c r="D5139" s="7" t="s">
        <v>393</v>
      </c>
      <c r="E5139" s="7" t="s">
        <v>157</v>
      </c>
      <c r="F5139" s="39" t="n">
        <v>45903</v>
      </c>
      <c r="G5139" s="41" t="n">
        <v>161.7</v>
      </c>
      <c r="H5139" s="39" t="n">
        <v>45936</v>
      </c>
      <c r="I5139" s="7" t="s">
        <v>14651</v>
      </c>
      <c r="J5139" s="8" t="str">
        <f aca="false">IF(I5139="Open",DATE(2025,12,31)-F5139,"-")</f>
        <v>-</v>
      </c>
    </row>
    <row r="5140" customFormat="false" ht="15" hidden="false" customHeight="false" outlineLevel="0" collapsed="false">
      <c r="B5140" s="7" t="s">
        <v>19785</v>
      </c>
      <c r="C5140" s="7" t="s">
        <v>5637</v>
      </c>
      <c r="D5140" s="7" t="s">
        <v>395</v>
      </c>
      <c r="E5140" s="7" t="s">
        <v>156</v>
      </c>
      <c r="F5140" s="39" t="n">
        <v>45903</v>
      </c>
      <c r="G5140" s="41" t="n">
        <v>143.48</v>
      </c>
      <c r="H5140" s="39" t="n">
        <v>45912</v>
      </c>
      <c r="I5140" s="7" t="s">
        <v>14651</v>
      </c>
      <c r="J5140" s="8" t="str">
        <f aca="false">IF(I5140="Open",DATE(2025,12,31)-F5140,"-")</f>
        <v>-</v>
      </c>
    </row>
    <row r="5141" customFormat="false" ht="15" hidden="false" customHeight="false" outlineLevel="0" collapsed="false">
      <c r="B5141" s="7" t="s">
        <v>19786</v>
      </c>
      <c r="C5141" s="7" t="s">
        <v>5638</v>
      </c>
      <c r="D5141" s="7" t="s">
        <v>399</v>
      </c>
      <c r="E5141" s="7" t="s">
        <v>154</v>
      </c>
      <c r="F5141" s="39" t="n">
        <v>45903</v>
      </c>
      <c r="G5141" s="41" t="n">
        <v>81.35</v>
      </c>
      <c r="H5141" s="6" t="s">
        <v>182</v>
      </c>
      <c r="I5141" s="7" t="s">
        <v>19787</v>
      </c>
      <c r="J5141" s="8" t="n">
        <f aca="false">IF(I5141="Open",DATE(2025,12,31)-F5141,"-")</f>
        <v>119</v>
      </c>
    </row>
    <row r="5142" customFormat="false" ht="15" hidden="false" customHeight="false" outlineLevel="0" collapsed="false">
      <c r="B5142" s="7" t="s">
        <v>19788</v>
      </c>
      <c r="C5142" s="7" t="s">
        <v>5639</v>
      </c>
      <c r="D5142" s="7" t="s">
        <v>401</v>
      </c>
      <c r="E5142" s="7" t="s">
        <v>156</v>
      </c>
      <c r="F5142" s="39" t="n">
        <v>45903</v>
      </c>
      <c r="G5142" s="41" t="n">
        <v>123.76</v>
      </c>
      <c r="H5142" s="39" t="n">
        <v>45906</v>
      </c>
      <c r="I5142" s="7" t="s">
        <v>14651</v>
      </c>
      <c r="J5142" s="8" t="str">
        <f aca="false">IF(I5142="Open",DATE(2025,12,31)-F5142,"-")</f>
        <v>-</v>
      </c>
    </row>
    <row r="5143" customFormat="false" ht="15" hidden="false" customHeight="false" outlineLevel="0" collapsed="false">
      <c r="B5143" s="7" t="s">
        <v>19789</v>
      </c>
      <c r="C5143" s="7" t="s">
        <v>5640</v>
      </c>
      <c r="D5143" s="7" t="s">
        <v>403</v>
      </c>
      <c r="E5143" s="7" t="s">
        <v>156</v>
      </c>
      <c r="F5143" s="39" t="n">
        <v>45903</v>
      </c>
      <c r="G5143" s="41" t="n">
        <v>126.82</v>
      </c>
      <c r="H5143" s="39" t="n">
        <v>45907</v>
      </c>
      <c r="I5143" s="7" t="s">
        <v>14651</v>
      </c>
      <c r="J5143" s="8" t="str">
        <f aca="false">IF(I5143="Open",DATE(2025,12,31)-F5143,"-")</f>
        <v>-</v>
      </c>
    </row>
    <row r="5144" customFormat="false" ht="15" hidden="false" customHeight="false" outlineLevel="0" collapsed="false">
      <c r="B5144" s="7" t="s">
        <v>19790</v>
      </c>
      <c r="C5144" s="7" t="s">
        <v>5641</v>
      </c>
      <c r="D5144" s="7" t="s">
        <v>409</v>
      </c>
      <c r="E5144" s="7" t="s">
        <v>154</v>
      </c>
      <c r="F5144" s="39" t="n">
        <v>45903</v>
      </c>
      <c r="G5144" s="41" t="n">
        <v>84.8</v>
      </c>
      <c r="H5144" s="39" t="n">
        <v>45962</v>
      </c>
      <c r="I5144" s="7" t="s">
        <v>14651</v>
      </c>
      <c r="J5144" s="8" t="str">
        <f aca="false">IF(I5144="Open",DATE(2025,12,31)-F5144,"-")</f>
        <v>-</v>
      </c>
    </row>
    <row r="5145" customFormat="false" ht="15" hidden="false" customHeight="false" outlineLevel="0" collapsed="false">
      <c r="B5145" s="7" t="s">
        <v>19791</v>
      </c>
      <c r="C5145" s="7" t="s">
        <v>5642</v>
      </c>
      <c r="D5145" s="7" t="s">
        <v>411</v>
      </c>
      <c r="E5145" s="7" t="s">
        <v>154</v>
      </c>
      <c r="F5145" s="39" t="n">
        <v>45903</v>
      </c>
      <c r="G5145" s="41" t="n">
        <v>121.9</v>
      </c>
      <c r="H5145" s="39" t="n">
        <v>45979</v>
      </c>
      <c r="I5145" s="7" t="s">
        <v>14651</v>
      </c>
      <c r="J5145" s="8" t="str">
        <f aca="false">IF(I5145="Open",DATE(2025,12,31)-F5145,"-")</f>
        <v>-</v>
      </c>
    </row>
    <row r="5146" customFormat="false" ht="15" hidden="false" customHeight="false" outlineLevel="0" collapsed="false">
      <c r="B5146" s="7" t="s">
        <v>19792</v>
      </c>
      <c r="C5146" s="7" t="s">
        <v>5643</v>
      </c>
      <c r="D5146" s="7" t="s">
        <v>288</v>
      </c>
      <c r="E5146" s="7" t="s">
        <v>156</v>
      </c>
      <c r="F5146" s="39" t="n">
        <v>45904</v>
      </c>
      <c r="G5146" s="41" t="n">
        <v>135.32</v>
      </c>
      <c r="H5146" s="39" t="n">
        <v>45910</v>
      </c>
      <c r="I5146" s="7" t="s">
        <v>14651</v>
      </c>
      <c r="J5146" s="8" t="str">
        <f aca="false">IF(I5146="Open",DATE(2025,12,31)-F5146,"-")</f>
        <v>-</v>
      </c>
    </row>
    <row r="5147" customFormat="false" ht="15" hidden="false" customHeight="false" outlineLevel="0" collapsed="false">
      <c r="B5147" s="7" t="s">
        <v>19793</v>
      </c>
      <c r="C5147" s="7" t="s">
        <v>5644</v>
      </c>
      <c r="D5147" s="7" t="s">
        <v>297</v>
      </c>
      <c r="E5147" s="7" t="s">
        <v>156</v>
      </c>
      <c r="F5147" s="39" t="n">
        <v>45904</v>
      </c>
      <c r="G5147" s="41" t="n">
        <v>99.62</v>
      </c>
      <c r="H5147" s="39" t="n">
        <v>45922</v>
      </c>
      <c r="I5147" s="7" t="s">
        <v>14651</v>
      </c>
      <c r="J5147" s="8" t="str">
        <f aca="false">IF(I5147="Open",DATE(2025,12,31)-F5147,"-")</f>
        <v>-</v>
      </c>
    </row>
    <row r="5148" customFormat="false" ht="15" hidden="false" customHeight="false" outlineLevel="0" collapsed="false">
      <c r="B5148" s="7" t="s">
        <v>19794</v>
      </c>
      <c r="C5148" s="7" t="s">
        <v>5645</v>
      </c>
      <c r="D5148" s="7" t="s">
        <v>311</v>
      </c>
      <c r="E5148" s="7" t="s">
        <v>154</v>
      </c>
      <c r="F5148" s="39" t="n">
        <v>45904</v>
      </c>
      <c r="G5148" s="41" t="n">
        <v>82.94</v>
      </c>
      <c r="H5148" s="39" t="n">
        <v>45987</v>
      </c>
      <c r="I5148" s="7" t="s">
        <v>14651</v>
      </c>
      <c r="J5148" s="8" t="str">
        <f aca="false">IF(I5148="Open",DATE(2025,12,31)-F5148,"-")</f>
        <v>-</v>
      </c>
    </row>
    <row r="5149" customFormat="false" ht="15" hidden="false" customHeight="false" outlineLevel="0" collapsed="false">
      <c r="B5149" s="7" t="s">
        <v>19795</v>
      </c>
      <c r="C5149" s="7" t="s">
        <v>5646</v>
      </c>
      <c r="D5149" s="7" t="s">
        <v>313</v>
      </c>
      <c r="E5149" s="7" t="s">
        <v>156</v>
      </c>
      <c r="F5149" s="39" t="n">
        <v>45904</v>
      </c>
      <c r="G5149" s="41" t="n">
        <v>148.92</v>
      </c>
      <c r="H5149" s="39" t="n">
        <v>45912</v>
      </c>
      <c r="I5149" s="7" t="s">
        <v>14651</v>
      </c>
      <c r="J5149" s="8" t="str">
        <f aca="false">IF(I5149="Open",DATE(2025,12,31)-F5149,"-")</f>
        <v>-</v>
      </c>
    </row>
    <row r="5150" customFormat="false" ht="15" hidden="false" customHeight="false" outlineLevel="0" collapsed="false">
      <c r="B5150" s="7" t="s">
        <v>19796</v>
      </c>
      <c r="C5150" s="7" t="s">
        <v>5647</v>
      </c>
      <c r="D5150" s="7" t="s">
        <v>317</v>
      </c>
      <c r="E5150" s="7" t="s">
        <v>156</v>
      </c>
      <c r="F5150" s="39" t="n">
        <v>45904</v>
      </c>
      <c r="G5150" s="41" t="n">
        <v>102.68</v>
      </c>
      <c r="H5150" s="39" t="n">
        <v>45917</v>
      </c>
      <c r="I5150" s="7" t="s">
        <v>14651</v>
      </c>
      <c r="J5150" s="8" t="str">
        <f aca="false">IF(I5150="Open",DATE(2025,12,31)-F5150,"-")</f>
        <v>-</v>
      </c>
    </row>
    <row r="5151" customFormat="false" ht="15" hidden="false" customHeight="false" outlineLevel="0" collapsed="false">
      <c r="B5151" s="7" t="s">
        <v>19797</v>
      </c>
      <c r="C5151" s="7" t="s">
        <v>5648</v>
      </c>
      <c r="D5151" s="7" t="s">
        <v>321</v>
      </c>
      <c r="E5151" s="7" t="s">
        <v>154</v>
      </c>
      <c r="F5151" s="39" t="n">
        <v>45904</v>
      </c>
      <c r="G5151" s="41" t="n">
        <v>95.4</v>
      </c>
      <c r="H5151" s="39" t="n">
        <v>45951</v>
      </c>
      <c r="I5151" s="7" t="s">
        <v>14651</v>
      </c>
      <c r="J5151" s="8" t="str">
        <f aca="false">IF(I5151="Open",DATE(2025,12,31)-F5151,"-")</f>
        <v>-</v>
      </c>
    </row>
    <row r="5152" customFormat="false" ht="15" hidden="false" customHeight="false" outlineLevel="0" collapsed="false">
      <c r="B5152" s="7" t="s">
        <v>19798</v>
      </c>
      <c r="C5152" s="7" t="s">
        <v>5649</v>
      </c>
      <c r="D5152" s="7" t="s">
        <v>325</v>
      </c>
      <c r="E5152" s="7" t="s">
        <v>154</v>
      </c>
      <c r="F5152" s="39" t="n">
        <v>45904</v>
      </c>
      <c r="G5152" s="41" t="n">
        <v>73.41</v>
      </c>
      <c r="H5152" s="39" t="n">
        <v>45988</v>
      </c>
      <c r="I5152" s="7" t="s">
        <v>14651</v>
      </c>
      <c r="J5152" s="8" t="str">
        <f aca="false">IF(I5152="Open",DATE(2025,12,31)-F5152,"-")</f>
        <v>-</v>
      </c>
    </row>
    <row r="5153" customFormat="false" ht="15" hidden="false" customHeight="false" outlineLevel="0" collapsed="false">
      <c r="B5153" s="7" t="s">
        <v>19799</v>
      </c>
      <c r="C5153" s="7" t="s">
        <v>5650</v>
      </c>
      <c r="D5153" s="7" t="s">
        <v>329</v>
      </c>
      <c r="E5153" s="7" t="s">
        <v>156</v>
      </c>
      <c r="F5153" s="39" t="n">
        <v>45904</v>
      </c>
      <c r="G5153" s="41" t="n">
        <v>136</v>
      </c>
      <c r="H5153" s="39" t="n">
        <v>45916</v>
      </c>
      <c r="I5153" s="7" t="s">
        <v>14651</v>
      </c>
      <c r="J5153" s="8" t="str">
        <f aca="false">IF(I5153="Open",DATE(2025,12,31)-F5153,"-")</f>
        <v>-</v>
      </c>
    </row>
    <row r="5154" customFormat="false" ht="15" hidden="false" customHeight="false" outlineLevel="0" collapsed="false">
      <c r="B5154" s="7" t="s">
        <v>19800</v>
      </c>
      <c r="C5154" s="7" t="s">
        <v>5651</v>
      </c>
      <c r="D5154" s="7" t="s">
        <v>331</v>
      </c>
      <c r="E5154" s="7" t="s">
        <v>156</v>
      </c>
      <c r="F5154" s="39" t="n">
        <v>45904</v>
      </c>
      <c r="G5154" s="41" t="n">
        <v>124.44</v>
      </c>
      <c r="H5154" s="39" t="n">
        <v>45922</v>
      </c>
      <c r="I5154" s="7" t="s">
        <v>14651</v>
      </c>
      <c r="J5154" s="8" t="str">
        <f aca="false">IF(I5154="Open",DATE(2025,12,31)-F5154,"-")</f>
        <v>-</v>
      </c>
    </row>
    <row r="5155" customFormat="false" ht="15" hidden="false" customHeight="false" outlineLevel="0" collapsed="false">
      <c r="B5155" s="7" t="s">
        <v>19801</v>
      </c>
      <c r="C5155" s="7" t="s">
        <v>5652</v>
      </c>
      <c r="D5155" s="7" t="s">
        <v>341</v>
      </c>
      <c r="E5155" s="7" t="s">
        <v>156</v>
      </c>
      <c r="F5155" s="39" t="n">
        <v>45904</v>
      </c>
      <c r="G5155" s="41" t="n">
        <v>99.28</v>
      </c>
      <c r="H5155" s="39" t="n">
        <v>45923</v>
      </c>
      <c r="I5155" s="7" t="s">
        <v>14651</v>
      </c>
      <c r="J5155" s="8" t="str">
        <f aca="false">IF(I5155="Open",DATE(2025,12,31)-F5155,"-")</f>
        <v>-</v>
      </c>
    </row>
    <row r="5156" customFormat="false" ht="15" hidden="false" customHeight="false" outlineLevel="0" collapsed="false">
      <c r="B5156" s="7" t="s">
        <v>19802</v>
      </c>
      <c r="C5156" s="7" t="s">
        <v>5653</v>
      </c>
      <c r="D5156" s="7" t="s">
        <v>343</v>
      </c>
      <c r="E5156" s="7" t="s">
        <v>154</v>
      </c>
      <c r="F5156" s="39" t="n">
        <v>45904</v>
      </c>
      <c r="G5156" s="41" t="n">
        <v>115.01</v>
      </c>
      <c r="H5156" s="39" t="n">
        <v>45962</v>
      </c>
      <c r="I5156" s="7" t="s">
        <v>14651</v>
      </c>
      <c r="J5156" s="8" t="str">
        <f aca="false">IF(I5156="Open",DATE(2025,12,31)-F5156,"-")</f>
        <v>-</v>
      </c>
    </row>
    <row r="5157" customFormat="false" ht="15" hidden="false" customHeight="false" outlineLevel="0" collapsed="false">
      <c r="B5157" s="7" t="s">
        <v>19803</v>
      </c>
      <c r="C5157" s="7" t="s">
        <v>5654</v>
      </c>
      <c r="D5157" s="7" t="s">
        <v>351</v>
      </c>
      <c r="E5157" s="7" t="s">
        <v>154</v>
      </c>
      <c r="F5157" s="39" t="n">
        <v>45904</v>
      </c>
      <c r="G5157" s="41" t="n">
        <v>78.18</v>
      </c>
      <c r="H5157" s="39" t="n">
        <v>45951</v>
      </c>
      <c r="I5157" s="7" t="s">
        <v>14651</v>
      </c>
      <c r="J5157" s="8" t="str">
        <f aca="false">IF(I5157="Open",DATE(2025,12,31)-F5157,"-")</f>
        <v>-</v>
      </c>
    </row>
    <row r="5158" customFormat="false" ht="15" hidden="false" customHeight="false" outlineLevel="0" collapsed="false">
      <c r="B5158" s="7" t="s">
        <v>19804</v>
      </c>
      <c r="C5158" s="7" t="s">
        <v>5655</v>
      </c>
      <c r="D5158" s="7" t="s">
        <v>359</v>
      </c>
      <c r="E5158" s="7" t="s">
        <v>156</v>
      </c>
      <c r="F5158" s="39" t="n">
        <v>45904</v>
      </c>
      <c r="G5158" s="41" t="n">
        <v>144.5</v>
      </c>
      <c r="H5158" s="39" t="n">
        <v>45912</v>
      </c>
      <c r="I5158" s="7" t="s">
        <v>14651</v>
      </c>
      <c r="J5158" s="8" t="str">
        <f aca="false">IF(I5158="Open",DATE(2025,12,31)-F5158,"-")</f>
        <v>-</v>
      </c>
    </row>
    <row r="5159" customFormat="false" ht="15" hidden="false" customHeight="false" outlineLevel="0" collapsed="false">
      <c r="B5159" s="7" t="s">
        <v>19805</v>
      </c>
      <c r="C5159" s="7" t="s">
        <v>5656</v>
      </c>
      <c r="D5159" s="7" t="s">
        <v>363</v>
      </c>
      <c r="E5159" s="7" t="s">
        <v>156</v>
      </c>
      <c r="F5159" s="39" t="n">
        <v>45904</v>
      </c>
      <c r="G5159" s="41" t="n">
        <v>123.76</v>
      </c>
      <c r="H5159" s="39" t="n">
        <v>45913</v>
      </c>
      <c r="I5159" s="7" t="s">
        <v>14651</v>
      </c>
      <c r="J5159" s="8" t="str">
        <f aca="false">IF(I5159="Open",DATE(2025,12,31)-F5159,"-")</f>
        <v>-</v>
      </c>
    </row>
    <row r="5160" customFormat="false" ht="15" hidden="false" customHeight="false" outlineLevel="0" collapsed="false">
      <c r="B5160" s="7" t="s">
        <v>19806</v>
      </c>
      <c r="C5160" s="7" t="s">
        <v>5657</v>
      </c>
      <c r="D5160" s="7" t="s">
        <v>365</v>
      </c>
      <c r="E5160" s="7" t="s">
        <v>154</v>
      </c>
      <c r="F5160" s="39" t="n">
        <v>45904</v>
      </c>
      <c r="G5160" s="41" t="n">
        <v>111.56</v>
      </c>
      <c r="H5160" s="39" t="n">
        <v>45994</v>
      </c>
      <c r="I5160" s="7" t="s">
        <v>14651</v>
      </c>
      <c r="J5160" s="8" t="str">
        <f aca="false">IF(I5160="Open",DATE(2025,12,31)-F5160,"-")</f>
        <v>-</v>
      </c>
    </row>
    <row r="5161" customFormat="false" ht="15" hidden="false" customHeight="false" outlineLevel="0" collapsed="false">
      <c r="B5161" s="7" t="s">
        <v>19807</v>
      </c>
      <c r="C5161" s="7" t="s">
        <v>5658</v>
      </c>
      <c r="D5161" s="7" t="s">
        <v>375</v>
      </c>
      <c r="E5161" s="7" t="s">
        <v>156</v>
      </c>
      <c r="F5161" s="39" t="n">
        <v>45904</v>
      </c>
      <c r="G5161" s="41" t="n">
        <v>98.94</v>
      </c>
      <c r="H5161" s="39" t="n">
        <v>45911</v>
      </c>
      <c r="I5161" s="7" t="s">
        <v>14651</v>
      </c>
      <c r="J5161" s="8" t="str">
        <f aca="false">IF(I5161="Open",DATE(2025,12,31)-F5161,"-")</f>
        <v>-</v>
      </c>
    </row>
    <row r="5162" customFormat="false" ht="15" hidden="false" customHeight="false" outlineLevel="0" collapsed="false">
      <c r="B5162" s="7" t="s">
        <v>19808</v>
      </c>
      <c r="C5162" s="7" t="s">
        <v>5659</v>
      </c>
      <c r="D5162" s="7" t="s">
        <v>377</v>
      </c>
      <c r="E5162" s="7" t="s">
        <v>154</v>
      </c>
      <c r="F5162" s="39" t="n">
        <v>45904</v>
      </c>
      <c r="G5162" s="41" t="n">
        <v>111.3</v>
      </c>
      <c r="H5162" s="39" t="n">
        <v>45985</v>
      </c>
      <c r="I5162" s="7" t="s">
        <v>14651</v>
      </c>
      <c r="J5162" s="8" t="str">
        <f aca="false">IF(I5162="Open",DATE(2025,12,31)-F5162,"-")</f>
        <v>-</v>
      </c>
    </row>
    <row r="5163" customFormat="false" ht="15" hidden="false" customHeight="false" outlineLevel="0" collapsed="false">
      <c r="B5163" s="7" t="s">
        <v>19809</v>
      </c>
      <c r="C5163" s="7" t="s">
        <v>5660</v>
      </c>
      <c r="D5163" s="7" t="s">
        <v>387</v>
      </c>
      <c r="E5163" s="7" t="s">
        <v>154</v>
      </c>
      <c r="F5163" s="39" t="n">
        <v>45904</v>
      </c>
      <c r="G5163" s="41" t="n">
        <v>116.07</v>
      </c>
      <c r="H5163" s="39" t="n">
        <v>46020</v>
      </c>
      <c r="I5163" s="7" t="s">
        <v>14651</v>
      </c>
      <c r="J5163" s="8" t="str">
        <f aca="false">IF(I5163="Open",DATE(2025,12,31)-F5163,"-")</f>
        <v>-</v>
      </c>
    </row>
    <row r="5164" customFormat="false" ht="15" hidden="false" customHeight="false" outlineLevel="0" collapsed="false">
      <c r="B5164" s="7" t="s">
        <v>19810</v>
      </c>
      <c r="C5164" s="7" t="s">
        <v>5661</v>
      </c>
      <c r="D5164" s="7" t="s">
        <v>389</v>
      </c>
      <c r="E5164" s="7" t="s">
        <v>154</v>
      </c>
      <c r="F5164" s="39" t="n">
        <v>45904</v>
      </c>
      <c r="G5164" s="41" t="n">
        <v>100.97</v>
      </c>
      <c r="H5164" s="39" t="n">
        <v>45954</v>
      </c>
      <c r="I5164" s="7" t="s">
        <v>14651</v>
      </c>
      <c r="J5164" s="8" t="str">
        <f aca="false">IF(I5164="Open",DATE(2025,12,31)-F5164,"-")</f>
        <v>-</v>
      </c>
    </row>
    <row r="5165" customFormat="false" ht="15" hidden="false" customHeight="false" outlineLevel="0" collapsed="false">
      <c r="B5165" s="7" t="s">
        <v>19811</v>
      </c>
      <c r="C5165" s="7" t="s">
        <v>5662</v>
      </c>
      <c r="D5165" s="7" t="s">
        <v>391</v>
      </c>
      <c r="E5165" s="7" t="s">
        <v>156</v>
      </c>
      <c r="F5165" s="39" t="n">
        <v>45904</v>
      </c>
      <c r="G5165" s="41" t="n">
        <v>125.8</v>
      </c>
      <c r="H5165" s="39" t="n">
        <v>45921</v>
      </c>
      <c r="I5165" s="7" t="s">
        <v>14651</v>
      </c>
      <c r="J5165" s="8" t="str">
        <f aca="false">IF(I5165="Open",DATE(2025,12,31)-F5165,"-")</f>
        <v>-</v>
      </c>
    </row>
    <row r="5166" customFormat="false" ht="15" hidden="false" customHeight="false" outlineLevel="0" collapsed="false">
      <c r="B5166" s="7" t="s">
        <v>19812</v>
      </c>
      <c r="C5166" s="7" t="s">
        <v>5663</v>
      </c>
      <c r="D5166" s="7" t="s">
        <v>395</v>
      </c>
      <c r="E5166" s="7" t="s">
        <v>156</v>
      </c>
      <c r="F5166" s="39" t="n">
        <v>45904</v>
      </c>
      <c r="G5166" s="41" t="n">
        <v>136</v>
      </c>
      <c r="H5166" s="39" t="n">
        <v>45920</v>
      </c>
      <c r="I5166" s="7" t="s">
        <v>14651</v>
      </c>
      <c r="J5166" s="8" t="str">
        <f aca="false">IF(I5166="Open",DATE(2025,12,31)-F5166,"-")</f>
        <v>-</v>
      </c>
    </row>
    <row r="5167" customFormat="false" ht="15" hidden="false" customHeight="false" outlineLevel="0" collapsed="false">
      <c r="B5167" s="7" t="s">
        <v>19813</v>
      </c>
      <c r="C5167" s="7" t="s">
        <v>5664</v>
      </c>
      <c r="D5167" s="7" t="s">
        <v>401</v>
      </c>
      <c r="E5167" s="7" t="s">
        <v>156</v>
      </c>
      <c r="F5167" s="39" t="n">
        <v>45904</v>
      </c>
      <c r="G5167" s="41" t="n">
        <v>142.8</v>
      </c>
      <c r="H5167" s="39" t="n">
        <v>45913</v>
      </c>
      <c r="I5167" s="7" t="s">
        <v>14651</v>
      </c>
      <c r="J5167" s="8" t="str">
        <f aca="false">IF(I5167="Open",DATE(2025,12,31)-F5167,"-")</f>
        <v>-</v>
      </c>
    </row>
    <row r="5168" customFormat="false" ht="15" hidden="false" customHeight="false" outlineLevel="0" collapsed="false">
      <c r="B5168" s="7" t="s">
        <v>19814</v>
      </c>
      <c r="C5168" s="7" t="s">
        <v>5665</v>
      </c>
      <c r="D5168" s="7" t="s">
        <v>288</v>
      </c>
      <c r="E5168" s="7" t="s">
        <v>156</v>
      </c>
      <c r="F5168" s="39" t="n">
        <v>45905</v>
      </c>
      <c r="G5168" s="41" t="n">
        <v>140.76</v>
      </c>
      <c r="H5168" s="39" t="n">
        <v>45920</v>
      </c>
      <c r="I5168" s="7" t="s">
        <v>14651</v>
      </c>
      <c r="J5168" s="8" t="str">
        <f aca="false">IF(I5168="Open",DATE(2025,12,31)-F5168,"-")</f>
        <v>-</v>
      </c>
    </row>
    <row r="5169" customFormat="false" ht="15" hidden="false" customHeight="false" outlineLevel="0" collapsed="false">
      <c r="B5169" s="7" t="s">
        <v>19815</v>
      </c>
      <c r="C5169" s="7" t="s">
        <v>5666</v>
      </c>
      <c r="D5169" s="7" t="s">
        <v>291</v>
      </c>
      <c r="E5169" s="7" t="s">
        <v>154</v>
      </c>
      <c r="F5169" s="39" t="n">
        <v>45905</v>
      </c>
      <c r="G5169" s="41" t="n">
        <v>118.45</v>
      </c>
      <c r="H5169" s="39" t="n">
        <v>45972</v>
      </c>
      <c r="I5169" s="7" t="s">
        <v>14651</v>
      </c>
      <c r="J5169" s="8" t="str">
        <f aca="false">IF(I5169="Open",DATE(2025,12,31)-F5169,"-")</f>
        <v>-</v>
      </c>
    </row>
    <row r="5170" customFormat="false" ht="15" hidden="false" customHeight="false" outlineLevel="0" collapsed="false">
      <c r="B5170" s="7" t="s">
        <v>19816</v>
      </c>
      <c r="C5170" s="7" t="s">
        <v>5667</v>
      </c>
      <c r="D5170" s="7" t="s">
        <v>293</v>
      </c>
      <c r="E5170" s="7" t="s">
        <v>157</v>
      </c>
      <c r="F5170" s="39" t="n">
        <v>45905</v>
      </c>
      <c r="G5170" s="41" t="n">
        <v>167.64</v>
      </c>
      <c r="H5170" s="39" t="n">
        <v>45987</v>
      </c>
      <c r="I5170" s="7" t="s">
        <v>14651</v>
      </c>
      <c r="J5170" s="8" t="str">
        <f aca="false">IF(I5170="Open",DATE(2025,12,31)-F5170,"-")</f>
        <v>-</v>
      </c>
    </row>
    <row r="5171" customFormat="false" ht="15" hidden="false" customHeight="false" outlineLevel="0" collapsed="false">
      <c r="B5171" s="7" t="s">
        <v>19817</v>
      </c>
      <c r="C5171" s="7" t="s">
        <v>5668</v>
      </c>
      <c r="D5171" s="7" t="s">
        <v>295</v>
      </c>
      <c r="E5171" s="7" t="s">
        <v>154</v>
      </c>
      <c r="F5171" s="39" t="n">
        <v>45905</v>
      </c>
      <c r="G5171" s="41" t="n">
        <v>98.31</v>
      </c>
      <c r="H5171" s="39" t="n">
        <v>45952</v>
      </c>
      <c r="I5171" s="7" t="s">
        <v>14651</v>
      </c>
      <c r="J5171" s="8" t="str">
        <f aca="false">IF(I5171="Open",DATE(2025,12,31)-F5171,"-")</f>
        <v>-</v>
      </c>
    </row>
    <row r="5172" customFormat="false" ht="15" hidden="false" customHeight="false" outlineLevel="0" collapsed="false">
      <c r="B5172" s="7" t="s">
        <v>19818</v>
      </c>
      <c r="C5172" s="7" t="s">
        <v>5669</v>
      </c>
      <c r="D5172" s="7" t="s">
        <v>301</v>
      </c>
      <c r="E5172" s="7" t="s">
        <v>157</v>
      </c>
      <c r="F5172" s="39" t="n">
        <v>45905</v>
      </c>
      <c r="G5172" s="41" t="n">
        <v>181.5</v>
      </c>
      <c r="H5172" s="39" t="n">
        <v>45926</v>
      </c>
      <c r="I5172" s="7" t="s">
        <v>14651</v>
      </c>
      <c r="J5172" s="8" t="str">
        <f aca="false">IF(I5172="Open",DATE(2025,12,31)-F5172,"-")</f>
        <v>-</v>
      </c>
    </row>
    <row r="5173" customFormat="false" ht="15" hidden="false" customHeight="false" outlineLevel="0" collapsed="false">
      <c r="B5173" s="7" t="s">
        <v>19819</v>
      </c>
      <c r="C5173" s="7" t="s">
        <v>5670</v>
      </c>
      <c r="D5173" s="7" t="s">
        <v>305</v>
      </c>
      <c r="E5173" s="7" t="s">
        <v>154</v>
      </c>
      <c r="F5173" s="39" t="n">
        <v>45905</v>
      </c>
      <c r="G5173" s="41" t="n">
        <v>111.56</v>
      </c>
      <c r="H5173" s="39" t="n">
        <v>45992</v>
      </c>
      <c r="I5173" s="7" t="s">
        <v>14651</v>
      </c>
      <c r="J5173" s="8" t="str">
        <f aca="false">IF(I5173="Open",DATE(2025,12,31)-F5173,"-")</f>
        <v>-</v>
      </c>
    </row>
    <row r="5174" customFormat="false" ht="15" hidden="false" customHeight="false" outlineLevel="0" collapsed="false">
      <c r="B5174" s="7" t="s">
        <v>19820</v>
      </c>
      <c r="C5174" s="7" t="s">
        <v>5671</v>
      </c>
      <c r="D5174" s="7" t="s">
        <v>307</v>
      </c>
      <c r="E5174" s="7" t="s">
        <v>157</v>
      </c>
      <c r="F5174" s="39" t="n">
        <v>45905</v>
      </c>
      <c r="G5174" s="41" t="n">
        <v>179.85</v>
      </c>
      <c r="H5174" s="39" t="n">
        <v>45960</v>
      </c>
      <c r="I5174" s="7" t="s">
        <v>14651</v>
      </c>
      <c r="J5174" s="8" t="str">
        <f aca="false">IF(I5174="Open",DATE(2025,12,31)-F5174,"-")</f>
        <v>-</v>
      </c>
    </row>
    <row r="5175" customFormat="false" ht="15" hidden="false" customHeight="false" outlineLevel="0" collapsed="false">
      <c r="B5175" s="7" t="s">
        <v>19821</v>
      </c>
      <c r="C5175" s="7" t="s">
        <v>5672</v>
      </c>
      <c r="D5175" s="7" t="s">
        <v>309</v>
      </c>
      <c r="E5175" s="7" t="s">
        <v>159</v>
      </c>
      <c r="F5175" s="39" t="n">
        <v>45905</v>
      </c>
      <c r="G5175" s="41" t="n">
        <v>133.65</v>
      </c>
      <c r="H5175" s="39" t="n">
        <v>45939</v>
      </c>
      <c r="I5175" s="7" t="s">
        <v>14651</v>
      </c>
      <c r="J5175" s="8" t="str">
        <f aca="false">IF(I5175="Open",DATE(2025,12,31)-F5175,"-")</f>
        <v>-</v>
      </c>
    </row>
    <row r="5176" customFormat="false" ht="15" hidden="false" customHeight="false" outlineLevel="0" collapsed="false">
      <c r="B5176" s="7" t="s">
        <v>19822</v>
      </c>
      <c r="C5176" s="7" t="s">
        <v>5673</v>
      </c>
      <c r="D5176" s="7" t="s">
        <v>313</v>
      </c>
      <c r="E5176" s="7" t="s">
        <v>156</v>
      </c>
      <c r="F5176" s="39" t="n">
        <v>45905</v>
      </c>
      <c r="G5176" s="41" t="n">
        <v>128.18</v>
      </c>
      <c r="H5176" s="39" t="n">
        <v>45914</v>
      </c>
      <c r="I5176" s="7" t="s">
        <v>14651</v>
      </c>
      <c r="J5176" s="8" t="str">
        <f aca="false">IF(I5176="Open",DATE(2025,12,31)-F5176,"-")</f>
        <v>-</v>
      </c>
    </row>
    <row r="5177" customFormat="false" ht="15" hidden="false" customHeight="false" outlineLevel="0" collapsed="false">
      <c r="B5177" s="7" t="s">
        <v>19823</v>
      </c>
      <c r="C5177" s="7" t="s">
        <v>5674</v>
      </c>
      <c r="D5177" s="7" t="s">
        <v>315</v>
      </c>
      <c r="E5177" s="7" t="s">
        <v>159</v>
      </c>
      <c r="F5177" s="39" t="n">
        <v>45905</v>
      </c>
      <c r="G5177" s="41" t="n">
        <v>140.4</v>
      </c>
      <c r="H5177" s="39" t="n">
        <v>45920</v>
      </c>
      <c r="I5177" s="7" t="s">
        <v>14651</v>
      </c>
      <c r="J5177" s="8" t="str">
        <f aca="false">IF(I5177="Open",DATE(2025,12,31)-F5177,"-")</f>
        <v>-</v>
      </c>
    </row>
    <row r="5178" customFormat="false" ht="15" hidden="false" customHeight="false" outlineLevel="0" collapsed="false">
      <c r="B5178" s="7" t="s">
        <v>19824</v>
      </c>
      <c r="C5178" s="7" t="s">
        <v>5675</v>
      </c>
      <c r="D5178" s="7" t="s">
        <v>319</v>
      </c>
      <c r="E5178" s="7" t="s">
        <v>157</v>
      </c>
      <c r="F5178" s="39" t="n">
        <v>45905</v>
      </c>
      <c r="G5178" s="41" t="n">
        <v>155.1</v>
      </c>
      <c r="H5178" s="39" t="n">
        <v>45933</v>
      </c>
      <c r="I5178" s="7" t="s">
        <v>14651</v>
      </c>
      <c r="J5178" s="8" t="str">
        <f aca="false">IF(I5178="Open",DATE(2025,12,31)-F5178,"-")</f>
        <v>-</v>
      </c>
    </row>
    <row r="5179" customFormat="false" ht="15" hidden="false" customHeight="false" outlineLevel="0" collapsed="false">
      <c r="B5179" s="7" t="s">
        <v>19825</v>
      </c>
      <c r="C5179" s="7" t="s">
        <v>5676</v>
      </c>
      <c r="D5179" s="7" t="s">
        <v>321</v>
      </c>
      <c r="E5179" s="7" t="s">
        <v>154</v>
      </c>
      <c r="F5179" s="39" t="n">
        <v>45905</v>
      </c>
      <c r="G5179" s="41" t="n">
        <v>109.98</v>
      </c>
      <c r="H5179" s="39" t="n">
        <v>45946</v>
      </c>
      <c r="I5179" s="7" t="s">
        <v>14651</v>
      </c>
      <c r="J5179" s="8" t="str">
        <f aca="false">IF(I5179="Open",DATE(2025,12,31)-F5179,"-")</f>
        <v>-</v>
      </c>
    </row>
    <row r="5180" customFormat="false" ht="15" hidden="false" customHeight="false" outlineLevel="0" collapsed="false">
      <c r="B5180" s="7" t="s">
        <v>19826</v>
      </c>
      <c r="C5180" s="7" t="s">
        <v>5677</v>
      </c>
      <c r="D5180" s="7" t="s">
        <v>327</v>
      </c>
      <c r="E5180" s="7" t="s">
        <v>157</v>
      </c>
      <c r="F5180" s="39" t="n">
        <v>45905</v>
      </c>
      <c r="G5180" s="41" t="n">
        <v>150.15</v>
      </c>
      <c r="H5180" s="39" t="n">
        <v>45939</v>
      </c>
      <c r="I5180" s="7" t="s">
        <v>14651</v>
      </c>
      <c r="J5180" s="8" t="str">
        <f aca="false">IF(I5180="Open",DATE(2025,12,31)-F5180,"-")</f>
        <v>-</v>
      </c>
    </row>
    <row r="5181" customFormat="false" ht="15" hidden="false" customHeight="false" outlineLevel="0" collapsed="false">
      <c r="B5181" s="7" t="s">
        <v>19827</v>
      </c>
      <c r="C5181" s="7" t="s">
        <v>5678</v>
      </c>
      <c r="D5181" s="7" t="s">
        <v>329</v>
      </c>
      <c r="E5181" s="7" t="s">
        <v>156</v>
      </c>
      <c r="F5181" s="39" t="n">
        <v>45905</v>
      </c>
      <c r="G5181" s="41" t="n">
        <v>132.94</v>
      </c>
      <c r="H5181" s="39" t="n">
        <v>45918</v>
      </c>
      <c r="I5181" s="7" t="s">
        <v>14651</v>
      </c>
      <c r="J5181" s="8" t="str">
        <f aca="false">IF(I5181="Open",DATE(2025,12,31)-F5181,"-")</f>
        <v>-</v>
      </c>
    </row>
    <row r="5182" customFormat="false" ht="15" hidden="false" customHeight="false" outlineLevel="0" collapsed="false">
      <c r="B5182" s="7" t="s">
        <v>19828</v>
      </c>
      <c r="C5182" s="7" t="s">
        <v>5679</v>
      </c>
      <c r="D5182" s="7" t="s">
        <v>335</v>
      </c>
      <c r="E5182" s="7" t="s">
        <v>154</v>
      </c>
      <c r="F5182" s="39" t="n">
        <v>45905</v>
      </c>
      <c r="G5182" s="41" t="n">
        <v>99.22</v>
      </c>
      <c r="H5182" s="39" t="n">
        <v>45948</v>
      </c>
      <c r="I5182" s="7" t="s">
        <v>14651</v>
      </c>
      <c r="J5182" s="8" t="str">
        <f aca="false">IF(I5182="Open",DATE(2025,12,31)-F5182,"-")</f>
        <v>-</v>
      </c>
    </row>
    <row r="5183" customFormat="false" ht="15" hidden="false" customHeight="false" outlineLevel="0" collapsed="false">
      <c r="B5183" s="7" t="s">
        <v>19829</v>
      </c>
      <c r="C5183" s="7" t="s">
        <v>5680</v>
      </c>
      <c r="D5183" s="7" t="s">
        <v>339</v>
      </c>
      <c r="E5183" s="7" t="s">
        <v>154</v>
      </c>
      <c r="F5183" s="39" t="n">
        <v>45905</v>
      </c>
      <c r="G5183" s="41" t="n">
        <v>90.37</v>
      </c>
      <c r="H5183" s="39" t="n">
        <v>45982</v>
      </c>
      <c r="I5183" s="7" t="s">
        <v>14651</v>
      </c>
      <c r="J5183" s="8" t="str">
        <f aca="false">IF(I5183="Open",DATE(2025,12,31)-F5183,"-")</f>
        <v>-</v>
      </c>
    </row>
    <row r="5184" customFormat="false" ht="15" hidden="false" customHeight="false" outlineLevel="0" collapsed="false">
      <c r="B5184" s="7" t="s">
        <v>19830</v>
      </c>
      <c r="C5184" s="7" t="s">
        <v>5681</v>
      </c>
      <c r="D5184" s="7" t="s">
        <v>347</v>
      </c>
      <c r="E5184" s="7" t="s">
        <v>154</v>
      </c>
      <c r="F5184" s="39" t="n">
        <v>45905</v>
      </c>
      <c r="G5184" s="41" t="n">
        <v>125.19</v>
      </c>
      <c r="H5184" s="39" t="n">
        <v>45947</v>
      </c>
      <c r="I5184" s="7" t="s">
        <v>14651</v>
      </c>
      <c r="J5184" s="8" t="str">
        <f aca="false">IF(I5184="Open",DATE(2025,12,31)-F5184,"-")</f>
        <v>-</v>
      </c>
    </row>
    <row r="5185" customFormat="false" ht="15" hidden="false" customHeight="false" outlineLevel="0" collapsed="false">
      <c r="B5185" s="7" t="s">
        <v>19831</v>
      </c>
      <c r="C5185" s="7" t="s">
        <v>5682</v>
      </c>
      <c r="D5185" s="7" t="s">
        <v>353</v>
      </c>
      <c r="E5185" s="7" t="s">
        <v>154</v>
      </c>
      <c r="F5185" s="39" t="n">
        <v>45905</v>
      </c>
      <c r="G5185" s="41" t="n">
        <v>90.63</v>
      </c>
      <c r="H5185" s="39" t="n">
        <v>45946</v>
      </c>
      <c r="I5185" s="7" t="s">
        <v>14651</v>
      </c>
      <c r="J5185" s="8" t="str">
        <f aca="false">IF(I5185="Open",DATE(2025,12,31)-F5185,"-")</f>
        <v>-</v>
      </c>
    </row>
    <row r="5186" customFormat="false" ht="15" hidden="false" customHeight="false" outlineLevel="0" collapsed="false">
      <c r="B5186" s="7" t="s">
        <v>19832</v>
      </c>
      <c r="C5186" s="7" t="s">
        <v>5683</v>
      </c>
      <c r="D5186" s="7" t="s">
        <v>357</v>
      </c>
      <c r="E5186" s="7" t="s">
        <v>154</v>
      </c>
      <c r="F5186" s="39" t="n">
        <v>45905</v>
      </c>
      <c r="G5186" s="41" t="n">
        <v>90.74</v>
      </c>
      <c r="H5186" s="39" t="n">
        <v>45921</v>
      </c>
      <c r="I5186" s="7" t="s">
        <v>14651</v>
      </c>
      <c r="J5186" s="8" t="str">
        <f aca="false">IF(I5186="Open",DATE(2025,12,31)-F5186,"-")</f>
        <v>-</v>
      </c>
    </row>
    <row r="5187" customFormat="false" ht="15" hidden="false" customHeight="false" outlineLevel="0" collapsed="false">
      <c r="B5187" s="7" t="s">
        <v>19833</v>
      </c>
      <c r="C5187" s="7" t="s">
        <v>5684</v>
      </c>
      <c r="D5187" s="7" t="s">
        <v>359</v>
      </c>
      <c r="E5187" s="7" t="s">
        <v>156</v>
      </c>
      <c r="F5187" s="39" t="n">
        <v>45905</v>
      </c>
      <c r="G5187" s="41" t="n">
        <v>146.2</v>
      </c>
      <c r="H5187" s="39" t="n">
        <v>45913</v>
      </c>
      <c r="I5187" s="7" t="s">
        <v>14651</v>
      </c>
      <c r="J5187" s="8" t="str">
        <f aca="false">IF(I5187="Open",DATE(2025,12,31)-F5187,"-")</f>
        <v>-</v>
      </c>
    </row>
    <row r="5188" customFormat="false" ht="15" hidden="false" customHeight="false" outlineLevel="0" collapsed="false">
      <c r="B5188" s="7" t="s">
        <v>19834</v>
      </c>
      <c r="C5188" s="7" t="s">
        <v>5685</v>
      </c>
      <c r="D5188" s="7" t="s">
        <v>361</v>
      </c>
      <c r="E5188" s="7" t="s">
        <v>157</v>
      </c>
      <c r="F5188" s="39" t="n">
        <v>45905</v>
      </c>
      <c r="G5188" s="41" t="n">
        <v>178.2</v>
      </c>
      <c r="H5188" s="39" t="n">
        <v>46002</v>
      </c>
      <c r="I5188" s="7" t="s">
        <v>14651</v>
      </c>
      <c r="J5188" s="8" t="str">
        <f aca="false">IF(I5188="Open",DATE(2025,12,31)-F5188,"-")</f>
        <v>-</v>
      </c>
    </row>
    <row r="5189" customFormat="false" ht="15" hidden="false" customHeight="false" outlineLevel="0" collapsed="false">
      <c r="B5189" s="7" t="s">
        <v>19835</v>
      </c>
      <c r="C5189" s="7" t="s">
        <v>5686</v>
      </c>
      <c r="D5189" s="7" t="s">
        <v>365</v>
      </c>
      <c r="E5189" s="7" t="s">
        <v>154</v>
      </c>
      <c r="F5189" s="39" t="n">
        <v>45905</v>
      </c>
      <c r="G5189" s="41" t="n">
        <v>99.11</v>
      </c>
      <c r="H5189" s="39" t="n">
        <v>45940</v>
      </c>
      <c r="I5189" s="7" t="s">
        <v>14651</v>
      </c>
      <c r="J5189" s="8" t="str">
        <f aca="false">IF(I5189="Open",DATE(2025,12,31)-F5189,"-")</f>
        <v>-</v>
      </c>
    </row>
    <row r="5190" customFormat="false" ht="15" hidden="false" customHeight="false" outlineLevel="0" collapsed="false">
      <c r="B5190" s="7" t="s">
        <v>19836</v>
      </c>
      <c r="C5190" s="7" t="s">
        <v>5687</v>
      </c>
      <c r="D5190" s="7" t="s">
        <v>369</v>
      </c>
      <c r="E5190" s="7" t="s">
        <v>159</v>
      </c>
      <c r="F5190" s="39" t="n">
        <v>45905</v>
      </c>
      <c r="G5190" s="41" t="n">
        <v>147.15</v>
      </c>
      <c r="H5190" s="39" t="n">
        <v>45943</v>
      </c>
      <c r="I5190" s="7" t="s">
        <v>14651</v>
      </c>
      <c r="J5190" s="8" t="str">
        <f aca="false">IF(I5190="Open",DATE(2025,12,31)-F5190,"-")</f>
        <v>-</v>
      </c>
    </row>
    <row r="5191" customFormat="false" ht="15" hidden="false" customHeight="false" outlineLevel="0" collapsed="false">
      <c r="B5191" s="7" t="s">
        <v>19837</v>
      </c>
      <c r="C5191" s="7" t="s">
        <v>5688</v>
      </c>
      <c r="D5191" s="7" t="s">
        <v>371</v>
      </c>
      <c r="E5191" s="7" t="s">
        <v>154</v>
      </c>
      <c r="F5191" s="39" t="n">
        <v>45905</v>
      </c>
      <c r="G5191" s="41" t="n">
        <v>131.7</v>
      </c>
      <c r="H5191" s="39" t="n">
        <v>45953</v>
      </c>
      <c r="I5191" s="7" t="s">
        <v>14651</v>
      </c>
      <c r="J5191" s="8" t="str">
        <f aca="false">IF(I5191="Open",DATE(2025,12,31)-F5191,"-")</f>
        <v>-</v>
      </c>
    </row>
    <row r="5192" customFormat="false" ht="15" hidden="false" customHeight="false" outlineLevel="0" collapsed="false">
      <c r="B5192" s="7" t="s">
        <v>19838</v>
      </c>
      <c r="C5192" s="7" t="s">
        <v>5689</v>
      </c>
      <c r="D5192" s="7" t="s">
        <v>379</v>
      </c>
      <c r="E5192" s="7" t="s">
        <v>156</v>
      </c>
      <c r="F5192" s="39" t="n">
        <v>45905</v>
      </c>
      <c r="G5192" s="41" t="n">
        <v>154.36</v>
      </c>
      <c r="H5192" s="39" t="n">
        <v>45919</v>
      </c>
      <c r="I5192" s="7" t="s">
        <v>14651</v>
      </c>
      <c r="J5192" s="8" t="str">
        <f aca="false">IF(I5192="Open",DATE(2025,12,31)-F5192,"-")</f>
        <v>-</v>
      </c>
    </row>
    <row r="5193" customFormat="false" ht="15" hidden="false" customHeight="false" outlineLevel="0" collapsed="false">
      <c r="B5193" s="7" t="s">
        <v>19839</v>
      </c>
      <c r="C5193" s="7" t="s">
        <v>5690</v>
      </c>
      <c r="D5193" s="7" t="s">
        <v>381</v>
      </c>
      <c r="E5193" s="7" t="s">
        <v>157</v>
      </c>
      <c r="F5193" s="39" t="n">
        <v>45905</v>
      </c>
      <c r="G5193" s="41" t="n">
        <v>155.1</v>
      </c>
      <c r="H5193" s="39" t="n">
        <v>45936</v>
      </c>
      <c r="I5193" s="7" t="s">
        <v>14651</v>
      </c>
      <c r="J5193" s="8" t="str">
        <f aca="false">IF(I5193="Open",DATE(2025,12,31)-F5193,"-")</f>
        <v>-</v>
      </c>
    </row>
    <row r="5194" customFormat="false" ht="15" hidden="false" customHeight="false" outlineLevel="0" collapsed="false">
      <c r="B5194" s="7" t="s">
        <v>19840</v>
      </c>
      <c r="C5194" s="7" t="s">
        <v>5691</v>
      </c>
      <c r="D5194" s="7" t="s">
        <v>383</v>
      </c>
      <c r="E5194" s="7" t="s">
        <v>157</v>
      </c>
      <c r="F5194" s="39" t="n">
        <v>45905</v>
      </c>
      <c r="G5194" s="41" t="n">
        <v>148.5</v>
      </c>
      <c r="H5194" s="39" t="n">
        <v>45948</v>
      </c>
      <c r="I5194" s="7" t="s">
        <v>14651</v>
      </c>
      <c r="J5194" s="8" t="str">
        <f aca="false">IF(I5194="Open",DATE(2025,12,31)-F5194,"-")</f>
        <v>-</v>
      </c>
    </row>
    <row r="5195" customFormat="false" ht="15" hidden="false" customHeight="false" outlineLevel="0" collapsed="false">
      <c r="B5195" s="7" t="s">
        <v>19841</v>
      </c>
      <c r="C5195" s="7" t="s">
        <v>5692</v>
      </c>
      <c r="D5195" s="7" t="s">
        <v>385</v>
      </c>
      <c r="E5195" s="7" t="s">
        <v>156</v>
      </c>
      <c r="F5195" s="39" t="n">
        <v>45905</v>
      </c>
      <c r="G5195" s="41" t="n">
        <v>144.16</v>
      </c>
      <c r="H5195" s="39" t="n">
        <v>45917</v>
      </c>
      <c r="I5195" s="7" t="s">
        <v>14651</v>
      </c>
      <c r="J5195" s="8" t="str">
        <f aca="false">IF(I5195="Open",DATE(2025,12,31)-F5195,"-")</f>
        <v>-</v>
      </c>
    </row>
    <row r="5196" customFormat="false" ht="15" hidden="false" customHeight="false" outlineLevel="0" collapsed="false">
      <c r="B5196" s="7" t="s">
        <v>19842</v>
      </c>
      <c r="C5196" s="7" t="s">
        <v>5693</v>
      </c>
      <c r="D5196" s="7" t="s">
        <v>387</v>
      </c>
      <c r="E5196" s="7" t="s">
        <v>154</v>
      </c>
      <c r="F5196" s="39" t="n">
        <v>45905</v>
      </c>
      <c r="G5196" s="41" t="n">
        <v>108.12</v>
      </c>
      <c r="H5196" s="39" t="n">
        <v>46011</v>
      </c>
      <c r="I5196" s="7" t="s">
        <v>14651</v>
      </c>
      <c r="J5196" s="8" t="str">
        <f aca="false">IF(I5196="Open",DATE(2025,12,31)-F5196,"-")</f>
        <v>-</v>
      </c>
    </row>
    <row r="5197" customFormat="false" ht="15" hidden="false" customHeight="false" outlineLevel="0" collapsed="false">
      <c r="B5197" s="7" t="s">
        <v>19843</v>
      </c>
      <c r="C5197" s="7" t="s">
        <v>5694</v>
      </c>
      <c r="D5197" s="7" t="s">
        <v>389</v>
      </c>
      <c r="E5197" s="7" t="s">
        <v>154</v>
      </c>
      <c r="F5197" s="39" t="n">
        <v>45905</v>
      </c>
      <c r="G5197" s="41" t="n">
        <v>106</v>
      </c>
      <c r="H5197" s="39" t="n">
        <v>45952</v>
      </c>
      <c r="I5197" s="7" t="s">
        <v>14651</v>
      </c>
      <c r="J5197" s="8" t="str">
        <f aca="false">IF(I5197="Open",DATE(2025,12,31)-F5197,"-")</f>
        <v>-</v>
      </c>
    </row>
    <row r="5198" customFormat="false" ht="15" hidden="false" customHeight="false" outlineLevel="0" collapsed="false">
      <c r="B5198" s="7" t="s">
        <v>19844</v>
      </c>
      <c r="C5198" s="7" t="s">
        <v>5695</v>
      </c>
      <c r="D5198" s="7" t="s">
        <v>391</v>
      </c>
      <c r="E5198" s="7" t="s">
        <v>156</v>
      </c>
      <c r="F5198" s="39" t="n">
        <v>45905</v>
      </c>
      <c r="G5198" s="41" t="n">
        <v>142.46</v>
      </c>
      <c r="H5198" s="39" t="n">
        <v>45919</v>
      </c>
      <c r="I5198" s="7" t="s">
        <v>14651</v>
      </c>
      <c r="J5198" s="8" t="str">
        <f aca="false">IF(I5198="Open",DATE(2025,12,31)-F5198,"-")</f>
        <v>-</v>
      </c>
    </row>
    <row r="5199" customFormat="false" ht="15" hidden="false" customHeight="false" outlineLevel="0" collapsed="false">
      <c r="B5199" s="7" t="s">
        <v>19845</v>
      </c>
      <c r="C5199" s="7" t="s">
        <v>5696</v>
      </c>
      <c r="D5199" s="7" t="s">
        <v>395</v>
      </c>
      <c r="E5199" s="7" t="s">
        <v>156</v>
      </c>
      <c r="F5199" s="39" t="n">
        <v>45905</v>
      </c>
      <c r="G5199" s="41" t="n">
        <v>133.96</v>
      </c>
      <c r="H5199" s="39" t="n">
        <v>45918</v>
      </c>
      <c r="I5199" s="7" t="s">
        <v>14651</v>
      </c>
      <c r="J5199" s="8" t="str">
        <f aca="false">IF(I5199="Open",DATE(2025,12,31)-F5199,"-")</f>
        <v>-</v>
      </c>
    </row>
    <row r="5200" customFormat="false" ht="15" hidden="false" customHeight="false" outlineLevel="0" collapsed="false">
      <c r="B5200" s="7" t="s">
        <v>19846</v>
      </c>
      <c r="C5200" s="7" t="s">
        <v>5697</v>
      </c>
      <c r="D5200" s="7" t="s">
        <v>397</v>
      </c>
      <c r="E5200" s="7" t="s">
        <v>159</v>
      </c>
      <c r="F5200" s="39" t="n">
        <v>45905</v>
      </c>
      <c r="G5200" s="41" t="n">
        <v>125.55</v>
      </c>
      <c r="H5200" s="39" t="n">
        <v>45934</v>
      </c>
      <c r="I5200" s="7" t="s">
        <v>14651</v>
      </c>
      <c r="J5200" s="8" t="str">
        <f aca="false">IF(I5200="Open",DATE(2025,12,31)-F5200,"-")</f>
        <v>-</v>
      </c>
    </row>
    <row r="5201" customFormat="false" ht="15" hidden="false" customHeight="false" outlineLevel="0" collapsed="false">
      <c r="B5201" s="7" t="s">
        <v>19847</v>
      </c>
      <c r="C5201" s="7" t="s">
        <v>5698</v>
      </c>
      <c r="D5201" s="7" t="s">
        <v>399</v>
      </c>
      <c r="E5201" s="7" t="s">
        <v>154</v>
      </c>
      <c r="F5201" s="39" t="n">
        <v>45905</v>
      </c>
      <c r="G5201" s="41" t="n">
        <v>80.56</v>
      </c>
      <c r="H5201" s="39" t="n">
        <v>45984</v>
      </c>
      <c r="I5201" s="7" t="s">
        <v>14651</v>
      </c>
      <c r="J5201" s="8" t="str">
        <f aca="false">IF(I5201="Open",DATE(2025,12,31)-F5201,"-")</f>
        <v>-</v>
      </c>
    </row>
    <row r="5202" customFormat="false" ht="15" hidden="false" customHeight="false" outlineLevel="0" collapsed="false">
      <c r="B5202" s="7" t="s">
        <v>19848</v>
      </c>
      <c r="C5202" s="7" t="s">
        <v>5699</v>
      </c>
      <c r="D5202" s="7" t="s">
        <v>401</v>
      </c>
      <c r="E5202" s="7" t="s">
        <v>156</v>
      </c>
      <c r="F5202" s="39" t="n">
        <v>45905</v>
      </c>
      <c r="G5202" s="41" t="n">
        <v>141.44</v>
      </c>
      <c r="H5202" s="39" t="n">
        <v>45914</v>
      </c>
      <c r="I5202" s="7" t="s">
        <v>14651</v>
      </c>
      <c r="J5202" s="8" t="str">
        <f aca="false">IF(I5202="Open",DATE(2025,12,31)-F5202,"-")</f>
        <v>-</v>
      </c>
    </row>
    <row r="5203" customFormat="false" ht="15" hidden="false" customHeight="false" outlineLevel="0" collapsed="false">
      <c r="B5203" s="7" t="s">
        <v>19849</v>
      </c>
      <c r="C5203" s="7" t="s">
        <v>5700</v>
      </c>
      <c r="D5203" s="7" t="s">
        <v>403</v>
      </c>
      <c r="E5203" s="7" t="s">
        <v>156</v>
      </c>
      <c r="F5203" s="39" t="n">
        <v>45905</v>
      </c>
      <c r="G5203" s="41" t="n">
        <v>145.18</v>
      </c>
      <c r="H5203" s="39" t="n">
        <v>45922</v>
      </c>
      <c r="I5203" s="7" t="s">
        <v>14651</v>
      </c>
      <c r="J5203" s="8" t="str">
        <f aca="false">IF(I5203="Open",DATE(2025,12,31)-F5203,"-")</f>
        <v>-</v>
      </c>
    </row>
    <row r="5204" customFormat="false" ht="15" hidden="false" customHeight="false" outlineLevel="0" collapsed="false">
      <c r="B5204" s="7" t="s">
        <v>19850</v>
      </c>
      <c r="C5204" s="7" t="s">
        <v>5701</v>
      </c>
      <c r="D5204" s="7" t="s">
        <v>407</v>
      </c>
      <c r="E5204" s="7" t="s">
        <v>159</v>
      </c>
      <c r="F5204" s="39" t="n">
        <v>45905</v>
      </c>
      <c r="G5204" s="41" t="n">
        <v>128.25</v>
      </c>
      <c r="H5204" s="39" t="n">
        <v>45941</v>
      </c>
      <c r="I5204" s="7" t="s">
        <v>14651</v>
      </c>
      <c r="J5204" s="8" t="str">
        <f aca="false">IF(I5204="Open",DATE(2025,12,31)-F5204,"-")</f>
        <v>-</v>
      </c>
    </row>
    <row r="5205" customFormat="false" ht="15" hidden="false" customHeight="false" outlineLevel="0" collapsed="false">
      <c r="B5205" s="7" t="s">
        <v>19851</v>
      </c>
      <c r="C5205" s="7" t="s">
        <v>5702</v>
      </c>
      <c r="D5205" s="7" t="s">
        <v>409</v>
      </c>
      <c r="E5205" s="7" t="s">
        <v>154</v>
      </c>
      <c r="F5205" s="39" t="n">
        <v>45905</v>
      </c>
      <c r="G5205" s="41" t="n">
        <v>96.99</v>
      </c>
      <c r="H5205" s="39" t="n">
        <v>46009</v>
      </c>
      <c r="I5205" s="7" t="s">
        <v>14651</v>
      </c>
      <c r="J5205" s="8" t="str">
        <f aca="false">IF(I5205="Open",DATE(2025,12,31)-F5205,"-")</f>
        <v>-</v>
      </c>
    </row>
    <row r="5206" customFormat="false" ht="15" hidden="false" customHeight="false" outlineLevel="0" collapsed="false">
      <c r="B5206" s="7" t="s">
        <v>19852</v>
      </c>
      <c r="C5206" s="7" t="s">
        <v>5703</v>
      </c>
      <c r="D5206" s="7" t="s">
        <v>411</v>
      </c>
      <c r="E5206" s="7" t="s">
        <v>154</v>
      </c>
      <c r="F5206" s="39" t="n">
        <v>45905</v>
      </c>
      <c r="G5206" s="41" t="n">
        <v>124.92</v>
      </c>
      <c r="H5206" s="39" t="n">
        <v>45952</v>
      </c>
      <c r="I5206" s="7" t="s">
        <v>14651</v>
      </c>
      <c r="J5206" s="8" t="str">
        <f aca="false">IF(I5206="Open",DATE(2025,12,31)-F5206,"-")</f>
        <v>-</v>
      </c>
    </row>
    <row r="5207" customFormat="false" ht="15" hidden="false" customHeight="false" outlineLevel="0" collapsed="false">
      <c r="B5207" s="7" t="s">
        <v>19853</v>
      </c>
      <c r="C5207" s="7" t="s">
        <v>5704</v>
      </c>
      <c r="D5207" s="7" t="s">
        <v>288</v>
      </c>
      <c r="E5207" s="7" t="s">
        <v>156</v>
      </c>
      <c r="F5207" s="39" t="n">
        <v>45906</v>
      </c>
      <c r="G5207" s="41" t="n">
        <v>127.84</v>
      </c>
      <c r="H5207" s="39" t="n">
        <v>45918</v>
      </c>
      <c r="I5207" s="7" t="s">
        <v>14651</v>
      </c>
      <c r="J5207" s="8" t="str">
        <f aca="false">IF(I5207="Open",DATE(2025,12,31)-F5207,"-")</f>
        <v>-</v>
      </c>
    </row>
    <row r="5208" customFormat="false" ht="15" hidden="false" customHeight="false" outlineLevel="0" collapsed="false">
      <c r="B5208" s="7" t="s">
        <v>19854</v>
      </c>
      <c r="C5208" s="7" t="s">
        <v>5705</v>
      </c>
      <c r="D5208" s="7" t="s">
        <v>321</v>
      </c>
      <c r="E5208" s="7" t="s">
        <v>154</v>
      </c>
      <c r="F5208" s="39" t="n">
        <v>45906</v>
      </c>
      <c r="G5208" s="41" t="n">
        <v>98.84</v>
      </c>
      <c r="H5208" s="39" t="n">
        <v>45997</v>
      </c>
      <c r="I5208" s="7" t="s">
        <v>14651</v>
      </c>
      <c r="J5208" s="8" t="str">
        <f aca="false">IF(I5208="Open",DATE(2025,12,31)-F5208,"-")</f>
        <v>-</v>
      </c>
    </row>
    <row r="5209" customFormat="false" ht="15" hidden="false" customHeight="false" outlineLevel="0" collapsed="false">
      <c r="B5209" s="7" t="s">
        <v>19855</v>
      </c>
      <c r="C5209" s="7" t="s">
        <v>5706</v>
      </c>
      <c r="D5209" s="7" t="s">
        <v>359</v>
      </c>
      <c r="E5209" s="7" t="s">
        <v>156</v>
      </c>
      <c r="F5209" s="39" t="n">
        <v>45906</v>
      </c>
      <c r="G5209" s="41" t="n">
        <v>125.12</v>
      </c>
      <c r="H5209" s="39" t="n">
        <v>45917</v>
      </c>
      <c r="I5209" s="7" t="s">
        <v>14651</v>
      </c>
      <c r="J5209" s="8" t="str">
        <f aca="false">IF(I5209="Open",DATE(2025,12,31)-F5209,"-")</f>
        <v>-</v>
      </c>
    </row>
    <row r="5210" customFormat="false" ht="15" hidden="false" customHeight="false" outlineLevel="0" collapsed="false">
      <c r="B5210" s="7" t="s">
        <v>19856</v>
      </c>
      <c r="C5210" s="7" t="s">
        <v>5707</v>
      </c>
      <c r="D5210" s="7" t="s">
        <v>387</v>
      </c>
      <c r="E5210" s="7" t="s">
        <v>154</v>
      </c>
      <c r="F5210" s="39" t="n">
        <v>45906</v>
      </c>
      <c r="G5210" s="41" t="n">
        <v>103.62</v>
      </c>
      <c r="H5210" s="39" t="n">
        <v>45959</v>
      </c>
      <c r="I5210" s="7" t="s">
        <v>14651</v>
      </c>
      <c r="J5210" s="8" t="str">
        <f aca="false">IF(I5210="Open",DATE(2025,12,31)-F5210,"-")</f>
        <v>-</v>
      </c>
    </row>
    <row r="5211" customFormat="false" ht="15" hidden="false" customHeight="false" outlineLevel="0" collapsed="false">
      <c r="B5211" s="7" t="s">
        <v>19857</v>
      </c>
      <c r="C5211" s="7" t="s">
        <v>5708</v>
      </c>
      <c r="D5211" s="7" t="s">
        <v>391</v>
      </c>
      <c r="E5211" s="7" t="s">
        <v>156</v>
      </c>
      <c r="F5211" s="39" t="n">
        <v>45906</v>
      </c>
      <c r="G5211" s="41" t="n">
        <v>137.7</v>
      </c>
      <c r="H5211" s="39" t="n">
        <v>45917</v>
      </c>
      <c r="I5211" s="7" t="s">
        <v>14651</v>
      </c>
      <c r="J5211" s="8" t="str">
        <f aca="false">IF(I5211="Open",DATE(2025,12,31)-F5211,"-")</f>
        <v>-</v>
      </c>
    </row>
    <row r="5212" customFormat="false" ht="15" hidden="false" customHeight="false" outlineLevel="0" collapsed="false">
      <c r="B5212" s="7" t="s">
        <v>19858</v>
      </c>
      <c r="C5212" s="7" t="s">
        <v>5709</v>
      </c>
      <c r="D5212" s="7" t="s">
        <v>395</v>
      </c>
      <c r="E5212" s="7" t="s">
        <v>156</v>
      </c>
      <c r="F5212" s="39" t="n">
        <v>45906</v>
      </c>
      <c r="G5212" s="41" t="n">
        <v>136.34</v>
      </c>
      <c r="H5212" s="39" t="n">
        <v>45913</v>
      </c>
      <c r="I5212" s="7" t="s">
        <v>14651</v>
      </c>
      <c r="J5212" s="8" t="str">
        <f aca="false">IF(I5212="Open",DATE(2025,12,31)-F5212,"-")</f>
        <v>-</v>
      </c>
    </row>
    <row r="5213" customFormat="false" ht="15" hidden="false" customHeight="false" outlineLevel="0" collapsed="false">
      <c r="B5213" s="7" t="s">
        <v>19859</v>
      </c>
      <c r="C5213" s="7" t="s">
        <v>5710</v>
      </c>
      <c r="D5213" s="7" t="s">
        <v>401</v>
      </c>
      <c r="E5213" s="7" t="s">
        <v>156</v>
      </c>
      <c r="F5213" s="39" t="n">
        <v>45906</v>
      </c>
      <c r="G5213" s="41" t="n">
        <v>147.56</v>
      </c>
      <c r="H5213" s="39" t="n">
        <v>45919</v>
      </c>
      <c r="I5213" s="7" t="s">
        <v>14651</v>
      </c>
      <c r="J5213" s="8" t="str">
        <f aca="false">IF(I5213="Open",DATE(2025,12,31)-F5213,"-")</f>
        <v>-</v>
      </c>
    </row>
    <row r="5214" customFormat="false" ht="15" hidden="false" customHeight="false" outlineLevel="0" collapsed="false">
      <c r="B5214" s="7" t="s">
        <v>19860</v>
      </c>
      <c r="C5214" s="7" t="s">
        <v>5711</v>
      </c>
      <c r="D5214" s="7" t="s">
        <v>359</v>
      </c>
      <c r="E5214" s="7" t="s">
        <v>156</v>
      </c>
      <c r="F5214" s="39" t="n">
        <v>45907</v>
      </c>
      <c r="G5214" s="41" t="n">
        <v>141.1</v>
      </c>
      <c r="H5214" s="39" t="n">
        <v>45921</v>
      </c>
      <c r="I5214" s="7" t="s">
        <v>14651</v>
      </c>
      <c r="J5214" s="8" t="str">
        <f aca="false">IF(I5214="Open",DATE(2025,12,31)-F5214,"-")</f>
        <v>-</v>
      </c>
    </row>
    <row r="5215" customFormat="false" ht="15" hidden="false" customHeight="false" outlineLevel="0" collapsed="false">
      <c r="B5215" s="7" t="s">
        <v>19861</v>
      </c>
      <c r="C5215" s="7" t="s">
        <v>5712</v>
      </c>
      <c r="D5215" s="7" t="s">
        <v>387</v>
      </c>
      <c r="E5215" s="7" t="s">
        <v>154</v>
      </c>
      <c r="F5215" s="39" t="n">
        <v>45907</v>
      </c>
      <c r="G5215" s="41" t="n">
        <v>96.46</v>
      </c>
      <c r="H5215" s="39" t="n">
        <v>45967</v>
      </c>
      <c r="I5215" s="7" t="s">
        <v>14651</v>
      </c>
      <c r="J5215" s="8" t="str">
        <f aca="false">IF(I5215="Open",DATE(2025,12,31)-F5215,"-")</f>
        <v>-</v>
      </c>
    </row>
    <row r="5216" customFormat="false" ht="15" hidden="false" customHeight="false" outlineLevel="0" collapsed="false">
      <c r="B5216" s="7" t="s">
        <v>19862</v>
      </c>
      <c r="C5216" s="7" t="s">
        <v>5713</v>
      </c>
      <c r="D5216" s="7" t="s">
        <v>391</v>
      </c>
      <c r="E5216" s="7" t="s">
        <v>156</v>
      </c>
      <c r="F5216" s="39" t="n">
        <v>45907</v>
      </c>
      <c r="G5216" s="41" t="n">
        <v>138.72</v>
      </c>
      <c r="H5216" s="39" t="n">
        <v>45913</v>
      </c>
      <c r="I5216" s="7" t="s">
        <v>14651</v>
      </c>
      <c r="J5216" s="8" t="str">
        <f aca="false">IF(I5216="Open",DATE(2025,12,31)-F5216,"-")</f>
        <v>-</v>
      </c>
    </row>
    <row r="5217" customFormat="false" ht="15" hidden="false" customHeight="false" outlineLevel="0" collapsed="false">
      <c r="B5217" s="7" t="s">
        <v>19863</v>
      </c>
      <c r="C5217" s="7" t="s">
        <v>5714</v>
      </c>
      <c r="D5217" s="7" t="s">
        <v>395</v>
      </c>
      <c r="E5217" s="7" t="s">
        <v>156</v>
      </c>
      <c r="F5217" s="39" t="n">
        <v>45907</v>
      </c>
      <c r="G5217" s="41" t="n">
        <v>140.76</v>
      </c>
      <c r="H5217" s="39" t="n">
        <v>45924</v>
      </c>
      <c r="I5217" s="7" t="s">
        <v>14651</v>
      </c>
      <c r="J5217" s="8" t="str">
        <f aca="false">IF(I5217="Open",DATE(2025,12,31)-F5217,"-")</f>
        <v>-</v>
      </c>
    </row>
    <row r="5218" customFormat="false" ht="15" hidden="false" customHeight="false" outlineLevel="0" collapsed="false">
      <c r="B5218" s="7" t="s">
        <v>19864</v>
      </c>
      <c r="C5218" s="7" t="s">
        <v>5715</v>
      </c>
      <c r="D5218" s="7" t="s">
        <v>401</v>
      </c>
      <c r="E5218" s="7" t="s">
        <v>156</v>
      </c>
      <c r="F5218" s="39" t="n">
        <v>45907</v>
      </c>
      <c r="G5218" s="41" t="n">
        <v>137.36</v>
      </c>
      <c r="H5218" s="39" t="n">
        <v>45920</v>
      </c>
      <c r="I5218" s="7" t="s">
        <v>14651</v>
      </c>
      <c r="J5218" s="8" t="str">
        <f aca="false">IF(I5218="Open",DATE(2025,12,31)-F5218,"-")</f>
        <v>-</v>
      </c>
    </row>
    <row r="5219" customFormat="false" ht="15" hidden="false" customHeight="false" outlineLevel="0" collapsed="false">
      <c r="B5219" s="7" t="s">
        <v>19865</v>
      </c>
      <c r="C5219" s="7" t="s">
        <v>5716</v>
      </c>
      <c r="D5219" s="7" t="s">
        <v>288</v>
      </c>
      <c r="E5219" s="7" t="s">
        <v>156</v>
      </c>
      <c r="F5219" s="39" t="n">
        <v>45908</v>
      </c>
      <c r="G5219" s="41" t="n">
        <v>132.94</v>
      </c>
      <c r="H5219" s="39" t="n">
        <v>45912</v>
      </c>
      <c r="I5219" s="7" t="s">
        <v>14651</v>
      </c>
      <c r="J5219" s="8" t="str">
        <f aca="false">IF(I5219="Open",DATE(2025,12,31)-F5219,"-")</f>
        <v>-</v>
      </c>
    </row>
    <row r="5220" customFormat="false" ht="15" hidden="false" customHeight="false" outlineLevel="0" collapsed="false">
      <c r="B5220" s="7" t="s">
        <v>19866</v>
      </c>
      <c r="C5220" s="7" t="s">
        <v>5717</v>
      </c>
      <c r="D5220" s="7" t="s">
        <v>291</v>
      </c>
      <c r="E5220" s="7" t="s">
        <v>154</v>
      </c>
      <c r="F5220" s="39" t="n">
        <v>45908</v>
      </c>
      <c r="G5220" s="41" t="n">
        <v>117.13</v>
      </c>
      <c r="H5220" s="39" t="n">
        <v>45953</v>
      </c>
      <c r="I5220" s="7" t="s">
        <v>14651</v>
      </c>
      <c r="J5220" s="8" t="str">
        <f aca="false">IF(I5220="Open",DATE(2025,12,31)-F5220,"-")</f>
        <v>-</v>
      </c>
    </row>
    <row r="5221" customFormat="false" ht="15" hidden="false" customHeight="false" outlineLevel="0" collapsed="false">
      <c r="B5221" s="7" t="s">
        <v>19867</v>
      </c>
      <c r="C5221" s="7" t="s">
        <v>5718</v>
      </c>
      <c r="D5221" s="7" t="s">
        <v>295</v>
      </c>
      <c r="E5221" s="7" t="s">
        <v>154</v>
      </c>
      <c r="F5221" s="39" t="n">
        <v>45908</v>
      </c>
      <c r="G5221" s="41" t="n">
        <v>105.89</v>
      </c>
      <c r="H5221" s="39" t="n">
        <v>45992</v>
      </c>
      <c r="I5221" s="7" t="s">
        <v>14651</v>
      </c>
      <c r="J5221" s="8" t="str">
        <f aca="false">IF(I5221="Open",DATE(2025,12,31)-F5221,"-")</f>
        <v>-</v>
      </c>
    </row>
    <row r="5222" customFormat="false" ht="15" hidden="false" customHeight="false" outlineLevel="0" collapsed="false">
      <c r="B5222" s="7" t="s">
        <v>19868</v>
      </c>
      <c r="C5222" s="7" t="s">
        <v>5719</v>
      </c>
      <c r="D5222" s="7" t="s">
        <v>297</v>
      </c>
      <c r="E5222" s="7" t="s">
        <v>156</v>
      </c>
      <c r="F5222" s="39" t="n">
        <v>45908</v>
      </c>
      <c r="G5222" s="41" t="n">
        <v>102.34</v>
      </c>
      <c r="H5222" s="39" t="n">
        <v>45929</v>
      </c>
      <c r="I5222" s="7" t="s">
        <v>14651</v>
      </c>
      <c r="J5222" s="8" t="str">
        <f aca="false">IF(I5222="Open",DATE(2025,12,31)-F5222,"-")</f>
        <v>-</v>
      </c>
    </row>
    <row r="5223" customFormat="false" ht="15" hidden="false" customHeight="false" outlineLevel="0" collapsed="false">
      <c r="B5223" s="7" t="s">
        <v>19869</v>
      </c>
      <c r="C5223" s="7" t="s">
        <v>5720</v>
      </c>
      <c r="D5223" s="7" t="s">
        <v>305</v>
      </c>
      <c r="E5223" s="7" t="s">
        <v>154</v>
      </c>
      <c r="F5223" s="39" t="n">
        <v>45908</v>
      </c>
      <c r="G5223" s="41" t="n">
        <v>104.41</v>
      </c>
      <c r="H5223" s="39" t="n">
        <v>45975</v>
      </c>
      <c r="I5223" s="7" t="s">
        <v>14651</v>
      </c>
      <c r="J5223" s="8" t="str">
        <f aca="false">IF(I5223="Open",DATE(2025,12,31)-F5223,"-")</f>
        <v>-</v>
      </c>
    </row>
    <row r="5224" customFormat="false" ht="15" hidden="false" customHeight="false" outlineLevel="0" collapsed="false">
      <c r="B5224" s="7" t="s">
        <v>19870</v>
      </c>
      <c r="C5224" s="7" t="s">
        <v>5721</v>
      </c>
      <c r="D5224" s="7" t="s">
        <v>307</v>
      </c>
      <c r="E5224" s="7" t="s">
        <v>157</v>
      </c>
      <c r="F5224" s="39" t="n">
        <v>45908</v>
      </c>
      <c r="G5224" s="41" t="n">
        <v>169.95</v>
      </c>
      <c r="H5224" s="39" t="n">
        <v>45958</v>
      </c>
      <c r="I5224" s="7" t="s">
        <v>14651</v>
      </c>
      <c r="J5224" s="8" t="str">
        <f aca="false">IF(I5224="Open",DATE(2025,12,31)-F5224,"-")</f>
        <v>-</v>
      </c>
    </row>
    <row r="5225" customFormat="false" ht="15" hidden="false" customHeight="false" outlineLevel="0" collapsed="false">
      <c r="B5225" s="7" t="s">
        <v>19871</v>
      </c>
      <c r="C5225" s="7" t="s">
        <v>5722</v>
      </c>
      <c r="D5225" s="7" t="s">
        <v>309</v>
      </c>
      <c r="E5225" s="7" t="s">
        <v>159</v>
      </c>
      <c r="F5225" s="39" t="n">
        <v>45908</v>
      </c>
      <c r="G5225" s="41" t="n">
        <v>144.45</v>
      </c>
      <c r="H5225" s="39" t="n">
        <v>45954</v>
      </c>
      <c r="I5225" s="7" t="s">
        <v>14651</v>
      </c>
      <c r="J5225" s="8" t="str">
        <f aca="false">IF(I5225="Open",DATE(2025,12,31)-F5225,"-")</f>
        <v>-</v>
      </c>
    </row>
    <row r="5226" customFormat="false" ht="15" hidden="false" customHeight="false" outlineLevel="0" collapsed="false">
      <c r="B5226" s="7" t="s">
        <v>19872</v>
      </c>
      <c r="C5226" s="7" t="s">
        <v>5723</v>
      </c>
      <c r="D5226" s="7" t="s">
        <v>311</v>
      </c>
      <c r="E5226" s="7" t="s">
        <v>154</v>
      </c>
      <c r="F5226" s="39" t="n">
        <v>45908</v>
      </c>
      <c r="G5226" s="41" t="n">
        <v>84</v>
      </c>
      <c r="H5226" s="39" t="n">
        <v>45946</v>
      </c>
      <c r="I5226" s="7" t="s">
        <v>14651</v>
      </c>
      <c r="J5226" s="8" t="str">
        <f aca="false">IF(I5226="Open",DATE(2025,12,31)-F5226,"-")</f>
        <v>-</v>
      </c>
    </row>
    <row r="5227" customFormat="false" ht="15" hidden="false" customHeight="false" outlineLevel="0" collapsed="false">
      <c r="B5227" s="7" t="s">
        <v>19873</v>
      </c>
      <c r="C5227" s="7" t="s">
        <v>5724</v>
      </c>
      <c r="D5227" s="7" t="s">
        <v>317</v>
      </c>
      <c r="E5227" s="7" t="s">
        <v>156</v>
      </c>
      <c r="F5227" s="39" t="n">
        <v>45908</v>
      </c>
      <c r="G5227" s="41" t="n">
        <v>111.18</v>
      </c>
      <c r="H5227" s="39" t="n">
        <v>45913</v>
      </c>
      <c r="I5227" s="7" t="s">
        <v>14651</v>
      </c>
      <c r="J5227" s="8" t="str">
        <f aca="false">IF(I5227="Open",DATE(2025,12,31)-F5227,"-")</f>
        <v>-</v>
      </c>
    </row>
    <row r="5228" customFormat="false" ht="15" hidden="false" customHeight="false" outlineLevel="0" collapsed="false">
      <c r="B5228" s="7" t="s">
        <v>19874</v>
      </c>
      <c r="C5228" s="7" t="s">
        <v>5725</v>
      </c>
      <c r="D5228" s="7" t="s">
        <v>325</v>
      </c>
      <c r="E5228" s="7" t="s">
        <v>154</v>
      </c>
      <c r="F5228" s="39" t="n">
        <v>45908</v>
      </c>
      <c r="G5228" s="41" t="n">
        <v>72.34</v>
      </c>
      <c r="H5228" s="39" t="n">
        <v>45960</v>
      </c>
      <c r="I5228" s="7" t="s">
        <v>14651</v>
      </c>
      <c r="J5228" s="8" t="str">
        <f aca="false">IF(I5228="Open",DATE(2025,12,31)-F5228,"-")</f>
        <v>-</v>
      </c>
    </row>
    <row r="5229" customFormat="false" ht="15" hidden="false" customHeight="false" outlineLevel="0" collapsed="false">
      <c r="B5229" s="7" t="s">
        <v>19875</v>
      </c>
      <c r="C5229" s="7" t="s">
        <v>5726</v>
      </c>
      <c r="D5229" s="7" t="s">
        <v>331</v>
      </c>
      <c r="E5229" s="7" t="s">
        <v>156</v>
      </c>
      <c r="F5229" s="39" t="n">
        <v>45908</v>
      </c>
      <c r="G5229" s="41" t="n">
        <v>132.94</v>
      </c>
      <c r="H5229" s="39" t="n">
        <v>45926</v>
      </c>
      <c r="I5229" s="7" t="s">
        <v>14651</v>
      </c>
      <c r="J5229" s="8" t="str">
        <f aca="false">IF(I5229="Open",DATE(2025,12,31)-F5229,"-")</f>
        <v>-</v>
      </c>
    </row>
    <row r="5230" customFormat="false" ht="15" hidden="false" customHeight="false" outlineLevel="0" collapsed="false">
      <c r="B5230" s="7" t="s">
        <v>19876</v>
      </c>
      <c r="C5230" s="7" t="s">
        <v>5727</v>
      </c>
      <c r="D5230" s="7" t="s">
        <v>335</v>
      </c>
      <c r="E5230" s="7" t="s">
        <v>154</v>
      </c>
      <c r="F5230" s="39" t="n">
        <v>45908</v>
      </c>
      <c r="G5230" s="41" t="n">
        <v>110.5</v>
      </c>
      <c r="H5230" s="39" t="n">
        <v>46009</v>
      </c>
      <c r="I5230" s="7" t="s">
        <v>14651</v>
      </c>
      <c r="J5230" s="8" t="str">
        <f aca="false">IF(I5230="Open",DATE(2025,12,31)-F5230,"-")</f>
        <v>-</v>
      </c>
    </row>
    <row r="5231" customFormat="false" ht="15" hidden="false" customHeight="false" outlineLevel="0" collapsed="false">
      <c r="B5231" s="7" t="s">
        <v>19877</v>
      </c>
      <c r="C5231" s="7" t="s">
        <v>5728</v>
      </c>
      <c r="D5231" s="7" t="s">
        <v>339</v>
      </c>
      <c r="E5231" s="7" t="s">
        <v>154</v>
      </c>
      <c r="F5231" s="39" t="n">
        <v>45908</v>
      </c>
      <c r="G5231" s="41" t="n">
        <v>93.31</v>
      </c>
      <c r="H5231" s="39" t="n">
        <v>45950</v>
      </c>
      <c r="I5231" s="7" t="s">
        <v>14651</v>
      </c>
      <c r="J5231" s="8" t="str">
        <f aca="false">IF(I5231="Open",DATE(2025,12,31)-F5231,"-")</f>
        <v>-</v>
      </c>
    </row>
    <row r="5232" customFormat="false" ht="15" hidden="false" customHeight="false" outlineLevel="0" collapsed="false">
      <c r="B5232" s="7" t="s">
        <v>19878</v>
      </c>
      <c r="C5232" s="7" t="s">
        <v>5729</v>
      </c>
      <c r="D5232" s="7" t="s">
        <v>341</v>
      </c>
      <c r="E5232" s="7" t="s">
        <v>156</v>
      </c>
      <c r="F5232" s="39" t="n">
        <v>45908</v>
      </c>
      <c r="G5232" s="41" t="n">
        <v>100.98</v>
      </c>
      <c r="H5232" s="39" t="n">
        <v>45922</v>
      </c>
      <c r="I5232" s="7" t="s">
        <v>14651</v>
      </c>
      <c r="J5232" s="8" t="str">
        <f aca="false">IF(I5232="Open",DATE(2025,12,31)-F5232,"-")</f>
        <v>-</v>
      </c>
    </row>
    <row r="5233" customFormat="false" ht="15" hidden="false" customHeight="false" outlineLevel="0" collapsed="false">
      <c r="B5233" s="7" t="s">
        <v>19879</v>
      </c>
      <c r="C5233" s="7" t="s">
        <v>5730</v>
      </c>
      <c r="D5233" s="7" t="s">
        <v>343</v>
      </c>
      <c r="E5233" s="7" t="s">
        <v>154</v>
      </c>
      <c r="F5233" s="39" t="n">
        <v>45908</v>
      </c>
      <c r="G5233" s="41" t="n">
        <v>112.62</v>
      </c>
      <c r="H5233" s="39" t="n">
        <v>45947</v>
      </c>
      <c r="I5233" s="7" t="s">
        <v>14651</v>
      </c>
      <c r="J5233" s="8" t="str">
        <f aca="false">IF(I5233="Open",DATE(2025,12,31)-F5233,"-")</f>
        <v>-</v>
      </c>
    </row>
    <row r="5234" customFormat="false" ht="15" hidden="false" customHeight="false" outlineLevel="0" collapsed="false">
      <c r="B5234" s="7" t="s">
        <v>19880</v>
      </c>
      <c r="C5234" s="7" t="s">
        <v>5731</v>
      </c>
      <c r="D5234" s="7" t="s">
        <v>347</v>
      </c>
      <c r="E5234" s="7" t="s">
        <v>154</v>
      </c>
      <c r="F5234" s="39" t="n">
        <v>45908</v>
      </c>
      <c r="G5234" s="41" t="n">
        <v>119.28</v>
      </c>
      <c r="H5234" s="39" t="n">
        <v>45938</v>
      </c>
      <c r="I5234" s="7" t="s">
        <v>14651</v>
      </c>
      <c r="J5234" s="8" t="str">
        <f aca="false">IF(I5234="Open",DATE(2025,12,31)-F5234,"-")</f>
        <v>-</v>
      </c>
    </row>
    <row r="5235" customFormat="false" ht="15" hidden="false" customHeight="false" outlineLevel="0" collapsed="false">
      <c r="B5235" s="7" t="s">
        <v>19881</v>
      </c>
      <c r="C5235" s="7" t="s">
        <v>5732</v>
      </c>
      <c r="D5235" s="7" t="s">
        <v>351</v>
      </c>
      <c r="E5235" s="7" t="s">
        <v>154</v>
      </c>
      <c r="F5235" s="39" t="n">
        <v>45908</v>
      </c>
      <c r="G5235" s="41" t="n">
        <v>83.74</v>
      </c>
      <c r="H5235" s="39" t="n">
        <v>45988</v>
      </c>
      <c r="I5235" s="7" t="s">
        <v>14651</v>
      </c>
      <c r="J5235" s="8" t="str">
        <f aca="false">IF(I5235="Open",DATE(2025,12,31)-F5235,"-")</f>
        <v>-</v>
      </c>
    </row>
    <row r="5236" customFormat="false" ht="15" hidden="false" customHeight="false" outlineLevel="0" collapsed="false">
      <c r="B5236" s="7" t="s">
        <v>19882</v>
      </c>
      <c r="C5236" s="7" t="s">
        <v>5733</v>
      </c>
      <c r="D5236" s="7" t="s">
        <v>353</v>
      </c>
      <c r="E5236" s="7" t="s">
        <v>154</v>
      </c>
      <c r="F5236" s="39" t="n">
        <v>45908</v>
      </c>
      <c r="G5236" s="41" t="n">
        <v>86.63</v>
      </c>
      <c r="H5236" s="39" t="n">
        <v>45947</v>
      </c>
      <c r="I5236" s="7" t="s">
        <v>14651</v>
      </c>
      <c r="J5236" s="8" t="str">
        <f aca="false">IF(I5236="Open",DATE(2025,12,31)-F5236,"-")</f>
        <v>-</v>
      </c>
    </row>
    <row r="5237" customFormat="false" ht="15" hidden="false" customHeight="false" outlineLevel="0" collapsed="false">
      <c r="B5237" s="7" t="s">
        <v>19883</v>
      </c>
      <c r="C5237" s="7" t="s">
        <v>5734</v>
      </c>
      <c r="D5237" s="7" t="s">
        <v>355</v>
      </c>
      <c r="E5237" s="7" t="s">
        <v>154</v>
      </c>
      <c r="F5237" s="39" t="n">
        <v>45908</v>
      </c>
      <c r="G5237" s="41" t="n">
        <v>89.04</v>
      </c>
      <c r="H5237" s="39" t="n">
        <v>45961</v>
      </c>
      <c r="I5237" s="7" t="s">
        <v>14651</v>
      </c>
      <c r="J5237" s="8" t="str">
        <f aca="false">IF(I5237="Open",DATE(2025,12,31)-F5237,"-")</f>
        <v>-</v>
      </c>
    </row>
    <row r="5238" customFormat="false" ht="15" hidden="false" customHeight="false" outlineLevel="0" collapsed="false">
      <c r="B5238" s="7" t="s">
        <v>19884</v>
      </c>
      <c r="C5238" s="7" t="s">
        <v>5735</v>
      </c>
      <c r="D5238" s="7" t="s">
        <v>357</v>
      </c>
      <c r="E5238" s="7" t="s">
        <v>154</v>
      </c>
      <c r="F5238" s="39" t="n">
        <v>45908</v>
      </c>
      <c r="G5238" s="41" t="n">
        <v>82.41</v>
      </c>
      <c r="H5238" s="39" t="n">
        <v>45967</v>
      </c>
      <c r="I5238" s="7" t="s">
        <v>14651</v>
      </c>
      <c r="J5238" s="8" t="str">
        <f aca="false">IF(I5238="Open",DATE(2025,12,31)-F5238,"-")</f>
        <v>-</v>
      </c>
    </row>
    <row r="5239" customFormat="false" ht="15" hidden="false" customHeight="false" outlineLevel="0" collapsed="false">
      <c r="B5239" s="7" t="s">
        <v>19885</v>
      </c>
      <c r="C5239" s="7" t="s">
        <v>5736</v>
      </c>
      <c r="D5239" s="7" t="s">
        <v>359</v>
      </c>
      <c r="E5239" s="7" t="s">
        <v>156</v>
      </c>
      <c r="F5239" s="39" t="n">
        <v>45908</v>
      </c>
      <c r="G5239" s="41" t="n">
        <v>137.02</v>
      </c>
      <c r="H5239" s="39" t="n">
        <v>45924</v>
      </c>
      <c r="I5239" s="7" t="s">
        <v>14651</v>
      </c>
      <c r="J5239" s="8" t="str">
        <f aca="false">IF(I5239="Open",DATE(2025,12,31)-F5239,"-")</f>
        <v>-</v>
      </c>
    </row>
    <row r="5240" customFormat="false" ht="15" hidden="false" customHeight="false" outlineLevel="0" collapsed="false">
      <c r="B5240" s="7" t="s">
        <v>19886</v>
      </c>
      <c r="C5240" s="7" t="s">
        <v>5737</v>
      </c>
      <c r="D5240" s="7" t="s">
        <v>363</v>
      </c>
      <c r="E5240" s="7" t="s">
        <v>156</v>
      </c>
      <c r="F5240" s="39" t="n">
        <v>45908</v>
      </c>
      <c r="G5240" s="41" t="n">
        <v>137.7</v>
      </c>
      <c r="H5240" s="39" t="n">
        <v>45917</v>
      </c>
      <c r="I5240" s="7" t="s">
        <v>14651</v>
      </c>
      <c r="J5240" s="8" t="str">
        <f aca="false">IF(I5240="Open",DATE(2025,12,31)-F5240,"-")</f>
        <v>-</v>
      </c>
    </row>
    <row r="5241" customFormat="false" ht="15" hidden="false" customHeight="false" outlineLevel="0" collapsed="false">
      <c r="B5241" s="7" t="s">
        <v>19887</v>
      </c>
      <c r="C5241" s="7" t="s">
        <v>5738</v>
      </c>
      <c r="D5241" s="7" t="s">
        <v>365</v>
      </c>
      <c r="E5241" s="7" t="s">
        <v>154</v>
      </c>
      <c r="F5241" s="39" t="n">
        <v>45908</v>
      </c>
      <c r="G5241" s="41" t="n">
        <v>109.44</v>
      </c>
      <c r="H5241" s="39" t="n">
        <v>45954</v>
      </c>
      <c r="I5241" s="7" t="s">
        <v>14651</v>
      </c>
      <c r="J5241" s="8" t="str">
        <f aca="false">IF(I5241="Open",DATE(2025,12,31)-F5241,"-")</f>
        <v>-</v>
      </c>
    </row>
    <row r="5242" customFormat="false" ht="15" hidden="false" customHeight="false" outlineLevel="0" collapsed="false">
      <c r="B5242" s="7" t="s">
        <v>19888</v>
      </c>
      <c r="C5242" s="7" t="s">
        <v>5739</v>
      </c>
      <c r="D5242" s="7" t="s">
        <v>371</v>
      </c>
      <c r="E5242" s="7" t="s">
        <v>154</v>
      </c>
      <c r="F5242" s="39" t="n">
        <v>45908</v>
      </c>
      <c r="G5242" s="41" t="n">
        <v>120.31</v>
      </c>
      <c r="H5242" s="39" t="n">
        <v>45992</v>
      </c>
      <c r="I5242" s="7" t="s">
        <v>14651</v>
      </c>
      <c r="J5242" s="8" t="str">
        <f aca="false">IF(I5242="Open",DATE(2025,12,31)-F5242,"-")</f>
        <v>-</v>
      </c>
    </row>
    <row r="5243" customFormat="false" ht="15" hidden="false" customHeight="false" outlineLevel="0" collapsed="false">
      <c r="B5243" s="7" t="s">
        <v>19889</v>
      </c>
      <c r="C5243" s="7" t="s">
        <v>5740</v>
      </c>
      <c r="D5243" s="7" t="s">
        <v>375</v>
      </c>
      <c r="E5243" s="7" t="s">
        <v>156</v>
      </c>
      <c r="F5243" s="39" t="n">
        <v>45908</v>
      </c>
      <c r="G5243" s="41" t="n">
        <v>95.54</v>
      </c>
      <c r="H5243" s="39" t="n">
        <v>45930</v>
      </c>
      <c r="I5243" s="7" t="s">
        <v>14651</v>
      </c>
      <c r="J5243" s="8" t="str">
        <f aca="false">IF(I5243="Open",DATE(2025,12,31)-F5243,"-")</f>
        <v>-</v>
      </c>
    </row>
    <row r="5244" customFormat="false" ht="15" hidden="false" customHeight="false" outlineLevel="0" collapsed="false">
      <c r="B5244" s="7" t="s">
        <v>19890</v>
      </c>
      <c r="C5244" s="7" t="s">
        <v>5741</v>
      </c>
      <c r="D5244" s="7" t="s">
        <v>377</v>
      </c>
      <c r="E5244" s="7" t="s">
        <v>154</v>
      </c>
      <c r="F5244" s="39" t="n">
        <v>45908</v>
      </c>
      <c r="G5244" s="41" t="n">
        <v>104.94</v>
      </c>
      <c r="H5244" s="39" t="n">
        <v>45959</v>
      </c>
      <c r="I5244" s="7" t="s">
        <v>14651</v>
      </c>
      <c r="J5244" s="8" t="str">
        <f aca="false">IF(I5244="Open",DATE(2025,12,31)-F5244,"-")</f>
        <v>-</v>
      </c>
    </row>
    <row r="5245" customFormat="false" ht="15" hidden="false" customHeight="false" outlineLevel="0" collapsed="false">
      <c r="B5245" s="7" t="s">
        <v>19891</v>
      </c>
      <c r="C5245" s="7" t="s">
        <v>5742</v>
      </c>
      <c r="D5245" s="7" t="s">
        <v>385</v>
      </c>
      <c r="E5245" s="7" t="s">
        <v>156</v>
      </c>
      <c r="F5245" s="39" t="n">
        <v>45908</v>
      </c>
      <c r="G5245" s="41" t="n">
        <v>126.14</v>
      </c>
      <c r="H5245" s="39" t="n">
        <v>45926</v>
      </c>
      <c r="I5245" s="7" t="s">
        <v>14651</v>
      </c>
      <c r="J5245" s="8" t="str">
        <f aca="false">IF(I5245="Open",DATE(2025,12,31)-F5245,"-")</f>
        <v>-</v>
      </c>
    </row>
    <row r="5246" customFormat="false" ht="15" hidden="false" customHeight="false" outlineLevel="0" collapsed="false">
      <c r="B5246" s="7" t="s">
        <v>19892</v>
      </c>
      <c r="C5246" s="7" t="s">
        <v>5743</v>
      </c>
      <c r="D5246" s="7" t="s">
        <v>387</v>
      </c>
      <c r="E5246" s="7" t="s">
        <v>154</v>
      </c>
      <c r="F5246" s="39" t="n">
        <v>45908</v>
      </c>
      <c r="G5246" s="41" t="n">
        <v>103.09</v>
      </c>
      <c r="H5246" s="39" t="n">
        <v>45983</v>
      </c>
      <c r="I5246" s="7" t="s">
        <v>14651</v>
      </c>
      <c r="J5246" s="8" t="str">
        <f aca="false">IF(I5246="Open",DATE(2025,12,31)-F5246,"-")</f>
        <v>-</v>
      </c>
    </row>
    <row r="5247" customFormat="false" ht="15" hidden="false" customHeight="false" outlineLevel="0" collapsed="false">
      <c r="B5247" s="7" t="s">
        <v>19893</v>
      </c>
      <c r="C5247" s="7" t="s">
        <v>5744</v>
      </c>
      <c r="D5247" s="7" t="s">
        <v>389</v>
      </c>
      <c r="E5247" s="7" t="s">
        <v>154</v>
      </c>
      <c r="F5247" s="39" t="n">
        <v>45908</v>
      </c>
      <c r="G5247" s="41" t="n">
        <v>107.59</v>
      </c>
      <c r="H5247" s="39" t="n">
        <v>45941</v>
      </c>
      <c r="I5247" s="7" t="s">
        <v>14651</v>
      </c>
      <c r="J5247" s="8" t="str">
        <f aca="false">IF(I5247="Open",DATE(2025,12,31)-F5247,"-")</f>
        <v>-</v>
      </c>
    </row>
    <row r="5248" customFormat="false" ht="15" hidden="false" customHeight="false" outlineLevel="0" collapsed="false">
      <c r="B5248" s="7" t="s">
        <v>19894</v>
      </c>
      <c r="C5248" s="7" t="s">
        <v>5745</v>
      </c>
      <c r="D5248" s="7" t="s">
        <v>391</v>
      </c>
      <c r="E5248" s="7" t="s">
        <v>156</v>
      </c>
      <c r="F5248" s="39" t="n">
        <v>45908</v>
      </c>
      <c r="G5248" s="41" t="n">
        <v>122.74</v>
      </c>
      <c r="H5248" s="39" t="n">
        <v>45926</v>
      </c>
      <c r="I5248" s="7" t="s">
        <v>14651</v>
      </c>
      <c r="J5248" s="8" t="str">
        <f aca="false">IF(I5248="Open",DATE(2025,12,31)-F5248,"-")</f>
        <v>-</v>
      </c>
    </row>
    <row r="5249" customFormat="false" ht="15" hidden="false" customHeight="false" outlineLevel="0" collapsed="false">
      <c r="B5249" s="7" t="s">
        <v>19895</v>
      </c>
      <c r="C5249" s="7" t="s">
        <v>5746</v>
      </c>
      <c r="D5249" s="7" t="s">
        <v>395</v>
      </c>
      <c r="E5249" s="7" t="s">
        <v>156</v>
      </c>
      <c r="F5249" s="39" t="n">
        <v>45908</v>
      </c>
      <c r="G5249" s="41" t="n">
        <v>122.4</v>
      </c>
      <c r="H5249" s="39" t="n">
        <v>45926</v>
      </c>
      <c r="I5249" s="7" t="s">
        <v>14651</v>
      </c>
      <c r="J5249" s="8" t="str">
        <f aca="false">IF(I5249="Open",DATE(2025,12,31)-F5249,"-")</f>
        <v>-</v>
      </c>
    </row>
    <row r="5250" customFormat="false" ht="15" hidden="false" customHeight="false" outlineLevel="0" collapsed="false">
      <c r="B5250" s="7" t="s">
        <v>19896</v>
      </c>
      <c r="C5250" s="7" t="s">
        <v>5747</v>
      </c>
      <c r="D5250" s="7" t="s">
        <v>399</v>
      </c>
      <c r="E5250" s="7" t="s">
        <v>154</v>
      </c>
      <c r="F5250" s="39" t="n">
        <v>45908</v>
      </c>
      <c r="G5250" s="41" t="n">
        <v>86.12</v>
      </c>
      <c r="H5250" s="39" t="n">
        <v>45967</v>
      </c>
      <c r="I5250" s="7" t="s">
        <v>14651</v>
      </c>
      <c r="J5250" s="8" t="str">
        <f aca="false">IF(I5250="Open",DATE(2025,12,31)-F5250,"-")</f>
        <v>-</v>
      </c>
    </row>
    <row r="5251" customFormat="false" ht="15" hidden="false" customHeight="false" outlineLevel="0" collapsed="false">
      <c r="B5251" s="7" t="s">
        <v>19897</v>
      </c>
      <c r="C5251" s="7" t="s">
        <v>5748</v>
      </c>
      <c r="D5251" s="7" t="s">
        <v>401</v>
      </c>
      <c r="E5251" s="7" t="s">
        <v>156</v>
      </c>
      <c r="F5251" s="39" t="n">
        <v>45908</v>
      </c>
      <c r="G5251" s="41" t="n">
        <v>132.26</v>
      </c>
      <c r="H5251" s="39" t="n">
        <v>45922</v>
      </c>
      <c r="I5251" s="7" t="s">
        <v>14651</v>
      </c>
      <c r="J5251" s="8" t="str">
        <f aca="false">IF(I5251="Open",DATE(2025,12,31)-F5251,"-")</f>
        <v>-</v>
      </c>
    </row>
    <row r="5252" customFormat="false" ht="15" hidden="false" customHeight="false" outlineLevel="0" collapsed="false">
      <c r="B5252" s="7" t="s">
        <v>19898</v>
      </c>
      <c r="C5252" s="7" t="s">
        <v>5749</v>
      </c>
      <c r="D5252" s="7" t="s">
        <v>403</v>
      </c>
      <c r="E5252" s="7" t="s">
        <v>156</v>
      </c>
      <c r="F5252" s="39" t="n">
        <v>45908</v>
      </c>
      <c r="G5252" s="41" t="n">
        <v>125.46</v>
      </c>
      <c r="H5252" s="39" t="n">
        <v>45920</v>
      </c>
      <c r="I5252" s="7" t="s">
        <v>14651</v>
      </c>
      <c r="J5252" s="8" t="str">
        <f aca="false">IF(I5252="Open",DATE(2025,12,31)-F5252,"-")</f>
        <v>-</v>
      </c>
    </row>
    <row r="5253" customFormat="false" ht="15" hidden="false" customHeight="false" outlineLevel="0" collapsed="false">
      <c r="B5253" s="7" t="s">
        <v>19899</v>
      </c>
      <c r="C5253" s="7" t="s">
        <v>5750</v>
      </c>
      <c r="D5253" s="7" t="s">
        <v>409</v>
      </c>
      <c r="E5253" s="7" t="s">
        <v>154</v>
      </c>
      <c r="F5253" s="39" t="n">
        <v>45908</v>
      </c>
      <c r="G5253" s="41" t="n">
        <v>81.09</v>
      </c>
      <c r="H5253" s="39" t="n">
        <v>45959</v>
      </c>
      <c r="I5253" s="7" t="s">
        <v>14651</v>
      </c>
      <c r="J5253" s="8" t="str">
        <f aca="false">IF(I5253="Open",DATE(2025,12,31)-F5253,"-")</f>
        <v>-</v>
      </c>
    </row>
    <row r="5254" customFormat="false" ht="15" hidden="false" customHeight="false" outlineLevel="0" collapsed="false">
      <c r="B5254" s="7" t="s">
        <v>19900</v>
      </c>
      <c r="C5254" s="7" t="s">
        <v>5751</v>
      </c>
      <c r="D5254" s="7" t="s">
        <v>411</v>
      </c>
      <c r="E5254" s="7" t="s">
        <v>154</v>
      </c>
      <c r="F5254" s="39" t="n">
        <v>45908</v>
      </c>
      <c r="G5254" s="41" t="n">
        <v>117.21</v>
      </c>
      <c r="H5254" s="39" t="n">
        <v>46007</v>
      </c>
      <c r="I5254" s="7" t="s">
        <v>14651</v>
      </c>
      <c r="J5254" s="8" t="str">
        <f aca="false">IF(I5254="Open",DATE(2025,12,31)-F5254,"-")</f>
        <v>-</v>
      </c>
    </row>
    <row r="5255" customFormat="false" ht="15" hidden="false" customHeight="false" outlineLevel="0" collapsed="false">
      <c r="B5255" s="7" t="s">
        <v>19901</v>
      </c>
      <c r="C5255" s="7" t="s">
        <v>5752</v>
      </c>
      <c r="D5255" s="7" t="s">
        <v>288</v>
      </c>
      <c r="E5255" s="7" t="s">
        <v>156</v>
      </c>
      <c r="F5255" s="39" t="n">
        <v>45909</v>
      </c>
      <c r="G5255" s="41" t="n">
        <v>137.02</v>
      </c>
      <c r="H5255" s="39" t="n">
        <v>45925</v>
      </c>
      <c r="I5255" s="7" t="s">
        <v>14651</v>
      </c>
      <c r="J5255" s="8" t="str">
        <f aca="false">IF(I5255="Open",DATE(2025,12,31)-F5255,"-")</f>
        <v>-</v>
      </c>
    </row>
    <row r="5256" customFormat="false" ht="15" hidden="false" customHeight="false" outlineLevel="0" collapsed="false">
      <c r="B5256" s="7" t="s">
        <v>19902</v>
      </c>
      <c r="C5256" s="7" t="s">
        <v>5753</v>
      </c>
      <c r="D5256" s="7" t="s">
        <v>293</v>
      </c>
      <c r="E5256" s="7" t="s">
        <v>157</v>
      </c>
      <c r="F5256" s="39" t="n">
        <v>45909</v>
      </c>
      <c r="G5256" s="41" t="n">
        <v>151.8</v>
      </c>
      <c r="H5256" s="39" t="n">
        <v>45968</v>
      </c>
      <c r="I5256" s="7" t="s">
        <v>14651</v>
      </c>
      <c r="J5256" s="8" t="str">
        <f aca="false">IF(I5256="Open",DATE(2025,12,31)-F5256,"-")</f>
        <v>-</v>
      </c>
    </row>
    <row r="5257" customFormat="false" ht="15" hidden="false" customHeight="false" outlineLevel="0" collapsed="false">
      <c r="B5257" s="7" t="s">
        <v>19903</v>
      </c>
      <c r="C5257" s="7" t="s">
        <v>5754</v>
      </c>
      <c r="D5257" s="7" t="s">
        <v>301</v>
      </c>
      <c r="E5257" s="7" t="s">
        <v>157</v>
      </c>
      <c r="F5257" s="39" t="n">
        <v>45909</v>
      </c>
      <c r="G5257" s="41" t="n">
        <v>153.45</v>
      </c>
      <c r="H5257" s="39" t="n">
        <v>45955</v>
      </c>
      <c r="I5257" s="7" t="s">
        <v>14651</v>
      </c>
      <c r="J5257" s="8" t="str">
        <f aca="false">IF(I5257="Open",DATE(2025,12,31)-F5257,"-")</f>
        <v>-</v>
      </c>
    </row>
    <row r="5258" customFormat="false" ht="15" hidden="false" customHeight="false" outlineLevel="0" collapsed="false">
      <c r="B5258" s="7" t="s">
        <v>19904</v>
      </c>
      <c r="C5258" s="7" t="s">
        <v>5755</v>
      </c>
      <c r="D5258" s="7" t="s">
        <v>313</v>
      </c>
      <c r="E5258" s="7" t="s">
        <v>156</v>
      </c>
      <c r="F5258" s="39" t="n">
        <v>45909</v>
      </c>
      <c r="G5258" s="41" t="n">
        <v>138.72</v>
      </c>
      <c r="H5258" s="39" t="n">
        <v>45920</v>
      </c>
      <c r="I5258" s="7" t="s">
        <v>14651</v>
      </c>
      <c r="J5258" s="8" t="str">
        <f aca="false">IF(I5258="Open",DATE(2025,12,31)-F5258,"-")</f>
        <v>-</v>
      </c>
    </row>
    <row r="5259" customFormat="false" ht="15" hidden="false" customHeight="false" outlineLevel="0" collapsed="false">
      <c r="B5259" s="7" t="s">
        <v>19905</v>
      </c>
      <c r="C5259" s="7" t="s">
        <v>5756</v>
      </c>
      <c r="D5259" s="7" t="s">
        <v>319</v>
      </c>
      <c r="E5259" s="7" t="s">
        <v>157</v>
      </c>
      <c r="F5259" s="39" t="n">
        <v>45909</v>
      </c>
      <c r="G5259" s="41" t="n">
        <v>150.15</v>
      </c>
      <c r="H5259" s="39" t="n">
        <v>45937</v>
      </c>
      <c r="I5259" s="7" t="s">
        <v>14651</v>
      </c>
      <c r="J5259" s="8" t="str">
        <f aca="false">IF(I5259="Open",DATE(2025,12,31)-F5259,"-")</f>
        <v>-</v>
      </c>
    </row>
    <row r="5260" customFormat="false" ht="15" hidden="false" customHeight="false" outlineLevel="0" collapsed="false">
      <c r="B5260" s="7" t="s">
        <v>19906</v>
      </c>
      <c r="C5260" s="7" t="s">
        <v>5757</v>
      </c>
      <c r="D5260" s="7" t="s">
        <v>321</v>
      </c>
      <c r="E5260" s="7" t="s">
        <v>154</v>
      </c>
      <c r="F5260" s="39" t="n">
        <v>45909</v>
      </c>
      <c r="G5260" s="41" t="n">
        <v>116.6</v>
      </c>
      <c r="H5260" s="6" t="s">
        <v>182</v>
      </c>
      <c r="I5260" s="7" t="s">
        <v>19787</v>
      </c>
      <c r="J5260" s="8" t="n">
        <f aca="false">IF(I5260="Open",DATE(2025,12,31)-F5260,"-")</f>
        <v>113</v>
      </c>
    </row>
    <row r="5261" customFormat="false" ht="15" hidden="false" customHeight="false" outlineLevel="0" collapsed="false">
      <c r="B5261" s="7" t="s">
        <v>19907</v>
      </c>
      <c r="C5261" s="7" t="s">
        <v>5758</v>
      </c>
      <c r="D5261" s="7" t="s">
        <v>323</v>
      </c>
      <c r="E5261" s="7" t="s">
        <v>159</v>
      </c>
      <c r="F5261" s="39" t="n">
        <v>45909</v>
      </c>
      <c r="G5261" s="41" t="n">
        <v>130.95</v>
      </c>
      <c r="H5261" s="39" t="n">
        <v>45939</v>
      </c>
      <c r="I5261" s="7" t="s">
        <v>14651</v>
      </c>
      <c r="J5261" s="8" t="str">
        <f aca="false">IF(I5261="Open",DATE(2025,12,31)-F5261,"-")</f>
        <v>-</v>
      </c>
    </row>
    <row r="5262" customFormat="false" ht="15" hidden="false" customHeight="false" outlineLevel="0" collapsed="false">
      <c r="B5262" s="7" t="s">
        <v>19908</v>
      </c>
      <c r="C5262" s="7" t="s">
        <v>5759</v>
      </c>
      <c r="D5262" s="7" t="s">
        <v>327</v>
      </c>
      <c r="E5262" s="7" t="s">
        <v>157</v>
      </c>
      <c r="F5262" s="39" t="n">
        <v>45909</v>
      </c>
      <c r="G5262" s="41" t="n">
        <v>160.05</v>
      </c>
      <c r="H5262" s="39" t="n">
        <v>45937</v>
      </c>
      <c r="I5262" s="7" t="s">
        <v>14651</v>
      </c>
      <c r="J5262" s="8" t="str">
        <f aca="false">IF(I5262="Open",DATE(2025,12,31)-F5262,"-")</f>
        <v>-</v>
      </c>
    </row>
    <row r="5263" customFormat="false" ht="15" hidden="false" customHeight="false" outlineLevel="0" collapsed="false">
      <c r="B5263" s="7" t="s">
        <v>19909</v>
      </c>
      <c r="C5263" s="7" t="s">
        <v>5760</v>
      </c>
      <c r="D5263" s="7" t="s">
        <v>329</v>
      </c>
      <c r="E5263" s="7" t="s">
        <v>156</v>
      </c>
      <c r="F5263" s="39" t="n">
        <v>45909</v>
      </c>
      <c r="G5263" s="41" t="n">
        <v>145.18</v>
      </c>
      <c r="H5263" s="39" t="n">
        <v>45930</v>
      </c>
      <c r="I5263" s="7" t="s">
        <v>14651</v>
      </c>
      <c r="J5263" s="8" t="str">
        <f aca="false">IF(I5263="Open",DATE(2025,12,31)-F5263,"-")</f>
        <v>-</v>
      </c>
    </row>
    <row r="5264" customFormat="false" ht="15" hidden="false" customHeight="false" outlineLevel="0" collapsed="false">
      <c r="B5264" s="7" t="s">
        <v>19910</v>
      </c>
      <c r="C5264" s="7" t="s">
        <v>5761</v>
      </c>
      <c r="D5264" s="7" t="s">
        <v>349</v>
      </c>
      <c r="E5264" s="7" t="s">
        <v>154</v>
      </c>
      <c r="F5264" s="39" t="n">
        <v>45909</v>
      </c>
      <c r="G5264" s="41" t="n">
        <v>95.11</v>
      </c>
      <c r="H5264" s="39" t="n">
        <v>45969</v>
      </c>
      <c r="I5264" s="7" t="s">
        <v>14651</v>
      </c>
      <c r="J5264" s="8" t="str">
        <f aca="false">IF(I5264="Open",DATE(2025,12,31)-F5264,"-")</f>
        <v>-</v>
      </c>
    </row>
    <row r="5265" customFormat="false" ht="15" hidden="false" customHeight="false" outlineLevel="0" collapsed="false">
      <c r="B5265" s="7" t="s">
        <v>19911</v>
      </c>
      <c r="C5265" s="7" t="s">
        <v>5762</v>
      </c>
      <c r="D5265" s="7" t="s">
        <v>359</v>
      </c>
      <c r="E5265" s="7" t="s">
        <v>156</v>
      </c>
      <c r="F5265" s="39" t="n">
        <v>45909</v>
      </c>
      <c r="G5265" s="41" t="n">
        <v>145.52</v>
      </c>
      <c r="H5265" s="39" t="n">
        <v>45922</v>
      </c>
      <c r="I5265" s="7" t="s">
        <v>14651</v>
      </c>
      <c r="J5265" s="8" t="str">
        <f aca="false">IF(I5265="Open",DATE(2025,12,31)-F5265,"-")</f>
        <v>-</v>
      </c>
    </row>
    <row r="5266" customFormat="false" ht="15" hidden="false" customHeight="false" outlineLevel="0" collapsed="false">
      <c r="B5266" s="7" t="s">
        <v>19912</v>
      </c>
      <c r="C5266" s="7" t="s">
        <v>5763</v>
      </c>
      <c r="D5266" s="7" t="s">
        <v>361</v>
      </c>
      <c r="E5266" s="7" t="s">
        <v>157</v>
      </c>
      <c r="F5266" s="39" t="n">
        <v>45909</v>
      </c>
      <c r="G5266" s="41" t="n">
        <v>141.07</v>
      </c>
      <c r="H5266" s="39" t="n">
        <v>45970</v>
      </c>
      <c r="I5266" s="7" t="s">
        <v>14651</v>
      </c>
      <c r="J5266" s="8" t="str">
        <f aca="false">IF(I5266="Open",DATE(2025,12,31)-F5266,"-")</f>
        <v>-</v>
      </c>
    </row>
    <row r="5267" customFormat="false" ht="15" hidden="false" customHeight="false" outlineLevel="0" collapsed="false">
      <c r="B5267" s="7" t="s">
        <v>19913</v>
      </c>
      <c r="C5267" s="7" t="s">
        <v>5764</v>
      </c>
      <c r="D5267" s="7" t="s">
        <v>365</v>
      </c>
      <c r="E5267" s="7" t="s">
        <v>154</v>
      </c>
      <c r="F5267" s="39" t="n">
        <v>45909</v>
      </c>
      <c r="G5267" s="41" t="n">
        <v>103.88</v>
      </c>
      <c r="H5267" s="39" t="n">
        <v>45939</v>
      </c>
      <c r="I5267" s="7" t="s">
        <v>14651</v>
      </c>
      <c r="J5267" s="8" t="str">
        <f aca="false">IF(I5267="Open",DATE(2025,12,31)-F5267,"-")</f>
        <v>-</v>
      </c>
    </row>
    <row r="5268" customFormat="false" ht="15" hidden="false" customHeight="false" outlineLevel="0" collapsed="false">
      <c r="B5268" s="7" t="s">
        <v>19914</v>
      </c>
      <c r="C5268" s="7" t="s">
        <v>5765</v>
      </c>
      <c r="D5268" s="7" t="s">
        <v>369</v>
      </c>
      <c r="E5268" s="7" t="s">
        <v>159</v>
      </c>
      <c r="F5268" s="39" t="n">
        <v>45909</v>
      </c>
      <c r="G5268" s="41" t="n">
        <v>132.3</v>
      </c>
      <c r="H5268" s="39" t="n">
        <v>45978</v>
      </c>
      <c r="I5268" s="7" t="s">
        <v>14651</v>
      </c>
      <c r="J5268" s="8" t="str">
        <f aca="false">IF(I5268="Open",DATE(2025,12,31)-F5268,"-")</f>
        <v>-</v>
      </c>
    </row>
    <row r="5269" customFormat="false" ht="15" hidden="false" customHeight="false" outlineLevel="0" collapsed="false">
      <c r="B5269" s="7" t="s">
        <v>19915</v>
      </c>
      <c r="C5269" s="7" t="s">
        <v>5766</v>
      </c>
      <c r="D5269" s="7" t="s">
        <v>381</v>
      </c>
      <c r="E5269" s="7" t="s">
        <v>157</v>
      </c>
      <c r="F5269" s="39" t="n">
        <v>45909</v>
      </c>
      <c r="G5269" s="41" t="n">
        <v>155.1</v>
      </c>
      <c r="H5269" s="39" t="n">
        <v>46006</v>
      </c>
      <c r="I5269" s="7" t="s">
        <v>14651</v>
      </c>
      <c r="J5269" s="8" t="str">
        <f aca="false">IF(I5269="Open",DATE(2025,12,31)-F5269,"-")</f>
        <v>-</v>
      </c>
    </row>
    <row r="5270" customFormat="false" ht="15" hidden="false" customHeight="false" outlineLevel="0" collapsed="false">
      <c r="B5270" s="7" t="s">
        <v>19916</v>
      </c>
      <c r="C5270" s="7" t="s">
        <v>5767</v>
      </c>
      <c r="D5270" s="7" t="s">
        <v>383</v>
      </c>
      <c r="E5270" s="7" t="s">
        <v>157</v>
      </c>
      <c r="F5270" s="39" t="n">
        <v>45909</v>
      </c>
      <c r="G5270" s="41" t="n">
        <v>163.35</v>
      </c>
      <c r="H5270" s="39" t="n">
        <v>45938</v>
      </c>
      <c r="I5270" s="7" t="s">
        <v>14651</v>
      </c>
      <c r="J5270" s="8" t="str">
        <f aca="false">IF(I5270="Open",DATE(2025,12,31)-F5270,"-")</f>
        <v>-</v>
      </c>
    </row>
    <row r="5271" customFormat="false" ht="15" hidden="false" customHeight="false" outlineLevel="0" collapsed="false">
      <c r="B5271" s="7" t="s">
        <v>19917</v>
      </c>
      <c r="C5271" s="7" t="s">
        <v>5768</v>
      </c>
      <c r="D5271" s="7" t="s">
        <v>387</v>
      </c>
      <c r="E5271" s="7" t="s">
        <v>154</v>
      </c>
      <c r="F5271" s="39" t="n">
        <v>45909</v>
      </c>
      <c r="G5271" s="41" t="n">
        <v>107.32</v>
      </c>
      <c r="H5271" s="39" t="n">
        <v>45998</v>
      </c>
      <c r="I5271" s="7" t="s">
        <v>14651</v>
      </c>
      <c r="J5271" s="8" t="str">
        <f aca="false">IF(I5271="Open",DATE(2025,12,31)-F5271,"-")</f>
        <v>-</v>
      </c>
    </row>
    <row r="5272" customFormat="false" ht="15" hidden="false" customHeight="false" outlineLevel="0" collapsed="false">
      <c r="B5272" s="7" t="s">
        <v>19918</v>
      </c>
      <c r="C5272" s="7" t="s">
        <v>5769</v>
      </c>
      <c r="D5272" s="7" t="s">
        <v>391</v>
      </c>
      <c r="E5272" s="7" t="s">
        <v>156</v>
      </c>
      <c r="F5272" s="39" t="n">
        <v>45909</v>
      </c>
      <c r="G5272" s="41" t="n">
        <v>135.66</v>
      </c>
      <c r="H5272" s="39" t="n">
        <v>45917</v>
      </c>
      <c r="I5272" s="7" t="s">
        <v>14651</v>
      </c>
      <c r="J5272" s="8" t="str">
        <f aca="false">IF(I5272="Open",DATE(2025,12,31)-F5272,"-")</f>
        <v>-</v>
      </c>
    </row>
    <row r="5273" customFormat="false" ht="15" hidden="false" customHeight="false" outlineLevel="0" collapsed="false">
      <c r="B5273" s="7" t="s">
        <v>19919</v>
      </c>
      <c r="C5273" s="7" t="s">
        <v>5770</v>
      </c>
      <c r="D5273" s="7" t="s">
        <v>395</v>
      </c>
      <c r="E5273" s="7" t="s">
        <v>156</v>
      </c>
      <c r="F5273" s="39" t="n">
        <v>45909</v>
      </c>
      <c r="G5273" s="41" t="n">
        <v>136.34</v>
      </c>
      <c r="H5273" s="39" t="n">
        <v>45919</v>
      </c>
      <c r="I5273" s="7" t="s">
        <v>14651</v>
      </c>
      <c r="J5273" s="8" t="str">
        <f aca="false">IF(I5273="Open",DATE(2025,12,31)-F5273,"-")</f>
        <v>-</v>
      </c>
    </row>
    <row r="5274" customFormat="false" ht="15" hidden="false" customHeight="false" outlineLevel="0" collapsed="false">
      <c r="B5274" s="7" t="s">
        <v>19920</v>
      </c>
      <c r="C5274" s="7" t="s">
        <v>5771</v>
      </c>
      <c r="D5274" s="7" t="s">
        <v>397</v>
      </c>
      <c r="E5274" s="7" t="s">
        <v>159</v>
      </c>
      <c r="F5274" s="39" t="n">
        <v>45909</v>
      </c>
      <c r="G5274" s="41" t="n">
        <v>133.65</v>
      </c>
      <c r="H5274" s="39" t="n">
        <v>45955</v>
      </c>
      <c r="I5274" s="7" t="s">
        <v>14651</v>
      </c>
      <c r="J5274" s="8" t="str">
        <f aca="false">IF(I5274="Open",DATE(2025,12,31)-F5274,"-")</f>
        <v>-</v>
      </c>
    </row>
    <row r="5275" customFormat="false" ht="15" hidden="false" customHeight="false" outlineLevel="0" collapsed="false">
      <c r="B5275" s="7" t="s">
        <v>19921</v>
      </c>
      <c r="C5275" s="7" t="s">
        <v>5772</v>
      </c>
      <c r="D5275" s="7" t="s">
        <v>401</v>
      </c>
      <c r="E5275" s="7" t="s">
        <v>156</v>
      </c>
      <c r="F5275" s="39" t="n">
        <v>45909</v>
      </c>
      <c r="G5275" s="41" t="n">
        <v>124.44</v>
      </c>
      <c r="H5275" s="39" t="n">
        <v>45918</v>
      </c>
      <c r="I5275" s="7" t="s">
        <v>14651</v>
      </c>
      <c r="J5275" s="8" t="str">
        <f aca="false">IF(I5275="Open",DATE(2025,12,31)-F5275,"-")</f>
        <v>-</v>
      </c>
    </row>
    <row r="5276" customFormat="false" ht="15" hidden="false" customHeight="false" outlineLevel="0" collapsed="false">
      <c r="B5276" s="7" t="s">
        <v>19922</v>
      </c>
      <c r="C5276" s="7" t="s">
        <v>5773</v>
      </c>
      <c r="D5276" s="7" t="s">
        <v>407</v>
      </c>
      <c r="E5276" s="7" t="s">
        <v>159</v>
      </c>
      <c r="F5276" s="39" t="n">
        <v>45909</v>
      </c>
      <c r="G5276" s="41" t="n">
        <v>136.89</v>
      </c>
      <c r="H5276" s="39" t="n">
        <v>46016</v>
      </c>
      <c r="I5276" s="7" t="s">
        <v>14651</v>
      </c>
      <c r="J5276" s="8" t="str">
        <f aca="false">IF(I5276="Open",DATE(2025,12,31)-F5276,"-")</f>
        <v>-</v>
      </c>
    </row>
    <row r="5277" customFormat="false" ht="15" hidden="false" customHeight="false" outlineLevel="0" collapsed="false">
      <c r="B5277" s="7" t="s">
        <v>19923</v>
      </c>
      <c r="C5277" s="7" t="s">
        <v>5774</v>
      </c>
      <c r="D5277" s="7" t="s">
        <v>288</v>
      </c>
      <c r="E5277" s="7" t="s">
        <v>156</v>
      </c>
      <c r="F5277" s="39" t="n">
        <v>45910</v>
      </c>
      <c r="G5277" s="41" t="n">
        <v>124.1</v>
      </c>
      <c r="H5277" s="39" t="n">
        <v>45923</v>
      </c>
      <c r="I5277" s="7" t="s">
        <v>14651</v>
      </c>
      <c r="J5277" s="8" t="str">
        <f aca="false">IF(I5277="Open",DATE(2025,12,31)-F5277,"-")</f>
        <v>-</v>
      </c>
    </row>
    <row r="5278" customFormat="false" ht="15" hidden="false" customHeight="false" outlineLevel="0" collapsed="false">
      <c r="B5278" s="7" t="s">
        <v>19924</v>
      </c>
      <c r="C5278" s="7" t="s">
        <v>5775</v>
      </c>
      <c r="D5278" s="7" t="s">
        <v>291</v>
      </c>
      <c r="E5278" s="7" t="s">
        <v>154</v>
      </c>
      <c r="F5278" s="39" t="n">
        <v>45910</v>
      </c>
      <c r="G5278" s="41" t="n">
        <v>125.95</v>
      </c>
      <c r="H5278" s="39" t="n">
        <v>46010</v>
      </c>
      <c r="I5278" s="7" t="s">
        <v>14651</v>
      </c>
      <c r="J5278" s="8" t="str">
        <f aca="false">IF(I5278="Open",DATE(2025,12,31)-F5278,"-")</f>
        <v>-</v>
      </c>
    </row>
    <row r="5279" customFormat="false" ht="15" hidden="false" customHeight="false" outlineLevel="0" collapsed="false">
      <c r="B5279" s="7" t="s">
        <v>19925</v>
      </c>
      <c r="C5279" s="7" t="s">
        <v>5776</v>
      </c>
      <c r="D5279" s="7" t="s">
        <v>305</v>
      </c>
      <c r="E5279" s="7" t="s">
        <v>154</v>
      </c>
      <c r="F5279" s="39" t="n">
        <v>45910</v>
      </c>
      <c r="G5279" s="41" t="n">
        <v>110.03</v>
      </c>
      <c r="H5279" s="39" t="n">
        <v>45953</v>
      </c>
      <c r="I5279" s="7" t="s">
        <v>14651</v>
      </c>
      <c r="J5279" s="8" t="str">
        <f aca="false">IF(I5279="Open",DATE(2025,12,31)-F5279,"-")</f>
        <v>-</v>
      </c>
    </row>
    <row r="5280" customFormat="false" ht="15" hidden="false" customHeight="false" outlineLevel="0" collapsed="false">
      <c r="B5280" s="7" t="s">
        <v>19926</v>
      </c>
      <c r="C5280" s="7" t="s">
        <v>5777</v>
      </c>
      <c r="D5280" s="7" t="s">
        <v>307</v>
      </c>
      <c r="E5280" s="7" t="s">
        <v>157</v>
      </c>
      <c r="F5280" s="39" t="n">
        <v>45910</v>
      </c>
      <c r="G5280" s="41" t="n">
        <v>174.9</v>
      </c>
      <c r="H5280" s="39" t="n">
        <v>45955</v>
      </c>
      <c r="I5280" s="7" t="s">
        <v>14651</v>
      </c>
      <c r="J5280" s="8" t="str">
        <f aca="false">IF(I5280="Open",DATE(2025,12,31)-F5280,"-")</f>
        <v>-</v>
      </c>
    </row>
    <row r="5281" customFormat="false" ht="15" hidden="false" customHeight="false" outlineLevel="0" collapsed="false">
      <c r="B5281" s="7" t="s">
        <v>19927</v>
      </c>
      <c r="C5281" s="7" t="s">
        <v>5778</v>
      </c>
      <c r="D5281" s="7" t="s">
        <v>309</v>
      </c>
      <c r="E5281" s="7" t="s">
        <v>159</v>
      </c>
      <c r="F5281" s="39" t="n">
        <v>45910</v>
      </c>
      <c r="G5281" s="41" t="n">
        <v>124.2</v>
      </c>
      <c r="H5281" s="39" t="n">
        <v>45958</v>
      </c>
      <c r="I5281" s="7" t="s">
        <v>14651</v>
      </c>
      <c r="J5281" s="8" t="str">
        <f aca="false">IF(I5281="Open",DATE(2025,12,31)-F5281,"-")</f>
        <v>-</v>
      </c>
    </row>
    <row r="5282" customFormat="false" ht="15" hidden="false" customHeight="false" outlineLevel="0" collapsed="false">
      <c r="B5282" s="7" t="s">
        <v>19928</v>
      </c>
      <c r="C5282" s="7" t="s">
        <v>5779</v>
      </c>
      <c r="D5282" s="7" t="s">
        <v>313</v>
      </c>
      <c r="E5282" s="7" t="s">
        <v>156</v>
      </c>
      <c r="F5282" s="39" t="n">
        <v>45910</v>
      </c>
      <c r="G5282" s="41" t="n">
        <v>128.52</v>
      </c>
      <c r="H5282" s="39" t="n">
        <v>45921</v>
      </c>
      <c r="I5282" s="7" t="s">
        <v>14651</v>
      </c>
      <c r="J5282" s="8" t="str">
        <f aca="false">IF(I5282="Open",DATE(2025,12,31)-F5282,"-")</f>
        <v>-</v>
      </c>
    </row>
    <row r="5283" customFormat="false" ht="15" hidden="false" customHeight="false" outlineLevel="0" collapsed="false">
      <c r="B5283" s="7" t="s">
        <v>19929</v>
      </c>
      <c r="C5283" s="7" t="s">
        <v>5780</v>
      </c>
      <c r="D5283" s="7" t="s">
        <v>315</v>
      </c>
      <c r="E5283" s="7" t="s">
        <v>159</v>
      </c>
      <c r="F5283" s="39" t="n">
        <v>45910</v>
      </c>
      <c r="G5283" s="41" t="n">
        <v>122.85</v>
      </c>
      <c r="H5283" s="39" t="n">
        <v>45951</v>
      </c>
      <c r="I5283" s="7" t="s">
        <v>14651</v>
      </c>
      <c r="J5283" s="8" t="str">
        <f aca="false">IF(I5283="Open",DATE(2025,12,31)-F5283,"-")</f>
        <v>-</v>
      </c>
    </row>
    <row r="5284" customFormat="false" ht="15" hidden="false" customHeight="false" outlineLevel="0" collapsed="false">
      <c r="B5284" s="7" t="s">
        <v>19930</v>
      </c>
      <c r="C5284" s="7" t="s">
        <v>5781</v>
      </c>
      <c r="D5284" s="7" t="s">
        <v>321</v>
      </c>
      <c r="E5284" s="7" t="s">
        <v>154</v>
      </c>
      <c r="F5284" s="39" t="n">
        <v>45910</v>
      </c>
      <c r="G5284" s="41" t="n">
        <v>96.19</v>
      </c>
      <c r="H5284" s="39" t="n">
        <v>45977</v>
      </c>
      <c r="I5284" s="7" t="s">
        <v>14651</v>
      </c>
      <c r="J5284" s="8" t="str">
        <f aca="false">IF(I5284="Open",DATE(2025,12,31)-F5284,"-")</f>
        <v>-</v>
      </c>
    </row>
    <row r="5285" customFormat="false" ht="15" hidden="false" customHeight="false" outlineLevel="0" collapsed="false">
      <c r="B5285" s="7" t="s">
        <v>19931</v>
      </c>
      <c r="C5285" s="7" t="s">
        <v>5782</v>
      </c>
      <c r="D5285" s="7" t="s">
        <v>335</v>
      </c>
      <c r="E5285" s="7" t="s">
        <v>154</v>
      </c>
      <c r="F5285" s="39" t="n">
        <v>45910</v>
      </c>
      <c r="G5285" s="41" t="n">
        <v>100.97</v>
      </c>
      <c r="H5285" s="39" t="n">
        <v>46002</v>
      </c>
      <c r="I5285" s="7" t="s">
        <v>14651</v>
      </c>
      <c r="J5285" s="8" t="str">
        <f aca="false">IF(I5285="Open",DATE(2025,12,31)-F5285,"-")</f>
        <v>-</v>
      </c>
    </row>
    <row r="5286" customFormat="false" ht="15" hidden="false" customHeight="false" outlineLevel="0" collapsed="false">
      <c r="B5286" s="7" t="s">
        <v>19932</v>
      </c>
      <c r="C5286" s="7" t="s">
        <v>5783</v>
      </c>
      <c r="D5286" s="7" t="s">
        <v>339</v>
      </c>
      <c r="E5286" s="7" t="s">
        <v>154</v>
      </c>
      <c r="F5286" s="39" t="n">
        <v>45910</v>
      </c>
      <c r="G5286" s="41" t="n">
        <v>81.09</v>
      </c>
      <c r="H5286" s="39" t="n">
        <v>45961</v>
      </c>
      <c r="I5286" s="7" t="s">
        <v>14651</v>
      </c>
      <c r="J5286" s="8" t="str">
        <f aca="false">IF(I5286="Open",DATE(2025,12,31)-F5286,"-")</f>
        <v>-</v>
      </c>
    </row>
    <row r="5287" customFormat="false" ht="15" hidden="false" customHeight="false" outlineLevel="0" collapsed="false">
      <c r="B5287" s="7" t="s">
        <v>19933</v>
      </c>
      <c r="C5287" s="7" t="s">
        <v>5784</v>
      </c>
      <c r="D5287" s="7" t="s">
        <v>347</v>
      </c>
      <c r="E5287" s="7" t="s">
        <v>154</v>
      </c>
      <c r="F5287" s="39" t="n">
        <v>45910</v>
      </c>
      <c r="G5287" s="41" t="n">
        <v>125.08</v>
      </c>
      <c r="H5287" s="39" t="n">
        <v>46007</v>
      </c>
      <c r="I5287" s="7" t="s">
        <v>14651</v>
      </c>
      <c r="J5287" s="8" t="str">
        <f aca="false">IF(I5287="Open",DATE(2025,12,31)-F5287,"-")</f>
        <v>-</v>
      </c>
    </row>
    <row r="5288" customFormat="false" ht="15" hidden="false" customHeight="false" outlineLevel="0" collapsed="false">
      <c r="B5288" s="7" t="s">
        <v>19934</v>
      </c>
      <c r="C5288" s="7" t="s">
        <v>5785</v>
      </c>
      <c r="D5288" s="7" t="s">
        <v>349</v>
      </c>
      <c r="E5288" s="7" t="s">
        <v>154</v>
      </c>
      <c r="F5288" s="39" t="n">
        <v>45910</v>
      </c>
      <c r="G5288" s="41" t="n">
        <v>112.62</v>
      </c>
      <c r="H5288" s="39" t="n">
        <v>46007</v>
      </c>
      <c r="I5288" s="7" t="s">
        <v>14651</v>
      </c>
      <c r="J5288" s="8" t="str">
        <f aca="false">IF(I5288="Open",DATE(2025,12,31)-F5288,"-")</f>
        <v>-</v>
      </c>
    </row>
    <row r="5289" customFormat="false" ht="15" hidden="false" customHeight="false" outlineLevel="0" collapsed="false">
      <c r="B5289" s="7" t="s">
        <v>19935</v>
      </c>
      <c r="C5289" s="7" t="s">
        <v>5786</v>
      </c>
      <c r="D5289" s="7" t="s">
        <v>353</v>
      </c>
      <c r="E5289" s="7" t="s">
        <v>154</v>
      </c>
      <c r="F5289" s="39" t="n">
        <v>45910</v>
      </c>
      <c r="G5289" s="41" t="n">
        <v>87.72</v>
      </c>
      <c r="H5289" s="39" t="n">
        <v>45937</v>
      </c>
      <c r="I5289" s="7" t="s">
        <v>14651</v>
      </c>
      <c r="J5289" s="8" t="str">
        <f aca="false">IF(I5289="Open",DATE(2025,12,31)-F5289,"-")</f>
        <v>-</v>
      </c>
    </row>
    <row r="5290" customFormat="false" ht="15" hidden="false" customHeight="false" outlineLevel="0" collapsed="false">
      <c r="B5290" s="7" t="s">
        <v>19936</v>
      </c>
      <c r="C5290" s="7" t="s">
        <v>5787</v>
      </c>
      <c r="D5290" s="7" t="s">
        <v>355</v>
      </c>
      <c r="E5290" s="7" t="s">
        <v>154</v>
      </c>
      <c r="F5290" s="39" t="n">
        <v>45910</v>
      </c>
      <c r="G5290" s="41" t="n">
        <v>92.03</v>
      </c>
      <c r="H5290" s="39" t="n">
        <v>45983</v>
      </c>
      <c r="I5290" s="7" t="s">
        <v>14651</v>
      </c>
      <c r="J5290" s="8" t="str">
        <f aca="false">IF(I5290="Open",DATE(2025,12,31)-F5290,"-")</f>
        <v>-</v>
      </c>
    </row>
    <row r="5291" customFormat="false" ht="15" hidden="false" customHeight="false" outlineLevel="0" collapsed="false">
      <c r="B5291" s="7" t="s">
        <v>19937</v>
      </c>
      <c r="C5291" s="7" t="s">
        <v>5788</v>
      </c>
      <c r="D5291" s="7" t="s">
        <v>357</v>
      </c>
      <c r="E5291" s="7" t="s">
        <v>154</v>
      </c>
      <c r="F5291" s="39" t="n">
        <v>45910</v>
      </c>
      <c r="G5291" s="41" t="n">
        <v>84</v>
      </c>
      <c r="H5291" s="39" t="n">
        <v>45987</v>
      </c>
      <c r="I5291" s="7" t="s">
        <v>14651</v>
      </c>
      <c r="J5291" s="8" t="str">
        <f aca="false">IF(I5291="Open",DATE(2025,12,31)-F5291,"-")</f>
        <v>-</v>
      </c>
    </row>
    <row r="5292" customFormat="false" ht="15" hidden="false" customHeight="false" outlineLevel="0" collapsed="false">
      <c r="B5292" s="7" t="s">
        <v>19938</v>
      </c>
      <c r="C5292" s="7" t="s">
        <v>5789</v>
      </c>
      <c r="D5292" s="7" t="s">
        <v>359</v>
      </c>
      <c r="E5292" s="7" t="s">
        <v>156</v>
      </c>
      <c r="F5292" s="39" t="n">
        <v>45910</v>
      </c>
      <c r="G5292" s="41" t="n">
        <v>142.46</v>
      </c>
      <c r="H5292" s="39" t="n">
        <v>45933</v>
      </c>
      <c r="I5292" s="7" t="s">
        <v>14651</v>
      </c>
      <c r="J5292" s="8" t="str">
        <f aca="false">IF(I5292="Open",DATE(2025,12,31)-F5292,"-")</f>
        <v>-</v>
      </c>
    </row>
    <row r="5293" customFormat="false" ht="15" hidden="false" customHeight="false" outlineLevel="0" collapsed="false">
      <c r="B5293" s="7" t="s">
        <v>19939</v>
      </c>
      <c r="C5293" s="7" t="s">
        <v>5790</v>
      </c>
      <c r="D5293" s="7" t="s">
        <v>365</v>
      </c>
      <c r="E5293" s="7" t="s">
        <v>154</v>
      </c>
      <c r="F5293" s="39" t="n">
        <v>45910</v>
      </c>
      <c r="G5293" s="41" t="n">
        <v>116.07</v>
      </c>
      <c r="H5293" s="39" t="n">
        <v>45953</v>
      </c>
      <c r="I5293" s="7" t="s">
        <v>14651</v>
      </c>
      <c r="J5293" s="8" t="str">
        <f aca="false">IF(I5293="Open",DATE(2025,12,31)-F5293,"-")</f>
        <v>-</v>
      </c>
    </row>
    <row r="5294" customFormat="false" ht="15" hidden="false" customHeight="false" outlineLevel="0" collapsed="false">
      <c r="B5294" s="7" t="s">
        <v>19940</v>
      </c>
      <c r="C5294" s="7" t="s">
        <v>5791</v>
      </c>
      <c r="D5294" s="7" t="s">
        <v>371</v>
      </c>
      <c r="E5294" s="7" t="s">
        <v>154</v>
      </c>
      <c r="F5294" s="39" t="n">
        <v>45910</v>
      </c>
      <c r="G5294" s="41" t="n">
        <v>124.55</v>
      </c>
      <c r="H5294" s="6" t="s">
        <v>182</v>
      </c>
      <c r="I5294" s="7" t="s">
        <v>19787</v>
      </c>
      <c r="J5294" s="8" t="n">
        <f aca="false">IF(I5294="Open",DATE(2025,12,31)-F5294,"-")</f>
        <v>112</v>
      </c>
    </row>
    <row r="5295" customFormat="false" ht="15" hidden="false" customHeight="false" outlineLevel="0" collapsed="false">
      <c r="B5295" s="7" t="s">
        <v>19941</v>
      </c>
      <c r="C5295" s="7" t="s">
        <v>5792</v>
      </c>
      <c r="D5295" s="7" t="s">
        <v>379</v>
      </c>
      <c r="E5295" s="7" t="s">
        <v>156</v>
      </c>
      <c r="F5295" s="39" t="n">
        <v>45910</v>
      </c>
      <c r="G5295" s="41" t="n">
        <v>167.28</v>
      </c>
      <c r="H5295" s="39" t="n">
        <v>45918</v>
      </c>
      <c r="I5295" s="7" t="s">
        <v>14651</v>
      </c>
      <c r="J5295" s="8" t="str">
        <f aca="false">IF(I5295="Open",DATE(2025,12,31)-F5295,"-")</f>
        <v>-</v>
      </c>
    </row>
    <row r="5296" customFormat="false" ht="15" hidden="false" customHeight="false" outlineLevel="0" collapsed="false">
      <c r="B5296" s="7" t="s">
        <v>19942</v>
      </c>
      <c r="C5296" s="7" t="s">
        <v>5793</v>
      </c>
      <c r="D5296" s="7" t="s">
        <v>385</v>
      </c>
      <c r="E5296" s="7" t="s">
        <v>156</v>
      </c>
      <c r="F5296" s="39" t="n">
        <v>45910</v>
      </c>
      <c r="G5296" s="41" t="n">
        <v>126.48</v>
      </c>
      <c r="H5296" s="39" t="n">
        <v>45922</v>
      </c>
      <c r="I5296" s="7" t="s">
        <v>14651</v>
      </c>
      <c r="J5296" s="8" t="str">
        <f aca="false">IF(I5296="Open",DATE(2025,12,31)-F5296,"-")</f>
        <v>-</v>
      </c>
    </row>
    <row r="5297" customFormat="false" ht="15" hidden="false" customHeight="false" outlineLevel="0" collapsed="false">
      <c r="B5297" s="7" t="s">
        <v>19943</v>
      </c>
      <c r="C5297" s="7" t="s">
        <v>5794</v>
      </c>
      <c r="D5297" s="7" t="s">
        <v>387</v>
      </c>
      <c r="E5297" s="7" t="s">
        <v>154</v>
      </c>
      <c r="F5297" s="39" t="n">
        <v>45910</v>
      </c>
      <c r="G5297" s="41" t="n">
        <v>100.75</v>
      </c>
      <c r="H5297" s="39" t="n">
        <v>45957</v>
      </c>
      <c r="I5297" s="7" t="s">
        <v>14651</v>
      </c>
      <c r="J5297" s="8" t="str">
        <f aca="false">IF(I5297="Open",DATE(2025,12,31)-F5297,"-")</f>
        <v>-</v>
      </c>
    </row>
    <row r="5298" customFormat="false" ht="15" hidden="false" customHeight="false" outlineLevel="0" collapsed="false">
      <c r="B5298" s="7" t="s">
        <v>19944</v>
      </c>
      <c r="C5298" s="7" t="s">
        <v>5795</v>
      </c>
      <c r="D5298" s="7" t="s">
        <v>389</v>
      </c>
      <c r="E5298" s="7" t="s">
        <v>154</v>
      </c>
      <c r="F5298" s="39" t="n">
        <v>45910</v>
      </c>
      <c r="G5298" s="41" t="n">
        <v>114.21</v>
      </c>
      <c r="H5298" s="39" t="n">
        <v>46014</v>
      </c>
      <c r="I5298" s="7" t="s">
        <v>14651</v>
      </c>
      <c r="J5298" s="8" t="str">
        <f aca="false">IF(I5298="Open",DATE(2025,12,31)-F5298,"-")</f>
        <v>-</v>
      </c>
    </row>
    <row r="5299" customFormat="false" ht="15" hidden="false" customHeight="false" outlineLevel="0" collapsed="false">
      <c r="B5299" s="7" t="s">
        <v>19945</v>
      </c>
      <c r="C5299" s="7" t="s">
        <v>5796</v>
      </c>
      <c r="D5299" s="7" t="s">
        <v>391</v>
      </c>
      <c r="E5299" s="7" t="s">
        <v>156</v>
      </c>
      <c r="F5299" s="39" t="n">
        <v>45910</v>
      </c>
      <c r="G5299" s="41" t="n">
        <v>143.82</v>
      </c>
      <c r="H5299" s="39" t="n">
        <v>45920</v>
      </c>
      <c r="I5299" s="7" t="s">
        <v>14651</v>
      </c>
      <c r="J5299" s="8" t="str">
        <f aca="false">IF(I5299="Open",DATE(2025,12,31)-F5299,"-")</f>
        <v>-</v>
      </c>
    </row>
    <row r="5300" customFormat="false" ht="15" hidden="false" customHeight="false" outlineLevel="0" collapsed="false">
      <c r="B5300" s="7" t="s">
        <v>19946</v>
      </c>
      <c r="C5300" s="7" t="s">
        <v>5797</v>
      </c>
      <c r="D5300" s="7" t="s">
        <v>393</v>
      </c>
      <c r="E5300" s="7" t="s">
        <v>157</v>
      </c>
      <c r="F5300" s="39" t="n">
        <v>45910</v>
      </c>
      <c r="G5300" s="41" t="n">
        <v>173.25</v>
      </c>
      <c r="H5300" s="39" t="n">
        <v>45962</v>
      </c>
      <c r="I5300" s="7" t="s">
        <v>14651</v>
      </c>
      <c r="J5300" s="8" t="str">
        <f aca="false">IF(I5300="Open",DATE(2025,12,31)-F5300,"-")</f>
        <v>-</v>
      </c>
    </row>
    <row r="5301" customFormat="false" ht="15" hidden="false" customHeight="false" outlineLevel="0" collapsed="false">
      <c r="B5301" s="7" t="s">
        <v>19947</v>
      </c>
      <c r="C5301" s="7" t="s">
        <v>5798</v>
      </c>
      <c r="D5301" s="7" t="s">
        <v>395</v>
      </c>
      <c r="E5301" s="7" t="s">
        <v>156</v>
      </c>
      <c r="F5301" s="39" t="n">
        <v>45910</v>
      </c>
      <c r="G5301" s="41" t="n">
        <v>147.22</v>
      </c>
      <c r="H5301" s="39" t="n">
        <v>45926</v>
      </c>
      <c r="I5301" s="7" t="s">
        <v>14651</v>
      </c>
      <c r="J5301" s="8" t="str">
        <f aca="false">IF(I5301="Open",DATE(2025,12,31)-F5301,"-")</f>
        <v>-</v>
      </c>
    </row>
    <row r="5302" customFormat="false" ht="15" hidden="false" customHeight="false" outlineLevel="0" collapsed="false">
      <c r="B5302" s="7" t="s">
        <v>19948</v>
      </c>
      <c r="C5302" s="7" t="s">
        <v>5799</v>
      </c>
      <c r="D5302" s="7" t="s">
        <v>399</v>
      </c>
      <c r="E5302" s="7" t="s">
        <v>154</v>
      </c>
      <c r="F5302" s="39" t="n">
        <v>45910</v>
      </c>
      <c r="G5302" s="41" t="n">
        <v>91.77</v>
      </c>
      <c r="H5302" s="39" t="n">
        <v>46016</v>
      </c>
      <c r="I5302" s="7" t="s">
        <v>14651</v>
      </c>
      <c r="J5302" s="8" t="str">
        <f aca="false">IF(I5302="Open",DATE(2025,12,31)-F5302,"-")</f>
        <v>-</v>
      </c>
    </row>
    <row r="5303" customFormat="false" ht="15" hidden="false" customHeight="false" outlineLevel="0" collapsed="false">
      <c r="B5303" s="7" t="s">
        <v>19949</v>
      </c>
      <c r="C5303" s="7" t="s">
        <v>5800</v>
      </c>
      <c r="D5303" s="7" t="s">
        <v>401</v>
      </c>
      <c r="E5303" s="7" t="s">
        <v>156</v>
      </c>
      <c r="F5303" s="39" t="n">
        <v>45910</v>
      </c>
      <c r="G5303" s="41" t="n">
        <v>133.96</v>
      </c>
      <c r="H5303" s="39" t="n">
        <v>45919</v>
      </c>
      <c r="I5303" s="7" t="s">
        <v>14651</v>
      </c>
      <c r="J5303" s="8" t="str">
        <f aca="false">IF(I5303="Open",DATE(2025,12,31)-F5303,"-")</f>
        <v>-</v>
      </c>
    </row>
    <row r="5304" customFormat="false" ht="15" hidden="false" customHeight="false" outlineLevel="0" collapsed="false">
      <c r="B5304" s="7" t="s">
        <v>19950</v>
      </c>
      <c r="C5304" s="7" t="s">
        <v>5801</v>
      </c>
      <c r="D5304" s="7" t="s">
        <v>403</v>
      </c>
      <c r="E5304" s="7" t="s">
        <v>156</v>
      </c>
      <c r="F5304" s="39" t="n">
        <v>45910</v>
      </c>
      <c r="G5304" s="41" t="n">
        <v>149.26</v>
      </c>
      <c r="H5304" s="39" t="n">
        <v>45916</v>
      </c>
      <c r="I5304" s="7" t="s">
        <v>14651</v>
      </c>
      <c r="J5304" s="8" t="str">
        <f aca="false">IF(I5304="Open",DATE(2025,12,31)-F5304,"-")</f>
        <v>-</v>
      </c>
    </row>
    <row r="5305" customFormat="false" ht="15" hidden="false" customHeight="false" outlineLevel="0" collapsed="false">
      <c r="B5305" s="7" t="s">
        <v>19951</v>
      </c>
      <c r="C5305" s="7" t="s">
        <v>5802</v>
      </c>
      <c r="D5305" s="7" t="s">
        <v>409</v>
      </c>
      <c r="E5305" s="7" t="s">
        <v>154</v>
      </c>
      <c r="F5305" s="39" t="n">
        <v>45910</v>
      </c>
      <c r="G5305" s="41" t="n">
        <v>95.93</v>
      </c>
      <c r="H5305" s="39" t="n">
        <v>45962</v>
      </c>
      <c r="I5305" s="7" t="s">
        <v>14651</v>
      </c>
      <c r="J5305" s="8" t="str">
        <f aca="false">IF(I5305="Open",DATE(2025,12,31)-F5305,"-")</f>
        <v>-</v>
      </c>
    </row>
    <row r="5306" customFormat="false" ht="15" hidden="false" customHeight="false" outlineLevel="0" collapsed="false">
      <c r="B5306" s="7" t="s">
        <v>19952</v>
      </c>
      <c r="C5306" s="7" t="s">
        <v>5803</v>
      </c>
      <c r="D5306" s="7" t="s">
        <v>411</v>
      </c>
      <c r="E5306" s="7" t="s">
        <v>154</v>
      </c>
      <c r="F5306" s="39" t="n">
        <v>45910</v>
      </c>
      <c r="G5306" s="41" t="n">
        <v>135.15</v>
      </c>
      <c r="H5306" s="6" t="s">
        <v>182</v>
      </c>
      <c r="I5306" s="7" t="s">
        <v>19787</v>
      </c>
      <c r="J5306" s="8" t="n">
        <f aca="false">IF(I5306="Open",DATE(2025,12,31)-F5306,"-")</f>
        <v>112</v>
      </c>
    </row>
    <row r="5307" customFormat="false" ht="15" hidden="false" customHeight="false" outlineLevel="0" collapsed="false">
      <c r="B5307" s="7" t="s">
        <v>19953</v>
      </c>
      <c r="C5307" s="7" t="s">
        <v>5804</v>
      </c>
      <c r="D5307" s="7" t="s">
        <v>288</v>
      </c>
      <c r="E5307" s="7" t="s">
        <v>156</v>
      </c>
      <c r="F5307" s="39" t="n">
        <v>45911</v>
      </c>
      <c r="G5307" s="41" t="n">
        <v>147.56</v>
      </c>
      <c r="H5307" s="39" t="n">
        <v>45931</v>
      </c>
      <c r="I5307" s="7" t="s">
        <v>14651</v>
      </c>
      <c r="J5307" s="8" t="str">
        <f aca="false">IF(I5307="Open",DATE(2025,12,31)-F5307,"-")</f>
        <v>-</v>
      </c>
    </row>
    <row r="5308" customFormat="false" ht="15" hidden="false" customHeight="false" outlineLevel="0" collapsed="false">
      <c r="B5308" s="7" t="s">
        <v>19954</v>
      </c>
      <c r="C5308" s="7" t="s">
        <v>5805</v>
      </c>
      <c r="D5308" s="7" t="s">
        <v>297</v>
      </c>
      <c r="E5308" s="7" t="s">
        <v>156</v>
      </c>
      <c r="F5308" s="39" t="n">
        <v>45911</v>
      </c>
      <c r="G5308" s="41" t="n">
        <v>94.52</v>
      </c>
      <c r="H5308" s="39" t="n">
        <v>45925</v>
      </c>
      <c r="I5308" s="7" t="s">
        <v>14651</v>
      </c>
      <c r="J5308" s="8" t="str">
        <f aca="false">IF(I5308="Open",DATE(2025,12,31)-F5308,"-")</f>
        <v>-</v>
      </c>
    </row>
    <row r="5309" customFormat="false" ht="15" hidden="false" customHeight="false" outlineLevel="0" collapsed="false">
      <c r="B5309" s="7" t="s">
        <v>19955</v>
      </c>
      <c r="C5309" s="7" t="s">
        <v>5806</v>
      </c>
      <c r="D5309" s="7" t="s">
        <v>311</v>
      </c>
      <c r="E5309" s="7" t="s">
        <v>154</v>
      </c>
      <c r="F5309" s="39" t="n">
        <v>45911</v>
      </c>
      <c r="G5309" s="41" t="n">
        <v>78.7</v>
      </c>
      <c r="H5309" s="39" t="n">
        <v>45988</v>
      </c>
      <c r="I5309" s="7" t="s">
        <v>14651</v>
      </c>
      <c r="J5309" s="8" t="str">
        <f aca="false">IF(I5309="Open",DATE(2025,12,31)-F5309,"-")</f>
        <v>-</v>
      </c>
    </row>
    <row r="5310" customFormat="false" ht="15" hidden="false" customHeight="false" outlineLevel="0" collapsed="false">
      <c r="B5310" s="7" t="s">
        <v>19956</v>
      </c>
      <c r="C5310" s="7" t="s">
        <v>5807</v>
      </c>
      <c r="D5310" s="7" t="s">
        <v>313</v>
      </c>
      <c r="E5310" s="7" t="s">
        <v>156</v>
      </c>
      <c r="F5310" s="39" t="n">
        <v>45911</v>
      </c>
      <c r="G5310" s="41" t="n">
        <v>123.76</v>
      </c>
      <c r="H5310" s="39" t="n">
        <v>45927</v>
      </c>
      <c r="I5310" s="7" t="s">
        <v>14651</v>
      </c>
      <c r="J5310" s="8" t="str">
        <f aca="false">IF(I5310="Open",DATE(2025,12,31)-F5310,"-")</f>
        <v>-</v>
      </c>
    </row>
    <row r="5311" customFormat="false" ht="15" hidden="false" customHeight="false" outlineLevel="0" collapsed="false">
      <c r="B5311" s="7" t="s">
        <v>19957</v>
      </c>
      <c r="C5311" s="7" t="s">
        <v>5808</v>
      </c>
      <c r="D5311" s="7" t="s">
        <v>317</v>
      </c>
      <c r="E5311" s="7" t="s">
        <v>156</v>
      </c>
      <c r="F5311" s="39" t="n">
        <v>45911</v>
      </c>
      <c r="G5311" s="41" t="n">
        <v>98.94</v>
      </c>
      <c r="H5311" s="39" t="n">
        <v>45923</v>
      </c>
      <c r="I5311" s="7" t="s">
        <v>14651</v>
      </c>
      <c r="J5311" s="8" t="str">
        <f aca="false">IF(I5311="Open",DATE(2025,12,31)-F5311,"-")</f>
        <v>-</v>
      </c>
    </row>
    <row r="5312" customFormat="false" ht="15" hidden="false" customHeight="false" outlineLevel="0" collapsed="false">
      <c r="B5312" s="7" t="s">
        <v>19958</v>
      </c>
      <c r="C5312" s="7" t="s">
        <v>5809</v>
      </c>
      <c r="D5312" s="7" t="s">
        <v>321</v>
      </c>
      <c r="E5312" s="7" t="s">
        <v>154</v>
      </c>
      <c r="F5312" s="39" t="n">
        <v>45911</v>
      </c>
      <c r="G5312" s="41" t="n">
        <v>104.12</v>
      </c>
      <c r="H5312" s="6" t="s">
        <v>182</v>
      </c>
      <c r="I5312" s="7" t="s">
        <v>19787</v>
      </c>
      <c r="J5312" s="8" t="n">
        <f aca="false">IF(I5312="Open",DATE(2025,12,31)-F5312,"-")</f>
        <v>111</v>
      </c>
    </row>
    <row r="5313" customFormat="false" ht="15" hidden="false" customHeight="false" outlineLevel="0" collapsed="false">
      <c r="B5313" s="7" t="s">
        <v>19959</v>
      </c>
      <c r="C5313" s="7" t="s">
        <v>5810</v>
      </c>
      <c r="D5313" s="7" t="s">
        <v>325</v>
      </c>
      <c r="E5313" s="7" t="s">
        <v>154</v>
      </c>
      <c r="F5313" s="39" t="n">
        <v>45911</v>
      </c>
      <c r="G5313" s="41" t="n">
        <v>69.91</v>
      </c>
      <c r="H5313" s="39" t="n">
        <v>45985</v>
      </c>
      <c r="I5313" s="7" t="s">
        <v>14651</v>
      </c>
      <c r="J5313" s="8" t="str">
        <f aca="false">IF(I5313="Open",DATE(2025,12,31)-F5313,"-")</f>
        <v>-</v>
      </c>
    </row>
    <row r="5314" customFormat="false" ht="15" hidden="false" customHeight="false" outlineLevel="0" collapsed="false">
      <c r="B5314" s="7" t="s">
        <v>19960</v>
      </c>
      <c r="C5314" s="7" t="s">
        <v>5811</v>
      </c>
      <c r="D5314" s="7" t="s">
        <v>329</v>
      </c>
      <c r="E5314" s="7" t="s">
        <v>156</v>
      </c>
      <c r="F5314" s="39" t="n">
        <v>45911</v>
      </c>
      <c r="G5314" s="41" t="n">
        <v>135.66</v>
      </c>
      <c r="H5314" s="39" t="n">
        <v>45918</v>
      </c>
      <c r="I5314" s="7" t="s">
        <v>14651</v>
      </c>
      <c r="J5314" s="8" t="str">
        <f aca="false">IF(I5314="Open",DATE(2025,12,31)-F5314,"-")</f>
        <v>-</v>
      </c>
    </row>
    <row r="5315" customFormat="false" ht="15" hidden="false" customHeight="false" outlineLevel="0" collapsed="false">
      <c r="B5315" s="7" t="s">
        <v>19961</v>
      </c>
      <c r="C5315" s="7" t="s">
        <v>5812</v>
      </c>
      <c r="D5315" s="7" t="s">
        <v>331</v>
      </c>
      <c r="E5315" s="7" t="s">
        <v>156</v>
      </c>
      <c r="F5315" s="39" t="n">
        <v>45911</v>
      </c>
      <c r="G5315" s="41" t="n">
        <v>140.42</v>
      </c>
      <c r="H5315" s="39" t="n">
        <v>45918</v>
      </c>
      <c r="I5315" s="7" t="s">
        <v>14651</v>
      </c>
      <c r="J5315" s="8" t="str">
        <f aca="false">IF(I5315="Open",DATE(2025,12,31)-F5315,"-")</f>
        <v>-</v>
      </c>
    </row>
    <row r="5316" customFormat="false" ht="15" hidden="false" customHeight="false" outlineLevel="0" collapsed="false">
      <c r="B5316" s="7" t="s">
        <v>19962</v>
      </c>
      <c r="C5316" s="7" t="s">
        <v>5813</v>
      </c>
      <c r="D5316" s="7" t="s">
        <v>341</v>
      </c>
      <c r="E5316" s="7" t="s">
        <v>156</v>
      </c>
      <c r="F5316" s="39" t="n">
        <v>45911</v>
      </c>
      <c r="G5316" s="41" t="n">
        <v>93.84</v>
      </c>
      <c r="H5316" s="39" t="n">
        <v>45924</v>
      </c>
      <c r="I5316" s="7" t="s">
        <v>14651</v>
      </c>
      <c r="J5316" s="8" t="str">
        <f aca="false">IF(I5316="Open",DATE(2025,12,31)-F5316,"-")</f>
        <v>-</v>
      </c>
    </row>
    <row r="5317" customFormat="false" ht="15" hidden="false" customHeight="false" outlineLevel="0" collapsed="false">
      <c r="B5317" s="7" t="s">
        <v>19963</v>
      </c>
      <c r="C5317" s="7" t="s">
        <v>5814</v>
      </c>
      <c r="D5317" s="7" t="s">
        <v>343</v>
      </c>
      <c r="E5317" s="7" t="s">
        <v>154</v>
      </c>
      <c r="F5317" s="39" t="n">
        <v>45911</v>
      </c>
      <c r="G5317" s="41" t="n">
        <v>111.83</v>
      </c>
      <c r="H5317" s="39" t="n">
        <v>45966</v>
      </c>
      <c r="I5317" s="7" t="s">
        <v>14651</v>
      </c>
      <c r="J5317" s="8" t="str">
        <f aca="false">IF(I5317="Open",DATE(2025,12,31)-F5317,"-")</f>
        <v>-</v>
      </c>
    </row>
    <row r="5318" customFormat="false" ht="15" hidden="false" customHeight="false" outlineLevel="0" collapsed="false">
      <c r="B5318" s="7" t="s">
        <v>19964</v>
      </c>
      <c r="C5318" s="7" t="s">
        <v>5815</v>
      </c>
      <c r="D5318" s="7" t="s">
        <v>349</v>
      </c>
      <c r="E5318" s="7" t="s">
        <v>154</v>
      </c>
      <c r="F5318" s="39" t="n">
        <v>45911</v>
      </c>
      <c r="G5318" s="41" t="n">
        <v>109.98</v>
      </c>
      <c r="H5318" s="6" t="s">
        <v>182</v>
      </c>
      <c r="I5318" s="7" t="s">
        <v>19787</v>
      </c>
      <c r="J5318" s="8" t="n">
        <f aca="false">IF(I5318="Open",DATE(2025,12,31)-F5318,"-")</f>
        <v>111</v>
      </c>
    </row>
    <row r="5319" customFormat="false" ht="15" hidden="false" customHeight="false" outlineLevel="0" collapsed="false">
      <c r="B5319" s="7" t="s">
        <v>19965</v>
      </c>
      <c r="C5319" s="7" t="s">
        <v>5816</v>
      </c>
      <c r="D5319" s="7" t="s">
        <v>351</v>
      </c>
      <c r="E5319" s="7" t="s">
        <v>154</v>
      </c>
      <c r="F5319" s="39" t="n">
        <v>45911</v>
      </c>
      <c r="G5319" s="41" t="n">
        <v>82.68</v>
      </c>
      <c r="H5319" s="39" t="n">
        <v>45952</v>
      </c>
      <c r="I5319" s="7" t="s">
        <v>14651</v>
      </c>
      <c r="J5319" s="8" t="str">
        <f aca="false">IF(I5319="Open",DATE(2025,12,31)-F5319,"-")</f>
        <v>-</v>
      </c>
    </row>
    <row r="5320" customFormat="false" ht="15" hidden="false" customHeight="false" outlineLevel="0" collapsed="false">
      <c r="B5320" s="7" t="s">
        <v>19966</v>
      </c>
      <c r="C5320" s="7" t="s">
        <v>5817</v>
      </c>
      <c r="D5320" s="7" t="s">
        <v>359</v>
      </c>
      <c r="E5320" s="7" t="s">
        <v>156</v>
      </c>
      <c r="F5320" s="39" t="n">
        <v>45911</v>
      </c>
      <c r="G5320" s="41" t="n">
        <v>141.1</v>
      </c>
      <c r="H5320" s="39" t="n">
        <v>45917</v>
      </c>
      <c r="I5320" s="7" t="s">
        <v>14651</v>
      </c>
      <c r="J5320" s="8" t="str">
        <f aca="false">IF(I5320="Open",DATE(2025,12,31)-F5320,"-")</f>
        <v>-</v>
      </c>
    </row>
    <row r="5321" customFormat="false" ht="15" hidden="false" customHeight="false" outlineLevel="0" collapsed="false">
      <c r="B5321" s="7" t="s">
        <v>19967</v>
      </c>
      <c r="C5321" s="7" t="s">
        <v>5818</v>
      </c>
      <c r="D5321" s="7" t="s">
        <v>363</v>
      </c>
      <c r="E5321" s="7" t="s">
        <v>156</v>
      </c>
      <c r="F5321" s="39" t="n">
        <v>45911</v>
      </c>
      <c r="G5321" s="41" t="n">
        <v>139.4</v>
      </c>
      <c r="H5321" s="39" t="n">
        <v>45928</v>
      </c>
      <c r="I5321" s="7" t="s">
        <v>14651</v>
      </c>
      <c r="J5321" s="8" t="str">
        <f aca="false">IF(I5321="Open",DATE(2025,12,31)-F5321,"-")</f>
        <v>-</v>
      </c>
    </row>
    <row r="5322" customFormat="false" ht="15" hidden="false" customHeight="false" outlineLevel="0" collapsed="false">
      <c r="B5322" s="7" t="s">
        <v>19968</v>
      </c>
      <c r="C5322" s="7" t="s">
        <v>5819</v>
      </c>
      <c r="D5322" s="7" t="s">
        <v>365</v>
      </c>
      <c r="E5322" s="7" t="s">
        <v>154</v>
      </c>
      <c r="F5322" s="39" t="n">
        <v>45911</v>
      </c>
      <c r="G5322" s="41" t="n">
        <v>115.01</v>
      </c>
      <c r="H5322" s="39" t="n">
        <v>45993</v>
      </c>
      <c r="I5322" s="7" t="s">
        <v>14651</v>
      </c>
      <c r="J5322" s="8" t="str">
        <f aca="false">IF(I5322="Open",DATE(2025,12,31)-F5322,"-")</f>
        <v>-</v>
      </c>
    </row>
    <row r="5323" customFormat="false" ht="15" hidden="false" customHeight="false" outlineLevel="0" collapsed="false">
      <c r="B5323" s="7" t="s">
        <v>19969</v>
      </c>
      <c r="C5323" s="7" t="s">
        <v>5820</v>
      </c>
      <c r="D5323" s="7" t="s">
        <v>375</v>
      </c>
      <c r="E5323" s="7" t="s">
        <v>156</v>
      </c>
      <c r="F5323" s="39" t="n">
        <v>45911</v>
      </c>
      <c r="G5323" s="41" t="n">
        <v>105.74</v>
      </c>
      <c r="H5323" s="39" t="n">
        <v>45921</v>
      </c>
      <c r="I5323" s="7" t="s">
        <v>14651</v>
      </c>
      <c r="J5323" s="8" t="str">
        <f aca="false">IF(I5323="Open",DATE(2025,12,31)-F5323,"-")</f>
        <v>-</v>
      </c>
    </row>
    <row r="5324" customFormat="false" ht="15" hidden="false" customHeight="false" outlineLevel="0" collapsed="false">
      <c r="B5324" s="7" t="s">
        <v>19970</v>
      </c>
      <c r="C5324" s="7" t="s">
        <v>5821</v>
      </c>
      <c r="D5324" s="7" t="s">
        <v>377</v>
      </c>
      <c r="E5324" s="7" t="s">
        <v>154</v>
      </c>
      <c r="F5324" s="39" t="n">
        <v>45911</v>
      </c>
      <c r="G5324" s="41" t="n">
        <v>109.44</v>
      </c>
      <c r="H5324" s="39" t="n">
        <v>45967</v>
      </c>
      <c r="I5324" s="7" t="s">
        <v>14651</v>
      </c>
      <c r="J5324" s="8" t="str">
        <f aca="false">IF(I5324="Open",DATE(2025,12,31)-F5324,"-")</f>
        <v>-</v>
      </c>
    </row>
    <row r="5325" customFormat="false" ht="15" hidden="false" customHeight="false" outlineLevel="0" collapsed="false">
      <c r="B5325" s="7" t="s">
        <v>19971</v>
      </c>
      <c r="C5325" s="7" t="s">
        <v>5822</v>
      </c>
      <c r="D5325" s="7" t="s">
        <v>387</v>
      </c>
      <c r="E5325" s="7" t="s">
        <v>154</v>
      </c>
      <c r="F5325" s="39" t="n">
        <v>45911</v>
      </c>
      <c r="G5325" s="41" t="n">
        <v>112.1</v>
      </c>
      <c r="H5325" s="39" t="n">
        <v>45961</v>
      </c>
      <c r="I5325" s="7" t="s">
        <v>14651</v>
      </c>
      <c r="J5325" s="8" t="str">
        <f aca="false">IF(I5325="Open",DATE(2025,12,31)-F5325,"-")</f>
        <v>-</v>
      </c>
    </row>
    <row r="5326" customFormat="false" ht="15" hidden="false" customHeight="false" outlineLevel="0" collapsed="false">
      <c r="B5326" s="7" t="s">
        <v>19972</v>
      </c>
      <c r="C5326" s="7" t="s">
        <v>5823</v>
      </c>
      <c r="D5326" s="7" t="s">
        <v>391</v>
      </c>
      <c r="E5326" s="7" t="s">
        <v>156</v>
      </c>
      <c r="F5326" s="39" t="n">
        <v>45911</v>
      </c>
      <c r="G5326" s="41" t="n">
        <v>143.14</v>
      </c>
      <c r="H5326" s="39" t="n">
        <v>45913</v>
      </c>
      <c r="I5326" s="7" t="s">
        <v>14651</v>
      </c>
      <c r="J5326" s="8" t="str">
        <f aca="false">IF(I5326="Open",DATE(2025,12,31)-F5326,"-")</f>
        <v>-</v>
      </c>
    </row>
    <row r="5327" customFormat="false" ht="15" hidden="false" customHeight="false" outlineLevel="0" collapsed="false">
      <c r="B5327" s="7" t="s">
        <v>19973</v>
      </c>
      <c r="C5327" s="7" t="s">
        <v>5824</v>
      </c>
      <c r="D5327" s="7" t="s">
        <v>395</v>
      </c>
      <c r="E5327" s="7" t="s">
        <v>156</v>
      </c>
      <c r="F5327" s="39" t="n">
        <v>45911</v>
      </c>
      <c r="G5327" s="41" t="n">
        <v>131.24</v>
      </c>
      <c r="H5327" s="39" t="n">
        <v>45920</v>
      </c>
      <c r="I5327" s="7" t="s">
        <v>14651</v>
      </c>
      <c r="J5327" s="8" t="str">
        <f aca="false">IF(I5327="Open",DATE(2025,12,31)-F5327,"-")</f>
        <v>-</v>
      </c>
    </row>
    <row r="5328" customFormat="false" ht="15" hidden="false" customHeight="false" outlineLevel="0" collapsed="false">
      <c r="B5328" s="7" t="s">
        <v>19974</v>
      </c>
      <c r="C5328" s="7" t="s">
        <v>5825</v>
      </c>
      <c r="D5328" s="7" t="s">
        <v>401</v>
      </c>
      <c r="E5328" s="7" t="s">
        <v>156</v>
      </c>
      <c r="F5328" s="39" t="n">
        <v>45911</v>
      </c>
      <c r="G5328" s="41" t="n">
        <v>147.56</v>
      </c>
      <c r="H5328" s="39" t="n">
        <v>45925</v>
      </c>
      <c r="I5328" s="7" t="s">
        <v>14651</v>
      </c>
      <c r="J5328" s="8" t="str">
        <f aca="false">IF(I5328="Open",DATE(2025,12,31)-F5328,"-")</f>
        <v>-</v>
      </c>
    </row>
    <row r="5329" customFormat="false" ht="15" hidden="false" customHeight="false" outlineLevel="0" collapsed="false">
      <c r="B5329" s="7" t="s">
        <v>19975</v>
      </c>
      <c r="C5329" s="7" t="s">
        <v>5826</v>
      </c>
      <c r="D5329" s="7" t="s">
        <v>288</v>
      </c>
      <c r="E5329" s="7" t="s">
        <v>156</v>
      </c>
      <c r="F5329" s="39" t="n">
        <v>45912</v>
      </c>
      <c r="G5329" s="41" t="n">
        <v>144.16</v>
      </c>
      <c r="H5329" s="39" t="n">
        <v>45921</v>
      </c>
      <c r="I5329" s="7" t="s">
        <v>14651</v>
      </c>
      <c r="J5329" s="8" t="str">
        <f aca="false">IF(I5329="Open",DATE(2025,12,31)-F5329,"-")</f>
        <v>-</v>
      </c>
    </row>
    <row r="5330" customFormat="false" ht="15" hidden="false" customHeight="false" outlineLevel="0" collapsed="false">
      <c r="B5330" s="7" t="s">
        <v>19976</v>
      </c>
      <c r="C5330" s="7" t="s">
        <v>5827</v>
      </c>
      <c r="D5330" s="7" t="s">
        <v>291</v>
      </c>
      <c r="E5330" s="7" t="s">
        <v>154</v>
      </c>
      <c r="F5330" s="39" t="n">
        <v>45912</v>
      </c>
      <c r="G5330" s="41" t="n">
        <v>133.3</v>
      </c>
      <c r="H5330" s="39" t="n">
        <v>45991</v>
      </c>
      <c r="I5330" s="7" t="s">
        <v>14651</v>
      </c>
      <c r="J5330" s="8" t="str">
        <f aca="false">IF(I5330="Open",DATE(2025,12,31)-F5330,"-")</f>
        <v>-</v>
      </c>
    </row>
    <row r="5331" customFormat="false" ht="15" hidden="false" customHeight="false" outlineLevel="0" collapsed="false">
      <c r="B5331" s="7" t="s">
        <v>19977</v>
      </c>
      <c r="C5331" s="7" t="s">
        <v>5828</v>
      </c>
      <c r="D5331" s="7" t="s">
        <v>293</v>
      </c>
      <c r="E5331" s="7" t="s">
        <v>157</v>
      </c>
      <c r="F5331" s="39" t="n">
        <v>45912</v>
      </c>
      <c r="G5331" s="41" t="n">
        <v>142.56</v>
      </c>
      <c r="H5331" s="39" t="n">
        <v>45964</v>
      </c>
      <c r="I5331" s="7" t="s">
        <v>14651</v>
      </c>
      <c r="J5331" s="8" t="str">
        <f aca="false">IF(I5331="Open",DATE(2025,12,31)-F5331,"-")</f>
        <v>-</v>
      </c>
    </row>
    <row r="5332" customFormat="false" ht="15" hidden="false" customHeight="false" outlineLevel="0" collapsed="false">
      <c r="B5332" s="7" t="s">
        <v>19978</v>
      </c>
      <c r="C5332" s="7" t="s">
        <v>5829</v>
      </c>
      <c r="D5332" s="7" t="s">
        <v>295</v>
      </c>
      <c r="E5332" s="7" t="s">
        <v>154</v>
      </c>
      <c r="F5332" s="39" t="n">
        <v>45912</v>
      </c>
      <c r="G5332" s="41" t="n">
        <v>101.55</v>
      </c>
      <c r="H5332" s="39" t="n">
        <v>45993</v>
      </c>
      <c r="I5332" s="7" t="s">
        <v>14651</v>
      </c>
      <c r="J5332" s="8" t="str">
        <f aca="false">IF(I5332="Open",DATE(2025,12,31)-F5332,"-")</f>
        <v>-</v>
      </c>
    </row>
    <row r="5333" customFormat="false" ht="15" hidden="false" customHeight="false" outlineLevel="0" collapsed="false">
      <c r="B5333" s="7" t="s">
        <v>19979</v>
      </c>
      <c r="C5333" s="7" t="s">
        <v>5830</v>
      </c>
      <c r="D5333" s="7" t="s">
        <v>301</v>
      </c>
      <c r="E5333" s="7" t="s">
        <v>157</v>
      </c>
      <c r="F5333" s="39" t="n">
        <v>45912</v>
      </c>
      <c r="G5333" s="41" t="n">
        <v>168.3</v>
      </c>
      <c r="H5333" s="39" t="n">
        <v>45950</v>
      </c>
      <c r="I5333" s="7" t="s">
        <v>14651</v>
      </c>
      <c r="J5333" s="8" t="str">
        <f aca="false">IF(I5333="Open",DATE(2025,12,31)-F5333,"-")</f>
        <v>-</v>
      </c>
    </row>
    <row r="5334" customFormat="false" ht="15" hidden="false" customHeight="false" outlineLevel="0" collapsed="false">
      <c r="B5334" s="7" t="s">
        <v>19980</v>
      </c>
      <c r="C5334" s="7" t="s">
        <v>5831</v>
      </c>
      <c r="D5334" s="7" t="s">
        <v>305</v>
      </c>
      <c r="E5334" s="7" t="s">
        <v>154</v>
      </c>
      <c r="F5334" s="39" t="n">
        <v>45912</v>
      </c>
      <c r="G5334" s="41" t="n">
        <v>111.04</v>
      </c>
      <c r="H5334" s="39" t="n">
        <v>45970</v>
      </c>
      <c r="I5334" s="7" t="s">
        <v>14651</v>
      </c>
      <c r="J5334" s="8" t="str">
        <f aca="false">IF(I5334="Open",DATE(2025,12,31)-F5334,"-")</f>
        <v>-</v>
      </c>
    </row>
    <row r="5335" customFormat="false" ht="15" hidden="false" customHeight="false" outlineLevel="0" collapsed="false">
      <c r="B5335" s="7" t="s">
        <v>19981</v>
      </c>
      <c r="C5335" s="7" t="s">
        <v>5832</v>
      </c>
      <c r="D5335" s="7" t="s">
        <v>307</v>
      </c>
      <c r="E5335" s="7" t="s">
        <v>157</v>
      </c>
      <c r="F5335" s="39" t="n">
        <v>45912</v>
      </c>
      <c r="G5335" s="41" t="n">
        <v>178.2</v>
      </c>
      <c r="H5335" s="39" t="n">
        <v>45946</v>
      </c>
      <c r="I5335" s="7" t="s">
        <v>14651</v>
      </c>
      <c r="J5335" s="8" t="str">
        <f aca="false">IF(I5335="Open",DATE(2025,12,31)-F5335,"-")</f>
        <v>-</v>
      </c>
    </row>
    <row r="5336" customFormat="false" ht="15" hidden="false" customHeight="false" outlineLevel="0" collapsed="false">
      <c r="B5336" s="7" t="s">
        <v>19982</v>
      </c>
      <c r="C5336" s="7" t="s">
        <v>5833</v>
      </c>
      <c r="D5336" s="7" t="s">
        <v>309</v>
      </c>
      <c r="E5336" s="7" t="s">
        <v>159</v>
      </c>
      <c r="F5336" s="39" t="n">
        <v>45912</v>
      </c>
      <c r="G5336" s="41" t="n">
        <v>122.85</v>
      </c>
      <c r="H5336" s="39" t="n">
        <v>45958</v>
      </c>
      <c r="I5336" s="7" t="s">
        <v>14651</v>
      </c>
      <c r="J5336" s="8" t="str">
        <f aca="false">IF(I5336="Open",DATE(2025,12,31)-F5336,"-")</f>
        <v>-</v>
      </c>
    </row>
    <row r="5337" customFormat="false" ht="15" hidden="false" customHeight="false" outlineLevel="0" collapsed="false">
      <c r="B5337" s="7" t="s">
        <v>19983</v>
      </c>
      <c r="C5337" s="7" t="s">
        <v>5834</v>
      </c>
      <c r="D5337" s="7" t="s">
        <v>313</v>
      </c>
      <c r="E5337" s="7" t="s">
        <v>156</v>
      </c>
      <c r="F5337" s="39" t="n">
        <v>45912</v>
      </c>
      <c r="G5337" s="41" t="n">
        <v>140.76</v>
      </c>
      <c r="H5337" s="39" t="n">
        <v>45928</v>
      </c>
      <c r="I5337" s="7" t="s">
        <v>14651</v>
      </c>
      <c r="J5337" s="8" t="str">
        <f aca="false">IF(I5337="Open",DATE(2025,12,31)-F5337,"-")</f>
        <v>-</v>
      </c>
    </row>
    <row r="5338" customFormat="false" ht="15" hidden="false" customHeight="false" outlineLevel="0" collapsed="false">
      <c r="B5338" s="7" t="s">
        <v>19984</v>
      </c>
      <c r="C5338" s="7" t="s">
        <v>5835</v>
      </c>
      <c r="D5338" s="7" t="s">
        <v>315</v>
      </c>
      <c r="E5338" s="7" t="s">
        <v>159</v>
      </c>
      <c r="F5338" s="39" t="n">
        <v>45912</v>
      </c>
      <c r="G5338" s="41" t="n">
        <v>140.4</v>
      </c>
      <c r="H5338" s="39" t="n">
        <v>45965</v>
      </c>
      <c r="I5338" s="7" t="s">
        <v>14651</v>
      </c>
      <c r="J5338" s="8" t="str">
        <f aca="false">IF(I5338="Open",DATE(2025,12,31)-F5338,"-")</f>
        <v>-</v>
      </c>
    </row>
    <row r="5339" customFormat="false" ht="15" hidden="false" customHeight="false" outlineLevel="0" collapsed="false">
      <c r="B5339" s="7" t="s">
        <v>19985</v>
      </c>
      <c r="C5339" s="7" t="s">
        <v>5836</v>
      </c>
      <c r="D5339" s="7" t="s">
        <v>319</v>
      </c>
      <c r="E5339" s="7" t="s">
        <v>157</v>
      </c>
      <c r="F5339" s="39" t="n">
        <v>45912</v>
      </c>
      <c r="G5339" s="41" t="n">
        <v>144.21</v>
      </c>
      <c r="H5339" s="39" t="n">
        <v>45948</v>
      </c>
      <c r="I5339" s="7" t="s">
        <v>14651</v>
      </c>
      <c r="J5339" s="8" t="str">
        <f aca="false">IF(I5339="Open",DATE(2025,12,31)-F5339,"-")</f>
        <v>-</v>
      </c>
    </row>
    <row r="5340" customFormat="false" ht="15" hidden="false" customHeight="false" outlineLevel="0" collapsed="false">
      <c r="B5340" s="7" t="s">
        <v>19986</v>
      </c>
      <c r="C5340" s="7" t="s">
        <v>5837</v>
      </c>
      <c r="D5340" s="7" t="s">
        <v>321</v>
      </c>
      <c r="E5340" s="7" t="s">
        <v>154</v>
      </c>
      <c r="F5340" s="39" t="n">
        <v>45912</v>
      </c>
      <c r="G5340" s="41" t="n">
        <v>93.31</v>
      </c>
      <c r="H5340" s="39" t="n">
        <v>45952</v>
      </c>
      <c r="I5340" s="7" t="s">
        <v>14651</v>
      </c>
      <c r="J5340" s="8" t="str">
        <f aca="false">IF(I5340="Open",DATE(2025,12,31)-F5340,"-")</f>
        <v>-</v>
      </c>
    </row>
    <row r="5341" customFormat="false" ht="15" hidden="false" customHeight="false" outlineLevel="0" collapsed="false">
      <c r="B5341" s="7" t="s">
        <v>19987</v>
      </c>
      <c r="C5341" s="7" t="s">
        <v>5838</v>
      </c>
      <c r="D5341" s="7" t="s">
        <v>323</v>
      </c>
      <c r="E5341" s="7" t="s">
        <v>159</v>
      </c>
      <c r="F5341" s="39" t="n">
        <v>45912</v>
      </c>
      <c r="G5341" s="41" t="n">
        <v>128.11</v>
      </c>
      <c r="H5341" s="39" t="n">
        <v>45989</v>
      </c>
      <c r="I5341" s="7" t="s">
        <v>14651</v>
      </c>
      <c r="J5341" s="8" t="str">
        <f aca="false">IF(I5341="Open",DATE(2025,12,31)-F5341,"-")</f>
        <v>-</v>
      </c>
    </row>
    <row r="5342" customFormat="false" ht="15" hidden="false" customHeight="false" outlineLevel="0" collapsed="false">
      <c r="B5342" s="7" t="s">
        <v>19988</v>
      </c>
      <c r="C5342" s="7" t="s">
        <v>5839</v>
      </c>
      <c r="D5342" s="7" t="s">
        <v>327</v>
      </c>
      <c r="E5342" s="7" t="s">
        <v>157</v>
      </c>
      <c r="F5342" s="39" t="n">
        <v>45912</v>
      </c>
      <c r="G5342" s="41" t="n">
        <v>166.65</v>
      </c>
      <c r="H5342" s="39" t="n">
        <v>45998</v>
      </c>
      <c r="I5342" s="7" t="s">
        <v>14651</v>
      </c>
      <c r="J5342" s="8" t="str">
        <f aca="false">IF(I5342="Open",DATE(2025,12,31)-F5342,"-")</f>
        <v>-</v>
      </c>
    </row>
    <row r="5343" customFormat="false" ht="15" hidden="false" customHeight="false" outlineLevel="0" collapsed="false">
      <c r="B5343" s="7" t="s">
        <v>19989</v>
      </c>
      <c r="C5343" s="7" t="s">
        <v>5840</v>
      </c>
      <c r="D5343" s="7" t="s">
        <v>329</v>
      </c>
      <c r="E5343" s="7" t="s">
        <v>156</v>
      </c>
      <c r="F5343" s="39" t="n">
        <v>45912</v>
      </c>
      <c r="G5343" s="41" t="n">
        <v>148.24</v>
      </c>
      <c r="H5343" s="39" t="n">
        <v>45933</v>
      </c>
      <c r="I5343" s="7" t="s">
        <v>14651</v>
      </c>
      <c r="J5343" s="8" t="str">
        <f aca="false">IF(I5343="Open",DATE(2025,12,31)-F5343,"-")</f>
        <v>-</v>
      </c>
    </row>
    <row r="5344" customFormat="false" ht="15" hidden="false" customHeight="false" outlineLevel="0" collapsed="false">
      <c r="B5344" s="7" t="s">
        <v>19990</v>
      </c>
      <c r="C5344" s="7" t="s">
        <v>5841</v>
      </c>
      <c r="D5344" s="7" t="s">
        <v>335</v>
      </c>
      <c r="E5344" s="7" t="s">
        <v>154</v>
      </c>
      <c r="F5344" s="39" t="n">
        <v>45912</v>
      </c>
      <c r="G5344" s="41" t="n">
        <v>108.38</v>
      </c>
      <c r="H5344" s="6" t="s">
        <v>182</v>
      </c>
      <c r="I5344" s="7" t="s">
        <v>19787</v>
      </c>
      <c r="J5344" s="8" t="n">
        <f aca="false">IF(I5344="Open",DATE(2025,12,31)-F5344,"-")</f>
        <v>110</v>
      </c>
    </row>
    <row r="5345" customFormat="false" ht="15" hidden="false" customHeight="false" outlineLevel="0" collapsed="false">
      <c r="B5345" s="7" t="s">
        <v>19991</v>
      </c>
      <c r="C5345" s="7" t="s">
        <v>5842</v>
      </c>
      <c r="D5345" s="7" t="s">
        <v>339</v>
      </c>
      <c r="E5345" s="7" t="s">
        <v>154</v>
      </c>
      <c r="F5345" s="39" t="n">
        <v>45912</v>
      </c>
      <c r="G5345" s="41" t="n">
        <v>85.86</v>
      </c>
      <c r="H5345" s="39" t="n">
        <v>45980</v>
      </c>
      <c r="I5345" s="7" t="s">
        <v>14651</v>
      </c>
      <c r="J5345" s="8" t="str">
        <f aca="false">IF(I5345="Open",DATE(2025,12,31)-F5345,"-")</f>
        <v>-</v>
      </c>
    </row>
    <row r="5346" customFormat="false" ht="15" hidden="false" customHeight="false" outlineLevel="0" collapsed="false">
      <c r="B5346" s="7" t="s">
        <v>19992</v>
      </c>
      <c r="C5346" s="7" t="s">
        <v>5843</v>
      </c>
      <c r="D5346" s="7" t="s">
        <v>347</v>
      </c>
      <c r="E5346" s="7" t="s">
        <v>154</v>
      </c>
      <c r="F5346" s="39" t="n">
        <v>45912</v>
      </c>
      <c r="G5346" s="41" t="n">
        <v>116.97</v>
      </c>
      <c r="H5346" s="39" t="n">
        <v>45951</v>
      </c>
      <c r="I5346" s="7" t="s">
        <v>14651</v>
      </c>
      <c r="J5346" s="8" t="str">
        <f aca="false">IF(I5346="Open",DATE(2025,12,31)-F5346,"-")</f>
        <v>-</v>
      </c>
    </row>
    <row r="5347" customFormat="false" ht="15" hidden="false" customHeight="false" outlineLevel="0" collapsed="false">
      <c r="B5347" s="7" t="s">
        <v>19993</v>
      </c>
      <c r="C5347" s="7" t="s">
        <v>5844</v>
      </c>
      <c r="D5347" s="7" t="s">
        <v>349</v>
      </c>
      <c r="E5347" s="7" t="s">
        <v>154</v>
      </c>
      <c r="F5347" s="39" t="n">
        <v>45912</v>
      </c>
      <c r="G5347" s="41" t="n">
        <v>99.98</v>
      </c>
      <c r="H5347" s="39" t="n">
        <v>45973</v>
      </c>
      <c r="I5347" s="7" t="s">
        <v>14651</v>
      </c>
      <c r="J5347" s="8" t="str">
        <f aca="false">IF(I5347="Open",DATE(2025,12,31)-F5347,"-")</f>
        <v>-</v>
      </c>
    </row>
    <row r="5348" customFormat="false" ht="15" hidden="false" customHeight="false" outlineLevel="0" collapsed="false">
      <c r="B5348" s="7" t="s">
        <v>19994</v>
      </c>
      <c r="C5348" s="7" t="s">
        <v>5845</v>
      </c>
      <c r="D5348" s="7" t="s">
        <v>353</v>
      </c>
      <c r="E5348" s="7" t="s">
        <v>154</v>
      </c>
      <c r="F5348" s="39" t="n">
        <v>45912</v>
      </c>
      <c r="G5348" s="41" t="n">
        <v>96.46</v>
      </c>
      <c r="H5348" s="39" t="n">
        <v>45947</v>
      </c>
      <c r="I5348" s="7" t="s">
        <v>14651</v>
      </c>
      <c r="J5348" s="8" t="str">
        <f aca="false">IF(I5348="Open",DATE(2025,12,31)-F5348,"-")</f>
        <v>-</v>
      </c>
    </row>
    <row r="5349" customFormat="false" ht="15" hidden="false" customHeight="false" outlineLevel="0" collapsed="false">
      <c r="B5349" s="7" t="s">
        <v>19995</v>
      </c>
      <c r="C5349" s="7" t="s">
        <v>5846</v>
      </c>
      <c r="D5349" s="7" t="s">
        <v>355</v>
      </c>
      <c r="E5349" s="7" t="s">
        <v>154</v>
      </c>
      <c r="F5349" s="39" t="n">
        <v>45912</v>
      </c>
      <c r="G5349" s="41" t="n">
        <v>90.9</v>
      </c>
      <c r="H5349" s="39" t="n">
        <v>45959</v>
      </c>
      <c r="I5349" s="7" t="s">
        <v>14651</v>
      </c>
      <c r="J5349" s="8" t="str">
        <f aca="false">IF(I5349="Open",DATE(2025,12,31)-F5349,"-")</f>
        <v>-</v>
      </c>
    </row>
    <row r="5350" customFormat="false" ht="15" hidden="false" customHeight="false" outlineLevel="0" collapsed="false">
      <c r="B5350" s="7" t="s">
        <v>19996</v>
      </c>
      <c r="C5350" s="7" t="s">
        <v>5847</v>
      </c>
      <c r="D5350" s="7" t="s">
        <v>357</v>
      </c>
      <c r="E5350" s="7" t="s">
        <v>154</v>
      </c>
      <c r="F5350" s="39" t="n">
        <v>45912</v>
      </c>
      <c r="G5350" s="41" t="n">
        <v>92.8</v>
      </c>
      <c r="H5350" s="39" t="n">
        <v>46019</v>
      </c>
      <c r="I5350" s="7" t="s">
        <v>14651</v>
      </c>
      <c r="J5350" s="8" t="str">
        <f aca="false">IF(I5350="Open",DATE(2025,12,31)-F5350,"-")</f>
        <v>-</v>
      </c>
    </row>
    <row r="5351" customFormat="false" ht="15" hidden="false" customHeight="false" outlineLevel="0" collapsed="false">
      <c r="B5351" s="7" t="s">
        <v>19997</v>
      </c>
      <c r="C5351" s="7" t="s">
        <v>5848</v>
      </c>
      <c r="D5351" s="7" t="s">
        <v>359</v>
      </c>
      <c r="E5351" s="7" t="s">
        <v>156</v>
      </c>
      <c r="F5351" s="39" t="n">
        <v>45912</v>
      </c>
      <c r="G5351" s="41" t="n">
        <v>132.94</v>
      </c>
      <c r="H5351" s="39" t="n">
        <v>45928</v>
      </c>
      <c r="I5351" s="7" t="s">
        <v>14651</v>
      </c>
      <c r="J5351" s="8" t="str">
        <f aca="false">IF(I5351="Open",DATE(2025,12,31)-F5351,"-")</f>
        <v>-</v>
      </c>
    </row>
    <row r="5352" customFormat="false" ht="15" hidden="false" customHeight="false" outlineLevel="0" collapsed="false">
      <c r="B5352" s="7" t="s">
        <v>19998</v>
      </c>
      <c r="C5352" s="7" t="s">
        <v>5849</v>
      </c>
      <c r="D5352" s="7" t="s">
        <v>361</v>
      </c>
      <c r="E5352" s="7" t="s">
        <v>157</v>
      </c>
      <c r="F5352" s="39" t="n">
        <v>45912</v>
      </c>
      <c r="G5352" s="41" t="n">
        <v>171.6</v>
      </c>
      <c r="H5352" s="39" t="n">
        <v>45943</v>
      </c>
      <c r="I5352" s="7" t="s">
        <v>14651</v>
      </c>
      <c r="J5352" s="8" t="str">
        <f aca="false">IF(I5352="Open",DATE(2025,12,31)-F5352,"-")</f>
        <v>-</v>
      </c>
    </row>
    <row r="5353" customFormat="false" ht="15" hidden="false" customHeight="false" outlineLevel="0" collapsed="false">
      <c r="B5353" s="7" t="s">
        <v>19999</v>
      </c>
      <c r="C5353" s="7" t="s">
        <v>5850</v>
      </c>
      <c r="D5353" s="7" t="s">
        <v>365</v>
      </c>
      <c r="E5353" s="7" t="s">
        <v>154</v>
      </c>
      <c r="F5353" s="39" t="n">
        <v>45912</v>
      </c>
      <c r="G5353" s="41" t="n">
        <v>100.97</v>
      </c>
      <c r="H5353" s="39" t="n">
        <v>45975</v>
      </c>
      <c r="I5353" s="7" t="s">
        <v>14651</v>
      </c>
      <c r="J5353" s="8" t="str">
        <f aca="false">IF(I5353="Open",DATE(2025,12,31)-F5353,"-")</f>
        <v>-</v>
      </c>
    </row>
    <row r="5354" customFormat="false" ht="15" hidden="false" customHeight="false" outlineLevel="0" collapsed="false">
      <c r="B5354" s="7" t="s">
        <v>20000</v>
      </c>
      <c r="C5354" s="7" t="s">
        <v>5851</v>
      </c>
      <c r="D5354" s="7" t="s">
        <v>369</v>
      </c>
      <c r="E5354" s="7" t="s">
        <v>159</v>
      </c>
      <c r="F5354" s="39" t="n">
        <v>45912</v>
      </c>
      <c r="G5354" s="41" t="n">
        <v>147.15</v>
      </c>
      <c r="H5354" s="39" t="n">
        <v>45963</v>
      </c>
      <c r="I5354" s="7" t="s">
        <v>14651</v>
      </c>
      <c r="J5354" s="8" t="str">
        <f aca="false">IF(I5354="Open",DATE(2025,12,31)-F5354,"-")</f>
        <v>-</v>
      </c>
    </row>
    <row r="5355" customFormat="false" ht="15" hidden="false" customHeight="false" outlineLevel="0" collapsed="false">
      <c r="B5355" s="7" t="s">
        <v>20001</v>
      </c>
      <c r="C5355" s="7" t="s">
        <v>5852</v>
      </c>
      <c r="D5355" s="7" t="s">
        <v>371</v>
      </c>
      <c r="E5355" s="7" t="s">
        <v>154</v>
      </c>
      <c r="F5355" s="39" t="n">
        <v>45912</v>
      </c>
      <c r="G5355" s="41" t="n">
        <v>118.45</v>
      </c>
      <c r="H5355" s="39" t="n">
        <v>45949</v>
      </c>
      <c r="I5355" s="7" t="s">
        <v>14651</v>
      </c>
      <c r="J5355" s="8" t="str">
        <f aca="false">IF(I5355="Open",DATE(2025,12,31)-F5355,"-")</f>
        <v>-</v>
      </c>
    </row>
    <row r="5356" customFormat="false" ht="15" hidden="false" customHeight="false" outlineLevel="0" collapsed="false">
      <c r="B5356" s="7" t="s">
        <v>20002</v>
      </c>
      <c r="C5356" s="7" t="s">
        <v>5853</v>
      </c>
      <c r="D5356" s="7" t="s">
        <v>379</v>
      </c>
      <c r="E5356" s="7" t="s">
        <v>156</v>
      </c>
      <c r="F5356" s="39" t="n">
        <v>45912</v>
      </c>
      <c r="G5356" s="41" t="n">
        <v>154.7</v>
      </c>
      <c r="H5356" s="39" t="n">
        <v>45922</v>
      </c>
      <c r="I5356" s="7" t="s">
        <v>14651</v>
      </c>
      <c r="J5356" s="8" t="str">
        <f aca="false">IF(I5356="Open",DATE(2025,12,31)-F5356,"-")</f>
        <v>-</v>
      </c>
    </row>
    <row r="5357" customFormat="false" ht="15" hidden="false" customHeight="false" outlineLevel="0" collapsed="false">
      <c r="B5357" s="7" t="s">
        <v>20003</v>
      </c>
      <c r="C5357" s="7" t="s">
        <v>5854</v>
      </c>
      <c r="D5357" s="7" t="s">
        <v>381</v>
      </c>
      <c r="E5357" s="7" t="s">
        <v>157</v>
      </c>
      <c r="F5357" s="39" t="n">
        <v>45912</v>
      </c>
      <c r="G5357" s="41" t="n">
        <v>165</v>
      </c>
      <c r="H5357" s="39" t="n">
        <v>45960</v>
      </c>
      <c r="I5357" s="7" t="s">
        <v>14651</v>
      </c>
      <c r="J5357" s="8" t="str">
        <f aca="false">IF(I5357="Open",DATE(2025,12,31)-F5357,"-")</f>
        <v>-</v>
      </c>
    </row>
    <row r="5358" customFormat="false" ht="15" hidden="false" customHeight="false" outlineLevel="0" collapsed="false">
      <c r="B5358" s="7" t="s">
        <v>20004</v>
      </c>
      <c r="C5358" s="7" t="s">
        <v>5855</v>
      </c>
      <c r="D5358" s="7" t="s">
        <v>383</v>
      </c>
      <c r="E5358" s="7" t="s">
        <v>157</v>
      </c>
      <c r="F5358" s="39" t="n">
        <v>45912</v>
      </c>
      <c r="G5358" s="41" t="n">
        <v>153.45</v>
      </c>
      <c r="H5358" s="39" t="n">
        <v>45951</v>
      </c>
      <c r="I5358" s="7" t="s">
        <v>14651</v>
      </c>
      <c r="J5358" s="8" t="str">
        <f aca="false">IF(I5358="Open",DATE(2025,12,31)-F5358,"-")</f>
        <v>-</v>
      </c>
    </row>
    <row r="5359" customFormat="false" ht="15" hidden="false" customHeight="false" outlineLevel="0" collapsed="false">
      <c r="B5359" s="7" t="s">
        <v>20005</v>
      </c>
      <c r="C5359" s="7" t="s">
        <v>5856</v>
      </c>
      <c r="D5359" s="7" t="s">
        <v>385</v>
      </c>
      <c r="E5359" s="7" t="s">
        <v>156</v>
      </c>
      <c r="F5359" s="39" t="n">
        <v>45912</v>
      </c>
      <c r="G5359" s="41" t="n">
        <v>139.74</v>
      </c>
      <c r="H5359" s="39" t="n">
        <v>45922</v>
      </c>
      <c r="I5359" s="7" t="s">
        <v>14651</v>
      </c>
      <c r="J5359" s="8" t="str">
        <f aca="false">IF(I5359="Open",DATE(2025,12,31)-F5359,"-")</f>
        <v>-</v>
      </c>
    </row>
    <row r="5360" customFormat="false" ht="15" hidden="false" customHeight="false" outlineLevel="0" collapsed="false">
      <c r="B5360" s="7" t="s">
        <v>20006</v>
      </c>
      <c r="C5360" s="7" t="s">
        <v>5857</v>
      </c>
      <c r="D5360" s="7" t="s">
        <v>387</v>
      </c>
      <c r="E5360" s="7" t="s">
        <v>154</v>
      </c>
      <c r="F5360" s="39" t="n">
        <v>45912</v>
      </c>
      <c r="G5360" s="41" t="n">
        <v>99.91</v>
      </c>
      <c r="H5360" s="39" t="n">
        <v>45945</v>
      </c>
      <c r="I5360" s="7" t="s">
        <v>14651</v>
      </c>
      <c r="J5360" s="8" t="str">
        <f aca="false">IF(I5360="Open",DATE(2025,12,31)-F5360,"-")</f>
        <v>-</v>
      </c>
    </row>
    <row r="5361" customFormat="false" ht="15" hidden="false" customHeight="false" outlineLevel="0" collapsed="false">
      <c r="B5361" s="7" t="s">
        <v>20007</v>
      </c>
      <c r="C5361" s="7" t="s">
        <v>5858</v>
      </c>
      <c r="D5361" s="7" t="s">
        <v>389</v>
      </c>
      <c r="E5361" s="7" t="s">
        <v>154</v>
      </c>
      <c r="F5361" s="39" t="n">
        <v>45912</v>
      </c>
      <c r="G5361" s="41" t="n">
        <v>111.04</v>
      </c>
      <c r="H5361" s="39" t="n">
        <v>45986</v>
      </c>
      <c r="I5361" s="7" t="s">
        <v>14651</v>
      </c>
      <c r="J5361" s="8" t="str">
        <f aca="false">IF(I5361="Open",DATE(2025,12,31)-F5361,"-")</f>
        <v>-</v>
      </c>
    </row>
    <row r="5362" customFormat="false" ht="15" hidden="false" customHeight="false" outlineLevel="0" collapsed="false">
      <c r="B5362" s="7" t="s">
        <v>20008</v>
      </c>
      <c r="C5362" s="7" t="s">
        <v>5859</v>
      </c>
      <c r="D5362" s="7" t="s">
        <v>391</v>
      </c>
      <c r="E5362" s="7" t="s">
        <v>156</v>
      </c>
      <c r="F5362" s="39" t="n">
        <v>45912</v>
      </c>
      <c r="G5362" s="41" t="n">
        <v>137.02</v>
      </c>
      <c r="H5362" s="39" t="n">
        <v>45921</v>
      </c>
      <c r="I5362" s="7" t="s">
        <v>14651</v>
      </c>
      <c r="J5362" s="8" t="str">
        <f aca="false">IF(I5362="Open",DATE(2025,12,31)-F5362,"-")</f>
        <v>-</v>
      </c>
    </row>
    <row r="5363" customFormat="false" ht="15" hidden="false" customHeight="false" outlineLevel="0" collapsed="false">
      <c r="B5363" s="7" t="s">
        <v>20009</v>
      </c>
      <c r="C5363" s="7" t="s">
        <v>5860</v>
      </c>
      <c r="D5363" s="7" t="s">
        <v>395</v>
      </c>
      <c r="E5363" s="7" t="s">
        <v>156</v>
      </c>
      <c r="F5363" s="39" t="n">
        <v>45912</v>
      </c>
      <c r="G5363" s="41" t="n">
        <v>127.5</v>
      </c>
      <c r="H5363" s="39" t="n">
        <v>45920</v>
      </c>
      <c r="I5363" s="7" t="s">
        <v>14651</v>
      </c>
      <c r="J5363" s="8" t="str">
        <f aca="false">IF(I5363="Open",DATE(2025,12,31)-F5363,"-")</f>
        <v>-</v>
      </c>
    </row>
    <row r="5364" customFormat="false" ht="15" hidden="false" customHeight="false" outlineLevel="0" collapsed="false">
      <c r="B5364" s="7" t="s">
        <v>20010</v>
      </c>
      <c r="C5364" s="7" t="s">
        <v>5861</v>
      </c>
      <c r="D5364" s="7" t="s">
        <v>397</v>
      </c>
      <c r="E5364" s="7" t="s">
        <v>159</v>
      </c>
      <c r="F5364" s="39" t="n">
        <v>45912</v>
      </c>
      <c r="G5364" s="41" t="n">
        <v>125.55</v>
      </c>
      <c r="H5364" s="39" t="n">
        <v>45959</v>
      </c>
      <c r="I5364" s="7" t="s">
        <v>14651</v>
      </c>
      <c r="J5364" s="8" t="str">
        <f aca="false">IF(I5364="Open",DATE(2025,12,31)-F5364,"-")</f>
        <v>-</v>
      </c>
    </row>
    <row r="5365" customFormat="false" ht="15" hidden="false" customHeight="false" outlineLevel="0" collapsed="false">
      <c r="B5365" s="7" t="s">
        <v>20011</v>
      </c>
      <c r="C5365" s="7" t="s">
        <v>5862</v>
      </c>
      <c r="D5365" s="7" t="s">
        <v>399</v>
      </c>
      <c r="E5365" s="7" t="s">
        <v>154</v>
      </c>
      <c r="F5365" s="39" t="n">
        <v>45912</v>
      </c>
      <c r="G5365" s="41" t="n">
        <v>94.6</v>
      </c>
      <c r="H5365" s="39" t="n">
        <v>45991</v>
      </c>
      <c r="I5365" s="7" t="s">
        <v>14651</v>
      </c>
      <c r="J5365" s="8" t="str">
        <f aca="false">IF(I5365="Open",DATE(2025,12,31)-F5365,"-")</f>
        <v>-</v>
      </c>
    </row>
    <row r="5366" customFormat="false" ht="15" hidden="false" customHeight="false" outlineLevel="0" collapsed="false">
      <c r="B5366" s="7" t="s">
        <v>20012</v>
      </c>
      <c r="C5366" s="7" t="s">
        <v>5863</v>
      </c>
      <c r="D5366" s="7" t="s">
        <v>401</v>
      </c>
      <c r="E5366" s="7" t="s">
        <v>156</v>
      </c>
      <c r="F5366" s="39" t="n">
        <v>45912</v>
      </c>
      <c r="G5366" s="41" t="n">
        <v>139.74</v>
      </c>
      <c r="H5366" s="39" t="n">
        <v>45925</v>
      </c>
      <c r="I5366" s="7" t="s">
        <v>14651</v>
      </c>
      <c r="J5366" s="8" t="str">
        <f aca="false">IF(I5366="Open",DATE(2025,12,31)-F5366,"-")</f>
        <v>-</v>
      </c>
    </row>
    <row r="5367" customFormat="false" ht="15" hidden="false" customHeight="false" outlineLevel="0" collapsed="false">
      <c r="B5367" s="7" t="s">
        <v>20013</v>
      </c>
      <c r="C5367" s="7" t="s">
        <v>5864</v>
      </c>
      <c r="D5367" s="7" t="s">
        <v>403</v>
      </c>
      <c r="E5367" s="7" t="s">
        <v>156</v>
      </c>
      <c r="F5367" s="39" t="n">
        <v>45912</v>
      </c>
      <c r="G5367" s="41" t="n">
        <v>123.76</v>
      </c>
      <c r="H5367" s="39" t="n">
        <v>45926</v>
      </c>
      <c r="I5367" s="7" t="s">
        <v>14651</v>
      </c>
      <c r="J5367" s="8" t="str">
        <f aca="false">IF(I5367="Open",DATE(2025,12,31)-F5367,"-")</f>
        <v>-</v>
      </c>
    </row>
    <row r="5368" customFormat="false" ht="15" hidden="false" customHeight="false" outlineLevel="0" collapsed="false">
      <c r="B5368" s="7" t="s">
        <v>20014</v>
      </c>
      <c r="C5368" s="7" t="s">
        <v>5865</v>
      </c>
      <c r="D5368" s="7" t="s">
        <v>407</v>
      </c>
      <c r="E5368" s="7" t="s">
        <v>159</v>
      </c>
      <c r="F5368" s="39" t="n">
        <v>45912</v>
      </c>
      <c r="G5368" s="41" t="n">
        <v>147.15</v>
      </c>
      <c r="H5368" s="39" t="n">
        <v>45941</v>
      </c>
      <c r="I5368" s="7" t="s">
        <v>14651</v>
      </c>
      <c r="J5368" s="8" t="str">
        <f aca="false">IF(I5368="Open",DATE(2025,12,31)-F5368,"-")</f>
        <v>-</v>
      </c>
    </row>
    <row r="5369" customFormat="false" ht="15" hidden="false" customHeight="false" outlineLevel="0" collapsed="false">
      <c r="B5369" s="7" t="s">
        <v>20015</v>
      </c>
      <c r="C5369" s="7" t="s">
        <v>5866</v>
      </c>
      <c r="D5369" s="7" t="s">
        <v>411</v>
      </c>
      <c r="E5369" s="7" t="s">
        <v>154</v>
      </c>
      <c r="F5369" s="39" t="n">
        <v>45912</v>
      </c>
      <c r="G5369" s="41" t="n">
        <v>113.42</v>
      </c>
      <c r="H5369" s="39" t="n">
        <v>45984</v>
      </c>
      <c r="I5369" s="7" t="s">
        <v>14651</v>
      </c>
      <c r="J5369" s="8" t="str">
        <f aca="false">IF(I5369="Open",DATE(2025,12,31)-F5369,"-")</f>
        <v>-</v>
      </c>
    </row>
    <row r="5370" customFormat="false" ht="15" hidden="false" customHeight="false" outlineLevel="0" collapsed="false">
      <c r="B5370" s="7" t="s">
        <v>20016</v>
      </c>
      <c r="C5370" s="7" t="s">
        <v>5867</v>
      </c>
      <c r="D5370" s="7" t="s">
        <v>288</v>
      </c>
      <c r="E5370" s="7" t="s">
        <v>156</v>
      </c>
      <c r="F5370" s="39" t="n">
        <v>45913</v>
      </c>
      <c r="G5370" s="41" t="n">
        <v>126.14</v>
      </c>
      <c r="H5370" s="39" t="n">
        <v>45924</v>
      </c>
      <c r="I5370" s="7" t="s">
        <v>14651</v>
      </c>
      <c r="J5370" s="8" t="str">
        <f aca="false">IF(I5370="Open",DATE(2025,12,31)-F5370,"-")</f>
        <v>-</v>
      </c>
    </row>
    <row r="5371" customFormat="false" ht="15" hidden="false" customHeight="false" outlineLevel="0" collapsed="false">
      <c r="B5371" s="7" t="s">
        <v>20017</v>
      </c>
      <c r="C5371" s="7" t="s">
        <v>5868</v>
      </c>
      <c r="D5371" s="7" t="s">
        <v>321</v>
      </c>
      <c r="E5371" s="7" t="s">
        <v>154</v>
      </c>
      <c r="F5371" s="39" t="n">
        <v>45913</v>
      </c>
      <c r="G5371" s="41" t="n">
        <v>102.56</v>
      </c>
      <c r="H5371" s="39" t="n">
        <v>45967</v>
      </c>
      <c r="I5371" s="7" t="s">
        <v>14651</v>
      </c>
      <c r="J5371" s="8" t="str">
        <f aca="false">IF(I5371="Open",DATE(2025,12,31)-F5371,"-")</f>
        <v>-</v>
      </c>
    </row>
    <row r="5372" customFormat="false" ht="15" hidden="false" customHeight="false" outlineLevel="0" collapsed="false">
      <c r="B5372" s="7" t="s">
        <v>20018</v>
      </c>
      <c r="C5372" s="7" t="s">
        <v>5869</v>
      </c>
      <c r="D5372" s="7" t="s">
        <v>359</v>
      </c>
      <c r="E5372" s="7" t="s">
        <v>156</v>
      </c>
      <c r="F5372" s="39" t="n">
        <v>45913</v>
      </c>
      <c r="G5372" s="41" t="n">
        <v>131.58</v>
      </c>
      <c r="H5372" s="39" t="n">
        <v>45925</v>
      </c>
      <c r="I5372" s="7" t="s">
        <v>14651</v>
      </c>
      <c r="J5372" s="8" t="str">
        <f aca="false">IF(I5372="Open",DATE(2025,12,31)-F5372,"-")</f>
        <v>-</v>
      </c>
    </row>
    <row r="5373" customFormat="false" ht="15" hidden="false" customHeight="false" outlineLevel="0" collapsed="false">
      <c r="B5373" s="7" t="s">
        <v>20019</v>
      </c>
      <c r="C5373" s="7" t="s">
        <v>5870</v>
      </c>
      <c r="D5373" s="7" t="s">
        <v>387</v>
      </c>
      <c r="E5373" s="7" t="s">
        <v>154</v>
      </c>
      <c r="F5373" s="39" t="n">
        <v>45913</v>
      </c>
      <c r="G5373" s="41" t="n">
        <v>106.8</v>
      </c>
      <c r="H5373" s="39" t="n">
        <v>45963</v>
      </c>
      <c r="I5373" s="7" t="s">
        <v>14651</v>
      </c>
      <c r="J5373" s="8" t="str">
        <f aca="false">IF(I5373="Open",DATE(2025,12,31)-F5373,"-")</f>
        <v>-</v>
      </c>
    </row>
    <row r="5374" customFormat="false" ht="15" hidden="false" customHeight="false" outlineLevel="0" collapsed="false">
      <c r="B5374" s="7" t="s">
        <v>20020</v>
      </c>
      <c r="C5374" s="7" t="s">
        <v>5871</v>
      </c>
      <c r="D5374" s="7" t="s">
        <v>391</v>
      </c>
      <c r="E5374" s="7" t="s">
        <v>156</v>
      </c>
      <c r="F5374" s="39" t="n">
        <v>45913</v>
      </c>
      <c r="G5374" s="41" t="n">
        <v>127.5</v>
      </c>
      <c r="H5374" s="39" t="n">
        <v>45924</v>
      </c>
      <c r="I5374" s="7" t="s">
        <v>14651</v>
      </c>
      <c r="J5374" s="8" t="str">
        <f aca="false">IF(I5374="Open",DATE(2025,12,31)-F5374,"-")</f>
        <v>-</v>
      </c>
    </row>
    <row r="5375" customFormat="false" ht="15" hidden="false" customHeight="false" outlineLevel="0" collapsed="false">
      <c r="B5375" s="7" t="s">
        <v>20021</v>
      </c>
      <c r="C5375" s="7" t="s">
        <v>5872</v>
      </c>
      <c r="D5375" s="7" t="s">
        <v>395</v>
      </c>
      <c r="E5375" s="7" t="s">
        <v>156</v>
      </c>
      <c r="F5375" s="39" t="n">
        <v>45913</v>
      </c>
      <c r="G5375" s="41" t="n">
        <v>143.48</v>
      </c>
      <c r="H5375" s="39" t="n">
        <v>45914</v>
      </c>
      <c r="I5375" s="7" t="s">
        <v>14651</v>
      </c>
      <c r="J5375" s="8" t="str">
        <f aca="false">IF(I5375="Open",DATE(2025,12,31)-F5375,"-")</f>
        <v>-</v>
      </c>
    </row>
    <row r="5376" customFormat="false" ht="15" hidden="false" customHeight="false" outlineLevel="0" collapsed="false">
      <c r="B5376" s="7" t="s">
        <v>20022</v>
      </c>
      <c r="C5376" s="7" t="s">
        <v>5873</v>
      </c>
      <c r="D5376" s="7" t="s">
        <v>401</v>
      </c>
      <c r="E5376" s="7" t="s">
        <v>156</v>
      </c>
      <c r="F5376" s="39" t="n">
        <v>45913</v>
      </c>
      <c r="G5376" s="41" t="n">
        <v>128.52</v>
      </c>
      <c r="H5376" s="39" t="n">
        <v>45928</v>
      </c>
      <c r="I5376" s="7" t="s">
        <v>14651</v>
      </c>
      <c r="J5376" s="8" t="str">
        <f aca="false">IF(I5376="Open",DATE(2025,12,31)-F5376,"-")</f>
        <v>-</v>
      </c>
    </row>
    <row r="5377" customFormat="false" ht="15" hidden="false" customHeight="false" outlineLevel="0" collapsed="false">
      <c r="B5377" s="7" t="s">
        <v>20023</v>
      </c>
      <c r="C5377" s="7" t="s">
        <v>5874</v>
      </c>
      <c r="D5377" s="7" t="s">
        <v>288</v>
      </c>
      <c r="E5377" s="7" t="s">
        <v>156</v>
      </c>
      <c r="F5377" s="39" t="n">
        <v>45914</v>
      </c>
      <c r="G5377" s="41" t="n">
        <v>144.16</v>
      </c>
      <c r="H5377" s="39" t="n">
        <v>45924</v>
      </c>
      <c r="I5377" s="7" t="s">
        <v>14651</v>
      </c>
      <c r="J5377" s="8" t="str">
        <f aca="false">IF(I5377="Open",DATE(2025,12,31)-F5377,"-")</f>
        <v>-</v>
      </c>
    </row>
    <row r="5378" customFormat="false" ht="15" hidden="false" customHeight="false" outlineLevel="0" collapsed="false">
      <c r="B5378" s="7" t="s">
        <v>20024</v>
      </c>
      <c r="C5378" s="7" t="s">
        <v>5875</v>
      </c>
      <c r="D5378" s="7" t="s">
        <v>321</v>
      </c>
      <c r="E5378" s="7" t="s">
        <v>154</v>
      </c>
      <c r="F5378" s="39" t="n">
        <v>45914</v>
      </c>
      <c r="G5378" s="41" t="n">
        <v>98.31</v>
      </c>
      <c r="H5378" s="39" t="n">
        <v>45947</v>
      </c>
      <c r="I5378" s="7" t="s">
        <v>14651</v>
      </c>
      <c r="J5378" s="8" t="str">
        <f aca="false">IF(I5378="Open",DATE(2025,12,31)-F5378,"-")</f>
        <v>-</v>
      </c>
    </row>
    <row r="5379" customFormat="false" ht="15" hidden="false" customHeight="false" outlineLevel="0" collapsed="false">
      <c r="B5379" s="7" t="s">
        <v>20025</v>
      </c>
      <c r="C5379" s="7" t="s">
        <v>5876</v>
      </c>
      <c r="D5379" s="7" t="s">
        <v>359</v>
      </c>
      <c r="E5379" s="7" t="s">
        <v>156</v>
      </c>
      <c r="F5379" s="39" t="n">
        <v>45914</v>
      </c>
      <c r="G5379" s="41" t="n">
        <v>124.44</v>
      </c>
      <c r="H5379" s="39" t="n">
        <v>45925</v>
      </c>
      <c r="I5379" s="7" t="s">
        <v>14651</v>
      </c>
      <c r="J5379" s="8" t="str">
        <f aca="false">IF(I5379="Open",DATE(2025,12,31)-F5379,"-")</f>
        <v>-</v>
      </c>
    </row>
    <row r="5380" customFormat="false" ht="15" hidden="false" customHeight="false" outlineLevel="0" collapsed="false">
      <c r="B5380" s="7" t="s">
        <v>20026</v>
      </c>
      <c r="C5380" s="7" t="s">
        <v>5877</v>
      </c>
      <c r="D5380" s="7" t="s">
        <v>387</v>
      </c>
      <c r="E5380" s="7" t="s">
        <v>154</v>
      </c>
      <c r="F5380" s="39" t="n">
        <v>45914</v>
      </c>
      <c r="G5380" s="41" t="n">
        <v>110.24</v>
      </c>
      <c r="H5380" s="39" t="n">
        <v>46012</v>
      </c>
      <c r="I5380" s="7" t="s">
        <v>14651</v>
      </c>
      <c r="J5380" s="8" t="str">
        <f aca="false">IF(I5380="Open",DATE(2025,12,31)-F5380,"-")</f>
        <v>-</v>
      </c>
    </row>
    <row r="5381" customFormat="false" ht="15" hidden="false" customHeight="false" outlineLevel="0" collapsed="false">
      <c r="B5381" s="7" t="s">
        <v>20027</v>
      </c>
      <c r="C5381" s="7" t="s">
        <v>5878</v>
      </c>
      <c r="D5381" s="7" t="s">
        <v>391</v>
      </c>
      <c r="E5381" s="7" t="s">
        <v>156</v>
      </c>
      <c r="F5381" s="39" t="n">
        <v>45914</v>
      </c>
      <c r="G5381" s="41" t="n">
        <v>125.46</v>
      </c>
      <c r="H5381" s="39" t="n">
        <v>45929</v>
      </c>
      <c r="I5381" s="7" t="s">
        <v>14651</v>
      </c>
      <c r="J5381" s="8" t="str">
        <f aca="false">IF(I5381="Open",DATE(2025,12,31)-F5381,"-")</f>
        <v>-</v>
      </c>
    </row>
    <row r="5382" customFormat="false" ht="15" hidden="false" customHeight="false" outlineLevel="0" collapsed="false">
      <c r="B5382" s="7" t="s">
        <v>20028</v>
      </c>
      <c r="C5382" s="7" t="s">
        <v>5879</v>
      </c>
      <c r="D5382" s="7" t="s">
        <v>395</v>
      </c>
      <c r="E5382" s="7" t="s">
        <v>156</v>
      </c>
      <c r="F5382" s="39" t="n">
        <v>45914</v>
      </c>
      <c r="G5382" s="41" t="n">
        <v>128.52</v>
      </c>
      <c r="H5382" s="39" t="n">
        <v>45931</v>
      </c>
      <c r="I5382" s="7" t="s">
        <v>14651</v>
      </c>
      <c r="J5382" s="8" t="str">
        <f aca="false">IF(I5382="Open",DATE(2025,12,31)-F5382,"-")</f>
        <v>-</v>
      </c>
    </row>
    <row r="5383" customFormat="false" ht="15" hidden="false" customHeight="false" outlineLevel="0" collapsed="false">
      <c r="B5383" s="7" t="s">
        <v>20029</v>
      </c>
      <c r="C5383" s="7" t="s">
        <v>5880</v>
      </c>
      <c r="D5383" s="7" t="s">
        <v>401</v>
      </c>
      <c r="E5383" s="7" t="s">
        <v>156</v>
      </c>
      <c r="F5383" s="39" t="n">
        <v>45914</v>
      </c>
      <c r="G5383" s="41" t="n">
        <v>127.5</v>
      </c>
      <c r="H5383" s="39" t="n">
        <v>45926</v>
      </c>
      <c r="I5383" s="7" t="s">
        <v>14651</v>
      </c>
      <c r="J5383" s="8" t="str">
        <f aca="false">IF(I5383="Open",DATE(2025,12,31)-F5383,"-")</f>
        <v>-</v>
      </c>
    </row>
    <row r="5384" customFormat="false" ht="15" hidden="false" customHeight="false" outlineLevel="0" collapsed="false">
      <c r="B5384" s="7" t="s">
        <v>20030</v>
      </c>
      <c r="C5384" s="7" t="s">
        <v>5881</v>
      </c>
      <c r="D5384" s="7" t="s">
        <v>288</v>
      </c>
      <c r="E5384" s="7" t="s">
        <v>156</v>
      </c>
      <c r="F5384" s="39" t="n">
        <v>45915</v>
      </c>
      <c r="G5384" s="41" t="n">
        <v>140.08</v>
      </c>
      <c r="H5384" s="39" t="n">
        <v>45923</v>
      </c>
      <c r="I5384" s="7" t="s">
        <v>14651</v>
      </c>
      <c r="J5384" s="8" t="str">
        <f aca="false">IF(I5384="Open",DATE(2025,12,31)-F5384,"-")</f>
        <v>-</v>
      </c>
    </row>
    <row r="5385" customFormat="false" ht="15" hidden="false" customHeight="false" outlineLevel="0" collapsed="false">
      <c r="B5385" s="7" t="s">
        <v>20031</v>
      </c>
      <c r="C5385" s="7" t="s">
        <v>5882</v>
      </c>
      <c r="D5385" s="7" t="s">
        <v>291</v>
      </c>
      <c r="E5385" s="7" t="s">
        <v>154</v>
      </c>
      <c r="F5385" s="39" t="n">
        <v>45915</v>
      </c>
      <c r="G5385" s="41" t="n">
        <v>129.82</v>
      </c>
      <c r="H5385" s="39" t="n">
        <v>46012</v>
      </c>
      <c r="I5385" s="7" t="s">
        <v>14651</v>
      </c>
      <c r="J5385" s="8" t="str">
        <f aca="false">IF(I5385="Open",DATE(2025,12,31)-F5385,"-")</f>
        <v>-</v>
      </c>
    </row>
    <row r="5386" customFormat="false" ht="15" hidden="false" customHeight="false" outlineLevel="0" collapsed="false">
      <c r="B5386" s="7" t="s">
        <v>20032</v>
      </c>
      <c r="C5386" s="7" t="s">
        <v>5883</v>
      </c>
      <c r="D5386" s="7" t="s">
        <v>295</v>
      </c>
      <c r="E5386" s="7" t="s">
        <v>154</v>
      </c>
      <c r="F5386" s="39" t="n">
        <v>45915</v>
      </c>
      <c r="G5386" s="41" t="n">
        <v>104.36</v>
      </c>
      <c r="H5386" s="39" t="n">
        <v>45985</v>
      </c>
      <c r="I5386" s="7" t="s">
        <v>14651</v>
      </c>
      <c r="J5386" s="8" t="str">
        <f aca="false">IF(I5386="Open",DATE(2025,12,31)-F5386,"-")</f>
        <v>-</v>
      </c>
    </row>
    <row r="5387" customFormat="false" ht="15" hidden="false" customHeight="false" outlineLevel="0" collapsed="false">
      <c r="B5387" s="7" t="s">
        <v>20033</v>
      </c>
      <c r="C5387" s="7" t="s">
        <v>5884</v>
      </c>
      <c r="D5387" s="7" t="s">
        <v>297</v>
      </c>
      <c r="E5387" s="7" t="s">
        <v>156</v>
      </c>
      <c r="F5387" s="39" t="n">
        <v>45915</v>
      </c>
      <c r="G5387" s="41" t="n">
        <v>99.28</v>
      </c>
      <c r="H5387" s="39" t="n">
        <v>45921</v>
      </c>
      <c r="I5387" s="7" t="s">
        <v>14651</v>
      </c>
      <c r="J5387" s="8" t="str">
        <f aca="false">IF(I5387="Open",DATE(2025,12,31)-F5387,"-")</f>
        <v>-</v>
      </c>
    </row>
    <row r="5388" customFormat="false" ht="15" hidden="false" customHeight="false" outlineLevel="0" collapsed="false">
      <c r="B5388" s="7" t="s">
        <v>20034</v>
      </c>
      <c r="C5388" s="7" t="s">
        <v>5885</v>
      </c>
      <c r="D5388" s="7" t="s">
        <v>305</v>
      </c>
      <c r="E5388" s="7" t="s">
        <v>154</v>
      </c>
      <c r="F5388" s="39" t="n">
        <v>45915</v>
      </c>
      <c r="G5388" s="41" t="n">
        <v>97.78</v>
      </c>
      <c r="H5388" s="39" t="n">
        <v>45963</v>
      </c>
      <c r="I5388" s="7" t="s">
        <v>14651</v>
      </c>
      <c r="J5388" s="8" t="str">
        <f aca="false">IF(I5388="Open",DATE(2025,12,31)-F5388,"-")</f>
        <v>-</v>
      </c>
    </row>
    <row r="5389" customFormat="false" ht="15" hidden="false" customHeight="false" outlineLevel="0" collapsed="false">
      <c r="B5389" s="7" t="s">
        <v>20035</v>
      </c>
      <c r="C5389" s="7" t="s">
        <v>5886</v>
      </c>
      <c r="D5389" s="7" t="s">
        <v>307</v>
      </c>
      <c r="E5389" s="7" t="s">
        <v>157</v>
      </c>
      <c r="F5389" s="39" t="n">
        <v>45915</v>
      </c>
      <c r="G5389" s="41" t="n">
        <v>160.05</v>
      </c>
      <c r="H5389" s="39" t="n">
        <v>45935</v>
      </c>
      <c r="I5389" s="7" t="s">
        <v>14651</v>
      </c>
      <c r="J5389" s="8" t="str">
        <f aca="false">IF(I5389="Open",DATE(2025,12,31)-F5389,"-")</f>
        <v>-</v>
      </c>
    </row>
    <row r="5390" customFormat="false" ht="15" hidden="false" customHeight="false" outlineLevel="0" collapsed="false">
      <c r="B5390" s="7" t="s">
        <v>20036</v>
      </c>
      <c r="C5390" s="7" t="s">
        <v>5887</v>
      </c>
      <c r="D5390" s="7" t="s">
        <v>309</v>
      </c>
      <c r="E5390" s="7" t="s">
        <v>159</v>
      </c>
      <c r="F5390" s="39" t="n">
        <v>45915</v>
      </c>
      <c r="G5390" s="41" t="n">
        <v>145.8</v>
      </c>
      <c r="H5390" s="39" t="n">
        <v>45959</v>
      </c>
      <c r="I5390" s="7" t="s">
        <v>14651</v>
      </c>
      <c r="J5390" s="8" t="str">
        <f aca="false">IF(I5390="Open",DATE(2025,12,31)-F5390,"-")</f>
        <v>-</v>
      </c>
    </row>
    <row r="5391" customFormat="false" ht="15" hidden="false" customHeight="false" outlineLevel="0" collapsed="false">
      <c r="B5391" s="7" t="s">
        <v>20037</v>
      </c>
      <c r="C5391" s="7" t="s">
        <v>5888</v>
      </c>
      <c r="D5391" s="7" t="s">
        <v>311</v>
      </c>
      <c r="E5391" s="7" t="s">
        <v>154</v>
      </c>
      <c r="F5391" s="39" t="n">
        <v>45915</v>
      </c>
      <c r="G5391" s="41" t="n">
        <v>86.92</v>
      </c>
      <c r="H5391" s="39" t="n">
        <v>46000</v>
      </c>
      <c r="I5391" s="7" t="s">
        <v>14651</v>
      </c>
      <c r="J5391" s="8" t="str">
        <f aca="false">IF(I5391="Open",DATE(2025,12,31)-F5391,"-")</f>
        <v>-</v>
      </c>
    </row>
    <row r="5392" customFormat="false" ht="15" hidden="false" customHeight="false" outlineLevel="0" collapsed="false">
      <c r="B5392" s="7" t="s">
        <v>20038</v>
      </c>
      <c r="C5392" s="7" t="s">
        <v>5889</v>
      </c>
      <c r="D5392" s="7" t="s">
        <v>313</v>
      </c>
      <c r="E5392" s="7" t="s">
        <v>156</v>
      </c>
      <c r="F5392" s="39" t="n">
        <v>45915</v>
      </c>
      <c r="G5392" s="41" t="n">
        <v>132.94</v>
      </c>
      <c r="H5392" s="39" t="n">
        <v>45924</v>
      </c>
      <c r="I5392" s="7" t="s">
        <v>14651</v>
      </c>
      <c r="J5392" s="8" t="str">
        <f aca="false">IF(I5392="Open",DATE(2025,12,31)-F5392,"-")</f>
        <v>-</v>
      </c>
    </row>
    <row r="5393" customFormat="false" ht="15" hidden="false" customHeight="false" outlineLevel="0" collapsed="false">
      <c r="B5393" s="7" t="s">
        <v>20039</v>
      </c>
      <c r="C5393" s="7" t="s">
        <v>5890</v>
      </c>
      <c r="D5393" s="7" t="s">
        <v>315</v>
      </c>
      <c r="E5393" s="7" t="s">
        <v>159</v>
      </c>
      <c r="F5393" s="39" t="n">
        <v>45915</v>
      </c>
      <c r="G5393" s="41" t="n">
        <v>141.75</v>
      </c>
      <c r="H5393" s="39" t="n">
        <v>45988</v>
      </c>
      <c r="I5393" s="7" t="s">
        <v>14651</v>
      </c>
      <c r="J5393" s="8" t="str">
        <f aca="false">IF(I5393="Open",DATE(2025,12,31)-F5393,"-")</f>
        <v>-</v>
      </c>
    </row>
    <row r="5394" customFormat="false" ht="15" hidden="false" customHeight="false" outlineLevel="0" collapsed="false">
      <c r="B5394" s="7" t="s">
        <v>20040</v>
      </c>
      <c r="C5394" s="7" t="s">
        <v>5891</v>
      </c>
      <c r="D5394" s="7" t="s">
        <v>317</v>
      </c>
      <c r="E5394" s="7" t="s">
        <v>156</v>
      </c>
      <c r="F5394" s="39" t="n">
        <v>45915</v>
      </c>
      <c r="G5394" s="41" t="n">
        <v>101.66</v>
      </c>
      <c r="H5394" s="39" t="n">
        <v>45921</v>
      </c>
      <c r="I5394" s="7" t="s">
        <v>14651</v>
      </c>
      <c r="J5394" s="8" t="str">
        <f aca="false">IF(I5394="Open",DATE(2025,12,31)-F5394,"-")</f>
        <v>-</v>
      </c>
    </row>
    <row r="5395" customFormat="false" ht="15" hidden="false" customHeight="false" outlineLevel="0" collapsed="false">
      <c r="B5395" s="7" t="s">
        <v>20041</v>
      </c>
      <c r="C5395" s="7" t="s">
        <v>5892</v>
      </c>
      <c r="D5395" s="7" t="s">
        <v>321</v>
      </c>
      <c r="E5395" s="7" t="s">
        <v>154</v>
      </c>
      <c r="F5395" s="39" t="n">
        <v>45915</v>
      </c>
      <c r="G5395" s="41" t="n">
        <v>116.07</v>
      </c>
      <c r="H5395" s="39" t="n">
        <v>45937</v>
      </c>
      <c r="I5395" s="7" t="s">
        <v>14651</v>
      </c>
      <c r="J5395" s="8" t="str">
        <f aca="false">IF(I5395="Open",DATE(2025,12,31)-F5395,"-")</f>
        <v>-</v>
      </c>
    </row>
    <row r="5396" customFormat="false" ht="15" hidden="false" customHeight="false" outlineLevel="0" collapsed="false">
      <c r="B5396" s="7" t="s">
        <v>20042</v>
      </c>
      <c r="C5396" s="7" t="s">
        <v>5893</v>
      </c>
      <c r="D5396" s="7" t="s">
        <v>325</v>
      </c>
      <c r="E5396" s="7" t="s">
        <v>154</v>
      </c>
      <c r="F5396" s="39" t="n">
        <v>45915</v>
      </c>
      <c r="G5396" s="41" t="n">
        <v>86.12</v>
      </c>
      <c r="H5396" s="39" t="n">
        <v>46018</v>
      </c>
      <c r="I5396" s="7" t="s">
        <v>14651</v>
      </c>
      <c r="J5396" s="8" t="str">
        <f aca="false">IF(I5396="Open",DATE(2025,12,31)-F5396,"-")</f>
        <v>-</v>
      </c>
    </row>
    <row r="5397" customFormat="false" ht="15" hidden="false" customHeight="false" outlineLevel="0" collapsed="false">
      <c r="B5397" s="7" t="s">
        <v>20043</v>
      </c>
      <c r="C5397" s="7" t="s">
        <v>5894</v>
      </c>
      <c r="D5397" s="7" t="s">
        <v>329</v>
      </c>
      <c r="E5397" s="7" t="s">
        <v>156</v>
      </c>
      <c r="F5397" s="39" t="n">
        <v>45915</v>
      </c>
      <c r="G5397" s="41" t="n">
        <v>129.88</v>
      </c>
      <c r="H5397" s="39" t="n">
        <v>45927</v>
      </c>
      <c r="I5397" s="7" t="s">
        <v>14651</v>
      </c>
      <c r="J5397" s="8" t="str">
        <f aca="false">IF(I5397="Open",DATE(2025,12,31)-F5397,"-")</f>
        <v>-</v>
      </c>
    </row>
    <row r="5398" customFormat="false" ht="15" hidden="false" customHeight="false" outlineLevel="0" collapsed="false">
      <c r="B5398" s="7" t="s">
        <v>20044</v>
      </c>
      <c r="C5398" s="7" t="s">
        <v>5895</v>
      </c>
      <c r="D5398" s="7" t="s">
        <v>331</v>
      </c>
      <c r="E5398" s="7" t="s">
        <v>156</v>
      </c>
      <c r="F5398" s="39" t="n">
        <v>45915</v>
      </c>
      <c r="G5398" s="41" t="n">
        <v>123.76</v>
      </c>
      <c r="H5398" s="39" t="n">
        <v>45934</v>
      </c>
      <c r="I5398" s="7" t="s">
        <v>14651</v>
      </c>
      <c r="J5398" s="8" t="str">
        <f aca="false">IF(I5398="Open",DATE(2025,12,31)-F5398,"-")</f>
        <v>-</v>
      </c>
    </row>
    <row r="5399" customFormat="false" ht="15" hidden="false" customHeight="false" outlineLevel="0" collapsed="false">
      <c r="B5399" s="7" t="s">
        <v>20045</v>
      </c>
      <c r="C5399" s="7" t="s">
        <v>5896</v>
      </c>
      <c r="D5399" s="7" t="s">
        <v>335</v>
      </c>
      <c r="E5399" s="7" t="s">
        <v>154</v>
      </c>
      <c r="F5399" s="39" t="n">
        <v>45915</v>
      </c>
      <c r="G5399" s="41" t="n">
        <v>98.84</v>
      </c>
      <c r="H5399" s="6" t="s">
        <v>182</v>
      </c>
      <c r="I5399" s="7" t="s">
        <v>19787</v>
      </c>
      <c r="J5399" s="8" t="n">
        <f aca="false">IF(I5399="Open",DATE(2025,12,31)-F5399,"-")</f>
        <v>107</v>
      </c>
    </row>
    <row r="5400" customFormat="false" ht="15" hidden="false" customHeight="false" outlineLevel="0" collapsed="false">
      <c r="B5400" s="7" t="s">
        <v>20046</v>
      </c>
      <c r="C5400" s="7" t="s">
        <v>5897</v>
      </c>
      <c r="D5400" s="7" t="s">
        <v>339</v>
      </c>
      <c r="E5400" s="7" t="s">
        <v>154</v>
      </c>
      <c r="F5400" s="39" t="n">
        <v>45915</v>
      </c>
      <c r="G5400" s="41" t="n">
        <v>80.56</v>
      </c>
      <c r="H5400" s="39" t="n">
        <v>45980</v>
      </c>
      <c r="I5400" s="7" t="s">
        <v>14651</v>
      </c>
      <c r="J5400" s="8" t="str">
        <f aca="false">IF(I5400="Open",DATE(2025,12,31)-F5400,"-")</f>
        <v>-</v>
      </c>
    </row>
    <row r="5401" customFormat="false" ht="15" hidden="false" customHeight="false" outlineLevel="0" collapsed="false">
      <c r="B5401" s="7" t="s">
        <v>20047</v>
      </c>
      <c r="C5401" s="7" t="s">
        <v>5898</v>
      </c>
      <c r="D5401" s="7" t="s">
        <v>341</v>
      </c>
      <c r="E5401" s="7" t="s">
        <v>156</v>
      </c>
      <c r="F5401" s="39" t="n">
        <v>45915</v>
      </c>
      <c r="G5401" s="41" t="n">
        <v>102.68</v>
      </c>
      <c r="H5401" s="39" t="n">
        <v>45930</v>
      </c>
      <c r="I5401" s="7" t="s">
        <v>14651</v>
      </c>
      <c r="J5401" s="8" t="str">
        <f aca="false">IF(I5401="Open",DATE(2025,12,31)-F5401,"-")</f>
        <v>-</v>
      </c>
    </row>
    <row r="5402" customFormat="false" ht="15" hidden="false" customHeight="false" outlineLevel="0" collapsed="false">
      <c r="B5402" s="7" t="s">
        <v>20048</v>
      </c>
      <c r="C5402" s="7" t="s">
        <v>5899</v>
      </c>
      <c r="D5402" s="7" t="s">
        <v>343</v>
      </c>
      <c r="E5402" s="7" t="s">
        <v>154</v>
      </c>
      <c r="F5402" s="39" t="n">
        <v>45915</v>
      </c>
      <c r="G5402" s="41" t="n">
        <v>97.18</v>
      </c>
      <c r="H5402" s="39" t="n">
        <v>45963</v>
      </c>
      <c r="I5402" s="7" t="s">
        <v>14651</v>
      </c>
      <c r="J5402" s="8" t="str">
        <f aca="false">IF(I5402="Open",DATE(2025,12,31)-F5402,"-")</f>
        <v>-</v>
      </c>
    </row>
    <row r="5403" customFormat="false" ht="15" hidden="false" customHeight="false" outlineLevel="0" collapsed="false">
      <c r="B5403" s="7" t="s">
        <v>20049</v>
      </c>
      <c r="C5403" s="7" t="s">
        <v>5900</v>
      </c>
      <c r="D5403" s="7" t="s">
        <v>347</v>
      </c>
      <c r="E5403" s="7" t="s">
        <v>154</v>
      </c>
      <c r="F5403" s="39" t="n">
        <v>45915</v>
      </c>
      <c r="G5403" s="41" t="n">
        <v>113.42</v>
      </c>
      <c r="H5403" s="39" t="n">
        <v>45963</v>
      </c>
      <c r="I5403" s="7" t="s">
        <v>14651</v>
      </c>
      <c r="J5403" s="8" t="str">
        <f aca="false">IF(I5403="Open",DATE(2025,12,31)-F5403,"-")</f>
        <v>-</v>
      </c>
    </row>
    <row r="5404" customFormat="false" ht="15" hidden="false" customHeight="false" outlineLevel="0" collapsed="false">
      <c r="B5404" s="7" t="s">
        <v>20050</v>
      </c>
      <c r="C5404" s="7" t="s">
        <v>5901</v>
      </c>
      <c r="D5404" s="7" t="s">
        <v>349</v>
      </c>
      <c r="E5404" s="7" t="s">
        <v>154</v>
      </c>
      <c r="F5404" s="39" t="n">
        <v>45915</v>
      </c>
      <c r="G5404" s="41" t="n">
        <v>109.18</v>
      </c>
      <c r="H5404" s="39" t="n">
        <v>45966</v>
      </c>
      <c r="I5404" s="7" t="s">
        <v>14651</v>
      </c>
      <c r="J5404" s="8" t="str">
        <f aca="false">IF(I5404="Open",DATE(2025,12,31)-F5404,"-")</f>
        <v>-</v>
      </c>
    </row>
    <row r="5405" customFormat="false" ht="15" hidden="false" customHeight="false" outlineLevel="0" collapsed="false">
      <c r="B5405" s="7" t="s">
        <v>20051</v>
      </c>
      <c r="C5405" s="7" t="s">
        <v>5902</v>
      </c>
      <c r="D5405" s="7" t="s">
        <v>351</v>
      </c>
      <c r="E5405" s="7" t="s">
        <v>154</v>
      </c>
      <c r="F5405" s="39" t="n">
        <v>45915</v>
      </c>
      <c r="G5405" s="41" t="n">
        <v>82.76</v>
      </c>
      <c r="H5405" s="39" t="n">
        <v>45969</v>
      </c>
      <c r="I5405" s="7" t="s">
        <v>14651</v>
      </c>
      <c r="J5405" s="8" t="str">
        <f aca="false">IF(I5405="Open",DATE(2025,12,31)-F5405,"-")</f>
        <v>-</v>
      </c>
    </row>
    <row r="5406" customFormat="false" ht="15" hidden="false" customHeight="false" outlineLevel="0" collapsed="false">
      <c r="B5406" s="7" t="s">
        <v>20052</v>
      </c>
      <c r="C5406" s="7" t="s">
        <v>5903</v>
      </c>
      <c r="D5406" s="7" t="s">
        <v>353</v>
      </c>
      <c r="E5406" s="7" t="s">
        <v>154</v>
      </c>
      <c r="F5406" s="39" t="n">
        <v>45915</v>
      </c>
      <c r="G5406" s="41" t="n">
        <v>96.72</v>
      </c>
      <c r="H5406" s="39" t="n">
        <v>45973</v>
      </c>
      <c r="I5406" s="7" t="s">
        <v>14651</v>
      </c>
      <c r="J5406" s="8" t="str">
        <f aca="false">IF(I5406="Open",DATE(2025,12,31)-F5406,"-")</f>
        <v>-</v>
      </c>
    </row>
    <row r="5407" customFormat="false" ht="15" hidden="false" customHeight="false" outlineLevel="0" collapsed="false">
      <c r="B5407" s="7" t="s">
        <v>20053</v>
      </c>
      <c r="C5407" s="7" t="s">
        <v>5904</v>
      </c>
      <c r="D5407" s="7" t="s">
        <v>355</v>
      </c>
      <c r="E5407" s="7" t="s">
        <v>154</v>
      </c>
      <c r="F5407" s="39" t="n">
        <v>45915</v>
      </c>
      <c r="G5407" s="41" t="n">
        <v>91.95</v>
      </c>
      <c r="H5407" s="39" t="n">
        <v>45976</v>
      </c>
      <c r="I5407" s="7" t="s">
        <v>14651</v>
      </c>
      <c r="J5407" s="8" t="str">
        <f aca="false">IF(I5407="Open",DATE(2025,12,31)-F5407,"-")</f>
        <v>-</v>
      </c>
    </row>
    <row r="5408" customFormat="false" ht="15" hidden="false" customHeight="false" outlineLevel="0" collapsed="false">
      <c r="B5408" s="7" t="s">
        <v>20054</v>
      </c>
      <c r="C5408" s="7" t="s">
        <v>5905</v>
      </c>
      <c r="D5408" s="7" t="s">
        <v>357</v>
      </c>
      <c r="E5408" s="7" t="s">
        <v>154</v>
      </c>
      <c r="F5408" s="39" t="n">
        <v>45915</v>
      </c>
      <c r="G5408" s="41" t="n">
        <v>89.7</v>
      </c>
      <c r="H5408" s="39" t="n">
        <v>45991</v>
      </c>
      <c r="I5408" s="7" t="s">
        <v>14651</v>
      </c>
      <c r="J5408" s="8" t="str">
        <f aca="false">IF(I5408="Open",DATE(2025,12,31)-F5408,"-")</f>
        <v>-</v>
      </c>
    </row>
    <row r="5409" customFormat="false" ht="15" hidden="false" customHeight="false" outlineLevel="0" collapsed="false">
      <c r="B5409" s="7" t="s">
        <v>20055</v>
      </c>
      <c r="C5409" s="7" t="s">
        <v>5906</v>
      </c>
      <c r="D5409" s="7" t="s">
        <v>359</v>
      </c>
      <c r="E5409" s="7" t="s">
        <v>156</v>
      </c>
      <c r="F5409" s="39" t="n">
        <v>45915</v>
      </c>
      <c r="G5409" s="41" t="n">
        <v>128.18</v>
      </c>
      <c r="H5409" s="39" t="n">
        <v>45936</v>
      </c>
      <c r="I5409" s="7" t="s">
        <v>14651</v>
      </c>
      <c r="J5409" s="8" t="str">
        <f aca="false">IF(I5409="Open",DATE(2025,12,31)-F5409,"-")</f>
        <v>-</v>
      </c>
    </row>
    <row r="5410" customFormat="false" ht="15" hidden="false" customHeight="false" outlineLevel="0" collapsed="false">
      <c r="B5410" s="7" t="s">
        <v>20056</v>
      </c>
      <c r="C5410" s="7" t="s">
        <v>5907</v>
      </c>
      <c r="D5410" s="7" t="s">
        <v>363</v>
      </c>
      <c r="E5410" s="7" t="s">
        <v>156</v>
      </c>
      <c r="F5410" s="39" t="n">
        <v>45915</v>
      </c>
      <c r="G5410" s="41" t="n">
        <v>125.8</v>
      </c>
      <c r="H5410" s="39" t="n">
        <v>45933</v>
      </c>
      <c r="I5410" s="7" t="s">
        <v>14651</v>
      </c>
      <c r="J5410" s="8" t="str">
        <f aca="false">IF(I5410="Open",DATE(2025,12,31)-F5410,"-")</f>
        <v>-</v>
      </c>
    </row>
    <row r="5411" customFormat="false" ht="15" hidden="false" customHeight="false" outlineLevel="0" collapsed="false">
      <c r="B5411" s="7" t="s">
        <v>20057</v>
      </c>
      <c r="C5411" s="7" t="s">
        <v>5908</v>
      </c>
      <c r="D5411" s="7" t="s">
        <v>365</v>
      </c>
      <c r="E5411" s="7" t="s">
        <v>154</v>
      </c>
      <c r="F5411" s="39" t="n">
        <v>45915</v>
      </c>
      <c r="G5411" s="41" t="n">
        <v>113.42</v>
      </c>
      <c r="H5411" s="39" t="n">
        <v>45946</v>
      </c>
      <c r="I5411" s="7" t="s">
        <v>14651</v>
      </c>
      <c r="J5411" s="8" t="str">
        <f aca="false">IF(I5411="Open",DATE(2025,12,31)-F5411,"-")</f>
        <v>-</v>
      </c>
    </row>
    <row r="5412" customFormat="false" ht="15" hidden="false" customHeight="false" outlineLevel="0" collapsed="false">
      <c r="B5412" s="7" t="s">
        <v>20058</v>
      </c>
      <c r="C5412" s="7" t="s">
        <v>5909</v>
      </c>
      <c r="D5412" s="7" t="s">
        <v>371</v>
      </c>
      <c r="E5412" s="7" t="s">
        <v>154</v>
      </c>
      <c r="F5412" s="39" t="n">
        <v>45915</v>
      </c>
      <c r="G5412" s="41" t="n">
        <v>113.87</v>
      </c>
      <c r="H5412" s="39" t="n">
        <v>45941</v>
      </c>
      <c r="I5412" s="7" t="s">
        <v>14651</v>
      </c>
      <c r="J5412" s="8" t="str">
        <f aca="false">IF(I5412="Open",DATE(2025,12,31)-F5412,"-")</f>
        <v>-</v>
      </c>
    </row>
    <row r="5413" customFormat="false" ht="15" hidden="false" customHeight="false" outlineLevel="0" collapsed="false">
      <c r="B5413" s="7" t="s">
        <v>20059</v>
      </c>
      <c r="C5413" s="7" t="s">
        <v>5910</v>
      </c>
      <c r="D5413" s="7" t="s">
        <v>375</v>
      </c>
      <c r="E5413" s="7" t="s">
        <v>156</v>
      </c>
      <c r="F5413" s="39" t="n">
        <v>45915</v>
      </c>
      <c r="G5413" s="41" t="n">
        <v>107.78</v>
      </c>
      <c r="H5413" s="39" t="n">
        <v>45925</v>
      </c>
      <c r="I5413" s="7" t="s">
        <v>14651</v>
      </c>
      <c r="J5413" s="8" t="str">
        <f aca="false">IF(I5413="Open",DATE(2025,12,31)-F5413,"-")</f>
        <v>-</v>
      </c>
    </row>
    <row r="5414" customFormat="false" ht="15" hidden="false" customHeight="false" outlineLevel="0" collapsed="false">
      <c r="B5414" s="7" t="s">
        <v>20060</v>
      </c>
      <c r="C5414" s="7" t="s">
        <v>5911</v>
      </c>
      <c r="D5414" s="7" t="s">
        <v>377</v>
      </c>
      <c r="E5414" s="7" t="s">
        <v>154</v>
      </c>
      <c r="F5414" s="39" t="n">
        <v>45915</v>
      </c>
      <c r="G5414" s="41" t="n">
        <v>102.56</v>
      </c>
      <c r="H5414" s="39" t="n">
        <v>45970</v>
      </c>
      <c r="I5414" s="7" t="s">
        <v>14651</v>
      </c>
      <c r="J5414" s="8" t="str">
        <f aca="false">IF(I5414="Open",DATE(2025,12,31)-F5414,"-")</f>
        <v>-</v>
      </c>
    </row>
    <row r="5415" customFormat="false" ht="15" hidden="false" customHeight="false" outlineLevel="0" collapsed="false">
      <c r="B5415" s="7" t="s">
        <v>20061</v>
      </c>
      <c r="C5415" s="7" t="s">
        <v>5912</v>
      </c>
      <c r="D5415" s="7" t="s">
        <v>379</v>
      </c>
      <c r="E5415" s="7" t="s">
        <v>156</v>
      </c>
      <c r="F5415" s="39" t="n">
        <v>45915</v>
      </c>
      <c r="G5415" s="41" t="n">
        <v>148.92</v>
      </c>
      <c r="H5415" s="39" t="n">
        <v>45936</v>
      </c>
      <c r="I5415" s="7" t="s">
        <v>14651</v>
      </c>
      <c r="J5415" s="8" t="str">
        <f aca="false">IF(I5415="Open",DATE(2025,12,31)-F5415,"-")</f>
        <v>-</v>
      </c>
    </row>
    <row r="5416" customFormat="false" ht="15" hidden="false" customHeight="false" outlineLevel="0" collapsed="false">
      <c r="B5416" s="7" t="s">
        <v>20062</v>
      </c>
      <c r="C5416" s="7" t="s">
        <v>5913</v>
      </c>
      <c r="D5416" s="7" t="s">
        <v>385</v>
      </c>
      <c r="E5416" s="7" t="s">
        <v>156</v>
      </c>
      <c r="F5416" s="39" t="n">
        <v>45915</v>
      </c>
      <c r="G5416" s="41" t="n">
        <v>131.92</v>
      </c>
      <c r="H5416" s="39" t="n">
        <v>45926</v>
      </c>
      <c r="I5416" s="7" t="s">
        <v>14651</v>
      </c>
      <c r="J5416" s="8" t="str">
        <f aca="false">IF(I5416="Open",DATE(2025,12,31)-F5416,"-")</f>
        <v>-</v>
      </c>
    </row>
    <row r="5417" customFormat="false" ht="15" hidden="false" customHeight="false" outlineLevel="0" collapsed="false">
      <c r="B5417" s="7" t="s">
        <v>20063</v>
      </c>
      <c r="C5417" s="7" t="s">
        <v>5914</v>
      </c>
      <c r="D5417" s="7" t="s">
        <v>387</v>
      </c>
      <c r="E5417" s="7" t="s">
        <v>154</v>
      </c>
      <c r="F5417" s="39" t="n">
        <v>45915</v>
      </c>
      <c r="G5417" s="41" t="n">
        <v>112.89</v>
      </c>
      <c r="H5417" s="39" t="n">
        <v>45954</v>
      </c>
      <c r="I5417" s="7" t="s">
        <v>14651</v>
      </c>
      <c r="J5417" s="8" t="str">
        <f aca="false">IF(I5417="Open",DATE(2025,12,31)-F5417,"-")</f>
        <v>-</v>
      </c>
    </row>
    <row r="5418" customFormat="false" ht="15" hidden="false" customHeight="false" outlineLevel="0" collapsed="false">
      <c r="B5418" s="7" t="s">
        <v>20064</v>
      </c>
      <c r="C5418" s="7" t="s">
        <v>5915</v>
      </c>
      <c r="D5418" s="7" t="s">
        <v>389</v>
      </c>
      <c r="E5418" s="7" t="s">
        <v>154</v>
      </c>
      <c r="F5418" s="39" t="n">
        <v>45915</v>
      </c>
      <c r="G5418" s="41" t="n">
        <v>114.48</v>
      </c>
      <c r="H5418" s="39" t="n">
        <v>45988</v>
      </c>
      <c r="I5418" s="7" t="s">
        <v>14651</v>
      </c>
      <c r="J5418" s="8" t="str">
        <f aca="false">IF(I5418="Open",DATE(2025,12,31)-F5418,"-")</f>
        <v>-</v>
      </c>
    </row>
    <row r="5419" customFormat="false" ht="15" hidden="false" customHeight="false" outlineLevel="0" collapsed="false">
      <c r="B5419" s="7" t="s">
        <v>20065</v>
      </c>
      <c r="C5419" s="7" t="s">
        <v>5916</v>
      </c>
      <c r="D5419" s="7" t="s">
        <v>391</v>
      </c>
      <c r="E5419" s="7" t="s">
        <v>156</v>
      </c>
      <c r="F5419" s="39" t="n">
        <v>45915</v>
      </c>
      <c r="G5419" s="41" t="n">
        <v>126.14</v>
      </c>
      <c r="H5419" s="39" t="n">
        <v>45924</v>
      </c>
      <c r="I5419" s="7" t="s">
        <v>14651</v>
      </c>
      <c r="J5419" s="8" t="str">
        <f aca="false">IF(I5419="Open",DATE(2025,12,31)-F5419,"-")</f>
        <v>-</v>
      </c>
    </row>
    <row r="5420" customFormat="false" ht="15" hidden="false" customHeight="false" outlineLevel="0" collapsed="false">
      <c r="B5420" s="7" t="s">
        <v>20066</v>
      </c>
      <c r="C5420" s="7" t="s">
        <v>5917</v>
      </c>
      <c r="D5420" s="7" t="s">
        <v>395</v>
      </c>
      <c r="E5420" s="7" t="s">
        <v>156</v>
      </c>
      <c r="F5420" s="39" t="n">
        <v>45915</v>
      </c>
      <c r="G5420" s="41" t="n">
        <v>126.82</v>
      </c>
      <c r="H5420" s="39" t="n">
        <v>45928</v>
      </c>
      <c r="I5420" s="7" t="s">
        <v>14651</v>
      </c>
      <c r="J5420" s="8" t="str">
        <f aca="false">IF(I5420="Open",DATE(2025,12,31)-F5420,"-")</f>
        <v>-</v>
      </c>
    </row>
    <row r="5421" customFormat="false" ht="15" hidden="false" customHeight="false" outlineLevel="0" collapsed="false">
      <c r="B5421" s="7" t="s">
        <v>20067</v>
      </c>
      <c r="C5421" s="7" t="s">
        <v>5918</v>
      </c>
      <c r="D5421" s="7" t="s">
        <v>399</v>
      </c>
      <c r="E5421" s="7" t="s">
        <v>154</v>
      </c>
      <c r="F5421" s="39" t="n">
        <v>45915</v>
      </c>
      <c r="G5421" s="41" t="n">
        <v>95.13</v>
      </c>
      <c r="H5421" s="39" t="n">
        <v>46020</v>
      </c>
      <c r="I5421" s="7" t="s">
        <v>14651</v>
      </c>
      <c r="J5421" s="8" t="str">
        <f aca="false">IF(I5421="Open",DATE(2025,12,31)-F5421,"-")</f>
        <v>-</v>
      </c>
    </row>
    <row r="5422" customFormat="false" ht="15" hidden="false" customHeight="false" outlineLevel="0" collapsed="false">
      <c r="B5422" s="7" t="s">
        <v>20068</v>
      </c>
      <c r="C5422" s="7" t="s">
        <v>5919</v>
      </c>
      <c r="D5422" s="7" t="s">
        <v>401</v>
      </c>
      <c r="E5422" s="7" t="s">
        <v>156</v>
      </c>
      <c r="F5422" s="39" t="n">
        <v>45915</v>
      </c>
      <c r="G5422" s="41" t="n">
        <v>132.6</v>
      </c>
      <c r="H5422" s="39" t="n">
        <v>45933</v>
      </c>
      <c r="I5422" s="7" t="s">
        <v>14651</v>
      </c>
      <c r="J5422" s="8" t="str">
        <f aca="false">IF(I5422="Open",DATE(2025,12,31)-F5422,"-")</f>
        <v>-</v>
      </c>
    </row>
    <row r="5423" customFormat="false" ht="15" hidden="false" customHeight="false" outlineLevel="0" collapsed="false">
      <c r="B5423" s="7" t="s">
        <v>20069</v>
      </c>
      <c r="C5423" s="7" t="s">
        <v>5920</v>
      </c>
      <c r="D5423" s="7" t="s">
        <v>403</v>
      </c>
      <c r="E5423" s="7" t="s">
        <v>156</v>
      </c>
      <c r="F5423" s="39" t="n">
        <v>45915</v>
      </c>
      <c r="G5423" s="41" t="n">
        <v>126.82</v>
      </c>
      <c r="H5423" s="39" t="n">
        <v>45930</v>
      </c>
      <c r="I5423" s="7" t="s">
        <v>14651</v>
      </c>
      <c r="J5423" s="8" t="str">
        <f aca="false">IF(I5423="Open",DATE(2025,12,31)-F5423,"-")</f>
        <v>-</v>
      </c>
    </row>
    <row r="5424" customFormat="false" ht="15" hidden="false" customHeight="false" outlineLevel="0" collapsed="false">
      <c r="B5424" s="7" t="s">
        <v>20070</v>
      </c>
      <c r="C5424" s="7" t="s">
        <v>5921</v>
      </c>
      <c r="D5424" s="7" t="s">
        <v>409</v>
      </c>
      <c r="E5424" s="7" t="s">
        <v>154</v>
      </c>
      <c r="F5424" s="39" t="n">
        <v>45915</v>
      </c>
      <c r="G5424" s="41" t="n">
        <v>81.62</v>
      </c>
      <c r="H5424" s="39" t="n">
        <v>45968</v>
      </c>
      <c r="I5424" s="7" t="s">
        <v>14651</v>
      </c>
      <c r="J5424" s="8" t="str">
        <f aca="false">IF(I5424="Open",DATE(2025,12,31)-F5424,"-")</f>
        <v>-</v>
      </c>
    </row>
    <row r="5425" customFormat="false" ht="15" hidden="false" customHeight="false" outlineLevel="0" collapsed="false">
      <c r="B5425" s="7" t="s">
        <v>20071</v>
      </c>
      <c r="C5425" s="7" t="s">
        <v>5922</v>
      </c>
      <c r="D5425" s="7" t="s">
        <v>411</v>
      </c>
      <c r="E5425" s="7" t="s">
        <v>154</v>
      </c>
      <c r="F5425" s="39" t="n">
        <v>45915</v>
      </c>
      <c r="G5425" s="41" t="n">
        <v>132.24</v>
      </c>
      <c r="H5425" s="39" t="n">
        <v>45977</v>
      </c>
      <c r="I5425" s="7" t="s">
        <v>14651</v>
      </c>
      <c r="J5425" s="8" t="str">
        <f aca="false">IF(I5425="Open",DATE(2025,12,31)-F5425,"-")</f>
        <v>-</v>
      </c>
    </row>
    <row r="5426" customFormat="false" ht="15" hidden="false" customHeight="false" outlineLevel="0" collapsed="false">
      <c r="B5426" s="7" t="s">
        <v>20072</v>
      </c>
      <c r="C5426" s="7" t="s">
        <v>5923</v>
      </c>
      <c r="D5426" s="7" t="s">
        <v>288</v>
      </c>
      <c r="E5426" s="7" t="s">
        <v>156</v>
      </c>
      <c r="F5426" s="39" t="n">
        <v>45916</v>
      </c>
      <c r="G5426" s="41" t="n">
        <v>124.1</v>
      </c>
      <c r="H5426" s="39" t="n">
        <v>45917</v>
      </c>
      <c r="I5426" s="7" t="s">
        <v>14651</v>
      </c>
      <c r="J5426" s="8" t="str">
        <f aca="false">IF(I5426="Open",DATE(2025,12,31)-F5426,"-")</f>
        <v>-</v>
      </c>
    </row>
    <row r="5427" customFormat="false" ht="15" hidden="false" customHeight="false" outlineLevel="0" collapsed="false">
      <c r="B5427" s="7" t="s">
        <v>20073</v>
      </c>
      <c r="C5427" s="7" t="s">
        <v>5924</v>
      </c>
      <c r="D5427" s="7" t="s">
        <v>293</v>
      </c>
      <c r="E5427" s="7" t="s">
        <v>157</v>
      </c>
      <c r="F5427" s="39" t="n">
        <v>45916</v>
      </c>
      <c r="G5427" s="41" t="n">
        <v>151.8</v>
      </c>
      <c r="H5427" s="39" t="n">
        <v>45953</v>
      </c>
      <c r="I5427" s="7" t="s">
        <v>14651</v>
      </c>
      <c r="J5427" s="8" t="str">
        <f aca="false">IF(I5427="Open",DATE(2025,12,31)-F5427,"-")</f>
        <v>-</v>
      </c>
    </row>
    <row r="5428" customFormat="false" ht="15" hidden="false" customHeight="false" outlineLevel="0" collapsed="false">
      <c r="B5428" s="7" t="s">
        <v>20074</v>
      </c>
      <c r="C5428" s="7" t="s">
        <v>5925</v>
      </c>
      <c r="D5428" s="7" t="s">
        <v>313</v>
      </c>
      <c r="E5428" s="7" t="s">
        <v>156</v>
      </c>
      <c r="F5428" s="39" t="n">
        <v>45916</v>
      </c>
      <c r="G5428" s="41" t="n">
        <v>132.26</v>
      </c>
      <c r="H5428" s="39" t="n">
        <v>45937</v>
      </c>
      <c r="I5428" s="7" t="s">
        <v>14651</v>
      </c>
      <c r="J5428" s="8" t="str">
        <f aca="false">IF(I5428="Open",DATE(2025,12,31)-F5428,"-")</f>
        <v>-</v>
      </c>
    </row>
    <row r="5429" customFormat="false" ht="15" hidden="false" customHeight="false" outlineLevel="0" collapsed="false">
      <c r="B5429" s="7" t="s">
        <v>20075</v>
      </c>
      <c r="C5429" s="7" t="s">
        <v>5926</v>
      </c>
      <c r="D5429" s="7" t="s">
        <v>319</v>
      </c>
      <c r="E5429" s="7" t="s">
        <v>157</v>
      </c>
      <c r="F5429" s="39" t="n">
        <v>45916</v>
      </c>
      <c r="G5429" s="41" t="n">
        <v>176.55</v>
      </c>
      <c r="H5429" s="39" t="n">
        <v>45967</v>
      </c>
      <c r="I5429" s="7" t="s">
        <v>14651</v>
      </c>
      <c r="J5429" s="8" t="str">
        <f aca="false">IF(I5429="Open",DATE(2025,12,31)-F5429,"-")</f>
        <v>-</v>
      </c>
    </row>
    <row r="5430" customFormat="false" ht="15" hidden="false" customHeight="false" outlineLevel="0" collapsed="false">
      <c r="B5430" s="7" t="s">
        <v>20076</v>
      </c>
      <c r="C5430" s="7" t="s">
        <v>5927</v>
      </c>
      <c r="D5430" s="7" t="s">
        <v>321</v>
      </c>
      <c r="E5430" s="7" t="s">
        <v>154</v>
      </c>
      <c r="F5430" s="39" t="n">
        <v>45916</v>
      </c>
      <c r="G5430" s="41" t="n">
        <v>105.2</v>
      </c>
      <c r="H5430" s="39" t="n">
        <v>45977</v>
      </c>
      <c r="I5430" s="7" t="s">
        <v>14651</v>
      </c>
      <c r="J5430" s="8" t="str">
        <f aca="false">IF(I5430="Open",DATE(2025,12,31)-F5430,"-")</f>
        <v>-</v>
      </c>
    </row>
    <row r="5431" customFormat="false" ht="15" hidden="false" customHeight="false" outlineLevel="0" collapsed="false">
      <c r="B5431" s="7" t="s">
        <v>20077</v>
      </c>
      <c r="C5431" s="7" t="s">
        <v>5928</v>
      </c>
      <c r="D5431" s="7" t="s">
        <v>323</v>
      </c>
      <c r="E5431" s="7" t="s">
        <v>159</v>
      </c>
      <c r="F5431" s="39" t="n">
        <v>45916</v>
      </c>
      <c r="G5431" s="41" t="n">
        <v>122.98</v>
      </c>
      <c r="H5431" s="39" t="n">
        <v>45974</v>
      </c>
      <c r="I5431" s="7" t="s">
        <v>14651</v>
      </c>
      <c r="J5431" s="8" t="str">
        <f aca="false">IF(I5431="Open",DATE(2025,12,31)-F5431,"-")</f>
        <v>-</v>
      </c>
    </row>
    <row r="5432" customFormat="false" ht="15" hidden="false" customHeight="false" outlineLevel="0" collapsed="false">
      <c r="B5432" s="7" t="s">
        <v>20078</v>
      </c>
      <c r="C5432" s="7" t="s">
        <v>5929</v>
      </c>
      <c r="D5432" s="7" t="s">
        <v>327</v>
      </c>
      <c r="E5432" s="7" t="s">
        <v>157</v>
      </c>
      <c r="F5432" s="39" t="n">
        <v>45916</v>
      </c>
      <c r="G5432" s="41" t="n">
        <v>165</v>
      </c>
      <c r="H5432" s="39" t="n">
        <v>45961</v>
      </c>
      <c r="I5432" s="7" t="s">
        <v>14651</v>
      </c>
      <c r="J5432" s="8" t="str">
        <f aca="false">IF(I5432="Open",DATE(2025,12,31)-F5432,"-")</f>
        <v>-</v>
      </c>
    </row>
    <row r="5433" customFormat="false" ht="15" hidden="false" customHeight="false" outlineLevel="0" collapsed="false">
      <c r="B5433" s="7" t="s">
        <v>20079</v>
      </c>
      <c r="C5433" s="7" t="s">
        <v>5930</v>
      </c>
      <c r="D5433" s="7" t="s">
        <v>329</v>
      </c>
      <c r="E5433" s="7" t="s">
        <v>156</v>
      </c>
      <c r="F5433" s="39" t="n">
        <v>45916</v>
      </c>
      <c r="G5433" s="41" t="n">
        <v>130.56</v>
      </c>
      <c r="H5433" s="39" t="n">
        <v>45922</v>
      </c>
      <c r="I5433" s="7" t="s">
        <v>14651</v>
      </c>
      <c r="J5433" s="8" t="str">
        <f aca="false">IF(I5433="Open",DATE(2025,12,31)-F5433,"-")</f>
        <v>-</v>
      </c>
    </row>
    <row r="5434" customFormat="false" ht="15" hidden="false" customHeight="false" outlineLevel="0" collapsed="false">
      <c r="B5434" s="7" t="s">
        <v>20080</v>
      </c>
      <c r="C5434" s="7" t="s">
        <v>5931</v>
      </c>
      <c r="D5434" s="7" t="s">
        <v>349</v>
      </c>
      <c r="E5434" s="7" t="s">
        <v>154</v>
      </c>
      <c r="F5434" s="39" t="n">
        <v>45916</v>
      </c>
      <c r="G5434" s="41" t="n">
        <v>100.7</v>
      </c>
      <c r="H5434" s="39" t="n">
        <v>45963</v>
      </c>
      <c r="I5434" s="7" t="s">
        <v>14651</v>
      </c>
      <c r="J5434" s="8" t="str">
        <f aca="false">IF(I5434="Open",DATE(2025,12,31)-F5434,"-")</f>
        <v>-</v>
      </c>
    </row>
    <row r="5435" customFormat="false" ht="15" hidden="false" customHeight="false" outlineLevel="0" collapsed="false">
      <c r="B5435" s="7" t="s">
        <v>20081</v>
      </c>
      <c r="C5435" s="7" t="s">
        <v>5932</v>
      </c>
      <c r="D5435" s="7" t="s">
        <v>359</v>
      </c>
      <c r="E5435" s="7" t="s">
        <v>156</v>
      </c>
      <c r="F5435" s="39" t="n">
        <v>45916</v>
      </c>
      <c r="G5435" s="41" t="n">
        <v>134.3</v>
      </c>
      <c r="H5435" s="39" t="n">
        <v>45932</v>
      </c>
      <c r="I5435" s="7" t="s">
        <v>14651</v>
      </c>
      <c r="J5435" s="8" t="str">
        <f aca="false">IF(I5435="Open",DATE(2025,12,31)-F5435,"-")</f>
        <v>-</v>
      </c>
    </row>
    <row r="5436" customFormat="false" ht="15" hidden="false" customHeight="false" outlineLevel="0" collapsed="false">
      <c r="B5436" s="7" t="s">
        <v>20082</v>
      </c>
      <c r="C5436" s="7" t="s">
        <v>5933</v>
      </c>
      <c r="D5436" s="7" t="s">
        <v>361</v>
      </c>
      <c r="E5436" s="7" t="s">
        <v>157</v>
      </c>
      <c r="F5436" s="39" t="n">
        <v>45916</v>
      </c>
      <c r="G5436" s="41" t="n">
        <v>155.1</v>
      </c>
      <c r="H5436" s="39" t="n">
        <v>45946</v>
      </c>
      <c r="I5436" s="7" t="s">
        <v>14651</v>
      </c>
      <c r="J5436" s="8" t="str">
        <f aca="false">IF(I5436="Open",DATE(2025,12,31)-F5436,"-")</f>
        <v>-</v>
      </c>
    </row>
    <row r="5437" customFormat="false" ht="15" hidden="false" customHeight="false" outlineLevel="0" collapsed="false">
      <c r="B5437" s="7" t="s">
        <v>20083</v>
      </c>
      <c r="C5437" s="7" t="s">
        <v>5934</v>
      </c>
      <c r="D5437" s="7" t="s">
        <v>365</v>
      </c>
      <c r="E5437" s="7" t="s">
        <v>154</v>
      </c>
      <c r="F5437" s="39" t="n">
        <v>45916</v>
      </c>
      <c r="G5437" s="41" t="n">
        <v>95.66</v>
      </c>
      <c r="H5437" s="39" t="n">
        <v>45958</v>
      </c>
      <c r="I5437" s="7" t="s">
        <v>14651</v>
      </c>
      <c r="J5437" s="8" t="str">
        <f aca="false">IF(I5437="Open",DATE(2025,12,31)-F5437,"-")</f>
        <v>-</v>
      </c>
    </row>
    <row r="5438" customFormat="false" ht="15" hidden="false" customHeight="false" outlineLevel="0" collapsed="false">
      <c r="B5438" s="7" t="s">
        <v>20084</v>
      </c>
      <c r="C5438" s="7" t="s">
        <v>5935</v>
      </c>
      <c r="D5438" s="7" t="s">
        <v>369</v>
      </c>
      <c r="E5438" s="7" t="s">
        <v>159</v>
      </c>
      <c r="F5438" s="39" t="n">
        <v>45916</v>
      </c>
      <c r="G5438" s="41" t="n">
        <v>133.65</v>
      </c>
      <c r="H5438" s="39" t="n">
        <v>45971</v>
      </c>
      <c r="I5438" s="7" t="s">
        <v>14651</v>
      </c>
      <c r="J5438" s="8" t="str">
        <f aca="false">IF(I5438="Open",DATE(2025,12,31)-F5438,"-")</f>
        <v>-</v>
      </c>
    </row>
    <row r="5439" customFormat="false" ht="15" hidden="false" customHeight="false" outlineLevel="0" collapsed="false">
      <c r="B5439" s="7" t="s">
        <v>20085</v>
      </c>
      <c r="C5439" s="7" t="s">
        <v>5936</v>
      </c>
      <c r="D5439" s="7" t="s">
        <v>381</v>
      </c>
      <c r="E5439" s="7" t="s">
        <v>157</v>
      </c>
      <c r="F5439" s="39" t="n">
        <v>45916</v>
      </c>
      <c r="G5439" s="41" t="n">
        <v>145.69</v>
      </c>
      <c r="H5439" s="39" t="n">
        <v>45959</v>
      </c>
      <c r="I5439" s="7" t="s">
        <v>14651</v>
      </c>
      <c r="J5439" s="8" t="str">
        <f aca="false">IF(I5439="Open",DATE(2025,12,31)-F5439,"-")</f>
        <v>-</v>
      </c>
    </row>
    <row r="5440" customFormat="false" ht="15" hidden="false" customHeight="false" outlineLevel="0" collapsed="false">
      <c r="B5440" s="7" t="s">
        <v>20086</v>
      </c>
      <c r="C5440" s="7" t="s">
        <v>5937</v>
      </c>
      <c r="D5440" s="7" t="s">
        <v>383</v>
      </c>
      <c r="E5440" s="7" t="s">
        <v>157</v>
      </c>
      <c r="F5440" s="39" t="n">
        <v>45916</v>
      </c>
      <c r="G5440" s="41" t="n">
        <v>158.4</v>
      </c>
      <c r="H5440" s="39" t="n">
        <v>45962</v>
      </c>
      <c r="I5440" s="7" t="s">
        <v>14651</v>
      </c>
      <c r="J5440" s="8" t="str">
        <f aca="false">IF(I5440="Open",DATE(2025,12,31)-F5440,"-")</f>
        <v>-</v>
      </c>
    </row>
    <row r="5441" customFormat="false" ht="15" hidden="false" customHeight="false" outlineLevel="0" collapsed="false">
      <c r="B5441" s="7" t="s">
        <v>20087</v>
      </c>
      <c r="C5441" s="7" t="s">
        <v>5938</v>
      </c>
      <c r="D5441" s="7" t="s">
        <v>387</v>
      </c>
      <c r="E5441" s="7" t="s">
        <v>154</v>
      </c>
      <c r="F5441" s="39" t="n">
        <v>45916</v>
      </c>
      <c r="G5441" s="41" t="n">
        <v>104.15</v>
      </c>
      <c r="H5441" s="39" t="n">
        <v>45969</v>
      </c>
      <c r="I5441" s="7" t="s">
        <v>14651</v>
      </c>
      <c r="J5441" s="8" t="str">
        <f aca="false">IF(I5441="Open",DATE(2025,12,31)-F5441,"-")</f>
        <v>-</v>
      </c>
    </row>
    <row r="5442" customFormat="false" ht="15" hidden="false" customHeight="false" outlineLevel="0" collapsed="false">
      <c r="B5442" s="7" t="s">
        <v>20088</v>
      </c>
      <c r="C5442" s="7" t="s">
        <v>5939</v>
      </c>
      <c r="D5442" s="7" t="s">
        <v>389</v>
      </c>
      <c r="E5442" s="7" t="s">
        <v>154</v>
      </c>
      <c r="F5442" s="39" t="n">
        <v>45916</v>
      </c>
      <c r="G5442" s="41" t="n">
        <v>102.56</v>
      </c>
      <c r="H5442" s="39" t="n">
        <v>45958</v>
      </c>
      <c r="I5442" s="7" t="s">
        <v>14651</v>
      </c>
      <c r="J5442" s="8" t="str">
        <f aca="false">IF(I5442="Open",DATE(2025,12,31)-F5442,"-")</f>
        <v>-</v>
      </c>
    </row>
    <row r="5443" customFormat="false" ht="15" hidden="false" customHeight="false" outlineLevel="0" collapsed="false">
      <c r="B5443" s="7" t="s">
        <v>20089</v>
      </c>
      <c r="C5443" s="7" t="s">
        <v>5940</v>
      </c>
      <c r="D5443" s="7" t="s">
        <v>391</v>
      </c>
      <c r="E5443" s="7" t="s">
        <v>156</v>
      </c>
      <c r="F5443" s="39" t="n">
        <v>45916</v>
      </c>
      <c r="G5443" s="41" t="n">
        <v>129.54</v>
      </c>
      <c r="H5443" s="39" t="n">
        <v>45926</v>
      </c>
      <c r="I5443" s="7" t="s">
        <v>14651</v>
      </c>
      <c r="J5443" s="8" t="str">
        <f aca="false">IF(I5443="Open",DATE(2025,12,31)-F5443,"-")</f>
        <v>-</v>
      </c>
    </row>
    <row r="5444" customFormat="false" ht="15" hidden="false" customHeight="false" outlineLevel="0" collapsed="false">
      <c r="B5444" s="7" t="s">
        <v>20090</v>
      </c>
      <c r="C5444" s="7" t="s">
        <v>5941</v>
      </c>
      <c r="D5444" s="7" t="s">
        <v>395</v>
      </c>
      <c r="E5444" s="7" t="s">
        <v>156</v>
      </c>
      <c r="F5444" s="39" t="n">
        <v>45916</v>
      </c>
      <c r="G5444" s="41" t="n">
        <v>145.52</v>
      </c>
      <c r="H5444" s="39" t="n">
        <v>45927</v>
      </c>
      <c r="I5444" s="7" t="s">
        <v>14651</v>
      </c>
      <c r="J5444" s="8" t="str">
        <f aca="false">IF(I5444="Open",DATE(2025,12,31)-F5444,"-")</f>
        <v>-</v>
      </c>
    </row>
    <row r="5445" customFormat="false" ht="15" hidden="false" customHeight="false" outlineLevel="0" collapsed="false">
      <c r="B5445" s="7" t="s">
        <v>20091</v>
      </c>
      <c r="C5445" s="7" t="s">
        <v>5942</v>
      </c>
      <c r="D5445" s="7" t="s">
        <v>397</v>
      </c>
      <c r="E5445" s="7" t="s">
        <v>159</v>
      </c>
      <c r="F5445" s="39" t="n">
        <v>45916</v>
      </c>
      <c r="G5445" s="41" t="n">
        <v>136.35</v>
      </c>
      <c r="H5445" s="39" t="n">
        <v>45948</v>
      </c>
      <c r="I5445" s="7" t="s">
        <v>14651</v>
      </c>
      <c r="J5445" s="8" t="str">
        <f aca="false">IF(I5445="Open",DATE(2025,12,31)-F5445,"-")</f>
        <v>-</v>
      </c>
    </row>
    <row r="5446" customFormat="false" ht="15" hidden="false" customHeight="false" outlineLevel="0" collapsed="false">
      <c r="B5446" s="7" t="s">
        <v>20092</v>
      </c>
      <c r="C5446" s="7" t="s">
        <v>5943</v>
      </c>
      <c r="D5446" s="7" t="s">
        <v>401</v>
      </c>
      <c r="E5446" s="7" t="s">
        <v>156</v>
      </c>
      <c r="F5446" s="39" t="n">
        <v>45916</v>
      </c>
      <c r="G5446" s="41" t="n">
        <v>148.24</v>
      </c>
      <c r="H5446" s="39" t="n">
        <v>45936</v>
      </c>
      <c r="I5446" s="7" t="s">
        <v>14651</v>
      </c>
      <c r="J5446" s="8" t="str">
        <f aca="false">IF(I5446="Open",DATE(2025,12,31)-F5446,"-")</f>
        <v>-</v>
      </c>
    </row>
    <row r="5447" customFormat="false" ht="15" hidden="false" customHeight="false" outlineLevel="0" collapsed="false">
      <c r="B5447" s="7" t="s">
        <v>20093</v>
      </c>
      <c r="C5447" s="7" t="s">
        <v>5944</v>
      </c>
      <c r="D5447" s="7" t="s">
        <v>407</v>
      </c>
      <c r="E5447" s="7" t="s">
        <v>159</v>
      </c>
      <c r="F5447" s="39" t="n">
        <v>45916</v>
      </c>
      <c r="G5447" s="41" t="n">
        <v>147.15</v>
      </c>
      <c r="H5447" s="39" t="n">
        <v>45959</v>
      </c>
      <c r="I5447" s="7" t="s">
        <v>14651</v>
      </c>
      <c r="J5447" s="8" t="str">
        <f aca="false">IF(I5447="Open",DATE(2025,12,31)-F5447,"-")</f>
        <v>-</v>
      </c>
    </row>
    <row r="5448" customFormat="false" ht="15" hidden="false" customHeight="false" outlineLevel="0" collapsed="false">
      <c r="B5448" s="7" t="s">
        <v>20094</v>
      </c>
      <c r="C5448" s="7" t="s">
        <v>5945</v>
      </c>
      <c r="D5448" s="7" t="s">
        <v>288</v>
      </c>
      <c r="E5448" s="7" t="s">
        <v>156</v>
      </c>
      <c r="F5448" s="39" t="n">
        <v>45917</v>
      </c>
      <c r="G5448" s="41" t="n">
        <v>130.9</v>
      </c>
      <c r="H5448" s="39" t="n">
        <v>45926</v>
      </c>
      <c r="I5448" s="7" t="s">
        <v>14651</v>
      </c>
      <c r="J5448" s="8" t="str">
        <f aca="false">IF(I5448="Open",DATE(2025,12,31)-F5448,"-")</f>
        <v>-</v>
      </c>
    </row>
    <row r="5449" customFormat="false" ht="15" hidden="false" customHeight="false" outlineLevel="0" collapsed="false">
      <c r="B5449" s="7" t="s">
        <v>20095</v>
      </c>
      <c r="C5449" s="7" t="s">
        <v>5946</v>
      </c>
      <c r="D5449" s="7" t="s">
        <v>291</v>
      </c>
      <c r="E5449" s="7" t="s">
        <v>154</v>
      </c>
      <c r="F5449" s="39" t="n">
        <v>45917</v>
      </c>
      <c r="G5449" s="41" t="n">
        <v>125.35</v>
      </c>
      <c r="H5449" s="39" t="n">
        <v>46010</v>
      </c>
      <c r="I5449" s="7" t="s">
        <v>14651</v>
      </c>
      <c r="J5449" s="8" t="str">
        <f aca="false">IF(I5449="Open",DATE(2025,12,31)-F5449,"-")</f>
        <v>-</v>
      </c>
    </row>
    <row r="5450" customFormat="false" ht="15" hidden="false" customHeight="false" outlineLevel="0" collapsed="false">
      <c r="B5450" s="7" t="s">
        <v>20096</v>
      </c>
      <c r="C5450" s="7" t="s">
        <v>5947</v>
      </c>
      <c r="D5450" s="7" t="s">
        <v>295</v>
      </c>
      <c r="E5450" s="7" t="s">
        <v>154</v>
      </c>
      <c r="F5450" s="39" t="n">
        <v>45917</v>
      </c>
      <c r="G5450" s="41" t="n">
        <v>107.32</v>
      </c>
      <c r="H5450" s="39" t="n">
        <v>45974</v>
      </c>
      <c r="I5450" s="7" t="s">
        <v>14651</v>
      </c>
      <c r="J5450" s="8" t="str">
        <f aca="false">IF(I5450="Open",DATE(2025,12,31)-F5450,"-")</f>
        <v>-</v>
      </c>
    </row>
    <row r="5451" customFormat="false" ht="15" hidden="false" customHeight="false" outlineLevel="0" collapsed="false">
      <c r="B5451" s="7" t="s">
        <v>20097</v>
      </c>
      <c r="C5451" s="7" t="s">
        <v>5948</v>
      </c>
      <c r="D5451" s="7" t="s">
        <v>305</v>
      </c>
      <c r="E5451" s="7" t="s">
        <v>154</v>
      </c>
      <c r="F5451" s="39" t="n">
        <v>45917</v>
      </c>
      <c r="G5451" s="41" t="n">
        <v>110.77</v>
      </c>
      <c r="H5451" s="39" t="n">
        <v>45973</v>
      </c>
      <c r="I5451" s="7" t="s">
        <v>14651</v>
      </c>
      <c r="J5451" s="8" t="str">
        <f aca="false">IF(I5451="Open",DATE(2025,12,31)-F5451,"-")</f>
        <v>-</v>
      </c>
    </row>
    <row r="5452" customFormat="false" ht="15" hidden="false" customHeight="false" outlineLevel="0" collapsed="false">
      <c r="B5452" s="7" t="s">
        <v>20098</v>
      </c>
      <c r="C5452" s="7" t="s">
        <v>5949</v>
      </c>
      <c r="D5452" s="7" t="s">
        <v>307</v>
      </c>
      <c r="E5452" s="7" t="s">
        <v>157</v>
      </c>
      <c r="F5452" s="39" t="n">
        <v>45917</v>
      </c>
      <c r="G5452" s="41" t="n">
        <v>163.35</v>
      </c>
      <c r="H5452" s="39" t="n">
        <v>45944</v>
      </c>
      <c r="I5452" s="7" t="s">
        <v>14651</v>
      </c>
      <c r="J5452" s="8" t="str">
        <f aca="false">IF(I5452="Open",DATE(2025,12,31)-F5452,"-")</f>
        <v>-</v>
      </c>
    </row>
    <row r="5453" customFormat="false" ht="15" hidden="false" customHeight="false" outlineLevel="0" collapsed="false">
      <c r="B5453" s="7" t="s">
        <v>20099</v>
      </c>
      <c r="C5453" s="7" t="s">
        <v>5950</v>
      </c>
      <c r="D5453" s="7" t="s">
        <v>309</v>
      </c>
      <c r="E5453" s="7" t="s">
        <v>159</v>
      </c>
      <c r="F5453" s="39" t="n">
        <v>45917</v>
      </c>
      <c r="G5453" s="41" t="n">
        <v>139.05</v>
      </c>
      <c r="H5453" s="39" t="n">
        <v>45945</v>
      </c>
      <c r="I5453" s="7" t="s">
        <v>14651</v>
      </c>
      <c r="J5453" s="8" t="str">
        <f aca="false">IF(I5453="Open",DATE(2025,12,31)-F5453,"-")</f>
        <v>-</v>
      </c>
    </row>
    <row r="5454" customFormat="false" ht="15" hidden="false" customHeight="false" outlineLevel="0" collapsed="false">
      <c r="B5454" s="7" t="s">
        <v>20100</v>
      </c>
      <c r="C5454" s="7" t="s">
        <v>5951</v>
      </c>
      <c r="D5454" s="7" t="s">
        <v>313</v>
      </c>
      <c r="E5454" s="7" t="s">
        <v>156</v>
      </c>
      <c r="F5454" s="39" t="n">
        <v>45917</v>
      </c>
      <c r="G5454" s="41" t="n">
        <v>129.2</v>
      </c>
      <c r="H5454" s="39" t="n">
        <v>45943</v>
      </c>
      <c r="I5454" s="7" t="s">
        <v>14651</v>
      </c>
      <c r="J5454" s="8" t="str">
        <f aca="false">IF(I5454="Open",DATE(2025,12,31)-F5454,"-")</f>
        <v>-</v>
      </c>
    </row>
    <row r="5455" customFormat="false" ht="15" hidden="false" customHeight="false" outlineLevel="0" collapsed="false">
      <c r="B5455" s="7" t="s">
        <v>20101</v>
      </c>
      <c r="C5455" s="7" t="s">
        <v>5952</v>
      </c>
      <c r="D5455" s="7" t="s">
        <v>315</v>
      </c>
      <c r="E5455" s="7" t="s">
        <v>159</v>
      </c>
      <c r="F5455" s="39" t="n">
        <v>45917</v>
      </c>
      <c r="G5455" s="41" t="n">
        <v>114.21</v>
      </c>
      <c r="H5455" s="39" t="n">
        <v>45969</v>
      </c>
      <c r="I5455" s="7" t="s">
        <v>14651</v>
      </c>
      <c r="J5455" s="8" t="str">
        <f aca="false">IF(I5455="Open",DATE(2025,12,31)-F5455,"-")</f>
        <v>-</v>
      </c>
    </row>
    <row r="5456" customFormat="false" ht="15" hidden="false" customHeight="false" outlineLevel="0" collapsed="false">
      <c r="B5456" s="7" t="s">
        <v>20102</v>
      </c>
      <c r="C5456" s="7" t="s">
        <v>5953</v>
      </c>
      <c r="D5456" s="7" t="s">
        <v>321</v>
      </c>
      <c r="E5456" s="7" t="s">
        <v>154</v>
      </c>
      <c r="F5456" s="39" t="n">
        <v>45917</v>
      </c>
      <c r="G5456" s="41" t="n">
        <v>110.5</v>
      </c>
      <c r="H5456" s="39" t="n">
        <v>45997</v>
      </c>
      <c r="I5456" s="7" t="s">
        <v>14651</v>
      </c>
      <c r="J5456" s="8" t="str">
        <f aca="false">IF(I5456="Open",DATE(2025,12,31)-F5456,"-")</f>
        <v>-</v>
      </c>
    </row>
    <row r="5457" customFormat="false" ht="15" hidden="false" customHeight="false" outlineLevel="0" collapsed="false">
      <c r="B5457" s="7" t="s">
        <v>20103</v>
      </c>
      <c r="C5457" s="7" t="s">
        <v>5954</v>
      </c>
      <c r="D5457" s="7" t="s">
        <v>329</v>
      </c>
      <c r="E5457" s="7" t="s">
        <v>156</v>
      </c>
      <c r="F5457" s="39" t="n">
        <v>45917</v>
      </c>
      <c r="G5457" s="41" t="n">
        <v>136</v>
      </c>
      <c r="H5457" s="39" t="n">
        <v>45935</v>
      </c>
      <c r="I5457" s="7" t="s">
        <v>14651</v>
      </c>
      <c r="J5457" s="8" t="str">
        <f aca="false">IF(I5457="Open",DATE(2025,12,31)-F5457,"-")</f>
        <v>-</v>
      </c>
    </row>
    <row r="5458" customFormat="false" ht="15" hidden="false" customHeight="false" outlineLevel="0" collapsed="false">
      <c r="B5458" s="7" t="s">
        <v>20104</v>
      </c>
      <c r="C5458" s="7" t="s">
        <v>5955</v>
      </c>
      <c r="D5458" s="7" t="s">
        <v>335</v>
      </c>
      <c r="E5458" s="7" t="s">
        <v>154</v>
      </c>
      <c r="F5458" s="39" t="n">
        <v>45917</v>
      </c>
      <c r="G5458" s="41" t="n">
        <v>100.97</v>
      </c>
      <c r="H5458" s="39" t="n">
        <v>45986</v>
      </c>
      <c r="I5458" s="7" t="s">
        <v>14651</v>
      </c>
      <c r="J5458" s="8" t="str">
        <f aca="false">IF(I5458="Open",DATE(2025,12,31)-F5458,"-")</f>
        <v>-</v>
      </c>
    </row>
    <row r="5459" customFormat="false" ht="15" hidden="false" customHeight="false" outlineLevel="0" collapsed="false">
      <c r="B5459" s="7" t="s">
        <v>20105</v>
      </c>
      <c r="C5459" s="7" t="s">
        <v>5956</v>
      </c>
      <c r="D5459" s="7" t="s">
        <v>339</v>
      </c>
      <c r="E5459" s="7" t="s">
        <v>154</v>
      </c>
      <c r="F5459" s="39" t="n">
        <v>45917</v>
      </c>
      <c r="G5459" s="41" t="n">
        <v>86.39</v>
      </c>
      <c r="H5459" s="39" t="n">
        <v>45932</v>
      </c>
      <c r="I5459" s="7" t="s">
        <v>14651</v>
      </c>
      <c r="J5459" s="8" t="str">
        <f aca="false">IF(I5459="Open",DATE(2025,12,31)-F5459,"-")</f>
        <v>-</v>
      </c>
    </row>
    <row r="5460" customFormat="false" ht="15" hidden="false" customHeight="false" outlineLevel="0" collapsed="false">
      <c r="B5460" s="7" t="s">
        <v>20106</v>
      </c>
      <c r="C5460" s="7" t="s">
        <v>5957</v>
      </c>
      <c r="D5460" s="7" t="s">
        <v>347</v>
      </c>
      <c r="E5460" s="7" t="s">
        <v>154</v>
      </c>
      <c r="F5460" s="39" t="n">
        <v>45917</v>
      </c>
      <c r="G5460" s="41" t="n">
        <v>123.75</v>
      </c>
      <c r="H5460" s="39" t="n">
        <v>46008</v>
      </c>
      <c r="I5460" s="7" t="s">
        <v>14651</v>
      </c>
      <c r="J5460" s="8" t="str">
        <f aca="false">IF(I5460="Open",DATE(2025,12,31)-F5460,"-")</f>
        <v>-</v>
      </c>
    </row>
    <row r="5461" customFormat="false" ht="15" hidden="false" customHeight="false" outlineLevel="0" collapsed="false">
      <c r="B5461" s="7" t="s">
        <v>20107</v>
      </c>
      <c r="C5461" s="7" t="s">
        <v>5958</v>
      </c>
      <c r="D5461" s="7" t="s">
        <v>349</v>
      </c>
      <c r="E5461" s="7" t="s">
        <v>154</v>
      </c>
      <c r="F5461" s="39" t="n">
        <v>45917</v>
      </c>
      <c r="G5461" s="41" t="n">
        <v>110.5</v>
      </c>
      <c r="H5461" s="39" t="n">
        <v>45952</v>
      </c>
      <c r="I5461" s="7" t="s">
        <v>14651</v>
      </c>
      <c r="J5461" s="8" t="str">
        <f aca="false">IF(I5461="Open",DATE(2025,12,31)-F5461,"-")</f>
        <v>-</v>
      </c>
    </row>
    <row r="5462" customFormat="false" ht="15" hidden="false" customHeight="false" outlineLevel="0" collapsed="false">
      <c r="B5462" s="7" t="s">
        <v>20108</v>
      </c>
      <c r="C5462" s="7" t="s">
        <v>5959</v>
      </c>
      <c r="D5462" s="7" t="s">
        <v>353</v>
      </c>
      <c r="E5462" s="7" t="s">
        <v>154</v>
      </c>
      <c r="F5462" s="39" t="n">
        <v>45917</v>
      </c>
      <c r="G5462" s="41" t="n">
        <v>92.22</v>
      </c>
      <c r="H5462" s="39" t="n">
        <v>45976</v>
      </c>
      <c r="I5462" s="7" t="s">
        <v>14651</v>
      </c>
      <c r="J5462" s="8" t="str">
        <f aca="false">IF(I5462="Open",DATE(2025,12,31)-F5462,"-")</f>
        <v>-</v>
      </c>
    </row>
    <row r="5463" customFormat="false" ht="15" hidden="false" customHeight="false" outlineLevel="0" collapsed="false">
      <c r="B5463" s="7" t="s">
        <v>20109</v>
      </c>
      <c r="C5463" s="7" t="s">
        <v>5960</v>
      </c>
      <c r="D5463" s="7" t="s">
        <v>355</v>
      </c>
      <c r="E5463" s="7" t="s">
        <v>154</v>
      </c>
      <c r="F5463" s="39" t="n">
        <v>45917</v>
      </c>
      <c r="G5463" s="41" t="n">
        <v>85.33</v>
      </c>
      <c r="H5463" s="39" t="n">
        <v>45957</v>
      </c>
      <c r="I5463" s="7" t="s">
        <v>14651</v>
      </c>
      <c r="J5463" s="8" t="str">
        <f aca="false">IF(I5463="Open",DATE(2025,12,31)-F5463,"-")</f>
        <v>-</v>
      </c>
    </row>
    <row r="5464" customFormat="false" ht="15" hidden="false" customHeight="false" outlineLevel="0" collapsed="false">
      <c r="B5464" s="7" t="s">
        <v>20110</v>
      </c>
      <c r="C5464" s="7" t="s">
        <v>5961</v>
      </c>
      <c r="D5464" s="7" t="s">
        <v>357</v>
      </c>
      <c r="E5464" s="7" t="s">
        <v>154</v>
      </c>
      <c r="F5464" s="39" t="n">
        <v>45917</v>
      </c>
      <c r="G5464" s="41" t="n">
        <v>87.19</v>
      </c>
      <c r="H5464" s="39" t="n">
        <v>45983</v>
      </c>
      <c r="I5464" s="7" t="s">
        <v>14651</v>
      </c>
      <c r="J5464" s="8" t="str">
        <f aca="false">IF(I5464="Open",DATE(2025,12,31)-F5464,"-")</f>
        <v>-</v>
      </c>
    </row>
    <row r="5465" customFormat="false" ht="15" hidden="false" customHeight="false" outlineLevel="0" collapsed="false">
      <c r="B5465" s="7" t="s">
        <v>20111</v>
      </c>
      <c r="C5465" s="7" t="s">
        <v>5962</v>
      </c>
      <c r="D5465" s="7" t="s">
        <v>359</v>
      </c>
      <c r="E5465" s="7" t="s">
        <v>156</v>
      </c>
      <c r="F5465" s="39" t="n">
        <v>45917</v>
      </c>
      <c r="G5465" s="41" t="n">
        <v>147.56</v>
      </c>
      <c r="H5465" s="39" t="n">
        <v>45933</v>
      </c>
      <c r="I5465" s="7" t="s">
        <v>14651</v>
      </c>
      <c r="J5465" s="8" t="str">
        <f aca="false">IF(I5465="Open",DATE(2025,12,31)-F5465,"-")</f>
        <v>-</v>
      </c>
    </row>
    <row r="5466" customFormat="false" ht="15" hidden="false" customHeight="false" outlineLevel="0" collapsed="false">
      <c r="B5466" s="7" t="s">
        <v>20112</v>
      </c>
      <c r="C5466" s="7" t="s">
        <v>5963</v>
      </c>
      <c r="D5466" s="7" t="s">
        <v>365</v>
      </c>
      <c r="E5466" s="7" t="s">
        <v>154</v>
      </c>
      <c r="F5466" s="39" t="n">
        <v>45917</v>
      </c>
      <c r="G5466" s="41" t="n">
        <v>112.62</v>
      </c>
      <c r="H5466" s="39" t="n">
        <v>45942</v>
      </c>
      <c r="I5466" s="7" t="s">
        <v>14651</v>
      </c>
      <c r="J5466" s="8" t="str">
        <f aca="false">IF(I5466="Open",DATE(2025,12,31)-F5466,"-")</f>
        <v>-</v>
      </c>
    </row>
    <row r="5467" customFormat="false" ht="15" hidden="false" customHeight="false" outlineLevel="0" collapsed="false">
      <c r="B5467" s="7" t="s">
        <v>20113</v>
      </c>
      <c r="C5467" s="7" t="s">
        <v>5964</v>
      </c>
      <c r="D5467" s="7" t="s">
        <v>371</v>
      </c>
      <c r="E5467" s="7" t="s">
        <v>154</v>
      </c>
      <c r="F5467" s="39" t="n">
        <v>45917</v>
      </c>
      <c r="G5467" s="41" t="n">
        <v>114.48</v>
      </c>
      <c r="H5467" s="39" t="n">
        <v>45965</v>
      </c>
      <c r="I5467" s="7" t="s">
        <v>14651</v>
      </c>
      <c r="J5467" s="8" t="str">
        <f aca="false">IF(I5467="Open",DATE(2025,12,31)-F5467,"-")</f>
        <v>-</v>
      </c>
    </row>
    <row r="5468" customFormat="false" ht="15" hidden="false" customHeight="false" outlineLevel="0" collapsed="false">
      <c r="B5468" s="7" t="s">
        <v>20114</v>
      </c>
      <c r="C5468" s="7" t="s">
        <v>5965</v>
      </c>
      <c r="D5468" s="7" t="s">
        <v>379</v>
      </c>
      <c r="E5468" s="7" t="s">
        <v>156</v>
      </c>
      <c r="F5468" s="39" t="n">
        <v>45917</v>
      </c>
      <c r="G5468" s="41" t="n">
        <v>143.48</v>
      </c>
      <c r="H5468" s="39" t="n">
        <v>45925</v>
      </c>
      <c r="I5468" s="7" t="s">
        <v>14651</v>
      </c>
      <c r="J5468" s="8" t="str">
        <f aca="false">IF(I5468="Open",DATE(2025,12,31)-F5468,"-")</f>
        <v>-</v>
      </c>
    </row>
    <row r="5469" customFormat="false" ht="15" hidden="false" customHeight="false" outlineLevel="0" collapsed="false">
      <c r="B5469" s="7" t="s">
        <v>20115</v>
      </c>
      <c r="C5469" s="7" t="s">
        <v>5966</v>
      </c>
      <c r="D5469" s="7" t="s">
        <v>385</v>
      </c>
      <c r="E5469" s="7" t="s">
        <v>156</v>
      </c>
      <c r="F5469" s="39" t="n">
        <v>45917</v>
      </c>
      <c r="G5469" s="41" t="n">
        <v>131.58</v>
      </c>
      <c r="H5469" s="39" t="n">
        <v>45939</v>
      </c>
      <c r="I5469" s="7" t="s">
        <v>14651</v>
      </c>
      <c r="J5469" s="8" t="str">
        <f aca="false">IF(I5469="Open",DATE(2025,12,31)-F5469,"-")</f>
        <v>-</v>
      </c>
    </row>
    <row r="5470" customFormat="false" ht="15" hidden="false" customHeight="false" outlineLevel="0" collapsed="false">
      <c r="B5470" s="7" t="s">
        <v>20116</v>
      </c>
      <c r="C5470" s="7" t="s">
        <v>5967</v>
      </c>
      <c r="D5470" s="7" t="s">
        <v>387</v>
      </c>
      <c r="E5470" s="7" t="s">
        <v>154</v>
      </c>
      <c r="F5470" s="39" t="n">
        <v>45917</v>
      </c>
      <c r="G5470" s="41" t="n">
        <v>115.27</v>
      </c>
      <c r="H5470" s="39" t="n">
        <v>45950</v>
      </c>
      <c r="I5470" s="7" t="s">
        <v>14651</v>
      </c>
      <c r="J5470" s="8" t="str">
        <f aca="false">IF(I5470="Open",DATE(2025,12,31)-F5470,"-")</f>
        <v>-</v>
      </c>
    </row>
    <row r="5471" customFormat="false" ht="15" hidden="false" customHeight="false" outlineLevel="0" collapsed="false">
      <c r="B5471" s="7" t="s">
        <v>20117</v>
      </c>
      <c r="C5471" s="7" t="s">
        <v>5968</v>
      </c>
      <c r="D5471" s="7" t="s">
        <v>389</v>
      </c>
      <c r="E5471" s="7" t="s">
        <v>154</v>
      </c>
      <c r="F5471" s="39" t="n">
        <v>45917</v>
      </c>
      <c r="G5471" s="41" t="n">
        <v>96.41</v>
      </c>
      <c r="H5471" s="39" t="n">
        <v>46009</v>
      </c>
      <c r="I5471" s="7" t="s">
        <v>14651</v>
      </c>
      <c r="J5471" s="8" t="str">
        <f aca="false">IF(I5471="Open",DATE(2025,12,31)-F5471,"-")</f>
        <v>-</v>
      </c>
    </row>
    <row r="5472" customFormat="false" ht="15" hidden="false" customHeight="false" outlineLevel="0" collapsed="false">
      <c r="B5472" s="7" t="s">
        <v>20118</v>
      </c>
      <c r="C5472" s="7" t="s">
        <v>5969</v>
      </c>
      <c r="D5472" s="7" t="s">
        <v>391</v>
      </c>
      <c r="E5472" s="7" t="s">
        <v>156</v>
      </c>
      <c r="F5472" s="39" t="n">
        <v>45917</v>
      </c>
      <c r="G5472" s="41" t="n">
        <v>143.82</v>
      </c>
      <c r="H5472" s="39" t="n">
        <v>45929</v>
      </c>
      <c r="I5472" s="7" t="s">
        <v>14651</v>
      </c>
      <c r="J5472" s="8" t="str">
        <f aca="false">IF(I5472="Open",DATE(2025,12,31)-F5472,"-")</f>
        <v>-</v>
      </c>
    </row>
    <row r="5473" customFormat="false" ht="15" hidden="false" customHeight="false" outlineLevel="0" collapsed="false">
      <c r="B5473" s="7" t="s">
        <v>20119</v>
      </c>
      <c r="C5473" s="7" t="s">
        <v>5970</v>
      </c>
      <c r="D5473" s="7" t="s">
        <v>393</v>
      </c>
      <c r="E5473" s="7" t="s">
        <v>157</v>
      </c>
      <c r="F5473" s="39" t="n">
        <v>45917</v>
      </c>
      <c r="G5473" s="41" t="n">
        <v>150.48</v>
      </c>
      <c r="H5473" s="39" t="n">
        <v>45956</v>
      </c>
      <c r="I5473" s="7" t="s">
        <v>14651</v>
      </c>
      <c r="J5473" s="8" t="str">
        <f aca="false">IF(I5473="Open",DATE(2025,12,31)-F5473,"-")</f>
        <v>-</v>
      </c>
    </row>
    <row r="5474" customFormat="false" ht="15" hidden="false" customHeight="false" outlineLevel="0" collapsed="false">
      <c r="B5474" s="7" t="s">
        <v>20120</v>
      </c>
      <c r="C5474" s="7" t="s">
        <v>5971</v>
      </c>
      <c r="D5474" s="7" t="s">
        <v>399</v>
      </c>
      <c r="E5474" s="7" t="s">
        <v>154</v>
      </c>
      <c r="F5474" s="39" t="n">
        <v>45917</v>
      </c>
      <c r="G5474" s="41" t="n">
        <v>81.88</v>
      </c>
      <c r="H5474" s="39" t="n">
        <v>45951</v>
      </c>
      <c r="I5474" s="7" t="s">
        <v>14651</v>
      </c>
      <c r="J5474" s="8" t="str">
        <f aca="false">IF(I5474="Open",DATE(2025,12,31)-F5474,"-")</f>
        <v>-</v>
      </c>
    </row>
    <row r="5475" customFormat="false" ht="15" hidden="false" customHeight="false" outlineLevel="0" collapsed="false">
      <c r="B5475" s="7" t="s">
        <v>20121</v>
      </c>
      <c r="C5475" s="7" t="s">
        <v>5972</v>
      </c>
      <c r="D5475" s="7" t="s">
        <v>401</v>
      </c>
      <c r="E5475" s="7" t="s">
        <v>156</v>
      </c>
      <c r="F5475" s="39" t="n">
        <v>45917</v>
      </c>
      <c r="G5475" s="41" t="n">
        <v>129.54</v>
      </c>
      <c r="H5475" s="39" t="n">
        <v>45938</v>
      </c>
      <c r="I5475" s="7" t="s">
        <v>14651</v>
      </c>
      <c r="J5475" s="8" t="str">
        <f aca="false">IF(I5475="Open",DATE(2025,12,31)-F5475,"-")</f>
        <v>-</v>
      </c>
    </row>
    <row r="5476" customFormat="false" ht="15" hidden="false" customHeight="false" outlineLevel="0" collapsed="false">
      <c r="B5476" s="7" t="s">
        <v>20122</v>
      </c>
      <c r="C5476" s="7" t="s">
        <v>5973</v>
      </c>
      <c r="D5476" s="7" t="s">
        <v>403</v>
      </c>
      <c r="E5476" s="7" t="s">
        <v>156</v>
      </c>
      <c r="F5476" s="39" t="n">
        <v>45917</v>
      </c>
      <c r="G5476" s="41" t="n">
        <v>130.22</v>
      </c>
      <c r="H5476" s="39" t="n">
        <v>45925</v>
      </c>
      <c r="I5476" s="7" t="s">
        <v>14651</v>
      </c>
      <c r="J5476" s="8" t="str">
        <f aca="false">IF(I5476="Open",DATE(2025,12,31)-F5476,"-")</f>
        <v>-</v>
      </c>
    </row>
    <row r="5477" customFormat="false" ht="15" hidden="false" customHeight="false" outlineLevel="0" collapsed="false">
      <c r="B5477" s="7" t="s">
        <v>20123</v>
      </c>
      <c r="C5477" s="7" t="s">
        <v>5974</v>
      </c>
      <c r="D5477" s="7" t="s">
        <v>409</v>
      </c>
      <c r="E5477" s="7" t="s">
        <v>154</v>
      </c>
      <c r="F5477" s="39" t="n">
        <v>45917</v>
      </c>
      <c r="G5477" s="41" t="n">
        <v>90.9</v>
      </c>
      <c r="H5477" s="39" t="n">
        <v>45941</v>
      </c>
      <c r="I5477" s="7" t="s">
        <v>14651</v>
      </c>
      <c r="J5477" s="8" t="str">
        <f aca="false">IF(I5477="Open",DATE(2025,12,31)-F5477,"-")</f>
        <v>-</v>
      </c>
    </row>
    <row r="5478" customFormat="false" ht="15" hidden="false" customHeight="false" outlineLevel="0" collapsed="false">
      <c r="B5478" s="7" t="s">
        <v>20124</v>
      </c>
      <c r="C5478" s="7" t="s">
        <v>5975</v>
      </c>
      <c r="D5478" s="7" t="s">
        <v>411</v>
      </c>
      <c r="E5478" s="7" t="s">
        <v>154</v>
      </c>
      <c r="F5478" s="39" t="n">
        <v>45917</v>
      </c>
      <c r="G5478" s="41" t="n">
        <v>133.56</v>
      </c>
      <c r="H5478" s="39" t="n">
        <v>45977</v>
      </c>
      <c r="I5478" s="7" t="s">
        <v>14651</v>
      </c>
      <c r="J5478" s="8" t="str">
        <f aca="false">IF(I5478="Open",DATE(2025,12,31)-F5478,"-")</f>
        <v>-</v>
      </c>
    </row>
    <row r="5479" customFormat="false" ht="15" hidden="false" customHeight="false" outlineLevel="0" collapsed="false">
      <c r="B5479" s="7" t="s">
        <v>20125</v>
      </c>
      <c r="C5479" s="7" t="s">
        <v>5976</v>
      </c>
      <c r="D5479" s="7" t="s">
        <v>288</v>
      </c>
      <c r="E5479" s="7" t="s">
        <v>156</v>
      </c>
      <c r="F5479" s="39" t="n">
        <v>45918</v>
      </c>
      <c r="G5479" s="41" t="n">
        <v>130.56</v>
      </c>
      <c r="H5479" s="39" t="n">
        <v>45923</v>
      </c>
      <c r="I5479" s="7" t="s">
        <v>14651</v>
      </c>
      <c r="J5479" s="8" t="str">
        <f aca="false">IF(I5479="Open",DATE(2025,12,31)-F5479,"-")</f>
        <v>-</v>
      </c>
    </row>
    <row r="5480" customFormat="false" ht="15" hidden="false" customHeight="false" outlineLevel="0" collapsed="false">
      <c r="B5480" s="7" t="s">
        <v>20126</v>
      </c>
      <c r="C5480" s="7" t="s">
        <v>5977</v>
      </c>
      <c r="D5480" s="7" t="s">
        <v>297</v>
      </c>
      <c r="E5480" s="7" t="s">
        <v>156</v>
      </c>
      <c r="F5480" s="39" t="n">
        <v>45918</v>
      </c>
      <c r="G5480" s="41" t="n">
        <v>108.46</v>
      </c>
      <c r="H5480" s="39" t="n">
        <v>45935</v>
      </c>
      <c r="I5480" s="7" t="s">
        <v>14651</v>
      </c>
      <c r="J5480" s="8" t="str">
        <f aca="false">IF(I5480="Open",DATE(2025,12,31)-F5480,"-")</f>
        <v>-</v>
      </c>
    </row>
    <row r="5481" customFormat="false" ht="15" hidden="false" customHeight="false" outlineLevel="0" collapsed="false">
      <c r="B5481" s="7" t="s">
        <v>20127</v>
      </c>
      <c r="C5481" s="7" t="s">
        <v>5978</v>
      </c>
      <c r="D5481" s="7" t="s">
        <v>311</v>
      </c>
      <c r="E5481" s="7" t="s">
        <v>154</v>
      </c>
      <c r="F5481" s="39" t="n">
        <v>45918</v>
      </c>
      <c r="G5481" s="41" t="n">
        <v>79.42</v>
      </c>
      <c r="H5481" s="39" t="n">
        <v>45949</v>
      </c>
      <c r="I5481" s="7" t="s">
        <v>14651</v>
      </c>
      <c r="J5481" s="8" t="str">
        <f aca="false">IF(I5481="Open",DATE(2025,12,31)-F5481,"-")</f>
        <v>-</v>
      </c>
    </row>
    <row r="5482" customFormat="false" ht="15" hidden="false" customHeight="false" outlineLevel="0" collapsed="false">
      <c r="B5482" s="7" t="s">
        <v>20128</v>
      </c>
      <c r="C5482" s="7" t="s">
        <v>5979</v>
      </c>
      <c r="D5482" s="7" t="s">
        <v>313</v>
      </c>
      <c r="E5482" s="7" t="s">
        <v>156</v>
      </c>
      <c r="F5482" s="39" t="n">
        <v>45918</v>
      </c>
      <c r="G5482" s="41" t="n">
        <v>147.22</v>
      </c>
      <c r="H5482" s="39" t="n">
        <v>45925</v>
      </c>
      <c r="I5482" s="7" t="s">
        <v>14651</v>
      </c>
      <c r="J5482" s="8" t="str">
        <f aca="false">IF(I5482="Open",DATE(2025,12,31)-F5482,"-")</f>
        <v>-</v>
      </c>
    </row>
    <row r="5483" customFormat="false" ht="15" hidden="false" customHeight="false" outlineLevel="0" collapsed="false">
      <c r="B5483" s="7" t="s">
        <v>20129</v>
      </c>
      <c r="C5483" s="7" t="s">
        <v>5980</v>
      </c>
      <c r="D5483" s="7" t="s">
        <v>317</v>
      </c>
      <c r="E5483" s="7" t="s">
        <v>156</v>
      </c>
      <c r="F5483" s="39" t="n">
        <v>45918</v>
      </c>
      <c r="G5483" s="41" t="n">
        <v>105.06</v>
      </c>
      <c r="H5483" s="39" t="n">
        <v>45921</v>
      </c>
      <c r="I5483" s="7" t="s">
        <v>14651</v>
      </c>
      <c r="J5483" s="8" t="str">
        <f aca="false">IF(I5483="Open",DATE(2025,12,31)-F5483,"-")</f>
        <v>-</v>
      </c>
    </row>
    <row r="5484" customFormat="false" ht="15" hidden="false" customHeight="false" outlineLevel="0" collapsed="false">
      <c r="B5484" s="7" t="s">
        <v>20130</v>
      </c>
      <c r="C5484" s="7" t="s">
        <v>5981</v>
      </c>
      <c r="D5484" s="7" t="s">
        <v>321</v>
      </c>
      <c r="E5484" s="7" t="s">
        <v>154</v>
      </c>
      <c r="F5484" s="39" t="n">
        <v>45918</v>
      </c>
      <c r="G5484" s="41" t="n">
        <v>109.5</v>
      </c>
      <c r="H5484" s="39" t="n">
        <v>45951</v>
      </c>
      <c r="I5484" s="7" t="s">
        <v>14651</v>
      </c>
      <c r="J5484" s="8" t="str">
        <f aca="false">IF(I5484="Open",DATE(2025,12,31)-F5484,"-")</f>
        <v>-</v>
      </c>
    </row>
    <row r="5485" customFormat="false" ht="15" hidden="false" customHeight="false" outlineLevel="0" collapsed="false">
      <c r="B5485" s="7" t="s">
        <v>20131</v>
      </c>
      <c r="C5485" s="7" t="s">
        <v>5982</v>
      </c>
      <c r="D5485" s="7" t="s">
        <v>325</v>
      </c>
      <c r="E5485" s="7" t="s">
        <v>154</v>
      </c>
      <c r="F5485" s="39" t="n">
        <v>45918</v>
      </c>
      <c r="G5485" s="41" t="n">
        <v>73.41</v>
      </c>
      <c r="H5485" s="39" t="n">
        <v>45973</v>
      </c>
      <c r="I5485" s="7" t="s">
        <v>14651</v>
      </c>
      <c r="J5485" s="8" t="str">
        <f aca="false">IF(I5485="Open",DATE(2025,12,31)-F5485,"-")</f>
        <v>-</v>
      </c>
    </row>
    <row r="5486" customFormat="false" ht="15" hidden="false" customHeight="false" outlineLevel="0" collapsed="false">
      <c r="B5486" s="7" t="s">
        <v>20132</v>
      </c>
      <c r="C5486" s="7" t="s">
        <v>5983</v>
      </c>
      <c r="D5486" s="7" t="s">
        <v>329</v>
      </c>
      <c r="E5486" s="7" t="s">
        <v>156</v>
      </c>
      <c r="F5486" s="39" t="n">
        <v>45918</v>
      </c>
      <c r="G5486" s="41" t="n">
        <v>147.22</v>
      </c>
      <c r="H5486" s="39" t="n">
        <v>45933</v>
      </c>
      <c r="I5486" s="7" t="s">
        <v>14651</v>
      </c>
      <c r="J5486" s="8" t="str">
        <f aca="false">IF(I5486="Open",DATE(2025,12,31)-F5486,"-")</f>
        <v>-</v>
      </c>
    </row>
    <row r="5487" customFormat="false" ht="15" hidden="false" customHeight="false" outlineLevel="0" collapsed="false">
      <c r="B5487" s="7" t="s">
        <v>20133</v>
      </c>
      <c r="C5487" s="7" t="s">
        <v>5984</v>
      </c>
      <c r="D5487" s="7" t="s">
        <v>331</v>
      </c>
      <c r="E5487" s="7" t="s">
        <v>156</v>
      </c>
      <c r="F5487" s="39" t="n">
        <v>45918</v>
      </c>
      <c r="G5487" s="41" t="n">
        <v>128.18</v>
      </c>
      <c r="H5487" s="39" t="n">
        <v>45935</v>
      </c>
      <c r="I5487" s="7" t="s">
        <v>14651</v>
      </c>
      <c r="J5487" s="8" t="str">
        <f aca="false">IF(I5487="Open",DATE(2025,12,31)-F5487,"-")</f>
        <v>-</v>
      </c>
    </row>
    <row r="5488" customFormat="false" ht="15" hidden="false" customHeight="false" outlineLevel="0" collapsed="false">
      <c r="B5488" s="7" t="s">
        <v>20134</v>
      </c>
      <c r="C5488" s="7" t="s">
        <v>5985</v>
      </c>
      <c r="D5488" s="7" t="s">
        <v>341</v>
      </c>
      <c r="E5488" s="7" t="s">
        <v>156</v>
      </c>
      <c r="F5488" s="39" t="n">
        <v>45918</v>
      </c>
      <c r="G5488" s="41" t="n">
        <v>106.76</v>
      </c>
      <c r="H5488" s="39" t="n">
        <v>45926</v>
      </c>
      <c r="I5488" s="7" t="s">
        <v>14651</v>
      </c>
      <c r="J5488" s="8" t="str">
        <f aca="false">IF(I5488="Open",DATE(2025,12,31)-F5488,"-")</f>
        <v>-</v>
      </c>
    </row>
    <row r="5489" customFormat="false" ht="15" hidden="false" customHeight="false" outlineLevel="0" collapsed="false">
      <c r="B5489" s="7" t="s">
        <v>20135</v>
      </c>
      <c r="C5489" s="7" t="s">
        <v>5986</v>
      </c>
      <c r="D5489" s="7" t="s">
        <v>343</v>
      </c>
      <c r="E5489" s="7" t="s">
        <v>154</v>
      </c>
      <c r="F5489" s="39" t="n">
        <v>45918</v>
      </c>
      <c r="G5489" s="41" t="n">
        <v>106</v>
      </c>
      <c r="H5489" s="39" t="n">
        <v>45967</v>
      </c>
      <c r="I5489" s="7" t="s">
        <v>14651</v>
      </c>
      <c r="J5489" s="8" t="str">
        <f aca="false">IF(I5489="Open",DATE(2025,12,31)-F5489,"-")</f>
        <v>-</v>
      </c>
    </row>
    <row r="5490" customFormat="false" ht="15" hidden="false" customHeight="false" outlineLevel="0" collapsed="false">
      <c r="B5490" s="7" t="s">
        <v>20136</v>
      </c>
      <c r="C5490" s="7" t="s">
        <v>5987</v>
      </c>
      <c r="D5490" s="7" t="s">
        <v>349</v>
      </c>
      <c r="E5490" s="7" t="s">
        <v>154</v>
      </c>
      <c r="F5490" s="39" t="n">
        <v>45918</v>
      </c>
      <c r="G5490" s="41" t="n">
        <v>105.89</v>
      </c>
      <c r="H5490" s="39" t="n">
        <v>46019</v>
      </c>
      <c r="I5490" s="7" t="s">
        <v>14651</v>
      </c>
      <c r="J5490" s="8" t="str">
        <f aca="false">IF(I5490="Open",DATE(2025,12,31)-F5490,"-")</f>
        <v>-</v>
      </c>
    </row>
    <row r="5491" customFormat="false" ht="15" hidden="false" customHeight="false" outlineLevel="0" collapsed="false">
      <c r="B5491" s="7" t="s">
        <v>20137</v>
      </c>
      <c r="C5491" s="7" t="s">
        <v>5988</v>
      </c>
      <c r="D5491" s="7" t="s">
        <v>351</v>
      </c>
      <c r="E5491" s="7" t="s">
        <v>154</v>
      </c>
      <c r="F5491" s="39" t="n">
        <v>45918</v>
      </c>
      <c r="G5491" s="41" t="n">
        <v>79.5</v>
      </c>
      <c r="H5491" s="39" t="n">
        <v>45950</v>
      </c>
      <c r="I5491" s="7" t="s">
        <v>14651</v>
      </c>
      <c r="J5491" s="8" t="str">
        <f aca="false">IF(I5491="Open",DATE(2025,12,31)-F5491,"-")</f>
        <v>-</v>
      </c>
    </row>
    <row r="5492" customFormat="false" ht="15" hidden="false" customHeight="false" outlineLevel="0" collapsed="false">
      <c r="B5492" s="7" t="s">
        <v>20138</v>
      </c>
      <c r="C5492" s="7" t="s">
        <v>5989</v>
      </c>
      <c r="D5492" s="7" t="s">
        <v>359</v>
      </c>
      <c r="E5492" s="7" t="s">
        <v>156</v>
      </c>
      <c r="F5492" s="39" t="n">
        <v>45918</v>
      </c>
      <c r="G5492" s="41" t="n">
        <v>140.08</v>
      </c>
      <c r="H5492" s="39" t="n">
        <v>45937</v>
      </c>
      <c r="I5492" s="7" t="s">
        <v>14651</v>
      </c>
      <c r="J5492" s="8" t="str">
        <f aca="false">IF(I5492="Open",DATE(2025,12,31)-F5492,"-")</f>
        <v>-</v>
      </c>
    </row>
    <row r="5493" customFormat="false" ht="15" hidden="false" customHeight="false" outlineLevel="0" collapsed="false">
      <c r="B5493" s="7" t="s">
        <v>20139</v>
      </c>
      <c r="C5493" s="7" t="s">
        <v>5990</v>
      </c>
      <c r="D5493" s="7" t="s">
        <v>363</v>
      </c>
      <c r="E5493" s="7" t="s">
        <v>156</v>
      </c>
      <c r="F5493" s="39" t="n">
        <v>45918</v>
      </c>
      <c r="G5493" s="41" t="n">
        <v>133.62</v>
      </c>
      <c r="H5493" s="39" t="n">
        <v>45927</v>
      </c>
      <c r="I5493" s="7" t="s">
        <v>14651</v>
      </c>
      <c r="J5493" s="8" t="str">
        <f aca="false">IF(I5493="Open",DATE(2025,12,31)-F5493,"-")</f>
        <v>-</v>
      </c>
    </row>
    <row r="5494" customFormat="false" ht="15" hidden="false" customHeight="false" outlineLevel="0" collapsed="false">
      <c r="B5494" s="7" t="s">
        <v>20140</v>
      </c>
      <c r="C5494" s="7" t="s">
        <v>5991</v>
      </c>
      <c r="D5494" s="7" t="s">
        <v>365</v>
      </c>
      <c r="E5494" s="7" t="s">
        <v>154</v>
      </c>
      <c r="F5494" s="39" t="n">
        <v>45918</v>
      </c>
      <c r="G5494" s="41" t="n">
        <v>98.58</v>
      </c>
      <c r="H5494" s="39" t="n">
        <v>46016</v>
      </c>
      <c r="I5494" s="7" t="s">
        <v>14651</v>
      </c>
      <c r="J5494" s="8" t="str">
        <f aca="false">IF(I5494="Open",DATE(2025,12,31)-F5494,"-")</f>
        <v>-</v>
      </c>
    </row>
    <row r="5495" customFormat="false" ht="15" hidden="false" customHeight="false" outlineLevel="0" collapsed="false">
      <c r="B5495" s="7" t="s">
        <v>20141</v>
      </c>
      <c r="C5495" s="7" t="s">
        <v>5992</v>
      </c>
      <c r="D5495" s="7" t="s">
        <v>375</v>
      </c>
      <c r="E5495" s="7" t="s">
        <v>156</v>
      </c>
      <c r="F5495" s="39" t="n">
        <v>45918</v>
      </c>
      <c r="G5495" s="41" t="n">
        <v>94.52</v>
      </c>
      <c r="H5495" s="39" t="n">
        <v>45935</v>
      </c>
      <c r="I5495" s="7" t="s">
        <v>14651</v>
      </c>
      <c r="J5495" s="8" t="str">
        <f aca="false">IF(I5495="Open",DATE(2025,12,31)-F5495,"-")</f>
        <v>-</v>
      </c>
    </row>
    <row r="5496" customFormat="false" ht="15" hidden="false" customHeight="false" outlineLevel="0" collapsed="false">
      <c r="B5496" s="7" t="s">
        <v>20142</v>
      </c>
      <c r="C5496" s="7" t="s">
        <v>5993</v>
      </c>
      <c r="D5496" s="7" t="s">
        <v>377</v>
      </c>
      <c r="E5496" s="7" t="s">
        <v>154</v>
      </c>
      <c r="F5496" s="39" t="n">
        <v>45918</v>
      </c>
      <c r="G5496" s="41" t="n">
        <v>101.02</v>
      </c>
      <c r="H5496" s="39" t="n">
        <v>45981</v>
      </c>
      <c r="I5496" s="7" t="s">
        <v>14651</v>
      </c>
      <c r="J5496" s="8" t="str">
        <f aca="false">IF(I5496="Open",DATE(2025,12,31)-F5496,"-")</f>
        <v>-</v>
      </c>
    </row>
    <row r="5497" customFormat="false" ht="15" hidden="false" customHeight="false" outlineLevel="0" collapsed="false">
      <c r="B5497" s="7" t="s">
        <v>20143</v>
      </c>
      <c r="C5497" s="7" t="s">
        <v>5994</v>
      </c>
      <c r="D5497" s="7" t="s">
        <v>387</v>
      </c>
      <c r="E5497" s="7" t="s">
        <v>154</v>
      </c>
      <c r="F5497" s="39" t="n">
        <v>45918</v>
      </c>
      <c r="G5497" s="41" t="n">
        <v>101.23</v>
      </c>
      <c r="H5497" s="39" t="n">
        <v>45958</v>
      </c>
      <c r="I5497" s="7" t="s">
        <v>14651</v>
      </c>
      <c r="J5497" s="8" t="str">
        <f aca="false">IF(I5497="Open",DATE(2025,12,31)-F5497,"-")</f>
        <v>-</v>
      </c>
    </row>
    <row r="5498" customFormat="false" ht="15" hidden="false" customHeight="false" outlineLevel="0" collapsed="false">
      <c r="B5498" s="7" t="s">
        <v>20144</v>
      </c>
      <c r="C5498" s="7" t="s">
        <v>5995</v>
      </c>
      <c r="D5498" s="7" t="s">
        <v>389</v>
      </c>
      <c r="E5498" s="7" t="s">
        <v>154</v>
      </c>
      <c r="F5498" s="39" t="n">
        <v>45918</v>
      </c>
      <c r="G5498" s="41" t="n">
        <v>115.01</v>
      </c>
      <c r="H5498" s="6" t="s">
        <v>182</v>
      </c>
      <c r="I5498" s="7" t="s">
        <v>19787</v>
      </c>
      <c r="J5498" s="8" t="n">
        <f aca="false">IF(I5498="Open",DATE(2025,12,31)-F5498,"-")</f>
        <v>104</v>
      </c>
    </row>
    <row r="5499" customFormat="false" ht="15" hidden="false" customHeight="false" outlineLevel="0" collapsed="false">
      <c r="B5499" s="7" t="s">
        <v>20145</v>
      </c>
      <c r="C5499" s="7" t="s">
        <v>5996</v>
      </c>
      <c r="D5499" s="7" t="s">
        <v>391</v>
      </c>
      <c r="E5499" s="7" t="s">
        <v>156</v>
      </c>
      <c r="F5499" s="39" t="n">
        <v>45918</v>
      </c>
      <c r="G5499" s="41" t="n">
        <v>126.48</v>
      </c>
      <c r="H5499" s="39" t="n">
        <v>45926</v>
      </c>
      <c r="I5499" s="7" t="s">
        <v>14651</v>
      </c>
      <c r="J5499" s="8" t="str">
        <f aca="false">IF(I5499="Open",DATE(2025,12,31)-F5499,"-")</f>
        <v>-</v>
      </c>
    </row>
    <row r="5500" customFormat="false" ht="15" hidden="false" customHeight="false" outlineLevel="0" collapsed="false">
      <c r="B5500" s="7" t="s">
        <v>20146</v>
      </c>
      <c r="C5500" s="7" t="s">
        <v>5997</v>
      </c>
      <c r="D5500" s="7" t="s">
        <v>395</v>
      </c>
      <c r="E5500" s="7" t="s">
        <v>156</v>
      </c>
      <c r="F5500" s="39" t="n">
        <v>45918</v>
      </c>
      <c r="G5500" s="41" t="n">
        <v>123.08</v>
      </c>
      <c r="H5500" s="39" t="n">
        <v>45921</v>
      </c>
      <c r="I5500" s="7" t="s">
        <v>14651</v>
      </c>
      <c r="J5500" s="8" t="str">
        <f aca="false">IF(I5500="Open",DATE(2025,12,31)-F5500,"-")</f>
        <v>-</v>
      </c>
    </row>
    <row r="5501" customFormat="false" ht="15" hidden="false" customHeight="false" outlineLevel="0" collapsed="false">
      <c r="B5501" s="7" t="s">
        <v>20147</v>
      </c>
      <c r="C5501" s="7" t="s">
        <v>5998</v>
      </c>
      <c r="D5501" s="7" t="s">
        <v>401</v>
      </c>
      <c r="E5501" s="7" t="s">
        <v>156</v>
      </c>
      <c r="F5501" s="39" t="n">
        <v>45918</v>
      </c>
      <c r="G5501" s="41" t="n">
        <v>136.68</v>
      </c>
      <c r="H5501" s="39" t="n">
        <v>45922</v>
      </c>
      <c r="I5501" s="7" t="s">
        <v>14651</v>
      </c>
      <c r="J5501" s="8" t="str">
        <f aca="false">IF(I5501="Open",DATE(2025,12,31)-F5501,"-")</f>
        <v>-</v>
      </c>
    </row>
    <row r="5502" customFormat="false" ht="15" hidden="false" customHeight="false" outlineLevel="0" collapsed="false">
      <c r="B5502" s="7" t="s">
        <v>20148</v>
      </c>
      <c r="C5502" s="7" t="s">
        <v>5999</v>
      </c>
      <c r="D5502" s="7" t="s">
        <v>288</v>
      </c>
      <c r="E5502" s="7" t="s">
        <v>156</v>
      </c>
      <c r="F5502" s="39" t="n">
        <v>45919</v>
      </c>
      <c r="G5502" s="41" t="n">
        <v>147.56</v>
      </c>
      <c r="H5502" s="39" t="n">
        <v>45926</v>
      </c>
      <c r="I5502" s="7" t="s">
        <v>14651</v>
      </c>
      <c r="J5502" s="8" t="str">
        <f aca="false">IF(I5502="Open",DATE(2025,12,31)-F5502,"-")</f>
        <v>-</v>
      </c>
    </row>
    <row r="5503" customFormat="false" ht="15" hidden="false" customHeight="false" outlineLevel="0" collapsed="false">
      <c r="B5503" s="7" t="s">
        <v>20149</v>
      </c>
      <c r="C5503" s="7" t="s">
        <v>6000</v>
      </c>
      <c r="D5503" s="7" t="s">
        <v>291</v>
      </c>
      <c r="E5503" s="7" t="s">
        <v>154</v>
      </c>
      <c r="F5503" s="39" t="n">
        <v>45919</v>
      </c>
      <c r="G5503" s="41" t="n">
        <v>112.89</v>
      </c>
      <c r="H5503" s="39" t="n">
        <v>45982</v>
      </c>
      <c r="I5503" s="7" t="s">
        <v>14651</v>
      </c>
      <c r="J5503" s="8" t="str">
        <f aca="false">IF(I5503="Open",DATE(2025,12,31)-F5503,"-")</f>
        <v>-</v>
      </c>
    </row>
    <row r="5504" customFormat="false" ht="15" hidden="false" customHeight="false" outlineLevel="0" collapsed="false">
      <c r="B5504" s="7" t="s">
        <v>20150</v>
      </c>
      <c r="C5504" s="7" t="s">
        <v>6001</v>
      </c>
      <c r="D5504" s="7" t="s">
        <v>293</v>
      </c>
      <c r="E5504" s="7" t="s">
        <v>157</v>
      </c>
      <c r="F5504" s="39" t="n">
        <v>45919</v>
      </c>
      <c r="G5504" s="41" t="n">
        <v>176.55</v>
      </c>
      <c r="H5504" s="39" t="n">
        <v>46002</v>
      </c>
      <c r="I5504" s="7" t="s">
        <v>14651</v>
      </c>
      <c r="J5504" s="8" t="str">
        <f aca="false">IF(I5504="Open",DATE(2025,12,31)-F5504,"-")</f>
        <v>-</v>
      </c>
    </row>
    <row r="5505" customFormat="false" ht="15" hidden="false" customHeight="false" outlineLevel="0" collapsed="false">
      <c r="B5505" s="7" t="s">
        <v>20151</v>
      </c>
      <c r="C5505" s="7" t="s">
        <v>6002</v>
      </c>
      <c r="D5505" s="7" t="s">
        <v>295</v>
      </c>
      <c r="E5505" s="7" t="s">
        <v>154</v>
      </c>
      <c r="F5505" s="39" t="n">
        <v>45919</v>
      </c>
      <c r="G5505" s="41" t="n">
        <v>108.12</v>
      </c>
      <c r="H5505" s="39" t="n">
        <v>45973</v>
      </c>
      <c r="I5505" s="7" t="s">
        <v>14651</v>
      </c>
      <c r="J5505" s="8" t="str">
        <f aca="false">IF(I5505="Open",DATE(2025,12,31)-F5505,"-")</f>
        <v>-</v>
      </c>
    </row>
    <row r="5506" customFormat="false" ht="15" hidden="false" customHeight="false" outlineLevel="0" collapsed="false">
      <c r="B5506" s="7" t="s">
        <v>20152</v>
      </c>
      <c r="C5506" s="7" t="s">
        <v>6003</v>
      </c>
      <c r="D5506" s="7" t="s">
        <v>301</v>
      </c>
      <c r="E5506" s="7" t="s">
        <v>157</v>
      </c>
      <c r="F5506" s="39" t="n">
        <v>45919</v>
      </c>
      <c r="G5506" s="41" t="n">
        <v>174.9</v>
      </c>
      <c r="H5506" s="39" t="n">
        <v>45998</v>
      </c>
      <c r="I5506" s="7" t="s">
        <v>14651</v>
      </c>
      <c r="J5506" s="8" t="str">
        <f aca="false">IF(I5506="Open",DATE(2025,12,31)-F5506,"-")</f>
        <v>-</v>
      </c>
    </row>
    <row r="5507" customFormat="false" ht="15" hidden="false" customHeight="false" outlineLevel="0" collapsed="false">
      <c r="B5507" s="7" t="s">
        <v>20153</v>
      </c>
      <c r="C5507" s="7" t="s">
        <v>6004</v>
      </c>
      <c r="D5507" s="7" t="s">
        <v>305</v>
      </c>
      <c r="E5507" s="7" t="s">
        <v>154</v>
      </c>
      <c r="F5507" s="39" t="n">
        <v>45919</v>
      </c>
      <c r="G5507" s="41" t="n">
        <v>103.88</v>
      </c>
      <c r="H5507" s="39" t="n">
        <v>45959</v>
      </c>
      <c r="I5507" s="7" t="s">
        <v>14651</v>
      </c>
      <c r="J5507" s="8" t="str">
        <f aca="false">IF(I5507="Open",DATE(2025,12,31)-F5507,"-")</f>
        <v>-</v>
      </c>
    </row>
    <row r="5508" customFormat="false" ht="15" hidden="false" customHeight="false" outlineLevel="0" collapsed="false">
      <c r="B5508" s="7" t="s">
        <v>20154</v>
      </c>
      <c r="C5508" s="7" t="s">
        <v>6005</v>
      </c>
      <c r="D5508" s="7" t="s">
        <v>307</v>
      </c>
      <c r="E5508" s="7" t="s">
        <v>157</v>
      </c>
      <c r="F5508" s="39" t="n">
        <v>45919</v>
      </c>
      <c r="G5508" s="41" t="n">
        <v>156.75</v>
      </c>
      <c r="H5508" s="39" t="n">
        <v>45979</v>
      </c>
      <c r="I5508" s="7" t="s">
        <v>14651</v>
      </c>
      <c r="J5508" s="8" t="str">
        <f aca="false">IF(I5508="Open",DATE(2025,12,31)-F5508,"-")</f>
        <v>-</v>
      </c>
    </row>
    <row r="5509" customFormat="false" ht="15" hidden="false" customHeight="false" outlineLevel="0" collapsed="false">
      <c r="B5509" s="7" t="s">
        <v>20155</v>
      </c>
      <c r="C5509" s="7" t="s">
        <v>6006</v>
      </c>
      <c r="D5509" s="7" t="s">
        <v>309</v>
      </c>
      <c r="E5509" s="7" t="s">
        <v>159</v>
      </c>
      <c r="F5509" s="39" t="n">
        <v>45919</v>
      </c>
      <c r="G5509" s="41" t="n">
        <v>124.2</v>
      </c>
      <c r="H5509" s="39" t="n">
        <v>45960</v>
      </c>
      <c r="I5509" s="7" t="s">
        <v>14651</v>
      </c>
      <c r="J5509" s="8" t="str">
        <f aca="false">IF(I5509="Open",DATE(2025,12,31)-F5509,"-")</f>
        <v>-</v>
      </c>
    </row>
    <row r="5510" customFormat="false" ht="15" hidden="false" customHeight="false" outlineLevel="0" collapsed="false">
      <c r="B5510" s="7" t="s">
        <v>20156</v>
      </c>
      <c r="C5510" s="7" t="s">
        <v>6007</v>
      </c>
      <c r="D5510" s="7" t="s">
        <v>313</v>
      </c>
      <c r="E5510" s="7" t="s">
        <v>156</v>
      </c>
      <c r="F5510" s="39" t="n">
        <v>45919</v>
      </c>
      <c r="G5510" s="41" t="n">
        <v>141.78</v>
      </c>
      <c r="H5510" s="39" t="n">
        <v>45924</v>
      </c>
      <c r="I5510" s="7" t="s">
        <v>14651</v>
      </c>
      <c r="J5510" s="8" t="str">
        <f aca="false">IF(I5510="Open",DATE(2025,12,31)-F5510,"-")</f>
        <v>-</v>
      </c>
    </row>
    <row r="5511" customFormat="false" ht="15" hidden="false" customHeight="false" outlineLevel="0" collapsed="false">
      <c r="B5511" s="7" t="s">
        <v>20157</v>
      </c>
      <c r="C5511" s="7" t="s">
        <v>6008</v>
      </c>
      <c r="D5511" s="7" t="s">
        <v>315</v>
      </c>
      <c r="E5511" s="7" t="s">
        <v>159</v>
      </c>
      <c r="F5511" s="39" t="n">
        <v>45919</v>
      </c>
      <c r="G5511" s="41" t="n">
        <v>145.8</v>
      </c>
      <c r="H5511" s="39" t="n">
        <v>46002</v>
      </c>
      <c r="I5511" s="7" t="s">
        <v>14651</v>
      </c>
      <c r="J5511" s="8" t="str">
        <f aca="false">IF(I5511="Open",DATE(2025,12,31)-F5511,"-")</f>
        <v>-</v>
      </c>
    </row>
    <row r="5512" customFormat="false" ht="15" hidden="false" customHeight="false" outlineLevel="0" collapsed="false">
      <c r="B5512" s="7" t="s">
        <v>20158</v>
      </c>
      <c r="C5512" s="7" t="s">
        <v>6009</v>
      </c>
      <c r="D5512" s="7" t="s">
        <v>319</v>
      </c>
      <c r="E5512" s="7" t="s">
        <v>157</v>
      </c>
      <c r="F5512" s="39" t="n">
        <v>45919</v>
      </c>
      <c r="G5512" s="41" t="n">
        <v>168.3</v>
      </c>
      <c r="H5512" s="39" t="n">
        <v>45935</v>
      </c>
      <c r="I5512" s="7" t="s">
        <v>14651</v>
      </c>
      <c r="J5512" s="8" t="str">
        <f aca="false">IF(I5512="Open",DATE(2025,12,31)-F5512,"-")</f>
        <v>-</v>
      </c>
    </row>
    <row r="5513" customFormat="false" ht="15" hidden="false" customHeight="false" outlineLevel="0" collapsed="false">
      <c r="B5513" s="7" t="s">
        <v>20159</v>
      </c>
      <c r="C5513" s="7" t="s">
        <v>6010</v>
      </c>
      <c r="D5513" s="7" t="s">
        <v>321</v>
      </c>
      <c r="E5513" s="7" t="s">
        <v>154</v>
      </c>
      <c r="F5513" s="39" t="n">
        <v>45919</v>
      </c>
      <c r="G5513" s="41" t="n">
        <v>100.7</v>
      </c>
      <c r="H5513" s="39" t="n">
        <v>45974</v>
      </c>
      <c r="I5513" s="7" t="s">
        <v>14651</v>
      </c>
      <c r="J5513" s="8" t="str">
        <f aca="false">IF(I5513="Open",DATE(2025,12,31)-F5513,"-")</f>
        <v>-</v>
      </c>
    </row>
    <row r="5514" customFormat="false" ht="15" hidden="false" customHeight="false" outlineLevel="0" collapsed="false">
      <c r="B5514" s="7" t="s">
        <v>20160</v>
      </c>
      <c r="C5514" s="7" t="s">
        <v>6011</v>
      </c>
      <c r="D5514" s="7" t="s">
        <v>323</v>
      </c>
      <c r="E5514" s="7" t="s">
        <v>159</v>
      </c>
      <c r="F5514" s="39" t="n">
        <v>45919</v>
      </c>
      <c r="G5514" s="41" t="n">
        <v>137.7</v>
      </c>
      <c r="H5514" s="39" t="n">
        <v>45946</v>
      </c>
      <c r="I5514" s="7" t="s">
        <v>14651</v>
      </c>
      <c r="J5514" s="8" t="str">
        <f aca="false">IF(I5514="Open",DATE(2025,12,31)-F5514,"-")</f>
        <v>-</v>
      </c>
    </row>
    <row r="5515" customFormat="false" ht="15" hidden="false" customHeight="false" outlineLevel="0" collapsed="false">
      <c r="B5515" s="7" t="s">
        <v>20161</v>
      </c>
      <c r="C5515" s="7" t="s">
        <v>6012</v>
      </c>
      <c r="D5515" s="7" t="s">
        <v>327</v>
      </c>
      <c r="E5515" s="7" t="s">
        <v>157</v>
      </c>
      <c r="F5515" s="39" t="n">
        <v>45919</v>
      </c>
      <c r="G5515" s="41" t="n">
        <v>178.2</v>
      </c>
      <c r="H5515" s="39" t="n">
        <v>45979</v>
      </c>
      <c r="I5515" s="7" t="s">
        <v>14651</v>
      </c>
      <c r="J5515" s="8" t="str">
        <f aca="false">IF(I5515="Open",DATE(2025,12,31)-F5515,"-")</f>
        <v>-</v>
      </c>
    </row>
    <row r="5516" customFormat="false" ht="15" hidden="false" customHeight="false" outlineLevel="0" collapsed="false">
      <c r="B5516" s="7" t="s">
        <v>20162</v>
      </c>
      <c r="C5516" s="7" t="s">
        <v>6013</v>
      </c>
      <c r="D5516" s="7" t="s">
        <v>329</v>
      </c>
      <c r="E5516" s="7" t="s">
        <v>156</v>
      </c>
      <c r="F5516" s="39" t="n">
        <v>45919</v>
      </c>
      <c r="G5516" s="41" t="n">
        <v>141.1</v>
      </c>
      <c r="H5516" s="39" t="n">
        <v>45938</v>
      </c>
      <c r="I5516" s="7" t="s">
        <v>14651</v>
      </c>
      <c r="J5516" s="8" t="str">
        <f aca="false">IF(I5516="Open",DATE(2025,12,31)-F5516,"-")</f>
        <v>-</v>
      </c>
    </row>
    <row r="5517" customFormat="false" ht="15" hidden="false" customHeight="false" outlineLevel="0" collapsed="false">
      <c r="B5517" s="7" t="s">
        <v>20163</v>
      </c>
      <c r="C5517" s="7" t="s">
        <v>6014</v>
      </c>
      <c r="D5517" s="7" t="s">
        <v>335</v>
      </c>
      <c r="E5517" s="7" t="s">
        <v>154</v>
      </c>
      <c r="F5517" s="39" t="n">
        <v>45919</v>
      </c>
      <c r="G5517" s="41" t="n">
        <v>108.38</v>
      </c>
      <c r="H5517" s="39" t="n">
        <v>45976</v>
      </c>
      <c r="I5517" s="7" t="s">
        <v>14651</v>
      </c>
      <c r="J5517" s="8" t="str">
        <f aca="false">IF(I5517="Open",DATE(2025,12,31)-F5517,"-")</f>
        <v>-</v>
      </c>
    </row>
    <row r="5518" customFormat="false" ht="15" hidden="false" customHeight="false" outlineLevel="0" collapsed="false">
      <c r="B5518" s="7" t="s">
        <v>20164</v>
      </c>
      <c r="C5518" s="7" t="s">
        <v>6015</v>
      </c>
      <c r="D5518" s="7" t="s">
        <v>339</v>
      </c>
      <c r="E5518" s="7" t="s">
        <v>154</v>
      </c>
      <c r="F5518" s="39" t="n">
        <v>45919</v>
      </c>
      <c r="G5518" s="41" t="n">
        <v>82.68</v>
      </c>
      <c r="H5518" s="39" t="n">
        <v>45996</v>
      </c>
      <c r="I5518" s="7" t="s">
        <v>14651</v>
      </c>
      <c r="J5518" s="8" t="str">
        <f aca="false">IF(I5518="Open",DATE(2025,12,31)-F5518,"-")</f>
        <v>-</v>
      </c>
    </row>
    <row r="5519" customFormat="false" ht="15" hidden="false" customHeight="false" outlineLevel="0" collapsed="false">
      <c r="B5519" s="7" t="s">
        <v>20165</v>
      </c>
      <c r="C5519" s="7" t="s">
        <v>6016</v>
      </c>
      <c r="D5519" s="7" t="s">
        <v>347</v>
      </c>
      <c r="E5519" s="7" t="s">
        <v>154</v>
      </c>
      <c r="F5519" s="39" t="n">
        <v>45919</v>
      </c>
      <c r="G5519" s="41" t="n">
        <v>128.52</v>
      </c>
      <c r="H5519" s="39" t="n">
        <v>45950</v>
      </c>
      <c r="I5519" s="7" t="s">
        <v>14651</v>
      </c>
      <c r="J5519" s="8" t="str">
        <f aca="false">IF(I5519="Open",DATE(2025,12,31)-F5519,"-")</f>
        <v>-</v>
      </c>
    </row>
    <row r="5520" customFormat="false" ht="15" hidden="false" customHeight="false" outlineLevel="0" collapsed="false">
      <c r="B5520" s="7" t="s">
        <v>20166</v>
      </c>
      <c r="C5520" s="7" t="s">
        <v>6017</v>
      </c>
      <c r="D5520" s="7" t="s">
        <v>349</v>
      </c>
      <c r="E5520" s="7" t="s">
        <v>154</v>
      </c>
      <c r="F5520" s="39" t="n">
        <v>45919</v>
      </c>
      <c r="G5520" s="41" t="n">
        <v>97.18</v>
      </c>
      <c r="H5520" s="39" t="n">
        <v>45986</v>
      </c>
      <c r="I5520" s="7" t="s">
        <v>14651</v>
      </c>
      <c r="J5520" s="8" t="str">
        <f aca="false">IF(I5520="Open",DATE(2025,12,31)-F5520,"-")</f>
        <v>-</v>
      </c>
    </row>
    <row r="5521" customFormat="false" ht="15" hidden="false" customHeight="false" outlineLevel="0" collapsed="false">
      <c r="B5521" s="7" t="s">
        <v>20167</v>
      </c>
      <c r="C5521" s="7" t="s">
        <v>6018</v>
      </c>
      <c r="D5521" s="7" t="s">
        <v>353</v>
      </c>
      <c r="E5521" s="7" t="s">
        <v>154</v>
      </c>
      <c r="F5521" s="39" t="n">
        <v>45919</v>
      </c>
      <c r="G5521" s="41" t="n">
        <v>86.92</v>
      </c>
      <c r="H5521" s="39" t="n">
        <v>45957</v>
      </c>
      <c r="I5521" s="7" t="s">
        <v>14651</v>
      </c>
      <c r="J5521" s="8" t="str">
        <f aca="false">IF(I5521="Open",DATE(2025,12,31)-F5521,"-")</f>
        <v>-</v>
      </c>
    </row>
    <row r="5522" customFormat="false" ht="15" hidden="false" customHeight="false" outlineLevel="0" collapsed="false">
      <c r="B5522" s="7" t="s">
        <v>20168</v>
      </c>
      <c r="C5522" s="7" t="s">
        <v>6019</v>
      </c>
      <c r="D5522" s="7" t="s">
        <v>355</v>
      </c>
      <c r="E5522" s="7" t="s">
        <v>154</v>
      </c>
      <c r="F5522" s="39" t="n">
        <v>45919</v>
      </c>
      <c r="G5522" s="41" t="n">
        <v>80.03</v>
      </c>
      <c r="H5522" s="39" t="n">
        <v>45983</v>
      </c>
      <c r="I5522" s="7" t="s">
        <v>14651</v>
      </c>
      <c r="J5522" s="8" t="str">
        <f aca="false">IF(I5522="Open",DATE(2025,12,31)-F5522,"-")</f>
        <v>-</v>
      </c>
    </row>
    <row r="5523" customFormat="false" ht="15" hidden="false" customHeight="false" outlineLevel="0" collapsed="false">
      <c r="B5523" s="7" t="s">
        <v>20169</v>
      </c>
      <c r="C5523" s="7" t="s">
        <v>6020</v>
      </c>
      <c r="D5523" s="7" t="s">
        <v>357</v>
      </c>
      <c r="E5523" s="7" t="s">
        <v>154</v>
      </c>
      <c r="F5523" s="39" t="n">
        <v>45919</v>
      </c>
      <c r="G5523" s="41" t="n">
        <v>89.31</v>
      </c>
      <c r="H5523" s="39" t="n">
        <v>45974</v>
      </c>
      <c r="I5523" s="7" t="s">
        <v>14651</v>
      </c>
      <c r="J5523" s="8" t="str">
        <f aca="false">IF(I5523="Open",DATE(2025,12,31)-F5523,"-")</f>
        <v>-</v>
      </c>
    </row>
    <row r="5524" customFormat="false" ht="15" hidden="false" customHeight="false" outlineLevel="0" collapsed="false">
      <c r="B5524" s="7" t="s">
        <v>20170</v>
      </c>
      <c r="C5524" s="7" t="s">
        <v>6021</v>
      </c>
      <c r="D5524" s="7" t="s">
        <v>359</v>
      </c>
      <c r="E5524" s="7" t="s">
        <v>156</v>
      </c>
      <c r="F5524" s="39" t="n">
        <v>45919</v>
      </c>
      <c r="G5524" s="41" t="n">
        <v>139.06</v>
      </c>
      <c r="H5524" s="39" t="n">
        <v>45933</v>
      </c>
      <c r="I5524" s="7" t="s">
        <v>14651</v>
      </c>
      <c r="J5524" s="8" t="str">
        <f aca="false">IF(I5524="Open",DATE(2025,12,31)-F5524,"-")</f>
        <v>-</v>
      </c>
    </row>
    <row r="5525" customFormat="false" ht="15" hidden="false" customHeight="false" outlineLevel="0" collapsed="false">
      <c r="B5525" s="7" t="s">
        <v>20171</v>
      </c>
      <c r="C5525" s="7" t="s">
        <v>6022</v>
      </c>
      <c r="D5525" s="7" t="s">
        <v>361</v>
      </c>
      <c r="E5525" s="7" t="s">
        <v>157</v>
      </c>
      <c r="F5525" s="39" t="n">
        <v>45919</v>
      </c>
      <c r="G5525" s="41" t="n">
        <v>174.9</v>
      </c>
      <c r="H5525" s="39" t="n">
        <v>46000</v>
      </c>
      <c r="I5525" s="7" t="s">
        <v>14651</v>
      </c>
      <c r="J5525" s="8" t="str">
        <f aca="false">IF(I5525="Open",DATE(2025,12,31)-F5525,"-")</f>
        <v>-</v>
      </c>
    </row>
    <row r="5526" customFormat="false" ht="15" hidden="false" customHeight="false" outlineLevel="0" collapsed="false">
      <c r="B5526" s="7" t="s">
        <v>20172</v>
      </c>
      <c r="C5526" s="7" t="s">
        <v>6023</v>
      </c>
      <c r="D5526" s="7" t="s">
        <v>369</v>
      </c>
      <c r="E5526" s="7" t="s">
        <v>159</v>
      </c>
      <c r="F5526" s="39" t="n">
        <v>45919</v>
      </c>
      <c r="G5526" s="41" t="n">
        <v>125.55</v>
      </c>
      <c r="H5526" s="39" t="n">
        <v>46001</v>
      </c>
      <c r="I5526" s="7" t="s">
        <v>14651</v>
      </c>
      <c r="J5526" s="8" t="str">
        <f aca="false">IF(I5526="Open",DATE(2025,12,31)-F5526,"-")</f>
        <v>-</v>
      </c>
    </row>
    <row r="5527" customFormat="false" ht="15" hidden="false" customHeight="false" outlineLevel="0" collapsed="false">
      <c r="B5527" s="7" t="s">
        <v>20173</v>
      </c>
      <c r="C5527" s="7" t="s">
        <v>6024</v>
      </c>
      <c r="D5527" s="7" t="s">
        <v>371</v>
      </c>
      <c r="E5527" s="7" t="s">
        <v>154</v>
      </c>
      <c r="F5527" s="39" t="n">
        <v>45919</v>
      </c>
      <c r="G5527" s="41" t="n">
        <v>134.88</v>
      </c>
      <c r="H5527" s="39" t="n">
        <v>45964</v>
      </c>
      <c r="I5527" s="7" t="s">
        <v>14651</v>
      </c>
      <c r="J5527" s="8" t="str">
        <f aca="false">IF(I5527="Open",DATE(2025,12,31)-F5527,"-")</f>
        <v>-</v>
      </c>
    </row>
    <row r="5528" customFormat="false" ht="15" hidden="false" customHeight="false" outlineLevel="0" collapsed="false">
      <c r="B5528" s="7" t="s">
        <v>20174</v>
      </c>
      <c r="C5528" s="7" t="s">
        <v>6025</v>
      </c>
      <c r="D5528" s="7" t="s">
        <v>379</v>
      </c>
      <c r="E5528" s="7" t="s">
        <v>156</v>
      </c>
      <c r="F5528" s="39" t="n">
        <v>45919</v>
      </c>
      <c r="G5528" s="41" t="n">
        <v>173.4</v>
      </c>
      <c r="H5528" s="39" t="n">
        <v>45934</v>
      </c>
      <c r="I5528" s="7" t="s">
        <v>14651</v>
      </c>
      <c r="J5528" s="8" t="str">
        <f aca="false">IF(I5528="Open",DATE(2025,12,31)-F5528,"-")</f>
        <v>-</v>
      </c>
    </row>
    <row r="5529" customFormat="false" ht="15" hidden="false" customHeight="false" outlineLevel="0" collapsed="false">
      <c r="B5529" s="7" t="s">
        <v>20175</v>
      </c>
      <c r="C5529" s="7" t="s">
        <v>6026</v>
      </c>
      <c r="D5529" s="7" t="s">
        <v>381</v>
      </c>
      <c r="E5529" s="7" t="s">
        <v>157</v>
      </c>
      <c r="F5529" s="39" t="n">
        <v>45919</v>
      </c>
      <c r="G5529" s="41" t="n">
        <v>155.1</v>
      </c>
      <c r="H5529" s="39" t="n">
        <v>45942</v>
      </c>
      <c r="I5529" s="7" t="s">
        <v>14651</v>
      </c>
      <c r="J5529" s="8" t="str">
        <f aca="false">IF(I5529="Open",DATE(2025,12,31)-F5529,"-")</f>
        <v>-</v>
      </c>
    </row>
    <row r="5530" customFormat="false" ht="15" hidden="false" customHeight="false" outlineLevel="0" collapsed="false">
      <c r="B5530" s="7" t="s">
        <v>20176</v>
      </c>
      <c r="C5530" s="7" t="s">
        <v>6027</v>
      </c>
      <c r="D5530" s="7" t="s">
        <v>383</v>
      </c>
      <c r="E5530" s="7" t="s">
        <v>157</v>
      </c>
      <c r="F5530" s="39" t="n">
        <v>45919</v>
      </c>
      <c r="G5530" s="41" t="n">
        <v>169.95</v>
      </c>
      <c r="H5530" s="39" t="n">
        <v>45979</v>
      </c>
      <c r="I5530" s="7" t="s">
        <v>14651</v>
      </c>
      <c r="J5530" s="8" t="str">
        <f aca="false">IF(I5530="Open",DATE(2025,12,31)-F5530,"-")</f>
        <v>-</v>
      </c>
    </row>
    <row r="5531" customFormat="false" ht="15" hidden="false" customHeight="false" outlineLevel="0" collapsed="false">
      <c r="B5531" s="7" t="s">
        <v>20177</v>
      </c>
      <c r="C5531" s="7" t="s">
        <v>6028</v>
      </c>
      <c r="D5531" s="7" t="s">
        <v>385</v>
      </c>
      <c r="E5531" s="7" t="s">
        <v>156</v>
      </c>
      <c r="F5531" s="39" t="n">
        <v>45919</v>
      </c>
      <c r="G5531" s="41" t="n">
        <v>141.78</v>
      </c>
      <c r="H5531" s="39" t="n">
        <v>45928</v>
      </c>
      <c r="I5531" s="7" t="s">
        <v>14651</v>
      </c>
      <c r="J5531" s="8" t="str">
        <f aca="false">IF(I5531="Open",DATE(2025,12,31)-F5531,"-")</f>
        <v>-</v>
      </c>
    </row>
    <row r="5532" customFormat="false" ht="15" hidden="false" customHeight="false" outlineLevel="0" collapsed="false">
      <c r="B5532" s="7" t="s">
        <v>20178</v>
      </c>
      <c r="C5532" s="7" t="s">
        <v>6029</v>
      </c>
      <c r="D5532" s="7" t="s">
        <v>387</v>
      </c>
      <c r="E5532" s="7" t="s">
        <v>154</v>
      </c>
      <c r="F5532" s="39" t="n">
        <v>45919</v>
      </c>
      <c r="G5532" s="41" t="n">
        <v>111.83</v>
      </c>
      <c r="H5532" s="39" t="n">
        <v>45969</v>
      </c>
      <c r="I5532" s="7" t="s">
        <v>14651</v>
      </c>
      <c r="J5532" s="8" t="str">
        <f aca="false">IF(I5532="Open",DATE(2025,12,31)-F5532,"-")</f>
        <v>-</v>
      </c>
    </row>
    <row r="5533" customFormat="false" ht="15" hidden="false" customHeight="false" outlineLevel="0" collapsed="false">
      <c r="B5533" s="7" t="s">
        <v>20179</v>
      </c>
      <c r="C5533" s="7" t="s">
        <v>6030</v>
      </c>
      <c r="D5533" s="7" t="s">
        <v>389</v>
      </c>
      <c r="E5533" s="7" t="s">
        <v>154</v>
      </c>
      <c r="F5533" s="39" t="n">
        <v>45919</v>
      </c>
      <c r="G5533" s="41" t="n">
        <v>111.3</v>
      </c>
      <c r="H5533" s="39" t="n">
        <v>46012</v>
      </c>
      <c r="I5533" s="7" t="s">
        <v>14651</v>
      </c>
      <c r="J5533" s="8" t="str">
        <f aca="false">IF(I5533="Open",DATE(2025,12,31)-F5533,"-")</f>
        <v>-</v>
      </c>
    </row>
    <row r="5534" customFormat="false" ht="15" hidden="false" customHeight="false" outlineLevel="0" collapsed="false">
      <c r="B5534" s="7" t="s">
        <v>20180</v>
      </c>
      <c r="C5534" s="7" t="s">
        <v>6031</v>
      </c>
      <c r="D5534" s="7" t="s">
        <v>391</v>
      </c>
      <c r="E5534" s="7" t="s">
        <v>156</v>
      </c>
      <c r="F5534" s="39" t="n">
        <v>45919</v>
      </c>
      <c r="G5534" s="41" t="n">
        <v>148.92</v>
      </c>
      <c r="H5534" s="39" t="n">
        <v>45929</v>
      </c>
      <c r="I5534" s="7" t="s">
        <v>14651</v>
      </c>
      <c r="J5534" s="8" t="str">
        <f aca="false">IF(I5534="Open",DATE(2025,12,31)-F5534,"-")</f>
        <v>-</v>
      </c>
    </row>
    <row r="5535" customFormat="false" ht="15" hidden="false" customHeight="false" outlineLevel="0" collapsed="false">
      <c r="B5535" s="7" t="s">
        <v>20181</v>
      </c>
      <c r="C5535" s="7" t="s">
        <v>6032</v>
      </c>
      <c r="D5535" s="7" t="s">
        <v>395</v>
      </c>
      <c r="E5535" s="7" t="s">
        <v>156</v>
      </c>
      <c r="F5535" s="39" t="n">
        <v>45919</v>
      </c>
      <c r="G5535" s="41" t="n">
        <v>126.48</v>
      </c>
      <c r="H5535" s="39" t="n">
        <v>45937</v>
      </c>
      <c r="I5535" s="7" t="s">
        <v>14651</v>
      </c>
      <c r="J5535" s="8" t="str">
        <f aca="false">IF(I5535="Open",DATE(2025,12,31)-F5535,"-")</f>
        <v>-</v>
      </c>
    </row>
    <row r="5536" customFormat="false" ht="15" hidden="false" customHeight="false" outlineLevel="0" collapsed="false">
      <c r="B5536" s="7" t="s">
        <v>20182</v>
      </c>
      <c r="C5536" s="7" t="s">
        <v>6033</v>
      </c>
      <c r="D5536" s="7" t="s">
        <v>397</v>
      </c>
      <c r="E5536" s="7" t="s">
        <v>159</v>
      </c>
      <c r="F5536" s="39" t="n">
        <v>45919</v>
      </c>
      <c r="G5536" s="41" t="n">
        <v>135</v>
      </c>
      <c r="H5536" s="39" t="n">
        <v>45995</v>
      </c>
      <c r="I5536" s="7" t="s">
        <v>14651</v>
      </c>
      <c r="J5536" s="8" t="str">
        <f aca="false">IF(I5536="Open",DATE(2025,12,31)-F5536,"-")</f>
        <v>-</v>
      </c>
    </row>
    <row r="5537" customFormat="false" ht="15" hidden="false" customHeight="false" outlineLevel="0" collapsed="false">
      <c r="B5537" s="7" t="s">
        <v>20183</v>
      </c>
      <c r="C5537" s="7" t="s">
        <v>6034</v>
      </c>
      <c r="D5537" s="7" t="s">
        <v>399</v>
      </c>
      <c r="E5537" s="7" t="s">
        <v>154</v>
      </c>
      <c r="F5537" s="39" t="n">
        <v>45919</v>
      </c>
      <c r="G5537" s="41" t="n">
        <v>84.53</v>
      </c>
      <c r="H5537" s="39" t="n">
        <v>45991</v>
      </c>
      <c r="I5537" s="7" t="s">
        <v>14651</v>
      </c>
      <c r="J5537" s="8" t="str">
        <f aca="false">IF(I5537="Open",DATE(2025,12,31)-F5537,"-")</f>
        <v>-</v>
      </c>
    </row>
    <row r="5538" customFormat="false" ht="15" hidden="false" customHeight="false" outlineLevel="0" collapsed="false">
      <c r="B5538" s="7" t="s">
        <v>20184</v>
      </c>
      <c r="C5538" s="7" t="s">
        <v>6035</v>
      </c>
      <c r="D5538" s="7" t="s">
        <v>401</v>
      </c>
      <c r="E5538" s="7" t="s">
        <v>156</v>
      </c>
      <c r="F5538" s="39" t="n">
        <v>45919</v>
      </c>
      <c r="G5538" s="41" t="n">
        <v>140.76</v>
      </c>
      <c r="H5538" s="39" t="n">
        <v>45930</v>
      </c>
      <c r="I5538" s="7" t="s">
        <v>14651</v>
      </c>
      <c r="J5538" s="8" t="str">
        <f aca="false">IF(I5538="Open",DATE(2025,12,31)-F5538,"-")</f>
        <v>-</v>
      </c>
    </row>
    <row r="5539" customFormat="false" ht="15" hidden="false" customHeight="false" outlineLevel="0" collapsed="false">
      <c r="B5539" s="7" t="s">
        <v>20185</v>
      </c>
      <c r="C5539" s="7" t="s">
        <v>6036</v>
      </c>
      <c r="D5539" s="7" t="s">
        <v>403</v>
      </c>
      <c r="E5539" s="7" t="s">
        <v>156</v>
      </c>
      <c r="F5539" s="39" t="n">
        <v>45919</v>
      </c>
      <c r="G5539" s="41" t="n">
        <v>144.5</v>
      </c>
      <c r="H5539" s="39" t="n">
        <v>45927</v>
      </c>
      <c r="I5539" s="7" t="s">
        <v>14651</v>
      </c>
      <c r="J5539" s="8" t="str">
        <f aca="false">IF(I5539="Open",DATE(2025,12,31)-F5539,"-")</f>
        <v>-</v>
      </c>
    </row>
    <row r="5540" customFormat="false" ht="15" hidden="false" customHeight="false" outlineLevel="0" collapsed="false">
      <c r="B5540" s="7" t="s">
        <v>20186</v>
      </c>
      <c r="C5540" s="7" t="s">
        <v>6037</v>
      </c>
      <c r="D5540" s="7" t="s">
        <v>407</v>
      </c>
      <c r="E5540" s="7" t="s">
        <v>159</v>
      </c>
      <c r="F5540" s="39" t="n">
        <v>45919</v>
      </c>
      <c r="G5540" s="41" t="n">
        <v>126.9</v>
      </c>
      <c r="H5540" s="39" t="n">
        <v>45956</v>
      </c>
      <c r="I5540" s="7" t="s">
        <v>14651</v>
      </c>
      <c r="J5540" s="8" t="str">
        <f aca="false">IF(I5540="Open",DATE(2025,12,31)-F5540,"-")</f>
        <v>-</v>
      </c>
    </row>
    <row r="5541" customFormat="false" ht="15" hidden="false" customHeight="false" outlineLevel="0" collapsed="false">
      <c r="B5541" s="7" t="s">
        <v>20187</v>
      </c>
      <c r="C5541" s="7" t="s">
        <v>6038</v>
      </c>
      <c r="D5541" s="7" t="s">
        <v>409</v>
      </c>
      <c r="E5541" s="7" t="s">
        <v>154</v>
      </c>
      <c r="F5541" s="39" t="n">
        <v>45919</v>
      </c>
      <c r="G5541" s="41" t="n">
        <v>80.56</v>
      </c>
      <c r="H5541" s="39" t="n">
        <v>45965</v>
      </c>
      <c r="I5541" s="7" t="s">
        <v>14651</v>
      </c>
      <c r="J5541" s="8" t="str">
        <f aca="false">IF(I5541="Open",DATE(2025,12,31)-F5541,"-")</f>
        <v>-</v>
      </c>
    </row>
    <row r="5542" customFormat="false" ht="15" hidden="false" customHeight="false" outlineLevel="0" collapsed="false">
      <c r="B5542" s="7" t="s">
        <v>20188</v>
      </c>
      <c r="C5542" s="7" t="s">
        <v>6039</v>
      </c>
      <c r="D5542" s="7" t="s">
        <v>411</v>
      </c>
      <c r="E5542" s="7" t="s">
        <v>154</v>
      </c>
      <c r="F5542" s="39" t="n">
        <v>45919</v>
      </c>
      <c r="G5542" s="41" t="n">
        <v>135.94</v>
      </c>
      <c r="H5542" s="6" t="s">
        <v>182</v>
      </c>
      <c r="I5542" s="7" t="s">
        <v>19787</v>
      </c>
      <c r="J5542" s="8" t="n">
        <f aca="false">IF(I5542="Open",DATE(2025,12,31)-F5542,"-")</f>
        <v>103</v>
      </c>
    </row>
    <row r="5543" customFormat="false" ht="15" hidden="false" customHeight="false" outlineLevel="0" collapsed="false">
      <c r="B5543" s="7" t="s">
        <v>20189</v>
      </c>
      <c r="C5543" s="7" t="s">
        <v>6040</v>
      </c>
      <c r="D5543" s="7" t="s">
        <v>288</v>
      </c>
      <c r="E5543" s="7" t="s">
        <v>156</v>
      </c>
      <c r="F5543" s="39" t="n">
        <v>45920</v>
      </c>
      <c r="G5543" s="41" t="n">
        <v>123.76</v>
      </c>
      <c r="H5543" s="39" t="n">
        <v>45936</v>
      </c>
      <c r="I5543" s="7" t="s">
        <v>14651</v>
      </c>
      <c r="J5543" s="8" t="str">
        <f aca="false">IF(I5543="Open",DATE(2025,12,31)-F5543,"-")</f>
        <v>-</v>
      </c>
    </row>
    <row r="5544" customFormat="false" ht="15" hidden="false" customHeight="false" outlineLevel="0" collapsed="false">
      <c r="B5544" s="7" t="s">
        <v>20190</v>
      </c>
      <c r="C5544" s="7" t="s">
        <v>6041</v>
      </c>
      <c r="D5544" s="7" t="s">
        <v>321</v>
      </c>
      <c r="E5544" s="7" t="s">
        <v>154</v>
      </c>
      <c r="F5544" s="39" t="n">
        <v>45920</v>
      </c>
      <c r="G5544" s="41" t="n">
        <v>97.68</v>
      </c>
      <c r="H5544" s="39" t="n">
        <v>45981</v>
      </c>
      <c r="I5544" s="7" t="s">
        <v>14651</v>
      </c>
      <c r="J5544" s="8" t="str">
        <f aca="false">IF(I5544="Open",DATE(2025,12,31)-F5544,"-")</f>
        <v>-</v>
      </c>
    </row>
    <row r="5545" customFormat="false" ht="15" hidden="false" customHeight="false" outlineLevel="0" collapsed="false">
      <c r="B5545" s="7" t="s">
        <v>20191</v>
      </c>
      <c r="C5545" s="7" t="s">
        <v>6042</v>
      </c>
      <c r="D5545" s="7" t="s">
        <v>359</v>
      </c>
      <c r="E5545" s="7" t="s">
        <v>156</v>
      </c>
      <c r="F5545" s="39" t="n">
        <v>45920</v>
      </c>
      <c r="G5545" s="41" t="n">
        <v>123.76</v>
      </c>
      <c r="H5545" s="39" t="n">
        <v>45934</v>
      </c>
      <c r="I5545" s="7" t="s">
        <v>14651</v>
      </c>
      <c r="J5545" s="8" t="str">
        <f aca="false">IF(I5545="Open",DATE(2025,12,31)-F5545,"-")</f>
        <v>-</v>
      </c>
    </row>
    <row r="5546" customFormat="false" ht="15" hidden="false" customHeight="false" outlineLevel="0" collapsed="false">
      <c r="B5546" s="7" t="s">
        <v>20192</v>
      </c>
      <c r="C5546" s="7" t="s">
        <v>6043</v>
      </c>
      <c r="D5546" s="7" t="s">
        <v>391</v>
      </c>
      <c r="E5546" s="7" t="s">
        <v>156</v>
      </c>
      <c r="F5546" s="39" t="n">
        <v>45920</v>
      </c>
      <c r="G5546" s="41" t="n">
        <v>130.9</v>
      </c>
      <c r="H5546" s="39" t="n">
        <v>45930</v>
      </c>
      <c r="I5546" s="7" t="s">
        <v>14651</v>
      </c>
      <c r="J5546" s="8" t="str">
        <f aca="false">IF(I5546="Open",DATE(2025,12,31)-F5546,"-")</f>
        <v>-</v>
      </c>
    </row>
    <row r="5547" customFormat="false" ht="15" hidden="false" customHeight="false" outlineLevel="0" collapsed="false">
      <c r="B5547" s="7" t="s">
        <v>20193</v>
      </c>
      <c r="C5547" s="7" t="s">
        <v>6044</v>
      </c>
      <c r="D5547" s="7" t="s">
        <v>395</v>
      </c>
      <c r="E5547" s="7" t="s">
        <v>156</v>
      </c>
      <c r="F5547" s="39" t="n">
        <v>45920</v>
      </c>
      <c r="G5547" s="41" t="n">
        <v>143.48</v>
      </c>
      <c r="H5547" s="39" t="n">
        <v>45945</v>
      </c>
      <c r="I5547" s="7" t="s">
        <v>14651</v>
      </c>
      <c r="J5547" s="8" t="str">
        <f aca="false">IF(I5547="Open",DATE(2025,12,31)-F5547,"-")</f>
        <v>-</v>
      </c>
    </row>
    <row r="5548" customFormat="false" ht="15" hidden="false" customHeight="false" outlineLevel="0" collapsed="false">
      <c r="B5548" s="7" t="s">
        <v>20194</v>
      </c>
      <c r="C5548" s="7" t="s">
        <v>6045</v>
      </c>
      <c r="D5548" s="7" t="s">
        <v>401</v>
      </c>
      <c r="E5548" s="7" t="s">
        <v>156</v>
      </c>
      <c r="F5548" s="39" t="n">
        <v>45920</v>
      </c>
      <c r="G5548" s="41" t="n">
        <v>122.74</v>
      </c>
      <c r="H5548" s="39" t="n">
        <v>45931</v>
      </c>
      <c r="I5548" s="7" t="s">
        <v>14651</v>
      </c>
      <c r="J5548" s="8" t="str">
        <f aca="false">IF(I5548="Open",DATE(2025,12,31)-F5548,"-")</f>
        <v>-</v>
      </c>
    </row>
    <row r="5549" customFormat="false" ht="15" hidden="false" customHeight="false" outlineLevel="0" collapsed="false">
      <c r="B5549" s="7" t="s">
        <v>20195</v>
      </c>
      <c r="C5549" s="7" t="s">
        <v>6046</v>
      </c>
      <c r="D5549" s="7" t="s">
        <v>288</v>
      </c>
      <c r="E5549" s="7" t="s">
        <v>156</v>
      </c>
      <c r="F5549" s="39" t="n">
        <v>45921</v>
      </c>
      <c r="G5549" s="41" t="n">
        <v>132.94</v>
      </c>
      <c r="H5549" s="39" t="n">
        <v>45939</v>
      </c>
      <c r="I5549" s="7" t="s">
        <v>14651</v>
      </c>
      <c r="J5549" s="8" t="str">
        <f aca="false">IF(I5549="Open",DATE(2025,12,31)-F5549,"-")</f>
        <v>-</v>
      </c>
    </row>
    <row r="5550" customFormat="false" ht="15" hidden="false" customHeight="false" outlineLevel="0" collapsed="false">
      <c r="B5550" s="7" t="s">
        <v>20196</v>
      </c>
      <c r="C5550" s="7" t="s">
        <v>6047</v>
      </c>
      <c r="D5550" s="7" t="s">
        <v>321</v>
      </c>
      <c r="E5550" s="7" t="s">
        <v>154</v>
      </c>
      <c r="F5550" s="39" t="n">
        <v>45921</v>
      </c>
      <c r="G5550" s="41" t="n">
        <v>101.5</v>
      </c>
      <c r="H5550" s="39" t="n">
        <v>45987</v>
      </c>
      <c r="I5550" s="7" t="s">
        <v>14651</v>
      </c>
      <c r="J5550" s="8" t="str">
        <f aca="false">IF(I5550="Open",DATE(2025,12,31)-F5550,"-")</f>
        <v>-</v>
      </c>
    </row>
    <row r="5551" customFormat="false" ht="15" hidden="false" customHeight="false" outlineLevel="0" collapsed="false">
      <c r="B5551" s="7" t="s">
        <v>20197</v>
      </c>
      <c r="C5551" s="7" t="s">
        <v>6048</v>
      </c>
      <c r="D5551" s="7" t="s">
        <v>359</v>
      </c>
      <c r="E5551" s="7" t="s">
        <v>156</v>
      </c>
      <c r="F5551" s="39" t="n">
        <v>45921</v>
      </c>
      <c r="G5551" s="41" t="n">
        <v>142.12</v>
      </c>
      <c r="H5551" s="39" t="n">
        <v>45922</v>
      </c>
      <c r="I5551" s="7" t="s">
        <v>14651</v>
      </c>
      <c r="J5551" s="8" t="str">
        <f aca="false">IF(I5551="Open",DATE(2025,12,31)-F5551,"-")</f>
        <v>-</v>
      </c>
    </row>
    <row r="5552" customFormat="false" ht="15" hidden="false" customHeight="false" outlineLevel="0" collapsed="false">
      <c r="B5552" s="7" t="s">
        <v>20198</v>
      </c>
      <c r="C5552" s="7" t="s">
        <v>6049</v>
      </c>
      <c r="D5552" s="7" t="s">
        <v>387</v>
      </c>
      <c r="E5552" s="7" t="s">
        <v>154</v>
      </c>
      <c r="F5552" s="39" t="n">
        <v>45921</v>
      </c>
      <c r="G5552" s="41" t="n">
        <v>107.46</v>
      </c>
      <c r="H5552" s="39" t="n">
        <v>46018</v>
      </c>
      <c r="I5552" s="7" t="s">
        <v>14651</v>
      </c>
      <c r="J5552" s="8" t="str">
        <f aca="false">IF(I5552="Open",DATE(2025,12,31)-F5552,"-")</f>
        <v>-</v>
      </c>
    </row>
    <row r="5553" customFormat="false" ht="15" hidden="false" customHeight="false" outlineLevel="0" collapsed="false">
      <c r="B5553" s="7" t="s">
        <v>20199</v>
      </c>
      <c r="C5553" s="7" t="s">
        <v>6050</v>
      </c>
      <c r="D5553" s="7" t="s">
        <v>391</v>
      </c>
      <c r="E5553" s="7" t="s">
        <v>156</v>
      </c>
      <c r="F5553" s="39" t="n">
        <v>45921</v>
      </c>
      <c r="G5553" s="41" t="n">
        <v>130.9</v>
      </c>
      <c r="H5553" s="39" t="n">
        <v>45937</v>
      </c>
      <c r="I5553" s="7" t="s">
        <v>14651</v>
      </c>
      <c r="J5553" s="8" t="str">
        <f aca="false">IF(I5553="Open",DATE(2025,12,31)-F5553,"-")</f>
        <v>-</v>
      </c>
    </row>
    <row r="5554" customFormat="false" ht="15" hidden="false" customHeight="false" outlineLevel="0" collapsed="false">
      <c r="B5554" s="7" t="s">
        <v>20200</v>
      </c>
      <c r="C5554" s="7" t="s">
        <v>6051</v>
      </c>
      <c r="D5554" s="7" t="s">
        <v>395</v>
      </c>
      <c r="E5554" s="7" t="s">
        <v>156</v>
      </c>
      <c r="F5554" s="39" t="n">
        <v>45921</v>
      </c>
      <c r="G5554" s="41" t="n">
        <v>147.9</v>
      </c>
      <c r="H5554" s="39" t="n">
        <v>45929</v>
      </c>
      <c r="I5554" s="7" t="s">
        <v>14651</v>
      </c>
      <c r="J5554" s="8" t="str">
        <f aca="false">IF(I5554="Open",DATE(2025,12,31)-F5554,"-")</f>
        <v>-</v>
      </c>
    </row>
    <row r="5555" customFormat="false" ht="15" hidden="false" customHeight="false" outlineLevel="0" collapsed="false">
      <c r="B5555" s="7" t="s">
        <v>20201</v>
      </c>
      <c r="C5555" s="7" t="s">
        <v>6052</v>
      </c>
      <c r="D5555" s="7" t="s">
        <v>401</v>
      </c>
      <c r="E5555" s="7" t="s">
        <v>156</v>
      </c>
      <c r="F5555" s="39" t="n">
        <v>45921</v>
      </c>
      <c r="G5555" s="41" t="n">
        <v>133.96</v>
      </c>
      <c r="H5555" s="39" t="n">
        <v>45940</v>
      </c>
      <c r="I5555" s="7" t="s">
        <v>14651</v>
      </c>
      <c r="J5555" s="8" t="str">
        <f aca="false">IF(I5555="Open",DATE(2025,12,31)-F5555,"-")</f>
        <v>-</v>
      </c>
    </row>
    <row r="5556" customFormat="false" ht="15" hidden="false" customHeight="false" outlineLevel="0" collapsed="false">
      <c r="B5556" s="7" t="s">
        <v>20202</v>
      </c>
      <c r="C5556" s="7" t="s">
        <v>6053</v>
      </c>
      <c r="D5556" s="7" t="s">
        <v>288</v>
      </c>
      <c r="E5556" s="7" t="s">
        <v>156</v>
      </c>
      <c r="F5556" s="39" t="n">
        <v>45922</v>
      </c>
      <c r="G5556" s="41" t="n">
        <v>137.7</v>
      </c>
      <c r="H5556" s="39" t="n">
        <v>45944</v>
      </c>
      <c r="I5556" s="7" t="s">
        <v>14651</v>
      </c>
      <c r="J5556" s="8" t="str">
        <f aca="false">IF(I5556="Open",DATE(2025,12,31)-F5556,"-")</f>
        <v>-</v>
      </c>
    </row>
    <row r="5557" customFormat="false" ht="15" hidden="false" customHeight="false" outlineLevel="0" collapsed="false">
      <c r="B5557" s="7" t="s">
        <v>20203</v>
      </c>
      <c r="C5557" s="7" t="s">
        <v>6054</v>
      </c>
      <c r="D5557" s="7" t="s">
        <v>291</v>
      </c>
      <c r="E5557" s="7" t="s">
        <v>154</v>
      </c>
      <c r="F5557" s="39" t="n">
        <v>45922</v>
      </c>
      <c r="G5557" s="41" t="n">
        <v>117.93</v>
      </c>
      <c r="H5557" s="39" t="n">
        <v>46017</v>
      </c>
      <c r="I5557" s="7" t="s">
        <v>14651</v>
      </c>
      <c r="J5557" s="8" t="str">
        <f aca="false">IF(I5557="Open",DATE(2025,12,31)-F5557,"-")</f>
        <v>-</v>
      </c>
    </row>
    <row r="5558" customFormat="false" ht="15" hidden="false" customHeight="false" outlineLevel="0" collapsed="false">
      <c r="B5558" s="7" t="s">
        <v>20204</v>
      </c>
      <c r="C5558" s="7" t="s">
        <v>6055</v>
      </c>
      <c r="D5558" s="7" t="s">
        <v>295</v>
      </c>
      <c r="E5558" s="7" t="s">
        <v>154</v>
      </c>
      <c r="F5558" s="39" t="n">
        <v>45922</v>
      </c>
      <c r="G5558" s="41" t="n">
        <v>107.59</v>
      </c>
      <c r="H5558" s="39" t="n">
        <v>45999</v>
      </c>
      <c r="I5558" s="7" t="s">
        <v>14651</v>
      </c>
      <c r="J5558" s="8" t="str">
        <f aca="false">IF(I5558="Open",DATE(2025,12,31)-F5558,"-")</f>
        <v>-</v>
      </c>
    </row>
    <row r="5559" customFormat="false" ht="15" hidden="false" customHeight="false" outlineLevel="0" collapsed="false">
      <c r="B5559" s="7" t="s">
        <v>20205</v>
      </c>
      <c r="C5559" s="7" t="s">
        <v>6056</v>
      </c>
      <c r="D5559" s="7" t="s">
        <v>297</v>
      </c>
      <c r="E5559" s="7" t="s">
        <v>156</v>
      </c>
      <c r="F5559" s="39" t="n">
        <v>45922</v>
      </c>
      <c r="G5559" s="41" t="n">
        <v>103.7</v>
      </c>
      <c r="H5559" s="39" t="n">
        <v>45934</v>
      </c>
      <c r="I5559" s="7" t="s">
        <v>14651</v>
      </c>
      <c r="J5559" s="8" t="str">
        <f aca="false">IF(I5559="Open",DATE(2025,12,31)-F5559,"-")</f>
        <v>-</v>
      </c>
    </row>
    <row r="5560" customFormat="false" ht="15" hidden="false" customHeight="false" outlineLevel="0" collapsed="false">
      <c r="B5560" s="7" t="s">
        <v>20206</v>
      </c>
      <c r="C5560" s="7" t="s">
        <v>6057</v>
      </c>
      <c r="D5560" s="7" t="s">
        <v>305</v>
      </c>
      <c r="E5560" s="7" t="s">
        <v>154</v>
      </c>
      <c r="F5560" s="39" t="n">
        <v>45922</v>
      </c>
      <c r="G5560" s="41" t="n">
        <v>112.36</v>
      </c>
      <c r="H5560" s="39" t="n">
        <v>45996</v>
      </c>
      <c r="I5560" s="7" t="s">
        <v>14651</v>
      </c>
      <c r="J5560" s="8" t="str">
        <f aca="false">IF(I5560="Open",DATE(2025,12,31)-F5560,"-")</f>
        <v>-</v>
      </c>
    </row>
    <row r="5561" customFormat="false" ht="15" hidden="false" customHeight="false" outlineLevel="0" collapsed="false">
      <c r="B5561" s="7" t="s">
        <v>20207</v>
      </c>
      <c r="C5561" s="7" t="s">
        <v>6058</v>
      </c>
      <c r="D5561" s="7" t="s">
        <v>309</v>
      </c>
      <c r="E5561" s="7" t="s">
        <v>159</v>
      </c>
      <c r="F5561" s="39" t="n">
        <v>45922</v>
      </c>
      <c r="G5561" s="41" t="n">
        <v>124.34</v>
      </c>
      <c r="H5561" s="39" t="n">
        <v>45960</v>
      </c>
      <c r="I5561" s="7" t="s">
        <v>14651</v>
      </c>
      <c r="J5561" s="8" t="str">
        <f aca="false">IF(I5561="Open",DATE(2025,12,31)-F5561,"-")</f>
        <v>-</v>
      </c>
    </row>
    <row r="5562" customFormat="false" ht="15" hidden="false" customHeight="false" outlineLevel="0" collapsed="false">
      <c r="B5562" s="7" t="s">
        <v>20208</v>
      </c>
      <c r="C5562" s="7" t="s">
        <v>6059</v>
      </c>
      <c r="D5562" s="7" t="s">
        <v>311</v>
      </c>
      <c r="E5562" s="7" t="s">
        <v>154</v>
      </c>
      <c r="F5562" s="39" t="n">
        <v>45922</v>
      </c>
      <c r="G5562" s="41" t="n">
        <v>78.92</v>
      </c>
      <c r="H5562" s="39" t="n">
        <v>45984</v>
      </c>
      <c r="I5562" s="7" t="s">
        <v>14651</v>
      </c>
      <c r="J5562" s="8" t="str">
        <f aca="false">IF(I5562="Open",DATE(2025,12,31)-F5562,"-")</f>
        <v>-</v>
      </c>
    </row>
    <row r="5563" customFormat="false" ht="15" hidden="false" customHeight="false" outlineLevel="0" collapsed="false">
      <c r="B5563" s="7" t="s">
        <v>20209</v>
      </c>
      <c r="C5563" s="7" t="s">
        <v>6060</v>
      </c>
      <c r="D5563" s="7" t="s">
        <v>313</v>
      </c>
      <c r="E5563" s="7" t="s">
        <v>156</v>
      </c>
      <c r="F5563" s="39" t="n">
        <v>45922</v>
      </c>
      <c r="G5563" s="41" t="n">
        <v>142.12</v>
      </c>
      <c r="H5563" s="39" t="n">
        <v>45932</v>
      </c>
      <c r="I5563" s="7" t="s">
        <v>14651</v>
      </c>
      <c r="J5563" s="8" t="str">
        <f aca="false">IF(I5563="Open",DATE(2025,12,31)-F5563,"-")</f>
        <v>-</v>
      </c>
    </row>
    <row r="5564" customFormat="false" ht="15" hidden="false" customHeight="false" outlineLevel="0" collapsed="false">
      <c r="B5564" s="7" t="s">
        <v>20210</v>
      </c>
      <c r="C5564" s="7" t="s">
        <v>6061</v>
      </c>
      <c r="D5564" s="7" t="s">
        <v>315</v>
      </c>
      <c r="E5564" s="7" t="s">
        <v>159</v>
      </c>
      <c r="F5564" s="39" t="n">
        <v>45922</v>
      </c>
      <c r="G5564" s="41" t="n">
        <v>147.15</v>
      </c>
      <c r="H5564" s="39" t="n">
        <v>45970</v>
      </c>
      <c r="I5564" s="7" t="s">
        <v>14651</v>
      </c>
      <c r="J5564" s="8" t="str">
        <f aca="false">IF(I5564="Open",DATE(2025,12,31)-F5564,"-")</f>
        <v>-</v>
      </c>
    </row>
    <row r="5565" customFormat="false" ht="15" hidden="false" customHeight="false" outlineLevel="0" collapsed="false">
      <c r="B5565" s="7" t="s">
        <v>20211</v>
      </c>
      <c r="C5565" s="7" t="s">
        <v>6062</v>
      </c>
      <c r="D5565" s="7" t="s">
        <v>317</v>
      </c>
      <c r="E5565" s="7" t="s">
        <v>156</v>
      </c>
      <c r="F5565" s="39" t="n">
        <v>45922</v>
      </c>
      <c r="G5565" s="41" t="n">
        <v>100.64</v>
      </c>
      <c r="H5565" s="39" t="n">
        <v>45937</v>
      </c>
      <c r="I5565" s="7" t="s">
        <v>14651</v>
      </c>
      <c r="J5565" s="8" t="str">
        <f aca="false">IF(I5565="Open",DATE(2025,12,31)-F5565,"-")</f>
        <v>-</v>
      </c>
    </row>
    <row r="5566" customFormat="false" ht="15" hidden="false" customHeight="false" outlineLevel="0" collapsed="false">
      <c r="B5566" s="7" t="s">
        <v>20212</v>
      </c>
      <c r="C5566" s="7" t="s">
        <v>6063</v>
      </c>
      <c r="D5566" s="7" t="s">
        <v>321</v>
      </c>
      <c r="E5566" s="7" t="s">
        <v>154</v>
      </c>
      <c r="F5566" s="39" t="n">
        <v>45922</v>
      </c>
      <c r="G5566" s="41" t="n">
        <v>104.12</v>
      </c>
      <c r="H5566" s="39" t="n">
        <v>45991</v>
      </c>
      <c r="I5566" s="7" t="s">
        <v>14651</v>
      </c>
      <c r="J5566" s="8" t="str">
        <f aca="false">IF(I5566="Open",DATE(2025,12,31)-F5566,"-")</f>
        <v>-</v>
      </c>
    </row>
    <row r="5567" customFormat="false" ht="15" hidden="false" customHeight="false" outlineLevel="0" collapsed="false">
      <c r="B5567" s="7" t="s">
        <v>20213</v>
      </c>
      <c r="C5567" s="7" t="s">
        <v>6064</v>
      </c>
      <c r="D5567" s="7" t="s">
        <v>325</v>
      </c>
      <c r="E5567" s="7" t="s">
        <v>154</v>
      </c>
      <c r="F5567" s="39" t="n">
        <v>45922</v>
      </c>
      <c r="G5567" s="41" t="n">
        <v>86.66</v>
      </c>
      <c r="H5567" s="6" t="s">
        <v>182</v>
      </c>
      <c r="I5567" s="7" t="s">
        <v>19787</v>
      </c>
      <c r="J5567" s="8" t="n">
        <f aca="false">IF(I5567="Open",DATE(2025,12,31)-F5567,"-")</f>
        <v>100</v>
      </c>
    </row>
    <row r="5568" customFormat="false" ht="15" hidden="false" customHeight="false" outlineLevel="0" collapsed="false">
      <c r="B5568" s="7" t="s">
        <v>20214</v>
      </c>
      <c r="C5568" s="7" t="s">
        <v>6065</v>
      </c>
      <c r="D5568" s="7" t="s">
        <v>329</v>
      </c>
      <c r="E5568" s="7" t="s">
        <v>156</v>
      </c>
      <c r="F5568" s="39" t="n">
        <v>45922</v>
      </c>
      <c r="G5568" s="41" t="n">
        <v>135.66</v>
      </c>
      <c r="H5568" s="39" t="n">
        <v>45938</v>
      </c>
      <c r="I5568" s="7" t="s">
        <v>14651</v>
      </c>
      <c r="J5568" s="8" t="str">
        <f aca="false">IF(I5568="Open",DATE(2025,12,31)-F5568,"-")</f>
        <v>-</v>
      </c>
    </row>
    <row r="5569" customFormat="false" ht="15" hidden="false" customHeight="false" outlineLevel="0" collapsed="false">
      <c r="B5569" s="7" t="s">
        <v>20215</v>
      </c>
      <c r="C5569" s="7" t="s">
        <v>6066</v>
      </c>
      <c r="D5569" s="7" t="s">
        <v>331</v>
      </c>
      <c r="E5569" s="7" t="s">
        <v>156</v>
      </c>
      <c r="F5569" s="39" t="n">
        <v>45922</v>
      </c>
      <c r="G5569" s="41" t="n">
        <v>138.72</v>
      </c>
      <c r="H5569" s="39" t="n">
        <v>45937</v>
      </c>
      <c r="I5569" s="7" t="s">
        <v>14651</v>
      </c>
      <c r="J5569" s="8" t="str">
        <f aca="false">IF(I5569="Open",DATE(2025,12,31)-F5569,"-")</f>
        <v>-</v>
      </c>
    </row>
    <row r="5570" customFormat="false" ht="15" hidden="false" customHeight="false" outlineLevel="0" collapsed="false">
      <c r="B5570" s="7" t="s">
        <v>20216</v>
      </c>
      <c r="C5570" s="7" t="s">
        <v>6067</v>
      </c>
      <c r="D5570" s="7" t="s">
        <v>335</v>
      </c>
      <c r="E5570" s="7" t="s">
        <v>154</v>
      </c>
      <c r="F5570" s="39" t="n">
        <v>45922</v>
      </c>
      <c r="G5570" s="41" t="n">
        <v>105.89</v>
      </c>
      <c r="H5570" s="39" t="n">
        <v>45997</v>
      </c>
      <c r="I5570" s="7" t="s">
        <v>14651</v>
      </c>
      <c r="J5570" s="8" t="str">
        <f aca="false">IF(I5570="Open",DATE(2025,12,31)-F5570,"-")</f>
        <v>-</v>
      </c>
    </row>
    <row r="5571" customFormat="false" ht="15" hidden="false" customHeight="false" outlineLevel="0" collapsed="false">
      <c r="B5571" s="7" t="s">
        <v>20217</v>
      </c>
      <c r="C5571" s="7" t="s">
        <v>6068</v>
      </c>
      <c r="D5571" s="7" t="s">
        <v>339</v>
      </c>
      <c r="E5571" s="7" t="s">
        <v>154</v>
      </c>
      <c r="F5571" s="39" t="n">
        <v>45922</v>
      </c>
      <c r="G5571" s="41" t="n">
        <v>96.46</v>
      </c>
      <c r="H5571" s="39" t="n">
        <v>45977</v>
      </c>
      <c r="I5571" s="7" t="s">
        <v>14651</v>
      </c>
      <c r="J5571" s="8" t="str">
        <f aca="false">IF(I5571="Open",DATE(2025,12,31)-F5571,"-")</f>
        <v>-</v>
      </c>
    </row>
    <row r="5572" customFormat="false" ht="15" hidden="false" customHeight="false" outlineLevel="0" collapsed="false">
      <c r="B5572" s="7" t="s">
        <v>20218</v>
      </c>
      <c r="C5572" s="7" t="s">
        <v>6069</v>
      </c>
      <c r="D5572" s="7" t="s">
        <v>341</v>
      </c>
      <c r="E5572" s="7" t="s">
        <v>156</v>
      </c>
      <c r="F5572" s="39" t="n">
        <v>45922</v>
      </c>
      <c r="G5572" s="41" t="n">
        <v>102.68</v>
      </c>
      <c r="H5572" s="39" t="n">
        <v>45942</v>
      </c>
      <c r="I5572" s="7" t="s">
        <v>14651</v>
      </c>
      <c r="J5572" s="8" t="str">
        <f aca="false">IF(I5572="Open",DATE(2025,12,31)-F5572,"-")</f>
        <v>-</v>
      </c>
    </row>
    <row r="5573" customFormat="false" ht="15" hidden="false" customHeight="false" outlineLevel="0" collapsed="false">
      <c r="B5573" s="7" t="s">
        <v>20219</v>
      </c>
      <c r="C5573" s="7" t="s">
        <v>6070</v>
      </c>
      <c r="D5573" s="7" t="s">
        <v>343</v>
      </c>
      <c r="E5573" s="7" t="s">
        <v>154</v>
      </c>
      <c r="F5573" s="39" t="n">
        <v>45922</v>
      </c>
      <c r="G5573" s="41" t="n">
        <v>102.82</v>
      </c>
      <c r="H5573" s="39" t="n">
        <v>45961</v>
      </c>
      <c r="I5573" s="7" t="s">
        <v>14651</v>
      </c>
      <c r="J5573" s="8" t="str">
        <f aca="false">IF(I5573="Open",DATE(2025,12,31)-F5573,"-")</f>
        <v>-</v>
      </c>
    </row>
    <row r="5574" customFormat="false" ht="15" hidden="false" customHeight="false" outlineLevel="0" collapsed="false">
      <c r="B5574" s="7" t="s">
        <v>20220</v>
      </c>
      <c r="C5574" s="7" t="s">
        <v>6071</v>
      </c>
      <c r="D5574" s="7" t="s">
        <v>347</v>
      </c>
      <c r="E5574" s="7" t="s">
        <v>154</v>
      </c>
      <c r="F5574" s="39" t="n">
        <v>45922</v>
      </c>
      <c r="G5574" s="41" t="n">
        <v>128.26</v>
      </c>
      <c r="H5574" s="39" t="n">
        <v>46011</v>
      </c>
      <c r="I5574" s="7" t="s">
        <v>14651</v>
      </c>
      <c r="J5574" s="8" t="str">
        <f aca="false">IF(I5574="Open",DATE(2025,12,31)-F5574,"-")</f>
        <v>-</v>
      </c>
    </row>
    <row r="5575" customFormat="false" ht="15" hidden="false" customHeight="false" outlineLevel="0" collapsed="false">
      <c r="B5575" s="7" t="s">
        <v>20221</v>
      </c>
      <c r="C5575" s="7" t="s">
        <v>6072</v>
      </c>
      <c r="D5575" s="7" t="s">
        <v>349</v>
      </c>
      <c r="E5575" s="7" t="s">
        <v>154</v>
      </c>
      <c r="F5575" s="39" t="n">
        <v>45922</v>
      </c>
      <c r="G5575" s="41" t="n">
        <v>98.98</v>
      </c>
      <c r="H5575" s="6" t="s">
        <v>182</v>
      </c>
      <c r="I5575" s="7" t="s">
        <v>19787</v>
      </c>
      <c r="J5575" s="8" t="n">
        <f aca="false">IF(I5575="Open",DATE(2025,12,31)-F5575,"-")</f>
        <v>100</v>
      </c>
    </row>
    <row r="5576" customFormat="false" ht="15" hidden="false" customHeight="false" outlineLevel="0" collapsed="false">
      <c r="B5576" s="7" t="s">
        <v>20222</v>
      </c>
      <c r="C5576" s="7" t="s">
        <v>6073</v>
      </c>
      <c r="D5576" s="7" t="s">
        <v>351</v>
      </c>
      <c r="E5576" s="7" t="s">
        <v>154</v>
      </c>
      <c r="F5576" s="39" t="n">
        <v>45922</v>
      </c>
      <c r="G5576" s="41" t="n">
        <v>83.74</v>
      </c>
      <c r="H5576" s="6" t="s">
        <v>182</v>
      </c>
      <c r="I5576" s="7" t="s">
        <v>19787</v>
      </c>
      <c r="J5576" s="8" t="n">
        <f aca="false">IF(I5576="Open",DATE(2025,12,31)-F5576,"-")</f>
        <v>100</v>
      </c>
    </row>
    <row r="5577" customFormat="false" ht="15" hidden="false" customHeight="false" outlineLevel="0" collapsed="false">
      <c r="B5577" s="7" t="s">
        <v>20223</v>
      </c>
      <c r="C5577" s="7" t="s">
        <v>6074</v>
      </c>
      <c r="D5577" s="7" t="s">
        <v>353</v>
      </c>
      <c r="E5577" s="7" t="s">
        <v>154</v>
      </c>
      <c r="F5577" s="39" t="n">
        <v>45922</v>
      </c>
      <c r="G5577" s="41" t="n">
        <v>96.46</v>
      </c>
      <c r="H5577" s="39" t="n">
        <v>45982</v>
      </c>
      <c r="I5577" s="7" t="s">
        <v>14651</v>
      </c>
      <c r="J5577" s="8" t="str">
        <f aca="false">IF(I5577="Open",DATE(2025,12,31)-F5577,"-")</f>
        <v>-</v>
      </c>
    </row>
    <row r="5578" customFormat="false" ht="15" hidden="false" customHeight="false" outlineLevel="0" collapsed="false">
      <c r="B5578" s="7" t="s">
        <v>20224</v>
      </c>
      <c r="C5578" s="7" t="s">
        <v>6075</v>
      </c>
      <c r="D5578" s="7" t="s">
        <v>355</v>
      </c>
      <c r="E5578" s="7" t="s">
        <v>154</v>
      </c>
      <c r="F5578" s="39" t="n">
        <v>45922</v>
      </c>
      <c r="G5578" s="41" t="n">
        <v>87.9</v>
      </c>
      <c r="H5578" s="39" t="n">
        <v>45957</v>
      </c>
      <c r="I5578" s="7" t="s">
        <v>14651</v>
      </c>
      <c r="J5578" s="8" t="str">
        <f aca="false">IF(I5578="Open",DATE(2025,12,31)-F5578,"-")</f>
        <v>-</v>
      </c>
    </row>
    <row r="5579" customFormat="false" ht="15" hidden="false" customHeight="false" outlineLevel="0" collapsed="false">
      <c r="B5579" s="7" t="s">
        <v>20225</v>
      </c>
      <c r="C5579" s="7" t="s">
        <v>6076</v>
      </c>
      <c r="D5579" s="7" t="s">
        <v>357</v>
      </c>
      <c r="E5579" s="7" t="s">
        <v>154</v>
      </c>
      <c r="F5579" s="39" t="n">
        <v>45922</v>
      </c>
      <c r="G5579" s="41" t="n">
        <v>80.3</v>
      </c>
      <c r="H5579" s="39" t="n">
        <v>46011</v>
      </c>
      <c r="I5579" s="7" t="s">
        <v>14651</v>
      </c>
      <c r="J5579" s="8" t="str">
        <f aca="false">IF(I5579="Open",DATE(2025,12,31)-F5579,"-")</f>
        <v>-</v>
      </c>
    </row>
    <row r="5580" customFormat="false" ht="15" hidden="false" customHeight="false" outlineLevel="0" collapsed="false">
      <c r="B5580" s="7" t="s">
        <v>20226</v>
      </c>
      <c r="C5580" s="7" t="s">
        <v>6077</v>
      </c>
      <c r="D5580" s="7" t="s">
        <v>359</v>
      </c>
      <c r="E5580" s="7" t="s">
        <v>156</v>
      </c>
      <c r="F5580" s="39" t="n">
        <v>45922</v>
      </c>
      <c r="G5580" s="41" t="n">
        <v>123.08</v>
      </c>
      <c r="H5580" s="39" t="n">
        <v>45939</v>
      </c>
      <c r="I5580" s="7" t="s">
        <v>14651</v>
      </c>
      <c r="J5580" s="8" t="str">
        <f aca="false">IF(I5580="Open",DATE(2025,12,31)-F5580,"-")</f>
        <v>-</v>
      </c>
    </row>
    <row r="5581" customFormat="false" ht="15" hidden="false" customHeight="false" outlineLevel="0" collapsed="false">
      <c r="B5581" s="7" t="s">
        <v>20227</v>
      </c>
      <c r="C5581" s="7" t="s">
        <v>6078</v>
      </c>
      <c r="D5581" s="7" t="s">
        <v>363</v>
      </c>
      <c r="E5581" s="7" t="s">
        <v>156</v>
      </c>
      <c r="F5581" s="39" t="n">
        <v>45922</v>
      </c>
      <c r="G5581" s="41" t="n">
        <v>130.22</v>
      </c>
      <c r="H5581" s="39" t="n">
        <v>45937</v>
      </c>
      <c r="I5581" s="7" t="s">
        <v>14651</v>
      </c>
      <c r="J5581" s="8" t="str">
        <f aca="false">IF(I5581="Open",DATE(2025,12,31)-F5581,"-")</f>
        <v>-</v>
      </c>
    </row>
    <row r="5582" customFormat="false" ht="15" hidden="false" customHeight="false" outlineLevel="0" collapsed="false">
      <c r="B5582" s="7" t="s">
        <v>20228</v>
      </c>
      <c r="C5582" s="7" t="s">
        <v>6079</v>
      </c>
      <c r="D5582" s="7" t="s">
        <v>371</v>
      </c>
      <c r="E5582" s="7" t="s">
        <v>154</v>
      </c>
      <c r="F5582" s="39" t="n">
        <v>45922</v>
      </c>
      <c r="G5582" s="41" t="n">
        <v>111.3</v>
      </c>
      <c r="H5582" s="39" t="n">
        <v>45975</v>
      </c>
      <c r="I5582" s="7" t="s">
        <v>14651</v>
      </c>
      <c r="J5582" s="8" t="str">
        <f aca="false">IF(I5582="Open",DATE(2025,12,31)-F5582,"-")</f>
        <v>-</v>
      </c>
    </row>
    <row r="5583" customFormat="false" ht="15" hidden="false" customHeight="false" outlineLevel="0" collapsed="false">
      <c r="B5583" s="7" t="s">
        <v>20229</v>
      </c>
      <c r="C5583" s="7" t="s">
        <v>6080</v>
      </c>
      <c r="D5583" s="7" t="s">
        <v>375</v>
      </c>
      <c r="E5583" s="7" t="s">
        <v>156</v>
      </c>
      <c r="F5583" s="39" t="n">
        <v>45922</v>
      </c>
      <c r="G5583" s="41" t="n">
        <v>99.96</v>
      </c>
      <c r="H5583" s="39" t="n">
        <v>45936</v>
      </c>
      <c r="I5583" s="7" t="s">
        <v>14651</v>
      </c>
      <c r="J5583" s="8" t="str">
        <f aca="false">IF(I5583="Open",DATE(2025,12,31)-F5583,"-")</f>
        <v>-</v>
      </c>
    </row>
    <row r="5584" customFormat="false" ht="15" hidden="false" customHeight="false" outlineLevel="0" collapsed="false">
      <c r="B5584" s="7" t="s">
        <v>20230</v>
      </c>
      <c r="C5584" s="7" t="s">
        <v>6081</v>
      </c>
      <c r="D5584" s="7" t="s">
        <v>377</v>
      </c>
      <c r="E5584" s="7" t="s">
        <v>154</v>
      </c>
      <c r="F5584" s="39" t="n">
        <v>45922</v>
      </c>
      <c r="G5584" s="41" t="n">
        <v>104.68</v>
      </c>
      <c r="H5584" s="39" t="n">
        <v>45997</v>
      </c>
      <c r="I5584" s="7" t="s">
        <v>14651</v>
      </c>
      <c r="J5584" s="8" t="str">
        <f aca="false">IF(I5584="Open",DATE(2025,12,31)-F5584,"-")</f>
        <v>-</v>
      </c>
    </row>
    <row r="5585" customFormat="false" ht="15" hidden="false" customHeight="false" outlineLevel="0" collapsed="false">
      <c r="B5585" s="7" t="s">
        <v>20231</v>
      </c>
      <c r="C5585" s="7" t="s">
        <v>6082</v>
      </c>
      <c r="D5585" s="7" t="s">
        <v>379</v>
      </c>
      <c r="E5585" s="7" t="s">
        <v>156</v>
      </c>
      <c r="F5585" s="39" t="n">
        <v>45922</v>
      </c>
      <c r="G5585" s="41" t="n">
        <v>161.5</v>
      </c>
      <c r="H5585" s="39" t="n">
        <v>45940</v>
      </c>
      <c r="I5585" s="7" t="s">
        <v>14651</v>
      </c>
      <c r="J5585" s="8" t="str">
        <f aca="false">IF(I5585="Open",DATE(2025,12,31)-F5585,"-")</f>
        <v>-</v>
      </c>
    </row>
    <row r="5586" customFormat="false" ht="15" hidden="false" customHeight="false" outlineLevel="0" collapsed="false">
      <c r="B5586" s="7" t="s">
        <v>20232</v>
      </c>
      <c r="C5586" s="7" t="s">
        <v>6083</v>
      </c>
      <c r="D5586" s="7" t="s">
        <v>385</v>
      </c>
      <c r="E5586" s="7" t="s">
        <v>156</v>
      </c>
      <c r="F5586" s="39" t="n">
        <v>45922</v>
      </c>
      <c r="G5586" s="41" t="n">
        <v>124.78</v>
      </c>
      <c r="H5586" s="39" t="n">
        <v>45931</v>
      </c>
      <c r="I5586" s="7" t="s">
        <v>14651</v>
      </c>
      <c r="J5586" s="8" t="str">
        <f aca="false">IF(I5586="Open",DATE(2025,12,31)-F5586,"-")</f>
        <v>-</v>
      </c>
    </row>
    <row r="5587" customFormat="false" ht="15" hidden="false" customHeight="false" outlineLevel="0" collapsed="false">
      <c r="B5587" s="7" t="s">
        <v>20233</v>
      </c>
      <c r="C5587" s="7" t="s">
        <v>6084</v>
      </c>
      <c r="D5587" s="7" t="s">
        <v>387</v>
      </c>
      <c r="E5587" s="7" t="s">
        <v>154</v>
      </c>
      <c r="F5587" s="39" t="n">
        <v>45922</v>
      </c>
      <c r="G5587" s="41" t="n">
        <v>99.75</v>
      </c>
      <c r="H5587" s="6" t="s">
        <v>182</v>
      </c>
      <c r="I5587" s="7" t="s">
        <v>19787</v>
      </c>
      <c r="J5587" s="8" t="n">
        <f aca="false">IF(I5587="Open",DATE(2025,12,31)-F5587,"-")</f>
        <v>100</v>
      </c>
    </row>
    <row r="5588" customFormat="false" ht="15" hidden="false" customHeight="false" outlineLevel="0" collapsed="false">
      <c r="B5588" s="7" t="s">
        <v>20234</v>
      </c>
      <c r="C5588" s="7" t="s">
        <v>6085</v>
      </c>
      <c r="D5588" s="7" t="s">
        <v>389</v>
      </c>
      <c r="E5588" s="7" t="s">
        <v>154</v>
      </c>
      <c r="F5588" s="39" t="n">
        <v>45922</v>
      </c>
      <c r="G5588" s="41" t="n">
        <v>113.69</v>
      </c>
      <c r="H5588" s="39" t="n">
        <v>45997</v>
      </c>
      <c r="I5588" s="7" t="s">
        <v>14651</v>
      </c>
      <c r="J5588" s="8" t="str">
        <f aca="false">IF(I5588="Open",DATE(2025,12,31)-F5588,"-")</f>
        <v>-</v>
      </c>
    </row>
    <row r="5589" customFormat="false" ht="15" hidden="false" customHeight="false" outlineLevel="0" collapsed="false">
      <c r="B5589" s="7" t="s">
        <v>20235</v>
      </c>
      <c r="C5589" s="7" t="s">
        <v>6086</v>
      </c>
      <c r="D5589" s="7" t="s">
        <v>391</v>
      </c>
      <c r="E5589" s="7" t="s">
        <v>156</v>
      </c>
      <c r="F5589" s="39" t="n">
        <v>45922</v>
      </c>
      <c r="G5589" s="41" t="n">
        <v>131.92</v>
      </c>
      <c r="H5589" s="39" t="n">
        <v>45942</v>
      </c>
      <c r="I5589" s="7" t="s">
        <v>14651</v>
      </c>
      <c r="J5589" s="8" t="str">
        <f aca="false">IF(I5589="Open",DATE(2025,12,31)-F5589,"-")</f>
        <v>-</v>
      </c>
    </row>
    <row r="5590" customFormat="false" ht="15" hidden="false" customHeight="false" outlineLevel="0" collapsed="false">
      <c r="B5590" s="7" t="s">
        <v>20236</v>
      </c>
      <c r="C5590" s="7" t="s">
        <v>6087</v>
      </c>
      <c r="D5590" s="7" t="s">
        <v>395</v>
      </c>
      <c r="E5590" s="7" t="s">
        <v>156</v>
      </c>
      <c r="F5590" s="39" t="n">
        <v>45922</v>
      </c>
      <c r="G5590" s="41" t="n">
        <v>123.42</v>
      </c>
      <c r="H5590" s="39" t="n">
        <v>45935</v>
      </c>
      <c r="I5590" s="7" t="s">
        <v>14651</v>
      </c>
      <c r="J5590" s="8" t="str">
        <f aca="false">IF(I5590="Open",DATE(2025,12,31)-F5590,"-")</f>
        <v>-</v>
      </c>
    </row>
    <row r="5591" customFormat="false" ht="15" hidden="false" customHeight="false" outlineLevel="0" collapsed="false">
      <c r="B5591" s="7" t="s">
        <v>20237</v>
      </c>
      <c r="C5591" s="7" t="s">
        <v>6088</v>
      </c>
      <c r="D5591" s="7" t="s">
        <v>399</v>
      </c>
      <c r="E5591" s="7" t="s">
        <v>154</v>
      </c>
      <c r="F5591" s="39" t="n">
        <v>45922</v>
      </c>
      <c r="G5591" s="41" t="n">
        <v>89.57</v>
      </c>
      <c r="H5591" s="39" t="n">
        <v>45975</v>
      </c>
      <c r="I5591" s="7" t="s">
        <v>14651</v>
      </c>
      <c r="J5591" s="8" t="str">
        <f aca="false">IF(I5591="Open",DATE(2025,12,31)-F5591,"-")</f>
        <v>-</v>
      </c>
    </row>
    <row r="5592" customFormat="false" ht="15" hidden="false" customHeight="false" outlineLevel="0" collapsed="false">
      <c r="B5592" s="7" t="s">
        <v>20238</v>
      </c>
      <c r="C5592" s="7" t="s">
        <v>6089</v>
      </c>
      <c r="D5592" s="7" t="s">
        <v>401</v>
      </c>
      <c r="E5592" s="7" t="s">
        <v>156</v>
      </c>
      <c r="F5592" s="39" t="n">
        <v>45922</v>
      </c>
      <c r="G5592" s="41" t="n">
        <v>125.46</v>
      </c>
      <c r="H5592" s="39" t="n">
        <v>45931</v>
      </c>
      <c r="I5592" s="7" t="s">
        <v>14651</v>
      </c>
      <c r="J5592" s="8" t="str">
        <f aca="false">IF(I5592="Open",DATE(2025,12,31)-F5592,"-")</f>
        <v>-</v>
      </c>
    </row>
    <row r="5593" customFormat="false" ht="15" hidden="false" customHeight="false" outlineLevel="0" collapsed="false">
      <c r="B5593" s="7" t="s">
        <v>20239</v>
      </c>
      <c r="C5593" s="7" t="s">
        <v>6090</v>
      </c>
      <c r="D5593" s="7" t="s">
        <v>403</v>
      </c>
      <c r="E5593" s="7" t="s">
        <v>156</v>
      </c>
      <c r="F5593" s="39" t="n">
        <v>45922</v>
      </c>
      <c r="G5593" s="41" t="n">
        <v>126.14</v>
      </c>
      <c r="H5593" s="39" t="n">
        <v>45926</v>
      </c>
      <c r="I5593" s="7" t="s">
        <v>14651</v>
      </c>
      <c r="J5593" s="8" t="str">
        <f aca="false">IF(I5593="Open",DATE(2025,12,31)-F5593,"-")</f>
        <v>-</v>
      </c>
    </row>
    <row r="5594" customFormat="false" ht="15" hidden="false" customHeight="false" outlineLevel="0" collapsed="false">
      <c r="B5594" s="7" t="s">
        <v>20240</v>
      </c>
      <c r="C5594" s="7" t="s">
        <v>6091</v>
      </c>
      <c r="D5594" s="7" t="s">
        <v>409</v>
      </c>
      <c r="E5594" s="7" t="s">
        <v>154</v>
      </c>
      <c r="F5594" s="39" t="n">
        <v>45922</v>
      </c>
      <c r="G5594" s="41" t="n">
        <v>83.21</v>
      </c>
      <c r="H5594" s="39" t="n">
        <v>45939</v>
      </c>
      <c r="I5594" s="7" t="s">
        <v>14651</v>
      </c>
      <c r="J5594" s="8" t="str">
        <f aca="false">IF(I5594="Open",DATE(2025,12,31)-F5594,"-")</f>
        <v>-</v>
      </c>
    </row>
    <row r="5595" customFormat="false" ht="15" hidden="false" customHeight="false" outlineLevel="0" collapsed="false">
      <c r="B5595" s="7" t="s">
        <v>20241</v>
      </c>
      <c r="C5595" s="7" t="s">
        <v>6092</v>
      </c>
      <c r="D5595" s="7" t="s">
        <v>411</v>
      </c>
      <c r="E5595" s="7" t="s">
        <v>154</v>
      </c>
      <c r="F5595" s="39" t="n">
        <v>45922</v>
      </c>
      <c r="G5595" s="41" t="n">
        <v>129.06</v>
      </c>
      <c r="H5595" s="39" t="n">
        <v>46005</v>
      </c>
      <c r="I5595" s="7" t="s">
        <v>14651</v>
      </c>
      <c r="J5595" s="8" t="str">
        <f aca="false">IF(I5595="Open",DATE(2025,12,31)-F5595,"-")</f>
        <v>-</v>
      </c>
    </row>
    <row r="5596" customFormat="false" ht="15" hidden="false" customHeight="false" outlineLevel="0" collapsed="false">
      <c r="B5596" s="7" t="s">
        <v>20242</v>
      </c>
      <c r="C5596" s="7" t="s">
        <v>6093</v>
      </c>
      <c r="D5596" s="7" t="s">
        <v>288</v>
      </c>
      <c r="E5596" s="7" t="s">
        <v>156</v>
      </c>
      <c r="F5596" s="39" t="n">
        <v>45923</v>
      </c>
      <c r="G5596" s="41" t="n">
        <v>126.82</v>
      </c>
      <c r="H5596" s="39" t="n">
        <v>45941</v>
      </c>
      <c r="I5596" s="7" t="s">
        <v>14651</v>
      </c>
      <c r="J5596" s="8" t="str">
        <f aca="false">IF(I5596="Open",DATE(2025,12,31)-F5596,"-")</f>
        <v>-</v>
      </c>
    </row>
    <row r="5597" customFormat="false" ht="15" hidden="false" customHeight="false" outlineLevel="0" collapsed="false">
      <c r="B5597" s="7" t="s">
        <v>20243</v>
      </c>
      <c r="C5597" s="7" t="s">
        <v>6094</v>
      </c>
      <c r="D5597" s="7" t="s">
        <v>293</v>
      </c>
      <c r="E5597" s="7" t="s">
        <v>157</v>
      </c>
      <c r="F5597" s="39" t="n">
        <v>45923</v>
      </c>
      <c r="G5597" s="41" t="n">
        <v>155.1</v>
      </c>
      <c r="H5597" s="39" t="n">
        <v>45942</v>
      </c>
      <c r="I5597" s="7" t="s">
        <v>14651</v>
      </c>
      <c r="J5597" s="8" t="str">
        <f aca="false">IF(I5597="Open",DATE(2025,12,31)-F5597,"-")</f>
        <v>-</v>
      </c>
    </row>
    <row r="5598" customFormat="false" ht="15" hidden="false" customHeight="false" outlineLevel="0" collapsed="false">
      <c r="B5598" s="7" t="s">
        <v>20244</v>
      </c>
      <c r="C5598" s="7" t="s">
        <v>6095</v>
      </c>
      <c r="D5598" s="7" t="s">
        <v>301</v>
      </c>
      <c r="E5598" s="7" t="s">
        <v>157</v>
      </c>
      <c r="F5598" s="39" t="n">
        <v>45923</v>
      </c>
      <c r="G5598" s="41" t="n">
        <v>158.4</v>
      </c>
      <c r="H5598" s="39" t="n">
        <v>45977</v>
      </c>
      <c r="I5598" s="7" t="s">
        <v>14651</v>
      </c>
      <c r="J5598" s="8" t="str">
        <f aca="false">IF(I5598="Open",DATE(2025,12,31)-F5598,"-")</f>
        <v>-</v>
      </c>
    </row>
    <row r="5599" customFormat="false" ht="15" hidden="false" customHeight="false" outlineLevel="0" collapsed="false">
      <c r="B5599" s="7" t="s">
        <v>20245</v>
      </c>
      <c r="C5599" s="7" t="s">
        <v>6096</v>
      </c>
      <c r="D5599" s="7" t="s">
        <v>313</v>
      </c>
      <c r="E5599" s="7" t="s">
        <v>156</v>
      </c>
      <c r="F5599" s="39" t="n">
        <v>45923</v>
      </c>
      <c r="G5599" s="41" t="n">
        <v>145.52</v>
      </c>
      <c r="H5599" s="39" t="n">
        <v>45929</v>
      </c>
      <c r="I5599" s="7" t="s">
        <v>14651</v>
      </c>
      <c r="J5599" s="8" t="str">
        <f aca="false">IF(I5599="Open",DATE(2025,12,31)-F5599,"-")</f>
        <v>-</v>
      </c>
    </row>
    <row r="5600" customFormat="false" ht="15" hidden="false" customHeight="false" outlineLevel="0" collapsed="false">
      <c r="B5600" s="7" t="s">
        <v>20246</v>
      </c>
      <c r="C5600" s="7" t="s">
        <v>6097</v>
      </c>
      <c r="D5600" s="7" t="s">
        <v>319</v>
      </c>
      <c r="E5600" s="7" t="s">
        <v>157</v>
      </c>
      <c r="F5600" s="39" t="n">
        <v>45923</v>
      </c>
      <c r="G5600" s="41" t="n">
        <v>168.3</v>
      </c>
      <c r="H5600" s="39" t="n">
        <v>45953</v>
      </c>
      <c r="I5600" s="7" t="s">
        <v>14651</v>
      </c>
      <c r="J5600" s="8" t="str">
        <f aca="false">IF(I5600="Open",DATE(2025,12,31)-F5600,"-")</f>
        <v>-</v>
      </c>
    </row>
    <row r="5601" customFormat="false" ht="15" hidden="false" customHeight="false" outlineLevel="0" collapsed="false">
      <c r="B5601" s="7" t="s">
        <v>20247</v>
      </c>
      <c r="C5601" s="7" t="s">
        <v>6098</v>
      </c>
      <c r="D5601" s="7" t="s">
        <v>321</v>
      </c>
      <c r="E5601" s="7" t="s">
        <v>154</v>
      </c>
      <c r="F5601" s="39" t="n">
        <v>45923</v>
      </c>
      <c r="G5601" s="41" t="n">
        <v>109.44</v>
      </c>
      <c r="H5601" s="39" t="n">
        <v>45991</v>
      </c>
      <c r="I5601" s="7" t="s">
        <v>14651</v>
      </c>
      <c r="J5601" s="8" t="str">
        <f aca="false">IF(I5601="Open",DATE(2025,12,31)-F5601,"-")</f>
        <v>-</v>
      </c>
    </row>
    <row r="5602" customFormat="false" ht="15" hidden="false" customHeight="false" outlineLevel="0" collapsed="false">
      <c r="B5602" s="7" t="s">
        <v>20248</v>
      </c>
      <c r="C5602" s="7" t="s">
        <v>6099</v>
      </c>
      <c r="D5602" s="7" t="s">
        <v>323</v>
      </c>
      <c r="E5602" s="7" t="s">
        <v>159</v>
      </c>
      <c r="F5602" s="39" t="n">
        <v>45923</v>
      </c>
      <c r="G5602" s="41" t="n">
        <v>141.75</v>
      </c>
      <c r="H5602" s="39" t="n">
        <v>45959</v>
      </c>
      <c r="I5602" s="7" t="s">
        <v>14651</v>
      </c>
      <c r="J5602" s="8" t="str">
        <f aca="false">IF(I5602="Open",DATE(2025,12,31)-F5602,"-")</f>
        <v>-</v>
      </c>
    </row>
    <row r="5603" customFormat="false" ht="15" hidden="false" customHeight="false" outlineLevel="0" collapsed="false">
      <c r="B5603" s="7" t="s">
        <v>20249</v>
      </c>
      <c r="C5603" s="7" t="s">
        <v>6100</v>
      </c>
      <c r="D5603" s="7" t="s">
        <v>327</v>
      </c>
      <c r="E5603" s="7" t="s">
        <v>157</v>
      </c>
      <c r="F5603" s="39" t="n">
        <v>45923</v>
      </c>
      <c r="G5603" s="41" t="n">
        <v>150.48</v>
      </c>
      <c r="H5603" s="39" t="n">
        <v>45973</v>
      </c>
      <c r="I5603" s="7" t="s">
        <v>14651</v>
      </c>
      <c r="J5603" s="8" t="str">
        <f aca="false">IF(I5603="Open",DATE(2025,12,31)-F5603,"-")</f>
        <v>-</v>
      </c>
    </row>
    <row r="5604" customFormat="false" ht="15" hidden="false" customHeight="false" outlineLevel="0" collapsed="false">
      <c r="B5604" s="7" t="s">
        <v>20250</v>
      </c>
      <c r="C5604" s="7" t="s">
        <v>6101</v>
      </c>
      <c r="D5604" s="7" t="s">
        <v>329</v>
      </c>
      <c r="E5604" s="7" t="s">
        <v>156</v>
      </c>
      <c r="F5604" s="39" t="n">
        <v>45923</v>
      </c>
      <c r="G5604" s="41" t="n">
        <v>146.88</v>
      </c>
      <c r="H5604" s="39" t="n">
        <v>45928</v>
      </c>
      <c r="I5604" s="7" t="s">
        <v>14651</v>
      </c>
      <c r="J5604" s="8" t="str">
        <f aca="false">IF(I5604="Open",DATE(2025,12,31)-F5604,"-")</f>
        <v>-</v>
      </c>
    </row>
    <row r="5605" customFormat="false" ht="15" hidden="false" customHeight="false" outlineLevel="0" collapsed="false">
      <c r="B5605" s="7" t="s">
        <v>20251</v>
      </c>
      <c r="C5605" s="7" t="s">
        <v>6102</v>
      </c>
      <c r="D5605" s="7" t="s">
        <v>349</v>
      </c>
      <c r="E5605" s="7" t="s">
        <v>154</v>
      </c>
      <c r="F5605" s="39" t="n">
        <v>45923</v>
      </c>
      <c r="G5605" s="41" t="n">
        <v>115.01</v>
      </c>
      <c r="H5605" s="39" t="n">
        <v>45964</v>
      </c>
      <c r="I5605" s="7" t="s">
        <v>14651</v>
      </c>
      <c r="J5605" s="8" t="str">
        <f aca="false">IF(I5605="Open",DATE(2025,12,31)-F5605,"-")</f>
        <v>-</v>
      </c>
    </row>
    <row r="5606" customFormat="false" ht="15" hidden="false" customHeight="false" outlineLevel="0" collapsed="false">
      <c r="B5606" s="7" t="s">
        <v>20252</v>
      </c>
      <c r="C5606" s="7" t="s">
        <v>6103</v>
      </c>
      <c r="D5606" s="7" t="s">
        <v>359</v>
      </c>
      <c r="E5606" s="7" t="s">
        <v>156</v>
      </c>
      <c r="F5606" s="39" t="n">
        <v>45923</v>
      </c>
      <c r="G5606" s="41" t="n">
        <v>128.86</v>
      </c>
      <c r="H5606" s="39" t="n">
        <v>45935</v>
      </c>
      <c r="I5606" s="7" t="s">
        <v>14651</v>
      </c>
      <c r="J5606" s="8" t="str">
        <f aca="false">IF(I5606="Open",DATE(2025,12,31)-F5606,"-")</f>
        <v>-</v>
      </c>
    </row>
    <row r="5607" customFormat="false" ht="15" hidden="false" customHeight="false" outlineLevel="0" collapsed="false">
      <c r="B5607" s="7" t="s">
        <v>20253</v>
      </c>
      <c r="C5607" s="7" t="s">
        <v>6104</v>
      </c>
      <c r="D5607" s="7" t="s">
        <v>361</v>
      </c>
      <c r="E5607" s="7" t="s">
        <v>157</v>
      </c>
      <c r="F5607" s="39" t="n">
        <v>45923</v>
      </c>
      <c r="G5607" s="41" t="n">
        <v>163.35</v>
      </c>
      <c r="H5607" s="39" t="n">
        <v>45975</v>
      </c>
      <c r="I5607" s="7" t="s">
        <v>14651</v>
      </c>
      <c r="J5607" s="8" t="str">
        <f aca="false">IF(I5607="Open",DATE(2025,12,31)-F5607,"-")</f>
        <v>-</v>
      </c>
    </row>
    <row r="5608" customFormat="false" ht="15" hidden="false" customHeight="false" outlineLevel="0" collapsed="false">
      <c r="B5608" s="7" t="s">
        <v>20254</v>
      </c>
      <c r="C5608" s="7" t="s">
        <v>6105</v>
      </c>
      <c r="D5608" s="7" t="s">
        <v>365</v>
      </c>
      <c r="E5608" s="7" t="s">
        <v>154</v>
      </c>
      <c r="F5608" s="39" t="n">
        <v>45923</v>
      </c>
      <c r="G5608" s="41" t="n">
        <v>113.95</v>
      </c>
      <c r="H5608" s="39" t="n">
        <v>45971</v>
      </c>
      <c r="I5608" s="7" t="s">
        <v>14651</v>
      </c>
      <c r="J5608" s="8" t="str">
        <f aca="false">IF(I5608="Open",DATE(2025,12,31)-F5608,"-")</f>
        <v>-</v>
      </c>
    </row>
    <row r="5609" customFormat="false" ht="15" hidden="false" customHeight="false" outlineLevel="0" collapsed="false">
      <c r="B5609" s="7" t="s">
        <v>20255</v>
      </c>
      <c r="C5609" s="7" t="s">
        <v>6106</v>
      </c>
      <c r="D5609" s="7" t="s">
        <v>369</v>
      </c>
      <c r="E5609" s="7" t="s">
        <v>159</v>
      </c>
      <c r="F5609" s="39" t="n">
        <v>45923</v>
      </c>
      <c r="G5609" s="41" t="n">
        <v>140.4</v>
      </c>
      <c r="H5609" s="39" t="n">
        <v>45977</v>
      </c>
      <c r="I5609" s="7" t="s">
        <v>14651</v>
      </c>
      <c r="J5609" s="8" t="str">
        <f aca="false">IF(I5609="Open",DATE(2025,12,31)-F5609,"-")</f>
        <v>-</v>
      </c>
    </row>
    <row r="5610" customFormat="false" ht="15" hidden="false" customHeight="false" outlineLevel="0" collapsed="false">
      <c r="B5610" s="7" t="s">
        <v>20256</v>
      </c>
      <c r="C5610" s="7" t="s">
        <v>6107</v>
      </c>
      <c r="D5610" s="7" t="s">
        <v>381</v>
      </c>
      <c r="E5610" s="7" t="s">
        <v>157</v>
      </c>
      <c r="F5610" s="39" t="n">
        <v>45923</v>
      </c>
      <c r="G5610" s="41" t="n">
        <v>153.45</v>
      </c>
      <c r="H5610" s="39" t="n">
        <v>45963</v>
      </c>
      <c r="I5610" s="7" t="s">
        <v>14651</v>
      </c>
      <c r="J5610" s="8" t="str">
        <f aca="false">IF(I5610="Open",DATE(2025,12,31)-F5610,"-")</f>
        <v>-</v>
      </c>
    </row>
    <row r="5611" customFormat="false" ht="15" hidden="false" customHeight="false" outlineLevel="0" collapsed="false">
      <c r="B5611" s="7" t="s">
        <v>20257</v>
      </c>
      <c r="C5611" s="7" t="s">
        <v>6108</v>
      </c>
      <c r="D5611" s="7" t="s">
        <v>383</v>
      </c>
      <c r="E5611" s="7" t="s">
        <v>157</v>
      </c>
      <c r="F5611" s="39" t="n">
        <v>45923</v>
      </c>
      <c r="G5611" s="41" t="n">
        <v>161.7</v>
      </c>
      <c r="H5611" s="39" t="n">
        <v>45964</v>
      </c>
      <c r="I5611" s="7" t="s">
        <v>14651</v>
      </c>
      <c r="J5611" s="8" t="str">
        <f aca="false">IF(I5611="Open",DATE(2025,12,31)-F5611,"-")</f>
        <v>-</v>
      </c>
    </row>
    <row r="5612" customFormat="false" ht="15" hidden="false" customHeight="false" outlineLevel="0" collapsed="false">
      <c r="B5612" s="7" t="s">
        <v>20258</v>
      </c>
      <c r="C5612" s="7" t="s">
        <v>6109</v>
      </c>
      <c r="D5612" s="7" t="s">
        <v>387</v>
      </c>
      <c r="E5612" s="7" t="s">
        <v>154</v>
      </c>
      <c r="F5612" s="39" t="n">
        <v>45923</v>
      </c>
      <c r="G5612" s="41" t="n">
        <v>115.27</v>
      </c>
      <c r="H5612" s="39" t="n">
        <v>45986</v>
      </c>
      <c r="I5612" s="7" t="s">
        <v>14651</v>
      </c>
      <c r="J5612" s="8" t="str">
        <f aca="false">IF(I5612="Open",DATE(2025,12,31)-F5612,"-")</f>
        <v>-</v>
      </c>
    </row>
    <row r="5613" customFormat="false" ht="15" hidden="false" customHeight="false" outlineLevel="0" collapsed="false">
      <c r="B5613" s="7" t="s">
        <v>20259</v>
      </c>
      <c r="C5613" s="7" t="s">
        <v>6110</v>
      </c>
      <c r="D5613" s="7" t="s">
        <v>389</v>
      </c>
      <c r="E5613" s="7" t="s">
        <v>154</v>
      </c>
      <c r="F5613" s="39" t="n">
        <v>45923</v>
      </c>
      <c r="G5613" s="41" t="n">
        <v>106.8</v>
      </c>
      <c r="H5613" s="39" t="n">
        <v>46005</v>
      </c>
      <c r="I5613" s="7" t="s">
        <v>14651</v>
      </c>
      <c r="J5613" s="8" t="str">
        <f aca="false">IF(I5613="Open",DATE(2025,12,31)-F5613,"-")</f>
        <v>-</v>
      </c>
    </row>
    <row r="5614" customFormat="false" ht="15" hidden="false" customHeight="false" outlineLevel="0" collapsed="false">
      <c r="B5614" s="7" t="s">
        <v>20260</v>
      </c>
      <c r="C5614" s="7" t="s">
        <v>6111</v>
      </c>
      <c r="D5614" s="7" t="s">
        <v>391</v>
      </c>
      <c r="E5614" s="7" t="s">
        <v>156</v>
      </c>
      <c r="F5614" s="39" t="n">
        <v>45923</v>
      </c>
      <c r="G5614" s="41" t="n">
        <v>145.86</v>
      </c>
      <c r="H5614" s="39" t="n">
        <v>45937</v>
      </c>
      <c r="I5614" s="7" t="s">
        <v>14651</v>
      </c>
      <c r="J5614" s="8" t="str">
        <f aca="false">IF(I5614="Open",DATE(2025,12,31)-F5614,"-")</f>
        <v>-</v>
      </c>
    </row>
    <row r="5615" customFormat="false" ht="15" hidden="false" customHeight="false" outlineLevel="0" collapsed="false">
      <c r="B5615" s="7" t="s">
        <v>20261</v>
      </c>
      <c r="C5615" s="7" t="s">
        <v>6112</v>
      </c>
      <c r="D5615" s="7" t="s">
        <v>397</v>
      </c>
      <c r="E5615" s="7" t="s">
        <v>159</v>
      </c>
      <c r="F5615" s="39" t="n">
        <v>45923</v>
      </c>
      <c r="G5615" s="41" t="n">
        <v>133.65</v>
      </c>
      <c r="H5615" s="39" t="n">
        <v>45962</v>
      </c>
      <c r="I5615" s="7" t="s">
        <v>14651</v>
      </c>
      <c r="J5615" s="8" t="str">
        <f aca="false">IF(I5615="Open",DATE(2025,12,31)-F5615,"-")</f>
        <v>-</v>
      </c>
    </row>
    <row r="5616" customFormat="false" ht="15" hidden="false" customHeight="false" outlineLevel="0" collapsed="false">
      <c r="B5616" s="7" t="s">
        <v>20262</v>
      </c>
      <c r="C5616" s="7" t="s">
        <v>6113</v>
      </c>
      <c r="D5616" s="7" t="s">
        <v>401</v>
      </c>
      <c r="E5616" s="7" t="s">
        <v>156</v>
      </c>
      <c r="F5616" s="39" t="n">
        <v>45923</v>
      </c>
      <c r="G5616" s="41" t="n">
        <v>145.86</v>
      </c>
      <c r="H5616" s="39" t="n">
        <v>45937</v>
      </c>
      <c r="I5616" s="7" t="s">
        <v>14651</v>
      </c>
      <c r="J5616" s="8" t="str">
        <f aca="false">IF(I5616="Open",DATE(2025,12,31)-F5616,"-")</f>
        <v>-</v>
      </c>
    </row>
    <row r="5617" customFormat="false" ht="15" hidden="false" customHeight="false" outlineLevel="0" collapsed="false">
      <c r="B5617" s="7" t="s">
        <v>20263</v>
      </c>
      <c r="C5617" s="7" t="s">
        <v>6114</v>
      </c>
      <c r="D5617" s="7" t="s">
        <v>407</v>
      </c>
      <c r="E5617" s="7" t="s">
        <v>159</v>
      </c>
      <c r="F5617" s="39" t="n">
        <v>45923</v>
      </c>
      <c r="G5617" s="41" t="n">
        <v>129.6</v>
      </c>
      <c r="H5617" s="39" t="n">
        <v>45969</v>
      </c>
      <c r="I5617" s="7" t="s">
        <v>14651</v>
      </c>
      <c r="J5617" s="8" t="str">
        <f aca="false">IF(I5617="Open",DATE(2025,12,31)-F5617,"-")</f>
        <v>-</v>
      </c>
    </row>
    <row r="5618" customFormat="false" ht="15" hidden="false" customHeight="false" outlineLevel="0" collapsed="false">
      <c r="B5618" s="7" t="s">
        <v>20264</v>
      </c>
      <c r="C5618" s="7" t="s">
        <v>6115</v>
      </c>
      <c r="D5618" s="7" t="s">
        <v>288</v>
      </c>
      <c r="E5618" s="7" t="s">
        <v>156</v>
      </c>
      <c r="F5618" s="39" t="n">
        <v>45924</v>
      </c>
      <c r="G5618" s="41" t="n">
        <v>130.22</v>
      </c>
      <c r="H5618" s="39" t="n">
        <v>45941</v>
      </c>
      <c r="I5618" s="7" t="s">
        <v>14651</v>
      </c>
      <c r="J5618" s="8" t="str">
        <f aca="false">IF(I5618="Open",DATE(2025,12,31)-F5618,"-")</f>
        <v>-</v>
      </c>
    </row>
    <row r="5619" customFormat="false" ht="15" hidden="false" customHeight="false" outlineLevel="0" collapsed="false">
      <c r="B5619" s="7" t="s">
        <v>20265</v>
      </c>
      <c r="C5619" s="7" t="s">
        <v>6116</v>
      </c>
      <c r="D5619" s="7" t="s">
        <v>291</v>
      </c>
      <c r="E5619" s="7" t="s">
        <v>154</v>
      </c>
      <c r="F5619" s="39" t="n">
        <v>45924</v>
      </c>
      <c r="G5619" s="41" t="n">
        <v>122.96</v>
      </c>
      <c r="H5619" s="39" t="n">
        <v>45965</v>
      </c>
      <c r="I5619" s="7" t="s">
        <v>14651</v>
      </c>
      <c r="J5619" s="8" t="str">
        <f aca="false">IF(I5619="Open",DATE(2025,12,31)-F5619,"-")</f>
        <v>-</v>
      </c>
    </row>
    <row r="5620" customFormat="false" ht="15" hidden="false" customHeight="false" outlineLevel="0" collapsed="false">
      <c r="B5620" s="7" t="s">
        <v>20266</v>
      </c>
      <c r="C5620" s="7" t="s">
        <v>6117</v>
      </c>
      <c r="D5620" s="7" t="s">
        <v>295</v>
      </c>
      <c r="E5620" s="7" t="s">
        <v>154</v>
      </c>
      <c r="F5620" s="39" t="n">
        <v>45924</v>
      </c>
      <c r="G5620" s="41" t="n">
        <v>95.11</v>
      </c>
      <c r="H5620" s="39" t="n">
        <v>45989</v>
      </c>
      <c r="I5620" s="7" t="s">
        <v>14651</v>
      </c>
      <c r="J5620" s="8" t="str">
        <f aca="false">IF(I5620="Open",DATE(2025,12,31)-F5620,"-")</f>
        <v>-</v>
      </c>
    </row>
    <row r="5621" customFormat="false" ht="15" hidden="false" customHeight="false" outlineLevel="0" collapsed="false">
      <c r="B5621" s="7" t="s">
        <v>20267</v>
      </c>
      <c r="C5621" s="7" t="s">
        <v>6118</v>
      </c>
      <c r="D5621" s="7" t="s">
        <v>305</v>
      </c>
      <c r="E5621" s="7" t="s">
        <v>154</v>
      </c>
      <c r="F5621" s="39" t="n">
        <v>45924</v>
      </c>
      <c r="G5621" s="41" t="n">
        <v>101.23</v>
      </c>
      <c r="H5621" s="39" t="n">
        <v>45968</v>
      </c>
      <c r="I5621" s="7" t="s">
        <v>14651</v>
      </c>
      <c r="J5621" s="8" t="str">
        <f aca="false">IF(I5621="Open",DATE(2025,12,31)-F5621,"-")</f>
        <v>-</v>
      </c>
    </row>
    <row r="5622" customFormat="false" ht="15" hidden="false" customHeight="false" outlineLevel="0" collapsed="false">
      <c r="B5622" s="7" t="s">
        <v>20268</v>
      </c>
      <c r="C5622" s="7" t="s">
        <v>6119</v>
      </c>
      <c r="D5622" s="7" t="s">
        <v>307</v>
      </c>
      <c r="E5622" s="7" t="s">
        <v>157</v>
      </c>
      <c r="F5622" s="39" t="n">
        <v>45924</v>
      </c>
      <c r="G5622" s="41" t="n">
        <v>179.85</v>
      </c>
      <c r="H5622" s="39" t="n">
        <v>45941</v>
      </c>
      <c r="I5622" s="7" t="s">
        <v>14651</v>
      </c>
      <c r="J5622" s="8" t="str">
        <f aca="false">IF(I5622="Open",DATE(2025,12,31)-F5622,"-")</f>
        <v>-</v>
      </c>
    </row>
    <row r="5623" customFormat="false" ht="15" hidden="false" customHeight="false" outlineLevel="0" collapsed="false">
      <c r="B5623" s="7" t="s">
        <v>20269</v>
      </c>
      <c r="C5623" s="7" t="s">
        <v>6120</v>
      </c>
      <c r="D5623" s="7" t="s">
        <v>309</v>
      </c>
      <c r="E5623" s="7" t="s">
        <v>159</v>
      </c>
      <c r="F5623" s="39" t="n">
        <v>45924</v>
      </c>
      <c r="G5623" s="41" t="n">
        <v>126.76</v>
      </c>
      <c r="H5623" s="39" t="n">
        <v>45957</v>
      </c>
      <c r="I5623" s="7" t="s">
        <v>14651</v>
      </c>
      <c r="J5623" s="8" t="str">
        <f aca="false">IF(I5623="Open",DATE(2025,12,31)-F5623,"-")</f>
        <v>-</v>
      </c>
    </row>
    <row r="5624" customFormat="false" ht="15" hidden="false" customHeight="false" outlineLevel="0" collapsed="false">
      <c r="B5624" s="7" t="s">
        <v>20270</v>
      </c>
      <c r="C5624" s="7" t="s">
        <v>6121</v>
      </c>
      <c r="D5624" s="7" t="s">
        <v>313</v>
      </c>
      <c r="E5624" s="7" t="s">
        <v>156</v>
      </c>
      <c r="F5624" s="39" t="n">
        <v>45924</v>
      </c>
      <c r="G5624" s="41" t="n">
        <v>142.46</v>
      </c>
      <c r="H5624" s="39" t="n">
        <v>45940</v>
      </c>
      <c r="I5624" s="7" t="s">
        <v>14651</v>
      </c>
      <c r="J5624" s="8" t="str">
        <f aca="false">IF(I5624="Open",DATE(2025,12,31)-F5624,"-")</f>
        <v>-</v>
      </c>
    </row>
    <row r="5625" customFormat="false" ht="15" hidden="false" customHeight="false" outlineLevel="0" collapsed="false">
      <c r="B5625" s="7" t="s">
        <v>20271</v>
      </c>
      <c r="C5625" s="7" t="s">
        <v>6122</v>
      </c>
      <c r="D5625" s="7" t="s">
        <v>315</v>
      </c>
      <c r="E5625" s="7" t="s">
        <v>159</v>
      </c>
      <c r="F5625" s="39" t="n">
        <v>45924</v>
      </c>
      <c r="G5625" s="41" t="n">
        <v>124.2</v>
      </c>
      <c r="H5625" s="39" t="n">
        <v>45960</v>
      </c>
      <c r="I5625" s="7" t="s">
        <v>14651</v>
      </c>
      <c r="J5625" s="8" t="str">
        <f aca="false">IF(I5625="Open",DATE(2025,12,31)-F5625,"-")</f>
        <v>-</v>
      </c>
    </row>
    <row r="5626" customFormat="false" ht="15" hidden="false" customHeight="false" outlineLevel="0" collapsed="false">
      <c r="B5626" s="7" t="s">
        <v>20272</v>
      </c>
      <c r="C5626" s="7" t="s">
        <v>6123</v>
      </c>
      <c r="D5626" s="7" t="s">
        <v>321</v>
      </c>
      <c r="E5626" s="7" t="s">
        <v>154</v>
      </c>
      <c r="F5626" s="39" t="n">
        <v>45924</v>
      </c>
      <c r="G5626" s="41" t="n">
        <v>113.69</v>
      </c>
      <c r="H5626" s="39" t="n">
        <v>45963</v>
      </c>
      <c r="I5626" s="7" t="s">
        <v>14651</v>
      </c>
      <c r="J5626" s="8" t="str">
        <f aca="false">IF(I5626="Open",DATE(2025,12,31)-F5626,"-")</f>
        <v>-</v>
      </c>
    </row>
    <row r="5627" customFormat="false" ht="15" hidden="false" customHeight="false" outlineLevel="0" collapsed="false">
      <c r="B5627" s="7" t="s">
        <v>20273</v>
      </c>
      <c r="C5627" s="7" t="s">
        <v>6124</v>
      </c>
      <c r="D5627" s="7" t="s">
        <v>329</v>
      </c>
      <c r="E5627" s="7" t="s">
        <v>156</v>
      </c>
      <c r="F5627" s="39" t="n">
        <v>45924</v>
      </c>
      <c r="G5627" s="41" t="n">
        <v>138.72</v>
      </c>
      <c r="H5627" s="39" t="n">
        <v>45931</v>
      </c>
      <c r="I5627" s="7" t="s">
        <v>14651</v>
      </c>
      <c r="J5627" s="8" t="str">
        <f aca="false">IF(I5627="Open",DATE(2025,12,31)-F5627,"-")</f>
        <v>-</v>
      </c>
    </row>
    <row r="5628" customFormat="false" ht="15" hidden="false" customHeight="false" outlineLevel="0" collapsed="false">
      <c r="B5628" s="7" t="s">
        <v>20274</v>
      </c>
      <c r="C5628" s="7" t="s">
        <v>6125</v>
      </c>
      <c r="D5628" s="7" t="s">
        <v>335</v>
      </c>
      <c r="E5628" s="7" t="s">
        <v>154</v>
      </c>
      <c r="F5628" s="39" t="n">
        <v>45924</v>
      </c>
      <c r="G5628" s="41" t="n">
        <v>108.65</v>
      </c>
      <c r="H5628" s="39" t="n">
        <v>45976</v>
      </c>
      <c r="I5628" s="7" t="s">
        <v>14651</v>
      </c>
      <c r="J5628" s="8" t="str">
        <f aca="false">IF(I5628="Open",DATE(2025,12,31)-F5628,"-")</f>
        <v>-</v>
      </c>
    </row>
    <row r="5629" customFormat="false" ht="15" hidden="false" customHeight="false" outlineLevel="0" collapsed="false">
      <c r="B5629" s="7" t="s">
        <v>20275</v>
      </c>
      <c r="C5629" s="7" t="s">
        <v>6126</v>
      </c>
      <c r="D5629" s="7" t="s">
        <v>339</v>
      </c>
      <c r="E5629" s="7" t="s">
        <v>154</v>
      </c>
      <c r="F5629" s="39" t="n">
        <v>45924</v>
      </c>
      <c r="G5629" s="41" t="n">
        <v>89.31</v>
      </c>
      <c r="H5629" s="39" t="n">
        <v>46021</v>
      </c>
      <c r="I5629" s="7" t="s">
        <v>14651</v>
      </c>
      <c r="J5629" s="8" t="str">
        <f aca="false">IF(I5629="Open",DATE(2025,12,31)-F5629,"-")</f>
        <v>-</v>
      </c>
    </row>
    <row r="5630" customFormat="false" ht="15" hidden="false" customHeight="false" outlineLevel="0" collapsed="false">
      <c r="B5630" s="7" t="s">
        <v>20276</v>
      </c>
      <c r="C5630" s="7" t="s">
        <v>6127</v>
      </c>
      <c r="D5630" s="7" t="s">
        <v>347</v>
      </c>
      <c r="E5630" s="7" t="s">
        <v>154</v>
      </c>
      <c r="F5630" s="39" t="n">
        <v>45924</v>
      </c>
      <c r="G5630" s="41" t="n">
        <v>134.09</v>
      </c>
      <c r="H5630" s="39" t="n">
        <v>45993</v>
      </c>
      <c r="I5630" s="7" t="s">
        <v>14651</v>
      </c>
      <c r="J5630" s="8" t="str">
        <f aca="false">IF(I5630="Open",DATE(2025,12,31)-F5630,"-")</f>
        <v>-</v>
      </c>
    </row>
    <row r="5631" customFormat="false" ht="15" hidden="false" customHeight="false" outlineLevel="0" collapsed="false">
      <c r="B5631" s="7" t="s">
        <v>20277</v>
      </c>
      <c r="C5631" s="7" t="s">
        <v>6128</v>
      </c>
      <c r="D5631" s="7" t="s">
        <v>349</v>
      </c>
      <c r="E5631" s="7" t="s">
        <v>154</v>
      </c>
      <c r="F5631" s="39" t="n">
        <v>45924</v>
      </c>
      <c r="G5631" s="41" t="n">
        <v>100.97</v>
      </c>
      <c r="H5631" s="39" t="n">
        <v>45989</v>
      </c>
      <c r="I5631" s="7" t="s">
        <v>14651</v>
      </c>
      <c r="J5631" s="8" t="str">
        <f aca="false">IF(I5631="Open",DATE(2025,12,31)-F5631,"-")</f>
        <v>-</v>
      </c>
    </row>
    <row r="5632" customFormat="false" ht="15" hidden="false" customHeight="false" outlineLevel="0" collapsed="false">
      <c r="B5632" s="7" t="s">
        <v>20278</v>
      </c>
      <c r="C5632" s="7" t="s">
        <v>6129</v>
      </c>
      <c r="D5632" s="7" t="s">
        <v>353</v>
      </c>
      <c r="E5632" s="7" t="s">
        <v>154</v>
      </c>
      <c r="F5632" s="39" t="n">
        <v>45924</v>
      </c>
      <c r="G5632" s="41" t="n">
        <v>84</v>
      </c>
      <c r="H5632" s="39" t="n">
        <v>45980</v>
      </c>
      <c r="I5632" s="7" t="s">
        <v>14651</v>
      </c>
      <c r="J5632" s="8" t="str">
        <f aca="false">IF(I5632="Open",DATE(2025,12,31)-F5632,"-")</f>
        <v>-</v>
      </c>
    </row>
    <row r="5633" customFormat="false" ht="15" hidden="false" customHeight="false" outlineLevel="0" collapsed="false">
      <c r="B5633" s="7" t="s">
        <v>20279</v>
      </c>
      <c r="C5633" s="7" t="s">
        <v>6130</v>
      </c>
      <c r="D5633" s="7" t="s">
        <v>355</v>
      </c>
      <c r="E5633" s="7" t="s">
        <v>154</v>
      </c>
      <c r="F5633" s="39" t="n">
        <v>45924</v>
      </c>
      <c r="G5633" s="41" t="n">
        <v>81.09</v>
      </c>
      <c r="H5633" s="39" t="n">
        <v>45974</v>
      </c>
      <c r="I5633" s="7" t="s">
        <v>14651</v>
      </c>
      <c r="J5633" s="8" t="str">
        <f aca="false">IF(I5633="Open",DATE(2025,12,31)-F5633,"-")</f>
        <v>-</v>
      </c>
    </row>
    <row r="5634" customFormat="false" ht="15" hidden="false" customHeight="false" outlineLevel="0" collapsed="false">
      <c r="B5634" s="7" t="s">
        <v>20280</v>
      </c>
      <c r="C5634" s="7" t="s">
        <v>6131</v>
      </c>
      <c r="D5634" s="7" t="s">
        <v>357</v>
      </c>
      <c r="E5634" s="7" t="s">
        <v>154</v>
      </c>
      <c r="F5634" s="39" t="n">
        <v>45924</v>
      </c>
      <c r="G5634" s="41" t="n">
        <v>86.12</v>
      </c>
      <c r="H5634" s="39" t="n">
        <v>45997</v>
      </c>
      <c r="I5634" s="7" t="s">
        <v>14651</v>
      </c>
      <c r="J5634" s="8" t="str">
        <f aca="false">IF(I5634="Open",DATE(2025,12,31)-F5634,"-")</f>
        <v>-</v>
      </c>
    </row>
    <row r="5635" customFormat="false" ht="15" hidden="false" customHeight="false" outlineLevel="0" collapsed="false">
      <c r="B5635" s="7" t="s">
        <v>20281</v>
      </c>
      <c r="C5635" s="7" t="s">
        <v>6132</v>
      </c>
      <c r="D5635" s="7" t="s">
        <v>359</v>
      </c>
      <c r="E5635" s="7" t="s">
        <v>156</v>
      </c>
      <c r="F5635" s="39" t="n">
        <v>45924</v>
      </c>
      <c r="G5635" s="41" t="n">
        <v>127.5</v>
      </c>
      <c r="H5635" s="39" t="n">
        <v>45944</v>
      </c>
      <c r="I5635" s="7" t="s">
        <v>14651</v>
      </c>
      <c r="J5635" s="8" t="str">
        <f aca="false">IF(I5635="Open",DATE(2025,12,31)-F5635,"-")</f>
        <v>-</v>
      </c>
    </row>
    <row r="5636" customFormat="false" ht="15" hidden="false" customHeight="false" outlineLevel="0" collapsed="false">
      <c r="B5636" s="7" t="s">
        <v>20282</v>
      </c>
      <c r="C5636" s="7" t="s">
        <v>6133</v>
      </c>
      <c r="D5636" s="7" t="s">
        <v>365</v>
      </c>
      <c r="E5636" s="7" t="s">
        <v>154</v>
      </c>
      <c r="F5636" s="39" t="n">
        <v>45924</v>
      </c>
      <c r="G5636" s="41" t="n">
        <v>100.7</v>
      </c>
      <c r="H5636" s="39" t="n">
        <v>45965</v>
      </c>
      <c r="I5636" s="7" t="s">
        <v>14651</v>
      </c>
      <c r="J5636" s="8" t="str">
        <f aca="false">IF(I5636="Open",DATE(2025,12,31)-F5636,"-")</f>
        <v>-</v>
      </c>
    </row>
    <row r="5637" customFormat="false" ht="15" hidden="false" customHeight="false" outlineLevel="0" collapsed="false">
      <c r="B5637" s="7" t="s">
        <v>20283</v>
      </c>
      <c r="C5637" s="7" t="s">
        <v>6134</v>
      </c>
      <c r="D5637" s="7" t="s">
        <v>371</v>
      </c>
      <c r="E5637" s="7" t="s">
        <v>154</v>
      </c>
      <c r="F5637" s="39" t="n">
        <v>45924</v>
      </c>
      <c r="G5637" s="41" t="n">
        <v>114.37</v>
      </c>
      <c r="H5637" s="39" t="n">
        <v>45972</v>
      </c>
      <c r="I5637" s="7" t="s">
        <v>14651</v>
      </c>
      <c r="J5637" s="8" t="str">
        <f aca="false">IF(I5637="Open",DATE(2025,12,31)-F5637,"-")</f>
        <v>-</v>
      </c>
    </row>
    <row r="5638" customFormat="false" ht="15" hidden="false" customHeight="false" outlineLevel="0" collapsed="false">
      <c r="B5638" s="7" t="s">
        <v>20284</v>
      </c>
      <c r="C5638" s="7" t="s">
        <v>6135</v>
      </c>
      <c r="D5638" s="7" t="s">
        <v>379</v>
      </c>
      <c r="E5638" s="7" t="s">
        <v>156</v>
      </c>
      <c r="F5638" s="39" t="n">
        <v>45924</v>
      </c>
      <c r="G5638" s="41" t="n">
        <v>152.32</v>
      </c>
      <c r="H5638" s="39" t="n">
        <v>45934</v>
      </c>
      <c r="I5638" s="7" t="s">
        <v>14651</v>
      </c>
      <c r="J5638" s="8" t="str">
        <f aca="false">IF(I5638="Open",DATE(2025,12,31)-F5638,"-")</f>
        <v>-</v>
      </c>
    </row>
    <row r="5639" customFormat="false" ht="15" hidden="false" customHeight="false" outlineLevel="0" collapsed="false">
      <c r="B5639" s="7" t="s">
        <v>20285</v>
      </c>
      <c r="C5639" s="7" t="s">
        <v>6136</v>
      </c>
      <c r="D5639" s="7" t="s">
        <v>385</v>
      </c>
      <c r="E5639" s="7" t="s">
        <v>156</v>
      </c>
      <c r="F5639" s="39" t="n">
        <v>45924</v>
      </c>
      <c r="G5639" s="41" t="n">
        <v>133.62</v>
      </c>
      <c r="H5639" s="39" t="n">
        <v>45939</v>
      </c>
      <c r="I5639" s="7" t="s">
        <v>14651</v>
      </c>
      <c r="J5639" s="8" t="str">
        <f aca="false">IF(I5639="Open",DATE(2025,12,31)-F5639,"-")</f>
        <v>-</v>
      </c>
    </row>
    <row r="5640" customFormat="false" ht="15" hidden="false" customHeight="false" outlineLevel="0" collapsed="false">
      <c r="B5640" s="7" t="s">
        <v>20286</v>
      </c>
      <c r="C5640" s="7" t="s">
        <v>6137</v>
      </c>
      <c r="D5640" s="7" t="s">
        <v>387</v>
      </c>
      <c r="E5640" s="7" t="s">
        <v>154</v>
      </c>
      <c r="F5640" s="39" t="n">
        <v>45924</v>
      </c>
      <c r="G5640" s="41" t="n">
        <v>109.44</v>
      </c>
      <c r="H5640" s="6" t="s">
        <v>182</v>
      </c>
      <c r="I5640" s="7" t="s">
        <v>19787</v>
      </c>
      <c r="J5640" s="8" t="n">
        <f aca="false">IF(I5640="Open",DATE(2025,12,31)-F5640,"-")</f>
        <v>98</v>
      </c>
    </row>
    <row r="5641" customFormat="false" ht="15" hidden="false" customHeight="false" outlineLevel="0" collapsed="false">
      <c r="B5641" s="7" t="s">
        <v>20287</v>
      </c>
      <c r="C5641" s="7" t="s">
        <v>6138</v>
      </c>
      <c r="D5641" s="7" t="s">
        <v>389</v>
      </c>
      <c r="E5641" s="7" t="s">
        <v>154</v>
      </c>
      <c r="F5641" s="39" t="n">
        <v>45924</v>
      </c>
      <c r="G5641" s="41" t="n">
        <v>95.93</v>
      </c>
      <c r="H5641" s="6" t="s">
        <v>182</v>
      </c>
      <c r="I5641" s="7" t="s">
        <v>19787</v>
      </c>
      <c r="J5641" s="8" t="n">
        <f aca="false">IF(I5641="Open",DATE(2025,12,31)-F5641,"-")</f>
        <v>98</v>
      </c>
    </row>
    <row r="5642" customFormat="false" ht="15" hidden="false" customHeight="false" outlineLevel="0" collapsed="false">
      <c r="B5642" s="7" t="s">
        <v>20288</v>
      </c>
      <c r="C5642" s="7" t="s">
        <v>6139</v>
      </c>
      <c r="D5642" s="7" t="s">
        <v>391</v>
      </c>
      <c r="E5642" s="7" t="s">
        <v>156</v>
      </c>
      <c r="F5642" s="39" t="n">
        <v>45924</v>
      </c>
      <c r="G5642" s="41" t="n">
        <v>148.24</v>
      </c>
      <c r="H5642" s="39" t="n">
        <v>45942</v>
      </c>
      <c r="I5642" s="7" t="s">
        <v>14651</v>
      </c>
      <c r="J5642" s="8" t="str">
        <f aca="false">IF(I5642="Open",DATE(2025,12,31)-F5642,"-")</f>
        <v>-</v>
      </c>
    </row>
    <row r="5643" customFormat="false" ht="15" hidden="false" customHeight="false" outlineLevel="0" collapsed="false">
      <c r="B5643" s="7" t="s">
        <v>20289</v>
      </c>
      <c r="C5643" s="7" t="s">
        <v>6140</v>
      </c>
      <c r="D5643" s="7" t="s">
        <v>393</v>
      </c>
      <c r="E5643" s="7" t="s">
        <v>157</v>
      </c>
      <c r="F5643" s="39" t="n">
        <v>45924</v>
      </c>
      <c r="G5643" s="41" t="n">
        <v>153.45</v>
      </c>
      <c r="H5643" s="39" t="n">
        <v>45956</v>
      </c>
      <c r="I5643" s="7" t="s">
        <v>14651</v>
      </c>
      <c r="J5643" s="8" t="str">
        <f aca="false">IF(I5643="Open",DATE(2025,12,31)-F5643,"-")</f>
        <v>-</v>
      </c>
    </row>
    <row r="5644" customFormat="false" ht="15" hidden="false" customHeight="false" outlineLevel="0" collapsed="false">
      <c r="B5644" s="7" t="s">
        <v>20290</v>
      </c>
      <c r="C5644" s="7" t="s">
        <v>6141</v>
      </c>
      <c r="D5644" s="7" t="s">
        <v>395</v>
      </c>
      <c r="E5644" s="7" t="s">
        <v>156</v>
      </c>
      <c r="F5644" s="39" t="n">
        <v>45924</v>
      </c>
      <c r="G5644" s="41" t="n">
        <v>138.38</v>
      </c>
      <c r="H5644" s="39" t="n">
        <v>45930</v>
      </c>
      <c r="I5644" s="7" t="s">
        <v>14651</v>
      </c>
      <c r="J5644" s="8" t="str">
        <f aca="false">IF(I5644="Open",DATE(2025,12,31)-F5644,"-")</f>
        <v>-</v>
      </c>
    </row>
    <row r="5645" customFormat="false" ht="15" hidden="false" customHeight="false" outlineLevel="0" collapsed="false">
      <c r="B5645" s="7" t="s">
        <v>20291</v>
      </c>
      <c r="C5645" s="7" t="s">
        <v>6142</v>
      </c>
      <c r="D5645" s="7" t="s">
        <v>399</v>
      </c>
      <c r="E5645" s="7" t="s">
        <v>154</v>
      </c>
      <c r="F5645" s="39" t="n">
        <v>45924</v>
      </c>
      <c r="G5645" s="41" t="n">
        <v>91.16</v>
      </c>
      <c r="H5645" s="39" t="n">
        <v>46007</v>
      </c>
      <c r="I5645" s="7" t="s">
        <v>14651</v>
      </c>
      <c r="J5645" s="8" t="str">
        <f aca="false">IF(I5645="Open",DATE(2025,12,31)-F5645,"-")</f>
        <v>-</v>
      </c>
    </row>
    <row r="5646" customFormat="false" ht="15" hidden="false" customHeight="false" outlineLevel="0" collapsed="false">
      <c r="B5646" s="7" t="s">
        <v>20292</v>
      </c>
      <c r="C5646" s="7" t="s">
        <v>6143</v>
      </c>
      <c r="D5646" s="7" t="s">
        <v>401</v>
      </c>
      <c r="E5646" s="7" t="s">
        <v>156</v>
      </c>
      <c r="F5646" s="39" t="n">
        <v>45924</v>
      </c>
      <c r="G5646" s="41" t="n">
        <v>130.22</v>
      </c>
      <c r="H5646" s="39" t="n">
        <v>45943</v>
      </c>
      <c r="I5646" s="7" t="s">
        <v>14651</v>
      </c>
      <c r="J5646" s="8" t="str">
        <f aca="false">IF(I5646="Open",DATE(2025,12,31)-F5646,"-")</f>
        <v>-</v>
      </c>
    </row>
    <row r="5647" customFormat="false" ht="15" hidden="false" customHeight="false" outlineLevel="0" collapsed="false">
      <c r="B5647" s="7" t="s">
        <v>20293</v>
      </c>
      <c r="C5647" s="7" t="s">
        <v>6144</v>
      </c>
      <c r="D5647" s="7" t="s">
        <v>403</v>
      </c>
      <c r="E5647" s="7" t="s">
        <v>156</v>
      </c>
      <c r="F5647" s="39" t="n">
        <v>45924</v>
      </c>
      <c r="G5647" s="41" t="n">
        <v>123.42</v>
      </c>
      <c r="H5647" s="39" t="n">
        <v>45944</v>
      </c>
      <c r="I5647" s="7" t="s">
        <v>14651</v>
      </c>
      <c r="J5647" s="8" t="str">
        <f aca="false">IF(I5647="Open",DATE(2025,12,31)-F5647,"-")</f>
        <v>-</v>
      </c>
    </row>
    <row r="5648" customFormat="false" ht="15" hidden="false" customHeight="false" outlineLevel="0" collapsed="false">
      <c r="B5648" s="7" t="s">
        <v>20294</v>
      </c>
      <c r="C5648" s="7" t="s">
        <v>6145</v>
      </c>
      <c r="D5648" s="7" t="s">
        <v>409</v>
      </c>
      <c r="E5648" s="7" t="s">
        <v>154</v>
      </c>
      <c r="F5648" s="39" t="n">
        <v>45924</v>
      </c>
      <c r="G5648" s="41" t="n">
        <v>82.15</v>
      </c>
      <c r="H5648" s="39" t="n">
        <v>45981</v>
      </c>
      <c r="I5648" s="7" t="s">
        <v>14651</v>
      </c>
      <c r="J5648" s="8" t="str">
        <f aca="false">IF(I5648="Open",DATE(2025,12,31)-F5648,"-")</f>
        <v>-</v>
      </c>
    </row>
    <row r="5649" customFormat="false" ht="15" hidden="false" customHeight="false" outlineLevel="0" collapsed="false">
      <c r="B5649" s="7" t="s">
        <v>20295</v>
      </c>
      <c r="C5649" s="7" t="s">
        <v>6146</v>
      </c>
      <c r="D5649" s="7" t="s">
        <v>411</v>
      </c>
      <c r="E5649" s="7" t="s">
        <v>154</v>
      </c>
      <c r="F5649" s="39" t="n">
        <v>45924</v>
      </c>
      <c r="G5649" s="41" t="n">
        <v>120.31</v>
      </c>
      <c r="H5649" s="39" t="n">
        <v>45974</v>
      </c>
      <c r="I5649" s="7" t="s">
        <v>14651</v>
      </c>
      <c r="J5649" s="8" t="str">
        <f aca="false">IF(I5649="Open",DATE(2025,12,31)-F5649,"-")</f>
        <v>-</v>
      </c>
    </row>
    <row r="5650" customFormat="false" ht="15" hidden="false" customHeight="false" outlineLevel="0" collapsed="false">
      <c r="B5650" s="7" t="s">
        <v>20296</v>
      </c>
      <c r="C5650" s="7" t="s">
        <v>6147</v>
      </c>
      <c r="D5650" s="7" t="s">
        <v>288</v>
      </c>
      <c r="E5650" s="7" t="s">
        <v>156</v>
      </c>
      <c r="F5650" s="39" t="n">
        <v>45925</v>
      </c>
      <c r="G5650" s="41" t="n">
        <v>137.7</v>
      </c>
      <c r="H5650" s="39" t="n">
        <v>45945</v>
      </c>
      <c r="I5650" s="7" t="s">
        <v>14651</v>
      </c>
      <c r="J5650" s="8" t="str">
        <f aca="false">IF(I5650="Open",DATE(2025,12,31)-F5650,"-")</f>
        <v>-</v>
      </c>
    </row>
    <row r="5651" customFormat="false" ht="15" hidden="false" customHeight="false" outlineLevel="0" collapsed="false">
      <c r="B5651" s="7" t="s">
        <v>20297</v>
      </c>
      <c r="C5651" s="7" t="s">
        <v>6148</v>
      </c>
      <c r="D5651" s="7" t="s">
        <v>297</v>
      </c>
      <c r="E5651" s="7" t="s">
        <v>156</v>
      </c>
      <c r="F5651" s="39" t="n">
        <v>45925</v>
      </c>
      <c r="G5651" s="41" t="n">
        <v>95.54</v>
      </c>
      <c r="H5651" s="39" t="n">
        <v>45944</v>
      </c>
      <c r="I5651" s="7" t="s">
        <v>14651</v>
      </c>
      <c r="J5651" s="8" t="str">
        <f aca="false">IF(I5651="Open",DATE(2025,12,31)-F5651,"-")</f>
        <v>-</v>
      </c>
    </row>
    <row r="5652" customFormat="false" ht="15" hidden="false" customHeight="false" outlineLevel="0" collapsed="false">
      <c r="B5652" s="7" t="s">
        <v>20298</v>
      </c>
      <c r="C5652" s="7" t="s">
        <v>6149</v>
      </c>
      <c r="D5652" s="7" t="s">
        <v>311</v>
      </c>
      <c r="E5652" s="7" t="s">
        <v>154</v>
      </c>
      <c r="F5652" s="39" t="n">
        <v>45925</v>
      </c>
      <c r="G5652" s="41" t="n">
        <v>83.47</v>
      </c>
      <c r="H5652" s="39" t="n">
        <v>46021</v>
      </c>
      <c r="I5652" s="7" t="s">
        <v>14651</v>
      </c>
      <c r="J5652" s="8" t="str">
        <f aca="false">IF(I5652="Open",DATE(2025,12,31)-F5652,"-")</f>
        <v>-</v>
      </c>
    </row>
    <row r="5653" customFormat="false" ht="15" hidden="false" customHeight="false" outlineLevel="0" collapsed="false">
      <c r="B5653" s="7" t="s">
        <v>20299</v>
      </c>
      <c r="C5653" s="7" t="s">
        <v>6150</v>
      </c>
      <c r="D5653" s="7" t="s">
        <v>313</v>
      </c>
      <c r="E5653" s="7" t="s">
        <v>156</v>
      </c>
      <c r="F5653" s="39" t="n">
        <v>45925</v>
      </c>
      <c r="G5653" s="41" t="n">
        <v>126.14</v>
      </c>
      <c r="H5653" s="39" t="n">
        <v>45936</v>
      </c>
      <c r="I5653" s="7" t="s">
        <v>14651</v>
      </c>
      <c r="J5653" s="8" t="str">
        <f aca="false">IF(I5653="Open",DATE(2025,12,31)-F5653,"-")</f>
        <v>-</v>
      </c>
    </row>
    <row r="5654" customFormat="false" ht="15" hidden="false" customHeight="false" outlineLevel="0" collapsed="false">
      <c r="B5654" s="7" t="s">
        <v>20300</v>
      </c>
      <c r="C5654" s="7" t="s">
        <v>6151</v>
      </c>
      <c r="D5654" s="7" t="s">
        <v>317</v>
      </c>
      <c r="E5654" s="7" t="s">
        <v>156</v>
      </c>
      <c r="F5654" s="39" t="n">
        <v>45925</v>
      </c>
      <c r="G5654" s="41" t="n">
        <v>96.56</v>
      </c>
      <c r="H5654" s="39" t="n">
        <v>45931</v>
      </c>
      <c r="I5654" s="7" t="s">
        <v>14651</v>
      </c>
      <c r="J5654" s="8" t="str">
        <f aca="false">IF(I5654="Open",DATE(2025,12,31)-F5654,"-")</f>
        <v>-</v>
      </c>
    </row>
    <row r="5655" customFormat="false" ht="15" hidden="false" customHeight="false" outlineLevel="0" collapsed="false">
      <c r="B5655" s="7" t="s">
        <v>20301</v>
      </c>
      <c r="C5655" s="7" t="s">
        <v>6152</v>
      </c>
      <c r="D5655" s="7" t="s">
        <v>321</v>
      </c>
      <c r="E5655" s="7" t="s">
        <v>154</v>
      </c>
      <c r="F5655" s="39" t="n">
        <v>45925</v>
      </c>
      <c r="G5655" s="41" t="n">
        <v>107.59</v>
      </c>
      <c r="H5655" s="39" t="n">
        <v>45978</v>
      </c>
      <c r="I5655" s="7" t="s">
        <v>14651</v>
      </c>
      <c r="J5655" s="8" t="str">
        <f aca="false">IF(I5655="Open",DATE(2025,12,31)-F5655,"-")</f>
        <v>-</v>
      </c>
    </row>
    <row r="5656" customFormat="false" ht="15" hidden="false" customHeight="false" outlineLevel="0" collapsed="false">
      <c r="B5656" s="7" t="s">
        <v>20302</v>
      </c>
      <c r="C5656" s="7" t="s">
        <v>6153</v>
      </c>
      <c r="D5656" s="7" t="s">
        <v>329</v>
      </c>
      <c r="E5656" s="7" t="s">
        <v>156</v>
      </c>
      <c r="F5656" s="39" t="n">
        <v>45925</v>
      </c>
      <c r="G5656" s="41" t="n">
        <v>129.2</v>
      </c>
      <c r="H5656" s="39" t="n">
        <v>45936</v>
      </c>
      <c r="I5656" s="7" t="s">
        <v>14651</v>
      </c>
      <c r="J5656" s="8" t="str">
        <f aca="false">IF(I5656="Open",DATE(2025,12,31)-F5656,"-")</f>
        <v>-</v>
      </c>
    </row>
    <row r="5657" customFormat="false" ht="15" hidden="false" customHeight="false" outlineLevel="0" collapsed="false">
      <c r="B5657" s="7" t="s">
        <v>20303</v>
      </c>
      <c r="C5657" s="7" t="s">
        <v>6154</v>
      </c>
      <c r="D5657" s="7" t="s">
        <v>331</v>
      </c>
      <c r="E5657" s="7" t="s">
        <v>156</v>
      </c>
      <c r="F5657" s="39" t="n">
        <v>45925</v>
      </c>
      <c r="G5657" s="41" t="n">
        <v>141.1</v>
      </c>
      <c r="H5657" s="39" t="n">
        <v>45935</v>
      </c>
      <c r="I5657" s="7" t="s">
        <v>14651</v>
      </c>
      <c r="J5657" s="8" t="str">
        <f aca="false">IF(I5657="Open",DATE(2025,12,31)-F5657,"-")</f>
        <v>-</v>
      </c>
    </row>
    <row r="5658" customFormat="false" ht="15" hidden="false" customHeight="false" outlineLevel="0" collapsed="false">
      <c r="B5658" s="7" t="s">
        <v>20304</v>
      </c>
      <c r="C5658" s="7" t="s">
        <v>6155</v>
      </c>
      <c r="D5658" s="7" t="s">
        <v>341</v>
      </c>
      <c r="E5658" s="7" t="s">
        <v>156</v>
      </c>
      <c r="F5658" s="39" t="n">
        <v>45925</v>
      </c>
      <c r="G5658" s="41" t="n">
        <v>100.98</v>
      </c>
      <c r="H5658" s="39" t="n">
        <v>45939</v>
      </c>
      <c r="I5658" s="7" t="s">
        <v>14651</v>
      </c>
      <c r="J5658" s="8" t="str">
        <f aca="false">IF(I5658="Open",DATE(2025,12,31)-F5658,"-")</f>
        <v>-</v>
      </c>
    </row>
    <row r="5659" customFormat="false" ht="15" hidden="false" customHeight="false" outlineLevel="0" collapsed="false">
      <c r="B5659" s="7" t="s">
        <v>20305</v>
      </c>
      <c r="C5659" s="7" t="s">
        <v>6156</v>
      </c>
      <c r="D5659" s="7" t="s">
        <v>343</v>
      </c>
      <c r="E5659" s="7" t="s">
        <v>154</v>
      </c>
      <c r="F5659" s="39" t="n">
        <v>45925</v>
      </c>
      <c r="G5659" s="41" t="n">
        <v>113.42</v>
      </c>
      <c r="H5659" s="39" t="n">
        <v>45943</v>
      </c>
      <c r="I5659" s="7" t="s">
        <v>14651</v>
      </c>
      <c r="J5659" s="8" t="str">
        <f aca="false">IF(I5659="Open",DATE(2025,12,31)-F5659,"-")</f>
        <v>-</v>
      </c>
    </row>
    <row r="5660" customFormat="false" ht="15" hidden="false" customHeight="false" outlineLevel="0" collapsed="false">
      <c r="B5660" s="7" t="s">
        <v>20306</v>
      </c>
      <c r="C5660" s="7" t="s">
        <v>6157</v>
      </c>
      <c r="D5660" s="7" t="s">
        <v>349</v>
      </c>
      <c r="E5660" s="7" t="s">
        <v>154</v>
      </c>
      <c r="F5660" s="39" t="n">
        <v>45925</v>
      </c>
      <c r="G5660" s="41" t="n">
        <v>102.82</v>
      </c>
      <c r="H5660" s="6" t="s">
        <v>182</v>
      </c>
      <c r="I5660" s="7" t="s">
        <v>19787</v>
      </c>
      <c r="J5660" s="8" t="n">
        <f aca="false">IF(I5660="Open",DATE(2025,12,31)-F5660,"-")</f>
        <v>97</v>
      </c>
    </row>
    <row r="5661" customFormat="false" ht="15" hidden="false" customHeight="false" outlineLevel="0" collapsed="false">
      <c r="B5661" s="7" t="s">
        <v>20307</v>
      </c>
      <c r="C5661" s="7" t="s">
        <v>6158</v>
      </c>
      <c r="D5661" s="7" t="s">
        <v>351</v>
      </c>
      <c r="E5661" s="7" t="s">
        <v>154</v>
      </c>
      <c r="F5661" s="39" t="n">
        <v>45925</v>
      </c>
      <c r="G5661" s="41" t="n">
        <v>83.47</v>
      </c>
      <c r="H5661" s="39" t="n">
        <v>45978</v>
      </c>
      <c r="I5661" s="7" t="s">
        <v>14651</v>
      </c>
      <c r="J5661" s="8" t="str">
        <f aca="false">IF(I5661="Open",DATE(2025,12,31)-F5661,"-")</f>
        <v>-</v>
      </c>
    </row>
    <row r="5662" customFormat="false" ht="15" hidden="false" customHeight="false" outlineLevel="0" collapsed="false">
      <c r="B5662" s="7" t="s">
        <v>20308</v>
      </c>
      <c r="C5662" s="7" t="s">
        <v>6159</v>
      </c>
      <c r="D5662" s="7" t="s">
        <v>359</v>
      </c>
      <c r="E5662" s="7" t="s">
        <v>156</v>
      </c>
      <c r="F5662" s="39" t="n">
        <v>45925</v>
      </c>
      <c r="G5662" s="41" t="n">
        <v>128.18</v>
      </c>
      <c r="H5662" s="39" t="n">
        <v>45937</v>
      </c>
      <c r="I5662" s="7" t="s">
        <v>14651</v>
      </c>
      <c r="J5662" s="8" t="str">
        <f aca="false">IF(I5662="Open",DATE(2025,12,31)-F5662,"-")</f>
        <v>-</v>
      </c>
    </row>
    <row r="5663" customFormat="false" ht="15" hidden="false" customHeight="false" outlineLevel="0" collapsed="false">
      <c r="B5663" s="7" t="s">
        <v>20309</v>
      </c>
      <c r="C5663" s="7" t="s">
        <v>6160</v>
      </c>
      <c r="D5663" s="7" t="s">
        <v>363</v>
      </c>
      <c r="E5663" s="7" t="s">
        <v>156</v>
      </c>
      <c r="F5663" s="39" t="n">
        <v>45925</v>
      </c>
      <c r="G5663" s="41" t="n">
        <v>142.46</v>
      </c>
      <c r="H5663" s="39" t="n">
        <v>45936</v>
      </c>
      <c r="I5663" s="7" t="s">
        <v>14651</v>
      </c>
      <c r="J5663" s="8" t="str">
        <f aca="false">IF(I5663="Open",DATE(2025,12,31)-F5663,"-")</f>
        <v>-</v>
      </c>
    </row>
    <row r="5664" customFormat="false" ht="15" hidden="false" customHeight="false" outlineLevel="0" collapsed="false">
      <c r="B5664" s="7" t="s">
        <v>20310</v>
      </c>
      <c r="C5664" s="7" t="s">
        <v>6161</v>
      </c>
      <c r="D5664" s="7" t="s">
        <v>365</v>
      </c>
      <c r="E5664" s="7" t="s">
        <v>154</v>
      </c>
      <c r="F5664" s="39" t="n">
        <v>45925</v>
      </c>
      <c r="G5664" s="41" t="n">
        <v>105.73</v>
      </c>
      <c r="H5664" s="39" t="n">
        <v>46000</v>
      </c>
      <c r="I5664" s="7" t="s">
        <v>14651</v>
      </c>
      <c r="J5664" s="8" t="str">
        <f aca="false">IF(I5664="Open",DATE(2025,12,31)-F5664,"-")</f>
        <v>-</v>
      </c>
    </row>
    <row r="5665" customFormat="false" ht="15" hidden="false" customHeight="false" outlineLevel="0" collapsed="false">
      <c r="B5665" s="7" t="s">
        <v>20311</v>
      </c>
      <c r="C5665" s="7" t="s">
        <v>6162</v>
      </c>
      <c r="D5665" s="7" t="s">
        <v>375</v>
      </c>
      <c r="E5665" s="7" t="s">
        <v>156</v>
      </c>
      <c r="F5665" s="39" t="n">
        <v>45925</v>
      </c>
      <c r="G5665" s="41" t="n">
        <v>106.42</v>
      </c>
      <c r="H5665" s="39" t="n">
        <v>45938</v>
      </c>
      <c r="I5665" s="7" t="s">
        <v>14651</v>
      </c>
      <c r="J5665" s="8" t="str">
        <f aca="false">IF(I5665="Open",DATE(2025,12,31)-F5665,"-")</f>
        <v>-</v>
      </c>
    </row>
    <row r="5666" customFormat="false" ht="15" hidden="false" customHeight="false" outlineLevel="0" collapsed="false">
      <c r="B5666" s="7" t="s">
        <v>20312</v>
      </c>
      <c r="C5666" s="7" t="s">
        <v>6163</v>
      </c>
      <c r="D5666" s="7" t="s">
        <v>377</v>
      </c>
      <c r="E5666" s="7" t="s">
        <v>154</v>
      </c>
      <c r="F5666" s="39" t="n">
        <v>45925</v>
      </c>
      <c r="G5666" s="41" t="n">
        <v>95.11</v>
      </c>
      <c r="H5666" s="39" t="n">
        <v>45973</v>
      </c>
      <c r="I5666" s="7" t="s">
        <v>14651</v>
      </c>
      <c r="J5666" s="8" t="str">
        <f aca="false">IF(I5666="Open",DATE(2025,12,31)-F5666,"-")</f>
        <v>-</v>
      </c>
    </row>
    <row r="5667" customFormat="false" ht="15" hidden="false" customHeight="false" outlineLevel="0" collapsed="false">
      <c r="B5667" s="7" t="s">
        <v>20313</v>
      </c>
      <c r="C5667" s="7" t="s">
        <v>6164</v>
      </c>
      <c r="D5667" s="7" t="s">
        <v>387</v>
      </c>
      <c r="E5667" s="7" t="s">
        <v>154</v>
      </c>
      <c r="F5667" s="39" t="n">
        <v>45925</v>
      </c>
      <c r="G5667" s="41" t="n">
        <v>116.07</v>
      </c>
      <c r="H5667" s="39" t="n">
        <v>45942</v>
      </c>
      <c r="I5667" s="7" t="s">
        <v>14651</v>
      </c>
      <c r="J5667" s="8" t="str">
        <f aca="false">IF(I5667="Open",DATE(2025,12,31)-F5667,"-")</f>
        <v>-</v>
      </c>
    </row>
    <row r="5668" customFormat="false" ht="15" hidden="false" customHeight="false" outlineLevel="0" collapsed="false">
      <c r="B5668" s="7" t="s">
        <v>20314</v>
      </c>
      <c r="C5668" s="7" t="s">
        <v>6165</v>
      </c>
      <c r="D5668" s="7" t="s">
        <v>389</v>
      </c>
      <c r="E5668" s="7" t="s">
        <v>154</v>
      </c>
      <c r="F5668" s="39" t="n">
        <v>45925</v>
      </c>
      <c r="G5668" s="41" t="n">
        <v>113.1</v>
      </c>
      <c r="H5668" s="39" t="n">
        <v>45971</v>
      </c>
      <c r="I5668" s="7" t="s">
        <v>14651</v>
      </c>
      <c r="J5668" s="8" t="str">
        <f aca="false">IF(I5668="Open",DATE(2025,12,31)-F5668,"-")</f>
        <v>-</v>
      </c>
    </row>
    <row r="5669" customFormat="false" ht="15" hidden="false" customHeight="false" outlineLevel="0" collapsed="false">
      <c r="B5669" s="7" t="s">
        <v>20315</v>
      </c>
      <c r="C5669" s="7" t="s">
        <v>6166</v>
      </c>
      <c r="D5669" s="7" t="s">
        <v>391</v>
      </c>
      <c r="E5669" s="7" t="s">
        <v>156</v>
      </c>
      <c r="F5669" s="39" t="n">
        <v>45925</v>
      </c>
      <c r="G5669" s="41" t="n">
        <v>141.78</v>
      </c>
      <c r="H5669" s="39" t="n">
        <v>45932</v>
      </c>
      <c r="I5669" s="7" t="s">
        <v>14651</v>
      </c>
      <c r="J5669" s="8" t="str">
        <f aca="false">IF(I5669="Open",DATE(2025,12,31)-F5669,"-")</f>
        <v>-</v>
      </c>
    </row>
    <row r="5670" customFormat="false" ht="15" hidden="false" customHeight="false" outlineLevel="0" collapsed="false">
      <c r="B5670" s="7" t="s">
        <v>20316</v>
      </c>
      <c r="C5670" s="7" t="s">
        <v>6167</v>
      </c>
      <c r="D5670" s="7" t="s">
        <v>395</v>
      </c>
      <c r="E5670" s="7" t="s">
        <v>156</v>
      </c>
      <c r="F5670" s="39" t="n">
        <v>45925</v>
      </c>
      <c r="G5670" s="41" t="n">
        <v>126.14</v>
      </c>
      <c r="H5670" s="39" t="n">
        <v>45929</v>
      </c>
      <c r="I5670" s="7" t="s">
        <v>14651</v>
      </c>
      <c r="J5670" s="8" t="str">
        <f aca="false">IF(I5670="Open",DATE(2025,12,31)-F5670,"-")</f>
        <v>-</v>
      </c>
    </row>
    <row r="5671" customFormat="false" ht="15" hidden="false" customHeight="false" outlineLevel="0" collapsed="false">
      <c r="B5671" s="7" t="s">
        <v>20317</v>
      </c>
      <c r="C5671" s="7" t="s">
        <v>6168</v>
      </c>
      <c r="D5671" s="7" t="s">
        <v>401</v>
      </c>
      <c r="E5671" s="7" t="s">
        <v>156</v>
      </c>
      <c r="F5671" s="39" t="n">
        <v>45925</v>
      </c>
      <c r="G5671" s="41" t="n">
        <v>134.3</v>
      </c>
      <c r="H5671" s="39" t="n">
        <v>45939</v>
      </c>
      <c r="I5671" s="7" t="s">
        <v>14651</v>
      </c>
      <c r="J5671" s="8" t="str">
        <f aca="false">IF(I5671="Open",DATE(2025,12,31)-F5671,"-")</f>
        <v>-</v>
      </c>
    </row>
    <row r="5672" customFormat="false" ht="15" hidden="false" customHeight="false" outlineLevel="0" collapsed="false">
      <c r="B5672" s="7" t="s">
        <v>20318</v>
      </c>
      <c r="C5672" s="7" t="s">
        <v>6169</v>
      </c>
      <c r="D5672" s="7" t="s">
        <v>288</v>
      </c>
      <c r="E5672" s="7" t="s">
        <v>156</v>
      </c>
      <c r="F5672" s="39" t="n">
        <v>45926</v>
      </c>
      <c r="G5672" s="41" t="n">
        <v>145.18</v>
      </c>
      <c r="H5672" s="39" t="n">
        <v>45930</v>
      </c>
      <c r="I5672" s="7" t="s">
        <v>14651</v>
      </c>
      <c r="J5672" s="8" t="str">
        <f aca="false">IF(I5672="Open",DATE(2025,12,31)-F5672,"-")</f>
        <v>-</v>
      </c>
    </row>
    <row r="5673" customFormat="false" ht="15" hidden="false" customHeight="false" outlineLevel="0" collapsed="false">
      <c r="B5673" s="7" t="s">
        <v>20319</v>
      </c>
      <c r="C5673" s="7" t="s">
        <v>6170</v>
      </c>
      <c r="D5673" s="7" t="s">
        <v>291</v>
      </c>
      <c r="E5673" s="7" t="s">
        <v>154</v>
      </c>
      <c r="F5673" s="39" t="n">
        <v>45926</v>
      </c>
      <c r="G5673" s="41" t="n">
        <v>130.38</v>
      </c>
      <c r="H5673" s="39" t="n">
        <v>46021</v>
      </c>
      <c r="I5673" s="7" t="s">
        <v>14651</v>
      </c>
      <c r="J5673" s="8" t="str">
        <f aca="false">IF(I5673="Open",DATE(2025,12,31)-F5673,"-")</f>
        <v>-</v>
      </c>
    </row>
    <row r="5674" customFormat="false" ht="15" hidden="false" customHeight="false" outlineLevel="0" collapsed="false">
      <c r="B5674" s="7" t="s">
        <v>20320</v>
      </c>
      <c r="C5674" s="7" t="s">
        <v>6171</v>
      </c>
      <c r="D5674" s="7" t="s">
        <v>293</v>
      </c>
      <c r="E5674" s="7" t="s">
        <v>157</v>
      </c>
      <c r="F5674" s="39" t="n">
        <v>45926</v>
      </c>
      <c r="G5674" s="41" t="n">
        <v>169.95</v>
      </c>
      <c r="H5674" s="6" t="s">
        <v>182</v>
      </c>
      <c r="I5674" s="7" t="s">
        <v>19787</v>
      </c>
      <c r="J5674" s="8" t="n">
        <f aca="false">IF(I5674="Open",DATE(2025,12,31)-F5674,"-")</f>
        <v>96</v>
      </c>
    </row>
    <row r="5675" customFormat="false" ht="15" hidden="false" customHeight="false" outlineLevel="0" collapsed="false">
      <c r="B5675" s="7" t="s">
        <v>20321</v>
      </c>
      <c r="C5675" s="7" t="s">
        <v>6172</v>
      </c>
      <c r="D5675" s="7" t="s">
        <v>295</v>
      </c>
      <c r="E5675" s="7" t="s">
        <v>154</v>
      </c>
      <c r="F5675" s="39" t="n">
        <v>45926</v>
      </c>
      <c r="G5675" s="41" t="n">
        <v>100.97</v>
      </c>
      <c r="H5675" s="39" t="n">
        <v>45977</v>
      </c>
      <c r="I5675" s="7" t="s">
        <v>14651</v>
      </c>
      <c r="J5675" s="8" t="str">
        <f aca="false">IF(I5675="Open",DATE(2025,12,31)-F5675,"-")</f>
        <v>-</v>
      </c>
    </row>
    <row r="5676" customFormat="false" ht="15" hidden="false" customHeight="false" outlineLevel="0" collapsed="false">
      <c r="B5676" s="7" t="s">
        <v>20322</v>
      </c>
      <c r="C5676" s="7" t="s">
        <v>6173</v>
      </c>
      <c r="D5676" s="7" t="s">
        <v>301</v>
      </c>
      <c r="E5676" s="7" t="s">
        <v>157</v>
      </c>
      <c r="F5676" s="39" t="n">
        <v>45926</v>
      </c>
      <c r="G5676" s="41" t="n">
        <v>168.3</v>
      </c>
      <c r="H5676" s="39" t="n">
        <v>45990</v>
      </c>
      <c r="I5676" s="7" t="s">
        <v>14651</v>
      </c>
      <c r="J5676" s="8" t="str">
        <f aca="false">IF(I5676="Open",DATE(2025,12,31)-F5676,"-")</f>
        <v>-</v>
      </c>
    </row>
    <row r="5677" customFormat="false" ht="15" hidden="false" customHeight="false" outlineLevel="0" collapsed="false">
      <c r="B5677" s="7" t="s">
        <v>20323</v>
      </c>
      <c r="C5677" s="7" t="s">
        <v>6174</v>
      </c>
      <c r="D5677" s="7" t="s">
        <v>305</v>
      </c>
      <c r="E5677" s="7" t="s">
        <v>154</v>
      </c>
      <c r="F5677" s="39" t="n">
        <v>45926</v>
      </c>
      <c r="G5677" s="41" t="n">
        <v>96.46</v>
      </c>
      <c r="H5677" s="39" t="n">
        <v>45986</v>
      </c>
      <c r="I5677" s="7" t="s">
        <v>14651</v>
      </c>
      <c r="J5677" s="8" t="str">
        <f aca="false">IF(I5677="Open",DATE(2025,12,31)-F5677,"-")</f>
        <v>-</v>
      </c>
    </row>
    <row r="5678" customFormat="false" ht="15" hidden="false" customHeight="false" outlineLevel="0" collapsed="false">
      <c r="B5678" s="7" t="s">
        <v>20324</v>
      </c>
      <c r="C5678" s="7" t="s">
        <v>6175</v>
      </c>
      <c r="D5678" s="7" t="s">
        <v>307</v>
      </c>
      <c r="E5678" s="7" t="s">
        <v>157</v>
      </c>
      <c r="F5678" s="39" t="n">
        <v>45926</v>
      </c>
      <c r="G5678" s="41" t="n">
        <v>166.65</v>
      </c>
      <c r="H5678" s="39" t="n">
        <v>45998</v>
      </c>
      <c r="I5678" s="7" t="s">
        <v>14651</v>
      </c>
      <c r="J5678" s="8" t="str">
        <f aca="false">IF(I5678="Open",DATE(2025,12,31)-F5678,"-")</f>
        <v>-</v>
      </c>
    </row>
    <row r="5679" customFormat="false" ht="15" hidden="false" customHeight="false" outlineLevel="0" collapsed="false">
      <c r="B5679" s="7" t="s">
        <v>20325</v>
      </c>
      <c r="C5679" s="7" t="s">
        <v>6176</v>
      </c>
      <c r="D5679" s="7" t="s">
        <v>309</v>
      </c>
      <c r="E5679" s="7" t="s">
        <v>159</v>
      </c>
      <c r="F5679" s="39" t="n">
        <v>45926</v>
      </c>
      <c r="G5679" s="41" t="n">
        <v>140.4</v>
      </c>
      <c r="H5679" s="39" t="n">
        <v>45959</v>
      </c>
      <c r="I5679" s="7" t="s">
        <v>14651</v>
      </c>
      <c r="J5679" s="8" t="str">
        <f aca="false">IF(I5679="Open",DATE(2025,12,31)-F5679,"-")</f>
        <v>-</v>
      </c>
    </row>
    <row r="5680" customFormat="false" ht="15" hidden="false" customHeight="false" outlineLevel="0" collapsed="false">
      <c r="B5680" s="7" t="s">
        <v>20326</v>
      </c>
      <c r="C5680" s="7" t="s">
        <v>6177</v>
      </c>
      <c r="D5680" s="7" t="s">
        <v>313</v>
      </c>
      <c r="E5680" s="7" t="s">
        <v>156</v>
      </c>
      <c r="F5680" s="39" t="n">
        <v>45926</v>
      </c>
      <c r="G5680" s="41" t="n">
        <v>146.2</v>
      </c>
      <c r="H5680" s="39" t="n">
        <v>45932</v>
      </c>
      <c r="I5680" s="7" t="s">
        <v>14651</v>
      </c>
      <c r="J5680" s="8" t="str">
        <f aca="false">IF(I5680="Open",DATE(2025,12,31)-F5680,"-")</f>
        <v>-</v>
      </c>
    </row>
    <row r="5681" customFormat="false" ht="15" hidden="false" customHeight="false" outlineLevel="0" collapsed="false">
      <c r="B5681" s="7" t="s">
        <v>20327</v>
      </c>
      <c r="C5681" s="7" t="s">
        <v>6178</v>
      </c>
      <c r="D5681" s="7" t="s">
        <v>315</v>
      </c>
      <c r="E5681" s="7" t="s">
        <v>159</v>
      </c>
      <c r="F5681" s="39" t="n">
        <v>45926</v>
      </c>
      <c r="G5681" s="41" t="n">
        <v>137.7</v>
      </c>
      <c r="H5681" s="39" t="n">
        <v>45975</v>
      </c>
      <c r="I5681" s="7" t="s">
        <v>14651</v>
      </c>
      <c r="J5681" s="8" t="str">
        <f aca="false">IF(I5681="Open",DATE(2025,12,31)-F5681,"-")</f>
        <v>-</v>
      </c>
    </row>
    <row r="5682" customFormat="false" ht="15" hidden="false" customHeight="false" outlineLevel="0" collapsed="false">
      <c r="B5682" s="7" t="s">
        <v>20328</v>
      </c>
      <c r="C5682" s="7" t="s">
        <v>6179</v>
      </c>
      <c r="D5682" s="7" t="s">
        <v>319</v>
      </c>
      <c r="E5682" s="7" t="s">
        <v>157</v>
      </c>
      <c r="F5682" s="39" t="n">
        <v>45926</v>
      </c>
      <c r="G5682" s="41" t="n">
        <v>171.6</v>
      </c>
      <c r="H5682" s="39" t="n">
        <v>45956</v>
      </c>
      <c r="I5682" s="7" t="s">
        <v>14651</v>
      </c>
      <c r="J5682" s="8" t="str">
        <f aca="false">IF(I5682="Open",DATE(2025,12,31)-F5682,"-")</f>
        <v>-</v>
      </c>
    </row>
    <row r="5683" customFormat="false" ht="15" hidden="false" customHeight="false" outlineLevel="0" collapsed="false">
      <c r="B5683" s="7" t="s">
        <v>20329</v>
      </c>
      <c r="C5683" s="7" t="s">
        <v>6180</v>
      </c>
      <c r="D5683" s="7" t="s">
        <v>321</v>
      </c>
      <c r="E5683" s="7" t="s">
        <v>154</v>
      </c>
      <c r="F5683" s="39" t="n">
        <v>45926</v>
      </c>
      <c r="G5683" s="41" t="n">
        <v>101.5</v>
      </c>
      <c r="H5683" s="39" t="n">
        <v>45989</v>
      </c>
      <c r="I5683" s="7" t="s">
        <v>14651</v>
      </c>
      <c r="J5683" s="8" t="str">
        <f aca="false">IF(I5683="Open",DATE(2025,12,31)-F5683,"-")</f>
        <v>-</v>
      </c>
    </row>
    <row r="5684" customFormat="false" ht="15" hidden="false" customHeight="false" outlineLevel="0" collapsed="false">
      <c r="B5684" s="7" t="s">
        <v>20330</v>
      </c>
      <c r="C5684" s="7" t="s">
        <v>6181</v>
      </c>
      <c r="D5684" s="7" t="s">
        <v>323</v>
      </c>
      <c r="E5684" s="7" t="s">
        <v>159</v>
      </c>
      <c r="F5684" s="39" t="n">
        <v>45926</v>
      </c>
      <c r="G5684" s="41" t="n">
        <v>141.75</v>
      </c>
      <c r="H5684" s="6" t="s">
        <v>182</v>
      </c>
      <c r="I5684" s="7" t="s">
        <v>19787</v>
      </c>
      <c r="J5684" s="8" t="n">
        <f aca="false">IF(I5684="Open",DATE(2025,12,31)-F5684,"-")</f>
        <v>96</v>
      </c>
    </row>
    <row r="5685" customFormat="false" ht="15" hidden="false" customHeight="false" outlineLevel="0" collapsed="false">
      <c r="B5685" s="7" t="s">
        <v>20331</v>
      </c>
      <c r="C5685" s="7" t="s">
        <v>6182</v>
      </c>
      <c r="D5685" s="7" t="s">
        <v>327</v>
      </c>
      <c r="E5685" s="7" t="s">
        <v>157</v>
      </c>
      <c r="F5685" s="39" t="n">
        <v>45926</v>
      </c>
      <c r="G5685" s="41" t="n">
        <v>155.1</v>
      </c>
      <c r="H5685" s="39" t="n">
        <v>46001</v>
      </c>
      <c r="I5685" s="7" t="s">
        <v>14651</v>
      </c>
      <c r="J5685" s="8" t="str">
        <f aca="false">IF(I5685="Open",DATE(2025,12,31)-F5685,"-")</f>
        <v>-</v>
      </c>
    </row>
    <row r="5686" customFormat="false" ht="15" hidden="false" customHeight="false" outlineLevel="0" collapsed="false">
      <c r="B5686" s="7" t="s">
        <v>20332</v>
      </c>
      <c r="C5686" s="7" t="s">
        <v>6183</v>
      </c>
      <c r="D5686" s="7" t="s">
        <v>329</v>
      </c>
      <c r="E5686" s="7" t="s">
        <v>156</v>
      </c>
      <c r="F5686" s="39" t="n">
        <v>45926</v>
      </c>
      <c r="G5686" s="41" t="n">
        <v>144.16</v>
      </c>
      <c r="H5686" s="39" t="n">
        <v>45940</v>
      </c>
      <c r="I5686" s="7" t="s">
        <v>14651</v>
      </c>
      <c r="J5686" s="8" t="str">
        <f aca="false">IF(I5686="Open",DATE(2025,12,31)-F5686,"-")</f>
        <v>-</v>
      </c>
    </row>
    <row r="5687" customFormat="false" ht="15" hidden="false" customHeight="false" outlineLevel="0" collapsed="false">
      <c r="B5687" s="7" t="s">
        <v>20333</v>
      </c>
      <c r="C5687" s="7" t="s">
        <v>6184</v>
      </c>
      <c r="D5687" s="7" t="s">
        <v>335</v>
      </c>
      <c r="E5687" s="7" t="s">
        <v>154</v>
      </c>
      <c r="F5687" s="39" t="n">
        <v>45926</v>
      </c>
      <c r="G5687" s="41" t="n">
        <v>116.07</v>
      </c>
      <c r="H5687" s="6" t="s">
        <v>182</v>
      </c>
      <c r="I5687" s="7" t="s">
        <v>19787</v>
      </c>
      <c r="J5687" s="8" t="n">
        <f aca="false">IF(I5687="Open",DATE(2025,12,31)-F5687,"-")</f>
        <v>96</v>
      </c>
    </row>
    <row r="5688" customFormat="false" ht="15" hidden="false" customHeight="false" outlineLevel="0" collapsed="false">
      <c r="B5688" s="7" t="s">
        <v>20334</v>
      </c>
      <c r="C5688" s="7" t="s">
        <v>6185</v>
      </c>
      <c r="D5688" s="7" t="s">
        <v>339</v>
      </c>
      <c r="E5688" s="7" t="s">
        <v>154</v>
      </c>
      <c r="F5688" s="39" t="n">
        <v>45926</v>
      </c>
      <c r="G5688" s="41" t="n">
        <v>88.51</v>
      </c>
      <c r="H5688" s="39" t="n">
        <v>45970</v>
      </c>
      <c r="I5688" s="7" t="s">
        <v>14651</v>
      </c>
      <c r="J5688" s="8" t="str">
        <f aca="false">IF(I5688="Open",DATE(2025,12,31)-F5688,"-")</f>
        <v>-</v>
      </c>
    </row>
    <row r="5689" customFormat="false" ht="15" hidden="false" customHeight="false" outlineLevel="0" collapsed="false">
      <c r="B5689" s="7" t="s">
        <v>20335</v>
      </c>
      <c r="C5689" s="7" t="s">
        <v>6186</v>
      </c>
      <c r="D5689" s="7" t="s">
        <v>347</v>
      </c>
      <c r="E5689" s="7" t="s">
        <v>154</v>
      </c>
      <c r="F5689" s="39" t="n">
        <v>45926</v>
      </c>
      <c r="G5689" s="41" t="n">
        <v>128.26</v>
      </c>
      <c r="H5689" s="39" t="n">
        <v>46017</v>
      </c>
      <c r="I5689" s="7" t="s">
        <v>14651</v>
      </c>
      <c r="J5689" s="8" t="str">
        <f aca="false">IF(I5689="Open",DATE(2025,12,31)-F5689,"-")</f>
        <v>-</v>
      </c>
    </row>
    <row r="5690" customFormat="false" ht="15" hidden="false" customHeight="false" outlineLevel="0" collapsed="false">
      <c r="B5690" s="7" t="s">
        <v>20336</v>
      </c>
      <c r="C5690" s="7" t="s">
        <v>6187</v>
      </c>
      <c r="D5690" s="7" t="s">
        <v>349</v>
      </c>
      <c r="E5690" s="7" t="s">
        <v>154</v>
      </c>
      <c r="F5690" s="39" t="n">
        <v>45926</v>
      </c>
      <c r="G5690" s="41" t="n">
        <v>108.38</v>
      </c>
      <c r="H5690" s="39" t="n">
        <v>45992</v>
      </c>
      <c r="I5690" s="7" t="s">
        <v>14651</v>
      </c>
      <c r="J5690" s="8" t="str">
        <f aca="false">IF(I5690="Open",DATE(2025,12,31)-F5690,"-")</f>
        <v>-</v>
      </c>
    </row>
    <row r="5691" customFormat="false" ht="15" hidden="false" customHeight="false" outlineLevel="0" collapsed="false">
      <c r="B5691" s="7" t="s">
        <v>20337</v>
      </c>
      <c r="C5691" s="7" t="s">
        <v>6188</v>
      </c>
      <c r="D5691" s="7" t="s">
        <v>353</v>
      </c>
      <c r="E5691" s="7" t="s">
        <v>154</v>
      </c>
      <c r="F5691" s="39" t="n">
        <v>45926</v>
      </c>
      <c r="G5691" s="41" t="n">
        <v>92.54</v>
      </c>
      <c r="H5691" s="39" t="n">
        <v>46021</v>
      </c>
      <c r="I5691" s="7" t="s">
        <v>14651</v>
      </c>
      <c r="J5691" s="8" t="str">
        <f aca="false">IF(I5691="Open",DATE(2025,12,31)-F5691,"-")</f>
        <v>-</v>
      </c>
    </row>
    <row r="5692" customFormat="false" ht="15" hidden="false" customHeight="false" outlineLevel="0" collapsed="false">
      <c r="B5692" s="7" t="s">
        <v>20338</v>
      </c>
      <c r="C5692" s="7" t="s">
        <v>6189</v>
      </c>
      <c r="D5692" s="7" t="s">
        <v>355</v>
      </c>
      <c r="E5692" s="7" t="s">
        <v>154</v>
      </c>
      <c r="F5692" s="39" t="n">
        <v>45926</v>
      </c>
      <c r="G5692" s="41" t="n">
        <v>91.27</v>
      </c>
      <c r="H5692" s="39" t="n">
        <v>45990</v>
      </c>
      <c r="I5692" s="7" t="s">
        <v>14651</v>
      </c>
      <c r="J5692" s="8" t="str">
        <f aca="false">IF(I5692="Open",DATE(2025,12,31)-F5692,"-")</f>
        <v>-</v>
      </c>
    </row>
    <row r="5693" customFormat="false" ht="15" hidden="false" customHeight="false" outlineLevel="0" collapsed="false">
      <c r="B5693" s="7" t="s">
        <v>20339</v>
      </c>
      <c r="C5693" s="7" t="s">
        <v>6190</v>
      </c>
      <c r="D5693" s="7" t="s">
        <v>357</v>
      </c>
      <c r="E5693" s="7" t="s">
        <v>154</v>
      </c>
      <c r="F5693" s="39" t="n">
        <v>45926</v>
      </c>
      <c r="G5693" s="41" t="n">
        <v>90.63</v>
      </c>
      <c r="H5693" s="39" t="n">
        <v>45992</v>
      </c>
      <c r="I5693" s="7" t="s">
        <v>14651</v>
      </c>
      <c r="J5693" s="8" t="str">
        <f aca="false">IF(I5693="Open",DATE(2025,12,31)-F5693,"-")</f>
        <v>-</v>
      </c>
    </row>
    <row r="5694" customFormat="false" ht="15" hidden="false" customHeight="false" outlineLevel="0" collapsed="false">
      <c r="B5694" s="7" t="s">
        <v>20340</v>
      </c>
      <c r="C5694" s="7" t="s">
        <v>6191</v>
      </c>
      <c r="D5694" s="7" t="s">
        <v>359</v>
      </c>
      <c r="E5694" s="7" t="s">
        <v>156</v>
      </c>
      <c r="F5694" s="39" t="n">
        <v>45926</v>
      </c>
      <c r="G5694" s="41" t="n">
        <v>138.38</v>
      </c>
      <c r="H5694" s="39" t="n">
        <v>45946</v>
      </c>
      <c r="I5694" s="7" t="s">
        <v>14651</v>
      </c>
      <c r="J5694" s="8" t="str">
        <f aca="false">IF(I5694="Open",DATE(2025,12,31)-F5694,"-")</f>
        <v>-</v>
      </c>
    </row>
    <row r="5695" customFormat="false" ht="15" hidden="false" customHeight="false" outlineLevel="0" collapsed="false">
      <c r="B5695" s="7" t="s">
        <v>20341</v>
      </c>
      <c r="C5695" s="7" t="s">
        <v>6192</v>
      </c>
      <c r="D5695" s="7" t="s">
        <v>361</v>
      </c>
      <c r="E5695" s="7" t="s">
        <v>157</v>
      </c>
      <c r="F5695" s="39" t="n">
        <v>45926</v>
      </c>
      <c r="G5695" s="41" t="n">
        <v>155.1</v>
      </c>
      <c r="H5695" s="39" t="n">
        <v>45947</v>
      </c>
      <c r="I5695" s="7" t="s">
        <v>14651</v>
      </c>
      <c r="J5695" s="8" t="str">
        <f aca="false">IF(I5695="Open",DATE(2025,12,31)-F5695,"-")</f>
        <v>-</v>
      </c>
    </row>
    <row r="5696" customFormat="false" ht="15" hidden="false" customHeight="false" outlineLevel="0" collapsed="false">
      <c r="B5696" s="7" t="s">
        <v>20342</v>
      </c>
      <c r="C5696" s="7" t="s">
        <v>6193</v>
      </c>
      <c r="D5696" s="7" t="s">
        <v>365</v>
      </c>
      <c r="E5696" s="7" t="s">
        <v>154</v>
      </c>
      <c r="F5696" s="39" t="n">
        <v>45926</v>
      </c>
      <c r="G5696" s="41" t="n">
        <v>111.56</v>
      </c>
      <c r="H5696" s="39" t="n">
        <v>46005</v>
      </c>
      <c r="I5696" s="7" t="s">
        <v>14651</v>
      </c>
      <c r="J5696" s="8" t="str">
        <f aca="false">IF(I5696="Open",DATE(2025,12,31)-F5696,"-")</f>
        <v>-</v>
      </c>
    </row>
    <row r="5697" customFormat="false" ht="15" hidden="false" customHeight="false" outlineLevel="0" collapsed="false">
      <c r="B5697" s="7" t="s">
        <v>20343</v>
      </c>
      <c r="C5697" s="7" t="s">
        <v>6194</v>
      </c>
      <c r="D5697" s="7" t="s">
        <v>369</v>
      </c>
      <c r="E5697" s="7" t="s">
        <v>159</v>
      </c>
      <c r="F5697" s="39" t="n">
        <v>45926</v>
      </c>
      <c r="G5697" s="41" t="n">
        <v>125.55</v>
      </c>
      <c r="H5697" s="39" t="n">
        <v>45968</v>
      </c>
      <c r="I5697" s="7" t="s">
        <v>14651</v>
      </c>
      <c r="J5697" s="8" t="str">
        <f aca="false">IF(I5697="Open",DATE(2025,12,31)-F5697,"-")</f>
        <v>-</v>
      </c>
    </row>
    <row r="5698" customFormat="false" ht="15" hidden="false" customHeight="false" outlineLevel="0" collapsed="false">
      <c r="B5698" s="7" t="s">
        <v>20344</v>
      </c>
      <c r="C5698" s="7" t="s">
        <v>6195</v>
      </c>
      <c r="D5698" s="7" t="s">
        <v>371</v>
      </c>
      <c r="E5698" s="7" t="s">
        <v>154</v>
      </c>
      <c r="F5698" s="39" t="n">
        <v>45926</v>
      </c>
      <c r="G5698" s="41" t="n">
        <v>117.66</v>
      </c>
      <c r="H5698" s="6" t="s">
        <v>182</v>
      </c>
      <c r="I5698" s="7" t="s">
        <v>19787</v>
      </c>
      <c r="J5698" s="8" t="n">
        <f aca="false">IF(I5698="Open",DATE(2025,12,31)-F5698,"-")</f>
        <v>96</v>
      </c>
    </row>
    <row r="5699" customFormat="false" ht="15" hidden="false" customHeight="false" outlineLevel="0" collapsed="false">
      <c r="B5699" s="7" t="s">
        <v>20345</v>
      </c>
      <c r="C5699" s="7" t="s">
        <v>6196</v>
      </c>
      <c r="D5699" s="7" t="s">
        <v>379</v>
      </c>
      <c r="E5699" s="7" t="s">
        <v>156</v>
      </c>
      <c r="F5699" s="39" t="n">
        <v>45926</v>
      </c>
      <c r="G5699" s="41" t="n">
        <v>147.9</v>
      </c>
      <c r="H5699" s="39" t="n">
        <v>45934</v>
      </c>
      <c r="I5699" s="7" t="s">
        <v>14651</v>
      </c>
      <c r="J5699" s="8" t="str">
        <f aca="false">IF(I5699="Open",DATE(2025,12,31)-F5699,"-")</f>
        <v>-</v>
      </c>
    </row>
    <row r="5700" customFormat="false" ht="15" hidden="false" customHeight="false" outlineLevel="0" collapsed="false">
      <c r="B5700" s="7" t="s">
        <v>20346</v>
      </c>
      <c r="C5700" s="7" t="s">
        <v>6197</v>
      </c>
      <c r="D5700" s="7" t="s">
        <v>381</v>
      </c>
      <c r="E5700" s="7" t="s">
        <v>157</v>
      </c>
      <c r="F5700" s="39" t="n">
        <v>45926</v>
      </c>
      <c r="G5700" s="41" t="n">
        <v>153.45</v>
      </c>
      <c r="H5700" s="39" t="n">
        <v>45956</v>
      </c>
      <c r="I5700" s="7" t="s">
        <v>14651</v>
      </c>
      <c r="J5700" s="8" t="str">
        <f aca="false">IF(I5700="Open",DATE(2025,12,31)-F5700,"-")</f>
        <v>-</v>
      </c>
    </row>
    <row r="5701" customFormat="false" ht="15" hidden="false" customHeight="false" outlineLevel="0" collapsed="false">
      <c r="B5701" s="7" t="s">
        <v>20347</v>
      </c>
      <c r="C5701" s="7" t="s">
        <v>6198</v>
      </c>
      <c r="D5701" s="7" t="s">
        <v>383</v>
      </c>
      <c r="E5701" s="7" t="s">
        <v>157</v>
      </c>
      <c r="F5701" s="39" t="n">
        <v>45926</v>
      </c>
      <c r="G5701" s="41" t="n">
        <v>158.4</v>
      </c>
      <c r="H5701" s="39" t="n">
        <v>45957</v>
      </c>
      <c r="I5701" s="7" t="s">
        <v>14651</v>
      </c>
      <c r="J5701" s="8" t="str">
        <f aca="false">IF(I5701="Open",DATE(2025,12,31)-F5701,"-")</f>
        <v>-</v>
      </c>
    </row>
    <row r="5702" customFormat="false" ht="15" hidden="false" customHeight="false" outlineLevel="0" collapsed="false">
      <c r="B5702" s="7" t="s">
        <v>20348</v>
      </c>
      <c r="C5702" s="7" t="s">
        <v>6199</v>
      </c>
      <c r="D5702" s="7" t="s">
        <v>385</v>
      </c>
      <c r="E5702" s="7" t="s">
        <v>156</v>
      </c>
      <c r="F5702" s="39" t="n">
        <v>45926</v>
      </c>
      <c r="G5702" s="41" t="n">
        <v>140.08</v>
      </c>
      <c r="H5702" s="39" t="n">
        <v>45934</v>
      </c>
      <c r="I5702" s="7" t="s">
        <v>14651</v>
      </c>
      <c r="J5702" s="8" t="str">
        <f aca="false">IF(I5702="Open",DATE(2025,12,31)-F5702,"-")</f>
        <v>-</v>
      </c>
    </row>
    <row r="5703" customFormat="false" ht="15" hidden="false" customHeight="false" outlineLevel="0" collapsed="false">
      <c r="B5703" s="7" t="s">
        <v>20349</v>
      </c>
      <c r="C5703" s="7" t="s">
        <v>6200</v>
      </c>
      <c r="D5703" s="7" t="s">
        <v>387</v>
      </c>
      <c r="E5703" s="7" t="s">
        <v>154</v>
      </c>
      <c r="F5703" s="39" t="n">
        <v>45926</v>
      </c>
      <c r="G5703" s="41" t="n">
        <v>99.64</v>
      </c>
      <c r="H5703" s="39" t="n">
        <v>45960</v>
      </c>
      <c r="I5703" s="7" t="s">
        <v>14651</v>
      </c>
      <c r="J5703" s="8" t="str">
        <f aca="false">IF(I5703="Open",DATE(2025,12,31)-F5703,"-")</f>
        <v>-</v>
      </c>
    </row>
    <row r="5704" customFormat="false" ht="15" hidden="false" customHeight="false" outlineLevel="0" collapsed="false">
      <c r="B5704" s="7" t="s">
        <v>20350</v>
      </c>
      <c r="C5704" s="7" t="s">
        <v>6201</v>
      </c>
      <c r="D5704" s="7" t="s">
        <v>389</v>
      </c>
      <c r="E5704" s="7" t="s">
        <v>154</v>
      </c>
      <c r="F5704" s="39" t="n">
        <v>45926</v>
      </c>
      <c r="G5704" s="41" t="n">
        <v>112.62</v>
      </c>
      <c r="H5704" s="39" t="n">
        <v>45980</v>
      </c>
      <c r="I5704" s="7" t="s">
        <v>14651</v>
      </c>
      <c r="J5704" s="8" t="str">
        <f aca="false">IF(I5704="Open",DATE(2025,12,31)-F5704,"-")</f>
        <v>-</v>
      </c>
    </row>
    <row r="5705" customFormat="false" ht="15" hidden="false" customHeight="false" outlineLevel="0" collapsed="false">
      <c r="B5705" s="7" t="s">
        <v>20351</v>
      </c>
      <c r="C5705" s="7" t="s">
        <v>6202</v>
      </c>
      <c r="D5705" s="7" t="s">
        <v>391</v>
      </c>
      <c r="E5705" s="7" t="s">
        <v>156</v>
      </c>
      <c r="F5705" s="39" t="n">
        <v>45926</v>
      </c>
      <c r="G5705" s="41" t="n">
        <v>130.56</v>
      </c>
      <c r="H5705" s="39" t="n">
        <v>45941</v>
      </c>
      <c r="I5705" s="7" t="s">
        <v>14651</v>
      </c>
      <c r="J5705" s="8" t="str">
        <f aca="false">IF(I5705="Open",DATE(2025,12,31)-F5705,"-")</f>
        <v>-</v>
      </c>
    </row>
    <row r="5706" customFormat="false" ht="15" hidden="false" customHeight="false" outlineLevel="0" collapsed="false">
      <c r="B5706" s="7" t="s">
        <v>20352</v>
      </c>
      <c r="C5706" s="7" t="s">
        <v>6203</v>
      </c>
      <c r="D5706" s="7" t="s">
        <v>395</v>
      </c>
      <c r="E5706" s="7" t="s">
        <v>156</v>
      </c>
      <c r="F5706" s="39" t="n">
        <v>45926</v>
      </c>
      <c r="G5706" s="41" t="n">
        <v>130.56</v>
      </c>
      <c r="H5706" s="39" t="n">
        <v>45939</v>
      </c>
      <c r="I5706" s="7" t="s">
        <v>14651</v>
      </c>
      <c r="J5706" s="8" t="str">
        <f aca="false">IF(I5706="Open",DATE(2025,12,31)-F5706,"-")</f>
        <v>-</v>
      </c>
    </row>
    <row r="5707" customFormat="false" ht="15" hidden="false" customHeight="false" outlineLevel="0" collapsed="false">
      <c r="B5707" s="7" t="s">
        <v>20353</v>
      </c>
      <c r="C5707" s="7" t="s">
        <v>6204</v>
      </c>
      <c r="D5707" s="7" t="s">
        <v>397</v>
      </c>
      <c r="E5707" s="7" t="s">
        <v>159</v>
      </c>
      <c r="F5707" s="39" t="n">
        <v>45926</v>
      </c>
      <c r="G5707" s="41" t="n">
        <v>128.11</v>
      </c>
      <c r="H5707" s="39" t="n">
        <v>45977</v>
      </c>
      <c r="I5707" s="7" t="s">
        <v>14651</v>
      </c>
      <c r="J5707" s="8" t="str">
        <f aca="false">IF(I5707="Open",DATE(2025,12,31)-F5707,"-")</f>
        <v>-</v>
      </c>
    </row>
    <row r="5708" customFormat="false" ht="15" hidden="false" customHeight="false" outlineLevel="0" collapsed="false">
      <c r="B5708" s="7" t="s">
        <v>20354</v>
      </c>
      <c r="C5708" s="7" t="s">
        <v>6205</v>
      </c>
      <c r="D5708" s="7" t="s">
        <v>399</v>
      </c>
      <c r="E5708" s="7" t="s">
        <v>154</v>
      </c>
      <c r="F5708" s="39" t="n">
        <v>45926</v>
      </c>
      <c r="G5708" s="41" t="n">
        <v>87.72</v>
      </c>
      <c r="H5708" s="39" t="n">
        <v>45988</v>
      </c>
      <c r="I5708" s="7" t="s">
        <v>14651</v>
      </c>
      <c r="J5708" s="8" t="str">
        <f aca="false">IF(I5708="Open",DATE(2025,12,31)-F5708,"-")</f>
        <v>-</v>
      </c>
    </row>
    <row r="5709" customFormat="false" ht="15" hidden="false" customHeight="false" outlineLevel="0" collapsed="false">
      <c r="B5709" s="7" t="s">
        <v>20355</v>
      </c>
      <c r="C5709" s="7" t="s">
        <v>6206</v>
      </c>
      <c r="D5709" s="7" t="s">
        <v>401</v>
      </c>
      <c r="E5709" s="7" t="s">
        <v>156</v>
      </c>
      <c r="F5709" s="39" t="n">
        <v>45926</v>
      </c>
      <c r="G5709" s="41" t="n">
        <v>139.06</v>
      </c>
      <c r="H5709" s="39" t="n">
        <v>45928</v>
      </c>
      <c r="I5709" s="7" t="s">
        <v>14651</v>
      </c>
      <c r="J5709" s="8" t="str">
        <f aca="false">IF(I5709="Open",DATE(2025,12,31)-F5709,"-")</f>
        <v>-</v>
      </c>
    </row>
    <row r="5710" customFormat="false" ht="15" hidden="false" customHeight="false" outlineLevel="0" collapsed="false">
      <c r="B5710" s="7" t="s">
        <v>20356</v>
      </c>
      <c r="C5710" s="7" t="s">
        <v>6207</v>
      </c>
      <c r="D5710" s="7" t="s">
        <v>403</v>
      </c>
      <c r="E5710" s="7" t="s">
        <v>156</v>
      </c>
      <c r="F5710" s="39" t="n">
        <v>45926</v>
      </c>
      <c r="G5710" s="41" t="n">
        <v>131.92</v>
      </c>
      <c r="H5710" s="39" t="n">
        <v>45934</v>
      </c>
      <c r="I5710" s="7" t="s">
        <v>14651</v>
      </c>
      <c r="J5710" s="8" t="str">
        <f aca="false">IF(I5710="Open",DATE(2025,12,31)-F5710,"-")</f>
        <v>-</v>
      </c>
    </row>
    <row r="5711" customFormat="false" ht="15" hidden="false" customHeight="false" outlineLevel="0" collapsed="false">
      <c r="B5711" s="7" t="s">
        <v>20357</v>
      </c>
      <c r="C5711" s="7" t="s">
        <v>6208</v>
      </c>
      <c r="D5711" s="7" t="s">
        <v>407</v>
      </c>
      <c r="E5711" s="7" t="s">
        <v>159</v>
      </c>
      <c r="F5711" s="39" t="n">
        <v>45926</v>
      </c>
      <c r="G5711" s="41" t="n">
        <v>126.9</v>
      </c>
      <c r="H5711" s="39" t="n">
        <v>45983</v>
      </c>
      <c r="I5711" s="7" t="s">
        <v>14651</v>
      </c>
      <c r="J5711" s="8" t="str">
        <f aca="false">IF(I5711="Open",DATE(2025,12,31)-F5711,"-")</f>
        <v>-</v>
      </c>
    </row>
    <row r="5712" customFormat="false" ht="15" hidden="false" customHeight="false" outlineLevel="0" collapsed="false">
      <c r="B5712" s="7" t="s">
        <v>20358</v>
      </c>
      <c r="C5712" s="7" t="s">
        <v>6209</v>
      </c>
      <c r="D5712" s="7" t="s">
        <v>409</v>
      </c>
      <c r="E5712" s="7" t="s">
        <v>154</v>
      </c>
      <c r="F5712" s="39" t="n">
        <v>45926</v>
      </c>
      <c r="G5712" s="41" t="n">
        <v>90.63</v>
      </c>
      <c r="H5712" s="39" t="n">
        <v>45977</v>
      </c>
      <c r="I5712" s="7" t="s">
        <v>14651</v>
      </c>
      <c r="J5712" s="8" t="str">
        <f aca="false">IF(I5712="Open",DATE(2025,12,31)-F5712,"-")</f>
        <v>-</v>
      </c>
    </row>
    <row r="5713" customFormat="false" ht="15" hidden="false" customHeight="false" outlineLevel="0" collapsed="false">
      <c r="B5713" s="7" t="s">
        <v>20359</v>
      </c>
      <c r="C5713" s="7" t="s">
        <v>6210</v>
      </c>
      <c r="D5713" s="7" t="s">
        <v>411</v>
      </c>
      <c r="E5713" s="7" t="s">
        <v>154</v>
      </c>
      <c r="F5713" s="39" t="n">
        <v>45926</v>
      </c>
      <c r="G5713" s="41" t="n">
        <v>126.94</v>
      </c>
      <c r="H5713" s="39" t="n">
        <v>45989</v>
      </c>
      <c r="I5713" s="7" t="s">
        <v>14651</v>
      </c>
      <c r="J5713" s="8" t="str">
        <f aca="false">IF(I5713="Open",DATE(2025,12,31)-F5713,"-")</f>
        <v>-</v>
      </c>
    </row>
    <row r="5714" customFormat="false" ht="15" hidden="false" customHeight="false" outlineLevel="0" collapsed="false">
      <c r="B5714" s="7" t="s">
        <v>20360</v>
      </c>
      <c r="C5714" s="7" t="s">
        <v>6211</v>
      </c>
      <c r="D5714" s="7" t="s">
        <v>288</v>
      </c>
      <c r="E5714" s="7" t="s">
        <v>156</v>
      </c>
      <c r="F5714" s="39" t="n">
        <v>45927</v>
      </c>
      <c r="G5714" s="41" t="n">
        <v>138.72</v>
      </c>
      <c r="H5714" s="39" t="n">
        <v>45939</v>
      </c>
      <c r="I5714" s="7" t="s">
        <v>14651</v>
      </c>
      <c r="J5714" s="8" t="str">
        <f aca="false">IF(I5714="Open",DATE(2025,12,31)-F5714,"-")</f>
        <v>-</v>
      </c>
    </row>
    <row r="5715" customFormat="false" ht="15" hidden="false" customHeight="false" outlineLevel="0" collapsed="false">
      <c r="B5715" s="7" t="s">
        <v>20361</v>
      </c>
      <c r="C5715" s="7" t="s">
        <v>6212</v>
      </c>
      <c r="D5715" s="7" t="s">
        <v>321</v>
      </c>
      <c r="E5715" s="7" t="s">
        <v>154</v>
      </c>
      <c r="F5715" s="39" t="n">
        <v>45927</v>
      </c>
      <c r="G5715" s="41" t="n">
        <v>104.94</v>
      </c>
      <c r="H5715" s="39" t="n">
        <v>45975</v>
      </c>
      <c r="I5715" s="7" t="s">
        <v>14651</v>
      </c>
      <c r="J5715" s="8" t="str">
        <f aca="false">IF(I5715="Open",DATE(2025,12,31)-F5715,"-")</f>
        <v>-</v>
      </c>
    </row>
    <row r="5716" customFormat="false" ht="15" hidden="false" customHeight="false" outlineLevel="0" collapsed="false">
      <c r="B5716" s="7" t="s">
        <v>20362</v>
      </c>
      <c r="C5716" s="7" t="s">
        <v>6213</v>
      </c>
      <c r="D5716" s="7" t="s">
        <v>359</v>
      </c>
      <c r="E5716" s="7" t="s">
        <v>156</v>
      </c>
      <c r="F5716" s="39" t="n">
        <v>45927</v>
      </c>
      <c r="G5716" s="41" t="n">
        <v>127.16</v>
      </c>
      <c r="H5716" s="39" t="n">
        <v>45936</v>
      </c>
      <c r="I5716" s="7" t="s">
        <v>14651</v>
      </c>
      <c r="J5716" s="8" t="str">
        <f aca="false">IF(I5716="Open",DATE(2025,12,31)-F5716,"-")</f>
        <v>-</v>
      </c>
    </row>
    <row r="5717" customFormat="false" ht="15" hidden="false" customHeight="false" outlineLevel="0" collapsed="false">
      <c r="B5717" s="7" t="s">
        <v>20363</v>
      </c>
      <c r="C5717" s="7" t="s">
        <v>6214</v>
      </c>
      <c r="D5717" s="7" t="s">
        <v>387</v>
      </c>
      <c r="E5717" s="7" t="s">
        <v>154</v>
      </c>
      <c r="F5717" s="39" t="n">
        <v>45927</v>
      </c>
      <c r="G5717" s="41" t="n">
        <v>104.15</v>
      </c>
      <c r="H5717" s="6" t="s">
        <v>182</v>
      </c>
      <c r="I5717" s="7" t="s">
        <v>19787</v>
      </c>
      <c r="J5717" s="8" t="n">
        <f aca="false">IF(I5717="Open",DATE(2025,12,31)-F5717,"-")</f>
        <v>95</v>
      </c>
    </row>
    <row r="5718" customFormat="false" ht="15" hidden="false" customHeight="false" outlineLevel="0" collapsed="false">
      <c r="B5718" s="7" t="s">
        <v>20364</v>
      </c>
      <c r="C5718" s="7" t="s">
        <v>6215</v>
      </c>
      <c r="D5718" s="7" t="s">
        <v>391</v>
      </c>
      <c r="E5718" s="7" t="s">
        <v>156</v>
      </c>
      <c r="F5718" s="39" t="n">
        <v>45927</v>
      </c>
      <c r="G5718" s="41" t="n">
        <v>124.78</v>
      </c>
      <c r="H5718" s="39" t="n">
        <v>45943</v>
      </c>
      <c r="I5718" s="7" t="s">
        <v>14651</v>
      </c>
      <c r="J5718" s="8" t="str">
        <f aca="false">IF(I5718="Open",DATE(2025,12,31)-F5718,"-")</f>
        <v>-</v>
      </c>
    </row>
    <row r="5719" customFormat="false" ht="15" hidden="false" customHeight="false" outlineLevel="0" collapsed="false">
      <c r="B5719" s="7" t="s">
        <v>20365</v>
      </c>
      <c r="C5719" s="7" t="s">
        <v>6216</v>
      </c>
      <c r="D5719" s="7" t="s">
        <v>395</v>
      </c>
      <c r="E5719" s="7" t="s">
        <v>156</v>
      </c>
      <c r="F5719" s="39" t="n">
        <v>45927</v>
      </c>
      <c r="G5719" s="41" t="n">
        <v>140.08</v>
      </c>
      <c r="H5719" s="39" t="n">
        <v>45931</v>
      </c>
      <c r="I5719" s="7" t="s">
        <v>14651</v>
      </c>
      <c r="J5719" s="8" t="str">
        <f aca="false">IF(I5719="Open",DATE(2025,12,31)-F5719,"-")</f>
        <v>-</v>
      </c>
    </row>
    <row r="5720" customFormat="false" ht="15" hidden="false" customHeight="false" outlineLevel="0" collapsed="false">
      <c r="B5720" s="7" t="s">
        <v>20366</v>
      </c>
      <c r="C5720" s="7" t="s">
        <v>6217</v>
      </c>
      <c r="D5720" s="7" t="s">
        <v>401</v>
      </c>
      <c r="E5720" s="7" t="s">
        <v>156</v>
      </c>
      <c r="F5720" s="39" t="n">
        <v>45927</v>
      </c>
      <c r="G5720" s="41" t="n">
        <v>126.48</v>
      </c>
      <c r="H5720" s="39" t="n">
        <v>45942</v>
      </c>
      <c r="I5720" s="7" t="s">
        <v>14651</v>
      </c>
      <c r="J5720" s="8" t="str">
        <f aca="false">IF(I5720="Open",DATE(2025,12,31)-F5720,"-")</f>
        <v>-</v>
      </c>
    </row>
    <row r="5721" customFormat="false" ht="15" hidden="false" customHeight="false" outlineLevel="0" collapsed="false">
      <c r="B5721" s="7" t="s">
        <v>20367</v>
      </c>
      <c r="C5721" s="7" t="s">
        <v>6218</v>
      </c>
      <c r="D5721" s="7" t="s">
        <v>288</v>
      </c>
      <c r="E5721" s="7" t="s">
        <v>156</v>
      </c>
      <c r="F5721" s="39" t="n">
        <v>45928</v>
      </c>
      <c r="G5721" s="41" t="n">
        <v>147.56</v>
      </c>
      <c r="H5721" s="39" t="n">
        <v>45929</v>
      </c>
      <c r="I5721" s="7" t="s">
        <v>14651</v>
      </c>
      <c r="J5721" s="8" t="str">
        <f aca="false">IF(I5721="Open",DATE(2025,12,31)-F5721,"-")</f>
        <v>-</v>
      </c>
    </row>
    <row r="5722" customFormat="false" ht="15" hidden="false" customHeight="false" outlineLevel="0" collapsed="false">
      <c r="B5722" s="7" t="s">
        <v>20368</v>
      </c>
      <c r="C5722" s="7" t="s">
        <v>6219</v>
      </c>
      <c r="D5722" s="7" t="s">
        <v>321</v>
      </c>
      <c r="E5722" s="7" t="s">
        <v>154</v>
      </c>
      <c r="F5722" s="39" t="n">
        <v>45928</v>
      </c>
      <c r="G5722" s="41" t="n">
        <v>98.58</v>
      </c>
      <c r="H5722" s="39" t="n">
        <v>45989</v>
      </c>
      <c r="I5722" s="7" t="s">
        <v>14651</v>
      </c>
      <c r="J5722" s="8" t="str">
        <f aca="false">IF(I5722="Open",DATE(2025,12,31)-F5722,"-")</f>
        <v>-</v>
      </c>
    </row>
    <row r="5723" customFormat="false" ht="15" hidden="false" customHeight="false" outlineLevel="0" collapsed="false">
      <c r="B5723" s="7" t="s">
        <v>20369</v>
      </c>
      <c r="C5723" s="7" t="s">
        <v>6220</v>
      </c>
      <c r="D5723" s="7" t="s">
        <v>359</v>
      </c>
      <c r="E5723" s="7" t="s">
        <v>156</v>
      </c>
      <c r="F5723" s="39" t="n">
        <v>45928</v>
      </c>
      <c r="G5723" s="41" t="n">
        <v>141.44</v>
      </c>
      <c r="H5723" s="39" t="n">
        <v>45933</v>
      </c>
      <c r="I5723" s="7" t="s">
        <v>14651</v>
      </c>
      <c r="J5723" s="8" t="str">
        <f aca="false">IF(I5723="Open",DATE(2025,12,31)-F5723,"-")</f>
        <v>-</v>
      </c>
    </row>
    <row r="5724" customFormat="false" ht="15" hidden="false" customHeight="false" outlineLevel="0" collapsed="false">
      <c r="B5724" s="7" t="s">
        <v>20370</v>
      </c>
      <c r="C5724" s="7" t="s">
        <v>6221</v>
      </c>
      <c r="D5724" s="7" t="s">
        <v>387</v>
      </c>
      <c r="E5724" s="7" t="s">
        <v>154</v>
      </c>
      <c r="F5724" s="39" t="n">
        <v>45928</v>
      </c>
      <c r="G5724" s="41" t="n">
        <v>109.44</v>
      </c>
      <c r="H5724" s="39" t="n">
        <v>45992</v>
      </c>
      <c r="I5724" s="7" t="s">
        <v>14651</v>
      </c>
      <c r="J5724" s="8" t="str">
        <f aca="false">IF(I5724="Open",DATE(2025,12,31)-F5724,"-")</f>
        <v>-</v>
      </c>
    </row>
    <row r="5725" customFormat="false" ht="15" hidden="false" customHeight="false" outlineLevel="0" collapsed="false">
      <c r="B5725" s="7" t="s">
        <v>20371</v>
      </c>
      <c r="C5725" s="7" t="s">
        <v>6222</v>
      </c>
      <c r="D5725" s="7" t="s">
        <v>391</v>
      </c>
      <c r="E5725" s="7" t="s">
        <v>156</v>
      </c>
      <c r="F5725" s="39" t="n">
        <v>45928</v>
      </c>
      <c r="G5725" s="41" t="n">
        <v>127.16</v>
      </c>
      <c r="H5725" s="39" t="n">
        <v>45938</v>
      </c>
      <c r="I5725" s="7" t="s">
        <v>14651</v>
      </c>
      <c r="J5725" s="8" t="str">
        <f aca="false">IF(I5725="Open",DATE(2025,12,31)-F5725,"-")</f>
        <v>-</v>
      </c>
    </row>
    <row r="5726" customFormat="false" ht="15" hidden="false" customHeight="false" outlineLevel="0" collapsed="false">
      <c r="B5726" s="7" t="s">
        <v>20372</v>
      </c>
      <c r="C5726" s="7" t="s">
        <v>6223</v>
      </c>
      <c r="D5726" s="7" t="s">
        <v>395</v>
      </c>
      <c r="E5726" s="7" t="s">
        <v>156</v>
      </c>
      <c r="F5726" s="39" t="n">
        <v>45928</v>
      </c>
      <c r="G5726" s="41" t="n">
        <v>143.14</v>
      </c>
      <c r="H5726" s="39" t="n">
        <v>45935</v>
      </c>
      <c r="I5726" s="7" t="s">
        <v>14651</v>
      </c>
      <c r="J5726" s="8" t="str">
        <f aca="false">IF(I5726="Open",DATE(2025,12,31)-F5726,"-")</f>
        <v>-</v>
      </c>
    </row>
    <row r="5727" customFormat="false" ht="15" hidden="false" customHeight="false" outlineLevel="0" collapsed="false">
      <c r="B5727" s="7" t="s">
        <v>20373</v>
      </c>
      <c r="C5727" s="7" t="s">
        <v>6224</v>
      </c>
      <c r="D5727" s="7" t="s">
        <v>401</v>
      </c>
      <c r="E5727" s="7" t="s">
        <v>156</v>
      </c>
      <c r="F5727" s="39" t="n">
        <v>45928</v>
      </c>
      <c r="G5727" s="41" t="n">
        <v>124.44</v>
      </c>
      <c r="H5727" s="39" t="n">
        <v>45945</v>
      </c>
      <c r="I5727" s="7" t="s">
        <v>14651</v>
      </c>
      <c r="J5727" s="8" t="str">
        <f aca="false">IF(I5727="Open",DATE(2025,12,31)-F5727,"-")</f>
        <v>-</v>
      </c>
    </row>
    <row r="5728" customFormat="false" ht="15" hidden="false" customHeight="false" outlineLevel="0" collapsed="false">
      <c r="B5728" s="7" t="s">
        <v>20374</v>
      </c>
      <c r="C5728" s="7" t="s">
        <v>6225</v>
      </c>
      <c r="D5728" s="7" t="s">
        <v>288</v>
      </c>
      <c r="E5728" s="7" t="s">
        <v>156</v>
      </c>
      <c r="F5728" s="39" t="n">
        <v>45929</v>
      </c>
      <c r="G5728" s="41" t="n">
        <v>123.08</v>
      </c>
      <c r="H5728" s="39" t="n">
        <v>45943</v>
      </c>
      <c r="I5728" s="7" t="s">
        <v>14651</v>
      </c>
      <c r="J5728" s="8" t="str">
        <f aca="false">IF(I5728="Open",DATE(2025,12,31)-F5728,"-")</f>
        <v>-</v>
      </c>
    </row>
    <row r="5729" customFormat="false" ht="15" hidden="false" customHeight="false" outlineLevel="0" collapsed="false">
      <c r="B5729" s="7" t="s">
        <v>20375</v>
      </c>
      <c r="C5729" s="7" t="s">
        <v>6226</v>
      </c>
      <c r="D5729" s="7" t="s">
        <v>291</v>
      </c>
      <c r="E5729" s="7" t="s">
        <v>154</v>
      </c>
      <c r="F5729" s="39" t="n">
        <v>45929</v>
      </c>
      <c r="G5729" s="41" t="n">
        <v>116.33</v>
      </c>
      <c r="H5729" s="39" t="n">
        <v>45982</v>
      </c>
      <c r="I5729" s="7" t="s">
        <v>14651</v>
      </c>
      <c r="J5729" s="8" t="str">
        <f aca="false">IF(I5729="Open",DATE(2025,12,31)-F5729,"-")</f>
        <v>-</v>
      </c>
    </row>
    <row r="5730" customFormat="false" ht="15" hidden="false" customHeight="false" outlineLevel="0" collapsed="false">
      <c r="B5730" s="7" t="s">
        <v>20376</v>
      </c>
      <c r="C5730" s="7" t="s">
        <v>6227</v>
      </c>
      <c r="D5730" s="7" t="s">
        <v>295</v>
      </c>
      <c r="E5730" s="7" t="s">
        <v>154</v>
      </c>
      <c r="F5730" s="39" t="n">
        <v>45929</v>
      </c>
      <c r="G5730" s="41" t="n">
        <v>111.56</v>
      </c>
      <c r="H5730" s="39" t="n">
        <v>45973</v>
      </c>
      <c r="I5730" s="7" t="s">
        <v>14651</v>
      </c>
      <c r="J5730" s="8" t="str">
        <f aca="false">IF(I5730="Open",DATE(2025,12,31)-F5730,"-")</f>
        <v>-</v>
      </c>
    </row>
    <row r="5731" customFormat="false" ht="15" hidden="false" customHeight="false" outlineLevel="0" collapsed="false">
      <c r="B5731" s="7" t="s">
        <v>20377</v>
      </c>
      <c r="C5731" s="7" t="s">
        <v>6228</v>
      </c>
      <c r="D5731" s="7" t="s">
        <v>297</v>
      </c>
      <c r="E5731" s="7" t="s">
        <v>156</v>
      </c>
      <c r="F5731" s="39" t="n">
        <v>45929</v>
      </c>
      <c r="G5731" s="41" t="n">
        <v>102.68</v>
      </c>
      <c r="H5731" s="39" t="n">
        <v>45938</v>
      </c>
      <c r="I5731" s="7" t="s">
        <v>14651</v>
      </c>
      <c r="J5731" s="8" t="str">
        <f aca="false">IF(I5731="Open",DATE(2025,12,31)-F5731,"-")</f>
        <v>-</v>
      </c>
    </row>
    <row r="5732" customFormat="false" ht="15" hidden="false" customHeight="false" outlineLevel="0" collapsed="false">
      <c r="B5732" s="7" t="s">
        <v>20378</v>
      </c>
      <c r="C5732" s="7" t="s">
        <v>6229</v>
      </c>
      <c r="D5732" s="7" t="s">
        <v>305</v>
      </c>
      <c r="E5732" s="7" t="s">
        <v>154</v>
      </c>
      <c r="F5732" s="39" t="n">
        <v>45929</v>
      </c>
      <c r="G5732" s="41" t="n">
        <v>95.88</v>
      </c>
      <c r="H5732" s="39" t="n">
        <v>45956</v>
      </c>
      <c r="I5732" s="7" t="s">
        <v>14651</v>
      </c>
      <c r="J5732" s="8" t="str">
        <f aca="false">IF(I5732="Open",DATE(2025,12,31)-F5732,"-")</f>
        <v>-</v>
      </c>
    </row>
    <row r="5733" customFormat="false" ht="15" hidden="false" customHeight="false" outlineLevel="0" collapsed="false">
      <c r="B5733" s="7" t="s">
        <v>20379</v>
      </c>
      <c r="C5733" s="7" t="s">
        <v>6230</v>
      </c>
      <c r="D5733" s="7" t="s">
        <v>307</v>
      </c>
      <c r="E5733" s="7" t="s">
        <v>157</v>
      </c>
      <c r="F5733" s="39" t="n">
        <v>45929</v>
      </c>
      <c r="G5733" s="41" t="n">
        <v>176.55</v>
      </c>
      <c r="H5733" s="39" t="n">
        <v>46004</v>
      </c>
      <c r="I5733" s="7" t="s">
        <v>14651</v>
      </c>
      <c r="J5733" s="8" t="str">
        <f aca="false">IF(I5733="Open",DATE(2025,12,31)-F5733,"-")</f>
        <v>-</v>
      </c>
    </row>
    <row r="5734" customFormat="false" ht="15" hidden="false" customHeight="false" outlineLevel="0" collapsed="false">
      <c r="B5734" s="7" t="s">
        <v>20380</v>
      </c>
      <c r="C5734" s="7" t="s">
        <v>6231</v>
      </c>
      <c r="D5734" s="7" t="s">
        <v>309</v>
      </c>
      <c r="E5734" s="7" t="s">
        <v>159</v>
      </c>
      <c r="F5734" s="39" t="n">
        <v>45929</v>
      </c>
      <c r="G5734" s="41" t="n">
        <v>143.1</v>
      </c>
      <c r="H5734" s="39" t="n">
        <v>45999</v>
      </c>
      <c r="I5734" s="7" t="s">
        <v>14651</v>
      </c>
      <c r="J5734" s="8" t="str">
        <f aca="false">IF(I5734="Open",DATE(2025,12,31)-F5734,"-")</f>
        <v>-</v>
      </c>
    </row>
    <row r="5735" customFormat="false" ht="15" hidden="false" customHeight="false" outlineLevel="0" collapsed="false">
      <c r="B5735" s="7" t="s">
        <v>20381</v>
      </c>
      <c r="C5735" s="7" t="s">
        <v>6232</v>
      </c>
      <c r="D5735" s="7" t="s">
        <v>311</v>
      </c>
      <c r="E5735" s="7" t="s">
        <v>154</v>
      </c>
      <c r="F5735" s="39" t="n">
        <v>45929</v>
      </c>
      <c r="G5735" s="41" t="n">
        <v>82.15</v>
      </c>
      <c r="H5735" s="39" t="n">
        <v>45979</v>
      </c>
      <c r="I5735" s="7" t="s">
        <v>14651</v>
      </c>
      <c r="J5735" s="8" t="str">
        <f aca="false">IF(I5735="Open",DATE(2025,12,31)-F5735,"-")</f>
        <v>-</v>
      </c>
    </row>
    <row r="5736" customFormat="false" ht="15" hidden="false" customHeight="false" outlineLevel="0" collapsed="false">
      <c r="B5736" s="7" t="s">
        <v>20382</v>
      </c>
      <c r="C5736" s="7" t="s">
        <v>6233</v>
      </c>
      <c r="D5736" s="7" t="s">
        <v>313</v>
      </c>
      <c r="E5736" s="7" t="s">
        <v>156</v>
      </c>
      <c r="F5736" s="39" t="n">
        <v>45929</v>
      </c>
      <c r="G5736" s="41" t="n">
        <v>137.02</v>
      </c>
      <c r="H5736" s="39" t="n">
        <v>45939</v>
      </c>
      <c r="I5736" s="7" t="s">
        <v>14651</v>
      </c>
      <c r="J5736" s="8" t="str">
        <f aca="false">IF(I5736="Open",DATE(2025,12,31)-F5736,"-")</f>
        <v>-</v>
      </c>
    </row>
    <row r="5737" customFormat="false" ht="15" hidden="false" customHeight="false" outlineLevel="0" collapsed="false">
      <c r="B5737" s="7" t="s">
        <v>20383</v>
      </c>
      <c r="C5737" s="7" t="s">
        <v>6234</v>
      </c>
      <c r="D5737" s="7" t="s">
        <v>315</v>
      </c>
      <c r="E5737" s="7" t="s">
        <v>159</v>
      </c>
      <c r="F5737" s="39" t="n">
        <v>45929</v>
      </c>
      <c r="G5737" s="41" t="n">
        <v>136.35</v>
      </c>
      <c r="H5737" s="39" t="n">
        <v>46013</v>
      </c>
      <c r="I5737" s="7" t="s">
        <v>14651</v>
      </c>
      <c r="J5737" s="8" t="str">
        <f aca="false">IF(I5737="Open",DATE(2025,12,31)-F5737,"-")</f>
        <v>-</v>
      </c>
    </row>
    <row r="5738" customFormat="false" ht="15" hidden="false" customHeight="false" outlineLevel="0" collapsed="false">
      <c r="B5738" s="7" t="s">
        <v>20384</v>
      </c>
      <c r="C5738" s="7" t="s">
        <v>6235</v>
      </c>
      <c r="D5738" s="7" t="s">
        <v>317</v>
      </c>
      <c r="E5738" s="7" t="s">
        <v>156</v>
      </c>
      <c r="F5738" s="39" t="n">
        <v>45929</v>
      </c>
      <c r="G5738" s="41" t="n">
        <v>92.14</v>
      </c>
      <c r="H5738" s="39" t="n">
        <v>45931</v>
      </c>
      <c r="I5738" s="7" t="s">
        <v>14651</v>
      </c>
      <c r="J5738" s="8" t="str">
        <f aca="false">IF(I5738="Open",DATE(2025,12,31)-F5738,"-")</f>
        <v>-</v>
      </c>
    </row>
    <row r="5739" customFormat="false" ht="15" hidden="false" customHeight="false" outlineLevel="0" collapsed="false">
      <c r="B5739" s="7" t="s">
        <v>20385</v>
      </c>
      <c r="C5739" s="7" t="s">
        <v>6236</v>
      </c>
      <c r="D5739" s="7" t="s">
        <v>321</v>
      </c>
      <c r="E5739" s="7" t="s">
        <v>154</v>
      </c>
      <c r="F5739" s="39" t="n">
        <v>45929</v>
      </c>
      <c r="G5739" s="41" t="n">
        <v>100.97</v>
      </c>
      <c r="H5739" s="39" t="n">
        <v>45990</v>
      </c>
      <c r="I5739" s="7" t="s">
        <v>14651</v>
      </c>
      <c r="J5739" s="8" t="str">
        <f aca="false">IF(I5739="Open",DATE(2025,12,31)-F5739,"-")</f>
        <v>-</v>
      </c>
    </row>
    <row r="5740" customFormat="false" ht="15" hidden="false" customHeight="false" outlineLevel="0" collapsed="false">
      <c r="B5740" s="7" t="s">
        <v>20386</v>
      </c>
      <c r="C5740" s="7" t="s">
        <v>6237</v>
      </c>
      <c r="D5740" s="7" t="s">
        <v>325</v>
      </c>
      <c r="E5740" s="7" t="s">
        <v>154</v>
      </c>
      <c r="F5740" s="39" t="n">
        <v>45929</v>
      </c>
      <c r="G5740" s="41" t="n">
        <v>84.56</v>
      </c>
      <c r="H5740" s="6" t="s">
        <v>182</v>
      </c>
      <c r="I5740" s="7" t="s">
        <v>19787</v>
      </c>
      <c r="J5740" s="8" t="n">
        <f aca="false">IF(I5740="Open",DATE(2025,12,31)-F5740,"-")</f>
        <v>93</v>
      </c>
    </row>
    <row r="5741" customFormat="false" ht="15" hidden="false" customHeight="false" outlineLevel="0" collapsed="false">
      <c r="B5741" s="7" t="s">
        <v>20387</v>
      </c>
      <c r="C5741" s="7" t="s">
        <v>6238</v>
      </c>
      <c r="D5741" s="7" t="s">
        <v>329</v>
      </c>
      <c r="E5741" s="7" t="s">
        <v>156</v>
      </c>
      <c r="F5741" s="39" t="n">
        <v>45929</v>
      </c>
      <c r="G5741" s="41" t="n">
        <v>132.94</v>
      </c>
      <c r="H5741" s="39" t="n">
        <v>45943</v>
      </c>
      <c r="I5741" s="7" t="s">
        <v>14651</v>
      </c>
      <c r="J5741" s="8" t="str">
        <f aca="false">IF(I5741="Open",DATE(2025,12,31)-F5741,"-")</f>
        <v>-</v>
      </c>
    </row>
    <row r="5742" customFormat="false" ht="15" hidden="false" customHeight="false" outlineLevel="0" collapsed="false">
      <c r="B5742" s="7" t="s">
        <v>20388</v>
      </c>
      <c r="C5742" s="7" t="s">
        <v>6239</v>
      </c>
      <c r="D5742" s="7" t="s">
        <v>331</v>
      </c>
      <c r="E5742" s="7" t="s">
        <v>156</v>
      </c>
      <c r="F5742" s="39" t="n">
        <v>45929</v>
      </c>
      <c r="G5742" s="41" t="n">
        <v>147.9</v>
      </c>
      <c r="H5742" s="39" t="n">
        <v>45933</v>
      </c>
      <c r="I5742" s="7" t="s">
        <v>14651</v>
      </c>
      <c r="J5742" s="8" t="str">
        <f aca="false">IF(I5742="Open",DATE(2025,12,31)-F5742,"-")</f>
        <v>-</v>
      </c>
    </row>
    <row r="5743" customFormat="false" ht="15" hidden="false" customHeight="false" outlineLevel="0" collapsed="false">
      <c r="B5743" s="7" t="s">
        <v>20389</v>
      </c>
      <c r="C5743" s="7" t="s">
        <v>6240</v>
      </c>
      <c r="D5743" s="7" t="s">
        <v>335</v>
      </c>
      <c r="E5743" s="7" t="s">
        <v>154</v>
      </c>
      <c r="F5743" s="39" t="n">
        <v>45929</v>
      </c>
      <c r="G5743" s="41" t="n">
        <v>100.7</v>
      </c>
      <c r="H5743" s="6" t="s">
        <v>182</v>
      </c>
      <c r="I5743" s="7" t="s">
        <v>19787</v>
      </c>
      <c r="J5743" s="8" t="n">
        <f aca="false">IF(I5743="Open",DATE(2025,12,31)-F5743,"-")</f>
        <v>93</v>
      </c>
    </row>
    <row r="5744" customFormat="false" ht="15" hidden="false" customHeight="false" outlineLevel="0" collapsed="false">
      <c r="B5744" s="7" t="s">
        <v>20390</v>
      </c>
      <c r="C5744" s="7" t="s">
        <v>6241</v>
      </c>
      <c r="D5744" s="7" t="s">
        <v>339</v>
      </c>
      <c r="E5744" s="7" t="s">
        <v>154</v>
      </c>
      <c r="F5744" s="39" t="n">
        <v>45929</v>
      </c>
      <c r="G5744" s="41" t="n">
        <v>92.48</v>
      </c>
      <c r="H5744" s="39" t="n">
        <v>45978</v>
      </c>
      <c r="I5744" s="7" t="s">
        <v>14651</v>
      </c>
      <c r="J5744" s="8" t="str">
        <f aca="false">IF(I5744="Open",DATE(2025,12,31)-F5744,"-")</f>
        <v>-</v>
      </c>
    </row>
    <row r="5745" customFormat="false" ht="15" hidden="false" customHeight="false" outlineLevel="0" collapsed="false">
      <c r="B5745" s="7" t="s">
        <v>20391</v>
      </c>
      <c r="C5745" s="7" t="s">
        <v>6242</v>
      </c>
      <c r="D5745" s="7" t="s">
        <v>341</v>
      </c>
      <c r="E5745" s="7" t="s">
        <v>156</v>
      </c>
      <c r="F5745" s="39" t="n">
        <v>45929</v>
      </c>
      <c r="G5745" s="41" t="n">
        <v>111.18</v>
      </c>
      <c r="H5745" s="39" t="n">
        <v>45942</v>
      </c>
      <c r="I5745" s="7" t="s">
        <v>14651</v>
      </c>
      <c r="J5745" s="8" t="str">
        <f aca="false">IF(I5745="Open",DATE(2025,12,31)-F5745,"-")</f>
        <v>-</v>
      </c>
    </row>
    <row r="5746" customFormat="false" ht="15" hidden="false" customHeight="false" outlineLevel="0" collapsed="false">
      <c r="B5746" s="7" t="s">
        <v>20392</v>
      </c>
      <c r="C5746" s="7" t="s">
        <v>6243</v>
      </c>
      <c r="D5746" s="7" t="s">
        <v>343</v>
      </c>
      <c r="E5746" s="7" t="s">
        <v>154</v>
      </c>
      <c r="F5746" s="39" t="n">
        <v>45929</v>
      </c>
      <c r="G5746" s="41" t="n">
        <v>111.3</v>
      </c>
      <c r="H5746" s="39" t="n">
        <v>45982</v>
      </c>
      <c r="I5746" s="7" t="s">
        <v>14651</v>
      </c>
      <c r="J5746" s="8" t="str">
        <f aca="false">IF(I5746="Open",DATE(2025,12,31)-F5746,"-")</f>
        <v>-</v>
      </c>
    </row>
    <row r="5747" customFormat="false" ht="15" hidden="false" customHeight="false" outlineLevel="0" collapsed="false">
      <c r="B5747" s="7" t="s">
        <v>20393</v>
      </c>
      <c r="C5747" s="7" t="s">
        <v>6244</v>
      </c>
      <c r="D5747" s="7" t="s">
        <v>347</v>
      </c>
      <c r="E5747" s="7" t="s">
        <v>154</v>
      </c>
      <c r="F5747" s="39" t="n">
        <v>45929</v>
      </c>
      <c r="G5747" s="41" t="n">
        <v>123.65</v>
      </c>
      <c r="H5747" s="39" t="n">
        <v>46004</v>
      </c>
      <c r="I5747" s="7" t="s">
        <v>14651</v>
      </c>
      <c r="J5747" s="8" t="str">
        <f aca="false">IF(I5747="Open",DATE(2025,12,31)-F5747,"-")</f>
        <v>-</v>
      </c>
    </row>
    <row r="5748" customFormat="false" ht="15" hidden="false" customHeight="false" outlineLevel="0" collapsed="false">
      <c r="B5748" s="7" t="s">
        <v>20394</v>
      </c>
      <c r="C5748" s="7" t="s">
        <v>6245</v>
      </c>
      <c r="D5748" s="7" t="s">
        <v>349</v>
      </c>
      <c r="E5748" s="7" t="s">
        <v>154</v>
      </c>
      <c r="F5748" s="39" t="n">
        <v>45929</v>
      </c>
      <c r="G5748" s="41" t="n">
        <v>115.01</v>
      </c>
      <c r="H5748" s="39" t="n">
        <v>45976</v>
      </c>
      <c r="I5748" s="7" t="s">
        <v>14651</v>
      </c>
      <c r="J5748" s="8" t="str">
        <f aca="false">IF(I5748="Open",DATE(2025,12,31)-F5748,"-")</f>
        <v>-</v>
      </c>
    </row>
    <row r="5749" customFormat="false" ht="15" hidden="false" customHeight="false" outlineLevel="0" collapsed="false">
      <c r="B5749" s="7" t="s">
        <v>20395</v>
      </c>
      <c r="C5749" s="7" t="s">
        <v>6246</v>
      </c>
      <c r="D5749" s="7" t="s">
        <v>353</v>
      </c>
      <c r="E5749" s="7" t="s">
        <v>154</v>
      </c>
      <c r="F5749" s="39" t="n">
        <v>45929</v>
      </c>
      <c r="G5749" s="41" t="n">
        <v>80.56</v>
      </c>
      <c r="H5749" s="6" t="s">
        <v>182</v>
      </c>
      <c r="I5749" s="7" t="s">
        <v>19787</v>
      </c>
      <c r="J5749" s="8" t="n">
        <f aca="false">IF(I5749="Open",DATE(2025,12,31)-F5749,"-")</f>
        <v>93</v>
      </c>
    </row>
    <row r="5750" customFormat="false" ht="15" hidden="false" customHeight="false" outlineLevel="0" collapsed="false">
      <c r="B5750" s="7" t="s">
        <v>20396</v>
      </c>
      <c r="C5750" s="7" t="s">
        <v>6247</v>
      </c>
      <c r="D5750" s="7" t="s">
        <v>355</v>
      </c>
      <c r="E5750" s="7" t="s">
        <v>154</v>
      </c>
      <c r="F5750" s="39" t="n">
        <v>45929</v>
      </c>
      <c r="G5750" s="41" t="n">
        <v>86.12</v>
      </c>
      <c r="H5750" s="39" t="n">
        <v>45971</v>
      </c>
      <c r="I5750" s="7" t="s">
        <v>14651</v>
      </c>
      <c r="J5750" s="8" t="str">
        <f aca="false">IF(I5750="Open",DATE(2025,12,31)-F5750,"-")</f>
        <v>-</v>
      </c>
    </row>
    <row r="5751" customFormat="false" ht="15" hidden="false" customHeight="false" outlineLevel="0" collapsed="false">
      <c r="B5751" s="7" t="s">
        <v>20397</v>
      </c>
      <c r="C5751" s="7" t="s">
        <v>6248</v>
      </c>
      <c r="D5751" s="7" t="s">
        <v>357</v>
      </c>
      <c r="E5751" s="7" t="s">
        <v>154</v>
      </c>
      <c r="F5751" s="39" t="n">
        <v>45929</v>
      </c>
      <c r="G5751" s="41" t="n">
        <v>92.48</v>
      </c>
      <c r="H5751" s="6" t="s">
        <v>182</v>
      </c>
      <c r="I5751" s="7" t="s">
        <v>19787</v>
      </c>
      <c r="J5751" s="8" t="n">
        <f aca="false">IF(I5751="Open",DATE(2025,12,31)-F5751,"-")</f>
        <v>93</v>
      </c>
    </row>
    <row r="5752" customFormat="false" ht="15" hidden="false" customHeight="false" outlineLevel="0" collapsed="false">
      <c r="B5752" s="7" t="s">
        <v>20398</v>
      </c>
      <c r="C5752" s="7" t="s">
        <v>6249</v>
      </c>
      <c r="D5752" s="7" t="s">
        <v>359</v>
      </c>
      <c r="E5752" s="7" t="s">
        <v>156</v>
      </c>
      <c r="F5752" s="39" t="n">
        <v>45929</v>
      </c>
      <c r="G5752" s="41" t="n">
        <v>141.44</v>
      </c>
      <c r="H5752" s="39" t="n">
        <v>45939</v>
      </c>
      <c r="I5752" s="7" t="s">
        <v>14651</v>
      </c>
      <c r="J5752" s="8" t="str">
        <f aca="false">IF(I5752="Open",DATE(2025,12,31)-F5752,"-")</f>
        <v>-</v>
      </c>
    </row>
    <row r="5753" customFormat="false" ht="15" hidden="false" customHeight="false" outlineLevel="0" collapsed="false">
      <c r="B5753" s="7" t="s">
        <v>20399</v>
      </c>
      <c r="C5753" s="7" t="s">
        <v>6250</v>
      </c>
      <c r="D5753" s="7" t="s">
        <v>363</v>
      </c>
      <c r="E5753" s="7" t="s">
        <v>156</v>
      </c>
      <c r="F5753" s="39" t="n">
        <v>45929</v>
      </c>
      <c r="G5753" s="41" t="n">
        <v>134.64</v>
      </c>
      <c r="H5753" s="39" t="n">
        <v>45946</v>
      </c>
      <c r="I5753" s="7" t="s">
        <v>14651</v>
      </c>
      <c r="J5753" s="8" t="str">
        <f aca="false">IF(I5753="Open",DATE(2025,12,31)-F5753,"-")</f>
        <v>-</v>
      </c>
    </row>
    <row r="5754" customFormat="false" ht="15" hidden="false" customHeight="false" outlineLevel="0" collapsed="false">
      <c r="B5754" s="7" t="s">
        <v>20400</v>
      </c>
      <c r="C5754" s="7" t="s">
        <v>6251</v>
      </c>
      <c r="D5754" s="7" t="s">
        <v>365</v>
      </c>
      <c r="E5754" s="7" t="s">
        <v>154</v>
      </c>
      <c r="F5754" s="39" t="n">
        <v>45929</v>
      </c>
      <c r="G5754" s="41" t="n">
        <v>108.38</v>
      </c>
      <c r="H5754" s="39" t="n">
        <v>45965</v>
      </c>
      <c r="I5754" s="7" t="s">
        <v>14651</v>
      </c>
      <c r="J5754" s="8" t="str">
        <f aca="false">IF(I5754="Open",DATE(2025,12,31)-F5754,"-")</f>
        <v>-</v>
      </c>
    </row>
    <row r="5755" customFormat="false" ht="15" hidden="false" customHeight="false" outlineLevel="0" collapsed="false">
      <c r="B5755" s="7" t="s">
        <v>20401</v>
      </c>
      <c r="C5755" s="7" t="s">
        <v>6252</v>
      </c>
      <c r="D5755" s="7" t="s">
        <v>371</v>
      </c>
      <c r="E5755" s="7" t="s">
        <v>154</v>
      </c>
      <c r="F5755" s="39" t="n">
        <v>45929</v>
      </c>
      <c r="G5755" s="41" t="n">
        <v>128.26</v>
      </c>
      <c r="H5755" s="39" t="n">
        <v>45989</v>
      </c>
      <c r="I5755" s="7" t="s">
        <v>14651</v>
      </c>
      <c r="J5755" s="8" t="str">
        <f aca="false">IF(I5755="Open",DATE(2025,12,31)-F5755,"-")</f>
        <v>-</v>
      </c>
    </row>
    <row r="5756" customFormat="false" ht="15" hidden="false" customHeight="false" outlineLevel="0" collapsed="false">
      <c r="B5756" s="7" t="s">
        <v>20402</v>
      </c>
      <c r="C5756" s="7" t="s">
        <v>6253</v>
      </c>
      <c r="D5756" s="7" t="s">
        <v>375</v>
      </c>
      <c r="E5756" s="7" t="s">
        <v>156</v>
      </c>
      <c r="F5756" s="39" t="n">
        <v>45929</v>
      </c>
      <c r="G5756" s="41" t="n">
        <v>106.08</v>
      </c>
      <c r="H5756" s="39" t="n">
        <v>45946</v>
      </c>
      <c r="I5756" s="7" t="s">
        <v>14651</v>
      </c>
      <c r="J5756" s="8" t="str">
        <f aca="false">IF(I5756="Open",DATE(2025,12,31)-F5756,"-")</f>
        <v>-</v>
      </c>
    </row>
    <row r="5757" customFormat="false" ht="15" hidden="false" customHeight="false" outlineLevel="0" collapsed="false">
      <c r="B5757" s="7" t="s">
        <v>20403</v>
      </c>
      <c r="C5757" s="7" t="s">
        <v>6254</v>
      </c>
      <c r="D5757" s="7" t="s">
        <v>377</v>
      </c>
      <c r="E5757" s="7" t="s">
        <v>154</v>
      </c>
      <c r="F5757" s="39" t="n">
        <v>45929</v>
      </c>
      <c r="G5757" s="41" t="n">
        <v>96.72</v>
      </c>
      <c r="H5757" s="39" t="n">
        <v>46015</v>
      </c>
      <c r="I5757" s="7" t="s">
        <v>14651</v>
      </c>
      <c r="J5757" s="8" t="str">
        <f aca="false">IF(I5757="Open",DATE(2025,12,31)-F5757,"-")</f>
        <v>-</v>
      </c>
    </row>
    <row r="5758" customFormat="false" ht="15" hidden="false" customHeight="false" outlineLevel="0" collapsed="false">
      <c r="B5758" s="7" t="s">
        <v>20404</v>
      </c>
      <c r="C5758" s="7" t="s">
        <v>6255</v>
      </c>
      <c r="D5758" s="7" t="s">
        <v>379</v>
      </c>
      <c r="E5758" s="7" t="s">
        <v>156</v>
      </c>
      <c r="F5758" s="39" t="n">
        <v>45929</v>
      </c>
      <c r="G5758" s="41" t="n">
        <v>143.48</v>
      </c>
      <c r="H5758" s="39" t="n">
        <v>45943</v>
      </c>
      <c r="I5758" s="7" t="s">
        <v>14651</v>
      </c>
      <c r="J5758" s="8" t="str">
        <f aca="false">IF(I5758="Open",DATE(2025,12,31)-F5758,"-")</f>
        <v>-</v>
      </c>
    </row>
    <row r="5759" customFormat="false" ht="15" hidden="false" customHeight="false" outlineLevel="0" collapsed="false">
      <c r="B5759" s="7" t="s">
        <v>20405</v>
      </c>
      <c r="C5759" s="7" t="s">
        <v>6256</v>
      </c>
      <c r="D5759" s="7" t="s">
        <v>387</v>
      </c>
      <c r="E5759" s="7" t="s">
        <v>154</v>
      </c>
      <c r="F5759" s="39" t="n">
        <v>45929</v>
      </c>
      <c r="G5759" s="41" t="n">
        <v>111.3</v>
      </c>
      <c r="H5759" s="39" t="n">
        <v>45976</v>
      </c>
      <c r="I5759" s="7" t="s">
        <v>14651</v>
      </c>
      <c r="J5759" s="8" t="str">
        <f aca="false">IF(I5759="Open",DATE(2025,12,31)-F5759,"-")</f>
        <v>-</v>
      </c>
    </row>
    <row r="5760" customFormat="false" ht="15" hidden="false" customHeight="false" outlineLevel="0" collapsed="false">
      <c r="B5760" s="7" t="s">
        <v>20406</v>
      </c>
      <c r="C5760" s="7" t="s">
        <v>6257</v>
      </c>
      <c r="D5760" s="7" t="s">
        <v>389</v>
      </c>
      <c r="E5760" s="7" t="s">
        <v>154</v>
      </c>
      <c r="F5760" s="39" t="n">
        <v>45929</v>
      </c>
      <c r="G5760" s="41" t="n">
        <v>100.75</v>
      </c>
      <c r="H5760" s="39" t="n">
        <v>45954</v>
      </c>
      <c r="I5760" s="7" t="s">
        <v>14651</v>
      </c>
      <c r="J5760" s="8" t="str">
        <f aca="false">IF(I5760="Open",DATE(2025,12,31)-F5760,"-")</f>
        <v>-</v>
      </c>
    </row>
    <row r="5761" customFormat="false" ht="15" hidden="false" customHeight="false" outlineLevel="0" collapsed="false">
      <c r="B5761" s="7" t="s">
        <v>20407</v>
      </c>
      <c r="C5761" s="7" t="s">
        <v>6258</v>
      </c>
      <c r="D5761" s="7" t="s">
        <v>391</v>
      </c>
      <c r="E5761" s="7" t="s">
        <v>156</v>
      </c>
      <c r="F5761" s="39" t="n">
        <v>45929</v>
      </c>
      <c r="G5761" s="41" t="n">
        <v>139.74</v>
      </c>
      <c r="H5761" s="39" t="n">
        <v>45937</v>
      </c>
      <c r="I5761" s="7" t="s">
        <v>14651</v>
      </c>
      <c r="J5761" s="8" t="str">
        <f aca="false">IF(I5761="Open",DATE(2025,12,31)-F5761,"-")</f>
        <v>-</v>
      </c>
    </row>
    <row r="5762" customFormat="false" ht="15" hidden="false" customHeight="false" outlineLevel="0" collapsed="false">
      <c r="B5762" s="7" t="s">
        <v>20408</v>
      </c>
      <c r="C5762" s="7" t="s">
        <v>6259</v>
      </c>
      <c r="D5762" s="7" t="s">
        <v>395</v>
      </c>
      <c r="E5762" s="7" t="s">
        <v>156</v>
      </c>
      <c r="F5762" s="39" t="n">
        <v>45929</v>
      </c>
      <c r="G5762" s="41" t="n">
        <v>129.2</v>
      </c>
      <c r="H5762" s="39" t="n">
        <v>45940</v>
      </c>
      <c r="I5762" s="7" t="s">
        <v>14651</v>
      </c>
      <c r="J5762" s="8" t="str">
        <f aca="false">IF(I5762="Open",DATE(2025,12,31)-F5762,"-")</f>
        <v>-</v>
      </c>
    </row>
    <row r="5763" customFormat="false" ht="15" hidden="false" customHeight="false" outlineLevel="0" collapsed="false">
      <c r="B5763" s="7" t="s">
        <v>20409</v>
      </c>
      <c r="C5763" s="7" t="s">
        <v>6260</v>
      </c>
      <c r="D5763" s="7" t="s">
        <v>399</v>
      </c>
      <c r="E5763" s="7" t="s">
        <v>154</v>
      </c>
      <c r="F5763" s="39" t="n">
        <v>45929</v>
      </c>
      <c r="G5763" s="41" t="n">
        <v>91.95</v>
      </c>
      <c r="H5763" s="6" t="s">
        <v>182</v>
      </c>
      <c r="I5763" s="7" t="s">
        <v>19787</v>
      </c>
      <c r="J5763" s="8" t="n">
        <f aca="false">IF(I5763="Open",DATE(2025,12,31)-F5763,"-")</f>
        <v>93</v>
      </c>
    </row>
    <row r="5764" customFormat="false" ht="15" hidden="false" customHeight="false" outlineLevel="0" collapsed="false">
      <c r="B5764" s="7" t="s">
        <v>20410</v>
      </c>
      <c r="C5764" s="7" t="s">
        <v>6261</v>
      </c>
      <c r="D5764" s="7" t="s">
        <v>401</v>
      </c>
      <c r="E5764" s="7" t="s">
        <v>156</v>
      </c>
      <c r="F5764" s="39" t="n">
        <v>45929</v>
      </c>
      <c r="G5764" s="41" t="n">
        <v>147.56</v>
      </c>
      <c r="H5764" s="39" t="n">
        <v>45936</v>
      </c>
      <c r="I5764" s="7" t="s">
        <v>14651</v>
      </c>
      <c r="J5764" s="8" t="str">
        <f aca="false">IF(I5764="Open",DATE(2025,12,31)-F5764,"-")</f>
        <v>-</v>
      </c>
    </row>
    <row r="5765" customFormat="false" ht="15" hidden="false" customHeight="false" outlineLevel="0" collapsed="false">
      <c r="B5765" s="7" t="s">
        <v>20411</v>
      </c>
      <c r="C5765" s="7" t="s">
        <v>6262</v>
      </c>
      <c r="D5765" s="7" t="s">
        <v>403</v>
      </c>
      <c r="E5765" s="7" t="s">
        <v>156</v>
      </c>
      <c r="F5765" s="39" t="n">
        <v>45929</v>
      </c>
      <c r="G5765" s="41" t="n">
        <v>140.42</v>
      </c>
      <c r="H5765" s="39" t="n">
        <v>45937</v>
      </c>
      <c r="I5765" s="7" t="s">
        <v>14651</v>
      </c>
      <c r="J5765" s="8" t="str">
        <f aca="false">IF(I5765="Open",DATE(2025,12,31)-F5765,"-")</f>
        <v>-</v>
      </c>
    </row>
    <row r="5766" customFormat="false" ht="15" hidden="false" customHeight="false" outlineLevel="0" collapsed="false">
      <c r="B5766" s="7" t="s">
        <v>20412</v>
      </c>
      <c r="C5766" s="7" t="s">
        <v>6263</v>
      </c>
      <c r="D5766" s="7" t="s">
        <v>409</v>
      </c>
      <c r="E5766" s="7" t="s">
        <v>154</v>
      </c>
      <c r="F5766" s="39" t="n">
        <v>45929</v>
      </c>
      <c r="G5766" s="41" t="n">
        <v>80.56</v>
      </c>
      <c r="H5766" s="6" t="s">
        <v>182</v>
      </c>
      <c r="I5766" s="7" t="s">
        <v>19787</v>
      </c>
      <c r="J5766" s="8" t="n">
        <f aca="false">IF(I5766="Open",DATE(2025,12,31)-F5766,"-")</f>
        <v>93</v>
      </c>
    </row>
    <row r="5767" customFormat="false" ht="15" hidden="false" customHeight="false" outlineLevel="0" collapsed="false">
      <c r="B5767" s="7" t="s">
        <v>20413</v>
      </c>
      <c r="C5767" s="7" t="s">
        <v>6264</v>
      </c>
      <c r="D5767" s="7" t="s">
        <v>411</v>
      </c>
      <c r="E5767" s="7" t="s">
        <v>154</v>
      </c>
      <c r="F5767" s="39" t="n">
        <v>45929</v>
      </c>
      <c r="G5767" s="41" t="n">
        <v>115.27</v>
      </c>
      <c r="H5767" s="39" t="n">
        <v>45987</v>
      </c>
      <c r="I5767" s="7" t="s">
        <v>14651</v>
      </c>
      <c r="J5767" s="8" t="str">
        <f aca="false">IF(I5767="Open",DATE(2025,12,31)-F5767,"-")</f>
        <v>-</v>
      </c>
    </row>
    <row r="5768" customFormat="false" ht="15" hidden="false" customHeight="false" outlineLevel="0" collapsed="false">
      <c r="B5768" s="7" t="s">
        <v>20414</v>
      </c>
      <c r="C5768" s="7" t="s">
        <v>6265</v>
      </c>
      <c r="D5768" s="7" t="s">
        <v>288</v>
      </c>
      <c r="E5768" s="7" t="s">
        <v>156</v>
      </c>
      <c r="F5768" s="39" t="n">
        <v>45930</v>
      </c>
      <c r="G5768" s="41" t="n">
        <v>129.2</v>
      </c>
      <c r="H5768" s="39" t="n">
        <v>45945</v>
      </c>
      <c r="I5768" s="7" t="s">
        <v>14651</v>
      </c>
      <c r="J5768" s="8" t="str">
        <f aca="false">IF(I5768="Open",DATE(2025,12,31)-F5768,"-")</f>
        <v>-</v>
      </c>
    </row>
    <row r="5769" customFormat="false" ht="15" hidden="false" customHeight="false" outlineLevel="0" collapsed="false">
      <c r="B5769" s="7" t="s">
        <v>20415</v>
      </c>
      <c r="C5769" s="7" t="s">
        <v>6266</v>
      </c>
      <c r="D5769" s="7" t="s">
        <v>293</v>
      </c>
      <c r="E5769" s="7" t="s">
        <v>157</v>
      </c>
      <c r="F5769" s="39" t="n">
        <v>45930</v>
      </c>
      <c r="G5769" s="41" t="n">
        <v>155.1</v>
      </c>
      <c r="H5769" s="39" t="n">
        <v>45963</v>
      </c>
      <c r="I5769" s="7" t="s">
        <v>14651</v>
      </c>
      <c r="J5769" s="8" t="str">
        <f aca="false">IF(I5769="Open",DATE(2025,12,31)-F5769,"-")</f>
        <v>-</v>
      </c>
    </row>
    <row r="5770" customFormat="false" ht="15" hidden="false" customHeight="false" outlineLevel="0" collapsed="false">
      <c r="B5770" s="7" t="s">
        <v>20416</v>
      </c>
      <c r="C5770" s="7" t="s">
        <v>6267</v>
      </c>
      <c r="D5770" s="7" t="s">
        <v>301</v>
      </c>
      <c r="E5770" s="7" t="s">
        <v>157</v>
      </c>
      <c r="F5770" s="39" t="n">
        <v>45930</v>
      </c>
      <c r="G5770" s="41" t="n">
        <v>161.7</v>
      </c>
      <c r="H5770" s="39" t="n">
        <v>46001</v>
      </c>
      <c r="I5770" s="7" t="s">
        <v>14651</v>
      </c>
      <c r="J5770" s="8" t="str">
        <f aca="false">IF(I5770="Open",DATE(2025,12,31)-F5770,"-")</f>
        <v>-</v>
      </c>
    </row>
    <row r="5771" customFormat="false" ht="15" hidden="false" customHeight="false" outlineLevel="0" collapsed="false">
      <c r="B5771" s="7" t="s">
        <v>20417</v>
      </c>
      <c r="C5771" s="7" t="s">
        <v>6268</v>
      </c>
      <c r="D5771" s="7" t="s">
        <v>313</v>
      </c>
      <c r="E5771" s="7" t="s">
        <v>156</v>
      </c>
      <c r="F5771" s="39" t="n">
        <v>45930</v>
      </c>
      <c r="G5771" s="41" t="n">
        <v>128.18</v>
      </c>
      <c r="H5771" s="39" t="n">
        <v>45944</v>
      </c>
      <c r="I5771" s="7" t="s">
        <v>14651</v>
      </c>
      <c r="J5771" s="8" t="str">
        <f aca="false">IF(I5771="Open",DATE(2025,12,31)-F5771,"-")</f>
        <v>-</v>
      </c>
    </row>
    <row r="5772" customFormat="false" ht="15" hidden="false" customHeight="false" outlineLevel="0" collapsed="false">
      <c r="B5772" s="7" t="s">
        <v>20418</v>
      </c>
      <c r="C5772" s="7" t="s">
        <v>6269</v>
      </c>
      <c r="D5772" s="7" t="s">
        <v>319</v>
      </c>
      <c r="E5772" s="7" t="s">
        <v>157</v>
      </c>
      <c r="F5772" s="39" t="n">
        <v>45930</v>
      </c>
      <c r="G5772" s="41" t="n">
        <v>144.21</v>
      </c>
      <c r="H5772" s="39" t="n">
        <v>45969</v>
      </c>
      <c r="I5772" s="7" t="s">
        <v>14651</v>
      </c>
      <c r="J5772" s="8" t="str">
        <f aca="false">IF(I5772="Open",DATE(2025,12,31)-F5772,"-")</f>
        <v>-</v>
      </c>
    </row>
    <row r="5773" customFormat="false" ht="15" hidden="false" customHeight="false" outlineLevel="0" collapsed="false">
      <c r="B5773" s="7" t="s">
        <v>20419</v>
      </c>
      <c r="C5773" s="7" t="s">
        <v>6270</v>
      </c>
      <c r="D5773" s="7" t="s">
        <v>321</v>
      </c>
      <c r="E5773" s="7" t="s">
        <v>154</v>
      </c>
      <c r="F5773" s="39" t="n">
        <v>45930</v>
      </c>
      <c r="G5773" s="41" t="n">
        <v>108.65</v>
      </c>
      <c r="H5773" s="39" t="n">
        <v>45985</v>
      </c>
      <c r="I5773" s="7" t="s">
        <v>14651</v>
      </c>
      <c r="J5773" s="8" t="str">
        <f aca="false">IF(I5773="Open",DATE(2025,12,31)-F5773,"-")</f>
        <v>-</v>
      </c>
    </row>
    <row r="5774" customFormat="false" ht="15" hidden="false" customHeight="false" outlineLevel="0" collapsed="false">
      <c r="B5774" s="7" t="s">
        <v>20420</v>
      </c>
      <c r="C5774" s="7" t="s">
        <v>6271</v>
      </c>
      <c r="D5774" s="7" t="s">
        <v>323</v>
      </c>
      <c r="E5774" s="7" t="s">
        <v>159</v>
      </c>
      <c r="F5774" s="39" t="n">
        <v>45930</v>
      </c>
      <c r="G5774" s="41" t="n">
        <v>144.45</v>
      </c>
      <c r="H5774" s="39" t="n">
        <v>45979</v>
      </c>
      <c r="I5774" s="7" t="s">
        <v>14651</v>
      </c>
      <c r="J5774" s="8" t="str">
        <f aca="false">IF(I5774="Open",DATE(2025,12,31)-F5774,"-")</f>
        <v>-</v>
      </c>
    </row>
    <row r="5775" customFormat="false" ht="15" hidden="false" customHeight="false" outlineLevel="0" collapsed="false">
      <c r="B5775" s="7" t="s">
        <v>20421</v>
      </c>
      <c r="C5775" s="7" t="s">
        <v>6272</v>
      </c>
      <c r="D5775" s="7" t="s">
        <v>327</v>
      </c>
      <c r="E5775" s="7" t="s">
        <v>157</v>
      </c>
      <c r="F5775" s="39" t="n">
        <v>45930</v>
      </c>
      <c r="G5775" s="41" t="n">
        <v>156.75</v>
      </c>
      <c r="H5775" s="39" t="n">
        <v>45968</v>
      </c>
      <c r="I5775" s="7" t="s">
        <v>14651</v>
      </c>
      <c r="J5775" s="8" t="str">
        <f aca="false">IF(I5775="Open",DATE(2025,12,31)-F5775,"-")</f>
        <v>-</v>
      </c>
    </row>
    <row r="5776" customFormat="false" ht="15" hidden="false" customHeight="false" outlineLevel="0" collapsed="false">
      <c r="B5776" s="7" t="s">
        <v>20422</v>
      </c>
      <c r="C5776" s="7" t="s">
        <v>6273</v>
      </c>
      <c r="D5776" s="7" t="s">
        <v>329</v>
      </c>
      <c r="E5776" s="7" t="s">
        <v>156</v>
      </c>
      <c r="F5776" s="39" t="n">
        <v>45930</v>
      </c>
      <c r="G5776" s="41" t="n">
        <v>125.46</v>
      </c>
      <c r="H5776" s="39" t="n">
        <v>45944</v>
      </c>
      <c r="I5776" s="7" t="s">
        <v>14651</v>
      </c>
      <c r="J5776" s="8" t="str">
        <f aca="false">IF(I5776="Open",DATE(2025,12,31)-F5776,"-")</f>
        <v>-</v>
      </c>
    </row>
    <row r="5777" customFormat="false" ht="15" hidden="false" customHeight="false" outlineLevel="0" collapsed="false">
      <c r="B5777" s="7" t="s">
        <v>20423</v>
      </c>
      <c r="C5777" s="7" t="s">
        <v>6274</v>
      </c>
      <c r="D5777" s="7" t="s">
        <v>349</v>
      </c>
      <c r="E5777" s="7" t="s">
        <v>154</v>
      </c>
      <c r="F5777" s="39" t="n">
        <v>45930</v>
      </c>
      <c r="G5777" s="41" t="n">
        <v>109.44</v>
      </c>
      <c r="H5777" s="39" t="n">
        <v>45983</v>
      </c>
      <c r="I5777" s="7" t="s">
        <v>14651</v>
      </c>
      <c r="J5777" s="8" t="str">
        <f aca="false">IF(I5777="Open",DATE(2025,12,31)-F5777,"-")</f>
        <v>-</v>
      </c>
    </row>
    <row r="5778" customFormat="false" ht="15" hidden="false" customHeight="false" outlineLevel="0" collapsed="false">
      <c r="B5778" s="7" t="s">
        <v>20424</v>
      </c>
      <c r="C5778" s="7" t="s">
        <v>6275</v>
      </c>
      <c r="D5778" s="7" t="s">
        <v>359</v>
      </c>
      <c r="E5778" s="7" t="s">
        <v>156</v>
      </c>
      <c r="F5778" s="39" t="n">
        <v>45930</v>
      </c>
      <c r="G5778" s="41" t="n">
        <v>128.52</v>
      </c>
      <c r="H5778" s="39" t="n">
        <v>45931</v>
      </c>
      <c r="I5778" s="7" t="s">
        <v>14651</v>
      </c>
      <c r="J5778" s="8" t="str">
        <f aca="false">IF(I5778="Open",DATE(2025,12,31)-F5778,"-")</f>
        <v>-</v>
      </c>
    </row>
    <row r="5779" customFormat="false" ht="15" hidden="false" customHeight="false" outlineLevel="0" collapsed="false">
      <c r="B5779" s="7" t="s">
        <v>20425</v>
      </c>
      <c r="C5779" s="7" t="s">
        <v>6276</v>
      </c>
      <c r="D5779" s="7" t="s">
        <v>361</v>
      </c>
      <c r="E5779" s="7" t="s">
        <v>157</v>
      </c>
      <c r="F5779" s="39" t="n">
        <v>45930</v>
      </c>
      <c r="G5779" s="41" t="n">
        <v>176.55</v>
      </c>
      <c r="H5779" s="39" t="n">
        <v>45980</v>
      </c>
      <c r="I5779" s="7" t="s">
        <v>14651</v>
      </c>
      <c r="J5779" s="8" t="str">
        <f aca="false">IF(I5779="Open",DATE(2025,12,31)-F5779,"-")</f>
        <v>-</v>
      </c>
    </row>
    <row r="5780" customFormat="false" ht="15" hidden="false" customHeight="false" outlineLevel="0" collapsed="false">
      <c r="B5780" s="7" t="s">
        <v>20426</v>
      </c>
      <c r="C5780" s="7" t="s">
        <v>6277</v>
      </c>
      <c r="D5780" s="7" t="s">
        <v>365</v>
      </c>
      <c r="E5780" s="7" t="s">
        <v>154</v>
      </c>
      <c r="F5780" s="39" t="n">
        <v>45930</v>
      </c>
      <c r="G5780" s="41" t="n">
        <v>114.48</v>
      </c>
      <c r="H5780" s="39" t="n">
        <v>45992</v>
      </c>
      <c r="I5780" s="7" t="s">
        <v>14651</v>
      </c>
      <c r="J5780" s="8" t="str">
        <f aca="false">IF(I5780="Open",DATE(2025,12,31)-F5780,"-")</f>
        <v>-</v>
      </c>
    </row>
    <row r="5781" customFormat="false" ht="15" hidden="false" customHeight="false" outlineLevel="0" collapsed="false">
      <c r="B5781" s="7" t="s">
        <v>20427</v>
      </c>
      <c r="C5781" s="7" t="s">
        <v>6278</v>
      </c>
      <c r="D5781" s="7" t="s">
        <v>369</v>
      </c>
      <c r="E5781" s="7" t="s">
        <v>159</v>
      </c>
      <c r="F5781" s="39" t="n">
        <v>45930</v>
      </c>
      <c r="G5781" s="41" t="n">
        <v>144.45</v>
      </c>
      <c r="H5781" s="39" t="n">
        <v>45971</v>
      </c>
      <c r="I5781" s="7" t="s">
        <v>14651</v>
      </c>
      <c r="J5781" s="8" t="str">
        <f aca="false">IF(I5781="Open",DATE(2025,12,31)-F5781,"-")</f>
        <v>-</v>
      </c>
    </row>
    <row r="5782" customFormat="false" ht="15" hidden="false" customHeight="false" outlineLevel="0" collapsed="false">
      <c r="B5782" s="7" t="s">
        <v>20428</v>
      </c>
      <c r="C5782" s="7" t="s">
        <v>6279</v>
      </c>
      <c r="D5782" s="7" t="s">
        <v>381</v>
      </c>
      <c r="E5782" s="7" t="s">
        <v>157</v>
      </c>
      <c r="F5782" s="39" t="n">
        <v>45930</v>
      </c>
      <c r="G5782" s="41" t="n">
        <v>179.85</v>
      </c>
      <c r="H5782" s="39" t="n">
        <v>46017</v>
      </c>
      <c r="I5782" s="7" t="s">
        <v>14651</v>
      </c>
      <c r="J5782" s="8" t="str">
        <f aca="false">IF(I5782="Open",DATE(2025,12,31)-F5782,"-")</f>
        <v>-</v>
      </c>
    </row>
    <row r="5783" customFormat="false" ht="15" hidden="false" customHeight="false" outlineLevel="0" collapsed="false">
      <c r="B5783" s="7" t="s">
        <v>20429</v>
      </c>
      <c r="C5783" s="7" t="s">
        <v>6280</v>
      </c>
      <c r="D5783" s="7" t="s">
        <v>383</v>
      </c>
      <c r="E5783" s="7" t="s">
        <v>157</v>
      </c>
      <c r="F5783" s="39" t="n">
        <v>45930</v>
      </c>
      <c r="G5783" s="41" t="n">
        <v>161.7</v>
      </c>
      <c r="H5783" s="39" t="n">
        <v>45981</v>
      </c>
      <c r="I5783" s="7" t="s">
        <v>14651</v>
      </c>
      <c r="J5783" s="8" t="str">
        <f aca="false">IF(I5783="Open",DATE(2025,12,31)-F5783,"-")</f>
        <v>-</v>
      </c>
    </row>
    <row r="5784" customFormat="false" ht="15" hidden="false" customHeight="false" outlineLevel="0" collapsed="false">
      <c r="B5784" s="7" t="s">
        <v>20430</v>
      </c>
      <c r="C5784" s="7" t="s">
        <v>6281</v>
      </c>
      <c r="D5784" s="7" t="s">
        <v>387</v>
      </c>
      <c r="E5784" s="7" t="s">
        <v>154</v>
      </c>
      <c r="F5784" s="39" t="n">
        <v>45930</v>
      </c>
      <c r="G5784" s="41" t="n">
        <v>97.52</v>
      </c>
      <c r="H5784" s="39" t="n">
        <v>45967</v>
      </c>
      <c r="I5784" s="7" t="s">
        <v>14651</v>
      </c>
      <c r="J5784" s="8" t="str">
        <f aca="false">IF(I5784="Open",DATE(2025,12,31)-F5784,"-")</f>
        <v>-</v>
      </c>
    </row>
    <row r="5785" customFormat="false" ht="15" hidden="false" customHeight="false" outlineLevel="0" collapsed="false">
      <c r="B5785" s="7" t="s">
        <v>20431</v>
      </c>
      <c r="C5785" s="7" t="s">
        <v>6282</v>
      </c>
      <c r="D5785" s="7" t="s">
        <v>389</v>
      </c>
      <c r="E5785" s="7" t="s">
        <v>154</v>
      </c>
      <c r="F5785" s="39" t="n">
        <v>45930</v>
      </c>
      <c r="G5785" s="41" t="n">
        <v>110.77</v>
      </c>
      <c r="H5785" s="39" t="n">
        <v>45961</v>
      </c>
      <c r="I5785" s="7" t="s">
        <v>14651</v>
      </c>
      <c r="J5785" s="8" t="str">
        <f aca="false">IF(I5785="Open",DATE(2025,12,31)-F5785,"-")</f>
        <v>-</v>
      </c>
    </row>
    <row r="5786" customFormat="false" ht="15" hidden="false" customHeight="false" outlineLevel="0" collapsed="false">
      <c r="B5786" s="7" t="s">
        <v>20432</v>
      </c>
      <c r="C5786" s="7" t="s">
        <v>6283</v>
      </c>
      <c r="D5786" s="7" t="s">
        <v>391</v>
      </c>
      <c r="E5786" s="7" t="s">
        <v>156</v>
      </c>
      <c r="F5786" s="39" t="n">
        <v>45930</v>
      </c>
      <c r="G5786" s="41" t="n">
        <v>139.74</v>
      </c>
      <c r="H5786" s="39" t="n">
        <v>45934</v>
      </c>
      <c r="I5786" s="7" t="s">
        <v>14651</v>
      </c>
      <c r="J5786" s="8" t="str">
        <f aca="false">IF(I5786="Open",DATE(2025,12,31)-F5786,"-")</f>
        <v>-</v>
      </c>
    </row>
    <row r="5787" customFormat="false" ht="15" hidden="false" customHeight="false" outlineLevel="0" collapsed="false">
      <c r="B5787" s="7" t="s">
        <v>20433</v>
      </c>
      <c r="C5787" s="7" t="s">
        <v>6284</v>
      </c>
      <c r="D5787" s="7" t="s">
        <v>395</v>
      </c>
      <c r="E5787" s="7" t="s">
        <v>156</v>
      </c>
      <c r="F5787" s="39" t="n">
        <v>45930</v>
      </c>
      <c r="G5787" s="41" t="n">
        <v>145.86</v>
      </c>
      <c r="H5787" s="39" t="n">
        <v>45950</v>
      </c>
      <c r="I5787" s="7" t="s">
        <v>14651</v>
      </c>
      <c r="J5787" s="8" t="str">
        <f aca="false">IF(I5787="Open",DATE(2025,12,31)-F5787,"-")</f>
        <v>-</v>
      </c>
    </row>
    <row r="5788" customFormat="false" ht="15" hidden="false" customHeight="false" outlineLevel="0" collapsed="false">
      <c r="B5788" s="7" t="s">
        <v>20434</v>
      </c>
      <c r="C5788" s="7" t="s">
        <v>6285</v>
      </c>
      <c r="D5788" s="7" t="s">
        <v>397</v>
      </c>
      <c r="E5788" s="7" t="s">
        <v>159</v>
      </c>
      <c r="F5788" s="39" t="n">
        <v>45930</v>
      </c>
      <c r="G5788" s="41" t="n">
        <v>124.2</v>
      </c>
      <c r="H5788" s="39" t="n">
        <v>45961</v>
      </c>
      <c r="I5788" s="7" t="s">
        <v>14651</v>
      </c>
      <c r="J5788" s="8" t="str">
        <f aca="false">IF(I5788="Open",DATE(2025,12,31)-F5788,"-")</f>
        <v>-</v>
      </c>
    </row>
    <row r="5789" customFormat="false" ht="15" hidden="false" customHeight="false" outlineLevel="0" collapsed="false">
      <c r="B5789" s="7" t="s">
        <v>20435</v>
      </c>
      <c r="C5789" s="7" t="s">
        <v>6286</v>
      </c>
      <c r="D5789" s="7" t="s">
        <v>401</v>
      </c>
      <c r="E5789" s="7" t="s">
        <v>156</v>
      </c>
      <c r="F5789" s="39" t="n">
        <v>45930</v>
      </c>
      <c r="G5789" s="41" t="n">
        <v>148.58</v>
      </c>
      <c r="H5789" s="39" t="n">
        <v>45940</v>
      </c>
      <c r="I5789" s="7" t="s">
        <v>14651</v>
      </c>
      <c r="J5789" s="8" t="str">
        <f aca="false">IF(I5789="Open",DATE(2025,12,31)-F5789,"-")</f>
        <v>-</v>
      </c>
    </row>
    <row r="5790" customFormat="false" ht="15" hidden="false" customHeight="false" outlineLevel="0" collapsed="false">
      <c r="B5790" s="7" t="s">
        <v>20436</v>
      </c>
      <c r="C5790" s="7" t="s">
        <v>6287</v>
      </c>
      <c r="D5790" s="7" t="s">
        <v>407</v>
      </c>
      <c r="E5790" s="7" t="s">
        <v>159</v>
      </c>
      <c r="F5790" s="39" t="n">
        <v>45930</v>
      </c>
      <c r="G5790" s="41" t="n">
        <v>140.4</v>
      </c>
      <c r="H5790" s="39" t="n">
        <v>45980</v>
      </c>
      <c r="I5790" s="7" t="s">
        <v>14651</v>
      </c>
      <c r="J5790" s="8" t="str">
        <f aca="false">IF(I5790="Open",DATE(2025,12,31)-F5790,"-")</f>
        <v>-</v>
      </c>
    </row>
    <row r="5791" customFormat="false" ht="15" hidden="false" customHeight="false" outlineLevel="0" collapsed="false">
      <c r="B5791" s="7" t="s">
        <v>20437</v>
      </c>
      <c r="C5791" s="7" t="s">
        <v>6288</v>
      </c>
      <c r="D5791" s="7" t="s">
        <v>288</v>
      </c>
      <c r="E5791" s="7" t="s">
        <v>156</v>
      </c>
      <c r="F5791" s="39" t="n">
        <v>45931</v>
      </c>
      <c r="G5791" s="41" t="n">
        <v>138.04</v>
      </c>
      <c r="H5791" s="39" t="n">
        <v>45942</v>
      </c>
      <c r="I5791" s="7" t="s">
        <v>14651</v>
      </c>
      <c r="J5791" s="8" t="str">
        <f aca="false">IF(I5791="Open",DATE(2025,12,31)-F5791,"-")</f>
        <v>-</v>
      </c>
    </row>
    <row r="5792" customFormat="false" ht="15" hidden="false" customHeight="false" outlineLevel="0" collapsed="false">
      <c r="B5792" s="7" t="s">
        <v>20438</v>
      </c>
      <c r="C5792" s="7" t="s">
        <v>6289</v>
      </c>
      <c r="D5792" s="7" t="s">
        <v>291</v>
      </c>
      <c r="E5792" s="7" t="s">
        <v>154</v>
      </c>
      <c r="F5792" s="39" t="n">
        <v>45931</v>
      </c>
      <c r="G5792" s="41" t="n">
        <v>118.72</v>
      </c>
      <c r="H5792" s="6" t="s">
        <v>182</v>
      </c>
      <c r="I5792" s="7" t="s">
        <v>19787</v>
      </c>
      <c r="J5792" s="8" t="n">
        <f aca="false">IF(I5792="Open",DATE(2025,12,31)-F5792,"-")</f>
        <v>91</v>
      </c>
    </row>
    <row r="5793" customFormat="false" ht="15" hidden="false" customHeight="false" outlineLevel="0" collapsed="false">
      <c r="B5793" s="7" t="s">
        <v>20439</v>
      </c>
      <c r="C5793" s="7" t="s">
        <v>6290</v>
      </c>
      <c r="D5793" s="7" t="s">
        <v>295</v>
      </c>
      <c r="E5793" s="7" t="s">
        <v>154</v>
      </c>
      <c r="F5793" s="39" t="n">
        <v>45931</v>
      </c>
      <c r="G5793" s="41" t="n">
        <v>109.71</v>
      </c>
      <c r="H5793" s="39" t="n">
        <v>45964</v>
      </c>
      <c r="I5793" s="7" t="s">
        <v>14651</v>
      </c>
      <c r="J5793" s="8" t="str">
        <f aca="false">IF(I5793="Open",DATE(2025,12,31)-F5793,"-")</f>
        <v>-</v>
      </c>
    </row>
    <row r="5794" customFormat="false" ht="15" hidden="false" customHeight="false" outlineLevel="0" collapsed="false">
      <c r="B5794" s="7" t="s">
        <v>20440</v>
      </c>
      <c r="C5794" s="7" t="s">
        <v>6291</v>
      </c>
      <c r="D5794" s="7" t="s">
        <v>305</v>
      </c>
      <c r="E5794" s="7" t="s">
        <v>154</v>
      </c>
      <c r="F5794" s="39" t="n">
        <v>45931</v>
      </c>
      <c r="G5794" s="41" t="n">
        <v>98.58</v>
      </c>
      <c r="H5794" s="39" t="n">
        <v>45974</v>
      </c>
      <c r="I5794" s="7" t="s">
        <v>14651</v>
      </c>
      <c r="J5794" s="8" t="str">
        <f aca="false">IF(I5794="Open",DATE(2025,12,31)-F5794,"-")</f>
        <v>-</v>
      </c>
    </row>
    <row r="5795" customFormat="false" ht="15" hidden="false" customHeight="false" outlineLevel="0" collapsed="false">
      <c r="B5795" s="7" t="s">
        <v>20441</v>
      </c>
      <c r="C5795" s="7" t="s">
        <v>6292</v>
      </c>
      <c r="D5795" s="7" t="s">
        <v>307</v>
      </c>
      <c r="E5795" s="7" t="s">
        <v>157</v>
      </c>
      <c r="F5795" s="39" t="n">
        <v>45931</v>
      </c>
      <c r="G5795" s="41" t="n">
        <v>179.85</v>
      </c>
      <c r="H5795" s="39" t="n">
        <v>45978</v>
      </c>
      <c r="I5795" s="7" t="s">
        <v>14651</v>
      </c>
      <c r="J5795" s="8" t="str">
        <f aca="false">IF(I5795="Open",DATE(2025,12,31)-F5795,"-")</f>
        <v>-</v>
      </c>
    </row>
    <row r="5796" customFormat="false" ht="15" hidden="false" customHeight="false" outlineLevel="0" collapsed="false">
      <c r="B5796" s="7" t="s">
        <v>20442</v>
      </c>
      <c r="C5796" s="7" t="s">
        <v>6293</v>
      </c>
      <c r="D5796" s="7" t="s">
        <v>309</v>
      </c>
      <c r="E5796" s="7" t="s">
        <v>159</v>
      </c>
      <c r="F5796" s="39" t="n">
        <v>45931</v>
      </c>
      <c r="G5796" s="41" t="n">
        <v>125.55</v>
      </c>
      <c r="H5796" s="39" t="n">
        <v>45997</v>
      </c>
      <c r="I5796" s="7" t="s">
        <v>14651</v>
      </c>
      <c r="J5796" s="8" t="str">
        <f aca="false">IF(I5796="Open",DATE(2025,12,31)-F5796,"-")</f>
        <v>-</v>
      </c>
    </row>
    <row r="5797" customFormat="false" ht="15" hidden="false" customHeight="false" outlineLevel="0" collapsed="false">
      <c r="B5797" s="7" t="s">
        <v>20443</v>
      </c>
      <c r="C5797" s="7" t="s">
        <v>6294</v>
      </c>
      <c r="D5797" s="7" t="s">
        <v>313</v>
      </c>
      <c r="E5797" s="7" t="s">
        <v>156</v>
      </c>
      <c r="F5797" s="39" t="n">
        <v>45931</v>
      </c>
      <c r="G5797" s="41" t="n">
        <v>125.12</v>
      </c>
      <c r="H5797" s="39" t="n">
        <v>45948</v>
      </c>
      <c r="I5797" s="7" t="s">
        <v>14651</v>
      </c>
      <c r="J5797" s="8" t="str">
        <f aca="false">IF(I5797="Open",DATE(2025,12,31)-F5797,"-")</f>
        <v>-</v>
      </c>
    </row>
    <row r="5798" customFormat="false" ht="15" hidden="false" customHeight="false" outlineLevel="0" collapsed="false">
      <c r="B5798" s="7" t="s">
        <v>20444</v>
      </c>
      <c r="C5798" s="7" t="s">
        <v>6295</v>
      </c>
      <c r="D5798" s="7" t="s">
        <v>315</v>
      </c>
      <c r="E5798" s="7" t="s">
        <v>159</v>
      </c>
      <c r="F5798" s="39" t="n">
        <v>45931</v>
      </c>
      <c r="G5798" s="41" t="n">
        <v>137.7</v>
      </c>
      <c r="H5798" s="39" t="n">
        <v>45985</v>
      </c>
      <c r="I5798" s="7" t="s">
        <v>14651</v>
      </c>
      <c r="J5798" s="8" t="str">
        <f aca="false">IF(I5798="Open",DATE(2025,12,31)-F5798,"-")</f>
        <v>-</v>
      </c>
    </row>
    <row r="5799" customFormat="false" ht="15" hidden="false" customHeight="false" outlineLevel="0" collapsed="false">
      <c r="B5799" s="7" t="s">
        <v>20445</v>
      </c>
      <c r="C5799" s="7" t="s">
        <v>6296</v>
      </c>
      <c r="D5799" s="7" t="s">
        <v>321</v>
      </c>
      <c r="E5799" s="7" t="s">
        <v>154</v>
      </c>
      <c r="F5799" s="39" t="n">
        <v>45931</v>
      </c>
      <c r="G5799" s="41" t="n">
        <v>98.84</v>
      </c>
      <c r="H5799" s="39" t="n">
        <v>45964</v>
      </c>
      <c r="I5799" s="7" t="s">
        <v>14651</v>
      </c>
      <c r="J5799" s="8" t="str">
        <f aca="false">IF(I5799="Open",DATE(2025,12,31)-F5799,"-")</f>
        <v>-</v>
      </c>
    </row>
    <row r="5800" customFormat="false" ht="15" hidden="false" customHeight="false" outlineLevel="0" collapsed="false">
      <c r="B5800" s="7" t="s">
        <v>20446</v>
      </c>
      <c r="C5800" s="7" t="s">
        <v>6297</v>
      </c>
      <c r="D5800" s="7" t="s">
        <v>329</v>
      </c>
      <c r="E5800" s="7" t="s">
        <v>156</v>
      </c>
      <c r="F5800" s="39" t="n">
        <v>45931</v>
      </c>
      <c r="G5800" s="41" t="n">
        <v>140.76</v>
      </c>
      <c r="H5800" s="39" t="n">
        <v>45941</v>
      </c>
      <c r="I5800" s="7" t="s">
        <v>14651</v>
      </c>
      <c r="J5800" s="8" t="str">
        <f aca="false">IF(I5800="Open",DATE(2025,12,31)-F5800,"-")</f>
        <v>-</v>
      </c>
    </row>
    <row r="5801" customFormat="false" ht="15" hidden="false" customHeight="false" outlineLevel="0" collapsed="false">
      <c r="B5801" s="7" t="s">
        <v>20447</v>
      </c>
      <c r="C5801" s="7" t="s">
        <v>6298</v>
      </c>
      <c r="D5801" s="7" t="s">
        <v>333</v>
      </c>
      <c r="E5801" s="7" t="s">
        <v>154</v>
      </c>
      <c r="F5801" s="39" t="n">
        <v>45931</v>
      </c>
      <c r="G5801" s="41" t="n">
        <v>84.83</v>
      </c>
      <c r="H5801" s="39" t="n">
        <v>45964</v>
      </c>
      <c r="I5801" s="7" t="s">
        <v>14651</v>
      </c>
      <c r="J5801" s="8" t="str">
        <f aca="false">IF(I5801="Open",DATE(2025,12,31)-F5801,"-")</f>
        <v>-</v>
      </c>
    </row>
    <row r="5802" customFormat="false" ht="15" hidden="false" customHeight="false" outlineLevel="0" collapsed="false">
      <c r="B5802" s="7" t="s">
        <v>20448</v>
      </c>
      <c r="C5802" s="7" t="s">
        <v>6299</v>
      </c>
      <c r="D5802" s="7" t="s">
        <v>339</v>
      </c>
      <c r="E5802" s="7" t="s">
        <v>154</v>
      </c>
      <c r="F5802" s="39" t="n">
        <v>45931</v>
      </c>
      <c r="G5802" s="41" t="n">
        <v>90.63</v>
      </c>
      <c r="H5802" s="39" t="n">
        <v>45978</v>
      </c>
      <c r="I5802" s="7" t="s">
        <v>14651</v>
      </c>
      <c r="J5802" s="8" t="str">
        <f aca="false">IF(I5802="Open",DATE(2025,12,31)-F5802,"-")</f>
        <v>-</v>
      </c>
    </row>
    <row r="5803" customFormat="false" ht="15" hidden="false" customHeight="false" outlineLevel="0" collapsed="false">
      <c r="B5803" s="7" t="s">
        <v>20449</v>
      </c>
      <c r="C5803" s="7" t="s">
        <v>6300</v>
      </c>
      <c r="D5803" s="7" t="s">
        <v>347</v>
      </c>
      <c r="E5803" s="7" t="s">
        <v>154</v>
      </c>
      <c r="F5803" s="39" t="n">
        <v>45931</v>
      </c>
      <c r="G5803" s="41" t="n">
        <v>121.63</v>
      </c>
      <c r="H5803" s="39" t="n">
        <v>45990</v>
      </c>
      <c r="I5803" s="7" t="s">
        <v>14651</v>
      </c>
      <c r="J5803" s="8" t="str">
        <f aca="false">IF(I5803="Open",DATE(2025,12,31)-F5803,"-")</f>
        <v>-</v>
      </c>
    </row>
    <row r="5804" customFormat="false" ht="15" hidden="false" customHeight="false" outlineLevel="0" collapsed="false">
      <c r="B5804" s="7" t="s">
        <v>20450</v>
      </c>
      <c r="C5804" s="7" t="s">
        <v>6301</v>
      </c>
      <c r="D5804" s="7" t="s">
        <v>349</v>
      </c>
      <c r="E5804" s="7" t="s">
        <v>154</v>
      </c>
      <c r="F5804" s="39" t="n">
        <v>45931</v>
      </c>
      <c r="G5804" s="41" t="n">
        <v>111.56</v>
      </c>
      <c r="H5804" s="6" t="s">
        <v>182</v>
      </c>
      <c r="I5804" s="7" t="s">
        <v>19787</v>
      </c>
      <c r="J5804" s="8" t="n">
        <f aca="false">IF(I5804="Open",DATE(2025,12,31)-F5804,"-")</f>
        <v>91</v>
      </c>
    </row>
    <row r="5805" customFormat="false" ht="15" hidden="false" customHeight="false" outlineLevel="0" collapsed="false">
      <c r="B5805" s="7" t="s">
        <v>20451</v>
      </c>
      <c r="C5805" s="7" t="s">
        <v>6302</v>
      </c>
      <c r="D5805" s="7" t="s">
        <v>355</v>
      </c>
      <c r="E5805" s="7" t="s">
        <v>154</v>
      </c>
      <c r="F5805" s="39" t="n">
        <v>45931</v>
      </c>
      <c r="G5805" s="41" t="n">
        <v>87.45</v>
      </c>
      <c r="H5805" s="39" t="n">
        <v>46014</v>
      </c>
      <c r="I5805" s="7" t="s">
        <v>14651</v>
      </c>
      <c r="J5805" s="8" t="str">
        <f aca="false">IF(I5805="Open",DATE(2025,12,31)-F5805,"-")</f>
        <v>-</v>
      </c>
    </row>
    <row r="5806" customFormat="false" ht="15" hidden="false" customHeight="false" outlineLevel="0" collapsed="false">
      <c r="B5806" s="7" t="s">
        <v>20452</v>
      </c>
      <c r="C5806" s="7" t="s">
        <v>6303</v>
      </c>
      <c r="D5806" s="7" t="s">
        <v>357</v>
      </c>
      <c r="E5806" s="7" t="s">
        <v>154</v>
      </c>
      <c r="F5806" s="39" t="n">
        <v>45931</v>
      </c>
      <c r="G5806" s="41" t="n">
        <v>89.31</v>
      </c>
      <c r="H5806" s="39" t="n">
        <v>45986</v>
      </c>
      <c r="I5806" s="7" t="s">
        <v>14651</v>
      </c>
      <c r="J5806" s="8" t="str">
        <f aca="false">IF(I5806="Open",DATE(2025,12,31)-F5806,"-")</f>
        <v>-</v>
      </c>
    </row>
    <row r="5807" customFormat="false" ht="15" hidden="false" customHeight="false" outlineLevel="0" collapsed="false">
      <c r="B5807" s="7" t="s">
        <v>20453</v>
      </c>
      <c r="C5807" s="7" t="s">
        <v>6304</v>
      </c>
      <c r="D5807" s="7" t="s">
        <v>359</v>
      </c>
      <c r="E5807" s="7" t="s">
        <v>156</v>
      </c>
      <c r="F5807" s="39" t="n">
        <v>45931</v>
      </c>
      <c r="G5807" s="41" t="n">
        <v>129.88</v>
      </c>
      <c r="H5807" s="39" t="n">
        <v>45937</v>
      </c>
      <c r="I5807" s="7" t="s">
        <v>14651</v>
      </c>
      <c r="J5807" s="8" t="str">
        <f aca="false">IF(I5807="Open",DATE(2025,12,31)-F5807,"-")</f>
        <v>-</v>
      </c>
    </row>
    <row r="5808" customFormat="false" ht="15" hidden="false" customHeight="false" outlineLevel="0" collapsed="false">
      <c r="B5808" s="7" t="s">
        <v>20454</v>
      </c>
      <c r="C5808" s="7" t="s">
        <v>6305</v>
      </c>
      <c r="D5808" s="7" t="s">
        <v>365</v>
      </c>
      <c r="E5808" s="7" t="s">
        <v>154</v>
      </c>
      <c r="F5808" s="39" t="n">
        <v>45931</v>
      </c>
      <c r="G5808" s="41" t="n">
        <v>108.99</v>
      </c>
      <c r="H5808" s="39" t="n">
        <v>45980</v>
      </c>
      <c r="I5808" s="7" t="s">
        <v>14651</v>
      </c>
      <c r="J5808" s="8" t="str">
        <f aca="false">IF(I5808="Open",DATE(2025,12,31)-F5808,"-")</f>
        <v>-</v>
      </c>
    </row>
    <row r="5809" customFormat="false" ht="15" hidden="false" customHeight="false" outlineLevel="0" collapsed="false">
      <c r="B5809" s="7" t="s">
        <v>20455</v>
      </c>
      <c r="C5809" s="7" t="s">
        <v>6306</v>
      </c>
      <c r="D5809" s="7" t="s">
        <v>371</v>
      </c>
      <c r="E5809" s="7" t="s">
        <v>154</v>
      </c>
      <c r="F5809" s="39" t="n">
        <v>45931</v>
      </c>
      <c r="G5809" s="41" t="n">
        <v>122.69</v>
      </c>
      <c r="H5809" s="6" t="s">
        <v>182</v>
      </c>
      <c r="I5809" s="7" t="s">
        <v>19787</v>
      </c>
      <c r="J5809" s="8" t="n">
        <f aca="false">IF(I5809="Open",DATE(2025,12,31)-F5809,"-")</f>
        <v>91</v>
      </c>
    </row>
    <row r="5810" customFormat="false" ht="15" hidden="false" customHeight="false" outlineLevel="0" collapsed="false">
      <c r="B5810" s="7" t="s">
        <v>20456</v>
      </c>
      <c r="C5810" s="7" t="s">
        <v>6307</v>
      </c>
      <c r="D5810" s="7" t="s">
        <v>379</v>
      </c>
      <c r="E5810" s="7" t="s">
        <v>156</v>
      </c>
      <c r="F5810" s="39" t="n">
        <v>45931</v>
      </c>
      <c r="G5810" s="41" t="n">
        <v>172.72</v>
      </c>
      <c r="H5810" s="39" t="n">
        <v>45950</v>
      </c>
      <c r="I5810" s="7" t="s">
        <v>14651</v>
      </c>
      <c r="J5810" s="8" t="str">
        <f aca="false">IF(I5810="Open",DATE(2025,12,31)-F5810,"-")</f>
        <v>-</v>
      </c>
    </row>
    <row r="5811" customFormat="false" ht="15" hidden="false" customHeight="false" outlineLevel="0" collapsed="false">
      <c r="B5811" s="7" t="s">
        <v>20457</v>
      </c>
      <c r="C5811" s="7" t="s">
        <v>6308</v>
      </c>
      <c r="D5811" s="7" t="s">
        <v>385</v>
      </c>
      <c r="E5811" s="7" t="s">
        <v>156</v>
      </c>
      <c r="F5811" s="39" t="n">
        <v>45931</v>
      </c>
      <c r="G5811" s="41" t="n">
        <v>138.38</v>
      </c>
      <c r="H5811" s="39" t="n">
        <v>45953</v>
      </c>
      <c r="I5811" s="7" t="s">
        <v>14651</v>
      </c>
      <c r="J5811" s="8" t="str">
        <f aca="false">IF(I5811="Open",DATE(2025,12,31)-F5811,"-")</f>
        <v>-</v>
      </c>
    </row>
    <row r="5812" customFormat="false" ht="15" hidden="false" customHeight="false" outlineLevel="0" collapsed="false">
      <c r="B5812" s="7" t="s">
        <v>20458</v>
      </c>
      <c r="C5812" s="7" t="s">
        <v>6309</v>
      </c>
      <c r="D5812" s="7" t="s">
        <v>387</v>
      </c>
      <c r="E5812" s="7" t="s">
        <v>154</v>
      </c>
      <c r="F5812" s="39" t="n">
        <v>45931</v>
      </c>
      <c r="G5812" s="41" t="n">
        <v>103.35</v>
      </c>
      <c r="H5812" s="39" t="n">
        <v>45981</v>
      </c>
      <c r="I5812" s="7" t="s">
        <v>14651</v>
      </c>
      <c r="J5812" s="8" t="str">
        <f aca="false">IF(I5812="Open",DATE(2025,12,31)-F5812,"-")</f>
        <v>-</v>
      </c>
    </row>
    <row r="5813" customFormat="false" ht="15" hidden="false" customHeight="false" outlineLevel="0" collapsed="false">
      <c r="B5813" s="7" t="s">
        <v>20459</v>
      </c>
      <c r="C5813" s="7" t="s">
        <v>6310</v>
      </c>
      <c r="D5813" s="7" t="s">
        <v>389</v>
      </c>
      <c r="E5813" s="7" t="s">
        <v>154</v>
      </c>
      <c r="F5813" s="39" t="n">
        <v>45931</v>
      </c>
      <c r="G5813" s="41" t="n">
        <v>100.97</v>
      </c>
      <c r="H5813" s="39" t="n">
        <v>45987</v>
      </c>
      <c r="I5813" s="7" t="s">
        <v>14651</v>
      </c>
      <c r="J5813" s="8" t="str">
        <f aca="false">IF(I5813="Open",DATE(2025,12,31)-F5813,"-")</f>
        <v>-</v>
      </c>
    </row>
    <row r="5814" customFormat="false" ht="15" hidden="false" customHeight="false" outlineLevel="0" collapsed="false">
      <c r="B5814" s="7" t="s">
        <v>20460</v>
      </c>
      <c r="C5814" s="7" t="s">
        <v>6311</v>
      </c>
      <c r="D5814" s="7" t="s">
        <v>391</v>
      </c>
      <c r="E5814" s="7" t="s">
        <v>156</v>
      </c>
      <c r="F5814" s="39" t="n">
        <v>45931</v>
      </c>
      <c r="G5814" s="41" t="n">
        <v>126.82</v>
      </c>
      <c r="H5814" s="39" t="n">
        <v>45933</v>
      </c>
      <c r="I5814" s="7" t="s">
        <v>14651</v>
      </c>
      <c r="J5814" s="8" t="str">
        <f aca="false">IF(I5814="Open",DATE(2025,12,31)-F5814,"-")</f>
        <v>-</v>
      </c>
    </row>
    <row r="5815" customFormat="false" ht="15" hidden="false" customHeight="false" outlineLevel="0" collapsed="false">
      <c r="B5815" s="7" t="s">
        <v>20461</v>
      </c>
      <c r="C5815" s="7" t="s">
        <v>6312</v>
      </c>
      <c r="D5815" s="7" t="s">
        <v>393</v>
      </c>
      <c r="E5815" s="7" t="s">
        <v>157</v>
      </c>
      <c r="F5815" s="39" t="n">
        <v>45931</v>
      </c>
      <c r="G5815" s="41" t="n">
        <v>178.2</v>
      </c>
      <c r="H5815" s="39" t="n">
        <v>45959</v>
      </c>
      <c r="I5815" s="7" t="s">
        <v>14651</v>
      </c>
      <c r="J5815" s="8" t="str">
        <f aca="false">IF(I5815="Open",DATE(2025,12,31)-F5815,"-")</f>
        <v>-</v>
      </c>
    </row>
    <row r="5816" customFormat="false" ht="15" hidden="false" customHeight="false" outlineLevel="0" collapsed="false">
      <c r="B5816" s="7" t="s">
        <v>20462</v>
      </c>
      <c r="C5816" s="7" t="s">
        <v>6313</v>
      </c>
      <c r="D5816" s="7" t="s">
        <v>395</v>
      </c>
      <c r="E5816" s="7" t="s">
        <v>156</v>
      </c>
      <c r="F5816" s="39" t="n">
        <v>45931</v>
      </c>
      <c r="G5816" s="41" t="n">
        <v>145.18</v>
      </c>
      <c r="H5816" s="39" t="n">
        <v>45942</v>
      </c>
      <c r="I5816" s="7" t="s">
        <v>14651</v>
      </c>
      <c r="J5816" s="8" t="str">
        <f aca="false">IF(I5816="Open",DATE(2025,12,31)-F5816,"-")</f>
        <v>-</v>
      </c>
    </row>
    <row r="5817" customFormat="false" ht="15" hidden="false" customHeight="false" outlineLevel="0" collapsed="false">
      <c r="B5817" s="7" t="s">
        <v>20463</v>
      </c>
      <c r="C5817" s="7" t="s">
        <v>6314</v>
      </c>
      <c r="D5817" s="7" t="s">
        <v>399</v>
      </c>
      <c r="E5817" s="7" t="s">
        <v>154</v>
      </c>
      <c r="F5817" s="39" t="n">
        <v>45931</v>
      </c>
      <c r="G5817" s="41" t="n">
        <v>81.88</v>
      </c>
      <c r="H5817" s="39" t="n">
        <v>45974</v>
      </c>
      <c r="I5817" s="7" t="s">
        <v>14651</v>
      </c>
      <c r="J5817" s="8" t="str">
        <f aca="false">IF(I5817="Open",DATE(2025,12,31)-F5817,"-")</f>
        <v>-</v>
      </c>
    </row>
    <row r="5818" customFormat="false" ht="15" hidden="false" customHeight="false" outlineLevel="0" collapsed="false">
      <c r="B5818" s="7" t="s">
        <v>20464</v>
      </c>
      <c r="C5818" s="7" t="s">
        <v>6315</v>
      </c>
      <c r="D5818" s="7" t="s">
        <v>401</v>
      </c>
      <c r="E5818" s="7" t="s">
        <v>156</v>
      </c>
      <c r="F5818" s="39" t="n">
        <v>45931</v>
      </c>
      <c r="G5818" s="41" t="n">
        <v>137.36</v>
      </c>
      <c r="H5818" s="39" t="n">
        <v>45943</v>
      </c>
      <c r="I5818" s="7" t="s">
        <v>14651</v>
      </c>
      <c r="J5818" s="8" t="str">
        <f aca="false">IF(I5818="Open",DATE(2025,12,31)-F5818,"-")</f>
        <v>-</v>
      </c>
    </row>
    <row r="5819" customFormat="false" ht="15" hidden="false" customHeight="false" outlineLevel="0" collapsed="false">
      <c r="B5819" s="7" t="s">
        <v>20465</v>
      </c>
      <c r="C5819" s="7" t="s">
        <v>6316</v>
      </c>
      <c r="D5819" s="7" t="s">
        <v>403</v>
      </c>
      <c r="E5819" s="7" t="s">
        <v>156</v>
      </c>
      <c r="F5819" s="39" t="n">
        <v>45931</v>
      </c>
      <c r="G5819" s="41" t="n">
        <v>137.36</v>
      </c>
      <c r="H5819" s="39" t="n">
        <v>45951</v>
      </c>
      <c r="I5819" s="7" t="s">
        <v>14651</v>
      </c>
      <c r="J5819" s="8" t="str">
        <f aca="false">IF(I5819="Open",DATE(2025,12,31)-F5819,"-")</f>
        <v>-</v>
      </c>
    </row>
    <row r="5820" customFormat="false" ht="15" hidden="false" customHeight="false" outlineLevel="0" collapsed="false">
      <c r="B5820" s="7" t="s">
        <v>20466</v>
      </c>
      <c r="C5820" s="7" t="s">
        <v>6317</v>
      </c>
      <c r="D5820" s="7" t="s">
        <v>409</v>
      </c>
      <c r="E5820" s="7" t="s">
        <v>154</v>
      </c>
      <c r="F5820" s="39" t="n">
        <v>45931</v>
      </c>
      <c r="G5820" s="41" t="n">
        <v>85.86</v>
      </c>
      <c r="H5820" s="6" t="s">
        <v>182</v>
      </c>
      <c r="I5820" s="7" t="s">
        <v>19787</v>
      </c>
      <c r="J5820" s="8" t="n">
        <f aca="false">IF(I5820="Open",DATE(2025,12,31)-F5820,"-")</f>
        <v>91</v>
      </c>
    </row>
    <row r="5821" customFormat="false" ht="15" hidden="false" customHeight="false" outlineLevel="0" collapsed="false">
      <c r="B5821" s="7" t="s">
        <v>20467</v>
      </c>
      <c r="C5821" s="7" t="s">
        <v>6318</v>
      </c>
      <c r="D5821" s="7" t="s">
        <v>411</v>
      </c>
      <c r="E5821" s="7" t="s">
        <v>154</v>
      </c>
      <c r="F5821" s="39" t="n">
        <v>45931</v>
      </c>
      <c r="G5821" s="41" t="n">
        <v>125.08</v>
      </c>
      <c r="H5821" s="39" t="n">
        <v>46001</v>
      </c>
      <c r="I5821" s="7" t="s">
        <v>14651</v>
      </c>
      <c r="J5821" s="8" t="str">
        <f aca="false">IF(I5821="Open",DATE(2025,12,31)-F5821,"-")</f>
        <v>-</v>
      </c>
    </row>
    <row r="5822" customFormat="false" ht="15" hidden="false" customHeight="false" outlineLevel="0" collapsed="false">
      <c r="B5822" s="7" t="s">
        <v>20468</v>
      </c>
      <c r="C5822" s="7" t="s">
        <v>6319</v>
      </c>
      <c r="D5822" s="7" t="s">
        <v>288</v>
      </c>
      <c r="E5822" s="7" t="s">
        <v>156</v>
      </c>
      <c r="F5822" s="39" t="n">
        <v>45932</v>
      </c>
      <c r="G5822" s="41" t="n">
        <v>146.2</v>
      </c>
      <c r="H5822" s="39" t="n">
        <v>45952</v>
      </c>
      <c r="I5822" s="7" t="s">
        <v>14651</v>
      </c>
      <c r="J5822" s="8" t="str">
        <f aca="false">IF(I5822="Open",DATE(2025,12,31)-F5822,"-")</f>
        <v>-</v>
      </c>
    </row>
    <row r="5823" customFormat="false" ht="15" hidden="false" customHeight="false" outlineLevel="0" collapsed="false">
      <c r="B5823" s="7" t="s">
        <v>20469</v>
      </c>
      <c r="C5823" s="7" t="s">
        <v>6320</v>
      </c>
      <c r="D5823" s="7" t="s">
        <v>297</v>
      </c>
      <c r="E5823" s="7" t="s">
        <v>156</v>
      </c>
      <c r="F5823" s="39" t="n">
        <v>45932</v>
      </c>
      <c r="G5823" s="41" t="n">
        <v>105.4</v>
      </c>
      <c r="H5823" s="39" t="n">
        <v>45937</v>
      </c>
      <c r="I5823" s="7" t="s">
        <v>14651</v>
      </c>
      <c r="J5823" s="8" t="str">
        <f aca="false">IF(I5823="Open",DATE(2025,12,31)-F5823,"-")</f>
        <v>-</v>
      </c>
    </row>
    <row r="5824" customFormat="false" ht="15" hidden="false" customHeight="false" outlineLevel="0" collapsed="false">
      <c r="B5824" s="7" t="s">
        <v>20470</v>
      </c>
      <c r="C5824" s="7" t="s">
        <v>6321</v>
      </c>
      <c r="D5824" s="7" t="s">
        <v>311</v>
      </c>
      <c r="E5824" s="7" t="s">
        <v>154</v>
      </c>
      <c r="F5824" s="39" t="n">
        <v>45932</v>
      </c>
      <c r="G5824" s="41" t="n">
        <v>81.09</v>
      </c>
      <c r="H5824" s="39" t="n">
        <v>45976</v>
      </c>
      <c r="I5824" s="7" t="s">
        <v>14651</v>
      </c>
      <c r="J5824" s="8" t="str">
        <f aca="false">IF(I5824="Open",DATE(2025,12,31)-F5824,"-")</f>
        <v>-</v>
      </c>
    </row>
    <row r="5825" customFormat="false" ht="15" hidden="false" customHeight="false" outlineLevel="0" collapsed="false">
      <c r="B5825" s="7" t="s">
        <v>20471</v>
      </c>
      <c r="C5825" s="7" t="s">
        <v>6322</v>
      </c>
      <c r="D5825" s="7" t="s">
        <v>313</v>
      </c>
      <c r="E5825" s="7" t="s">
        <v>156</v>
      </c>
      <c r="F5825" s="39" t="n">
        <v>45932</v>
      </c>
      <c r="G5825" s="41" t="n">
        <v>142.46</v>
      </c>
      <c r="H5825" s="39" t="n">
        <v>45947</v>
      </c>
      <c r="I5825" s="7" t="s">
        <v>14651</v>
      </c>
      <c r="J5825" s="8" t="str">
        <f aca="false">IF(I5825="Open",DATE(2025,12,31)-F5825,"-")</f>
        <v>-</v>
      </c>
    </row>
    <row r="5826" customFormat="false" ht="15" hidden="false" customHeight="false" outlineLevel="0" collapsed="false">
      <c r="B5826" s="7" t="s">
        <v>20472</v>
      </c>
      <c r="C5826" s="7" t="s">
        <v>6323</v>
      </c>
      <c r="D5826" s="7" t="s">
        <v>317</v>
      </c>
      <c r="E5826" s="7" t="s">
        <v>156</v>
      </c>
      <c r="F5826" s="39" t="n">
        <v>45932</v>
      </c>
      <c r="G5826" s="41" t="n">
        <v>111.86</v>
      </c>
      <c r="H5826" s="39" t="n">
        <v>45940</v>
      </c>
      <c r="I5826" s="7" t="s">
        <v>14651</v>
      </c>
      <c r="J5826" s="8" t="str">
        <f aca="false">IF(I5826="Open",DATE(2025,12,31)-F5826,"-")</f>
        <v>-</v>
      </c>
    </row>
    <row r="5827" customFormat="false" ht="15" hidden="false" customHeight="false" outlineLevel="0" collapsed="false">
      <c r="B5827" s="7" t="s">
        <v>20473</v>
      </c>
      <c r="C5827" s="7" t="s">
        <v>6324</v>
      </c>
      <c r="D5827" s="7" t="s">
        <v>321</v>
      </c>
      <c r="E5827" s="7" t="s">
        <v>154</v>
      </c>
      <c r="F5827" s="39" t="n">
        <v>45932</v>
      </c>
      <c r="G5827" s="41" t="n">
        <v>101.79</v>
      </c>
      <c r="H5827" s="6" t="s">
        <v>182</v>
      </c>
      <c r="I5827" s="7" t="s">
        <v>19787</v>
      </c>
      <c r="J5827" s="8" t="n">
        <f aca="false">IF(I5827="Open",DATE(2025,12,31)-F5827,"-")</f>
        <v>90</v>
      </c>
    </row>
    <row r="5828" customFormat="false" ht="15" hidden="false" customHeight="false" outlineLevel="0" collapsed="false">
      <c r="B5828" s="7" t="s">
        <v>20474</v>
      </c>
      <c r="C5828" s="7" t="s">
        <v>6325</v>
      </c>
      <c r="D5828" s="7" t="s">
        <v>325</v>
      </c>
      <c r="E5828" s="7" t="s">
        <v>154</v>
      </c>
      <c r="F5828" s="39" t="n">
        <v>45932</v>
      </c>
      <c r="G5828" s="41" t="n">
        <v>71.55</v>
      </c>
      <c r="H5828" s="6" t="s">
        <v>182</v>
      </c>
      <c r="I5828" s="7" t="s">
        <v>19787</v>
      </c>
      <c r="J5828" s="8" t="n">
        <f aca="false">IF(I5828="Open",DATE(2025,12,31)-F5828,"-")</f>
        <v>90</v>
      </c>
    </row>
    <row r="5829" customFormat="false" ht="15" hidden="false" customHeight="false" outlineLevel="0" collapsed="false">
      <c r="B5829" s="7" t="s">
        <v>20475</v>
      </c>
      <c r="C5829" s="7" t="s">
        <v>6326</v>
      </c>
      <c r="D5829" s="7" t="s">
        <v>329</v>
      </c>
      <c r="E5829" s="7" t="s">
        <v>156</v>
      </c>
      <c r="F5829" s="39" t="n">
        <v>45932</v>
      </c>
      <c r="G5829" s="41" t="n">
        <v>143.14</v>
      </c>
      <c r="H5829" s="39" t="n">
        <v>45944</v>
      </c>
      <c r="I5829" s="7" t="s">
        <v>14651</v>
      </c>
      <c r="J5829" s="8" t="str">
        <f aca="false">IF(I5829="Open",DATE(2025,12,31)-F5829,"-")</f>
        <v>-</v>
      </c>
    </row>
    <row r="5830" customFormat="false" ht="15" hidden="false" customHeight="false" outlineLevel="0" collapsed="false">
      <c r="B5830" s="7" t="s">
        <v>20476</v>
      </c>
      <c r="C5830" s="7" t="s">
        <v>6327</v>
      </c>
      <c r="D5830" s="7" t="s">
        <v>331</v>
      </c>
      <c r="E5830" s="7" t="s">
        <v>156</v>
      </c>
      <c r="F5830" s="39" t="n">
        <v>45932</v>
      </c>
      <c r="G5830" s="41" t="n">
        <v>146.2</v>
      </c>
      <c r="H5830" s="39" t="n">
        <v>45939</v>
      </c>
      <c r="I5830" s="7" t="s">
        <v>14651</v>
      </c>
      <c r="J5830" s="8" t="str">
        <f aca="false">IF(I5830="Open",DATE(2025,12,31)-F5830,"-")</f>
        <v>-</v>
      </c>
    </row>
    <row r="5831" customFormat="false" ht="15" hidden="false" customHeight="false" outlineLevel="0" collapsed="false">
      <c r="B5831" s="7" t="s">
        <v>20477</v>
      </c>
      <c r="C5831" s="7" t="s">
        <v>6328</v>
      </c>
      <c r="D5831" s="7" t="s">
        <v>341</v>
      </c>
      <c r="E5831" s="7" t="s">
        <v>156</v>
      </c>
      <c r="F5831" s="39" t="n">
        <v>45932</v>
      </c>
      <c r="G5831" s="41" t="n">
        <v>92.14</v>
      </c>
      <c r="H5831" s="39" t="n">
        <v>45944</v>
      </c>
      <c r="I5831" s="7" t="s">
        <v>14651</v>
      </c>
      <c r="J5831" s="8" t="str">
        <f aca="false">IF(I5831="Open",DATE(2025,12,31)-F5831,"-")</f>
        <v>-</v>
      </c>
    </row>
    <row r="5832" customFormat="false" ht="15" hidden="false" customHeight="false" outlineLevel="0" collapsed="false">
      <c r="B5832" s="7" t="s">
        <v>20478</v>
      </c>
      <c r="C5832" s="7" t="s">
        <v>6329</v>
      </c>
      <c r="D5832" s="7" t="s">
        <v>343</v>
      </c>
      <c r="E5832" s="7" t="s">
        <v>154</v>
      </c>
      <c r="F5832" s="39" t="n">
        <v>45932</v>
      </c>
      <c r="G5832" s="41" t="n">
        <v>101.5</v>
      </c>
      <c r="H5832" s="6" t="s">
        <v>182</v>
      </c>
      <c r="I5832" s="7" t="s">
        <v>19787</v>
      </c>
      <c r="J5832" s="8" t="n">
        <f aca="false">IF(I5832="Open",DATE(2025,12,31)-F5832,"-")</f>
        <v>90</v>
      </c>
    </row>
    <row r="5833" customFormat="false" ht="15" hidden="false" customHeight="false" outlineLevel="0" collapsed="false">
      <c r="B5833" s="7" t="s">
        <v>20479</v>
      </c>
      <c r="C5833" s="7" t="s">
        <v>6330</v>
      </c>
      <c r="D5833" s="7" t="s">
        <v>349</v>
      </c>
      <c r="E5833" s="7" t="s">
        <v>154</v>
      </c>
      <c r="F5833" s="39" t="n">
        <v>45932</v>
      </c>
      <c r="G5833" s="41" t="n">
        <v>104.68</v>
      </c>
      <c r="H5833" s="39" t="n">
        <v>45989</v>
      </c>
      <c r="I5833" s="7" t="s">
        <v>14651</v>
      </c>
      <c r="J5833" s="8" t="str">
        <f aca="false">IF(I5833="Open",DATE(2025,12,31)-F5833,"-")</f>
        <v>-</v>
      </c>
    </row>
    <row r="5834" customFormat="false" ht="15" hidden="false" customHeight="false" outlineLevel="0" collapsed="false">
      <c r="B5834" s="7" t="s">
        <v>20480</v>
      </c>
      <c r="C5834" s="7" t="s">
        <v>6331</v>
      </c>
      <c r="D5834" s="7" t="s">
        <v>351</v>
      </c>
      <c r="E5834" s="7" t="s">
        <v>154</v>
      </c>
      <c r="F5834" s="39" t="n">
        <v>45932</v>
      </c>
      <c r="G5834" s="41" t="n">
        <v>87.19</v>
      </c>
      <c r="H5834" s="39" t="n">
        <v>46002</v>
      </c>
      <c r="I5834" s="7" t="s">
        <v>14651</v>
      </c>
      <c r="J5834" s="8" t="str">
        <f aca="false">IF(I5834="Open",DATE(2025,12,31)-F5834,"-")</f>
        <v>-</v>
      </c>
    </row>
    <row r="5835" customFormat="false" ht="15" hidden="false" customHeight="false" outlineLevel="0" collapsed="false">
      <c r="B5835" s="7" t="s">
        <v>20481</v>
      </c>
      <c r="C5835" s="7" t="s">
        <v>6332</v>
      </c>
      <c r="D5835" s="7" t="s">
        <v>359</v>
      </c>
      <c r="E5835" s="7" t="s">
        <v>156</v>
      </c>
      <c r="F5835" s="39" t="n">
        <v>45932</v>
      </c>
      <c r="G5835" s="41" t="n">
        <v>136</v>
      </c>
      <c r="H5835" s="39" t="n">
        <v>45951</v>
      </c>
      <c r="I5835" s="7" t="s">
        <v>14651</v>
      </c>
      <c r="J5835" s="8" t="str">
        <f aca="false">IF(I5835="Open",DATE(2025,12,31)-F5835,"-")</f>
        <v>-</v>
      </c>
    </row>
    <row r="5836" customFormat="false" ht="15" hidden="false" customHeight="false" outlineLevel="0" collapsed="false">
      <c r="B5836" s="7" t="s">
        <v>20482</v>
      </c>
      <c r="C5836" s="7" t="s">
        <v>6333</v>
      </c>
      <c r="D5836" s="7" t="s">
        <v>363</v>
      </c>
      <c r="E5836" s="7" t="s">
        <v>156</v>
      </c>
      <c r="F5836" s="39" t="n">
        <v>45932</v>
      </c>
      <c r="G5836" s="41" t="n">
        <v>136.68</v>
      </c>
      <c r="H5836" s="39" t="n">
        <v>45941</v>
      </c>
      <c r="I5836" s="7" t="s">
        <v>14651</v>
      </c>
      <c r="J5836" s="8" t="str">
        <f aca="false">IF(I5836="Open",DATE(2025,12,31)-F5836,"-")</f>
        <v>-</v>
      </c>
    </row>
    <row r="5837" customFormat="false" ht="15" hidden="false" customHeight="false" outlineLevel="0" collapsed="false">
      <c r="B5837" s="7" t="s">
        <v>20483</v>
      </c>
      <c r="C5837" s="7" t="s">
        <v>6334</v>
      </c>
      <c r="D5837" s="7" t="s">
        <v>365</v>
      </c>
      <c r="E5837" s="7" t="s">
        <v>154</v>
      </c>
      <c r="F5837" s="39" t="n">
        <v>45932</v>
      </c>
      <c r="G5837" s="41" t="n">
        <v>112.36</v>
      </c>
      <c r="H5837" s="39" t="n">
        <v>45950</v>
      </c>
      <c r="I5837" s="7" t="s">
        <v>14651</v>
      </c>
      <c r="J5837" s="8" t="str">
        <f aca="false">IF(I5837="Open",DATE(2025,12,31)-F5837,"-")</f>
        <v>-</v>
      </c>
    </row>
    <row r="5838" customFormat="false" ht="15" hidden="false" customHeight="false" outlineLevel="0" collapsed="false">
      <c r="B5838" s="7" t="s">
        <v>20484</v>
      </c>
      <c r="C5838" s="7" t="s">
        <v>6335</v>
      </c>
      <c r="D5838" s="7" t="s">
        <v>375</v>
      </c>
      <c r="E5838" s="7" t="s">
        <v>156</v>
      </c>
      <c r="F5838" s="39" t="n">
        <v>45932</v>
      </c>
      <c r="G5838" s="41" t="n">
        <v>95.88</v>
      </c>
      <c r="H5838" s="39" t="n">
        <v>45942</v>
      </c>
      <c r="I5838" s="7" t="s">
        <v>14651</v>
      </c>
      <c r="J5838" s="8" t="str">
        <f aca="false">IF(I5838="Open",DATE(2025,12,31)-F5838,"-")</f>
        <v>-</v>
      </c>
    </row>
    <row r="5839" customFormat="false" ht="15" hidden="false" customHeight="false" outlineLevel="0" collapsed="false">
      <c r="B5839" s="7" t="s">
        <v>20485</v>
      </c>
      <c r="C5839" s="7" t="s">
        <v>6336</v>
      </c>
      <c r="D5839" s="7" t="s">
        <v>377</v>
      </c>
      <c r="E5839" s="7" t="s">
        <v>154</v>
      </c>
      <c r="F5839" s="39" t="n">
        <v>45932</v>
      </c>
      <c r="G5839" s="41" t="n">
        <v>96.46</v>
      </c>
      <c r="H5839" s="39" t="n">
        <v>46006</v>
      </c>
      <c r="I5839" s="7" t="s">
        <v>14651</v>
      </c>
      <c r="J5839" s="8" t="str">
        <f aca="false">IF(I5839="Open",DATE(2025,12,31)-F5839,"-")</f>
        <v>-</v>
      </c>
    </row>
    <row r="5840" customFormat="false" ht="15" hidden="false" customHeight="false" outlineLevel="0" collapsed="false">
      <c r="B5840" s="7" t="s">
        <v>20486</v>
      </c>
      <c r="C5840" s="7" t="s">
        <v>6337</v>
      </c>
      <c r="D5840" s="7" t="s">
        <v>387</v>
      </c>
      <c r="E5840" s="7" t="s">
        <v>154</v>
      </c>
      <c r="F5840" s="39" t="n">
        <v>45932</v>
      </c>
      <c r="G5840" s="41" t="n">
        <v>115.54</v>
      </c>
      <c r="H5840" s="39" t="n">
        <v>46016</v>
      </c>
      <c r="I5840" s="7" t="s">
        <v>14651</v>
      </c>
      <c r="J5840" s="8" t="str">
        <f aca="false">IF(I5840="Open",DATE(2025,12,31)-F5840,"-")</f>
        <v>-</v>
      </c>
    </row>
    <row r="5841" customFormat="false" ht="15" hidden="false" customHeight="false" outlineLevel="0" collapsed="false">
      <c r="B5841" s="7" t="s">
        <v>20487</v>
      </c>
      <c r="C5841" s="7" t="s">
        <v>6338</v>
      </c>
      <c r="D5841" s="7" t="s">
        <v>389</v>
      </c>
      <c r="E5841" s="7" t="s">
        <v>154</v>
      </c>
      <c r="F5841" s="39" t="n">
        <v>45932</v>
      </c>
      <c r="G5841" s="41" t="n">
        <v>115.27</v>
      </c>
      <c r="H5841" s="39" t="n">
        <v>45970</v>
      </c>
      <c r="I5841" s="7" t="s">
        <v>14651</v>
      </c>
      <c r="J5841" s="8" t="str">
        <f aca="false">IF(I5841="Open",DATE(2025,12,31)-F5841,"-")</f>
        <v>-</v>
      </c>
    </row>
    <row r="5842" customFormat="false" ht="15" hidden="false" customHeight="false" outlineLevel="0" collapsed="false">
      <c r="B5842" s="7" t="s">
        <v>20488</v>
      </c>
      <c r="C5842" s="7" t="s">
        <v>6339</v>
      </c>
      <c r="D5842" s="7" t="s">
        <v>391</v>
      </c>
      <c r="E5842" s="7" t="s">
        <v>156</v>
      </c>
      <c r="F5842" s="39" t="n">
        <v>45932</v>
      </c>
      <c r="G5842" s="41" t="n">
        <v>131.58</v>
      </c>
      <c r="H5842" s="39" t="n">
        <v>45938</v>
      </c>
      <c r="I5842" s="7" t="s">
        <v>14651</v>
      </c>
      <c r="J5842" s="8" t="str">
        <f aca="false">IF(I5842="Open",DATE(2025,12,31)-F5842,"-")</f>
        <v>-</v>
      </c>
    </row>
    <row r="5843" customFormat="false" ht="15" hidden="false" customHeight="false" outlineLevel="0" collapsed="false">
      <c r="B5843" s="7" t="s">
        <v>20489</v>
      </c>
      <c r="C5843" s="7" t="s">
        <v>6340</v>
      </c>
      <c r="D5843" s="7" t="s">
        <v>395</v>
      </c>
      <c r="E5843" s="7" t="s">
        <v>156</v>
      </c>
      <c r="F5843" s="39" t="n">
        <v>45932</v>
      </c>
      <c r="G5843" s="41" t="n">
        <v>133.28</v>
      </c>
      <c r="H5843" s="39" t="n">
        <v>45944</v>
      </c>
      <c r="I5843" s="7" t="s">
        <v>14651</v>
      </c>
      <c r="J5843" s="8" t="str">
        <f aca="false">IF(I5843="Open",DATE(2025,12,31)-F5843,"-")</f>
        <v>-</v>
      </c>
    </row>
    <row r="5844" customFormat="false" ht="15" hidden="false" customHeight="false" outlineLevel="0" collapsed="false">
      <c r="B5844" s="7" t="s">
        <v>20490</v>
      </c>
      <c r="C5844" s="7" t="s">
        <v>6341</v>
      </c>
      <c r="D5844" s="7" t="s">
        <v>401</v>
      </c>
      <c r="E5844" s="7" t="s">
        <v>156</v>
      </c>
      <c r="F5844" s="39" t="n">
        <v>45932</v>
      </c>
      <c r="G5844" s="41" t="n">
        <v>147.9</v>
      </c>
      <c r="H5844" s="39" t="n">
        <v>45935</v>
      </c>
      <c r="I5844" s="7" t="s">
        <v>14651</v>
      </c>
      <c r="J5844" s="8" t="str">
        <f aca="false">IF(I5844="Open",DATE(2025,12,31)-F5844,"-")</f>
        <v>-</v>
      </c>
    </row>
    <row r="5845" customFormat="false" ht="15" hidden="false" customHeight="false" outlineLevel="0" collapsed="false">
      <c r="B5845" s="7" t="s">
        <v>20491</v>
      </c>
      <c r="C5845" s="7" t="s">
        <v>6342</v>
      </c>
      <c r="D5845" s="7" t="s">
        <v>288</v>
      </c>
      <c r="E5845" s="7" t="s">
        <v>156</v>
      </c>
      <c r="F5845" s="39" t="n">
        <v>45933</v>
      </c>
      <c r="G5845" s="41" t="n">
        <v>125.8</v>
      </c>
      <c r="H5845" s="39" t="n">
        <v>45947</v>
      </c>
      <c r="I5845" s="7" t="s">
        <v>14651</v>
      </c>
      <c r="J5845" s="8" t="str">
        <f aca="false">IF(I5845="Open",DATE(2025,12,31)-F5845,"-")</f>
        <v>-</v>
      </c>
    </row>
    <row r="5846" customFormat="false" ht="15" hidden="false" customHeight="false" outlineLevel="0" collapsed="false">
      <c r="B5846" s="7" t="s">
        <v>20492</v>
      </c>
      <c r="C5846" s="7" t="s">
        <v>6343</v>
      </c>
      <c r="D5846" s="7" t="s">
        <v>291</v>
      </c>
      <c r="E5846" s="7" t="s">
        <v>154</v>
      </c>
      <c r="F5846" s="39" t="n">
        <v>45933</v>
      </c>
      <c r="G5846" s="41" t="n">
        <v>122.17</v>
      </c>
      <c r="H5846" s="39" t="n">
        <v>46019</v>
      </c>
      <c r="I5846" s="7" t="s">
        <v>14651</v>
      </c>
      <c r="J5846" s="8" t="str">
        <f aca="false">IF(I5846="Open",DATE(2025,12,31)-F5846,"-")</f>
        <v>-</v>
      </c>
    </row>
    <row r="5847" customFormat="false" ht="15" hidden="false" customHeight="false" outlineLevel="0" collapsed="false">
      <c r="B5847" s="7" t="s">
        <v>20493</v>
      </c>
      <c r="C5847" s="7" t="s">
        <v>6344</v>
      </c>
      <c r="D5847" s="7" t="s">
        <v>293</v>
      </c>
      <c r="E5847" s="7" t="s">
        <v>157</v>
      </c>
      <c r="F5847" s="39" t="n">
        <v>45933</v>
      </c>
      <c r="G5847" s="41" t="n">
        <v>163.35</v>
      </c>
      <c r="H5847" s="39" t="n">
        <v>46001</v>
      </c>
      <c r="I5847" s="7" t="s">
        <v>14651</v>
      </c>
      <c r="J5847" s="8" t="str">
        <f aca="false">IF(I5847="Open",DATE(2025,12,31)-F5847,"-")</f>
        <v>-</v>
      </c>
    </row>
    <row r="5848" customFormat="false" ht="15" hidden="false" customHeight="false" outlineLevel="0" collapsed="false">
      <c r="B5848" s="7" t="s">
        <v>20494</v>
      </c>
      <c r="C5848" s="7" t="s">
        <v>6345</v>
      </c>
      <c r="D5848" s="7" t="s">
        <v>295</v>
      </c>
      <c r="E5848" s="7" t="s">
        <v>154</v>
      </c>
      <c r="F5848" s="39" t="n">
        <v>45933</v>
      </c>
      <c r="G5848" s="41" t="n">
        <v>99.11</v>
      </c>
      <c r="H5848" s="39" t="n">
        <v>45997</v>
      </c>
      <c r="I5848" s="7" t="s">
        <v>14651</v>
      </c>
      <c r="J5848" s="8" t="str">
        <f aca="false">IF(I5848="Open",DATE(2025,12,31)-F5848,"-")</f>
        <v>-</v>
      </c>
    </row>
    <row r="5849" customFormat="false" ht="15" hidden="false" customHeight="false" outlineLevel="0" collapsed="false">
      <c r="B5849" s="7" t="s">
        <v>20495</v>
      </c>
      <c r="C5849" s="7" t="s">
        <v>6346</v>
      </c>
      <c r="D5849" s="7" t="s">
        <v>301</v>
      </c>
      <c r="E5849" s="7" t="s">
        <v>157</v>
      </c>
      <c r="F5849" s="39" t="n">
        <v>45933</v>
      </c>
      <c r="G5849" s="41" t="n">
        <v>155.1</v>
      </c>
      <c r="H5849" s="39" t="n">
        <v>46011</v>
      </c>
      <c r="I5849" s="7" t="s">
        <v>14651</v>
      </c>
      <c r="J5849" s="8" t="str">
        <f aca="false">IF(I5849="Open",DATE(2025,12,31)-F5849,"-")</f>
        <v>-</v>
      </c>
    </row>
    <row r="5850" customFormat="false" ht="15" hidden="false" customHeight="false" outlineLevel="0" collapsed="false">
      <c r="B5850" s="7" t="s">
        <v>20496</v>
      </c>
      <c r="C5850" s="7" t="s">
        <v>6347</v>
      </c>
      <c r="D5850" s="7" t="s">
        <v>305</v>
      </c>
      <c r="E5850" s="7" t="s">
        <v>154</v>
      </c>
      <c r="F5850" s="39" t="n">
        <v>45933</v>
      </c>
      <c r="G5850" s="41" t="n">
        <v>104.68</v>
      </c>
      <c r="H5850" s="39" t="n">
        <v>46016</v>
      </c>
      <c r="I5850" s="7" t="s">
        <v>14651</v>
      </c>
      <c r="J5850" s="8" t="str">
        <f aca="false">IF(I5850="Open",DATE(2025,12,31)-F5850,"-")</f>
        <v>-</v>
      </c>
    </row>
    <row r="5851" customFormat="false" ht="15" hidden="false" customHeight="false" outlineLevel="0" collapsed="false">
      <c r="B5851" s="7" t="s">
        <v>20497</v>
      </c>
      <c r="C5851" s="7" t="s">
        <v>6348</v>
      </c>
      <c r="D5851" s="7" t="s">
        <v>307</v>
      </c>
      <c r="E5851" s="7" t="s">
        <v>157</v>
      </c>
      <c r="F5851" s="39" t="n">
        <v>45933</v>
      </c>
      <c r="G5851" s="41" t="n">
        <v>165</v>
      </c>
      <c r="H5851" s="39" t="n">
        <v>46019</v>
      </c>
      <c r="I5851" s="7" t="s">
        <v>14651</v>
      </c>
      <c r="J5851" s="8" t="str">
        <f aca="false">IF(I5851="Open",DATE(2025,12,31)-F5851,"-")</f>
        <v>-</v>
      </c>
    </row>
    <row r="5852" customFormat="false" ht="15" hidden="false" customHeight="false" outlineLevel="0" collapsed="false">
      <c r="B5852" s="7" t="s">
        <v>20498</v>
      </c>
      <c r="C5852" s="7" t="s">
        <v>6349</v>
      </c>
      <c r="D5852" s="7" t="s">
        <v>309</v>
      </c>
      <c r="E5852" s="7" t="s">
        <v>159</v>
      </c>
      <c r="F5852" s="39" t="n">
        <v>45933</v>
      </c>
      <c r="G5852" s="41" t="n">
        <v>140.4</v>
      </c>
      <c r="H5852" s="39" t="n">
        <v>45978</v>
      </c>
      <c r="I5852" s="7" t="s">
        <v>14651</v>
      </c>
      <c r="J5852" s="8" t="str">
        <f aca="false">IF(I5852="Open",DATE(2025,12,31)-F5852,"-")</f>
        <v>-</v>
      </c>
    </row>
    <row r="5853" customFormat="false" ht="15" hidden="false" customHeight="false" outlineLevel="0" collapsed="false">
      <c r="B5853" s="7" t="s">
        <v>20499</v>
      </c>
      <c r="C5853" s="7" t="s">
        <v>6350</v>
      </c>
      <c r="D5853" s="7" t="s">
        <v>313</v>
      </c>
      <c r="E5853" s="7" t="s">
        <v>156</v>
      </c>
      <c r="F5853" s="39" t="n">
        <v>45933</v>
      </c>
      <c r="G5853" s="41" t="n">
        <v>138.72</v>
      </c>
      <c r="H5853" s="39" t="n">
        <v>45947</v>
      </c>
      <c r="I5853" s="7" t="s">
        <v>14651</v>
      </c>
      <c r="J5853" s="8" t="str">
        <f aca="false">IF(I5853="Open",DATE(2025,12,31)-F5853,"-")</f>
        <v>-</v>
      </c>
    </row>
    <row r="5854" customFormat="false" ht="15" hidden="false" customHeight="false" outlineLevel="0" collapsed="false">
      <c r="B5854" s="7" t="s">
        <v>20500</v>
      </c>
      <c r="C5854" s="7" t="s">
        <v>6351</v>
      </c>
      <c r="D5854" s="7" t="s">
        <v>315</v>
      </c>
      <c r="E5854" s="7" t="s">
        <v>159</v>
      </c>
      <c r="F5854" s="39" t="n">
        <v>45933</v>
      </c>
      <c r="G5854" s="41" t="n">
        <v>143.1</v>
      </c>
      <c r="H5854" s="39" t="n">
        <v>45972</v>
      </c>
      <c r="I5854" s="7" t="s">
        <v>14651</v>
      </c>
      <c r="J5854" s="8" t="str">
        <f aca="false">IF(I5854="Open",DATE(2025,12,31)-F5854,"-")</f>
        <v>-</v>
      </c>
    </row>
    <row r="5855" customFormat="false" ht="15" hidden="false" customHeight="false" outlineLevel="0" collapsed="false">
      <c r="B5855" s="7" t="s">
        <v>20501</v>
      </c>
      <c r="C5855" s="7" t="s">
        <v>6352</v>
      </c>
      <c r="D5855" s="7" t="s">
        <v>319</v>
      </c>
      <c r="E5855" s="7" t="s">
        <v>157</v>
      </c>
      <c r="F5855" s="39" t="n">
        <v>45933</v>
      </c>
      <c r="G5855" s="41" t="n">
        <v>148.5</v>
      </c>
      <c r="H5855" s="39" t="n">
        <v>45975</v>
      </c>
      <c r="I5855" s="7" t="s">
        <v>14651</v>
      </c>
      <c r="J5855" s="8" t="str">
        <f aca="false">IF(I5855="Open",DATE(2025,12,31)-F5855,"-")</f>
        <v>-</v>
      </c>
    </row>
    <row r="5856" customFormat="false" ht="15" hidden="false" customHeight="false" outlineLevel="0" collapsed="false">
      <c r="B5856" s="7" t="s">
        <v>20502</v>
      </c>
      <c r="C5856" s="7" t="s">
        <v>6353</v>
      </c>
      <c r="D5856" s="7" t="s">
        <v>321</v>
      </c>
      <c r="E5856" s="7" t="s">
        <v>154</v>
      </c>
      <c r="F5856" s="39" t="n">
        <v>45933</v>
      </c>
      <c r="G5856" s="41" t="n">
        <v>101.5</v>
      </c>
      <c r="H5856" s="39" t="n">
        <v>45995</v>
      </c>
      <c r="I5856" s="7" t="s">
        <v>14651</v>
      </c>
      <c r="J5856" s="8" t="str">
        <f aca="false">IF(I5856="Open",DATE(2025,12,31)-F5856,"-")</f>
        <v>-</v>
      </c>
    </row>
    <row r="5857" customFormat="false" ht="15" hidden="false" customHeight="false" outlineLevel="0" collapsed="false">
      <c r="B5857" s="7" t="s">
        <v>20503</v>
      </c>
      <c r="C5857" s="7" t="s">
        <v>6354</v>
      </c>
      <c r="D5857" s="7" t="s">
        <v>323</v>
      </c>
      <c r="E5857" s="7" t="s">
        <v>159</v>
      </c>
      <c r="F5857" s="39" t="n">
        <v>45933</v>
      </c>
      <c r="G5857" s="41" t="n">
        <v>116.78</v>
      </c>
      <c r="H5857" s="39" t="n">
        <v>46008</v>
      </c>
      <c r="I5857" s="7" t="s">
        <v>14651</v>
      </c>
      <c r="J5857" s="8" t="str">
        <f aca="false">IF(I5857="Open",DATE(2025,12,31)-F5857,"-")</f>
        <v>-</v>
      </c>
    </row>
    <row r="5858" customFormat="false" ht="15" hidden="false" customHeight="false" outlineLevel="0" collapsed="false">
      <c r="B5858" s="7" t="s">
        <v>20504</v>
      </c>
      <c r="C5858" s="7" t="s">
        <v>6355</v>
      </c>
      <c r="D5858" s="7" t="s">
        <v>327</v>
      </c>
      <c r="E5858" s="7" t="s">
        <v>157</v>
      </c>
      <c r="F5858" s="39" t="n">
        <v>45933</v>
      </c>
      <c r="G5858" s="41" t="n">
        <v>173.25</v>
      </c>
      <c r="H5858" s="39" t="n">
        <v>45985</v>
      </c>
      <c r="I5858" s="7" t="s">
        <v>14651</v>
      </c>
      <c r="J5858" s="8" t="str">
        <f aca="false">IF(I5858="Open",DATE(2025,12,31)-F5858,"-")</f>
        <v>-</v>
      </c>
    </row>
    <row r="5859" customFormat="false" ht="15" hidden="false" customHeight="false" outlineLevel="0" collapsed="false">
      <c r="B5859" s="7" t="s">
        <v>20505</v>
      </c>
      <c r="C5859" s="7" t="s">
        <v>6356</v>
      </c>
      <c r="D5859" s="7" t="s">
        <v>329</v>
      </c>
      <c r="E5859" s="7" t="s">
        <v>156</v>
      </c>
      <c r="F5859" s="39" t="n">
        <v>45933</v>
      </c>
      <c r="G5859" s="41" t="n">
        <v>148.24</v>
      </c>
      <c r="H5859" s="39" t="n">
        <v>45934</v>
      </c>
      <c r="I5859" s="7" t="s">
        <v>14651</v>
      </c>
      <c r="J5859" s="8" t="str">
        <f aca="false">IF(I5859="Open",DATE(2025,12,31)-F5859,"-")</f>
        <v>-</v>
      </c>
    </row>
    <row r="5860" customFormat="false" ht="15" hidden="false" customHeight="false" outlineLevel="0" collapsed="false">
      <c r="B5860" s="7" t="s">
        <v>20506</v>
      </c>
      <c r="C5860" s="7" t="s">
        <v>6357</v>
      </c>
      <c r="D5860" s="7" t="s">
        <v>333</v>
      </c>
      <c r="E5860" s="7" t="s">
        <v>154</v>
      </c>
      <c r="F5860" s="39" t="n">
        <v>45933</v>
      </c>
      <c r="G5860" s="41" t="n">
        <v>92.22</v>
      </c>
      <c r="H5860" s="39" t="n">
        <v>45975</v>
      </c>
      <c r="I5860" s="7" t="s">
        <v>14651</v>
      </c>
      <c r="J5860" s="8" t="str">
        <f aca="false">IF(I5860="Open",DATE(2025,12,31)-F5860,"-")</f>
        <v>-</v>
      </c>
    </row>
    <row r="5861" customFormat="false" ht="15" hidden="false" customHeight="false" outlineLevel="0" collapsed="false">
      <c r="B5861" s="7" t="s">
        <v>20507</v>
      </c>
      <c r="C5861" s="7" t="s">
        <v>6358</v>
      </c>
      <c r="D5861" s="7" t="s">
        <v>335</v>
      </c>
      <c r="E5861" s="7" t="s">
        <v>154</v>
      </c>
      <c r="F5861" s="39" t="n">
        <v>45933</v>
      </c>
      <c r="G5861" s="41" t="n">
        <v>108.92</v>
      </c>
      <c r="H5861" s="39" t="n">
        <v>45989</v>
      </c>
      <c r="I5861" s="7" t="s">
        <v>14651</v>
      </c>
      <c r="J5861" s="8" t="str">
        <f aca="false">IF(I5861="Open",DATE(2025,12,31)-F5861,"-")</f>
        <v>-</v>
      </c>
    </row>
    <row r="5862" customFormat="false" ht="15" hidden="false" customHeight="false" outlineLevel="0" collapsed="false">
      <c r="B5862" s="7" t="s">
        <v>20508</v>
      </c>
      <c r="C5862" s="7" t="s">
        <v>6359</v>
      </c>
      <c r="D5862" s="7" t="s">
        <v>339</v>
      </c>
      <c r="E5862" s="7" t="s">
        <v>154</v>
      </c>
      <c r="F5862" s="39" t="n">
        <v>45933</v>
      </c>
      <c r="G5862" s="41" t="n">
        <v>82.15</v>
      </c>
      <c r="H5862" s="6" t="s">
        <v>182</v>
      </c>
      <c r="I5862" s="7" t="s">
        <v>19787</v>
      </c>
      <c r="J5862" s="8" t="n">
        <f aca="false">IF(I5862="Open",DATE(2025,12,31)-F5862,"-")</f>
        <v>89</v>
      </c>
    </row>
    <row r="5863" customFormat="false" ht="15" hidden="false" customHeight="false" outlineLevel="0" collapsed="false">
      <c r="B5863" s="7" t="s">
        <v>20509</v>
      </c>
      <c r="C5863" s="7" t="s">
        <v>6360</v>
      </c>
      <c r="D5863" s="7" t="s">
        <v>347</v>
      </c>
      <c r="E5863" s="7" t="s">
        <v>154</v>
      </c>
      <c r="F5863" s="39" t="n">
        <v>45933</v>
      </c>
      <c r="G5863" s="41" t="n">
        <v>124.81</v>
      </c>
      <c r="H5863" s="39" t="n">
        <v>45995</v>
      </c>
      <c r="I5863" s="7" t="s">
        <v>14651</v>
      </c>
      <c r="J5863" s="8" t="str">
        <f aca="false">IF(I5863="Open",DATE(2025,12,31)-F5863,"-")</f>
        <v>-</v>
      </c>
    </row>
    <row r="5864" customFormat="false" ht="15" hidden="false" customHeight="false" outlineLevel="0" collapsed="false">
      <c r="B5864" s="7" t="s">
        <v>20510</v>
      </c>
      <c r="C5864" s="7" t="s">
        <v>6361</v>
      </c>
      <c r="D5864" s="7" t="s">
        <v>349</v>
      </c>
      <c r="E5864" s="7" t="s">
        <v>154</v>
      </c>
      <c r="F5864" s="39" t="n">
        <v>45933</v>
      </c>
      <c r="G5864" s="41" t="n">
        <v>102.29</v>
      </c>
      <c r="H5864" s="39" t="n">
        <v>46004</v>
      </c>
      <c r="I5864" s="7" t="s">
        <v>14651</v>
      </c>
      <c r="J5864" s="8" t="str">
        <f aca="false">IF(I5864="Open",DATE(2025,12,31)-F5864,"-")</f>
        <v>-</v>
      </c>
    </row>
    <row r="5865" customFormat="false" ht="15" hidden="false" customHeight="false" outlineLevel="0" collapsed="false">
      <c r="B5865" s="7" t="s">
        <v>20511</v>
      </c>
      <c r="C5865" s="7" t="s">
        <v>6362</v>
      </c>
      <c r="D5865" s="7" t="s">
        <v>353</v>
      </c>
      <c r="E5865" s="7" t="s">
        <v>154</v>
      </c>
      <c r="F5865" s="39" t="n">
        <v>45933</v>
      </c>
      <c r="G5865" s="41" t="n">
        <v>82.41</v>
      </c>
      <c r="H5865" s="6" t="s">
        <v>182</v>
      </c>
      <c r="I5865" s="7" t="s">
        <v>19787</v>
      </c>
      <c r="J5865" s="8" t="n">
        <f aca="false">IF(I5865="Open",DATE(2025,12,31)-F5865,"-")</f>
        <v>89</v>
      </c>
    </row>
    <row r="5866" customFormat="false" ht="15" hidden="false" customHeight="false" outlineLevel="0" collapsed="false">
      <c r="B5866" s="7" t="s">
        <v>20512</v>
      </c>
      <c r="C5866" s="7" t="s">
        <v>6363</v>
      </c>
      <c r="D5866" s="7" t="s">
        <v>355</v>
      </c>
      <c r="E5866" s="7" t="s">
        <v>154</v>
      </c>
      <c r="F5866" s="39" t="n">
        <v>45933</v>
      </c>
      <c r="G5866" s="41" t="n">
        <v>91.43</v>
      </c>
      <c r="H5866" s="39" t="n">
        <v>45987</v>
      </c>
      <c r="I5866" s="7" t="s">
        <v>14651</v>
      </c>
      <c r="J5866" s="8" t="str">
        <f aca="false">IF(I5866="Open",DATE(2025,12,31)-F5866,"-")</f>
        <v>-</v>
      </c>
    </row>
    <row r="5867" customFormat="false" ht="15" hidden="false" customHeight="false" outlineLevel="0" collapsed="false">
      <c r="B5867" s="7" t="s">
        <v>20513</v>
      </c>
      <c r="C5867" s="7" t="s">
        <v>6364</v>
      </c>
      <c r="D5867" s="7" t="s">
        <v>357</v>
      </c>
      <c r="E5867" s="7" t="s">
        <v>154</v>
      </c>
      <c r="F5867" s="39" t="n">
        <v>45933</v>
      </c>
      <c r="G5867" s="41" t="n">
        <v>85.06</v>
      </c>
      <c r="H5867" s="39" t="n">
        <v>45977</v>
      </c>
      <c r="I5867" s="7" t="s">
        <v>14651</v>
      </c>
      <c r="J5867" s="8" t="str">
        <f aca="false">IF(I5867="Open",DATE(2025,12,31)-F5867,"-")</f>
        <v>-</v>
      </c>
    </row>
    <row r="5868" customFormat="false" ht="15" hidden="false" customHeight="false" outlineLevel="0" collapsed="false">
      <c r="B5868" s="7" t="s">
        <v>20514</v>
      </c>
      <c r="C5868" s="7" t="s">
        <v>6365</v>
      </c>
      <c r="D5868" s="7" t="s">
        <v>359</v>
      </c>
      <c r="E5868" s="7" t="s">
        <v>156</v>
      </c>
      <c r="F5868" s="39" t="n">
        <v>45933</v>
      </c>
      <c r="G5868" s="41" t="n">
        <v>132.26</v>
      </c>
      <c r="H5868" s="39" t="n">
        <v>45944</v>
      </c>
      <c r="I5868" s="7" t="s">
        <v>14651</v>
      </c>
      <c r="J5868" s="8" t="str">
        <f aca="false">IF(I5868="Open",DATE(2025,12,31)-F5868,"-")</f>
        <v>-</v>
      </c>
    </row>
    <row r="5869" customFormat="false" ht="15" hidden="false" customHeight="false" outlineLevel="0" collapsed="false">
      <c r="B5869" s="7" t="s">
        <v>20515</v>
      </c>
      <c r="C5869" s="7" t="s">
        <v>6366</v>
      </c>
      <c r="D5869" s="7" t="s">
        <v>361</v>
      </c>
      <c r="E5869" s="7" t="s">
        <v>157</v>
      </c>
      <c r="F5869" s="39" t="n">
        <v>45933</v>
      </c>
      <c r="G5869" s="41" t="n">
        <v>178.2</v>
      </c>
      <c r="H5869" s="39" t="n">
        <v>45992</v>
      </c>
      <c r="I5869" s="7" t="s">
        <v>14651</v>
      </c>
      <c r="J5869" s="8" t="str">
        <f aca="false">IF(I5869="Open",DATE(2025,12,31)-F5869,"-")</f>
        <v>-</v>
      </c>
    </row>
    <row r="5870" customFormat="false" ht="15" hidden="false" customHeight="false" outlineLevel="0" collapsed="false">
      <c r="B5870" s="7" t="s">
        <v>20516</v>
      </c>
      <c r="C5870" s="7" t="s">
        <v>6367</v>
      </c>
      <c r="D5870" s="7" t="s">
        <v>365</v>
      </c>
      <c r="E5870" s="7" t="s">
        <v>154</v>
      </c>
      <c r="F5870" s="39" t="n">
        <v>45933</v>
      </c>
      <c r="G5870" s="41" t="n">
        <v>103.09</v>
      </c>
      <c r="H5870" s="39" t="n">
        <v>46012</v>
      </c>
      <c r="I5870" s="7" t="s">
        <v>14651</v>
      </c>
      <c r="J5870" s="8" t="str">
        <f aca="false">IF(I5870="Open",DATE(2025,12,31)-F5870,"-")</f>
        <v>-</v>
      </c>
    </row>
    <row r="5871" customFormat="false" ht="15" hidden="false" customHeight="false" outlineLevel="0" collapsed="false">
      <c r="B5871" s="7" t="s">
        <v>20517</v>
      </c>
      <c r="C5871" s="7" t="s">
        <v>6368</v>
      </c>
      <c r="D5871" s="7" t="s">
        <v>369</v>
      </c>
      <c r="E5871" s="7" t="s">
        <v>159</v>
      </c>
      <c r="F5871" s="39" t="n">
        <v>45933</v>
      </c>
      <c r="G5871" s="41" t="n">
        <v>133.65</v>
      </c>
      <c r="H5871" s="39" t="n">
        <v>45994</v>
      </c>
      <c r="I5871" s="7" t="s">
        <v>14651</v>
      </c>
      <c r="J5871" s="8" t="str">
        <f aca="false">IF(I5871="Open",DATE(2025,12,31)-F5871,"-")</f>
        <v>-</v>
      </c>
    </row>
    <row r="5872" customFormat="false" ht="15" hidden="false" customHeight="false" outlineLevel="0" collapsed="false">
      <c r="B5872" s="7" t="s">
        <v>20518</v>
      </c>
      <c r="C5872" s="7" t="s">
        <v>6369</v>
      </c>
      <c r="D5872" s="7" t="s">
        <v>371</v>
      </c>
      <c r="E5872" s="7" t="s">
        <v>154</v>
      </c>
      <c r="F5872" s="39" t="n">
        <v>45933</v>
      </c>
      <c r="G5872" s="41" t="n">
        <v>120.31</v>
      </c>
      <c r="H5872" s="39" t="n">
        <v>45983</v>
      </c>
      <c r="I5872" s="7" t="s">
        <v>14651</v>
      </c>
      <c r="J5872" s="8" t="str">
        <f aca="false">IF(I5872="Open",DATE(2025,12,31)-F5872,"-")</f>
        <v>-</v>
      </c>
    </row>
    <row r="5873" customFormat="false" ht="15" hidden="false" customHeight="false" outlineLevel="0" collapsed="false">
      <c r="B5873" s="7" t="s">
        <v>20519</v>
      </c>
      <c r="C5873" s="7" t="s">
        <v>6370</v>
      </c>
      <c r="D5873" s="7" t="s">
        <v>379</v>
      </c>
      <c r="E5873" s="7" t="s">
        <v>156</v>
      </c>
      <c r="F5873" s="39" t="n">
        <v>45933</v>
      </c>
      <c r="G5873" s="41" t="n">
        <v>152.32</v>
      </c>
      <c r="H5873" s="39" t="n">
        <v>45946</v>
      </c>
      <c r="I5873" s="7" t="s">
        <v>14651</v>
      </c>
      <c r="J5873" s="8" t="str">
        <f aca="false">IF(I5873="Open",DATE(2025,12,31)-F5873,"-")</f>
        <v>-</v>
      </c>
    </row>
    <row r="5874" customFormat="false" ht="15" hidden="false" customHeight="false" outlineLevel="0" collapsed="false">
      <c r="B5874" s="7" t="s">
        <v>20520</v>
      </c>
      <c r="C5874" s="7" t="s">
        <v>6371</v>
      </c>
      <c r="D5874" s="7" t="s">
        <v>381</v>
      </c>
      <c r="E5874" s="7" t="s">
        <v>157</v>
      </c>
      <c r="F5874" s="39" t="n">
        <v>45933</v>
      </c>
      <c r="G5874" s="41" t="n">
        <v>176.55</v>
      </c>
      <c r="H5874" s="39" t="n">
        <v>45974</v>
      </c>
      <c r="I5874" s="7" t="s">
        <v>14651</v>
      </c>
      <c r="J5874" s="8" t="str">
        <f aca="false">IF(I5874="Open",DATE(2025,12,31)-F5874,"-")</f>
        <v>-</v>
      </c>
    </row>
    <row r="5875" customFormat="false" ht="15" hidden="false" customHeight="false" outlineLevel="0" collapsed="false">
      <c r="B5875" s="7" t="s">
        <v>20521</v>
      </c>
      <c r="C5875" s="7" t="s">
        <v>6372</v>
      </c>
      <c r="D5875" s="7" t="s">
        <v>383</v>
      </c>
      <c r="E5875" s="7" t="s">
        <v>157</v>
      </c>
      <c r="F5875" s="39" t="n">
        <v>45933</v>
      </c>
      <c r="G5875" s="41" t="n">
        <v>176.55</v>
      </c>
      <c r="H5875" s="39" t="n">
        <v>45982</v>
      </c>
      <c r="I5875" s="7" t="s">
        <v>14651</v>
      </c>
      <c r="J5875" s="8" t="str">
        <f aca="false">IF(I5875="Open",DATE(2025,12,31)-F5875,"-")</f>
        <v>-</v>
      </c>
    </row>
    <row r="5876" customFormat="false" ht="15" hidden="false" customHeight="false" outlineLevel="0" collapsed="false">
      <c r="B5876" s="7" t="s">
        <v>20522</v>
      </c>
      <c r="C5876" s="7" t="s">
        <v>6373</v>
      </c>
      <c r="D5876" s="7" t="s">
        <v>385</v>
      </c>
      <c r="E5876" s="7" t="s">
        <v>156</v>
      </c>
      <c r="F5876" s="39" t="n">
        <v>45933</v>
      </c>
      <c r="G5876" s="41" t="n">
        <v>141.44</v>
      </c>
      <c r="H5876" s="39" t="n">
        <v>45941</v>
      </c>
      <c r="I5876" s="7" t="s">
        <v>14651</v>
      </c>
      <c r="J5876" s="8" t="str">
        <f aca="false">IF(I5876="Open",DATE(2025,12,31)-F5876,"-")</f>
        <v>-</v>
      </c>
    </row>
    <row r="5877" customFormat="false" ht="15" hidden="false" customHeight="false" outlineLevel="0" collapsed="false">
      <c r="B5877" s="7" t="s">
        <v>20523</v>
      </c>
      <c r="C5877" s="7" t="s">
        <v>6374</v>
      </c>
      <c r="D5877" s="7" t="s">
        <v>387</v>
      </c>
      <c r="E5877" s="7" t="s">
        <v>154</v>
      </c>
      <c r="F5877" s="39" t="n">
        <v>45933</v>
      </c>
      <c r="G5877" s="41" t="n">
        <v>100.97</v>
      </c>
      <c r="H5877" s="39" t="n">
        <v>45976</v>
      </c>
      <c r="I5877" s="7" t="s">
        <v>14651</v>
      </c>
      <c r="J5877" s="8" t="str">
        <f aca="false">IF(I5877="Open",DATE(2025,12,31)-F5877,"-")</f>
        <v>-</v>
      </c>
    </row>
    <row r="5878" customFormat="false" ht="15" hidden="false" customHeight="false" outlineLevel="0" collapsed="false">
      <c r="B5878" s="7" t="s">
        <v>20524</v>
      </c>
      <c r="C5878" s="7" t="s">
        <v>6375</v>
      </c>
      <c r="D5878" s="7" t="s">
        <v>389</v>
      </c>
      <c r="E5878" s="7" t="s">
        <v>154</v>
      </c>
      <c r="F5878" s="39" t="n">
        <v>45933</v>
      </c>
      <c r="G5878" s="41" t="n">
        <v>96.19</v>
      </c>
      <c r="H5878" s="39" t="n">
        <v>46011</v>
      </c>
      <c r="I5878" s="7" t="s">
        <v>14651</v>
      </c>
      <c r="J5878" s="8" t="str">
        <f aca="false">IF(I5878="Open",DATE(2025,12,31)-F5878,"-")</f>
        <v>-</v>
      </c>
    </row>
    <row r="5879" customFormat="false" ht="15" hidden="false" customHeight="false" outlineLevel="0" collapsed="false">
      <c r="B5879" s="7" t="s">
        <v>20525</v>
      </c>
      <c r="C5879" s="7" t="s">
        <v>6376</v>
      </c>
      <c r="D5879" s="7" t="s">
        <v>391</v>
      </c>
      <c r="E5879" s="7" t="s">
        <v>156</v>
      </c>
      <c r="F5879" s="39" t="n">
        <v>45933</v>
      </c>
      <c r="G5879" s="41" t="n">
        <v>123.08</v>
      </c>
      <c r="H5879" s="39" t="n">
        <v>45943</v>
      </c>
      <c r="I5879" s="7" t="s">
        <v>14651</v>
      </c>
      <c r="J5879" s="8" t="str">
        <f aca="false">IF(I5879="Open",DATE(2025,12,31)-F5879,"-")</f>
        <v>-</v>
      </c>
    </row>
    <row r="5880" customFormat="false" ht="15" hidden="false" customHeight="false" outlineLevel="0" collapsed="false">
      <c r="B5880" s="7" t="s">
        <v>20526</v>
      </c>
      <c r="C5880" s="7" t="s">
        <v>6377</v>
      </c>
      <c r="D5880" s="7" t="s">
        <v>395</v>
      </c>
      <c r="E5880" s="7" t="s">
        <v>156</v>
      </c>
      <c r="F5880" s="39" t="n">
        <v>45933</v>
      </c>
      <c r="G5880" s="41" t="n">
        <v>133.96</v>
      </c>
      <c r="H5880" s="39" t="n">
        <v>45942</v>
      </c>
      <c r="I5880" s="7" t="s">
        <v>14651</v>
      </c>
      <c r="J5880" s="8" t="str">
        <f aca="false">IF(I5880="Open",DATE(2025,12,31)-F5880,"-")</f>
        <v>-</v>
      </c>
    </row>
    <row r="5881" customFormat="false" ht="15" hidden="false" customHeight="false" outlineLevel="0" collapsed="false">
      <c r="B5881" s="7" t="s">
        <v>20527</v>
      </c>
      <c r="C5881" s="7" t="s">
        <v>6378</v>
      </c>
      <c r="D5881" s="7" t="s">
        <v>397</v>
      </c>
      <c r="E5881" s="7" t="s">
        <v>159</v>
      </c>
      <c r="F5881" s="39" t="n">
        <v>45933</v>
      </c>
      <c r="G5881" s="41" t="n">
        <v>126.9</v>
      </c>
      <c r="H5881" s="39" t="n">
        <v>45981</v>
      </c>
      <c r="I5881" s="7" t="s">
        <v>14651</v>
      </c>
      <c r="J5881" s="8" t="str">
        <f aca="false">IF(I5881="Open",DATE(2025,12,31)-F5881,"-")</f>
        <v>-</v>
      </c>
    </row>
    <row r="5882" customFormat="false" ht="15" hidden="false" customHeight="false" outlineLevel="0" collapsed="false">
      <c r="B5882" s="7" t="s">
        <v>20528</v>
      </c>
      <c r="C5882" s="7" t="s">
        <v>6379</v>
      </c>
      <c r="D5882" s="7" t="s">
        <v>399</v>
      </c>
      <c r="E5882" s="7" t="s">
        <v>154</v>
      </c>
      <c r="F5882" s="39" t="n">
        <v>45933</v>
      </c>
      <c r="G5882" s="41" t="n">
        <v>90.1</v>
      </c>
      <c r="H5882" s="39" t="n">
        <v>45975</v>
      </c>
      <c r="I5882" s="7" t="s">
        <v>14651</v>
      </c>
      <c r="J5882" s="8" t="str">
        <f aca="false">IF(I5882="Open",DATE(2025,12,31)-F5882,"-")</f>
        <v>-</v>
      </c>
    </row>
    <row r="5883" customFormat="false" ht="15" hidden="false" customHeight="false" outlineLevel="0" collapsed="false">
      <c r="B5883" s="7" t="s">
        <v>20529</v>
      </c>
      <c r="C5883" s="7" t="s">
        <v>6380</v>
      </c>
      <c r="D5883" s="7" t="s">
        <v>401</v>
      </c>
      <c r="E5883" s="7" t="s">
        <v>156</v>
      </c>
      <c r="F5883" s="39" t="n">
        <v>45933</v>
      </c>
      <c r="G5883" s="41" t="n">
        <v>136</v>
      </c>
      <c r="H5883" s="39" t="n">
        <v>45946</v>
      </c>
      <c r="I5883" s="7" t="s">
        <v>14651</v>
      </c>
      <c r="J5883" s="8" t="str">
        <f aca="false">IF(I5883="Open",DATE(2025,12,31)-F5883,"-")</f>
        <v>-</v>
      </c>
    </row>
    <row r="5884" customFormat="false" ht="15" hidden="false" customHeight="false" outlineLevel="0" collapsed="false">
      <c r="B5884" s="7" t="s">
        <v>20530</v>
      </c>
      <c r="C5884" s="7" t="s">
        <v>6381</v>
      </c>
      <c r="D5884" s="7" t="s">
        <v>403</v>
      </c>
      <c r="E5884" s="7" t="s">
        <v>156</v>
      </c>
      <c r="F5884" s="39" t="n">
        <v>45933</v>
      </c>
      <c r="G5884" s="41" t="n">
        <v>137.7</v>
      </c>
      <c r="H5884" s="39" t="n">
        <v>45942</v>
      </c>
      <c r="I5884" s="7" t="s">
        <v>14651</v>
      </c>
      <c r="J5884" s="8" t="str">
        <f aca="false">IF(I5884="Open",DATE(2025,12,31)-F5884,"-")</f>
        <v>-</v>
      </c>
    </row>
    <row r="5885" customFormat="false" ht="15" hidden="false" customHeight="false" outlineLevel="0" collapsed="false">
      <c r="B5885" s="7" t="s">
        <v>20531</v>
      </c>
      <c r="C5885" s="7" t="s">
        <v>6382</v>
      </c>
      <c r="D5885" s="7" t="s">
        <v>407</v>
      </c>
      <c r="E5885" s="7" t="s">
        <v>159</v>
      </c>
      <c r="F5885" s="39" t="n">
        <v>45933</v>
      </c>
      <c r="G5885" s="41" t="n">
        <v>136.35</v>
      </c>
      <c r="H5885" s="39" t="n">
        <v>45974</v>
      </c>
      <c r="I5885" s="7" t="s">
        <v>14651</v>
      </c>
      <c r="J5885" s="8" t="str">
        <f aca="false">IF(I5885="Open",DATE(2025,12,31)-F5885,"-")</f>
        <v>-</v>
      </c>
    </row>
    <row r="5886" customFormat="false" ht="15" hidden="false" customHeight="false" outlineLevel="0" collapsed="false">
      <c r="B5886" s="7" t="s">
        <v>20532</v>
      </c>
      <c r="C5886" s="7" t="s">
        <v>6383</v>
      </c>
      <c r="D5886" s="7" t="s">
        <v>409</v>
      </c>
      <c r="E5886" s="7" t="s">
        <v>154</v>
      </c>
      <c r="F5886" s="39" t="n">
        <v>45933</v>
      </c>
      <c r="G5886" s="41" t="n">
        <v>89.31</v>
      </c>
      <c r="H5886" s="39" t="n">
        <v>46014</v>
      </c>
      <c r="I5886" s="7" t="s">
        <v>14651</v>
      </c>
      <c r="J5886" s="8" t="str">
        <f aca="false">IF(I5886="Open",DATE(2025,12,31)-F5886,"-")</f>
        <v>-</v>
      </c>
    </row>
    <row r="5887" customFormat="false" ht="15" hidden="false" customHeight="false" outlineLevel="0" collapsed="false">
      <c r="B5887" s="7" t="s">
        <v>20533</v>
      </c>
      <c r="C5887" s="7" t="s">
        <v>6384</v>
      </c>
      <c r="D5887" s="7" t="s">
        <v>411</v>
      </c>
      <c r="E5887" s="7" t="s">
        <v>154</v>
      </c>
      <c r="F5887" s="39" t="n">
        <v>45933</v>
      </c>
      <c r="G5887" s="41" t="n">
        <v>118.98</v>
      </c>
      <c r="H5887" s="39" t="n">
        <v>46005</v>
      </c>
      <c r="I5887" s="7" t="s">
        <v>14651</v>
      </c>
      <c r="J5887" s="8" t="str">
        <f aca="false">IF(I5887="Open",DATE(2025,12,31)-F5887,"-")</f>
        <v>-</v>
      </c>
    </row>
    <row r="5888" customFormat="false" ht="15" hidden="false" customHeight="false" outlineLevel="0" collapsed="false">
      <c r="B5888" s="7" t="s">
        <v>20534</v>
      </c>
      <c r="C5888" s="7" t="s">
        <v>6385</v>
      </c>
      <c r="D5888" s="7" t="s">
        <v>288</v>
      </c>
      <c r="E5888" s="7" t="s">
        <v>156</v>
      </c>
      <c r="F5888" s="39" t="n">
        <v>45934</v>
      </c>
      <c r="G5888" s="41" t="n">
        <v>133.62</v>
      </c>
      <c r="H5888" s="39" t="n">
        <v>45943</v>
      </c>
      <c r="I5888" s="7" t="s">
        <v>14651</v>
      </c>
      <c r="J5888" s="8" t="str">
        <f aca="false">IF(I5888="Open",DATE(2025,12,31)-F5888,"-")</f>
        <v>-</v>
      </c>
    </row>
    <row r="5889" customFormat="false" ht="15" hidden="false" customHeight="false" outlineLevel="0" collapsed="false">
      <c r="B5889" s="7" t="s">
        <v>20535</v>
      </c>
      <c r="C5889" s="7" t="s">
        <v>6386</v>
      </c>
      <c r="D5889" s="7" t="s">
        <v>321</v>
      </c>
      <c r="E5889" s="7" t="s">
        <v>154</v>
      </c>
      <c r="F5889" s="39" t="n">
        <v>45934</v>
      </c>
      <c r="G5889" s="41" t="n">
        <v>110.77</v>
      </c>
      <c r="H5889" s="39" t="n">
        <v>45991</v>
      </c>
      <c r="I5889" s="7" t="s">
        <v>14651</v>
      </c>
      <c r="J5889" s="8" t="str">
        <f aca="false">IF(I5889="Open",DATE(2025,12,31)-F5889,"-")</f>
        <v>-</v>
      </c>
    </row>
    <row r="5890" customFormat="false" ht="15" hidden="false" customHeight="false" outlineLevel="0" collapsed="false">
      <c r="B5890" s="7" t="s">
        <v>20536</v>
      </c>
      <c r="C5890" s="7" t="s">
        <v>6387</v>
      </c>
      <c r="D5890" s="7" t="s">
        <v>359</v>
      </c>
      <c r="E5890" s="7" t="s">
        <v>156</v>
      </c>
      <c r="F5890" s="39" t="n">
        <v>45934</v>
      </c>
      <c r="G5890" s="41" t="n">
        <v>136.34</v>
      </c>
      <c r="H5890" s="39" t="n">
        <v>45940</v>
      </c>
      <c r="I5890" s="7" t="s">
        <v>14651</v>
      </c>
      <c r="J5890" s="8" t="str">
        <f aca="false">IF(I5890="Open",DATE(2025,12,31)-F5890,"-")</f>
        <v>-</v>
      </c>
    </row>
    <row r="5891" customFormat="false" ht="15" hidden="false" customHeight="false" outlineLevel="0" collapsed="false">
      <c r="B5891" s="7" t="s">
        <v>20537</v>
      </c>
      <c r="C5891" s="7" t="s">
        <v>6388</v>
      </c>
      <c r="D5891" s="7" t="s">
        <v>387</v>
      </c>
      <c r="E5891" s="7" t="s">
        <v>154</v>
      </c>
      <c r="F5891" s="39" t="n">
        <v>45934</v>
      </c>
      <c r="G5891" s="41" t="n">
        <v>102.82</v>
      </c>
      <c r="H5891" s="39" t="n">
        <v>45973</v>
      </c>
      <c r="I5891" s="7" t="s">
        <v>14651</v>
      </c>
      <c r="J5891" s="8" t="str">
        <f aca="false">IF(I5891="Open",DATE(2025,12,31)-F5891,"-")</f>
        <v>-</v>
      </c>
    </row>
    <row r="5892" customFormat="false" ht="15" hidden="false" customHeight="false" outlineLevel="0" collapsed="false">
      <c r="B5892" s="7" t="s">
        <v>20538</v>
      </c>
      <c r="C5892" s="7" t="s">
        <v>6389</v>
      </c>
      <c r="D5892" s="7" t="s">
        <v>391</v>
      </c>
      <c r="E5892" s="7" t="s">
        <v>156</v>
      </c>
      <c r="F5892" s="39" t="n">
        <v>45934</v>
      </c>
      <c r="G5892" s="41" t="n">
        <v>129.88</v>
      </c>
      <c r="H5892" s="39" t="n">
        <v>45949</v>
      </c>
      <c r="I5892" s="7" t="s">
        <v>14651</v>
      </c>
      <c r="J5892" s="8" t="str">
        <f aca="false">IF(I5892="Open",DATE(2025,12,31)-F5892,"-")</f>
        <v>-</v>
      </c>
    </row>
    <row r="5893" customFormat="false" ht="15" hidden="false" customHeight="false" outlineLevel="0" collapsed="false">
      <c r="B5893" s="7" t="s">
        <v>20539</v>
      </c>
      <c r="C5893" s="7" t="s">
        <v>6390</v>
      </c>
      <c r="D5893" s="7" t="s">
        <v>395</v>
      </c>
      <c r="E5893" s="7" t="s">
        <v>156</v>
      </c>
      <c r="F5893" s="39" t="n">
        <v>45934</v>
      </c>
      <c r="G5893" s="41" t="n">
        <v>135.32</v>
      </c>
      <c r="H5893" s="39" t="n">
        <v>45941</v>
      </c>
      <c r="I5893" s="7" t="s">
        <v>14651</v>
      </c>
      <c r="J5893" s="8" t="str">
        <f aca="false">IF(I5893="Open",DATE(2025,12,31)-F5893,"-")</f>
        <v>-</v>
      </c>
    </row>
    <row r="5894" customFormat="false" ht="15" hidden="false" customHeight="false" outlineLevel="0" collapsed="false">
      <c r="B5894" s="7" t="s">
        <v>20540</v>
      </c>
      <c r="C5894" s="7" t="s">
        <v>6391</v>
      </c>
      <c r="D5894" s="7" t="s">
        <v>401</v>
      </c>
      <c r="E5894" s="7" t="s">
        <v>156</v>
      </c>
      <c r="F5894" s="39" t="n">
        <v>45934</v>
      </c>
      <c r="G5894" s="41" t="n">
        <v>138.38</v>
      </c>
      <c r="H5894" s="39" t="n">
        <v>45935</v>
      </c>
      <c r="I5894" s="7" t="s">
        <v>14651</v>
      </c>
      <c r="J5894" s="8" t="str">
        <f aca="false">IF(I5894="Open",DATE(2025,12,31)-F5894,"-")</f>
        <v>-</v>
      </c>
    </row>
    <row r="5895" customFormat="false" ht="15" hidden="false" customHeight="false" outlineLevel="0" collapsed="false">
      <c r="B5895" s="7" t="s">
        <v>20541</v>
      </c>
      <c r="C5895" s="7" t="s">
        <v>6392</v>
      </c>
      <c r="D5895" s="7" t="s">
        <v>288</v>
      </c>
      <c r="E5895" s="7" t="s">
        <v>156</v>
      </c>
      <c r="F5895" s="39" t="n">
        <v>45935</v>
      </c>
      <c r="G5895" s="41" t="n">
        <v>149.26</v>
      </c>
      <c r="H5895" s="39" t="n">
        <v>45936</v>
      </c>
      <c r="I5895" s="7" t="s">
        <v>14651</v>
      </c>
      <c r="J5895" s="8" t="str">
        <f aca="false">IF(I5895="Open",DATE(2025,12,31)-F5895,"-")</f>
        <v>-</v>
      </c>
    </row>
    <row r="5896" customFormat="false" ht="15" hidden="false" customHeight="false" outlineLevel="0" collapsed="false">
      <c r="B5896" s="7" t="s">
        <v>20542</v>
      </c>
      <c r="C5896" s="7" t="s">
        <v>6393</v>
      </c>
      <c r="D5896" s="7" t="s">
        <v>321</v>
      </c>
      <c r="E5896" s="7" t="s">
        <v>154</v>
      </c>
      <c r="F5896" s="39" t="n">
        <v>45935</v>
      </c>
      <c r="G5896" s="41" t="n">
        <v>108.12</v>
      </c>
      <c r="H5896" s="39" t="n">
        <v>45961</v>
      </c>
      <c r="I5896" s="7" t="s">
        <v>14651</v>
      </c>
      <c r="J5896" s="8" t="str">
        <f aca="false">IF(I5896="Open",DATE(2025,12,31)-F5896,"-")</f>
        <v>-</v>
      </c>
    </row>
    <row r="5897" customFormat="false" ht="15" hidden="false" customHeight="false" outlineLevel="0" collapsed="false">
      <c r="B5897" s="7" t="s">
        <v>20543</v>
      </c>
      <c r="C5897" s="7" t="s">
        <v>6394</v>
      </c>
      <c r="D5897" s="7" t="s">
        <v>359</v>
      </c>
      <c r="E5897" s="7" t="s">
        <v>156</v>
      </c>
      <c r="F5897" s="39" t="n">
        <v>45935</v>
      </c>
      <c r="G5897" s="41" t="n">
        <v>144.16</v>
      </c>
      <c r="H5897" s="39" t="n">
        <v>45940</v>
      </c>
      <c r="I5897" s="7" t="s">
        <v>14651</v>
      </c>
      <c r="J5897" s="8" t="str">
        <f aca="false">IF(I5897="Open",DATE(2025,12,31)-F5897,"-")</f>
        <v>-</v>
      </c>
    </row>
    <row r="5898" customFormat="false" ht="15" hidden="false" customHeight="false" outlineLevel="0" collapsed="false">
      <c r="B5898" s="7" t="s">
        <v>20544</v>
      </c>
      <c r="C5898" s="7" t="s">
        <v>6395</v>
      </c>
      <c r="D5898" s="7" t="s">
        <v>387</v>
      </c>
      <c r="E5898" s="7" t="s">
        <v>154</v>
      </c>
      <c r="F5898" s="39" t="n">
        <v>45935</v>
      </c>
      <c r="G5898" s="41" t="n">
        <v>104.62</v>
      </c>
      <c r="H5898" s="39" t="n">
        <v>45999</v>
      </c>
      <c r="I5898" s="7" t="s">
        <v>14651</v>
      </c>
      <c r="J5898" s="8" t="str">
        <f aca="false">IF(I5898="Open",DATE(2025,12,31)-F5898,"-")</f>
        <v>-</v>
      </c>
    </row>
    <row r="5899" customFormat="false" ht="15" hidden="false" customHeight="false" outlineLevel="0" collapsed="false">
      <c r="B5899" s="7" t="s">
        <v>20545</v>
      </c>
      <c r="C5899" s="7" t="s">
        <v>6396</v>
      </c>
      <c r="D5899" s="7" t="s">
        <v>391</v>
      </c>
      <c r="E5899" s="7" t="s">
        <v>156</v>
      </c>
      <c r="F5899" s="39" t="n">
        <v>45935</v>
      </c>
      <c r="G5899" s="41" t="n">
        <v>123.42</v>
      </c>
      <c r="H5899" s="39" t="n">
        <v>45948</v>
      </c>
      <c r="I5899" s="7" t="s">
        <v>14651</v>
      </c>
      <c r="J5899" s="8" t="str">
        <f aca="false">IF(I5899="Open",DATE(2025,12,31)-F5899,"-")</f>
        <v>-</v>
      </c>
    </row>
    <row r="5900" customFormat="false" ht="15" hidden="false" customHeight="false" outlineLevel="0" collapsed="false">
      <c r="B5900" s="7" t="s">
        <v>20546</v>
      </c>
      <c r="C5900" s="7" t="s">
        <v>6397</v>
      </c>
      <c r="D5900" s="7" t="s">
        <v>395</v>
      </c>
      <c r="E5900" s="7" t="s">
        <v>156</v>
      </c>
      <c r="F5900" s="39" t="n">
        <v>45935</v>
      </c>
      <c r="G5900" s="41" t="n">
        <v>131.58</v>
      </c>
      <c r="H5900" s="39" t="n">
        <v>45947</v>
      </c>
      <c r="I5900" s="7" t="s">
        <v>14651</v>
      </c>
      <c r="J5900" s="8" t="str">
        <f aca="false">IF(I5900="Open",DATE(2025,12,31)-F5900,"-")</f>
        <v>-</v>
      </c>
    </row>
    <row r="5901" customFormat="false" ht="15" hidden="false" customHeight="false" outlineLevel="0" collapsed="false">
      <c r="B5901" s="7" t="s">
        <v>20547</v>
      </c>
      <c r="C5901" s="7" t="s">
        <v>6398</v>
      </c>
      <c r="D5901" s="7" t="s">
        <v>401</v>
      </c>
      <c r="E5901" s="7" t="s">
        <v>156</v>
      </c>
      <c r="F5901" s="39" t="n">
        <v>45935</v>
      </c>
      <c r="G5901" s="41" t="n">
        <v>146.88</v>
      </c>
      <c r="H5901" s="39" t="n">
        <v>45950</v>
      </c>
      <c r="I5901" s="7" t="s">
        <v>14651</v>
      </c>
      <c r="J5901" s="8" t="str">
        <f aca="false">IF(I5901="Open",DATE(2025,12,31)-F5901,"-")</f>
        <v>-</v>
      </c>
    </row>
    <row r="5902" customFormat="false" ht="15" hidden="false" customHeight="false" outlineLevel="0" collapsed="false">
      <c r="B5902" s="7" t="s">
        <v>20548</v>
      </c>
      <c r="C5902" s="7" t="s">
        <v>6399</v>
      </c>
      <c r="D5902" s="7" t="s">
        <v>288</v>
      </c>
      <c r="E5902" s="7" t="s">
        <v>156</v>
      </c>
      <c r="F5902" s="39" t="n">
        <v>45936</v>
      </c>
      <c r="G5902" s="41" t="n">
        <v>131.58</v>
      </c>
      <c r="H5902" s="39" t="n">
        <v>45951</v>
      </c>
      <c r="I5902" s="7" t="s">
        <v>14651</v>
      </c>
      <c r="J5902" s="8" t="str">
        <f aca="false">IF(I5902="Open",DATE(2025,12,31)-F5902,"-")</f>
        <v>-</v>
      </c>
    </row>
    <row r="5903" customFormat="false" ht="15" hidden="false" customHeight="false" outlineLevel="0" collapsed="false">
      <c r="B5903" s="7" t="s">
        <v>20549</v>
      </c>
      <c r="C5903" s="7" t="s">
        <v>6400</v>
      </c>
      <c r="D5903" s="7" t="s">
        <v>291</v>
      </c>
      <c r="E5903" s="7" t="s">
        <v>154</v>
      </c>
      <c r="F5903" s="39" t="n">
        <v>45936</v>
      </c>
      <c r="G5903" s="41" t="n">
        <v>121.37</v>
      </c>
      <c r="H5903" s="39" t="n">
        <v>46005</v>
      </c>
      <c r="I5903" s="7" t="s">
        <v>14651</v>
      </c>
      <c r="J5903" s="8" t="str">
        <f aca="false">IF(I5903="Open",DATE(2025,12,31)-F5903,"-")</f>
        <v>-</v>
      </c>
    </row>
    <row r="5904" customFormat="false" ht="15" hidden="false" customHeight="false" outlineLevel="0" collapsed="false">
      <c r="B5904" s="7" t="s">
        <v>20550</v>
      </c>
      <c r="C5904" s="7" t="s">
        <v>6401</v>
      </c>
      <c r="D5904" s="7" t="s">
        <v>295</v>
      </c>
      <c r="E5904" s="7" t="s">
        <v>154</v>
      </c>
      <c r="F5904" s="39" t="n">
        <v>45936</v>
      </c>
      <c r="G5904" s="41" t="n">
        <v>99.11</v>
      </c>
      <c r="H5904" s="39" t="n">
        <v>45997</v>
      </c>
      <c r="I5904" s="7" t="s">
        <v>14651</v>
      </c>
      <c r="J5904" s="8" t="str">
        <f aca="false">IF(I5904="Open",DATE(2025,12,31)-F5904,"-")</f>
        <v>-</v>
      </c>
    </row>
    <row r="5905" customFormat="false" ht="15" hidden="false" customHeight="false" outlineLevel="0" collapsed="false">
      <c r="B5905" s="7" t="s">
        <v>20551</v>
      </c>
      <c r="C5905" s="7" t="s">
        <v>6402</v>
      </c>
      <c r="D5905" s="7" t="s">
        <v>297</v>
      </c>
      <c r="E5905" s="7" t="s">
        <v>156</v>
      </c>
      <c r="F5905" s="39" t="n">
        <v>45936</v>
      </c>
      <c r="G5905" s="41" t="n">
        <v>110.84</v>
      </c>
      <c r="H5905" s="39" t="n">
        <v>45951</v>
      </c>
      <c r="I5905" s="7" t="s">
        <v>14651</v>
      </c>
      <c r="J5905" s="8" t="str">
        <f aca="false">IF(I5905="Open",DATE(2025,12,31)-F5905,"-")</f>
        <v>-</v>
      </c>
    </row>
    <row r="5906" customFormat="false" ht="15" hidden="false" customHeight="false" outlineLevel="0" collapsed="false">
      <c r="B5906" s="7" t="s">
        <v>20552</v>
      </c>
      <c r="C5906" s="7" t="s">
        <v>6403</v>
      </c>
      <c r="D5906" s="7" t="s">
        <v>303</v>
      </c>
      <c r="E5906" s="7" t="s">
        <v>154</v>
      </c>
      <c r="F5906" s="39" t="n">
        <v>45936</v>
      </c>
      <c r="G5906" s="41" t="n">
        <v>111.3</v>
      </c>
      <c r="H5906" s="39" t="n">
        <v>45972</v>
      </c>
      <c r="I5906" s="7" t="s">
        <v>14651</v>
      </c>
      <c r="J5906" s="8" t="str">
        <f aca="false">IF(I5906="Open",DATE(2025,12,31)-F5906,"-")</f>
        <v>-</v>
      </c>
    </row>
    <row r="5907" customFormat="false" ht="15" hidden="false" customHeight="false" outlineLevel="0" collapsed="false">
      <c r="B5907" s="7" t="s">
        <v>20553</v>
      </c>
      <c r="C5907" s="7" t="s">
        <v>6404</v>
      </c>
      <c r="D5907" s="7" t="s">
        <v>305</v>
      </c>
      <c r="E5907" s="7" t="s">
        <v>154</v>
      </c>
      <c r="F5907" s="39" t="n">
        <v>45936</v>
      </c>
      <c r="G5907" s="41" t="n">
        <v>110.77</v>
      </c>
      <c r="H5907" s="39" t="n">
        <v>45980</v>
      </c>
      <c r="I5907" s="7" t="s">
        <v>14651</v>
      </c>
      <c r="J5907" s="8" t="str">
        <f aca="false">IF(I5907="Open",DATE(2025,12,31)-F5907,"-")</f>
        <v>-</v>
      </c>
    </row>
    <row r="5908" customFormat="false" ht="15" hidden="false" customHeight="false" outlineLevel="0" collapsed="false">
      <c r="B5908" s="7" t="s">
        <v>20554</v>
      </c>
      <c r="C5908" s="7" t="s">
        <v>6405</v>
      </c>
      <c r="D5908" s="7" t="s">
        <v>307</v>
      </c>
      <c r="E5908" s="7" t="s">
        <v>157</v>
      </c>
      <c r="F5908" s="39" t="n">
        <v>45936</v>
      </c>
      <c r="G5908" s="41" t="n">
        <v>166.65</v>
      </c>
      <c r="H5908" s="39" t="n">
        <v>45991</v>
      </c>
      <c r="I5908" s="7" t="s">
        <v>14651</v>
      </c>
      <c r="J5908" s="8" t="str">
        <f aca="false">IF(I5908="Open",DATE(2025,12,31)-F5908,"-")</f>
        <v>-</v>
      </c>
    </row>
    <row r="5909" customFormat="false" ht="15" hidden="false" customHeight="false" outlineLevel="0" collapsed="false">
      <c r="B5909" s="7" t="s">
        <v>20555</v>
      </c>
      <c r="C5909" s="7" t="s">
        <v>6406</v>
      </c>
      <c r="D5909" s="7" t="s">
        <v>309</v>
      </c>
      <c r="E5909" s="7" t="s">
        <v>159</v>
      </c>
      <c r="F5909" s="39" t="n">
        <v>45936</v>
      </c>
      <c r="G5909" s="41" t="n">
        <v>145.8</v>
      </c>
      <c r="H5909" s="39" t="n">
        <v>45981</v>
      </c>
      <c r="I5909" s="7" t="s">
        <v>14651</v>
      </c>
      <c r="J5909" s="8" t="str">
        <f aca="false">IF(I5909="Open",DATE(2025,12,31)-F5909,"-")</f>
        <v>-</v>
      </c>
    </row>
    <row r="5910" customFormat="false" ht="15" hidden="false" customHeight="false" outlineLevel="0" collapsed="false">
      <c r="B5910" s="7" t="s">
        <v>20556</v>
      </c>
      <c r="C5910" s="7" t="s">
        <v>6407</v>
      </c>
      <c r="D5910" s="7" t="s">
        <v>311</v>
      </c>
      <c r="E5910" s="7" t="s">
        <v>154</v>
      </c>
      <c r="F5910" s="39" t="n">
        <v>45936</v>
      </c>
      <c r="G5910" s="41" t="n">
        <v>77.12</v>
      </c>
      <c r="H5910" s="39" t="n">
        <v>45992</v>
      </c>
      <c r="I5910" s="7" t="s">
        <v>14651</v>
      </c>
      <c r="J5910" s="8" t="str">
        <f aca="false">IF(I5910="Open",DATE(2025,12,31)-F5910,"-")</f>
        <v>-</v>
      </c>
    </row>
    <row r="5911" customFormat="false" ht="15" hidden="false" customHeight="false" outlineLevel="0" collapsed="false">
      <c r="B5911" s="7" t="s">
        <v>20557</v>
      </c>
      <c r="C5911" s="7" t="s">
        <v>6408</v>
      </c>
      <c r="D5911" s="7" t="s">
        <v>313</v>
      </c>
      <c r="E5911" s="7" t="s">
        <v>156</v>
      </c>
      <c r="F5911" s="39" t="n">
        <v>45936</v>
      </c>
      <c r="G5911" s="41" t="n">
        <v>142.46</v>
      </c>
      <c r="H5911" s="39" t="n">
        <v>45942</v>
      </c>
      <c r="I5911" s="7" t="s">
        <v>14651</v>
      </c>
      <c r="J5911" s="8" t="str">
        <f aca="false">IF(I5911="Open",DATE(2025,12,31)-F5911,"-")</f>
        <v>-</v>
      </c>
    </row>
    <row r="5912" customFormat="false" ht="15" hidden="false" customHeight="false" outlineLevel="0" collapsed="false">
      <c r="B5912" s="7" t="s">
        <v>20558</v>
      </c>
      <c r="C5912" s="7" t="s">
        <v>6409</v>
      </c>
      <c r="D5912" s="7" t="s">
        <v>315</v>
      </c>
      <c r="E5912" s="7" t="s">
        <v>159</v>
      </c>
      <c r="F5912" s="39" t="n">
        <v>45936</v>
      </c>
      <c r="G5912" s="41" t="n">
        <v>125.55</v>
      </c>
      <c r="H5912" s="39" t="n">
        <v>45970</v>
      </c>
      <c r="I5912" s="7" t="s">
        <v>14651</v>
      </c>
      <c r="J5912" s="8" t="str">
        <f aca="false">IF(I5912="Open",DATE(2025,12,31)-F5912,"-")</f>
        <v>-</v>
      </c>
    </row>
    <row r="5913" customFormat="false" ht="15" hidden="false" customHeight="false" outlineLevel="0" collapsed="false">
      <c r="B5913" s="7" t="s">
        <v>20559</v>
      </c>
      <c r="C5913" s="7" t="s">
        <v>6410</v>
      </c>
      <c r="D5913" s="7" t="s">
        <v>317</v>
      </c>
      <c r="E5913" s="7" t="s">
        <v>156</v>
      </c>
      <c r="F5913" s="39" t="n">
        <v>45936</v>
      </c>
      <c r="G5913" s="41" t="n">
        <v>106.76</v>
      </c>
      <c r="H5913" s="39" t="n">
        <v>45952</v>
      </c>
      <c r="I5913" s="7" t="s">
        <v>14651</v>
      </c>
      <c r="J5913" s="8" t="str">
        <f aca="false">IF(I5913="Open",DATE(2025,12,31)-F5913,"-")</f>
        <v>-</v>
      </c>
    </row>
    <row r="5914" customFormat="false" ht="15" hidden="false" customHeight="false" outlineLevel="0" collapsed="false">
      <c r="B5914" s="7" t="s">
        <v>20560</v>
      </c>
      <c r="C5914" s="7" t="s">
        <v>6411</v>
      </c>
      <c r="D5914" s="7" t="s">
        <v>321</v>
      </c>
      <c r="E5914" s="7" t="s">
        <v>154</v>
      </c>
      <c r="F5914" s="39" t="n">
        <v>45936</v>
      </c>
      <c r="G5914" s="41" t="n">
        <v>101.76</v>
      </c>
      <c r="H5914" s="39" t="n">
        <v>45999</v>
      </c>
      <c r="I5914" s="7" t="s">
        <v>14651</v>
      </c>
      <c r="J5914" s="8" t="str">
        <f aca="false">IF(I5914="Open",DATE(2025,12,31)-F5914,"-")</f>
        <v>-</v>
      </c>
    </row>
    <row r="5915" customFormat="false" ht="15" hidden="false" customHeight="false" outlineLevel="0" collapsed="false">
      <c r="B5915" s="7" t="s">
        <v>20561</v>
      </c>
      <c r="C5915" s="7" t="s">
        <v>6412</v>
      </c>
      <c r="D5915" s="7" t="s">
        <v>325</v>
      </c>
      <c r="E5915" s="7" t="s">
        <v>154</v>
      </c>
      <c r="F5915" s="39" t="n">
        <v>45936</v>
      </c>
      <c r="G5915" s="41" t="n">
        <v>85.86</v>
      </c>
      <c r="H5915" s="6" t="s">
        <v>182</v>
      </c>
      <c r="I5915" s="7" t="s">
        <v>19787</v>
      </c>
      <c r="J5915" s="8" t="n">
        <f aca="false">IF(I5915="Open",DATE(2025,12,31)-F5915,"-")</f>
        <v>86</v>
      </c>
    </row>
    <row r="5916" customFormat="false" ht="15" hidden="false" customHeight="false" outlineLevel="0" collapsed="false">
      <c r="B5916" s="7" t="s">
        <v>20562</v>
      </c>
      <c r="C5916" s="7" t="s">
        <v>6413</v>
      </c>
      <c r="D5916" s="7" t="s">
        <v>329</v>
      </c>
      <c r="E5916" s="7" t="s">
        <v>156</v>
      </c>
      <c r="F5916" s="39" t="n">
        <v>45936</v>
      </c>
      <c r="G5916" s="41" t="n">
        <v>147.56</v>
      </c>
      <c r="H5916" s="39" t="n">
        <v>45949</v>
      </c>
      <c r="I5916" s="7" t="s">
        <v>14651</v>
      </c>
      <c r="J5916" s="8" t="str">
        <f aca="false">IF(I5916="Open",DATE(2025,12,31)-F5916,"-")</f>
        <v>-</v>
      </c>
    </row>
    <row r="5917" customFormat="false" ht="15" hidden="false" customHeight="false" outlineLevel="0" collapsed="false">
      <c r="B5917" s="7" t="s">
        <v>20563</v>
      </c>
      <c r="C5917" s="7" t="s">
        <v>6414</v>
      </c>
      <c r="D5917" s="7" t="s">
        <v>331</v>
      </c>
      <c r="E5917" s="7" t="s">
        <v>156</v>
      </c>
      <c r="F5917" s="39" t="n">
        <v>45936</v>
      </c>
      <c r="G5917" s="41" t="n">
        <v>147.22</v>
      </c>
      <c r="H5917" s="39" t="n">
        <v>45947</v>
      </c>
      <c r="I5917" s="7" t="s">
        <v>14651</v>
      </c>
      <c r="J5917" s="8" t="str">
        <f aca="false">IF(I5917="Open",DATE(2025,12,31)-F5917,"-")</f>
        <v>-</v>
      </c>
    </row>
    <row r="5918" customFormat="false" ht="15" hidden="false" customHeight="false" outlineLevel="0" collapsed="false">
      <c r="B5918" s="7" t="s">
        <v>20564</v>
      </c>
      <c r="C5918" s="7" t="s">
        <v>6415</v>
      </c>
      <c r="D5918" s="7" t="s">
        <v>333</v>
      </c>
      <c r="E5918" s="7" t="s">
        <v>154</v>
      </c>
      <c r="F5918" s="39" t="n">
        <v>45936</v>
      </c>
      <c r="G5918" s="41" t="n">
        <v>81.35</v>
      </c>
      <c r="H5918" s="6" t="s">
        <v>182</v>
      </c>
      <c r="I5918" s="7" t="s">
        <v>19787</v>
      </c>
      <c r="J5918" s="8" t="n">
        <f aca="false">IF(I5918="Open",DATE(2025,12,31)-F5918,"-")</f>
        <v>86</v>
      </c>
    </row>
    <row r="5919" customFormat="false" ht="15" hidden="false" customHeight="false" outlineLevel="0" collapsed="false">
      <c r="B5919" s="7" t="s">
        <v>20565</v>
      </c>
      <c r="C5919" s="7" t="s">
        <v>6416</v>
      </c>
      <c r="D5919" s="7" t="s">
        <v>335</v>
      </c>
      <c r="E5919" s="7" t="s">
        <v>154</v>
      </c>
      <c r="F5919" s="39" t="n">
        <v>45936</v>
      </c>
      <c r="G5919" s="41" t="n">
        <v>104.41</v>
      </c>
      <c r="H5919" s="6" t="s">
        <v>182</v>
      </c>
      <c r="I5919" s="7" t="s">
        <v>19787</v>
      </c>
      <c r="J5919" s="8" t="n">
        <f aca="false">IF(I5919="Open",DATE(2025,12,31)-F5919,"-")</f>
        <v>86</v>
      </c>
    </row>
    <row r="5920" customFormat="false" ht="15" hidden="false" customHeight="false" outlineLevel="0" collapsed="false">
      <c r="B5920" s="7" t="s">
        <v>20566</v>
      </c>
      <c r="C5920" s="7" t="s">
        <v>6417</v>
      </c>
      <c r="D5920" s="7" t="s">
        <v>339</v>
      </c>
      <c r="E5920" s="7" t="s">
        <v>154</v>
      </c>
      <c r="F5920" s="39" t="n">
        <v>45936</v>
      </c>
      <c r="G5920" s="41" t="n">
        <v>94.07</v>
      </c>
      <c r="H5920" s="39" t="n">
        <v>45989</v>
      </c>
      <c r="I5920" s="7" t="s">
        <v>14651</v>
      </c>
      <c r="J5920" s="8" t="str">
        <f aca="false">IF(I5920="Open",DATE(2025,12,31)-F5920,"-")</f>
        <v>-</v>
      </c>
    </row>
    <row r="5921" customFormat="false" ht="15" hidden="false" customHeight="false" outlineLevel="0" collapsed="false">
      <c r="B5921" s="7" t="s">
        <v>20567</v>
      </c>
      <c r="C5921" s="7" t="s">
        <v>6418</v>
      </c>
      <c r="D5921" s="7" t="s">
        <v>341</v>
      </c>
      <c r="E5921" s="7" t="s">
        <v>156</v>
      </c>
      <c r="F5921" s="39" t="n">
        <v>45936</v>
      </c>
      <c r="G5921" s="41" t="n">
        <v>95.54</v>
      </c>
      <c r="H5921" s="39" t="n">
        <v>45947</v>
      </c>
      <c r="I5921" s="7" t="s">
        <v>14651</v>
      </c>
      <c r="J5921" s="8" t="str">
        <f aca="false">IF(I5921="Open",DATE(2025,12,31)-F5921,"-")</f>
        <v>-</v>
      </c>
    </row>
    <row r="5922" customFormat="false" ht="15" hidden="false" customHeight="false" outlineLevel="0" collapsed="false">
      <c r="B5922" s="7" t="s">
        <v>20568</v>
      </c>
      <c r="C5922" s="7" t="s">
        <v>6419</v>
      </c>
      <c r="D5922" s="7" t="s">
        <v>343</v>
      </c>
      <c r="E5922" s="7" t="s">
        <v>154</v>
      </c>
      <c r="F5922" s="39" t="n">
        <v>45936</v>
      </c>
      <c r="G5922" s="41" t="n">
        <v>106.53</v>
      </c>
      <c r="H5922" s="39" t="n">
        <v>45999</v>
      </c>
      <c r="I5922" s="7" t="s">
        <v>14651</v>
      </c>
      <c r="J5922" s="8" t="str">
        <f aca="false">IF(I5922="Open",DATE(2025,12,31)-F5922,"-")</f>
        <v>-</v>
      </c>
    </row>
    <row r="5923" customFormat="false" ht="15" hidden="false" customHeight="false" outlineLevel="0" collapsed="false">
      <c r="B5923" s="7" t="s">
        <v>20569</v>
      </c>
      <c r="C5923" s="7" t="s">
        <v>6420</v>
      </c>
      <c r="D5923" s="7" t="s">
        <v>347</v>
      </c>
      <c r="E5923" s="7" t="s">
        <v>154</v>
      </c>
      <c r="F5923" s="39" t="n">
        <v>45936</v>
      </c>
      <c r="G5923" s="41" t="n">
        <v>114.21</v>
      </c>
      <c r="H5923" s="6" t="s">
        <v>182</v>
      </c>
      <c r="I5923" s="7" t="s">
        <v>19787</v>
      </c>
      <c r="J5923" s="8" t="n">
        <f aca="false">IF(I5923="Open",DATE(2025,12,31)-F5923,"-")</f>
        <v>86</v>
      </c>
    </row>
    <row r="5924" customFormat="false" ht="15" hidden="false" customHeight="false" outlineLevel="0" collapsed="false">
      <c r="B5924" s="7" t="s">
        <v>20570</v>
      </c>
      <c r="C5924" s="7" t="s">
        <v>6421</v>
      </c>
      <c r="D5924" s="7" t="s">
        <v>349</v>
      </c>
      <c r="E5924" s="7" t="s">
        <v>154</v>
      </c>
      <c r="F5924" s="39" t="n">
        <v>45936</v>
      </c>
      <c r="G5924" s="41" t="n">
        <v>116.33</v>
      </c>
      <c r="H5924" s="39" t="n">
        <v>45994</v>
      </c>
      <c r="I5924" s="7" t="s">
        <v>14651</v>
      </c>
      <c r="J5924" s="8" t="str">
        <f aca="false">IF(I5924="Open",DATE(2025,12,31)-F5924,"-")</f>
        <v>-</v>
      </c>
    </row>
    <row r="5925" customFormat="false" ht="15" hidden="false" customHeight="false" outlineLevel="0" collapsed="false">
      <c r="B5925" s="7" t="s">
        <v>20571</v>
      </c>
      <c r="C5925" s="7" t="s">
        <v>6422</v>
      </c>
      <c r="D5925" s="7" t="s">
        <v>351</v>
      </c>
      <c r="E5925" s="7" t="s">
        <v>154</v>
      </c>
      <c r="F5925" s="39" t="n">
        <v>45936</v>
      </c>
      <c r="G5925" s="41" t="n">
        <v>76.06</v>
      </c>
      <c r="H5925" s="39" t="n">
        <v>46001</v>
      </c>
      <c r="I5925" s="7" t="s">
        <v>14651</v>
      </c>
      <c r="J5925" s="8" t="str">
        <f aca="false">IF(I5925="Open",DATE(2025,12,31)-F5925,"-")</f>
        <v>-</v>
      </c>
    </row>
    <row r="5926" customFormat="false" ht="15" hidden="false" customHeight="false" outlineLevel="0" collapsed="false">
      <c r="B5926" s="7" t="s">
        <v>20572</v>
      </c>
      <c r="C5926" s="7" t="s">
        <v>6423</v>
      </c>
      <c r="D5926" s="7" t="s">
        <v>355</v>
      </c>
      <c r="E5926" s="7" t="s">
        <v>154</v>
      </c>
      <c r="F5926" s="39" t="n">
        <v>45936</v>
      </c>
      <c r="G5926" s="41" t="n">
        <v>91.16</v>
      </c>
      <c r="H5926" s="6" t="s">
        <v>182</v>
      </c>
      <c r="I5926" s="7" t="s">
        <v>19787</v>
      </c>
      <c r="J5926" s="8" t="n">
        <f aca="false">IF(I5926="Open",DATE(2025,12,31)-F5926,"-")</f>
        <v>86</v>
      </c>
    </row>
    <row r="5927" customFormat="false" ht="15" hidden="false" customHeight="false" outlineLevel="0" collapsed="false">
      <c r="B5927" s="7" t="s">
        <v>20573</v>
      </c>
      <c r="C5927" s="7" t="s">
        <v>6424</v>
      </c>
      <c r="D5927" s="7" t="s">
        <v>357</v>
      </c>
      <c r="E5927" s="7" t="s">
        <v>154</v>
      </c>
      <c r="F5927" s="39" t="n">
        <v>45936</v>
      </c>
      <c r="G5927" s="41" t="n">
        <v>89.57</v>
      </c>
      <c r="H5927" s="39" t="n">
        <v>45999</v>
      </c>
      <c r="I5927" s="7" t="s">
        <v>14651</v>
      </c>
      <c r="J5927" s="8" t="str">
        <f aca="false">IF(I5927="Open",DATE(2025,12,31)-F5927,"-")</f>
        <v>-</v>
      </c>
    </row>
    <row r="5928" customFormat="false" ht="15" hidden="false" customHeight="false" outlineLevel="0" collapsed="false">
      <c r="B5928" s="7" t="s">
        <v>20574</v>
      </c>
      <c r="C5928" s="7" t="s">
        <v>6425</v>
      </c>
      <c r="D5928" s="7" t="s">
        <v>359</v>
      </c>
      <c r="E5928" s="7" t="s">
        <v>156</v>
      </c>
      <c r="F5928" s="39" t="n">
        <v>45936</v>
      </c>
      <c r="G5928" s="41" t="n">
        <v>138.04</v>
      </c>
      <c r="H5928" s="39" t="n">
        <v>45950</v>
      </c>
      <c r="I5928" s="7" t="s">
        <v>14651</v>
      </c>
      <c r="J5928" s="8" t="str">
        <f aca="false">IF(I5928="Open",DATE(2025,12,31)-F5928,"-")</f>
        <v>-</v>
      </c>
    </row>
    <row r="5929" customFormat="false" ht="15" hidden="false" customHeight="false" outlineLevel="0" collapsed="false">
      <c r="B5929" s="7" t="s">
        <v>20575</v>
      </c>
      <c r="C5929" s="7" t="s">
        <v>6426</v>
      </c>
      <c r="D5929" s="7" t="s">
        <v>363</v>
      </c>
      <c r="E5929" s="7" t="s">
        <v>156</v>
      </c>
      <c r="F5929" s="39" t="n">
        <v>45936</v>
      </c>
      <c r="G5929" s="41" t="n">
        <v>133.96</v>
      </c>
      <c r="H5929" s="39" t="n">
        <v>45949</v>
      </c>
      <c r="I5929" s="7" t="s">
        <v>14651</v>
      </c>
      <c r="J5929" s="8" t="str">
        <f aca="false">IF(I5929="Open",DATE(2025,12,31)-F5929,"-")</f>
        <v>-</v>
      </c>
    </row>
    <row r="5930" customFormat="false" ht="15" hidden="false" customHeight="false" outlineLevel="0" collapsed="false">
      <c r="B5930" s="7" t="s">
        <v>20576</v>
      </c>
      <c r="C5930" s="7" t="s">
        <v>6427</v>
      </c>
      <c r="D5930" s="7" t="s">
        <v>365</v>
      </c>
      <c r="E5930" s="7" t="s">
        <v>154</v>
      </c>
      <c r="F5930" s="39" t="n">
        <v>45936</v>
      </c>
      <c r="G5930" s="41" t="n">
        <v>112.89</v>
      </c>
      <c r="H5930" s="39" t="n">
        <v>46001</v>
      </c>
      <c r="I5930" s="7" t="s">
        <v>14651</v>
      </c>
      <c r="J5930" s="8" t="str">
        <f aca="false">IF(I5930="Open",DATE(2025,12,31)-F5930,"-")</f>
        <v>-</v>
      </c>
    </row>
    <row r="5931" customFormat="false" ht="15" hidden="false" customHeight="false" outlineLevel="0" collapsed="false">
      <c r="B5931" s="7" t="s">
        <v>20577</v>
      </c>
      <c r="C5931" s="7" t="s">
        <v>6428</v>
      </c>
      <c r="D5931" s="7" t="s">
        <v>371</v>
      </c>
      <c r="E5931" s="7" t="s">
        <v>154</v>
      </c>
      <c r="F5931" s="39" t="n">
        <v>45936</v>
      </c>
      <c r="G5931" s="41" t="n">
        <v>127.46</v>
      </c>
      <c r="H5931" s="6" t="s">
        <v>182</v>
      </c>
      <c r="I5931" s="7" t="s">
        <v>19787</v>
      </c>
      <c r="J5931" s="8" t="n">
        <f aca="false">IF(I5931="Open",DATE(2025,12,31)-F5931,"-")</f>
        <v>86</v>
      </c>
    </row>
    <row r="5932" customFormat="false" ht="15" hidden="false" customHeight="false" outlineLevel="0" collapsed="false">
      <c r="B5932" s="7" t="s">
        <v>20578</v>
      </c>
      <c r="C5932" s="7" t="s">
        <v>6429</v>
      </c>
      <c r="D5932" s="7" t="s">
        <v>375</v>
      </c>
      <c r="E5932" s="7" t="s">
        <v>156</v>
      </c>
      <c r="F5932" s="39" t="n">
        <v>45936</v>
      </c>
      <c r="G5932" s="41" t="n">
        <v>92.14</v>
      </c>
      <c r="H5932" s="39" t="n">
        <v>45943</v>
      </c>
      <c r="I5932" s="7" t="s">
        <v>14651</v>
      </c>
      <c r="J5932" s="8" t="str">
        <f aca="false">IF(I5932="Open",DATE(2025,12,31)-F5932,"-")</f>
        <v>-</v>
      </c>
    </row>
    <row r="5933" customFormat="false" ht="15" hidden="false" customHeight="false" outlineLevel="0" collapsed="false">
      <c r="B5933" s="7" t="s">
        <v>20579</v>
      </c>
      <c r="C5933" s="7" t="s">
        <v>6430</v>
      </c>
      <c r="D5933" s="7" t="s">
        <v>377</v>
      </c>
      <c r="E5933" s="7" t="s">
        <v>154</v>
      </c>
      <c r="F5933" s="39" t="n">
        <v>45936</v>
      </c>
      <c r="G5933" s="41" t="n">
        <v>95.66</v>
      </c>
      <c r="H5933" s="39" t="n">
        <v>45998</v>
      </c>
      <c r="I5933" s="7" t="s">
        <v>14651</v>
      </c>
      <c r="J5933" s="8" t="str">
        <f aca="false">IF(I5933="Open",DATE(2025,12,31)-F5933,"-")</f>
        <v>-</v>
      </c>
    </row>
    <row r="5934" customFormat="false" ht="15" hidden="false" customHeight="false" outlineLevel="0" collapsed="false">
      <c r="B5934" s="7" t="s">
        <v>20580</v>
      </c>
      <c r="C5934" s="7" t="s">
        <v>6431</v>
      </c>
      <c r="D5934" s="7" t="s">
        <v>379</v>
      </c>
      <c r="E5934" s="7" t="s">
        <v>156</v>
      </c>
      <c r="F5934" s="39" t="n">
        <v>45936</v>
      </c>
      <c r="G5934" s="41" t="n">
        <v>146.88</v>
      </c>
      <c r="H5934" s="39" t="n">
        <v>45954</v>
      </c>
      <c r="I5934" s="7" t="s">
        <v>14651</v>
      </c>
      <c r="J5934" s="8" t="str">
        <f aca="false">IF(I5934="Open",DATE(2025,12,31)-F5934,"-")</f>
        <v>-</v>
      </c>
    </row>
    <row r="5935" customFormat="false" ht="15" hidden="false" customHeight="false" outlineLevel="0" collapsed="false">
      <c r="B5935" s="7" t="s">
        <v>20581</v>
      </c>
      <c r="C5935" s="7" t="s">
        <v>6432</v>
      </c>
      <c r="D5935" s="7" t="s">
        <v>385</v>
      </c>
      <c r="E5935" s="7" t="s">
        <v>156</v>
      </c>
      <c r="F5935" s="39" t="n">
        <v>45936</v>
      </c>
      <c r="G5935" s="41" t="n">
        <v>125.8</v>
      </c>
      <c r="H5935" s="39" t="n">
        <v>45951</v>
      </c>
      <c r="I5935" s="7" t="s">
        <v>14651</v>
      </c>
      <c r="J5935" s="8" t="str">
        <f aca="false">IF(I5935="Open",DATE(2025,12,31)-F5935,"-")</f>
        <v>-</v>
      </c>
    </row>
    <row r="5936" customFormat="false" ht="15" hidden="false" customHeight="false" outlineLevel="0" collapsed="false">
      <c r="B5936" s="7" t="s">
        <v>20582</v>
      </c>
      <c r="C5936" s="7" t="s">
        <v>6433</v>
      </c>
      <c r="D5936" s="7" t="s">
        <v>387</v>
      </c>
      <c r="E5936" s="7" t="s">
        <v>154</v>
      </c>
      <c r="F5936" s="39" t="n">
        <v>45936</v>
      </c>
      <c r="G5936" s="41" t="n">
        <v>96.99</v>
      </c>
      <c r="H5936" s="6" t="s">
        <v>182</v>
      </c>
      <c r="I5936" s="7" t="s">
        <v>19787</v>
      </c>
      <c r="J5936" s="8" t="n">
        <f aca="false">IF(I5936="Open",DATE(2025,12,31)-F5936,"-")</f>
        <v>86</v>
      </c>
    </row>
    <row r="5937" customFormat="false" ht="15" hidden="false" customHeight="false" outlineLevel="0" collapsed="false">
      <c r="B5937" s="7" t="s">
        <v>20583</v>
      </c>
      <c r="C5937" s="7" t="s">
        <v>6434</v>
      </c>
      <c r="D5937" s="7" t="s">
        <v>389</v>
      </c>
      <c r="E5937" s="7" t="s">
        <v>154</v>
      </c>
      <c r="F5937" s="39" t="n">
        <v>45936</v>
      </c>
      <c r="G5937" s="41" t="n">
        <v>98.05</v>
      </c>
      <c r="H5937" s="39" t="n">
        <v>46020</v>
      </c>
      <c r="I5937" s="7" t="s">
        <v>14651</v>
      </c>
      <c r="J5937" s="8" t="str">
        <f aca="false">IF(I5937="Open",DATE(2025,12,31)-F5937,"-")</f>
        <v>-</v>
      </c>
    </row>
    <row r="5938" customFormat="false" ht="15" hidden="false" customHeight="false" outlineLevel="0" collapsed="false">
      <c r="B5938" s="7" t="s">
        <v>20584</v>
      </c>
      <c r="C5938" s="7" t="s">
        <v>6435</v>
      </c>
      <c r="D5938" s="7" t="s">
        <v>391</v>
      </c>
      <c r="E5938" s="7" t="s">
        <v>156</v>
      </c>
      <c r="F5938" s="39" t="n">
        <v>45936</v>
      </c>
      <c r="G5938" s="41" t="n">
        <v>126.14</v>
      </c>
      <c r="H5938" s="39" t="n">
        <v>45952</v>
      </c>
      <c r="I5938" s="7" t="s">
        <v>14651</v>
      </c>
      <c r="J5938" s="8" t="str">
        <f aca="false">IF(I5938="Open",DATE(2025,12,31)-F5938,"-")</f>
        <v>-</v>
      </c>
    </row>
    <row r="5939" customFormat="false" ht="15" hidden="false" customHeight="false" outlineLevel="0" collapsed="false">
      <c r="B5939" s="7" t="s">
        <v>20585</v>
      </c>
      <c r="C5939" s="7" t="s">
        <v>6436</v>
      </c>
      <c r="D5939" s="7" t="s">
        <v>395</v>
      </c>
      <c r="E5939" s="7" t="s">
        <v>156</v>
      </c>
      <c r="F5939" s="39" t="n">
        <v>45936</v>
      </c>
      <c r="G5939" s="41" t="n">
        <v>128.86</v>
      </c>
      <c r="H5939" s="39" t="n">
        <v>45947</v>
      </c>
      <c r="I5939" s="7" t="s">
        <v>14651</v>
      </c>
      <c r="J5939" s="8" t="str">
        <f aca="false">IF(I5939="Open",DATE(2025,12,31)-F5939,"-")</f>
        <v>-</v>
      </c>
    </row>
    <row r="5940" customFormat="false" ht="15" hidden="false" customHeight="false" outlineLevel="0" collapsed="false">
      <c r="B5940" s="7" t="s">
        <v>20586</v>
      </c>
      <c r="C5940" s="7" t="s">
        <v>6437</v>
      </c>
      <c r="D5940" s="7" t="s">
        <v>399</v>
      </c>
      <c r="E5940" s="7" t="s">
        <v>154</v>
      </c>
      <c r="F5940" s="39" t="n">
        <v>45936</v>
      </c>
      <c r="G5940" s="41" t="n">
        <v>91.69</v>
      </c>
      <c r="H5940" s="39" t="n">
        <v>45980</v>
      </c>
      <c r="I5940" s="7" t="s">
        <v>14651</v>
      </c>
      <c r="J5940" s="8" t="str">
        <f aca="false">IF(I5940="Open",DATE(2025,12,31)-F5940,"-")</f>
        <v>-</v>
      </c>
    </row>
    <row r="5941" customFormat="false" ht="15" hidden="false" customHeight="false" outlineLevel="0" collapsed="false">
      <c r="B5941" s="7" t="s">
        <v>20587</v>
      </c>
      <c r="C5941" s="7" t="s">
        <v>6438</v>
      </c>
      <c r="D5941" s="7" t="s">
        <v>401</v>
      </c>
      <c r="E5941" s="7" t="s">
        <v>156</v>
      </c>
      <c r="F5941" s="39" t="n">
        <v>45936</v>
      </c>
      <c r="G5941" s="41" t="n">
        <v>145.52</v>
      </c>
      <c r="H5941" s="39" t="n">
        <v>45942</v>
      </c>
      <c r="I5941" s="7" t="s">
        <v>14651</v>
      </c>
      <c r="J5941" s="8" t="str">
        <f aca="false">IF(I5941="Open",DATE(2025,12,31)-F5941,"-")</f>
        <v>-</v>
      </c>
    </row>
    <row r="5942" customFormat="false" ht="15" hidden="false" customHeight="false" outlineLevel="0" collapsed="false">
      <c r="B5942" s="7" t="s">
        <v>20588</v>
      </c>
      <c r="C5942" s="7" t="s">
        <v>6439</v>
      </c>
      <c r="D5942" s="7" t="s">
        <v>403</v>
      </c>
      <c r="E5942" s="7" t="s">
        <v>156</v>
      </c>
      <c r="F5942" s="39" t="n">
        <v>45936</v>
      </c>
      <c r="G5942" s="41" t="n">
        <v>131.24</v>
      </c>
      <c r="H5942" s="39" t="n">
        <v>45947</v>
      </c>
      <c r="I5942" s="7" t="s">
        <v>14651</v>
      </c>
      <c r="J5942" s="8" t="str">
        <f aca="false">IF(I5942="Open",DATE(2025,12,31)-F5942,"-")</f>
        <v>-</v>
      </c>
    </row>
    <row r="5943" customFormat="false" ht="15" hidden="false" customHeight="false" outlineLevel="0" collapsed="false">
      <c r="B5943" s="7" t="s">
        <v>20589</v>
      </c>
      <c r="C5943" s="7" t="s">
        <v>6440</v>
      </c>
      <c r="D5943" s="7" t="s">
        <v>409</v>
      </c>
      <c r="E5943" s="7" t="s">
        <v>154</v>
      </c>
      <c r="F5943" s="39" t="n">
        <v>45936</v>
      </c>
      <c r="G5943" s="41" t="n">
        <v>89.46</v>
      </c>
      <c r="H5943" s="39" t="n">
        <v>45984</v>
      </c>
      <c r="I5943" s="7" t="s">
        <v>14651</v>
      </c>
      <c r="J5943" s="8" t="str">
        <f aca="false">IF(I5943="Open",DATE(2025,12,31)-F5943,"-")</f>
        <v>-</v>
      </c>
    </row>
    <row r="5944" customFormat="false" ht="15" hidden="false" customHeight="false" outlineLevel="0" collapsed="false">
      <c r="B5944" s="7" t="s">
        <v>20590</v>
      </c>
      <c r="C5944" s="7" t="s">
        <v>6441</v>
      </c>
      <c r="D5944" s="7" t="s">
        <v>411</v>
      </c>
      <c r="E5944" s="7" t="s">
        <v>154</v>
      </c>
      <c r="F5944" s="39" t="n">
        <v>45936</v>
      </c>
      <c r="G5944" s="41" t="n">
        <v>119.78</v>
      </c>
      <c r="H5944" s="39" t="n">
        <v>45988</v>
      </c>
      <c r="I5944" s="7" t="s">
        <v>14651</v>
      </c>
      <c r="J5944" s="8" t="str">
        <f aca="false">IF(I5944="Open",DATE(2025,12,31)-F5944,"-")</f>
        <v>-</v>
      </c>
    </row>
    <row r="5945" customFormat="false" ht="15" hidden="false" customHeight="false" outlineLevel="0" collapsed="false">
      <c r="B5945" s="7" t="s">
        <v>20591</v>
      </c>
      <c r="C5945" s="7" t="s">
        <v>6442</v>
      </c>
      <c r="D5945" s="7" t="s">
        <v>288</v>
      </c>
      <c r="E5945" s="7" t="s">
        <v>156</v>
      </c>
      <c r="F5945" s="39" t="n">
        <v>45937</v>
      </c>
      <c r="G5945" s="41" t="n">
        <v>136</v>
      </c>
      <c r="H5945" s="39" t="n">
        <v>45954</v>
      </c>
      <c r="I5945" s="7" t="s">
        <v>14651</v>
      </c>
      <c r="J5945" s="8" t="str">
        <f aca="false">IF(I5945="Open",DATE(2025,12,31)-F5945,"-")</f>
        <v>-</v>
      </c>
    </row>
    <row r="5946" customFormat="false" ht="15" hidden="false" customHeight="false" outlineLevel="0" collapsed="false">
      <c r="B5946" s="7" t="s">
        <v>20592</v>
      </c>
      <c r="C5946" s="7" t="s">
        <v>6443</v>
      </c>
      <c r="D5946" s="7" t="s">
        <v>293</v>
      </c>
      <c r="E5946" s="7" t="s">
        <v>157</v>
      </c>
      <c r="F5946" s="39" t="n">
        <v>45937</v>
      </c>
      <c r="G5946" s="41" t="n">
        <v>163.35</v>
      </c>
      <c r="H5946" s="39" t="n">
        <v>46011</v>
      </c>
      <c r="I5946" s="7" t="s">
        <v>14651</v>
      </c>
      <c r="J5946" s="8" t="str">
        <f aca="false">IF(I5946="Open",DATE(2025,12,31)-F5946,"-")</f>
        <v>-</v>
      </c>
    </row>
    <row r="5947" customFormat="false" ht="15" hidden="false" customHeight="false" outlineLevel="0" collapsed="false">
      <c r="B5947" s="7" t="s">
        <v>20593</v>
      </c>
      <c r="C5947" s="7" t="s">
        <v>6444</v>
      </c>
      <c r="D5947" s="7" t="s">
        <v>301</v>
      </c>
      <c r="E5947" s="7" t="s">
        <v>157</v>
      </c>
      <c r="F5947" s="39" t="n">
        <v>45937</v>
      </c>
      <c r="G5947" s="41" t="n">
        <v>171.6</v>
      </c>
      <c r="H5947" s="39" t="n">
        <v>45965</v>
      </c>
      <c r="I5947" s="7" t="s">
        <v>14651</v>
      </c>
      <c r="J5947" s="8" t="str">
        <f aca="false">IF(I5947="Open",DATE(2025,12,31)-F5947,"-")</f>
        <v>-</v>
      </c>
    </row>
    <row r="5948" customFormat="false" ht="15" hidden="false" customHeight="false" outlineLevel="0" collapsed="false">
      <c r="B5948" s="7" t="s">
        <v>20594</v>
      </c>
      <c r="C5948" s="7" t="s">
        <v>6445</v>
      </c>
      <c r="D5948" s="7" t="s">
        <v>313</v>
      </c>
      <c r="E5948" s="7" t="s">
        <v>156</v>
      </c>
      <c r="F5948" s="39" t="n">
        <v>45937</v>
      </c>
      <c r="G5948" s="41" t="n">
        <v>131.92</v>
      </c>
      <c r="H5948" s="39" t="n">
        <v>45951</v>
      </c>
      <c r="I5948" s="7" t="s">
        <v>14651</v>
      </c>
      <c r="J5948" s="8" t="str">
        <f aca="false">IF(I5948="Open",DATE(2025,12,31)-F5948,"-")</f>
        <v>-</v>
      </c>
    </row>
    <row r="5949" customFormat="false" ht="15" hidden="false" customHeight="false" outlineLevel="0" collapsed="false">
      <c r="B5949" s="7" t="s">
        <v>20595</v>
      </c>
      <c r="C5949" s="7" t="s">
        <v>6446</v>
      </c>
      <c r="D5949" s="7" t="s">
        <v>319</v>
      </c>
      <c r="E5949" s="7" t="s">
        <v>157</v>
      </c>
      <c r="F5949" s="39" t="n">
        <v>45937</v>
      </c>
      <c r="G5949" s="41" t="n">
        <v>148.5</v>
      </c>
      <c r="H5949" s="39" t="n">
        <v>45975</v>
      </c>
      <c r="I5949" s="7" t="s">
        <v>14651</v>
      </c>
      <c r="J5949" s="8" t="str">
        <f aca="false">IF(I5949="Open",DATE(2025,12,31)-F5949,"-")</f>
        <v>-</v>
      </c>
    </row>
    <row r="5950" customFormat="false" ht="15" hidden="false" customHeight="false" outlineLevel="0" collapsed="false">
      <c r="B5950" s="7" t="s">
        <v>20596</v>
      </c>
      <c r="C5950" s="7" t="s">
        <v>6447</v>
      </c>
      <c r="D5950" s="7" t="s">
        <v>321</v>
      </c>
      <c r="E5950" s="7" t="s">
        <v>154</v>
      </c>
      <c r="F5950" s="39" t="n">
        <v>45937</v>
      </c>
      <c r="G5950" s="41" t="n">
        <v>113.95</v>
      </c>
      <c r="H5950" s="39" t="n">
        <v>45983</v>
      </c>
      <c r="I5950" s="7" t="s">
        <v>14651</v>
      </c>
      <c r="J5950" s="8" t="str">
        <f aca="false">IF(I5950="Open",DATE(2025,12,31)-F5950,"-")</f>
        <v>-</v>
      </c>
    </row>
    <row r="5951" customFormat="false" ht="15" hidden="false" customHeight="false" outlineLevel="0" collapsed="false">
      <c r="B5951" s="7" t="s">
        <v>20597</v>
      </c>
      <c r="C5951" s="7" t="s">
        <v>6448</v>
      </c>
      <c r="D5951" s="7" t="s">
        <v>323</v>
      </c>
      <c r="E5951" s="7" t="s">
        <v>159</v>
      </c>
      <c r="F5951" s="39" t="n">
        <v>45937</v>
      </c>
      <c r="G5951" s="41" t="n">
        <v>124.2</v>
      </c>
      <c r="H5951" s="39" t="n">
        <v>45988</v>
      </c>
      <c r="I5951" s="7" t="s">
        <v>14651</v>
      </c>
      <c r="J5951" s="8" t="str">
        <f aca="false">IF(I5951="Open",DATE(2025,12,31)-F5951,"-")</f>
        <v>-</v>
      </c>
    </row>
    <row r="5952" customFormat="false" ht="15" hidden="false" customHeight="false" outlineLevel="0" collapsed="false">
      <c r="B5952" s="7" t="s">
        <v>20598</v>
      </c>
      <c r="C5952" s="7" t="s">
        <v>6449</v>
      </c>
      <c r="D5952" s="7" t="s">
        <v>327</v>
      </c>
      <c r="E5952" s="7" t="s">
        <v>157</v>
      </c>
      <c r="F5952" s="39" t="n">
        <v>45937</v>
      </c>
      <c r="G5952" s="41" t="n">
        <v>156.75</v>
      </c>
      <c r="H5952" s="6" t="s">
        <v>182</v>
      </c>
      <c r="I5952" s="7" t="s">
        <v>19787</v>
      </c>
      <c r="J5952" s="8" t="n">
        <f aca="false">IF(I5952="Open",DATE(2025,12,31)-F5952,"-")</f>
        <v>85</v>
      </c>
    </row>
    <row r="5953" customFormat="false" ht="15" hidden="false" customHeight="false" outlineLevel="0" collapsed="false">
      <c r="B5953" s="7" t="s">
        <v>20599</v>
      </c>
      <c r="C5953" s="7" t="s">
        <v>6450</v>
      </c>
      <c r="D5953" s="7" t="s">
        <v>329</v>
      </c>
      <c r="E5953" s="7" t="s">
        <v>156</v>
      </c>
      <c r="F5953" s="39" t="n">
        <v>45937</v>
      </c>
      <c r="G5953" s="41" t="n">
        <v>144.84</v>
      </c>
      <c r="H5953" s="39" t="n">
        <v>45941</v>
      </c>
      <c r="I5953" s="7" t="s">
        <v>14651</v>
      </c>
      <c r="J5953" s="8" t="str">
        <f aca="false">IF(I5953="Open",DATE(2025,12,31)-F5953,"-")</f>
        <v>-</v>
      </c>
    </row>
    <row r="5954" customFormat="false" ht="15" hidden="false" customHeight="false" outlineLevel="0" collapsed="false">
      <c r="B5954" s="7" t="s">
        <v>20600</v>
      </c>
      <c r="C5954" s="7" t="s">
        <v>6451</v>
      </c>
      <c r="D5954" s="7" t="s">
        <v>349</v>
      </c>
      <c r="E5954" s="7" t="s">
        <v>154</v>
      </c>
      <c r="F5954" s="39" t="n">
        <v>45937</v>
      </c>
      <c r="G5954" s="41" t="n">
        <v>99.38</v>
      </c>
      <c r="H5954" s="6" t="s">
        <v>182</v>
      </c>
      <c r="I5954" s="7" t="s">
        <v>19787</v>
      </c>
      <c r="J5954" s="8" t="n">
        <f aca="false">IF(I5954="Open",DATE(2025,12,31)-F5954,"-")</f>
        <v>85</v>
      </c>
    </row>
    <row r="5955" customFormat="false" ht="15" hidden="false" customHeight="false" outlineLevel="0" collapsed="false">
      <c r="B5955" s="7" t="s">
        <v>20601</v>
      </c>
      <c r="C5955" s="7" t="s">
        <v>6452</v>
      </c>
      <c r="D5955" s="7" t="s">
        <v>359</v>
      </c>
      <c r="E5955" s="7" t="s">
        <v>156</v>
      </c>
      <c r="F5955" s="39" t="n">
        <v>45937</v>
      </c>
      <c r="G5955" s="41" t="n">
        <v>125.12</v>
      </c>
      <c r="H5955" s="39" t="n">
        <v>45946</v>
      </c>
      <c r="I5955" s="7" t="s">
        <v>14651</v>
      </c>
      <c r="J5955" s="8" t="str">
        <f aca="false">IF(I5955="Open",DATE(2025,12,31)-F5955,"-")</f>
        <v>-</v>
      </c>
    </row>
    <row r="5956" customFormat="false" ht="15" hidden="false" customHeight="false" outlineLevel="0" collapsed="false">
      <c r="B5956" s="7" t="s">
        <v>20602</v>
      </c>
      <c r="C5956" s="7" t="s">
        <v>6453</v>
      </c>
      <c r="D5956" s="7" t="s">
        <v>361</v>
      </c>
      <c r="E5956" s="7" t="s">
        <v>157</v>
      </c>
      <c r="F5956" s="39" t="n">
        <v>45937</v>
      </c>
      <c r="G5956" s="41" t="n">
        <v>168.3</v>
      </c>
      <c r="H5956" s="39" t="n">
        <v>45968</v>
      </c>
      <c r="I5956" s="7" t="s">
        <v>14651</v>
      </c>
      <c r="J5956" s="8" t="str">
        <f aca="false">IF(I5956="Open",DATE(2025,12,31)-F5956,"-")</f>
        <v>-</v>
      </c>
    </row>
    <row r="5957" customFormat="false" ht="15" hidden="false" customHeight="false" outlineLevel="0" collapsed="false">
      <c r="B5957" s="7" t="s">
        <v>20603</v>
      </c>
      <c r="C5957" s="7" t="s">
        <v>6454</v>
      </c>
      <c r="D5957" s="7" t="s">
        <v>365</v>
      </c>
      <c r="E5957" s="7" t="s">
        <v>154</v>
      </c>
      <c r="F5957" s="39" t="n">
        <v>45937</v>
      </c>
      <c r="G5957" s="41" t="n">
        <v>114.75</v>
      </c>
      <c r="H5957" s="39" t="n">
        <v>45984</v>
      </c>
      <c r="I5957" s="7" t="s">
        <v>14651</v>
      </c>
      <c r="J5957" s="8" t="str">
        <f aca="false">IF(I5957="Open",DATE(2025,12,31)-F5957,"-")</f>
        <v>-</v>
      </c>
    </row>
    <row r="5958" customFormat="false" ht="15" hidden="false" customHeight="false" outlineLevel="0" collapsed="false">
      <c r="B5958" s="7" t="s">
        <v>20604</v>
      </c>
      <c r="C5958" s="7" t="s">
        <v>6455</v>
      </c>
      <c r="D5958" s="7" t="s">
        <v>369</v>
      </c>
      <c r="E5958" s="7" t="s">
        <v>159</v>
      </c>
      <c r="F5958" s="39" t="n">
        <v>45937</v>
      </c>
      <c r="G5958" s="41" t="n">
        <v>122.85</v>
      </c>
      <c r="H5958" s="39" t="n">
        <v>45976</v>
      </c>
      <c r="I5958" s="7" t="s">
        <v>14651</v>
      </c>
      <c r="J5958" s="8" t="str">
        <f aca="false">IF(I5958="Open",DATE(2025,12,31)-F5958,"-")</f>
        <v>-</v>
      </c>
    </row>
    <row r="5959" customFormat="false" ht="15" hidden="false" customHeight="false" outlineLevel="0" collapsed="false">
      <c r="B5959" s="7" t="s">
        <v>20605</v>
      </c>
      <c r="C5959" s="7" t="s">
        <v>6456</v>
      </c>
      <c r="D5959" s="7" t="s">
        <v>381</v>
      </c>
      <c r="E5959" s="7" t="s">
        <v>157</v>
      </c>
      <c r="F5959" s="39" t="n">
        <v>45937</v>
      </c>
      <c r="G5959" s="41" t="n">
        <v>181.5</v>
      </c>
      <c r="H5959" s="6" t="s">
        <v>182</v>
      </c>
      <c r="I5959" s="7" t="s">
        <v>19787</v>
      </c>
      <c r="J5959" s="8" t="n">
        <f aca="false">IF(I5959="Open",DATE(2025,12,31)-F5959,"-")</f>
        <v>85</v>
      </c>
    </row>
    <row r="5960" customFormat="false" ht="15" hidden="false" customHeight="false" outlineLevel="0" collapsed="false">
      <c r="B5960" s="7" t="s">
        <v>20606</v>
      </c>
      <c r="C5960" s="7" t="s">
        <v>6457</v>
      </c>
      <c r="D5960" s="7" t="s">
        <v>383</v>
      </c>
      <c r="E5960" s="7" t="s">
        <v>157</v>
      </c>
      <c r="F5960" s="39" t="n">
        <v>45937</v>
      </c>
      <c r="G5960" s="41" t="n">
        <v>160.05</v>
      </c>
      <c r="H5960" s="39" t="n">
        <v>45995</v>
      </c>
      <c r="I5960" s="7" t="s">
        <v>14651</v>
      </c>
      <c r="J5960" s="8" t="str">
        <f aca="false">IF(I5960="Open",DATE(2025,12,31)-F5960,"-")</f>
        <v>-</v>
      </c>
    </row>
    <row r="5961" customFormat="false" ht="15" hidden="false" customHeight="false" outlineLevel="0" collapsed="false">
      <c r="B5961" s="7" t="s">
        <v>20607</v>
      </c>
      <c r="C5961" s="7" t="s">
        <v>6458</v>
      </c>
      <c r="D5961" s="7" t="s">
        <v>387</v>
      </c>
      <c r="E5961" s="7" t="s">
        <v>154</v>
      </c>
      <c r="F5961" s="39" t="n">
        <v>45937</v>
      </c>
      <c r="G5961" s="41" t="n">
        <v>97.25</v>
      </c>
      <c r="H5961" s="39" t="n">
        <v>46014</v>
      </c>
      <c r="I5961" s="7" t="s">
        <v>14651</v>
      </c>
      <c r="J5961" s="8" t="str">
        <f aca="false">IF(I5961="Open",DATE(2025,12,31)-F5961,"-")</f>
        <v>-</v>
      </c>
    </row>
    <row r="5962" customFormat="false" ht="15" hidden="false" customHeight="false" outlineLevel="0" collapsed="false">
      <c r="B5962" s="7" t="s">
        <v>20608</v>
      </c>
      <c r="C5962" s="7" t="s">
        <v>6459</v>
      </c>
      <c r="D5962" s="7" t="s">
        <v>389</v>
      </c>
      <c r="E5962" s="7" t="s">
        <v>154</v>
      </c>
      <c r="F5962" s="39" t="n">
        <v>45937</v>
      </c>
      <c r="G5962" s="41" t="n">
        <v>109.23</v>
      </c>
      <c r="H5962" s="39" t="n">
        <v>45993</v>
      </c>
      <c r="I5962" s="7" t="s">
        <v>14651</v>
      </c>
      <c r="J5962" s="8" t="str">
        <f aca="false">IF(I5962="Open",DATE(2025,12,31)-F5962,"-")</f>
        <v>-</v>
      </c>
    </row>
    <row r="5963" customFormat="false" ht="15" hidden="false" customHeight="false" outlineLevel="0" collapsed="false">
      <c r="B5963" s="7" t="s">
        <v>20609</v>
      </c>
      <c r="C5963" s="7" t="s">
        <v>6460</v>
      </c>
      <c r="D5963" s="7" t="s">
        <v>391</v>
      </c>
      <c r="E5963" s="7" t="s">
        <v>156</v>
      </c>
      <c r="F5963" s="39" t="n">
        <v>45937</v>
      </c>
      <c r="G5963" s="41" t="n">
        <v>146.54</v>
      </c>
      <c r="H5963" s="39" t="n">
        <v>45944</v>
      </c>
      <c r="I5963" s="7" t="s">
        <v>14651</v>
      </c>
      <c r="J5963" s="8" t="str">
        <f aca="false">IF(I5963="Open",DATE(2025,12,31)-F5963,"-")</f>
        <v>-</v>
      </c>
    </row>
    <row r="5964" customFormat="false" ht="15" hidden="false" customHeight="false" outlineLevel="0" collapsed="false">
      <c r="B5964" s="7" t="s">
        <v>20610</v>
      </c>
      <c r="C5964" s="7" t="s">
        <v>6461</v>
      </c>
      <c r="D5964" s="7" t="s">
        <v>395</v>
      </c>
      <c r="E5964" s="7" t="s">
        <v>156</v>
      </c>
      <c r="F5964" s="39" t="n">
        <v>45937</v>
      </c>
      <c r="G5964" s="41" t="n">
        <v>148.58</v>
      </c>
      <c r="H5964" s="39" t="n">
        <v>45950</v>
      </c>
      <c r="I5964" s="7" t="s">
        <v>14651</v>
      </c>
      <c r="J5964" s="8" t="str">
        <f aca="false">IF(I5964="Open",DATE(2025,12,31)-F5964,"-")</f>
        <v>-</v>
      </c>
    </row>
    <row r="5965" customFormat="false" ht="15" hidden="false" customHeight="false" outlineLevel="0" collapsed="false">
      <c r="B5965" s="7" t="s">
        <v>20611</v>
      </c>
      <c r="C5965" s="7" t="s">
        <v>6462</v>
      </c>
      <c r="D5965" s="7" t="s">
        <v>397</v>
      </c>
      <c r="E5965" s="7" t="s">
        <v>159</v>
      </c>
      <c r="F5965" s="39" t="n">
        <v>45937</v>
      </c>
      <c r="G5965" s="41" t="n">
        <v>130.95</v>
      </c>
      <c r="H5965" s="6" t="s">
        <v>182</v>
      </c>
      <c r="I5965" s="7" t="s">
        <v>19787</v>
      </c>
      <c r="J5965" s="8" t="n">
        <f aca="false">IF(I5965="Open",DATE(2025,12,31)-F5965,"-")</f>
        <v>85</v>
      </c>
    </row>
    <row r="5966" customFormat="false" ht="15" hidden="false" customHeight="false" outlineLevel="0" collapsed="false">
      <c r="B5966" s="7" t="s">
        <v>20612</v>
      </c>
      <c r="C5966" s="7" t="s">
        <v>6463</v>
      </c>
      <c r="D5966" s="7" t="s">
        <v>401</v>
      </c>
      <c r="E5966" s="7" t="s">
        <v>156</v>
      </c>
      <c r="F5966" s="39" t="n">
        <v>45937</v>
      </c>
      <c r="G5966" s="41" t="n">
        <v>130.56</v>
      </c>
      <c r="H5966" s="39" t="n">
        <v>45947</v>
      </c>
      <c r="I5966" s="7" t="s">
        <v>14651</v>
      </c>
      <c r="J5966" s="8" t="str">
        <f aca="false">IF(I5966="Open",DATE(2025,12,31)-F5966,"-")</f>
        <v>-</v>
      </c>
    </row>
    <row r="5967" customFormat="false" ht="15" hidden="false" customHeight="false" outlineLevel="0" collapsed="false">
      <c r="B5967" s="7" t="s">
        <v>20613</v>
      </c>
      <c r="C5967" s="7" t="s">
        <v>6464</v>
      </c>
      <c r="D5967" s="7" t="s">
        <v>407</v>
      </c>
      <c r="E5967" s="7" t="s">
        <v>159</v>
      </c>
      <c r="F5967" s="39" t="n">
        <v>45937</v>
      </c>
      <c r="G5967" s="41" t="n">
        <v>130.95</v>
      </c>
      <c r="H5967" s="39" t="n">
        <v>45983</v>
      </c>
      <c r="I5967" s="7" t="s">
        <v>14651</v>
      </c>
      <c r="J5967" s="8" t="str">
        <f aca="false">IF(I5967="Open",DATE(2025,12,31)-F5967,"-")</f>
        <v>-</v>
      </c>
    </row>
    <row r="5968" customFormat="false" ht="15" hidden="false" customHeight="false" outlineLevel="0" collapsed="false">
      <c r="B5968" s="7" t="s">
        <v>20614</v>
      </c>
      <c r="C5968" s="7" t="s">
        <v>6465</v>
      </c>
      <c r="D5968" s="7" t="s">
        <v>295</v>
      </c>
      <c r="E5968" s="7" t="s">
        <v>154</v>
      </c>
      <c r="F5968" s="39" t="n">
        <v>45938</v>
      </c>
      <c r="G5968" s="41" t="n">
        <v>102.56</v>
      </c>
      <c r="H5968" s="6" t="s">
        <v>182</v>
      </c>
      <c r="I5968" s="7" t="s">
        <v>19787</v>
      </c>
      <c r="J5968" s="8" t="n">
        <f aca="false">IF(I5968="Open",DATE(2025,12,31)-F5968,"-")</f>
        <v>84</v>
      </c>
    </row>
    <row r="5969" customFormat="false" ht="15" hidden="false" customHeight="false" outlineLevel="0" collapsed="false">
      <c r="B5969" s="7" t="s">
        <v>20615</v>
      </c>
      <c r="C5969" s="7" t="s">
        <v>6466</v>
      </c>
      <c r="D5969" s="7" t="s">
        <v>305</v>
      </c>
      <c r="E5969" s="7" t="s">
        <v>154</v>
      </c>
      <c r="F5969" s="39" t="n">
        <v>45938</v>
      </c>
      <c r="G5969" s="41" t="n">
        <v>113.69</v>
      </c>
      <c r="H5969" s="39" t="n">
        <v>46001</v>
      </c>
      <c r="I5969" s="7" t="s">
        <v>14651</v>
      </c>
      <c r="J5969" s="8" t="str">
        <f aca="false">IF(I5969="Open",DATE(2025,12,31)-F5969,"-")</f>
        <v>-</v>
      </c>
    </row>
    <row r="5970" customFormat="false" ht="15" hidden="false" customHeight="false" outlineLevel="0" collapsed="false">
      <c r="B5970" s="7" t="s">
        <v>20616</v>
      </c>
      <c r="C5970" s="7" t="s">
        <v>6467</v>
      </c>
      <c r="D5970" s="7" t="s">
        <v>307</v>
      </c>
      <c r="E5970" s="7" t="s">
        <v>157</v>
      </c>
      <c r="F5970" s="39" t="n">
        <v>45938</v>
      </c>
      <c r="G5970" s="41" t="n">
        <v>148.83</v>
      </c>
      <c r="H5970" s="39" t="n">
        <v>45972</v>
      </c>
      <c r="I5970" s="7" t="s">
        <v>14651</v>
      </c>
      <c r="J5970" s="8" t="str">
        <f aca="false">IF(I5970="Open",DATE(2025,12,31)-F5970,"-")</f>
        <v>-</v>
      </c>
    </row>
    <row r="5971" customFormat="false" ht="15" hidden="false" customHeight="false" outlineLevel="0" collapsed="false">
      <c r="B5971" s="7" t="s">
        <v>20617</v>
      </c>
      <c r="C5971" s="7" t="s">
        <v>6468</v>
      </c>
      <c r="D5971" s="7" t="s">
        <v>309</v>
      </c>
      <c r="E5971" s="7" t="s">
        <v>159</v>
      </c>
      <c r="F5971" s="39" t="n">
        <v>45938</v>
      </c>
      <c r="G5971" s="41" t="n">
        <v>141.75</v>
      </c>
      <c r="H5971" s="39" t="n">
        <v>45957</v>
      </c>
      <c r="I5971" s="7" t="s">
        <v>14651</v>
      </c>
      <c r="J5971" s="8" t="str">
        <f aca="false">IF(I5971="Open",DATE(2025,12,31)-F5971,"-")</f>
        <v>-</v>
      </c>
    </row>
    <row r="5972" customFormat="false" ht="15" hidden="false" customHeight="false" outlineLevel="0" collapsed="false">
      <c r="B5972" s="7" t="s">
        <v>20618</v>
      </c>
      <c r="C5972" s="7" t="s">
        <v>6469</v>
      </c>
      <c r="D5972" s="7" t="s">
        <v>315</v>
      </c>
      <c r="E5972" s="7" t="s">
        <v>159</v>
      </c>
      <c r="F5972" s="39" t="n">
        <v>45938</v>
      </c>
      <c r="G5972" s="41" t="n">
        <v>137.7</v>
      </c>
      <c r="H5972" s="39" t="n">
        <v>45996</v>
      </c>
      <c r="I5972" s="7" t="s">
        <v>14651</v>
      </c>
      <c r="J5972" s="8" t="str">
        <f aca="false">IF(I5972="Open",DATE(2025,12,31)-F5972,"-")</f>
        <v>-</v>
      </c>
    </row>
    <row r="5973" customFormat="false" ht="15" hidden="false" customHeight="false" outlineLevel="0" collapsed="false">
      <c r="B5973" s="7" t="s">
        <v>20619</v>
      </c>
      <c r="C5973" s="7" t="s">
        <v>6470</v>
      </c>
      <c r="D5973" s="7" t="s">
        <v>321</v>
      </c>
      <c r="E5973" s="7" t="s">
        <v>154</v>
      </c>
      <c r="F5973" s="39" t="n">
        <v>45938</v>
      </c>
      <c r="G5973" s="41" t="n">
        <v>100.97</v>
      </c>
      <c r="H5973" s="6" t="s">
        <v>182</v>
      </c>
      <c r="I5973" s="7" t="s">
        <v>19787</v>
      </c>
      <c r="J5973" s="8" t="n">
        <f aca="false">IF(I5973="Open",DATE(2025,12,31)-F5973,"-")</f>
        <v>84</v>
      </c>
    </row>
    <row r="5974" customFormat="false" ht="15" hidden="false" customHeight="false" outlineLevel="0" collapsed="false">
      <c r="B5974" s="7" t="s">
        <v>20620</v>
      </c>
      <c r="C5974" s="7" t="s">
        <v>6471</v>
      </c>
      <c r="D5974" s="7" t="s">
        <v>329</v>
      </c>
      <c r="E5974" s="7" t="s">
        <v>156</v>
      </c>
      <c r="F5974" s="39" t="n">
        <v>45938</v>
      </c>
      <c r="G5974" s="41" t="n">
        <v>145.86</v>
      </c>
      <c r="H5974" s="39" t="n">
        <v>45955</v>
      </c>
      <c r="I5974" s="7" t="s">
        <v>14651</v>
      </c>
      <c r="J5974" s="8" t="str">
        <f aca="false">IF(I5974="Open",DATE(2025,12,31)-F5974,"-")</f>
        <v>-</v>
      </c>
    </row>
    <row r="5975" customFormat="false" ht="15" hidden="false" customHeight="false" outlineLevel="0" collapsed="false">
      <c r="B5975" s="7" t="s">
        <v>20621</v>
      </c>
      <c r="C5975" s="7" t="s">
        <v>6472</v>
      </c>
      <c r="D5975" s="7" t="s">
        <v>333</v>
      </c>
      <c r="E5975" s="7" t="s">
        <v>154</v>
      </c>
      <c r="F5975" s="39" t="n">
        <v>45938</v>
      </c>
      <c r="G5975" s="41" t="n">
        <v>79.5</v>
      </c>
      <c r="H5975" s="39" t="n">
        <v>46014</v>
      </c>
      <c r="I5975" s="7" t="s">
        <v>14651</v>
      </c>
      <c r="J5975" s="8" t="str">
        <f aca="false">IF(I5975="Open",DATE(2025,12,31)-F5975,"-")</f>
        <v>-</v>
      </c>
    </row>
    <row r="5976" customFormat="false" ht="15" hidden="false" customHeight="false" outlineLevel="0" collapsed="false">
      <c r="B5976" s="7" t="s">
        <v>20622</v>
      </c>
      <c r="C5976" s="7" t="s">
        <v>6473</v>
      </c>
      <c r="D5976" s="7" t="s">
        <v>335</v>
      </c>
      <c r="E5976" s="7" t="s">
        <v>154</v>
      </c>
      <c r="F5976" s="39" t="n">
        <v>45938</v>
      </c>
      <c r="G5976" s="41" t="n">
        <v>111.56</v>
      </c>
      <c r="H5976" s="6" t="s">
        <v>182</v>
      </c>
      <c r="I5976" s="7" t="s">
        <v>19787</v>
      </c>
      <c r="J5976" s="8" t="n">
        <f aca="false">IF(I5976="Open",DATE(2025,12,31)-F5976,"-")</f>
        <v>84</v>
      </c>
    </row>
    <row r="5977" customFormat="false" ht="15" hidden="false" customHeight="false" outlineLevel="0" collapsed="false">
      <c r="B5977" s="7" t="s">
        <v>20623</v>
      </c>
      <c r="C5977" s="7" t="s">
        <v>6474</v>
      </c>
      <c r="D5977" s="7" t="s">
        <v>339</v>
      </c>
      <c r="E5977" s="7" t="s">
        <v>154</v>
      </c>
      <c r="F5977" s="39" t="n">
        <v>45938</v>
      </c>
      <c r="G5977" s="41" t="n">
        <v>87.45</v>
      </c>
      <c r="H5977" s="6" t="s">
        <v>182</v>
      </c>
      <c r="I5977" s="7" t="s">
        <v>19787</v>
      </c>
      <c r="J5977" s="8" t="n">
        <f aca="false">IF(I5977="Open",DATE(2025,12,31)-F5977,"-")</f>
        <v>84</v>
      </c>
    </row>
    <row r="5978" customFormat="false" ht="15" hidden="false" customHeight="false" outlineLevel="0" collapsed="false">
      <c r="B5978" s="7" t="s">
        <v>20624</v>
      </c>
      <c r="C5978" s="7" t="s">
        <v>6475</v>
      </c>
      <c r="D5978" s="7" t="s">
        <v>347</v>
      </c>
      <c r="E5978" s="7" t="s">
        <v>154</v>
      </c>
      <c r="F5978" s="39" t="n">
        <v>45938</v>
      </c>
      <c r="G5978" s="41" t="n">
        <v>135.15</v>
      </c>
      <c r="H5978" s="39" t="n">
        <v>45957</v>
      </c>
      <c r="I5978" s="7" t="s">
        <v>14651</v>
      </c>
      <c r="J5978" s="8" t="str">
        <f aca="false">IF(I5978="Open",DATE(2025,12,31)-F5978,"-")</f>
        <v>-</v>
      </c>
    </row>
    <row r="5979" customFormat="false" ht="15" hidden="false" customHeight="false" outlineLevel="0" collapsed="false">
      <c r="B5979" s="7" t="s">
        <v>20625</v>
      </c>
      <c r="C5979" s="7" t="s">
        <v>6476</v>
      </c>
      <c r="D5979" s="7" t="s">
        <v>349</v>
      </c>
      <c r="E5979" s="7" t="s">
        <v>154</v>
      </c>
      <c r="F5979" s="39" t="n">
        <v>45938</v>
      </c>
      <c r="G5979" s="41" t="n">
        <v>112.89</v>
      </c>
      <c r="H5979" s="6" t="s">
        <v>182</v>
      </c>
      <c r="I5979" s="7" t="s">
        <v>19787</v>
      </c>
      <c r="J5979" s="8" t="n">
        <f aca="false">IF(I5979="Open",DATE(2025,12,31)-F5979,"-")</f>
        <v>84</v>
      </c>
    </row>
    <row r="5980" customFormat="false" ht="15" hidden="false" customHeight="false" outlineLevel="0" collapsed="false">
      <c r="B5980" s="7" t="s">
        <v>20626</v>
      </c>
      <c r="C5980" s="7" t="s">
        <v>6477</v>
      </c>
      <c r="D5980" s="7" t="s">
        <v>353</v>
      </c>
      <c r="E5980" s="7" t="s">
        <v>154</v>
      </c>
      <c r="F5980" s="39" t="n">
        <v>45938</v>
      </c>
      <c r="G5980" s="41" t="n">
        <v>95.4</v>
      </c>
      <c r="H5980" s="39" t="n">
        <v>45990</v>
      </c>
      <c r="I5980" s="7" t="s">
        <v>14651</v>
      </c>
      <c r="J5980" s="8" t="str">
        <f aca="false">IF(I5980="Open",DATE(2025,12,31)-F5980,"-")</f>
        <v>-</v>
      </c>
    </row>
    <row r="5981" customFormat="false" ht="15" hidden="false" customHeight="false" outlineLevel="0" collapsed="false">
      <c r="B5981" s="7" t="s">
        <v>20627</v>
      </c>
      <c r="C5981" s="7" t="s">
        <v>6478</v>
      </c>
      <c r="D5981" s="7" t="s">
        <v>355</v>
      </c>
      <c r="E5981" s="7" t="s">
        <v>154</v>
      </c>
      <c r="F5981" s="39" t="n">
        <v>45938</v>
      </c>
      <c r="G5981" s="41" t="n">
        <v>84.83</v>
      </c>
      <c r="H5981" s="6" t="s">
        <v>182</v>
      </c>
      <c r="I5981" s="7" t="s">
        <v>19787</v>
      </c>
      <c r="J5981" s="8" t="n">
        <f aca="false">IF(I5981="Open",DATE(2025,12,31)-F5981,"-")</f>
        <v>84</v>
      </c>
    </row>
    <row r="5982" customFormat="false" ht="15" hidden="false" customHeight="false" outlineLevel="0" collapsed="false">
      <c r="B5982" s="7" t="s">
        <v>20628</v>
      </c>
      <c r="C5982" s="7" t="s">
        <v>6479</v>
      </c>
      <c r="D5982" s="7" t="s">
        <v>357</v>
      </c>
      <c r="E5982" s="7" t="s">
        <v>154</v>
      </c>
      <c r="F5982" s="39" t="n">
        <v>45938</v>
      </c>
      <c r="G5982" s="41" t="n">
        <v>96.72</v>
      </c>
      <c r="H5982" s="39" t="n">
        <v>45998</v>
      </c>
      <c r="I5982" s="7" t="s">
        <v>14651</v>
      </c>
      <c r="J5982" s="8" t="str">
        <f aca="false">IF(I5982="Open",DATE(2025,12,31)-F5982,"-")</f>
        <v>-</v>
      </c>
    </row>
    <row r="5983" customFormat="false" ht="15" hidden="false" customHeight="false" outlineLevel="0" collapsed="false">
      <c r="B5983" s="7" t="s">
        <v>20629</v>
      </c>
      <c r="C5983" s="7" t="s">
        <v>6480</v>
      </c>
      <c r="D5983" s="7" t="s">
        <v>359</v>
      </c>
      <c r="E5983" s="7" t="s">
        <v>156</v>
      </c>
      <c r="F5983" s="39" t="n">
        <v>45938</v>
      </c>
      <c r="G5983" s="41" t="n">
        <v>143.82</v>
      </c>
      <c r="H5983" s="39" t="n">
        <v>45953</v>
      </c>
      <c r="I5983" s="7" t="s">
        <v>14651</v>
      </c>
      <c r="J5983" s="8" t="str">
        <f aca="false">IF(I5983="Open",DATE(2025,12,31)-F5983,"-")</f>
        <v>-</v>
      </c>
    </row>
    <row r="5984" customFormat="false" ht="15" hidden="false" customHeight="false" outlineLevel="0" collapsed="false">
      <c r="B5984" s="7" t="s">
        <v>20630</v>
      </c>
      <c r="C5984" s="7" t="s">
        <v>6481</v>
      </c>
      <c r="D5984" s="7" t="s">
        <v>365</v>
      </c>
      <c r="E5984" s="7" t="s">
        <v>154</v>
      </c>
      <c r="F5984" s="39" t="n">
        <v>45938</v>
      </c>
      <c r="G5984" s="41" t="n">
        <v>111.56</v>
      </c>
      <c r="H5984" s="39" t="n">
        <v>45976</v>
      </c>
      <c r="I5984" s="7" t="s">
        <v>14651</v>
      </c>
      <c r="J5984" s="8" t="str">
        <f aca="false">IF(I5984="Open",DATE(2025,12,31)-F5984,"-")</f>
        <v>-</v>
      </c>
    </row>
    <row r="5985" customFormat="false" ht="15" hidden="false" customHeight="false" outlineLevel="0" collapsed="false">
      <c r="B5985" s="7" t="s">
        <v>20631</v>
      </c>
      <c r="C5985" s="7" t="s">
        <v>6482</v>
      </c>
      <c r="D5985" s="7" t="s">
        <v>371</v>
      </c>
      <c r="E5985" s="7" t="s">
        <v>154</v>
      </c>
      <c r="F5985" s="39" t="n">
        <v>45938</v>
      </c>
      <c r="G5985" s="41" t="n">
        <v>116.33</v>
      </c>
      <c r="H5985" s="6" t="s">
        <v>182</v>
      </c>
      <c r="I5985" s="7" t="s">
        <v>19787</v>
      </c>
      <c r="J5985" s="8" t="n">
        <f aca="false">IF(I5985="Open",DATE(2025,12,31)-F5985,"-")</f>
        <v>84</v>
      </c>
    </row>
    <row r="5986" customFormat="false" ht="15" hidden="false" customHeight="false" outlineLevel="0" collapsed="false">
      <c r="B5986" s="7" t="s">
        <v>20632</v>
      </c>
      <c r="C5986" s="7" t="s">
        <v>6483</v>
      </c>
      <c r="D5986" s="7" t="s">
        <v>379</v>
      </c>
      <c r="E5986" s="7" t="s">
        <v>156</v>
      </c>
      <c r="F5986" s="39" t="n">
        <v>45938</v>
      </c>
      <c r="G5986" s="41" t="n">
        <v>144.84</v>
      </c>
      <c r="H5986" s="39" t="n">
        <v>45953</v>
      </c>
      <c r="I5986" s="7" t="s">
        <v>14651</v>
      </c>
      <c r="J5986" s="8" t="str">
        <f aca="false">IF(I5986="Open",DATE(2025,12,31)-F5986,"-")</f>
        <v>-</v>
      </c>
    </row>
    <row r="5987" customFormat="false" ht="15" hidden="false" customHeight="false" outlineLevel="0" collapsed="false">
      <c r="B5987" s="7" t="s">
        <v>20633</v>
      </c>
      <c r="C5987" s="7" t="s">
        <v>6484</v>
      </c>
      <c r="D5987" s="7" t="s">
        <v>385</v>
      </c>
      <c r="E5987" s="7" t="s">
        <v>156</v>
      </c>
      <c r="F5987" s="39" t="n">
        <v>45938</v>
      </c>
      <c r="G5987" s="41" t="n">
        <v>134.3</v>
      </c>
      <c r="H5987" s="39" t="n">
        <v>45945</v>
      </c>
      <c r="I5987" s="7" t="s">
        <v>14651</v>
      </c>
      <c r="J5987" s="8" t="str">
        <f aca="false">IF(I5987="Open",DATE(2025,12,31)-F5987,"-")</f>
        <v>-</v>
      </c>
    </row>
    <row r="5988" customFormat="false" ht="15" hidden="false" customHeight="false" outlineLevel="0" collapsed="false">
      <c r="B5988" s="7" t="s">
        <v>20634</v>
      </c>
      <c r="C5988" s="7" t="s">
        <v>6485</v>
      </c>
      <c r="D5988" s="7" t="s">
        <v>387</v>
      </c>
      <c r="E5988" s="7" t="s">
        <v>154</v>
      </c>
      <c r="F5988" s="39" t="n">
        <v>45938</v>
      </c>
      <c r="G5988" s="41" t="n">
        <v>100.17</v>
      </c>
      <c r="H5988" s="39" t="n">
        <v>46019</v>
      </c>
      <c r="I5988" s="7" t="s">
        <v>14651</v>
      </c>
      <c r="J5988" s="8" t="str">
        <f aca="false">IF(I5988="Open",DATE(2025,12,31)-F5988,"-")</f>
        <v>-</v>
      </c>
    </row>
    <row r="5989" customFormat="false" ht="15" hidden="false" customHeight="false" outlineLevel="0" collapsed="false">
      <c r="B5989" s="7" t="s">
        <v>20635</v>
      </c>
      <c r="C5989" s="7" t="s">
        <v>6486</v>
      </c>
      <c r="D5989" s="7" t="s">
        <v>389</v>
      </c>
      <c r="E5989" s="7" t="s">
        <v>154</v>
      </c>
      <c r="F5989" s="39" t="n">
        <v>45938</v>
      </c>
      <c r="G5989" s="41" t="n">
        <v>111.56</v>
      </c>
      <c r="H5989" s="39" t="n">
        <v>45978</v>
      </c>
      <c r="I5989" s="7" t="s">
        <v>14651</v>
      </c>
      <c r="J5989" s="8" t="str">
        <f aca="false">IF(I5989="Open",DATE(2025,12,31)-F5989,"-")</f>
        <v>-</v>
      </c>
    </row>
    <row r="5990" customFormat="false" ht="15" hidden="false" customHeight="false" outlineLevel="0" collapsed="false">
      <c r="B5990" s="7" t="s">
        <v>20636</v>
      </c>
      <c r="C5990" s="7" t="s">
        <v>6487</v>
      </c>
      <c r="D5990" s="7" t="s">
        <v>391</v>
      </c>
      <c r="E5990" s="7" t="s">
        <v>156</v>
      </c>
      <c r="F5990" s="39" t="n">
        <v>45938</v>
      </c>
      <c r="G5990" s="41" t="n">
        <v>125.12</v>
      </c>
      <c r="H5990" s="39" t="n">
        <v>45942</v>
      </c>
      <c r="I5990" s="7" t="s">
        <v>14651</v>
      </c>
      <c r="J5990" s="8" t="str">
        <f aca="false">IF(I5990="Open",DATE(2025,12,31)-F5990,"-")</f>
        <v>-</v>
      </c>
    </row>
    <row r="5991" customFormat="false" ht="15" hidden="false" customHeight="false" outlineLevel="0" collapsed="false">
      <c r="B5991" s="7" t="s">
        <v>20637</v>
      </c>
      <c r="C5991" s="7" t="s">
        <v>6488</v>
      </c>
      <c r="D5991" s="7" t="s">
        <v>393</v>
      </c>
      <c r="E5991" s="7" t="s">
        <v>157</v>
      </c>
      <c r="F5991" s="39" t="n">
        <v>45938</v>
      </c>
      <c r="G5991" s="41" t="n">
        <v>168.3</v>
      </c>
      <c r="H5991" s="39" t="n">
        <v>45971</v>
      </c>
      <c r="I5991" s="7" t="s">
        <v>14651</v>
      </c>
      <c r="J5991" s="8" t="str">
        <f aca="false">IF(I5991="Open",DATE(2025,12,31)-F5991,"-")</f>
        <v>-</v>
      </c>
    </row>
    <row r="5992" customFormat="false" ht="15" hidden="false" customHeight="false" outlineLevel="0" collapsed="false">
      <c r="B5992" s="7" t="s">
        <v>20638</v>
      </c>
      <c r="C5992" s="7" t="s">
        <v>6489</v>
      </c>
      <c r="D5992" s="7" t="s">
        <v>395</v>
      </c>
      <c r="E5992" s="7" t="s">
        <v>156</v>
      </c>
      <c r="F5992" s="39" t="n">
        <v>45938</v>
      </c>
      <c r="G5992" s="41" t="n">
        <v>127.5</v>
      </c>
      <c r="H5992" s="39" t="n">
        <v>45942</v>
      </c>
      <c r="I5992" s="7" t="s">
        <v>14651</v>
      </c>
      <c r="J5992" s="8" t="str">
        <f aca="false">IF(I5992="Open",DATE(2025,12,31)-F5992,"-")</f>
        <v>-</v>
      </c>
    </row>
    <row r="5993" customFormat="false" ht="15" hidden="false" customHeight="false" outlineLevel="0" collapsed="false">
      <c r="B5993" s="7" t="s">
        <v>20639</v>
      </c>
      <c r="C5993" s="7" t="s">
        <v>6490</v>
      </c>
      <c r="D5993" s="7" t="s">
        <v>399</v>
      </c>
      <c r="E5993" s="7" t="s">
        <v>154</v>
      </c>
      <c r="F5993" s="39" t="n">
        <v>45938</v>
      </c>
      <c r="G5993" s="41" t="n">
        <v>96.72</v>
      </c>
      <c r="H5993" s="39" t="n">
        <v>45988</v>
      </c>
      <c r="I5993" s="7" t="s">
        <v>14651</v>
      </c>
      <c r="J5993" s="8" t="str">
        <f aca="false">IF(I5993="Open",DATE(2025,12,31)-F5993,"-")</f>
        <v>-</v>
      </c>
    </row>
    <row r="5994" customFormat="false" ht="15" hidden="false" customHeight="false" outlineLevel="0" collapsed="false">
      <c r="B5994" s="7" t="s">
        <v>20640</v>
      </c>
      <c r="C5994" s="7" t="s">
        <v>6491</v>
      </c>
      <c r="D5994" s="7" t="s">
        <v>401</v>
      </c>
      <c r="E5994" s="7" t="s">
        <v>156</v>
      </c>
      <c r="F5994" s="39" t="n">
        <v>45938</v>
      </c>
      <c r="G5994" s="41" t="n">
        <v>131.92</v>
      </c>
      <c r="H5994" s="39" t="n">
        <v>45950</v>
      </c>
      <c r="I5994" s="7" t="s">
        <v>14651</v>
      </c>
      <c r="J5994" s="8" t="str">
        <f aca="false">IF(I5994="Open",DATE(2025,12,31)-F5994,"-")</f>
        <v>-</v>
      </c>
    </row>
    <row r="5995" customFormat="false" ht="15" hidden="false" customHeight="false" outlineLevel="0" collapsed="false">
      <c r="B5995" s="7" t="s">
        <v>20641</v>
      </c>
      <c r="C5995" s="7" t="s">
        <v>6492</v>
      </c>
      <c r="D5995" s="7" t="s">
        <v>403</v>
      </c>
      <c r="E5995" s="7" t="s">
        <v>156</v>
      </c>
      <c r="F5995" s="39" t="n">
        <v>45938</v>
      </c>
      <c r="G5995" s="41" t="n">
        <v>147.56</v>
      </c>
      <c r="H5995" s="39" t="n">
        <v>45957</v>
      </c>
      <c r="I5995" s="7" t="s">
        <v>14651</v>
      </c>
      <c r="J5995" s="8" t="str">
        <f aca="false">IF(I5995="Open",DATE(2025,12,31)-F5995,"-")</f>
        <v>-</v>
      </c>
    </row>
    <row r="5996" customFormat="false" ht="15" hidden="false" customHeight="false" outlineLevel="0" collapsed="false">
      <c r="B5996" s="7" t="s">
        <v>20642</v>
      </c>
      <c r="C5996" s="7" t="s">
        <v>6493</v>
      </c>
      <c r="D5996" s="7" t="s">
        <v>409</v>
      </c>
      <c r="E5996" s="7" t="s">
        <v>154</v>
      </c>
      <c r="F5996" s="39" t="n">
        <v>45938</v>
      </c>
      <c r="G5996" s="41" t="n">
        <v>91.77</v>
      </c>
      <c r="H5996" s="39" t="n">
        <v>46002</v>
      </c>
      <c r="I5996" s="7" t="s">
        <v>14651</v>
      </c>
      <c r="J5996" s="8" t="str">
        <f aca="false">IF(I5996="Open",DATE(2025,12,31)-F5996,"-")</f>
        <v>-</v>
      </c>
    </row>
    <row r="5997" customFormat="false" ht="15" hidden="false" customHeight="false" outlineLevel="0" collapsed="false">
      <c r="B5997" s="7" t="s">
        <v>20643</v>
      </c>
      <c r="C5997" s="7" t="s">
        <v>6494</v>
      </c>
      <c r="D5997" s="7" t="s">
        <v>411</v>
      </c>
      <c r="E5997" s="7" t="s">
        <v>154</v>
      </c>
      <c r="F5997" s="39" t="n">
        <v>45938</v>
      </c>
      <c r="G5997" s="41" t="n">
        <v>112.1</v>
      </c>
      <c r="H5997" s="39" t="n">
        <v>45992</v>
      </c>
      <c r="I5997" s="7" t="s">
        <v>14651</v>
      </c>
      <c r="J5997" s="8" t="str">
        <f aca="false">IF(I5997="Open",DATE(2025,12,31)-F5997,"-")</f>
        <v>-</v>
      </c>
    </row>
    <row r="5998" customFormat="false" ht="15" hidden="false" customHeight="false" outlineLevel="0" collapsed="false">
      <c r="B5998" s="7" t="s">
        <v>20644</v>
      </c>
      <c r="C5998" s="7" t="s">
        <v>6495</v>
      </c>
      <c r="D5998" s="7" t="s">
        <v>288</v>
      </c>
      <c r="E5998" s="7" t="s">
        <v>156</v>
      </c>
      <c r="F5998" s="39" t="n">
        <v>45939</v>
      </c>
      <c r="G5998" s="41" t="n">
        <v>126.14</v>
      </c>
      <c r="H5998" s="39" t="n">
        <v>45949</v>
      </c>
      <c r="I5998" s="7" t="s">
        <v>14651</v>
      </c>
      <c r="J5998" s="8" t="str">
        <f aca="false">IF(I5998="Open",DATE(2025,12,31)-F5998,"-")</f>
        <v>-</v>
      </c>
    </row>
    <row r="5999" customFormat="false" ht="15" hidden="false" customHeight="false" outlineLevel="0" collapsed="false">
      <c r="B5999" s="7" t="s">
        <v>20645</v>
      </c>
      <c r="C5999" s="7" t="s">
        <v>6496</v>
      </c>
      <c r="D5999" s="7" t="s">
        <v>297</v>
      </c>
      <c r="E5999" s="7" t="s">
        <v>156</v>
      </c>
      <c r="F5999" s="39" t="n">
        <v>45939</v>
      </c>
      <c r="G5999" s="41" t="n">
        <v>92.82</v>
      </c>
      <c r="H5999" s="39" t="n">
        <v>45952</v>
      </c>
      <c r="I5999" s="7" t="s">
        <v>14651</v>
      </c>
      <c r="J5999" s="8" t="str">
        <f aca="false">IF(I5999="Open",DATE(2025,12,31)-F5999,"-")</f>
        <v>-</v>
      </c>
    </row>
    <row r="6000" customFormat="false" ht="15" hidden="false" customHeight="false" outlineLevel="0" collapsed="false">
      <c r="B6000" s="7" t="s">
        <v>20646</v>
      </c>
      <c r="C6000" s="7" t="s">
        <v>6497</v>
      </c>
      <c r="D6000" s="7" t="s">
        <v>303</v>
      </c>
      <c r="E6000" s="7" t="s">
        <v>154</v>
      </c>
      <c r="F6000" s="39" t="n">
        <v>45939</v>
      </c>
      <c r="G6000" s="41" t="n">
        <v>113.15</v>
      </c>
      <c r="H6000" s="39" t="n">
        <v>46012</v>
      </c>
      <c r="I6000" s="7" t="s">
        <v>14651</v>
      </c>
      <c r="J6000" s="8" t="str">
        <f aca="false">IF(I6000="Open",DATE(2025,12,31)-F6000,"-")</f>
        <v>-</v>
      </c>
    </row>
    <row r="6001" customFormat="false" ht="15" hidden="false" customHeight="false" outlineLevel="0" collapsed="false">
      <c r="B6001" s="7" t="s">
        <v>20647</v>
      </c>
      <c r="C6001" s="7" t="s">
        <v>6498</v>
      </c>
      <c r="D6001" s="7" t="s">
        <v>311</v>
      </c>
      <c r="E6001" s="7" t="s">
        <v>154</v>
      </c>
      <c r="F6001" s="39" t="n">
        <v>45939</v>
      </c>
      <c r="G6001" s="41" t="n">
        <v>74.2</v>
      </c>
      <c r="H6001" s="6" t="s">
        <v>182</v>
      </c>
      <c r="I6001" s="7" t="s">
        <v>19787</v>
      </c>
      <c r="J6001" s="8" t="n">
        <f aca="false">IF(I6001="Open",DATE(2025,12,31)-F6001,"-")</f>
        <v>83</v>
      </c>
    </row>
    <row r="6002" customFormat="false" ht="15" hidden="false" customHeight="false" outlineLevel="0" collapsed="false">
      <c r="B6002" s="7" t="s">
        <v>20648</v>
      </c>
      <c r="C6002" s="7" t="s">
        <v>6499</v>
      </c>
      <c r="D6002" s="7" t="s">
        <v>313</v>
      </c>
      <c r="E6002" s="7" t="s">
        <v>156</v>
      </c>
      <c r="F6002" s="39" t="n">
        <v>45939</v>
      </c>
      <c r="G6002" s="41" t="n">
        <v>145.18</v>
      </c>
      <c r="H6002" s="39" t="n">
        <v>45948</v>
      </c>
      <c r="I6002" s="7" t="s">
        <v>14651</v>
      </c>
      <c r="J6002" s="8" t="str">
        <f aca="false">IF(I6002="Open",DATE(2025,12,31)-F6002,"-")</f>
        <v>-</v>
      </c>
    </row>
    <row r="6003" customFormat="false" ht="15" hidden="false" customHeight="false" outlineLevel="0" collapsed="false">
      <c r="B6003" s="7" t="s">
        <v>20649</v>
      </c>
      <c r="C6003" s="7" t="s">
        <v>6500</v>
      </c>
      <c r="D6003" s="7" t="s">
        <v>317</v>
      </c>
      <c r="E6003" s="7" t="s">
        <v>156</v>
      </c>
      <c r="F6003" s="39" t="n">
        <v>45939</v>
      </c>
      <c r="G6003" s="41" t="n">
        <v>101.66</v>
      </c>
      <c r="H6003" s="39" t="n">
        <v>45948</v>
      </c>
      <c r="I6003" s="7" t="s">
        <v>14651</v>
      </c>
      <c r="J6003" s="8" t="str">
        <f aca="false">IF(I6003="Open",DATE(2025,12,31)-F6003,"-")</f>
        <v>-</v>
      </c>
    </row>
    <row r="6004" customFormat="false" ht="15" hidden="false" customHeight="false" outlineLevel="0" collapsed="false">
      <c r="B6004" s="7" t="s">
        <v>20650</v>
      </c>
      <c r="C6004" s="7" t="s">
        <v>6501</v>
      </c>
      <c r="D6004" s="7" t="s">
        <v>321</v>
      </c>
      <c r="E6004" s="7" t="s">
        <v>154</v>
      </c>
      <c r="F6004" s="39" t="n">
        <v>45939</v>
      </c>
      <c r="G6004" s="41" t="n">
        <v>115.01</v>
      </c>
      <c r="H6004" s="39" t="n">
        <v>45980</v>
      </c>
      <c r="I6004" s="7" t="s">
        <v>14651</v>
      </c>
      <c r="J6004" s="8" t="str">
        <f aca="false">IF(I6004="Open",DATE(2025,12,31)-F6004,"-")</f>
        <v>-</v>
      </c>
    </row>
    <row r="6005" customFormat="false" ht="15" hidden="false" customHeight="false" outlineLevel="0" collapsed="false">
      <c r="B6005" s="7" t="s">
        <v>20651</v>
      </c>
      <c r="C6005" s="7" t="s">
        <v>6502</v>
      </c>
      <c r="D6005" s="7" t="s">
        <v>325</v>
      </c>
      <c r="E6005" s="7" t="s">
        <v>154</v>
      </c>
      <c r="F6005" s="39" t="n">
        <v>45939</v>
      </c>
      <c r="G6005" s="41" t="n">
        <v>86.66</v>
      </c>
      <c r="H6005" s="39" t="n">
        <v>45988</v>
      </c>
      <c r="I6005" s="7" t="s">
        <v>14651</v>
      </c>
      <c r="J6005" s="8" t="str">
        <f aca="false">IF(I6005="Open",DATE(2025,12,31)-F6005,"-")</f>
        <v>-</v>
      </c>
    </row>
    <row r="6006" customFormat="false" ht="15" hidden="false" customHeight="false" outlineLevel="0" collapsed="false">
      <c r="B6006" s="7" t="s">
        <v>20652</v>
      </c>
      <c r="C6006" s="7" t="s">
        <v>6503</v>
      </c>
      <c r="D6006" s="7" t="s">
        <v>329</v>
      </c>
      <c r="E6006" s="7" t="s">
        <v>156</v>
      </c>
      <c r="F6006" s="39" t="n">
        <v>45939</v>
      </c>
      <c r="G6006" s="41" t="n">
        <v>142.8</v>
      </c>
      <c r="H6006" s="39" t="n">
        <v>45947</v>
      </c>
      <c r="I6006" s="7" t="s">
        <v>14651</v>
      </c>
      <c r="J6006" s="8" t="str">
        <f aca="false">IF(I6006="Open",DATE(2025,12,31)-F6006,"-")</f>
        <v>-</v>
      </c>
    </row>
    <row r="6007" customFormat="false" ht="15" hidden="false" customHeight="false" outlineLevel="0" collapsed="false">
      <c r="B6007" s="7" t="s">
        <v>20653</v>
      </c>
      <c r="C6007" s="7" t="s">
        <v>6504</v>
      </c>
      <c r="D6007" s="7" t="s">
        <v>331</v>
      </c>
      <c r="E6007" s="7" t="s">
        <v>156</v>
      </c>
      <c r="F6007" s="39" t="n">
        <v>45939</v>
      </c>
      <c r="G6007" s="41" t="n">
        <v>138.04</v>
      </c>
      <c r="H6007" s="39" t="n">
        <v>45951</v>
      </c>
      <c r="I6007" s="7" t="s">
        <v>14651</v>
      </c>
      <c r="J6007" s="8" t="str">
        <f aca="false">IF(I6007="Open",DATE(2025,12,31)-F6007,"-")</f>
        <v>-</v>
      </c>
    </row>
    <row r="6008" customFormat="false" ht="15" hidden="false" customHeight="false" outlineLevel="0" collapsed="false">
      <c r="B6008" s="7" t="s">
        <v>20654</v>
      </c>
      <c r="C6008" s="7" t="s">
        <v>6505</v>
      </c>
      <c r="D6008" s="7" t="s">
        <v>341</v>
      </c>
      <c r="E6008" s="7" t="s">
        <v>156</v>
      </c>
      <c r="F6008" s="39" t="n">
        <v>45939</v>
      </c>
      <c r="G6008" s="41" t="n">
        <v>93.5</v>
      </c>
      <c r="H6008" s="39" t="n">
        <v>45955</v>
      </c>
      <c r="I6008" s="7" t="s">
        <v>14651</v>
      </c>
      <c r="J6008" s="8" t="str">
        <f aca="false">IF(I6008="Open",DATE(2025,12,31)-F6008,"-")</f>
        <v>-</v>
      </c>
    </row>
    <row r="6009" customFormat="false" ht="15" hidden="false" customHeight="false" outlineLevel="0" collapsed="false">
      <c r="B6009" s="7" t="s">
        <v>20655</v>
      </c>
      <c r="C6009" s="7" t="s">
        <v>6506</v>
      </c>
      <c r="D6009" s="7" t="s">
        <v>343</v>
      </c>
      <c r="E6009" s="7" t="s">
        <v>154</v>
      </c>
      <c r="F6009" s="39" t="n">
        <v>45939</v>
      </c>
      <c r="G6009" s="41" t="n">
        <v>98.58</v>
      </c>
      <c r="H6009" s="39" t="n">
        <v>45964</v>
      </c>
      <c r="I6009" s="7" t="s">
        <v>14651</v>
      </c>
      <c r="J6009" s="8" t="str">
        <f aca="false">IF(I6009="Open",DATE(2025,12,31)-F6009,"-")</f>
        <v>-</v>
      </c>
    </row>
    <row r="6010" customFormat="false" ht="15" hidden="false" customHeight="false" outlineLevel="0" collapsed="false">
      <c r="B6010" s="7" t="s">
        <v>20656</v>
      </c>
      <c r="C6010" s="7" t="s">
        <v>6507</v>
      </c>
      <c r="D6010" s="7" t="s">
        <v>349</v>
      </c>
      <c r="E6010" s="7" t="s">
        <v>154</v>
      </c>
      <c r="F6010" s="39" t="n">
        <v>45939</v>
      </c>
      <c r="G6010" s="41" t="n">
        <v>110.24</v>
      </c>
      <c r="H6010" s="39" t="n">
        <v>46009</v>
      </c>
      <c r="I6010" s="7" t="s">
        <v>14651</v>
      </c>
      <c r="J6010" s="8" t="str">
        <f aca="false">IF(I6010="Open",DATE(2025,12,31)-F6010,"-")</f>
        <v>-</v>
      </c>
    </row>
    <row r="6011" customFormat="false" ht="15" hidden="false" customHeight="false" outlineLevel="0" collapsed="false">
      <c r="B6011" s="7" t="s">
        <v>20657</v>
      </c>
      <c r="C6011" s="7" t="s">
        <v>6508</v>
      </c>
      <c r="D6011" s="7" t="s">
        <v>351</v>
      </c>
      <c r="E6011" s="7" t="s">
        <v>154</v>
      </c>
      <c r="F6011" s="39" t="n">
        <v>45939</v>
      </c>
      <c r="G6011" s="41" t="n">
        <v>73.14</v>
      </c>
      <c r="H6011" s="6" t="s">
        <v>182</v>
      </c>
      <c r="I6011" s="7" t="s">
        <v>19787</v>
      </c>
      <c r="J6011" s="8" t="n">
        <f aca="false">IF(I6011="Open",DATE(2025,12,31)-F6011,"-")</f>
        <v>83</v>
      </c>
    </row>
    <row r="6012" customFormat="false" ht="15" hidden="false" customHeight="false" outlineLevel="0" collapsed="false">
      <c r="B6012" s="7" t="s">
        <v>20658</v>
      </c>
      <c r="C6012" s="7" t="s">
        <v>6509</v>
      </c>
      <c r="D6012" s="7" t="s">
        <v>359</v>
      </c>
      <c r="E6012" s="7" t="s">
        <v>156</v>
      </c>
      <c r="F6012" s="39" t="n">
        <v>45939</v>
      </c>
      <c r="G6012" s="41" t="n">
        <v>123.42</v>
      </c>
      <c r="H6012" s="39" t="n">
        <v>45944</v>
      </c>
      <c r="I6012" s="7" t="s">
        <v>14651</v>
      </c>
      <c r="J6012" s="8" t="str">
        <f aca="false">IF(I6012="Open",DATE(2025,12,31)-F6012,"-")</f>
        <v>-</v>
      </c>
    </row>
    <row r="6013" customFormat="false" ht="15" hidden="false" customHeight="false" outlineLevel="0" collapsed="false">
      <c r="B6013" s="7" t="s">
        <v>20659</v>
      </c>
      <c r="C6013" s="7" t="s">
        <v>6510</v>
      </c>
      <c r="D6013" s="7" t="s">
        <v>363</v>
      </c>
      <c r="E6013" s="7" t="s">
        <v>156</v>
      </c>
      <c r="F6013" s="39" t="n">
        <v>45939</v>
      </c>
      <c r="G6013" s="41" t="n">
        <v>141.1</v>
      </c>
      <c r="H6013" s="39" t="n">
        <v>45951</v>
      </c>
      <c r="I6013" s="7" t="s">
        <v>14651</v>
      </c>
      <c r="J6013" s="8" t="str">
        <f aca="false">IF(I6013="Open",DATE(2025,12,31)-F6013,"-")</f>
        <v>-</v>
      </c>
    </row>
    <row r="6014" customFormat="false" ht="15" hidden="false" customHeight="false" outlineLevel="0" collapsed="false">
      <c r="B6014" s="7" t="s">
        <v>20660</v>
      </c>
      <c r="C6014" s="7" t="s">
        <v>6511</v>
      </c>
      <c r="D6014" s="7" t="s">
        <v>365</v>
      </c>
      <c r="E6014" s="7" t="s">
        <v>154</v>
      </c>
      <c r="F6014" s="39" t="n">
        <v>45939</v>
      </c>
      <c r="G6014" s="41" t="n">
        <v>98.58</v>
      </c>
      <c r="H6014" s="39" t="n">
        <v>45990</v>
      </c>
      <c r="I6014" s="7" t="s">
        <v>14651</v>
      </c>
      <c r="J6014" s="8" t="str">
        <f aca="false">IF(I6014="Open",DATE(2025,12,31)-F6014,"-")</f>
        <v>-</v>
      </c>
    </row>
    <row r="6015" customFormat="false" ht="15" hidden="false" customHeight="false" outlineLevel="0" collapsed="false">
      <c r="B6015" s="7" t="s">
        <v>20661</v>
      </c>
      <c r="C6015" s="7" t="s">
        <v>6512</v>
      </c>
      <c r="D6015" s="7" t="s">
        <v>375</v>
      </c>
      <c r="E6015" s="7" t="s">
        <v>156</v>
      </c>
      <c r="F6015" s="39" t="n">
        <v>45939</v>
      </c>
      <c r="G6015" s="41" t="n">
        <v>95.2</v>
      </c>
      <c r="H6015" s="39" t="n">
        <v>45951</v>
      </c>
      <c r="I6015" s="7" t="s">
        <v>14651</v>
      </c>
      <c r="J6015" s="8" t="str">
        <f aca="false">IF(I6015="Open",DATE(2025,12,31)-F6015,"-")</f>
        <v>-</v>
      </c>
    </row>
    <row r="6016" customFormat="false" ht="15" hidden="false" customHeight="false" outlineLevel="0" collapsed="false">
      <c r="B6016" s="7" t="s">
        <v>20662</v>
      </c>
      <c r="C6016" s="7" t="s">
        <v>6513</v>
      </c>
      <c r="D6016" s="7" t="s">
        <v>377</v>
      </c>
      <c r="E6016" s="7" t="s">
        <v>154</v>
      </c>
      <c r="F6016" s="39" t="n">
        <v>45939</v>
      </c>
      <c r="G6016" s="41" t="n">
        <v>96.19</v>
      </c>
      <c r="H6016" s="39" t="n">
        <v>45962</v>
      </c>
      <c r="I6016" s="7" t="s">
        <v>14651</v>
      </c>
      <c r="J6016" s="8" t="str">
        <f aca="false">IF(I6016="Open",DATE(2025,12,31)-F6016,"-")</f>
        <v>-</v>
      </c>
    </row>
    <row r="6017" customFormat="false" ht="15" hidden="false" customHeight="false" outlineLevel="0" collapsed="false">
      <c r="B6017" s="7" t="s">
        <v>20663</v>
      </c>
      <c r="C6017" s="7" t="s">
        <v>6514</v>
      </c>
      <c r="D6017" s="7" t="s">
        <v>387</v>
      </c>
      <c r="E6017" s="7" t="s">
        <v>154</v>
      </c>
      <c r="F6017" s="39" t="n">
        <v>45939</v>
      </c>
      <c r="G6017" s="41" t="n">
        <v>100.44</v>
      </c>
      <c r="H6017" s="39" t="n">
        <v>45999</v>
      </c>
      <c r="I6017" s="7" t="s">
        <v>14651</v>
      </c>
      <c r="J6017" s="8" t="str">
        <f aca="false">IF(I6017="Open",DATE(2025,12,31)-F6017,"-")</f>
        <v>-</v>
      </c>
    </row>
    <row r="6018" customFormat="false" ht="15" hidden="false" customHeight="false" outlineLevel="0" collapsed="false">
      <c r="B6018" s="7" t="s">
        <v>20664</v>
      </c>
      <c r="C6018" s="7" t="s">
        <v>6515</v>
      </c>
      <c r="D6018" s="7" t="s">
        <v>389</v>
      </c>
      <c r="E6018" s="7" t="s">
        <v>154</v>
      </c>
      <c r="F6018" s="39" t="n">
        <v>45939</v>
      </c>
      <c r="G6018" s="41" t="n">
        <v>98.31</v>
      </c>
      <c r="H6018" s="6" t="s">
        <v>182</v>
      </c>
      <c r="I6018" s="7" t="s">
        <v>19787</v>
      </c>
      <c r="J6018" s="8" t="n">
        <f aca="false">IF(I6018="Open",DATE(2025,12,31)-F6018,"-")</f>
        <v>83</v>
      </c>
    </row>
    <row r="6019" customFormat="false" ht="15" hidden="false" customHeight="false" outlineLevel="0" collapsed="false">
      <c r="B6019" s="7" t="s">
        <v>20665</v>
      </c>
      <c r="C6019" s="7" t="s">
        <v>6516</v>
      </c>
      <c r="D6019" s="7" t="s">
        <v>391</v>
      </c>
      <c r="E6019" s="7" t="s">
        <v>156</v>
      </c>
      <c r="F6019" s="39" t="n">
        <v>45939</v>
      </c>
      <c r="G6019" s="41" t="n">
        <v>148.58</v>
      </c>
      <c r="H6019" s="39" t="n">
        <v>45951</v>
      </c>
      <c r="I6019" s="7" t="s">
        <v>14651</v>
      </c>
      <c r="J6019" s="8" t="str">
        <f aca="false">IF(I6019="Open",DATE(2025,12,31)-F6019,"-")</f>
        <v>-</v>
      </c>
    </row>
    <row r="6020" customFormat="false" ht="15" hidden="false" customHeight="false" outlineLevel="0" collapsed="false">
      <c r="B6020" s="7" t="s">
        <v>20666</v>
      </c>
      <c r="C6020" s="7" t="s">
        <v>6517</v>
      </c>
      <c r="D6020" s="7" t="s">
        <v>395</v>
      </c>
      <c r="E6020" s="7" t="s">
        <v>156</v>
      </c>
      <c r="F6020" s="39" t="n">
        <v>45939</v>
      </c>
      <c r="G6020" s="41" t="n">
        <v>134.98</v>
      </c>
      <c r="H6020" s="39" t="n">
        <v>45951</v>
      </c>
      <c r="I6020" s="7" t="s">
        <v>14651</v>
      </c>
      <c r="J6020" s="8" t="str">
        <f aca="false">IF(I6020="Open",DATE(2025,12,31)-F6020,"-")</f>
        <v>-</v>
      </c>
    </row>
    <row r="6021" customFormat="false" ht="15" hidden="false" customHeight="false" outlineLevel="0" collapsed="false">
      <c r="B6021" s="7" t="s">
        <v>20667</v>
      </c>
      <c r="C6021" s="7" t="s">
        <v>6518</v>
      </c>
      <c r="D6021" s="7" t="s">
        <v>401</v>
      </c>
      <c r="E6021" s="7" t="s">
        <v>156</v>
      </c>
      <c r="F6021" s="39" t="n">
        <v>45939</v>
      </c>
      <c r="G6021" s="41" t="n">
        <v>125.12</v>
      </c>
      <c r="H6021" s="39" t="n">
        <v>45957</v>
      </c>
      <c r="I6021" s="7" t="s">
        <v>14651</v>
      </c>
      <c r="J6021" s="8" t="str">
        <f aca="false">IF(I6021="Open",DATE(2025,12,31)-F6021,"-")</f>
        <v>-</v>
      </c>
    </row>
    <row r="6022" customFormat="false" ht="15" hidden="false" customHeight="false" outlineLevel="0" collapsed="false">
      <c r="B6022" s="7" t="s">
        <v>20668</v>
      </c>
      <c r="C6022" s="7" t="s">
        <v>6519</v>
      </c>
      <c r="D6022" s="7" t="s">
        <v>288</v>
      </c>
      <c r="E6022" s="7" t="s">
        <v>156</v>
      </c>
      <c r="F6022" s="39" t="n">
        <v>45940</v>
      </c>
      <c r="G6022" s="41" t="n">
        <v>144.16</v>
      </c>
      <c r="H6022" s="39" t="n">
        <v>45948</v>
      </c>
      <c r="I6022" s="7" t="s">
        <v>14651</v>
      </c>
      <c r="J6022" s="8" t="str">
        <f aca="false">IF(I6022="Open",DATE(2025,12,31)-F6022,"-")</f>
        <v>-</v>
      </c>
    </row>
    <row r="6023" customFormat="false" ht="15" hidden="false" customHeight="false" outlineLevel="0" collapsed="false">
      <c r="B6023" s="7" t="s">
        <v>20669</v>
      </c>
      <c r="C6023" s="7" t="s">
        <v>6520</v>
      </c>
      <c r="D6023" s="7" t="s">
        <v>291</v>
      </c>
      <c r="E6023" s="7" t="s">
        <v>154</v>
      </c>
      <c r="F6023" s="39" t="n">
        <v>45940</v>
      </c>
      <c r="G6023" s="41" t="n">
        <v>116.6</v>
      </c>
      <c r="H6023" s="6" t="s">
        <v>182</v>
      </c>
      <c r="I6023" s="7" t="s">
        <v>19787</v>
      </c>
      <c r="J6023" s="8" t="n">
        <f aca="false">IF(I6023="Open",DATE(2025,12,31)-F6023,"-")</f>
        <v>82</v>
      </c>
    </row>
    <row r="6024" customFormat="false" ht="15" hidden="false" customHeight="false" outlineLevel="0" collapsed="false">
      <c r="B6024" s="7" t="s">
        <v>20670</v>
      </c>
      <c r="C6024" s="7" t="s">
        <v>6521</v>
      </c>
      <c r="D6024" s="7" t="s">
        <v>293</v>
      </c>
      <c r="E6024" s="7" t="s">
        <v>157</v>
      </c>
      <c r="F6024" s="39" t="n">
        <v>45940</v>
      </c>
      <c r="G6024" s="41" t="n">
        <v>174.9</v>
      </c>
      <c r="H6024" s="39" t="n">
        <v>46014</v>
      </c>
      <c r="I6024" s="7" t="s">
        <v>14651</v>
      </c>
      <c r="J6024" s="8" t="str">
        <f aca="false">IF(I6024="Open",DATE(2025,12,31)-F6024,"-")</f>
        <v>-</v>
      </c>
    </row>
    <row r="6025" customFormat="false" ht="15" hidden="false" customHeight="false" outlineLevel="0" collapsed="false">
      <c r="B6025" s="7" t="s">
        <v>20671</v>
      </c>
      <c r="C6025" s="7" t="s">
        <v>6522</v>
      </c>
      <c r="D6025" s="7" t="s">
        <v>295</v>
      </c>
      <c r="E6025" s="7" t="s">
        <v>154</v>
      </c>
      <c r="F6025" s="39" t="n">
        <v>45940</v>
      </c>
      <c r="G6025" s="41" t="n">
        <v>97.25</v>
      </c>
      <c r="H6025" s="39" t="n">
        <v>45995</v>
      </c>
      <c r="I6025" s="7" t="s">
        <v>14651</v>
      </c>
      <c r="J6025" s="8" t="str">
        <f aca="false">IF(I6025="Open",DATE(2025,12,31)-F6025,"-")</f>
        <v>-</v>
      </c>
    </row>
    <row r="6026" customFormat="false" ht="15" hidden="false" customHeight="false" outlineLevel="0" collapsed="false">
      <c r="B6026" s="7" t="s">
        <v>20672</v>
      </c>
      <c r="C6026" s="7" t="s">
        <v>6523</v>
      </c>
      <c r="D6026" s="7" t="s">
        <v>301</v>
      </c>
      <c r="E6026" s="7" t="s">
        <v>157</v>
      </c>
      <c r="F6026" s="39" t="n">
        <v>45940</v>
      </c>
      <c r="G6026" s="41" t="n">
        <v>166.65</v>
      </c>
      <c r="H6026" s="39" t="n">
        <v>45979</v>
      </c>
      <c r="I6026" s="7" t="s">
        <v>14651</v>
      </c>
      <c r="J6026" s="8" t="str">
        <f aca="false">IF(I6026="Open",DATE(2025,12,31)-F6026,"-")</f>
        <v>-</v>
      </c>
    </row>
    <row r="6027" customFormat="false" ht="15" hidden="false" customHeight="false" outlineLevel="0" collapsed="false">
      <c r="B6027" s="7" t="s">
        <v>20673</v>
      </c>
      <c r="C6027" s="7" t="s">
        <v>6524</v>
      </c>
      <c r="D6027" s="7" t="s">
        <v>305</v>
      </c>
      <c r="E6027" s="7" t="s">
        <v>154</v>
      </c>
      <c r="F6027" s="39" t="n">
        <v>45940</v>
      </c>
      <c r="G6027" s="41" t="n">
        <v>94.07</v>
      </c>
      <c r="H6027" s="6" t="s">
        <v>182</v>
      </c>
      <c r="I6027" s="7" t="s">
        <v>19787</v>
      </c>
      <c r="J6027" s="8" t="n">
        <f aca="false">IF(I6027="Open",DATE(2025,12,31)-F6027,"-")</f>
        <v>82</v>
      </c>
    </row>
    <row r="6028" customFormat="false" ht="15" hidden="false" customHeight="false" outlineLevel="0" collapsed="false">
      <c r="B6028" s="7" t="s">
        <v>20674</v>
      </c>
      <c r="C6028" s="7" t="s">
        <v>6525</v>
      </c>
      <c r="D6028" s="7" t="s">
        <v>307</v>
      </c>
      <c r="E6028" s="7" t="s">
        <v>157</v>
      </c>
      <c r="F6028" s="39" t="n">
        <v>45940</v>
      </c>
      <c r="G6028" s="41" t="n">
        <v>151.8</v>
      </c>
      <c r="H6028" s="6" t="s">
        <v>182</v>
      </c>
      <c r="I6028" s="7" t="s">
        <v>19787</v>
      </c>
      <c r="J6028" s="8" t="n">
        <f aca="false">IF(I6028="Open",DATE(2025,12,31)-F6028,"-")</f>
        <v>82</v>
      </c>
    </row>
    <row r="6029" customFormat="false" ht="15" hidden="false" customHeight="false" outlineLevel="0" collapsed="false">
      <c r="B6029" s="7" t="s">
        <v>20675</v>
      </c>
      <c r="C6029" s="7" t="s">
        <v>6526</v>
      </c>
      <c r="D6029" s="7" t="s">
        <v>309</v>
      </c>
      <c r="E6029" s="7" t="s">
        <v>159</v>
      </c>
      <c r="F6029" s="39" t="n">
        <v>45940</v>
      </c>
      <c r="G6029" s="41" t="n">
        <v>144.45</v>
      </c>
      <c r="H6029" s="39" t="n">
        <v>45994</v>
      </c>
      <c r="I6029" s="7" t="s">
        <v>14651</v>
      </c>
      <c r="J6029" s="8" t="str">
        <f aca="false">IF(I6029="Open",DATE(2025,12,31)-F6029,"-")</f>
        <v>-</v>
      </c>
    </row>
    <row r="6030" customFormat="false" ht="15" hidden="false" customHeight="false" outlineLevel="0" collapsed="false">
      <c r="B6030" s="7" t="s">
        <v>20676</v>
      </c>
      <c r="C6030" s="7" t="s">
        <v>6527</v>
      </c>
      <c r="D6030" s="7" t="s">
        <v>313</v>
      </c>
      <c r="E6030" s="7" t="s">
        <v>156</v>
      </c>
      <c r="F6030" s="39" t="n">
        <v>45940</v>
      </c>
      <c r="G6030" s="41" t="n">
        <v>133.62</v>
      </c>
      <c r="H6030" s="39" t="n">
        <v>45943</v>
      </c>
      <c r="I6030" s="7" t="s">
        <v>14651</v>
      </c>
      <c r="J6030" s="8" t="str">
        <f aca="false">IF(I6030="Open",DATE(2025,12,31)-F6030,"-")</f>
        <v>-</v>
      </c>
    </row>
    <row r="6031" customFormat="false" ht="15" hidden="false" customHeight="false" outlineLevel="0" collapsed="false">
      <c r="B6031" s="7" t="s">
        <v>20677</v>
      </c>
      <c r="C6031" s="7" t="s">
        <v>6528</v>
      </c>
      <c r="D6031" s="7" t="s">
        <v>315</v>
      </c>
      <c r="E6031" s="7" t="s">
        <v>159</v>
      </c>
      <c r="F6031" s="39" t="n">
        <v>45940</v>
      </c>
      <c r="G6031" s="41" t="n">
        <v>136.35</v>
      </c>
      <c r="H6031" s="39" t="n">
        <v>45989</v>
      </c>
      <c r="I6031" s="7" t="s">
        <v>14651</v>
      </c>
      <c r="J6031" s="8" t="str">
        <f aca="false">IF(I6031="Open",DATE(2025,12,31)-F6031,"-")</f>
        <v>-</v>
      </c>
    </row>
    <row r="6032" customFormat="false" ht="15" hidden="false" customHeight="false" outlineLevel="0" collapsed="false">
      <c r="B6032" s="7" t="s">
        <v>20678</v>
      </c>
      <c r="C6032" s="7" t="s">
        <v>6529</v>
      </c>
      <c r="D6032" s="7" t="s">
        <v>319</v>
      </c>
      <c r="E6032" s="7" t="s">
        <v>157</v>
      </c>
      <c r="F6032" s="39" t="n">
        <v>45940</v>
      </c>
      <c r="G6032" s="41" t="n">
        <v>150.15</v>
      </c>
      <c r="H6032" s="39" t="n">
        <v>45989</v>
      </c>
      <c r="I6032" s="7" t="s">
        <v>14651</v>
      </c>
      <c r="J6032" s="8" t="str">
        <f aca="false">IF(I6032="Open",DATE(2025,12,31)-F6032,"-")</f>
        <v>-</v>
      </c>
    </row>
    <row r="6033" customFormat="false" ht="15" hidden="false" customHeight="false" outlineLevel="0" collapsed="false">
      <c r="B6033" s="7" t="s">
        <v>20679</v>
      </c>
      <c r="C6033" s="7" t="s">
        <v>6530</v>
      </c>
      <c r="D6033" s="7" t="s">
        <v>321</v>
      </c>
      <c r="E6033" s="7" t="s">
        <v>154</v>
      </c>
      <c r="F6033" s="39" t="n">
        <v>45940</v>
      </c>
      <c r="G6033" s="41" t="n">
        <v>102.03</v>
      </c>
      <c r="H6033" s="39" t="n">
        <v>46002</v>
      </c>
      <c r="I6033" s="7" t="s">
        <v>14651</v>
      </c>
      <c r="J6033" s="8" t="str">
        <f aca="false">IF(I6033="Open",DATE(2025,12,31)-F6033,"-")</f>
        <v>-</v>
      </c>
    </row>
    <row r="6034" customFormat="false" ht="15" hidden="false" customHeight="false" outlineLevel="0" collapsed="false">
      <c r="B6034" s="7" t="s">
        <v>20680</v>
      </c>
      <c r="C6034" s="7" t="s">
        <v>6531</v>
      </c>
      <c r="D6034" s="7" t="s">
        <v>323</v>
      </c>
      <c r="E6034" s="7" t="s">
        <v>159</v>
      </c>
      <c r="F6034" s="39" t="n">
        <v>45940</v>
      </c>
      <c r="G6034" s="41" t="n">
        <v>125.55</v>
      </c>
      <c r="H6034" s="39" t="n">
        <v>45984</v>
      </c>
      <c r="I6034" s="7" t="s">
        <v>14651</v>
      </c>
      <c r="J6034" s="8" t="str">
        <f aca="false">IF(I6034="Open",DATE(2025,12,31)-F6034,"-")</f>
        <v>-</v>
      </c>
    </row>
    <row r="6035" customFormat="false" ht="15" hidden="false" customHeight="false" outlineLevel="0" collapsed="false">
      <c r="B6035" s="7" t="s">
        <v>20681</v>
      </c>
      <c r="C6035" s="7" t="s">
        <v>6532</v>
      </c>
      <c r="D6035" s="7" t="s">
        <v>327</v>
      </c>
      <c r="E6035" s="7" t="s">
        <v>157</v>
      </c>
      <c r="F6035" s="39" t="n">
        <v>45940</v>
      </c>
      <c r="G6035" s="41" t="n">
        <v>174.9</v>
      </c>
      <c r="H6035" s="39" t="n">
        <v>45996</v>
      </c>
      <c r="I6035" s="7" t="s">
        <v>14651</v>
      </c>
      <c r="J6035" s="8" t="str">
        <f aca="false">IF(I6035="Open",DATE(2025,12,31)-F6035,"-")</f>
        <v>-</v>
      </c>
    </row>
    <row r="6036" customFormat="false" ht="15" hidden="false" customHeight="false" outlineLevel="0" collapsed="false">
      <c r="B6036" s="7" t="s">
        <v>20682</v>
      </c>
      <c r="C6036" s="7" t="s">
        <v>6533</v>
      </c>
      <c r="D6036" s="7" t="s">
        <v>329</v>
      </c>
      <c r="E6036" s="7" t="s">
        <v>156</v>
      </c>
      <c r="F6036" s="39" t="n">
        <v>45940</v>
      </c>
      <c r="G6036" s="41" t="n">
        <v>126.48</v>
      </c>
      <c r="H6036" s="39" t="n">
        <v>45953</v>
      </c>
      <c r="I6036" s="7" t="s">
        <v>14651</v>
      </c>
      <c r="J6036" s="8" t="str">
        <f aca="false">IF(I6036="Open",DATE(2025,12,31)-F6036,"-")</f>
        <v>-</v>
      </c>
    </row>
    <row r="6037" customFormat="false" ht="15" hidden="false" customHeight="false" outlineLevel="0" collapsed="false">
      <c r="B6037" s="7" t="s">
        <v>20683</v>
      </c>
      <c r="C6037" s="7" t="s">
        <v>6534</v>
      </c>
      <c r="D6037" s="7" t="s">
        <v>333</v>
      </c>
      <c r="E6037" s="7" t="s">
        <v>154</v>
      </c>
      <c r="F6037" s="39" t="n">
        <v>45940</v>
      </c>
      <c r="G6037" s="41" t="n">
        <v>85.59</v>
      </c>
      <c r="H6037" s="39" t="n">
        <v>46002</v>
      </c>
      <c r="I6037" s="7" t="s">
        <v>14651</v>
      </c>
      <c r="J6037" s="8" t="str">
        <f aca="false">IF(I6037="Open",DATE(2025,12,31)-F6037,"-")</f>
        <v>-</v>
      </c>
    </row>
    <row r="6038" customFormat="false" ht="15" hidden="false" customHeight="false" outlineLevel="0" collapsed="false">
      <c r="B6038" s="7" t="s">
        <v>20684</v>
      </c>
      <c r="C6038" s="7" t="s">
        <v>6535</v>
      </c>
      <c r="D6038" s="7" t="s">
        <v>335</v>
      </c>
      <c r="E6038" s="7" t="s">
        <v>154</v>
      </c>
      <c r="F6038" s="39" t="n">
        <v>45940</v>
      </c>
      <c r="G6038" s="41" t="n">
        <v>111.3</v>
      </c>
      <c r="H6038" s="39" t="n">
        <v>46002</v>
      </c>
      <c r="I6038" s="7" t="s">
        <v>14651</v>
      </c>
      <c r="J6038" s="8" t="str">
        <f aca="false">IF(I6038="Open",DATE(2025,12,31)-F6038,"-")</f>
        <v>-</v>
      </c>
    </row>
    <row r="6039" customFormat="false" ht="15" hidden="false" customHeight="false" outlineLevel="0" collapsed="false">
      <c r="B6039" s="7" t="s">
        <v>20685</v>
      </c>
      <c r="C6039" s="7" t="s">
        <v>6536</v>
      </c>
      <c r="D6039" s="7" t="s">
        <v>339</v>
      </c>
      <c r="E6039" s="7" t="s">
        <v>154</v>
      </c>
      <c r="F6039" s="39" t="n">
        <v>45940</v>
      </c>
      <c r="G6039" s="41" t="n">
        <v>95.93</v>
      </c>
      <c r="H6039" s="39" t="n">
        <v>46008</v>
      </c>
      <c r="I6039" s="7" t="s">
        <v>14651</v>
      </c>
      <c r="J6039" s="8" t="str">
        <f aca="false">IF(I6039="Open",DATE(2025,12,31)-F6039,"-")</f>
        <v>-</v>
      </c>
    </row>
    <row r="6040" customFormat="false" ht="15" hidden="false" customHeight="false" outlineLevel="0" collapsed="false">
      <c r="B6040" s="7" t="s">
        <v>20686</v>
      </c>
      <c r="C6040" s="7" t="s">
        <v>6537</v>
      </c>
      <c r="D6040" s="7" t="s">
        <v>347</v>
      </c>
      <c r="E6040" s="7" t="s">
        <v>154</v>
      </c>
      <c r="F6040" s="39" t="n">
        <v>45940</v>
      </c>
      <c r="G6040" s="41" t="n">
        <v>118.72</v>
      </c>
      <c r="H6040" s="39" t="n">
        <v>45981</v>
      </c>
      <c r="I6040" s="7" t="s">
        <v>14651</v>
      </c>
      <c r="J6040" s="8" t="str">
        <f aca="false">IF(I6040="Open",DATE(2025,12,31)-F6040,"-")</f>
        <v>-</v>
      </c>
    </row>
    <row r="6041" customFormat="false" ht="15" hidden="false" customHeight="false" outlineLevel="0" collapsed="false">
      <c r="B6041" s="7" t="s">
        <v>20687</v>
      </c>
      <c r="C6041" s="7" t="s">
        <v>6538</v>
      </c>
      <c r="D6041" s="7" t="s">
        <v>349</v>
      </c>
      <c r="E6041" s="7" t="s">
        <v>154</v>
      </c>
      <c r="F6041" s="39" t="n">
        <v>45940</v>
      </c>
      <c r="G6041" s="41" t="n">
        <v>105.47</v>
      </c>
      <c r="H6041" s="39" t="n">
        <v>46016</v>
      </c>
      <c r="I6041" s="7" t="s">
        <v>14651</v>
      </c>
      <c r="J6041" s="8" t="str">
        <f aca="false">IF(I6041="Open",DATE(2025,12,31)-F6041,"-")</f>
        <v>-</v>
      </c>
    </row>
    <row r="6042" customFormat="false" ht="15" hidden="false" customHeight="false" outlineLevel="0" collapsed="false">
      <c r="B6042" s="7" t="s">
        <v>20688</v>
      </c>
      <c r="C6042" s="7" t="s">
        <v>6539</v>
      </c>
      <c r="D6042" s="7" t="s">
        <v>353</v>
      </c>
      <c r="E6042" s="7" t="s">
        <v>154</v>
      </c>
      <c r="F6042" s="39" t="n">
        <v>45940</v>
      </c>
      <c r="G6042" s="41" t="n">
        <v>83.21</v>
      </c>
      <c r="H6042" s="39" t="n">
        <v>45968</v>
      </c>
      <c r="I6042" s="7" t="s">
        <v>14651</v>
      </c>
      <c r="J6042" s="8" t="str">
        <f aca="false">IF(I6042="Open",DATE(2025,12,31)-F6042,"-")</f>
        <v>-</v>
      </c>
    </row>
    <row r="6043" customFormat="false" ht="15" hidden="false" customHeight="false" outlineLevel="0" collapsed="false">
      <c r="B6043" s="7" t="s">
        <v>20689</v>
      </c>
      <c r="C6043" s="7" t="s">
        <v>6540</v>
      </c>
      <c r="D6043" s="7" t="s">
        <v>355</v>
      </c>
      <c r="E6043" s="7" t="s">
        <v>154</v>
      </c>
      <c r="F6043" s="39" t="n">
        <v>45940</v>
      </c>
      <c r="G6043" s="41" t="n">
        <v>85.86</v>
      </c>
      <c r="H6043" s="39" t="n">
        <v>45992</v>
      </c>
      <c r="I6043" s="7" t="s">
        <v>14651</v>
      </c>
      <c r="J6043" s="8" t="str">
        <f aca="false">IF(I6043="Open",DATE(2025,12,31)-F6043,"-")</f>
        <v>-</v>
      </c>
    </row>
    <row r="6044" customFormat="false" ht="15" hidden="false" customHeight="false" outlineLevel="0" collapsed="false">
      <c r="B6044" s="7" t="s">
        <v>20690</v>
      </c>
      <c r="C6044" s="7" t="s">
        <v>6541</v>
      </c>
      <c r="D6044" s="7" t="s">
        <v>357</v>
      </c>
      <c r="E6044" s="7" t="s">
        <v>154</v>
      </c>
      <c r="F6044" s="39" t="n">
        <v>45940</v>
      </c>
      <c r="G6044" s="41" t="n">
        <v>87.72</v>
      </c>
      <c r="H6044" s="39" t="n">
        <v>45991</v>
      </c>
      <c r="I6044" s="7" t="s">
        <v>14651</v>
      </c>
      <c r="J6044" s="8" t="str">
        <f aca="false">IF(I6044="Open",DATE(2025,12,31)-F6044,"-")</f>
        <v>-</v>
      </c>
    </row>
    <row r="6045" customFormat="false" ht="15" hidden="false" customHeight="false" outlineLevel="0" collapsed="false">
      <c r="B6045" s="7" t="s">
        <v>20691</v>
      </c>
      <c r="C6045" s="7" t="s">
        <v>6542</v>
      </c>
      <c r="D6045" s="7" t="s">
        <v>359</v>
      </c>
      <c r="E6045" s="7" t="s">
        <v>156</v>
      </c>
      <c r="F6045" s="39" t="n">
        <v>45940</v>
      </c>
      <c r="G6045" s="41" t="n">
        <v>130.56</v>
      </c>
      <c r="H6045" s="39" t="n">
        <v>45950</v>
      </c>
      <c r="I6045" s="7" t="s">
        <v>14651</v>
      </c>
      <c r="J6045" s="8" t="str">
        <f aca="false">IF(I6045="Open",DATE(2025,12,31)-F6045,"-")</f>
        <v>-</v>
      </c>
    </row>
    <row r="6046" customFormat="false" ht="15" hidden="false" customHeight="false" outlineLevel="0" collapsed="false">
      <c r="B6046" s="7" t="s">
        <v>20692</v>
      </c>
      <c r="C6046" s="7" t="s">
        <v>6543</v>
      </c>
      <c r="D6046" s="7" t="s">
        <v>361</v>
      </c>
      <c r="E6046" s="7" t="s">
        <v>157</v>
      </c>
      <c r="F6046" s="39" t="n">
        <v>45940</v>
      </c>
      <c r="G6046" s="41" t="n">
        <v>160.05</v>
      </c>
      <c r="H6046" s="39" t="n">
        <v>46014</v>
      </c>
      <c r="I6046" s="7" t="s">
        <v>14651</v>
      </c>
      <c r="J6046" s="8" t="str">
        <f aca="false">IF(I6046="Open",DATE(2025,12,31)-F6046,"-")</f>
        <v>-</v>
      </c>
    </row>
    <row r="6047" customFormat="false" ht="15" hidden="false" customHeight="false" outlineLevel="0" collapsed="false">
      <c r="B6047" s="7" t="s">
        <v>20693</v>
      </c>
      <c r="C6047" s="7" t="s">
        <v>6544</v>
      </c>
      <c r="D6047" s="7" t="s">
        <v>365</v>
      </c>
      <c r="E6047" s="7" t="s">
        <v>154</v>
      </c>
      <c r="F6047" s="39" t="n">
        <v>45940</v>
      </c>
      <c r="G6047" s="41" t="n">
        <v>99.75</v>
      </c>
      <c r="H6047" s="6" t="s">
        <v>182</v>
      </c>
      <c r="I6047" s="7" t="s">
        <v>19787</v>
      </c>
      <c r="J6047" s="8" t="n">
        <f aca="false">IF(I6047="Open",DATE(2025,12,31)-F6047,"-")</f>
        <v>82</v>
      </c>
    </row>
    <row r="6048" customFormat="false" ht="15" hidden="false" customHeight="false" outlineLevel="0" collapsed="false">
      <c r="B6048" s="7" t="s">
        <v>20694</v>
      </c>
      <c r="C6048" s="7" t="s">
        <v>6545</v>
      </c>
      <c r="D6048" s="7" t="s">
        <v>369</v>
      </c>
      <c r="E6048" s="7" t="s">
        <v>159</v>
      </c>
      <c r="F6048" s="39" t="n">
        <v>45940</v>
      </c>
      <c r="G6048" s="41" t="n">
        <v>124.2</v>
      </c>
      <c r="H6048" s="6" t="s">
        <v>182</v>
      </c>
      <c r="I6048" s="7" t="s">
        <v>19787</v>
      </c>
      <c r="J6048" s="8" t="n">
        <f aca="false">IF(I6048="Open",DATE(2025,12,31)-F6048,"-")</f>
        <v>82</v>
      </c>
    </row>
    <row r="6049" customFormat="false" ht="15" hidden="false" customHeight="false" outlineLevel="0" collapsed="false">
      <c r="B6049" s="7" t="s">
        <v>20695</v>
      </c>
      <c r="C6049" s="7" t="s">
        <v>6546</v>
      </c>
      <c r="D6049" s="7" t="s">
        <v>371</v>
      </c>
      <c r="E6049" s="7" t="s">
        <v>154</v>
      </c>
      <c r="F6049" s="39" t="n">
        <v>45940</v>
      </c>
      <c r="G6049" s="41" t="n">
        <v>134.36</v>
      </c>
      <c r="H6049" s="39" t="n">
        <v>45967</v>
      </c>
      <c r="I6049" s="7" t="s">
        <v>14651</v>
      </c>
      <c r="J6049" s="8" t="str">
        <f aca="false">IF(I6049="Open",DATE(2025,12,31)-F6049,"-")</f>
        <v>-</v>
      </c>
    </row>
    <row r="6050" customFormat="false" ht="15" hidden="false" customHeight="false" outlineLevel="0" collapsed="false">
      <c r="B6050" s="7" t="s">
        <v>20696</v>
      </c>
      <c r="C6050" s="7" t="s">
        <v>6547</v>
      </c>
      <c r="D6050" s="7" t="s">
        <v>379</v>
      </c>
      <c r="E6050" s="7" t="s">
        <v>156</v>
      </c>
      <c r="F6050" s="39" t="n">
        <v>45940</v>
      </c>
      <c r="G6050" s="41" t="n">
        <v>148.24</v>
      </c>
      <c r="H6050" s="39" t="n">
        <v>45962</v>
      </c>
      <c r="I6050" s="7" t="s">
        <v>14651</v>
      </c>
      <c r="J6050" s="8" t="str">
        <f aca="false">IF(I6050="Open",DATE(2025,12,31)-F6050,"-")</f>
        <v>-</v>
      </c>
    </row>
    <row r="6051" customFormat="false" ht="15" hidden="false" customHeight="false" outlineLevel="0" collapsed="false">
      <c r="B6051" s="7" t="s">
        <v>20697</v>
      </c>
      <c r="C6051" s="7" t="s">
        <v>6548</v>
      </c>
      <c r="D6051" s="7" t="s">
        <v>381</v>
      </c>
      <c r="E6051" s="7" t="s">
        <v>157</v>
      </c>
      <c r="F6051" s="39" t="n">
        <v>45940</v>
      </c>
      <c r="G6051" s="41" t="n">
        <v>181.5</v>
      </c>
      <c r="H6051" s="39" t="n">
        <v>45966</v>
      </c>
      <c r="I6051" s="7" t="s">
        <v>14651</v>
      </c>
      <c r="J6051" s="8" t="str">
        <f aca="false">IF(I6051="Open",DATE(2025,12,31)-F6051,"-")</f>
        <v>-</v>
      </c>
    </row>
    <row r="6052" customFormat="false" ht="15" hidden="false" customHeight="false" outlineLevel="0" collapsed="false">
      <c r="B6052" s="7" t="s">
        <v>20698</v>
      </c>
      <c r="C6052" s="7" t="s">
        <v>6549</v>
      </c>
      <c r="D6052" s="7" t="s">
        <v>383</v>
      </c>
      <c r="E6052" s="7" t="s">
        <v>157</v>
      </c>
      <c r="F6052" s="39" t="n">
        <v>45940</v>
      </c>
      <c r="G6052" s="41" t="n">
        <v>174.9</v>
      </c>
      <c r="H6052" s="39" t="n">
        <v>46013</v>
      </c>
      <c r="I6052" s="7" t="s">
        <v>14651</v>
      </c>
      <c r="J6052" s="8" t="str">
        <f aca="false">IF(I6052="Open",DATE(2025,12,31)-F6052,"-")</f>
        <v>-</v>
      </c>
    </row>
    <row r="6053" customFormat="false" ht="15" hidden="false" customHeight="false" outlineLevel="0" collapsed="false">
      <c r="B6053" s="7" t="s">
        <v>20699</v>
      </c>
      <c r="C6053" s="7" t="s">
        <v>6550</v>
      </c>
      <c r="D6053" s="7" t="s">
        <v>385</v>
      </c>
      <c r="E6053" s="7" t="s">
        <v>156</v>
      </c>
      <c r="F6053" s="39" t="n">
        <v>45940</v>
      </c>
      <c r="G6053" s="41" t="n">
        <v>137.36</v>
      </c>
      <c r="H6053" s="39" t="n">
        <v>45956</v>
      </c>
      <c r="I6053" s="7" t="s">
        <v>14651</v>
      </c>
      <c r="J6053" s="8" t="str">
        <f aca="false">IF(I6053="Open",DATE(2025,12,31)-F6053,"-")</f>
        <v>-</v>
      </c>
    </row>
    <row r="6054" customFormat="false" ht="15" hidden="false" customHeight="false" outlineLevel="0" collapsed="false">
      <c r="B6054" s="7" t="s">
        <v>20700</v>
      </c>
      <c r="C6054" s="7" t="s">
        <v>6551</v>
      </c>
      <c r="D6054" s="7" t="s">
        <v>387</v>
      </c>
      <c r="E6054" s="7" t="s">
        <v>154</v>
      </c>
      <c r="F6054" s="39" t="n">
        <v>45940</v>
      </c>
      <c r="G6054" s="41" t="n">
        <v>106.27</v>
      </c>
      <c r="H6054" s="39" t="n">
        <v>45989</v>
      </c>
      <c r="I6054" s="7" t="s">
        <v>14651</v>
      </c>
      <c r="J6054" s="8" t="str">
        <f aca="false">IF(I6054="Open",DATE(2025,12,31)-F6054,"-")</f>
        <v>-</v>
      </c>
    </row>
    <row r="6055" customFormat="false" ht="15" hidden="false" customHeight="false" outlineLevel="0" collapsed="false">
      <c r="B6055" s="7" t="s">
        <v>20701</v>
      </c>
      <c r="C6055" s="7" t="s">
        <v>6552</v>
      </c>
      <c r="D6055" s="7" t="s">
        <v>389</v>
      </c>
      <c r="E6055" s="7" t="s">
        <v>154</v>
      </c>
      <c r="F6055" s="39" t="n">
        <v>45940</v>
      </c>
      <c r="G6055" s="41" t="n">
        <v>100.25</v>
      </c>
      <c r="H6055" s="39" t="n">
        <v>45983</v>
      </c>
      <c r="I6055" s="7" t="s">
        <v>14651</v>
      </c>
      <c r="J6055" s="8" t="str">
        <f aca="false">IF(I6055="Open",DATE(2025,12,31)-F6055,"-")</f>
        <v>-</v>
      </c>
    </row>
    <row r="6056" customFormat="false" ht="15" hidden="false" customHeight="false" outlineLevel="0" collapsed="false">
      <c r="B6056" s="7" t="s">
        <v>20702</v>
      </c>
      <c r="C6056" s="7" t="s">
        <v>6553</v>
      </c>
      <c r="D6056" s="7" t="s">
        <v>391</v>
      </c>
      <c r="E6056" s="7" t="s">
        <v>156</v>
      </c>
      <c r="F6056" s="39" t="n">
        <v>45940</v>
      </c>
      <c r="G6056" s="41" t="n">
        <v>136.68</v>
      </c>
      <c r="H6056" s="39" t="n">
        <v>45950</v>
      </c>
      <c r="I6056" s="7" t="s">
        <v>14651</v>
      </c>
      <c r="J6056" s="8" t="str">
        <f aca="false">IF(I6056="Open",DATE(2025,12,31)-F6056,"-")</f>
        <v>-</v>
      </c>
    </row>
    <row r="6057" customFormat="false" ht="15" hidden="false" customHeight="false" outlineLevel="0" collapsed="false">
      <c r="B6057" s="7" t="s">
        <v>20703</v>
      </c>
      <c r="C6057" s="7" t="s">
        <v>6554</v>
      </c>
      <c r="D6057" s="7" t="s">
        <v>395</v>
      </c>
      <c r="E6057" s="7" t="s">
        <v>156</v>
      </c>
      <c r="F6057" s="39" t="n">
        <v>45940</v>
      </c>
      <c r="G6057" s="41" t="n">
        <v>136.34</v>
      </c>
      <c r="H6057" s="39" t="n">
        <v>45953</v>
      </c>
      <c r="I6057" s="7" t="s">
        <v>14651</v>
      </c>
      <c r="J6057" s="8" t="str">
        <f aca="false">IF(I6057="Open",DATE(2025,12,31)-F6057,"-")</f>
        <v>-</v>
      </c>
    </row>
    <row r="6058" customFormat="false" ht="15" hidden="false" customHeight="false" outlineLevel="0" collapsed="false">
      <c r="B6058" s="7" t="s">
        <v>20704</v>
      </c>
      <c r="C6058" s="7" t="s">
        <v>6555</v>
      </c>
      <c r="D6058" s="7" t="s">
        <v>397</v>
      </c>
      <c r="E6058" s="7" t="s">
        <v>159</v>
      </c>
      <c r="F6058" s="39" t="n">
        <v>45940</v>
      </c>
      <c r="G6058" s="41" t="n">
        <v>136.35</v>
      </c>
      <c r="H6058" s="39" t="n">
        <v>45990</v>
      </c>
      <c r="I6058" s="7" t="s">
        <v>14651</v>
      </c>
      <c r="J6058" s="8" t="str">
        <f aca="false">IF(I6058="Open",DATE(2025,12,31)-F6058,"-")</f>
        <v>-</v>
      </c>
    </row>
    <row r="6059" customFormat="false" ht="15" hidden="false" customHeight="false" outlineLevel="0" collapsed="false">
      <c r="B6059" s="7" t="s">
        <v>20705</v>
      </c>
      <c r="C6059" s="7" t="s">
        <v>6556</v>
      </c>
      <c r="D6059" s="7" t="s">
        <v>399</v>
      </c>
      <c r="E6059" s="7" t="s">
        <v>154</v>
      </c>
      <c r="F6059" s="39" t="n">
        <v>45940</v>
      </c>
      <c r="G6059" s="41" t="n">
        <v>86.89</v>
      </c>
      <c r="H6059" s="6" t="s">
        <v>182</v>
      </c>
      <c r="I6059" s="7" t="s">
        <v>19787</v>
      </c>
      <c r="J6059" s="8" t="n">
        <f aca="false">IF(I6059="Open",DATE(2025,12,31)-F6059,"-")</f>
        <v>82</v>
      </c>
    </row>
    <row r="6060" customFormat="false" ht="15" hidden="false" customHeight="false" outlineLevel="0" collapsed="false">
      <c r="B6060" s="7" t="s">
        <v>20706</v>
      </c>
      <c r="C6060" s="7" t="s">
        <v>6557</v>
      </c>
      <c r="D6060" s="7" t="s">
        <v>401</v>
      </c>
      <c r="E6060" s="7" t="s">
        <v>156</v>
      </c>
      <c r="F6060" s="39" t="n">
        <v>45940</v>
      </c>
      <c r="G6060" s="41" t="n">
        <v>134.3</v>
      </c>
      <c r="H6060" s="39" t="n">
        <v>45956</v>
      </c>
      <c r="I6060" s="7" t="s">
        <v>14651</v>
      </c>
      <c r="J6060" s="8" t="str">
        <f aca="false">IF(I6060="Open",DATE(2025,12,31)-F6060,"-")</f>
        <v>-</v>
      </c>
    </row>
    <row r="6061" customFormat="false" ht="15" hidden="false" customHeight="false" outlineLevel="0" collapsed="false">
      <c r="B6061" s="7" t="s">
        <v>20707</v>
      </c>
      <c r="C6061" s="7" t="s">
        <v>6558</v>
      </c>
      <c r="D6061" s="7" t="s">
        <v>403</v>
      </c>
      <c r="E6061" s="7" t="s">
        <v>156</v>
      </c>
      <c r="F6061" s="39" t="n">
        <v>45940</v>
      </c>
      <c r="G6061" s="41" t="n">
        <v>142.46</v>
      </c>
      <c r="H6061" s="39" t="n">
        <v>45955</v>
      </c>
      <c r="I6061" s="7" t="s">
        <v>14651</v>
      </c>
      <c r="J6061" s="8" t="str">
        <f aca="false">IF(I6061="Open",DATE(2025,12,31)-F6061,"-")</f>
        <v>-</v>
      </c>
    </row>
    <row r="6062" customFormat="false" ht="15" hidden="false" customHeight="false" outlineLevel="0" collapsed="false">
      <c r="B6062" s="7" t="s">
        <v>20708</v>
      </c>
      <c r="C6062" s="7" t="s">
        <v>6559</v>
      </c>
      <c r="D6062" s="7" t="s">
        <v>407</v>
      </c>
      <c r="E6062" s="7" t="s">
        <v>159</v>
      </c>
      <c r="F6062" s="39" t="n">
        <v>45940</v>
      </c>
      <c r="G6062" s="41" t="n">
        <v>141.75</v>
      </c>
      <c r="H6062" s="39" t="n">
        <v>45982</v>
      </c>
      <c r="I6062" s="7" t="s">
        <v>14651</v>
      </c>
      <c r="J6062" s="8" t="str">
        <f aca="false">IF(I6062="Open",DATE(2025,12,31)-F6062,"-")</f>
        <v>-</v>
      </c>
    </row>
    <row r="6063" customFormat="false" ht="15" hidden="false" customHeight="false" outlineLevel="0" collapsed="false">
      <c r="B6063" s="7" t="s">
        <v>20709</v>
      </c>
      <c r="C6063" s="7" t="s">
        <v>6560</v>
      </c>
      <c r="D6063" s="7" t="s">
        <v>409</v>
      </c>
      <c r="E6063" s="7" t="s">
        <v>154</v>
      </c>
      <c r="F6063" s="39" t="n">
        <v>45940</v>
      </c>
      <c r="G6063" s="41" t="n">
        <v>87.66</v>
      </c>
      <c r="H6063" s="39" t="n">
        <v>45998</v>
      </c>
      <c r="I6063" s="7" t="s">
        <v>14651</v>
      </c>
      <c r="J6063" s="8" t="str">
        <f aca="false">IF(I6063="Open",DATE(2025,12,31)-F6063,"-")</f>
        <v>-</v>
      </c>
    </row>
    <row r="6064" customFormat="false" ht="15" hidden="false" customHeight="false" outlineLevel="0" collapsed="false">
      <c r="B6064" s="7" t="s">
        <v>20710</v>
      </c>
      <c r="C6064" s="7" t="s">
        <v>6561</v>
      </c>
      <c r="D6064" s="7" t="s">
        <v>411</v>
      </c>
      <c r="E6064" s="7" t="s">
        <v>154</v>
      </c>
      <c r="F6064" s="39" t="n">
        <v>45940</v>
      </c>
      <c r="G6064" s="41" t="n">
        <v>116.07</v>
      </c>
      <c r="H6064" s="6" t="s">
        <v>182</v>
      </c>
      <c r="I6064" s="7" t="s">
        <v>19787</v>
      </c>
      <c r="J6064" s="8" t="n">
        <f aca="false">IF(I6064="Open",DATE(2025,12,31)-F6064,"-")</f>
        <v>82</v>
      </c>
    </row>
    <row r="6065" customFormat="false" ht="15" hidden="false" customHeight="false" outlineLevel="0" collapsed="false">
      <c r="B6065" s="7" t="s">
        <v>20711</v>
      </c>
      <c r="C6065" s="7" t="s">
        <v>6562</v>
      </c>
      <c r="D6065" s="7" t="s">
        <v>288</v>
      </c>
      <c r="E6065" s="7" t="s">
        <v>156</v>
      </c>
      <c r="F6065" s="39" t="n">
        <v>45941</v>
      </c>
      <c r="G6065" s="41" t="n">
        <v>137.02</v>
      </c>
      <c r="H6065" s="39" t="n">
        <v>45953</v>
      </c>
      <c r="I6065" s="7" t="s">
        <v>14651</v>
      </c>
      <c r="J6065" s="8" t="str">
        <f aca="false">IF(I6065="Open",DATE(2025,12,31)-F6065,"-")</f>
        <v>-</v>
      </c>
    </row>
    <row r="6066" customFormat="false" ht="15" hidden="false" customHeight="false" outlineLevel="0" collapsed="false">
      <c r="B6066" s="7" t="s">
        <v>20712</v>
      </c>
      <c r="C6066" s="7" t="s">
        <v>6563</v>
      </c>
      <c r="D6066" s="7" t="s">
        <v>321</v>
      </c>
      <c r="E6066" s="7" t="s">
        <v>154</v>
      </c>
      <c r="F6066" s="39" t="n">
        <v>45941</v>
      </c>
      <c r="G6066" s="41" t="n">
        <v>112.07</v>
      </c>
      <c r="H6066" s="39" t="n">
        <v>45979</v>
      </c>
      <c r="I6066" s="7" t="s">
        <v>14651</v>
      </c>
      <c r="J6066" s="8" t="str">
        <f aca="false">IF(I6066="Open",DATE(2025,12,31)-F6066,"-")</f>
        <v>-</v>
      </c>
    </row>
    <row r="6067" customFormat="false" ht="15" hidden="false" customHeight="false" outlineLevel="0" collapsed="false">
      <c r="B6067" s="7" t="s">
        <v>20713</v>
      </c>
      <c r="C6067" s="7" t="s">
        <v>6564</v>
      </c>
      <c r="D6067" s="7" t="s">
        <v>359</v>
      </c>
      <c r="E6067" s="7" t="s">
        <v>156</v>
      </c>
      <c r="F6067" s="39" t="n">
        <v>45941</v>
      </c>
      <c r="G6067" s="41" t="n">
        <v>138.04</v>
      </c>
      <c r="H6067" s="39" t="n">
        <v>45950</v>
      </c>
      <c r="I6067" s="7" t="s">
        <v>14651</v>
      </c>
      <c r="J6067" s="8" t="str">
        <f aca="false">IF(I6067="Open",DATE(2025,12,31)-F6067,"-")</f>
        <v>-</v>
      </c>
    </row>
    <row r="6068" customFormat="false" ht="15" hidden="false" customHeight="false" outlineLevel="0" collapsed="false">
      <c r="B6068" s="7" t="s">
        <v>20714</v>
      </c>
      <c r="C6068" s="7" t="s">
        <v>6565</v>
      </c>
      <c r="D6068" s="7" t="s">
        <v>387</v>
      </c>
      <c r="E6068" s="7" t="s">
        <v>154</v>
      </c>
      <c r="F6068" s="39" t="n">
        <v>45941</v>
      </c>
      <c r="G6068" s="41" t="n">
        <v>96.41</v>
      </c>
      <c r="H6068" s="39" t="n">
        <v>45996</v>
      </c>
      <c r="I6068" s="7" t="s">
        <v>14651</v>
      </c>
      <c r="J6068" s="8" t="str">
        <f aca="false">IF(I6068="Open",DATE(2025,12,31)-F6068,"-")</f>
        <v>-</v>
      </c>
    </row>
    <row r="6069" customFormat="false" ht="15" hidden="false" customHeight="false" outlineLevel="0" collapsed="false">
      <c r="B6069" s="7" t="s">
        <v>20715</v>
      </c>
      <c r="C6069" s="7" t="s">
        <v>6566</v>
      </c>
      <c r="D6069" s="7" t="s">
        <v>391</v>
      </c>
      <c r="E6069" s="7" t="s">
        <v>156</v>
      </c>
      <c r="F6069" s="39" t="n">
        <v>45941</v>
      </c>
      <c r="G6069" s="41" t="n">
        <v>124.1</v>
      </c>
      <c r="H6069" s="39" t="n">
        <v>45954</v>
      </c>
      <c r="I6069" s="7" t="s">
        <v>14651</v>
      </c>
      <c r="J6069" s="8" t="str">
        <f aca="false">IF(I6069="Open",DATE(2025,12,31)-F6069,"-")</f>
        <v>-</v>
      </c>
    </row>
    <row r="6070" customFormat="false" ht="15" hidden="false" customHeight="false" outlineLevel="0" collapsed="false">
      <c r="B6070" s="7" t="s">
        <v>20716</v>
      </c>
      <c r="C6070" s="7" t="s">
        <v>6567</v>
      </c>
      <c r="D6070" s="7" t="s">
        <v>395</v>
      </c>
      <c r="E6070" s="7" t="s">
        <v>156</v>
      </c>
      <c r="F6070" s="39" t="n">
        <v>45941</v>
      </c>
      <c r="G6070" s="41" t="n">
        <v>135.66</v>
      </c>
      <c r="H6070" s="39" t="n">
        <v>45959</v>
      </c>
      <c r="I6070" s="7" t="s">
        <v>14651</v>
      </c>
      <c r="J6070" s="8" t="str">
        <f aca="false">IF(I6070="Open",DATE(2025,12,31)-F6070,"-")</f>
        <v>-</v>
      </c>
    </row>
    <row r="6071" customFormat="false" ht="15" hidden="false" customHeight="false" outlineLevel="0" collapsed="false">
      <c r="B6071" s="7" t="s">
        <v>20717</v>
      </c>
      <c r="C6071" s="7" t="s">
        <v>6568</v>
      </c>
      <c r="D6071" s="7" t="s">
        <v>401</v>
      </c>
      <c r="E6071" s="7" t="s">
        <v>156</v>
      </c>
      <c r="F6071" s="39" t="n">
        <v>45941</v>
      </c>
      <c r="G6071" s="41" t="n">
        <v>122.74</v>
      </c>
      <c r="H6071" s="39" t="n">
        <v>45951</v>
      </c>
      <c r="I6071" s="7" t="s">
        <v>14651</v>
      </c>
      <c r="J6071" s="8" t="str">
        <f aca="false">IF(I6071="Open",DATE(2025,12,31)-F6071,"-")</f>
        <v>-</v>
      </c>
    </row>
    <row r="6072" customFormat="false" ht="15" hidden="false" customHeight="false" outlineLevel="0" collapsed="false">
      <c r="B6072" s="7" t="s">
        <v>20718</v>
      </c>
      <c r="C6072" s="7" t="s">
        <v>6569</v>
      </c>
      <c r="D6072" s="7" t="s">
        <v>288</v>
      </c>
      <c r="E6072" s="7" t="s">
        <v>156</v>
      </c>
      <c r="F6072" s="39" t="n">
        <v>45942</v>
      </c>
      <c r="G6072" s="41" t="n">
        <v>128.18</v>
      </c>
      <c r="H6072" s="39" t="n">
        <v>45959</v>
      </c>
      <c r="I6072" s="7" t="s">
        <v>14651</v>
      </c>
      <c r="J6072" s="8" t="str">
        <f aca="false">IF(I6072="Open",DATE(2025,12,31)-F6072,"-")</f>
        <v>-</v>
      </c>
    </row>
    <row r="6073" customFormat="false" ht="15" hidden="false" customHeight="false" outlineLevel="0" collapsed="false">
      <c r="B6073" s="7" t="s">
        <v>20719</v>
      </c>
      <c r="C6073" s="7" t="s">
        <v>6570</v>
      </c>
      <c r="D6073" s="7" t="s">
        <v>321</v>
      </c>
      <c r="E6073" s="7" t="s">
        <v>154</v>
      </c>
      <c r="F6073" s="39" t="n">
        <v>45942</v>
      </c>
      <c r="G6073" s="41" t="n">
        <v>107.06</v>
      </c>
      <c r="H6073" s="39" t="n">
        <v>46020</v>
      </c>
      <c r="I6073" s="7" t="s">
        <v>14651</v>
      </c>
      <c r="J6073" s="8" t="str">
        <f aca="false">IF(I6073="Open",DATE(2025,12,31)-F6073,"-")</f>
        <v>-</v>
      </c>
    </row>
    <row r="6074" customFormat="false" ht="15" hidden="false" customHeight="false" outlineLevel="0" collapsed="false">
      <c r="B6074" s="7" t="s">
        <v>20720</v>
      </c>
      <c r="C6074" s="7" t="s">
        <v>6571</v>
      </c>
      <c r="D6074" s="7" t="s">
        <v>359</v>
      </c>
      <c r="E6074" s="7" t="s">
        <v>156</v>
      </c>
      <c r="F6074" s="39" t="n">
        <v>45942</v>
      </c>
      <c r="G6074" s="41" t="n">
        <v>142.8</v>
      </c>
      <c r="H6074" s="39" t="n">
        <v>45956</v>
      </c>
      <c r="I6074" s="7" t="s">
        <v>14651</v>
      </c>
      <c r="J6074" s="8" t="str">
        <f aca="false">IF(I6074="Open",DATE(2025,12,31)-F6074,"-")</f>
        <v>-</v>
      </c>
    </row>
    <row r="6075" customFormat="false" ht="15" hidden="false" customHeight="false" outlineLevel="0" collapsed="false">
      <c r="B6075" s="7" t="s">
        <v>20721</v>
      </c>
      <c r="C6075" s="7" t="s">
        <v>6572</v>
      </c>
      <c r="D6075" s="7" t="s">
        <v>391</v>
      </c>
      <c r="E6075" s="7" t="s">
        <v>156</v>
      </c>
      <c r="F6075" s="39" t="n">
        <v>45942</v>
      </c>
      <c r="G6075" s="41" t="n">
        <v>136.68</v>
      </c>
      <c r="H6075" s="39" t="n">
        <v>45957</v>
      </c>
      <c r="I6075" s="7" t="s">
        <v>14651</v>
      </c>
      <c r="J6075" s="8" t="str">
        <f aca="false">IF(I6075="Open",DATE(2025,12,31)-F6075,"-")</f>
        <v>-</v>
      </c>
    </row>
    <row r="6076" customFormat="false" ht="15" hidden="false" customHeight="false" outlineLevel="0" collapsed="false">
      <c r="B6076" s="7" t="s">
        <v>20722</v>
      </c>
      <c r="C6076" s="7" t="s">
        <v>6573</v>
      </c>
      <c r="D6076" s="7" t="s">
        <v>395</v>
      </c>
      <c r="E6076" s="7" t="s">
        <v>156</v>
      </c>
      <c r="F6076" s="39" t="n">
        <v>45942</v>
      </c>
      <c r="G6076" s="41" t="n">
        <v>124.78</v>
      </c>
      <c r="H6076" s="39" t="n">
        <v>45953</v>
      </c>
      <c r="I6076" s="7" t="s">
        <v>14651</v>
      </c>
      <c r="J6076" s="8" t="str">
        <f aca="false">IF(I6076="Open",DATE(2025,12,31)-F6076,"-")</f>
        <v>-</v>
      </c>
    </row>
    <row r="6077" customFormat="false" ht="15" hidden="false" customHeight="false" outlineLevel="0" collapsed="false">
      <c r="B6077" s="7" t="s">
        <v>20723</v>
      </c>
      <c r="C6077" s="7" t="s">
        <v>6574</v>
      </c>
      <c r="D6077" s="7" t="s">
        <v>401</v>
      </c>
      <c r="E6077" s="7" t="s">
        <v>156</v>
      </c>
      <c r="F6077" s="39" t="n">
        <v>45942</v>
      </c>
      <c r="G6077" s="41" t="n">
        <v>122.4</v>
      </c>
      <c r="H6077" s="39" t="n">
        <v>45949</v>
      </c>
      <c r="I6077" s="7" t="s">
        <v>14651</v>
      </c>
      <c r="J6077" s="8" t="str">
        <f aca="false">IF(I6077="Open",DATE(2025,12,31)-F6077,"-")</f>
        <v>-</v>
      </c>
    </row>
    <row r="6078" customFormat="false" ht="15" hidden="false" customHeight="false" outlineLevel="0" collapsed="false">
      <c r="B6078" s="7" t="s">
        <v>20724</v>
      </c>
      <c r="C6078" s="7" t="s">
        <v>6575</v>
      </c>
      <c r="D6078" s="7" t="s">
        <v>288</v>
      </c>
      <c r="E6078" s="7" t="s">
        <v>156</v>
      </c>
      <c r="F6078" s="39" t="n">
        <v>45943</v>
      </c>
      <c r="G6078" s="41" t="n">
        <v>124.78</v>
      </c>
      <c r="H6078" s="39" t="n">
        <v>45949</v>
      </c>
      <c r="I6078" s="7" t="s">
        <v>14651</v>
      </c>
      <c r="J6078" s="8" t="str">
        <f aca="false">IF(I6078="Open",DATE(2025,12,31)-F6078,"-")</f>
        <v>-</v>
      </c>
    </row>
    <row r="6079" customFormat="false" ht="15" hidden="false" customHeight="false" outlineLevel="0" collapsed="false">
      <c r="B6079" s="7" t="s">
        <v>20725</v>
      </c>
      <c r="C6079" s="7" t="s">
        <v>6576</v>
      </c>
      <c r="D6079" s="7" t="s">
        <v>291</v>
      </c>
      <c r="E6079" s="7" t="s">
        <v>154</v>
      </c>
      <c r="F6079" s="39" t="n">
        <v>45943</v>
      </c>
      <c r="G6079" s="41" t="n">
        <v>114.75</v>
      </c>
      <c r="H6079" s="39" t="n">
        <v>45993</v>
      </c>
      <c r="I6079" s="7" t="s">
        <v>14651</v>
      </c>
      <c r="J6079" s="8" t="str">
        <f aca="false">IF(I6079="Open",DATE(2025,12,31)-F6079,"-")</f>
        <v>-</v>
      </c>
    </row>
    <row r="6080" customFormat="false" ht="15" hidden="false" customHeight="false" outlineLevel="0" collapsed="false">
      <c r="B6080" s="7" t="s">
        <v>20726</v>
      </c>
      <c r="C6080" s="7" t="s">
        <v>6577</v>
      </c>
      <c r="D6080" s="7" t="s">
        <v>295</v>
      </c>
      <c r="E6080" s="7" t="s">
        <v>154</v>
      </c>
      <c r="F6080" s="39" t="n">
        <v>45943</v>
      </c>
      <c r="G6080" s="41" t="n">
        <v>111.04</v>
      </c>
      <c r="H6080" s="39" t="n">
        <v>45994</v>
      </c>
      <c r="I6080" s="7" t="s">
        <v>14651</v>
      </c>
      <c r="J6080" s="8" t="str">
        <f aca="false">IF(I6080="Open",DATE(2025,12,31)-F6080,"-")</f>
        <v>-</v>
      </c>
    </row>
    <row r="6081" customFormat="false" ht="15" hidden="false" customHeight="false" outlineLevel="0" collapsed="false">
      <c r="B6081" s="7" t="s">
        <v>20727</v>
      </c>
      <c r="C6081" s="7" t="s">
        <v>6578</v>
      </c>
      <c r="D6081" s="7" t="s">
        <v>297</v>
      </c>
      <c r="E6081" s="7" t="s">
        <v>156</v>
      </c>
      <c r="F6081" s="39" t="n">
        <v>45943</v>
      </c>
      <c r="G6081" s="41" t="n">
        <v>107.44</v>
      </c>
      <c r="H6081" s="39" t="n">
        <v>45950</v>
      </c>
      <c r="I6081" s="7" t="s">
        <v>14651</v>
      </c>
      <c r="J6081" s="8" t="str">
        <f aca="false">IF(I6081="Open",DATE(2025,12,31)-F6081,"-")</f>
        <v>-</v>
      </c>
    </row>
    <row r="6082" customFormat="false" ht="15" hidden="false" customHeight="false" outlineLevel="0" collapsed="false">
      <c r="B6082" s="7" t="s">
        <v>20728</v>
      </c>
      <c r="C6082" s="7" t="s">
        <v>6579</v>
      </c>
      <c r="D6082" s="7" t="s">
        <v>303</v>
      </c>
      <c r="E6082" s="7" t="s">
        <v>154</v>
      </c>
      <c r="F6082" s="39" t="n">
        <v>45943</v>
      </c>
      <c r="G6082" s="41" t="n">
        <v>108.38</v>
      </c>
      <c r="H6082" s="39" t="n">
        <v>46001</v>
      </c>
      <c r="I6082" s="7" t="s">
        <v>14651</v>
      </c>
      <c r="J6082" s="8" t="str">
        <f aca="false">IF(I6082="Open",DATE(2025,12,31)-F6082,"-")</f>
        <v>-</v>
      </c>
    </row>
    <row r="6083" customFormat="false" ht="15" hidden="false" customHeight="false" outlineLevel="0" collapsed="false">
      <c r="B6083" s="7" t="s">
        <v>20729</v>
      </c>
      <c r="C6083" s="7" t="s">
        <v>6580</v>
      </c>
      <c r="D6083" s="7" t="s">
        <v>305</v>
      </c>
      <c r="E6083" s="7" t="s">
        <v>154</v>
      </c>
      <c r="F6083" s="39" t="n">
        <v>45943</v>
      </c>
      <c r="G6083" s="41" t="n">
        <v>111.04</v>
      </c>
      <c r="H6083" s="39" t="n">
        <v>46003</v>
      </c>
      <c r="I6083" s="7" t="s">
        <v>14651</v>
      </c>
      <c r="J6083" s="8" t="str">
        <f aca="false">IF(I6083="Open",DATE(2025,12,31)-F6083,"-")</f>
        <v>-</v>
      </c>
    </row>
    <row r="6084" customFormat="false" ht="15" hidden="false" customHeight="false" outlineLevel="0" collapsed="false">
      <c r="B6084" s="7" t="s">
        <v>20730</v>
      </c>
      <c r="C6084" s="7" t="s">
        <v>6581</v>
      </c>
      <c r="D6084" s="7" t="s">
        <v>307</v>
      </c>
      <c r="E6084" s="7" t="s">
        <v>157</v>
      </c>
      <c r="F6084" s="39" t="n">
        <v>45943</v>
      </c>
      <c r="G6084" s="41" t="n">
        <v>179.85</v>
      </c>
      <c r="H6084" s="39" t="n">
        <v>45994</v>
      </c>
      <c r="I6084" s="7" t="s">
        <v>14651</v>
      </c>
      <c r="J6084" s="8" t="str">
        <f aca="false">IF(I6084="Open",DATE(2025,12,31)-F6084,"-")</f>
        <v>-</v>
      </c>
    </row>
    <row r="6085" customFormat="false" ht="15" hidden="false" customHeight="false" outlineLevel="0" collapsed="false">
      <c r="B6085" s="7" t="s">
        <v>20731</v>
      </c>
      <c r="C6085" s="7" t="s">
        <v>6582</v>
      </c>
      <c r="D6085" s="7" t="s">
        <v>309</v>
      </c>
      <c r="E6085" s="7" t="s">
        <v>159</v>
      </c>
      <c r="F6085" s="39" t="n">
        <v>45943</v>
      </c>
      <c r="G6085" s="41" t="n">
        <v>136.35</v>
      </c>
      <c r="H6085" s="39" t="n">
        <v>45958</v>
      </c>
      <c r="I6085" s="7" t="s">
        <v>14651</v>
      </c>
      <c r="J6085" s="8" t="str">
        <f aca="false">IF(I6085="Open",DATE(2025,12,31)-F6085,"-")</f>
        <v>-</v>
      </c>
    </row>
    <row r="6086" customFormat="false" ht="15" hidden="false" customHeight="false" outlineLevel="0" collapsed="false">
      <c r="B6086" s="7" t="s">
        <v>20732</v>
      </c>
      <c r="C6086" s="7" t="s">
        <v>6583</v>
      </c>
      <c r="D6086" s="7" t="s">
        <v>311</v>
      </c>
      <c r="E6086" s="7" t="s">
        <v>154</v>
      </c>
      <c r="F6086" s="39" t="n">
        <v>45943</v>
      </c>
      <c r="G6086" s="41" t="n">
        <v>75.53</v>
      </c>
      <c r="H6086" s="39" t="n">
        <v>45998</v>
      </c>
      <c r="I6086" s="7" t="s">
        <v>14651</v>
      </c>
      <c r="J6086" s="8" t="str">
        <f aca="false">IF(I6086="Open",DATE(2025,12,31)-F6086,"-")</f>
        <v>-</v>
      </c>
    </row>
    <row r="6087" customFormat="false" ht="15" hidden="false" customHeight="false" outlineLevel="0" collapsed="false">
      <c r="B6087" s="7" t="s">
        <v>20733</v>
      </c>
      <c r="C6087" s="7" t="s">
        <v>6584</v>
      </c>
      <c r="D6087" s="7" t="s">
        <v>313</v>
      </c>
      <c r="E6087" s="7" t="s">
        <v>156</v>
      </c>
      <c r="F6087" s="39" t="n">
        <v>45943</v>
      </c>
      <c r="G6087" s="41" t="n">
        <v>144.5</v>
      </c>
      <c r="H6087" s="39" t="n">
        <v>45950</v>
      </c>
      <c r="I6087" s="7" t="s">
        <v>14651</v>
      </c>
      <c r="J6087" s="8" t="str">
        <f aca="false">IF(I6087="Open",DATE(2025,12,31)-F6087,"-")</f>
        <v>-</v>
      </c>
    </row>
    <row r="6088" customFormat="false" ht="15" hidden="false" customHeight="false" outlineLevel="0" collapsed="false">
      <c r="B6088" s="7" t="s">
        <v>20734</v>
      </c>
      <c r="C6088" s="7" t="s">
        <v>6585</v>
      </c>
      <c r="D6088" s="7" t="s">
        <v>315</v>
      </c>
      <c r="E6088" s="7" t="s">
        <v>159</v>
      </c>
      <c r="F6088" s="39" t="n">
        <v>45943</v>
      </c>
      <c r="G6088" s="41" t="n">
        <v>130.54</v>
      </c>
      <c r="H6088" s="39" t="n">
        <v>46012</v>
      </c>
      <c r="I6088" s="7" t="s">
        <v>14651</v>
      </c>
      <c r="J6088" s="8" t="str">
        <f aca="false">IF(I6088="Open",DATE(2025,12,31)-F6088,"-")</f>
        <v>-</v>
      </c>
    </row>
    <row r="6089" customFormat="false" ht="15" hidden="false" customHeight="false" outlineLevel="0" collapsed="false">
      <c r="B6089" s="7" t="s">
        <v>20735</v>
      </c>
      <c r="C6089" s="7" t="s">
        <v>6586</v>
      </c>
      <c r="D6089" s="7" t="s">
        <v>317</v>
      </c>
      <c r="E6089" s="7" t="s">
        <v>156</v>
      </c>
      <c r="F6089" s="39" t="n">
        <v>45943</v>
      </c>
      <c r="G6089" s="41" t="n">
        <v>93.84</v>
      </c>
      <c r="H6089" s="39" t="n">
        <v>45944</v>
      </c>
      <c r="I6089" s="7" t="s">
        <v>14651</v>
      </c>
      <c r="J6089" s="8" t="str">
        <f aca="false">IF(I6089="Open",DATE(2025,12,31)-F6089,"-")</f>
        <v>-</v>
      </c>
    </row>
    <row r="6090" customFormat="false" ht="15" hidden="false" customHeight="false" outlineLevel="0" collapsed="false">
      <c r="B6090" s="7" t="s">
        <v>20736</v>
      </c>
      <c r="C6090" s="7" t="s">
        <v>6587</v>
      </c>
      <c r="D6090" s="7" t="s">
        <v>321</v>
      </c>
      <c r="E6090" s="7" t="s">
        <v>154</v>
      </c>
      <c r="F6090" s="39" t="n">
        <v>45943</v>
      </c>
      <c r="G6090" s="41" t="n">
        <v>97.52</v>
      </c>
      <c r="H6090" s="39" t="n">
        <v>45998</v>
      </c>
      <c r="I6090" s="7" t="s">
        <v>14651</v>
      </c>
      <c r="J6090" s="8" t="str">
        <f aca="false">IF(I6090="Open",DATE(2025,12,31)-F6090,"-")</f>
        <v>-</v>
      </c>
    </row>
    <row r="6091" customFormat="false" ht="15" hidden="false" customHeight="false" outlineLevel="0" collapsed="false">
      <c r="B6091" s="7" t="s">
        <v>20737</v>
      </c>
      <c r="C6091" s="7" t="s">
        <v>6588</v>
      </c>
      <c r="D6091" s="7" t="s">
        <v>325</v>
      </c>
      <c r="E6091" s="7" t="s">
        <v>154</v>
      </c>
      <c r="F6091" s="39" t="n">
        <v>45943</v>
      </c>
      <c r="G6091" s="41" t="n">
        <v>82.15</v>
      </c>
      <c r="H6091" s="6" t="s">
        <v>182</v>
      </c>
      <c r="I6091" s="7" t="s">
        <v>19787</v>
      </c>
      <c r="J6091" s="8" t="n">
        <f aca="false">IF(I6091="Open",DATE(2025,12,31)-F6091,"-")</f>
        <v>79</v>
      </c>
    </row>
    <row r="6092" customFormat="false" ht="15" hidden="false" customHeight="false" outlineLevel="0" collapsed="false">
      <c r="B6092" s="7" t="s">
        <v>20738</v>
      </c>
      <c r="C6092" s="7" t="s">
        <v>6589</v>
      </c>
      <c r="D6092" s="7" t="s">
        <v>329</v>
      </c>
      <c r="E6092" s="7" t="s">
        <v>156</v>
      </c>
      <c r="F6092" s="39" t="n">
        <v>45943</v>
      </c>
      <c r="G6092" s="41" t="n">
        <v>131.24</v>
      </c>
      <c r="H6092" s="39" t="n">
        <v>45946</v>
      </c>
      <c r="I6092" s="7" t="s">
        <v>14651</v>
      </c>
      <c r="J6092" s="8" t="str">
        <f aca="false">IF(I6092="Open",DATE(2025,12,31)-F6092,"-")</f>
        <v>-</v>
      </c>
    </row>
    <row r="6093" customFormat="false" ht="15" hidden="false" customHeight="false" outlineLevel="0" collapsed="false">
      <c r="B6093" s="7" t="s">
        <v>20739</v>
      </c>
      <c r="C6093" s="7" t="s">
        <v>6590</v>
      </c>
      <c r="D6093" s="7" t="s">
        <v>331</v>
      </c>
      <c r="E6093" s="7" t="s">
        <v>156</v>
      </c>
      <c r="F6093" s="39" t="n">
        <v>45943</v>
      </c>
      <c r="G6093" s="41" t="n">
        <v>144.16</v>
      </c>
      <c r="H6093" s="39" t="n">
        <v>45961</v>
      </c>
      <c r="I6093" s="7" t="s">
        <v>14651</v>
      </c>
      <c r="J6093" s="8" t="str">
        <f aca="false">IF(I6093="Open",DATE(2025,12,31)-F6093,"-")</f>
        <v>-</v>
      </c>
    </row>
    <row r="6094" customFormat="false" ht="15" hidden="false" customHeight="false" outlineLevel="0" collapsed="false">
      <c r="B6094" s="7" t="s">
        <v>20740</v>
      </c>
      <c r="C6094" s="7" t="s">
        <v>6591</v>
      </c>
      <c r="D6094" s="7" t="s">
        <v>333</v>
      </c>
      <c r="E6094" s="7" t="s">
        <v>154</v>
      </c>
      <c r="F6094" s="39" t="n">
        <v>45943</v>
      </c>
      <c r="G6094" s="41" t="n">
        <v>90.63</v>
      </c>
      <c r="H6094" s="39" t="n">
        <v>46019</v>
      </c>
      <c r="I6094" s="7" t="s">
        <v>14651</v>
      </c>
      <c r="J6094" s="8" t="str">
        <f aca="false">IF(I6094="Open",DATE(2025,12,31)-F6094,"-")</f>
        <v>-</v>
      </c>
    </row>
    <row r="6095" customFormat="false" ht="15" hidden="false" customHeight="false" outlineLevel="0" collapsed="false">
      <c r="B6095" s="7" t="s">
        <v>20741</v>
      </c>
      <c r="C6095" s="7" t="s">
        <v>6592</v>
      </c>
      <c r="D6095" s="7" t="s">
        <v>335</v>
      </c>
      <c r="E6095" s="7" t="s">
        <v>154</v>
      </c>
      <c r="F6095" s="39" t="n">
        <v>45943</v>
      </c>
      <c r="G6095" s="41" t="n">
        <v>96.72</v>
      </c>
      <c r="H6095" s="39" t="n">
        <v>45993</v>
      </c>
      <c r="I6095" s="7" t="s">
        <v>14651</v>
      </c>
      <c r="J6095" s="8" t="str">
        <f aca="false">IF(I6095="Open",DATE(2025,12,31)-F6095,"-")</f>
        <v>-</v>
      </c>
    </row>
    <row r="6096" customFormat="false" ht="15" hidden="false" customHeight="false" outlineLevel="0" collapsed="false">
      <c r="B6096" s="7" t="s">
        <v>20742</v>
      </c>
      <c r="C6096" s="7" t="s">
        <v>6593</v>
      </c>
      <c r="D6096" s="7" t="s">
        <v>339</v>
      </c>
      <c r="E6096" s="7" t="s">
        <v>154</v>
      </c>
      <c r="F6096" s="39" t="n">
        <v>45943</v>
      </c>
      <c r="G6096" s="41" t="n">
        <v>84.53</v>
      </c>
      <c r="H6096" s="6" t="s">
        <v>182</v>
      </c>
      <c r="I6096" s="7" t="s">
        <v>19787</v>
      </c>
      <c r="J6096" s="8" t="n">
        <f aca="false">IF(I6096="Open",DATE(2025,12,31)-F6096,"-")</f>
        <v>79</v>
      </c>
    </row>
    <row r="6097" customFormat="false" ht="15" hidden="false" customHeight="false" outlineLevel="0" collapsed="false">
      <c r="B6097" s="7" t="s">
        <v>20743</v>
      </c>
      <c r="C6097" s="7" t="s">
        <v>6594</v>
      </c>
      <c r="D6097" s="7" t="s">
        <v>341</v>
      </c>
      <c r="E6097" s="7" t="s">
        <v>156</v>
      </c>
      <c r="F6097" s="39" t="n">
        <v>45943</v>
      </c>
      <c r="G6097" s="41" t="n">
        <v>99.62</v>
      </c>
      <c r="H6097" s="39" t="n">
        <v>45953</v>
      </c>
      <c r="I6097" s="7" t="s">
        <v>14651</v>
      </c>
      <c r="J6097" s="8" t="str">
        <f aca="false">IF(I6097="Open",DATE(2025,12,31)-F6097,"-")</f>
        <v>-</v>
      </c>
    </row>
    <row r="6098" customFormat="false" ht="15" hidden="false" customHeight="false" outlineLevel="0" collapsed="false">
      <c r="B6098" s="7" t="s">
        <v>20744</v>
      </c>
      <c r="C6098" s="7" t="s">
        <v>6595</v>
      </c>
      <c r="D6098" s="7" t="s">
        <v>343</v>
      </c>
      <c r="E6098" s="7" t="s">
        <v>154</v>
      </c>
      <c r="F6098" s="39" t="n">
        <v>45943</v>
      </c>
      <c r="G6098" s="41" t="n">
        <v>101.5</v>
      </c>
      <c r="H6098" s="39" t="n">
        <v>46004</v>
      </c>
      <c r="I6098" s="7" t="s">
        <v>14651</v>
      </c>
      <c r="J6098" s="8" t="str">
        <f aca="false">IF(I6098="Open",DATE(2025,12,31)-F6098,"-")</f>
        <v>-</v>
      </c>
    </row>
    <row r="6099" customFormat="false" ht="15" hidden="false" customHeight="false" outlineLevel="0" collapsed="false">
      <c r="B6099" s="7" t="s">
        <v>20745</v>
      </c>
      <c r="C6099" s="7" t="s">
        <v>6596</v>
      </c>
      <c r="D6099" s="7" t="s">
        <v>347</v>
      </c>
      <c r="E6099" s="7" t="s">
        <v>154</v>
      </c>
      <c r="F6099" s="39" t="n">
        <v>45943</v>
      </c>
      <c r="G6099" s="41" t="n">
        <v>118.24</v>
      </c>
      <c r="H6099" s="39" t="n">
        <v>45982</v>
      </c>
      <c r="I6099" s="7" t="s">
        <v>14651</v>
      </c>
      <c r="J6099" s="8" t="str">
        <f aca="false">IF(I6099="Open",DATE(2025,12,31)-F6099,"-")</f>
        <v>-</v>
      </c>
    </row>
    <row r="6100" customFormat="false" ht="15" hidden="false" customHeight="false" outlineLevel="0" collapsed="false">
      <c r="B6100" s="7" t="s">
        <v>20746</v>
      </c>
      <c r="C6100" s="7" t="s">
        <v>6597</v>
      </c>
      <c r="D6100" s="7" t="s">
        <v>349</v>
      </c>
      <c r="E6100" s="7" t="s">
        <v>154</v>
      </c>
      <c r="F6100" s="39" t="n">
        <v>45943</v>
      </c>
      <c r="G6100" s="41" t="n">
        <v>96.72</v>
      </c>
      <c r="H6100" s="39" t="n">
        <v>45980</v>
      </c>
      <c r="I6100" s="7" t="s">
        <v>14651</v>
      </c>
      <c r="J6100" s="8" t="str">
        <f aca="false">IF(I6100="Open",DATE(2025,12,31)-F6100,"-")</f>
        <v>-</v>
      </c>
    </row>
    <row r="6101" customFormat="false" ht="15" hidden="false" customHeight="false" outlineLevel="0" collapsed="false">
      <c r="B6101" s="7" t="s">
        <v>20747</v>
      </c>
      <c r="C6101" s="7" t="s">
        <v>6598</v>
      </c>
      <c r="D6101" s="7" t="s">
        <v>351</v>
      </c>
      <c r="E6101" s="7" t="s">
        <v>154</v>
      </c>
      <c r="F6101" s="39" t="n">
        <v>45943</v>
      </c>
      <c r="G6101" s="41" t="n">
        <v>82.94</v>
      </c>
      <c r="H6101" s="39" t="n">
        <v>45997</v>
      </c>
      <c r="I6101" s="7" t="s">
        <v>14651</v>
      </c>
      <c r="J6101" s="8" t="str">
        <f aca="false">IF(I6101="Open",DATE(2025,12,31)-F6101,"-")</f>
        <v>-</v>
      </c>
    </row>
    <row r="6102" customFormat="false" ht="15" hidden="false" customHeight="false" outlineLevel="0" collapsed="false">
      <c r="B6102" s="7" t="s">
        <v>20748</v>
      </c>
      <c r="C6102" s="7" t="s">
        <v>6599</v>
      </c>
      <c r="D6102" s="7" t="s">
        <v>353</v>
      </c>
      <c r="E6102" s="7" t="s">
        <v>154</v>
      </c>
      <c r="F6102" s="39" t="n">
        <v>45943</v>
      </c>
      <c r="G6102" s="41" t="n">
        <v>89.04</v>
      </c>
      <c r="H6102" s="39" t="n">
        <v>46001</v>
      </c>
      <c r="I6102" s="7" t="s">
        <v>14651</v>
      </c>
      <c r="J6102" s="8" t="str">
        <f aca="false">IF(I6102="Open",DATE(2025,12,31)-F6102,"-")</f>
        <v>-</v>
      </c>
    </row>
    <row r="6103" customFormat="false" ht="15" hidden="false" customHeight="false" outlineLevel="0" collapsed="false">
      <c r="B6103" s="7" t="s">
        <v>20749</v>
      </c>
      <c r="C6103" s="7" t="s">
        <v>6600</v>
      </c>
      <c r="D6103" s="7" t="s">
        <v>355</v>
      </c>
      <c r="E6103" s="7" t="s">
        <v>154</v>
      </c>
      <c r="F6103" s="39" t="n">
        <v>45943</v>
      </c>
      <c r="G6103" s="41" t="n">
        <v>95.66</v>
      </c>
      <c r="H6103" s="39" t="n">
        <v>46009</v>
      </c>
      <c r="I6103" s="7" t="s">
        <v>14651</v>
      </c>
      <c r="J6103" s="8" t="str">
        <f aca="false">IF(I6103="Open",DATE(2025,12,31)-F6103,"-")</f>
        <v>-</v>
      </c>
    </row>
    <row r="6104" customFormat="false" ht="15" hidden="false" customHeight="false" outlineLevel="0" collapsed="false">
      <c r="B6104" s="7" t="s">
        <v>20750</v>
      </c>
      <c r="C6104" s="7" t="s">
        <v>6601</v>
      </c>
      <c r="D6104" s="7" t="s">
        <v>357</v>
      </c>
      <c r="E6104" s="7" t="s">
        <v>154</v>
      </c>
      <c r="F6104" s="39" t="n">
        <v>45943</v>
      </c>
      <c r="G6104" s="41" t="n">
        <v>87.4</v>
      </c>
      <c r="H6104" s="39" t="n">
        <v>46015</v>
      </c>
      <c r="I6104" s="7" t="s">
        <v>14651</v>
      </c>
      <c r="J6104" s="8" t="str">
        <f aca="false">IF(I6104="Open",DATE(2025,12,31)-F6104,"-")</f>
        <v>-</v>
      </c>
    </row>
    <row r="6105" customFormat="false" ht="15" hidden="false" customHeight="false" outlineLevel="0" collapsed="false">
      <c r="B6105" s="7" t="s">
        <v>20751</v>
      </c>
      <c r="C6105" s="7" t="s">
        <v>6602</v>
      </c>
      <c r="D6105" s="7" t="s">
        <v>359</v>
      </c>
      <c r="E6105" s="7" t="s">
        <v>156</v>
      </c>
      <c r="F6105" s="39" t="n">
        <v>45943</v>
      </c>
      <c r="G6105" s="41" t="n">
        <v>146.54</v>
      </c>
      <c r="H6105" s="39" t="n">
        <v>45953</v>
      </c>
      <c r="I6105" s="7" t="s">
        <v>14651</v>
      </c>
      <c r="J6105" s="8" t="str">
        <f aca="false">IF(I6105="Open",DATE(2025,12,31)-F6105,"-")</f>
        <v>-</v>
      </c>
    </row>
    <row r="6106" customFormat="false" ht="15" hidden="false" customHeight="false" outlineLevel="0" collapsed="false">
      <c r="B6106" s="7" t="s">
        <v>20752</v>
      </c>
      <c r="C6106" s="7" t="s">
        <v>6603</v>
      </c>
      <c r="D6106" s="7" t="s">
        <v>363</v>
      </c>
      <c r="E6106" s="7" t="s">
        <v>156</v>
      </c>
      <c r="F6106" s="39" t="n">
        <v>45943</v>
      </c>
      <c r="G6106" s="41" t="n">
        <v>146.54</v>
      </c>
      <c r="H6106" s="39" t="n">
        <v>45961</v>
      </c>
      <c r="I6106" s="7" t="s">
        <v>14651</v>
      </c>
      <c r="J6106" s="8" t="str">
        <f aca="false">IF(I6106="Open",DATE(2025,12,31)-F6106,"-")</f>
        <v>-</v>
      </c>
    </row>
    <row r="6107" customFormat="false" ht="15" hidden="false" customHeight="false" outlineLevel="0" collapsed="false">
      <c r="B6107" s="7" t="s">
        <v>20753</v>
      </c>
      <c r="C6107" s="7" t="s">
        <v>6604</v>
      </c>
      <c r="D6107" s="7" t="s">
        <v>365</v>
      </c>
      <c r="E6107" s="7" t="s">
        <v>154</v>
      </c>
      <c r="F6107" s="39" t="n">
        <v>45943</v>
      </c>
      <c r="G6107" s="41" t="n">
        <v>114.48</v>
      </c>
      <c r="H6107" s="39" t="n">
        <v>45990</v>
      </c>
      <c r="I6107" s="7" t="s">
        <v>14651</v>
      </c>
      <c r="J6107" s="8" t="str">
        <f aca="false">IF(I6107="Open",DATE(2025,12,31)-F6107,"-")</f>
        <v>-</v>
      </c>
    </row>
    <row r="6108" customFormat="false" ht="15" hidden="false" customHeight="false" outlineLevel="0" collapsed="false">
      <c r="B6108" s="7" t="s">
        <v>20754</v>
      </c>
      <c r="C6108" s="7" t="s">
        <v>6605</v>
      </c>
      <c r="D6108" s="7" t="s">
        <v>371</v>
      </c>
      <c r="E6108" s="7" t="s">
        <v>154</v>
      </c>
      <c r="F6108" s="39" t="n">
        <v>45943</v>
      </c>
      <c r="G6108" s="41" t="n">
        <v>120.05</v>
      </c>
      <c r="H6108" s="39" t="n">
        <v>45976</v>
      </c>
      <c r="I6108" s="7" t="s">
        <v>14651</v>
      </c>
      <c r="J6108" s="8" t="str">
        <f aca="false">IF(I6108="Open",DATE(2025,12,31)-F6108,"-")</f>
        <v>-</v>
      </c>
    </row>
    <row r="6109" customFormat="false" ht="15" hidden="false" customHeight="false" outlineLevel="0" collapsed="false">
      <c r="B6109" s="7" t="s">
        <v>20755</v>
      </c>
      <c r="C6109" s="7" t="s">
        <v>6606</v>
      </c>
      <c r="D6109" s="7" t="s">
        <v>375</v>
      </c>
      <c r="E6109" s="7" t="s">
        <v>156</v>
      </c>
      <c r="F6109" s="39" t="n">
        <v>45943</v>
      </c>
      <c r="G6109" s="41" t="n">
        <v>95.2</v>
      </c>
      <c r="H6109" s="39" t="n">
        <v>45955</v>
      </c>
      <c r="I6109" s="7" t="s">
        <v>14651</v>
      </c>
      <c r="J6109" s="8" t="str">
        <f aca="false">IF(I6109="Open",DATE(2025,12,31)-F6109,"-")</f>
        <v>-</v>
      </c>
    </row>
    <row r="6110" customFormat="false" ht="15" hidden="false" customHeight="false" outlineLevel="0" collapsed="false">
      <c r="B6110" s="7" t="s">
        <v>20756</v>
      </c>
      <c r="C6110" s="7" t="s">
        <v>6607</v>
      </c>
      <c r="D6110" s="7" t="s">
        <v>379</v>
      </c>
      <c r="E6110" s="7" t="s">
        <v>156</v>
      </c>
      <c r="F6110" s="39" t="n">
        <v>45943</v>
      </c>
      <c r="G6110" s="41" t="n">
        <v>147.9</v>
      </c>
      <c r="H6110" s="39" t="n">
        <v>45958</v>
      </c>
      <c r="I6110" s="7" t="s">
        <v>14651</v>
      </c>
      <c r="J6110" s="8" t="str">
        <f aca="false">IF(I6110="Open",DATE(2025,12,31)-F6110,"-")</f>
        <v>-</v>
      </c>
    </row>
    <row r="6111" customFormat="false" ht="15" hidden="false" customHeight="false" outlineLevel="0" collapsed="false">
      <c r="B6111" s="7" t="s">
        <v>20757</v>
      </c>
      <c r="C6111" s="7" t="s">
        <v>6608</v>
      </c>
      <c r="D6111" s="7" t="s">
        <v>385</v>
      </c>
      <c r="E6111" s="7" t="s">
        <v>156</v>
      </c>
      <c r="F6111" s="39" t="n">
        <v>45943</v>
      </c>
      <c r="G6111" s="41" t="n">
        <v>148.24</v>
      </c>
      <c r="H6111" s="39" t="n">
        <v>45954</v>
      </c>
      <c r="I6111" s="7" t="s">
        <v>14651</v>
      </c>
      <c r="J6111" s="8" t="str">
        <f aca="false">IF(I6111="Open",DATE(2025,12,31)-F6111,"-")</f>
        <v>-</v>
      </c>
    </row>
    <row r="6112" customFormat="false" ht="15" hidden="false" customHeight="false" outlineLevel="0" collapsed="false">
      <c r="B6112" s="7" t="s">
        <v>20758</v>
      </c>
      <c r="C6112" s="7" t="s">
        <v>6609</v>
      </c>
      <c r="D6112" s="7" t="s">
        <v>387</v>
      </c>
      <c r="E6112" s="7" t="s">
        <v>154</v>
      </c>
      <c r="F6112" s="39" t="n">
        <v>45943</v>
      </c>
      <c r="G6112" s="41" t="n">
        <v>107.06</v>
      </c>
      <c r="H6112" s="39" t="n">
        <v>45993</v>
      </c>
      <c r="I6112" s="7" t="s">
        <v>14651</v>
      </c>
      <c r="J6112" s="8" t="str">
        <f aca="false">IF(I6112="Open",DATE(2025,12,31)-F6112,"-")</f>
        <v>-</v>
      </c>
    </row>
    <row r="6113" customFormat="false" ht="15" hidden="false" customHeight="false" outlineLevel="0" collapsed="false">
      <c r="B6113" s="7" t="s">
        <v>20759</v>
      </c>
      <c r="C6113" s="7" t="s">
        <v>6610</v>
      </c>
      <c r="D6113" s="7" t="s">
        <v>389</v>
      </c>
      <c r="E6113" s="7" t="s">
        <v>154</v>
      </c>
      <c r="F6113" s="39" t="n">
        <v>45943</v>
      </c>
      <c r="G6113" s="41" t="n">
        <v>108.65</v>
      </c>
      <c r="H6113" s="6" t="s">
        <v>182</v>
      </c>
      <c r="I6113" s="7" t="s">
        <v>19787</v>
      </c>
      <c r="J6113" s="8" t="n">
        <f aca="false">IF(I6113="Open",DATE(2025,12,31)-F6113,"-")</f>
        <v>79</v>
      </c>
    </row>
    <row r="6114" customFormat="false" ht="15" hidden="false" customHeight="false" outlineLevel="0" collapsed="false">
      <c r="B6114" s="7" t="s">
        <v>20760</v>
      </c>
      <c r="C6114" s="7" t="s">
        <v>6611</v>
      </c>
      <c r="D6114" s="7" t="s">
        <v>395</v>
      </c>
      <c r="E6114" s="7" t="s">
        <v>156</v>
      </c>
      <c r="F6114" s="39" t="n">
        <v>45943</v>
      </c>
      <c r="G6114" s="41" t="n">
        <v>145.86</v>
      </c>
      <c r="H6114" s="39" t="n">
        <v>45950</v>
      </c>
      <c r="I6114" s="7" t="s">
        <v>14651</v>
      </c>
      <c r="J6114" s="8" t="str">
        <f aca="false">IF(I6114="Open",DATE(2025,12,31)-F6114,"-")</f>
        <v>-</v>
      </c>
    </row>
    <row r="6115" customFormat="false" ht="15" hidden="false" customHeight="false" outlineLevel="0" collapsed="false">
      <c r="B6115" s="7" t="s">
        <v>20761</v>
      </c>
      <c r="C6115" s="7" t="s">
        <v>6612</v>
      </c>
      <c r="D6115" s="7" t="s">
        <v>399</v>
      </c>
      <c r="E6115" s="7" t="s">
        <v>154</v>
      </c>
      <c r="F6115" s="39" t="n">
        <v>45943</v>
      </c>
      <c r="G6115" s="41" t="n">
        <v>78.15</v>
      </c>
      <c r="H6115" s="39" t="n">
        <v>46010</v>
      </c>
      <c r="I6115" s="7" t="s">
        <v>14651</v>
      </c>
      <c r="J6115" s="8" t="str">
        <f aca="false">IF(I6115="Open",DATE(2025,12,31)-F6115,"-")</f>
        <v>-</v>
      </c>
    </row>
    <row r="6116" customFormat="false" ht="15" hidden="false" customHeight="false" outlineLevel="0" collapsed="false">
      <c r="B6116" s="7" t="s">
        <v>20762</v>
      </c>
      <c r="C6116" s="7" t="s">
        <v>6613</v>
      </c>
      <c r="D6116" s="7" t="s">
        <v>403</v>
      </c>
      <c r="E6116" s="7" t="s">
        <v>156</v>
      </c>
      <c r="F6116" s="39" t="n">
        <v>45943</v>
      </c>
      <c r="G6116" s="41" t="n">
        <v>125.8</v>
      </c>
      <c r="H6116" s="39" t="n">
        <v>45961</v>
      </c>
      <c r="I6116" s="7" t="s">
        <v>14651</v>
      </c>
      <c r="J6116" s="8" t="str">
        <f aca="false">IF(I6116="Open",DATE(2025,12,31)-F6116,"-")</f>
        <v>-</v>
      </c>
    </row>
    <row r="6117" customFormat="false" ht="15" hidden="false" customHeight="false" outlineLevel="0" collapsed="false">
      <c r="B6117" s="7" t="s">
        <v>20763</v>
      </c>
      <c r="C6117" s="7" t="s">
        <v>6614</v>
      </c>
      <c r="D6117" s="7" t="s">
        <v>409</v>
      </c>
      <c r="E6117" s="7" t="s">
        <v>154</v>
      </c>
      <c r="F6117" s="39" t="n">
        <v>45943</v>
      </c>
      <c r="G6117" s="41" t="n">
        <v>81.09</v>
      </c>
      <c r="H6117" s="39" t="n">
        <v>45999</v>
      </c>
      <c r="I6117" s="7" t="s">
        <v>14651</v>
      </c>
      <c r="J6117" s="8" t="str">
        <f aca="false">IF(I6117="Open",DATE(2025,12,31)-F6117,"-")</f>
        <v>-</v>
      </c>
    </row>
    <row r="6118" customFormat="false" ht="15" hidden="false" customHeight="false" outlineLevel="0" collapsed="false">
      <c r="B6118" s="7" t="s">
        <v>20764</v>
      </c>
      <c r="C6118" s="7" t="s">
        <v>6615</v>
      </c>
      <c r="D6118" s="7" t="s">
        <v>411</v>
      </c>
      <c r="E6118" s="7" t="s">
        <v>154</v>
      </c>
      <c r="F6118" s="39" t="n">
        <v>45943</v>
      </c>
      <c r="G6118" s="41" t="n">
        <v>133.82</v>
      </c>
      <c r="H6118" s="39" t="n">
        <v>46003</v>
      </c>
      <c r="I6118" s="7" t="s">
        <v>14651</v>
      </c>
      <c r="J6118" s="8" t="str">
        <f aca="false">IF(I6118="Open",DATE(2025,12,31)-F6118,"-")</f>
        <v>-</v>
      </c>
    </row>
    <row r="6119" customFormat="false" ht="15" hidden="false" customHeight="false" outlineLevel="0" collapsed="false">
      <c r="B6119" s="7" t="s">
        <v>20765</v>
      </c>
      <c r="C6119" s="7" t="s">
        <v>6616</v>
      </c>
      <c r="D6119" s="7" t="s">
        <v>288</v>
      </c>
      <c r="E6119" s="7" t="s">
        <v>156</v>
      </c>
      <c r="F6119" s="39" t="n">
        <v>45944</v>
      </c>
      <c r="G6119" s="41" t="n">
        <v>137.7</v>
      </c>
      <c r="H6119" s="39" t="n">
        <v>45952</v>
      </c>
      <c r="I6119" s="7" t="s">
        <v>14651</v>
      </c>
      <c r="J6119" s="8" t="str">
        <f aca="false">IF(I6119="Open",DATE(2025,12,31)-F6119,"-")</f>
        <v>-</v>
      </c>
    </row>
    <row r="6120" customFormat="false" ht="15" hidden="false" customHeight="false" outlineLevel="0" collapsed="false">
      <c r="B6120" s="7" t="s">
        <v>20766</v>
      </c>
      <c r="C6120" s="7" t="s">
        <v>6617</v>
      </c>
      <c r="D6120" s="7" t="s">
        <v>293</v>
      </c>
      <c r="E6120" s="7" t="s">
        <v>157</v>
      </c>
      <c r="F6120" s="39" t="n">
        <v>45944</v>
      </c>
      <c r="G6120" s="41" t="n">
        <v>151.8</v>
      </c>
      <c r="H6120" s="39" t="n">
        <v>46021</v>
      </c>
      <c r="I6120" s="7" t="s">
        <v>14651</v>
      </c>
      <c r="J6120" s="8" t="str">
        <f aca="false">IF(I6120="Open",DATE(2025,12,31)-F6120,"-")</f>
        <v>-</v>
      </c>
    </row>
    <row r="6121" customFormat="false" ht="15" hidden="false" customHeight="false" outlineLevel="0" collapsed="false">
      <c r="B6121" s="7" t="s">
        <v>20767</v>
      </c>
      <c r="C6121" s="7" t="s">
        <v>6618</v>
      </c>
      <c r="D6121" s="7" t="s">
        <v>301</v>
      </c>
      <c r="E6121" s="7" t="s">
        <v>157</v>
      </c>
      <c r="F6121" s="39" t="n">
        <v>45944</v>
      </c>
      <c r="G6121" s="41" t="n">
        <v>170.77</v>
      </c>
      <c r="H6121" s="39" t="n">
        <v>45975</v>
      </c>
      <c r="I6121" s="7" t="s">
        <v>14651</v>
      </c>
      <c r="J6121" s="8" t="str">
        <f aca="false">IF(I6121="Open",DATE(2025,12,31)-F6121,"-")</f>
        <v>-</v>
      </c>
    </row>
    <row r="6122" customFormat="false" ht="15" hidden="false" customHeight="false" outlineLevel="0" collapsed="false">
      <c r="B6122" s="7" t="s">
        <v>20768</v>
      </c>
      <c r="C6122" s="7" t="s">
        <v>6619</v>
      </c>
      <c r="D6122" s="7" t="s">
        <v>313</v>
      </c>
      <c r="E6122" s="7" t="s">
        <v>156</v>
      </c>
      <c r="F6122" s="39" t="n">
        <v>45944</v>
      </c>
      <c r="G6122" s="41" t="n">
        <v>142.46</v>
      </c>
      <c r="H6122" s="39" t="n">
        <v>45950</v>
      </c>
      <c r="I6122" s="7" t="s">
        <v>14651</v>
      </c>
      <c r="J6122" s="8" t="str">
        <f aca="false">IF(I6122="Open",DATE(2025,12,31)-F6122,"-")</f>
        <v>-</v>
      </c>
    </row>
    <row r="6123" customFormat="false" ht="15" hidden="false" customHeight="false" outlineLevel="0" collapsed="false">
      <c r="B6123" s="7" t="s">
        <v>20769</v>
      </c>
      <c r="C6123" s="7" t="s">
        <v>6620</v>
      </c>
      <c r="D6123" s="7" t="s">
        <v>319</v>
      </c>
      <c r="E6123" s="7" t="s">
        <v>157</v>
      </c>
      <c r="F6123" s="39" t="n">
        <v>45944</v>
      </c>
      <c r="G6123" s="41" t="n">
        <v>179.85</v>
      </c>
      <c r="H6123" s="39" t="n">
        <v>46004</v>
      </c>
      <c r="I6123" s="7" t="s">
        <v>14651</v>
      </c>
      <c r="J6123" s="8" t="str">
        <f aca="false">IF(I6123="Open",DATE(2025,12,31)-F6123,"-")</f>
        <v>-</v>
      </c>
    </row>
    <row r="6124" customFormat="false" ht="15" hidden="false" customHeight="false" outlineLevel="0" collapsed="false">
      <c r="B6124" s="7" t="s">
        <v>20770</v>
      </c>
      <c r="C6124" s="7" t="s">
        <v>6621</v>
      </c>
      <c r="D6124" s="7" t="s">
        <v>321</v>
      </c>
      <c r="E6124" s="7" t="s">
        <v>154</v>
      </c>
      <c r="F6124" s="39" t="n">
        <v>45944</v>
      </c>
      <c r="G6124" s="41" t="n">
        <v>116.07</v>
      </c>
      <c r="H6124" s="39" t="n">
        <v>46000</v>
      </c>
      <c r="I6124" s="7" t="s">
        <v>14651</v>
      </c>
      <c r="J6124" s="8" t="str">
        <f aca="false">IF(I6124="Open",DATE(2025,12,31)-F6124,"-")</f>
        <v>-</v>
      </c>
    </row>
    <row r="6125" customFormat="false" ht="15" hidden="false" customHeight="false" outlineLevel="0" collapsed="false">
      <c r="B6125" s="7" t="s">
        <v>20771</v>
      </c>
      <c r="C6125" s="7" t="s">
        <v>6622</v>
      </c>
      <c r="D6125" s="7" t="s">
        <v>323</v>
      </c>
      <c r="E6125" s="7" t="s">
        <v>159</v>
      </c>
      <c r="F6125" s="39" t="n">
        <v>45944</v>
      </c>
      <c r="G6125" s="41" t="n">
        <v>122.85</v>
      </c>
      <c r="H6125" s="39" t="n">
        <v>45991</v>
      </c>
      <c r="I6125" s="7" t="s">
        <v>14651</v>
      </c>
      <c r="J6125" s="8" t="str">
        <f aca="false">IF(I6125="Open",DATE(2025,12,31)-F6125,"-")</f>
        <v>-</v>
      </c>
    </row>
    <row r="6126" customFormat="false" ht="15" hidden="false" customHeight="false" outlineLevel="0" collapsed="false">
      <c r="B6126" s="7" t="s">
        <v>20772</v>
      </c>
      <c r="C6126" s="7" t="s">
        <v>6623</v>
      </c>
      <c r="D6126" s="7" t="s">
        <v>327</v>
      </c>
      <c r="E6126" s="7" t="s">
        <v>157</v>
      </c>
      <c r="F6126" s="39" t="n">
        <v>45944</v>
      </c>
      <c r="G6126" s="41" t="n">
        <v>153.45</v>
      </c>
      <c r="H6126" s="39" t="n">
        <v>45957</v>
      </c>
      <c r="I6126" s="7" t="s">
        <v>14651</v>
      </c>
      <c r="J6126" s="8" t="str">
        <f aca="false">IF(I6126="Open",DATE(2025,12,31)-F6126,"-")</f>
        <v>-</v>
      </c>
    </row>
    <row r="6127" customFormat="false" ht="15" hidden="false" customHeight="false" outlineLevel="0" collapsed="false">
      <c r="B6127" s="7" t="s">
        <v>20773</v>
      </c>
      <c r="C6127" s="7" t="s">
        <v>6624</v>
      </c>
      <c r="D6127" s="7" t="s">
        <v>329</v>
      </c>
      <c r="E6127" s="7" t="s">
        <v>156</v>
      </c>
      <c r="F6127" s="39" t="n">
        <v>45944</v>
      </c>
      <c r="G6127" s="41" t="n">
        <v>145.52</v>
      </c>
      <c r="H6127" s="39" t="n">
        <v>45946</v>
      </c>
      <c r="I6127" s="7" t="s">
        <v>14651</v>
      </c>
      <c r="J6127" s="8" t="str">
        <f aca="false">IF(I6127="Open",DATE(2025,12,31)-F6127,"-")</f>
        <v>-</v>
      </c>
    </row>
    <row r="6128" customFormat="false" ht="15" hidden="false" customHeight="false" outlineLevel="0" collapsed="false">
      <c r="B6128" s="7" t="s">
        <v>20774</v>
      </c>
      <c r="C6128" s="7" t="s">
        <v>6625</v>
      </c>
      <c r="D6128" s="7" t="s">
        <v>349</v>
      </c>
      <c r="E6128" s="7" t="s">
        <v>154</v>
      </c>
      <c r="F6128" s="39" t="n">
        <v>45944</v>
      </c>
      <c r="G6128" s="41" t="n">
        <v>95.93</v>
      </c>
      <c r="H6128" s="39" t="n">
        <v>46012</v>
      </c>
      <c r="I6128" s="7" t="s">
        <v>14651</v>
      </c>
      <c r="J6128" s="8" t="str">
        <f aca="false">IF(I6128="Open",DATE(2025,12,31)-F6128,"-")</f>
        <v>-</v>
      </c>
    </row>
    <row r="6129" customFormat="false" ht="15" hidden="false" customHeight="false" outlineLevel="0" collapsed="false">
      <c r="B6129" s="7" t="s">
        <v>20775</v>
      </c>
      <c r="C6129" s="7" t="s">
        <v>6626</v>
      </c>
      <c r="D6129" s="7" t="s">
        <v>359</v>
      </c>
      <c r="E6129" s="7" t="s">
        <v>156</v>
      </c>
      <c r="F6129" s="39" t="n">
        <v>45944</v>
      </c>
      <c r="G6129" s="41" t="n">
        <v>122.74</v>
      </c>
      <c r="H6129" s="39" t="n">
        <v>45952</v>
      </c>
      <c r="I6129" s="7" t="s">
        <v>14651</v>
      </c>
      <c r="J6129" s="8" t="str">
        <f aca="false">IF(I6129="Open",DATE(2025,12,31)-F6129,"-")</f>
        <v>-</v>
      </c>
    </row>
    <row r="6130" customFormat="false" ht="15" hidden="false" customHeight="false" outlineLevel="0" collapsed="false">
      <c r="B6130" s="7" t="s">
        <v>20776</v>
      </c>
      <c r="C6130" s="7" t="s">
        <v>6627</v>
      </c>
      <c r="D6130" s="7" t="s">
        <v>361</v>
      </c>
      <c r="E6130" s="7" t="s">
        <v>157</v>
      </c>
      <c r="F6130" s="39" t="n">
        <v>45944</v>
      </c>
      <c r="G6130" s="41" t="n">
        <v>158.4</v>
      </c>
      <c r="H6130" s="39" t="n">
        <v>45966</v>
      </c>
      <c r="I6130" s="7" t="s">
        <v>14651</v>
      </c>
      <c r="J6130" s="8" t="str">
        <f aca="false">IF(I6130="Open",DATE(2025,12,31)-F6130,"-")</f>
        <v>-</v>
      </c>
    </row>
    <row r="6131" customFormat="false" ht="15" hidden="false" customHeight="false" outlineLevel="0" collapsed="false">
      <c r="B6131" s="7" t="s">
        <v>20777</v>
      </c>
      <c r="C6131" s="7" t="s">
        <v>6628</v>
      </c>
      <c r="D6131" s="7" t="s">
        <v>365</v>
      </c>
      <c r="E6131" s="7" t="s">
        <v>154</v>
      </c>
      <c r="F6131" s="39" t="n">
        <v>45944</v>
      </c>
      <c r="G6131" s="41" t="n">
        <v>99.75</v>
      </c>
      <c r="H6131" s="39" t="n">
        <v>45989</v>
      </c>
      <c r="I6131" s="7" t="s">
        <v>14651</v>
      </c>
      <c r="J6131" s="8" t="str">
        <f aca="false">IF(I6131="Open",DATE(2025,12,31)-F6131,"-")</f>
        <v>-</v>
      </c>
    </row>
    <row r="6132" customFormat="false" ht="15" hidden="false" customHeight="false" outlineLevel="0" collapsed="false">
      <c r="B6132" s="7" t="s">
        <v>20778</v>
      </c>
      <c r="C6132" s="7" t="s">
        <v>6629</v>
      </c>
      <c r="D6132" s="7" t="s">
        <v>369</v>
      </c>
      <c r="E6132" s="7" t="s">
        <v>159</v>
      </c>
      <c r="F6132" s="39" t="n">
        <v>45944</v>
      </c>
      <c r="G6132" s="41" t="n">
        <v>148.5</v>
      </c>
      <c r="H6132" s="39" t="n">
        <v>46014</v>
      </c>
      <c r="I6132" s="7" t="s">
        <v>14651</v>
      </c>
      <c r="J6132" s="8" t="str">
        <f aca="false">IF(I6132="Open",DATE(2025,12,31)-F6132,"-")</f>
        <v>-</v>
      </c>
    </row>
    <row r="6133" customFormat="false" ht="15" hidden="false" customHeight="false" outlineLevel="0" collapsed="false">
      <c r="B6133" s="7" t="s">
        <v>20779</v>
      </c>
      <c r="C6133" s="7" t="s">
        <v>6630</v>
      </c>
      <c r="D6133" s="7" t="s">
        <v>381</v>
      </c>
      <c r="E6133" s="7" t="s">
        <v>157</v>
      </c>
      <c r="F6133" s="39" t="n">
        <v>45944</v>
      </c>
      <c r="G6133" s="41" t="n">
        <v>158.4</v>
      </c>
      <c r="H6133" s="39" t="n">
        <v>45992</v>
      </c>
      <c r="I6133" s="7" t="s">
        <v>14651</v>
      </c>
      <c r="J6133" s="8" t="str">
        <f aca="false">IF(I6133="Open",DATE(2025,12,31)-F6133,"-")</f>
        <v>-</v>
      </c>
    </row>
    <row r="6134" customFormat="false" ht="15" hidden="false" customHeight="false" outlineLevel="0" collapsed="false">
      <c r="B6134" s="7" t="s">
        <v>20780</v>
      </c>
      <c r="C6134" s="7" t="s">
        <v>6631</v>
      </c>
      <c r="D6134" s="7" t="s">
        <v>383</v>
      </c>
      <c r="E6134" s="7" t="s">
        <v>157</v>
      </c>
      <c r="F6134" s="39" t="n">
        <v>45944</v>
      </c>
      <c r="G6134" s="41" t="n">
        <v>176.55</v>
      </c>
      <c r="H6134" s="39" t="n">
        <v>45990</v>
      </c>
      <c r="I6134" s="7" t="s">
        <v>14651</v>
      </c>
      <c r="J6134" s="8" t="str">
        <f aca="false">IF(I6134="Open",DATE(2025,12,31)-F6134,"-")</f>
        <v>-</v>
      </c>
    </row>
    <row r="6135" customFormat="false" ht="15" hidden="false" customHeight="false" outlineLevel="0" collapsed="false">
      <c r="B6135" s="7" t="s">
        <v>20781</v>
      </c>
      <c r="C6135" s="7" t="s">
        <v>6632</v>
      </c>
      <c r="D6135" s="7" t="s">
        <v>389</v>
      </c>
      <c r="E6135" s="7" t="s">
        <v>154</v>
      </c>
      <c r="F6135" s="39" t="n">
        <v>45944</v>
      </c>
      <c r="G6135" s="41" t="n">
        <v>113.42</v>
      </c>
      <c r="H6135" s="6" t="s">
        <v>182</v>
      </c>
      <c r="I6135" s="7" t="s">
        <v>19787</v>
      </c>
      <c r="J6135" s="8" t="n">
        <f aca="false">IF(I6135="Open",DATE(2025,12,31)-F6135,"-")</f>
        <v>78</v>
      </c>
    </row>
    <row r="6136" customFormat="false" ht="15" hidden="false" customHeight="false" outlineLevel="0" collapsed="false">
      <c r="B6136" s="7" t="s">
        <v>20782</v>
      </c>
      <c r="C6136" s="7" t="s">
        <v>6633</v>
      </c>
      <c r="D6136" s="7" t="s">
        <v>391</v>
      </c>
      <c r="E6136" s="7" t="s">
        <v>156</v>
      </c>
      <c r="F6136" s="39" t="n">
        <v>45944</v>
      </c>
      <c r="G6136" s="41" t="n">
        <v>131.92</v>
      </c>
      <c r="H6136" s="39" t="n">
        <v>45960</v>
      </c>
      <c r="I6136" s="7" t="s">
        <v>14651</v>
      </c>
      <c r="J6136" s="8" t="str">
        <f aca="false">IF(I6136="Open",DATE(2025,12,31)-F6136,"-")</f>
        <v>-</v>
      </c>
    </row>
    <row r="6137" customFormat="false" ht="15" hidden="false" customHeight="false" outlineLevel="0" collapsed="false">
      <c r="B6137" s="7" t="s">
        <v>20783</v>
      </c>
      <c r="C6137" s="7" t="s">
        <v>6634</v>
      </c>
      <c r="D6137" s="7" t="s">
        <v>395</v>
      </c>
      <c r="E6137" s="7" t="s">
        <v>156</v>
      </c>
      <c r="F6137" s="39" t="n">
        <v>45944</v>
      </c>
      <c r="G6137" s="41" t="n">
        <v>126.48</v>
      </c>
      <c r="H6137" s="39" t="n">
        <v>45954</v>
      </c>
      <c r="I6137" s="7" t="s">
        <v>14651</v>
      </c>
      <c r="J6137" s="8" t="str">
        <f aca="false">IF(I6137="Open",DATE(2025,12,31)-F6137,"-")</f>
        <v>-</v>
      </c>
    </row>
    <row r="6138" customFormat="false" ht="15" hidden="false" customHeight="false" outlineLevel="0" collapsed="false">
      <c r="B6138" s="7" t="s">
        <v>20784</v>
      </c>
      <c r="C6138" s="7" t="s">
        <v>6635</v>
      </c>
      <c r="D6138" s="7" t="s">
        <v>397</v>
      </c>
      <c r="E6138" s="7" t="s">
        <v>159</v>
      </c>
      <c r="F6138" s="39" t="n">
        <v>45944</v>
      </c>
      <c r="G6138" s="41" t="n">
        <v>147.15</v>
      </c>
      <c r="H6138" s="39" t="n">
        <v>45993</v>
      </c>
      <c r="I6138" s="7" t="s">
        <v>14651</v>
      </c>
      <c r="J6138" s="8" t="str">
        <f aca="false">IF(I6138="Open",DATE(2025,12,31)-F6138,"-")</f>
        <v>-</v>
      </c>
    </row>
    <row r="6139" customFormat="false" ht="15" hidden="false" customHeight="false" outlineLevel="0" collapsed="false">
      <c r="B6139" s="7" t="s">
        <v>20785</v>
      </c>
      <c r="C6139" s="7" t="s">
        <v>6636</v>
      </c>
      <c r="D6139" s="7" t="s">
        <v>401</v>
      </c>
      <c r="E6139" s="7" t="s">
        <v>156</v>
      </c>
      <c r="F6139" s="39" t="n">
        <v>45944</v>
      </c>
      <c r="G6139" s="41" t="n">
        <v>149.6</v>
      </c>
      <c r="H6139" s="39" t="n">
        <v>45955</v>
      </c>
      <c r="I6139" s="7" t="s">
        <v>14651</v>
      </c>
      <c r="J6139" s="8" t="str">
        <f aca="false">IF(I6139="Open",DATE(2025,12,31)-F6139,"-")</f>
        <v>-</v>
      </c>
    </row>
    <row r="6140" customFormat="false" ht="15" hidden="false" customHeight="false" outlineLevel="0" collapsed="false">
      <c r="B6140" s="7" t="s">
        <v>20786</v>
      </c>
      <c r="C6140" s="7" t="s">
        <v>6637</v>
      </c>
      <c r="D6140" s="7" t="s">
        <v>407</v>
      </c>
      <c r="E6140" s="7" t="s">
        <v>159</v>
      </c>
      <c r="F6140" s="39" t="n">
        <v>45944</v>
      </c>
      <c r="G6140" s="41" t="n">
        <v>144.45</v>
      </c>
      <c r="H6140" s="39" t="n">
        <v>45964</v>
      </c>
      <c r="I6140" s="7" t="s">
        <v>14651</v>
      </c>
      <c r="J6140" s="8" t="str">
        <f aca="false">IF(I6140="Open",DATE(2025,12,31)-F6140,"-")</f>
        <v>-</v>
      </c>
    </row>
    <row r="6141" customFormat="false" ht="15" hidden="false" customHeight="false" outlineLevel="0" collapsed="false">
      <c r="B6141" s="7" t="s">
        <v>20787</v>
      </c>
      <c r="C6141" s="7" t="s">
        <v>6638</v>
      </c>
      <c r="D6141" s="7" t="s">
        <v>288</v>
      </c>
      <c r="E6141" s="7" t="s">
        <v>156</v>
      </c>
      <c r="F6141" s="39" t="n">
        <v>45945</v>
      </c>
      <c r="G6141" s="41" t="n">
        <v>135.32</v>
      </c>
      <c r="H6141" s="39" t="n">
        <v>45956</v>
      </c>
      <c r="I6141" s="7" t="s">
        <v>14651</v>
      </c>
      <c r="J6141" s="8" t="str">
        <f aca="false">IF(I6141="Open",DATE(2025,12,31)-F6141,"-")</f>
        <v>-</v>
      </c>
    </row>
    <row r="6142" customFormat="false" ht="15" hidden="false" customHeight="false" outlineLevel="0" collapsed="false">
      <c r="B6142" s="7" t="s">
        <v>20788</v>
      </c>
      <c r="C6142" s="7" t="s">
        <v>6639</v>
      </c>
      <c r="D6142" s="7" t="s">
        <v>291</v>
      </c>
      <c r="E6142" s="7" t="s">
        <v>154</v>
      </c>
      <c r="F6142" s="39" t="n">
        <v>45945</v>
      </c>
      <c r="G6142" s="41" t="n">
        <v>123.38</v>
      </c>
      <c r="H6142" s="39" t="n">
        <v>45991</v>
      </c>
      <c r="I6142" s="7" t="s">
        <v>14651</v>
      </c>
      <c r="J6142" s="8" t="str">
        <f aca="false">IF(I6142="Open",DATE(2025,12,31)-F6142,"-")</f>
        <v>-</v>
      </c>
    </row>
    <row r="6143" customFormat="false" ht="15" hidden="false" customHeight="false" outlineLevel="0" collapsed="false">
      <c r="B6143" s="7" t="s">
        <v>20789</v>
      </c>
      <c r="C6143" s="7" t="s">
        <v>6640</v>
      </c>
      <c r="D6143" s="7" t="s">
        <v>295</v>
      </c>
      <c r="E6143" s="7" t="s">
        <v>154</v>
      </c>
      <c r="F6143" s="39" t="n">
        <v>45945</v>
      </c>
      <c r="G6143" s="41" t="n">
        <v>116.07</v>
      </c>
      <c r="H6143" s="6" t="s">
        <v>182</v>
      </c>
      <c r="I6143" s="7" t="s">
        <v>19787</v>
      </c>
      <c r="J6143" s="8" t="n">
        <f aca="false">IF(I6143="Open",DATE(2025,12,31)-F6143,"-")</f>
        <v>77</v>
      </c>
    </row>
    <row r="6144" customFormat="false" ht="15" hidden="false" customHeight="false" outlineLevel="0" collapsed="false">
      <c r="B6144" s="7" t="s">
        <v>20790</v>
      </c>
      <c r="C6144" s="7" t="s">
        <v>6641</v>
      </c>
      <c r="D6144" s="7" t="s">
        <v>305</v>
      </c>
      <c r="E6144" s="7" t="s">
        <v>154</v>
      </c>
      <c r="F6144" s="39" t="n">
        <v>45945</v>
      </c>
      <c r="G6144" s="41" t="n">
        <v>106</v>
      </c>
      <c r="H6144" s="39" t="n">
        <v>46010</v>
      </c>
      <c r="I6144" s="7" t="s">
        <v>14651</v>
      </c>
      <c r="J6144" s="8" t="str">
        <f aca="false">IF(I6144="Open",DATE(2025,12,31)-F6144,"-")</f>
        <v>-</v>
      </c>
    </row>
    <row r="6145" customFormat="false" ht="15" hidden="false" customHeight="false" outlineLevel="0" collapsed="false">
      <c r="B6145" s="7" t="s">
        <v>20791</v>
      </c>
      <c r="C6145" s="7" t="s">
        <v>6642</v>
      </c>
      <c r="D6145" s="7" t="s">
        <v>307</v>
      </c>
      <c r="E6145" s="7" t="s">
        <v>157</v>
      </c>
      <c r="F6145" s="39" t="n">
        <v>45945</v>
      </c>
      <c r="G6145" s="41" t="n">
        <v>153.45</v>
      </c>
      <c r="H6145" s="39" t="n">
        <v>45992</v>
      </c>
      <c r="I6145" s="7" t="s">
        <v>14651</v>
      </c>
      <c r="J6145" s="8" t="str">
        <f aca="false">IF(I6145="Open",DATE(2025,12,31)-F6145,"-")</f>
        <v>-</v>
      </c>
    </row>
    <row r="6146" customFormat="false" ht="15" hidden="false" customHeight="false" outlineLevel="0" collapsed="false">
      <c r="B6146" s="7" t="s">
        <v>20792</v>
      </c>
      <c r="C6146" s="7" t="s">
        <v>6643</v>
      </c>
      <c r="D6146" s="7" t="s">
        <v>309</v>
      </c>
      <c r="E6146" s="7" t="s">
        <v>159</v>
      </c>
      <c r="F6146" s="39" t="n">
        <v>45945</v>
      </c>
      <c r="G6146" s="41" t="n">
        <v>143.1</v>
      </c>
      <c r="H6146" s="39" t="n">
        <v>45984</v>
      </c>
      <c r="I6146" s="7" t="s">
        <v>14651</v>
      </c>
      <c r="J6146" s="8" t="str">
        <f aca="false">IF(I6146="Open",DATE(2025,12,31)-F6146,"-")</f>
        <v>-</v>
      </c>
    </row>
    <row r="6147" customFormat="false" ht="15" hidden="false" customHeight="false" outlineLevel="0" collapsed="false">
      <c r="B6147" s="7" t="s">
        <v>20793</v>
      </c>
      <c r="C6147" s="7" t="s">
        <v>6644</v>
      </c>
      <c r="D6147" s="7" t="s">
        <v>313</v>
      </c>
      <c r="E6147" s="7" t="s">
        <v>156</v>
      </c>
      <c r="F6147" s="39" t="n">
        <v>45945</v>
      </c>
      <c r="G6147" s="41" t="n">
        <v>133.96</v>
      </c>
      <c r="H6147" s="39" t="n">
        <v>45959</v>
      </c>
      <c r="I6147" s="7" t="s">
        <v>14651</v>
      </c>
      <c r="J6147" s="8" t="str">
        <f aca="false">IF(I6147="Open",DATE(2025,12,31)-F6147,"-")</f>
        <v>-</v>
      </c>
    </row>
    <row r="6148" customFormat="false" ht="15" hidden="false" customHeight="false" outlineLevel="0" collapsed="false">
      <c r="B6148" s="7" t="s">
        <v>20794</v>
      </c>
      <c r="C6148" s="7" t="s">
        <v>6645</v>
      </c>
      <c r="D6148" s="7" t="s">
        <v>315</v>
      </c>
      <c r="E6148" s="7" t="s">
        <v>159</v>
      </c>
      <c r="F6148" s="39" t="n">
        <v>45945</v>
      </c>
      <c r="G6148" s="41" t="n">
        <v>116.78</v>
      </c>
      <c r="H6148" s="39" t="n">
        <v>45984</v>
      </c>
      <c r="I6148" s="7" t="s">
        <v>14651</v>
      </c>
      <c r="J6148" s="8" t="str">
        <f aca="false">IF(I6148="Open",DATE(2025,12,31)-F6148,"-")</f>
        <v>-</v>
      </c>
    </row>
    <row r="6149" customFormat="false" ht="15" hidden="false" customHeight="false" outlineLevel="0" collapsed="false">
      <c r="B6149" s="7" t="s">
        <v>20795</v>
      </c>
      <c r="C6149" s="7" t="s">
        <v>6646</v>
      </c>
      <c r="D6149" s="7" t="s">
        <v>321</v>
      </c>
      <c r="E6149" s="7" t="s">
        <v>154</v>
      </c>
      <c r="F6149" s="39" t="n">
        <v>45945</v>
      </c>
      <c r="G6149" s="41" t="n">
        <v>112.1</v>
      </c>
      <c r="H6149" s="39" t="n">
        <v>45980</v>
      </c>
      <c r="I6149" s="7" t="s">
        <v>14651</v>
      </c>
      <c r="J6149" s="8" t="str">
        <f aca="false">IF(I6149="Open",DATE(2025,12,31)-F6149,"-")</f>
        <v>-</v>
      </c>
    </row>
    <row r="6150" customFormat="false" ht="15" hidden="false" customHeight="false" outlineLevel="0" collapsed="false">
      <c r="B6150" s="7" t="s">
        <v>20796</v>
      </c>
      <c r="C6150" s="7" t="s">
        <v>6647</v>
      </c>
      <c r="D6150" s="7" t="s">
        <v>329</v>
      </c>
      <c r="E6150" s="7" t="s">
        <v>156</v>
      </c>
      <c r="F6150" s="39" t="n">
        <v>45945</v>
      </c>
      <c r="G6150" s="41" t="n">
        <v>142.46</v>
      </c>
      <c r="H6150" s="39" t="n">
        <v>45955</v>
      </c>
      <c r="I6150" s="7" t="s">
        <v>14651</v>
      </c>
      <c r="J6150" s="8" t="str">
        <f aca="false">IF(I6150="Open",DATE(2025,12,31)-F6150,"-")</f>
        <v>-</v>
      </c>
    </row>
    <row r="6151" customFormat="false" ht="15" hidden="false" customHeight="false" outlineLevel="0" collapsed="false">
      <c r="B6151" s="7" t="s">
        <v>20797</v>
      </c>
      <c r="C6151" s="7" t="s">
        <v>6648</v>
      </c>
      <c r="D6151" s="7" t="s">
        <v>333</v>
      </c>
      <c r="E6151" s="7" t="s">
        <v>154</v>
      </c>
      <c r="F6151" s="39" t="n">
        <v>45945</v>
      </c>
      <c r="G6151" s="41" t="n">
        <v>89.57</v>
      </c>
      <c r="H6151" s="6" t="s">
        <v>182</v>
      </c>
      <c r="I6151" s="7" t="s">
        <v>19787</v>
      </c>
      <c r="J6151" s="8" t="n">
        <f aca="false">IF(I6151="Open",DATE(2025,12,31)-F6151,"-")</f>
        <v>77</v>
      </c>
    </row>
    <row r="6152" customFormat="false" ht="15" hidden="false" customHeight="false" outlineLevel="0" collapsed="false">
      <c r="B6152" s="7" t="s">
        <v>20798</v>
      </c>
      <c r="C6152" s="7" t="s">
        <v>6649</v>
      </c>
      <c r="D6152" s="7" t="s">
        <v>335</v>
      </c>
      <c r="E6152" s="7" t="s">
        <v>154</v>
      </c>
      <c r="F6152" s="39" t="n">
        <v>45945</v>
      </c>
      <c r="G6152" s="41" t="n">
        <v>109.44</v>
      </c>
      <c r="H6152" s="39" t="n">
        <v>45999</v>
      </c>
      <c r="I6152" s="7" t="s">
        <v>14651</v>
      </c>
      <c r="J6152" s="8" t="str">
        <f aca="false">IF(I6152="Open",DATE(2025,12,31)-F6152,"-")</f>
        <v>-</v>
      </c>
    </row>
    <row r="6153" customFormat="false" ht="15" hidden="false" customHeight="false" outlineLevel="0" collapsed="false">
      <c r="B6153" s="7" t="s">
        <v>20799</v>
      </c>
      <c r="C6153" s="7" t="s">
        <v>6650</v>
      </c>
      <c r="D6153" s="7" t="s">
        <v>339</v>
      </c>
      <c r="E6153" s="7" t="s">
        <v>154</v>
      </c>
      <c r="F6153" s="39" t="n">
        <v>45945</v>
      </c>
      <c r="G6153" s="41" t="n">
        <v>91.27</v>
      </c>
      <c r="H6153" s="39" t="n">
        <v>45988</v>
      </c>
      <c r="I6153" s="7" t="s">
        <v>14651</v>
      </c>
      <c r="J6153" s="8" t="str">
        <f aca="false">IF(I6153="Open",DATE(2025,12,31)-F6153,"-")</f>
        <v>-</v>
      </c>
    </row>
    <row r="6154" customFormat="false" ht="15" hidden="false" customHeight="false" outlineLevel="0" collapsed="false">
      <c r="B6154" s="7" t="s">
        <v>20800</v>
      </c>
      <c r="C6154" s="7" t="s">
        <v>6651</v>
      </c>
      <c r="D6154" s="7" t="s">
        <v>347</v>
      </c>
      <c r="E6154" s="7" t="s">
        <v>154</v>
      </c>
      <c r="F6154" s="39" t="n">
        <v>45945</v>
      </c>
      <c r="G6154" s="41" t="n">
        <v>128.79</v>
      </c>
      <c r="H6154" s="39" t="n">
        <v>45986</v>
      </c>
      <c r="I6154" s="7" t="s">
        <v>14651</v>
      </c>
      <c r="J6154" s="8" t="str">
        <f aca="false">IF(I6154="Open",DATE(2025,12,31)-F6154,"-")</f>
        <v>-</v>
      </c>
    </row>
    <row r="6155" customFormat="false" ht="15" hidden="false" customHeight="false" outlineLevel="0" collapsed="false">
      <c r="B6155" s="7" t="s">
        <v>20801</v>
      </c>
      <c r="C6155" s="7" t="s">
        <v>6652</v>
      </c>
      <c r="D6155" s="7" t="s">
        <v>349</v>
      </c>
      <c r="E6155" s="7" t="s">
        <v>154</v>
      </c>
      <c r="F6155" s="39" t="n">
        <v>45945</v>
      </c>
      <c r="G6155" s="41" t="n">
        <v>107.06</v>
      </c>
      <c r="H6155" s="6" t="s">
        <v>182</v>
      </c>
      <c r="I6155" s="7" t="s">
        <v>19787</v>
      </c>
      <c r="J6155" s="8" t="n">
        <f aca="false">IF(I6155="Open",DATE(2025,12,31)-F6155,"-")</f>
        <v>77</v>
      </c>
    </row>
    <row r="6156" customFormat="false" ht="15" hidden="false" customHeight="false" outlineLevel="0" collapsed="false">
      <c r="B6156" s="7" t="s">
        <v>20802</v>
      </c>
      <c r="C6156" s="7" t="s">
        <v>6653</v>
      </c>
      <c r="D6156" s="7" t="s">
        <v>353</v>
      </c>
      <c r="E6156" s="7" t="s">
        <v>154</v>
      </c>
      <c r="F6156" s="39" t="n">
        <v>45945</v>
      </c>
      <c r="G6156" s="41" t="n">
        <v>79.5</v>
      </c>
      <c r="H6156" s="6" t="s">
        <v>182</v>
      </c>
      <c r="I6156" s="7" t="s">
        <v>19787</v>
      </c>
      <c r="J6156" s="8" t="n">
        <f aca="false">IF(I6156="Open",DATE(2025,12,31)-F6156,"-")</f>
        <v>77</v>
      </c>
    </row>
    <row r="6157" customFormat="false" ht="15" hidden="false" customHeight="false" outlineLevel="0" collapsed="false">
      <c r="B6157" s="7" t="s">
        <v>20803</v>
      </c>
      <c r="C6157" s="7" t="s">
        <v>6654</v>
      </c>
      <c r="D6157" s="7" t="s">
        <v>355</v>
      </c>
      <c r="E6157" s="7" t="s">
        <v>154</v>
      </c>
      <c r="F6157" s="39" t="n">
        <v>45945</v>
      </c>
      <c r="G6157" s="41" t="n">
        <v>83.47</v>
      </c>
      <c r="H6157" s="39" t="n">
        <v>45960</v>
      </c>
      <c r="I6157" s="7" t="s">
        <v>14651</v>
      </c>
      <c r="J6157" s="8" t="str">
        <f aca="false">IF(I6157="Open",DATE(2025,12,31)-F6157,"-")</f>
        <v>-</v>
      </c>
    </row>
    <row r="6158" customFormat="false" ht="15" hidden="false" customHeight="false" outlineLevel="0" collapsed="false">
      <c r="B6158" s="7" t="s">
        <v>20804</v>
      </c>
      <c r="C6158" s="7" t="s">
        <v>6655</v>
      </c>
      <c r="D6158" s="7" t="s">
        <v>357</v>
      </c>
      <c r="E6158" s="7" t="s">
        <v>154</v>
      </c>
      <c r="F6158" s="39" t="n">
        <v>45945</v>
      </c>
      <c r="G6158" s="41" t="n">
        <v>88.25</v>
      </c>
      <c r="H6158" s="39" t="n">
        <v>45992</v>
      </c>
      <c r="I6158" s="7" t="s">
        <v>14651</v>
      </c>
      <c r="J6158" s="8" t="str">
        <f aca="false">IF(I6158="Open",DATE(2025,12,31)-F6158,"-")</f>
        <v>-</v>
      </c>
    </row>
    <row r="6159" customFormat="false" ht="15" hidden="false" customHeight="false" outlineLevel="0" collapsed="false">
      <c r="B6159" s="7" t="s">
        <v>20805</v>
      </c>
      <c r="C6159" s="7" t="s">
        <v>6656</v>
      </c>
      <c r="D6159" s="7" t="s">
        <v>359</v>
      </c>
      <c r="E6159" s="7" t="s">
        <v>156</v>
      </c>
      <c r="F6159" s="39" t="n">
        <v>45945</v>
      </c>
      <c r="G6159" s="41" t="n">
        <v>136.68</v>
      </c>
      <c r="H6159" s="39" t="n">
        <v>45953</v>
      </c>
      <c r="I6159" s="7" t="s">
        <v>14651</v>
      </c>
      <c r="J6159" s="8" t="str">
        <f aca="false">IF(I6159="Open",DATE(2025,12,31)-F6159,"-")</f>
        <v>-</v>
      </c>
    </row>
    <row r="6160" customFormat="false" ht="15" hidden="false" customHeight="false" outlineLevel="0" collapsed="false">
      <c r="B6160" s="7" t="s">
        <v>20806</v>
      </c>
      <c r="C6160" s="7" t="s">
        <v>6657</v>
      </c>
      <c r="D6160" s="7" t="s">
        <v>365</v>
      </c>
      <c r="E6160" s="7" t="s">
        <v>154</v>
      </c>
      <c r="F6160" s="39" t="n">
        <v>45945</v>
      </c>
      <c r="G6160" s="41" t="n">
        <v>116.33</v>
      </c>
      <c r="H6160" s="6" t="s">
        <v>182</v>
      </c>
      <c r="I6160" s="7" t="s">
        <v>19787</v>
      </c>
      <c r="J6160" s="8" t="n">
        <f aca="false">IF(I6160="Open",DATE(2025,12,31)-F6160,"-")</f>
        <v>77</v>
      </c>
    </row>
    <row r="6161" customFormat="false" ht="15" hidden="false" customHeight="false" outlineLevel="0" collapsed="false">
      <c r="B6161" s="7" t="s">
        <v>20807</v>
      </c>
      <c r="C6161" s="7" t="s">
        <v>6658</v>
      </c>
      <c r="D6161" s="7" t="s">
        <v>371</v>
      </c>
      <c r="E6161" s="7" t="s">
        <v>154</v>
      </c>
      <c r="F6161" s="39" t="n">
        <v>45945</v>
      </c>
      <c r="G6161" s="41" t="n">
        <v>111.83</v>
      </c>
      <c r="H6161" s="39" t="n">
        <v>46013</v>
      </c>
      <c r="I6161" s="7" t="s">
        <v>14651</v>
      </c>
      <c r="J6161" s="8" t="str">
        <f aca="false">IF(I6161="Open",DATE(2025,12,31)-F6161,"-")</f>
        <v>-</v>
      </c>
    </row>
    <row r="6162" customFormat="false" ht="15" hidden="false" customHeight="false" outlineLevel="0" collapsed="false">
      <c r="B6162" s="7" t="s">
        <v>20808</v>
      </c>
      <c r="C6162" s="7" t="s">
        <v>6659</v>
      </c>
      <c r="D6162" s="7" t="s">
        <v>379</v>
      </c>
      <c r="E6162" s="7" t="s">
        <v>156</v>
      </c>
      <c r="F6162" s="39" t="n">
        <v>45945</v>
      </c>
      <c r="G6162" s="41" t="n">
        <v>174.42</v>
      </c>
      <c r="H6162" s="39" t="n">
        <v>45964</v>
      </c>
      <c r="I6162" s="7" t="s">
        <v>14651</v>
      </c>
      <c r="J6162" s="8" t="str">
        <f aca="false">IF(I6162="Open",DATE(2025,12,31)-F6162,"-")</f>
        <v>-</v>
      </c>
    </row>
    <row r="6163" customFormat="false" ht="15" hidden="false" customHeight="false" outlineLevel="0" collapsed="false">
      <c r="B6163" s="7" t="s">
        <v>20809</v>
      </c>
      <c r="C6163" s="7" t="s">
        <v>6660</v>
      </c>
      <c r="D6163" s="7" t="s">
        <v>385</v>
      </c>
      <c r="E6163" s="7" t="s">
        <v>156</v>
      </c>
      <c r="F6163" s="39" t="n">
        <v>45945</v>
      </c>
      <c r="G6163" s="41" t="n">
        <v>146.2</v>
      </c>
      <c r="H6163" s="39" t="n">
        <v>45946</v>
      </c>
      <c r="I6163" s="7" t="s">
        <v>14651</v>
      </c>
      <c r="J6163" s="8" t="str">
        <f aca="false">IF(I6163="Open",DATE(2025,12,31)-F6163,"-")</f>
        <v>-</v>
      </c>
    </row>
    <row r="6164" customFormat="false" ht="15" hidden="false" customHeight="false" outlineLevel="0" collapsed="false">
      <c r="B6164" s="7" t="s">
        <v>20810</v>
      </c>
      <c r="C6164" s="7" t="s">
        <v>6661</v>
      </c>
      <c r="D6164" s="7" t="s">
        <v>387</v>
      </c>
      <c r="E6164" s="7" t="s">
        <v>154</v>
      </c>
      <c r="F6164" s="39" t="n">
        <v>45945</v>
      </c>
      <c r="G6164" s="41" t="n">
        <v>101.23</v>
      </c>
      <c r="H6164" s="6" t="s">
        <v>182</v>
      </c>
      <c r="I6164" s="7" t="s">
        <v>19787</v>
      </c>
      <c r="J6164" s="8" t="n">
        <f aca="false">IF(I6164="Open",DATE(2025,12,31)-F6164,"-")</f>
        <v>77</v>
      </c>
    </row>
    <row r="6165" customFormat="false" ht="15" hidden="false" customHeight="false" outlineLevel="0" collapsed="false">
      <c r="B6165" s="7" t="s">
        <v>20811</v>
      </c>
      <c r="C6165" s="7" t="s">
        <v>6662</v>
      </c>
      <c r="D6165" s="7" t="s">
        <v>389</v>
      </c>
      <c r="E6165" s="7" t="s">
        <v>154</v>
      </c>
      <c r="F6165" s="39" t="n">
        <v>45945</v>
      </c>
      <c r="G6165" s="41" t="n">
        <v>113.69</v>
      </c>
      <c r="H6165" s="39" t="n">
        <v>45984</v>
      </c>
      <c r="I6165" s="7" t="s">
        <v>14651</v>
      </c>
      <c r="J6165" s="8" t="str">
        <f aca="false">IF(I6165="Open",DATE(2025,12,31)-F6165,"-")</f>
        <v>-</v>
      </c>
    </row>
    <row r="6166" customFormat="false" ht="15" hidden="false" customHeight="false" outlineLevel="0" collapsed="false">
      <c r="B6166" s="7" t="s">
        <v>20812</v>
      </c>
      <c r="C6166" s="7" t="s">
        <v>6663</v>
      </c>
      <c r="D6166" s="7" t="s">
        <v>391</v>
      </c>
      <c r="E6166" s="7" t="s">
        <v>156</v>
      </c>
      <c r="F6166" s="39" t="n">
        <v>45945</v>
      </c>
      <c r="G6166" s="41" t="n">
        <v>130.9</v>
      </c>
      <c r="H6166" s="39" t="n">
        <v>45962</v>
      </c>
      <c r="I6166" s="7" t="s">
        <v>14651</v>
      </c>
      <c r="J6166" s="8" t="str">
        <f aca="false">IF(I6166="Open",DATE(2025,12,31)-F6166,"-")</f>
        <v>-</v>
      </c>
    </row>
    <row r="6167" customFormat="false" ht="15" hidden="false" customHeight="false" outlineLevel="0" collapsed="false">
      <c r="B6167" s="7" t="s">
        <v>20813</v>
      </c>
      <c r="C6167" s="7" t="s">
        <v>6664</v>
      </c>
      <c r="D6167" s="7" t="s">
        <v>393</v>
      </c>
      <c r="E6167" s="7" t="s">
        <v>157</v>
      </c>
      <c r="F6167" s="39" t="n">
        <v>45945</v>
      </c>
      <c r="G6167" s="41" t="n">
        <v>148.5</v>
      </c>
      <c r="H6167" s="39" t="n">
        <v>45988</v>
      </c>
      <c r="I6167" s="7" t="s">
        <v>14651</v>
      </c>
      <c r="J6167" s="8" t="str">
        <f aca="false">IF(I6167="Open",DATE(2025,12,31)-F6167,"-")</f>
        <v>-</v>
      </c>
    </row>
    <row r="6168" customFormat="false" ht="15" hidden="false" customHeight="false" outlineLevel="0" collapsed="false">
      <c r="B6168" s="7" t="s">
        <v>20814</v>
      </c>
      <c r="C6168" s="7" t="s">
        <v>6665</v>
      </c>
      <c r="D6168" s="7" t="s">
        <v>395</v>
      </c>
      <c r="E6168" s="7" t="s">
        <v>156</v>
      </c>
      <c r="F6168" s="39" t="n">
        <v>45945</v>
      </c>
      <c r="G6168" s="41" t="n">
        <v>125.12</v>
      </c>
      <c r="H6168" s="39" t="n">
        <v>45958</v>
      </c>
      <c r="I6168" s="7" t="s">
        <v>14651</v>
      </c>
      <c r="J6168" s="8" t="str">
        <f aca="false">IF(I6168="Open",DATE(2025,12,31)-F6168,"-")</f>
        <v>-</v>
      </c>
    </row>
    <row r="6169" customFormat="false" ht="15" hidden="false" customHeight="false" outlineLevel="0" collapsed="false">
      <c r="B6169" s="7" t="s">
        <v>20815</v>
      </c>
      <c r="C6169" s="7" t="s">
        <v>6666</v>
      </c>
      <c r="D6169" s="7" t="s">
        <v>399</v>
      </c>
      <c r="E6169" s="7" t="s">
        <v>154</v>
      </c>
      <c r="F6169" s="39" t="n">
        <v>45945</v>
      </c>
      <c r="G6169" s="41" t="n">
        <v>86.39</v>
      </c>
      <c r="H6169" s="6" t="s">
        <v>182</v>
      </c>
      <c r="I6169" s="7" t="s">
        <v>19787</v>
      </c>
      <c r="J6169" s="8" t="n">
        <f aca="false">IF(I6169="Open",DATE(2025,12,31)-F6169,"-")</f>
        <v>77</v>
      </c>
    </row>
    <row r="6170" customFormat="false" ht="15" hidden="false" customHeight="false" outlineLevel="0" collapsed="false">
      <c r="B6170" s="7" t="s">
        <v>20816</v>
      </c>
      <c r="C6170" s="7" t="s">
        <v>6667</v>
      </c>
      <c r="D6170" s="7" t="s">
        <v>401</v>
      </c>
      <c r="E6170" s="7" t="s">
        <v>156</v>
      </c>
      <c r="F6170" s="39" t="n">
        <v>45945</v>
      </c>
      <c r="G6170" s="41" t="n">
        <v>149.6</v>
      </c>
      <c r="H6170" s="39" t="n">
        <v>45963</v>
      </c>
      <c r="I6170" s="7" t="s">
        <v>14651</v>
      </c>
      <c r="J6170" s="8" t="str">
        <f aca="false">IF(I6170="Open",DATE(2025,12,31)-F6170,"-")</f>
        <v>-</v>
      </c>
    </row>
    <row r="6171" customFormat="false" ht="15" hidden="false" customHeight="false" outlineLevel="0" collapsed="false">
      <c r="B6171" s="7" t="s">
        <v>20817</v>
      </c>
      <c r="C6171" s="7" t="s">
        <v>6668</v>
      </c>
      <c r="D6171" s="7" t="s">
        <v>403</v>
      </c>
      <c r="E6171" s="7" t="s">
        <v>156</v>
      </c>
      <c r="F6171" s="39" t="n">
        <v>45945</v>
      </c>
      <c r="G6171" s="41" t="n">
        <v>137.36</v>
      </c>
      <c r="H6171" s="39" t="n">
        <v>45960</v>
      </c>
      <c r="I6171" s="7" t="s">
        <v>14651</v>
      </c>
      <c r="J6171" s="8" t="str">
        <f aca="false">IF(I6171="Open",DATE(2025,12,31)-F6171,"-")</f>
        <v>-</v>
      </c>
    </row>
    <row r="6172" customFormat="false" ht="15" hidden="false" customHeight="false" outlineLevel="0" collapsed="false">
      <c r="B6172" s="7" t="s">
        <v>20818</v>
      </c>
      <c r="C6172" s="7" t="s">
        <v>6669</v>
      </c>
      <c r="D6172" s="7" t="s">
        <v>409</v>
      </c>
      <c r="E6172" s="7" t="s">
        <v>154</v>
      </c>
      <c r="F6172" s="39" t="n">
        <v>45945</v>
      </c>
      <c r="G6172" s="41" t="n">
        <v>96.46</v>
      </c>
      <c r="H6172" s="39" t="n">
        <v>45991</v>
      </c>
      <c r="I6172" s="7" t="s">
        <v>14651</v>
      </c>
      <c r="J6172" s="8" t="str">
        <f aca="false">IF(I6172="Open",DATE(2025,12,31)-F6172,"-")</f>
        <v>-</v>
      </c>
    </row>
    <row r="6173" customFormat="false" ht="15" hidden="false" customHeight="false" outlineLevel="0" collapsed="false">
      <c r="B6173" s="7" t="s">
        <v>20819</v>
      </c>
      <c r="C6173" s="7" t="s">
        <v>6670</v>
      </c>
      <c r="D6173" s="7" t="s">
        <v>288</v>
      </c>
      <c r="E6173" s="7" t="s">
        <v>156</v>
      </c>
      <c r="F6173" s="39" t="n">
        <v>45946</v>
      </c>
      <c r="G6173" s="41" t="n">
        <v>147.56</v>
      </c>
      <c r="H6173" s="39" t="n">
        <v>45955</v>
      </c>
      <c r="I6173" s="7" t="s">
        <v>14651</v>
      </c>
      <c r="J6173" s="8" t="str">
        <f aca="false">IF(I6173="Open",DATE(2025,12,31)-F6173,"-")</f>
        <v>-</v>
      </c>
    </row>
    <row r="6174" customFormat="false" ht="15" hidden="false" customHeight="false" outlineLevel="0" collapsed="false">
      <c r="B6174" s="7" t="s">
        <v>20820</v>
      </c>
      <c r="C6174" s="7" t="s">
        <v>6671</v>
      </c>
      <c r="D6174" s="7" t="s">
        <v>297</v>
      </c>
      <c r="E6174" s="7" t="s">
        <v>156</v>
      </c>
      <c r="F6174" s="39" t="n">
        <v>45946</v>
      </c>
      <c r="G6174" s="41" t="n">
        <v>107.1</v>
      </c>
      <c r="H6174" s="39" t="n">
        <v>45963</v>
      </c>
      <c r="I6174" s="7" t="s">
        <v>14651</v>
      </c>
      <c r="J6174" s="8" t="str">
        <f aca="false">IF(I6174="Open",DATE(2025,12,31)-F6174,"-")</f>
        <v>-</v>
      </c>
    </row>
    <row r="6175" customFormat="false" ht="15" hidden="false" customHeight="false" outlineLevel="0" collapsed="false">
      <c r="B6175" s="7" t="s">
        <v>20821</v>
      </c>
      <c r="C6175" s="7" t="s">
        <v>6672</v>
      </c>
      <c r="D6175" s="7" t="s">
        <v>303</v>
      </c>
      <c r="E6175" s="7" t="s">
        <v>154</v>
      </c>
      <c r="F6175" s="39" t="n">
        <v>45946</v>
      </c>
      <c r="G6175" s="41" t="n">
        <v>112.89</v>
      </c>
      <c r="H6175" s="39" t="n">
        <v>45986</v>
      </c>
      <c r="I6175" s="7" t="s">
        <v>14651</v>
      </c>
      <c r="J6175" s="8" t="str">
        <f aca="false">IF(I6175="Open",DATE(2025,12,31)-F6175,"-")</f>
        <v>-</v>
      </c>
    </row>
    <row r="6176" customFormat="false" ht="15" hidden="false" customHeight="false" outlineLevel="0" collapsed="false">
      <c r="B6176" s="7" t="s">
        <v>20822</v>
      </c>
      <c r="C6176" s="7" t="s">
        <v>6673</v>
      </c>
      <c r="D6176" s="7" t="s">
        <v>311</v>
      </c>
      <c r="E6176" s="7" t="s">
        <v>154</v>
      </c>
      <c r="F6176" s="39" t="n">
        <v>45946</v>
      </c>
      <c r="G6176" s="41" t="n">
        <v>72.34</v>
      </c>
      <c r="H6176" s="39" t="n">
        <v>46011</v>
      </c>
      <c r="I6176" s="7" t="s">
        <v>14651</v>
      </c>
      <c r="J6176" s="8" t="str">
        <f aca="false">IF(I6176="Open",DATE(2025,12,31)-F6176,"-")</f>
        <v>-</v>
      </c>
    </row>
    <row r="6177" customFormat="false" ht="15" hidden="false" customHeight="false" outlineLevel="0" collapsed="false">
      <c r="B6177" s="7" t="s">
        <v>20823</v>
      </c>
      <c r="C6177" s="7" t="s">
        <v>6674</v>
      </c>
      <c r="D6177" s="7" t="s">
        <v>313</v>
      </c>
      <c r="E6177" s="7" t="s">
        <v>156</v>
      </c>
      <c r="F6177" s="39" t="n">
        <v>45946</v>
      </c>
      <c r="G6177" s="41" t="n">
        <v>143.14</v>
      </c>
      <c r="H6177" s="39" t="n">
        <v>45959</v>
      </c>
      <c r="I6177" s="7" t="s">
        <v>14651</v>
      </c>
      <c r="J6177" s="8" t="str">
        <f aca="false">IF(I6177="Open",DATE(2025,12,31)-F6177,"-")</f>
        <v>-</v>
      </c>
    </row>
    <row r="6178" customFormat="false" ht="15" hidden="false" customHeight="false" outlineLevel="0" collapsed="false">
      <c r="B6178" s="7" t="s">
        <v>20824</v>
      </c>
      <c r="C6178" s="7" t="s">
        <v>6675</v>
      </c>
      <c r="D6178" s="7" t="s">
        <v>317</v>
      </c>
      <c r="E6178" s="7" t="s">
        <v>156</v>
      </c>
      <c r="F6178" s="39" t="n">
        <v>45946</v>
      </c>
      <c r="G6178" s="41" t="n">
        <v>111.86</v>
      </c>
      <c r="H6178" s="39" t="n">
        <v>45955</v>
      </c>
      <c r="I6178" s="7" t="s">
        <v>14651</v>
      </c>
      <c r="J6178" s="8" t="str">
        <f aca="false">IF(I6178="Open",DATE(2025,12,31)-F6178,"-")</f>
        <v>-</v>
      </c>
    </row>
    <row r="6179" customFormat="false" ht="15" hidden="false" customHeight="false" outlineLevel="0" collapsed="false">
      <c r="B6179" s="7" t="s">
        <v>20825</v>
      </c>
      <c r="C6179" s="7" t="s">
        <v>6676</v>
      </c>
      <c r="D6179" s="7" t="s">
        <v>321</v>
      </c>
      <c r="E6179" s="7" t="s">
        <v>154</v>
      </c>
      <c r="F6179" s="39" t="n">
        <v>45946</v>
      </c>
      <c r="G6179" s="41" t="n">
        <v>100.97</v>
      </c>
      <c r="H6179" s="39" t="n">
        <v>45993</v>
      </c>
      <c r="I6179" s="7" t="s">
        <v>14651</v>
      </c>
      <c r="J6179" s="8" t="str">
        <f aca="false">IF(I6179="Open",DATE(2025,12,31)-F6179,"-")</f>
        <v>-</v>
      </c>
    </row>
    <row r="6180" customFormat="false" ht="15" hidden="false" customHeight="false" outlineLevel="0" collapsed="false">
      <c r="B6180" s="7" t="s">
        <v>20826</v>
      </c>
      <c r="C6180" s="7" t="s">
        <v>6677</v>
      </c>
      <c r="D6180" s="7" t="s">
        <v>325</v>
      </c>
      <c r="E6180" s="7" t="s">
        <v>154</v>
      </c>
      <c r="F6180" s="39" t="n">
        <v>45946</v>
      </c>
      <c r="G6180" s="41" t="n">
        <v>87.19</v>
      </c>
      <c r="H6180" s="6" t="s">
        <v>182</v>
      </c>
      <c r="I6180" s="7" t="s">
        <v>19787</v>
      </c>
      <c r="J6180" s="8" t="n">
        <f aca="false">IF(I6180="Open",DATE(2025,12,31)-F6180,"-")</f>
        <v>76</v>
      </c>
    </row>
    <row r="6181" customFormat="false" ht="15" hidden="false" customHeight="false" outlineLevel="0" collapsed="false">
      <c r="B6181" s="7" t="s">
        <v>20827</v>
      </c>
      <c r="C6181" s="7" t="s">
        <v>6678</v>
      </c>
      <c r="D6181" s="7" t="s">
        <v>331</v>
      </c>
      <c r="E6181" s="7" t="s">
        <v>156</v>
      </c>
      <c r="F6181" s="39" t="n">
        <v>45946</v>
      </c>
      <c r="G6181" s="41" t="n">
        <v>124.44</v>
      </c>
      <c r="H6181" s="39" t="n">
        <v>45957</v>
      </c>
      <c r="I6181" s="7" t="s">
        <v>14651</v>
      </c>
      <c r="J6181" s="8" t="str">
        <f aca="false">IF(I6181="Open",DATE(2025,12,31)-F6181,"-")</f>
        <v>-</v>
      </c>
    </row>
    <row r="6182" customFormat="false" ht="15" hidden="false" customHeight="false" outlineLevel="0" collapsed="false">
      <c r="B6182" s="7" t="s">
        <v>20828</v>
      </c>
      <c r="C6182" s="7" t="s">
        <v>6679</v>
      </c>
      <c r="D6182" s="7" t="s">
        <v>341</v>
      </c>
      <c r="E6182" s="7" t="s">
        <v>156</v>
      </c>
      <c r="F6182" s="39" t="n">
        <v>45946</v>
      </c>
      <c r="G6182" s="41" t="n">
        <v>98.6</v>
      </c>
      <c r="H6182" s="39" t="n">
        <v>45966</v>
      </c>
      <c r="I6182" s="7" t="s">
        <v>14651</v>
      </c>
      <c r="J6182" s="8" t="str">
        <f aca="false">IF(I6182="Open",DATE(2025,12,31)-F6182,"-")</f>
        <v>-</v>
      </c>
    </row>
    <row r="6183" customFormat="false" ht="15" hidden="false" customHeight="false" outlineLevel="0" collapsed="false">
      <c r="B6183" s="7" t="s">
        <v>20829</v>
      </c>
      <c r="C6183" s="7" t="s">
        <v>6680</v>
      </c>
      <c r="D6183" s="7" t="s">
        <v>343</v>
      </c>
      <c r="E6183" s="7" t="s">
        <v>154</v>
      </c>
      <c r="F6183" s="39" t="n">
        <v>45946</v>
      </c>
      <c r="G6183" s="41" t="n">
        <v>105.47</v>
      </c>
      <c r="H6183" s="6" t="s">
        <v>182</v>
      </c>
      <c r="I6183" s="7" t="s">
        <v>19787</v>
      </c>
      <c r="J6183" s="8" t="n">
        <f aca="false">IF(I6183="Open",DATE(2025,12,31)-F6183,"-")</f>
        <v>76</v>
      </c>
    </row>
    <row r="6184" customFormat="false" ht="15" hidden="false" customHeight="false" outlineLevel="0" collapsed="false">
      <c r="B6184" s="7" t="s">
        <v>20830</v>
      </c>
      <c r="C6184" s="7" t="s">
        <v>6681</v>
      </c>
      <c r="D6184" s="7" t="s">
        <v>349</v>
      </c>
      <c r="E6184" s="7" t="s">
        <v>154</v>
      </c>
      <c r="F6184" s="39" t="n">
        <v>45946</v>
      </c>
      <c r="G6184" s="41" t="n">
        <v>109.76</v>
      </c>
      <c r="H6184" s="39" t="n">
        <v>46013</v>
      </c>
      <c r="I6184" s="7" t="s">
        <v>14651</v>
      </c>
      <c r="J6184" s="8" t="str">
        <f aca="false">IF(I6184="Open",DATE(2025,12,31)-F6184,"-")</f>
        <v>-</v>
      </c>
    </row>
    <row r="6185" customFormat="false" ht="15" hidden="false" customHeight="false" outlineLevel="0" collapsed="false">
      <c r="B6185" s="7" t="s">
        <v>20831</v>
      </c>
      <c r="C6185" s="7" t="s">
        <v>6682</v>
      </c>
      <c r="D6185" s="7" t="s">
        <v>351</v>
      </c>
      <c r="E6185" s="7" t="s">
        <v>154</v>
      </c>
      <c r="F6185" s="39" t="n">
        <v>45946</v>
      </c>
      <c r="G6185" s="41" t="n">
        <v>73.67</v>
      </c>
      <c r="H6185" s="6" t="s">
        <v>182</v>
      </c>
      <c r="I6185" s="7" t="s">
        <v>19787</v>
      </c>
      <c r="J6185" s="8" t="n">
        <f aca="false">IF(I6185="Open",DATE(2025,12,31)-F6185,"-")</f>
        <v>76</v>
      </c>
    </row>
    <row r="6186" customFormat="false" ht="15" hidden="false" customHeight="false" outlineLevel="0" collapsed="false">
      <c r="B6186" s="7" t="s">
        <v>20832</v>
      </c>
      <c r="C6186" s="7" t="s">
        <v>6683</v>
      </c>
      <c r="D6186" s="7" t="s">
        <v>359</v>
      </c>
      <c r="E6186" s="7" t="s">
        <v>156</v>
      </c>
      <c r="F6186" s="39" t="n">
        <v>45946</v>
      </c>
      <c r="G6186" s="41" t="n">
        <v>141.78</v>
      </c>
      <c r="H6186" s="39" t="n">
        <v>45956</v>
      </c>
      <c r="I6186" s="7" t="s">
        <v>14651</v>
      </c>
      <c r="J6186" s="8" t="str">
        <f aca="false">IF(I6186="Open",DATE(2025,12,31)-F6186,"-")</f>
        <v>-</v>
      </c>
    </row>
    <row r="6187" customFormat="false" ht="15" hidden="false" customHeight="false" outlineLevel="0" collapsed="false">
      <c r="B6187" s="7" t="s">
        <v>20833</v>
      </c>
      <c r="C6187" s="7" t="s">
        <v>6684</v>
      </c>
      <c r="D6187" s="7" t="s">
        <v>363</v>
      </c>
      <c r="E6187" s="7" t="s">
        <v>156</v>
      </c>
      <c r="F6187" s="39" t="n">
        <v>45946</v>
      </c>
      <c r="G6187" s="41" t="n">
        <v>123.08</v>
      </c>
      <c r="H6187" s="39" t="n">
        <v>45959</v>
      </c>
      <c r="I6187" s="7" t="s">
        <v>14651</v>
      </c>
      <c r="J6187" s="8" t="str">
        <f aca="false">IF(I6187="Open",DATE(2025,12,31)-F6187,"-")</f>
        <v>-</v>
      </c>
    </row>
    <row r="6188" customFormat="false" ht="15" hidden="false" customHeight="false" outlineLevel="0" collapsed="false">
      <c r="B6188" s="7" t="s">
        <v>20834</v>
      </c>
      <c r="C6188" s="7" t="s">
        <v>6685</v>
      </c>
      <c r="D6188" s="7" t="s">
        <v>365</v>
      </c>
      <c r="E6188" s="7" t="s">
        <v>154</v>
      </c>
      <c r="F6188" s="39" t="n">
        <v>45946</v>
      </c>
      <c r="G6188" s="41" t="n">
        <v>108.38</v>
      </c>
      <c r="H6188" s="39" t="n">
        <v>46022</v>
      </c>
      <c r="I6188" s="7" t="s">
        <v>14651</v>
      </c>
      <c r="J6188" s="8" t="str">
        <f aca="false">IF(I6188="Open",DATE(2025,12,31)-F6188,"-")</f>
        <v>-</v>
      </c>
    </row>
    <row r="6189" customFormat="false" ht="15" hidden="false" customHeight="false" outlineLevel="0" collapsed="false">
      <c r="B6189" s="7" t="s">
        <v>20835</v>
      </c>
      <c r="C6189" s="7" t="s">
        <v>6686</v>
      </c>
      <c r="D6189" s="7" t="s">
        <v>375</v>
      </c>
      <c r="E6189" s="7" t="s">
        <v>156</v>
      </c>
      <c r="F6189" s="39" t="n">
        <v>45946</v>
      </c>
      <c r="G6189" s="41" t="n">
        <v>110.16</v>
      </c>
      <c r="H6189" s="39" t="n">
        <v>45965</v>
      </c>
      <c r="I6189" s="7" t="s">
        <v>14651</v>
      </c>
      <c r="J6189" s="8" t="str">
        <f aca="false">IF(I6189="Open",DATE(2025,12,31)-F6189,"-")</f>
        <v>-</v>
      </c>
    </row>
    <row r="6190" customFormat="false" ht="15" hidden="false" customHeight="false" outlineLevel="0" collapsed="false">
      <c r="B6190" s="7" t="s">
        <v>20836</v>
      </c>
      <c r="C6190" s="7" t="s">
        <v>6687</v>
      </c>
      <c r="D6190" s="7" t="s">
        <v>377</v>
      </c>
      <c r="E6190" s="7" t="s">
        <v>154</v>
      </c>
      <c r="F6190" s="39" t="n">
        <v>45946</v>
      </c>
      <c r="G6190" s="41" t="n">
        <v>107.86</v>
      </c>
      <c r="H6190" s="39" t="n">
        <v>46000</v>
      </c>
      <c r="I6190" s="7" t="s">
        <v>14651</v>
      </c>
      <c r="J6190" s="8" t="str">
        <f aca="false">IF(I6190="Open",DATE(2025,12,31)-F6190,"-")</f>
        <v>-</v>
      </c>
    </row>
    <row r="6191" customFormat="false" ht="15" hidden="false" customHeight="false" outlineLevel="0" collapsed="false">
      <c r="B6191" s="7" t="s">
        <v>20837</v>
      </c>
      <c r="C6191" s="7" t="s">
        <v>6688</v>
      </c>
      <c r="D6191" s="7" t="s">
        <v>387</v>
      </c>
      <c r="E6191" s="7" t="s">
        <v>154</v>
      </c>
      <c r="F6191" s="39" t="n">
        <v>45946</v>
      </c>
      <c r="G6191" s="41" t="n">
        <v>105.73</v>
      </c>
      <c r="H6191" s="39" t="n">
        <v>45971</v>
      </c>
      <c r="I6191" s="7" t="s">
        <v>14651</v>
      </c>
      <c r="J6191" s="8" t="str">
        <f aca="false">IF(I6191="Open",DATE(2025,12,31)-F6191,"-")</f>
        <v>-</v>
      </c>
    </row>
    <row r="6192" customFormat="false" ht="15" hidden="false" customHeight="false" outlineLevel="0" collapsed="false">
      <c r="B6192" s="7" t="s">
        <v>20838</v>
      </c>
      <c r="C6192" s="7" t="s">
        <v>6689</v>
      </c>
      <c r="D6192" s="7" t="s">
        <v>389</v>
      </c>
      <c r="E6192" s="7" t="s">
        <v>154</v>
      </c>
      <c r="F6192" s="39" t="n">
        <v>45946</v>
      </c>
      <c r="G6192" s="41" t="n">
        <v>102.56</v>
      </c>
      <c r="H6192" s="39" t="n">
        <v>46004</v>
      </c>
      <c r="I6192" s="7" t="s">
        <v>14651</v>
      </c>
      <c r="J6192" s="8" t="str">
        <f aca="false">IF(I6192="Open",DATE(2025,12,31)-F6192,"-")</f>
        <v>-</v>
      </c>
    </row>
    <row r="6193" customFormat="false" ht="15" hidden="false" customHeight="false" outlineLevel="0" collapsed="false">
      <c r="B6193" s="7" t="s">
        <v>20839</v>
      </c>
      <c r="C6193" s="7" t="s">
        <v>6690</v>
      </c>
      <c r="D6193" s="7" t="s">
        <v>391</v>
      </c>
      <c r="E6193" s="7" t="s">
        <v>156</v>
      </c>
      <c r="F6193" s="39" t="n">
        <v>45946</v>
      </c>
      <c r="G6193" s="41" t="n">
        <v>133.96</v>
      </c>
      <c r="H6193" s="39" t="n">
        <v>45959</v>
      </c>
      <c r="I6193" s="7" t="s">
        <v>14651</v>
      </c>
      <c r="J6193" s="8" t="str">
        <f aca="false">IF(I6193="Open",DATE(2025,12,31)-F6193,"-")</f>
        <v>-</v>
      </c>
    </row>
    <row r="6194" customFormat="false" ht="15" hidden="false" customHeight="false" outlineLevel="0" collapsed="false">
      <c r="B6194" s="7" t="s">
        <v>20840</v>
      </c>
      <c r="C6194" s="7" t="s">
        <v>6691</v>
      </c>
      <c r="D6194" s="7" t="s">
        <v>395</v>
      </c>
      <c r="E6194" s="7" t="s">
        <v>156</v>
      </c>
      <c r="F6194" s="39" t="n">
        <v>45946</v>
      </c>
      <c r="G6194" s="41" t="n">
        <v>122.74</v>
      </c>
      <c r="H6194" s="39" t="n">
        <v>45962</v>
      </c>
      <c r="I6194" s="7" t="s">
        <v>14651</v>
      </c>
      <c r="J6194" s="8" t="str">
        <f aca="false">IF(I6194="Open",DATE(2025,12,31)-F6194,"-")</f>
        <v>-</v>
      </c>
    </row>
    <row r="6195" customFormat="false" ht="15" hidden="false" customHeight="false" outlineLevel="0" collapsed="false">
      <c r="B6195" s="7" t="s">
        <v>20841</v>
      </c>
      <c r="C6195" s="7" t="s">
        <v>6692</v>
      </c>
      <c r="D6195" s="7" t="s">
        <v>401</v>
      </c>
      <c r="E6195" s="7" t="s">
        <v>156</v>
      </c>
      <c r="F6195" s="39" t="n">
        <v>45946</v>
      </c>
      <c r="G6195" s="41" t="n">
        <v>140.76</v>
      </c>
      <c r="H6195" s="39" t="n">
        <v>45960</v>
      </c>
      <c r="I6195" s="7" t="s">
        <v>14651</v>
      </c>
      <c r="J6195" s="8" t="str">
        <f aca="false">IF(I6195="Open",DATE(2025,12,31)-F6195,"-")</f>
        <v>-</v>
      </c>
    </row>
    <row r="6196" customFormat="false" ht="15" hidden="false" customHeight="false" outlineLevel="0" collapsed="false">
      <c r="B6196" s="7" t="s">
        <v>20842</v>
      </c>
      <c r="C6196" s="7" t="s">
        <v>6693</v>
      </c>
      <c r="D6196" s="7" t="s">
        <v>288</v>
      </c>
      <c r="E6196" s="7" t="s">
        <v>156</v>
      </c>
      <c r="F6196" s="39" t="n">
        <v>45947</v>
      </c>
      <c r="G6196" s="41" t="n">
        <v>131.92</v>
      </c>
      <c r="H6196" s="39" t="n">
        <v>45951</v>
      </c>
      <c r="I6196" s="7" t="s">
        <v>14651</v>
      </c>
      <c r="J6196" s="8" t="str">
        <f aca="false">IF(I6196="Open",DATE(2025,12,31)-F6196,"-")</f>
        <v>-</v>
      </c>
    </row>
    <row r="6197" customFormat="false" ht="15" hidden="false" customHeight="false" outlineLevel="0" collapsed="false">
      <c r="B6197" s="7" t="s">
        <v>20843</v>
      </c>
      <c r="C6197" s="7" t="s">
        <v>6694</v>
      </c>
      <c r="D6197" s="7" t="s">
        <v>291</v>
      </c>
      <c r="E6197" s="7" t="s">
        <v>154</v>
      </c>
      <c r="F6197" s="39" t="n">
        <v>45947</v>
      </c>
      <c r="G6197" s="41" t="n">
        <v>115.54</v>
      </c>
      <c r="H6197" s="6" t="s">
        <v>182</v>
      </c>
      <c r="I6197" s="7" t="s">
        <v>19787</v>
      </c>
      <c r="J6197" s="8" t="n">
        <f aca="false">IF(I6197="Open",DATE(2025,12,31)-F6197,"-")</f>
        <v>75</v>
      </c>
    </row>
    <row r="6198" customFormat="false" ht="15" hidden="false" customHeight="false" outlineLevel="0" collapsed="false">
      <c r="B6198" s="7" t="s">
        <v>20844</v>
      </c>
      <c r="C6198" s="7" t="s">
        <v>6695</v>
      </c>
      <c r="D6198" s="7" t="s">
        <v>293</v>
      </c>
      <c r="E6198" s="7" t="s">
        <v>157</v>
      </c>
      <c r="F6198" s="39" t="n">
        <v>45947</v>
      </c>
      <c r="G6198" s="41" t="n">
        <v>155.1</v>
      </c>
      <c r="H6198" s="6" t="s">
        <v>182</v>
      </c>
      <c r="I6198" s="7" t="s">
        <v>19787</v>
      </c>
      <c r="J6198" s="8" t="n">
        <f aca="false">IF(I6198="Open",DATE(2025,12,31)-F6198,"-")</f>
        <v>75</v>
      </c>
    </row>
    <row r="6199" customFormat="false" ht="15" hidden="false" customHeight="false" outlineLevel="0" collapsed="false">
      <c r="B6199" s="7" t="s">
        <v>20845</v>
      </c>
      <c r="C6199" s="7" t="s">
        <v>6696</v>
      </c>
      <c r="D6199" s="7" t="s">
        <v>295</v>
      </c>
      <c r="E6199" s="7" t="s">
        <v>154</v>
      </c>
      <c r="F6199" s="39" t="n">
        <v>45947</v>
      </c>
      <c r="G6199" s="41" t="n">
        <v>103.88</v>
      </c>
      <c r="H6199" s="6" t="s">
        <v>182</v>
      </c>
      <c r="I6199" s="7" t="s">
        <v>19787</v>
      </c>
      <c r="J6199" s="8" t="n">
        <f aca="false">IF(I6199="Open",DATE(2025,12,31)-F6199,"-")</f>
        <v>75</v>
      </c>
    </row>
    <row r="6200" customFormat="false" ht="15" hidden="false" customHeight="false" outlineLevel="0" collapsed="false">
      <c r="B6200" s="7" t="s">
        <v>20846</v>
      </c>
      <c r="C6200" s="7" t="s">
        <v>6697</v>
      </c>
      <c r="D6200" s="7" t="s">
        <v>301</v>
      </c>
      <c r="E6200" s="7" t="s">
        <v>157</v>
      </c>
      <c r="F6200" s="39" t="n">
        <v>45947</v>
      </c>
      <c r="G6200" s="41" t="n">
        <v>151.8</v>
      </c>
      <c r="H6200" s="39" t="n">
        <v>45985</v>
      </c>
      <c r="I6200" s="7" t="s">
        <v>14651</v>
      </c>
      <c r="J6200" s="8" t="str">
        <f aca="false">IF(I6200="Open",DATE(2025,12,31)-F6200,"-")</f>
        <v>-</v>
      </c>
    </row>
    <row r="6201" customFormat="false" ht="15" hidden="false" customHeight="false" outlineLevel="0" collapsed="false">
      <c r="B6201" s="7" t="s">
        <v>20847</v>
      </c>
      <c r="C6201" s="7" t="s">
        <v>6698</v>
      </c>
      <c r="D6201" s="7" t="s">
        <v>305</v>
      </c>
      <c r="E6201" s="7" t="s">
        <v>154</v>
      </c>
      <c r="F6201" s="39" t="n">
        <v>45947</v>
      </c>
      <c r="G6201" s="41" t="n">
        <v>103.62</v>
      </c>
      <c r="H6201" s="6" t="s">
        <v>182</v>
      </c>
      <c r="I6201" s="7" t="s">
        <v>19787</v>
      </c>
      <c r="J6201" s="8" t="n">
        <f aca="false">IF(I6201="Open",DATE(2025,12,31)-F6201,"-")</f>
        <v>75</v>
      </c>
    </row>
    <row r="6202" customFormat="false" ht="15" hidden="false" customHeight="false" outlineLevel="0" collapsed="false">
      <c r="B6202" s="7" t="s">
        <v>20848</v>
      </c>
      <c r="C6202" s="7" t="s">
        <v>6699</v>
      </c>
      <c r="D6202" s="7" t="s">
        <v>307</v>
      </c>
      <c r="E6202" s="7" t="s">
        <v>157</v>
      </c>
      <c r="F6202" s="39" t="n">
        <v>45947</v>
      </c>
      <c r="G6202" s="41" t="n">
        <v>160.05</v>
      </c>
      <c r="H6202" s="39" t="n">
        <v>45992</v>
      </c>
      <c r="I6202" s="7" t="s">
        <v>14651</v>
      </c>
      <c r="J6202" s="8" t="str">
        <f aca="false">IF(I6202="Open",DATE(2025,12,31)-F6202,"-")</f>
        <v>-</v>
      </c>
    </row>
    <row r="6203" customFormat="false" ht="15" hidden="false" customHeight="false" outlineLevel="0" collapsed="false">
      <c r="B6203" s="7" t="s">
        <v>20849</v>
      </c>
      <c r="C6203" s="7" t="s">
        <v>6700</v>
      </c>
      <c r="D6203" s="7" t="s">
        <v>309</v>
      </c>
      <c r="E6203" s="7" t="s">
        <v>159</v>
      </c>
      <c r="F6203" s="39" t="n">
        <v>45947</v>
      </c>
      <c r="G6203" s="41" t="n">
        <v>133.65</v>
      </c>
      <c r="H6203" s="39" t="n">
        <v>46012</v>
      </c>
      <c r="I6203" s="7" t="s">
        <v>14651</v>
      </c>
      <c r="J6203" s="8" t="str">
        <f aca="false">IF(I6203="Open",DATE(2025,12,31)-F6203,"-")</f>
        <v>-</v>
      </c>
    </row>
    <row r="6204" customFormat="false" ht="15" hidden="false" customHeight="false" outlineLevel="0" collapsed="false">
      <c r="B6204" s="7" t="s">
        <v>20850</v>
      </c>
      <c r="C6204" s="7" t="s">
        <v>6701</v>
      </c>
      <c r="D6204" s="7" t="s">
        <v>313</v>
      </c>
      <c r="E6204" s="7" t="s">
        <v>156</v>
      </c>
      <c r="F6204" s="39" t="n">
        <v>45947</v>
      </c>
      <c r="G6204" s="41" t="n">
        <v>141.1</v>
      </c>
      <c r="H6204" s="39" t="n">
        <v>45960</v>
      </c>
      <c r="I6204" s="7" t="s">
        <v>14651</v>
      </c>
      <c r="J6204" s="8" t="str">
        <f aca="false">IF(I6204="Open",DATE(2025,12,31)-F6204,"-")</f>
        <v>-</v>
      </c>
    </row>
    <row r="6205" customFormat="false" ht="15" hidden="false" customHeight="false" outlineLevel="0" collapsed="false">
      <c r="B6205" s="7" t="s">
        <v>20851</v>
      </c>
      <c r="C6205" s="7" t="s">
        <v>6702</v>
      </c>
      <c r="D6205" s="7" t="s">
        <v>315</v>
      </c>
      <c r="E6205" s="7" t="s">
        <v>159</v>
      </c>
      <c r="F6205" s="39" t="n">
        <v>45947</v>
      </c>
      <c r="G6205" s="41" t="n">
        <v>124.2</v>
      </c>
      <c r="H6205" s="6" t="s">
        <v>182</v>
      </c>
      <c r="I6205" s="7" t="s">
        <v>19787</v>
      </c>
      <c r="J6205" s="8" t="n">
        <f aca="false">IF(I6205="Open",DATE(2025,12,31)-F6205,"-")</f>
        <v>75</v>
      </c>
    </row>
    <row r="6206" customFormat="false" ht="15" hidden="false" customHeight="false" outlineLevel="0" collapsed="false">
      <c r="B6206" s="7" t="s">
        <v>20852</v>
      </c>
      <c r="C6206" s="7" t="s">
        <v>6703</v>
      </c>
      <c r="D6206" s="7" t="s">
        <v>319</v>
      </c>
      <c r="E6206" s="7" t="s">
        <v>157</v>
      </c>
      <c r="F6206" s="39" t="n">
        <v>45947</v>
      </c>
      <c r="G6206" s="41" t="n">
        <v>179.85</v>
      </c>
      <c r="H6206" s="39" t="n">
        <v>45972</v>
      </c>
      <c r="I6206" s="7" t="s">
        <v>14651</v>
      </c>
      <c r="J6206" s="8" t="str">
        <f aca="false">IF(I6206="Open",DATE(2025,12,31)-F6206,"-")</f>
        <v>-</v>
      </c>
    </row>
    <row r="6207" customFormat="false" ht="15" hidden="false" customHeight="false" outlineLevel="0" collapsed="false">
      <c r="B6207" s="7" t="s">
        <v>20853</v>
      </c>
      <c r="C6207" s="7" t="s">
        <v>6704</v>
      </c>
      <c r="D6207" s="7" t="s">
        <v>321</v>
      </c>
      <c r="E6207" s="7" t="s">
        <v>154</v>
      </c>
      <c r="F6207" s="39" t="n">
        <v>45947</v>
      </c>
      <c r="G6207" s="41" t="n">
        <v>111.83</v>
      </c>
      <c r="H6207" s="39" t="n">
        <v>45967</v>
      </c>
      <c r="I6207" s="7" t="s">
        <v>14651</v>
      </c>
      <c r="J6207" s="8" t="str">
        <f aca="false">IF(I6207="Open",DATE(2025,12,31)-F6207,"-")</f>
        <v>-</v>
      </c>
    </row>
    <row r="6208" customFormat="false" ht="15" hidden="false" customHeight="false" outlineLevel="0" collapsed="false">
      <c r="B6208" s="7" t="s">
        <v>20854</v>
      </c>
      <c r="C6208" s="7" t="s">
        <v>6705</v>
      </c>
      <c r="D6208" s="7" t="s">
        <v>323</v>
      </c>
      <c r="E6208" s="7" t="s">
        <v>159</v>
      </c>
      <c r="F6208" s="39" t="n">
        <v>45947</v>
      </c>
      <c r="G6208" s="41" t="n">
        <v>124.2</v>
      </c>
      <c r="H6208" s="39" t="n">
        <v>45996</v>
      </c>
      <c r="I6208" s="7" t="s">
        <v>14651</v>
      </c>
      <c r="J6208" s="8" t="str">
        <f aca="false">IF(I6208="Open",DATE(2025,12,31)-F6208,"-")</f>
        <v>-</v>
      </c>
    </row>
    <row r="6209" customFormat="false" ht="15" hidden="false" customHeight="false" outlineLevel="0" collapsed="false">
      <c r="B6209" s="7" t="s">
        <v>20855</v>
      </c>
      <c r="C6209" s="7" t="s">
        <v>6706</v>
      </c>
      <c r="D6209" s="7" t="s">
        <v>329</v>
      </c>
      <c r="E6209" s="7" t="s">
        <v>156</v>
      </c>
      <c r="F6209" s="39" t="n">
        <v>45947</v>
      </c>
      <c r="G6209" s="41" t="n">
        <v>128.18</v>
      </c>
      <c r="H6209" s="39" t="n">
        <v>45951</v>
      </c>
      <c r="I6209" s="7" t="s">
        <v>14651</v>
      </c>
      <c r="J6209" s="8" t="str">
        <f aca="false">IF(I6209="Open",DATE(2025,12,31)-F6209,"-")</f>
        <v>-</v>
      </c>
    </row>
    <row r="6210" customFormat="false" ht="15" hidden="false" customHeight="false" outlineLevel="0" collapsed="false">
      <c r="B6210" s="7" t="s">
        <v>20856</v>
      </c>
      <c r="C6210" s="7" t="s">
        <v>6707</v>
      </c>
      <c r="D6210" s="7" t="s">
        <v>333</v>
      </c>
      <c r="E6210" s="7" t="s">
        <v>154</v>
      </c>
      <c r="F6210" s="39" t="n">
        <v>45947</v>
      </c>
      <c r="G6210" s="41" t="n">
        <v>96.46</v>
      </c>
      <c r="H6210" s="39" t="n">
        <v>45998</v>
      </c>
      <c r="I6210" s="7" t="s">
        <v>14651</v>
      </c>
      <c r="J6210" s="8" t="str">
        <f aca="false">IF(I6210="Open",DATE(2025,12,31)-F6210,"-")</f>
        <v>-</v>
      </c>
    </row>
    <row r="6211" customFormat="false" ht="15" hidden="false" customHeight="false" outlineLevel="0" collapsed="false">
      <c r="B6211" s="7" t="s">
        <v>20857</v>
      </c>
      <c r="C6211" s="7" t="s">
        <v>6708</v>
      </c>
      <c r="D6211" s="7" t="s">
        <v>335</v>
      </c>
      <c r="E6211" s="7" t="s">
        <v>154</v>
      </c>
      <c r="F6211" s="39" t="n">
        <v>45947</v>
      </c>
      <c r="G6211" s="41" t="n">
        <v>114.21</v>
      </c>
      <c r="H6211" s="39" t="n">
        <v>46011</v>
      </c>
      <c r="I6211" s="7" t="s">
        <v>14651</v>
      </c>
      <c r="J6211" s="8" t="str">
        <f aca="false">IF(I6211="Open",DATE(2025,12,31)-F6211,"-")</f>
        <v>-</v>
      </c>
    </row>
    <row r="6212" customFormat="false" ht="15" hidden="false" customHeight="false" outlineLevel="0" collapsed="false">
      <c r="B6212" s="7" t="s">
        <v>20858</v>
      </c>
      <c r="C6212" s="7" t="s">
        <v>6709</v>
      </c>
      <c r="D6212" s="7" t="s">
        <v>339</v>
      </c>
      <c r="E6212" s="7" t="s">
        <v>154</v>
      </c>
      <c r="F6212" s="39" t="n">
        <v>45947</v>
      </c>
      <c r="G6212" s="41" t="n">
        <v>91.95</v>
      </c>
      <c r="H6212" s="39" t="n">
        <v>46002</v>
      </c>
      <c r="I6212" s="7" t="s">
        <v>14651</v>
      </c>
      <c r="J6212" s="8" t="str">
        <f aca="false">IF(I6212="Open",DATE(2025,12,31)-F6212,"-")</f>
        <v>-</v>
      </c>
    </row>
    <row r="6213" customFormat="false" ht="15" hidden="false" customHeight="false" outlineLevel="0" collapsed="false">
      <c r="B6213" s="7" t="s">
        <v>20859</v>
      </c>
      <c r="C6213" s="7" t="s">
        <v>6710</v>
      </c>
      <c r="D6213" s="7" t="s">
        <v>347</v>
      </c>
      <c r="E6213" s="7" t="s">
        <v>154</v>
      </c>
      <c r="F6213" s="39" t="n">
        <v>45947</v>
      </c>
      <c r="G6213" s="41" t="n">
        <v>132.76</v>
      </c>
      <c r="H6213" s="6" t="s">
        <v>182</v>
      </c>
      <c r="I6213" s="7" t="s">
        <v>19787</v>
      </c>
      <c r="J6213" s="8" t="n">
        <f aca="false">IF(I6213="Open",DATE(2025,12,31)-F6213,"-")</f>
        <v>75</v>
      </c>
    </row>
    <row r="6214" customFormat="false" ht="15" hidden="false" customHeight="false" outlineLevel="0" collapsed="false">
      <c r="B6214" s="7" t="s">
        <v>20860</v>
      </c>
      <c r="C6214" s="7" t="s">
        <v>6711</v>
      </c>
      <c r="D6214" s="7" t="s">
        <v>349</v>
      </c>
      <c r="E6214" s="7" t="s">
        <v>154</v>
      </c>
      <c r="F6214" s="39" t="n">
        <v>45947</v>
      </c>
      <c r="G6214" s="41" t="n">
        <v>113.42</v>
      </c>
      <c r="H6214" s="39" t="n">
        <v>45985</v>
      </c>
      <c r="I6214" s="7" t="s">
        <v>14651</v>
      </c>
      <c r="J6214" s="8" t="str">
        <f aca="false">IF(I6214="Open",DATE(2025,12,31)-F6214,"-")</f>
        <v>-</v>
      </c>
    </row>
    <row r="6215" customFormat="false" ht="15" hidden="false" customHeight="false" outlineLevel="0" collapsed="false">
      <c r="B6215" s="7" t="s">
        <v>20861</v>
      </c>
      <c r="C6215" s="7" t="s">
        <v>6712</v>
      </c>
      <c r="D6215" s="7" t="s">
        <v>353</v>
      </c>
      <c r="E6215" s="7" t="s">
        <v>154</v>
      </c>
      <c r="F6215" s="39" t="n">
        <v>45947</v>
      </c>
      <c r="G6215" s="41" t="n">
        <v>79.77</v>
      </c>
      <c r="H6215" s="39" t="n">
        <v>46019</v>
      </c>
      <c r="I6215" s="7" t="s">
        <v>14651</v>
      </c>
      <c r="J6215" s="8" t="str">
        <f aca="false">IF(I6215="Open",DATE(2025,12,31)-F6215,"-")</f>
        <v>-</v>
      </c>
    </row>
    <row r="6216" customFormat="false" ht="15" hidden="false" customHeight="false" outlineLevel="0" collapsed="false">
      <c r="B6216" s="7" t="s">
        <v>20862</v>
      </c>
      <c r="C6216" s="7" t="s">
        <v>6713</v>
      </c>
      <c r="D6216" s="7" t="s">
        <v>355</v>
      </c>
      <c r="E6216" s="7" t="s">
        <v>154</v>
      </c>
      <c r="F6216" s="39" t="n">
        <v>45947</v>
      </c>
      <c r="G6216" s="41" t="n">
        <v>90.1</v>
      </c>
      <c r="H6216" s="39" t="n">
        <v>46008</v>
      </c>
      <c r="I6216" s="7" t="s">
        <v>14651</v>
      </c>
      <c r="J6216" s="8" t="str">
        <f aca="false">IF(I6216="Open",DATE(2025,12,31)-F6216,"-")</f>
        <v>-</v>
      </c>
    </row>
    <row r="6217" customFormat="false" ht="15" hidden="false" customHeight="false" outlineLevel="0" collapsed="false">
      <c r="B6217" s="7" t="s">
        <v>20863</v>
      </c>
      <c r="C6217" s="7" t="s">
        <v>6714</v>
      </c>
      <c r="D6217" s="7" t="s">
        <v>357</v>
      </c>
      <c r="E6217" s="7" t="s">
        <v>154</v>
      </c>
      <c r="F6217" s="39" t="n">
        <v>45947</v>
      </c>
      <c r="G6217" s="41" t="n">
        <v>82.52</v>
      </c>
      <c r="H6217" s="39" t="n">
        <v>46017</v>
      </c>
      <c r="I6217" s="7" t="s">
        <v>14651</v>
      </c>
      <c r="J6217" s="8" t="str">
        <f aca="false">IF(I6217="Open",DATE(2025,12,31)-F6217,"-")</f>
        <v>-</v>
      </c>
    </row>
    <row r="6218" customFormat="false" ht="15" hidden="false" customHeight="false" outlineLevel="0" collapsed="false">
      <c r="B6218" s="7" t="s">
        <v>20864</v>
      </c>
      <c r="C6218" s="7" t="s">
        <v>6715</v>
      </c>
      <c r="D6218" s="7" t="s">
        <v>359</v>
      </c>
      <c r="E6218" s="7" t="s">
        <v>156</v>
      </c>
      <c r="F6218" s="39" t="n">
        <v>45947</v>
      </c>
      <c r="G6218" s="41" t="n">
        <v>147.22</v>
      </c>
      <c r="H6218" s="39" t="n">
        <v>45950</v>
      </c>
      <c r="I6218" s="7" t="s">
        <v>14651</v>
      </c>
      <c r="J6218" s="8" t="str">
        <f aca="false">IF(I6218="Open",DATE(2025,12,31)-F6218,"-")</f>
        <v>-</v>
      </c>
    </row>
    <row r="6219" customFormat="false" ht="15" hidden="false" customHeight="false" outlineLevel="0" collapsed="false">
      <c r="B6219" s="7" t="s">
        <v>20865</v>
      </c>
      <c r="C6219" s="7" t="s">
        <v>6716</v>
      </c>
      <c r="D6219" s="7" t="s">
        <v>361</v>
      </c>
      <c r="E6219" s="7" t="s">
        <v>157</v>
      </c>
      <c r="F6219" s="39" t="n">
        <v>45947</v>
      </c>
      <c r="G6219" s="41" t="n">
        <v>171.6</v>
      </c>
      <c r="H6219" s="39" t="n">
        <v>45990</v>
      </c>
      <c r="I6219" s="7" t="s">
        <v>14651</v>
      </c>
      <c r="J6219" s="8" t="str">
        <f aca="false">IF(I6219="Open",DATE(2025,12,31)-F6219,"-")</f>
        <v>-</v>
      </c>
    </row>
    <row r="6220" customFormat="false" ht="15" hidden="false" customHeight="false" outlineLevel="0" collapsed="false">
      <c r="B6220" s="7" t="s">
        <v>20866</v>
      </c>
      <c r="C6220" s="7" t="s">
        <v>6717</v>
      </c>
      <c r="D6220" s="7" t="s">
        <v>365</v>
      </c>
      <c r="E6220" s="7" t="s">
        <v>154</v>
      </c>
      <c r="F6220" s="39" t="n">
        <v>45947</v>
      </c>
      <c r="G6220" s="41" t="n">
        <v>103.88</v>
      </c>
      <c r="H6220" s="39" t="n">
        <v>45983</v>
      </c>
      <c r="I6220" s="7" t="s">
        <v>14651</v>
      </c>
      <c r="J6220" s="8" t="str">
        <f aca="false">IF(I6220="Open",DATE(2025,12,31)-F6220,"-")</f>
        <v>-</v>
      </c>
    </row>
    <row r="6221" customFormat="false" ht="15" hidden="false" customHeight="false" outlineLevel="0" collapsed="false">
      <c r="B6221" s="7" t="s">
        <v>20867</v>
      </c>
      <c r="C6221" s="7" t="s">
        <v>6718</v>
      </c>
      <c r="D6221" s="7" t="s">
        <v>369</v>
      </c>
      <c r="E6221" s="7" t="s">
        <v>159</v>
      </c>
      <c r="F6221" s="39" t="n">
        <v>45947</v>
      </c>
      <c r="G6221" s="41" t="n">
        <v>144.45</v>
      </c>
      <c r="H6221" s="39" t="n">
        <v>46003</v>
      </c>
      <c r="I6221" s="7" t="s">
        <v>14651</v>
      </c>
      <c r="J6221" s="8" t="str">
        <f aca="false">IF(I6221="Open",DATE(2025,12,31)-F6221,"-")</f>
        <v>-</v>
      </c>
    </row>
    <row r="6222" customFormat="false" ht="15" hidden="false" customHeight="false" outlineLevel="0" collapsed="false">
      <c r="B6222" s="7" t="s">
        <v>20868</v>
      </c>
      <c r="C6222" s="7" t="s">
        <v>6719</v>
      </c>
      <c r="D6222" s="7" t="s">
        <v>371</v>
      </c>
      <c r="E6222" s="7" t="s">
        <v>154</v>
      </c>
      <c r="F6222" s="39" t="n">
        <v>45947</v>
      </c>
      <c r="G6222" s="41" t="n">
        <v>115.41</v>
      </c>
      <c r="H6222" s="6" t="s">
        <v>182</v>
      </c>
      <c r="I6222" s="7" t="s">
        <v>19787</v>
      </c>
      <c r="J6222" s="8" t="n">
        <f aca="false">IF(I6222="Open",DATE(2025,12,31)-F6222,"-")</f>
        <v>75</v>
      </c>
    </row>
    <row r="6223" customFormat="false" ht="15" hidden="false" customHeight="false" outlineLevel="0" collapsed="false">
      <c r="B6223" s="7" t="s">
        <v>20869</v>
      </c>
      <c r="C6223" s="7" t="s">
        <v>6720</v>
      </c>
      <c r="D6223" s="7" t="s">
        <v>379</v>
      </c>
      <c r="E6223" s="7" t="s">
        <v>156</v>
      </c>
      <c r="F6223" s="39" t="n">
        <v>45947</v>
      </c>
      <c r="G6223" s="41" t="n">
        <v>143.48</v>
      </c>
      <c r="H6223" s="39" t="n">
        <v>45957</v>
      </c>
      <c r="I6223" s="7" t="s">
        <v>14651</v>
      </c>
      <c r="J6223" s="8" t="str">
        <f aca="false">IF(I6223="Open",DATE(2025,12,31)-F6223,"-")</f>
        <v>-</v>
      </c>
    </row>
    <row r="6224" customFormat="false" ht="15" hidden="false" customHeight="false" outlineLevel="0" collapsed="false">
      <c r="B6224" s="7" t="s">
        <v>20870</v>
      </c>
      <c r="C6224" s="7" t="s">
        <v>6721</v>
      </c>
      <c r="D6224" s="7" t="s">
        <v>381</v>
      </c>
      <c r="E6224" s="7" t="s">
        <v>157</v>
      </c>
      <c r="F6224" s="39" t="n">
        <v>45947</v>
      </c>
      <c r="G6224" s="41" t="n">
        <v>178.2</v>
      </c>
      <c r="H6224" s="39" t="n">
        <v>46012</v>
      </c>
      <c r="I6224" s="7" t="s">
        <v>14651</v>
      </c>
      <c r="J6224" s="8" t="str">
        <f aca="false">IF(I6224="Open",DATE(2025,12,31)-F6224,"-")</f>
        <v>-</v>
      </c>
    </row>
    <row r="6225" customFormat="false" ht="15" hidden="false" customHeight="false" outlineLevel="0" collapsed="false">
      <c r="B6225" s="7" t="s">
        <v>20871</v>
      </c>
      <c r="C6225" s="7" t="s">
        <v>6722</v>
      </c>
      <c r="D6225" s="7" t="s">
        <v>383</v>
      </c>
      <c r="E6225" s="7" t="s">
        <v>157</v>
      </c>
      <c r="F6225" s="39" t="n">
        <v>45947</v>
      </c>
      <c r="G6225" s="41" t="n">
        <v>153.45</v>
      </c>
      <c r="H6225" s="39" t="n">
        <v>45976</v>
      </c>
      <c r="I6225" s="7" t="s">
        <v>14651</v>
      </c>
      <c r="J6225" s="8" t="str">
        <f aca="false">IF(I6225="Open",DATE(2025,12,31)-F6225,"-")</f>
        <v>-</v>
      </c>
    </row>
    <row r="6226" customFormat="false" ht="15" hidden="false" customHeight="false" outlineLevel="0" collapsed="false">
      <c r="B6226" s="7" t="s">
        <v>20872</v>
      </c>
      <c r="C6226" s="7" t="s">
        <v>6723</v>
      </c>
      <c r="D6226" s="7" t="s">
        <v>385</v>
      </c>
      <c r="E6226" s="7" t="s">
        <v>156</v>
      </c>
      <c r="F6226" s="39" t="n">
        <v>45947</v>
      </c>
      <c r="G6226" s="41" t="n">
        <v>143.82</v>
      </c>
      <c r="H6226" s="39" t="n">
        <v>45963</v>
      </c>
      <c r="I6226" s="7" t="s">
        <v>14651</v>
      </c>
      <c r="J6226" s="8" t="str">
        <f aca="false">IF(I6226="Open",DATE(2025,12,31)-F6226,"-")</f>
        <v>-</v>
      </c>
    </row>
    <row r="6227" customFormat="false" ht="15" hidden="false" customHeight="false" outlineLevel="0" collapsed="false">
      <c r="B6227" s="7" t="s">
        <v>20873</v>
      </c>
      <c r="C6227" s="7" t="s">
        <v>6724</v>
      </c>
      <c r="D6227" s="7" t="s">
        <v>387</v>
      </c>
      <c r="E6227" s="7" t="s">
        <v>154</v>
      </c>
      <c r="F6227" s="39" t="n">
        <v>45947</v>
      </c>
      <c r="G6227" s="41" t="n">
        <v>105.47</v>
      </c>
      <c r="H6227" s="39" t="n">
        <v>45995</v>
      </c>
      <c r="I6227" s="7" t="s">
        <v>14651</v>
      </c>
      <c r="J6227" s="8" t="str">
        <f aca="false">IF(I6227="Open",DATE(2025,12,31)-F6227,"-")</f>
        <v>-</v>
      </c>
    </row>
    <row r="6228" customFormat="false" ht="15" hidden="false" customHeight="false" outlineLevel="0" collapsed="false">
      <c r="B6228" s="7" t="s">
        <v>20874</v>
      </c>
      <c r="C6228" s="7" t="s">
        <v>6725</v>
      </c>
      <c r="D6228" s="7" t="s">
        <v>389</v>
      </c>
      <c r="E6228" s="7" t="s">
        <v>154</v>
      </c>
      <c r="F6228" s="39" t="n">
        <v>45947</v>
      </c>
      <c r="G6228" s="41" t="n">
        <v>108.23</v>
      </c>
      <c r="H6228" s="6" t="s">
        <v>182</v>
      </c>
      <c r="I6228" s="7" t="s">
        <v>19787</v>
      </c>
      <c r="J6228" s="8" t="n">
        <f aca="false">IF(I6228="Open",DATE(2025,12,31)-F6228,"-")</f>
        <v>75</v>
      </c>
    </row>
    <row r="6229" customFormat="false" ht="15" hidden="false" customHeight="false" outlineLevel="0" collapsed="false">
      <c r="B6229" s="7" t="s">
        <v>20875</v>
      </c>
      <c r="C6229" s="7" t="s">
        <v>6726</v>
      </c>
      <c r="D6229" s="7" t="s">
        <v>391</v>
      </c>
      <c r="E6229" s="7" t="s">
        <v>156</v>
      </c>
      <c r="F6229" s="39" t="n">
        <v>45947</v>
      </c>
      <c r="G6229" s="41" t="n">
        <v>143.48</v>
      </c>
      <c r="H6229" s="39" t="n">
        <v>45948</v>
      </c>
      <c r="I6229" s="7" t="s">
        <v>14651</v>
      </c>
      <c r="J6229" s="8" t="str">
        <f aca="false">IF(I6229="Open",DATE(2025,12,31)-F6229,"-")</f>
        <v>-</v>
      </c>
    </row>
    <row r="6230" customFormat="false" ht="15" hidden="false" customHeight="false" outlineLevel="0" collapsed="false">
      <c r="B6230" s="7" t="s">
        <v>20876</v>
      </c>
      <c r="C6230" s="7" t="s">
        <v>6727</v>
      </c>
      <c r="D6230" s="7" t="s">
        <v>395</v>
      </c>
      <c r="E6230" s="7" t="s">
        <v>156</v>
      </c>
      <c r="F6230" s="39" t="n">
        <v>45947</v>
      </c>
      <c r="G6230" s="41" t="n">
        <v>131.24</v>
      </c>
      <c r="H6230" s="39" t="n">
        <v>45962</v>
      </c>
      <c r="I6230" s="7" t="s">
        <v>14651</v>
      </c>
      <c r="J6230" s="8" t="str">
        <f aca="false">IF(I6230="Open",DATE(2025,12,31)-F6230,"-")</f>
        <v>-</v>
      </c>
    </row>
    <row r="6231" customFormat="false" ht="15" hidden="false" customHeight="false" outlineLevel="0" collapsed="false">
      <c r="B6231" s="7" t="s">
        <v>20877</v>
      </c>
      <c r="C6231" s="7" t="s">
        <v>6728</v>
      </c>
      <c r="D6231" s="7" t="s">
        <v>397</v>
      </c>
      <c r="E6231" s="7" t="s">
        <v>159</v>
      </c>
      <c r="F6231" s="39" t="n">
        <v>45947</v>
      </c>
      <c r="G6231" s="41" t="n">
        <v>130.95</v>
      </c>
      <c r="H6231" s="39" t="n">
        <v>45983</v>
      </c>
      <c r="I6231" s="7" t="s">
        <v>14651</v>
      </c>
      <c r="J6231" s="8" t="str">
        <f aca="false">IF(I6231="Open",DATE(2025,12,31)-F6231,"-")</f>
        <v>-</v>
      </c>
    </row>
    <row r="6232" customFormat="false" ht="15" hidden="false" customHeight="false" outlineLevel="0" collapsed="false">
      <c r="B6232" s="7" t="s">
        <v>20878</v>
      </c>
      <c r="C6232" s="7" t="s">
        <v>6729</v>
      </c>
      <c r="D6232" s="7" t="s">
        <v>399</v>
      </c>
      <c r="E6232" s="7" t="s">
        <v>154</v>
      </c>
      <c r="F6232" s="39" t="n">
        <v>45947</v>
      </c>
      <c r="G6232" s="41" t="n">
        <v>85.59</v>
      </c>
      <c r="H6232" s="39" t="n">
        <v>45993</v>
      </c>
      <c r="I6232" s="7" t="s">
        <v>14651</v>
      </c>
      <c r="J6232" s="8" t="str">
        <f aca="false">IF(I6232="Open",DATE(2025,12,31)-F6232,"-")</f>
        <v>-</v>
      </c>
    </row>
    <row r="6233" customFormat="false" ht="15" hidden="false" customHeight="false" outlineLevel="0" collapsed="false">
      <c r="B6233" s="7" t="s">
        <v>20879</v>
      </c>
      <c r="C6233" s="7" t="s">
        <v>6730</v>
      </c>
      <c r="D6233" s="7" t="s">
        <v>401</v>
      </c>
      <c r="E6233" s="7" t="s">
        <v>156</v>
      </c>
      <c r="F6233" s="39" t="n">
        <v>45947</v>
      </c>
      <c r="G6233" s="41" t="n">
        <v>139.74</v>
      </c>
      <c r="H6233" s="39" t="n">
        <v>45961</v>
      </c>
      <c r="I6233" s="7" t="s">
        <v>14651</v>
      </c>
      <c r="J6233" s="8" t="str">
        <f aca="false">IF(I6233="Open",DATE(2025,12,31)-F6233,"-")</f>
        <v>-</v>
      </c>
    </row>
    <row r="6234" customFormat="false" ht="15" hidden="false" customHeight="false" outlineLevel="0" collapsed="false">
      <c r="B6234" s="7" t="s">
        <v>20880</v>
      </c>
      <c r="C6234" s="7" t="s">
        <v>6731</v>
      </c>
      <c r="D6234" s="7" t="s">
        <v>403</v>
      </c>
      <c r="E6234" s="7" t="s">
        <v>156</v>
      </c>
      <c r="F6234" s="39" t="n">
        <v>45947</v>
      </c>
      <c r="G6234" s="41" t="n">
        <v>134.98</v>
      </c>
      <c r="H6234" s="39" t="n">
        <v>45962</v>
      </c>
      <c r="I6234" s="7" t="s">
        <v>14651</v>
      </c>
      <c r="J6234" s="8" t="str">
        <f aca="false">IF(I6234="Open",DATE(2025,12,31)-F6234,"-")</f>
        <v>-</v>
      </c>
    </row>
    <row r="6235" customFormat="false" ht="15" hidden="false" customHeight="false" outlineLevel="0" collapsed="false">
      <c r="B6235" s="7" t="s">
        <v>20881</v>
      </c>
      <c r="C6235" s="7" t="s">
        <v>6732</v>
      </c>
      <c r="D6235" s="7" t="s">
        <v>407</v>
      </c>
      <c r="E6235" s="7" t="s">
        <v>159</v>
      </c>
      <c r="F6235" s="39" t="n">
        <v>45947</v>
      </c>
      <c r="G6235" s="41" t="n">
        <v>125.55</v>
      </c>
      <c r="H6235" s="39" t="n">
        <v>46013</v>
      </c>
      <c r="I6235" s="7" t="s">
        <v>14651</v>
      </c>
      <c r="J6235" s="8" t="str">
        <f aca="false">IF(I6235="Open",DATE(2025,12,31)-F6235,"-")</f>
        <v>-</v>
      </c>
    </row>
    <row r="6236" customFormat="false" ht="15" hidden="false" customHeight="false" outlineLevel="0" collapsed="false">
      <c r="B6236" s="7" t="s">
        <v>20882</v>
      </c>
      <c r="C6236" s="7" t="s">
        <v>6733</v>
      </c>
      <c r="D6236" s="7" t="s">
        <v>409</v>
      </c>
      <c r="E6236" s="7" t="s">
        <v>154</v>
      </c>
      <c r="F6236" s="39" t="n">
        <v>45947</v>
      </c>
      <c r="G6236" s="41" t="n">
        <v>92.48</v>
      </c>
      <c r="H6236" s="39" t="n">
        <v>45987</v>
      </c>
      <c r="I6236" s="7" t="s">
        <v>14651</v>
      </c>
      <c r="J6236" s="8" t="str">
        <f aca="false">IF(I6236="Open",DATE(2025,12,31)-F6236,"-")</f>
        <v>-</v>
      </c>
    </row>
    <row r="6237" customFormat="false" ht="15" hidden="false" customHeight="false" outlineLevel="0" collapsed="false">
      <c r="B6237" s="7" t="s">
        <v>20883</v>
      </c>
      <c r="C6237" s="7" t="s">
        <v>6734</v>
      </c>
      <c r="D6237" s="7" t="s">
        <v>411</v>
      </c>
      <c r="E6237" s="7" t="s">
        <v>154</v>
      </c>
      <c r="F6237" s="39" t="n">
        <v>45947</v>
      </c>
      <c r="G6237" s="41" t="n">
        <v>117.98</v>
      </c>
      <c r="H6237" s="39" t="n">
        <v>46009</v>
      </c>
      <c r="I6237" s="7" t="s">
        <v>14651</v>
      </c>
      <c r="J6237" s="8" t="str">
        <f aca="false">IF(I6237="Open",DATE(2025,12,31)-F6237,"-")</f>
        <v>-</v>
      </c>
    </row>
    <row r="6238" customFormat="false" ht="15" hidden="false" customHeight="false" outlineLevel="0" collapsed="false">
      <c r="B6238" s="7" t="s">
        <v>20884</v>
      </c>
      <c r="C6238" s="7" t="s">
        <v>6735</v>
      </c>
      <c r="D6238" s="7" t="s">
        <v>288</v>
      </c>
      <c r="E6238" s="7" t="s">
        <v>156</v>
      </c>
      <c r="F6238" s="39" t="n">
        <v>45948</v>
      </c>
      <c r="G6238" s="41" t="n">
        <v>132.26</v>
      </c>
      <c r="H6238" s="39" t="n">
        <v>45964</v>
      </c>
      <c r="I6238" s="7" t="s">
        <v>14651</v>
      </c>
      <c r="J6238" s="8" t="str">
        <f aca="false">IF(I6238="Open",DATE(2025,12,31)-F6238,"-")</f>
        <v>-</v>
      </c>
    </row>
    <row r="6239" customFormat="false" ht="15" hidden="false" customHeight="false" outlineLevel="0" collapsed="false">
      <c r="B6239" s="7" t="s">
        <v>20885</v>
      </c>
      <c r="C6239" s="7" t="s">
        <v>6736</v>
      </c>
      <c r="D6239" s="7" t="s">
        <v>321</v>
      </c>
      <c r="E6239" s="7" t="s">
        <v>154</v>
      </c>
      <c r="F6239" s="39" t="n">
        <v>45948</v>
      </c>
      <c r="G6239" s="41" t="n">
        <v>93.81</v>
      </c>
      <c r="H6239" s="6" t="s">
        <v>182</v>
      </c>
      <c r="I6239" s="7" t="s">
        <v>19787</v>
      </c>
      <c r="J6239" s="8" t="n">
        <f aca="false">IF(I6239="Open",DATE(2025,12,31)-F6239,"-")</f>
        <v>74</v>
      </c>
    </row>
    <row r="6240" customFormat="false" ht="15" hidden="false" customHeight="false" outlineLevel="0" collapsed="false">
      <c r="B6240" s="7" t="s">
        <v>20886</v>
      </c>
      <c r="C6240" s="7" t="s">
        <v>6737</v>
      </c>
      <c r="D6240" s="7" t="s">
        <v>359</v>
      </c>
      <c r="E6240" s="7" t="s">
        <v>156</v>
      </c>
      <c r="F6240" s="39" t="n">
        <v>45948</v>
      </c>
      <c r="G6240" s="41" t="n">
        <v>132.94</v>
      </c>
      <c r="H6240" s="39" t="n">
        <v>45962</v>
      </c>
      <c r="I6240" s="7" t="s">
        <v>14651</v>
      </c>
      <c r="J6240" s="8" t="str">
        <f aca="false">IF(I6240="Open",DATE(2025,12,31)-F6240,"-")</f>
        <v>-</v>
      </c>
    </row>
    <row r="6241" customFormat="false" ht="15" hidden="false" customHeight="false" outlineLevel="0" collapsed="false">
      <c r="B6241" s="7" t="s">
        <v>20887</v>
      </c>
      <c r="C6241" s="7" t="s">
        <v>6738</v>
      </c>
      <c r="D6241" s="7" t="s">
        <v>387</v>
      </c>
      <c r="E6241" s="7" t="s">
        <v>154</v>
      </c>
      <c r="F6241" s="39" t="n">
        <v>45948</v>
      </c>
      <c r="G6241" s="41" t="n">
        <v>108.92</v>
      </c>
      <c r="H6241" s="39" t="n">
        <v>45997</v>
      </c>
      <c r="I6241" s="7" t="s">
        <v>14651</v>
      </c>
      <c r="J6241" s="8" t="str">
        <f aca="false">IF(I6241="Open",DATE(2025,12,31)-F6241,"-")</f>
        <v>-</v>
      </c>
    </row>
    <row r="6242" customFormat="false" ht="15" hidden="false" customHeight="false" outlineLevel="0" collapsed="false">
      <c r="B6242" s="7" t="s">
        <v>20888</v>
      </c>
      <c r="C6242" s="7" t="s">
        <v>6739</v>
      </c>
      <c r="D6242" s="7" t="s">
        <v>391</v>
      </c>
      <c r="E6242" s="7" t="s">
        <v>156</v>
      </c>
      <c r="F6242" s="39" t="n">
        <v>45948</v>
      </c>
      <c r="G6242" s="41" t="n">
        <v>124.1</v>
      </c>
      <c r="H6242" s="39" t="n">
        <v>45963</v>
      </c>
      <c r="I6242" s="7" t="s">
        <v>14651</v>
      </c>
      <c r="J6242" s="8" t="str">
        <f aca="false">IF(I6242="Open",DATE(2025,12,31)-F6242,"-")</f>
        <v>-</v>
      </c>
    </row>
    <row r="6243" customFormat="false" ht="15" hidden="false" customHeight="false" outlineLevel="0" collapsed="false">
      <c r="B6243" s="7" t="s">
        <v>20889</v>
      </c>
      <c r="C6243" s="7" t="s">
        <v>6740</v>
      </c>
      <c r="D6243" s="7" t="s">
        <v>395</v>
      </c>
      <c r="E6243" s="7" t="s">
        <v>156</v>
      </c>
      <c r="F6243" s="39" t="n">
        <v>45948</v>
      </c>
      <c r="G6243" s="41" t="n">
        <v>148.92</v>
      </c>
      <c r="H6243" s="39" t="n">
        <v>45957</v>
      </c>
      <c r="I6243" s="7" t="s">
        <v>14651</v>
      </c>
      <c r="J6243" s="8" t="str">
        <f aca="false">IF(I6243="Open",DATE(2025,12,31)-F6243,"-")</f>
        <v>-</v>
      </c>
    </row>
    <row r="6244" customFormat="false" ht="15" hidden="false" customHeight="false" outlineLevel="0" collapsed="false">
      <c r="B6244" s="7" t="s">
        <v>20890</v>
      </c>
      <c r="C6244" s="7" t="s">
        <v>6741</v>
      </c>
      <c r="D6244" s="7" t="s">
        <v>401</v>
      </c>
      <c r="E6244" s="7" t="s">
        <v>156</v>
      </c>
      <c r="F6244" s="39" t="n">
        <v>45948</v>
      </c>
      <c r="G6244" s="41" t="n">
        <v>146.54</v>
      </c>
      <c r="H6244" s="39" t="n">
        <v>45969</v>
      </c>
      <c r="I6244" s="7" t="s">
        <v>14651</v>
      </c>
      <c r="J6244" s="8" t="str">
        <f aca="false">IF(I6244="Open",DATE(2025,12,31)-F6244,"-")</f>
        <v>-</v>
      </c>
    </row>
    <row r="6245" customFormat="false" ht="15" hidden="false" customHeight="false" outlineLevel="0" collapsed="false">
      <c r="B6245" s="7" t="s">
        <v>20891</v>
      </c>
      <c r="C6245" s="7" t="s">
        <v>6742</v>
      </c>
      <c r="D6245" s="7" t="s">
        <v>288</v>
      </c>
      <c r="E6245" s="7" t="s">
        <v>156</v>
      </c>
      <c r="F6245" s="39" t="n">
        <v>45949</v>
      </c>
      <c r="G6245" s="41" t="n">
        <v>130.56</v>
      </c>
      <c r="H6245" s="39" t="n">
        <v>45965</v>
      </c>
      <c r="I6245" s="7" t="s">
        <v>14651</v>
      </c>
      <c r="J6245" s="8" t="str">
        <f aca="false">IF(I6245="Open",DATE(2025,12,31)-F6245,"-")</f>
        <v>-</v>
      </c>
    </row>
    <row r="6246" customFormat="false" ht="15" hidden="false" customHeight="false" outlineLevel="0" collapsed="false">
      <c r="B6246" s="7" t="s">
        <v>20892</v>
      </c>
      <c r="C6246" s="7" t="s">
        <v>6743</v>
      </c>
      <c r="D6246" s="7" t="s">
        <v>321</v>
      </c>
      <c r="E6246" s="7" t="s">
        <v>154</v>
      </c>
      <c r="F6246" s="39" t="n">
        <v>45949</v>
      </c>
      <c r="G6246" s="41" t="n">
        <v>103.62</v>
      </c>
      <c r="H6246" s="39" t="n">
        <v>46014</v>
      </c>
      <c r="I6246" s="7" t="s">
        <v>14651</v>
      </c>
      <c r="J6246" s="8" t="str">
        <f aca="false">IF(I6246="Open",DATE(2025,12,31)-F6246,"-")</f>
        <v>-</v>
      </c>
    </row>
    <row r="6247" customFormat="false" ht="15" hidden="false" customHeight="false" outlineLevel="0" collapsed="false">
      <c r="B6247" s="7" t="s">
        <v>20893</v>
      </c>
      <c r="C6247" s="7" t="s">
        <v>6744</v>
      </c>
      <c r="D6247" s="7" t="s">
        <v>359</v>
      </c>
      <c r="E6247" s="7" t="s">
        <v>156</v>
      </c>
      <c r="F6247" s="39" t="n">
        <v>45949</v>
      </c>
      <c r="G6247" s="41" t="n">
        <v>129.54</v>
      </c>
      <c r="H6247" s="39" t="n">
        <v>45955</v>
      </c>
      <c r="I6247" s="7" t="s">
        <v>14651</v>
      </c>
      <c r="J6247" s="8" t="str">
        <f aca="false">IF(I6247="Open",DATE(2025,12,31)-F6247,"-")</f>
        <v>-</v>
      </c>
    </row>
    <row r="6248" customFormat="false" ht="15" hidden="false" customHeight="false" outlineLevel="0" collapsed="false">
      <c r="B6248" s="7" t="s">
        <v>20894</v>
      </c>
      <c r="C6248" s="7" t="s">
        <v>6745</v>
      </c>
      <c r="D6248" s="7" t="s">
        <v>387</v>
      </c>
      <c r="E6248" s="7" t="s">
        <v>154</v>
      </c>
      <c r="F6248" s="39" t="n">
        <v>45949</v>
      </c>
      <c r="G6248" s="41" t="n">
        <v>98.58</v>
      </c>
      <c r="H6248" s="39" t="n">
        <v>46000</v>
      </c>
      <c r="I6248" s="7" t="s">
        <v>14651</v>
      </c>
      <c r="J6248" s="8" t="str">
        <f aca="false">IF(I6248="Open",DATE(2025,12,31)-F6248,"-")</f>
        <v>-</v>
      </c>
    </row>
    <row r="6249" customFormat="false" ht="15" hidden="false" customHeight="false" outlineLevel="0" collapsed="false">
      <c r="B6249" s="7" t="s">
        <v>20895</v>
      </c>
      <c r="C6249" s="7" t="s">
        <v>6746</v>
      </c>
      <c r="D6249" s="7" t="s">
        <v>391</v>
      </c>
      <c r="E6249" s="7" t="s">
        <v>156</v>
      </c>
      <c r="F6249" s="39" t="n">
        <v>45949</v>
      </c>
      <c r="G6249" s="41" t="n">
        <v>145.18</v>
      </c>
      <c r="H6249" s="39" t="n">
        <v>45959</v>
      </c>
      <c r="I6249" s="7" t="s">
        <v>14651</v>
      </c>
      <c r="J6249" s="8" t="str">
        <f aca="false">IF(I6249="Open",DATE(2025,12,31)-F6249,"-")</f>
        <v>-</v>
      </c>
    </row>
    <row r="6250" customFormat="false" ht="15" hidden="false" customHeight="false" outlineLevel="0" collapsed="false">
      <c r="B6250" s="7" t="s">
        <v>20896</v>
      </c>
      <c r="C6250" s="7" t="s">
        <v>6747</v>
      </c>
      <c r="D6250" s="7" t="s">
        <v>395</v>
      </c>
      <c r="E6250" s="7" t="s">
        <v>156</v>
      </c>
      <c r="F6250" s="39" t="n">
        <v>45949</v>
      </c>
      <c r="G6250" s="41" t="n">
        <v>133.96</v>
      </c>
      <c r="H6250" s="39" t="n">
        <v>45965</v>
      </c>
      <c r="I6250" s="7" t="s">
        <v>14651</v>
      </c>
      <c r="J6250" s="8" t="str">
        <f aca="false">IF(I6250="Open",DATE(2025,12,31)-F6250,"-")</f>
        <v>-</v>
      </c>
    </row>
    <row r="6251" customFormat="false" ht="15" hidden="false" customHeight="false" outlineLevel="0" collapsed="false">
      <c r="B6251" s="7" t="s">
        <v>20897</v>
      </c>
      <c r="C6251" s="7" t="s">
        <v>6748</v>
      </c>
      <c r="D6251" s="7" t="s">
        <v>401</v>
      </c>
      <c r="E6251" s="7" t="s">
        <v>156</v>
      </c>
      <c r="F6251" s="39" t="n">
        <v>45949</v>
      </c>
      <c r="G6251" s="41" t="n">
        <v>146.54</v>
      </c>
      <c r="H6251" s="39" t="n">
        <v>45963</v>
      </c>
      <c r="I6251" s="7" t="s">
        <v>14651</v>
      </c>
      <c r="J6251" s="8" t="str">
        <f aca="false">IF(I6251="Open",DATE(2025,12,31)-F6251,"-")</f>
        <v>-</v>
      </c>
    </row>
    <row r="6252" customFormat="false" ht="15" hidden="false" customHeight="false" outlineLevel="0" collapsed="false">
      <c r="B6252" s="7" t="s">
        <v>20898</v>
      </c>
      <c r="C6252" s="7" t="s">
        <v>6749</v>
      </c>
      <c r="D6252" s="7" t="s">
        <v>288</v>
      </c>
      <c r="E6252" s="7" t="s">
        <v>156</v>
      </c>
      <c r="F6252" s="39" t="n">
        <v>45950</v>
      </c>
      <c r="G6252" s="41" t="n">
        <v>148.24</v>
      </c>
      <c r="H6252" s="39" t="n">
        <v>45961</v>
      </c>
      <c r="I6252" s="7" t="s">
        <v>14651</v>
      </c>
      <c r="J6252" s="8" t="str">
        <f aca="false">IF(I6252="Open",DATE(2025,12,31)-F6252,"-")</f>
        <v>-</v>
      </c>
    </row>
    <row r="6253" customFormat="false" ht="15" hidden="false" customHeight="false" outlineLevel="0" collapsed="false">
      <c r="B6253" s="7" t="s">
        <v>20899</v>
      </c>
      <c r="C6253" s="7" t="s">
        <v>6750</v>
      </c>
      <c r="D6253" s="7" t="s">
        <v>291</v>
      </c>
      <c r="E6253" s="7" t="s">
        <v>154</v>
      </c>
      <c r="F6253" s="39" t="n">
        <v>45950</v>
      </c>
      <c r="G6253" s="41" t="n">
        <v>116.33</v>
      </c>
      <c r="H6253" s="39" t="n">
        <v>46004</v>
      </c>
      <c r="I6253" s="7" t="s">
        <v>14651</v>
      </c>
      <c r="J6253" s="8" t="str">
        <f aca="false">IF(I6253="Open",DATE(2025,12,31)-F6253,"-")</f>
        <v>-</v>
      </c>
    </row>
    <row r="6254" customFormat="false" ht="15" hidden="false" customHeight="false" outlineLevel="0" collapsed="false">
      <c r="B6254" s="7" t="s">
        <v>20900</v>
      </c>
      <c r="C6254" s="7" t="s">
        <v>6751</v>
      </c>
      <c r="D6254" s="7" t="s">
        <v>295</v>
      </c>
      <c r="E6254" s="7" t="s">
        <v>154</v>
      </c>
      <c r="F6254" s="39" t="n">
        <v>45950</v>
      </c>
      <c r="G6254" s="41" t="n">
        <v>105.47</v>
      </c>
      <c r="H6254" s="39" t="n">
        <v>46020</v>
      </c>
      <c r="I6254" s="7" t="s">
        <v>14651</v>
      </c>
      <c r="J6254" s="8" t="str">
        <f aca="false">IF(I6254="Open",DATE(2025,12,31)-F6254,"-")</f>
        <v>-</v>
      </c>
    </row>
    <row r="6255" customFormat="false" ht="15" hidden="false" customHeight="false" outlineLevel="0" collapsed="false">
      <c r="B6255" s="7" t="s">
        <v>20901</v>
      </c>
      <c r="C6255" s="7" t="s">
        <v>6752</v>
      </c>
      <c r="D6255" s="7" t="s">
        <v>297</v>
      </c>
      <c r="E6255" s="7" t="s">
        <v>156</v>
      </c>
      <c r="F6255" s="39" t="n">
        <v>45950</v>
      </c>
      <c r="G6255" s="41" t="n">
        <v>94.52</v>
      </c>
      <c r="H6255" s="39" t="n">
        <v>45963</v>
      </c>
      <c r="I6255" s="7" t="s">
        <v>14651</v>
      </c>
      <c r="J6255" s="8" t="str">
        <f aca="false">IF(I6255="Open",DATE(2025,12,31)-F6255,"-")</f>
        <v>-</v>
      </c>
    </row>
    <row r="6256" customFormat="false" ht="15" hidden="false" customHeight="false" outlineLevel="0" collapsed="false">
      <c r="B6256" s="7" t="s">
        <v>20902</v>
      </c>
      <c r="C6256" s="7" t="s">
        <v>6753</v>
      </c>
      <c r="D6256" s="7" t="s">
        <v>303</v>
      </c>
      <c r="E6256" s="7" t="s">
        <v>154</v>
      </c>
      <c r="F6256" s="39" t="n">
        <v>45950</v>
      </c>
      <c r="G6256" s="41" t="n">
        <v>102.82</v>
      </c>
      <c r="H6256" s="6" t="s">
        <v>182</v>
      </c>
      <c r="I6256" s="7" t="s">
        <v>19787</v>
      </c>
      <c r="J6256" s="8" t="n">
        <f aca="false">IF(I6256="Open",DATE(2025,12,31)-F6256,"-")</f>
        <v>72</v>
      </c>
    </row>
    <row r="6257" customFormat="false" ht="15" hidden="false" customHeight="false" outlineLevel="0" collapsed="false">
      <c r="B6257" s="7" t="s">
        <v>20903</v>
      </c>
      <c r="C6257" s="7" t="s">
        <v>6754</v>
      </c>
      <c r="D6257" s="7" t="s">
        <v>305</v>
      </c>
      <c r="E6257" s="7" t="s">
        <v>154</v>
      </c>
      <c r="F6257" s="39" t="n">
        <v>45950</v>
      </c>
      <c r="G6257" s="41" t="n">
        <v>114.48</v>
      </c>
      <c r="H6257" s="39" t="n">
        <v>46011</v>
      </c>
      <c r="I6257" s="7" t="s">
        <v>14651</v>
      </c>
      <c r="J6257" s="8" t="str">
        <f aca="false">IF(I6257="Open",DATE(2025,12,31)-F6257,"-")</f>
        <v>-</v>
      </c>
    </row>
    <row r="6258" customFormat="false" ht="15" hidden="false" customHeight="false" outlineLevel="0" collapsed="false">
      <c r="B6258" s="7" t="s">
        <v>20904</v>
      </c>
      <c r="C6258" s="7" t="s">
        <v>6755</v>
      </c>
      <c r="D6258" s="7" t="s">
        <v>307</v>
      </c>
      <c r="E6258" s="7" t="s">
        <v>157</v>
      </c>
      <c r="F6258" s="39" t="n">
        <v>45950</v>
      </c>
      <c r="G6258" s="41" t="n">
        <v>165</v>
      </c>
      <c r="H6258" s="39" t="n">
        <v>45981</v>
      </c>
      <c r="I6258" s="7" t="s">
        <v>14651</v>
      </c>
      <c r="J6258" s="8" t="str">
        <f aca="false">IF(I6258="Open",DATE(2025,12,31)-F6258,"-")</f>
        <v>-</v>
      </c>
    </row>
    <row r="6259" customFormat="false" ht="15" hidden="false" customHeight="false" outlineLevel="0" collapsed="false">
      <c r="B6259" s="7" t="s">
        <v>20905</v>
      </c>
      <c r="C6259" s="7" t="s">
        <v>6756</v>
      </c>
      <c r="D6259" s="7" t="s">
        <v>309</v>
      </c>
      <c r="E6259" s="7" t="s">
        <v>159</v>
      </c>
      <c r="F6259" s="39" t="n">
        <v>45950</v>
      </c>
      <c r="G6259" s="41" t="n">
        <v>128.11</v>
      </c>
      <c r="H6259" s="39" t="n">
        <v>45975</v>
      </c>
      <c r="I6259" s="7" t="s">
        <v>14651</v>
      </c>
      <c r="J6259" s="8" t="str">
        <f aca="false">IF(I6259="Open",DATE(2025,12,31)-F6259,"-")</f>
        <v>-</v>
      </c>
    </row>
    <row r="6260" customFormat="false" ht="15" hidden="false" customHeight="false" outlineLevel="0" collapsed="false">
      <c r="B6260" s="7" t="s">
        <v>20906</v>
      </c>
      <c r="C6260" s="7" t="s">
        <v>6757</v>
      </c>
      <c r="D6260" s="7" t="s">
        <v>311</v>
      </c>
      <c r="E6260" s="7" t="s">
        <v>154</v>
      </c>
      <c r="F6260" s="39" t="n">
        <v>45950</v>
      </c>
      <c r="G6260" s="41" t="n">
        <v>76.85</v>
      </c>
      <c r="H6260" s="6" t="s">
        <v>182</v>
      </c>
      <c r="I6260" s="7" t="s">
        <v>19787</v>
      </c>
      <c r="J6260" s="8" t="n">
        <f aca="false">IF(I6260="Open",DATE(2025,12,31)-F6260,"-")</f>
        <v>72</v>
      </c>
    </row>
    <row r="6261" customFormat="false" ht="15" hidden="false" customHeight="false" outlineLevel="0" collapsed="false">
      <c r="B6261" s="7" t="s">
        <v>20907</v>
      </c>
      <c r="C6261" s="7" t="s">
        <v>6758</v>
      </c>
      <c r="D6261" s="7" t="s">
        <v>313</v>
      </c>
      <c r="E6261" s="7" t="s">
        <v>156</v>
      </c>
      <c r="F6261" s="39" t="n">
        <v>45950</v>
      </c>
      <c r="G6261" s="41" t="n">
        <v>122.4</v>
      </c>
      <c r="H6261" s="39" t="n">
        <v>45961</v>
      </c>
      <c r="I6261" s="7" t="s">
        <v>14651</v>
      </c>
      <c r="J6261" s="8" t="str">
        <f aca="false">IF(I6261="Open",DATE(2025,12,31)-F6261,"-")</f>
        <v>-</v>
      </c>
    </row>
    <row r="6262" customFormat="false" ht="15" hidden="false" customHeight="false" outlineLevel="0" collapsed="false">
      <c r="B6262" s="7" t="s">
        <v>20908</v>
      </c>
      <c r="C6262" s="7" t="s">
        <v>6759</v>
      </c>
      <c r="D6262" s="7" t="s">
        <v>315</v>
      </c>
      <c r="E6262" s="7" t="s">
        <v>159</v>
      </c>
      <c r="F6262" s="39" t="n">
        <v>45950</v>
      </c>
      <c r="G6262" s="41" t="n">
        <v>136.89</v>
      </c>
      <c r="H6262" s="6" t="s">
        <v>182</v>
      </c>
      <c r="I6262" s="7" t="s">
        <v>19787</v>
      </c>
      <c r="J6262" s="8" t="n">
        <f aca="false">IF(I6262="Open",DATE(2025,12,31)-F6262,"-")</f>
        <v>72</v>
      </c>
    </row>
    <row r="6263" customFormat="false" ht="15" hidden="false" customHeight="false" outlineLevel="0" collapsed="false">
      <c r="B6263" s="7" t="s">
        <v>20909</v>
      </c>
      <c r="C6263" s="7" t="s">
        <v>6760</v>
      </c>
      <c r="D6263" s="7" t="s">
        <v>317</v>
      </c>
      <c r="E6263" s="7" t="s">
        <v>156</v>
      </c>
      <c r="F6263" s="39" t="n">
        <v>45950</v>
      </c>
      <c r="G6263" s="41" t="n">
        <v>95.88</v>
      </c>
      <c r="H6263" s="39" t="n">
        <v>45956</v>
      </c>
      <c r="I6263" s="7" t="s">
        <v>14651</v>
      </c>
      <c r="J6263" s="8" t="str">
        <f aca="false">IF(I6263="Open",DATE(2025,12,31)-F6263,"-")</f>
        <v>-</v>
      </c>
    </row>
    <row r="6264" customFormat="false" ht="15" hidden="false" customHeight="false" outlineLevel="0" collapsed="false">
      <c r="B6264" s="7" t="s">
        <v>20910</v>
      </c>
      <c r="C6264" s="7" t="s">
        <v>6761</v>
      </c>
      <c r="D6264" s="7" t="s">
        <v>321</v>
      </c>
      <c r="E6264" s="7" t="s">
        <v>154</v>
      </c>
      <c r="F6264" s="39" t="n">
        <v>45950</v>
      </c>
      <c r="G6264" s="41" t="n">
        <v>102.29</v>
      </c>
      <c r="H6264" s="39" t="n">
        <v>45999</v>
      </c>
      <c r="I6264" s="7" t="s">
        <v>14651</v>
      </c>
      <c r="J6264" s="8" t="str">
        <f aca="false">IF(I6264="Open",DATE(2025,12,31)-F6264,"-")</f>
        <v>-</v>
      </c>
    </row>
    <row r="6265" customFormat="false" ht="15" hidden="false" customHeight="false" outlineLevel="0" collapsed="false">
      <c r="B6265" s="7" t="s">
        <v>20911</v>
      </c>
      <c r="C6265" s="7" t="s">
        <v>6762</v>
      </c>
      <c r="D6265" s="7" t="s">
        <v>329</v>
      </c>
      <c r="E6265" s="7" t="s">
        <v>156</v>
      </c>
      <c r="F6265" s="39" t="n">
        <v>45950</v>
      </c>
      <c r="G6265" s="41" t="n">
        <v>141.1</v>
      </c>
      <c r="H6265" s="39" t="n">
        <v>45953</v>
      </c>
      <c r="I6265" s="7" t="s">
        <v>14651</v>
      </c>
      <c r="J6265" s="8" t="str">
        <f aca="false">IF(I6265="Open",DATE(2025,12,31)-F6265,"-")</f>
        <v>-</v>
      </c>
    </row>
    <row r="6266" customFormat="false" ht="15" hidden="false" customHeight="false" outlineLevel="0" collapsed="false">
      <c r="B6266" s="7" t="s">
        <v>20912</v>
      </c>
      <c r="C6266" s="7" t="s">
        <v>6763</v>
      </c>
      <c r="D6266" s="7" t="s">
        <v>331</v>
      </c>
      <c r="E6266" s="7" t="s">
        <v>156</v>
      </c>
      <c r="F6266" s="39" t="n">
        <v>45950</v>
      </c>
      <c r="G6266" s="41" t="n">
        <v>124.1</v>
      </c>
      <c r="H6266" s="39" t="n">
        <v>45962</v>
      </c>
      <c r="I6266" s="7" t="s">
        <v>14651</v>
      </c>
      <c r="J6266" s="8" t="str">
        <f aca="false">IF(I6266="Open",DATE(2025,12,31)-F6266,"-")</f>
        <v>-</v>
      </c>
    </row>
    <row r="6267" customFormat="false" ht="15" hidden="false" customHeight="false" outlineLevel="0" collapsed="false">
      <c r="B6267" s="7" t="s">
        <v>20913</v>
      </c>
      <c r="C6267" s="7" t="s">
        <v>6764</v>
      </c>
      <c r="D6267" s="7" t="s">
        <v>333</v>
      </c>
      <c r="E6267" s="7" t="s">
        <v>154</v>
      </c>
      <c r="F6267" s="39" t="n">
        <v>45950</v>
      </c>
      <c r="G6267" s="41" t="n">
        <v>87.72</v>
      </c>
      <c r="H6267" s="39" t="n">
        <v>45989</v>
      </c>
      <c r="I6267" s="7" t="s">
        <v>14651</v>
      </c>
      <c r="J6267" s="8" t="str">
        <f aca="false">IF(I6267="Open",DATE(2025,12,31)-F6267,"-")</f>
        <v>-</v>
      </c>
    </row>
    <row r="6268" customFormat="false" ht="15" hidden="false" customHeight="false" outlineLevel="0" collapsed="false">
      <c r="B6268" s="7" t="s">
        <v>20914</v>
      </c>
      <c r="C6268" s="7" t="s">
        <v>6765</v>
      </c>
      <c r="D6268" s="7" t="s">
        <v>335</v>
      </c>
      <c r="E6268" s="7" t="s">
        <v>154</v>
      </c>
      <c r="F6268" s="39" t="n">
        <v>45950</v>
      </c>
      <c r="G6268" s="41" t="n">
        <v>98.84</v>
      </c>
      <c r="H6268" s="6" t="s">
        <v>182</v>
      </c>
      <c r="I6268" s="7" t="s">
        <v>19787</v>
      </c>
      <c r="J6268" s="8" t="n">
        <f aca="false">IF(I6268="Open",DATE(2025,12,31)-F6268,"-")</f>
        <v>72</v>
      </c>
    </row>
    <row r="6269" customFormat="false" ht="15" hidden="false" customHeight="false" outlineLevel="0" collapsed="false">
      <c r="B6269" s="7" t="s">
        <v>20915</v>
      </c>
      <c r="C6269" s="7" t="s">
        <v>6766</v>
      </c>
      <c r="D6269" s="7" t="s">
        <v>339</v>
      </c>
      <c r="E6269" s="7" t="s">
        <v>154</v>
      </c>
      <c r="F6269" s="39" t="n">
        <v>45950</v>
      </c>
      <c r="G6269" s="41" t="n">
        <v>94.87</v>
      </c>
      <c r="H6269" s="39" t="n">
        <v>45992</v>
      </c>
      <c r="I6269" s="7" t="s">
        <v>14651</v>
      </c>
      <c r="J6269" s="8" t="str">
        <f aca="false">IF(I6269="Open",DATE(2025,12,31)-F6269,"-")</f>
        <v>-</v>
      </c>
    </row>
    <row r="6270" customFormat="false" ht="15" hidden="false" customHeight="false" outlineLevel="0" collapsed="false">
      <c r="B6270" s="7" t="s">
        <v>20916</v>
      </c>
      <c r="C6270" s="7" t="s">
        <v>6767</v>
      </c>
      <c r="D6270" s="7" t="s">
        <v>341</v>
      </c>
      <c r="E6270" s="7" t="s">
        <v>156</v>
      </c>
      <c r="F6270" s="39" t="n">
        <v>45950</v>
      </c>
      <c r="G6270" s="41" t="n">
        <v>97.24</v>
      </c>
      <c r="H6270" s="39" t="n">
        <v>45959</v>
      </c>
      <c r="I6270" s="7" t="s">
        <v>14651</v>
      </c>
      <c r="J6270" s="8" t="str">
        <f aca="false">IF(I6270="Open",DATE(2025,12,31)-F6270,"-")</f>
        <v>-</v>
      </c>
    </row>
    <row r="6271" customFormat="false" ht="15" hidden="false" customHeight="false" outlineLevel="0" collapsed="false">
      <c r="B6271" s="7" t="s">
        <v>20917</v>
      </c>
      <c r="C6271" s="7" t="s">
        <v>6768</v>
      </c>
      <c r="D6271" s="7" t="s">
        <v>343</v>
      </c>
      <c r="E6271" s="7" t="s">
        <v>154</v>
      </c>
      <c r="F6271" s="39" t="n">
        <v>45950</v>
      </c>
      <c r="G6271" s="41" t="n">
        <v>113.69</v>
      </c>
      <c r="H6271" s="39" t="n">
        <v>45980</v>
      </c>
      <c r="I6271" s="7" t="s">
        <v>14651</v>
      </c>
      <c r="J6271" s="8" t="str">
        <f aca="false">IF(I6271="Open",DATE(2025,12,31)-F6271,"-")</f>
        <v>-</v>
      </c>
    </row>
    <row r="6272" customFormat="false" ht="15" hidden="false" customHeight="false" outlineLevel="0" collapsed="false">
      <c r="B6272" s="7" t="s">
        <v>20918</v>
      </c>
      <c r="C6272" s="7" t="s">
        <v>6769</v>
      </c>
      <c r="D6272" s="7" t="s">
        <v>347</v>
      </c>
      <c r="E6272" s="7" t="s">
        <v>154</v>
      </c>
      <c r="F6272" s="39" t="n">
        <v>45950</v>
      </c>
      <c r="G6272" s="41" t="n">
        <v>116.33</v>
      </c>
      <c r="H6272" s="39" t="n">
        <v>45993</v>
      </c>
      <c r="I6272" s="7" t="s">
        <v>14651</v>
      </c>
      <c r="J6272" s="8" t="str">
        <f aca="false">IF(I6272="Open",DATE(2025,12,31)-F6272,"-")</f>
        <v>-</v>
      </c>
    </row>
    <row r="6273" customFormat="false" ht="15" hidden="false" customHeight="false" outlineLevel="0" collapsed="false">
      <c r="B6273" s="7" t="s">
        <v>20919</v>
      </c>
      <c r="C6273" s="7" t="s">
        <v>6770</v>
      </c>
      <c r="D6273" s="7" t="s">
        <v>349</v>
      </c>
      <c r="E6273" s="7" t="s">
        <v>154</v>
      </c>
      <c r="F6273" s="39" t="n">
        <v>45950</v>
      </c>
      <c r="G6273" s="41" t="n">
        <v>111.83</v>
      </c>
      <c r="H6273" s="6" t="s">
        <v>182</v>
      </c>
      <c r="I6273" s="7" t="s">
        <v>19787</v>
      </c>
      <c r="J6273" s="8" t="n">
        <f aca="false">IF(I6273="Open",DATE(2025,12,31)-F6273,"-")</f>
        <v>72</v>
      </c>
    </row>
    <row r="6274" customFormat="false" ht="15" hidden="false" customHeight="false" outlineLevel="0" collapsed="false">
      <c r="B6274" s="7" t="s">
        <v>20920</v>
      </c>
      <c r="C6274" s="7" t="s">
        <v>6771</v>
      </c>
      <c r="D6274" s="7" t="s">
        <v>351</v>
      </c>
      <c r="E6274" s="7" t="s">
        <v>154</v>
      </c>
      <c r="F6274" s="39" t="n">
        <v>45950</v>
      </c>
      <c r="G6274" s="41" t="n">
        <v>83.74</v>
      </c>
      <c r="H6274" s="39" t="n">
        <v>45965</v>
      </c>
      <c r="I6274" s="7" t="s">
        <v>14651</v>
      </c>
      <c r="J6274" s="8" t="str">
        <f aca="false">IF(I6274="Open",DATE(2025,12,31)-F6274,"-")</f>
        <v>-</v>
      </c>
    </row>
    <row r="6275" customFormat="false" ht="15" hidden="false" customHeight="false" outlineLevel="0" collapsed="false">
      <c r="B6275" s="7" t="s">
        <v>20921</v>
      </c>
      <c r="C6275" s="7" t="s">
        <v>6772</v>
      </c>
      <c r="D6275" s="7" t="s">
        <v>353</v>
      </c>
      <c r="E6275" s="7" t="s">
        <v>154</v>
      </c>
      <c r="F6275" s="39" t="n">
        <v>45950</v>
      </c>
      <c r="G6275" s="41" t="n">
        <v>90.9</v>
      </c>
      <c r="H6275" s="6" t="s">
        <v>182</v>
      </c>
      <c r="I6275" s="7" t="s">
        <v>19787</v>
      </c>
      <c r="J6275" s="8" t="n">
        <f aca="false">IF(I6275="Open",DATE(2025,12,31)-F6275,"-")</f>
        <v>72</v>
      </c>
    </row>
    <row r="6276" customFormat="false" ht="15" hidden="false" customHeight="false" outlineLevel="0" collapsed="false">
      <c r="B6276" s="7" t="s">
        <v>20922</v>
      </c>
      <c r="C6276" s="7" t="s">
        <v>6773</v>
      </c>
      <c r="D6276" s="7" t="s">
        <v>355</v>
      </c>
      <c r="E6276" s="7" t="s">
        <v>154</v>
      </c>
      <c r="F6276" s="39" t="n">
        <v>45950</v>
      </c>
      <c r="G6276" s="41" t="n">
        <v>96.72</v>
      </c>
      <c r="H6276" s="39" t="n">
        <v>45991</v>
      </c>
      <c r="I6276" s="7" t="s">
        <v>14651</v>
      </c>
      <c r="J6276" s="8" t="str">
        <f aca="false">IF(I6276="Open",DATE(2025,12,31)-F6276,"-")</f>
        <v>-</v>
      </c>
    </row>
    <row r="6277" customFormat="false" ht="15" hidden="false" customHeight="false" outlineLevel="0" collapsed="false">
      <c r="B6277" s="7" t="s">
        <v>20923</v>
      </c>
      <c r="C6277" s="7" t="s">
        <v>6774</v>
      </c>
      <c r="D6277" s="7" t="s">
        <v>357</v>
      </c>
      <c r="E6277" s="7" t="s">
        <v>154</v>
      </c>
      <c r="F6277" s="39" t="n">
        <v>45950</v>
      </c>
      <c r="G6277" s="41" t="n">
        <v>93.28</v>
      </c>
      <c r="H6277" s="39" t="n">
        <v>45988</v>
      </c>
      <c r="I6277" s="7" t="s">
        <v>14651</v>
      </c>
      <c r="J6277" s="8" t="str">
        <f aca="false">IF(I6277="Open",DATE(2025,12,31)-F6277,"-")</f>
        <v>-</v>
      </c>
    </row>
    <row r="6278" customFormat="false" ht="15" hidden="false" customHeight="false" outlineLevel="0" collapsed="false">
      <c r="B6278" s="7" t="s">
        <v>20924</v>
      </c>
      <c r="C6278" s="7" t="s">
        <v>6775</v>
      </c>
      <c r="D6278" s="7" t="s">
        <v>359</v>
      </c>
      <c r="E6278" s="7" t="s">
        <v>156</v>
      </c>
      <c r="F6278" s="39" t="n">
        <v>45950</v>
      </c>
      <c r="G6278" s="41" t="n">
        <v>130.22</v>
      </c>
      <c r="H6278" s="39" t="n">
        <v>45963</v>
      </c>
      <c r="I6278" s="7" t="s">
        <v>14651</v>
      </c>
      <c r="J6278" s="8" t="str">
        <f aca="false">IF(I6278="Open",DATE(2025,12,31)-F6278,"-")</f>
        <v>-</v>
      </c>
    </row>
    <row r="6279" customFormat="false" ht="15" hidden="false" customHeight="false" outlineLevel="0" collapsed="false">
      <c r="B6279" s="7" t="s">
        <v>20925</v>
      </c>
      <c r="C6279" s="7" t="s">
        <v>6776</v>
      </c>
      <c r="D6279" s="7" t="s">
        <v>363</v>
      </c>
      <c r="E6279" s="7" t="s">
        <v>156</v>
      </c>
      <c r="F6279" s="39" t="n">
        <v>45950</v>
      </c>
      <c r="G6279" s="41" t="n">
        <v>128.86</v>
      </c>
      <c r="H6279" s="39" t="n">
        <v>45951</v>
      </c>
      <c r="I6279" s="7" t="s">
        <v>14651</v>
      </c>
      <c r="J6279" s="8" t="str">
        <f aca="false">IF(I6279="Open",DATE(2025,12,31)-F6279,"-")</f>
        <v>-</v>
      </c>
    </row>
    <row r="6280" customFormat="false" ht="15" hidden="false" customHeight="false" outlineLevel="0" collapsed="false">
      <c r="B6280" s="7" t="s">
        <v>20926</v>
      </c>
      <c r="C6280" s="7" t="s">
        <v>6777</v>
      </c>
      <c r="D6280" s="7" t="s">
        <v>365</v>
      </c>
      <c r="E6280" s="7" t="s">
        <v>154</v>
      </c>
      <c r="F6280" s="39" t="n">
        <v>45950</v>
      </c>
      <c r="G6280" s="41" t="n">
        <v>109.76</v>
      </c>
      <c r="H6280" s="39" t="n">
        <v>45986</v>
      </c>
      <c r="I6280" s="7" t="s">
        <v>14651</v>
      </c>
      <c r="J6280" s="8" t="str">
        <f aca="false">IF(I6280="Open",DATE(2025,12,31)-F6280,"-")</f>
        <v>-</v>
      </c>
    </row>
    <row r="6281" customFormat="false" ht="15" hidden="false" customHeight="false" outlineLevel="0" collapsed="false">
      <c r="B6281" s="7" t="s">
        <v>20927</v>
      </c>
      <c r="C6281" s="7" t="s">
        <v>6778</v>
      </c>
      <c r="D6281" s="7" t="s">
        <v>371</v>
      </c>
      <c r="E6281" s="7" t="s">
        <v>154</v>
      </c>
      <c r="F6281" s="39" t="n">
        <v>45950</v>
      </c>
      <c r="G6281" s="41" t="n">
        <v>125.88</v>
      </c>
      <c r="H6281" s="39" t="n">
        <v>46000</v>
      </c>
      <c r="I6281" s="7" t="s">
        <v>14651</v>
      </c>
      <c r="J6281" s="8" t="str">
        <f aca="false">IF(I6281="Open",DATE(2025,12,31)-F6281,"-")</f>
        <v>-</v>
      </c>
    </row>
    <row r="6282" customFormat="false" ht="15" hidden="false" customHeight="false" outlineLevel="0" collapsed="false">
      <c r="B6282" s="7" t="s">
        <v>20928</v>
      </c>
      <c r="C6282" s="7" t="s">
        <v>6779</v>
      </c>
      <c r="D6282" s="7" t="s">
        <v>375</v>
      </c>
      <c r="E6282" s="7" t="s">
        <v>156</v>
      </c>
      <c r="F6282" s="39" t="n">
        <v>45950</v>
      </c>
      <c r="G6282" s="41" t="n">
        <v>110.16</v>
      </c>
      <c r="H6282" s="39" t="n">
        <v>45961</v>
      </c>
      <c r="I6282" s="7" t="s">
        <v>14651</v>
      </c>
      <c r="J6282" s="8" t="str">
        <f aca="false">IF(I6282="Open",DATE(2025,12,31)-F6282,"-")</f>
        <v>-</v>
      </c>
    </row>
    <row r="6283" customFormat="false" ht="15" hidden="false" customHeight="false" outlineLevel="0" collapsed="false">
      <c r="B6283" s="7" t="s">
        <v>20929</v>
      </c>
      <c r="C6283" s="7" t="s">
        <v>6780</v>
      </c>
      <c r="D6283" s="7" t="s">
        <v>377</v>
      </c>
      <c r="E6283" s="7" t="s">
        <v>154</v>
      </c>
      <c r="F6283" s="39" t="n">
        <v>45950</v>
      </c>
      <c r="G6283" s="41" t="n">
        <v>112.84</v>
      </c>
      <c r="H6283" s="39" t="n">
        <v>45997</v>
      </c>
      <c r="I6283" s="7" t="s">
        <v>14651</v>
      </c>
      <c r="J6283" s="8" t="str">
        <f aca="false">IF(I6283="Open",DATE(2025,12,31)-F6283,"-")</f>
        <v>-</v>
      </c>
    </row>
    <row r="6284" customFormat="false" ht="15" hidden="false" customHeight="false" outlineLevel="0" collapsed="false">
      <c r="B6284" s="7" t="s">
        <v>20930</v>
      </c>
      <c r="C6284" s="7" t="s">
        <v>6781</v>
      </c>
      <c r="D6284" s="7" t="s">
        <v>379</v>
      </c>
      <c r="E6284" s="7" t="s">
        <v>156</v>
      </c>
      <c r="F6284" s="39" t="n">
        <v>45950</v>
      </c>
      <c r="G6284" s="41" t="n">
        <v>174.42</v>
      </c>
      <c r="H6284" s="39" t="n">
        <v>45968</v>
      </c>
      <c r="I6284" s="7" t="s">
        <v>14651</v>
      </c>
      <c r="J6284" s="8" t="str">
        <f aca="false">IF(I6284="Open",DATE(2025,12,31)-F6284,"-")</f>
        <v>-</v>
      </c>
    </row>
    <row r="6285" customFormat="false" ht="15" hidden="false" customHeight="false" outlineLevel="0" collapsed="false">
      <c r="B6285" s="7" t="s">
        <v>20931</v>
      </c>
      <c r="C6285" s="7" t="s">
        <v>6782</v>
      </c>
      <c r="D6285" s="7" t="s">
        <v>385</v>
      </c>
      <c r="E6285" s="7" t="s">
        <v>156</v>
      </c>
      <c r="F6285" s="39" t="n">
        <v>45950</v>
      </c>
      <c r="G6285" s="41" t="n">
        <v>133.28</v>
      </c>
      <c r="H6285" s="39" t="n">
        <v>45969</v>
      </c>
      <c r="I6285" s="7" t="s">
        <v>14651</v>
      </c>
      <c r="J6285" s="8" t="str">
        <f aca="false">IF(I6285="Open",DATE(2025,12,31)-F6285,"-")</f>
        <v>-</v>
      </c>
    </row>
    <row r="6286" customFormat="false" ht="15" hidden="false" customHeight="false" outlineLevel="0" collapsed="false">
      <c r="B6286" s="7" t="s">
        <v>20932</v>
      </c>
      <c r="C6286" s="7" t="s">
        <v>6783</v>
      </c>
      <c r="D6286" s="7" t="s">
        <v>387</v>
      </c>
      <c r="E6286" s="7" t="s">
        <v>154</v>
      </c>
      <c r="F6286" s="39" t="n">
        <v>45950</v>
      </c>
      <c r="G6286" s="41" t="n">
        <v>101.28</v>
      </c>
      <c r="H6286" s="39" t="n">
        <v>46012</v>
      </c>
      <c r="I6286" s="7" t="s">
        <v>14651</v>
      </c>
      <c r="J6286" s="8" t="str">
        <f aca="false">IF(I6286="Open",DATE(2025,12,31)-F6286,"-")</f>
        <v>-</v>
      </c>
    </row>
    <row r="6287" customFormat="false" ht="15" hidden="false" customHeight="false" outlineLevel="0" collapsed="false">
      <c r="B6287" s="7" t="s">
        <v>20933</v>
      </c>
      <c r="C6287" s="7" t="s">
        <v>6784</v>
      </c>
      <c r="D6287" s="7" t="s">
        <v>389</v>
      </c>
      <c r="E6287" s="7" t="s">
        <v>154</v>
      </c>
      <c r="F6287" s="39" t="n">
        <v>45950</v>
      </c>
      <c r="G6287" s="41" t="n">
        <v>102.05</v>
      </c>
      <c r="H6287" s="39" t="n">
        <v>45991</v>
      </c>
      <c r="I6287" s="7" t="s">
        <v>14651</v>
      </c>
      <c r="J6287" s="8" t="str">
        <f aca="false">IF(I6287="Open",DATE(2025,12,31)-F6287,"-")</f>
        <v>-</v>
      </c>
    </row>
    <row r="6288" customFormat="false" ht="15" hidden="false" customHeight="false" outlineLevel="0" collapsed="false">
      <c r="B6288" s="7" t="s">
        <v>20934</v>
      </c>
      <c r="C6288" s="7" t="s">
        <v>6785</v>
      </c>
      <c r="D6288" s="7" t="s">
        <v>391</v>
      </c>
      <c r="E6288" s="7" t="s">
        <v>156</v>
      </c>
      <c r="F6288" s="39" t="n">
        <v>45950</v>
      </c>
      <c r="G6288" s="41" t="n">
        <v>128.18</v>
      </c>
      <c r="H6288" s="39" t="n">
        <v>45973</v>
      </c>
      <c r="I6288" s="7" t="s">
        <v>14651</v>
      </c>
      <c r="J6288" s="8" t="str">
        <f aca="false">IF(I6288="Open",DATE(2025,12,31)-F6288,"-")</f>
        <v>-</v>
      </c>
    </row>
    <row r="6289" customFormat="false" ht="15" hidden="false" customHeight="false" outlineLevel="0" collapsed="false">
      <c r="B6289" s="7" t="s">
        <v>20935</v>
      </c>
      <c r="C6289" s="7" t="s">
        <v>6786</v>
      </c>
      <c r="D6289" s="7" t="s">
        <v>395</v>
      </c>
      <c r="E6289" s="7" t="s">
        <v>156</v>
      </c>
      <c r="F6289" s="39" t="n">
        <v>45950</v>
      </c>
      <c r="G6289" s="41" t="n">
        <v>127.84</v>
      </c>
      <c r="H6289" s="39" t="n">
        <v>45964</v>
      </c>
      <c r="I6289" s="7" t="s">
        <v>14651</v>
      </c>
      <c r="J6289" s="8" t="str">
        <f aca="false">IF(I6289="Open",DATE(2025,12,31)-F6289,"-")</f>
        <v>-</v>
      </c>
    </row>
    <row r="6290" customFormat="false" ht="15" hidden="false" customHeight="false" outlineLevel="0" collapsed="false">
      <c r="B6290" s="7" t="s">
        <v>20936</v>
      </c>
      <c r="C6290" s="7" t="s">
        <v>6787</v>
      </c>
      <c r="D6290" s="7" t="s">
        <v>401</v>
      </c>
      <c r="E6290" s="7" t="s">
        <v>156</v>
      </c>
      <c r="F6290" s="39" t="n">
        <v>45950</v>
      </c>
      <c r="G6290" s="41" t="n">
        <v>130.22</v>
      </c>
      <c r="H6290" s="39" t="n">
        <v>45957</v>
      </c>
      <c r="I6290" s="7" t="s">
        <v>14651</v>
      </c>
      <c r="J6290" s="8" t="str">
        <f aca="false">IF(I6290="Open",DATE(2025,12,31)-F6290,"-")</f>
        <v>-</v>
      </c>
    </row>
    <row r="6291" customFormat="false" ht="15" hidden="false" customHeight="false" outlineLevel="0" collapsed="false">
      <c r="B6291" s="7" t="s">
        <v>20937</v>
      </c>
      <c r="C6291" s="7" t="s">
        <v>6788</v>
      </c>
      <c r="D6291" s="7" t="s">
        <v>403</v>
      </c>
      <c r="E6291" s="7" t="s">
        <v>156</v>
      </c>
      <c r="F6291" s="39" t="n">
        <v>45950</v>
      </c>
      <c r="G6291" s="41" t="n">
        <v>145.18</v>
      </c>
      <c r="H6291" s="39" t="n">
        <v>45957</v>
      </c>
      <c r="I6291" s="7" t="s">
        <v>14651</v>
      </c>
      <c r="J6291" s="8" t="str">
        <f aca="false">IF(I6291="Open",DATE(2025,12,31)-F6291,"-")</f>
        <v>-</v>
      </c>
    </row>
    <row r="6292" customFormat="false" ht="15" hidden="false" customHeight="false" outlineLevel="0" collapsed="false">
      <c r="B6292" s="7" t="s">
        <v>20938</v>
      </c>
      <c r="C6292" s="7" t="s">
        <v>6789</v>
      </c>
      <c r="D6292" s="7" t="s">
        <v>409</v>
      </c>
      <c r="E6292" s="7" t="s">
        <v>154</v>
      </c>
      <c r="F6292" s="39" t="n">
        <v>45950</v>
      </c>
      <c r="G6292" s="41" t="n">
        <v>83.53</v>
      </c>
      <c r="H6292" s="6" t="s">
        <v>182</v>
      </c>
      <c r="I6292" s="7" t="s">
        <v>19787</v>
      </c>
      <c r="J6292" s="8" t="n">
        <f aca="false">IF(I6292="Open",DATE(2025,12,31)-F6292,"-")</f>
        <v>72</v>
      </c>
    </row>
    <row r="6293" customFormat="false" ht="15" hidden="false" customHeight="false" outlineLevel="0" collapsed="false">
      <c r="B6293" s="7" t="s">
        <v>20939</v>
      </c>
      <c r="C6293" s="7" t="s">
        <v>6790</v>
      </c>
      <c r="D6293" s="7" t="s">
        <v>411</v>
      </c>
      <c r="E6293" s="7" t="s">
        <v>154</v>
      </c>
      <c r="F6293" s="39" t="n">
        <v>45950</v>
      </c>
      <c r="G6293" s="41" t="n">
        <v>131.18</v>
      </c>
      <c r="H6293" s="39" t="n">
        <v>45993</v>
      </c>
      <c r="I6293" s="7" t="s">
        <v>14651</v>
      </c>
      <c r="J6293" s="8" t="str">
        <f aca="false">IF(I6293="Open",DATE(2025,12,31)-F6293,"-")</f>
        <v>-</v>
      </c>
    </row>
    <row r="6294" customFormat="false" ht="15" hidden="false" customHeight="false" outlineLevel="0" collapsed="false">
      <c r="B6294" s="7" t="s">
        <v>20940</v>
      </c>
      <c r="C6294" s="7" t="s">
        <v>6791</v>
      </c>
      <c r="D6294" s="7" t="s">
        <v>288</v>
      </c>
      <c r="E6294" s="7" t="s">
        <v>156</v>
      </c>
      <c r="F6294" s="39" t="n">
        <v>45951</v>
      </c>
      <c r="G6294" s="41" t="n">
        <v>134.3</v>
      </c>
      <c r="H6294" s="39" t="n">
        <v>45957</v>
      </c>
      <c r="I6294" s="7" t="s">
        <v>14651</v>
      </c>
      <c r="J6294" s="8" t="str">
        <f aca="false">IF(I6294="Open",DATE(2025,12,31)-F6294,"-")</f>
        <v>-</v>
      </c>
    </row>
    <row r="6295" customFormat="false" ht="15" hidden="false" customHeight="false" outlineLevel="0" collapsed="false">
      <c r="B6295" s="7" t="s">
        <v>20941</v>
      </c>
      <c r="C6295" s="7" t="s">
        <v>6792</v>
      </c>
      <c r="D6295" s="7" t="s">
        <v>293</v>
      </c>
      <c r="E6295" s="7" t="s">
        <v>157</v>
      </c>
      <c r="F6295" s="39" t="n">
        <v>45951</v>
      </c>
      <c r="G6295" s="41" t="n">
        <v>155.1</v>
      </c>
      <c r="H6295" s="39" t="n">
        <v>45990</v>
      </c>
      <c r="I6295" s="7" t="s">
        <v>14651</v>
      </c>
      <c r="J6295" s="8" t="str">
        <f aca="false">IF(I6295="Open",DATE(2025,12,31)-F6295,"-")</f>
        <v>-</v>
      </c>
    </row>
    <row r="6296" customFormat="false" ht="15" hidden="false" customHeight="false" outlineLevel="0" collapsed="false">
      <c r="B6296" s="7" t="s">
        <v>20942</v>
      </c>
      <c r="C6296" s="7" t="s">
        <v>6793</v>
      </c>
      <c r="D6296" s="7" t="s">
        <v>301</v>
      </c>
      <c r="E6296" s="7" t="s">
        <v>157</v>
      </c>
      <c r="F6296" s="39" t="n">
        <v>45951</v>
      </c>
      <c r="G6296" s="41" t="n">
        <v>164.5</v>
      </c>
      <c r="H6296" s="39" t="n">
        <v>45975</v>
      </c>
      <c r="I6296" s="7" t="s">
        <v>14651</v>
      </c>
      <c r="J6296" s="8" t="str">
        <f aca="false">IF(I6296="Open",DATE(2025,12,31)-F6296,"-")</f>
        <v>-</v>
      </c>
    </row>
    <row r="6297" customFormat="false" ht="15" hidden="false" customHeight="false" outlineLevel="0" collapsed="false">
      <c r="B6297" s="7" t="s">
        <v>20943</v>
      </c>
      <c r="C6297" s="7" t="s">
        <v>6794</v>
      </c>
      <c r="D6297" s="7" t="s">
        <v>313</v>
      </c>
      <c r="E6297" s="7" t="s">
        <v>156</v>
      </c>
      <c r="F6297" s="39" t="n">
        <v>45951</v>
      </c>
      <c r="G6297" s="41" t="n">
        <v>146.2</v>
      </c>
      <c r="H6297" s="39" t="n">
        <v>45960</v>
      </c>
      <c r="I6297" s="7" t="s">
        <v>14651</v>
      </c>
      <c r="J6297" s="8" t="str">
        <f aca="false">IF(I6297="Open",DATE(2025,12,31)-F6297,"-")</f>
        <v>-</v>
      </c>
    </row>
    <row r="6298" customFormat="false" ht="15" hidden="false" customHeight="false" outlineLevel="0" collapsed="false">
      <c r="B6298" s="7" t="s">
        <v>20944</v>
      </c>
      <c r="C6298" s="7" t="s">
        <v>6795</v>
      </c>
      <c r="D6298" s="7" t="s">
        <v>319</v>
      </c>
      <c r="E6298" s="7" t="s">
        <v>157</v>
      </c>
      <c r="F6298" s="39" t="n">
        <v>45951</v>
      </c>
      <c r="G6298" s="41" t="n">
        <v>181.5</v>
      </c>
      <c r="H6298" s="39" t="n">
        <v>45997</v>
      </c>
      <c r="I6298" s="7" t="s">
        <v>14651</v>
      </c>
      <c r="J6298" s="8" t="str">
        <f aca="false">IF(I6298="Open",DATE(2025,12,31)-F6298,"-")</f>
        <v>-</v>
      </c>
    </row>
    <row r="6299" customFormat="false" ht="15" hidden="false" customHeight="false" outlineLevel="0" collapsed="false">
      <c r="B6299" s="7" t="s">
        <v>20945</v>
      </c>
      <c r="C6299" s="7" t="s">
        <v>6796</v>
      </c>
      <c r="D6299" s="7" t="s">
        <v>321</v>
      </c>
      <c r="E6299" s="7" t="s">
        <v>154</v>
      </c>
      <c r="F6299" s="39" t="n">
        <v>45951</v>
      </c>
      <c r="G6299" s="41" t="n">
        <v>97.18</v>
      </c>
      <c r="H6299" s="39" t="n">
        <v>45987</v>
      </c>
      <c r="I6299" s="7" t="s">
        <v>14651</v>
      </c>
      <c r="J6299" s="8" t="str">
        <f aca="false">IF(I6299="Open",DATE(2025,12,31)-F6299,"-")</f>
        <v>-</v>
      </c>
    </row>
    <row r="6300" customFormat="false" ht="15" hidden="false" customHeight="false" outlineLevel="0" collapsed="false">
      <c r="B6300" s="7" t="s">
        <v>20946</v>
      </c>
      <c r="C6300" s="7" t="s">
        <v>6797</v>
      </c>
      <c r="D6300" s="7" t="s">
        <v>323</v>
      </c>
      <c r="E6300" s="7" t="s">
        <v>159</v>
      </c>
      <c r="F6300" s="39" t="n">
        <v>45951</v>
      </c>
      <c r="G6300" s="41" t="n">
        <v>140.4</v>
      </c>
      <c r="H6300" s="6" t="s">
        <v>182</v>
      </c>
      <c r="I6300" s="7" t="s">
        <v>19787</v>
      </c>
      <c r="J6300" s="8" t="n">
        <f aca="false">IF(I6300="Open",DATE(2025,12,31)-F6300,"-")</f>
        <v>71</v>
      </c>
    </row>
    <row r="6301" customFormat="false" ht="15" hidden="false" customHeight="false" outlineLevel="0" collapsed="false">
      <c r="B6301" s="7" t="s">
        <v>20947</v>
      </c>
      <c r="C6301" s="7" t="s">
        <v>6798</v>
      </c>
      <c r="D6301" s="7" t="s">
        <v>327</v>
      </c>
      <c r="E6301" s="7" t="s">
        <v>157</v>
      </c>
      <c r="F6301" s="39" t="n">
        <v>45951</v>
      </c>
      <c r="G6301" s="41" t="n">
        <v>176.55</v>
      </c>
      <c r="H6301" s="39" t="n">
        <v>46005</v>
      </c>
      <c r="I6301" s="7" t="s">
        <v>14651</v>
      </c>
      <c r="J6301" s="8" t="str">
        <f aca="false">IF(I6301="Open",DATE(2025,12,31)-F6301,"-")</f>
        <v>-</v>
      </c>
    </row>
    <row r="6302" customFormat="false" ht="15" hidden="false" customHeight="false" outlineLevel="0" collapsed="false">
      <c r="B6302" s="7" t="s">
        <v>20948</v>
      </c>
      <c r="C6302" s="7" t="s">
        <v>6799</v>
      </c>
      <c r="D6302" s="7" t="s">
        <v>329</v>
      </c>
      <c r="E6302" s="7" t="s">
        <v>156</v>
      </c>
      <c r="F6302" s="39" t="n">
        <v>45951</v>
      </c>
      <c r="G6302" s="41" t="n">
        <v>144.84</v>
      </c>
      <c r="H6302" s="39" t="n">
        <v>45962</v>
      </c>
      <c r="I6302" s="7" t="s">
        <v>14651</v>
      </c>
      <c r="J6302" s="8" t="str">
        <f aca="false">IF(I6302="Open",DATE(2025,12,31)-F6302,"-")</f>
        <v>-</v>
      </c>
    </row>
    <row r="6303" customFormat="false" ht="15" hidden="false" customHeight="false" outlineLevel="0" collapsed="false">
      <c r="B6303" s="7" t="s">
        <v>20949</v>
      </c>
      <c r="C6303" s="7" t="s">
        <v>6800</v>
      </c>
      <c r="D6303" s="7" t="s">
        <v>349</v>
      </c>
      <c r="E6303" s="7" t="s">
        <v>154</v>
      </c>
      <c r="F6303" s="39" t="n">
        <v>45951</v>
      </c>
      <c r="G6303" s="41" t="n">
        <v>101.76</v>
      </c>
      <c r="H6303" s="39" t="n">
        <v>45993</v>
      </c>
      <c r="I6303" s="7" t="s">
        <v>14651</v>
      </c>
      <c r="J6303" s="8" t="str">
        <f aca="false">IF(I6303="Open",DATE(2025,12,31)-F6303,"-")</f>
        <v>-</v>
      </c>
    </row>
    <row r="6304" customFormat="false" ht="15" hidden="false" customHeight="false" outlineLevel="0" collapsed="false">
      <c r="B6304" s="7" t="s">
        <v>20950</v>
      </c>
      <c r="C6304" s="7" t="s">
        <v>6801</v>
      </c>
      <c r="D6304" s="7" t="s">
        <v>359</v>
      </c>
      <c r="E6304" s="7" t="s">
        <v>156</v>
      </c>
      <c r="F6304" s="39" t="n">
        <v>45951</v>
      </c>
      <c r="G6304" s="41" t="n">
        <v>124.1</v>
      </c>
      <c r="H6304" s="39" t="n">
        <v>45966</v>
      </c>
      <c r="I6304" s="7" t="s">
        <v>14651</v>
      </c>
      <c r="J6304" s="8" t="str">
        <f aca="false">IF(I6304="Open",DATE(2025,12,31)-F6304,"-")</f>
        <v>-</v>
      </c>
    </row>
    <row r="6305" customFormat="false" ht="15" hidden="false" customHeight="false" outlineLevel="0" collapsed="false">
      <c r="B6305" s="7" t="s">
        <v>20951</v>
      </c>
      <c r="C6305" s="7" t="s">
        <v>6802</v>
      </c>
      <c r="D6305" s="7" t="s">
        <v>361</v>
      </c>
      <c r="E6305" s="7" t="s">
        <v>157</v>
      </c>
      <c r="F6305" s="39" t="n">
        <v>45951</v>
      </c>
      <c r="G6305" s="41" t="n">
        <v>169.95</v>
      </c>
      <c r="H6305" s="39" t="n">
        <v>45996</v>
      </c>
      <c r="I6305" s="7" t="s">
        <v>14651</v>
      </c>
      <c r="J6305" s="8" t="str">
        <f aca="false">IF(I6305="Open",DATE(2025,12,31)-F6305,"-")</f>
        <v>-</v>
      </c>
    </row>
    <row r="6306" customFormat="false" ht="15" hidden="false" customHeight="false" outlineLevel="0" collapsed="false">
      <c r="B6306" s="7" t="s">
        <v>20952</v>
      </c>
      <c r="C6306" s="7" t="s">
        <v>6803</v>
      </c>
      <c r="D6306" s="7" t="s">
        <v>365</v>
      </c>
      <c r="E6306" s="7" t="s">
        <v>154</v>
      </c>
      <c r="F6306" s="39" t="n">
        <v>45951</v>
      </c>
      <c r="G6306" s="41" t="n">
        <v>98.84</v>
      </c>
      <c r="H6306" s="6" t="s">
        <v>182</v>
      </c>
      <c r="I6306" s="7" t="s">
        <v>19787</v>
      </c>
      <c r="J6306" s="8" t="n">
        <f aca="false">IF(I6306="Open",DATE(2025,12,31)-F6306,"-")</f>
        <v>71</v>
      </c>
    </row>
    <row r="6307" customFormat="false" ht="15" hidden="false" customHeight="false" outlineLevel="0" collapsed="false">
      <c r="B6307" s="7" t="s">
        <v>20953</v>
      </c>
      <c r="C6307" s="7" t="s">
        <v>6804</v>
      </c>
      <c r="D6307" s="7" t="s">
        <v>369</v>
      </c>
      <c r="E6307" s="7" t="s">
        <v>159</v>
      </c>
      <c r="F6307" s="39" t="n">
        <v>45951</v>
      </c>
      <c r="G6307" s="41" t="n">
        <v>126.9</v>
      </c>
      <c r="H6307" s="39" t="n">
        <v>45980</v>
      </c>
      <c r="I6307" s="7" t="s">
        <v>14651</v>
      </c>
      <c r="J6307" s="8" t="str">
        <f aca="false">IF(I6307="Open",DATE(2025,12,31)-F6307,"-")</f>
        <v>-</v>
      </c>
    </row>
    <row r="6308" customFormat="false" ht="15" hidden="false" customHeight="false" outlineLevel="0" collapsed="false">
      <c r="B6308" s="7" t="s">
        <v>20954</v>
      </c>
      <c r="C6308" s="7" t="s">
        <v>6805</v>
      </c>
      <c r="D6308" s="7" t="s">
        <v>381</v>
      </c>
      <c r="E6308" s="7" t="s">
        <v>157</v>
      </c>
      <c r="F6308" s="39" t="n">
        <v>45951</v>
      </c>
      <c r="G6308" s="41" t="n">
        <v>169.95</v>
      </c>
      <c r="H6308" s="39" t="n">
        <v>46000</v>
      </c>
      <c r="I6308" s="7" t="s">
        <v>14651</v>
      </c>
      <c r="J6308" s="8" t="str">
        <f aca="false">IF(I6308="Open",DATE(2025,12,31)-F6308,"-")</f>
        <v>-</v>
      </c>
    </row>
    <row r="6309" customFormat="false" ht="15" hidden="false" customHeight="false" outlineLevel="0" collapsed="false">
      <c r="B6309" s="7" t="s">
        <v>20955</v>
      </c>
      <c r="C6309" s="7" t="s">
        <v>6806</v>
      </c>
      <c r="D6309" s="7" t="s">
        <v>383</v>
      </c>
      <c r="E6309" s="7" t="s">
        <v>157</v>
      </c>
      <c r="F6309" s="39" t="n">
        <v>45951</v>
      </c>
      <c r="G6309" s="41" t="n">
        <v>148.5</v>
      </c>
      <c r="H6309" s="39" t="n">
        <v>45985</v>
      </c>
      <c r="I6309" s="7" t="s">
        <v>14651</v>
      </c>
      <c r="J6309" s="8" t="str">
        <f aca="false">IF(I6309="Open",DATE(2025,12,31)-F6309,"-")</f>
        <v>-</v>
      </c>
    </row>
    <row r="6310" customFormat="false" ht="15" hidden="false" customHeight="false" outlineLevel="0" collapsed="false">
      <c r="B6310" s="7" t="s">
        <v>20956</v>
      </c>
      <c r="C6310" s="7" t="s">
        <v>6807</v>
      </c>
      <c r="D6310" s="7" t="s">
        <v>387</v>
      </c>
      <c r="E6310" s="7" t="s">
        <v>154</v>
      </c>
      <c r="F6310" s="39" t="n">
        <v>45951</v>
      </c>
      <c r="G6310" s="41" t="n">
        <v>112.62</v>
      </c>
      <c r="H6310" s="39" t="n">
        <v>45996</v>
      </c>
      <c r="I6310" s="7" t="s">
        <v>14651</v>
      </c>
      <c r="J6310" s="8" t="str">
        <f aca="false">IF(I6310="Open",DATE(2025,12,31)-F6310,"-")</f>
        <v>-</v>
      </c>
    </row>
    <row r="6311" customFormat="false" ht="15" hidden="false" customHeight="false" outlineLevel="0" collapsed="false">
      <c r="B6311" s="7" t="s">
        <v>20957</v>
      </c>
      <c r="C6311" s="7" t="s">
        <v>6808</v>
      </c>
      <c r="D6311" s="7" t="s">
        <v>389</v>
      </c>
      <c r="E6311" s="7" t="s">
        <v>154</v>
      </c>
      <c r="F6311" s="39" t="n">
        <v>45951</v>
      </c>
      <c r="G6311" s="41" t="n">
        <v>103.09</v>
      </c>
      <c r="H6311" s="39" t="n">
        <v>45982</v>
      </c>
      <c r="I6311" s="7" t="s">
        <v>14651</v>
      </c>
      <c r="J6311" s="8" t="str">
        <f aca="false">IF(I6311="Open",DATE(2025,12,31)-F6311,"-")</f>
        <v>-</v>
      </c>
    </row>
    <row r="6312" customFormat="false" ht="15" hidden="false" customHeight="false" outlineLevel="0" collapsed="false">
      <c r="B6312" s="7" t="s">
        <v>20958</v>
      </c>
      <c r="C6312" s="7" t="s">
        <v>6809</v>
      </c>
      <c r="D6312" s="7" t="s">
        <v>391</v>
      </c>
      <c r="E6312" s="7" t="s">
        <v>156</v>
      </c>
      <c r="F6312" s="39" t="n">
        <v>45951</v>
      </c>
      <c r="G6312" s="41" t="n">
        <v>127.16</v>
      </c>
      <c r="H6312" s="39" t="n">
        <v>45964</v>
      </c>
      <c r="I6312" s="7" t="s">
        <v>14651</v>
      </c>
      <c r="J6312" s="8" t="str">
        <f aca="false">IF(I6312="Open",DATE(2025,12,31)-F6312,"-")</f>
        <v>-</v>
      </c>
    </row>
    <row r="6313" customFormat="false" ht="15" hidden="false" customHeight="false" outlineLevel="0" collapsed="false">
      <c r="B6313" s="7" t="s">
        <v>20959</v>
      </c>
      <c r="C6313" s="7" t="s">
        <v>6810</v>
      </c>
      <c r="D6313" s="7" t="s">
        <v>395</v>
      </c>
      <c r="E6313" s="7" t="s">
        <v>156</v>
      </c>
      <c r="F6313" s="39" t="n">
        <v>45951</v>
      </c>
      <c r="G6313" s="41" t="n">
        <v>147.56</v>
      </c>
      <c r="H6313" s="39" t="n">
        <v>45954</v>
      </c>
      <c r="I6313" s="7" t="s">
        <v>14651</v>
      </c>
      <c r="J6313" s="8" t="str">
        <f aca="false">IF(I6313="Open",DATE(2025,12,31)-F6313,"-")</f>
        <v>-</v>
      </c>
    </row>
    <row r="6314" customFormat="false" ht="15" hidden="false" customHeight="false" outlineLevel="0" collapsed="false">
      <c r="B6314" s="7" t="s">
        <v>20960</v>
      </c>
      <c r="C6314" s="7" t="s">
        <v>6811</v>
      </c>
      <c r="D6314" s="7" t="s">
        <v>397</v>
      </c>
      <c r="E6314" s="7" t="s">
        <v>159</v>
      </c>
      <c r="F6314" s="39" t="n">
        <v>45951</v>
      </c>
      <c r="G6314" s="41" t="n">
        <v>125.55</v>
      </c>
      <c r="H6314" s="6" t="s">
        <v>182</v>
      </c>
      <c r="I6314" s="7" t="s">
        <v>19787</v>
      </c>
      <c r="J6314" s="8" t="n">
        <f aca="false">IF(I6314="Open",DATE(2025,12,31)-F6314,"-")</f>
        <v>71</v>
      </c>
    </row>
    <row r="6315" customFormat="false" ht="15" hidden="false" customHeight="false" outlineLevel="0" collapsed="false">
      <c r="B6315" s="7" t="s">
        <v>20961</v>
      </c>
      <c r="C6315" s="7" t="s">
        <v>6812</v>
      </c>
      <c r="D6315" s="7" t="s">
        <v>401</v>
      </c>
      <c r="E6315" s="7" t="s">
        <v>156</v>
      </c>
      <c r="F6315" s="39" t="n">
        <v>45951</v>
      </c>
      <c r="G6315" s="41" t="n">
        <v>124.44</v>
      </c>
      <c r="H6315" s="39" t="n">
        <v>45969</v>
      </c>
      <c r="I6315" s="7" t="s">
        <v>14651</v>
      </c>
      <c r="J6315" s="8" t="str">
        <f aca="false">IF(I6315="Open",DATE(2025,12,31)-F6315,"-")</f>
        <v>-</v>
      </c>
    </row>
    <row r="6316" customFormat="false" ht="15" hidden="false" customHeight="false" outlineLevel="0" collapsed="false">
      <c r="B6316" s="7" t="s">
        <v>20962</v>
      </c>
      <c r="C6316" s="7" t="s">
        <v>6813</v>
      </c>
      <c r="D6316" s="7" t="s">
        <v>407</v>
      </c>
      <c r="E6316" s="7" t="s">
        <v>159</v>
      </c>
      <c r="F6316" s="39" t="n">
        <v>45951</v>
      </c>
      <c r="G6316" s="41" t="n">
        <v>129.6</v>
      </c>
      <c r="H6316" s="39" t="n">
        <v>45977</v>
      </c>
      <c r="I6316" s="7" t="s">
        <v>14651</v>
      </c>
      <c r="J6316" s="8" t="str">
        <f aca="false">IF(I6316="Open",DATE(2025,12,31)-F6316,"-")</f>
        <v>-</v>
      </c>
    </row>
    <row r="6317" customFormat="false" ht="15" hidden="false" customHeight="false" outlineLevel="0" collapsed="false">
      <c r="B6317" s="7" t="s">
        <v>20963</v>
      </c>
      <c r="C6317" s="7" t="s">
        <v>6814</v>
      </c>
      <c r="D6317" s="7" t="s">
        <v>288</v>
      </c>
      <c r="E6317" s="7" t="s">
        <v>156</v>
      </c>
      <c r="F6317" s="39" t="n">
        <v>45952</v>
      </c>
      <c r="G6317" s="41" t="n">
        <v>129.88</v>
      </c>
      <c r="H6317" s="39" t="n">
        <v>45966</v>
      </c>
      <c r="I6317" s="7" t="s">
        <v>14651</v>
      </c>
      <c r="J6317" s="8" t="str">
        <f aca="false">IF(I6317="Open",DATE(2025,12,31)-F6317,"-")</f>
        <v>-</v>
      </c>
    </row>
    <row r="6318" customFormat="false" ht="15" hidden="false" customHeight="false" outlineLevel="0" collapsed="false">
      <c r="B6318" s="7" t="s">
        <v>20964</v>
      </c>
      <c r="C6318" s="7" t="s">
        <v>6815</v>
      </c>
      <c r="D6318" s="7" t="s">
        <v>291</v>
      </c>
      <c r="E6318" s="7" t="s">
        <v>154</v>
      </c>
      <c r="F6318" s="39" t="n">
        <v>45952</v>
      </c>
      <c r="G6318" s="41" t="n">
        <v>115.54</v>
      </c>
      <c r="H6318" s="6" t="s">
        <v>182</v>
      </c>
      <c r="I6318" s="7" t="s">
        <v>19787</v>
      </c>
      <c r="J6318" s="8" t="n">
        <f aca="false">IF(I6318="Open",DATE(2025,12,31)-F6318,"-")</f>
        <v>70</v>
      </c>
    </row>
    <row r="6319" customFormat="false" ht="15" hidden="false" customHeight="false" outlineLevel="0" collapsed="false">
      <c r="B6319" s="7" t="s">
        <v>20965</v>
      </c>
      <c r="C6319" s="7" t="s">
        <v>6816</v>
      </c>
      <c r="D6319" s="7" t="s">
        <v>295</v>
      </c>
      <c r="E6319" s="7" t="s">
        <v>154</v>
      </c>
      <c r="F6319" s="39" t="n">
        <v>45952</v>
      </c>
      <c r="G6319" s="41" t="n">
        <v>100.7</v>
      </c>
      <c r="H6319" s="6" t="s">
        <v>182</v>
      </c>
      <c r="I6319" s="7" t="s">
        <v>19787</v>
      </c>
      <c r="J6319" s="8" t="n">
        <f aca="false">IF(I6319="Open",DATE(2025,12,31)-F6319,"-")</f>
        <v>70</v>
      </c>
    </row>
    <row r="6320" customFormat="false" ht="15" hidden="false" customHeight="false" outlineLevel="0" collapsed="false">
      <c r="B6320" s="7" t="s">
        <v>20966</v>
      </c>
      <c r="C6320" s="7" t="s">
        <v>6817</v>
      </c>
      <c r="D6320" s="7" t="s">
        <v>305</v>
      </c>
      <c r="E6320" s="7" t="s">
        <v>154</v>
      </c>
      <c r="F6320" s="39" t="n">
        <v>45952</v>
      </c>
      <c r="G6320" s="41" t="n">
        <v>100.7</v>
      </c>
      <c r="H6320" s="39" t="n">
        <v>45998</v>
      </c>
      <c r="I6320" s="7" t="s">
        <v>14651</v>
      </c>
      <c r="J6320" s="8" t="str">
        <f aca="false">IF(I6320="Open",DATE(2025,12,31)-F6320,"-")</f>
        <v>-</v>
      </c>
    </row>
    <row r="6321" customFormat="false" ht="15" hidden="false" customHeight="false" outlineLevel="0" collapsed="false">
      <c r="B6321" s="7" t="s">
        <v>20967</v>
      </c>
      <c r="C6321" s="7" t="s">
        <v>6818</v>
      </c>
      <c r="D6321" s="7" t="s">
        <v>307</v>
      </c>
      <c r="E6321" s="7" t="s">
        <v>157</v>
      </c>
      <c r="F6321" s="39" t="n">
        <v>45952</v>
      </c>
      <c r="G6321" s="41" t="n">
        <v>160.05</v>
      </c>
      <c r="H6321" s="39" t="n">
        <v>45999</v>
      </c>
      <c r="I6321" s="7" t="s">
        <v>14651</v>
      </c>
      <c r="J6321" s="8" t="str">
        <f aca="false">IF(I6321="Open",DATE(2025,12,31)-F6321,"-")</f>
        <v>-</v>
      </c>
    </row>
    <row r="6322" customFormat="false" ht="15" hidden="false" customHeight="false" outlineLevel="0" collapsed="false">
      <c r="B6322" s="7" t="s">
        <v>20968</v>
      </c>
      <c r="C6322" s="7" t="s">
        <v>6819</v>
      </c>
      <c r="D6322" s="7" t="s">
        <v>309</v>
      </c>
      <c r="E6322" s="7" t="s">
        <v>159</v>
      </c>
      <c r="F6322" s="39" t="n">
        <v>45952</v>
      </c>
      <c r="G6322" s="41" t="n">
        <v>144.45</v>
      </c>
      <c r="H6322" s="39" t="n">
        <v>46011</v>
      </c>
      <c r="I6322" s="7" t="s">
        <v>14651</v>
      </c>
      <c r="J6322" s="8" t="str">
        <f aca="false">IF(I6322="Open",DATE(2025,12,31)-F6322,"-")</f>
        <v>-</v>
      </c>
    </row>
    <row r="6323" customFormat="false" ht="15" hidden="false" customHeight="false" outlineLevel="0" collapsed="false">
      <c r="B6323" s="7" t="s">
        <v>20969</v>
      </c>
      <c r="C6323" s="7" t="s">
        <v>6820</v>
      </c>
      <c r="D6323" s="7" t="s">
        <v>313</v>
      </c>
      <c r="E6323" s="7" t="s">
        <v>156</v>
      </c>
      <c r="F6323" s="39" t="n">
        <v>45952</v>
      </c>
      <c r="G6323" s="41" t="n">
        <v>142.12</v>
      </c>
      <c r="H6323" s="39" t="n">
        <v>45960</v>
      </c>
      <c r="I6323" s="7" t="s">
        <v>14651</v>
      </c>
      <c r="J6323" s="8" t="str">
        <f aca="false">IF(I6323="Open",DATE(2025,12,31)-F6323,"-")</f>
        <v>-</v>
      </c>
    </row>
    <row r="6324" customFormat="false" ht="15" hidden="false" customHeight="false" outlineLevel="0" collapsed="false">
      <c r="B6324" s="7" t="s">
        <v>20970</v>
      </c>
      <c r="C6324" s="7" t="s">
        <v>6821</v>
      </c>
      <c r="D6324" s="7" t="s">
        <v>315</v>
      </c>
      <c r="E6324" s="7" t="s">
        <v>159</v>
      </c>
      <c r="F6324" s="39" t="n">
        <v>45952</v>
      </c>
      <c r="G6324" s="41" t="n">
        <v>133.11</v>
      </c>
      <c r="H6324" s="39" t="n">
        <v>45981</v>
      </c>
      <c r="I6324" s="7" t="s">
        <v>14651</v>
      </c>
      <c r="J6324" s="8" t="str">
        <f aca="false">IF(I6324="Open",DATE(2025,12,31)-F6324,"-")</f>
        <v>-</v>
      </c>
    </row>
    <row r="6325" customFormat="false" ht="15" hidden="false" customHeight="false" outlineLevel="0" collapsed="false">
      <c r="B6325" s="7" t="s">
        <v>20971</v>
      </c>
      <c r="C6325" s="7" t="s">
        <v>6822</v>
      </c>
      <c r="D6325" s="7" t="s">
        <v>321</v>
      </c>
      <c r="E6325" s="7" t="s">
        <v>154</v>
      </c>
      <c r="F6325" s="39" t="n">
        <v>45952</v>
      </c>
      <c r="G6325" s="41" t="n">
        <v>113.42</v>
      </c>
      <c r="H6325" s="39" t="n">
        <v>45998</v>
      </c>
      <c r="I6325" s="7" t="s">
        <v>14651</v>
      </c>
      <c r="J6325" s="8" t="str">
        <f aca="false">IF(I6325="Open",DATE(2025,12,31)-F6325,"-")</f>
        <v>-</v>
      </c>
    </row>
    <row r="6326" customFormat="false" ht="15" hidden="false" customHeight="false" outlineLevel="0" collapsed="false">
      <c r="B6326" s="7" t="s">
        <v>20972</v>
      </c>
      <c r="C6326" s="7" t="s">
        <v>6823</v>
      </c>
      <c r="D6326" s="7" t="s">
        <v>329</v>
      </c>
      <c r="E6326" s="7" t="s">
        <v>156</v>
      </c>
      <c r="F6326" s="39" t="n">
        <v>45952</v>
      </c>
      <c r="G6326" s="41" t="n">
        <v>144.5</v>
      </c>
      <c r="H6326" s="39" t="n">
        <v>45959</v>
      </c>
      <c r="I6326" s="7" t="s">
        <v>14651</v>
      </c>
      <c r="J6326" s="8" t="str">
        <f aca="false">IF(I6326="Open",DATE(2025,12,31)-F6326,"-")</f>
        <v>-</v>
      </c>
    </row>
    <row r="6327" customFormat="false" ht="15" hidden="false" customHeight="false" outlineLevel="0" collapsed="false">
      <c r="B6327" s="7" t="s">
        <v>20973</v>
      </c>
      <c r="C6327" s="7" t="s">
        <v>6824</v>
      </c>
      <c r="D6327" s="7" t="s">
        <v>333</v>
      </c>
      <c r="E6327" s="7" t="s">
        <v>154</v>
      </c>
      <c r="F6327" s="39" t="n">
        <v>45952</v>
      </c>
      <c r="G6327" s="41" t="n">
        <v>90.63</v>
      </c>
      <c r="H6327" s="39" t="n">
        <v>45999</v>
      </c>
      <c r="I6327" s="7" t="s">
        <v>14651</v>
      </c>
      <c r="J6327" s="8" t="str">
        <f aca="false">IF(I6327="Open",DATE(2025,12,31)-F6327,"-")</f>
        <v>-</v>
      </c>
    </row>
    <row r="6328" customFormat="false" ht="15" hidden="false" customHeight="false" outlineLevel="0" collapsed="false">
      <c r="B6328" s="7" t="s">
        <v>20974</v>
      </c>
      <c r="C6328" s="7" t="s">
        <v>6825</v>
      </c>
      <c r="D6328" s="7" t="s">
        <v>335</v>
      </c>
      <c r="E6328" s="7" t="s">
        <v>154</v>
      </c>
      <c r="F6328" s="39" t="n">
        <v>45952</v>
      </c>
      <c r="G6328" s="41" t="n">
        <v>113.95</v>
      </c>
      <c r="H6328" s="39" t="n">
        <v>46013</v>
      </c>
      <c r="I6328" s="7" t="s">
        <v>14651</v>
      </c>
      <c r="J6328" s="8" t="str">
        <f aca="false">IF(I6328="Open",DATE(2025,12,31)-F6328,"-")</f>
        <v>-</v>
      </c>
    </row>
    <row r="6329" customFormat="false" ht="15" hidden="false" customHeight="false" outlineLevel="0" collapsed="false">
      <c r="B6329" s="7" t="s">
        <v>20975</v>
      </c>
      <c r="C6329" s="7" t="s">
        <v>6826</v>
      </c>
      <c r="D6329" s="7" t="s">
        <v>339</v>
      </c>
      <c r="E6329" s="7" t="s">
        <v>154</v>
      </c>
      <c r="F6329" s="39" t="n">
        <v>45952</v>
      </c>
      <c r="G6329" s="41" t="n">
        <v>92.8</v>
      </c>
      <c r="H6329" s="39" t="n">
        <v>46013</v>
      </c>
      <c r="I6329" s="7" t="s">
        <v>14651</v>
      </c>
      <c r="J6329" s="8" t="str">
        <f aca="false">IF(I6329="Open",DATE(2025,12,31)-F6329,"-")</f>
        <v>-</v>
      </c>
    </row>
    <row r="6330" customFormat="false" ht="15" hidden="false" customHeight="false" outlineLevel="0" collapsed="false">
      <c r="B6330" s="7" t="s">
        <v>20976</v>
      </c>
      <c r="C6330" s="7" t="s">
        <v>6827</v>
      </c>
      <c r="D6330" s="7" t="s">
        <v>347</v>
      </c>
      <c r="E6330" s="7" t="s">
        <v>154</v>
      </c>
      <c r="F6330" s="39" t="n">
        <v>45952</v>
      </c>
      <c r="G6330" s="41" t="n">
        <v>131.44</v>
      </c>
      <c r="H6330" s="6" t="s">
        <v>182</v>
      </c>
      <c r="I6330" s="7" t="s">
        <v>19787</v>
      </c>
      <c r="J6330" s="8" t="n">
        <f aca="false">IF(I6330="Open",DATE(2025,12,31)-F6330,"-")</f>
        <v>70</v>
      </c>
    </row>
    <row r="6331" customFormat="false" ht="15" hidden="false" customHeight="false" outlineLevel="0" collapsed="false">
      <c r="B6331" s="7" t="s">
        <v>20977</v>
      </c>
      <c r="C6331" s="7" t="s">
        <v>6828</v>
      </c>
      <c r="D6331" s="7" t="s">
        <v>349</v>
      </c>
      <c r="E6331" s="7" t="s">
        <v>154</v>
      </c>
      <c r="F6331" s="39" t="n">
        <v>45952</v>
      </c>
      <c r="G6331" s="41" t="n">
        <v>111.04</v>
      </c>
      <c r="H6331" s="6" t="s">
        <v>182</v>
      </c>
      <c r="I6331" s="7" t="s">
        <v>19787</v>
      </c>
      <c r="J6331" s="8" t="n">
        <f aca="false">IF(I6331="Open",DATE(2025,12,31)-F6331,"-")</f>
        <v>70</v>
      </c>
    </row>
    <row r="6332" customFormat="false" ht="15" hidden="false" customHeight="false" outlineLevel="0" collapsed="false">
      <c r="B6332" s="7" t="s">
        <v>20978</v>
      </c>
      <c r="C6332" s="7" t="s">
        <v>6829</v>
      </c>
      <c r="D6332" s="7" t="s">
        <v>353</v>
      </c>
      <c r="E6332" s="7" t="s">
        <v>154</v>
      </c>
      <c r="F6332" s="39" t="n">
        <v>45952</v>
      </c>
      <c r="G6332" s="41" t="n">
        <v>81.62</v>
      </c>
      <c r="H6332" s="39" t="n">
        <v>45997</v>
      </c>
      <c r="I6332" s="7" t="s">
        <v>14651</v>
      </c>
      <c r="J6332" s="8" t="str">
        <f aca="false">IF(I6332="Open",DATE(2025,12,31)-F6332,"-")</f>
        <v>-</v>
      </c>
    </row>
    <row r="6333" customFormat="false" ht="15" hidden="false" customHeight="false" outlineLevel="0" collapsed="false">
      <c r="B6333" s="7" t="s">
        <v>20979</v>
      </c>
      <c r="C6333" s="7" t="s">
        <v>6830</v>
      </c>
      <c r="D6333" s="7" t="s">
        <v>355</v>
      </c>
      <c r="E6333" s="7" t="s">
        <v>154</v>
      </c>
      <c r="F6333" s="39" t="n">
        <v>45952</v>
      </c>
      <c r="G6333" s="41" t="n">
        <v>84.27</v>
      </c>
      <c r="H6333" s="39" t="n">
        <v>46009</v>
      </c>
      <c r="I6333" s="7" t="s">
        <v>14651</v>
      </c>
      <c r="J6333" s="8" t="str">
        <f aca="false">IF(I6333="Open",DATE(2025,12,31)-F6333,"-")</f>
        <v>-</v>
      </c>
    </row>
    <row r="6334" customFormat="false" ht="15" hidden="false" customHeight="false" outlineLevel="0" collapsed="false">
      <c r="B6334" s="7" t="s">
        <v>20980</v>
      </c>
      <c r="C6334" s="7" t="s">
        <v>6831</v>
      </c>
      <c r="D6334" s="7" t="s">
        <v>357</v>
      </c>
      <c r="E6334" s="7" t="s">
        <v>154</v>
      </c>
      <c r="F6334" s="39" t="n">
        <v>45952</v>
      </c>
      <c r="G6334" s="41" t="n">
        <v>87.45</v>
      </c>
      <c r="H6334" s="6" t="s">
        <v>182</v>
      </c>
      <c r="I6334" s="7" t="s">
        <v>19787</v>
      </c>
      <c r="J6334" s="8" t="n">
        <f aca="false">IF(I6334="Open",DATE(2025,12,31)-F6334,"-")</f>
        <v>70</v>
      </c>
    </row>
    <row r="6335" customFormat="false" ht="15" hidden="false" customHeight="false" outlineLevel="0" collapsed="false">
      <c r="B6335" s="7" t="s">
        <v>20981</v>
      </c>
      <c r="C6335" s="7" t="s">
        <v>6832</v>
      </c>
      <c r="D6335" s="7" t="s">
        <v>359</v>
      </c>
      <c r="E6335" s="7" t="s">
        <v>156</v>
      </c>
      <c r="F6335" s="39" t="n">
        <v>45952</v>
      </c>
      <c r="G6335" s="41" t="n">
        <v>147.22</v>
      </c>
      <c r="H6335" s="39" t="n">
        <v>45964</v>
      </c>
      <c r="I6335" s="7" t="s">
        <v>14651</v>
      </c>
      <c r="J6335" s="8" t="str">
        <f aca="false">IF(I6335="Open",DATE(2025,12,31)-F6335,"-")</f>
        <v>-</v>
      </c>
    </row>
    <row r="6336" customFormat="false" ht="15" hidden="false" customHeight="false" outlineLevel="0" collapsed="false">
      <c r="B6336" s="7" t="s">
        <v>20982</v>
      </c>
      <c r="C6336" s="7" t="s">
        <v>6833</v>
      </c>
      <c r="D6336" s="7" t="s">
        <v>365</v>
      </c>
      <c r="E6336" s="7" t="s">
        <v>154</v>
      </c>
      <c r="F6336" s="39" t="n">
        <v>45952</v>
      </c>
      <c r="G6336" s="41" t="n">
        <v>96.72</v>
      </c>
      <c r="H6336" s="39" t="n">
        <v>46013</v>
      </c>
      <c r="I6336" s="7" t="s">
        <v>14651</v>
      </c>
      <c r="J6336" s="8" t="str">
        <f aca="false">IF(I6336="Open",DATE(2025,12,31)-F6336,"-")</f>
        <v>-</v>
      </c>
    </row>
    <row r="6337" customFormat="false" ht="15" hidden="false" customHeight="false" outlineLevel="0" collapsed="false">
      <c r="B6337" s="7" t="s">
        <v>20983</v>
      </c>
      <c r="C6337" s="7" t="s">
        <v>6834</v>
      </c>
      <c r="D6337" s="7" t="s">
        <v>371</v>
      </c>
      <c r="E6337" s="7" t="s">
        <v>154</v>
      </c>
      <c r="F6337" s="39" t="n">
        <v>45952</v>
      </c>
      <c r="G6337" s="41" t="n">
        <v>121.11</v>
      </c>
      <c r="H6337" s="6" t="s">
        <v>182</v>
      </c>
      <c r="I6337" s="7" t="s">
        <v>19787</v>
      </c>
      <c r="J6337" s="8" t="n">
        <f aca="false">IF(I6337="Open",DATE(2025,12,31)-F6337,"-")</f>
        <v>70</v>
      </c>
    </row>
    <row r="6338" customFormat="false" ht="15" hidden="false" customHeight="false" outlineLevel="0" collapsed="false">
      <c r="B6338" s="7" t="s">
        <v>20984</v>
      </c>
      <c r="C6338" s="7" t="s">
        <v>6835</v>
      </c>
      <c r="D6338" s="7" t="s">
        <v>379</v>
      </c>
      <c r="E6338" s="7" t="s">
        <v>156</v>
      </c>
      <c r="F6338" s="39" t="n">
        <v>45952</v>
      </c>
      <c r="G6338" s="41" t="n">
        <v>161.5</v>
      </c>
      <c r="H6338" s="39" t="n">
        <v>45959</v>
      </c>
      <c r="I6338" s="7" t="s">
        <v>14651</v>
      </c>
      <c r="J6338" s="8" t="str">
        <f aca="false">IF(I6338="Open",DATE(2025,12,31)-F6338,"-")</f>
        <v>-</v>
      </c>
    </row>
    <row r="6339" customFormat="false" ht="15" hidden="false" customHeight="false" outlineLevel="0" collapsed="false">
      <c r="B6339" s="7" t="s">
        <v>20985</v>
      </c>
      <c r="C6339" s="7" t="s">
        <v>6836</v>
      </c>
      <c r="D6339" s="7" t="s">
        <v>385</v>
      </c>
      <c r="E6339" s="7" t="s">
        <v>156</v>
      </c>
      <c r="F6339" s="39" t="n">
        <v>45952</v>
      </c>
      <c r="G6339" s="41" t="n">
        <v>122.74</v>
      </c>
      <c r="H6339" s="39" t="n">
        <v>45968</v>
      </c>
      <c r="I6339" s="7" t="s">
        <v>14651</v>
      </c>
      <c r="J6339" s="8" t="str">
        <f aca="false">IF(I6339="Open",DATE(2025,12,31)-F6339,"-")</f>
        <v>-</v>
      </c>
    </row>
    <row r="6340" customFormat="false" ht="15" hidden="false" customHeight="false" outlineLevel="0" collapsed="false">
      <c r="B6340" s="7" t="s">
        <v>20986</v>
      </c>
      <c r="C6340" s="7" t="s">
        <v>6837</v>
      </c>
      <c r="D6340" s="7" t="s">
        <v>387</v>
      </c>
      <c r="E6340" s="7" t="s">
        <v>154</v>
      </c>
      <c r="F6340" s="39" t="n">
        <v>45952</v>
      </c>
      <c r="G6340" s="41" t="n">
        <v>100.97</v>
      </c>
      <c r="H6340" s="39" t="n">
        <v>45995</v>
      </c>
      <c r="I6340" s="7" t="s">
        <v>14651</v>
      </c>
      <c r="J6340" s="8" t="str">
        <f aca="false">IF(I6340="Open",DATE(2025,12,31)-F6340,"-")</f>
        <v>-</v>
      </c>
    </row>
    <row r="6341" customFormat="false" ht="15" hidden="false" customHeight="false" outlineLevel="0" collapsed="false">
      <c r="B6341" s="7" t="s">
        <v>20987</v>
      </c>
      <c r="C6341" s="7" t="s">
        <v>6838</v>
      </c>
      <c r="D6341" s="7" t="s">
        <v>389</v>
      </c>
      <c r="E6341" s="7" t="s">
        <v>154</v>
      </c>
      <c r="F6341" s="39" t="n">
        <v>45952</v>
      </c>
      <c r="G6341" s="41" t="n">
        <v>104.94</v>
      </c>
      <c r="H6341" s="6" t="s">
        <v>182</v>
      </c>
      <c r="I6341" s="7" t="s">
        <v>19787</v>
      </c>
      <c r="J6341" s="8" t="n">
        <f aca="false">IF(I6341="Open",DATE(2025,12,31)-F6341,"-")</f>
        <v>70</v>
      </c>
    </row>
    <row r="6342" customFormat="false" ht="15" hidden="false" customHeight="false" outlineLevel="0" collapsed="false">
      <c r="B6342" s="7" t="s">
        <v>20988</v>
      </c>
      <c r="C6342" s="7" t="s">
        <v>6839</v>
      </c>
      <c r="D6342" s="7" t="s">
        <v>391</v>
      </c>
      <c r="E6342" s="7" t="s">
        <v>156</v>
      </c>
      <c r="F6342" s="39" t="n">
        <v>45952</v>
      </c>
      <c r="G6342" s="41" t="n">
        <v>138.38</v>
      </c>
      <c r="H6342" s="39" t="n">
        <v>45959</v>
      </c>
      <c r="I6342" s="7" t="s">
        <v>14651</v>
      </c>
      <c r="J6342" s="8" t="str">
        <f aca="false">IF(I6342="Open",DATE(2025,12,31)-F6342,"-")</f>
        <v>-</v>
      </c>
    </row>
    <row r="6343" customFormat="false" ht="15" hidden="false" customHeight="false" outlineLevel="0" collapsed="false">
      <c r="B6343" s="7" t="s">
        <v>20989</v>
      </c>
      <c r="C6343" s="7" t="s">
        <v>6840</v>
      </c>
      <c r="D6343" s="7" t="s">
        <v>393</v>
      </c>
      <c r="E6343" s="7" t="s">
        <v>157</v>
      </c>
      <c r="F6343" s="39" t="n">
        <v>45952</v>
      </c>
      <c r="G6343" s="41" t="n">
        <v>171.6</v>
      </c>
      <c r="H6343" s="6" t="s">
        <v>182</v>
      </c>
      <c r="I6343" s="7" t="s">
        <v>19787</v>
      </c>
      <c r="J6343" s="8" t="n">
        <f aca="false">IF(I6343="Open",DATE(2025,12,31)-F6343,"-")</f>
        <v>70</v>
      </c>
    </row>
    <row r="6344" customFormat="false" ht="15" hidden="false" customHeight="false" outlineLevel="0" collapsed="false">
      <c r="B6344" s="7" t="s">
        <v>20990</v>
      </c>
      <c r="C6344" s="7" t="s">
        <v>6841</v>
      </c>
      <c r="D6344" s="7" t="s">
        <v>395</v>
      </c>
      <c r="E6344" s="7" t="s">
        <v>156</v>
      </c>
      <c r="F6344" s="39" t="n">
        <v>45952</v>
      </c>
      <c r="G6344" s="41" t="n">
        <v>142.12</v>
      </c>
      <c r="H6344" s="39" t="n">
        <v>45963</v>
      </c>
      <c r="I6344" s="7" t="s">
        <v>14651</v>
      </c>
      <c r="J6344" s="8" t="str">
        <f aca="false">IF(I6344="Open",DATE(2025,12,31)-F6344,"-")</f>
        <v>-</v>
      </c>
    </row>
    <row r="6345" customFormat="false" ht="15" hidden="false" customHeight="false" outlineLevel="0" collapsed="false">
      <c r="B6345" s="7" t="s">
        <v>20991</v>
      </c>
      <c r="C6345" s="7" t="s">
        <v>6842</v>
      </c>
      <c r="D6345" s="7" t="s">
        <v>399</v>
      </c>
      <c r="E6345" s="7" t="s">
        <v>154</v>
      </c>
      <c r="F6345" s="39" t="n">
        <v>45952</v>
      </c>
      <c r="G6345" s="41" t="n">
        <v>96.19</v>
      </c>
      <c r="H6345" s="39" t="n">
        <v>46007</v>
      </c>
      <c r="I6345" s="7" t="s">
        <v>14651</v>
      </c>
      <c r="J6345" s="8" t="str">
        <f aca="false">IF(I6345="Open",DATE(2025,12,31)-F6345,"-")</f>
        <v>-</v>
      </c>
    </row>
    <row r="6346" customFormat="false" ht="15" hidden="false" customHeight="false" outlineLevel="0" collapsed="false">
      <c r="B6346" s="7" t="s">
        <v>20992</v>
      </c>
      <c r="C6346" s="7" t="s">
        <v>6843</v>
      </c>
      <c r="D6346" s="7" t="s">
        <v>401</v>
      </c>
      <c r="E6346" s="7" t="s">
        <v>156</v>
      </c>
      <c r="F6346" s="39" t="n">
        <v>45952</v>
      </c>
      <c r="G6346" s="41" t="n">
        <v>136.34</v>
      </c>
      <c r="H6346" s="39" t="n">
        <v>45961</v>
      </c>
      <c r="I6346" s="7" t="s">
        <v>14651</v>
      </c>
      <c r="J6346" s="8" t="str">
        <f aca="false">IF(I6346="Open",DATE(2025,12,31)-F6346,"-")</f>
        <v>-</v>
      </c>
    </row>
    <row r="6347" customFormat="false" ht="15" hidden="false" customHeight="false" outlineLevel="0" collapsed="false">
      <c r="B6347" s="7" t="s">
        <v>20993</v>
      </c>
      <c r="C6347" s="7" t="s">
        <v>6844</v>
      </c>
      <c r="D6347" s="7" t="s">
        <v>403</v>
      </c>
      <c r="E6347" s="7" t="s">
        <v>156</v>
      </c>
      <c r="F6347" s="39" t="n">
        <v>45952</v>
      </c>
      <c r="G6347" s="41" t="n">
        <v>125.12</v>
      </c>
      <c r="H6347" s="39" t="n">
        <v>45965</v>
      </c>
      <c r="I6347" s="7" t="s">
        <v>14651</v>
      </c>
      <c r="J6347" s="8" t="str">
        <f aca="false">IF(I6347="Open",DATE(2025,12,31)-F6347,"-")</f>
        <v>-</v>
      </c>
    </row>
    <row r="6348" customFormat="false" ht="15" hidden="false" customHeight="false" outlineLevel="0" collapsed="false">
      <c r="B6348" s="7" t="s">
        <v>20994</v>
      </c>
      <c r="C6348" s="7" t="s">
        <v>6845</v>
      </c>
      <c r="D6348" s="7" t="s">
        <v>409</v>
      </c>
      <c r="E6348" s="7" t="s">
        <v>154</v>
      </c>
      <c r="F6348" s="39" t="n">
        <v>45952</v>
      </c>
      <c r="G6348" s="41" t="n">
        <v>95.13</v>
      </c>
      <c r="H6348" s="39" t="n">
        <v>46010</v>
      </c>
      <c r="I6348" s="7" t="s">
        <v>14651</v>
      </c>
      <c r="J6348" s="8" t="str">
        <f aca="false">IF(I6348="Open",DATE(2025,12,31)-F6348,"-")</f>
        <v>-</v>
      </c>
    </row>
    <row r="6349" customFormat="false" ht="15" hidden="false" customHeight="false" outlineLevel="0" collapsed="false">
      <c r="B6349" s="7" t="s">
        <v>20995</v>
      </c>
      <c r="C6349" s="7" t="s">
        <v>6846</v>
      </c>
      <c r="D6349" s="7" t="s">
        <v>411</v>
      </c>
      <c r="E6349" s="7" t="s">
        <v>154</v>
      </c>
      <c r="F6349" s="39" t="n">
        <v>45952</v>
      </c>
      <c r="G6349" s="41" t="n">
        <v>130.38</v>
      </c>
      <c r="H6349" s="39" t="n">
        <v>45989</v>
      </c>
      <c r="I6349" s="7" t="s">
        <v>14651</v>
      </c>
      <c r="J6349" s="8" t="str">
        <f aca="false">IF(I6349="Open",DATE(2025,12,31)-F6349,"-")</f>
        <v>-</v>
      </c>
    </row>
    <row r="6350" customFormat="false" ht="15" hidden="false" customHeight="false" outlineLevel="0" collapsed="false">
      <c r="B6350" s="7" t="s">
        <v>20996</v>
      </c>
      <c r="C6350" s="7" t="s">
        <v>6847</v>
      </c>
      <c r="D6350" s="7" t="s">
        <v>288</v>
      </c>
      <c r="E6350" s="7" t="s">
        <v>156</v>
      </c>
      <c r="F6350" s="39" t="n">
        <v>45953</v>
      </c>
      <c r="G6350" s="41" t="n">
        <v>126.82</v>
      </c>
      <c r="H6350" s="39" t="n">
        <v>45964</v>
      </c>
      <c r="I6350" s="7" t="s">
        <v>14651</v>
      </c>
      <c r="J6350" s="8" t="str">
        <f aca="false">IF(I6350="Open",DATE(2025,12,31)-F6350,"-")</f>
        <v>-</v>
      </c>
    </row>
    <row r="6351" customFormat="false" ht="15" hidden="false" customHeight="false" outlineLevel="0" collapsed="false">
      <c r="B6351" s="7" t="s">
        <v>20997</v>
      </c>
      <c r="C6351" s="7" t="s">
        <v>6848</v>
      </c>
      <c r="D6351" s="7" t="s">
        <v>297</v>
      </c>
      <c r="E6351" s="7" t="s">
        <v>156</v>
      </c>
      <c r="F6351" s="39" t="n">
        <v>45953</v>
      </c>
      <c r="G6351" s="41" t="n">
        <v>98.26</v>
      </c>
      <c r="H6351" s="39" t="n">
        <v>45964</v>
      </c>
      <c r="I6351" s="7" t="s">
        <v>14651</v>
      </c>
      <c r="J6351" s="8" t="str">
        <f aca="false">IF(I6351="Open",DATE(2025,12,31)-F6351,"-")</f>
        <v>-</v>
      </c>
    </row>
    <row r="6352" customFormat="false" ht="15" hidden="false" customHeight="false" outlineLevel="0" collapsed="false">
      <c r="B6352" s="7" t="s">
        <v>20998</v>
      </c>
      <c r="C6352" s="7" t="s">
        <v>6849</v>
      </c>
      <c r="D6352" s="7" t="s">
        <v>303</v>
      </c>
      <c r="E6352" s="7" t="s">
        <v>154</v>
      </c>
      <c r="F6352" s="39" t="n">
        <v>45953</v>
      </c>
      <c r="G6352" s="41" t="n">
        <v>98.84</v>
      </c>
      <c r="H6352" s="39" t="n">
        <v>46021</v>
      </c>
      <c r="I6352" s="7" t="s">
        <v>14651</v>
      </c>
      <c r="J6352" s="8" t="str">
        <f aca="false">IF(I6352="Open",DATE(2025,12,31)-F6352,"-")</f>
        <v>-</v>
      </c>
    </row>
    <row r="6353" customFormat="false" ht="15" hidden="false" customHeight="false" outlineLevel="0" collapsed="false">
      <c r="B6353" s="7" t="s">
        <v>20999</v>
      </c>
      <c r="C6353" s="7" t="s">
        <v>6850</v>
      </c>
      <c r="D6353" s="7" t="s">
        <v>311</v>
      </c>
      <c r="E6353" s="7" t="s">
        <v>154</v>
      </c>
      <c r="F6353" s="39" t="n">
        <v>45953</v>
      </c>
      <c r="G6353" s="41" t="n">
        <v>73.01</v>
      </c>
      <c r="H6353" s="6" t="s">
        <v>182</v>
      </c>
      <c r="I6353" s="7" t="s">
        <v>19787</v>
      </c>
      <c r="J6353" s="8" t="n">
        <f aca="false">IF(I6353="Open",DATE(2025,12,31)-F6353,"-")</f>
        <v>69</v>
      </c>
    </row>
    <row r="6354" customFormat="false" ht="15" hidden="false" customHeight="false" outlineLevel="0" collapsed="false">
      <c r="B6354" s="7" t="s">
        <v>21000</v>
      </c>
      <c r="C6354" s="7" t="s">
        <v>6851</v>
      </c>
      <c r="D6354" s="7" t="s">
        <v>313</v>
      </c>
      <c r="E6354" s="7" t="s">
        <v>156</v>
      </c>
      <c r="F6354" s="39" t="n">
        <v>45953</v>
      </c>
      <c r="G6354" s="41" t="n">
        <v>125.12</v>
      </c>
      <c r="H6354" s="39" t="n">
        <v>45965</v>
      </c>
      <c r="I6354" s="7" t="s">
        <v>14651</v>
      </c>
      <c r="J6354" s="8" t="str">
        <f aca="false">IF(I6354="Open",DATE(2025,12,31)-F6354,"-")</f>
        <v>-</v>
      </c>
    </row>
    <row r="6355" customFormat="false" ht="15" hidden="false" customHeight="false" outlineLevel="0" collapsed="false">
      <c r="B6355" s="7" t="s">
        <v>21001</v>
      </c>
      <c r="C6355" s="7" t="s">
        <v>6852</v>
      </c>
      <c r="D6355" s="7" t="s">
        <v>317</v>
      </c>
      <c r="E6355" s="7" t="s">
        <v>156</v>
      </c>
      <c r="F6355" s="39" t="n">
        <v>45953</v>
      </c>
      <c r="G6355" s="41" t="n">
        <v>93.84</v>
      </c>
      <c r="H6355" s="39" t="n">
        <v>45968</v>
      </c>
      <c r="I6355" s="7" t="s">
        <v>14651</v>
      </c>
      <c r="J6355" s="8" t="str">
        <f aca="false">IF(I6355="Open",DATE(2025,12,31)-F6355,"-")</f>
        <v>-</v>
      </c>
    </row>
    <row r="6356" customFormat="false" ht="15" hidden="false" customHeight="false" outlineLevel="0" collapsed="false">
      <c r="B6356" s="7" t="s">
        <v>21002</v>
      </c>
      <c r="C6356" s="7" t="s">
        <v>6853</v>
      </c>
      <c r="D6356" s="7" t="s">
        <v>321</v>
      </c>
      <c r="E6356" s="7" t="s">
        <v>154</v>
      </c>
      <c r="F6356" s="39" t="n">
        <v>45953</v>
      </c>
      <c r="G6356" s="41" t="n">
        <v>113.15</v>
      </c>
      <c r="H6356" s="39" t="n">
        <v>45984</v>
      </c>
      <c r="I6356" s="7" t="s">
        <v>14651</v>
      </c>
      <c r="J6356" s="8" t="str">
        <f aca="false">IF(I6356="Open",DATE(2025,12,31)-F6356,"-")</f>
        <v>-</v>
      </c>
    </row>
    <row r="6357" customFormat="false" ht="15" hidden="false" customHeight="false" outlineLevel="0" collapsed="false">
      <c r="B6357" s="7" t="s">
        <v>21003</v>
      </c>
      <c r="C6357" s="7" t="s">
        <v>6854</v>
      </c>
      <c r="D6357" s="7" t="s">
        <v>325</v>
      </c>
      <c r="E6357" s="7" t="s">
        <v>154</v>
      </c>
      <c r="F6357" s="39" t="n">
        <v>45953</v>
      </c>
      <c r="G6357" s="41" t="n">
        <v>86.12</v>
      </c>
      <c r="H6357" s="6" t="s">
        <v>182</v>
      </c>
      <c r="I6357" s="7" t="s">
        <v>19787</v>
      </c>
      <c r="J6357" s="8" t="n">
        <f aca="false">IF(I6357="Open",DATE(2025,12,31)-F6357,"-")</f>
        <v>69</v>
      </c>
    </row>
    <row r="6358" customFormat="false" ht="15" hidden="false" customHeight="false" outlineLevel="0" collapsed="false">
      <c r="B6358" s="7" t="s">
        <v>21004</v>
      </c>
      <c r="C6358" s="7" t="s">
        <v>6855</v>
      </c>
      <c r="D6358" s="7" t="s">
        <v>329</v>
      </c>
      <c r="E6358" s="7" t="s">
        <v>156</v>
      </c>
      <c r="F6358" s="39" t="n">
        <v>45953</v>
      </c>
      <c r="G6358" s="41" t="n">
        <v>138.72</v>
      </c>
      <c r="H6358" s="39" t="n">
        <v>45965</v>
      </c>
      <c r="I6358" s="7" t="s">
        <v>14651</v>
      </c>
      <c r="J6358" s="8" t="str">
        <f aca="false">IF(I6358="Open",DATE(2025,12,31)-F6358,"-")</f>
        <v>-</v>
      </c>
    </row>
    <row r="6359" customFormat="false" ht="15" hidden="false" customHeight="false" outlineLevel="0" collapsed="false">
      <c r="B6359" s="7" t="s">
        <v>21005</v>
      </c>
      <c r="C6359" s="7" t="s">
        <v>6856</v>
      </c>
      <c r="D6359" s="7" t="s">
        <v>331</v>
      </c>
      <c r="E6359" s="7" t="s">
        <v>156</v>
      </c>
      <c r="F6359" s="39" t="n">
        <v>45953</v>
      </c>
      <c r="G6359" s="41" t="n">
        <v>129.2</v>
      </c>
      <c r="H6359" s="39" t="n">
        <v>45968</v>
      </c>
      <c r="I6359" s="7" t="s">
        <v>14651</v>
      </c>
      <c r="J6359" s="8" t="str">
        <f aca="false">IF(I6359="Open",DATE(2025,12,31)-F6359,"-")</f>
        <v>-</v>
      </c>
    </row>
    <row r="6360" customFormat="false" ht="15" hidden="false" customHeight="false" outlineLevel="0" collapsed="false">
      <c r="B6360" s="7" t="s">
        <v>21006</v>
      </c>
      <c r="C6360" s="7" t="s">
        <v>6857</v>
      </c>
      <c r="D6360" s="7" t="s">
        <v>341</v>
      </c>
      <c r="E6360" s="7" t="s">
        <v>156</v>
      </c>
      <c r="F6360" s="39" t="n">
        <v>45953</v>
      </c>
      <c r="G6360" s="41" t="n">
        <v>102</v>
      </c>
      <c r="H6360" s="39" t="n">
        <v>45963</v>
      </c>
      <c r="I6360" s="7" t="s">
        <v>14651</v>
      </c>
      <c r="J6360" s="8" t="str">
        <f aca="false">IF(I6360="Open",DATE(2025,12,31)-F6360,"-")</f>
        <v>-</v>
      </c>
    </row>
    <row r="6361" customFormat="false" ht="15" hidden="false" customHeight="false" outlineLevel="0" collapsed="false">
      <c r="B6361" s="7" t="s">
        <v>21007</v>
      </c>
      <c r="C6361" s="7" t="s">
        <v>6858</v>
      </c>
      <c r="D6361" s="7" t="s">
        <v>343</v>
      </c>
      <c r="E6361" s="7" t="s">
        <v>154</v>
      </c>
      <c r="F6361" s="39" t="n">
        <v>45953</v>
      </c>
      <c r="G6361" s="41" t="n">
        <v>108.65</v>
      </c>
      <c r="H6361" s="6" t="s">
        <v>182</v>
      </c>
      <c r="I6361" s="7" t="s">
        <v>19787</v>
      </c>
      <c r="J6361" s="8" t="n">
        <f aca="false">IF(I6361="Open",DATE(2025,12,31)-F6361,"-")</f>
        <v>69</v>
      </c>
    </row>
    <row r="6362" customFormat="false" ht="15" hidden="false" customHeight="false" outlineLevel="0" collapsed="false">
      <c r="B6362" s="7" t="s">
        <v>21008</v>
      </c>
      <c r="C6362" s="7" t="s">
        <v>6859</v>
      </c>
      <c r="D6362" s="7" t="s">
        <v>349</v>
      </c>
      <c r="E6362" s="7" t="s">
        <v>154</v>
      </c>
      <c r="F6362" s="39" t="n">
        <v>45953</v>
      </c>
      <c r="G6362" s="41" t="n">
        <v>107.86</v>
      </c>
      <c r="H6362" s="39" t="n">
        <v>45999</v>
      </c>
      <c r="I6362" s="7" t="s">
        <v>14651</v>
      </c>
      <c r="J6362" s="8" t="str">
        <f aca="false">IF(I6362="Open",DATE(2025,12,31)-F6362,"-")</f>
        <v>-</v>
      </c>
    </row>
    <row r="6363" customFormat="false" ht="15" hidden="false" customHeight="false" outlineLevel="0" collapsed="false">
      <c r="B6363" s="7" t="s">
        <v>21009</v>
      </c>
      <c r="C6363" s="7" t="s">
        <v>6860</v>
      </c>
      <c r="D6363" s="7" t="s">
        <v>351</v>
      </c>
      <c r="E6363" s="7" t="s">
        <v>154</v>
      </c>
      <c r="F6363" s="39" t="n">
        <v>45953</v>
      </c>
      <c r="G6363" s="41" t="n">
        <v>76.32</v>
      </c>
      <c r="H6363" s="39" t="n">
        <v>46016</v>
      </c>
      <c r="I6363" s="7" t="s">
        <v>14651</v>
      </c>
      <c r="J6363" s="8" t="str">
        <f aca="false">IF(I6363="Open",DATE(2025,12,31)-F6363,"-")</f>
        <v>-</v>
      </c>
    </row>
    <row r="6364" customFormat="false" ht="15" hidden="false" customHeight="false" outlineLevel="0" collapsed="false">
      <c r="B6364" s="7" t="s">
        <v>21010</v>
      </c>
      <c r="C6364" s="7" t="s">
        <v>6861</v>
      </c>
      <c r="D6364" s="7" t="s">
        <v>359</v>
      </c>
      <c r="E6364" s="7" t="s">
        <v>156</v>
      </c>
      <c r="F6364" s="39" t="n">
        <v>45953</v>
      </c>
      <c r="G6364" s="41" t="n">
        <v>134.3</v>
      </c>
      <c r="H6364" s="39" t="n">
        <v>45957</v>
      </c>
      <c r="I6364" s="7" t="s">
        <v>14651</v>
      </c>
      <c r="J6364" s="8" t="str">
        <f aca="false">IF(I6364="Open",DATE(2025,12,31)-F6364,"-")</f>
        <v>-</v>
      </c>
    </row>
    <row r="6365" customFormat="false" ht="15" hidden="false" customHeight="false" outlineLevel="0" collapsed="false">
      <c r="B6365" s="7" t="s">
        <v>21011</v>
      </c>
      <c r="C6365" s="7" t="s">
        <v>6862</v>
      </c>
      <c r="D6365" s="7" t="s">
        <v>363</v>
      </c>
      <c r="E6365" s="7" t="s">
        <v>156</v>
      </c>
      <c r="F6365" s="39" t="n">
        <v>45953</v>
      </c>
      <c r="G6365" s="41" t="n">
        <v>128.18</v>
      </c>
      <c r="H6365" s="39" t="n">
        <v>45962</v>
      </c>
      <c r="I6365" s="7" t="s">
        <v>14651</v>
      </c>
      <c r="J6365" s="8" t="str">
        <f aca="false">IF(I6365="Open",DATE(2025,12,31)-F6365,"-")</f>
        <v>-</v>
      </c>
    </row>
    <row r="6366" customFormat="false" ht="15" hidden="false" customHeight="false" outlineLevel="0" collapsed="false">
      <c r="B6366" s="7" t="s">
        <v>21012</v>
      </c>
      <c r="C6366" s="7" t="s">
        <v>6863</v>
      </c>
      <c r="D6366" s="7" t="s">
        <v>365</v>
      </c>
      <c r="E6366" s="7" t="s">
        <v>154</v>
      </c>
      <c r="F6366" s="39" t="n">
        <v>45953</v>
      </c>
      <c r="G6366" s="41" t="n">
        <v>107.86</v>
      </c>
      <c r="H6366" s="39" t="n">
        <v>45997</v>
      </c>
      <c r="I6366" s="7" t="s">
        <v>14651</v>
      </c>
      <c r="J6366" s="8" t="str">
        <f aca="false">IF(I6366="Open",DATE(2025,12,31)-F6366,"-")</f>
        <v>-</v>
      </c>
    </row>
    <row r="6367" customFormat="false" ht="15" hidden="false" customHeight="false" outlineLevel="0" collapsed="false">
      <c r="B6367" s="7" t="s">
        <v>21013</v>
      </c>
      <c r="C6367" s="7" t="s">
        <v>6864</v>
      </c>
      <c r="D6367" s="7" t="s">
        <v>375</v>
      </c>
      <c r="E6367" s="7" t="s">
        <v>156</v>
      </c>
      <c r="F6367" s="39" t="n">
        <v>45953</v>
      </c>
      <c r="G6367" s="41" t="n">
        <v>98.94</v>
      </c>
      <c r="H6367" s="39" t="n">
        <v>45967</v>
      </c>
      <c r="I6367" s="7" t="s">
        <v>14651</v>
      </c>
      <c r="J6367" s="8" t="str">
        <f aca="false">IF(I6367="Open",DATE(2025,12,31)-F6367,"-")</f>
        <v>-</v>
      </c>
    </row>
    <row r="6368" customFormat="false" ht="15" hidden="false" customHeight="false" outlineLevel="0" collapsed="false">
      <c r="B6368" s="7" t="s">
        <v>21014</v>
      </c>
      <c r="C6368" s="7" t="s">
        <v>6865</v>
      </c>
      <c r="D6368" s="7" t="s">
        <v>377</v>
      </c>
      <c r="E6368" s="7" t="s">
        <v>154</v>
      </c>
      <c r="F6368" s="39" t="n">
        <v>45953</v>
      </c>
      <c r="G6368" s="41" t="n">
        <v>102.56</v>
      </c>
      <c r="H6368" s="6" t="s">
        <v>182</v>
      </c>
      <c r="I6368" s="7" t="s">
        <v>19787</v>
      </c>
      <c r="J6368" s="8" t="n">
        <f aca="false">IF(I6368="Open",DATE(2025,12,31)-F6368,"-")</f>
        <v>69</v>
      </c>
    </row>
    <row r="6369" customFormat="false" ht="15" hidden="false" customHeight="false" outlineLevel="0" collapsed="false">
      <c r="B6369" s="7" t="s">
        <v>21015</v>
      </c>
      <c r="C6369" s="7" t="s">
        <v>6866</v>
      </c>
      <c r="D6369" s="7" t="s">
        <v>387</v>
      </c>
      <c r="E6369" s="7" t="s">
        <v>154</v>
      </c>
      <c r="F6369" s="39" t="n">
        <v>45953</v>
      </c>
      <c r="G6369" s="41" t="n">
        <v>115.81</v>
      </c>
      <c r="H6369" s="39" t="n">
        <v>46019</v>
      </c>
      <c r="I6369" s="7" t="s">
        <v>14651</v>
      </c>
      <c r="J6369" s="8" t="str">
        <f aca="false">IF(I6369="Open",DATE(2025,12,31)-F6369,"-")</f>
        <v>-</v>
      </c>
    </row>
    <row r="6370" customFormat="false" ht="15" hidden="false" customHeight="false" outlineLevel="0" collapsed="false">
      <c r="B6370" s="7" t="s">
        <v>21016</v>
      </c>
      <c r="C6370" s="7" t="s">
        <v>6867</v>
      </c>
      <c r="D6370" s="7" t="s">
        <v>389</v>
      </c>
      <c r="E6370" s="7" t="s">
        <v>154</v>
      </c>
      <c r="F6370" s="39" t="n">
        <v>45953</v>
      </c>
      <c r="G6370" s="41" t="n">
        <v>102.56</v>
      </c>
      <c r="H6370" s="39" t="n">
        <v>46019</v>
      </c>
      <c r="I6370" s="7" t="s">
        <v>14651</v>
      </c>
      <c r="J6370" s="8" t="str">
        <f aca="false">IF(I6370="Open",DATE(2025,12,31)-F6370,"-")</f>
        <v>-</v>
      </c>
    </row>
    <row r="6371" customFormat="false" ht="15" hidden="false" customHeight="false" outlineLevel="0" collapsed="false">
      <c r="B6371" s="7" t="s">
        <v>21017</v>
      </c>
      <c r="C6371" s="7" t="s">
        <v>6868</v>
      </c>
      <c r="D6371" s="7" t="s">
        <v>391</v>
      </c>
      <c r="E6371" s="7" t="s">
        <v>156</v>
      </c>
      <c r="F6371" s="39" t="n">
        <v>45953</v>
      </c>
      <c r="G6371" s="41" t="n">
        <v>142.46</v>
      </c>
      <c r="H6371" s="39" t="n">
        <v>45971</v>
      </c>
      <c r="I6371" s="7" t="s">
        <v>14651</v>
      </c>
      <c r="J6371" s="8" t="str">
        <f aca="false">IF(I6371="Open",DATE(2025,12,31)-F6371,"-")</f>
        <v>-</v>
      </c>
    </row>
    <row r="6372" customFormat="false" ht="15" hidden="false" customHeight="false" outlineLevel="0" collapsed="false">
      <c r="B6372" s="7" t="s">
        <v>21018</v>
      </c>
      <c r="C6372" s="7" t="s">
        <v>6869</v>
      </c>
      <c r="D6372" s="7" t="s">
        <v>395</v>
      </c>
      <c r="E6372" s="7" t="s">
        <v>156</v>
      </c>
      <c r="F6372" s="39" t="n">
        <v>45953</v>
      </c>
      <c r="G6372" s="41" t="n">
        <v>137.02</v>
      </c>
      <c r="H6372" s="39" t="n">
        <v>45964</v>
      </c>
      <c r="I6372" s="7" t="s">
        <v>14651</v>
      </c>
      <c r="J6372" s="8" t="str">
        <f aca="false">IF(I6372="Open",DATE(2025,12,31)-F6372,"-")</f>
        <v>-</v>
      </c>
    </row>
    <row r="6373" customFormat="false" ht="15" hidden="false" customHeight="false" outlineLevel="0" collapsed="false">
      <c r="B6373" s="7" t="s">
        <v>21019</v>
      </c>
      <c r="C6373" s="7" t="s">
        <v>6870</v>
      </c>
      <c r="D6373" s="7" t="s">
        <v>401</v>
      </c>
      <c r="E6373" s="7" t="s">
        <v>156</v>
      </c>
      <c r="F6373" s="39" t="n">
        <v>45953</v>
      </c>
      <c r="G6373" s="41" t="n">
        <v>134.3</v>
      </c>
      <c r="H6373" s="39" t="n">
        <v>45959</v>
      </c>
      <c r="I6373" s="7" t="s">
        <v>14651</v>
      </c>
      <c r="J6373" s="8" t="str">
        <f aca="false">IF(I6373="Open",DATE(2025,12,31)-F6373,"-")</f>
        <v>-</v>
      </c>
    </row>
    <row r="6374" customFormat="false" ht="15" hidden="false" customHeight="false" outlineLevel="0" collapsed="false">
      <c r="B6374" s="7" t="s">
        <v>21020</v>
      </c>
      <c r="C6374" s="7" t="s">
        <v>6871</v>
      </c>
      <c r="D6374" s="7" t="s">
        <v>291</v>
      </c>
      <c r="E6374" s="7" t="s">
        <v>154</v>
      </c>
      <c r="F6374" s="39" t="n">
        <v>45954</v>
      </c>
      <c r="G6374" s="41" t="n">
        <v>117.93</v>
      </c>
      <c r="H6374" s="39" t="n">
        <v>45997</v>
      </c>
      <c r="I6374" s="7" t="s">
        <v>14651</v>
      </c>
      <c r="J6374" s="8" t="str">
        <f aca="false">IF(I6374="Open",DATE(2025,12,31)-F6374,"-")</f>
        <v>-</v>
      </c>
    </row>
    <row r="6375" customFormat="false" ht="15" hidden="false" customHeight="false" outlineLevel="0" collapsed="false">
      <c r="B6375" s="7" t="s">
        <v>21021</v>
      </c>
      <c r="C6375" s="7" t="s">
        <v>6872</v>
      </c>
      <c r="D6375" s="7" t="s">
        <v>293</v>
      </c>
      <c r="E6375" s="7" t="s">
        <v>157</v>
      </c>
      <c r="F6375" s="39" t="n">
        <v>45954</v>
      </c>
      <c r="G6375" s="41" t="n">
        <v>174.9</v>
      </c>
      <c r="H6375" s="39" t="n">
        <v>45990</v>
      </c>
      <c r="I6375" s="7" t="s">
        <v>14651</v>
      </c>
      <c r="J6375" s="8" t="str">
        <f aca="false">IF(I6375="Open",DATE(2025,12,31)-F6375,"-")</f>
        <v>-</v>
      </c>
    </row>
    <row r="6376" customFormat="false" ht="15" hidden="false" customHeight="false" outlineLevel="0" collapsed="false">
      <c r="B6376" s="7" t="s">
        <v>21022</v>
      </c>
      <c r="C6376" s="7" t="s">
        <v>6873</v>
      </c>
      <c r="D6376" s="7" t="s">
        <v>295</v>
      </c>
      <c r="E6376" s="7" t="s">
        <v>154</v>
      </c>
      <c r="F6376" s="39" t="n">
        <v>45954</v>
      </c>
      <c r="G6376" s="41" t="n">
        <v>113.69</v>
      </c>
      <c r="H6376" s="39" t="n">
        <v>46003</v>
      </c>
      <c r="I6376" s="7" t="s">
        <v>14651</v>
      </c>
      <c r="J6376" s="8" t="str">
        <f aca="false">IF(I6376="Open",DATE(2025,12,31)-F6376,"-")</f>
        <v>-</v>
      </c>
    </row>
    <row r="6377" customFormat="false" ht="15" hidden="false" customHeight="false" outlineLevel="0" collapsed="false">
      <c r="B6377" s="7" t="s">
        <v>21023</v>
      </c>
      <c r="C6377" s="7" t="s">
        <v>6874</v>
      </c>
      <c r="D6377" s="7" t="s">
        <v>301</v>
      </c>
      <c r="E6377" s="7" t="s">
        <v>157</v>
      </c>
      <c r="F6377" s="39" t="n">
        <v>45954</v>
      </c>
      <c r="G6377" s="41" t="n">
        <v>160.05</v>
      </c>
      <c r="H6377" s="39" t="n">
        <v>45991</v>
      </c>
      <c r="I6377" s="7" t="s">
        <v>14651</v>
      </c>
      <c r="J6377" s="8" t="str">
        <f aca="false">IF(I6377="Open",DATE(2025,12,31)-F6377,"-")</f>
        <v>-</v>
      </c>
    </row>
    <row r="6378" customFormat="false" ht="15" hidden="false" customHeight="false" outlineLevel="0" collapsed="false">
      <c r="B6378" s="7" t="s">
        <v>21024</v>
      </c>
      <c r="C6378" s="7" t="s">
        <v>6875</v>
      </c>
      <c r="D6378" s="7" t="s">
        <v>305</v>
      </c>
      <c r="E6378" s="7" t="s">
        <v>154</v>
      </c>
      <c r="F6378" s="39" t="n">
        <v>45954</v>
      </c>
      <c r="G6378" s="41" t="n">
        <v>107.06</v>
      </c>
      <c r="H6378" s="39" t="n">
        <v>46017</v>
      </c>
      <c r="I6378" s="7" t="s">
        <v>14651</v>
      </c>
      <c r="J6378" s="8" t="str">
        <f aca="false">IF(I6378="Open",DATE(2025,12,31)-F6378,"-")</f>
        <v>-</v>
      </c>
    </row>
    <row r="6379" customFormat="false" ht="15" hidden="false" customHeight="false" outlineLevel="0" collapsed="false">
      <c r="B6379" s="7" t="s">
        <v>21025</v>
      </c>
      <c r="C6379" s="7" t="s">
        <v>6876</v>
      </c>
      <c r="D6379" s="7" t="s">
        <v>307</v>
      </c>
      <c r="E6379" s="7" t="s">
        <v>157</v>
      </c>
      <c r="F6379" s="39" t="n">
        <v>45954</v>
      </c>
      <c r="G6379" s="41" t="n">
        <v>148.5</v>
      </c>
      <c r="H6379" s="39" t="n">
        <v>45986</v>
      </c>
      <c r="I6379" s="7" t="s">
        <v>14651</v>
      </c>
      <c r="J6379" s="8" t="str">
        <f aca="false">IF(I6379="Open",DATE(2025,12,31)-F6379,"-")</f>
        <v>-</v>
      </c>
    </row>
    <row r="6380" customFormat="false" ht="15" hidden="false" customHeight="false" outlineLevel="0" collapsed="false">
      <c r="B6380" s="7" t="s">
        <v>21026</v>
      </c>
      <c r="C6380" s="7" t="s">
        <v>6877</v>
      </c>
      <c r="D6380" s="7" t="s">
        <v>309</v>
      </c>
      <c r="E6380" s="7" t="s">
        <v>159</v>
      </c>
      <c r="F6380" s="39" t="n">
        <v>45954</v>
      </c>
      <c r="G6380" s="41" t="n">
        <v>141.75</v>
      </c>
      <c r="H6380" s="39" t="n">
        <v>45986</v>
      </c>
      <c r="I6380" s="7" t="s">
        <v>14651</v>
      </c>
      <c r="J6380" s="8" t="str">
        <f aca="false">IF(I6380="Open",DATE(2025,12,31)-F6380,"-")</f>
        <v>-</v>
      </c>
    </row>
    <row r="6381" customFormat="false" ht="15" hidden="false" customHeight="false" outlineLevel="0" collapsed="false">
      <c r="B6381" s="7" t="s">
        <v>21027</v>
      </c>
      <c r="C6381" s="7" t="s">
        <v>6878</v>
      </c>
      <c r="D6381" s="7" t="s">
        <v>313</v>
      </c>
      <c r="E6381" s="7" t="s">
        <v>156</v>
      </c>
      <c r="F6381" s="39" t="n">
        <v>45954</v>
      </c>
      <c r="G6381" s="41" t="n">
        <v>126.82</v>
      </c>
      <c r="H6381" s="39" t="n">
        <v>45962</v>
      </c>
      <c r="I6381" s="7" t="s">
        <v>14651</v>
      </c>
      <c r="J6381" s="8" t="str">
        <f aca="false">IF(I6381="Open",DATE(2025,12,31)-F6381,"-")</f>
        <v>-</v>
      </c>
    </row>
    <row r="6382" customFormat="false" ht="15" hidden="false" customHeight="false" outlineLevel="0" collapsed="false">
      <c r="B6382" s="7" t="s">
        <v>21028</v>
      </c>
      <c r="C6382" s="7" t="s">
        <v>6879</v>
      </c>
      <c r="D6382" s="7" t="s">
        <v>315</v>
      </c>
      <c r="E6382" s="7" t="s">
        <v>159</v>
      </c>
      <c r="F6382" s="39" t="n">
        <v>45954</v>
      </c>
      <c r="G6382" s="41" t="n">
        <v>125.55</v>
      </c>
      <c r="H6382" s="39" t="n">
        <v>45997</v>
      </c>
      <c r="I6382" s="7" t="s">
        <v>14651</v>
      </c>
      <c r="J6382" s="8" t="str">
        <f aca="false">IF(I6382="Open",DATE(2025,12,31)-F6382,"-")</f>
        <v>-</v>
      </c>
    </row>
    <row r="6383" customFormat="false" ht="15" hidden="false" customHeight="false" outlineLevel="0" collapsed="false">
      <c r="B6383" s="7" t="s">
        <v>21029</v>
      </c>
      <c r="C6383" s="7" t="s">
        <v>6880</v>
      </c>
      <c r="D6383" s="7" t="s">
        <v>319</v>
      </c>
      <c r="E6383" s="7" t="s">
        <v>157</v>
      </c>
      <c r="F6383" s="39" t="n">
        <v>45954</v>
      </c>
      <c r="G6383" s="41" t="n">
        <v>148.83</v>
      </c>
      <c r="H6383" s="39" t="n">
        <v>45971</v>
      </c>
      <c r="I6383" s="7" t="s">
        <v>14651</v>
      </c>
      <c r="J6383" s="8" t="str">
        <f aca="false">IF(I6383="Open",DATE(2025,12,31)-F6383,"-")</f>
        <v>-</v>
      </c>
    </row>
    <row r="6384" customFormat="false" ht="15" hidden="false" customHeight="false" outlineLevel="0" collapsed="false">
      <c r="B6384" s="7" t="s">
        <v>21030</v>
      </c>
      <c r="C6384" s="7" t="s">
        <v>6881</v>
      </c>
      <c r="D6384" s="7" t="s">
        <v>321</v>
      </c>
      <c r="E6384" s="7" t="s">
        <v>154</v>
      </c>
      <c r="F6384" s="39" t="n">
        <v>45954</v>
      </c>
      <c r="G6384" s="41" t="n">
        <v>113.42</v>
      </c>
      <c r="H6384" s="39" t="n">
        <v>45992</v>
      </c>
      <c r="I6384" s="7" t="s">
        <v>14651</v>
      </c>
      <c r="J6384" s="8" t="str">
        <f aca="false">IF(I6384="Open",DATE(2025,12,31)-F6384,"-")</f>
        <v>-</v>
      </c>
    </row>
    <row r="6385" customFormat="false" ht="15" hidden="false" customHeight="false" outlineLevel="0" collapsed="false">
      <c r="B6385" s="7" t="s">
        <v>21031</v>
      </c>
      <c r="C6385" s="7" t="s">
        <v>6882</v>
      </c>
      <c r="D6385" s="7" t="s">
        <v>323</v>
      </c>
      <c r="E6385" s="7" t="s">
        <v>159</v>
      </c>
      <c r="F6385" s="39" t="n">
        <v>45954</v>
      </c>
      <c r="G6385" s="41" t="n">
        <v>145.8</v>
      </c>
      <c r="H6385" s="39" t="n">
        <v>46008</v>
      </c>
      <c r="I6385" s="7" t="s">
        <v>14651</v>
      </c>
      <c r="J6385" s="8" t="str">
        <f aca="false">IF(I6385="Open",DATE(2025,12,31)-F6385,"-")</f>
        <v>-</v>
      </c>
    </row>
    <row r="6386" customFormat="false" ht="15" hidden="false" customHeight="false" outlineLevel="0" collapsed="false">
      <c r="B6386" s="7" t="s">
        <v>21032</v>
      </c>
      <c r="C6386" s="7" t="s">
        <v>6883</v>
      </c>
      <c r="D6386" s="7" t="s">
        <v>327</v>
      </c>
      <c r="E6386" s="7" t="s">
        <v>157</v>
      </c>
      <c r="F6386" s="39" t="n">
        <v>45954</v>
      </c>
      <c r="G6386" s="41" t="n">
        <v>168.3</v>
      </c>
      <c r="H6386" s="39" t="n">
        <v>45978</v>
      </c>
      <c r="I6386" s="7" t="s">
        <v>14651</v>
      </c>
      <c r="J6386" s="8" t="str">
        <f aca="false">IF(I6386="Open",DATE(2025,12,31)-F6386,"-")</f>
        <v>-</v>
      </c>
    </row>
    <row r="6387" customFormat="false" ht="15" hidden="false" customHeight="false" outlineLevel="0" collapsed="false">
      <c r="B6387" s="7" t="s">
        <v>21033</v>
      </c>
      <c r="C6387" s="7" t="s">
        <v>6884</v>
      </c>
      <c r="D6387" s="7" t="s">
        <v>329</v>
      </c>
      <c r="E6387" s="7" t="s">
        <v>156</v>
      </c>
      <c r="F6387" s="39" t="n">
        <v>45954</v>
      </c>
      <c r="G6387" s="41" t="n">
        <v>140.08</v>
      </c>
      <c r="H6387" s="39" t="n">
        <v>45971</v>
      </c>
      <c r="I6387" s="7" t="s">
        <v>14651</v>
      </c>
      <c r="J6387" s="8" t="str">
        <f aca="false">IF(I6387="Open",DATE(2025,12,31)-F6387,"-")</f>
        <v>-</v>
      </c>
    </row>
    <row r="6388" customFormat="false" ht="15" hidden="false" customHeight="false" outlineLevel="0" collapsed="false">
      <c r="B6388" s="7" t="s">
        <v>21034</v>
      </c>
      <c r="C6388" s="7" t="s">
        <v>6885</v>
      </c>
      <c r="D6388" s="7" t="s">
        <v>333</v>
      </c>
      <c r="E6388" s="7" t="s">
        <v>154</v>
      </c>
      <c r="F6388" s="39" t="n">
        <v>45954</v>
      </c>
      <c r="G6388" s="41" t="n">
        <v>87.45</v>
      </c>
      <c r="H6388" s="6" t="s">
        <v>182</v>
      </c>
      <c r="I6388" s="7" t="s">
        <v>19787</v>
      </c>
      <c r="J6388" s="8" t="n">
        <f aca="false">IF(I6388="Open",DATE(2025,12,31)-F6388,"-")</f>
        <v>68</v>
      </c>
    </row>
    <row r="6389" customFormat="false" ht="15" hidden="false" customHeight="false" outlineLevel="0" collapsed="false">
      <c r="B6389" s="7" t="s">
        <v>21035</v>
      </c>
      <c r="C6389" s="7" t="s">
        <v>6886</v>
      </c>
      <c r="D6389" s="7" t="s">
        <v>335</v>
      </c>
      <c r="E6389" s="7" t="s">
        <v>154</v>
      </c>
      <c r="F6389" s="39" t="n">
        <v>45954</v>
      </c>
      <c r="G6389" s="41" t="n">
        <v>100.97</v>
      </c>
      <c r="H6389" s="39" t="n">
        <v>46012</v>
      </c>
      <c r="I6389" s="7" t="s">
        <v>14651</v>
      </c>
      <c r="J6389" s="8" t="str">
        <f aca="false">IF(I6389="Open",DATE(2025,12,31)-F6389,"-")</f>
        <v>-</v>
      </c>
    </row>
    <row r="6390" customFormat="false" ht="15" hidden="false" customHeight="false" outlineLevel="0" collapsed="false">
      <c r="B6390" s="7" t="s">
        <v>21036</v>
      </c>
      <c r="C6390" s="7" t="s">
        <v>6887</v>
      </c>
      <c r="D6390" s="7" t="s">
        <v>339</v>
      </c>
      <c r="E6390" s="7" t="s">
        <v>154</v>
      </c>
      <c r="F6390" s="39" t="n">
        <v>45954</v>
      </c>
      <c r="G6390" s="41" t="n">
        <v>94.34</v>
      </c>
      <c r="H6390" s="6" t="s">
        <v>182</v>
      </c>
      <c r="I6390" s="7" t="s">
        <v>19787</v>
      </c>
      <c r="J6390" s="8" t="n">
        <f aca="false">IF(I6390="Open",DATE(2025,12,31)-F6390,"-")</f>
        <v>68</v>
      </c>
    </row>
    <row r="6391" customFormat="false" ht="15" hidden="false" customHeight="false" outlineLevel="0" collapsed="false">
      <c r="B6391" s="7" t="s">
        <v>21037</v>
      </c>
      <c r="C6391" s="7" t="s">
        <v>6888</v>
      </c>
      <c r="D6391" s="7" t="s">
        <v>347</v>
      </c>
      <c r="E6391" s="7" t="s">
        <v>154</v>
      </c>
      <c r="F6391" s="39" t="n">
        <v>45954</v>
      </c>
      <c r="G6391" s="41" t="n">
        <v>116.07</v>
      </c>
      <c r="H6391" s="39" t="n">
        <v>45993</v>
      </c>
      <c r="I6391" s="7" t="s">
        <v>14651</v>
      </c>
      <c r="J6391" s="8" t="str">
        <f aca="false">IF(I6391="Open",DATE(2025,12,31)-F6391,"-")</f>
        <v>-</v>
      </c>
    </row>
    <row r="6392" customFormat="false" ht="15" hidden="false" customHeight="false" outlineLevel="0" collapsed="false">
      <c r="B6392" s="7" t="s">
        <v>21038</v>
      </c>
      <c r="C6392" s="7" t="s">
        <v>6889</v>
      </c>
      <c r="D6392" s="7" t="s">
        <v>353</v>
      </c>
      <c r="E6392" s="7" t="s">
        <v>154</v>
      </c>
      <c r="F6392" s="39" t="n">
        <v>45954</v>
      </c>
      <c r="G6392" s="41" t="n">
        <v>90.37</v>
      </c>
      <c r="H6392" s="6" t="s">
        <v>182</v>
      </c>
      <c r="I6392" s="7" t="s">
        <v>19787</v>
      </c>
      <c r="J6392" s="8" t="n">
        <f aca="false">IF(I6392="Open",DATE(2025,12,31)-F6392,"-")</f>
        <v>68</v>
      </c>
    </row>
    <row r="6393" customFormat="false" ht="15" hidden="false" customHeight="false" outlineLevel="0" collapsed="false">
      <c r="B6393" s="7" t="s">
        <v>21039</v>
      </c>
      <c r="C6393" s="7" t="s">
        <v>6890</v>
      </c>
      <c r="D6393" s="7" t="s">
        <v>355</v>
      </c>
      <c r="E6393" s="7" t="s">
        <v>154</v>
      </c>
      <c r="F6393" s="39" t="n">
        <v>45954</v>
      </c>
      <c r="G6393" s="41" t="n">
        <v>89.57</v>
      </c>
      <c r="H6393" s="6" t="s">
        <v>182</v>
      </c>
      <c r="I6393" s="7" t="s">
        <v>19787</v>
      </c>
      <c r="J6393" s="8" t="n">
        <f aca="false">IF(I6393="Open",DATE(2025,12,31)-F6393,"-")</f>
        <v>68</v>
      </c>
    </row>
    <row r="6394" customFormat="false" ht="15" hidden="false" customHeight="false" outlineLevel="0" collapsed="false">
      <c r="B6394" s="7" t="s">
        <v>21040</v>
      </c>
      <c r="C6394" s="7" t="s">
        <v>6891</v>
      </c>
      <c r="D6394" s="7" t="s">
        <v>357</v>
      </c>
      <c r="E6394" s="7" t="s">
        <v>154</v>
      </c>
      <c r="F6394" s="39" t="n">
        <v>45954</v>
      </c>
      <c r="G6394" s="41" t="n">
        <v>89.04</v>
      </c>
      <c r="H6394" s="39" t="n">
        <v>46011</v>
      </c>
      <c r="I6394" s="7" t="s">
        <v>14651</v>
      </c>
      <c r="J6394" s="8" t="str">
        <f aca="false">IF(I6394="Open",DATE(2025,12,31)-F6394,"-")</f>
        <v>-</v>
      </c>
    </row>
    <row r="6395" customFormat="false" ht="15" hidden="false" customHeight="false" outlineLevel="0" collapsed="false">
      <c r="B6395" s="7" t="s">
        <v>21041</v>
      </c>
      <c r="C6395" s="7" t="s">
        <v>6892</v>
      </c>
      <c r="D6395" s="7" t="s">
        <v>359</v>
      </c>
      <c r="E6395" s="7" t="s">
        <v>156</v>
      </c>
      <c r="F6395" s="39" t="n">
        <v>45954</v>
      </c>
      <c r="G6395" s="41" t="n">
        <v>134.98</v>
      </c>
      <c r="H6395" s="39" t="n">
        <v>45970</v>
      </c>
      <c r="I6395" s="7" t="s">
        <v>14651</v>
      </c>
      <c r="J6395" s="8" t="str">
        <f aca="false">IF(I6395="Open",DATE(2025,12,31)-F6395,"-")</f>
        <v>-</v>
      </c>
    </row>
    <row r="6396" customFormat="false" ht="15" hidden="false" customHeight="false" outlineLevel="0" collapsed="false">
      <c r="B6396" s="7" t="s">
        <v>21042</v>
      </c>
      <c r="C6396" s="7" t="s">
        <v>6893</v>
      </c>
      <c r="D6396" s="7" t="s">
        <v>361</v>
      </c>
      <c r="E6396" s="7" t="s">
        <v>157</v>
      </c>
      <c r="F6396" s="39" t="n">
        <v>45954</v>
      </c>
      <c r="G6396" s="41" t="n">
        <v>176.55</v>
      </c>
      <c r="H6396" s="39" t="n">
        <v>45974</v>
      </c>
      <c r="I6396" s="7" t="s">
        <v>14651</v>
      </c>
      <c r="J6396" s="8" t="str">
        <f aca="false">IF(I6396="Open",DATE(2025,12,31)-F6396,"-")</f>
        <v>-</v>
      </c>
    </row>
    <row r="6397" customFormat="false" ht="15" hidden="false" customHeight="false" outlineLevel="0" collapsed="false">
      <c r="B6397" s="7" t="s">
        <v>21043</v>
      </c>
      <c r="C6397" s="7" t="s">
        <v>6894</v>
      </c>
      <c r="D6397" s="7" t="s">
        <v>365</v>
      </c>
      <c r="E6397" s="7" t="s">
        <v>154</v>
      </c>
      <c r="F6397" s="39" t="n">
        <v>45954</v>
      </c>
      <c r="G6397" s="41" t="n">
        <v>95.93</v>
      </c>
      <c r="H6397" s="39" t="n">
        <v>46006</v>
      </c>
      <c r="I6397" s="7" t="s">
        <v>14651</v>
      </c>
      <c r="J6397" s="8" t="str">
        <f aca="false">IF(I6397="Open",DATE(2025,12,31)-F6397,"-")</f>
        <v>-</v>
      </c>
    </row>
    <row r="6398" customFormat="false" ht="15" hidden="false" customHeight="false" outlineLevel="0" collapsed="false">
      <c r="B6398" s="7" t="s">
        <v>21044</v>
      </c>
      <c r="C6398" s="7" t="s">
        <v>6895</v>
      </c>
      <c r="D6398" s="7" t="s">
        <v>369</v>
      </c>
      <c r="E6398" s="7" t="s">
        <v>159</v>
      </c>
      <c r="F6398" s="39" t="n">
        <v>45954</v>
      </c>
      <c r="G6398" s="41" t="n">
        <v>139.05</v>
      </c>
      <c r="H6398" s="39" t="n">
        <v>45994</v>
      </c>
      <c r="I6398" s="7" t="s">
        <v>14651</v>
      </c>
      <c r="J6398" s="8" t="str">
        <f aca="false">IF(I6398="Open",DATE(2025,12,31)-F6398,"-")</f>
        <v>-</v>
      </c>
    </row>
    <row r="6399" customFormat="false" ht="15" hidden="false" customHeight="false" outlineLevel="0" collapsed="false">
      <c r="B6399" s="7" t="s">
        <v>21045</v>
      </c>
      <c r="C6399" s="7" t="s">
        <v>6896</v>
      </c>
      <c r="D6399" s="7" t="s">
        <v>371</v>
      </c>
      <c r="E6399" s="7" t="s">
        <v>154</v>
      </c>
      <c r="F6399" s="39" t="n">
        <v>45954</v>
      </c>
      <c r="G6399" s="41" t="n">
        <v>113.95</v>
      </c>
      <c r="H6399" s="39" t="n">
        <v>45999</v>
      </c>
      <c r="I6399" s="7" t="s">
        <v>14651</v>
      </c>
      <c r="J6399" s="8" t="str">
        <f aca="false">IF(I6399="Open",DATE(2025,12,31)-F6399,"-")</f>
        <v>-</v>
      </c>
    </row>
    <row r="6400" customFormat="false" ht="15" hidden="false" customHeight="false" outlineLevel="0" collapsed="false">
      <c r="B6400" s="7" t="s">
        <v>21046</v>
      </c>
      <c r="C6400" s="7" t="s">
        <v>6897</v>
      </c>
      <c r="D6400" s="7" t="s">
        <v>379</v>
      </c>
      <c r="E6400" s="7" t="s">
        <v>156</v>
      </c>
      <c r="F6400" s="39" t="n">
        <v>45954</v>
      </c>
      <c r="G6400" s="41" t="n">
        <v>169.32</v>
      </c>
      <c r="H6400" s="39" t="n">
        <v>45963</v>
      </c>
      <c r="I6400" s="7" t="s">
        <v>14651</v>
      </c>
      <c r="J6400" s="8" t="str">
        <f aca="false">IF(I6400="Open",DATE(2025,12,31)-F6400,"-")</f>
        <v>-</v>
      </c>
    </row>
    <row r="6401" customFormat="false" ht="15" hidden="false" customHeight="false" outlineLevel="0" collapsed="false">
      <c r="B6401" s="7" t="s">
        <v>21047</v>
      </c>
      <c r="C6401" s="7" t="s">
        <v>6898</v>
      </c>
      <c r="D6401" s="7" t="s">
        <v>381</v>
      </c>
      <c r="E6401" s="7" t="s">
        <v>157</v>
      </c>
      <c r="F6401" s="39" t="n">
        <v>45954</v>
      </c>
      <c r="G6401" s="41" t="n">
        <v>153.45</v>
      </c>
      <c r="H6401" s="39" t="n">
        <v>46017</v>
      </c>
      <c r="I6401" s="7" t="s">
        <v>14651</v>
      </c>
      <c r="J6401" s="8" t="str">
        <f aca="false">IF(I6401="Open",DATE(2025,12,31)-F6401,"-")</f>
        <v>-</v>
      </c>
    </row>
    <row r="6402" customFormat="false" ht="15" hidden="false" customHeight="false" outlineLevel="0" collapsed="false">
      <c r="B6402" s="7" t="s">
        <v>21048</v>
      </c>
      <c r="C6402" s="7" t="s">
        <v>6899</v>
      </c>
      <c r="D6402" s="7" t="s">
        <v>383</v>
      </c>
      <c r="E6402" s="7" t="s">
        <v>157</v>
      </c>
      <c r="F6402" s="39" t="n">
        <v>45954</v>
      </c>
      <c r="G6402" s="41" t="n">
        <v>163.02</v>
      </c>
      <c r="H6402" s="39" t="n">
        <v>45989</v>
      </c>
      <c r="I6402" s="7" t="s">
        <v>14651</v>
      </c>
      <c r="J6402" s="8" t="str">
        <f aca="false">IF(I6402="Open",DATE(2025,12,31)-F6402,"-")</f>
        <v>-</v>
      </c>
    </row>
    <row r="6403" customFormat="false" ht="15" hidden="false" customHeight="false" outlineLevel="0" collapsed="false">
      <c r="B6403" s="7" t="s">
        <v>21049</v>
      </c>
      <c r="C6403" s="7" t="s">
        <v>6900</v>
      </c>
      <c r="D6403" s="7" t="s">
        <v>385</v>
      </c>
      <c r="E6403" s="7" t="s">
        <v>156</v>
      </c>
      <c r="F6403" s="39" t="n">
        <v>45954</v>
      </c>
      <c r="G6403" s="41" t="n">
        <v>131.24</v>
      </c>
      <c r="H6403" s="39" t="n">
        <v>45975</v>
      </c>
      <c r="I6403" s="7" t="s">
        <v>14651</v>
      </c>
      <c r="J6403" s="8" t="str">
        <f aca="false">IF(I6403="Open",DATE(2025,12,31)-F6403,"-")</f>
        <v>-</v>
      </c>
    </row>
    <row r="6404" customFormat="false" ht="15" hidden="false" customHeight="false" outlineLevel="0" collapsed="false">
      <c r="B6404" s="7" t="s">
        <v>21050</v>
      </c>
      <c r="C6404" s="7" t="s">
        <v>6901</v>
      </c>
      <c r="D6404" s="7" t="s">
        <v>387</v>
      </c>
      <c r="E6404" s="7" t="s">
        <v>154</v>
      </c>
      <c r="F6404" s="39" t="n">
        <v>45954</v>
      </c>
      <c r="G6404" s="41" t="n">
        <v>104.41</v>
      </c>
      <c r="H6404" s="39" t="n">
        <v>45982</v>
      </c>
      <c r="I6404" s="7" t="s">
        <v>14651</v>
      </c>
      <c r="J6404" s="8" t="str">
        <f aca="false">IF(I6404="Open",DATE(2025,12,31)-F6404,"-")</f>
        <v>-</v>
      </c>
    </row>
    <row r="6405" customFormat="false" ht="15" hidden="false" customHeight="false" outlineLevel="0" collapsed="false">
      <c r="B6405" s="7" t="s">
        <v>21051</v>
      </c>
      <c r="C6405" s="7" t="s">
        <v>6902</v>
      </c>
      <c r="D6405" s="7" t="s">
        <v>389</v>
      </c>
      <c r="E6405" s="7" t="s">
        <v>154</v>
      </c>
      <c r="F6405" s="39" t="n">
        <v>45954</v>
      </c>
      <c r="G6405" s="41" t="n">
        <v>95.61</v>
      </c>
      <c r="H6405" s="39" t="n">
        <v>45971</v>
      </c>
      <c r="I6405" s="7" t="s">
        <v>14651</v>
      </c>
      <c r="J6405" s="8" t="str">
        <f aca="false">IF(I6405="Open",DATE(2025,12,31)-F6405,"-")</f>
        <v>-</v>
      </c>
    </row>
    <row r="6406" customFormat="false" ht="15" hidden="false" customHeight="false" outlineLevel="0" collapsed="false">
      <c r="B6406" s="7" t="s">
        <v>21052</v>
      </c>
      <c r="C6406" s="7" t="s">
        <v>6903</v>
      </c>
      <c r="D6406" s="7" t="s">
        <v>391</v>
      </c>
      <c r="E6406" s="7" t="s">
        <v>156</v>
      </c>
      <c r="F6406" s="39" t="n">
        <v>45954</v>
      </c>
      <c r="G6406" s="41" t="n">
        <v>149.26</v>
      </c>
      <c r="H6406" s="39" t="n">
        <v>45967</v>
      </c>
      <c r="I6406" s="7" t="s">
        <v>14651</v>
      </c>
      <c r="J6406" s="8" t="str">
        <f aca="false">IF(I6406="Open",DATE(2025,12,31)-F6406,"-")</f>
        <v>-</v>
      </c>
    </row>
    <row r="6407" customFormat="false" ht="15" hidden="false" customHeight="false" outlineLevel="0" collapsed="false">
      <c r="B6407" s="7" t="s">
        <v>21053</v>
      </c>
      <c r="C6407" s="7" t="s">
        <v>6904</v>
      </c>
      <c r="D6407" s="7" t="s">
        <v>395</v>
      </c>
      <c r="E6407" s="7" t="s">
        <v>156</v>
      </c>
      <c r="F6407" s="39" t="n">
        <v>45954</v>
      </c>
      <c r="G6407" s="41" t="n">
        <v>125.46</v>
      </c>
      <c r="H6407" s="39" t="n">
        <v>45968</v>
      </c>
      <c r="I6407" s="7" t="s">
        <v>14651</v>
      </c>
      <c r="J6407" s="8" t="str">
        <f aca="false">IF(I6407="Open",DATE(2025,12,31)-F6407,"-")</f>
        <v>-</v>
      </c>
    </row>
    <row r="6408" customFormat="false" ht="15" hidden="false" customHeight="false" outlineLevel="0" collapsed="false">
      <c r="B6408" s="7" t="s">
        <v>21054</v>
      </c>
      <c r="C6408" s="7" t="s">
        <v>6905</v>
      </c>
      <c r="D6408" s="7" t="s">
        <v>397</v>
      </c>
      <c r="E6408" s="7" t="s">
        <v>159</v>
      </c>
      <c r="F6408" s="39" t="n">
        <v>45954</v>
      </c>
      <c r="G6408" s="41" t="n">
        <v>128.25</v>
      </c>
      <c r="H6408" s="6" t="s">
        <v>182</v>
      </c>
      <c r="I6408" s="7" t="s">
        <v>19787</v>
      </c>
      <c r="J6408" s="8" t="n">
        <f aca="false">IF(I6408="Open",DATE(2025,12,31)-F6408,"-")</f>
        <v>68</v>
      </c>
    </row>
    <row r="6409" customFormat="false" ht="15" hidden="false" customHeight="false" outlineLevel="0" collapsed="false">
      <c r="B6409" s="7" t="s">
        <v>21055</v>
      </c>
      <c r="C6409" s="7" t="s">
        <v>6906</v>
      </c>
      <c r="D6409" s="7" t="s">
        <v>399</v>
      </c>
      <c r="E6409" s="7" t="s">
        <v>154</v>
      </c>
      <c r="F6409" s="39" t="n">
        <v>45954</v>
      </c>
      <c r="G6409" s="41" t="n">
        <v>84.8</v>
      </c>
      <c r="H6409" s="39" t="n">
        <v>45980</v>
      </c>
      <c r="I6409" s="7" t="s">
        <v>14651</v>
      </c>
      <c r="J6409" s="8" t="str">
        <f aca="false">IF(I6409="Open",DATE(2025,12,31)-F6409,"-")</f>
        <v>-</v>
      </c>
    </row>
    <row r="6410" customFormat="false" ht="15" hidden="false" customHeight="false" outlineLevel="0" collapsed="false">
      <c r="B6410" s="7" t="s">
        <v>21056</v>
      </c>
      <c r="C6410" s="7" t="s">
        <v>6907</v>
      </c>
      <c r="D6410" s="7" t="s">
        <v>401</v>
      </c>
      <c r="E6410" s="7" t="s">
        <v>156</v>
      </c>
      <c r="F6410" s="39" t="n">
        <v>45954</v>
      </c>
      <c r="G6410" s="41" t="n">
        <v>129.88</v>
      </c>
      <c r="H6410" s="39" t="n">
        <v>45962</v>
      </c>
      <c r="I6410" s="7" t="s">
        <v>14651</v>
      </c>
      <c r="J6410" s="8" t="str">
        <f aca="false">IF(I6410="Open",DATE(2025,12,31)-F6410,"-")</f>
        <v>-</v>
      </c>
    </row>
    <row r="6411" customFormat="false" ht="15" hidden="false" customHeight="false" outlineLevel="0" collapsed="false">
      <c r="B6411" s="7" t="s">
        <v>21057</v>
      </c>
      <c r="C6411" s="7" t="s">
        <v>6908</v>
      </c>
      <c r="D6411" s="7" t="s">
        <v>403</v>
      </c>
      <c r="E6411" s="7" t="s">
        <v>156</v>
      </c>
      <c r="F6411" s="39" t="n">
        <v>45954</v>
      </c>
      <c r="G6411" s="41" t="n">
        <v>142.8</v>
      </c>
      <c r="H6411" s="39" t="n">
        <v>45965</v>
      </c>
      <c r="I6411" s="7" t="s">
        <v>14651</v>
      </c>
      <c r="J6411" s="8" t="str">
        <f aca="false">IF(I6411="Open",DATE(2025,12,31)-F6411,"-")</f>
        <v>-</v>
      </c>
    </row>
    <row r="6412" customFormat="false" ht="15" hidden="false" customHeight="false" outlineLevel="0" collapsed="false">
      <c r="B6412" s="7" t="s">
        <v>21058</v>
      </c>
      <c r="C6412" s="7" t="s">
        <v>6909</v>
      </c>
      <c r="D6412" s="7" t="s">
        <v>407</v>
      </c>
      <c r="E6412" s="7" t="s">
        <v>159</v>
      </c>
      <c r="F6412" s="39" t="n">
        <v>45954</v>
      </c>
      <c r="G6412" s="41" t="n">
        <v>139.05</v>
      </c>
      <c r="H6412" s="6" t="s">
        <v>182</v>
      </c>
      <c r="I6412" s="7" t="s">
        <v>19787</v>
      </c>
      <c r="J6412" s="8" t="n">
        <f aca="false">IF(I6412="Open",DATE(2025,12,31)-F6412,"-")</f>
        <v>68</v>
      </c>
    </row>
    <row r="6413" customFormat="false" ht="15" hidden="false" customHeight="false" outlineLevel="0" collapsed="false">
      <c r="B6413" s="7" t="s">
        <v>21059</v>
      </c>
      <c r="C6413" s="7" t="s">
        <v>6910</v>
      </c>
      <c r="D6413" s="7" t="s">
        <v>409</v>
      </c>
      <c r="E6413" s="7" t="s">
        <v>154</v>
      </c>
      <c r="F6413" s="39" t="n">
        <v>45954</v>
      </c>
      <c r="G6413" s="41" t="n">
        <v>96.19</v>
      </c>
      <c r="H6413" s="6" t="s">
        <v>182</v>
      </c>
      <c r="I6413" s="7" t="s">
        <v>19787</v>
      </c>
      <c r="J6413" s="8" t="n">
        <f aca="false">IF(I6413="Open",DATE(2025,12,31)-F6413,"-")</f>
        <v>68</v>
      </c>
    </row>
    <row r="6414" customFormat="false" ht="15" hidden="false" customHeight="false" outlineLevel="0" collapsed="false">
      <c r="B6414" s="7" t="s">
        <v>21060</v>
      </c>
      <c r="C6414" s="7" t="s">
        <v>6911</v>
      </c>
      <c r="D6414" s="7" t="s">
        <v>411</v>
      </c>
      <c r="E6414" s="7" t="s">
        <v>154</v>
      </c>
      <c r="F6414" s="39" t="n">
        <v>45954</v>
      </c>
      <c r="G6414" s="41" t="n">
        <v>121.63</v>
      </c>
      <c r="H6414" s="39" t="n">
        <v>45995</v>
      </c>
      <c r="I6414" s="7" t="s">
        <v>14651</v>
      </c>
      <c r="J6414" s="8" t="str">
        <f aca="false">IF(I6414="Open",DATE(2025,12,31)-F6414,"-")</f>
        <v>-</v>
      </c>
    </row>
    <row r="6415" customFormat="false" ht="15" hidden="false" customHeight="false" outlineLevel="0" collapsed="false">
      <c r="B6415" s="7" t="s">
        <v>21061</v>
      </c>
      <c r="C6415" s="7" t="s">
        <v>6912</v>
      </c>
      <c r="D6415" s="7" t="s">
        <v>288</v>
      </c>
      <c r="E6415" s="7" t="s">
        <v>156</v>
      </c>
      <c r="F6415" s="39" t="n">
        <v>45955</v>
      </c>
      <c r="G6415" s="41" t="n">
        <v>138.72</v>
      </c>
      <c r="H6415" s="39" t="n">
        <v>45965</v>
      </c>
      <c r="I6415" s="7" t="s">
        <v>14651</v>
      </c>
      <c r="J6415" s="8" t="str">
        <f aca="false">IF(I6415="Open",DATE(2025,12,31)-F6415,"-")</f>
        <v>-</v>
      </c>
    </row>
    <row r="6416" customFormat="false" ht="15" hidden="false" customHeight="false" outlineLevel="0" collapsed="false">
      <c r="B6416" s="7" t="s">
        <v>21062</v>
      </c>
      <c r="C6416" s="7" t="s">
        <v>6913</v>
      </c>
      <c r="D6416" s="7" t="s">
        <v>321</v>
      </c>
      <c r="E6416" s="7" t="s">
        <v>154</v>
      </c>
      <c r="F6416" s="39" t="n">
        <v>45955</v>
      </c>
      <c r="G6416" s="41" t="n">
        <v>113.95</v>
      </c>
      <c r="H6416" s="6" t="s">
        <v>182</v>
      </c>
      <c r="I6416" s="7" t="s">
        <v>19787</v>
      </c>
      <c r="J6416" s="8" t="n">
        <f aca="false">IF(I6416="Open",DATE(2025,12,31)-F6416,"-")</f>
        <v>67</v>
      </c>
    </row>
    <row r="6417" customFormat="false" ht="15" hidden="false" customHeight="false" outlineLevel="0" collapsed="false">
      <c r="B6417" s="7" t="s">
        <v>21063</v>
      </c>
      <c r="C6417" s="7" t="s">
        <v>6914</v>
      </c>
      <c r="D6417" s="7" t="s">
        <v>359</v>
      </c>
      <c r="E6417" s="7" t="s">
        <v>156</v>
      </c>
      <c r="F6417" s="39" t="n">
        <v>45955</v>
      </c>
      <c r="G6417" s="41" t="n">
        <v>145.86</v>
      </c>
      <c r="H6417" s="39" t="n">
        <v>45968</v>
      </c>
      <c r="I6417" s="7" t="s">
        <v>14651</v>
      </c>
      <c r="J6417" s="8" t="str">
        <f aca="false">IF(I6417="Open",DATE(2025,12,31)-F6417,"-")</f>
        <v>-</v>
      </c>
    </row>
    <row r="6418" customFormat="false" ht="15" hidden="false" customHeight="false" outlineLevel="0" collapsed="false">
      <c r="B6418" s="7" t="s">
        <v>21064</v>
      </c>
      <c r="C6418" s="7" t="s">
        <v>6915</v>
      </c>
      <c r="D6418" s="7" t="s">
        <v>387</v>
      </c>
      <c r="E6418" s="7" t="s">
        <v>154</v>
      </c>
      <c r="F6418" s="39" t="n">
        <v>45955</v>
      </c>
      <c r="G6418" s="41" t="n">
        <v>116.6</v>
      </c>
      <c r="H6418" s="6" t="s">
        <v>182</v>
      </c>
      <c r="I6418" s="7" t="s">
        <v>19787</v>
      </c>
      <c r="J6418" s="8" t="n">
        <f aca="false">IF(I6418="Open",DATE(2025,12,31)-F6418,"-")</f>
        <v>67</v>
      </c>
    </row>
    <row r="6419" customFormat="false" ht="15" hidden="false" customHeight="false" outlineLevel="0" collapsed="false">
      <c r="B6419" s="7" t="s">
        <v>21065</v>
      </c>
      <c r="C6419" s="7" t="s">
        <v>6916</v>
      </c>
      <c r="D6419" s="7" t="s">
        <v>391</v>
      </c>
      <c r="E6419" s="7" t="s">
        <v>156</v>
      </c>
      <c r="F6419" s="39" t="n">
        <v>45955</v>
      </c>
      <c r="G6419" s="41" t="n">
        <v>139.06</v>
      </c>
      <c r="H6419" s="39" t="n">
        <v>45961</v>
      </c>
      <c r="I6419" s="7" t="s">
        <v>14651</v>
      </c>
      <c r="J6419" s="8" t="str">
        <f aca="false">IF(I6419="Open",DATE(2025,12,31)-F6419,"-")</f>
        <v>-</v>
      </c>
    </row>
    <row r="6420" customFormat="false" ht="15" hidden="false" customHeight="false" outlineLevel="0" collapsed="false">
      <c r="B6420" s="7" t="s">
        <v>21066</v>
      </c>
      <c r="C6420" s="7" t="s">
        <v>6917</v>
      </c>
      <c r="D6420" s="7" t="s">
        <v>395</v>
      </c>
      <c r="E6420" s="7" t="s">
        <v>156</v>
      </c>
      <c r="F6420" s="39" t="n">
        <v>45955</v>
      </c>
      <c r="G6420" s="41" t="n">
        <v>127.5</v>
      </c>
      <c r="H6420" s="39" t="n">
        <v>45964</v>
      </c>
      <c r="I6420" s="7" t="s">
        <v>14651</v>
      </c>
      <c r="J6420" s="8" t="str">
        <f aca="false">IF(I6420="Open",DATE(2025,12,31)-F6420,"-")</f>
        <v>-</v>
      </c>
    </row>
    <row r="6421" customFormat="false" ht="15" hidden="false" customHeight="false" outlineLevel="0" collapsed="false">
      <c r="B6421" s="7" t="s">
        <v>21067</v>
      </c>
      <c r="C6421" s="7" t="s">
        <v>6918</v>
      </c>
      <c r="D6421" s="7" t="s">
        <v>401</v>
      </c>
      <c r="E6421" s="7" t="s">
        <v>156</v>
      </c>
      <c r="F6421" s="39" t="n">
        <v>45955</v>
      </c>
      <c r="G6421" s="41" t="n">
        <v>128.52</v>
      </c>
      <c r="H6421" s="39" t="n">
        <v>45962</v>
      </c>
      <c r="I6421" s="7" t="s">
        <v>14651</v>
      </c>
      <c r="J6421" s="8" t="str">
        <f aca="false">IF(I6421="Open",DATE(2025,12,31)-F6421,"-")</f>
        <v>-</v>
      </c>
    </row>
    <row r="6422" customFormat="false" ht="15" hidden="false" customHeight="false" outlineLevel="0" collapsed="false">
      <c r="B6422" s="7" t="s">
        <v>21068</v>
      </c>
      <c r="C6422" s="7" t="s">
        <v>6919</v>
      </c>
      <c r="D6422" s="7" t="s">
        <v>288</v>
      </c>
      <c r="E6422" s="7" t="s">
        <v>156</v>
      </c>
      <c r="F6422" s="39" t="n">
        <v>45956</v>
      </c>
      <c r="G6422" s="41" t="n">
        <v>124.44</v>
      </c>
      <c r="H6422" s="39" t="n">
        <v>45969</v>
      </c>
      <c r="I6422" s="7" t="s">
        <v>14651</v>
      </c>
      <c r="J6422" s="8" t="str">
        <f aca="false">IF(I6422="Open",DATE(2025,12,31)-F6422,"-")</f>
        <v>-</v>
      </c>
    </row>
    <row r="6423" customFormat="false" ht="15" hidden="false" customHeight="false" outlineLevel="0" collapsed="false">
      <c r="B6423" s="7" t="s">
        <v>21069</v>
      </c>
      <c r="C6423" s="7" t="s">
        <v>6920</v>
      </c>
      <c r="D6423" s="7" t="s">
        <v>321</v>
      </c>
      <c r="E6423" s="7" t="s">
        <v>154</v>
      </c>
      <c r="F6423" s="39" t="n">
        <v>45956</v>
      </c>
      <c r="G6423" s="41" t="n">
        <v>104.41</v>
      </c>
      <c r="H6423" s="39" t="n">
        <v>45975</v>
      </c>
      <c r="I6423" s="7" t="s">
        <v>14651</v>
      </c>
      <c r="J6423" s="8" t="str">
        <f aca="false">IF(I6423="Open",DATE(2025,12,31)-F6423,"-")</f>
        <v>-</v>
      </c>
    </row>
    <row r="6424" customFormat="false" ht="15" hidden="false" customHeight="false" outlineLevel="0" collapsed="false">
      <c r="B6424" s="7" t="s">
        <v>21070</v>
      </c>
      <c r="C6424" s="7" t="s">
        <v>6921</v>
      </c>
      <c r="D6424" s="7" t="s">
        <v>359</v>
      </c>
      <c r="E6424" s="7" t="s">
        <v>156</v>
      </c>
      <c r="F6424" s="39" t="n">
        <v>45956</v>
      </c>
      <c r="G6424" s="41" t="n">
        <v>144.84</v>
      </c>
      <c r="H6424" s="39" t="n">
        <v>45969</v>
      </c>
      <c r="I6424" s="7" t="s">
        <v>14651</v>
      </c>
      <c r="J6424" s="8" t="str">
        <f aca="false">IF(I6424="Open",DATE(2025,12,31)-F6424,"-")</f>
        <v>-</v>
      </c>
    </row>
    <row r="6425" customFormat="false" ht="15" hidden="false" customHeight="false" outlineLevel="0" collapsed="false">
      <c r="B6425" s="7" t="s">
        <v>21071</v>
      </c>
      <c r="C6425" s="7" t="s">
        <v>6922</v>
      </c>
      <c r="D6425" s="7" t="s">
        <v>387</v>
      </c>
      <c r="E6425" s="7" t="s">
        <v>154</v>
      </c>
      <c r="F6425" s="39" t="n">
        <v>45956</v>
      </c>
      <c r="G6425" s="41" t="n">
        <v>116.6</v>
      </c>
      <c r="H6425" s="6" t="s">
        <v>182</v>
      </c>
      <c r="I6425" s="7" t="s">
        <v>19787</v>
      </c>
      <c r="J6425" s="8" t="n">
        <f aca="false">IF(I6425="Open",DATE(2025,12,31)-F6425,"-")</f>
        <v>66</v>
      </c>
    </row>
    <row r="6426" customFormat="false" ht="15" hidden="false" customHeight="false" outlineLevel="0" collapsed="false">
      <c r="B6426" s="7" t="s">
        <v>21072</v>
      </c>
      <c r="C6426" s="7" t="s">
        <v>6923</v>
      </c>
      <c r="D6426" s="7" t="s">
        <v>391</v>
      </c>
      <c r="E6426" s="7" t="s">
        <v>156</v>
      </c>
      <c r="F6426" s="39" t="n">
        <v>45956</v>
      </c>
      <c r="G6426" s="41" t="n">
        <v>143.48</v>
      </c>
      <c r="H6426" s="39" t="n">
        <v>45968</v>
      </c>
      <c r="I6426" s="7" t="s">
        <v>14651</v>
      </c>
      <c r="J6426" s="8" t="str">
        <f aca="false">IF(I6426="Open",DATE(2025,12,31)-F6426,"-")</f>
        <v>-</v>
      </c>
    </row>
    <row r="6427" customFormat="false" ht="15" hidden="false" customHeight="false" outlineLevel="0" collapsed="false">
      <c r="B6427" s="7" t="s">
        <v>21073</v>
      </c>
      <c r="C6427" s="7" t="s">
        <v>6924</v>
      </c>
      <c r="D6427" s="7" t="s">
        <v>395</v>
      </c>
      <c r="E6427" s="7" t="s">
        <v>156</v>
      </c>
      <c r="F6427" s="39" t="n">
        <v>45956</v>
      </c>
      <c r="G6427" s="41" t="n">
        <v>145.18</v>
      </c>
      <c r="H6427" s="39" t="n">
        <v>45970</v>
      </c>
      <c r="I6427" s="7" t="s">
        <v>14651</v>
      </c>
      <c r="J6427" s="8" t="str">
        <f aca="false">IF(I6427="Open",DATE(2025,12,31)-F6427,"-")</f>
        <v>-</v>
      </c>
    </row>
    <row r="6428" customFormat="false" ht="15" hidden="false" customHeight="false" outlineLevel="0" collapsed="false">
      <c r="B6428" s="7" t="s">
        <v>21074</v>
      </c>
      <c r="C6428" s="7" t="s">
        <v>6925</v>
      </c>
      <c r="D6428" s="7" t="s">
        <v>401</v>
      </c>
      <c r="E6428" s="7" t="s">
        <v>156</v>
      </c>
      <c r="F6428" s="39" t="n">
        <v>45956</v>
      </c>
      <c r="G6428" s="41" t="n">
        <v>123.42</v>
      </c>
      <c r="H6428" s="39" t="n">
        <v>45970</v>
      </c>
      <c r="I6428" s="7" t="s">
        <v>14651</v>
      </c>
      <c r="J6428" s="8" t="str">
        <f aca="false">IF(I6428="Open",DATE(2025,12,31)-F6428,"-")</f>
        <v>-</v>
      </c>
    </row>
    <row r="6429" customFormat="false" ht="15" hidden="false" customHeight="false" outlineLevel="0" collapsed="false">
      <c r="B6429" s="7" t="s">
        <v>21075</v>
      </c>
      <c r="C6429" s="7" t="s">
        <v>6926</v>
      </c>
      <c r="D6429" s="7" t="s">
        <v>288</v>
      </c>
      <c r="E6429" s="7" t="s">
        <v>156</v>
      </c>
      <c r="F6429" s="39" t="n">
        <v>45957</v>
      </c>
      <c r="G6429" s="41" t="n">
        <v>136.34</v>
      </c>
      <c r="H6429" s="39" t="n">
        <v>45964</v>
      </c>
      <c r="I6429" s="7" t="s">
        <v>14651</v>
      </c>
      <c r="J6429" s="8" t="str">
        <f aca="false">IF(I6429="Open",DATE(2025,12,31)-F6429,"-")</f>
        <v>-</v>
      </c>
    </row>
    <row r="6430" customFormat="false" ht="15" hidden="false" customHeight="false" outlineLevel="0" collapsed="false">
      <c r="B6430" s="7" t="s">
        <v>21076</v>
      </c>
      <c r="C6430" s="7" t="s">
        <v>6927</v>
      </c>
      <c r="D6430" s="7" t="s">
        <v>291</v>
      </c>
      <c r="E6430" s="7" t="s">
        <v>154</v>
      </c>
      <c r="F6430" s="39" t="n">
        <v>45957</v>
      </c>
      <c r="G6430" s="41" t="n">
        <v>111.56</v>
      </c>
      <c r="H6430" s="6" t="s">
        <v>182</v>
      </c>
      <c r="I6430" s="7" t="s">
        <v>19787</v>
      </c>
      <c r="J6430" s="8" t="n">
        <f aca="false">IF(I6430="Open",DATE(2025,12,31)-F6430,"-")</f>
        <v>65</v>
      </c>
    </row>
    <row r="6431" customFormat="false" ht="15" hidden="false" customHeight="false" outlineLevel="0" collapsed="false">
      <c r="B6431" s="7" t="s">
        <v>21077</v>
      </c>
      <c r="C6431" s="7" t="s">
        <v>6928</v>
      </c>
      <c r="D6431" s="7" t="s">
        <v>295</v>
      </c>
      <c r="E6431" s="7" t="s">
        <v>154</v>
      </c>
      <c r="F6431" s="39" t="n">
        <v>45957</v>
      </c>
      <c r="G6431" s="41" t="n">
        <v>100.17</v>
      </c>
      <c r="H6431" s="39" t="n">
        <v>46016</v>
      </c>
      <c r="I6431" s="7" t="s">
        <v>14651</v>
      </c>
      <c r="J6431" s="8" t="str">
        <f aca="false">IF(I6431="Open",DATE(2025,12,31)-F6431,"-")</f>
        <v>-</v>
      </c>
    </row>
    <row r="6432" customFormat="false" ht="15" hidden="false" customHeight="false" outlineLevel="0" collapsed="false">
      <c r="B6432" s="7" t="s">
        <v>21078</v>
      </c>
      <c r="C6432" s="7" t="s">
        <v>6929</v>
      </c>
      <c r="D6432" s="7" t="s">
        <v>297</v>
      </c>
      <c r="E6432" s="7" t="s">
        <v>156</v>
      </c>
      <c r="F6432" s="39" t="n">
        <v>45957</v>
      </c>
      <c r="G6432" s="41" t="n">
        <v>98.26</v>
      </c>
      <c r="H6432" s="39" t="n">
        <v>45968</v>
      </c>
      <c r="I6432" s="7" t="s">
        <v>14651</v>
      </c>
      <c r="J6432" s="8" t="str">
        <f aca="false">IF(I6432="Open",DATE(2025,12,31)-F6432,"-")</f>
        <v>-</v>
      </c>
    </row>
    <row r="6433" customFormat="false" ht="15" hidden="false" customHeight="false" outlineLevel="0" collapsed="false">
      <c r="B6433" s="7" t="s">
        <v>21079</v>
      </c>
      <c r="C6433" s="7" t="s">
        <v>6930</v>
      </c>
      <c r="D6433" s="7" t="s">
        <v>303</v>
      </c>
      <c r="E6433" s="7" t="s">
        <v>154</v>
      </c>
      <c r="F6433" s="39" t="n">
        <v>45957</v>
      </c>
      <c r="G6433" s="41" t="n">
        <v>97.25</v>
      </c>
      <c r="H6433" s="39" t="n">
        <v>46017</v>
      </c>
      <c r="I6433" s="7" t="s">
        <v>14651</v>
      </c>
      <c r="J6433" s="8" t="str">
        <f aca="false">IF(I6433="Open",DATE(2025,12,31)-F6433,"-")</f>
        <v>-</v>
      </c>
    </row>
    <row r="6434" customFormat="false" ht="15" hidden="false" customHeight="false" outlineLevel="0" collapsed="false">
      <c r="B6434" s="7" t="s">
        <v>21080</v>
      </c>
      <c r="C6434" s="7" t="s">
        <v>6931</v>
      </c>
      <c r="D6434" s="7" t="s">
        <v>305</v>
      </c>
      <c r="E6434" s="7" t="s">
        <v>154</v>
      </c>
      <c r="F6434" s="39" t="n">
        <v>45957</v>
      </c>
      <c r="G6434" s="41" t="n">
        <v>111.83</v>
      </c>
      <c r="H6434" s="39" t="n">
        <v>46009</v>
      </c>
      <c r="I6434" s="7" t="s">
        <v>14651</v>
      </c>
      <c r="J6434" s="8" t="str">
        <f aca="false">IF(I6434="Open",DATE(2025,12,31)-F6434,"-")</f>
        <v>-</v>
      </c>
    </row>
    <row r="6435" customFormat="false" ht="15" hidden="false" customHeight="false" outlineLevel="0" collapsed="false">
      <c r="B6435" s="7" t="s">
        <v>21081</v>
      </c>
      <c r="C6435" s="7" t="s">
        <v>6932</v>
      </c>
      <c r="D6435" s="7" t="s">
        <v>307</v>
      </c>
      <c r="E6435" s="7" t="s">
        <v>157</v>
      </c>
      <c r="F6435" s="39" t="n">
        <v>45957</v>
      </c>
      <c r="G6435" s="41" t="n">
        <v>150.15</v>
      </c>
      <c r="H6435" s="39" t="n">
        <v>45993</v>
      </c>
      <c r="I6435" s="7" t="s">
        <v>14651</v>
      </c>
      <c r="J6435" s="8" t="str">
        <f aca="false">IF(I6435="Open",DATE(2025,12,31)-F6435,"-")</f>
        <v>-</v>
      </c>
    </row>
    <row r="6436" customFormat="false" ht="15" hidden="false" customHeight="false" outlineLevel="0" collapsed="false">
      <c r="B6436" s="7" t="s">
        <v>21082</v>
      </c>
      <c r="C6436" s="7" t="s">
        <v>6933</v>
      </c>
      <c r="D6436" s="7" t="s">
        <v>309</v>
      </c>
      <c r="E6436" s="7" t="s">
        <v>159</v>
      </c>
      <c r="F6436" s="39" t="n">
        <v>45957</v>
      </c>
      <c r="G6436" s="41" t="n">
        <v>115.56</v>
      </c>
      <c r="H6436" s="6" t="s">
        <v>182</v>
      </c>
      <c r="I6436" s="7" t="s">
        <v>19787</v>
      </c>
      <c r="J6436" s="8" t="n">
        <f aca="false">IF(I6436="Open",DATE(2025,12,31)-F6436,"-")</f>
        <v>65</v>
      </c>
    </row>
    <row r="6437" customFormat="false" ht="15" hidden="false" customHeight="false" outlineLevel="0" collapsed="false">
      <c r="B6437" s="7" t="s">
        <v>21083</v>
      </c>
      <c r="C6437" s="7" t="s">
        <v>6934</v>
      </c>
      <c r="D6437" s="7" t="s">
        <v>311</v>
      </c>
      <c r="E6437" s="7" t="s">
        <v>154</v>
      </c>
      <c r="F6437" s="39" t="n">
        <v>45957</v>
      </c>
      <c r="G6437" s="41" t="n">
        <v>79.23</v>
      </c>
      <c r="H6437" s="6" t="s">
        <v>182</v>
      </c>
      <c r="I6437" s="7" t="s">
        <v>19787</v>
      </c>
      <c r="J6437" s="8" t="n">
        <f aca="false">IF(I6437="Open",DATE(2025,12,31)-F6437,"-")</f>
        <v>65</v>
      </c>
    </row>
    <row r="6438" customFormat="false" ht="15" hidden="false" customHeight="false" outlineLevel="0" collapsed="false">
      <c r="B6438" s="7" t="s">
        <v>21084</v>
      </c>
      <c r="C6438" s="7" t="s">
        <v>6935</v>
      </c>
      <c r="D6438" s="7" t="s">
        <v>313</v>
      </c>
      <c r="E6438" s="7" t="s">
        <v>156</v>
      </c>
      <c r="F6438" s="39" t="n">
        <v>45957</v>
      </c>
      <c r="G6438" s="41" t="n">
        <v>125.12</v>
      </c>
      <c r="H6438" s="39" t="n">
        <v>45966</v>
      </c>
      <c r="I6438" s="7" t="s">
        <v>14651</v>
      </c>
      <c r="J6438" s="8" t="str">
        <f aca="false">IF(I6438="Open",DATE(2025,12,31)-F6438,"-")</f>
        <v>-</v>
      </c>
    </row>
    <row r="6439" customFormat="false" ht="15" hidden="false" customHeight="false" outlineLevel="0" collapsed="false">
      <c r="B6439" s="7" t="s">
        <v>21085</v>
      </c>
      <c r="C6439" s="7" t="s">
        <v>6936</v>
      </c>
      <c r="D6439" s="7" t="s">
        <v>315</v>
      </c>
      <c r="E6439" s="7" t="s">
        <v>159</v>
      </c>
      <c r="F6439" s="39" t="n">
        <v>45957</v>
      </c>
      <c r="G6439" s="41" t="n">
        <v>145.8</v>
      </c>
      <c r="H6439" s="6" t="s">
        <v>182</v>
      </c>
      <c r="I6439" s="7" t="s">
        <v>19787</v>
      </c>
      <c r="J6439" s="8" t="n">
        <f aca="false">IF(I6439="Open",DATE(2025,12,31)-F6439,"-")</f>
        <v>65</v>
      </c>
    </row>
    <row r="6440" customFormat="false" ht="15" hidden="false" customHeight="false" outlineLevel="0" collapsed="false">
      <c r="B6440" s="7" t="s">
        <v>21086</v>
      </c>
      <c r="C6440" s="7" t="s">
        <v>6937</v>
      </c>
      <c r="D6440" s="7" t="s">
        <v>317</v>
      </c>
      <c r="E6440" s="7" t="s">
        <v>156</v>
      </c>
      <c r="F6440" s="39" t="n">
        <v>45957</v>
      </c>
      <c r="G6440" s="41" t="n">
        <v>92.82</v>
      </c>
      <c r="H6440" s="39" t="n">
        <v>45969</v>
      </c>
      <c r="I6440" s="7" t="s">
        <v>14651</v>
      </c>
      <c r="J6440" s="8" t="str">
        <f aca="false">IF(I6440="Open",DATE(2025,12,31)-F6440,"-")</f>
        <v>-</v>
      </c>
    </row>
    <row r="6441" customFormat="false" ht="15" hidden="false" customHeight="false" outlineLevel="0" collapsed="false">
      <c r="B6441" s="7" t="s">
        <v>21087</v>
      </c>
      <c r="C6441" s="7" t="s">
        <v>6938</v>
      </c>
      <c r="D6441" s="7" t="s">
        <v>321</v>
      </c>
      <c r="E6441" s="7" t="s">
        <v>154</v>
      </c>
      <c r="F6441" s="39" t="n">
        <v>45957</v>
      </c>
      <c r="G6441" s="41" t="n">
        <v>104.94</v>
      </c>
      <c r="H6441" s="6" t="s">
        <v>182</v>
      </c>
      <c r="I6441" s="7" t="s">
        <v>19787</v>
      </c>
      <c r="J6441" s="8" t="n">
        <f aca="false">IF(I6441="Open",DATE(2025,12,31)-F6441,"-")</f>
        <v>65</v>
      </c>
    </row>
    <row r="6442" customFormat="false" ht="15" hidden="false" customHeight="false" outlineLevel="0" collapsed="false">
      <c r="B6442" s="7" t="s">
        <v>21088</v>
      </c>
      <c r="C6442" s="7" t="s">
        <v>6939</v>
      </c>
      <c r="D6442" s="7" t="s">
        <v>325</v>
      </c>
      <c r="E6442" s="7" t="s">
        <v>154</v>
      </c>
      <c r="F6442" s="39" t="n">
        <v>45957</v>
      </c>
      <c r="G6442" s="41" t="n">
        <v>85.59</v>
      </c>
      <c r="H6442" s="39" t="n">
        <v>46005</v>
      </c>
      <c r="I6442" s="7" t="s">
        <v>14651</v>
      </c>
      <c r="J6442" s="8" t="str">
        <f aca="false">IF(I6442="Open",DATE(2025,12,31)-F6442,"-")</f>
        <v>-</v>
      </c>
    </row>
    <row r="6443" customFormat="false" ht="15" hidden="false" customHeight="false" outlineLevel="0" collapsed="false">
      <c r="B6443" s="7" t="s">
        <v>21089</v>
      </c>
      <c r="C6443" s="7" t="s">
        <v>6940</v>
      </c>
      <c r="D6443" s="7" t="s">
        <v>329</v>
      </c>
      <c r="E6443" s="7" t="s">
        <v>156</v>
      </c>
      <c r="F6443" s="39" t="n">
        <v>45957</v>
      </c>
      <c r="G6443" s="41" t="n">
        <v>126.14</v>
      </c>
      <c r="H6443" s="39" t="n">
        <v>45969</v>
      </c>
      <c r="I6443" s="7" t="s">
        <v>14651</v>
      </c>
      <c r="J6443" s="8" t="str">
        <f aca="false">IF(I6443="Open",DATE(2025,12,31)-F6443,"-")</f>
        <v>-</v>
      </c>
    </row>
    <row r="6444" customFormat="false" ht="15" hidden="false" customHeight="false" outlineLevel="0" collapsed="false">
      <c r="B6444" s="7" t="s">
        <v>21090</v>
      </c>
      <c r="C6444" s="7" t="s">
        <v>6941</v>
      </c>
      <c r="D6444" s="7" t="s">
        <v>331</v>
      </c>
      <c r="E6444" s="7" t="s">
        <v>156</v>
      </c>
      <c r="F6444" s="39" t="n">
        <v>45957</v>
      </c>
      <c r="G6444" s="41" t="n">
        <v>133.28</v>
      </c>
      <c r="H6444" s="39" t="n">
        <v>45976</v>
      </c>
      <c r="I6444" s="7" t="s">
        <v>14651</v>
      </c>
      <c r="J6444" s="8" t="str">
        <f aca="false">IF(I6444="Open",DATE(2025,12,31)-F6444,"-")</f>
        <v>-</v>
      </c>
    </row>
    <row r="6445" customFormat="false" ht="15" hidden="false" customHeight="false" outlineLevel="0" collapsed="false">
      <c r="B6445" s="7" t="s">
        <v>21091</v>
      </c>
      <c r="C6445" s="7" t="s">
        <v>6942</v>
      </c>
      <c r="D6445" s="7" t="s">
        <v>333</v>
      </c>
      <c r="E6445" s="7" t="s">
        <v>154</v>
      </c>
      <c r="F6445" s="39" t="n">
        <v>45957</v>
      </c>
      <c r="G6445" s="41" t="n">
        <v>93.28</v>
      </c>
      <c r="H6445" s="39" t="n">
        <v>46004</v>
      </c>
      <c r="I6445" s="7" t="s">
        <v>14651</v>
      </c>
      <c r="J6445" s="8" t="str">
        <f aca="false">IF(I6445="Open",DATE(2025,12,31)-F6445,"-")</f>
        <v>-</v>
      </c>
    </row>
    <row r="6446" customFormat="false" ht="15" hidden="false" customHeight="false" outlineLevel="0" collapsed="false">
      <c r="B6446" s="7" t="s">
        <v>21092</v>
      </c>
      <c r="C6446" s="7" t="s">
        <v>6943</v>
      </c>
      <c r="D6446" s="7" t="s">
        <v>335</v>
      </c>
      <c r="E6446" s="7" t="s">
        <v>154</v>
      </c>
      <c r="F6446" s="39" t="n">
        <v>45957</v>
      </c>
      <c r="G6446" s="41" t="n">
        <v>110.24</v>
      </c>
      <c r="H6446" s="6" t="s">
        <v>182</v>
      </c>
      <c r="I6446" s="7" t="s">
        <v>19787</v>
      </c>
      <c r="J6446" s="8" t="n">
        <f aca="false">IF(I6446="Open",DATE(2025,12,31)-F6446,"-")</f>
        <v>65</v>
      </c>
    </row>
    <row r="6447" customFormat="false" ht="15" hidden="false" customHeight="false" outlineLevel="0" collapsed="false">
      <c r="B6447" s="7" t="s">
        <v>21093</v>
      </c>
      <c r="C6447" s="7" t="s">
        <v>6944</v>
      </c>
      <c r="D6447" s="7" t="s">
        <v>339</v>
      </c>
      <c r="E6447" s="7" t="s">
        <v>154</v>
      </c>
      <c r="F6447" s="39" t="n">
        <v>45957</v>
      </c>
      <c r="G6447" s="41" t="n">
        <v>92.75</v>
      </c>
      <c r="H6447" s="6" t="s">
        <v>182</v>
      </c>
      <c r="I6447" s="7" t="s">
        <v>19787</v>
      </c>
      <c r="J6447" s="8" t="n">
        <f aca="false">IF(I6447="Open",DATE(2025,12,31)-F6447,"-")</f>
        <v>65</v>
      </c>
    </row>
    <row r="6448" customFormat="false" ht="15" hidden="false" customHeight="false" outlineLevel="0" collapsed="false">
      <c r="B6448" s="7" t="s">
        <v>21094</v>
      </c>
      <c r="C6448" s="7" t="s">
        <v>6945</v>
      </c>
      <c r="D6448" s="7" t="s">
        <v>341</v>
      </c>
      <c r="E6448" s="7" t="s">
        <v>156</v>
      </c>
      <c r="F6448" s="39" t="n">
        <v>45957</v>
      </c>
      <c r="G6448" s="41" t="n">
        <v>94.86</v>
      </c>
      <c r="H6448" s="39" t="n">
        <v>45966</v>
      </c>
      <c r="I6448" s="7" t="s">
        <v>14651</v>
      </c>
      <c r="J6448" s="8" t="str">
        <f aca="false">IF(I6448="Open",DATE(2025,12,31)-F6448,"-")</f>
        <v>-</v>
      </c>
    </row>
    <row r="6449" customFormat="false" ht="15" hidden="false" customHeight="false" outlineLevel="0" collapsed="false">
      <c r="B6449" s="7" t="s">
        <v>21095</v>
      </c>
      <c r="C6449" s="7" t="s">
        <v>6946</v>
      </c>
      <c r="D6449" s="7" t="s">
        <v>343</v>
      </c>
      <c r="E6449" s="7" t="s">
        <v>154</v>
      </c>
      <c r="F6449" s="39" t="n">
        <v>45957</v>
      </c>
      <c r="G6449" s="41" t="n">
        <v>107.59</v>
      </c>
      <c r="H6449" s="39" t="n">
        <v>46011</v>
      </c>
      <c r="I6449" s="7" t="s">
        <v>14651</v>
      </c>
      <c r="J6449" s="8" t="str">
        <f aca="false">IF(I6449="Open",DATE(2025,12,31)-F6449,"-")</f>
        <v>-</v>
      </c>
    </row>
    <row r="6450" customFormat="false" ht="15" hidden="false" customHeight="false" outlineLevel="0" collapsed="false">
      <c r="B6450" s="7" t="s">
        <v>21096</v>
      </c>
      <c r="C6450" s="7" t="s">
        <v>6947</v>
      </c>
      <c r="D6450" s="7" t="s">
        <v>347</v>
      </c>
      <c r="E6450" s="7" t="s">
        <v>154</v>
      </c>
      <c r="F6450" s="39" t="n">
        <v>45957</v>
      </c>
      <c r="G6450" s="41" t="n">
        <v>112.36</v>
      </c>
      <c r="H6450" s="6" t="s">
        <v>182</v>
      </c>
      <c r="I6450" s="7" t="s">
        <v>19787</v>
      </c>
      <c r="J6450" s="8" t="n">
        <f aca="false">IF(I6450="Open",DATE(2025,12,31)-F6450,"-")</f>
        <v>65</v>
      </c>
    </row>
    <row r="6451" customFormat="false" ht="15" hidden="false" customHeight="false" outlineLevel="0" collapsed="false">
      <c r="B6451" s="7" t="s">
        <v>21097</v>
      </c>
      <c r="C6451" s="7" t="s">
        <v>6948</v>
      </c>
      <c r="D6451" s="7" t="s">
        <v>351</v>
      </c>
      <c r="E6451" s="7" t="s">
        <v>154</v>
      </c>
      <c r="F6451" s="39" t="n">
        <v>45957</v>
      </c>
      <c r="G6451" s="41" t="n">
        <v>77.38</v>
      </c>
      <c r="H6451" s="6" t="s">
        <v>182</v>
      </c>
      <c r="I6451" s="7" t="s">
        <v>19787</v>
      </c>
      <c r="J6451" s="8" t="n">
        <f aca="false">IF(I6451="Open",DATE(2025,12,31)-F6451,"-")</f>
        <v>65</v>
      </c>
    </row>
    <row r="6452" customFormat="false" ht="15" hidden="false" customHeight="false" outlineLevel="0" collapsed="false">
      <c r="B6452" s="7" t="s">
        <v>21098</v>
      </c>
      <c r="C6452" s="7" t="s">
        <v>6949</v>
      </c>
      <c r="D6452" s="7" t="s">
        <v>353</v>
      </c>
      <c r="E6452" s="7" t="s">
        <v>154</v>
      </c>
      <c r="F6452" s="39" t="n">
        <v>45957</v>
      </c>
      <c r="G6452" s="41" t="n">
        <v>85.33</v>
      </c>
      <c r="H6452" s="39" t="n">
        <v>46014</v>
      </c>
      <c r="I6452" s="7" t="s">
        <v>14651</v>
      </c>
      <c r="J6452" s="8" t="str">
        <f aca="false">IF(I6452="Open",DATE(2025,12,31)-F6452,"-")</f>
        <v>-</v>
      </c>
    </row>
    <row r="6453" customFormat="false" ht="15" hidden="false" customHeight="false" outlineLevel="0" collapsed="false">
      <c r="B6453" s="7" t="s">
        <v>21099</v>
      </c>
      <c r="C6453" s="7" t="s">
        <v>6950</v>
      </c>
      <c r="D6453" s="7" t="s">
        <v>355</v>
      </c>
      <c r="E6453" s="7" t="s">
        <v>154</v>
      </c>
      <c r="F6453" s="39" t="n">
        <v>45957</v>
      </c>
      <c r="G6453" s="41" t="n">
        <v>87.45</v>
      </c>
      <c r="H6453" s="6" t="s">
        <v>182</v>
      </c>
      <c r="I6453" s="7" t="s">
        <v>19787</v>
      </c>
      <c r="J6453" s="8" t="n">
        <f aca="false">IF(I6453="Open",DATE(2025,12,31)-F6453,"-")</f>
        <v>65</v>
      </c>
    </row>
    <row r="6454" customFormat="false" ht="15" hidden="false" customHeight="false" outlineLevel="0" collapsed="false">
      <c r="B6454" s="7" t="s">
        <v>21100</v>
      </c>
      <c r="C6454" s="7" t="s">
        <v>6951</v>
      </c>
      <c r="D6454" s="7" t="s">
        <v>357</v>
      </c>
      <c r="E6454" s="7" t="s">
        <v>154</v>
      </c>
      <c r="F6454" s="39" t="n">
        <v>45957</v>
      </c>
      <c r="G6454" s="41" t="n">
        <v>83.74</v>
      </c>
      <c r="H6454" s="6" t="s">
        <v>182</v>
      </c>
      <c r="I6454" s="7" t="s">
        <v>19787</v>
      </c>
      <c r="J6454" s="8" t="n">
        <f aca="false">IF(I6454="Open",DATE(2025,12,31)-F6454,"-")</f>
        <v>65</v>
      </c>
    </row>
    <row r="6455" customFormat="false" ht="15" hidden="false" customHeight="false" outlineLevel="0" collapsed="false">
      <c r="B6455" s="7" t="s">
        <v>21101</v>
      </c>
      <c r="C6455" s="7" t="s">
        <v>6952</v>
      </c>
      <c r="D6455" s="7" t="s">
        <v>363</v>
      </c>
      <c r="E6455" s="7" t="s">
        <v>156</v>
      </c>
      <c r="F6455" s="39" t="n">
        <v>45957</v>
      </c>
      <c r="G6455" s="41" t="n">
        <v>135.32</v>
      </c>
      <c r="H6455" s="39" t="n">
        <v>45968</v>
      </c>
      <c r="I6455" s="7" t="s">
        <v>14651</v>
      </c>
      <c r="J6455" s="8" t="str">
        <f aca="false">IF(I6455="Open",DATE(2025,12,31)-F6455,"-")</f>
        <v>-</v>
      </c>
    </row>
    <row r="6456" customFormat="false" ht="15" hidden="false" customHeight="false" outlineLevel="0" collapsed="false">
      <c r="B6456" s="7" t="s">
        <v>21102</v>
      </c>
      <c r="C6456" s="7" t="s">
        <v>6953</v>
      </c>
      <c r="D6456" s="7" t="s">
        <v>365</v>
      </c>
      <c r="E6456" s="7" t="s">
        <v>154</v>
      </c>
      <c r="F6456" s="39" t="n">
        <v>45957</v>
      </c>
      <c r="G6456" s="41" t="n">
        <v>107.06</v>
      </c>
      <c r="H6456" s="6" t="s">
        <v>182</v>
      </c>
      <c r="I6456" s="7" t="s">
        <v>19787</v>
      </c>
      <c r="J6456" s="8" t="n">
        <f aca="false">IF(I6456="Open",DATE(2025,12,31)-F6456,"-")</f>
        <v>65</v>
      </c>
    </row>
    <row r="6457" customFormat="false" ht="15" hidden="false" customHeight="false" outlineLevel="0" collapsed="false">
      <c r="B6457" s="7" t="s">
        <v>21103</v>
      </c>
      <c r="C6457" s="7" t="s">
        <v>6954</v>
      </c>
      <c r="D6457" s="7" t="s">
        <v>371</v>
      </c>
      <c r="E6457" s="7" t="s">
        <v>154</v>
      </c>
      <c r="F6457" s="39" t="n">
        <v>45957</v>
      </c>
      <c r="G6457" s="41" t="n">
        <v>121.63</v>
      </c>
      <c r="H6457" s="39" t="n">
        <v>46010</v>
      </c>
      <c r="I6457" s="7" t="s">
        <v>14651</v>
      </c>
      <c r="J6457" s="8" t="str">
        <f aca="false">IF(I6457="Open",DATE(2025,12,31)-F6457,"-")</f>
        <v>-</v>
      </c>
    </row>
    <row r="6458" customFormat="false" ht="15" hidden="false" customHeight="false" outlineLevel="0" collapsed="false">
      <c r="B6458" s="7" t="s">
        <v>21104</v>
      </c>
      <c r="C6458" s="7" t="s">
        <v>6955</v>
      </c>
      <c r="D6458" s="7" t="s">
        <v>375</v>
      </c>
      <c r="E6458" s="7" t="s">
        <v>156</v>
      </c>
      <c r="F6458" s="39" t="n">
        <v>45957</v>
      </c>
      <c r="G6458" s="41" t="n">
        <v>103.36</v>
      </c>
      <c r="H6458" s="39" t="n">
        <v>45970</v>
      </c>
      <c r="I6458" s="7" t="s">
        <v>14651</v>
      </c>
      <c r="J6458" s="8" t="str">
        <f aca="false">IF(I6458="Open",DATE(2025,12,31)-F6458,"-")</f>
        <v>-</v>
      </c>
    </row>
    <row r="6459" customFormat="false" ht="15" hidden="false" customHeight="false" outlineLevel="0" collapsed="false">
      <c r="B6459" s="7" t="s">
        <v>21105</v>
      </c>
      <c r="C6459" s="7" t="s">
        <v>6956</v>
      </c>
      <c r="D6459" s="7" t="s">
        <v>377</v>
      </c>
      <c r="E6459" s="7" t="s">
        <v>154</v>
      </c>
      <c r="F6459" s="39" t="n">
        <v>45957</v>
      </c>
      <c r="G6459" s="41" t="n">
        <v>95.66</v>
      </c>
      <c r="H6459" s="39" t="n">
        <v>46010</v>
      </c>
      <c r="I6459" s="7" t="s">
        <v>14651</v>
      </c>
      <c r="J6459" s="8" t="str">
        <f aca="false">IF(I6459="Open",DATE(2025,12,31)-F6459,"-")</f>
        <v>-</v>
      </c>
    </row>
    <row r="6460" customFormat="false" ht="15" hidden="false" customHeight="false" outlineLevel="0" collapsed="false">
      <c r="B6460" s="7" t="s">
        <v>21106</v>
      </c>
      <c r="C6460" s="7" t="s">
        <v>6957</v>
      </c>
      <c r="D6460" s="7" t="s">
        <v>379</v>
      </c>
      <c r="E6460" s="7" t="s">
        <v>156</v>
      </c>
      <c r="F6460" s="39" t="n">
        <v>45957</v>
      </c>
      <c r="G6460" s="41" t="n">
        <v>158.78</v>
      </c>
      <c r="H6460" s="39" t="n">
        <v>45972</v>
      </c>
      <c r="I6460" s="7" t="s">
        <v>14651</v>
      </c>
      <c r="J6460" s="8" t="str">
        <f aca="false">IF(I6460="Open",DATE(2025,12,31)-F6460,"-")</f>
        <v>-</v>
      </c>
    </row>
    <row r="6461" customFormat="false" ht="15" hidden="false" customHeight="false" outlineLevel="0" collapsed="false">
      <c r="B6461" s="7" t="s">
        <v>21107</v>
      </c>
      <c r="C6461" s="7" t="s">
        <v>6958</v>
      </c>
      <c r="D6461" s="7" t="s">
        <v>385</v>
      </c>
      <c r="E6461" s="7" t="s">
        <v>156</v>
      </c>
      <c r="F6461" s="39" t="n">
        <v>45957</v>
      </c>
      <c r="G6461" s="41" t="n">
        <v>131.24</v>
      </c>
      <c r="H6461" s="39" t="n">
        <v>45966</v>
      </c>
      <c r="I6461" s="7" t="s">
        <v>14651</v>
      </c>
      <c r="J6461" s="8" t="str">
        <f aca="false">IF(I6461="Open",DATE(2025,12,31)-F6461,"-")</f>
        <v>-</v>
      </c>
    </row>
    <row r="6462" customFormat="false" ht="15" hidden="false" customHeight="false" outlineLevel="0" collapsed="false">
      <c r="B6462" s="7" t="s">
        <v>21108</v>
      </c>
      <c r="C6462" s="7" t="s">
        <v>6959</v>
      </c>
      <c r="D6462" s="7" t="s">
        <v>387</v>
      </c>
      <c r="E6462" s="7" t="s">
        <v>154</v>
      </c>
      <c r="F6462" s="39" t="n">
        <v>45957</v>
      </c>
      <c r="G6462" s="41" t="n">
        <v>103.62</v>
      </c>
      <c r="H6462" s="39" t="n">
        <v>46006</v>
      </c>
      <c r="I6462" s="7" t="s">
        <v>14651</v>
      </c>
      <c r="J6462" s="8" t="str">
        <f aca="false">IF(I6462="Open",DATE(2025,12,31)-F6462,"-")</f>
        <v>-</v>
      </c>
    </row>
    <row r="6463" customFormat="false" ht="15" hidden="false" customHeight="false" outlineLevel="0" collapsed="false">
      <c r="B6463" s="7" t="s">
        <v>21109</v>
      </c>
      <c r="C6463" s="7" t="s">
        <v>6960</v>
      </c>
      <c r="D6463" s="7" t="s">
        <v>389</v>
      </c>
      <c r="E6463" s="7" t="s">
        <v>154</v>
      </c>
      <c r="F6463" s="39" t="n">
        <v>45957</v>
      </c>
      <c r="G6463" s="41" t="n">
        <v>99.64</v>
      </c>
      <c r="H6463" s="6" t="s">
        <v>182</v>
      </c>
      <c r="I6463" s="7" t="s">
        <v>19787</v>
      </c>
      <c r="J6463" s="8" t="n">
        <f aca="false">IF(I6463="Open",DATE(2025,12,31)-F6463,"-")</f>
        <v>65</v>
      </c>
    </row>
    <row r="6464" customFormat="false" ht="15" hidden="false" customHeight="false" outlineLevel="0" collapsed="false">
      <c r="B6464" s="7" t="s">
        <v>21110</v>
      </c>
      <c r="C6464" s="7" t="s">
        <v>6961</v>
      </c>
      <c r="D6464" s="7" t="s">
        <v>391</v>
      </c>
      <c r="E6464" s="7" t="s">
        <v>156</v>
      </c>
      <c r="F6464" s="39" t="n">
        <v>45957</v>
      </c>
      <c r="G6464" s="41" t="n">
        <v>136.34</v>
      </c>
      <c r="H6464" s="39" t="n">
        <v>45964</v>
      </c>
      <c r="I6464" s="7" t="s">
        <v>14651</v>
      </c>
      <c r="J6464" s="8" t="str">
        <f aca="false">IF(I6464="Open",DATE(2025,12,31)-F6464,"-")</f>
        <v>-</v>
      </c>
    </row>
    <row r="6465" customFormat="false" ht="15" hidden="false" customHeight="false" outlineLevel="0" collapsed="false">
      <c r="B6465" s="7" t="s">
        <v>21111</v>
      </c>
      <c r="C6465" s="7" t="s">
        <v>6962</v>
      </c>
      <c r="D6465" s="7" t="s">
        <v>395</v>
      </c>
      <c r="E6465" s="7" t="s">
        <v>156</v>
      </c>
      <c r="F6465" s="39" t="n">
        <v>45957</v>
      </c>
      <c r="G6465" s="41" t="n">
        <v>142.8</v>
      </c>
      <c r="H6465" s="39" t="n">
        <v>45976</v>
      </c>
      <c r="I6465" s="7" t="s">
        <v>14651</v>
      </c>
      <c r="J6465" s="8" t="str">
        <f aca="false">IF(I6465="Open",DATE(2025,12,31)-F6465,"-")</f>
        <v>-</v>
      </c>
    </row>
    <row r="6466" customFormat="false" ht="15" hidden="false" customHeight="false" outlineLevel="0" collapsed="false">
      <c r="B6466" s="7" t="s">
        <v>21112</v>
      </c>
      <c r="C6466" s="7" t="s">
        <v>6963</v>
      </c>
      <c r="D6466" s="7" t="s">
        <v>399</v>
      </c>
      <c r="E6466" s="7" t="s">
        <v>154</v>
      </c>
      <c r="F6466" s="39" t="n">
        <v>45957</v>
      </c>
      <c r="G6466" s="41" t="n">
        <v>94.34</v>
      </c>
      <c r="H6466" s="39" t="n">
        <v>45997</v>
      </c>
      <c r="I6466" s="7" t="s">
        <v>14651</v>
      </c>
      <c r="J6466" s="8" t="str">
        <f aca="false">IF(I6466="Open",DATE(2025,12,31)-F6466,"-")</f>
        <v>-</v>
      </c>
    </row>
    <row r="6467" customFormat="false" ht="15" hidden="false" customHeight="false" outlineLevel="0" collapsed="false">
      <c r="B6467" s="7" t="s">
        <v>21113</v>
      </c>
      <c r="C6467" s="7" t="s">
        <v>6964</v>
      </c>
      <c r="D6467" s="7" t="s">
        <v>401</v>
      </c>
      <c r="E6467" s="7" t="s">
        <v>156</v>
      </c>
      <c r="F6467" s="39" t="n">
        <v>45957</v>
      </c>
      <c r="G6467" s="41" t="n">
        <v>145.52</v>
      </c>
      <c r="H6467" s="39" t="n">
        <v>45970</v>
      </c>
      <c r="I6467" s="7" t="s">
        <v>14651</v>
      </c>
      <c r="J6467" s="8" t="str">
        <f aca="false">IF(I6467="Open",DATE(2025,12,31)-F6467,"-")</f>
        <v>-</v>
      </c>
    </row>
    <row r="6468" customFormat="false" ht="15" hidden="false" customHeight="false" outlineLevel="0" collapsed="false">
      <c r="B6468" s="7" t="s">
        <v>21114</v>
      </c>
      <c r="C6468" s="7" t="s">
        <v>6965</v>
      </c>
      <c r="D6468" s="7" t="s">
        <v>403</v>
      </c>
      <c r="E6468" s="7" t="s">
        <v>156</v>
      </c>
      <c r="F6468" s="39" t="n">
        <v>45957</v>
      </c>
      <c r="G6468" s="41" t="n">
        <v>126.14</v>
      </c>
      <c r="H6468" s="39" t="n">
        <v>45965</v>
      </c>
      <c r="I6468" s="7" t="s">
        <v>14651</v>
      </c>
      <c r="J6468" s="8" t="str">
        <f aca="false">IF(I6468="Open",DATE(2025,12,31)-F6468,"-")</f>
        <v>-</v>
      </c>
    </row>
    <row r="6469" customFormat="false" ht="15" hidden="false" customHeight="false" outlineLevel="0" collapsed="false">
      <c r="B6469" s="7" t="s">
        <v>21115</v>
      </c>
      <c r="C6469" s="7" t="s">
        <v>6966</v>
      </c>
      <c r="D6469" s="7" t="s">
        <v>409</v>
      </c>
      <c r="E6469" s="7" t="s">
        <v>154</v>
      </c>
      <c r="F6469" s="39" t="n">
        <v>45957</v>
      </c>
      <c r="G6469" s="41" t="n">
        <v>84</v>
      </c>
      <c r="H6469" s="6" t="s">
        <v>182</v>
      </c>
      <c r="I6469" s="7" t="s">
        <v>19787</v>
      </c>
      <c r="J6469" s="8" t="n">
        <f aca="false">IF(I6469="Open",DATE(2025,12,31)-F6469,"-")</f>
        <v>65</v>
      </c>
    </row>
    <row r="6470" customFormat="false" ht="15" hidden="false" customHeight="false" outlineLevel="0" collapsed="false">
      <c r="B6470" s="7" t="s">
        <v>21116</v>
      </c>
      <c r="C6470" s="7" t="s">
        <v>6967</v>
      </c>
      <c r="D6470" s="7" t="s">
        <v>411</v>
      </c>
      <c r="E6470" s="7" t="s">
        <v>154</v>
      </c>
      <c r="F6470" s="39" t="n">
        <v>45957</v>
      </c>
      <c r="G6470" s="41" t="n">
        <v>128.52</v>
      </c>
      <c r="H6470" s="6" t="s">
        <v>182</v>
      </c>
      <c r="I6470" s="7" t="s">
        <v>19787</v>
      </c>
      <c r="J6470" s="8" t="n">
        <f aca="false">IF(I6470="Open",DATE(2025,12,31)-F6470,"-")</f>
        <v>65</v>
      </c>
    </row>
    <row r="6471" customFormat="false" ht="15" hidden="false" customHeight="false" outlineLevel="0" collapsed="false">
      <c r="B6471" s="7" t="s">
        <v>21117</v>
      </c>
      <c r="C6471" s="7" t="s">
        <v>6968</v>
      </c>
      <c r="D6471" s="7" t="s">
        <v>288</v>
      </c>
      <c r="E6471" s="7" t="s">
        <v>156</v>
      </c>
      <c r="F6471" s="39" t="n">
        <v>45958</v>
      </c>
      <c r="G6471" s="41" t="n">
        <v>141.1</v>
      </c>
      <c r="H6471" s="39" t="n">
        <v>45976</v>
      </c>
      <c r="I6471" s="7" t="s">
        <v>14651</v>
      </c>
      <c r="J6471" s="8" t="str">
        <f aca="false">IF(I6471="Open",DATE(2025,12,31)-F6471,"-")</f>
        <v>-</v>
      </c>
    </row>
    <row r="6472" customFormat="false" ht="15" hidden="false" customHeight="false" outlineLevel="0" collapsed="false">
      <c r="B6472" s="7" t="s">
        <v>21118</v>
      </c>
      <c r="C6472" s="7" t="s">
        <v>6969</v>
      </c>
      <c r="D6472" s="7" t="s">
        <v>293</v>
      </c>
      <c r="E6472" s="7" t="s">
        <v>157</v>
      </c>
      <c r="F6472" s="39" t="n">
        <v>45958</v>
      </c>
      <c r="G6472" s="41" t="n">
        <v>147.34</v>
      </c>
      <c r="H6472" s="39" t="n">
        <v>46000</v>
      </c>
      <c r="I6472" s="7" t="s">
        <v>14651</v>
      </c>
      <c r="J6472" s="8" t="str">
        <f aca="false">IF(I6472="Open",DATE(2025,12,31)-F6472,"-")</f>
        <v>-</v>
      </c>
    </row>
    <row r="6473" customFormat="false" ht="15" hidden="false" customHeight="false" outlineLevel="0" collapsed="false">
      <c r="B6473" s="7" t="s">
        <v>21119</v>
      </c>
      <c r="C6473" s="7" t="s">
        <v>6970</v>
      </c>
      <c r="D6473" s="7" t="s">
        <v>301</v>
      </c>
      <c r="E6473" s="7" t="s">
        <v>157</v>
      </c>
      <c r="F6473" s="39" t="n">
        <v>45958</v>
      </c>
      <c r="G6473" s="41" t="n">
        <v>173.25</v>
      </c>
      <c r="H6473" s="6" t="s">
        <v>182</v>
      </c>
      <c r="I6473" s="7" t="s">
        <v>19787</v>
      </c>
      <c r="J6473" s="8" t="n">
        <f aca="false">IF(I6473="Open",DATE(2025,12,31)-F6473,"-")</f>
        <v>64</v>
      </c>
    </row>
    <row r="6474" customFormat="false" ht="15" hidden="false" customHeight="false" outlineLevel="0" collapsed="false">
      <c r="B6474" s="7" t="s">
        <v>21120</v>
      </c>
      <c r="C6474" s="7" t="s">
        <v>6971</v>
      </c>
      <c r="D6474" s="7" t="s">
        <v>319</v>
      </c>
      <c r="E6474" s="7" t="s">
        <v>157</v>
      </c>
      <c r="F6474" s="39" t="n">
        <v>45958</v>
      </c>
      <c r="G6474" s="41" t="n">
        <v>179.85</v>
      </c>
      <c r="H6474" s="39" t="n">
        <v>45997</v>
      </c>
      <c r="I6474" s="7" t="s">
        <v>14651</v>
      </c>
      <c r="J6474" s="8" t="str">
        <f aca="false">IF(I6474="Open",DATE(2025,12,31)-F6474,"-")</f>
        <v>-</v>
      </c>
    </row>
    <row r="6475" customFormat="false" ht="15" hidden="false" customHeight="false" outlineLevel="0" collapsed="false">
      <c r="B6475" s="7" t="s">
        <v>21121</v>
      </c>
      <c r="C6475" s="7" t="s">
        <v>6972</v>
      </c>
      <c r="D6475" s="7" t="s">
        <v>321</v>
      </c>
      <c r="E6475" s="7" t="s">
        <v>154</v>
      </c>
      <c r="F6475" s="39" t="n">
        <v>45958</v>
      </c>
      <c r="G6475" s="41" t="n">
        <v>109.76</v>
      </c>
      <c r="H6475" s="39" t="n">
        <v>45987</v>
      </c>
      <c r="I6475" s="7" t="s">
        <v>14651</v>
      </c>
      <c r="J6475" s="8" t="str">
        <f aca="false">IF(I6475="Open",DATE(2025,12,31)-F6475,"-")</f>
        <v>-</v>
      </c>
    </row>
    <row r="6476" customFormat="false" ht="15" hidden="false" customHeight="false" outlineLevel="0" collapsed="false">
      <c r="B6476" s="7" t="s">
        <v>21122</v>
      </c>
      <c r="C6476" s="7" t="s">
        <v>6973</v>
      </c>
      <c r="D6476" s="7" t="s">
        <v>323</v>
      </c>
      <c r="E6476" s="7" t="s">
        <v>159</v>
      </c>
      <c r="F6476" s="39" t="n">
        <v>45958</v>
      </c>
      <c r="G6476" s="41" t="n">
        <v>148.5</v>
      </c>
      <c r="H6476" s="39" t="n">
        <v>46000</v>
      </c>
      <c r="I6476" s="7" t="s">
        <v>14651</v>
      </c>
      <c r="J6476" s="8" t="str">
        <f aca="false">IF(I6476="Open",DATE(2025,12,31)-F6476,"-")</f>
        <v>-</v>
      </c>
    </row>
    <row r="6477" customFormat="false" ht="15" hidden="false" customHeight="false" outlineLevel="0" collapsed="false">
      <c r="B6477" s="7" t="s">
        <v>21123</v>
      </c>
      <c r="C6477" s="7" t="s">
        <v>6974</v>
      </c>
      <c r="D6477" s="7" t="s">
        <v>327</v>
      </c>
      <c r="E6477" s="7" t="s">
        <v>157</v>
      </c>
      <c r="F6477" s="39" t="n">
        <v>45958</v>
      </c>
      <c r="G6477" s="41" t="n">
        <v>166.65</v>
      </c>
      <c r="H6477" s="39" t="n">
        <v>46006</v>
      </c>
      <c r="I6477" s="7" t="s">
        <v>14651</v>
      </c>
      <c r="J6477" s="8" t="str">
        <f aca="false">IF(I6477="Open",DATE(2025,12,31)-F6477,"-")</f>
        <v>-</v>
      </c>
    </row>
    <row r="6478" customFormat="false" ht="15" hidden="false" customHeight="false" outlineLevel="0" collapsed="false">
      <c r="B6478" s="7" t="s">
        <v>21124</v>
      </c>
      <c r="C6478" s="7" t="s">
        <v>6975</v>
      </c>
      <c r="D6478" s="7" t="s">
        <v>329</v>
      </c>
      <c r="E6478" s="7" t="s">
        <v>156</v>
      </c>
      <c r="F6478" s="39" t="n">
        <v>45958</v>
      </c>
      <c r="G6478" s="41" t="n">
        <v>146.54</v>
      </c>
      <c r="H6478" s="39" t="n">
        <v>45959</v>
      </c>
      <c r="I6478" s="7" t="s">
        <v>14651</v>
      </c>
      <c r="J6478" s="8" t="str">
        <f aca="false">IF(I6478="Open",DATE(2025,12,31)-F6478,"-")</f>
        <v>-</v>
      </c>
    </row>
    <row r="6479" customFormat="false" ht="15" hidden="false" customHeight="false" outlineLevel="0" collapsed="false">
      <c r="B6479" s="7" t="s">
        <v>21125</v>
      </c>
      <c r="C6479" s="7" t="s">
        <v>6976</v>
      </c>
      <c r="D6479" s="7" t="s">
        <v>349</v>
      </c>
      <c r="E6479" s="7" t="s">
        <v>154</v>
      </c>
      <c r="F6479" s="39" t="n">
        <v>45958</v>
      </c>
      <c r="G6479" s="41" t="n">
        <v>105.2</v>
      </c>
      <c r="H6479" s="39" t="n">
        <v>46009</v>
      </c>
      <c r="I6479" s="7" t="s">
        <v>14651</v>
      </c>
      <c r="J6479" s="8" t="str">
        <f aca="false">IF(I6479="Open",DATE(2025,12,31)-F6479,"-")</f>
        <v>-</v>
      </c>
    </row>
    <row r="6480" customFormat="false" ht="15" hidden="false" customHeight="false" outlineLevel="0" collapsed="false">
      <c r="B6480" s="7" t="s">
        <v>21126</v>
      </c>
      <c r="C6480" s="7" t="s">
        <v>6977</v>
      </c>
      <c r="D6480" s="7" t="s">
        <v>359</v>
      </c>
      <c r="E6480" s="7" t="s">
        <v>156</v>
      </c>
      <c r="F6480" s="39" t="n">
        <v>45958</v>
      </c>
      <c r="G6480" s="41" t="n">
        <v>122.4</v>
      </c>
      <c r="H6480" s="39" t="n">
        <v>45969</v>
      </c>
      <c r="I6480" s="7" t="s">
        <v>14651</v>
      </c>
      <c r="J6480" s="8" t="str">
        <f aca="false">IF(I6480="Open",DATE(2025,12,31)-F6480,"-")</f>
        <v>-</v>
      </c>
    </row>
    <row r="6481" customFormat="false" ht="15" hidden="false" customHeight="false" outlineLevel="0" collapsed="false">
      <c r="B6481" s="7" t="s">
        <v>21127</v>
      </c>
      <c r="C6481" s="7" t="s">
        <v>6978</v>
      </c>
      <c r="D6481" s="7" t="s">
        <v>361</v>
      </c>
      <c r="E6481" s="7" t="s">
        <v>157</v>
      </c>
      <c r="F6481" s="39" t="n">
        <v>45958</v>
      </c>
      <c r="G6481" s="41" t="n">
        <v>153.45</v>
      </c>
      <c r="H6481" s="39" t="n">
        <v>46009</v>
      </c>
      <c r="I6481" s="7" t="s">
        <v>14651</v>
      </c>
      <c r="J6481" s="8" t="str">
        <f aca="false">IF(I6481="Open",DATE(2025,12,31)-F6481,"-")</f>
        <v>-</v>
      </c>
    </row>
    <row r="6482" customFormat="false" ht="15" hidden="false" customHeight="false" outlineLevel="0" collapsed="false">
      <c r="B6482" s="7" t="s">
        <v>21128</v>
      </c>
      <c r="C6482" s="7" t="s">
        <v>6979</v>
      </c>
      <c r="D6482" s="7" t="s">
        <v>365</v>
      </c>
      <c r="E6482" s="7" t="s">
        <v>154</v>
      </c>
      <c r="F6482" s="39" t="n">
        <v>45958</v>
      </c>
      <c r="G6482" s="41" t="n">
        <v>99.64</v>
      </c>
      <c r="H6482" s="39" t="n">
        <v>46014</v>
      </c>
      <c r="I6482" s="7" t="s">
        <v>14651</v>
      </c>
      <c r="J6482" s="8" t="str">
        <f aca="false">IF(I6482="Open",DATE(2025,12,31)-F6482,"-")</f>
        <v>-</v>
      </c>
    </row>
    <row r="6483" customFormat="false" ht="15" hidden="false" customHeight="false" outlineLevel="0" collapsed="false">
      <c r="B6483" s="7" t="s">
        <v>21129</v>
      </c>
      <c r="C6483" s="7" t="s">
        <v>6980</v>
      </c>
      <c r="D6483" s="7" t="s">
        <v>369</v>
      </c>
      <c r="E6483" s="7" t="s">
        <v>159</v>
      </c>
      <c r="F6483" s="39" t="n">
        <v>45958</v>
      </c>
      <c r="G6483" s="41" t="n">
        <v>147.15</v>
      </c>
      <c r="H6483" s="6" t="s">
        <v>182</v>
      </c>
      <c r="I6483" s="7" t="s">
        <v>19787</v>
      </c>
      <c r="J6483" s="8" t="n">
        <f aca="false">IF(I6483="Open",DATE(2025,12,31)-F6483,"-")</f>
        <v>64</v>
      </c>
    </row>
    <row r="6484" customFormat="false" ht="15" hidden="false" customHeight="false" outlineLevel="0" collapsed="false">
      <c r="B6484" s="7" t="s">
        <v>21130</v>
      </c>
      <c r="C6484" s="7" t="s">
        <v>6981</v>
      </c>
      <c r="D6484" s="7" t="s">
        <v>381</v>
      </c>
      <c r="E6484" s="7" t="s">
        <v>157</v>
      </c>
      <c r="F6484" s="39" t="n">
        <v>45958</v>
      </c>
      <c r="G6484" s="41" t="n">
        <v>169.95</v>
      </c>
      <c r="H6484" s="39" t="n">
        <v>45982</v>
      </c>
      <c r="I6484" s="7" t="s">
        <v>14651</v>
      </c>
      <c r="J6484" s="8" t="str">
        <f aca="false">IF(I6484="Open",DATE(2025,12,31)-F6484,"-")</f>
        <v>-</v>
      </c>
    </row>
    <row r="6485" customFormat="false" ht="15" hidden="false" customHeight="false" outlineLevel="0" collapsed="false">
      <c r="B6485" s="7" t="s">
        <v>21131</v>
      </c>
      <c r="C6485" s="7" t="s">
        <v>6982</v>
      </c>
      <c r="D6485" s="7" t="s">
        <v>383</v>
      </c>
      <c r="E6485" s="7" t="s">
        <v>157</v>
      </c>
      <c r="F6485" s="39" t="n">
        <v>45958</v>
      </c>
      <c r="G6485" s="41" t="n">
        <v>171.6</v>
      </c>
      <c r="H6485" s="6" t="s">
        <v>182</v>
      </c>
      <c r="I6485" s="7" t="s">
        <v>19787</v>
      </c>
      <c r="J6485" s="8" t="n">
        <f aca="false">IF(I6485="Open",DATE(2025,12,31)-F6485,"-")</f>
        <v>64</v>
      </c>
    </row>
    <row r="6486" customFormat="false" ht="15" hidden="false" customHeight="false" outlineLevel="0" collapsed="false">
      <c r="B6486" s="7" t="s">
        <v>21132</v>
      </c>
      <c r="C6486" s="7" t="s">
        <v>6983</v>
      </c>
      <c r="D6486" s="7" t="s">
        <v>387</v>
      </c>
      <c r="E6486" s="7" t="s">
        <v>154</v>
      </c>
      <c r="F6486" s="39" t="n">
        <v>45958</v>
      </c>
      <c r="G6486" s="41" t="n">
        <v>97.78</v>
      </c>
      <c r="H6486" s="6" t="s">
        <v>182</v>
      </c>
      <c r="I6486" s="7" t="s">
        <v>19787</v>
      </c>
      <c r="J6486" s="8" t="n">
        <f aca="false">IF(I6486="Open",DATE(2025,12,31)-F6486,"-")</f>
        <v>64</v>
      </c>
    </row>
    <row r="6487" customFormat="false" ht="15" hidden="false" customHeight="false" outlineLevel="0" collapsed="false">
      <c r="B6487" s="7" t="s">
        <v>21133</v>
      </c>
      <c r="C6487" s="7" t="s">
        <v>6984</v>
      </c>
      <c r="D6487" s="7" t="s">
        <v>389</v>
      </c>
      <c r="E6487" s="7" t="s">
        <v>154</v>
      </c>
      <c r="F6487" s="39" t="n">
        <v>45958</v>
      </c>
      <c r="G6487" s="41" t="n">
        <v>116.07</v>
      </c>
      <c r="H6487" s="6" t="s">
        <v>182</v>
      </c>
      <c r="I6487" s="7" t="s">
        <v>19787</v>
      </c>
      <c r="J6487" s="8" t="n">
        <f aca="false">IF(I6487="Open",DATE(2025,12,31)-F6487,"-")</f>
        <v>64</v>
      </c>
    </row>
    <row r="6488" customFormat="false" ht="15" hidden="false" customHeight="false" outlineLevel="0" collapsed="false">
      <c r="B6488" s="7" t="s">
        <v>21134</v>
      </c>
      <c r="C6488" s="7" t="s">
        <v>6985</v>
      </c>
      <c r="D6488" s="7" t="s">
        <v>391</v>
      </c>
      <c r="E6488" s="7" t="s">
        <v>156</v>
      </c>
      <c r="F6488" s="39" t="n">
        <v>45958</v>
      </c>
      <c r="G6488" s="41" t="n">
        <v>138.72</v>
      </c>
      <c r="H6488" s="39" t="n">
        <v>45965</v>
      </c>
      <c r="I6488" s="7" t="s">
        <v>14651</v>
      </c>
      <c r="J6488" s="8" t="str">
        <f aca="false">IF(I6488="Open",DATE(2025,12,31)-F6488,"-")</f>
        <v>-</v>
      </c>
    </row>
    <row r="6489" customFormat="false" ht="15" hidden="false" customHeight="false" outlineLevel="0" collapsed="false">
      <c r="B6489" s="7" t="s">
        <v>21135</v>
      </c>
      <c r="C6489" s="7" t="s">
        <v>6986</v>
      </c>
      <c r="D6489" s="7" t="s">
        <v>395</v>
      </c>
      <c r="E6489" s="7" t="s">
        <v>156</v>
      </c>
      <c r="F6489" s="39" t="n">
        <v>45958</v>
      </c>
      <c r="G6489" s="41" t="n">
        <v>137.02</v>
      </c>
      <c r="H6489" s="39" t="n">
        <v>45976</v>
      </c>
      <c r="I6489" s="7" t="s">
        <v>14651</v>
      </c>
      <c r="J6489" s="8" t="str">
        <f aca="false">IF(I6489="Open",DATE(2025,12,31)-F6489,"-")</f>
        <v>-</v>
      </c>
    </row>
    <row r="6490" customFormat="false" ht="15" hidden="false" customHeight="false" outlineLevel="0" collapsed="false">
      <c r="B6490" s="7" t="s">
        <v>21136</v>
      </c>
      <c r="C6490" s="7" t="s">
        <v>6987</v>
      </c>
      <c r="D6490" s="7" t="s">
        <v>397</v>
      </c>
      <c r="E6490" s="7" t="s">
        <v>159</v>
      </c>
      <c r="F6490" s="39" t="n">
        <v>45958</v>
      </c>
      <c r="G6490" s="41" t="n">
        <v>148.5</v>
      </c>
      <c r="H6490" s="39" t="n">
        <v>46012</v>
      </c>
      <c r="I6490" s="7" t="s">
        <v>14651</v>
      </c>
      <c r="J6490" s="8" t="str">
        <f aca="false">IF(I6490="Open",DATE(2025,12,31)-F6490,"-")</f>
        <v>-</v>
      </c>
    </row>
    <row r="6491" customFormat="false" ht="15" hidden="false" customHeight="false" outlineLevel="0" collapsed="false">
      <c r="B6491" s="7" t="s">
        <v>21137</v>
      </c>
      <c r="C6491" s="7" t="s">
        <v>6988</v>
      </c>
      <c r="D6491" s="7" t="s">
        <v>401</v>
      </c>
      <c r="E6491" s="7" t="s">
        <v>156</v>
      </c>
      <c r="F6491" s="39" t="n">
        <v>45958</v>
      </c>
      <c r="G6491" s="41" t="n">
        <v>129.88</v>
      </c>
      <c r="H6491" s="39" t="n">
        <v>45967</v>
      </c>
      <c r="I6491" s="7" t="s">
        <v>14651</v>
      </c>
      <c r="J6491" s="8" t="str">
        <f aca="false">IF(I6491="Open",DATE(2025,12,31)-F6491,"-")</f>
        <v>-</v>
      </c>
    </row>
    <row r="6492" customFormat="false" ht="15" hidden="false" customHeight="false" outlineLevel="0" collapsed="false">
      <c r="B6492" s="7" t="s">
        <v>21138</v>
      </c>
      <c r="C6492" s="7" t="s">
        <v>6989</v>
      </c>
      <c r="D6492" s="7" t="s">
        <v>407</v>
      </c>
      <c r="E6492" s="7" t="s">
        <v>159</v>
      </c>
      <c r="F6492" s="39" t="n">
        <v>45958</v>
      </c>
      <c r="G6492" s="41" t="n">
        <v>143.1</v>
      </c>
      <c r="H6492" s="39" t="n">
        <v>46000</v>
      </c>
      <c r="I6492" s="7" t="s">
        <v>14651</v>
      </c>
      <c r="J6492" s="8" t="str">
        <f aca="false">IF(I6492="Open",DATE(2025,12,31)-F6492,"-")</f>
        <v>-</v>
      </c>
    </row>
    <row r="6493" customFormat="false" ht="15" hidden="false" customHeight="false" outlineLevel="0" collapsed="false">
      <c r="B6493" s="7" t="s">
        <v>21139</v>
      </c>
      <c r="C6493" s="7" t="s">
        <v>6990</v>
      </c>
      <c r="D6493" s="7" t="s">
        <v>288</v>
      </c>
      <c r="E6493" s="7" t="s">
        <v>156</v>
      </c>
      <c r="F6493" s="39" t="n">
        <v>45959</v>
      </c>
      <c r="G6493" s="41" t="n">
        <v>123.76</v>
      </c>
      <c r="H6493" s="39" t="n">
        <v>45966</v>
      </c>
      <c r="I6493" s="7" t="s">
        <v>14651</v>
      </c>
      <c r="J6493" s="8" t="str">
        <f aca="false">IF(I6493="Open",DATE(2025,12,31)-F6493,"-")</f>
        <v>-</v>
      </c>
    </row>
    <row r="6494" customFormat="false" ht="15" hidden="false" customHeight="false" outlineLevel="0" collapsed="false">
      <c r="B6494" s="7" t="s">
        <v>21140</v>
      </c>
      <c r="C6494" s="7" t="s">
        <v>6991</v>
      </c>
      <c r="D6494" s="7" t="s">
        <v>291</v>
      </c>
      <c r="E6494" s="7" t="s">
        <v>154</v>
      </c>
      <c r="F6494" s="39" t="n">
        <v>45959</v>
      </c>
      <c r="G6494" s="41" t="n">
        <v>124.55</v>
      </c>
      <c r="H6494" s="39" t="n">
        <v>45989</v>
      </c>
      <c r="I6494" s="7" t="s">
        <v>14651</v>
      </c>
      <c r="J6494" s="8" t="str">
        <f aca="false">IF(I6494="Open",DATE(2025,12,31)-F6494,"-")</f>
        <v>-</v>
      </c>
    </row>
    <row r="6495" customFormat="false" ht="15" hidden="false" customHeight="false" outlineLevel="0" collapsed="false">
      <c r="B6495" s="7" t="s">
        <v>21141</v>
      </c>
      <c r="C6495" s="7" t="s">
        <v>6992</v>
      </c>
      <c r="D6495" s="7" t="s">
        <v>295</v>
      </c>
      <c r="E6495" s="7" t="s">
        <v>154</v>
      </c>
      <c r="F6495" s="39" t="n">
        <v>45959</v>
      </c>
      <c r="G6495" s="41" t="n">
        <v>115.01</v>
      </c>
      <c r="H6495" s="39" t="n">
        <v>46008</v>
      </c>
      <c r="I6495" s="7" t="s">
        <v>14651</v>
      </c>
      <c r="J6495" s="8" t="str">
        <f aca="false">IF(I6495="Open",DATE(2025,12,31)-F6495,"-")</f>
        <v>-</v>
      </c>
    </row>
    <row r="6496" customFormat="false" ht="15" hidden="false" customHeight="false" outlineLevel="0" collapsed="false">
      <c r="B6496" s="7" t="s">
        <v>21142</v>
      </c>
      <c r="C6496" s="7" t="s">
        <v>6993</v>
      </c>
      <c r="D6496" s="7" t="s">
        <v>305</v>
      </c>
      <c r="E6496" s="7" t="s">
        <v>154</v>
      </c>
      <c r="F6496" s="39" t="n">
        <v>45959</v>
      </c>
      <c r="G6496" s="41" t="n">
        <v>108.92</v>
      </c>
      <c r="H6496" s="39" t="n">
        <v>46012</v>
      </c>
      <c r="I6496" s="7" t="s">
        <v>14651</v>
      </c>
      <c r="J6496" s="8" t="str">
        <f aca="false">IF(I6496="Open",DATE(2025,12,31)-F6496,"-")</f>
        <v>-</v>
      </c>
    </row>
    <row r="6497" customFormat="false" ht="15" hidden="false" customHeight="false" outlineLevel="0" collapsed="false">
      <c r="B6497" s="7" t="s">
        <v>21143</v>
      </c>
      <c r="C6497" s="7" t="s">
        <v>6994</v>
      </c>
      <c r="D6497" s="7" t="s">
        <v>307</v>
      </c>
      <c r="E6497" s="7" t="s">
        <v>157</v>
      </c>
      <c r="F6497" s="39" t="n">
        <v>45959</v>
      </c>
      <c r="G6497" s="41" t="n">
        <v>160.05</v>
      </c>
      <c r="H6497" s="39" t="n">
        <v>46003</v>
      </c>
      <c r="I6497" s="7" t="s">
        <v>14651</v>
      </c>
      <c r="J6497" s="8" t="str">
        <f aca="false">IF(I6497="Open",DATE(2025,12,31)-F6497,"-")</f>
        <v>-</v>
      </c>
    </row>
    <row r="6498" customFormat="false" ht="15" hidden="false" customHeight="false" outlineLevel="0" collapsed="false">
      <c r="B6498" s="7" t="s">
        <v>21144</v>
      </c>
      <c r="C6498" s="7" t="s">
        <v>6995</v>
      </c>
      <c r="D6498" s="7" t="s">
        <v>309</v>
      </c>
      <c r="E6498" s="7" t="s">
        <v>159</v>
      </c>
      <c r="F6498" s="39" t="n">
        <v>45959</v>
      </c>
      <c r="G6498" s="41" t="n">
        <v>131.76</v>
      </c>
      <c r="H6498" s="6" t="s">
        <v>182</v>
      </c>
      <c r="I6498" s="7" t="s">
        <v>19787</v>
      </c>
      <c r="J6498" s="8" t="n">
        <f aca="false">IF(I6498="Open",DATE(2025,12,31)-F6498,"-")</f>
        <v>63</v>
      </c>
    </row>
    <row r="6499" customFormat="false" ht="15" hidden="false" customHeight="false" outlineLevel="0" collapsed="false">
      <c r="B6499" s="7" t="s">
        <v>21145</v>
      </c>
      <c r="C6499" s="7" t="s">
        <v>6996</v>
      </c>
      <c r="D6499" s="7" t="s">
        <v>313</v>
      </c>
      <c r="E6499" s="7" t="s">
        <v>156</v>
      </c>
      <c r="F6499" s="39" t="n">
        <v>45959</v>
      </c>
      <c r="G6499" s="41" t="n">
        <v>132.6</v>
      </c>
      <c r="H6499" s="39" t="n">
        <v>45974</v>
      </c>
      <c r="I6499" s="7" t="s">
        <v>14651</v>
      </c>
      <c r="J6499" s="8" t="str">
        <f aca="false">IF(I6499="Open",DATE(2025,12,31)-F6499,"-")</f>
        <v>-</v>
      </c>
    </row>
    <row r="6500" customFormat="false" ht="15" hidden="false" customHeight="false" outlineLevel="0" collapsed="false">
      <c r="B6500" s="7" t="s">
        <v>21146</v>
      </c>
      <c r="C6500" s="7" t="s">
        <v>6997</v>
      </c>
      <c r="D6500" s="7" t="s">
        <v>315</v>
      </c>
      <c r="E6500" s="7" t="s">
        <v>159</v>
      </c>
      <c r="F6500" s="39" t="n">
        <v>45959</v>
      </c>
      <c r="G6500" s="41" t="n">
        <v>128.11</v>
      </c>
      <c r="H6500" s="39" t="n">
        <v>45997</v>
      </c>
      <c r="I6500" s="7" t="s">
        <v>14651</v>
      </c>
      <c r="J6500" s="8" t="str">
        <f aca="false">IF(I6500="Open",DATE(2025,12,31)-F6500,"-")</f>
        <v>-</v>
      </c>
    </row>
    <row r="6501" customFormat="false" ht="15" hidden="false" customHeight="false" outlineLevel="0" collapsed="false">
      <c r="B6501" s="7" t="s">
        <v>21147</v>
      </c>
      <c r="C6501" s="7" t="s">
        <v>6998</v>
      </c>
      <c r="D6501" s="7" t="s">
        <v>321</v>
      </c>
      <c r="E6501" s="7" t="s">
        <v>154</v>
      </c>
      <c r="F6501" s="39" t="n">
        <v>45959</v>
      </c>
      <c r="G6501" s="41" t="n">
        <v>113.42</v>
      </c>
      <c r="H6501" s="6" t="s">
        <v>182</v>
      </c>
      <c r="I6501" s="7" t="s">
        <v>19787</v>
      </c>
      <c r="J6501" s="8" t="n">
        <f aca="false">IF(I6501="Open",DATE(2025,12,31)-F6501,"-")</f>
        <v>63</v>
      </c>
    </row>
    <row r="6502" customFormat="false" ht="15" hidden="false" customHeight="false" outlineLevel="0" collapsed="false">
      <c r="B6502" s="7" t="s">
        <v>21148</v>
      </c>
      <c r="C6502" s="7" t="s">
        <v>6999</v>
      </c>
      <c r="D6502" s="7" t="s">
        <v>329</v>
      </c>
      <c r="E6502" s="7" t="s">
        <v>156</v>
      </c>
      <c r="F6502" s="39" t="n">
        <v>45959</v>
      </c>
      <c r="G6502" s="41" t="n">
        <v>127.84</v>
      </c>
      <c r="H6502" s="39" t="n">
        <v>45967</v>
      </c>
      <c r="I6502" s="7" t="s">
        <v>14651</v>
      </c>
      <c r="J6502" s="8" t="str">
        <f aca="false">IF(I6502="Open",DATE(2025,12,31)-F6502,"-")</f>
        <v>-</v>
      </c>
    </row>
    <row r="6503" customFormat="false" ht="15" hidden="false" customHeight="false" outlineLevel="0" collapsed="false">
      <c r="B6503" s="7" t="s">
        <v>21149</v>
      </c>
      <c r="C6503" s="7" t="s">
        <v>7000</v>
      </c>
      <c r="D6503" s="7" t="s">
        <v>333</v>
      </c>
      <c r="E6503" s="7" t="s">
        <v>154</v>
      </c>
      <c r="F6503" s="39" t="n">
        <v>45959</v>
      </c>
      <c r="G6503" s="41" t="n">
        <v>87.98</v>
      </c>
      <c r="H6503" s="39" t="n">
        <v>46011</v>
      </c>
      <c r="I6503" s="7" t="s">
        <v>14651</v>
      </c>
      <c r="J6503" s="8" t="str">
        <f aca="false">IF(I6503="Open",DATE(2025,12,31)-F6503,"-")</f>
        <v>-</v>
      </c>
    </row>
    <row r="6504" customFormat="false" ht="15" hidden="false" customHeight="false" outlineLevel="0" collapsed="false">
      <c r="B6504" s="7" t="s">
        <v>21150</v>
      </c>
      <c r="C6504" s="7" t="s">
        <v>7001</v>
      </c>
      <c r="D6504" s="7" t="s">
        <v>335</v>
      </c>
      <c r="E6504" s="7" t="s">
        <v>154</v>
      </c>
      <c r="F6504" s="39" t="n">
        <v>45959</v>
      </c>
      <c r="G6504" s="41" t="n">
        <v>104.15</v>
      </c>
      <c r="H6504" s="6" t="s">
        <v>182</v>
      </c>
      <c r="I6504" s="7" t="s">
        <v>19787</v>
      </c>
      <c r="J6504" s="8" t="n">
        <f aca="false">IF(I6504="Open",DATE(2025,12,31)-F6504,"-")</f>
        <v>63</v>
      </c>
    </row>
    <row r="6505" customFormat="false" ht="15" hidden="false" customHeight="false" outlineLevel="0" collapsed="false">
      <c r="B6505" s="7" t="s">
        <v>21151</v>
      </c>
      <c r="C6505" s="7" t="s">
        <v>7002</v>
      </c>
      <c r="D6505" s="7" t="s">
        <v>339</v>
      </c>
      <c r="E6505" s="7" t="s">
        <v>154</v>
      </c>
      <c r="F6505" s="39" t="n">
        <v>45959</v>
      </c>
      <c r="G6505" s="41" t="n">
        <v>80.3</v>
      </c>
      <c r="H6505" s="6" t="s">
        <v>182</v>
      </c>
      <c r="I6505" s="7" t="s">
        <v>19787</v>
      </c>
      <c r="J6505" s="8" t="n">
        <f aca="false">IF(I6505="Open",DATE(2025,12,31)-F6505,"-")</f>
        <v>63</v>
      </c>
    </row>
    <row r="6506" customFormat="false" ht="15" hidden="false" customHeight="false" outlineLevel="0" collapsed="false">
      <c r="B6506" s="7" t="s">
        <v>21152</v>
      </c>
      <c r="C6506" s="7" t="s">
        <v>7003</v>
      </c>
      <c r="D6506" s="7" t="s">
        <v>347</v>
      </c>
      <c r="E6506" s="7" t="s">
        <v>154</v>
      </c>
      <c r="F6506" s="39" t="n">
        <v>45959</v>
      </c>
      <c r="G6506" s="41" t="n">
        <v>112.1</v>
      </c>
      <c r="H6506" s="39" t="n">
        <v>46004</v>
      </c>
      <c r="I6506" s="7" t="s">
        <v>14651</v>
      </c>
      <c r="J6506" s="8" t="str">
        <f aca="false">IF(I6506="Open",DATE(2025,12,31)-F6506,"-")</f>
        <v>-</v>
      </c>
    </row>
    <row r="6507" customFormat="false" ht="15" hidden="false" customHeight="false" outlineLevel="0" collapsed="false">
      <c r="B6507" s="7" t="s">
        <v>21153</v>
      </c>
      <c r="C6507" s="7" t="s">
        <v>7004</v>
      </c>
      <c r="D6507" s="7" t="s">
        <v>349</v>
      </c>
      <c r="E6507" s="7" t="s">
        <v>154</v>
      </c>
      <c r="F6507" s="39" t="n">
        <v>45959</v>
      </c>
      <c r="G6507" s="41" t="n">
        <v>113.69</v>
      </c>
      <c r="H6507" s="6" t="s">
        <v>182</v>
      </c>
      <c r="I6507" s="7" t="s">
        <v>19787</v>
      </c>
      <c r="J6507" s="8" t="n">
        <f aca="false">IF(I6507="Open",DATE(2025,12,31)-F6507,"-")</f>
        <v>63</v>
      </c>
    </row>
    <row r="6508" customFormat="false" ht="15" hidden="false" customHeight="false" outlineLevel="0" collapsed="false">
      <c r="B6508" s="7" t="s">
        <v>21154</v>
      </c>
      <c r="C6508" s="7" t="s">
        <v>7005</v>
      </c>
      <c r="D6508" s="7" t="s">
        <v>353</v>
      </c>
      <c r="E6508" s="7" t="s">
        <v>154</v>
      </c>
      <c r="F6508" s="39" t="n">
        <v>45959</v>
      </c>
      <c r="G6508" s="41" t="n">
        <v>88.78</v>
      </c>
      <c r="H6508" s="6" t="s">
        <v>182</v>
      </c>
      <c r="I6508" s="7" t="s">
        <v>19787</v>
      </c>
      <c r="J6508" s="8" t="n">
        <f aca="false">IF(I6508="Open",DATE(2025,12,31)-F6508,"-")</f>
        <v>63</v>
      </c>
    </row>
    <row r="6509" customFormat="false" ht="15" hidden="false" customHeight="false" outlineLevel="0" collapsed="false">
      <c r="B6509" s="7" t="s">
        <v>21155</v>
      </c>
      <c r="C6509" s="7" t="s">
        <v>7006</v>
      </c>
      <c r="D6509" s="7" t="s">
        <v>355</v>
      </c>
      <c r="E6509" s="7" t="s">
        <v>154</v>
      </c>
      <c r="F6509" s="39" t="n">
        <v>45959</v>
      </c>
      <c r="G6509" s="41" t="n">
        <v>82.68</v>
      </c>
      <c r="H6509" s="39" t="n">
        <v>46011</v>
      </c>
      <c r="I6509" s="7" t="s">
        <v>14651</v>
      </c>
      <c r="J6509" s="8" t="str">
        <f aca="false">IF(I6509="Open",DATE(2025,12,31)-F6509,"-")</f>
        <v>-</v>
      </c>
    </row>
    <row r="6510" customFormat="false" ht="15" hidden="false" customHeight="false" outlineLevel="0" collapsed="false">
      <c r="B6510" s="7" t="s">
        <v>21156</v>
      </c>
      <c r="C6510" s="7" t="s">
        <v>7007</v>
      </c>
      <c r="D6510" s="7" t="s">
        <v>357</v>
      </c>
      <c r="E6510" s="7" t="s">
        <v>154</v>
      </c>
      <c r="F6510" s="39" t="n">
        <v>45959</v>
      </c>
      <c r="G6510" s="41" t="n">
        <v>84.8</v>
      </c>
      <c r="H6510" s="39" t="n">
        <v>46017</v>
      </c>
      <c r="I6510" s="7" t="s">
        <v>14651</v>
      </c>
      <c r="J6510" s="8" t="str">
        <f aca="false">IF(I6510="Open",DATE(2025,12,31)-F6510,"-")</f>
        <v>-</v>
      </c>
    </row>
    <row r="6511" customFormat="false" ht="15" hidden="false" customHeight="false" outlineLevel="0" collapsed="false">
      <c r="B6511" s="7" t="s">
        <v>21157</v>
      </c>
      <c r="C6511" s="7" t="s">
        <v>7008</v>
      </c>
      <c r="D6511" s="7" t="s">
        <v>359</v>
      </c>
      <c r="E6511" s="7" t="s">
        <v>156</v>
      </c>
      <c r="F6511" s="39" t="n">
        <v>45959</v>
      </c>
      <c r="G6511" s="41" t="n">
        <v>123.08</v>
      </c>
      <c r="H6511" s="39" t="n">
        <v>45964</v>
      </c>
      <c r="I6511" s="7" t="s">
        <v>14651</v>
      </c>
      <c r="J6511" s="8" t="str">
        <f aca="false">IF(I6511="Open",DATE(2025,12,31)-F6511,"-")</f>
        <v>-</v>
      </c>
    </row>
    <row r="6512" customFormat="false" ht="15" hidden="false" customHeight="false" outlineLevel="0" collapsed="false">
      <c r="B6512" s="7" t="s">
        <v>21158</v>
      </c>
      <c r="C6512" s="7" t="s">
        <v>7009</v>
      </c>
      <c r="D6512" s="7" t="s">
        <v>365</v>
      </c>
      <c r="E6512" s="7" t="s">
        <v>154</v>
      </c>
      <c r="F6512" s="39" t="n">
        <v>45959</v>
      </c>
      <c r="G6512" s="41" t="n">
        <v>115.81</v>
      </c>
      <c r="H6512" s="39" t="n">
        <v>45999</v>
      </c>
      <c r="I6512" s="7" t="s">
        <v>14651</v>
      </c>
      <c r="J6512" s="8" t="str">
        <f aca="false">IF(I6512="Open",DATE(2025,12,31)-F6512,"-")</f>
        <v>-</v>
      </c>
    </row>
    <row r="6513" customFormat="false" ht="15" hidden="false" customHeight="false" outlineLevel="0" collapsed="false">
      <c r="B6513" s="7" t="s">
        <v>21159</v>
      </c>
      <c r="C6513" s="7" t="s">
        <v>7010</v>
      </c>
      <c r="D6513" s="7" t="s">
        <v>371</v>
      </c>
      <c r="E6513" s="7" t="s">
        <v>154</v>
      </c>
      <c r="F6513" s="39" t="n">
        <v>45959</v>
      </c>
      <c r="G6513" s="41" t="n">
        <v>123.38</v>
      </c>
      <c r="H6513" s="39" t="n">
        <v>46009</v>
      </c>
      <c r="I6513" s="7" t="s">
        <v>14651</v>
      </c>
      <c r="J6513" s="8" t="str">
        <f aca="false">IF(I6513="Open",DATE(2025,12,31)-F6513,"-")</f>
        <v>-</v>
      </c>
    </row>
    <row r="6514" customFormat="false" ht="15" hidden="false" customHeight="false" outlineLevel="0" collapsed="false">
      <c r="B6514" s="7" t="s">
        <v>21160</v>
      </c>
      <c r="C6514" s="7" t="s">
        <v>7011</v>
      </c>
      <c r="D6514" s="7" t="s">
        <v>379</v>
      </c>
      <c r="E6514" s="7" t="s">
        <v>156</v>
      </c>
      <c r="F6514" s="39" t="n">
        <v>45959</v>
      </c>
      <c r="G6514" s="41" t="n">
        <v>164.56</v>
      </c>
      <c r="H6514" s="39" t="n">
        <v>45972</v>
      </c>
      <c r="I6514" s="7" t="s">
        <v>14651</v>
      </c>
      <c r="J6514" s="8" t="str">
        <f aca="false">IF(I6514="Open",DATE(2025,12,31)-F6514,"-")</f>
        <v>-</v>
      </c>
    </row>
    <row r="6515" customFormat="false" ht="15" hidden="false" customHeight="false" outlineLevel="0" collapsed="false">
      <c r="B6515" s="7" t="s">
        <v>21161</v>
      </c>
      <c r="C6515" s="7" t="s">
        <v>7012</v>
      </c>
      <c r="D6515" s="7" t="s">
        <v>385</v>
      </c>
      <c r="E6515" s="7" t="s">
        <v>156</v>
      </c>
      <c r="F6515" s="39" t="n">
        <v>45959</v>
      </c>
      <c r="G6515" s="41" t="n">
        <v>132.94</v>
      </c>
      <c r="H6515" s="39" t="n">
        <v>45964</v>
      </c>
      <c r="I6515" s="7" t="s">
        <v>14651</v>
      </c>
      <c r="J6515" s="8" t="str">
        <f aca="false">IF(I6515="Open",DATE(2025,12,31)-F6515,"-")</f>
        <v>-</v>
      </c>
    </row>
    <row r="6516" customFormat="false" ht="15" hidden="false" customHeight="false" outlineLevel="0" collapsed="false">
      <c r="B6516" s="7" t="s">
        <v>21162</v>
      </c>
      <c r="C6516" s="7" t="s">
        <v>7013</v>
      </c>
      <c r="D6516" s="7" t="s">
        <v>387</v>
      </c>
      <c r="E6516" s="7" t="s">
        <v>154</v>
      </c>
      <c r="F6516" s="39" t="n">
        <v>45959</v>
      </c>
      <c r="G6516" s="41" t="n">
        <v>103.88</v>
      </c>
      <c r="H6516" s="39" t="n">
        <v>46022</v>
      </c>
      <c r="I6516" s="7" t="s">
        <v>14651</v>
      </c>
      <c r="J6516" s="8" t="str">
        <f aca="false">IF(I6516="Open",DATE(2025,12,31)-F6516,"-")</f>
        <v>-</v>
      </c>
    </row>
    <row r="6517" customFormat="false" ht="15" hidden="false" customHeight="false" outlineLevel="0" collapsed="false">
      <c r="B6517" s="7" t="s">
        <v>21163</v>
      </c>
      <c r="C6517" s="7" t="s">
        <v>7014</v>
      </c>
      <c r="D6517" s="7" t="s">
        <v>389</v>
      </c>
      <c r="E6517" s="7" t="s">
        <v>154</v>
      </c>
      <c r="F6517" s="39" t="n">
        <v>45959</v>
      </c>
      <c r="G6517" s="41" t="n">
        <v>106.53</v>
      </c>
      <c r="H6517" s="39" t="n">
        <v>45982</v>
      </c>
      <c r="I6517" s="7" t="s">
        <v>14651</v>
      </c>
      <c r="J6517" s="8" t="str">
        <f aca="false">IF(I6517="Open",DATE(2025,12,31)-F6517,"-")</f>
        <v>-</v>
      </c>
    </row>
    <row r="6518" customFormat="false" ht="15" hidden="false" customHeight="false" outlineLevel="0" collapsed="false">
      <c r="B6518" s="7" t="s">
        <v>21164</v>
      </c>
      <c r="C6518" s="7" t="s">
        <v>7015</v>
      </c>
      <c r="D6518" s="7" t="s">
        <v>391</v>
      </c>
      <c r="E6518" s="7" t="s">
        <v>156</v>
      </c>
      <c r="F6518" s="39" t="n">
        <v>45959</v>
      </c>
      <c r="G6518" s="41" t="n">
        <v>125.8</v>
      </c>
      <c r="H6518" s="39" t="n">
        <v>45977</v>
      </c>
      <c r="I6518" s="7" t="s">
        <v>14651</v>
      </c>
      <c r="J6518" s="8" t="str">
        <f aca="false">IF(I6518="Open",DATE(2025,12,31)-F6518,"-")</f>
        <v>-</v>
      </c>
    </row>
    <row r="6519" customFormat="false" ht="15" hidden="false" customHeight="false" outlineLevel="0" collapsed="false">
      <c r="B6519" s="7" t="s">
        <v>21165</v>
      </c>
      <c r="C6519" s="7" t="s">
        <v>7016</v>
      </c>
      <c r="D6519" s="7" t="s">
        <v>393</v>
      </c>
      <c r="E6519" s="7" t="s">
        <v>157</v>
      </c>
      <c r="F6519" s="39" t="n">
        <v>45959</v>
      </c>
      <c r="G6519" s="41" t="n">
        <v>155.1</v>
      </c>
      <c r="H6519" s="39" t="n">
        <v>45969</v>
      </c>
      <c r="I6519" s="7" t="s">
        <v>14651</v>
      </c>
      <c r="J6519" s="8" t="str">
        <f aca="false">IF(I6519="Open",DATE(2025,12,31)-F6519,"-")</f>
        <v>-</v>
      </c>
    </row>
    <row r="6520" customFormat="false" ht="15" hidden="false" customHeight="false" outlineLevel="0" collapsed="false">
      <c r="B6520" s="7" t="s">
        <v>21166</v>
      </c>
      <c r="C6520" s="7" t="s">
        <v>7017</v>
      </c>
      <c r="D6520" s="7" t="s">
        <v>395</v>
      </c>
      <c r="E6520" s="7" t="s">
        <v>156</v>
      </c>
      <c r="F6520" s="39" t="n">
        <v>45959</v>
      </c>
      <c r="G6520" s="41" t="n">
        <v>146.88</v>
      </c>
      <c r="H6520" s="39" t="n">
        <v>45971</v>
      </c>
      <c r="I6520" s="7" t="s">
        <v>14651</v>
      </c>
      <c r="J6520" s="8" t="str">
        <f aca="false">IF(I6520="Open",DATE(2025,12,31)-F6520,"-")</f>
        <v>-</v>
      </c>
    </row>
    <row r="6521" customFormat="false" ht="15" hidden="false" customHeight="false" outlineLevel="0" collapsed="false">
      <c r="B6521" s="7" t="s">
        <v>21167</v>
      </c>
      <c r="C6521" s="7" t="s">
        <v>7018</v>
      </c>
      <c r="D6521" s="7" t="s">
        <v>399</v>
      </c>
      <c r="E6521" s="7" t="s">
        <v>154</v>
      </c>
      <c r="F6521" s="39" t="n">
        <v>45959</v>
      </c>
      <c r="G6521" s="41" t="n">
        <v>85.33</v>
      </c>
      <c r="H6521" s="39" t="n">
        <v>46004</v>
      </c>
      <c r="I6521" s="7" t="s">
        <v>14651</v>
      </c>
      <c r="J6521" s="8" t="str">
        <f aca="false">IF(I6521="Open",DATE(2025,12,31)-F6521,"-")</f>
        <v>-</v>
      </c>
    </row>
    <row r="6522" customFormat="false" ht="15" hidden="false" customHeight="false" outlineLevel="0" collapsed="false">
      <c r="B6522" s="7" t="s">
        <v>21168</v>
      </c>
      <c r="C6522" s="7" t="s">
        <v>7019</v>
      </c>
      <c r="D6522" s="7" t="s">
        <v>401</v>
      </c>
      <c r="E6522" s="7" t="s">
        <v>156</v>
      </c>
      <c r="F6522" s="39" t="n">
        <v>45959</v>
      </c>
      <c r="G6522" s="41" t="n">
        <v>139.74</v>
      </c>
      <c r="H6522" s="39" t="n">
        <v>45971</v>
      </c>
      <c r="I6522" s="7" t="s">
        <v>14651</v>
      </c>
      <c r="J6522" s="8" t="str">
        <f aca="false">IF(I6522="Open",DATE(2025,12,31)-F6522,"-")</f>
        <v>-</v>
      </c>
    </row>
    <row r="6523" customFormat="false" ht="15" hidden="false" customHeight="false" outlineLevel="0" collapsed="false">
      <c r="B6523" s="7" t="s">
        <v>21169</v>
      </c>
      <c r="C6523" s="7" t="s">
        <v>7020</v>
      </c>
      <c r="D6523" s="7" t="s">
        <v>403</v>
      </c>
      <c r="E6523" s="7" t="s">
        <v>156</v>
      </c>
      <c r="F6523" s="39" t="n">
        <v>45959</v>
      </c>
      <c r="G6523" s="41" t="n">
        <v>144.84</v>
      </c>
      <c r="H6523" s="39" t="n">
        <v>45975</v>
      </c>
      <c r="I6523" s="7" t="s">
        <v>14651</v>
      </c>
      <c r="J6523" s="8" t="str">
        <f aca="false">IF(I6523="Open",DATE(2025,12,31)-F6523,"-")</f>
        <v>-</v>
      </c>
    </row>
    <row r="6524" customFormat="false" ht="15" hidden="false" customHeight="false" outlineLevel="0" collapsed="false">
      <c r="B6524" s="7" t="s">
        <v>21170</v>
      </c>
      <c r="C6524" s="7" t="s">
        <v>7021</v>
      </c>
      <c r="D6524" s="7" t="s">
        <v>409</v>
      </c>
      <c r="E6524" s="7" t="s">
        <v>154</v>
      </c>
      <c r="F6524" s="39" t="n">
        <v>45959</v>
      </c>
      <c r="G6524" s="41" t="n">
        <v>82.68</v>
      </c>
      <c r="H6524" s="6" t="s">
        <v>182</v>
      </c>
      <c r="I6524" s="7" t="s">
        <v>19787</v>
      </c>
      <c r="J6524" s="8" t="n">
        <f aca="false">IF(I6524="Open",DATE(2025,12,31)-F6524,"-")</f>
        <v>63</v>
      </c>
    </row>
    <row r="6525" customFormat="false" ht="15" hidden="false" customHeight="false" outlineLevel="0" collapsed="false">
      <c r="B6525" s="7" t="s">
        <v>21171</v>
      </c>
      <c r="C6525" s="7" t="s">
        <v>7022</v>
      </c>
      <c r="D6525" s="7" t="s">
        <v>411</v>
      </c>
      <c r="E6525" s="7" t="s">
        <v>154</v>
      </c>
      <c r="F6525" s="39" t="n">
        <v>45959</v>
      </c>
      <c r="G6525" s="41" t="n">
        <v>127.73</v>
      </c>
      <c r="H6525" s="6" t="s">
        <v>182</v>
      </c>
      <c r="I6525" s="7" t="s">
        <v>19787</v>
      </c>
      <c r="J6525" s="8" t="n">
        <f aca="false">IF(I6525="Open",DATE(2025,12,31)-F6525,"-")</f>
        <v>63</v>
      </c>
    </row>
    <row r="6526" customFormat="false" ht="15" hidden="false" customHeight="false" outlineLevel="0" collapsed="false">
      <c r="B6526" s="7" t="s">
        <v>21172</v>
      </c>
      <c r="C6526" s="7" t="s">
        <v>7023</v>
      </c>
      <c r="D6526" s="7" t="s">
        <v>288</v>
      </c>
      <c r="E6526" s="7" t="s">
        <v>156</v>
      </c>
      <c r="F6526" s="39" t="n">
        <v>45960</v>
      </c>
      <c r="G6526" s="41" t="n">
        <v>140.42</v>
      </c>
      <c r="H6526" s="39" t="n">
        <v>45968</v>
      </c>
      <c r="I6526" s="7" t="s">
        <v>14651</v>
      </c>
      <c r="J6526" s="8" t="str">
        <f aca="false">IF(I6526="Open",DATE(2025,12,31)-F6526,"-")</f>
        <v>-</v>
      </c>
    </row>
    <row r="6527" customFormat="false" ht="15" hidden="false" customHeight="false" outlineLevel="0" collapsed="false">
      <c r="B6527" s="7" t="s">
        <v>21173</v>
      </c>
      <c r="C6527" s="7" t="s">
        <v>7024</v>
      </c>
      <c r="D6527" s="7" t="s">
        <v>297</v>
      </c>
      <c r="E6527" s="7" t="s">
        <v>156</v>
      </c>
      <c r="F6527" s="39" t="n">
        <v>45960</v>
      </c>
      <c r="G6527" s="41" t="n">
        <v>103.7</v>
      </c>
      <c r="H6527" s="39" t="n">
        <v>45969</v>
      </c>
      <c r="I6527" s="7" t="s">
        <v>14651</v>
      </c>
      <c r="J6527" s="8" t="str">
        <f aca="false">IF(I6527="Open",DATE(2025,12,31)-F6527,"-")</f>
        <v>-</v>
      </c>
    </row>
    <row r="6528" customFormat="false" ht="15" hidden="false" customHeight="false" outlineLevel="0" collapsed="false">
      <c r="B6528" s="7" t="s">
        <v>21174</v>
      </c>
      <c r="C6528" s="7" t="s">
        <v>7025</v>
      </c>
      <c r="D6528" s="7" t="s">
        <v>299</v>
      </c>
      <c r="E6528" s="7" t="s">
        <v>154</v>
      </c>
      <c r="F6528" s="39" t="n">
        <v>45960</v>
      </c>
      <c r="G6528" s="41" t="n">
        <v>72.74</v>
      </c>
      <c r="H6528" s="39" t="n">
        <v>45984</v>
      </c>
      <c r="I6528" s="7" t="s">
        <v>14651</v>
      </c>
      <c r="J6528" s="8" t="str">
        <f aca="false">IF(I6528="Open",DATE(2025,12,31)-F6528,"-")</f>
        <v>-</v>
      </c>
    </row>
    <row r="6529" customFormat="false" ht="15" hidden="false" customHeight="false" outlineLevel="0" collapsed="false">
      <c r="B6529" s="7" t="s">
        <v>21175</v>
      </c>
      <c r="C6529" s="7" t="s">
        <v>7026</v>
      </c>
      <c r="D6529" s="7" t="s">
        <v>303</v>
      </c>
      <c r="E6529" s="7" t="s">
        <v>154</v>
      </c>
      <c r="F6529" s="39" t="n">
        <v>45960</v>
      </c>
      <c r="G6529" s="41" t="n">
        <v>107.06</v>
      </c>
      <c r="H6529" s="39" t="n">
        <v>46003</v>
      </c>
      <c r="I6529" s="7" t="s">
        <v>14651</v>
      </c>
      <c r="J6529" s="8" t="str">
        <f aca="false">IF(I6529="Open",DATE(2025,12,31)-F6529,"-")</f>
        <v>-</v>
      </c>
    </row>
    <row r="6530" customFormat="false" ht="15" hidden="false" customHeight="false" outlineLevel="0" collapsed="false">
      <c r="B6530" s="7" t="s">
        <v>21176</v>
      </c>
      <c r="C6530" s="7" t="s">
        <v>7027</v>
      </c>
      <c r="D6530" s="7" t="s">
        <v>311</v>
      </c>
      <c r="E6530" s="7" t="s">
        <v>154</v>
      </c>
      <c r="F6530" s="39" t="n">
        <v>45960</v>
      </c>
      <c r="G6530" s="41" t="n">
        <v>81.99</v>
      </c>
      <c r="H6530" s="6" t="s">
        <v>182</v>
      </c>
      <c r="I6530" s="7" t="s">
        <v>19787</v>
      </c>
      <c r="J6530" s="8" t="n">
        <f aca="false">IF(I6530="Open",DATE(2025,12,31)-F6530,"-")</f>
        <v>62</v>
      </c>
    </row>
    <row r="6531" customFormat="false" ht="15" hidden="false" customHeight="false" outlineLevel="0" collapsed="false">
      <c r="B6531" s="7" t="s">
        <v>21177</v>
      </c>
      <c r="C6531" s="7" t="s">
        <v>7028</v>
      </c>
      <c r="D6531" s="7" t="s">
        <v>313</v>
      </c>
      <c r="E6531" s="7" t="s">
        <v>156</v>
      </c>
      <c r="F6531" s="39" t="n">
        <v>45960</v>
      </c>
      <c r="G6531" s="41" t="n">
        <v>139.06</v>
      </c>
      <c r="H6531" s="39" t="n">
        <v>45976</v>
      </c>
      <c r="I6531" s="7" t="s">
        <v>14651</v>
      </c>
      <c r="J6531" s="8" t="str">
        <f aca="false">IF(I6531="Open",DATE(2025,12,31)-F6531,"-")</f>
        <v>-</v>
      </c>
    </row>
    <row r="6532" customFormat="false" ht="15" hidden="false" customHeight="false" outlineLevel="0" collapsed="false">
      <c r="B6532" s="7" t="s">
        <v>21178</v>
      </c>
      <c r="C6532" s="7" t="s">
        <v>7029</v>
      </c>
      <c r="D6532" s="7" t="s">
        <v>317</v>
      </c>
      <c r="E6532" s="7" t="s">
        <v>156</v>
      </c>
      <c r="F6532" s="39" t="n">
        <v>45960</v>
      </c>
      <c r="G6532" s="41" t="n">
        <v>94.52</v>
      </c>
      <c r="H6532" s="39" t="n">
        <v>45974</v>
      </c>
      <c r="I6532" s="7" t="s">
        <v>14651</v>
      </c>
      <c r="J6532" s="8" t="str">
        <f aca="false">IF(I6532="Open",DATE(2025,12,31)-F6532,"-")</f>
        <v>-</v>
      </c>
    </row>
    <row r="6533" customFormat="false" ht="15" hidden="false" customHeight="false" outlineLevel="0" collapsed="false">
      <c r="B6533" s="7" t="s">
        <v>21179</v>
      </c>
      <c r="C6533" s="7" t="s">
        <v>7030</v>
      </c>
      <c r="D6533" s="7" t="s">
        <v>321</v>
      </c>
      <c r="E6533" s="7" t="s">
        <v>154</v>
      </c>
      <c r="F6533" s="39" t="n">
        <v>45960</v>
      </c>
      <c r="G6533" s="41" t="n">
        <v>98.31</v>
      </c>
      <c r="H6533" s="6" t="s">
        <v>182</v>
      </c>
      <c r="I6533" s="7" t="s">
        <v>19787</v>
      </c>
      <c r="J6533" s="8" t="n">
        <f aca="false">IF(I6533="Open",DATE(2025,12,31)-F6533,"-")</f>
        <v>62</v>
      </c>
    </row>
    <row r="6534" customFormat="false" ht="15" hidden="false" customHeight="false" outlineLevel="0" collapsed="false">
      <c r="B6534" s="7" t="s">
        <v>21180</v>
      </c>
      <c r="C6534" s="7" t="s">
        <v>7031</v>
      </c>
      <c r="D6534" s="7" t="s">
        <v>325</v>
      </c>
      <c r="E6534" s="7" t="s">
        <v>154</v>
      </c>
      <c r="F6534" s="39" t="n">
        <v>45960</v>
      </c>
      <c r="G6534" s="41" t="n">
        <v>72.34</v>
      </c>
      <c r="H6534" s="39" t="n">
        <v>45988</v>
      </c>
      <c r="I6534" s="7" t="s">
        <v>14651</v>
      </c>
      <c r="J6534" s="8" t="str">
        <f aca="false">IF(I6534="Open",DATE(2025,12,31)-F6534,"-")</f>
        <v>-</v>
      </c>
    </row>
    <row r="6535" customFormat="false" ht="15" hidden="false" customHeight="false" outlineLevel="0" collapsed="false">
      <c r="B6535" s="7" t="s">
        <v>21181</v>
      </c>
      <c r="C6535" s="7" t="s">
        <v>7032</v>
      </c>
      <c r="D6535" s="7" t="s">
        <v>329</v>
      </c>
      <c r="E6535" s="7" t="s">
        <v>156</v>
      </c>
      <c r="F6535" s="39" t="n">
        <v>45960</v>
      </c>
      <c r="G6535" s="41" t="n">
        <v>142.8</v>
      </c>
      <c r="H6535" s="39" t="n">
        <v>45973</v>
      </c>
      <c r="I6535" s="7" t="s">
        <v>14651</v>
      </c>
      <c r="J6535" s="8" t="str">
        <f aca="false">IF(I6535="Open",DATE(2025,12,31)-F6535,"-")</f>
        <v>-</v>
      </c>
    </row>
    <row r="6536" customFormat="false" ht="15" hidden="false" customHeight="false" outlineLevel="0" collapsed="false">
      <c r="B6536" s="7" t="s">
        <v>21182</v>
      </c>
      <c r="C6536" s="7" t="s">
        <v>7033</v>
      </c>
      <c r="D6536" s="7" t="s">
        <v>331</v>
      </c>
      <c r="E6536" s="7" t="s">
        <v>156</v>
      </c>
      <c r="F6536" s="39" t="n">
        <v>45960</v>
      </c>
      <c r="G6536" s="41" t="n">
        <v>143.82</v>
      </c>
      <c r="H6536" s="39" t="n">
        <v>45968</v>
      </c>
      <c r="I6536" s="7" t="s">
        <v>14651</v>
      </c>
      <c r="J6536" s="8" t="str">
        <f aca="false">IF(I6536="Open",DATE(2025,12,31)-F6536,"-")</f>
        <v>-</v>
      </c>
    </row>
    <row r="6537" customFormat="false" ht="15" hidden="false" customHeight="false" outlineLevel="0" collapsed="false">
      <c r="B6537" s="7" t="s">
        <v>21183</v>
      </c>
      <c r="C6537" s="7" t="s">
        <v>7034</v>
      </c>
      <c r="D6537" s="7" t="s">
        <v>341</v>
      </c>
      <c r="E6537" s="7" t="s">
        <v>156</v>
      </c>
      <c r="F6537" s="39" t="n">
        <v>45960</v>
      </c>
      <c r="G6537" s="41" t="n">
        <v>92.14</v>
      </c>
      <c r="H6537" s="39" t="n">
        <v>45972</v>
      </c>
      <c r="I6537" s="7" t="s">
        <v>14651</v>
      </c>
      <c r="J6537" s="8" t="str">
        <f aca="false">IF(I6537="Open",DATE(2025,12,31)-F6537,"-")</f>
        <v>-</v>
      </c>
    </row>
    <row r="6538" customFormat="false" ht="15" hidden="false" customHeight="false" outlineLevel="0" collapsed="false">
      <c r="B6538" s="7" t="s">
        <v>21184</v>
      </c>
      <c r="C6538" s="7" t="s">
        <v>7035</v>
      </c>
      <c r="D6538" s="7" t="s">
        <v>343</v>
      </c>
      <c r="E6538" s="7" t="s">
        <v>154</v>
      </c>
      <c r="F6538" s="39" t="n">
        <v>45960</v>
      </c>
      <c r="G6538" s="41" t="n">
        <v>110.24</v>
      </c>
      <c r="H6538" s="6" t="s">
        <v>182</v>
      </c>
      <c r="I6538" s="7" t="s">
        <v>19787</v>
      </c>
      <c r="J6538" s="8" t="n">
        <f aca="false">IF(I6538="Open",DATE(2025,12,31)-F6538,"-")</f>
        <v>62</v>
      </c>
    </row>
    <row r="6539" customFormat="false" ht="15" hidden="false" customHeight="false" outlineLevel="0" collapsed="false">
      <c r="B6539" s="7" t="s">
        <v>21185</v>
      </c>
      <c r="C6539" s="7" t="s">
        <v>7036</v>
      </c>
      <c r="D6539" s="7" t="s">
        <v>349</v>
      </c>
      <c r="E6539" s="7" t="s">
        <v>154</v>
      </c>
      <c r="F6539" s="39" t="n">
        <v>45960</v>
      </c>
      <c r="G6539" s="41" t="n">
        <v>98.05</v>
      </c>
      <c r="H6539" s="6" t="s">
        <v>182</v>
      </c>
      <c r="I6539" s="7" t="s">
        <v>19787</v>
      </c>
      <c r="J6539" s="8" t="n">
        <f aca="false">IF(I6539="Open",DATE(2025,12,31)-F6539,"-")</f>
        <v>62</v>
      </c>
    </row>
    <row r="6540" customFormat="false" ht="15" hidden="false" customHeight="false" outlineLevel="0" collapsed="false">
      <c r="B6540" s="7" t="s">
        <v>21186</v>
      </c>
      <c r="C6540" s="7" t="s">
        <v>7037</v>
      </c>
      <c r="D6540" s="7" t="s">
        <v>351</v>
      </c>
      <c r="E6540" s="7" t="s">
        <v>154</v>
      </c>
      <c r="F6540" s="39" t="n">
        <v>45960</v>
      </c>
      <c r="G6540" s="41" t="n">
        <v>87.45</v>
      </c>
      <c r="H6540" s="6" t="s">
        <v>182</v>
      </c>
      <c r="I6540" s="7" t="s">
        <v>19787</v>
      </c>
      <c r="J6540" s="8" t="n">
        <f aca="false">IF(I6540="Open",DATE(2025,12,31)-F6540,"-")</f>
        <v>62</v>
      </c>
    </row>
    <row r="6541" customFormat="false" ht="15" hidden="false" customHeight="false" outlineLevel="0" collapsed="false">
      <c r="B6541" s="7" t="s">
        <v>21187</v>
      </c>
      <c r="C6541" s="7" t="s">
        <v>7038</v>
      </c>
      <c r="D6541" s="7" t="s">
        <v>359</v>
      </c>
      <c r="E6541" s="7" t="s">
        <v>156</v>
      </c>
      <c r="F6541" s="39" t="n">
        <v>45960</v>
      </c>
      <c r="G6541" s="41" t="n">
        <v>147.9</v>
      </c>
      <c r="H6541" s="39" t="n">
        <v>45979</v>
      </c>
      <c r="I6541" s="7" t="s">
        <v>14651</v>
      </c>
      <c r="J6541" s="8" t="str">
        <f aca="false">IF(I6541="Open",DATE(2025,12,31)-F6541,"-")</f>
        <v>-</v>
      </c>
    </row>
    <row r="6542" customFormat="false" ht="15" hidden="false" customHeight="false" outlineLevel="0" collapsed="false">
      <c r="B6542" s="7" t="s">
        <v>21188</v>
      </c>
      <c r="C6542" s="7" t="s">
        <v>7039</v>
      </c>
      <c r="D6542" s="7" t="s">
        <v>363</v>
      </c>
      <c r="E6542" s="7" t="s">
        <v>156</v>
      </c>
      <c r="F6542" s="39" t="n">
        <v>45960</v>
      </c>
      <c r="G6542" s="41" t="n">
        <v>148.58</v>
      </c>
      <c r="H6542" s="39" t="n">
        <v>45968</v>
      </c>
      <c r="I6542" s="7" t="s">
        <v>14651</v>
      </c>
      <c r="J6542" s="8" t="str">
        <f aca="false">IF(I6542="Open",DATE(2025,12,31)-F6542,"-")</f>
        <v>-</v>
      </c>
    </row>
    <row r="6543" customFormat="false" ht="15" hidden="false" customHeight="false" outlineLevel="0" collapsed="false">
      <c r="B6543" s="7" t="s">
        <v>21189</v>
      </c>
      <c r="C6543" s="7" t="s">
        <v>7040</v>
      </c>
      <c r="D6543" s="7" t="s">
        <v>365</v>
      </c>
      <c r="E6543" s="7" t="s">
        <v>154</v>
      </c>
      <c r="F6543" s="39" t="n">
        <v>45960</v>
      </c>
      <c r="G6543" s="41" t="n">
        <v>103.88</v>
      </c>
      <c r="H6543" s="39" t="n">
        <v>46013</v>
      </c>
      <c r="I6543" s="7" t="s">
        <v>14651</v>
      </c>
      <c r="J6543" s="8" t="str">
        <f aca="false">IF(I6543="Open",DATE(2025,12,31)-F6543,"-")</f>
        <v>-</v>
      </c>
    </row>
    <row r="6544" customFormat="false" ht="15" hidden="false" customHeight="false" outlineLevel="0" collapsed="false">
      <c r="B6544" s="7" t="s">
        <v>21190</v>
      </c>
      <c r="C6544" s="7" t="s">
        <v>7041</v>
      </c>
      <c r="D6544" s="7" t="s">
        <v>375</v>
      </c>
      <c r="E6544" s="7" t="s">
        <v>156</v>
      </c>
      <c r="F6544" s="39" t="n">
        <v>45960</v>
      </c>
      <c r="G6544" s="41" t="n">
        <v>111.52</v>
      </c>
      <c r="H6544" s="39" t="n">
        <v>45973</v>
      </c>
      <c r="I6544" s="7" t="s">
        <v>14651</v>
      </c>
      <c r="J6544" s="8" t="str">
        <f aca="false">IF(I6544="Open",DATE(2025,12,31)-F6544,"-")</f>
        <v>-</v>
      </c>
    </row>
    <row r="6545" customFormat="false" ht="15" hidden="false" customHeight="false" outlineLevel="0" collapsed="false">
      <c r="B6545" s="7" t="s">
        <v>21191</v>
      </c>
      <c r="C6545" s="7" t="s">
        <v>7042</v>
      </c>
      <c r="D6545" s="7" t="s">
        <v>377</v>
      </c>
      <c r="E6545" s="7" t="s">
        <v>154</v>
      </c>
      <c r="F6545" s="39" t="n">
        <v>45960</v>
      </c>
      <c r="G6545" s="41" t="n">
        <v>98.05</v>
      </c>
      <c r="H6545" s="6" t="s">
        <v>182</v>
      </c>
      <c r="I6545" s="7" t="s">
        <v>19787</v>
      </c>
      <c r="J6545" s="8" t="n">
        <f aca="false">IF(I6545="Open",DATE(2025,12,31)-F6545,"-")</f>
        <v>62</v>
      </c>
    </row>
    <row r="6546" customFormat="false" ht="15" hidden="false" customHeight="false" outlineLevel="0" collapsed="false">
      <c r="B6546" s="7" t="s">
        <v>21192</v>
      </c>
      <c r="C6546" s="7" t="s">
        <v>7043</v>
      </c>
      <c r="D6546" s="7" t="s">
        <v>387</v>
      </c>
      <c r="E6546" s="7" t="s">
        <v>154</v>
      </c>
      <c r="F6546" s="39" t="n">
        <v>45960</v>
      </c>
      <c r="G6546" s="41" t="n">
        <v>105.73</v>
      </c>
      <c r="H6546" s="6" t="s">
        <v>182</v>
      </c>
      <c r="I6546" s="7" t="s">
        <v>19787</v>
      </c>
      <c r="J6546" s="8" t="n">
        <f aca="false">IF(I6546="Open",DATE(2025,12,31)-F6546,"-")</f>
        <v>62</v>
      </c>
    </row>
    <row r="6547" customFormat="false" ht="15" hidden="false" customHeight="false" outlineLevel="0" collapsed="false">
      <c r="B6547" s="7" t="s">
        <v>21193</v>
      </c>
      <c r="C6547" s="7" t="s">
        <v>7044</v>
      </c>
      <c r="D6547" s="7" t="s">
        <v>389</v>
      </c>
      <c r="E6547" s="7" t="s">
        <v>154</v>
      </c>
      <c r="F6547" s="39" t="n">
        <v>45960</v>
      </c>
      <c r="G6547" s="41" t="n">
        <v>111.04</v>
      </c>
      <c r="H6547" s="39" t="n">
        <v>46014</v>
      </c>
      <c r="I6547" s="7" t="s">
        <v>14651</v>
      </c>
      <c r="J6547" s="8" t="str">
        <f aca="false">IF(I6547="Open",DATE(2025,12,31)-F6547,"-")</f>
        <v>-</v>
      </c>
    </row>
    <row r="6548" customFormat="false" ht="15" hidden="false" customHeight="false" outlineLevel="0" collapsed="false">
      <c r="B6548" s="7" t="s">
        <v>21194</v>
      </c>
      <c r="C6548" s="7" t="s">
        <v>7045</v>
      </c>
      <c r="D6548" s="7" t="s">
        <v>391</v>
      </c>
      <c r="E6548" s="7" t="s">
        <v>156</v>
      </c>
      <c r="F6548" s="39" t="n">
        <v>45960</v>
      </c>
      <c r="G6548" s="41" t="n">
        <v>129.54</v>
      </c>
      <c r="H6548" s="39" t="n">
        <v>45965</v>
      </c>
      <c r="I6548" s="7" t="s">
        <v>14651</v>
      </c>
      <c r="J6548" s="8" t="str">
        <f aca="false">IF(I6548="Open",DATE(2025,12,31)-F6548,"-")</f>
        <v>-</v>
      </c>
    </row>
    <row r="6549" customFormat="false" ht="15" hidden="false" customHeight="false" outlineLevel="0" collapsed="false">
      <c r="B6549" s="7" t="s">
        <v>21195</v>
      </c>
      <c r="C6549" s="7" t="s">
        <v>7046</v>
      </c>
      <c r="D6549" s="7" t="s">
        <v>395</v>
      </c>
      <c r="E6549" s="7" t="s">
        <v>156</v>
      </c>
      <c r="F6549" s="39" t="n">
        <v>45960</v>
      </c>
      <c r="G6549" s="41" t="n">
        <v>126.82</v>
      </c>
      <c r="H6549" s="39" t="n">
        <v>45977</v>
      </c>
      <c r="I6549" s="7" t="s">
        <v>14651</v>
      </c>
      <c r="J6549" s="8" t="str">
        <f aca="false">IF(I6549="Open",DATE(2025,12,31)-F6549,"-")</f>
        <v>-</v>
      </c>
    </row>
    <row r="6550" customFormat="false" ht="15" hidden="false" customHeight="false" outlineLevel="0" collapsed="false">
      <c r="B6550" s="7" t="s">
        <v>21196</v>
      </c>
      <c r="C6550" s="7" t="s">
        <v>7047</v>
      </c>
      <c r="D6550" s="7" t="s">
        <v>401</v>
      </c>
      <c r="E6550" s="7" t="s">
        <v>156</v>
      </c>
      <c r="F6550" s="39" t="n">
        <v>45960</v>
      </c>
      <c r="G6550" s="41" t="n">
        <v>122.74</v>
      </c>
      <c r="H6550" s="39" t="n">
        <v>45961</v>
      </c>
      <c r="I6550" s="7" t="s">
        <v>14651</v>
      </c>
      <c r="J6550" s="8" t="str">
        <f aca="false">IF(I6550="Open",DATE(2025,12,31)-F6550,"-")</f>
        <v>-</v>
      </c>
    </row>
    <row r="6551" customFormat="false" ht="15" hidden="false" customHeight="false" outlineLevel="0" collapsed="false">
      <c r="B6551" s="7" t="s">
        <v>21197</v>
      </c>
      <c r="C6551" s="7" t="s">
        <v>7048</v>
      </c>
      <c r="D6551" s="7" t="s">
        <v>288</v>
      </c>
      <c r="E6551" s="7" t="s">
        <v>156</v>
      </c>
      <c r="F6551" s="39" t="n">
        <v>45961</v>
      </c>
      <c r="G6551" s="41" t="n">
        <v>134.64</v>
      </c>
      <c r="H6551" s="39" t="n">
        <v>45973</v>
      </c>
      <c r="I6551" s="7" t="s">
        <v>14651</v>
      </c>
      <c r="J6551" s="8" t="str">
        <f aca="false">IF(I6551="Open",DATE(2025,12,31)-F6551,"-")</f>
        <v>-</v>
      </c>
    </row>
    <row r="6552" customFormat="false" ht="15" hidden="false" customHeight="false" outlineLevel="0" collapsed="false">
      <c r="B6552" s="7" t="s">
        <v>21198</v>
      </c>
      <c r="C6552" s="7" t="s">
        <v>7049</v>
      </c>
      <c r="D6552" s="7" t="s">
        <v>291</v>
      </c>
      <c r="E6552" s="7" t="s">
        <v>154</v>
      </c>
      <c r="F6552" s="39" t="n">
        <v>45961</v>
      </c>
      <c r="G6552" s="41" t="n">
        <v>116.07</v>
      </c>
      <c r="H6552" s="6" t="s">
        <v>182</v>
      </c>
      <c r="I6552" s="7" t="s">
        <v>19787</v>
      </c>
      <c r="J6552" s="8" t="n">
        <f aca="false">IF(I6552="Open",DATE(2025,12,31)-F6552,"-")</f>
        <v>61</v>
      </c>
    </row>
    <row r="6553" customFormat="false" ht="15" hidden="false" customHeight="false" outlineLevel="0" collapsed="false">
      <c r="B6553" s="7" t="s">
        <v>21199</v>
      </c>
      <c r="C6553" s="7" t="s">
        <v>7050</v>
      </c>
      <c r="D6553" s="7" t="s">
        <v>293</v>
      </c>
      <c r="E6553" s="7" t="s">
        <v>157</v>
      </c>
      <c r="F6553" s="39" t="n">
        <v>45961</v>
      </c>
      <c r="G6553" s="41" t="n">
        <v>168.3</v>
      </c>
      <c r="H6553" s="39" t="n">
        <v>46012</v>
      </c>
      <c r="I6553" s="7" t="s">
        <v>14651</v>
      </c>
      <c r="J6553" s="8" t="str">
        <f aca="false">IF(I6553="Open",DATE(2025,12,31)-F6553,"-")</f>
        <v>-</v>
      </c>
    </row>
    <row r="6554" customFormat="false" ht="15" hidden="false" customHeight="false" outlineLevel="0" collapsed="false">
      <c r="B6554" s="7" t="s">
        <v>21200</v>
      </c>
      <c r="C6554" s="7" t="s">
        <v>7051</v>
      </c>
      <c r="D6554" s="7" t="s">
        <v>295</v>
      </c>
      <c r="E6554" s="7" t="s">
        <v>154</v>
      </c>
      <c r="F6554" s="39" t="n">
        <v>45961</v>
      </c>
      <c r="G6554" s="41" t="n">
        <v>112.89</v>
      </c>
      <c r="H6554" s="39" t="n">
        <v>45989</v>
      </c>
      <c r="I6554" s="7" t="s">
        <v>14651</v>
      </c>
      <c r="J6554" s="8" t="str">
        <f aca="false">IF(I6554="Open",DATE(2025,12,31)-F6554,"-")</f>
        <v>-</v>
      </c>
    </row>
    <row r="6555" customFormat="false" ht="15" hidden="false" customHeight="false" outlineLevel="0" collapsed="false">
      <c r="B6555" s="7" t="s">
        <v>21201</v>
      </c>
      <c r="C6555" s="7" t="s">
        <v>7052</v>
      </c>
      <c r="D6555" s="7" t="s">
        <v>301</v>
      </c>
      <c r="E6555" s="7" t="s">
        <v>157</v>
      </c>
      <c r="F6555" s="39" t="n">
        <v>45961</v>
      </c>
      <c r="G6555" s="41" t="n">
        <v>174.9</v>
      </c>
      <c r="H6555" s="39" t="n">
        <v>45993</v>
      </c>
      <c r="I6555" s="7" t="s">
        <v>14651</v>
      </c>
      <c r="J6555" s="8" t="str">
        <f aca="false">IF(I6555="Open",DATE(2025,12,31)-F6555,"-")</f>
        <v>-</v>
      </c>
    </row>
    <row r="6556" customFormat="false" ht="15" hidden="false" customHeight="false" outlineLevel="0" collapsed="false">
      <c r="B6556" s="7" t="s">
        <v>21202</v>
      </c>
      <c r="C6556" s="7" t="s">
        <v>7053</v>
      </c>
      <c r="D6556" s="7" t="s">
        <v>305</v>
      </c>
      <c r="E6556" s="7" t="s">
        <v>154</v>
      </c>
      <c r="F6556" s="39" t="n">
        <v>45961</v>
      </c>
      <c r="G6556" s="41" t="n">
        <v>102.29</v>
      </c>
      <c r="H6556" s="39" t="n">
        <v>46003</v>
      </c>
      <c r="I6556" s="7" t="s">
        <v>14651</v>
      </c>
      <c r="J6556" s="8" t="str">
        <f aca="false">IF(I6556="Open",DATE(2025,12,31)-F6556,"-")</f>
        <v>-</v>
      </c>
    </row>
    <row r="6557" customFormat="false" ht="15" hidden="false" customHeight="false" outlineLevel="0" collapsed="false">
      <c r="B6557" s="7" t="s">
        <v>21203</v>
      </c>
      <c r="C6557" s="7" t="s">
        <v>7054</v>
      </c>
      <c r="D6557" s="7" t="s">
        <v>307</v>
      </c>
      <c r="E6557" s="7" t="s">
        <v>157</v>
      </c>
      <c r="F6557" s="39" t="n">
        <v>45961</v>
      </c>
      <c r="G6557" s="41" t="n">
        <v>179.85</v>
      </c>
      <c r="H6557" s="39" t="n">
        <v>46014</v>
      </c>
      <c r="I6557" s="7" t="s">
        <v>14651</v>
      </c>
      <c r="J6557" s="8" t="str">
        <f aca="false">IF(I6557="Open",DATE(2025,12,31)-F6557,"-")</f>
        <v>-</v>
      </c>
    </row>
    <row r="6558" customFormat="false" ht="15" hidden="false" customHeight="false" outlineLevel="0" collapsed="false">
      <c r="B6558" s="7" t="s">
        <v>21204</v>
      </c>
      <c r="C6558" s="7" t="s">
        <v>7055</v>
      </c>
      <c r="D6558" s="7" t="s">
        <v>309</v>
      </c>
      <c r="E6558" s="7" t="s">
        <v>159</v>
      </c>
      <c r="F6558" s="39" t="n">
        <v>45961</v>
      </c>
      <c r="G6558" s="41" t="n">
        <v>135</v>
      </c>
      <c r="H6558" s="6" t="s">
        <v>182</v>
      </c>
      <c r="I6558" s="7" t="s">
        <v>19787</v>
      </c>
      <c r="J6558" s="8" t="n">
        <f aca="false">IF(I6558="Open",DATE(2025,12,31)-F6558,"-")</f>
        <v>61</v>
      </c>
    </row>
    <row r="6559" customFormat="false" ht="15" hidden="false" customHeight="false" outlineLevel="0" collapsed="false">
      <c r="B6559" s="7" t="s">
        <v>21205</v>
      </c>
      <c r="C6559" s="7" t="s">
        <v>7056</v>
      </c>
      <c r="D6559" s="7" t="s">
        <v>315</v>
      </c>
      <c r="E6559" s="7" t="s">
        <v>159</v>
      </c>
      <c r="F6559" s="39" t="n">
        <v>45961</v>
      </c>
      <c r="G6559" s="41" t="n">
        <v>119.2</v>
      </c>
      <c r="H6559" s="39" t="n">
        <v>45998</v>
      </c>
      <c r="I6559" s="7" t="s">
        <v>14651</v>
      </c>
      <c r="J6559" s="8" t="str">
        <f aca="false">IF(I6559="Open",DATE(2025,12,31)-F6559,"-")</f>
        <v>-</v>
      </c>
    </row>
    <row r="6560" customFormat="false" ht="15" hidden="false" customHeight="false" outlineLevel="0" collapsed="false">
      <c r="B6560" s="7" t="s">
        <v>21206</v>
      </c>
      <c r="C6560" s="7" t="s">
        <v>7057</v>
      </c>
      <c r="D6560" s="7" t="s">
        <v>319</v>
      </c>
      <c r="E6560" s="7" t="s">
        <v>157</v>
      </c>
      <c r="F6560" s="39" t="n">
        <v>45961</v>
      </c>
      <c r="G6560" s="41" t="n">
        <v>179.85</v>
      </c>
      <c r="H6560" s="6" t="s">
        <v>182</v>
      </c>
      <c r="I6560" s="7" t="s">
        <v>19787</v>
      </c>
      <c r="J6560" s="8" t="n">
        <f aca="false">IF(I6560="Open",DATE(2025,12,31)-F6560,"-")</f>
        <v>61</v>
      </c>
    </row>
    <row r="6561" customFormat="false" ht="15" hidden="false" customHeight="false" outlineLevel="0" collapsed="false">
      <c r="B6561" s="7" t="s">
        <v>21207</v>
      </c>
      <c r="C6561" s="7" t="s">
        <v>7058</v>
      </c>
      <c r="D6561" s="7" t="s">
        <v>321</v>
      </c>
      <c r="E6561" s="7" t="s">
        <v>154</v>
      </c>
      <c r="F6561" s="39" t="n">
        <v>45961</v>
      </c>
      <c r="G6561" s="41" t="n">
        <v>112.62</v>
      </c>
      <c r="H6561" s="39" t="n">
        <v>46002</v>
      </c>
      <c r="I6561" s="7" t="s">
        <v>14651</v>
      </c>
      <c r="J6561" s="8" t="str">
        <f aca="false">IF(I6561="Open",DATE(2025,12,31)-F6561,"-")</f>
        <v>-</v>
      </c>
    </row>
    <row r="6562" customFormat="false" ht="15" hidden="false" customHeight="false" outlineLevel="0" collapsed="false">
      <c r="B6562" s="7" t="s">
        <v>21208</v>
      </c>
      <c r="C6562" s="7" t="s">
        <v>7059</v>
      </c>
      <c r="D6562" s="7" t="s">
        <v>323</v>
      </c>
      <c r="E6562" s="7" t="s">
        <v>159</v>
      </c>
      <c r="F6562" s="39" t="n">
        <v>45961</v>
      </c>
      <c r="G6562" s="41" t="n">
        <v>126.76</v>
      </c>
      <c r="H6562" s="6" t="s">
        <v>182</v>
      </c>
      <c r="I6562" s="7" t="s">
        <v>19787</v>
      </c>
      <c r="J6562" s="8" t="n">
        <f aca="false">IF(I6562="Open",DATE(2025,12,31)-F6562,"-")</f>
        <v>61</v>
      </c>
    </row>
    <row r="6563" customFormat="false" ht="15" hidden="false" customHeight="false" outlineLevel="0" collapsed="false">
      <c r="B6563" s="7" t="s">
        <v>21209</v>
      </c>
      <c r="C6563" s="7" t="s">
        <v>7060</v>
      </c>
      <c r="D6563" s="7" t="s">
        <v>327</v>
      </c>
      <c r="E6563" s="7" t="s">
        <v>157</v>
      </c>
      <c r="F6563" s="39" t="n">
        <v>45961</v>
      </c>
      <c r="G6563" s="41" t="n">
        <v>172.42</v>
      </c>
      <c r="H6563" s="39" t="n">
        <v>45993</v>
      </c>
      <c r="I6563" s="7" t="s">
        <v>14651</v>
      </c>
      <c r="J6563" s="8" t="str">
        <f aca="false">IF(I6563="Open",DATE(2025,12,31)-F6563,"-")</f>
        <v>-</v>
      </c>
    </row>
    <row r="6564" customFormat="false" ht="15" hidden="false" customHeight="false" outlineLevel="0" collapsed="false">
      <c r="B6564" s="7" t="s">
        <v>21210</v>
      </c>
      <c r="C6564" s="7" t="s">
        <v>7061</v>
      </c>
      <c r="D6564" s="7" t="s">
        <v>329</v>
      </c>
      <c r="E6564" s="7" t="s">
        <v>156</v>
      </c>
      <c r="F6564" s="39" t="n">
        <v>45961</v>
      </c>
      <c r="G6564" s="41" t="n">
        <v>146.88</v>
      </c>
      <c r="H6564" s="39" t="n">
        <v>45974</v>
      </c>
      <c r="I6564" s="7" t="s">
        <v>14651</v>
      </c>
      <c r="J6564" s="8" t="str">
        <f aca="false">IF(I6564="Open",DATE(2025,12,31)-F6564,"-")</f>
        <v>-</v>
      </c>
    </row>
    <row r="6565" customFormat="false" ht="15" hidden="false" customHeight="false" outlineLevel="0" collapsed="false">
      <c r="B6565" s="7" t="s">
        <v>21211</v>
      </c>
      <c r="C6565" s="7" t="s">
        <v>7062</v>
      </c>
      <c r="D6565" s="7" t="s">
        <v>333</v>
      </c>
      <c r="E6565" s="7" t="s">
        <v>154</v>
      </c>
      <c r="F6565" s="39" t="n">
        <v>45961</v>
      </c>
      <c r="G6565" s="41" t="n">
        <v>96.72</v>
      </c>
      <c r="H6565" s="6" t="s">
        <v>182</v>
      </c>
      <c r="I6565" s="7" t="s">
        <v>19787</v>
      </c>
      <c r="J6565" s="8" t="n">
        <f aca="false">IF(I6565="Open",DATE(2025,12,31)-F6565,"-")</f>
        <v>61</v>
      </c>
    </row>
    <row r="6566" customFormat="false" ht="15" hidden="false" customHeight="false" outlineLevel="0" collapsed="false">
      <c r="B6566" s="7" t="s">
        <v>21212</v>
      </c>
      <c r="C6566" s="7" t="s">
        <v>7063</v>
      </c>
      <c r="D6566" s="7" t="s">
        <v>335</v>
      </c>
      <c r="E6566" s="7" t="s">
        <v>154</v>
      </c>
      <c r="F6566" s="39" t="n">
        <v>45961</v>
      </c>
      <c r="G6566" s="41" t="n">
        <v>98.58</v>
      </c>
      <c r="H6566" s="6" t="s">
        <v>182</v>
      </c>
      <c r="I6566" s="7" t="s">
        <v>19787</v>
      </c>
      <c r="J6566" s="8" t="n">
        <f aca="false">IF(I6566="Open",DATE(2025,12,31)-F6566,"-")</f>
        <v>61</v>
      </c>
    </row>
    <row r="6567" customFormat="false" ht="15" hidden="false" customHeight="false" outlineLevel="0" collapsed="false">
      <c r="B6567" s="7" t="s">
        <v>21213</v>
      </c>
      <c r="C6567" s="7" t="s">
        <v>7064</v>
      </c>
      <c r="D6567" s="7" t="s">
        <v>339</v>
      </c>
      <c r="E6567" s="7" t="s">
        <v>154</v>
      </c>
      <c r="F6567" s="39" t="n">
        <v>45961</v>
      </c>
      <c r="G6567" s="41" t="n">
        <v>80.56</v>
      </c>
      <c r="H6567" s="6" t="s">
        <v>182</v>
      </c>
      <c r="I6567" s="7" t="s">
        <v>19787</v>
      </c>
      <c r="J6567" s="8" t="n">
        <f aca="false">IF(I6567="Open",DATE(2025,12,31)-F6567,"-")</f>
        <v>61</v>
      </c>
    </row>
    <row r="6568" customFormat="false" ht="15" hidden="false" customHeight="false" outlineLevel="0" collapsed="false">
      <c r="B6568" s="7" t="s">
        <v>21214</v>
      </c>
      <c r="C6568" s="7" t="s">
        <v>7065</v>
      </c>
      <c r="D6568" s="7" t="s">
        <v>347</v>
      </c>
      <c r="E6568" s="7" t="s">
        <v>154</v>
      </c>
      <c r="F6568" s="39" t="n">
        <v>45961</v>
      </c>
      <c r="G6568" s="41" t="n">
        <v>127.73</v>
      </c>
      <c r="H6568" s="6" t="s">
        <v>182</v>
      </c>
      <c r="I6568" s="7" t="s">
        <v>19787</v>
      </c>
      <c r="J6568" s="8" t="n">
        <f aca="false">IF(I6568="Open",DATE(2025,12,31)-F6568,"-")</f>
        <v>61</v>
      </c>
    </row>
    <row r="6569" customFormat="false" ht="15" hidden="false" customHeight="false" outlineLevel="0" collapsed="false">
      <c r="B6569" s="7" t="s">
        <v>21215</v>
      </c>
      <c r="C6569" s="7" t="s">
        <v>7066</v>
      </c>
      <c r="D6569" s="7" t="s">
        <v>349</v>
      </c>
      <c r="E6569" s="7" t="s">
        <v>154</v>
      </c>
      <c r="F6569" s="39" t="n">
        <v>45961</v>
      </c>
      <c r="G6569" s="41" t="n">
        <v>110.77</v>
      </c>
      <c r="H6569" s="39" t="n">
        <v>46015</v>
      </c>
      <c r="I6569" s="7" t="s">
        <v>14651</v>
      </c>
      <c r="J6569" s="8" t="str">
        <f aca="false">IF(I6569="Open",DATE(2025,12,31)-F6569,"-")</f>
        <v>-</v>
      </c>
    </row>
    <row r="6570" customFormat="false" ht="15" hidden="false" customHeight="false" outlineLevel="0" collapsed="false">
      <c r="B6570" s="7" t="s">
        <v>21216</v>
      </c>
      <c r="C6570" s="7" t="s">
        <v>7067</v>
      </c>
      <c r="D6570" s="7" t="s">
        <v>353</v>
      </c>
      <c r="E6570" s="7" t="s">
        <v>154</v>
      </c>
      <c r="F6570" s="39" t="n">
        <v>45961</v>
      </c>
      <c r="G6570" s="41" t="n">
        <v>81.62</v>
      </c>
      <c r="H6570" s="39" t="n">
        <v>46018</v>
      </c>
      <c r="I6570" s="7" t="s">
        <v>14651</v>
      </c>
      <c r="J6570" s="8" t="str">
        <f aca="false">IF(I6570="Open",DATE(2025,12,31)-F6570,"-")</f>
        <v>-</v>
      </c>
    </row>
    <row r="6571" customFormat="false" ht="15" hidden="false" customHeight="false" outlineLevel="0" collapsed="false">
      <c r="B6571" s="7" t="s">
        <v>21217</v>
      </c>
      <c r="C6571" s="7" t="s">
        <v>7068</v>
      </c>
      <c r="D6571" s="7" t="s">
        <v>355</v>
      </c>
      <c r="E6571" s="7" t="s">
        <v>154</v>
      </c>
      <c r="F6571" s="39" t="n">
        <v>45961</v>
      </c>
      <c r="G6571" s="41" t="n">
        <v>88.25</v>
      </c>
      <c r="H6571" s="39" t="n">
        <v>46002</v>
      </c>
      <c r="I6571" s="7" t="s">
        <v>14651</v>
      </c>
      <c r="J6571" s="8" t="str">
        <f aca="false">IF(I6571="Open",DATE(2025,12,31)-F6571,"-")</f>
        <v>-</v>
      </c>
    </row>
    <row r="6572" customFormat="false" ht="15" hidden="false" customHeight="false" outlineLevel="0" collapsed="false">
      <c r="B6572" s="7" t="s">
        <v>21218</v>
      </c>
      <c r="C6572" s="7" t="s">
        <v>7069</v>
      </c>
      <c r="D6572" s="7" t="s">
        <v>357</v>
      </c>
      <c r="E6572" s="7" t="s">
        <v>154</v>
      </c>
      <c r="F6572" s="39" t="n">
        <v>45961</v>
      </c>
      <c r="G6572" s="41" t="n">
        <v>89.04</v>
      </c>
      <c r="H6572" s="39" t="n">
        <v>46005</v>
      </c>
      <c r="I6572" s="7" t="s">
        <v>14651</v>
      </c>
      <c r="J6572" s="8" t="str">
        <f aca="false">IF(I6572="Open",DATE(2025,12,31)-F6572,"-")</f>
        <v>-</v>
      </c>
    </row>
    <row r="6573" customFormat="false" ht="15" hidden="false" customHeight="false" outlineLevel="0" collapsed="false">
      <c r="B6573" s="7" t="s">
        <v>21219</v>
      </c>
      <c r="C6573" s="7" t="s">
        <v>7070</v>
      </c>
      <c r="D6573" s="7" t="s">
        <v>359</v>
      </c>
      <c r="E6573" s="7" t="s">
        <v>156</v>
      </c>
      <c r="F6573" s="39" t="n">
        <v>45961</v>
      </c>
      <c r="G6573" s="41" t="n">
        <v>134.3</v>
      </c>
      <c r="H6573" s="39" t="n">
        <v>45977</v>
      </c>
      <c r="I6573" s="7" t="s">
        <v>14651</v>
      </c>
      <c r="J6573" s="8" t="str">
        <f aca="false">IF(I6573="Open",DATE(2025,12,31)-F6573,"-")</f>
        <v>-</v>
      </c>
    </row>
    <row r="6574" customFormat="false" ht="15" hidden="false" customHeight="false" outlineLevel="0" collapsed="false">
      <c r="B6574" s="7" t="s">
        <v>21220</v>
      </c>
      <c r="C6574" s="7" t="s">
        <v>7071</v>
      </c>
      <c r="D6574" s="7" t="s">
        <v>361</v>
      </c>
      <c r="E6574" s="7" t="s">
        <v>157</v>
      </c>
      <c r="F6574" s="39" t="n">
        <v>45961</v>
      </c>
      <c r="G6574" s="41" t="n">
        <v>173.25</v>
      </c>
      <c r="H6574" s="6" t="s">
        <v>182</v>
      </c>
      <c r="I6574" s="7" t="s">
        <v>19787</v>
      </c>
      <c r="J6574" s="8" t="n">
        <f aca="false">IF(I6574="Open",DATE(2025,12,31)-F6574,"-")</f>
        <v>61</v>
      </c>
    </row>
    <row r="6575" customFormat="false" ht="15" hidden="false" customHeight="false" outlineLevel="0" collapsed="false">
      <c r="B6575" s="7" t="s">
        <v>21221</v>
      </c>
      <c r="C6575" s="7" t="s">
        <v>7072</v>
      </c>
      <c r="D6575" s="7" t="s">
        <v>369</v>
      </c>
      <c r="E6575" s="7" t="s">
        <v>159</v>
      </c>
      <c r="F6575" s="39" t="n">
        <v>45961</v>
      </c>
      <c r="G6575" s="41" t="n">
        <v>136.89</v>
      </c>
      <c r="H6575" s="6" t="s">
        <v>182</v>
      </c>
      <c r="I6575" s="7" t="s">
        <v>19787</v>
      </c>
      <c r="J6575" s="8" t="n">
        <f aca="false">IF(I6575="Open",DATE(2025,12,31)-F6575,"-")</f>
        <v>61</v>
      </c>
    </row>
    <row r="6576" customFormat="false" ht="15" hidden="false" customHeight="false" outlineLevel="0" collapsed="false">
      <c r="B6576" s="7" t="s">
        <v>21222</v>
      </c>
      <c r="C6576" s="7" t="s">
        <v>7073</v>
      </c>
      <c r="D6576" s="7" t="s">
        <v>371</v>
      </c>
      <c r="E6576" s="7" t="s">
        <v>154</v>
      </c>
      <c r="F6576" s="39" t="n">
        <v>45961</v>
      </c>
      <c r="G6576" s="41" t="n">
        <v>115.81</v>
      </c>
      <c r="H6576" s="39" t="n">
        <v>46003</v>
      </c>
      <c r="I6576" s="7" t="s">
        <v>14651</v>
      </c>
      <c r="J6576" s="8" t="str">
        <f aca="false">IF(I6576="Open",DATE(2025,12,31)-F6576,"-")</f>
        <v>-</v>
      </c>
    </row>
    <row r="6577" customFormat="false" ht="15" hidden="false" customHeight="false" outlineLevel="0" collapsed="false">
      <c r="B6577" s="7" t="s">
        <v>21223</v>
      </c>
      <c r="C6577" s="7" t="s">
        <v>7074</v>
      </c>
      <c r="D6577" s="7" t="s">
        <v>373</v>
      </c>
      <c r="E6577" s="7" t="s">
        <v>154</v>
      </c>
      <c r="F6577" s="39" t="n">
        <v>45961</v>
      </c>
      <c r="G6577" s="41" t="n">
        <v>89.57</v>
      </c>
      <c r="H6577" s="6" t="s">
        <v>182</v>
      </c>
      <c r="I6577" s="7" t="s">
        <v>19787</v>
      </c>
      <c r="J6577" s="8" t="n">
        <f aca="false">IF(I6577="Open",DATE(2025,12,31)-F6577,"-")</f>
        <v>61</v>
      </c>
    </row>
    <row r="6578" customFormat="false" ht="15" hidden="false" customHeight="false" outlineLevel="0" collapsed="false">
      <c r="B6578" s="7" t="s">
        <v>21224</v>
      </c>
      <c r="C6578" s="7" t="s">
        <v>7075</v>
      </c>
      <c r="D6578" s="7" t="s">
        <v>379</v>
      </c>
      <c r="E6578" s="7" t="s">
        <v>156</v>
      </c>
      <c r="F6578" s="39" t="n">
        <v>45961</v>
      </c>
      <c r="G6578" s="41" t="n">
        <v>162.18</v>
      </c>
      <c r="H6578" s="39" t="n">
        <v>45971</v>
      </c>
      <c r="I6578" s="7" t="s">
        <v>14651</v>
      </c>
      <c r="J6578" s="8" t="str">
        <f aca="false">IF(I6578="Open",DATE(2025,12,31)-F6578,"-")</f>
        <v>-</v>
      </c>
    </row>
    <row r="6579" customFormat="false" ht="15" hidden="false" customHeight="false" outlineLevel="0" collapsed="false">
      <c r="B6579" s="7" t="s">
        <v>21225</v>
      </c>
      <c r="C6579" s="7" t="s">
        <v>7076</v>
      </c>
      <c r="D6579" s="7" t="s">
        <v>381</v>
      </c>
      <c r="E6579" s="7" t="s">
        <v>157</v>
      </c>
      <c r="F6579" s="39" t="n">
        <v>45961</v>
      </c>
      <c r="G6579" s="41" t="n">
        <v>156.75</v>
      </c>
      <c r="H6579" s="39" t="n">
        <v>45998</v>
      </c>
      <c r="I6579" s="7" t="s">
        <v>14651</v>
      </c>
      <c r="J6579" s="8" t="str">
        <f aca="false">IF(I6579="Open",DATE(2025,12,31)-F6579,"-")</f>
        <v>-</v>
      </c>
    </row>
    <row r="6580" customFormat="false" ht="15" hidden="false" customHeight="false" outlineLevel="0" collapsed="false">
      <c r="B6580" s="7" t="s">
        <v>21226</v>
      </c>
      <c r="C6580" s="7" t="s">
        <v>7077</v>
      </c>
      <c r="D6580" s="7" t="s">
        <v>383</v>
      </c>
      <c r="E6580" s="7" t="s">
        <v>157</v>
      </c>
      <c r="F6580" s="39" t="n">
        <v>45961</v>
      </c>
      <c r="G6580" s="41" t="n">
        <v>178.2</v>
      </c>
      <c r="H6580" s="39" t="n">
        <v>46004</v>
      </c>
      <c r="I6580" s="7" t="s">
        <v>14651</v>
      </c>
      <c r="J6580" s="8" t="str">
        <f aca="false">IF(I6580="Open",DATE(2025,12,31)-F6580,"-")</f>
        <v>-</v>
      </c>
    </row>
    <row r="6581" customFormat="false" ht="15" hidden="false" customHeight="false" outlineLevel="0" collapsed="false">
      <c r="B6581" s="7" t="s">
        <v>21227</v>
      </c>
      <c r="C6581" s="7" t="s">
        <v>7078</v>
      </c>
      <c r="D6581" s="7" t="s">
        <v>385</v>
      </c>
      <c r="E6581" s="7" t="s">
        <v>156</v>
      </c>
      <c r="F6581" s="39" t="n">
        <v>45961</v>
      </c>
      <c r="G6581" s="41" t="n">
        <v>143.48</v>
      </c>
      <c r="H6581" s="39" t="n">
        <v>45975</v>
      </c>
      <c r="I6581" s="7" t="s">
        <v>14651</v>
      </c>
      <c r="J6581" s="8" t="str">
        <f aca="false">IF(I6581="Open",DATE(2025,12,31)-F6581,"-")</f>
        <v>-</v>
      </c>
    </row>
    <row r="6582" customFormat="false" ht="15" hidden="false" customHeight="false" outlineLevel="0" collapsed="false">
      <c r="B6582" s="7" t="s">
        <v>21228</v>
      </c>
      <c r="C6582" s="7" t="s">
        <v>7079</v>
      </c>
      <c r="D6582" s="7" t="s">
        <v>387</v>
      </c>
      <c r="E6582" s="7" t="s">
        <v>154</v>
      </c>
      <c r="F6582" s="39" t="n">
        <v>45961</v>
      </c>
      <c r="G6582" s="41" t="n">
        <v>96.19</v>
      </c>
      <c r="H6582" s="39" t="n">
        <v>45978</v>
      </c>
      <c r="I6582" s="7" t="s">
        <v>14651</v>
      </c>
      <c r="J6582" s="8" t="str">
        <f aca="false">IF(I6582="Open",DATE(2025,12,31)-F6582,"-")</f>
        <v>-</v>
      </c>
    </row>
    <row r="6583" customFormat="false" ht="15" hidden="false" customHeight="false" outlineLevel="0" collapsed="false">
      <c r="B6583" s="7" t="s">
        <v>21229</v>
      </c>
      <c r="C6583" s="7" t="s">
        <v>7080</v>
      </c>
      <c r="D6583" s="7" t="s">
        <v>389</v>
      </c>
      <c r="E6583" s="7" t="s">
        <v>154</v>
      </c>
      <c r="F6583" s="39" t="n">
        <v>45961</v>
      </c>
      <c r="G6583" s="41" t="n">
        <v>103.59</v>
      </c>
      <c r="H6583" s="39" t="n">
        <v>46015</v>
      </c>
      <c r="I6583" s="7" t="s">
        <v>14651</v>
      </c>
      <c r="J6583" s="8" t="str">
        <f aca="false">IF(I6583="Open",DATE(2025,12,31)-F6583,"-")</f>
        <v>-</v>
      </c>
    </row>
    <row r="6584" customFormat="false" ht="15" hidden="false" customHeight="false" outlineLevel="0" collapsed="false">
      <c r="B6584" s="7" t="s">
        <v>21230</v>
      </c>
      <c r="C6584" s="7" t="s">
        <v>7081</v>
      </c>
      <c r="D6584" s="7" t="s">
        <v>391</v>
      </c>
      <c r="E6584" s="7" t="s">
        <v>156</v>
      </c>
      <c r="F6584" s="39" t="n">
        <v>45961</v>
      </c>
      <c r="G6584" s="41" t="n">
        <v>140.42</v>
      </c>
      <c r="H6584" s="39" t="n">
        <v>45979</v>
      </c>
      <c r="I6584" s="7" t="s">
        <v>14651</v>
      </c>
      <c r="J6584" s="8" t="str">
        <f aca="false">IF(I6584="Open",DATE(2025,12,31)-F6584,"-")</f>
        <v>-</v>
      </c>
    </row>
    <row r="6585" customFormat="false" ht="15" hidden="false" customHeight="false" outlineLevel="0" collapsed="false">
      <c r="B6585" s="7" t="s">
        <v>21231</v>
      </c>
      <c r="C6585" s="7" t="s">
        <v>7082</v>
      </c>
      <c r="D6585" s="7" t="s">
        <v>395</v>
      </c>
      <c r="E6585" s="7" t="s">
        <v>156</v>
      </c>
      <c r="F6585" s="39" t="n">
        <v>45961</v>
      </c>
      <c r="G6585" s="41" t="n">
        <v>134.64</v>
      </c>
      <c r="H6585" s="39" t="n">
        <v>45981</v>
      </c>
      <c r="I6585" s="7" t="s">
        <v>14651</v>
      </c>
      <c r="J6585" s="8" t="str">
        <f aca="false">IF(I6585="Open",DATE(2025,12,31)-F6585,"-")</f>
        <v>-</v>
      </c>
    </row>
    <row r="6586" customFormat="false" ht="15" hidden="false" customHeight="false" outlineLevel="0" collapsed="false">
      <c r="B6586" s="7" t="s">
        <v>21232</v>
      </c>
      <c r="C6586" s="7" t="s">
        <v>7083</v>
      </c>
      <c r="D6586" s="7" t="s">
        <v>397</v>
      </c>
      <c r="E6586" s="7" t="s">
        <v>159</v>
      </c>
      <c r="F6586" s="39" t="n">
        <v>45961</v>
      </c>
      <c r="G6586" s="41" t="n">
        <v>136.35</v>
      </c>
      <c r="H6586" s="6" t="s">
        <v>182</v>
      </c>
      <c r="I6586" s="7" t="s">
        <v>19787</v>
      </c>
      <c r="J6586" s="8" t="n">
        <f aca="false">IF(I6586="Open",DATE(2025,12,31)-F6586,"-")</f>
        <v>61</v>
      </c>
    </row>
    <row r="6587" customFormat="false" ht="15" hidden="false" customHeight="false" outlineLevel="0" collapsed="false">
      <c r="B6587" s="7" t="s">
        <v>21233</v>
      </c>
      <c r="C6587" s="7" t="s">
        <v>7084</v>
      </c>
      <c r="D6587" s="7" t="s">
        <v>399</v>
      </c>
      <c r="E6587" s="7" t="s">
        <v>154</v>
      </c>
      <c r="F6587" s="39" t="n">
        <v>45961</v>
      </c>
      <c r="G6587" s="41" t="n">
        <v>82.15</v>
      </c>
      <c r="H6587" s="39" t="n">
        <v>46003</v>
      </c>
      <c r="I6587" s="7" t="s">
        <v>14651</v>
      </c>
      <c r="J6587" s="8" t="str">
        <f aca="false">IF(I6587="Open",DATE(2025,12,31)-F6587,"-")</f>
        <v>-</v>
      </c>
    </row>
    <row r="6588" customFormat="false" ht="15" hidden="false" customHeight="false" outlineLevel="0" collapsed="false">
      <c r="B6588" s="7" t="s">
        <v>21234</v>
      </c>
      <c r="C6588" s="7" t="s">
        <v>7085</v>
      </c>
      <c r="D6588" s="7" t="s">
        <v>401</v>
      </c>
      <c r="E6588" s="7" t="s">
        <v>156</v>
      </c>
      <c r="F6588" s="39" t="n">
        <v>45961</v>
      </c>
      <c r="G6588" s="41" t="n">
        <v>130.22</v>
      </c>
      <c r="H6588" s="39" t="n">
        <v>45979</v>
      </c>
      <c r="I6588" s="7" t="s">
        <v>14651</v>
      </c>
      <c r="J6588" s="8" t="str">
        <f aca="false">IF(I6588="Open",DATE(2025,12,31)-F6588,"-")</f>
        <v>-</v>
      </c>
    </row>
    <row r="6589" customFormat="false" ht="15" hidden="false" customHeight="false" outlineLevel="0" collapsed="false">
      <c r="B6589" s="7" t="s">
        <v>21235</v>
      </c>
      <c r="C6589" s="7" t="s">
        <v>7086</v>
      </c>
      <c r="D6589" s="7" t="s">
        <v>403</v>
      </c>
      <c r="E6589" s="7" t="s">
        <v>156</v>
      </c>
      <c r="F6589" s="39" t="n">
        <v>45961</v>
      </c>
      <c r="G6589" s="41" t="n">
        <v>144.16</v>
      </c>
      <c r="H6589" s="39" t="n">
        <v>45975</v>
      </c>
      <c r="I6589" s="7" t="s">
        <v>14651</v>
      </c>
      <c r="J6589" s="8" t="str">
        <f aca="false">IF(I6589="Open",DATE(2025,12,31)-F6589,"-")</f>
        <v>-</v>
      </c>
    </row>
    <row r="6590" customFormat="false" ht="15" hidden="false" customHeight="false" outlineLevel="0" collapsed="false">
      <c r="B6590" s="7" t="s">
        <v>21236</v>
      </c>
      <c r="C6590" s="7" t="s">
        <v>7087</v>
      </c>
      <c r="D6590" s="7" t="s">
        <v>407</v>
      </c>
      <c r="E6590" s="7" t="s">
        <v>159</v>
      </c>
      <c r="F6590" s="39" t="n">
        <v>45961</v>
      </c>
      <c r="G6590" s="41" t="n">
        <v>140.4</v>
      </c>
      <c r="H6590" s="39" t="n">
        <v>46005</v>
      </c>
      <c r="I6590" s="7" t="s">
        <v>14651</v>
      </c>
      <c r="J6590" s="8" t="str">
        <f aca="false">IF(I6590="Open",DATE(2025,12,31)-F6590,"-")</f>
        <v>-</v>
      </c>
    </row>
    <row r="6591" customFormat="false" ht="15" hidden="false" customHeight="false" outlineLevel="0" collapsed="false">
      <c r="B6591" s="7" t="s">
        <v>21237</v>
      </c>
      <c r="C6591" s="7" t="s">
        <v>7088</v>
      </c>
      <c r="D6591" s="7" t="s">
        <v>409</v>
      </c>
      <c r="E6591" s="7" t="s">
        <v>154</v>
      </c>
      <c r="F6591" s="39" t="n">
        <v>45961</v>
      </c>
      <c r="G6591" s="41" t="n">
        <v>91.16</v>
      </c>
      <c r="H6591" s="39" t="n">
        <v>46008</v>
      </c>
      <c r="I6591" s="7" t="s">
        <v>14651</v>
      </c>
      <c r="J6591" s="8" t="str">
        <f aca="false">IF(I6591="Open",DATE(2025,12,31)-F6591,"-")</f>
        <v>-</v>
      </c>
    </row>
    <row r="6592" customFormat="false" ht="15" hidden="false" customHeight="false" outlineLevel="0" collapsed="false">
      <c r="B6592" s="7" t="s">
        <v>21238</v>
      </c>
      <c r="C6592" s="7" t="s">
        <v>7089</v>
      </c>
      <c r="D6592" s="7" t="s">
        <v>411</v>
      </c>
      <c r="E6592" s="7" t="s">
        <v>154</v>
      </c>
      <c r="F6592" s="39" t="n">
        <v>45961</v>
      </c>
      <c r="G6592" s="41" t="n">
        <v>128.26</v>
      </c>
      <c r="H6592" s="6" t="s">
        <v>182</v>
      </c>
      <c r="I6592" s="7" t="s">
        <v>19787</v>
      </c>
      <c r="J6592" s="8" t="n">
        <f aca="false">IF(I6592="Open",DATE(2025,12,31)-F6592,"-")</f>
        <v>61</v>
      </c>
    </row>
    <row r="6593" customFormat="false" ht="15" hidden="false" customHeight="false" outlineLevel="0" collapsed="false">
      <c r="B6593" s="7" t="s">
        <v>21239</v>
      </c>
      <c r="C6593" s="7" t="s">
        <v>7090</v>
      </c>
      <c r="D6593" s="7" t="s">
        <v>288</v>
      </c>
      <c r="E6593" s="7" t="s">
        <v>156</v>
      </c>
      <c r="F6593" s="39" t="n">
        <v>45962</v>
      </c>
      <c r="G6593" s="41" t="n">
        <v>135.66</v>
      </c>
      <c r="H6593" s="39" t="n">
        <v>45970</v>
      </c>
      <c r="I6593" s="7" t="s">
        <v>14651</v>
      </c>
      <c r="J6593" s="8" t="str">
        <f aca="false">IF(I6593="Open",DATE(2025,12,31)-F6593,"-")</f>
        <v>-</v>
      </c>
    </row>
    <row r="6594" customFormat="false" ht="15" hidden="false" customHeight="false" outlineLevel="0" collapsed="false">
      <c r="B6594" s="7" t="s">
        <v>21240</v>
      </c>
      <c r="C6594" s="7" t="s">
        <v>7091</v>
      </c>
      <c r="D6594" s="7" t="s">
        <v>321</v>
      </c>
      <c r="E6594" s="7" t="s">
        <v>154</v>
      </c>
      <c r="F6594" s="39" t="n">
        <v>45962</v>
      </c>
      <c r="G6594" s="41" t="n">
        <v>116.33</v>
      </c>
      <c r="H6594" s="39" t="n">
        <v>46017</v>
      </c>
      <c r="I6594" s="7" t="s">
        <v>14651</v>
      </c>
      <c r="J6594" s="8" t="str">
        <f aca="false">IF(I6594="Open",DATE(2025,12,31)-F6594,"-")</f>
        <v>-</v>
      </c>
    </row>
    <row r="6595" customFormat="false" ht="15" hidden="false" customHeight="false" outlineLevel="0" collapsed="false">
      <c r="B6595" s="7" t="s">
        <v>21241</v>
      </c>
      <c r="C6595" s="7" t="s">
        <v>7092</v>
      </c>
      <c r="D6595" s="7" t="s">
        <v>359</v>
      </c>
      <c r="E6595" s="7" t="s">
        <v>156</v>
      </c>
      <c r="F6595" s="39" t="n">
        <v>45962</v>
      </c>
      <c r="G6595" s="41" t="n">
        <v>124.78</v>
      </c>
      <c r="H6595" s="39" t="n">
        <v>45974</v>
      </c>
      <c r="I6595" s="7" t="s">
        <v>14651</v>
      </c>
      <c r="J6595" s="8" t="str">
        <f aca="false">IF(I6595="Open",DATE(2025,12,31)-F6595,"-")</f>
        <v>-</v>
      </c>
    </row>
    <row r="6596" customFormat="false" ht="15" hidden="false" customHeight="false" outlineLevel="0" collapsed="false">
      <c r="B6596" s="7" t="s">
        <v>21242</v>
      </c>
      <c r="C6596" s="7" t="s">
        <v>7093</v>
      </c>
      <c r="D6596" s="7" t="s">
        <v>387</v>
      </c>
      <c r="E6596" s="7" t="s">
        <v>154</v>
      </c>
      <c r="F6596" s="39" t="n">
        <v>45962</v>
      </c>
      <c r="G6596" s="41" t="n">
        <v>98.58</v>
      </c>
      <c r="H6596" s="39" t="n">
        <v>45994</v>
      </c>
      <c r="I6596" s="7" t="s">
        <v>14651</v>
      </c>
      <c r="J6596" s="8" t="str">
        <f aca="false">IF(I6596="Open",DATE(2025,12,31)-F6596,"-")</f>
        <v>-</v>
      </c>
    </row>
    <row r="6597" customFormat="false" ht="15" hidden="false" customHeight="false" outlineLevel="0" collapsed="false">
      <c r="B6597" s="7" t="s">
        <v>21243</v>
      </c>
      <c r="C6597" s="7" t="s">
        <v>7094</v>
      </c>
      <c r="D6597" s="7" t="s">
        <v>391</v>
      </c>
      <c r="E6597" s="7" t="s">
        <v>156</v>
      </c>
      <c r="F6597" s="39" t="n">
        <v>45962</v>
      </c>
      <c r="G6597" s="41" t="n">
        <v>145.18</v>
      </c>
      <c r="H6597" s="39" t="n">
        <v>45981</v>
      </c>
      <c r="I6597" s="7" t="s">
        <v>14651</v>
      </c>
      <c r="J6597" s="8" t="str">
        <f aca="false">IF(I6597="Open",DATE(2025,12,31)-F6597,"-")</f>
        <v>-</v>
      </c>
    </row>
    <row r="6598" customFormat="false" ht="15" hidden="false" customHeight="false" outlineLevel="0" collapsed="false">
      <c r="B6598" s="7" t="s">
        <v>21244</v>
      </c>
      <c r="C6598" s="7" t="s">
        <v>7095</v>
      </c>
      <c r="D6598" s="7" t="s">
        <v>395</v>
      </c>
      <c r="E6598" s="7" t="s">
        <v>156</v>
      </c>
      <c r="F6598" s="39" t="n">
        <v>45962</v>
      </c>
      <c r="G6598" s="41" t="n">
        <v>127.84</v>
      </c>
      <c r="H6598" s="39" t="n">
        <v>45976</v>
      </c>
      <c r="I6598" s="7" t="s">
        <v>14651</v>
      </c>
      <c r="J6598" s="8" t="str">
        <f aca="false">IF(I6598="Open",DATE(2025,12,31)-F6598,"-")</f>
        <v>-</v>
      </c>
    </row>
    <row r="6599" customFormat="false" ht="15" hidden="false" customHeight="false" outlineLevel="0" collapsed="false">
      <c r="B6599" s="7" t="s">
        <v>21245</v>
      </c>
      <c r="C6599" s="7" t="s">
        <v>7096</v>
      </c>
      <c r="D6599" s="7" t="s">
        <v>401</v>
      </c>
      <c r="E6599" s="7" t="s">
        <v>156</v>
      </c>
      <c r="F6599" s="39" t="n">
        <v>45962</v>
      </c>
      <c r="G6599" s="41" t="n">
        <v>123.42</v>
      </c>
      <c r="H6599" s="39" t="n">
        <v>45974</v>
      </c>
      <c r="I6599" s="7" t="s">
        <v>14651</v>
      </c>
      <c r="J6599" s="8" t="str">
        <f aca="false">IF(I6599="Open",DATE(2025,12,31)-F6599,"-")</f>
        <v>-</v>
      </c>
    </row>
    <row r="6600" customFormat="false" ht="15" hidden="false" customHeight="false" outlineLevel="0" collapsed="false">
      <c r="B6600" s="7" t="s">
        <v>21246</v>
      </c>
      <c r="C6600" s="7" t="s">
        <v>7097</v>
      </c>
      <c r="D6600" s="7" t="s">
        <v>288</v>
      </c>
      <c r="E6600" s="7" t="s">
        <v>156</v>
      </c>
      <c r="F6600" s="39" t="n">
        <v>45963</v>
      </c>
      <c r="G6600" s="41" t="n">
        <v>130.56</v>
      </c>
      <c r="H6600" s="39" t="n">
        <v>45969</v>
      </c>
      <c r="I6600" s="7" t="s">
        <v>14651</v>
      </c>
      <c r="J6600" s="8" t="str">
        <f aca="false">IF(I6600="Open",DATE(2025,12,31)-F6600,"-")</f>
        <v>-</v>
      </c>
    </row>
    <row r="6601" customFormat="false" ht="15" hidden="false" customHeight="false" outlineLevel="0" collapsed="false">
      <c r="B6601" s="7" t="s">
        <v>21247</v>
      </c>
      <c r="C6601" s="7" t="s">
        <v>7098</v>
      </c>
      <c r="D6601" s="7" t="s">
        <v>321</v>
      </c>
      <c r="E6601" s="7" t="s">
        <v>154</v>
      </c>
      <c r="F6601" s="39" t="n">
        <v>45963</v>
      </c>
      <c r="G6601" s="41" t="n">
        <v>101.5</v>
      </c>
      <c r="H6601" s="6" t="s">
        <v>182</v>
      </c>
      <c r="I6601" s="7" t="s">
        <v>19787</v>
      </c>
      <c r="J6601" s="8" t="n">
        <f aca="false">IF(I6601="Open",DATE(2025,12,31)-F6601,"-")</f>
        <v>59</v>
      </c>
    </row>
    <row r="6602" customFormat="false" ht="15" hidden="false" customHeight="false" outlineLevel="0" collapsed="false">
      <c r="B6602" s="7" t="s">
        <v>21248</v>
      </c>
      <c r="C6602" s="7" t="s">
        <v>7099</v>
      </c>
      <c r="D6602" s="7" t="s">
        <v>359</v>
      </c>
      <c r="E6602" s="7" t="s">
        <v>156</v>
      </c>
      <c r="F6602" s="39" t="n">
        <v>45963</v>
      </c>
      <c r="G6602" s="41" t="n">
        <v>135.66</v>
      </c>
      <c r="H6602" s="39" t="n">
        <v>45973</v>
      </c>
      <c r="I6602" s="7" t="s">
        <v>14651</v>
      </c>
      <c r="J6602" s="8" t="str">
        <f aca="false">IF(I6602="Open",DATE(2025,12,31)-F6602,"-")</f>
        <v>-</v>
      </c>
    </row>
    <row r="6603" customFormat="false" ht="15" hidden="false" customHeight="false" outlineLevel="0" collapsed="false">
      <c r="B6603" s="7" t="s">
        <v>21249</v>
      </c>
      <c r="C6603" s="7" t="s">
        <v>7100</v>
      </c>
      <c r="D6603" s="7" t="s">
        <v>387</v>
      </c>
      <c r="E6603" s="7" t="s">
        <v>154</v>
      </c>
      <c r="F6603" s="39" t="n">
        <v>45963</v>
      </c>
      <c r="G6603" s="41" t="n">
        <v>98.05</v>
      </c>
      <c r="H6603" s="6" t="s">
        <v>182</v>
      </c>
      <c r="I6603" s="7" t="s">
        <v>19787</v>
      </c>
      <c r="J6603" s="8" t="n">
        <f aca="false">IF(I6603="Open",DATE(2025,12,31)-F6603,"-")</f>
        <v>59</v>
      </c>
    </row>
    <row r="6604" customFormat="false" ht="15" hidden="false" customHeight="false" outlineLevel="0" collapsed="false">
      <c r="B6604" s="7" t="s">
        <v>21250</v>
      </c>
      <c r="C6604" s="7" t="s">
        <v>7101</v>
      </c>
      <c r="D6604" s="7" t="s">
        <v>391</v>
      </c>
      <c r="E6604" s="7" t="s">
        <v>156</v>
      </c>
      <c r="F6604" s="39" t="n">
        <v>45963</v>
      </c>
      <c r="G6604" s="41" t="n">
        <v>147.56</v>
      </c>
      <c r="H6604" s="39" t="n">
        <v>45973</v>
      </c>
      <c r="I6604" s="7" t="s">
        <v>14651</v>
      </c>
      <c r="J6604" s="8" t="str">
        <f aca="false">IF(I6604="Open",DATE(2025,12,31)-F6604,"-")</f>
        <v>-</v>
      </c>
    </row>
    <row r="6605" customFormat="false" ht="15" hidden="false" customHeight="false" outlineLevel="0" collapsed="false">
      <c r="B6605" s="7" t="s">
        <v>21251</v>
      </c>
      <c r="C6605" s="7" t="s">
        <v>7102</v>
      </c>
      <c r="D6605" s="7" t="s">
        <v>395</v>
      </c>
      <c r="E6605" s="7" t="s">
        <v>156</v>
      </c>
      <c r="F6605" s="39" t="n">
        <v>45963</v>
      </c>
      <c r="G6605" s="41" t="n">
        <v>135.32</v>
      </c>
      <c r="H6605" s="39" t="n">
        <v>45983</v>
      </c>
      <c r="I6605" s="7" t="s">
        <v>14651</v>
      </c>
      <c r="J6605" s="8" t="str">
        <f aca="false">IF(I6605="Open",DATE(2025,12,31)-F6605,"-")</f>
        <v>-</v>
      </c>
    </row>
    <row r="6606" customFormat="false" ht="15" hidden="false" customHeight="false" outlineLevel="0" collapsed="false">
      <c r="B6606" s="7" t="s">
        <v>21252</v>
      </c>
      <c r="C6606" s="7" t="s">
        <v>7103</v>
      </c>
      <c r="D6606" s="7" t="s">
        <v>401</v>
      </c>
      <c r="E6606" s="7" t="s">
        <v>156</v>
      </c>
      <c r="F6606" s="39" t="n">
        <v>45963</v>
      </c>
      <c r="G6606" s="41" t="n">
        <v>139.06</v>
      </c>
      <c r="H6606" s="39" t="n">
        <v>45984</v>
      </c>
      <c r="I6606" s="7" t="s">
        <v>14651</v>
      </c>
      <c r="J6606" s="8" t="str">
        <f aca="false">IF(I6606="Open",DATE(2025,12,31)-F6606,"-")</f>
        <v>-</v>
      </c>
    </row>
    <row r="6607" customFormat="false" ht="15" hidden="false" customHeight="false" outlineLevel="0" collapsed="false">
      <c r="B6607" s="7" t="s">
        <v>21253</v>
      </c>
      <c r="C6607" s="7" t="s">
        <v>7104</v>
      </c>
      <c r="D6607" s="7" t="s">
        <v>288</v>
      </c>
      <c r="E6607" s="7" t="s">
        <v>156</v>
      </c>
      <c r="F6607" s="39" t="n">
        <v>45964</v>
      </c>
      <c r="G6607" s="41" t="n">
        <v>148.92</v>
      </c>
      <c r="H6607" s="39" t="n">
        <v>45979</v>
      </c>
      <c r="I6607" s="7" t="s">
        <v>14651</v>
      </c>
      <c r="J6607" s="8" t="str">
        <f aca="false">IF(I6607="Open",DATE(2025,12,31)-F6607,"-")</f>
        <v>-</v>
      </c>
    </row>
    <row r="6608" customFormat="false" ht="15" hidden="false" customHeight="false" outlineLevel="0" collapsed="false">
      <c r="B6608" s="7" t="s">
        <v>21254</v>
      </c>
      <c r="C6608" s="7" t="s">
        <v>7105</v>
      </c>
      <c r="D6608" s="7" t="s">
        <v>291</v>
      </c>
      <c r="E6608" s="7" t="s">
        <v>154</v>
      </c>
      <c r="F6608" s="39" t="n">
        <v>45964</v>
      </c>
      <c r="G6608" s="41" t="n">
        <v>128.52</v>
      </c>
      <c r="H6608" s="39" t="n">
        <v>46002</v>
      </c>
      <c r="I6608" s="7" t="s">
        <v>14651</v>
      </c>
      <c r="J6608" s="8" t="str">
        <f aca="false">IF(I6608="Open",DATE(2025,12,31)-F6608,"-")</f>
        <v>-</v>
      </c>
    </row>
    <row r="6609" customFormat="false" ht="15" hidden="false" customHeight="false" outlineLevel="0" collapsed="false">
      <c r="B6609" s="7" t="s">
        <v>21255</v>
      </c>
      <c r="C6609" s="7" t="s">
        <v>7106</v>
      </c>
      <c r="D6609" s="7" t="s">
        <v>295</v>
      </c>
      <c r="E6609" s="7" t="s">
        <v>154</v>
      </c>
      <c r="F6609" s="39" t="n">
        <v>45964</v>
      </c>
      <c r="G6609" s="41" t="n">
        <v>106.8</v>
      </c>
      <c r="H6609" s="39" t="n">
        <v>46012</v>
      </c>
      <c r="I6609" s="7" t="s">
        <v>14651</v>
      </c>
      <c r="J6609" s="8" t="str">
        <f aca="false">IF(I6609="Open",DATE(2025,12,31)-F6609,"-")</f>
        <v>-</v>
      </c>
    </row>
    <row r="6610" customFormat="false" ht="15" hidden="false" customHeight="false" outlineLevel="0" collapsed="false">
      <c r="B6610" s="7" t="s">
        <v>21256</v>
      </c>
      <c r="C6610" s="7" t="s">
        <v>7107</v>
      </c>
      <c r="D6610" s="7" t="s">
        <v>297</v>
      </c>
      <c r="E6610" s="7" t="s">
        <v>156</v>
      </c>
      <c r="F6610" s="39" t="n">
        <v>45964</v>
      </c>
      <c r="G6610" s="41" t="n">
        <v>99.62</v>
      </c>
      <c r="H6610" s="39" t="n">
        <v>45977</v>
      </c>
      <c r="I6610" s="7" t="s">
        <v>14651</v>
      </c>
      <c r="J6610" s="8" t="str">
        <f aca="false">IF(I6610="Open",DATE(2025,12,31)-F6610,"-")</f>
        <v>-</v>
      </c>
    </row>
    <row r="6611" customFormat="false" ht="15" hidden="false" customHeight="false" outlineLevel="0" collapsed="false">
      <c r="B6611" s="7" t="s">
        <v>21257</v>
      </c>
      <c r="C6611" s="7" t="s">
        <v>7108</v>
      </c>
      <c r="D6611" s="7" t="s">
        <v>299</v>
      </c>
      <c r="E6611" s="7" t="s">
        <v>154</v>
      </c>
      <c r="F6611" s="39" t="n">
        <v>45964</v>
      </c>
      <c r="G6611" s="41" t="n">
        <v>84.53</v>
      </c>
      <c r="H6611" s="39" t="n">
        <v>46019</v>
      </c>
      <c r="I6611" s="7" t="s">
        <v>14651</v>
      </c>
      <c r="J6611" s="8" t="str">
        <f aca="false">IF(I6611="Open",DATE(2025,12,31)-F6611,"-")</f>
        <v>-</v>
      </c>
    </row>
    <row r="6612" customFormat="false" ht="15" hidden="false" customHeight="false" outlineLevel="0" collapsed="false">
      <c r="B6612" s="7" t="s">
        <v>21258</v>
      </c>
      <c r="C6612" s="7" t="s">
        <v>7109</v>
      </c>
      <c r="D6612" s="7" t="s">
        <v>303</v>
      </c>
      <c r="E6612" s="7" t="s">
        <v>154</v>
      </c>
      <c r="F6612" s="39" t="n">
        <v>45964</v>
      </c>
      <c r="G6612" s="41" t="n">
        <v>95.4</v>
      </c>
      <c r="H6612" s="6" t="s">
        <v>182</v>
      </c>
      <c r="I6612" s="7" t="s">
        <v>19787</v>
      </c>
      <c r="J6612" s="8" t="n">
        <f aca="false">IF(I6612="Open",DATE(2025,12,31)-F6612,"-")</f>
        <v>58</v>
      </c>
    </row>
    <row r="6613" customFormat="false" ht="15" hidden="false" customHeight="false" outlineLevel="0" collapsed="false">
      <c r="B6613" s="7" t="s">
        <v>21259</v>
      </c>
      <c r="C6613" s="7" t="s">
        <v>7110</v>
      </c>
      <c r="D6613" s="7" t="s">
        <v>305</v>
      </c>
      <c r="E6613" s="7" t="s">
        <v>154</v>
      </c>
      <c r="F6613" s="39" t="n">
        <v>45964</v>
      </c>
      <c r="G6613" s="41" t="n">
        <v>110.77</v>
      </c>
      <c r="H6613" s="39" t="n">
        <v>46008</v>
      </c>
      <c r="I6613" s="7" t="s">
        <v>14651</v>
      </c>
      <c r="J6613" s="8" t="str">
        <f aca="false">IF(I6613="Open",DATE(2025,12,31)-F6613,"-")</f>
        <v>-</v>
      </c>
    </row>
    <row r="6614" customFormat="false" ht="15" hidden="false" customHeight="false" outlineLevel="0" collapsed="false">
      <c r="B6614" s="7" t="s">
        <v>21260</v>
      </c>
      <c r="C6614" s="7" t="s">
        <v>7111</v>
      </c>
      <c r="D6614" s="7" t="s">
        <v>307</v>
      </c>
      <c r="E6614" s="7" t="s">
        <v>157</v>
      </c>
      <c r="F6614" s="39" t="n">
        <v>45964</v>
      </c>
      <c r="G6614" s="41" t="n">
        <v>176.55</v>
      </c>
      <c r="H6614" s="39" t="n">
        <v>46003</v>
      </c>
      <c r="I6614" s="7" t="s">
        <v>14651</v>
      </c>
      <c r="J6614" s="8" t="str">
        <f aca="false">IF(I6614="Open",DATE(2025,12,31)-F6614,"-")</f>
        <v>-</v>
      </c>
    </row>
    <row r="6615" customFormat="false" ht="15" hidden="false" customHeight="false" outlineLevel="0" collapsed="false">
      <c r="B6615" s="7" t="s">
        <v>21261</v>
      </c>
      <c r="C6615" s="7" t="s">
        <v>7112</v>
      </c>
      <c r="D6615" s="7" t="s">
        <v>309</v>
      </c>
      <c r="E6615" s="7" t="s">
        <v>159</v>
      </c>
      <c r="F6615" s="39" t="n">
        <v>45964</v>
      </c>
      <c r="G6615" s="41" t="n">
        <v>137.7</v>
      </c>
      <c r="H6615" s="6" t="s">
        <v>182</v>
      </c>
      <c r="I6615" s="7" t="s">
        <v>19787</v>
      </c>
      <c r="J6615" s="8" t="n">
        <f aca="false">IF(I6615="Open",DATE(2025,12,31)-F6615,"-")</f>
        <v>58</v>
      </c>
    </row>
    <row r="6616" customFormat="false" ht="15" hidden="false" customHeight="false" outlineLevel="0" collapsed="false">
      <c r="B6616" s="7" t="s">
        <v>21262</v>
      </c>
      <c r="C6616" s="7" t="s">
        <v>7113</v>
      </c>
      <c r="D6616" s="7" t="s">
        <v>311</v>
      </c>
      <c r="E6616" s="7" t="s">
        <v>154</v>
      </c>
      <c r="F6616" s="39" t="n">
        <v>45964</v>
      </c>
      <c r="G6616" s="41" t="n">
        <v>79.69</v>
      </c>
      <c r="H6616" s="39" t="n">
        <v>46010</v>
      </c>
      <c r="I6616" s="7" t="s">
        <v>14651</v>
      </c>
      <c r="J6616" s="8" t="str">
        <f aca="false">IF(I6616="Open",DATE(2025,12,31)-F6616,"-")</f>
        <v>-</v>
      </c>
    </row>
    <row r="6617" customFormat="false" ht="15" hidden="false" customHeight="false" outlineLevel="0" collapsed="false">
      <c r="B6617" s="7" t="s">
        <v>21263</v>
      </c>
      <c r="C6617" s="7" t="s">
        <v>7114</v>
      </c>
      <c r="D6617" s="7" t="s">
        <v>313</v>
      </c>
      <c r="E6617" s="7" t="s">
        <v>156</v>
      </c>
      <c r="F6617" s="39" t="n">
        <v>45964</v>
      </c>
      <c r="G6617" s="41" t="n">
        <v>135.66</v>
      </c>
      <c r="H6617" s="39" t="n">
        <v>45979</v>
      </c>
      <c r="I6617" s="7" t="s">
        <v>14651</v>
      </c>
      <c r="J6617" s="8" t="str">
        <f aca="false">IF(I6617="Open",DATE(2025,12,31)-F6617,"-")</f>
        <v>-</v>
      </c>
    </row>
    <row r="6618" customFormat="false" ht="15" hidden="false" customHeight="false" outlineLevel="0" collapsed="false">
      <c r="B6618" s="7" t="s">
        <v>21264</v>
      </c>
      <c r="C6618" s="7" t="s">
        <v>7115</v>
      </c>
      <c r="D6618" s="7" t="s">
        <v>315</v>
      </c>
      <c r="E6618" s="7" t="s">
        <v>159</v>
      </c>
      <c r="F6618" s="39" t="n">
        <v>45964</v>
      </c>
      <c r="G6618" s="41" t="n">
        <v>121.5</v>
      </c>
      <c r="H6618" s="39" t="n">
        <v>46009</v>
      </c>
      <c r="I6618" s="7" t="s">
        <v>14651</v>
      </c>
      <c r="J6618" s="8" t="str">
        <f aca="false">IF(I6618="Open",DATE(2025,12,31)-F6618,"-")</f>
        <v>-</v>
      </c>
    </row>
    <row r="6619" customFormat="false" ht="15" hidden="false" customHeight="false" outlineLevel="0" collapsed="false">
      <c r="B6619" s="7" t="s">
        <v>21265</v>
      </c>
      <c r="C6619" s="7" t="s">
        <v>7116</v>
      </c>
      <c r="D6619" s="7" t="s">
        <v>317</v>
      </c>
      <c r="E6619" s="7" t="s">
        <v>156</v>
      </c>
      <c r="F6619" s="39" t="n">
        <v>45964</v>
      </c>
      <c r="G6619" s="41" t="n">
        <v>92.14</v>
      </c>
      <c r="H6619" s="39" t="n">
        <v>45969</v>
      </c>
      <c r="I6619" s="7" t="s">
        <v>14651</v>
      </c>
      <c r="J6619" s="8" t="str">
        <f aca="false">IF(I6619="Open",DATE(2025,12,31)-F6619,"-")</f>
        <v>-</v>
      </c>
    </row>
    <row r="6620" customFormat="false" ht="15" hidden="false" customHeight="false" outlineLevel="0" collapsed="false">
      <c r="B6620" s="7" t="s">
        <v>21266</v>
      </c>
      <c r="C6620" s="7" t="s">
        <v>7117</v>
      </c>
      <c r="D6620" s="7" t="s">
        <v>325</v>
      </c>
      <c r="E6620" s="7" t="s">
        <v>154</v>
      </c>
      <c r="F6620" s="39" t="n">
        <v>45964</v>
      </c>
      <c r="G6620" s="41" t="n">
        <v>78.65</v>
      </c>
      <c r="H6620" s="39" t="n">
        <v>46015</v>
      </c>
      <c r="I6620" s="7" t="s">
        <v>14651</v>
      </c>
      <c r="J6620" s="8" t="str">
        <f aca="false">IF(I6620="Open",DATE(2025,12,31)-F6620,"-")</f>
        <v>-</v>
      </c>
    </row>
    <row r="6621" customFormat="false" ht="15" hidden="false" customHeight="false" outlineLevel="0" collapsed="false">
      <c r="B6621" s="7" t="s">
        <v>21267</v>
      </c>
      <c r="C6621" s="7" t="s">
        <v>7118</v>
      </c>
      <c r="D6621" s="7" t="s">
        <v>329</v>
      </c>
      <c r="E6621" s="7" t="s">
        <v>156</v>
      </c>
      <c r="F6621" s="39" t="n">
        <v>45964</v>
      </c>
      <c r="G6621" s="41" t="n">
        <v>124.78</v>
      </c>
      <c r="H6621" s="39" t="n">
        <v>45975</v>
      </c>
      <c r="I6621" s="7" t="s">
        <v>14651</v>
      </c>
      <c r="J6621" s="8" t="str">
        <f aca="false">IF(I6621="Open",DATE(2025,12,31)-F6621,"-")</f>
        <v>-</v>
      </c>
    </row>
    <row r="6622" customFormat="false" ht="15" hidden="false" customHeight="false" outlineLevel="0" collapsed="false">
      <c r="B6622" s="7" t="s">
        <v>21268</v>
      </c>
      <c r="C6622" s="7" t="s">
        <v>7119</v>
      </c>
      <c r="D6622" s="7" t="s">
        <v>331</v>
      </c>
      <c r="E6622" s="7" t="s">
        <v>156</v>
      </c>
      <c r="F6622" s="39" t="n">
        <v>45964</v>
      </c>
      <c r="G6622" s="41" t="n">
        <v>138.38</v>
      </c>
      <c r="H6622" s="39" t="n">
        <v>45974</v>
      </c>
      <c r="I6622" s="7" t="s">
        <v>14651</v>
      </c>
      <c r="J6622" s="8" t="str">
        <f aca="false">IF(I6622="Open",DATE(2025,12,31)-F6622,"-")</f>
        <v>-</v>
      </c>
    </row>
    <row r="6623" customFormat="false" ht="15" hidden="false" customHeight="false" outlineLevel="0" collapsed="false">
      <c r="B6623" s="7" t="s">
        <v>21269</v>
      </c>
      <c r="C6623" s="7" t="s">
        <v>7120</v>
      </c>
      <c r="D6623" s="7" t="s">
        <v>333</v>
      </c>
      <c r="E6623" s="7" t="s">
        <v>154</v>
      </c>
      <c r="F6623" s="39" t="n">
        <v>45964</v>
      </c>
      <c r="G6623" s="41" t="n">
        <v>96.19</v>
      </c>
      <c r="H6623" s="39" t="n">
        <v>46011</v>
      </c>
      <c r="I6623" s="7" t="s">
        <v>14651</v>
      </c>
      <c r="J6623" s="8" t="str">
        <f aca="false">IF(I6623="Open",DATE(2025,12,31)-F6623,"-")</f>
        <v>-</v>
      </c>
    </row>
    <row r="6624" customFormat="false" ht="15" hidden="false" customHeight="false" outlineLevel="0" collapsed="false">
      <c r="B6624" s="7" t="s">
        <v>21270</v>
      </c>
      <c r="C6624" s="7" t="s">
        <v>7121</v>
      </c>
      <c r="D6624" s="7" t="s">
        <v>335</v>
      </c>
      <c r="E6624" s="7" t="s">
        <v>154</v>
      </c>
      <c r="F6624" s="39" t="n">
        <v>45964</v>
      </c>
      <c r="G6624" s="41" t="n">
        <v>103.35</v>
      </c>
      <c r="H6624" s="6" t="s">
        <v>182</v>
      </c>
      <c r="I6624" s="7" t="s">
        <v>19787</v>
      </c>
      <c r="J6624" s="8" t="n">
        <f aca="false">IF(I6624="Open",DATE(2025,12,31)-F6624,"-")</f>
        <v>58</v>
      </c>
    </row>
    <row r="6625" customFormat="false" ht="15" hidden="false" customHeight="false" outlineLevel="0" collapsed="false">
      <c r="B6625" s="7" t="s">
        <v>21271</v>
      </c>
      <c r="C6625" s="7" t="s">
        <v>7122</v>
      </c>
      <c r="D6625" s="7" t="s">
        <v>339</v>
      </c>
      <c r="E6625" s="7" t="s">
        <v>154</v>
      </c>
      <c r="F6625" s="39" t="n">
        <v>45964</v>
      </c>
      <c r="G6625" s="41" t="n">
        <v>91.69</v>
      </c>
      <c r="H6625" s="6" t="s">
        <v>182</v>
      </c>
      <c r="I6625" s="7" t="s">
        <v>19787</v>
      </c>
      <c r="J6625" s="8" t="n">
        <f aca="false">IF(I6625="Open",DATE(2025,12,31)-F6625,"-")</f>
        <v>58</v>
      </c>
    </row>
    <row r="6626" customFormat="false" ht="15" hidden="false" customHeight="false" outlineLevel="0" collapsed="false">
      <c r="B6626" s="7" t="s">
        <v>21272</v>
      </c>
      <c r="C6626" s="7" t="s">
        <v>7123</v>
      </c>
      <c r="D6626" s="7" t="s">
        <v>341</v>
      </c>
      <c r="E6626" s="7" t="s">
        <v>156</v>
      </c>
      <c r="F6626" s="39" t="n">
        <v>45964</v>
      </c>
      <c r="G6626" s="41" t="n">
        <v>107.1</v>
      </c>
      <c r="H6626" s="39" t="n">
        <v>45970</v>
      </c>
      <c r="I6626" s="7" t="s">
        <v>14651</v>
      </c>
      <c r="J6626" s="8" t="str">
        <f aca="false">IF(I6626="Open",DATE(2025,12,31)-F6626,"-")</f>
        <v>-</v>
      </c>
    </row>
    <row r="6627" customFormat="false" ht="15" hidden="false" customHeight="false" outlineLevel="0" collapsed="false">
      <c r="B6627" s="7" t="s">
        <v>21273</v>
      </c>
      <c r="C6627" s="7" t="s">
        <v>7124</v>
      </c>
      <c r="D6627" s="7" t="s">
        <v>343</v>
      </c>
      <c r="E6627" s="7" t="s">
        <v>154</v>
      </c>
      <c r="F6627" s="39" t="n">
        <v>45964</v>
      </c>
      <c r="G6627" s="41" t="n">
        <v>95.66</v>
      </c>
      <c r="H6627" s="39" t="n">
        <v>46015</v>
      </c>
      <c r="I6627" s="7" t="s">
        <v>14651</v>
      </c>
      <c r="J6627" s="8" t="str">
        <f aca="false">IF(I6627="Open",DATE(2025,12,31)-F6627,"-")</f>
        <v>-</v>
      </c>
    </row>
    <row r="6628" customFormat="false" ht="15" hidden="false" customHeight="false" outlineLevel="0" collapsed="false">
      <c r="B6628" s="7" t="s">
        <v>21274</v>
      </c>
      <c r="C6628" s="7" t="s">
        <v>7125</v>
      </c>
      <c r="D6628" s="7" t="s">
        <v>347</v>
      </c>
      <c r="E6628" s="7" t="s">
        <v>154</v>
      </c>
      <c r="F6628" s="39" t="n">
        <v>45964</v>
      </c>
      <c r="G6628" s="41" t="n">
        <v>119.78</v>
      </c>
      <c r="H6628" s="39" t="n">
        <v>46006</v>
      </c>
      <c r="I6628" s="7" t="s">
        <v>14651</v>
      </c>
      <c r="J6628" s="8" t="str">
        <f aca="false">IF(I6628="Open",DATE(2025,12,31)-F6628,"-")</f>
        <v>-</v>
      </c>
    </row>
    <row r="6629" customFormat="false" ht="15" hidden="false" customHeight="false" outlineLevel="0" collapsed="false">
      <c r="B6629" s="7" t="s">
        <v>21275</v>
      </c>
      <c r="C6629" s="7" t="s">
        <v>7126</v>
      </c>
      <c r="D6629" s="7" t="s">
        <v>349</v>
      </c>
      <c r="E6629" s="7" t="s">
        <v>154</v>
      </c>
      <c r="F6629" s="39" t="n">
        <v>45964</v>
      </c>
      <c r="G6629" s="41" t="n">
        <v>109.98</v>
      </c>
      <c r="H6629" s="6" t="s">
        <v>182</v>
      </c>
      <c r="I6629" s="7" t="s">
        <v>19787</v>
      </c>
      <c r="J6629" s="8" t="n">
        <f aca="false">IF(I6629="Open",DATE(2025,12,31)-F6629,"-")</f>
        <v>58</v>
      </c>
    </row>
    <row r="6630" customFormat="false" ht="15" hidden="false" customHeight="false" outlineLevel="0" collapsed="false">
      <c r="B6630" s="7" t="s">
        <v>21276</v>
      </c>
      <c r="C6630" s="7" t="s">
        <v>7127</v>
      </c>
      <c r="D6630" s="7" t="s">
        <v>351</v>
      </c>
      <c r="E6630" s="7" t="s">
        <v>154</v>
      </c>
      <c r="F6630" s="39" t="n">
        <v>45964</v>
      </c>
      <c r="G6630" s="41" t="n">
        <v>74.73</v>
      </c>
      <c r="H6630" s="39" t="n">
        <v>46012</v>
      </c>
      <c r="I6630" s="7" t="s">
        <v>14651</v>
      </c>
      <c r="J6630" s="8" t="str">
        <f aca="false">IF(I6630="Open",DATE(2025,12,31)-F6630,"-")</f>
        <v>-</v>
      </c>
    </row>
    <row r="6631" customFormat="false" ht="15" hidden="false" customHeight="false" outlineLevel="0" collapsed="false">
      <c r="B6631" s="7" t="s">
        <v>21277</v>
      </c>
      <c r="C6631" s="7" t="s">
        <v>7128</v>
      </c>
      <c r="D6631" s="7" t="s">
        <v>353</v>
      </c>
      <c r="E6631" s="7" t="s">
        <v>154</v>
      </c>
      <c r="F6631" s="39" t="n">
        <v>45964</v>
      </c>
      <c r="G6631" s="41" t="n">
        <v>81.88</v>
      </c>
      <c r="H6631" s="39" t="n">
        <v>46022</v>
      </c>
      <c r="I6631" s="7" t="s">
        <v>14651</v>
      </c>
      <c r="J6631" s="8" t="str">
        <f aca="false">IF(I6631="Open",DATE(2025,12,31)-F6631,"-")</f>
        <v>-</v>
      </c>
    </row>
    <row r="6632" customFormat="false" ht="15" hidden="false" customHeight="false" outlineLevel="0" collapsed="false">
      <c r="B6632" s="7" t="s">
        <v>21278</v>
      </c>
      <c r="C6632" s="7" t="s">
        <v>7129</v>
      </c>
      <c r="D6632" s="7" t="s">
        <v>355</v>
      </c>
      <c r="E6632" s="7" t="s">
        <v>154</v>
      </c>
      <c r="F6632" s="39" t="n">
        <v>45964</v>
      </c>
      <c r="G6632" s="41" t="n">
        <v>96.99</v>
      </c>
      <c r="H6632" s="39" t="n">
        <v>46005</v>
      </c>
      <c r="I6632" s="7" t="s">
        <v>14651</v>
      </c>
      <c r="J6632" s="8" t="str">
        <f aca="false">IF(I6632="Open",DATE(2025,12,31)-F6632,"-")</f>
        <v>-</v>
      </c>
    </row>
    <row r="6633" customFormat="false" ht="15" hidden="false" customHeight="false" outlineLevel="0" collapsed="false">
      <c r="B6633" s="7" t="s">
        <v>21279</v>
      </c>
      <c r="C6633" s="7" t="s">
        <v>7130</v>
      </c>
      <c r="D6633" s="7" t="s">
        <v>357</v>
      </c>
      <c r="E6633" s="7" t="s">
        <v>154</v>
      </c>
      <c r="F6633" s="39" t="n">
        <v>45964</v>
      </c>
      <c r="G6633" s="41" t="n">
        <v>88.51</v>
      </c>
      <c r="H6633" s="6" t="s">
        <v>182</v>
      </c>
      <c r="I6633" s="7" t="s">
        <v>19787</v>
      </c>
      <c r="J6633" s="8" t="n">
        <f aca="false">IF(I6633="Open",DATE(2025,12,31)-F6633,"-")</f>
        <v>58</v>
      </c>
    </row>
    <row r="6634" customFormat="false" ht="15" hidden="false" customHeight="false" outlineLevel="0" collapsed="false">
      <c r="B6634" s="7" t="s">
        <v>21280</v>
      </c>
      <c r="C6634" s="7" t="s">
        <v>7131</v>
      </c>
      <c r="D6634" s="7" t="s">
        <v>359</v>
      </c>
      <c r="E6634" s="7" t="s">
        <v>156</v>
      </c>
      <c r="F6634" s="39" t="n">
        <v>45964</v>
      </c>
      <c r="G6634" s="41" t="n">
        <v>145.18</v>
      </c>
      <c r="H6634" s="39" t="n">
        <v>45980</v>
      </c>
      <c r="I6634" s="7" t="s">
        <v>14651</v>
      </c>
      <c r="J6634" s="8" t="str">
        <f aca="false">IF(I6634="Open",DATE(2025,12,31)-F6634,"-")</f>
        <v>-</v>
      </c>
    </row>
    <row r="6635" customFormat="false" ht="15" hidden="false" customHeight="false" outlineLevel="0" collapsed="false">
      <c r="B6635" s="7" t="s">
        <v>21281</v>
      </c>
      <c r="C6635" s="7" t="s">
        <v>7132</v>
      </c>
      <c r="D6635" s="7" t="s">
        <v>363</v>
      </c>
      <c r="E6635" s="7" t="s">
        <v>156</v>
      </c>
      <c r="F6635" s="39" t="n">
        <v>45964</v>
      </c>
      <c r="G6635" s="41" t="n">
        <v>138.72</v>
      </c>
      <c r="H6635" s="39" t="n">
        <v>45979</v>
      </c>
      <c r="I6635" s="7" t="s">
        <v>14651</v>
      </c>
      <c r="J6635" s="8" t="str">
        <f aca="false">IF(I6635="Open",DATE(2025,12,31)-F6635,"-")</f>
        <v>-</v>
      </c>
    </row>
    <row r="6636" customFormat="false" ht="15" hidden="false" customHeight="false" outlineLevel="0" collapsed="false">
      <c r="B6636" s="7" t="s">
        <v>21282</v>
      </c>
      <c r="C6636" s="7" t="s">
        <v>7133</v>
      </c>
      <c r="D6636" s="7" t="s">
        <v>365</v>
      </c>
      <c r="E6636" s="7" t="s">
        <v>154</v>
      </c>
      <c r="F6636" s="39" t="n">
        <v>45964</v>
      </c>
      <c r="G6636" s="41" t="n">
        <v>108.12</v>
      </c>
      <c r="H6636" s="6" t="s">
        <v>182</v>
      </c>
      <c r="I6636" s="7" t="s">
        <v>19787</v>
      </c>
      <c r="J6636" s="8" t="n">
        <f aca="false">IF(I6636="Open",DATE(2025,12,31)-F6636,"-")</f>
        <v>58</v>
      </c>
    </row>
    <row r="6637" customFormat="false" ht="15" hidden="false" customHeight="false" outlineLevel="0" collapsed="false">
      <c r="B6637" s="7" t="s">
        <v>21283</v>
      </c>
      <c r="C6637" s="7" t="s">
        <v>7134</v>
      </c>
      <c r="D6637" s="7" t="s">
        <v>371</v>
      </c>
      <c r="E6637" s="7" t="s">
        <v>154</v>
      </c>
      <c r="F6637" s="39" t="n">
        <v>45964</v>
      </c>
      <c r="G6637" s="41" t="n">
        <v>110.8</v>
      </c>
      <c r="H6637" s="6" t="s">
        <v>182</v>
      </c>
      <c r="I6637" s="7" t="s">
        <v>19787</v>
      </c>
      <c r="J6637" s="8" t="n">
        <f aca="false">IF(I6637="Open",DATE(2025,12,31)-F6637,"-")</f>
        <v>58</v>
      </c>
    </row>
    <row r="6638" customFormat="false" ht="15" hidden="false" customHeight="false" outlineLevel="0" collapsed="false">
      <c r="B6638" s="7" t="s">
        <v>21284</v>
      </c>
      <c r="C6638" s="7" t="s">
        <v>7135</v>
      </c>
      <c r="D6638" s="7" t="s">
        <v>373</v>
      </c>
      <c r="E6638" s="7" t="s">
        <v>154</v>
      </c>
      <c r="F6638" s="39" t="n">
        <v>45964</v>
      </c>
      <c r="G6638" s="41" t="n">
        <v>94.34</v>
      </c>
      <c r="H6638" s="39" t="n">
        <v>46014</v>
      </c>
      <c r="I6638" s="7" t="s">
        <v>14651</v>
      </c>
      <c r="J6638" s="8" t="str">
        <f aca="false">IF(I6638="Open",DATE(2025,12,31)-F6638,"-")</f>
        <v>-</v>
      </c>
    </row>
    <row r="6639" customFormat="false" ht="15" hidden="false" customHeight="false" outlineLevel="0" collapsed="false">
      <c r="B6639" s="7" t="s">
        <v>21285</v>
      </c>
      <c r="C6639" s="7" t="s">
        <v>7136</v>
      </c>
      <c r="D6639" s="7" t="s">
        <v>375</v>
      </c>
      <c r="E6639" s="7" t="s">
        <v>156</v>
      </c>
      <c r="F6639" s="39" t="n">
        <v>45964</v>
      </c>
      <c r="G6639" s="41" t="n">
        <v>111.86</v>
      </c>
      <c r="H6639" s="39" t="n">
        <v>45978</v>
      </c>
      <c r="I6639" s="7" t="s">
        <v>14651</v>
      </c>
      <c r="J6639" s="8" t="str">
        <f aca="false">IF(I6639="Open",DATE(2025,12,31)-F6639,"-")</f>
        <v>-</v>
      </c>
    </row>
    <row r="6640" customFormat="false" ht="15" hidden="false" customHeight="false" outlineLevel="0" collapsed="false">
      <c r="B6640" s="7" t="s">
        <v>21286</v>
      </c>
      <c r="C6640" s="7" t="s">
        <v>7137</v>
      </c>
      <c r="D6640" s="7" t="s">
        <v>377</v>
      </c>
      <c r="E6640" s="7" t="s">
        <v>154</v>
      </c>
      <c r="F6640" s="39" t="n">
        <v>45964</v>
      </c>
      <c r="G6640" s="41" t="n">
        <v>96.65</v>
      </c>
      <c r="H6640" s="39" t="n">
        <v>46004</v>
      </c>
      <c r="I6640" s="7" t="s">
        <v>14651</v>
      </c>
      <c r="J6640" s="8" t="str">
        <f aca="false">IF(I6640="Open",DATE(2025,12,31)-F6640,"-")</f>
        <v>-</v>
      </c>
    </row>
    <row r="6641" customFormat="false" ht="15" hidden="false" customHeight="false" outlineLevel="0" collapsed="false">
      <c r="B6641" s="7" t="s">
        <v>21287</v>
      </c>
      <c r="C6641" s="7" t="s">
        <v>7138</v>
      </c>
      <c r="D6641" s="7" t="s">
        <v>379</v>
      </c>
      <c r="E6641" s="7" t="s">
        <v>156</v>
      </c>
      <c r="F6641" s="39" t="n">
        <v>45964</v>
      </c>
      <c r="G6641" s="41" t="n">
        <v>155.04</v>
      </c>
      <c r="H6641" s="39" t="n">
        <v>45976</v>
      </c>
      <c r="I6641" s="7" t="s">
        <v>14651</v>
      </c>
      <c r="J6641" s="8" t="str">
        <f aca="false">IF(I6641="Open",DATE(2025,12,31)-F6641,"-")</f>
        <v>-</v>
      </c>
    </row>
    <row r="6642" customFormat="false" ht="15" hidden="false" customHeight="false" outlineLevel="0" collapsed="false">
      <c r="B6642" s="7" t="s">
        <v>21288</v>
      </c>
      <c r="C6642" s="7" t="s">
        <v>7139</v>
      </c>
      <c r="D6642" s="7" t="s">
        <v>385</v>
      </c>
      <c r="E6642" s="7" t="s">
        <v>156</v>
      </c>
      <c r="F6642" s="39" t="n">
        <v>45964</v>
      </c>
      <c r="G6642" s="41" t="n">
        <v>129.88</v>
      </c>
      <c r="H6642" s="39" t="n">
        <v>45979</v>
      </c>
      <c r="I6642" s="7" t="s">
        <v>14651</v>
      </c>
      <c r="J6642" s="8" t="str">
        <f aca="false">IF(I6642="Open",DATE(2025,12,31)-F6642,"-")</f>
        <v>-</v>
      </c>
    </row>
    <row r="6643" customFormat="false" ht="15" hidden="false" customHeight="false" outlineLevel="0" collapsed="false">
      <c r="B6643" s="7" t="s">
        <v>21289</v>
      </c>
      <c r="C6643" s="7" t="s">
        <v>7140</v>
      </c>
      <c r="D6643" s="7" t="s">
        <v>387</v>
      </c>
      <c r="E6643" s="7" t="s">
        <v>154</v>
      </c>
      <c r="F6643" s="39" t="n">
        <v>45964</v>
      </c>
      <c r="G6643" s="41" t="n">
        <v>98.84</v>
      </c>
      <c r="H6643" s="6" t="s">
        <v>182</v>
      </c>
      <c r="I6643" s="7" t="s">
        <v>19787</v>
      </c>
      <c r="J6643" s="8" t="n">
        <f aca="false">IF(I6643="Open",DATE(2025,12,31)-F6643,"-")</f>
        <v>58</v>
      </c>
    </row>
    <row r="6644" customFormat="false" ht="15" hidden="false" customHeight="false" outlineLevel="0" collapsed="false">
      <c r="B6644" s="7" t="s">
        <v>21290</v>
      </c>
      <c r="C6644" s="7" t="s">
        <v>7141</v>
      </c>
      <c r="D6644" s="7" t="s">
        <v>389</v>
      </c>
      <c r="E6644" s="7" t="s">
        <v>154</v>
      </c>
      <c r="F6644" s="39" t="n">
        <v>45964</v>
      </c>
      <c r="G6644" s="41" t="n">
        <v>98.05</v>
      </c>
      <c r="H6644" s="6" t="s">
        <v>182</v>
      </c>
      <c r="I6644" s="7" t="s">
        <v>19787</v>
      </c>
      <c r="J6644" s="8" t="n">
        <f aca="false">IF(I6644="Open",DATE(2025,12,31)-F6644,"-")</f>
        <v>58</v>
      </c>
    </row>
    <row r="6645" customFormat="false" ht="15" hidden="false" customHeight="false" outlineLevel="0" collapsed="false">
      <c r="B6645" s="7" t="s">
        <v>21291</v>
      </c>
      <c r="C6645" s="7" t="s">
        <v>7142</v>
      </c>
      <c r="D6645" s="7" t="s">
        <v>391</v>
      </c>
      <c r="E6645" s="7" t="s">
        <v>156</v>
      </c>
      <c r="F6645" s="39" t="n">
        <v>45964</v>
      </c>
      <c r="G6645" s="41" t="n">
        <v>130.56</v>
      </c>
      <c r="H6645" s="39" t="n">
        <v>45977</v>
      </c>
      <c r="I6645" s="7" t="s">
        <v>14651</v>
      </c>
      <c r="J6645" s="8" t="str">
        <f aca="false">IF(I6645="Open",DATE(2025,12,31)-F6645,"-")</f>
        <v>-</v>
      </c>
    </row>
    <row r="6646" customFormat="false" ht="15" hidden="false" customHeight="false" outlineLevel="0" collapsed="false">
      <c r="B6646" s="7" t="s">
        <v>21292</v>
      </c>
      <c r="C6646" s="7" t="s">
        <v>7143</v>
      </c>
      <c r="D6646" s="7" t="s">
        <v>395</v>
      </c>
      <c r="E6646" s="7" t="s">
        <v>156</v>
      </c>
      <c r="F6646" s="39" t="n">
        <v>45964</v>
      </c>
      <c r="G6646" s="41" t="n">
        <v>149.26</v>
      </c>
      <c r="H6646" s="39" t="n">
        <v>45980</v>
      </c>
      <c r="I6646" s="7" t="s">
        <v>14651</v>
      </c>
      <c r="J6646" s="8" t="str">
        <f aca="false">IF(I6646="Open",DATE(2025,12,31)-F6646,"-")</f>
        <v>-</v>
      </c>
    </row>
    <row r="6647" customFormat="false" ht="15" hidden="false" customHeight="false" outlineLevel="0" collapsed="false">
      <c r="B6647" s="7" t="s">
        <v>21293</v>
      </c>
      <c r="C6647" s="7" t="s">
        <v>7144</v>
      </c>
      <c r="D6647" s="7" t="s">
        <v>399</v>
      </c>
      <c r="E6647" s="7" t="s">
        <v>154</v>
      </c>
      <c r="F6647" s="39" t="n">
        <v>45964</v>
      </c>
      <c r="G6647" s="41" t="n">
        <v>90.1</v>
      </c>
      <c r="H6647" s="39" t="n">
        <v>46007</v>
      </c>
      <c r="I6647" s="7" t="s">
        <v>14651</v>
      </c>
      <c r="J6647" s="8" t="str">
        <f aca="false">IF(I6647="Open",DATE(2025,12,31)-F6647,"-")</f>
        <v>-</v>
      </c>
    </row>
    <row r="6648" customFormat="false" ht="15" hidden="false" customHeight="false" outlineLevel="0" collapsed="false">
      <c r="B6648" s="7" t="s">
        <v>21294</v>
      </c>
      <c r="C6648" s="7" t="s">
        <v>7145</v>
      </c>
      <c r="D6648" s="7" t="s">
        <v>401</v>
      </c>
      <c r="E6648" s="7" t="s">
        <v>156</v>
      </c>
      <c r="F6648" s="39" t="n">
        <v>45964</v>
      </c>
      <c r="G6648" s="41" t="n">
        <v>148.24</v>
      </c>
      <c r="H6648" s="39" t="n">
        <v>45969</v>
      </c>
      <c r="I6648" s="7" t="s">
        <v>14651</v>
      </c>
      <c r="J6648" s="8" t="str">
        <f aca="false">IF(I6648="Open",DATE(2025,12,31)-F6648,"-")</f>
        <v>-</v>
      </c>
    </row>
    <row r="6649" customFormat="false" ht="15" hidden="false" customHeight="false" outlineLevel="0" collapsed="false">
      <c r="B6649" s="7" t="s">
        <v>21295</v>
      </c>
      <c r="C6649" s="7" t="s">
        <v>7146</v>
      </c>
      <c r="D6649" s="7" t="s">
        <v>403</v>
      </c>
      <c r="E6649" s="7" t="s">
        <v>156</v>
      </c>
      <c r="F6649" s="39" t="n">
        <v>45964</v>
      </c>
      <c r="G6649" s="41" t="n">
        <v>135.32</v>
      </c>
      <c r="H6649" s="39" t="n">
        <v>45978</v>
      </c>
      <c r="I6649" s="7" t="s">
        <v>14651</v>
      </c>
      <c r="J6649" s="8" t="str">
        <f aca="false">IF(I6649="Open",DATE(2025,12,31)-F6649,"-")</f>
        <v>-</v>
      </c>
    </row>
    <row r="6650" customFormat="false" ht="15" hidden="false" customHeight="false" outlineLevel="0" collapsed="false">
      <c r="B6650" s="7" t="s">
        <v>21296</v>
      </c>
      <c r="C6650" s="7" t="s">
        <v>7147</v>
      </c>
      <c r="D6650" s="7" t="s">
        <v>409</v>
      </c>
      <c r="E6650" s="7" t="s">
        <v>154</v>
      </c>
      <c r="F6650" s="39" t="n">
        <v>45964</v>
      </c>
      <c r="G6650" s="41" t="n">
        <v>94.87</v>
      </c>
      <c r="H6650" s="6" t="s">
        <v>182</v>
      </c>
      <c r="I6650" s="7" t="s">
        <v>19787</v>
      </c>
      <c r="J6650" s="8" t="n">
        <f aca="false">IF(I6650="Open",DATE(2025,12,31)-F6650,"-")</f>
        <v>58</v>
      </c>
    </row>
    <row r="6651" customFormat="false" ht="15" hidden="false" customHeight="false" outlineLevel="0" collapsed="false">
      <c r="B6651" s="7" t="s">
        <v>21297</v>
      </c>
      <c r="C6651" s="7" t="s">
        <v>7148</v>
      </c>
      <c r="D6651" s="7" t="s">
        <v>411</v>
      </c>
      <c r="E6651" s="7" t="s">
        <v>154</v>
      </c>
      <c r="F6651" s="39" t="n">
        <v>45964</v>
      </c>
      <c r="G6651" s="41" t="n">
        <v>114.75</v>
      </c>
      <c r="H6651" s="6" t="s">
        <v>182</v>
      </c>
      <c r="I6651" s="7" t="s">
        <v>19787</v>
      </c>
      <c r="J6651" s="8" t="n">
        <f aca="false">IF(I6651="Open",DATE(2025,12,31)-F6651,"-")</f>
        <v>58</v>
      </c>
    </row>
    <row r="6652" customFormat="false" ht="15" hidden="false" customHeight="false" outlineLevel="0" collapsed="false">
      <c r="B6652" s="7" t="s">
        <v>21298</v>
      </c>
      <c r="C6652" s="7" t="s">
        <v>7149</v>
      </c>
      <c r="D6652" s="7" t="s">
        <v>288</v>
      </c>
      <c r="E6652" s="7" t="s">
        <v>156</v>
      </c>
      <c r="F6652" s="39" t="n">
        <v>45965</v>
      </c>
      <c r="G6652" s="41" t="n">
        <v>134.64</v>
      </c>
      <c r="H6652" s="39" t="n">
        <v>45983</v>
      </c>
      <c r="I6652" s="7" t="s">
        <v>14651</v>
      </c>
      <c r="J6652" s="8" t="str">
        <f aca="false">IF(I6652="Open",DATE(2025,12,31)-F6652,"-")</f>
        <v>-</v>
      </c>
    </row>
    <row r="6653" customFormat="false" ht="15" hidden="false" customHeight="false" outlineLevel="0" collapsed="false">
      <c r="B6653" s="7" t="s">
        <v>21299</v>
      </c>
      <c r="C6653" s="7" t="s">
        <v>7150</v>
      </c>
      <c r="D6653" s="7" t="s">
        <v>293</v>
      </c>
      <c r="E6653" s="7" t="s">
        <v>157</v>
      </c>
      <c r="F6653" s="39" t="n">
        <v>45965</v>
      </c>
      <c r="G6653" s="41" t="n">
        <v>174.9</v>
      </c>
      <c r="H6653" s="39" t="n">
        <v>46009</v>
      </c>
      <c r="I6653" s="7" t="s">
        <v>14651</v>
      </c>
      <c r="J6653" s="8" t="str">
        <f aca="false">IF(I6653="Open",DATE(2025,12,31)-F6653,"-")</f>
        <v>-</v>
      </c>
    </row>
    <row r="6654" customFormat="false" ht="15" hidden="false" customHeight="false" outlineLevel="0" collapsed="false">
      <c r="B6654" s="7" t="s">
        <v>21300</v>
      </c>
      <c r="C6654" s="7" t="s">
        <v>7151</v>
      </c>
      <c r="D6654" s="7" t="s">
        <v>301</v>
      </c>
      <c r="E6654" s="7" t="s">
        <v>157</v>
      </c>
      <c r="F6654" s="39" t="n">
        <v>45965</v>
      </c>
      <c r="G6654" s="41" t="n">
        <v>168.3</v>
      </c>
      <c r="H6654" s="39" t="n">
        <v>45997</v>
      </c>
      <c r="I6654" s="7" t="s">
        <v>14651</v>
      </c>
      <c r="J6654" s="8" t="str">
        <f aca="false">IF(I6654="Open",DATE(2025,12,31)-F6654,"-")</f>
        <v>-</v>
      </c>
    </row>
    <row r="6655" customFormat="false" ht="15" hidden="false" customHeight="false" outlineLevel="0" collapsed="false">
      <c r="B6655" s="7" t="s">
        <v>21301</v>
      </c>
      <c r="C6655" s="7" t="s">
        <v>7152</v>
      </c>
      <c r="D6655" s="7" t="s">
        <v>313</v>
      </c>
      <c r="E6655" s="7" t="s">
        <v>156</v>
      </c>
      <c r="F6655" s="39" t="n">
        <v>45965</v>
      </c>
      <c r="G6655" s="41" t="n">
        <v>144.16</v>
      </c>
      <c r="H6655" s="39" t="n">
        <v>45976</v>
      </c>
      <c r="I6655" s="7" t="s">
        <v>14651</v>
      </c>
      <c r="J6655" s="8" t="str">
        <f aca="false">IF(I6655="Open",DATE(2025,12,31)-F6655,"-")</f>
        <v>-</v>
      </c>
    </row>
    <row r="6656" customFormat="false" ht="15" hidden="false" customHeight="false" outlineLevel="0" collapsed="false">
      <c r="B6656" s="7" t="s">
        <v>21302</v>
      </c>
      <c r="C6656" s="7" t="s">
        <v>7153</v>
      </c>
      <c r="D6656" s="7" t="s">
        <v>319</v>
      </c>
      <c r="E6656" s="7" t="s">
        <v>157</v>
      </c>
      <c r="F6656" s="39" t="n">
        <v>45965</v>
      </c>
      <c r="G6656" s="41" t="n">
        <v>161.7</v>
      </c>
      <c r="H6656" s="39" t="n">
        <v>46005</v>
      </c>
      <c r="I6656" s="7" t="s">
        <v>14651</v>
      </c>
      <c r="J6656" s="8" t="str">
        <f aca="false">IF(I6656="Open",DATE(2025,12,31)-F6656,"-")</f>
        <v>-</v>
      </c>
    </row>
    <row r="6657" customFormat="false" ht="15" hidden="false" customHeight="false" outlineLevel="0" collapsed="false">
      <c r="B6657" s="7" t="s">
        <v>21303</v>
      </c>
      <c r="C6657" s="7" t="s">
        <v>7154</v>
      </c>
      <c r="D6657" s="7" t="s">
        <v>321</v>
      </c>
      <c r="E6657" s="7" t="s">
        <v>154</v>
      </c>
      <c r="F6657" s="39" t="n">
        <v>45965</v>
      </c>
      <c r="G6657" s="41" t="n">
        <v>107.59</v>
      </c>
      <c r="H6657" s="6" t="s">
        <v>182</v>
      </c>
      <c r="I6657" s="7" t="s">
        <v>19787</v>
      </c>
      <c r="J6657" s="8" t="n">
        <f aca="false">IF(I6657="Open",DATE(2025,12,31)-F6657,"-")</f>
        <v>57</v>
      </c>
    </row>
    <row r="6658" customFormat="false" ht="15" hidden="false" customHeight="false" outlineLevel="0" collapsed="false">
      <c r="B6658" s="7" t="s">
        <v>21304</v>
      </c>
      <c r="C6658" s="7" t="s">
        <v>7155</v>
      </c>
      <c r="D6658" s="7" t="s">
        <v>323</v>
      </c>
      <c r="E6658" s="7" t="s">
        <v>159</v>
      </c>
      <c r="F6658" s="39" t="n">
        <v>45965</v>
      </c>
      <c r="G6658" s="41" t="n">
        <v>138.1</v>
      </c>
      <c r="H6658" s="39" t="n">
        <v>46001</v>
      </c>
      <c r="I6658" s="7" t="s">
        <v>14651</v>
      </c>
      <c r="J6658" s="8" t="str">
        <f aca="false">IF(I6658="Open",DATE(2025,12,31)-F6658,"-")</f>
        <v>-</v>
      </c>
    </row>
    <row r="6659" customFormat="false" ht="15" hidden="false" customHeight="false" outlineLevel="0" collapsed="false">
      <c r="B6659" s="7" t="s">
        <v>21305</v>
      </c>
      <c r="C6659" s="7" t="s">
        <v>7156</v>
      </c>
      <c r="D6659" s="7" t="s">
        <v>329</v>
      </c>
      <c r="E6659" s="7" t="s">
        <v>156</v>
      </c>
      <c r="F6659" s="39" t="n">
        <v>45965</v>
      </c>
      <c r="G6659" s="41" t="n">
        <v>135.66</v>
      </c>
      <c r="H6659" s="39" t="n">
        <v>45985</v>
      </c>
      <c r="I6659" s="7" t="s">
        <v>14651</v>
      </c>
      <c r="J6659" s="8" t="str">
        <f aca="false">IF(I6659="Open",DATE(2025,12,31)-F6659,"-")</f>
        <v>-</v>
      </c>
    </row>
    <row r="6660" customFormat="false" ht="15" hidden="false" customHeight="false" outlineLevel="0" collapsed="false">
      <c r="B6660" s="7" t="s">
        <v>21306</v>
      </c>
      <c r="C6660" s="7" t="s">
        <v>7157</v>
      </c>
      <c r="D6660" s="7" t="s">
        <v>349</v>
      </c>
      <c r="E6660" s="7" t="s">
        <v>154</v>
      </c>
      <c r="F6660" s="39" t="n">
        <v>45965</v>
      </c>
      <c r="G6660" s="41" t="n">
        <v>99.91</v>
      </c>
      <c r="H6660" s="39" t="n">
        <v>46010</v>
      </c>
      <c r="I6660" s="7" t="s">
        <v>14651</v>
      </c>
      <c r="J6660" s="8" t="str">
        <f aca="false">IF(I6660="Open",DATE(2025,12,31)-F6660,"-")</f>
        <v>-</v>
      </c>
    </row>
    <row r="6661" customFormat="false" ht="15" hidden="false" customHeight="false" outlineLevel="0" collapsed="false">
      <c r="B6661" s="7" t="s">
        <v>21307</v>
      </c>
      <c r="C6661" s="7" t="s">
        <v>7158</v>
      </c>
      <c r="D6661" s="7" t="s">
        <v>359</v>
      </c>
      <c r="E6661" s="7" t="s">
        <v>156</v>
      </c>
      <c r="F6661" s="39" t="n">
        <v>45965</v>
      </c>
      <c r="G6661" s="41" t="n">
        <v>131.24</v>
      </c>
      <c r="H6661" s="39" t="n">
        <v>45971</v>
      </c>
      <c r="I6661" s="7" t="s">
        <v>14651</v>
      </c>
      <c r="J6661" s="8" t="str">
        <f aca="false">IF(I6661="Open",DATE(2025,12,31)-F6661,"-")</f>
        <v>-</v>
      </c>
    </row>
    <row r="6662" customFormat="false" ht="15" hidden="false" customHeight="false" outlineLevel="0" collapsed="false">
      <c r="B6662" s="7" t="s">
        <v>21308</v>
      </c>
      <c r="C6662" s="7" t="s">
        <v>7159</v>
      </c>
      <c r="D6662" s="7" t="s">
        <v>361</v>
      </c>
      <c r="E6662" s="7" t="s">
        <v>157</v>
      </c>
      <c r="F6662" s="39" t="n">
        <v>45965</v>
      </c>
      <c r="G6662" s="41" t="n">
        <v>161.7</v>
      </c>
      <c r="H6662" s="39" t="n">
        <v>46006</v>
      </c>
      <c r="I6662" s="7" t="s">
        <v>14651</v>
      </c>
      <c r="J6662" s="8" t="str">
        <f aca="false">IF(I6662="Open",DATE(2025,12,31)-F6662,"-")</f>
        <v>-</v>
      </c>
    </row>
    <row r="6663" customFormat="false" ht="15" hidden="false" customHeight="false" outlineLevel="0" collapsed="false">
      <c r="B6663" s="7" t="s">
        <v>21309</v>
      </c>
      <c r="C6663" s="7" t="s">
        <v>7160</v>
      </c>
      <c r="D6663" s="7" t="s">
        <v>365</v>
      </c>
      <c r="E6663" s="7" t="s">
        <v>154</v>
      </c>
      <c r="F6663" s="39" t="n">
        <v>45965</v>
      </c>
      <c r="G6663" s="41" t="n">
        <v>103.35</v>
      </c>
      <c r="H6663" s="39" t="n">
        <v>46017</v>
      </c>
      <c r="I6663" s="7" t="s">
        <v>14651</v>
      </c>
      <c r="J6663" s="8" t="str">
        <f aca="false">IF(I6663="Open",DATE(2025,12,31)-F6663,"-")</f>
        <v>-</v>
      </c>
    </row>
    <row r="6664" customFormat="false" ht="15" hidden="false" customHeight="false" outlineLevel="0" collapsed="false">
      <c r="B6664" s="7" t="s">
        <v>21310</v>
      </c>
      <c r="C6664" s="7" t="s">
        <v>7161</v>
      </c>
      <c r="D6664" s="7" t="s">
        <v>369</v>
      </c>
      <c r="E6664" s="7" t="s">
        <v>159</v>
      </c>
      <c r="F6664" s="39" t="n">
        <v>45965</v>
      </c>
      <c r="G6664" s="41" t="n">
        <v>139.05</v>
      </c>
      <c r="H6664" s="39" t="n">
        <v>45989</v>
      </c>
      <c r="I6664" s="7" t="s">
        <v>14651</v>
      </c>
      <c r="J6664" s="8" t="str">
        <f aca="false">IF(I6664="Open",DATE(2025,12,31)-F6664,"-")</f>
        <v>-</v>
      </c>
    </row>
    <row r="6665" customFormat="false" ht="15" hidden="false" customHeight="false" outlineLevel="0" collapsed="false">
      <c r="B6665" s="7" t="s">
        <v>21311</v>
      </c>
      <c r="C6665" s="7" t="s">
        <v>7162</v>
      </c>
      <c r="D6665" s="7" t="s">
        <v>381</v>
      </c>
      <c r="E6665" s="7" t="s">
        <v>157</v>
      </c>
      <c r="F6665" s="39" t="n">
        <v>45965</v>
      </c>
      <c r="G6665" s="41" t="n">
        <v>176.55</v>
      </c>
      <c r="H6665" s="6" t="s">
        <v>182</v>
      </c>
      <c r="I6665" s="7" t="s">
        <v>19787</v>
      </c>
      <c r="J6665" s="8" t="n">
        <f aca="false">IF(I6665="Open",DATE(2025,12,31)-F6665,"-")</f>
        <v>57</v>
      </c>
    </row>
    <row r="6666" customFormat="false" ht="15" hidden="false" customHeight="false" outlineLevel="0" collapsed="false">
      <c r="B6666" s="7" t="s">
        <v>21312</v>
      </c>
      <c r="C6666" s="7" t="s">
        <v>7163</v>
      </c>
      <c r="D6666" s="7" t="s">
        <v>383</v>
      </c>
      <c r="E6666" s="7" t="s">
        <v>157</v>
      </c>
      <c r="F6666" s="39" t="n">
        <v>45965</v>
      </c>
      <c r="G6666" s="41" t="n">
        <v>141.07</v>
      </c>
      <c r="H6666" s="39" t="n">
        <v>45989</v>
      </c>
      <c r="I6666" s="7" t="s">
        <v>14651</v>
      </c>
      <c r="J6666" s="8" t="str">
        <f aca="false">IF(I6666="Open",DATE(2025,12,31)-F6666,"-")</f>
        <v>-</v>
      </c>
    </row>
    <row r="6667" customFormat="false" ht="15" hidden="false" customHeight="false" outlineLevel="0" collapsed="false">
      <c r="B6667" s="7" t="s">
        <v>21313</v>
      </c>
      <c r="C6667" s="7" t="s">
        <v>7164</v>
      </c>
      <c r="D6667" s="7" t="s">
        <v>387</v>
      </c>
      <c r="E6667" s="7" t="s">
        <v>154</v>
      </c>
      <c r="F6667" s="39" t="n">
        <v>45965</v>
      </c>
      <c r="G6667" s="41" t="n">
        <v>97.78</v>
      </c>
      <c r="H6667" s="6" t="s">
        <v>182</v>
      </c>
      <c r="I6667" s="7" t="s">
        <v>19787</v>
      </c>
      <c r="J6667" s="8" t="n">
        <f aca="false">IF(I6667="Open",DATE(2025,12,31)-F6667,"-")</f>
        <v>57</v>
      </c>
    </row>
    <row r="6668" customFormat="false" ht="15" hidden="false" customHeight="false" outlineLevel="0" collapsed="false">
      <c r="B6668" s="7" t="s">
        <v>21314</v>
      </c>
      <c r="C6668" s="7" t="s">
        <v>7165</v>
      </c>
      <c r="D6668" s="7" t="s">
        <v>389</v>
      </c>
      <c r="E6668" s="7" t="s">
        <v>154</v>
      </c>
      <c r="F6668" s="39" t="n">
        <v>45965</v>
      </c>
      <c r="G6668" s="41" t="n">
        <v>100.44</v>
      </c>
      <c r="H6668" s="6" t="s">
        <v>182</v>
      </c>
      <c r="I6668" s="7" t="s">
        <v>19787</v>
      </c>
      <c r="J6668" s="8" t="n">
        <f aca="false">IF(I6668="Open",DATE(2025,12,31)-F6668,"-")</f>
        <v>57</v>
      </c>
    </row>
    <row r="6669" customFormat="false" ht="15" hidden="false" customHeight="false" outlineLevel="0" collapsed="false">
      <c r="B6669" s="7" t="s">
        <v>21315</v>
      </c>
      <c r="C6669" s="7" t="s">
        <v>7166</v>
      </c>
      <c r="D6669" s="7" t="s">
        <v>391</v>
      </c>
      <c r="E6669" s="7" t="s">
        <v>156</v>
      </c>
      <c r="F6669" s="39" t="n">
        <v>45965</v>
      </c>
      <c r="G6669" s="41" t="n">
        <v>123.08</v>
      </c>
      <c r="H6669" s="39" t="n">
        <v>45967</v>
      </c>
      <c r="I6669" s="7" t="s">
        <v>14651</v>
      </c>
      <c r="J6669" s="8" t="str">
        <f aca="false">IF(I6669="Open",DATE(2025,12,31)-F6669,"-")</f>
        <v>-</v>
      </c>
    </row>
    <row r="6670" customFormat="false" ht="15" hidden="false" customHeight="false" outlineLevel="0" collapsed="false">
      <c r="B6670" s="7" t="s">
        <v>21316</v>
      </c>
      <c r="C6670" s="7" t="s">
        <v>7167</v>
      </c>
      <c r="D6670" s="7" t="s">
        <v>395</v>
      </c>
      <c r="E6670" s="7" t="s">
        <v>156</v>
      </c>
      <c r="F6670" s="39" t="n">
        <v>45965</v>
      </c>
      <c r="G6670" s="41" t="n">
        <v>127.84</v>
      </c>
      <c r="H6670" s="39" t="n">
        <v>45982</v>
      </c>
      <c r="I6670" s="7" t="s">
        <v>14651</v>
      </c>
      <c r="J6670" s="8" t="str">
        <f aca="false">IF(I6670="Open",DATE(2025,12,31)-F6670,"-")</f>
        <v>-</v>
      </c>
    </row>
    <row r="6671" customFormat="false" ht="15" hidden="false" customHeight="false" outlineLevel="0" collapsed="false">
      <c r="B6671" s="7" t="s">
        <v>21317</v>
      </c>
      <c r="C6671" s="7" t="s">
        <v>7168</v>
      </c>
      <c r="D6671" s="7" t="s">
        <v>397</v>
      </c>
      <c r="E6671" s="7" t="s">
        <v>159</v>
      </c>
      <c r="F6671" s="39" t="n">
        <v>45965</v>
      </c>
      <c r="G6671" s="41" t="n">
        <v>136.35</v>
      </c>
      <c r="H6671" s="39" t="n">
        <v>46018</v>
      </c>
      <c r="I6671" s="7" t="s">
        <v>14651</v>
      </c>
      <c r="J6671" s="8" t="str">
        <f aca="false">IF(I6671="Open",DATE(2025,12,31)-F6671,"-")</f>
        <v>-</v>
      </c>
    </row>
    <row r="6672" customFormat="false" ht="15" hidden="false" customHeight="false" outlineLevel="0" collapsed="false">
      <c r="B6672" s="7" t="s">
        <v>21318</v>
      </c>
      <c r="C6672" s="7" t="s">
        <v>7169</v>
      </c>
      <c r="D6672" s="7" t="s">
        <v>401</v>
      </c>
      <c r="E6672" s="7" t="s">
        <v>156</v>
      </c>
      <c r="F6672" s="39" t="n">
        <v>45965</v>
      </c>
      <c r="G6672" s="41" t="n">
        <v>145.86</v>
      </c>
      <c r="H6672" s="39" t="n">
        <v>45976</v>
      </c>
      <c r="I6672" s="7" t="s">
        <v>14651</v>
      </c>
      <c r="J6672" s="8" t="str">
        <f aca="false">IF(I6672="Open",DATE(2025,12,31)-F6672,"-")</f>
        <v>-</v>
      </c>
    </row>
    <row r="6673" customFormat="false" ht="15" hidden="false" customHeight="false" outlineLevel="0" collapsed="false">
      <c r="B6673" s="7" t="s">
        <v>21319</v>
      </c>
      <c r="C6673" s="7" t="s">
        <v>7170</v>
      </c>
      <c r="D6673" s="7" t="s">
        <v>407</v>
      </c>
      <c r="E6673" s="7" t="s">
        <v>159</v>
      </c>
      <c r="F6673" s="39" t="n">
        <v>45965</v>
      </c>
      <c r="G6673" s="41" t="n">
        <v>147.15</v>
      </c>
      <c r="H6673" s="6" t="s">
        <v>182</v>
      </c>
      <c r="I6673" s="7" t="s">
        <v>19787</v>
      </c>
      <c r="J6673" s="8" t="n">
        <f aca="false">IF(I6673="Open",DATE(2025,12,31)-F6673,"-")</f>
        <v>57</v>
      </c>
    </row>
    <row r="6674" customFormat="false" ht="15" hidden="false" customHeight="false" outlineLevel="0" collapsed="false">
      <c r="B6674" s="7" t="s">
        <v>21320</v>
      </c>
      <c r="C6674" s="7" t="s">
        <v>7171</v>
      </c>
      <c r="D6674" s="7" t="s">
        <v>288</v>
      </c>
      <c r="E6674" s="7" t="s">
        <v>156</v>
      </c>
      <c r="F6674" s="39" t="n">
        <v>45966</v>
      </c>
      <c r="G6674" s="41" t="n">
        <v>137.02</v>
      </c>
      <c r="H6674" s="39" t="n">
        <v>45969</v>
      </c>
      <c r="I6674" s="7" t="s">
        <v>14651</v>
      </c>
      <c r="J6674" s="8" t="str">
        <f aca="false">IF(I6674="Open",DATE(2025,12,31)-F6674,"-")</f>
        <v>-</v>
      </c>
    </row>
    <row r="6675" customFormat="false" ht="15" hidden="false" customHeight="false" outlineLevel="0" collapsed="false">
      <c r="B6675" s="7" t="s">
        <v>21321</v>
      </c>
      <c r="C6675" s="7" t="s">
        <v>7172</v>
      </c>
      <c r="D6675" s="7" t="s">
        <v>291</v>
      </c>
      <c r="E6675" s="7" t="s">
        <v>154</v>
      </c>
      <c r="F6675" s="39" t="n">
        <v>45966</v>
      </c>
      <c r="G6675" s="41" t="n">
        <v>131.44</v>
      </c>
      <c r="H6675" s="6" t="s">
        <v>182</v>
      </c>
      <c r="I6675" s="7" t="s">
        <v>19787</v>
      </c>
      <c r="J6675" s="8" t="n">
        <f aca="false">IF(I6675="Open",DATE(2025,12,31)-F6675,"-")</f>
        <v>56</v>
      </c>
    </row>
    <row r="6676" customFormat="false" ht="15" hidden="false" customHeight="false" outlineLevel="0" collapsed="false">
      <c r="B6676" s="7" t="s">
        <v>21322</v>
      </c>
      <c r="C6676" s="7" t="s">
        <v>7173</v>
      </c>
      <c r="D6676" s="7" t="s">
        <v>295</v>
      </c>
      <c r="E6676" s="7" t="s">
        <v>154</v>
      </c>
      <c r="F6676" s="39" t="n">
        <v>45966</v>
      </c>
      <c r="G6676" s="41" t="n">
        <v>102.29</v>
      </c>
      <c r="H6676" s="6" t="s">
        <v>182</v>
      </c>
      <c r="I6676" s="7" t="s">
        <v>19787</v>
      </c>
      <c r="J6676" s="8" t="n">
        <f aca="false">IF(I6676="Open",DATE(2025,12,31)-F6676,"-")</f>
        <v>56</v>
      </c>
    </row>
    <row r="6677" customFormat="false" ht="15" hidden="false" customHeight="false" outlineLevel="0" collapsed="false">
      <c r="B6677" s="7" t="s">
        <v>21323</v>
      </c>
      <c r="C6677" s="7" t="s">
        <v>7174</v>
      </c>
      <c r="D6677" s="7" t="s">
        <v>305</v>
      </c>
      <c r="E6677" s="7" t="s">
        <v>154</v>
      </c>
      <c r="F6677" s="39" t="n">
        <v>45966</v>
      </c>
      <c r="G6677" s="41" t="n">
        <v>107.86</v>
      </c>
      <c r="H6677" s="6" t="s">
        <v>182</v>
      </c>
      <c r="I6677" s="7" t="s">
        <v>19787</v>
      </c>
      <c r="J6677" s="8" t="n">
        <f aca="false">IF(I6677="Open",DATE(2025,12,31)-F6677,"-")</f>
        <v>56</v>
      </c>
    </row>
    <row r="6678" customFormat="false" ht="15" hidden="false" customHeight="false" outlineLevel="0" collapsed="false">
      <c r="B6678" s="7" t="s">
        <v>21324</v>
      </c>
      <c r="C6678" s="7" t="s">
        <v>7175</v>
      </c>
      <c r="D6678" s="7" t="s">
        <v>307</v>
      </c>
      <c r="E6678" s="7" t="s">
        <v>157</v>
      </c>
      <c r="F6678" s="39" t="n">
        <v>45966</v>
      </c>
      <c r="G6678" s="41" t="n">
        <v>173.25</v>
      </c>
      <c r="H6678" s="39" t="n">
        <v>45995</v>
      </c>
      <c r="I6678" s="7" t="s">
        <v>14651</v>
      </c>
      <c r="J6678" s="8" t="str">
        <f aca="false">IF(I6678="Open",DATE(2025,12,31)-F6678,"-")</f>
        <v>-</v>
      </c>
    </row>
    <row r="6679" customFormat="false" ht="15" hidden="false" customHeight="false" outlineLevel="0" collapsed="false">
      <c r="B6679" s="7" t="s">
        <v>21325</v>
      </c>
      <c r="C6679" s="7" t="s">
        <v>7176</v>
      </c>
      <c r="D6679" s="7" t="s">
        <v>309</v>
      </c>
      <c r="E6679" s="7" t="s">
        <v>159</v>
      </c>
      <c r="F6679" s="39" t="n">
        <v>45966</v>
      </c>
      <c r="G6679" s="41" t="n">
        <v>129.6</v>
      </c>
      <c r="H6679" s="39" t="n">
        <v>45984</v>
      </c>
      <c r="I6679" s="7" t="s">
        <v>14651</v>
      </c>
      <c r="J6679" s="8" t="str">
        <f aca="false">IF(I6679="Open",DATE(2025,12,31)-F6679,"-")</f>
        <v>-</v>
      </c>
    </row>
    <row r="6680" customFormat="false" ht="15" hidden="false" customHeight="false" outlineLevel="0" collapsed="false">
      <c r="B6680" s="7" t="s">
        <v>21326</v>
      </c>
      <c r="C6680" s="7" t="s">
        <v>7177</v>
      </c>
      <c r="D6680" s="7" t="s">
        <v>315</v>
      </c>
      <c r="E6680" s="7" t="s">
        <v>159</v>
      </c>
      <c r="F6680" s="39" t="n">
        <v>45966</v>
      </c>
      <c r="G6680" s="41" t="n">
        <v>124.2</v>
      </c>
      <c r="H6680" s="6" t="s">
        <v>182</v>
      </c>
      <c r="I6680" s="7" t="s">
        <v>19787</v>
      </c>
      <c r="J6680" s="8" t="n">
        <f aca="false">IF(I6680="Open",DATE(2025,12,31)-F6680,"-")</f>
        <v>56</v>
      </c>
    </row>
    <row r="6681" customFormat="false" ht="15" hidden="false" customHeight="false" outlineLevel="0" collapsed="false">
      <c r="B6681" s="7" t="s">
        <v>21327</v>
      </c>
      <c r="C6681" s="7" t="s">
        <v>7178</v>
      </c>
      <c r="D6681" s="7" t="s">
        <v>321</v>
      </c>
      <c r="E6681" s="7" t="s">
        <v>154</v>
      </c>
      <c r="F6681" s="39" t="n">
        <v>45966</v>
      </c>
      <c r="G6681" s="41" t="n">
        <v>108.65</v>
      </c>
      <c r="H6681" s="6" t="s">
        <v>182</v>
      </c>
      <c r="I6681" s="7" t="s">
        <v>19787</v>
      </c>
      <c r="J6681" s="8" t="n">
        <f aca="false">IF(I6681="Open",DATE(2025,12,31)-F6681,"-")</f>
        <v>56</v>
      </c>
    </row>
    <row r="6682" customFormat="false" ht="15" hidden="false" customHeight="false" outlineLevel="0" collapsed="false">
      <c r="B6682" s="7" t="s">
        <v>21328</v>
      </c>
      <c r="C6682" s="7" t="s">
        <v>7179</v>
      </c>
      <c r="D6682" s="7" t="s">
        <v>329</v>
      </c>
      <c r="E6682" s="7" t="s">
        <v>156</v>
      </c>
      <c r="F6682" s="39" t="n">
        <v>45966</v>
      </c>
      <c r="G6682" s="41" t="n">
        <v>145.18</v>
      </c>
      <c r="H6682" s="39" t="n">
        <v>45984</v>
      </c>
      <c r="I6682" s="7" t="s">
        <v>14651</v>
      </c>
      <c r="J6682" s="8" t="str">
        <f aca="false">IF(I6682="Open",DATE(2025,12,31)-F6682,"-")</f>
        <v>-</v>
      </c>
    </row>
    <row r="6683" customFormat="false" ht="15" hidden="false" customHeight="false" outlineLevel="0" collapsed="false">
      <c r="B6683" s="7" t="s">
        <v>21329</v>
      </c>
      <c r="C6683" s="7" t="s">
        <v>7180</v>
      </c>
      <c r="D6683" s="7" t="s">
        <v>333</v>
      </c>
      <c r="E6683" s="7" t="s">
        <v>154</v>
      </c>
      <c r="F6683" s="39" t="n">
        <v>45966</v>
      </c>
      <c r="G6683" s="41" t="n">
        <v>96.72</v>
      </c>
      <c r="H6683" s="39" t="n">
        <v>46013</v>
      </c>
      <c r="I6683" s="7" t="s">
        <v>14651</v>
      </c>
      <c r="J6683" s="8" t="str">
        <f aca="false">IF(I6683="Open",DATE(2025,12,31)-F6683,"-")</f>
        <v>-</v>
      </c>
    </row>
    <row r="6684" customFormat="false" ht="15" hidden="false" customHeight="false" outlineLevel="0" collapsed="false">
      <c r="B6684" s="7" t="s">
        <v>21330</v>
      </c>
      <c r="C6684" s="7" t="s">
        <v>7181</v>
      </c>
      <c r="D6684" s="7" t="s">
        <v>335</v>
      </c>
      <c r="E6684" s="7" t="s">
        <v>154</v>
      </c>
      <c r="F6684" s="39" t="n">
        <v>45966</v>
      </c>
      <c r="G6684" s="41" t="n">
        <v>108.99</v>
      </c>
      <c r="H6684" s="6" t="s">
        <v>182</v>
      </c>
      <c r="I6684" s="7" t="s">
        <v>19787</v>
      </c>
      <c r="J6684" s="8" t="n">
        <f aca="false">IF(I6684="Open",DATE(2025,12,31)-F6684,"-")</f>
        <v>56</v>
      </c>
    </row>
    <row r="6685" customFormat="false" ht="15" hidden="false" customHeight="false" outlineLevel="0" collapsed="false">
      <c r="B6685" s="7" t="s">
        <v>21331</v>
      </c>
      <c r="C6685" s="7" t="s">
        <v>7182</v>
      </c>
      <c r="D6685" s="7" t="s">
        <v>339</v>
      </c>
      <c r="E6685" s="7" t="s">
        <v>154</v>
      </c>
      <c r="F6685" s="39" t="n">
        <v>45966</v>
      </c>
      <c r="G6685" s="41" t="n">
        <v>90.37</v>
      </c>
      <c r="H6685" s="39" t="n">
        <v>45997</v>
      </c>
      <c r="I6685" s="7" t="s">
        <v>14651</v>
      </c>
      <c r="J6685" s="8" t="str">
        <f aca="false">IF(I6685="Open",DATE(2025,12,31)-F6685,"-")</f>
        <v>-</v>
      </c>
    </row>
    <row r="6686" customFormat="false" ht="15" hidden="false" customHeight="false" outlineLevel="0" collapsed="false">
      <c r="B6686" s="7" t="s">
        <v>21332</v>
      </c>
      <c r="C6686" s="7" t="s">
        <v>7183</v>
      </c>
      <c r="D6686" s="7" t="s">
        <v>347</v>
      </c>
      <c r="E6686" s="7" t="s">
        <v>154</v>
      </c>
      <c r="F6686" s="39" t="n">
        <v>45966</v>
      </c>
      <c r="G6686" s="41" t="n">
        <v>120.57</v>
      </c>
      <c r="H6686" s="39" t="n">
        <v>46000</v>
      </c>
      <c r="I6686" s="7" t="s">
        <v>14651</v>
      </c>
      <c r="J6686" s="8" t="str">
        <f aca="false">IF(I6686="Open",DATE(2025,12,31)-F6686,"-")</f>
        <v>-</v>
      </c>
    </row>
    <row r="6687" customFormat="false" ht="15" hidden="false" customHeight="false" outlineLevel="0" collapsed="false">
      <c r="B6687" s="7" t="s">
        <v>21333</v>
      </c>
      <c r="C6687" s="7" t="s">
        <v>7184</v>
      </c>
      <c r="D6687" s="7" t="s">
        <v>349</v>
      </c>
      <c r="E6687" s="7" t="s">
        <v>154</v>
      </c>
      <c r="F6687" s="39" t="n">
        <v>45966</v>
      </c>
      <c r="G6687" s="41" t="n">
        <v>94.6</v>
      </c>
      <c r="H6687" s="39" t="n">
        <v>46000</v>
      </c>
      <c r="I6687" s="7" t="s">
        <v>14651</v>
      </c>
      <c r="J6687" s="8" t="str">
        <f aca="false">IF(I6687="Open",DATE(2025,12,31)-F6687,"-")</f>
        <v>-</v>
      </c>
    </row>
    <row r="6688" customFormat="false" ht="15" hidden="false" customHeight="false" outlineLevel="0" collapsed="false">
      <c r="B6688" s="7" t="s">
        <v>21334</v>
      </c>
      <c r="C6688" s="7" t="s">
        <v>7185</v>
      </c>
      <c r="D6688" s="7" t="s">
        <v>353</v>
      </c>
      <c r="E6688" s="7" t="s">
        <v>154</v>
      </c>
      <c r="F6688" s="39" t="n">
        <v>45966</v>
      </c>
      <c r="G6688" s="41" t="n">
        <v>86.36</v>
      </c>
      <c r="H6688" s="6" t="s">
        <v>182</v>
      </c>
      <c r="I6688" s="7" t="s">
        <v>19787</v>
      </c>
      <c r="J6688" s="8" t="n">
        <f aca="false">IF(I6688="Open",DATE(2025,12,31)-F6688,"-")</f>
        <v>56</v>
      </c>
    </row>
    <row r="6689" customFormat="false" ht="15" hidden="false" customHeight="false" outlineLevel="0" collapsed="false">
      <c r="B6689" s="7" t="s">
        <v>21335</v>
      </c>
      <c r="C6689" s="7" t="s">
        <v>7186</v>
      </c>
      <c r="D6689" s="7" t="s">
        <v>355</v>
      </c>
      <c r="E6689" s="7" t="s">
        <v>154</v>
      </c>
      <c r="F6689" s="39" t="n">
        <v>45966</v>
      </c>
      <c r="G6689" s="41" t="n">
        <v>87.45</v>
      </c>
      <c r="H6689" s="39" t="n">
        <v>46008</v>
      </c>
      <c r="I6689" s="7" t="s">
        <v>14651</v>
      </c>
      <c r="J6689" s="8" t="str">
        <f aca="false">IF(I6689="Open",DATE(2025,12,31)-F6689,"-")</f>
        <v>-</v>
      </c>
    </row>
    <row r="6690" customFormat="false" ht="15" hidden="false" customHeight="false" outlineLevel="0" collapsed="false">
      <c r="B6690" s="7" t="s">
        <v>21336</v>
      </c>
      <c r="C6690" s="7" t="s">
        <v>7187</v>
      </c>
      <c r="D6690" s="7" t="s">
        <v>357</v>
      </c>
      <c r="E6690" s="7" t="s">
        <v>154</v>
      </c>
      <c r="F6690" s="39" t="n">
        <v>45966</v>
      </c>
      <c r="G6690" s="41" t="n">
        <v>95.4</v>
      </c>
      <c r="H6690" s="6" t="s">
        <v>182</v>
      </c>
      <c r="I6690" s="7" t="s">
        <v>19787</v>
      </c>
      <c r="J6690" s="8" t="n">
        <f aca="false">IF(I6690="Open",DATE(2025,12,31)-F6690,"-")</f>
        <v>56</v>
      </c>
    </row>
    <row r="6691" customFormat="false" ht="15" hidden="false" customHeight="false" outlineLevel="0" collapsed="false">
      <c r="B6691" s="7" t="s">
        <v>21337</v>
      </c>
      <c r="C6691" s="7" t="s">
        <v>7188</v>
      </c>
      <c r="D6691" s="7" t="s">
        <v>359</v>
      </c>
      <c r="E6691" s="7" t="s">
        <v>156</v>
      </c>
      <c r="F6691" s="39" t="n">
        <v>45966</v>
      </c>
      <c r="G6691" s="41" t="n">
        <v>144.16</v>
      </c>
      <c r="H6691" s="39" t="n">
        <v>45973</v>
      </c>
      <c r="I6691" s="7" t="s">
        <v>14651</v>
      </c>
      <c r="J6691" s="8" t="str">
        <f aca="false">IF(I6691="Open",DATE(2025,12,31)-F6691,"-")</f>
        <v>-</v>
      </c>
    </row>
    <row r="6692" customFormat="false" ht="15" hidden="false" customHeight="false" outlineLevel="0" collapsed="false">
      <c r="B6692" s="7" t="s">
        <v>21338</v>
      </c>
      <c r="C6692" s="7" t="s">
        <v>7189</v>
      </c>
      <c r="D6692" s="7" t="s">
        <v>365</v>
      </c>
      <c r="E6692" s="7" t="s">
        <v>154</v>
      </c>
      <c r="F6692" s="39" t="n">
        <v>45966</v>
      </c>
      <c r="G6692" s="41" t="n">
        <v>96.99</v>
      </c>
      <c r="H6692" s="6" t="s">
        <v>182</v>
      </c>
      <c r="I6692" s="7" t="s">
        <v>19787</v>
      </c>
      <c r="J6692" s="8" t="n">
        <f aca="false">IF(I6692="Open",DATE(2025,12,31)-F6692,"-")</f>
        <v>56</v>
      </c>
    </row>
    <row r="6693" customFormat="false" ht="15" hidden="false" customHeight="false" outlineLevel="0" collapsed="false">
      <c r="B6693" s="7" t="s">
        <v>21339</v>
      </c>
      <c r="C6693" s="7" t="s">
        <v>7190</v>
      </c>
      <c r="D6693" s="7" t="s">
        <v>371</v>
      </c>
      <c r="E6693" s="7" t="s">
        <v>154</v>
      </c>
      <c r="F6693" s="39" t="n">
        <v>45966</v>
      </c>
      <c r="G6693" s="41" t="n">
        <v>112.89</v>
      </c>
      <c r="H6693" s="39" t="n">
        <v>45981</v>
      </c>
      <c r="I6693" s="7" t="s">
        <v>14651</v>
      </c>
      <c r="J6693" s="8" t="str">
        <f aca="false">IF(I6693="Open",DATE(2025,12,31)-F6693,"-")</f>
        <v>-</v>
      </c>
    </row>
    <row r="6694" customFormat="false" ht="15" hidden="false" customHeight="false" outlineLevel="0" collapsed="false">
      <c r="B6694" s="7" t="s">
        <v>21340</v>
      </c>
      <c r="C6694" s="7" t="s">
        <v>7191</v>
      </c>
      <c r="D6694" s="7" t="s">
        <v>379</v>
      </c>
      <c r="E6694" s="7" t="s">
        <v>156</v>
      </c>
      <c r="F6694" s="39" t="n">
        <v>45966</v>
      </c>
      <c r="G6694" s="41" t="n">
        <v>173.06</v>
      </c>
      <c r="H6694" s="39" t="n">
        <v>45969</v>
      </c>
      <c r="I6694" s="7" t="s">
        <v>14651</v>
      </c>
      <c r="J6694" s="8" t="str">
        <f aca="false">IF(I6694="Open",DATE(2025,12,31)-F6694,"-")</f>
        <v>-</v>
      </c>
    </row>
    <row r="6695" customFormat="false" ht="15" hidden="false" customHeight="false" outlineLevel="0" collapsed="false">
      <c r="B6695" s="7" t="s">
        <v>21341</v>
      </c>
      <c r="C6695" s="7" t="s">
        <v>7192</v>
      </c>
      <c r="D6695" s="7" t="s">
        <v>385</v>
      </c>
      <c r="E6695" s="7" t="s">
        <v>156</v>
      </c>
      <c r="F6695" s="39" t="n">
        <v>45966</v>
      </c>
      <c r="G6695" s="41" t="n">
        <v>130.9</v>
      </c>
      <c r="H6695" s="39" t="n">
        <v>45981</v>
      </c>
      <c r="I6695" s="7" t="s">
        <v>14651</v>
      </c>
      <c r="J6695" s="8" t="str">
        <f aca="false">IF(I6695="Open",DATE(2025,12,31)-F6695,"-")</f>
        <v>-</v>
      </c>
    </row>
    <row r="6696" customFormat="false" ht="15" hidden="false" customHeight="false" outlineLevel="0" collapsed="false">
      <c r="B6696" s="7" t="s">
        <v>21342</v>
      </c>
      <c r="C6696" s="7" t="s">
        <v>7193</v>
      </c>
      <c r="D6696" s="7" t="s">
        <v>387</v>
      </c>
      <c r="E6696" s="7" t="s">
        <v>154</v>
      </c>
      <c r="F6696" s="39" t="n">
        <v>45966</v>
      </c>
      <c r="G6696" s="41" t="n">
        <v>107.59</v>
      </c>
      <c r="H6696" s="39" t="n">
        <v>46016</v>
      </c>
      <c r="I6696" s="7" t="s">
        <v>14651</v>
      </c>
      <c r="J6696" s="8" t="str">
        <f aca="false">IF(I6696="Open",DATE(2025,12,31)-F6696,"-")</f>
        <v>-</v>
      </c>
    </row>
    <row r="6697" customFormat="false" ht="15" hidden="false" customHeight="false" outlineLevel="0" collapsed="false">
      <c r="B6697" s="7" t="s">
        <v>21343</v>
      </c>
      <c r="C6697" s="7" t="s">
        <v>7194</v>
      </c>
      <c r="D6697" s="7" t="s">
        <v>389</v>
      </c>
      <c r="E6697" s="7" t="s">
        <v>154</v>
      </c>
      <c r="F6697" s="39" t="n">
        <v>45966</v>
      </c>
      <c r="G6697" s="41" t="n">
        <v>101.76</v>
      </c>
      <c r="H6697" s="6" t="s">
        <v>182</v>
      </c>
      <c r="I6697" s="7" t="s">
        <v>19787</v>
      </c>
      <c r="J6697" s="8" t="n">
        <f aca="false">IF(I6697="Open",DATE(2025,12,31)-F6697,"-")</f>
        <v>56</v>
      </c>
    </row>
    <row r="6698" customFormat="false" ht="15" hidden="false" customHeight="false" outlineLevel="0" collapsed="false">
      <c r="B6698" s="7" t="s">
        <v>21344</v>
      </c>
      <c r="C6698" s="7" t="s">
        <v>7195</v>
      </c>
      <c r="D6698" s="7" t="s">
        <v>391</v>
      </c>
      <c r="E6698" s="7" t="s">
        <v>156</v>
      </c>
      <c r="F6698" s="39" t="n">
        <v>45966</v>
      </c>
      <c r="G6698" s="41" t="n">
        <v>130.9</v>
      </c>
      <c r="H6698" s="39" t="n">
        <v>45980</v>
      </c>
      <c r="I6698" s="7" t="s">
        <v>14651</v>
      </c>
      <c r="J6698" s="8" t="str">
        <f aca="false">IF(I6698="Open",DATE(2025,12,31)-F6698,"-")</f>
        <v>-</v>
      </c>
    </row>
    <row r="6699" customFormat="false" ht="15" hidden="false" customHeight="false" outlineLevel="0" collapsed="false">
      <c r="B6699" s="7" t="s">
        <v>21345</v>
      </c>
      <c r="C6699" s="7" t="s">
        <v>7196</v>
      </c>
      <c r="D6699" s="7" t="s">
        <v>393</v>
      </c>
      <c r="E6699" s="7" t="s">
        <v>157</v>
      </c>
      <c r="F6699" s="39" t="n">
        <v>45966</v>
      </c>
      <c r="G6699" s="41" t="n">
        <v>161.7</v>
      </c>
      <c r="H6699" s="39" t="n">
        <v>45988</v>
      </c>
      <c r="I6699" s="7" t="s">
        <v>14651</v>
      </c>
      <c r="J6699" s="8" t="str">
        <f aca="false">IF(I6699="Open",DATE(2025,12,31)-F6699,"-")</f>
        <v>-</v>
      </c>
    </row>
    <row r="6700" customFormat="false" ht="15" hidden="false" customHeight="false" outlineLevel="0" collapsed="false">
      <c r="B6700" s="7" t="s">
        <v>21346</v>
      </c>
      <c r="C6700" s="7" t="s">
        <v>7197</v>
      </c>
      <c r="D6700" s="7" t="s">
        <v>395</v>
      </c>
      <c r="E6700" s="7" t="s">
        <v>156</v>
      </c>
      <c r="F6700" s="39" t="n">
        <v>45966</v>
      </c>
      <c r="G6700" s="41" t="n">
        <v>128.18</v>
      </c>
      <c r="H6700" s="39" t="n">
        <v>45977</v>
      </c>
      <c r="I6700" s="7" t="s">
        <v>14651</v>
      </c>
      <c r="J6700" s="8" t="str">
        <f aca="false">IF(I6700="Open",DATE(2025,12,31)-F6700,"-")</f>
        <v>-</v>
      </c>
    </row>
    <row r="6701" customFormat="false" ht="15" hidden="false" customHeight="false" outlineLevel="0" collapsed="false">
      <c r="B6701" s="7" t="s">
        <v>21347</v>
      </c>
      <c r="C6701" s="7" t="s">
        <v>7198</v>
      </c>
      <c r="D6701" s="7" t="s">
        <v>399</v>
      </c>
      <c r="E6701" s="7" t="s">
        <v>154</v>
      </c>
      <c r="F6701" s="39" t="n">
        <v>45966</v>
      </c>
      <c r="G6701" s="41" t="n">
        <v>93.31</v>
      </c>
      <c r="H6701" s="6" t="s">
        <v>182</v>
      </c>
      <c r="I6701" s="7" t="s">
        <v>19787</v>
      </c>
      <c r="J6701" s="8" t="n">
        <f aca="false">IF(I6701="Open",DATE(2025,12,31)-F6701,"-")</f>
        <v>56</v>
      </c>
    </row>
    <row r="6702" customFormat="false" ht="15" hidden="false" customHeight="false" outlineLevel="0" collapsed="false">
      <c r="B6702" s="7" t="s">
        <v>21348</v>
      </c>
      <c r="C6702" s="7" t="s">
        <v>7199</v>
      </c>
      <c r="D6702" s="7" t="s">
        <v>401</v>
      </c>
      <c r="E6702" s="7" t="s">
        <v>156</v>
      </c>
      <c r="F6702" s="39" t="n">
        <v>45966</v>
      </c>
      <c r="G6702" s="41" t="n">
        <v>142.12</v>
      </c>
      <c r="H6702" s="39" t="n">
        <v>45967</v>
      </c>
      <c r="I6702" s="7" t="s">
        <v>14651</v>
      </c>
      <c r="J6702" s="8" t="str">
        <f aca="false">IF(I6702="Open",DATE(2025,12,31)-F6702,"-")</f>
        <v>-</v>
      </c>
    </row>
    <row r="6703" customFormat="false" ht="15" hidden="false" customHeight="false" outlineLevel="0" collapsed="false">
      <c r="B6703" s="7" t="s">
        <v>21349</v>
      </c>
      <c r="C6703" s="7" t="s">
        <v>7200</v>
      </c>
      <c r="D6703" s="7" t="s">
        <v>403</v>
      </c>
      <c r="E6703" s="7" t="s">
        <v>156</v>
      </c>
      <c r="F6703" s="39" t="n">
        <v>45966</v>
      </c>
      <c r="G6703" s="41" t="n">
        <v>124.44</v>
      </c>
      <c r="H6703" s="39" t="n">
        <v>45978</v>
      </c>
      <c r="I6703" s="7" t="s">
        <v>14651</v>
      </c>
      <c r="J6703" s="8" t="str">
        <f aca="false">IF(I6703="Open",DATE(2025,12,31)-F6703,"-")</f>
        <v>-</v>
      </c>
    </row>
    <row r="6704" customFormat="false" ht="15" hidden="false" customHeight="false" outlineLevel="0" collapsed="false">
      <c r="B6704" s="7" t="s">
        <v>21350</v>
      </c>
      <c r="C6704" s="7" t="s">
        <v>7201</v>
      </c>
      <c r="D6704" s="7" t="s">
        <v>409</v>
      </c>
      <c r="E6704" s="7" t="s">
        <v>154</v>
      </c>
      <c r="F6704" s="39" t="n">
        <v>45966</v>
      </c>
      <c r="G6704" s="41" t="n">
        <v>89.57</v>
      </c>
      <c r="H6704" s="6" t="s">
        <v>182</v>
      </c>
      <c r="I6704" s="7" t="s">
        <v>19787</v>
      </c>
      <c r="J6704" s="8" t="n">
        <f aca="false">IF(I6704="Open",DATE(2025,12,31)-F6704,"-")</f>
        <v>56</v>
      </c>
    </row>
    <row r="6705" customFormat="false" ht="15" hidden="false" customHeight="false" outlineLevel="0" collapsed="false">
      <c r="B6705" s="7" t="s">
        <v>21351</v>
      </c>
      <c r="C6705" s="7" t="s">
        <v>7202</v>
      </c>
      <c r="D6705" s="7" t="s">
        <v>411</v>
      </c>
      <c r="E6705" s="7" t="s">
        <v>154</v>
      </c>
      <c r="F6705" s="39" t="n">
        <v>45966</v>
      </c>
      <c r="G6705" s="41" t="n">
        <v>134.36</v>
      </c>
      <c r="H6705" s="6" t="s">
        <v>182</v>
      </c>
      <c r="I6705" s="7" t="s">
        <v>19787</v>
      </c>
      <c r="J6705" s="8" t="n">
        <f aca="false">IF(I6705="Open",DATE(2025,12,31)-F6705,"-")</f>
        <v>56</v>
      </c>
    </row>
    <row r="6706" customFormat="false" ht="15" hidden="false" customHeight="false" outlineLevel="0" collapsed="false">
      <c r="B6706" s="7" t="s">
        <v>21352</v>
      </c>
      <c r="C6706" s="7" t="s">
        <v>7203</v>
      </c>
      <c r="D6706" s="7" t="s">
        <v>288</v>
      </c>
      <c r="E6706" s="7" t="s">
        <v>156</v>
      </c>
      <c r="F6706" s="39" t="n">
        <v>45967</v>
      </c>
      <c r="G6706" s="41" t="n">
        <v>128.18</v>
      </c>
      <c r="H6706" s="39" t="n">
        <v>45968</v>
      </c>
      <c r="I6706" s="7" t="s">
        <v>14651</v>
      </c>
      <c r="J6706" s="8" t="str">
        <f aca="false">IF(I6706="Open",DATE(2025,12,31)-F6706,"-")</f>
        <v>-</v>
      </c>
    </row>
    <row r="6707" customFormat="false" ht="15" hidden="false" customHeight="false" outlineLevel="0" collapsed="false">
      <c r="B6707" s="7" t="s">
        <v>21353</v>
      </c>
      <c r="C6707" s="7" t="s">
        <v>7204</v>
      </c>
      <c r="D6707" s="7" t="s">
        <v>297</v>
      </c>
      <c r="E6707" s="7" t="s">
        <v>156</v>
      </c>
      <c r="F6707" s="39" t="n">
        <v>45967</v>
      </c>
      <c r="G6707" s="41" t="n">
        <v>95.88</v>
      </c>
      <c r="H6707" s="39" t="n">
        <v>45981</v>
      </c>
      <c r="I6707" s="7" t="s">
        <v>14651</v>
      </c>
      <c r="J6707" s="8" t="str">
        <f aca="false">IF(I6707="Open",DATE(2025,12,31)-F6707,"-")</f>
        <v>-</v>
      </c>
    </row>
    <row r="6708" customFormat="false" ht="15" hidden="false" customHeight="false" outlineLevel="0" collapsed="false">
      <c r="B6708" s="7" t="s">
        <v>21354</v>
      </c>
      <c r="C6708" s="7" t="s">
        <v>7205</v>
      </c>
      <c r="D6708" s="7" t="s">
        <v>299</v>
      </c>
      <c r="E6708" s="7" t="s">
        <v>154</v>
      </c>
      <c r="F6708" s="39" t="n">
        <v>45967</v>
      </c>
      <c r="G6708" s="41" t="n">
        <v>75.79</v>
      </c>
      <c r="H6708" s="6" t="s">
        <v>182</v>
      </c>
      <c r="I6708" s="7" t="s">
        <v>19787</v>
      </c>
      <c r="J6708" s="8" t="n">
        <f aca="false">IF(I6708="Open",DATE(2025,12,31)-F6708,"-")</f>
        <v>55</v>
      </c>
    </row>
    <row r="6709" customFormat="false" ht="15" hidden="false" customHeight="false" outlineLevel="0" collapsed="false">
      <c r="B6709" s="7" t="s">
        <v>21355</v>
      </c>
      <c r="C6709" s="7" t="s">
        <v>7206</v>
      </c>
      <c r="D6709" s="7" t="s">
        <v>311</v>
      </c>
      <c r="E6709" s="7" t="s">
        <v>154</v>
      </c>
      <c r="F6709" s="39" t="n">
        <v>45967</v>
      </c>
      <c r="G6709" s="41" t="n">
        <v>78.97</v>
      </c>
      <c r="H6709" s="39" t="n">
        <v>45998</v>
      </c>
      <c r="I6709" s="7" t="s">
        <v>14651</v>
      </c>
      <c r="J6709" s="8" t="str">
        <f aca="false">IF(I6709="Open",DATE(2025,12,31)-F6709,"-")</f>
        <v>-</v>
      </c>
    </row>
    <row r="6710" customFormat="false" ht="15" hidden="false" customHeight="false" outlineLevel="0" collapsed="false">
      <c r="B6710" s="7" t="s">
        <v>21356</v>
      </c>
      <c r="C6710" s="7" t="s">
        <v>7207</v>
      </c>
      <c r="D6710" s="7" t="s">
        <v>313</v>
      </c>
      <c r="E6710" s="7" t="s">
        <v>156</v>
      </c>
      <c r="F6710" s="39" t="n">
        <v>45967</v>
      </c>
      <c r="G6710" s="41" t="n">
        <v>149.6</v>
      </c>
      <c r="H6710" s="39" t="n">
        <v>45978</v>
      </c>
      <c r="I6710" s="7" t="s">
        <v>14651</v>
      </c>
      <c r="J6710" s="8" t="str">
        <f aca="false">IF(I6710="Open",DATE(2025,12,31)-F6710,"-")</f>
        <v>-</v>
      </c>
    </row>
    <row r="6711" customFormat="false" ht="15" hidden="false" customHeight="false" outlineLevel="0" collapsed="false">
      <c r="B6711" s="7" t="s">
        <v>21357</v>
      </c>
      <c r="C6711" s="7" t="s">
        <v>7208</v>
      </c>
      <c r="D6711" s="7" t="s">
        <v>317</v>
      </c>
      <c r="E6711" s="7" t="s">
        <v>156</v>
      </c>
      <c r="F6711" s="39" t="n">
        <v>45967</v>
      </c>
      <c r="G6711" s="41" t="n">
        <v>108.12</v>
      </c>
      <c r="H6711" s="39" t="n">
        <v>45984</v>
      </c>
      <c r="I6711" s="7" t="s">
        <v>14651</v>
      </c>
      <c r="J6711" s="8" t="str">
        <f aca="false">IF(I6711="Open",DATE(2025,12,31)-F6711,"-")</f>
        <v>-</v>
      </c>
    </row>
    <row r="6712" customFormat="false" ht="15" hidden="false" customHeight="false" outlineLevel="0" collapsed="false">
      <c r="B6712" s="7" t="s">
        <v>21358</v>
      </c>
      <c r="C6712" s="7" t="s">
        <v>7209</v>
      </c>
      <c r="D6712" s="7" t="s">
        <v>321</v>
      </c>
      <c r="E6712" s="7" t="s">
        <v>154</v>
      </c>
      <c r="F6712" s="39" t="n">
        <v>45967</v>
      </c>
      <c r="G6712" s="41" t="n">
        <v>95.4</v>
      </c>
      <c r="H6712" s="39" t="n">
        <v>46007</v>
      </c>
      <c r="I6712" s="7" t="s">
        <v>14651</v>
      </c>
      <c r="J6712" s="8" t="str">
        <f aca="false">IF(I6712="Open",DATE(2025,12,31)-F6712,"-")</f>
        <v>-</v>
      </c>
    </row>
    <row r="6713" customFormat="false" ht="15" hidden="false" customHeight="false" outlineLevel="0" collapsed="false">
      <c r="B6713" s="7" t="s">
        <v>21359</v>
      </c>
      <c r="C6713" s="7" t="s">
        <v>7210</v>
      </c>
      <c r="D6713" s="7" t="s">
        <v>325</v>
      </c>
      <c r="E6713" s="7" t="s">
        <v>154</v>
      </c>
      <c r="F6713" s="39" t="n">
        <v>45967</v>
      </c>
      <c r="G6713" s="41" t="n">
        <v>74.2</v>
      </c>
      <c r="H6713" s="39" t="n">
        <v>46007</v>
      </c>
      <c r="I6713" s="7" t="s">
        <v>14651</v>
      </c>
      <c r="J6713" s="8" t="str">
        <f aca="false">IF(I6713="Open",DATE(2025,12,31)-F6713,"-")</f>
        <v>-</v>
      </c>
    </row>
    <row r="6714" customFormat="false" ht="15" hidden="false" customHeight="false" outlineLevel="0" collapsed="false">
      <c r="B6714" s="7" t="s">
        <v>21360</v>
      </c>
      <c r="C6714" s="7" t="s">
        <v>7211</v>
      </c>
      <c r="D6714" s="7" t="s">
        <v>329</v>
      </c>
      <c r="E6714" s="7" t="s">
        <v>156</v>
      </c>
      <c r="F6714" s="39" t="n">
        <v>45967</v>
      </c>
      <c r="G6714" s="41" t="n">
        <v>128.18</v>
      </c>
      <c r="H6714" s="39" t="n">
        <v>45977</v>
      </c>
      <c r="I6714" s="7" t="s">
        <v>14651</v>
      </c>
      <c r="J6714" s="8" t="str">
        <f aca="false">IF(I6714="Open",DATE(2025,12,31)-F6714,"-")</f>
        <v>-</v>
      </c>
    </row>
    <row r="6715" customFormat="false" ht="15" hidden="false" customHeight="false" outlineLevel="0" collapsed="false">
      <c r="B6715" s="7" t="s">
        <v>21361</v>
      </c>
      <c r="C6715" s="7" t="s">
        <v>7212</v>
      </c>
      <c r="D6715" s="7" t="s">
        <v>331</v>
      </c>
      <c r="E6715" s="7" t="s">
        <v>156</v>
      </c>
      <c r="F6715" s="39" t="n">
        <v>45967</v>
      </c>
      <c r="G6715" s="41" t="n">
        <v>141.78</v>
      </c>
      <c r="H6715" s="39" t="n">
        <v>45980</v>
      </c>
      <c r="I6715" s="7" t="s">
        <v>14651</v>
      </c>
      <c r="J6715" s="8" t="str">
        <f aca="false">IF(I6715="Open",DATE(2025,12,31)-F6715,"-")</f>
        <v>-</v>
      </c>
    </row>
    <row r="6716" customFormat="false" ht="15" hidden="false" customHeight="false" outlineLevel="0" collapsed="false">
      <c r="B6716" s="7" t="s">
        <v>21362</v>
      </c>
      <c r="C6716" s="7" t="s">
        <v>7213</v>
      </c>
      <c r="D6716" s="7" t="s">
        <v>341</v>
      </c>
      <c r="E6716" s="7" t="s">
        <v>156</v>
      </c>
      <c r="F6716" s="39" t="n">
        <v>45967</v>
      </c>
      <c r="G6716" s="41" t="n">
        <v>105.74</v>
      </c>
      <c r="H6716" s="39" t="n">
        <v>45985</v>
      </c>
      <c r="I6716" s="7" t="s">
        <v>14651</v>
      </c>
      <c r="J6716" s="8" t="str">
        <f aca="false">IF(I6716="Open",DATE(2025,12,31)-F6716,"-")</f>
        <v>-</v>
      </c>
    </row>
    <row r="6717" customFormat="false" ht="15" hidden="false" customHeight="false" outlineLevel="0" collapsed="false">
      <c r="B6717" s="7" t="s">
        <v>21363</v>
      </c>
      <c r="C6717" s="7" t="s">
        <v>7214</v>
      </c>
      <c r="D6717" s="7" t="s">
        <v>343</v>
      </c>
      <c r="E6717" s="7" t="s">
        <v>154</v>
      </c>
      <c r="F6717" s="39" t="n">
        <v>45967</v>
      </c>
      <c r="G6717" s="41" t="n">
        <v>103.88</v>
      </c>
      <c r="H6717" s="39" t="n">
        <v>46000</v>
      </c>
      <c r="I6717" s="7" t="s">
        <v>14651</v>
      </c>
      <c r="J6717" s="8" t="str">
        <f aca="false">IF(I6717="Open",DATE(2025,12,31)-F6717,"-")</f>
        <v>-</v>
      </c>
    </row>
    <row r="6718" customFormat="false" ht="15" hidden="false" customHeight="false" outlineLevel="0" collapsed="false">
      <c r="B6718" s="7" t="s">
        <v>21364</v>
      </c>
      <c r="C6718" s="7" t="s">
        <v>7215</v>
      </c>
      <c r="D6718" s="7" t="s">
        <v>349</v>
      </c>
      <c r="E6718" s="7" t="s">
        <v>154</v>
      </c>
      <c r="F6718" s="39" t="n">
        <v>45967</v>
      </c>
      <c r="G6718" s="41" t="n">
        <v>115.01</v>
      </c>
      <c r="H6718" s="6" t="s">
        <v>182</v>
      </c>
      <c r="I6718" s="7" t="s">
        <v>19787</v>
      </c>
      <c r="J6718" s="8" t="n">
        <f aca="false">IF(I6718="Open",DATE(2025,12,31)-F6718,"-")</f>
        <v>55</v>
      </c>
    </row>
    <row r="6719" customFormat="false" ht="15" hidden="false" customHeight="false" outlineLevel="0" collapsed="false">
      <c r="B6719" s="7" t="s">
        <v>21365</v>
      </c>
      <c r="C6719" s="7" t="s">
        <v>7216</v>
      </c>
      <c r="D6719" s="7" t="s">
        <v>351</v>
      </c>
      <c r="E6719" s="7" t="s">
        <v>154</v>
      </c>
      <c r="F6719" s="39" t="n">
        <v>45967</v>
      </c>
      <c r="G6719" s="41" t="n">
        <v>84.53</v>
      </c>
      <c r="H6719" s="39" t="n">
        <v>46001</v>
      </c>
      <c r="I6719" s="7" t="s">
        <v>14651</v>
      </c>
      <c r="J6719" s="8" t="str">
        <f aca="false">IF(I6719="Open",DATE(2025,12,31)-F6719,"-")</f>
        <v>-</v>
      </c>
    </row>
    <row r="6720" customFormat="false" ht="15" hidden="false" customHeight="false" outlineLevel="0" collapsed="false">
      <c r="B6720" s="7" t="s">
        <v>21366</v>
      </c>
      <c r="C6720" s="7" t="s">
        <v>7217</v>
      </c>
      <c r="D6720" s="7" t="s">
        <v>359</v>
      </c>
      <c r="E6720" s="7" t="s">
        <v>156</v>
      </c>
      <c r="F6720" s="39" t="n">
        <v>45967</v>
      </c>
      <c r="G6720" s="41" t="n">
        <v>134.98</v>
      </c>
      <c r="H6720" s="39" t="n">
        <v>45977</v>
      </c>
      <c r="I6720" s="7" t="s">
        <v>14651</v>
      </c>
      <c r="J6720" s="8" t="str">
        <f aca="false">IF(I6720="Open",DATE(2025,12,31)-F6720,"-")</f>
        <v>-</v>
      </c>
    </row>
    <row r="6721" customFormat="false" ht="15" hidden="false" customHeight="false" outlineLevel="0" collapsed="false">
      <c r="B6721" s="7" t="s">
        <v>21367</v>
      </c>
      <c r="C6721" s="7" t="s">
        <v>7218</v>
      </c>
      <c r="D6721" s="7" t="s">
        <v>363</v>
      </c>
      <c r="E6721" s="7" t="s">
        <v>156</v>
      </c>
      <c r="F6721" s="39" t="n">
        <v>45967</v>
      </c>
      <c r="G6721" s="41" t="n">
        <v>129.54</v>
      </c>
      <c r="H6721" s="39" t="n">
        <v>45975</v>
      </c>
      <c r="I6721" s="7" t="s">
        <v>14651</v>
      </c>
      <c r="J6721" s="8" t="str">
        <f aca="false">IF(I6721="Open",DATE(2025,12,31)-F6721,"-")</f>
        <v>-</v>
      </c>
    </row>
    <row r="6722" customFormat="false" ht="15" hidden="false" customHeight="false" outlineLevel="0" collapsed="false">
      <c r="B6722" s="7" t="s">
        <v>21368</v>
      </c>
      <c r="C6722" s="7" t="s">
        <v>7219</v>
      </c>
      <c r="D6722" s="7" t="s">
        <v>365</v>
      </c>
      <c r="E6722" s="7" t="s">
        <v>154</v>
      </c>
      <c r="F6722" s="39" t="n">
        <v>45967</v>
      </c>
      <c r="G6722" s="41" t="n">
        <v>108.65</v>
      </c>
      <c r="H6722" s="39" t="n">
        <v>45994</v>
      </c>
      <c r="I6722" s="7" t="s">
        <v>14651</v>
      </c>
      <c r="J6722" s="8" t="str">
        <f aca="false">IF(I6722="Open",DATE(2025,12,31)-F6722,"-")</f>
        <v>-</v>
      </c>
    </row>
    <row r="6723" customFormat="false" ht="15" hidden="false" customHeight="false" outlineLevel="0" collapsed="false">
      <c r="B6723" s="7" t="s">
        <v>21369</v>
      </c>
      <c r="C6723" s="7" t="s">
        <v>7220</v>
      </c>
      <c r="D6723" s="7" t="s">
        <v>375</v>
      </c>
      <c r="E6723" s="7" t="s">
        <v>156</v>
      </c>
      <c r="F6723" s="39" t="n">
        <v>45967</v>
      </c>
      <c r="G6723" s="41" t="n">
        <v>102.68</v>
      </c>
      <c r="H6723" s="39" t="n">
        <v>45978</v>
      </c>
      <c r="I6723" s="7" t="s">
        <v>14651</v>
      </c>
      <c r="J6723" s="8" t="str">
        <f aca="false">IF(I6723="Open",DATE(2025,12,31)-F6723,"-")</f>
        <v>-</v>
      </c>
    </row>
    <row r="6724" customFormat="false" ht="15" hidden="false" customHeight="false" outlineLevel="0" collapsed="false">
      <c r="B6724" s="7" t="s">
        <v>21370</v>
      </c>
      <c r="C6724" s="7" t="s">
        <v>7221</v>
      </c>
      <c r="D6724" s="7" t="s">
        <v>377</v>
      </c>
      <c r="E6724" s="7" t="s">
        <v>154</v>
      </c>
      <c r="F6724" s="39" t="n">
        <v>45967</v>
      </c>
      <c r="G6724" s="41" t="n">
        <v>95.37</v>
      </c>
      <c r="H6724" s="39" t="n">
        <v>45997</v>
      </c>
      <c r="I6724" s="7" t="s">
        <v>14651</v>
      </c>
      <c r="J6724" s="8" t="str">
        <f aca="false">IF(I6724="Open",DATE(2025,12,31)-F6724,"-")</f>
        <v>-</v>
      </c>
    </row>
    <row r="6725" customFormat="false" ht="15" hidden="false" customHeight="false" outlineLevel="0" collapsed="false">
      <c r="B6725" s="7" t="s">
        <v>21371</v>
      </c>
      <c r="C6725" s="7" t="s">
        <v>7222</v>
      </c>
      <c r="D6725" s="7" t="s">
        <v>387</v>
      </c>
      <c r="E6725" s="7" t="s">
        <v>154</v>
      </c>
      <c r="F6725" s="39" t="n">
        <v>45967</v>
      </c>
      <c r="G6725" s="41" t="n">
        <v>94.6</v>
      </c>
      <c r="H6725" s="39" t="n">
        <v>46007</v>
      </c>
      <c r="I6725" s="7" t="s">
        <v>14651</v>
      </c>
      <c r="J6725" s="8" t="str">
        <f aca="false">IF(I6725="Open",DATE(2025,12,31)-F6725,"-")</f>
        <v>-</v>
      </c>
    </row>
    <row r="6726" customFormat="false" ht="15" hidden="false" customHeight="false" outlineLevel="0" collapsed="false">
      <c r="B6726" s="7" t="s">
        <v>21372</v>
      </c>
      <c r="C6726" s="7" t="s">
        <v>7223</v>
      </c>
      <c r="D6726" s="7" t="s">
        <v>389</v>
      </c>
      <c r="E6726" s="7" t="s">
        <v>154</v>
      </c>
      <c r="F6726" s="39" t="n">
        <v>45967</v>
      </c>
      <c r="G6726" s="41" t="n">
        <v>104.41</v>
      </c>
      <c r="H6726" s="6" t="s">
        <v>182</v>
      </c>
      <c r="I6726" s="7" t="s">
        <v>19787</v>
      </c>
      <c r="J6726" s="8" t="n">
        <f aca="false">IF(I6726="Open",DATE(2025,12,31)-F6726,"-")</f>
        <v>55</v>
      </c>
    </row>
    <row r="6727" customFormat="false" ht="15" hidden="false" customHeight="false" outlineLevel="0" collapsed="false">
      <c r="B6727" s="7" t="s">
        <v>21373</v>
      </c>
      <c r="C6727" s="7" t="s">
        <v>7224</v>
      </c>
      <c r="D6727" s="7" t="s">
        <v>391</v>
      </c>
      <c r="E6727" s="7" t="s">
        <v>156</v>
      </c>
      <c r="F6727" s="39" t="n">
        <v>45967</v>
      </c>
      <c r="G6727" s="41" t="n">
        <v>127.16</v>
      </c>
      <c r="H6727" s="39" t="n">
        <v>45980</v>
      </c>
      <c r="I6727" s="7" t="s">
        <v>14651</v>
      </c>
      <c r="J6727" s="8" t="str">
        <f aca="false">IF(I6727="Open",DATE(2025,12,31)-F6727,"-")</f>
        <v>-</v>
      </c>
    </row>
    <row r="6728" customFormat="false" ht="15" hidden="false" customHeight="false" outlineLevel="0" collapsed="false">
      <c r="B6728" s="7" t="s">
        <v>21374</v>
      </c>
      <c r="C6728" s="7" t="s">
        <v>7225</v>
      </c>
      <c r="D6728" s="7" t="s">
        <v>395</v>
      </c>
      <c r="E6728" s="7" t="s">
        <v>156</v>
      </c>
      <c r="F6728" s="39" t="n">
        <v>45967</v>
      </c>
      <c r="G6728" s="41" t="n">
        <v>148.58</v>
      </c>
      <c r="H6728" s="39" t="n">
        <v>45983</v>
      </c>
      <c r="I6728" s="7" t="s">
        <v>14651</v>
      </c>
      <c r="J6728" s="8" t="str">
        <f aca="false">IF(I6728="Open",DATE(2025,12,31)-F6728,"-")</f>
        <v>-</v>
      </c>
    </row>
    <row r="6729" customFormat="false" ht="15" hidden="false" customHeight="false" outlineLevel="0" collapsed="false">
      <c r="B6729" s="7" t="s">
        <v>21375</v>
      </c>
      <c r="C6729" s="7" t="s">
        <v>7226</v>
      </c>
      <c r="D6729" s="7" t="s">
        <v>401</v>
      </c>
      <c r="E6729" s="7" t="s">
        <v>156</v>
      </c>
      <c r="F6729" s="39" t="n">
        <v>45967</v>
      </c>
      <c r="G6729" s="41" t="n">
        <v>138.38</v>
      </c>
      <c r="H6729" s="39" t="n">
        <v>45976</v>
      </c>
      <c r="I6729" s="7" t="s">
        <v>14651</v>
      </c>
      <c r="J6729" s="8" t="str">
        <f aca="false">IF(I6729="Open",DATE(2025,12,31)-F6729,"-")</f>
        <v>-</v>
      </c>
    </row>
    <row r="6730" customFormat="false" ht="15" hidden="false" customHeight="false" outlineLevel="0" collapsed="false">
      <c r="B6730" s="7" t="s">
        <v>21376</v>
      </c>
      <c r="C6730" s="7" t="s">
        <v>7227</v>
      </c>
      <c r="D6730" s="7" t="s">
        <v>288</v>
      </c>
      <c r="E6730" s="7" t="s">
        <v>156</v>
      </c>
      <c r="F6730" s="39" t="n">
        <v>45968</v>
      </c>
      <c r="G6730" s="41" t="n">
        <v>144.16</v>
      </c>
      <c r="H6730" s="39" t="n">
        <v>45975</v>
      </c>
      <c r="I6730" s="7" t="s">
        <v>14651</v>
      </c>
      <c r="J6730" s="8" t="str">
        <f aca="false">IF(I6730="Open",DATE(2025,12,31)-F6730,"-")</f>
        <v>-</v>
      </c>
    </row>
    <row r="6731" customFormat="false" ht="15" hidden="false" customHeight="false" outlineLevel="0" collapsed="false">
      <c r="B6731" s="7" t="s">
        <v>21377</v>
      </c>
      <c r="C6731" s="7" t="s">
        <v>7228</v>
      </c>
      <c r="D6731" s="7" t="s">
        <v>291</v>
      </c>
      <c r="E6731" s="7" t="s">
        <v>154</v>
      </c>
      <c r="F6731" s="39" t="n">
        <v>45968</v>
      </c>
      <c r="G6731" s="41" t="n">
        <v>119.52</v>
      </c>
      <c r="H6731" s="6" t="s">
        <v>182</v>
      </c>
      <c r="I6731" s="7" t="s">
        <v>19787</v>
      </c>
      <c r="J6731" s="8" t="n">
        <f aca="false">IF(I6731="Open",DATE(2025,12,31)-F6731,"-")</f>
        <v>54</v>
      </c>
    </row>
    <row r="6732" customFormat="false" ht="15" hidden="false" customHeight="false" outlineLevel="0" collapsed="false">
      <c r="B6732" s="7" t="s">
        <v>21378</v>
      </c>
      <c r="C6732" s="7" t="s">
        <v>7229</v>
      </c>
      <c r="D6732" s="7" t="s">
        <v>293</v>
      </c>
      <c r="E6732" s="7" t="s">
        <v>157</v>
      </c>
      <c r="F6732" s="39" t="n">
        <v>45968</v>
      </c>
      <c r="G6732" s="41" t="n">
        <v>178.2</v>
      </c>
      <c r="H6732" s="39" t="n">
        <v>46012</v>
      </c>
      <c r="I6732" s="7" t="s">
        <v>14651</v>
      </c>
      <c r="J6732" s="8" t="str">
        <f aca="false">IF(I6732="Open",DATE(2025,12,31)-F6732,"-")</f>
        <v>-</v>
      </c>
    </row>
    <row r="6733" customFormat="false" ht="15" hidden="false" customHeight="false" outlineLevel="0" collapsed="false">
      <c r="B6733" s="7" t="s">
        <v>21379</v>
      </c>
      <c r="C6733" s="7" t="s">
        <v>7230</v>
      </c>
      <c r="D6733" s="7" t="s">
        <v>295</v>
      </c>
      <c r="E6733" s="7" t="s">
        <v>154</v>
      </c>
      <c r="F6733" s="39" t="n">
        <v>45968</v>
      </c>
      <c r="G6733" s="41" t="n">
        <v>102.29</v>
      </c>
      <c r="H6733" s="6" t="s">
        <v>182</v>
      </c>
      <c r="I6733" s="7" t="s">
        <v>19787</v>
      </c>
      <c r="J6733" s="8" t="n">
        <f aca="false">IF(I6733="Open",DATE(2025,12,31)-F6733,"-")</f>
        <v>54</v>
      </c>
    </row>
    <row r="6734" customFormat="false" ht="15" hidden="false" customHeight="false" outlineLevel="0" collapsed="false">
      <c r="B6734" s="7" t="s">
        <v>21380</v>
      </c>
      <c r="C6734" s="7" t="s">
        <v>7231</v>
      </c>
      <c r="D6734" s="7" t="s">
        <v>301</v>
      </c>
      <c r="E6734" s="7" t="s">
        <v>157</v>
      </c>
      <c r="F6734" s="39" t="n">
        <v>45968</v>
      </c>
      <c r="G6734" s="41" t="n">
        <v>150.15</v>
      </c>
      <c r="H6734" s="39" t="n">
        <v>45985</v>
      </c>
      <c r="I6734" s="7" t="s">
        <v>14651</v>
      </c>
      <c r="J6734" s="8" t="str">
        <f aca="false">IF(I6734="Open",DATE(2025,12,31)-F6734,"-")</f>
        <v>-</v>
      </c>
    </row>
    <row r="6735" customFormat="false" ht="15" hidden="false" customHeight="false" outlineLevel="0" collapsed="false">
      <c r="B6735" s="7" t="s">
        <v>21381</v>
      </c>
      <c r="C6735" s="7" t="s">
        <v>7232</v>
      </c>
      <c r="D6735" s="7" t="s">
        <v>305</v>
      </c>
      <c r="E6735" s="7" t="s">
        <v>154</v>
      </c>
      <c r="F6735" s="39" t="n">
        <v>45968</v>
      </c>
      <c r="G6735" s="41" t="n">
        <v>95.93</v>
      </c>
      <c r="H6735" s="39" t="n">
        <v>46005</v>
      </c>
      <c r="I6735" s="7" t="s">
        <v>14651</v>
      </c>
      <c r="J6735" s="8" t="str">
        <f aca="false">IF(I6735="Open",DATE(2025,12,31)-F6735,"-")</f>
        <v>-</v>
      </c>
    </row>
    <row r="6736" customFormat="false" ht="15" hidden="false" customHeight="false" outlineLevel="0" collapsed="false">
      <c r="B6736" s="7" t="s">
        <v>21382</v>
      </c>
      <c r="C6736" s="7" t="s">
        <v>7233</v>
      </c>
      <c r="D6736" s="7" t="s">
        <v>307</v>
      </c>
      <c r="E6736" s="7" t="s">
        <v>157</v>
      </c>
      <c r="F6736" s="39" t="n">
        <v>45968</v>
      </c>
      <c r="G6736" s="41" t="n">
        <v>158.4</v>
      </c>
      <c r="H6736" s="39" t="n">
        <v>46016</v>
      </c>
      <c r="I6736" s="7" t="s">
        <v>14651</v>
      </c>
      <c r="J6736" s="8" t="str">
        <f aca="false">IF(I6736="Open",DATE(2025,12,31)-F6736,"-")</f>
        <v>-</v>
      </c>
    </row>
    <row r="6737" customFormat="false" ht="15" hidden="false" customHeight="false" outlineLevel="0" collapsed="false">
      <c r="B6737" s="7" t="s">
        <v>21383</v>
      </c>
      <c r="C6737" s="7" t="s">
        <v>7234</v>
      </c>
      <c r="D6737" s="7" t="s">
        <v>309</v>
      </c>
      <c r="E6737" s="7" t="s">
        <v>159</v>
      </c>
      <c r="F6737" s="39" t="n">
        <v>45968</v>
      </c>
      <c r="G6737" s="41" t="n">
        <v>126.9</v>
      </c>
      <c r="H6737" s="39" t="n">
        <v>46005</v>
      </c>
      <c r="I6737" s="7" t="s">
        <v>14651</v>
      </c>
      <c r="J6737" s="8" t="str">
        <f aca="false">IF(I6737="Open",DATE(2025,12,31)-F6737,"-")</f>
        <v>-</v>
      </c>
    </row>
    <row r="6738" customFormat="false" ht="15" hidden="false" customHeight="false" outlineLevel="0" collapsed="false">
      <c r="B6738" s="7" t="s">
        <v>21384</v>
      </c>
      <c r="C6738" s="7" t="s">
        <v>7235</v>
      </c>
      <c r="D6738" s="7" t="s">
        <v>313</v>
      </c>
      <c r="E6738" s="7" t="s">
        <v>156</v>
      </c>
      <c r="F6738" s="39" t="n">
        <v>45968</v>
      </c>
      <c r="G6738" s="41" t="n">
        <v>142.12</v>
      </c>
      <c r="H6738" s="39" t="n">
        <v>45974</v>
      </c>
      <c r="I6738" s="7" t="s">
        <v>14651</v>
      </c>
      <c r="J6738" s="8" t="str">
        <f aca="false">IF(I6738="Open",DATE(2025,12,31)-F6738,"-")</f>
        <v>-</v>
      </c>
    </row>
    <row r="6739" customFormat="false" ht="15" hidden="false" customHeight="false" outlineLevel="0" collapsed="false">
      <c r="B6739" s="7" t="s">
        <v>21385</v>
      </c>
      <c r="C6739" s="7" t="s">
        <v>7236</v>
      </c>
      <c r="D6739" s="7" t="s">
        <v>315</v>
      </c>
      <c r="E6739" s="7" t="s">
        <v>159</v>
      </c>
      <c r="F6739" s="39" t="n">
        <v>45968</v>
      </c>
      <c r="G6739" s="41" t="n">
        <v>133.65</v>
      </c>
      <c r="H6739" s="39" t="n">
        <v>46018</v>
      </c>
      <c r="I6739" s="7" t="s">
        <v>14651</v>
      </c>
      <c r="J6739" s="8" t="str">
        <f aca="false">IF(I6739="Open",DATE(2025,12,31)-F6739,"-")</f>
        <v>-</v>
      </c>
    </row>
    <row r="6740" customFormat="false" ht="15" hidden="false" customHeight="false" outlineLevel="0" collapsed="false">
      <c r="B6740" s="7" t="s">
        <v>21386</v>
      </c>
      <c r="C6740" s="7" t="s">
        <v>7237</v>
      </c>
      <c r="D6740" s="7" t="s">
        <v>319</v>
      </c>
      <c r="E6740" s="7" t="s">
        <v>157</v>
      </c>
      <c r="F6740" s="39" t="n">
        <v>45968</v>
      </c>
      <c r="G6740" s="41" t="n">
        <v>151.8</v>
      </c>
      <c r="H6740" s="6" t="s">
        <v>182</v>
      </c>
      <c r="I6740" s="7" t="s">
        <v>19787</v>
      </c>
      <c r="J6740" s="8" t="n">
        <f aca="false">IF(I6740="Open",DATE(2025,12,31)-F6740,"-")</f>
        <v>54</v>
      </c>
    </row>
    <row r="6741" customFormat="false" ht="15" hidden="false" customHeight="false" outlineLevel="0" collapsed="false">
      <c r="B6741" s="7" t="s">
        <v>21387</v>
      </c>
      <c r="C6741" s="7" t="s">
        <v>7238</v>
      </c>
      <c r="D6741" s="7" t="s">
        <v>321</v>
      </c>
      <c r="E6741" s="7" t="s">
        <v>154</v>
      </c>
      <c r="F6741" s="39" t="n">
        <v>45968</v>
      </c>
      <c r="G6741" s="41" t="n">
        <v>115.81</v>
      </c>
      <c r="H6741" s="6" t="s">
        <v>182</v>
      </c>
      <c r="I6741" s="7" t="s">
        <v>19787</v>
      </c>
      <c r="J6741" s="8" t="n">
        <f aca="false">IF(I6741="Open",DATE(2025,12,31)-F6741,"-")</f>
        <v>54</v>
      </c>
    </row>
    <row r="6742" customFormat="false" ht="15" hidden="false" customHeight="false" outlineLevel="0" collapsed="false">
      <c r="B6742" s="7" t="s">
        <v>21388</v>
      </c>
      <c r="C6742" s="7" t="s">
        <v>7239</v>
      </c>
      <c r="D6742" s="7" t="s">
        <v>323</v>
      </c>
      <c r="E6742" s="7" t="s">
        <v>159</v>
      </c>
      <c r="F6742" s="39" t="n">
        <v>45968</v>
      </c>
      <c r="G6742" s="41" t="n">
        <v>120.56</v>
      </c>
      <c r="H6742" s="6" t="s">
        <v>182</v>
      </c>
      <c r="I6742" s="7" t="s">
        <v>19787</v>
      </c>
      <c r="J6742" s="8" t="n">
        <f aca="false">IF(I6742="Open",DATE(2025,12,31)-F6742,"-")</f>
        <v>54</v>
      </c>
    </row>
    <row r="6743" customFormat="false" ht="15" hidden="false" customHeight="false" outlineLevel="0" collapsed="false">
      <c r="B6743" s="7" t="s">
        <v>21389</v>
      </c>
      <c r="C6743" s="7" t="s">
        <v>7240</v>
      </c>
      <c r="D6743" s="7" t="s">
        <v>327</v>
      </c>
      <c r="E6743" s="7" t="s">
        <v>157</v>
      </c>
      <c r="F6743" s="39" t="n">
        <v>45968</v>
      </c>
      <c r="G6743" s="41" t="n">
        <v>166.65</v>
      </c>
      <c r="H6743" s="39" t="n">
        <v>45997</v>
      </c>
      <c r="I6743" s="7" t="s">
        <v>14651</v>
      </c>
      <c r="J6743" s="8" t="str">
        <f aca="false">IF(I6743="Open",DATE(2025,12,31)-F6743,"-")</f>
        <v>-</v>
      </c>
    </row>
    <row r="6744" customFormat="false" ht="15" hidden="false" customHeight="false" outlineLevel="0" collapsed="false">
      <c r="B6744" s="7" t="s">
        <v>21390</v>
      </c>
      <c r="C6744" s="7" t="s">
        <v>7241</v>
      </c>
      <c r="D6744" s="7" t="s">
        <v>329</v>
      </c>
      <c r="E6744" s="7" t="s">
        <v>156</v>
      </c>
      <c r="F6744" s="39" t="n">
        <v>45968</v>
      </c>
      <c r="G6744" s="41" t="n">
        <v>123.42</v>
      </c>
      <c r="H6744" s="39" t="n">
        <v>45985</v>
      </c>
      <c r="I6744" s="7" t="s">
        <v>14651</v>
      </c>
      <c r="J6744" s="8" t="str">
        <f aca="false">IF(I6744="Open",DATE(2025,12,31)-F6744,"-")</f>
        <v>-</v>
      </c>
    </row>
    <row r="6745" customFormat="false" ht="15" hidden="false" customHeight="false" outlineLevel="0" collapsed="false">
      <c r="B6745" s="7" t="s">
        <v>21391</v>
      </c>
      <c r="C6745" s="7" t="s">
        <v>7242</v>
      </c>
      <c r="D6745" s="7" t="s">
        <v>333</v>
      </c>
      <c r="E6745" s="7" t="s">
        <v>154</v>
      </c>
      <c r="F6745" s="39" t="n">
        <v>45968</v>
      </c>
      <c r="G6745" s="41" t="n">
        <v>88.51</v>
      </c>
      <c r="H6745" s="6" t="s">
        <v>182</v>
      </c>
      <c r="I6745" s="7" t="s">
        <v>19787</v>
      </c>
      <c r="J6745" s="8" t="n">
        <f aca="false">IF(I6745="Open",DATE(2025,12,31)-F6745,"-")</f>
        <v>54</v>
      </c>
    </row>
    <row r="6746" customFormat="false" ht="15" hidden="false" customHeight="false" outlineLevel="0" collapsed="false">
      <c r="B6746" s="7" t="s">
        <v>21392</v>
      </c>
      <c r="C6746" s="7" t="s">
        <v>7243</v>
      </c>
      <c r="D6746" s="7" t="s">
        <v>335</v>
      </c>
      <c r="E6746" s="7" t="s">
        <v>154</v>
      </c>
      <c r="F6746" s="39" t="n">
        <v>45968</v>
      </c>
      <c r="G6746" s="41" t="n">
        <v>97.25</v>
      </c>
      <c r="H6746" s="6" t="s">
        <v>182</v>
      </c>
      <c r="I6746" s="7" t="s">
        <v>19787</v>
      </c>
      <c r="J6746" s="8" t="n">
        <f aca="false">IF(I6746="Open",DATE(2025,12,31)-F6746,"-")</f>
        <v>54</v>
      </c>
    </row>
    <row r="6747" customFormat="false" ht="15" hidden="false" customHeight="false" outlineLevel="0" collapsed="false">
      <c r="B6747" s="7" t="s">
        <v>21393</v>
      </c>
      <c r="C6747" s="7" t="s">
        <v>7244</v>
      </c>
      <c r="D6747" s="7" t="s">
        <v>339</v>
      </c>
      <c r="E6747" s="7" t="s">
        <v>154</v>
      </c>
      <c r="F6747" s="39" t="n">
        <v>45968</v>
      </c>
      <c r="G6747" s="41" t="n">
        <v>90.74</v>
      </c>
      <c r="H6747" s="6" t="s">
        <v>182</v>
      </c>
      <c r="I6747" s="7" t="s">
        <v>19787</v>
      </c>
      <c r="J6747" s="8" t="n">
        <f aca="false">IF(I6747="Open",DATE(2025,12,31)-F6747,"-")</f>
        <v>54</v>
      </c>
    </row>
    <row r="6748" customFormat="false" ht="15" hidden="false" customHeight="false" outlineLevel="0" collapsed="false">
      <c r="B6748" s="7" t="s">
        <v>21394</v>
      </c>
      <c r="C6748" s="7" t="s">
        <v>7245</v>
      </c>
      <c r="D6748" s="7" t="s">
        <v>347</v>
      </c>
      <c r="E6748" s="7" t="s">
        <v>154</v>
      </c>
      <c r="F6748" s="39" t="n">
        <v>45968</v>
      </c>
      <c r="G6748" s="41" t="n">
        <v>133.56</v>
      </c>
      <c r="H6748" s="6" t="s">
        <v>182</v>
      </c>
      <c r="I6748" s="7" t="s">
        <v>19787</v>
      </c>
      <c r="J6748" s="8" t="n">
        <f aca="false">IF(I6748="Open",DATE(2025,12,31)-F6748,"-")</f>
        <v>54</v>
      </c>
    </row>
    <row r="6749" customFormat="false" ht="15" hidden="false" customHeight="false" outlineLevel="0" collapsed="false">
      <c r="B6749" s="7" t="s">
        <v>21395</v>
      </c>
      <c r="C6749" s="7" t="s">
        <v>7246</v>
      </c>
      <c r="D6749" s="7" t="s">
        <v>349</v>
      </c>
      <c r="E6749" s="7" t="s">
        <v>154</v>
      </c>
      <c r="F6749" s="39" t="n">
        <v>45968</v>
      </c>
      <c r="G6749" s="41" t="n">
        <v>113.69</v>
      </c>
      <c r="H6749" s="6" t="s">
        <v>182</v>
      </c>
      <c r="I6749" s="7" t="s">
        <v>19787</v>
      </c>
      <c r="J6749" s="8" t="n">
        <f aca="false">IF(I6749="Open",DATE(2025,12,31)-F6749,"-")</f>
        <v>54</v>
      </c>
    </row>
    <row r="6750" customFormat="false" ht="15" hidden="false" customHeight="false" outlineLevel="0" collapsed="false">
      <c r="B6750" s="7" t="s">
        <v>21396</v>
      </c>
      <c r="C6750" s="7" t="s">
        <v>7247</v>
      </c>
      <c r="D6750" s="7" t="s">
        <v>353</v>
      </c>
      <c r="E6750" s="7" t="s">
        <v>154</v>
      </c>
      <c r="F6750" s="39" t="n">
        <v>45968</v>
      </c>
      <c r="G6750" s="41" t="n">
        <v>88.51</v>
      </c>
      <c r="H6750" s="39" t="n">
        <v>46020</v>
      </c>
      <c r="I6750" s="7" t="s">
        <v>14651</v>
      </c>
      <c r="J6750" s="8" t="str">
        <f aca="false">IF(I6750="Open",DATE(2025,12,31)-F6750,"-")</f>
        <v>-</v>
      </c>
    </row>
    <row r="6751" customFormat="false" ht="15" hidden="false" customHeight="false" outlineLevel="0" collapsed="false">
      <c r="B6751" s="7" t="s">
        <v>21397</v>
      </c>
      <c r="C6751" s="7" t="s">
        <v>7248</v>
      </c>
      <c r="D6751" s="7" t="s">
        <v>355</v>
      </c>
      <c r="E6751" s="7" t="s">
        <v>154</v>
      </c>
      <c r="F6751" s="39" t="n">
        <v>45968</v>
      </c>
      <c r="G6751" s="41" t="n">
        <v>86.12</v>
      </c>
      <c r="H6751" s="39" t="n">
        <v>45995</v>
      </c>
      <c r="I6751" s="7" t="s">
        <v>14651</v>
      </c>
      <c r="J6751" s="8" t="str">
        <f aca="false">IF(I6751="Open",DATE(2025,12,31)-F6751,"-")</f>
        <v>-</v>
      </c>
    </row>
    <row r="6752" customFormat="false" ht="15" hidden="false" customHeight="false" outlineLevel="0" collapsed="false">
      <c r="B6752" s="7" t="s">
        <v>21398</v>
      </c>
      <c r="C6752" s="7" t="s">
        <v>7249</v>
      </c>
      <c r="D6752" s="7" t="s">
        <v>357</v>
      </c>
      <c r="E6752" s="7" t="s">
        <v>154</v>
      </c>
      <c r="F6752" s="39" t="n">
        <v>45968</v>
      </c>
      <c r="G6752" s="41" t="n">
        <v>87.19</v>
      </c>
      <c r="H6752" s="39" t="n">
        <v>46016</v>
      </c>
      <c r="I6752" s="7" t="s">
        <v>14651</v>
      </c>
      <c r="J6752" s="8" t="str">
        <f aca="false">IF(I6752="Open",DATE(2025,12,31)-F6752,"-")</f>
        <v>-</v>
      </c>
    </row>
    <row r="6753" customFormat="false" ht="15" hidden="false" customHeight="false" outlineLevel="0" collapsed="false">
      <c r="B6753" s="7" t="s">
        <v>21399</v>
      </c>
      <c r="C6753" s="7" t="s">
        <v>7250</v>
      </c>
      <c r="D6753" s="7" t="s">
        <v>359</v>
      </c>
      <c r="E6753" s="7" t="s">
        <v>156</v>
      </c>
      <c r="F6753" s="39" t="n">
        <v>45968</v>
      </c>
      <c r="G6753" s="41" t="n">
        <v>133.28</v>
      </c>
      <c r="H6753" s="39" t="n">
        <v>45969</v>
      </c>
      <c r="I6753" s="7" t="s">
        <v>14651</v>
      </c>
      <c r="J6753" s="8" t="str">
        <f aca="false">IF(I6753="Open",DATE(2025,12,31)-F6753,"-")</f>
        <v>-</v>
      </c>
    </row>
    <row r="6754" customFormat="false" ht="15" hidden="false" customHeight="false" outlineLevel="0" collapsed="false">
      <c r="B6754" s="7" t="s">
        <v>21400</v>
      </c>
      <c r="C6754" s="7" t="s">
        <v>7251</v>
      </c>
      <c r="D6754" s="7" t="s">
        <v>361</v>
      </c>
      <c r="E6754" s="7" t="s">
        <v>157</v>
      </c>
      <c r="F6754" s="39" t="n">
        <v>45968</v>
      </c>
      <c r="G6754" s="41" t="n">
        <v>174.9</v>
      </c>
      <c r="H6754" s="39" t="n">
        <v>46004</v>
      </c>
      <c r="I6754" s="7" t="s">
        <v>14651</v>
      </c>
      <c r="J6754" s="8" t="str">
        <f aca="false">IF(I6754="Open",DATE(2025,12,31)-F6754,"-")</f>
        <v>-</v>
      </c>
    </row>
    <row r="6755" customFormat="false" ht="15" hidden="false" customHeight="false" outlineLevel="0" collapsed="false">
      <c r="B6755" s="7" t="s">
        <v>21401</v>
      </c>
      <c r="C6755" s="7" t="s">
        <v>7252</v>
      </c>
      <c r="D6755" s="7" t="s">
        <v>365</v>
      </c>
      <c r="E6755" s="7" t="s">
        <v>154</v>
      </c>
      <c r="F6755" s="39" t="n">
        <v>45968</v>
      </c>
      <c r="G6755" s="41" t="n">
        <v>112.36</v>
      </c>
      <c r="H6755" s="39" t="n">
        <v>46010</v>
      </c>
      <c r="I6755" s="7" t="s">
        <v>14651</v>
      </c>
      <c r="J6755" s="8" t="str">
        <f aca="false">IF(I6755="Open",DATE(2025,12,31)-F6755,"-")</f>
        <v>-</v>
      </c>
    </row>
    <row r="6756" customFormat="false" ht="15" hidden="false" customHeight="false" outlineLevel="0" collapsed="false">
      <c r="B6756" s="7" t="s">
        <v>21402</v>
      </c>
      <c r="C6756" s="7" t="s">
        <v>7253</v>
      </c>
      <c r="D6756" s="7" t="s">
        <v>369</v>
      </c>
      <c r="E6756" s="7" t="s">
        <v>159</v>
      </c>
      <c r="F6756" s="39" t="n">
        <v>45968</v>
      </c>
      <c r="G6756" s="41" t="n">
        <v>129.6</v>
      </c>
      <c r="H6756" s="39" t="n">
        <v>45994</v>
      </c>
      <c r="I6756" s="7" t="s">
        <v>14651</v>
      </c>
      <c r="J6756" s="8" t="str">
        <f aca="false">IF(I6756="Open",DATE(2025,12,31)-F6756,"-")</f>
        <v>-</v>
      </c>
    </row>
    <row r="6757" customFormat="false" ht="15" hidden="false" customHeight="false" outlineLevel="0" collapsed="false">
      <c r="B6757" s="7" t="s">
        <v>21403</v>
      </c>
      <c r="C6757" s="7" t="s">
        <v>7254</v>
      </c>
      <c r="D6757" s="7" t="s">
        <v>371</v>
      </c>
      <c r="E6757" s="7" t="s">
        <v>154</v>
      </c>
      <c r="F6757" s="39" t="n">
        <v>45968</v>
      </c>
      <c r="G6757" s="41" t="n">
        <v>119.52</v>
      </c>
      <c r="H6757" s="6" t="s">
        <v>182</v>
      </c>
      <c r="I6757" s="7" t="s">
        <v>19787</v>
      </c>
      <c r="J6757" s="8" t="n">
        <f aca="false">IF(I6757="Open",DATE(2025,12,31)-F6757,"-")</f>
        <v>54</v>
      </c>
    </row>
    <row r="6758" customFormat="false" ht="15" hidden="false" customHeight="false" outlineLevel="0" collapsed="false">
      <c r="B6758" s="7" t="s">
        <v>21404</v>
      </c>
      <c r="C6758" s="7" t="s">
        <v>7255</v>
      </c>
      <c r="D6758" s="7" t="s">
        <v>379</v>
      </c>
      <c r="E6758" s="7" t="s">
        <v>156</v>
      </c>
      <c r="F6758" s="39" t="n">
        <v>45968</v>
      </c>
      <c r="G6758" s="41" t="n">
        <v>172.04</v>
      </c>
      <c r="H6758" s="39" t="n">
        <v>45971</v>
      </c>
      <c r="I6758" s="7" t="s">
        <v>14651</v>
      </c>
      <c r="J6758" s="8" t="str">
        <f aca="false">IF(I6758="Open",DATE(2025,12,31)-F6758,"-")</f>
        <v>-</v>
      </c>
    </row>
    <row r="6759" customFormat="false" ht="15" hidden="false" customHeight="false" outlineLevel="0" collapsed="false">
      <c r="B6759" s="7" t="s">
        <v>21405</v>
      </c>
      <c r="C6759" s="7" t="s">
        <v>7256</v>
      </c>
      <c r="D6759" s="7" t="s">
        <v>381</v>
      </c>
      <c r="E6759" s="7" t="s">
        <v>157</v>
      </c>
      <c r="F6759" s="39" t="n">
        <v>45968</v>
      </c>
      <c r="G6759" s="41" t="n">
        <v>166.65</v>
      </c>
      <c r="H6759" s="39" t="n">
        <v>45999</v>
      </c>
      <c r="I6759" s="7" t="s">
        <v>14651</v>
      </c>
      <c r="J6759" s="8" t="str">
        <f aca="false">IF(I6759="Open",DATE(2025,12,31)-F6759,"-")</f>
        <v>-</v>
      </c>
    </row>
    <row r="6760" customFormat="false" ht="15" hidden="false" customHeight="false" outlineLevel="0" collapsed="false">
      <c r="B6760" s="7" t="s">
        <v>21406</v>
      </c>
      <c r="C6760" s="7" t="s">
        <v>7257</v>
      </c>
      <c r="D6760" s="7" t="s">
        <v>383</v>
      </c>
      <c r="E6760" s="7" t="s">
        <v>157</v>
      </c>
      <c r="F6760" s="39" t="n">
        <v>45968</v>
      </c>
      <c r="G6760" s="41" t="n">
        <v>166.65</v>
      </c>
      <c r="H6760" s="39" t="n">
        <v>46022</v>
      </c>
      <c r="I6760" s="7" t="s">
        <v>14651</v>
      </c>
      <c r="J6760" s="8" t="str">
        <f aca="false">IF(I6760="Open",DATE(2025,12,31)-F6760,"-")</f>
        <v>-</v>
      </c>
    </row>
    <row r="6761" customFormat="false" ht="15" hidden="false" customHeight="false" outlineLevel="0" collapsed="false">
      <c r="B6761" s="7" t="s">
        <v>21407</v>
      </c>
      <c r="C6761" s="7" t="s">
        <v>7258</v>
      </c>
      <c r="D6761" s="7" t="s">
        <v>385</v>
      </c>
      <c r="E6761" s="7" t="s">
        <v>156</v>
      </c>
      <c r="F6761" s="39" t="n">
        <v>45968</v>
      </c>
      <c r="G6761" s="41" t="n">
        <v>143.82</v>
      </c>
      <c r="H6761" s="39" t="n">
        <v>45981</v>
      </c>
      <c r="I6761" s="7" t="s">
        <v>14651</v>
      </c>
      <c r="J6761" s="8" t="str">
        <f aca="false">IF(I6761="Open",DATE(2025,12,31)-F6761,"-")</f>
        <v>-</v>
      </c>
    </row>
    <row r="6762" customFormat="false" ht="15" hidden="false" customHeight="false" outlineLevel="0" collapsed="false">
      <c r="B6762" s="7" t="s">
        <v>21408</v>
      </c>
      <c r="C6762" s="7" t="s">
        <v>7259</v>
      </c>
      <c r="D6762" s="7" t="s">
        <v>387</v>
      </c>
      <c r="E6762" s="7" t="s">
        <v>154</v>
      </c>
      <c r="F6762" s="39" t="n">
        <v>45968</v>
      </c>
      <c r="G6762" s="41" t="n">
        <v>106</v>
      </c>
      <c r="H6762" s="39" t="n">
        <v>46000</v>
      </c>
      <c r="I6762" s="7" t="s">
        <v>14651</v>
      </c>
      <c r="J6762" s="8" t="str">
        <f aca="false">IF(I6762="Open",DATE(2025,12,31)-F6762,"-")</f>
        <v>-</v>
      </c>
    </row>
    <row r="6763" customFormat="false" ht="15" hidden="false" customHeight="false" outlineLevel="0" collapsed="false">
      <c r="B6763" s="7" t="s">
        <v>21409</v>
      </c>
      <c r="C6763" s="7" t="s">
        <v>7260</v>
      </c>
      <c r="D6763" s="7" t="s">
        <v>389</v>
      </c>
      <c r="E6763" s="7" t="s">
        <v>154</v>
      </c>
      <c r="F6763" s="39" t="n">
        <v>45968</v>
      </c>
      <c r="G6763" s="41" t="n">
        <v>110.8</v>
      </c>
      <c r="H6763" s="6" t="s">
        <v>182</v>
      </c>
      <c r="I6763" s="7" t="s">
        <v>19787</v>
      </c>
      <c r="J6763" s="8" t="n">
        <f aca="false">IF(I6763="Open",DATE(2025,12,31)-F6763,"-")</f>
        <v>54</v>
      </c>
    </row>
    <row r="6764" customFormat="false" ht="15" hidden="false" customHeight="false" outlineLevel="0" collapsed="false">
      <c r="B6764" s="7" t="s">
        <v>21410</v>
      </c>
      <c r="C6764" s="7" t="s">
        <v>7261</v>
      </c>
      <c r="D6764" s="7" t="s">
        <v>391</v>
      </c>
      <c r="E6764" s="7" t="s">
        <v>156</v>
      </c>
      <c r="F6764" s="39" t="n">
        <v>45968</v>
      </c>
      <c r="G6764" s="41" t="n">
        <v>130.22</v>
      </c>
      <c r="H6764" s="39" t="n">
        <v>45989</v>
      </c>
      <c r="I6764" s="7" t="s">
        <v>14651</v>
      </c>
      <c r="J6764" s="8" t="str">
        <f aca="false">IF(I6764="Open",DATE(2025,12,31)-F6764,"-")</f>
        <v>-</v>
      </c>
    </row>
    <row r="6765" customFormat="false" ht="15" hidden="false" customHeight="false" outlineLevel="0" collapsed="false">
      <c r="B6765" s="7" t="s">
        <v>21411</v>
      </c>
      <c r="C6765" s="7" t="s">
        <v>7262</v>
      </c>
      <c r="D6765" s="7" t="s">
        <v>395</v>
      </c>
      <c r="E6765" s="7" t="s">
        <v>156</v>
      </c>
      <c r="F6765" s="39" t="n">
        <v>45968</v>
      </c>
      <c r="G6765" s="41" t="n">
        <v>126.14</v>
      </c>
      <c r="H6765" s="39" t="n">
        <v>45986</v>
      </c>
      <c r="I6765" s="7" t="s">
        <v>14651</v>
      </c>
      <c r="J6765" s="8" t="str">
        <f aca="false">IF(I6765="Open",DATE(2025,12,31)-F6765,"-")</f>
        <v>-</v>
      </c>
    </row>
    <row r="6766" customFormat="false" ht="15" hidden="false" customHeight="false" outlineLevel="0" collapsed="false">
      <c r="B6766" s="7" t="s">
        <v>21412</v>
      </c>
      <c r="C6766" s="7" t="s">
        <v>7263</v>
      </c>
      <c r="D6766" s="7" t="s">
        <v>397</v>
      </c>
      <c r="E6766" s="7" t="s">
        <v>159</v>
      </c>
      <c r="F6766" s="39" t="n">
        <v>45968</v>
      </c>
      <c r="G6766" s="41" t="n">
        <v>129.6</v>
      </c>
      <c r="H6766" s="39" t="n">
        <v>46003</v>
      </c>
      <c r="I6766" s="7" t="s">
        <v>14651</v>
      </c>
      <c r="J6766" s="8" t="str">
        <f aca="false">IF(I6766="Open",DATE(2025,12,31)-F6766,"-")</f>
        <v>-</v>
      </c>
    </row>
    <row r="6767" customFormat="false" ht="15" hidden="false" customHeight="false" outlineLevel="0" collapsed="false">
      <c r="B6767" s="7" t="s">
        <v>21413</v>
      </c>
      <c r="C6767" s="7" t="s">
        <v>7264</v>
      </c>
      <c r="D6767" s="7" t="s">
        <v>399</v>
      </c>
      <c r="E6767" s="7" t="s">
        <v>154</v>
      </c>
      <c r="F6767" s="39" t="n">
        <v>45968</v>
      </c>
      <c r="G6767" s="41" t="n">
        <v>93.81</v>
      </c>
      <c r="H6767" s="39" t="n">
        <v>46012</v>
      </c>
      <c r="I6767" s="7" t="s">
        <v>14651</v>
      </c>
      <c r="J6767" s="8" t="str">
        <f aca="false">IF(I6767="Open",DATE(2025,12,31)-F6767,"-")</f>
        <v>-</v>
      </c>
    </row>
    <row r="6768" customFormat="false" ht="15" hidden="false" customHeight="false" outlineLevel="0" collapsed="false">
      <c r="B6768" s="7" t="s">
        <v>21414</v>
      </c>
      <c r="C6768" s="7" t="s">
        <v>7265</v>
      </c>
      <c r="D6768" s="7" t="s">
        <v>401</v>
      </c>
      <c r="E6768" s="7" t="s">
        <v>156</v>
      </c>
      <c r="F6768" s="39" t="n">
        <v>45968</v>
      </c>
      <c r="G6768" s="41" t="n">
        <v>125.12</v>
      </c>
      <c r="H6768" s="39" t="n">
        <v>45977</v>
      </c>
      <c r="I6768" s="7" t="s">
        <v>14651</v>
      </c>
      <c r="J6768" s="8" t="str">
        <f aca="false">IF(I6768="Open",DATE(2025,12,31)-F6768,"-")</f>
        <v>-</v>
      </c>
    </row>
    <row r="6769" customFormat="false" ht="15" hidden="false" customHeight="false" outlineLevel="0" collapsed="false">
      <c r="B6769" s="7" t="s">
        <v>21415</v>
      </c>
      <c r="C6769" s="7" t="s">
        <v>7266</v>
      </c>
      <c r="D6769" s="7" t="s">
        <v>403</v>
      </c>
      <c r="E6769" s="7" t="s">
        <v>156</v>
      </c>
      <c r="F6769" s="39" t="n">
        <v>45968</v>
      </c>
      <c r="G6769" s="41" t="n">
        <v>147.9</v>
      </c>
      <c r="H6769" s="39" t="n">
        <v>45975</v>
      </c>
      <c r="I6769" s="7" t="s">
        <v>14651</v>
      </c>
      <c r="J6769" s="8" t="str">
        <f aca="false">IF(I6769="Open",DATE(2025,12,31)-F6769,"-")</f>
        <v>-</v>
      </c>
    </row>
    <row r="6770" customFormat="false" ht="15" hidden="false" customHeight="false" outlineLevel="0" collapsed="false">
      <c r="B6770" s="7" t="s">
        <v>21416</v>
      </c>
      <c r="C6770" s="7" t="s">
        <v>7267</v>
      </c>
      <c r="D6770" s="7" t="s">
        <v>407</v>
      </c>
      <c r="E6770" s="7" t="s">
        <v>159</v>
      </c>
      <c r="F6770" s="39" t="n">
        <v>45968</v>
      </c>
      <c r="G6770" s="41" t="n">
        <v>139.05</v>
      </c>
      <c r="H6770" s="39" t="n">
        <v>46009</v>
      </c>
      <c r="I6770" s="7" t="s">
        <v>14651</v>
      </c>
      <c r="J6770" s="8" t="str">
        <f aca="false">IF(I6770="Open",DATE(2025,12,31)-F6770,"-")</f>
        <v>-</v>
      </c>
    </row>
    <row r="6771" customFormat="false" ht="15" hidden="false" customHeight="false" outlineLevel="0" collapsed="false">
      <c r="B6771" s="7" t="s">
        <v>21417</v>
      </c>
      <c r="C6771" s="7" t="s">
        <v>7268</v>
      </c>
      <c r="D6771" s="7" t="s">
        <v>409</v>
      </c>
      <c r="E6771" s="7" t="s">
        <v>154</v>
      </c>
      <c r="F6771" s="39" t="n">
        <v>45968</v>
      </c>
      <c r="G6771" s="41" t="n">
        <v>84.53</v>
      </c>
      <c r="H6771" s="6" t="s">
        <v>182</v>
      </c>
      <c r="I6771" s="7" t="s">
        <v>19787</v>
      </c>
      <c r="J6771" s="8" t="n">
        <f aca="false">IF(I6771="Open",DATE(2025,12,31)-F6771,"-")</f>
        <v>54</v>
      </c>
    </row>
    <row r="6772" customFormat="false" ht="15" hidden="false" customHeight="false" outlineLevel="0" collapsed="false">
      <c r="B6772" s="7" t="s">
        <v>21418</v>
      </c>
      <c r="C6772" s="7" t="s">
        <v>7269</v>
      </c>
      <c r="D6772" s="7" t="s">
        <v>411</v>
      </c>
      <c r="E6772" s="7" t="s">
        <v>154</v>
      </c>
      <c r="F6772" s="39" t="n">
        <v>45968</v>
      </c>
      <c r="G6772" s="41" t="n">
        <v>111.83</v>
      </c>
      <c r="H6772" s="6" t="s">
        <v>182</v>
      </c>
      <c r="I6772" s="7" t="s">
        <v>19787</v>
      </c>
      <c r="J6772" s="8" t="n">
        <f aca="false">IF(I6772="Open",DATE(2025,12,31)-F6772,"-")</f>
        <v>54</v>
      </c>
    </row>
    <row r="6773" customFormat="false" ht="15" hidden="false" customHeight="false" outlineLevel="0" collapsed="false">
      <c r="B6773" s="7" t="s">
        <v>21419</v>
      </c>
      <c r="C6773" s="7" t="s">
        <v>7270</v>
      </c>
      <c r="D6773" s="7" t="s">
        <v>288</v>
      </c>
      <c r="E6773" s="7" t="s">
        <v>156</v>
      </c>
      <c r="F6773" s="39" t="n">
        <v>45969</v>
      </c>
      <c r="G6773" s="41" t="n">
        <v>134.64</v>
      </c>
      <c r="H6773" s="39" t="n">
        <v>45980</v>
      </c>
      <c r="I6773" s="7" t="s">
        <v>14651</v>
      </c>
      <c r="J6773" s="8" t="str">
        <f aca="false">IF(I6773="Open",DATE(2025,12,31)-F6773,"-")</f>
        <v>-</v>
      </c>
    </row>
    <row r="6774" customFormat="false" ht="15" hidden="false" customHeight="false" outlineLevel="0" collapsed="false">
      <c r="B6774" s="7" t="s">
        <v>21420</v>
      </c>
      <c r="C6774" s="7" t="s">
        <v>7271</v>
      </c>
      <c r="D6774" s="7" t="s">
        <v>321</v>
      </c>
      <c r="E6774" s="7" t="s">
        <v>154</v>
      </c>
      <c r="F6774" s="39" t="n">
        <v>45969</v>
      </c>
      <c r="G6774" s="41" t="n">
        <v>99.38</v>
      </c>
      <c r="H6774" s="39" t="n">
        <v>46019</v>
      </c>
      <c r="I6774" s="7" t="s">
        <v>14651</v>
      </c>
      <c r="J6774" s="8" t="str">
        <f aca="false">IF(I6774="Open",DATE(2025,12,31)-F6774,"-")</f>
        <v>-</v>
      </c>
    </row>
    <row r="6775" customFormat="false" ht="15" hidden="false" customHeight="false" outlineLevel="0" collapsed="false">
      <c r="B6775" s="7" t="s">
        <v>21421</v>
      </c>
      <c r="C6775" s="7" t="s">
        <v>7272</v>
      </c>
      <c r="D6775" s="7" t="s">
        <v>359</v>
      </c>
      <c r="E6775" s="7" t="s">
        <v>156</v>
      </c>
      <c r="F6775" s="39" t="n">
        <v>45969</v>
      </c>
      <c r="G6775" s="41" t="n">
        <v>147.22</v>
      </c>
      <c r="H6775" s="39" t="n">
        <v>45974</v>
      </c>
      <c r="I6775" s="7" t="s">
        <v>14651</v>
      </c>
      <c r="J6775" s="8" t="str">
        <f aca="false">IF(I6775="Open",DATE(2025,12,31)-F6775,"-")</f>
        <v>-</v>
      </c>
    </row>
    <row r="6776" customFormat="false" ht="15" hidden="false" customHeight="false" outlineLevel="0" collapsed="false">
      <c r="B6776" s="7" t="s">
        <v>21422</v>
      </c>
      <c r="C6776" s="7" t="s">
        <v>7273</v>
      </c>
      <c r="D6776" s="7" t="s">
        <v>387</v>
      </c>
      <c r="E6776" s="7" t="s">
        <v>154</v>
      </c>
      <c r="F6776" s="39" t="n">
        <v>45969</v>
      </c>
      <c r="G6776" s="41" t="n">
        <v>114.21</v>
      </c>
      <c r="H6776" s="39" t="n">
        <v>46013</v>
      </c>
      <c r="I6776" s="7" t="s">
        <v>14651</v>
      </c>
      <c r="J6776" s="8" t="str">
        <f aca="false">IF(I6776="Open",DATE(2025,12,31)-F6776,"-")</f>
        <v>-</v>
      </c>
    </row>
    <row r="6777" customFormat="false" ht="15" hidden="false" customHeight="false" outlineLevel="0" collapsed="false">
      <c r="B6777" s="7" t="s">
        <v>21423</v>
      </c>
      <c r="C6777" s="7" t="s">
        <v>7274</v>
      </c>
      <c r="D6777" s="7" t="s">
        <v>391</v>
      </c>
      <c r="E6777" s="7" t="s">
        <v>156</v>
      </c>
      <c r="F6777" s="39" t="n">
        <v>45969</v>
      </c>
      <c r="G6777" s="41" t="n">
        <v>141.78</v>
      </c>
      <c r="H6777" s="39" t="n">
        <v>45982</v>
      </c>
      <c r="I6777" s="7" t="s">
        <v>14651</v>
      </c>
      <c r="J6777" s="8" t="str">
        <f aca="false">IF(I6777="Open",DATE(2025,12,31)-F6777,"-")</f>
        <v>-</v>
      </c>
    </row>
    <row r="6778" customFormat="false" ht="15" hidden="false" customHeight="false" outlineLevel="0" collapsed="false">
      <c r="B6778" s="7" t="s">
        <v>21424</v>
      </c>
      <c r="C6778" s="7" t="s">
        <v>7275</v>
      </c>
      <c r="D6778" s="7" t="s">
        <v>395</v>
      </c>
      <c r="E6778" s="7" t="s">
        <v>156</v>
      </c>
      <c r="F6778" s="39" t="n">
        <v>45969</v>
      </c>
      <c r="G6778" s="41" t="n">
        <v>124.1</v>
      </c>
      <c r="H6778" s="39" t="n">
        <v>45976</v>
      </c>
      <c r="I6778" s="7" t="s">
        <v>14651</v>
      </c>
      <c r="J6778" s="8" t="str">
        <f aca="false">IF(I6778="Open",DATE(2025,12,31)-F6778,"-")</f>
        <v>-</v>
      </c>
    </row>
    <row r="6779" customFormat="false" ht="15" hidden="false" customHeight="false" outlineLevel="0" collapsed="false">
      <c r="B6779" s="7" t="s">
        <v>21425</v>
      </c>
      <c r="C6779" s="7" t="s">
        <v>7276</v>
      </c>
      <c r="D6779" s="7" t="s">
        <v>401</v>
      </c>
      <c r="E6779" s="7" t="s">
        <v>156</v>
      </c>
      <c r="F6779" s="39" t="n">
        <v>45969</v>
      </c>
      <c r="G6779" s="41" t="n">
        <v>126.14</v>
      </c>
      <c r="H6779" s="39" t="n">
        <v>45991</v>
      </c>
      <c r="I6779" s="7" t="s">
        <v>14651</v>
      </c>
      <c r="J6779" s="8" t="str">
        <f aca="false">IF(I6779="Open",DATE(2025,12,31)-F6779,"-")</f>
        <v>-</v>
      </c>
    </row>
    <row r="6780" customFormat="false" ht="15" hidden="false" customHeight="false" outlineLevel="0" collapsed="false">
      <c r="B6780" s="7" t="s">
        <v>21426</v>
      </c>
      <c r="C6780" s="7" t="s">
        <v>7277</v>
      </c>
      <c r="D6780" s="7" t="s">
        <v>288</v>
      </c>
      <c r="E6780" s="7" t="s">
        <v>156</v>
      </c>
      <c r="F6780" s="39" t="n">
        <v>45970</v>
      </c>
      <c r="G6780" s="41" t="n">
        <v>136.68</v>
      </c>
      <c r="H6780" s="39" t="n">
        <v>45981</v>
      </c>
      <c r="I6780" s="7" t="s">
        <v>14651</v>
      </c>
      <c r="J6780" s="8" t="str">
        <f aca="false">IF(I6780="Open",DATE(2025,12,31)-F6780,"-")</f>
        <v>-</v>
      </c>
    </row>
    <row r="6781" customFormat="false" ht="15" hidden="false" customHeight="false" outlineLevel="0" collapsed="false">
      <c r="B6781" s="7" t="s">
        <v>21427</v>
      </c>
      <c r="C6781" s="7" t="s">
        <v>7278</v>
      </c>
      <c r="D6781" s="7" t="s">
        <v>321</v>
      </c>
      <c r="E6781" s="7" t="s">
        <v>154</v>
      </c>
      <c r="F6781" s="39" t="n">
        <v>45970</v>
      </c>
      <c r="G6781" s="41" t="n">
        <v>109.44</v>
      </c>
      <c r="H6781" s="6" t="s">
        <v>182</v>
      </c>
      <c r="I6781" s="7" t="s">
        <v>19787</v>
      </c>
      <c r="J6781" s="8" t="n">
        <f aca="false">IF(I6781="Open",DATE(2025,12,31)-F6781,"-")</f>
        <v>52</v>
      </c>
    </row>
    <row r="6782" customFormat="false" ht="15" hidden="false" customHeight="false" outlineLevel="0" collapsed="false">
      <c r="B6782" s="7" t="s">
        <v>21428</v>
      </c>
      <c r="C6782" s="7" t="s">
        <v>7279</v>
      </c>
      <c r="D6782" s="7" t="s">
        <v>359</v>
      </c>
      <c r="E6782" s="7" t="s">
        <v>156</v>
      </c>
      <c r="F6782" s="39" t="n">
        <v>45970</v>
      </c>
      <c r="G6782" s="41" t="n">
        <v>132.94</v>
      </c>
      <c r="H6782" s="39" t="n">
        <v>45985</v>
      </c>
      <c r="I6782" s="7" t="s">
        <v>14651</v>
      </c>
      <c r="J6782" s="8" t="str">
        <f aca="false">IF(I6782="Open",DATE(2025,12,31)-F6782,"-")</f>
        <v>-</v>
      </c>
    </row>
    <row r="6783" customFormat="false" ht="15" hidden="false" customHeight="false" outlineLevel="0" collapsed="false">
      <c r="B6783" s="7" t="s">
        <v>21429</v>
      </c>
      <c r="C6783" s="7" t="s">
        <v>7280</v>
      </c>
      <c r="D6783" s="7" t="s">
        <v>387</v>
      </c>
      <c r="E6783" s="7" t="s">
        <v>154</v>
      </c>
      <c r="F6783" s="39" t="n">
        <v>45970</v>
      </c>
      <c r="G6783" s="41" t="n">
        <v>99.64</v>
      </c>
      <c r="H6783" s="6" t="s">
        <v>182</v>
      </c>
      <c r="I6783" s="7" t="s">
        <v>19787</v>
      </c>
      <c r="J6783" s="8" t="n">
        <f aca="false">IF(I6783="Open",DATE(2025,12,31)-F6783,"-")</f>
        <v>52</v>
      </c>
    </row>
    <row r="6784" customFormat="false" ht="15" hidden="false" customHeight="false" outlineLevel="0" collapsed="false">
      <c r="B6784" s="7" t="s">
        <v>21430</v>
      </c>
      <c r="C6784" s="7" t="s">
        <v>7281</v>
      </c>
      <c r="D6784" s="7" t="s">
        <v>391</v>
      </c>
      <c r="E6784" s="7" t="s">
        <v>156</v>
      </c>
      <c r="F6784" s="39" t="n">
        <v>45970</v>
      </c>
      <c r="G6784" s="41" t="n">
        <v>132.6</v>
      </c>
      <c r="H6784" s="39" t="n">
        <v>45979</v>
      </c>
      <c r="I6784" s="7" t="s">
        <v>14651</v>
      </c>
      <c r="J6784" s="8" t="str">
        <f aca="false">IF(I6784="Open",DATE(2025,12,31)-F6784,"-")</f>
        <v>-</v>
      </c>
    </row>
    <row r="6785" customFormat="false" ht="15" hidden="false" customHeight="false" outlineLevel="0" collapsed="false">
      <c r="B6785" s="7" t="s">
        <v>21431</v>
      </c>
      <c r="C6785" s="7" t="s">
        <v>7282</v>
      </c>
      <c r="D6785" s="7" t="s">
        <v>395</v>
      </c>
      <c r="E6785" s="7" t="s">
        <v>156</v>
      </c>
      <c r="F6785" s="39" t="n">
        <v>45970</v>
      </c>
      <c r="G6785" s="41" t="n">
        <v>138.04</v>
      </c>
      <c r="H6785" s="39" t="n">
        <v>45987</v>
      </c>
      <c r="I6785" s="7" t="s">
        <v>14651</v>
      </c>
      <c r="J6785" s="8" t="str">
        <f aca="false">IF(I6785="Open",DATE(2025,12,31)-F6785,"-")</f>
        <v>-</v>
      </c>
    </row>
    <row r="6786" customFormat="false" ht="15" hidden="false" customHeight="false" outlineLevel="0" collapsed="false">
      <c r="B6786" s="7" t="s">
        <v>21432</v>
      </c>
      <c r="C6786" s="7" t="s">
        <v>7283</v>
      </c>
      <c r="D6786" s="7" t="s">
        <v>288</v>
      </c>
      <c r="E6786" s="7" t="s">
        <v>156</v>
      </c>
      <c r="F6786" s="39" t="n">
        <v>45971</v>
      </c>
      <c r="G6786" s="41" t="n">
        <v>131.24</v>
      </c>
      <c r="H6786" s="39" t="n">
        <v>45982</v>
      </c>
      <c r="I6786" s="7" t="s">
        <v>14651</v>
      </c>
      <c r="J6786" s="8" t="str">
        <f aca="false">IF(I6786="Open",DATE(2025,12,31)-F6786,"-")</f>
        <v>-</v>
      </c>
    </row>
    <row r="6787" customFormat="false" ht="15" hidden="false" customHeight="false" outlineLevel="0" collapsed="false">
      <c r="B6787" s="7" t="s">
        <v>21433</v>
      </c>
      <c r="C6787" s="7" t="s">
        <v>7284</v>
      </c>
      <c r="D6787" s="7" t="s">
        <v>291</v>
      </c>
      <c r="E6787" s="7" t="s">
        <v>154</v>
      </c>
      <c r="F6787" s="39" t="n">
        <v>45971</v>
      </c>
      <c r="G6787" s="41" t="n">
        <v>125.35</v>
      </c>
      <c r="H6787" s="6" t="s">
        <v>182</v>
      </c>
      <c r="I6787" s="7" t="s">
        <v>19787</v>
      </c>
      <c r="J6787" s="8" t="n">
        <f aca="false">IF(I6787="Open",DATE(2025,12,31)-F6787,"-")</f>
        <v>51</v>
      </c>
    </row>
    <row r="6788" customFormat="false" ht="15" hidden="false" customHeight="false" outlineLevel="0" collapsed="false">
      <c r="B6788" s="7" t="s">
        <v>21434</v>
      </c>
      <c r="C6788" s="7" t="s">
        <v>7285</v>
      </c>
      <c r="D6788" s="7" t="s">
        <v>295</v>
      </c>
      <c r="E6788" s="7" t="s">
        <v>154</v>
      </c>
      <c r="F6788" s="39" t="n">
        <v>45971</v>
      </c>
      <c r="G6788" s="41" t="n">
        <v>106.42</v>
      </c>
      <c r="H6788" s="39" t="n">
        <v>46012</v>
      </c>
      <c r="I6788" s="7" t="s">
        <v>14651</v>
      </c>
      <c r="J6788" s="8" t="str">
        <f aca="false">IF(I6788="Open",DATE(2025,12,31)-F6788,"-")</f>
        <v>-</v>
      </c>
    </row>
    <row r="6789" customFormat="false" ht="15" hidden="false" customHeight="false" outlineLevel="0" collapsed="false">
      <c r="B6789" s="7" t="s">
        <v>21435</v>
      </c>
      <c r="C6789" s="7" t="s">
        <v>7286</v>
      </c>
      <c r="D6789" s="7" t="s">
        <v>297</v>
      </c>
      <c r="E6789" s="7" t="s">
        <v>156</v>
      </c>
      <c r="F6789" s="39" t="n">
        <v>45971</v>
      </c>
      <c r="G6789" s="41" t="n">
        <v>104.38</v>
      </c>
      <c r="H6789" s="39" t="n">
        <v>45983</v>
      </c>
      <c r="I6789" s="7" t="s">
        <v>14651</v>
      </c>
      <c r="J6789" s="8" t="str">
        <f aca="false">IF(I6789="Open",DATE(2025,12,31)-F6789,"-")</f>
        <v>-</v>
      </c>
    </row>
    <row r="6790" customFormat="false" ht="15" hidden="false" customHeight="false" outlineLevel="0" collapsed="false">
      <c r="B6790" s="7" t="s">
        <v>21436</v>
      </c>
      <c r="C6790" s="7" t="s">
        <v>7287</v>
      </c>
      <c r="D6790" s="7" t="s">
        <v>299</v>
      </c>
      <c r="E6790" s="7" t="s">
        <v>154</v>
      </c>
      <c r="F6790" s="39" t="n">
        <v>45971</v>
      </c>
      <c r="G6790" s="41" t="n">
        <v>77.91</v>
      </c>
      <c r="H6790" s="6" t="s">
        <v>182</v>
      </c>
      <c r="I6790" s="7" t="s">
        <v>19787</v>
      </c>
      <c r="J6790" s="8" t="n">
        <f aca="false">IF(I6790="Open",DATE(2025,12,31)-F6790,"-")</f>
        <v>51</v>
      </c>
    </row>
    <row r="6791" customFormat="false" ht="15" hidden="false" customHeight="false" outlineLevel="0" collapsed="false">
      <c r="B6791" s="7" t="s">
        <v>21437</v>
      </c>
      <c r="C6791" s="7" t="s">
        <v>7288</v>
      </c>
      <c r="D6791" s="7" t="s">
        <v>303</v>
      </c>
      <c r="E6791" s="7" t="s">
        <v>154</v>
      </c>
      <c r="F6791" s="39" t="n">
        <v>45971</v>
      </c>
      <c r="G6791" s="41" t="n">
        <v>96.72</v>
      </c>
      <c r="H6791" s="6" t="s">
        <v>182</v>
      </c>
      <c r="I6791" s="7" t="s">
        <v>19787</v>
      </c>
      <c r="J6791" s="8" t="n">
        <f aca="false">IF(I6791="Open",DATE(2025,12,31)-F6791,"-")</f>
        <v>51</v>
      </c>
    </row>
    <row r="6792" customFormat="false" ht="15" hidden="false" customHeight="false" outlineLevel="0" collapsed="false">
      <c r="B6792" s="7" t="s">
        <v>21438</v>
      </c>
      <c r="C6792" s="7" t="s">
        <v>7289</v>
      </c>
      <c r="D6792" s="7" t="s">
        <v>305</v>
      </c>
      <c r="E6792" s="7" t="s">
        <v>154</v>
      </c>
      <c r="F6792" s="39" t="n">
        <v>45971</v>
      </c>
      <c r="G6792" s="41" t="n">
        <v>100.51</v>
      </c>
      <c r="H6792" s="39" t="n">
        <v>46014</v>
      </c>
      <c r="I6792" s="7" t="s">
        <v>14651</v>
      </c>
      <c r="J6792" s="8" t="str">
        <f aca="false">IF(I6792="Open",DATE(2025,12,31)-F6792,"-")</f>
        <v>-</v>
      </c>
    </row>
    <row r="6793" customFormat="false" ht="15" hidden="false" customHeight="false" outlineLevel="0" collapsed="false">
      <c r="B6793" s="7" t="s">
        <v>21439</v>
      </c>
      <c r="C6793" s="7" t="s">
        <v>7290</v>
      </c>
      <c r="D6793" s="7" t="s">
        <v>307</v>
      </c>
      <c r="E6793" s="7" t="s">
        <v>157</v>
      </c>
      <c r="F6793" s="39" t="n">
        <v>45971</v>
      </c>
      <c r="G6793" s="41" t="n">
        <v>158.4</v>
      </c>
      <c r="H6793" s="39" t="n">
        <v>46015</v>
      </c>
      <c r="I6793" s="7" t="s">
        <v>14651</v>
      </c>
      <c r="J6793" s="8" t="str">
        <f aca="false">IF(I6793="Open",DATE(2025,12,31)-F6793,"-")</f>
        <v>-</v>
      </c>
    </row>
    <row r="6794" customFormat="false" ht="15" hidden="false" customHeight="false" outlineLevel="0" collapsed="false">
      <c r="B6794" s="7" t="s">
        <v>21440</v>
      </c>
      <c r="C6794" s="7" t="s">
        <v>7291</v>
      </c>
      <c r="D6794" s="7" t="s">
        <v>309</v>
      </c>
      <c r="E6794" s="7" t="s">
        <v>159</v>
      </c>
      <c r="F6794" s="39" t="n">
        <v>45971</v>
      </c>
      <c r="G6794" s="41" t="n">
        <v>140.4</v>
      </c>
      <c r="H6794" s="6" t="s">
        <v>182</v>
      </c>
      <c r="I6794" s="7" t="s">
        <v>19787</v>
      </c>
      <c r="J6794" s="8" t="n">
        <f aca="false">IF(I6794="Open",DATE(2025,12,31)-F6794,"-")</f>
        <v>51</v>
      </c>
    </row>
    <row r="6795" customFormat="false" ht="15" hidden="false" customHeight="false" outlineLevel="0" collapsed="false">
      <c r="B6795" s="7" t="s">
        <v>21441</v>
      </c>
      <c r="C6795" s="7" t="s">
        <v>7292</v>
      </c>
      <c r="D6795" s="7" t="s">
        <v>311</v>
      </c>
      <c r="E6795" s="7" t="s">
        <v>154</v>
      </c>
      <c r="F6795" s="39" t="n">
        <v>45971</v>
      </c>
      <c r="G6795" s="41" t="n">
        <v>79.5</v>
      </c>
      <c r="H6795" s="6" t="s">
        <v>182</v>
      </c>
      <c r="I6795" s="7" t="s">
        <v>19787</v>
      </c>
      <c r="J6795" s="8" t="n">
        <f aca="false">IF(I6795="Open",DATE(2025,12,31)-F6795,"-")</f>
        <v>51</v>
      </c>
    </row>
    <row r="6796" customFormat="false" ht="15" hidden="false" customHeight="false" outlineLevel="0" collapsed="false">
      <c r="B6796" s="7" t="s">
        <v>21442</v>
      </c>
      <c r="C6796" s="7" t="s">
        <v>7293</v>
      </c>
      <c r="D6796" s="7" t="s">
        <v>313</v>
      </c>
      <c r="E6796" s="7" t="s">
        <v>156</v>
      </c>
      <c r="F6796" s="39" t="n">
        <v>45971</v>
      </c>
      <c r="G6796" s="41" t="n">
        <v>131.24</v>
      </c>
      <c r="H6796" s="39" t="n">
        <v>45991</v>
      </c>
      <c r="I6796" s="7" t="s">
        <v>14651</v>
      </c>
      <c r="J6796" s="8" t="str">
        <f aca="false">IF(I6796="Open",DATE(2025,12,31)-F6796,"-")</f>
        <v>-</v>
      </c>
    </row>
    <row r="6797" customFormat="false" ht="15" hidden="false" customHeight="false" outlineLevel="0" collapsed="false">
      <c r="B6797" s="7" t="s">
        <v>21443</v>
      </c>
      <c r="C6797" s="7" t="s">
        <v>7294</v>
      </c>
      <c r="D6797" s="7" t="s">
        <v>315</v>
      </c>
      <c r="E6797" s="7" t="s">
        <v>159</v>
      </c>
      <c r="F6797" s="39" t="n">
        <v>45971</v>
      </c>
      <c r="G6797" s="41" t="n">
        <v>135</v>
      </c>
      <c r="H6797" s="39" t="n">
        <v>46010</v>
      </c>
      <c r="I6797" s="7" t="s">
        <v>14651</v>
      </c>
      <c r="J6797" s="8" t="str">
        <f aca="false">IF(I6797="Open",DATE(2025,12,31)-F6797,"-")</f>
        <v>-</v>
      </c>
    </row>
    <row r="6798" customFormat="false" ht="15" hidden="false" customHeight="false" outlineLevel="0" collapsed="false">
      <c r="B6798" s="7" t="s">
        <v>21444</v>
      </c>
      <c r="C6798" s="7" t="s">
        <v>7295</v>
      </c>
      <c r="D6798" s="7" t="s">
        <v>317</v>
      </c>
      <c r="E6798" s="7" t="s">
        <v>156</v>
      </c>
      <c r="F6798" s="39" t="n">
        <v>45971</v>
      </c>
      <c r="G6798" s="41" t="n">
        <v>96.9</v>
      </c>
      <c r="H6798" s="39" t="n">
        <v>45984</v>
      </c>
      <c r="I6798" s="7" t="s">
        <v>14651</v>
      </c>
      <c r="J6798" s="8" t="str">
        <f aca="false">IF(I6798="Open",DATE(2025,12,31)-F6798,"-")</f>
        <v>-</v>
      </c>
    </row>
    <row r="6799" customFormat="false" ht="15" hidden="false" customHeight="false" outlineLevel="0" collapsed="false">
      <c r="B6799" s="7" t="s">
        <v>21445</v>
      </c>
      <c r="C6799" s="7" t="s">
        <v>7296</v>
      </c>
      <c r="D6799" s="7" t="s">
        <v>321</v>
      </c>
      <c r="E6799" s="7" t="s">
        <v>154</v>
      </c>
      <c r="F6799" s="39" t="n">
        <v>45971</v>
      </c>
      <c r="G6799" s="41" t="n">
        <v>103.62</v>
      </c>
      <c r="H6799" s="39" t="n">
        <v>45997</v>
      </c>
      <c r="I6799" s="7" t="s">
        <v>14651</v>
      </c>
      <c r="J6799" s="8" t="str">
        <f aca="false">IF(I6799="Open",DATE(2025,12,31)-F6799,"-")</f>
        <v>-</v>
      </c>
    </row>
    <row r="6800" customFormat="false" ht="15" hidden="false" customHeight="false" outlineLevel="0" collapsed="false">
      <c r="B6800" s="7" t="s">
        <v>21446</v>
      </c>
      <c r="C6800" s="7" t="s">
        <v>7297</v>
      </c>
      <c r="D6800" s="7" t="s">
        <v>325</v>
      </c>
      <c r="E6800" s="7" t="s">
        <v>154</v>
      </c>
      <c r="F6800" s="39" t="n">
        <v>45971</v>
      </c>
      <c r="G6800" s="41" t="n">
        <v>84.53</v>
      </c>
      <c r="H6800" s="6" t="s">
        <v>182</v>
      </c>
      <c r="I6800" s="7" t="s">
        <v>19787</v>
      </c>
      <c r="J6800" s="8" t="n">
        <f aca="false">IF(I6800="Open",DATE(2025,12,31)-F6800,"-")</f>
        <v>51</v>
      </c>
    </row>
    <row r="6801" customFormat="false" ht="15" hidden="false" customHeight="false" outlineLevel="0" collapsed="false">
      <c r="B6801" s="7" t="s">
        <v>21447</v>
      </c>
      <c r="C6801" s="7" t="s">
        <v>7298</v>
      </c>
      <c r="D6801" s="7" t="s">
        <v>329</v>
      </c>
      <c r="E6801" s="7" t="s">
        <v>156</v>
      </c>
      <c r="F6801" s="39" t="n">
        <v>45971</v>
      </c>
      <c r="G6801" s="41" t="n">
        <v>124.1</v>
      </c>
      <c r="H6801" s="39" t="n">
        <v>45986</v>
      </c>
      <c r="I6801" s="7" t="s">
        <v>14651</v>
      </c>
      <c r="J6801" s="8" t="str">
        <f aca="false">IF(I6801="Open",DATE(2025,12,31)-F6801,"-")</f>
        <v>-</v>
      </c>
    </row>
    <row r="6802" customFormat="false" ht="15" hidden="false" customHeight="false" outlineLevel="0" collapsed="false">
      <c r="B6802" s="7" t="s">
        <v>21448</v>
      </c>
      <c r="C6802" s="7" t="s">
        <v>7299</v>
      </c>
      <c r="D6802" s="7" t="s">
        <v>331</v>
      </c>
      <c r="E6802" s="7" t="s">
        <v>156</v>
      </c>
      <c r="F6802" s="39" t="n">
        <v>45971</v>
      </c>
      <c r="G6802" s="41" t="n">
        <v>129.2</v>
      </c>
      <c r="H6802" s="39" t="n">
        <v>45981</v>
      </c>
      <c r="I6802" s="7" t="s">
        <v>14651</v>
      </c>
      <c r="J6802" s="8" t="str">
        <f aca="false">IF(I6802="Open",DATE(2025,12,31)-F6802,"-")</f>
        <v>-</v>
      </c>
    </row>
    <row r="6803" customFormat="false" ht="15" hidden="false" customHeight="false" outlineLevel="0" collapsed="false">
      <c r="B6803" s="7" t="s">
        <v>21449</v>
      </c>
      <c r="C6803" s="7" t="s">
        <v>7300</v>
      </c>
      <c r="D6803" s="7" t="s">
        <v>333</v>
      </c>
      <c r="E6803" s="7" t="s">
        <v>154</v>
      </c>
      <c r="F6803" s="39" t="n">
        <v>45971</v>
      </c>
      <c r="G6803" s="41" t="n">
        <v>81.49</v>
      </c>
      <c r="H6803" s="39" t="n">
        <v>46009</v>
      </c>
      <c r="I6803" s="7" t="s">
        <v>14651</v>
      </c>
      <c r="J6803" s="8" t="str">
        <f aca="false">IF(I6803="Open",DATE(2025,12,31)-F6803,"-")</f>
        <v>-</v>
      </c>
    </row>
    <row r="6804" customFormat="false" ht="15" hidden="false" customHeight="false" outlineLevel="0" collapsed="false">
      <c r="B6804" s="7" t="s">
        <v>21450</v>
      </c>
      <c r="C6804" s="7" t="s">
        <v>7301</v>
      </c>
      <c r="D6804" s="7" t="s">
        <v>335</v>
      </c>
      <c r="E6804" s="7" t="s">
        <v>154</v>
      </c>
      <c r="F6804" s="39" t="n">
        <v>45971</v>
      </c>
      <c r="G6804" s="41" t="n">
        <v>106.27</v>
      </c>
      <c r="H6804" s="6" t="s">
        <v>182</v>
      </c>
      <c r="I6804" s="7" t="s">
        <v>19787</v>
      </c>
      <c r="J6804" s="8" t="n">
        <f aca="false">IF(I6804="Open",DATE(2025,12,31)-F6804,"-")</f>
        <v>51</v>
      </c>
    </row>
    <row r="6805" customFormat="false" ht="15" hidden="false" customHeight="false" outlineLevel="0" collapsed="false">
      <c r="B6805" s="7" t="s">
        <v>21451</v>
      </c>
      <c r="C6805" s="7" t="s">
        <v>7302</v>
      </c>
      <c r="D6805" s="7" t="s">
        <v>339</v>
      </c>
      <c r="E6805" s="7" t="s">
        <v>154</v>
      </c>
      <c r="F6805" s="39" t="n">
        <v>45971</v>
      </c>
      <c r="G6805" s="41" t="n">
        <v>79.5</v>
      </c>
      <c r="H6805" s="6" t="s">
        <v>182</v>
      </c>
      <c r="I6805" s="7" t="s">
        <v>19787</v>
      </c>
      <c r="J6805" s="8" t="n">
        <f aca="false">IF(I6805="Open",DATE(2025,12,31)-F6805,"-")</f>
        <v>51</v>
      </c>
    </row>
    <row r="6806" customFormat="false" ht="15" hidden="false" customHeight="false" outlineLevel="0" collapsed="false">
      <c r="B6806" s="7" t="s">
        <v>21452</v>
      </c>
      <c r="C6806" s="7" t="s">
        <v>7303</v>
      </c>
      <c r="D6806" s="7" t="s">
        <v>341</v>
      </c>
      <c r="E6806" s="7" t="s">
        <v>156</v>
      </c>
      <c r="F6806" s="39" t="n">
        <v>45971</v>
      </c>
      <c r="G6806" s="41" t="n">
        <v>95.88</v>
      </c>
      <c r="H6806" s="39" t="n">
        <v>45986</v>
      </c>
      <c r="I6806" s="7" t="s">
        <v>14651</v>
      </c>
      <c r="J6806" s="8" t="str">
        <f aca="false">IF(I6806="Open",DATE(2025,12,31)-F6806,"-")</f>
        <v>-</v>
      </c>
    </row>
    <row r="6807" customFormat="false" ht="15" hidden="false" customHeight="false" outlineLevel="0" collapsed="false">
      <c r="B6807" s="7" t="s">
        <v>21453</v>
      </c>
      <c r="C6807" s="7" t="s">
        <v>7304</v>
      </c>
      <c r="D6807" s="7" t="s">
        <v>343</v>
      </c>
      <c r="E6807" s="7" t="s">
        <v>154</v>
      </c>
      <c r="F6807" s="39" t="n">
        <v>45971</v>
      </c>
      <c r="G6807" s="41" t="n">
        <v>104.41</v>
      </c>
      <c r="H6807" s="6" t="s">
        <v>182</v>
      </c>
      <c r="I6807" s="7" t="s">
        <v>19787</v>
      </c>
      <c r="J6807" s="8" t="n">
        <f aca="false">IF(I6807="Open",DATE(2025,12,31)-F6807,"-")</f>
        <v>51</v>
      </c>
    </row>
    <row r="6808" customFormat="false" ht="15" hidden="false" customHeight="false" outlineLevel="0" collapsed="false">
      <c r="B6808" s="7" t="s">
        <v>21454</v>
      </c>
      <c r="C6808" s="7" t="s">
        <v>7305</v>
      </c>
      <c r="D6808" s="7" t="s">
        <v>347</v>
      </c>
      <c r="E6808" s="7" t="s">
        <v>154</v>
      </c>
      <c r="F6808" s="39" t="n">
        <v>45971</v>
      </c>
      <c r="G6808" s="41" t="n">
        <v>131.7</v>
      </c>
      <c r="H6808" s="6" t="s">
        <v>182</v>
      </c>
      <c r="I6808" s="7" t="s">
        <v>19787</v>
      </c>
      <c r="J6808" s="8" t="n">
        <f aca="false">IF(I6808="Open",DATE(2025,12,31)-F6808,"-")</f>
        <v>51</v>
      </c>
    </row>
    <row r="6809" customFormat="false" ht="15" hidden="false" customHeight="false" outlineLevel="0" collapsed="false">
      <c r="B6809" s="7" t="s">
        <v>21455</v>
      </c>
      <c r="C6809" s="7" t="s">
        <v>7306</v>
      </c>
      <c r="D6809" s="7" t="s">
        <v>349</v>
      </c>
      <c r="E6809" s="7" t="s">
        <v>154</v>
      </c>
      <c r="F6809" s="39" t="n">
        <v>45971</v>
      </c>
      <c r="G6809" s="41" t="n">
        <v>104.94</v>
      </c>
      <c r="H6809" s="6" t="s">
        <v>182</v>
      </c>
      <c r="I6809" s="7" t="s">
        <v>19787</v>
      </c>
      <c r="J6809" s="8" t="n">
        <f aca="false">IF(I6809="Open",DATE(2025,12,31)-F6809,"-")</f>
        <v>51</v>
      </c>
    </row>
    <row r="6810" customFormat="false" ht="15" hidden="false" customHeight="false" outlineLevel="0" collapsed="false">
      <c r="B6810" s="7" t="s">
        <v>21456</v>
      </c>
      <c r="C6810" s="7" t="s">
        <v>7307</v>
      </c>
      <c r="D6810" s="7" t="s">
        <v>351</v>
      </c>
      <c r="E6810" s="7" t="s">
        <v>154</v>
      </c>
      <c r="F6810" s="39" t="n">
        <v>45971</v>
      </c>
      <c r="G6810" s="41" t="n">
        <v>72.34</v>
      </c>
      <c r="H6810" s="6" t="s">
        <v>182</v>
      </c>
      <c r="I6810" s="7" t="s">
        <v>19787</v>
      </c>
      <c r="J6810" s="8" t="n">
        <f aca="false">IF(I6810="Open",DATE(2025,12,31)-F6810,"-")</f>
        <v>51</v>
      </c>
    </row>
    <row r="6811" customFormat="false" ht="15" hidden="false" customHeight="false" outlineLevel="0" collapsed="false">
      <c r="B6811" s="7" t="s">
        <v>21457</v>
      </c>
      <c r="C6811" s="7" t="s">
        <v>7308</v>
      </c>
      <c r="D6811" s="7" t="s">
        <v>353</v>
      </c>
      <c r="E6811" s="7" t="s">
        <v>154</v>
      </c>
      <c r="F6811" s="39" t="n">
        <v>45971</v>
      </c>
      <c r="G6811" s="41" t="n">
        <v>84.27</v>
      </c>
      <c r="H6811" s="6" t="s">
        <v>182</v>
      </c>
      <c r="I6811" s="7" t="s">
        <v>19787</v>
      </c>
      <c r="J6811" s="8" t="n">
        <f aca="false">IF(I6811="Open",DATE(2025,12,31)-F6811,"-")</f>
        <v>51</v>
      </c>
    </row>
    <row r="6812" customFormat="false" ht="15" hidden="false" customHeight="false" outlineLevel="0" collapsed="false">
      <c r="B6812" s="7" t="s">
        <v>21458</v>
      </c>
      <c r="C6812" s="7" t="s">
        <v>7309</v>
      </c>
      <c r="D6812" s="7" t="s">
        <v>355</v>
      </c>
      <c r="E6812" s="7" t="s">
        <v>154</v>
      </c>
      <c r="F6812" s="39" t="n">
        <v>45971</v>
      </c>
      <c r="G6812" s="41" t="n">
        <v>86.66</v>
      </c>
      <c r="H6812" s="39" t="n">
        <v>46022</v>
      </c>
      <c r="I6812" s="7" t="s">
        <v>14651</v>
      </c>
      <c r="J6812" s="8" t="str">
        <f aca="false">IF(I6812="Open",DATE(2025,12,31)-F6812,"-")</f>
        <v>-</v>
      </c>
    </row>
    <row r="6813" customFormat="false" ht="15" hidden="false" customHeight="false" outlineLevel="0" collapsed="false">
      <c r="B6813" s="7" t="s">
        <v>21459</v>
      </c>
      <c r="C6813" s="7" t="s">
        <v>7310</v>
      </c>
      <c r="D6813" s="7" t="s">
        <v>357</v>
      </c>
      <c r="E6813" s="7" t="s">
        <v>154</v>
      </c>
      <c r="F6813" s="39" t="n">
        <v>45971</v>
      </c>
      <c r="G6813" s="41" t="n">
        <v>85.33</v>
      </c>
      <c r="H6813" s="6" t="s">
        <v>182</v>
      </c>
      <c r="I6813" s="7" t="s">
        <v>19787</v>
      </c>
      <c r="J6813" s="8" t="n">
        <f aca="false">IF(I6813="Open",DATE(2025,12,31)-F6813,"-")</f>
        <v>51</v>
      </c>
    </row>
    <row r="6814" customFormat="false" ht="15" hidden="false" customHeight="false" outlineLevel="0" collapsed="false">
      <c r="B6814" s="7" t="s">
        <v>21460</v>
      </c>
      <c r="C6814" s="7" t="s">
        <v>7311</v>
      </c>
      <c r="D6814" s="7" t="s">
        <v>359</v>
      </c>
      <c r="E6814" s="7" t="s">
        <v>156</v>
      </c>
      <c r="F6814" s="39" t="n">
        <v>45971</v>
      </c>
      <c r="G6814" s="41" t="n">
        <v>128.52</v>
      </c>
      <c r="H6814" s="39" t="n">
        <v>45982</v>
      </c>
      <c r="I6814" s="7" t="s">
        <v>14651</v>
      </c>
      <c r="J6814" s="8" t="str">
        <f aca="false">IF(I6814="Open",DATE(2025,12,31)-F6814,"-")</f>
        <v>-</v>
      </c>
    </row>
    <row r="6815" customFormat="false" ht="15" hidden="false" customHeight="false" outlineLevel="0" collapsed="false">
      <c r="B6815" s="7" t="s">
        <v>21461</v>
      </c>
      <c r="C6815" s="7" t="s">
        <v>7312</v>
      </c>
      <c r="D6815" s="7" t="s">
        <v>363</v>
      </c>
      <c r="E6815" s="7" t="s">
        <v>156</v>
      </c>
      <c r="F6815" s="39" t="n">
        <v>45971</v>
      </c>
      <c r="G6815" s="41" t="n">
        <v>128.18</v>
      </c>
      <c r="H6815" s="39" t="n">
        <v>45981</v>
      </c>
      <c r="I6815" s="7" t="s">
        <v>14651</v>
      </c>
      <c r="J6815" s="8" t="str">
        <f aca="false">IF(I6815="Open",DATE(2025,12,31)-F6815,"-")</f>
        <v>-</v>
      </c>
    </row>
    <row r="6816" customFormat="false" ht="15" hidden="false" customHeight="false" outlineLevel="0" collapsed="false">
      <c r="B6816" s="7" t="s">
        <v>21462</v>
      </c>
      <c r="C6816" s="7" t="s">
        <v>7313</v>
      </c>
      <c r="D6816" s="7" t="s">
        <v>365</v>
      </c>
      <c r="E6816" s="7" t="s">
        <v>154</v>
      </c>
      <c r="F6816" s="39" t="n">
        <v>45971</v>
      </c>
      <c r="G6816" s="41" t="n">
        <v>111.83</v>
      </c>
      <c r="H6816" s="39" t="n">
        <v>46010</v>
      </c>
      <c r="I6816" s="7" t="s">
        <v>14651</v>
      </c>
      <c r="J6816" s="8" t="str">
        <f aca="false">IF(I6816="Open",DATE(2025,12,31)-F6816,"-")</f>
        <v>-</v>
      </c>
    </row>
    <row r="6817" customFormat="false" ht="15" hidden="false" customHeight="false" outlineLevel="0" collapsed="false">
      <c r="B6817" s="7" t="s">
        <v>21463</v>
      </c>
      <c r="C6817" s="7" t="s">
        <v>7314</v>
      </c>
      <c r="D6817" s="7" t="s">
        <v>371</v>
      </c>
      <c r="E6817" s="7" t="s">
        <v>154</v>
      </c>
      <c r="F6817" s="39" t="n">
        <v>45971</v>
      </c>
      <c r="G6817" s="41" t="n">
        <v>122.96</v>
      </c>
      <c r="H6817" s="6" t="s">
        <v>182</v>
      </c>
      <c r="I6817" s="7" t="s">
        <v>19787</v>
      </c>
      <c r="J6817" s="8" t="n">
        <f aca="false">IF(I6817="Open",DATE(2025,12,31)-F6817,"-")</f>
        <v>51</v>
      </c>
    </row>
    <row r="6818" customFormat="false" ht="15" hidden="false" customHeight="false" outlineLevel="0" collapsed="false">
      <c r="B6818" s="7" t="s">
        <v>21464</v>
      </c>
      <c r="C6818" s="7" t="s">
        <v>7315</v>
      </c>
      <c r="D6818" s="7" t="s">
        <v>375</v>
      </c>
      <c r="E6818" s="7" t="s">
        <v>156</v>
      </c>
      <c r="F6818" s="39" t="n">
        <v>45971</v>
      </c>
      <c r="G6818" s="41" t="n">
        <v>108.46</v>
      </c>
      <c r="H6818" s="39" t="n">
        <v>45980</v>
      </c>
      <c r="I6818" s="7" t="s">
        <v>14651</v>
      </c>
      <c r="J6818" s="8" t="str">
        <f aca="false">IF(I6818="Open",DATE(2025,12,31)-F6818,"-")</f>
        <v>-</v>
      </c>
    </row>
    <row r="6819" customFormat="false" ht="15" hidden="false" customHeight="false" outlineLevel="0" collapsed="false">
      <c r="B6819" s="7" t="s">
        <v>21465</v>
      </c>
      <c r="C6819" s="7" t="s">
        <v>7316</v>
      </c>
      <c r="D6819" s="7" t="s">
        <v>377</v>
      </c>
      <c r="E6819" s="7" t="s">
        <v>154</v>
      </c>
      <c r="F6819" s="39" t="n">
        <v>45971</v>
      </c>
      <c r="G6819" s="41" t="n">
        <v>113.15</v>
      </c>
      <c r="H6819" s="6" t="s">
        <v>182</v>
      </c>
      <c r="I6819" s="7" t="s">
        <v>19787</v>
      </c>
      <c r="J6819" s="8" t="n">
        <f aca="false">IF(I6819="Open",DATE(2025,12,31)-F6819,"-")</f>
        <v>51</v>
      </c>
    </row>
    <row r="6820" customFormat="false" ht="15" hidden="false" customHeight="false" outlineLevel="0" collapsed="false">
      <c r="B6820" s="7" t="s">
        <v>21466</v>
      </c>
      <c r="C6820" s="7" t="s">
        <v>7317</v>
      </c>
      <c r="D6820" s="7" t="s">
        <v>379</v>
      </c>
      <c r="E6820" s="7" t="s">
        <v>156</v>
      </c>
      <c r="F6820" s="39" t="n">
        <v>45971</v>
      </c>
      <c r="G6820" s="41" t="n">
        <v>151.3</v>
      </c>
      <c r="H6820" s="39" t="n">
        <v>45978</v>
      </c>
      <c r="I6820" s="7" t="s">
        <v>14651</v>
      </c>
      <c r="J6820" s="8" t="str">
        <f aca="false">IF(I6820="Open",DATE(2025,12,31)-F6820,"-")</f>
        <v>-</v>
      </c>
    </row>
    <row r="6821" customFormat="false" ht="15" hidden="false" customHeight="false" outlineLevel="0" collapsed="false">
      <c r="B6821" s="7" t="s">
        <v>21467</v>
      </c>
      <c r="C6821" s="7" t="s">
        <v>7318</v>
      </c>
      <c r="D6821" s="7" t="s">
        <v>387</v>
      </c>
      <c r="E6821" s="7" t="s">
        <v>154</v>
      </c>
      <c r="F6821" s="39" t="n">
        <v>45971</v>
      </c>
      <c r="G6821" s="41" t="n">
        <v>114.75</v>
      </c>
      <c r="H6821" s="39" t="n">
        <v>45987</v>
      </c>
      <c r="I6821" s="7" t="s">
        <v>14651</v>
      </c>
      <c r="J6821" s="8" t="str">
        <f aca="false">IF(I6821="Open",DATE(2025,12,31)-F6821,"-")</f>
        <v>-</v>
      </c>
    </row>
    <row r="6822" customFormat="false" ht="15" hidden="false" customHeight="false" outlineLevel="0" collapsed="false">
      <c r="B6822" s="7" t="s">
        <v>21468</v>
      </c>
      <c r="C6822" s="7" t="s">
        <v>7319</v>
      </c>
      <c r="D6822" s="7" t="s">
        <v>389</v>
      </c>
      <c r="E6822" s="7" t="s">
        <v>154</v>
      </c>
      <c r="F6822" s="39" t="n">
        <v>45971</v>
      </c>
      <c r="G6822" s="41" t="n">
        <v>111.83</v>
      </c>
      <c r="H6822" s="39" t="n">
        <v>46013</v>
      </c>
      <c r="I6822" s="7" t="s">
        <v>14651</v>
      </c>
      <c r="J6822" s="8" t="str">
        <f aca="false">IF(I6822="Open",DATE(2025,12,31)-F6822,"-")</f>
        <v>-</v>
      </c>
    </row>
    <row r="6823" customFormat="false" ht="15" hidden="false" customHeight="false" outlineLevel="0" collapsed="false">
      <c r="B6823" s="7" t="s">
        <v>21469</v>
      </c>
      <c r="C6823" s="7" t="s">
        <v>7320</v>
      </c>
      <c r="D6823" s="7" t="s">
        <v>391</v>
      </c>
      <c r="E6823" s="7" t="s">
        <v>156</v>
      </c>
      <c r="F6823" s="39" t="n">
        <v>45971</v>
      </c>
      <c r="G6823" s="41" t="n">
        <v>149.26</v>
      </c>
      <c r="H6823" s="39" t="n">
        <v>45988</v>
      </c>
      <c r="I6823" s="7" t="s">
        <v>14651</v>
      </c>
      <c r="J6823" s="8" t="str">
        <f aca="false">IF(I6823="Open",DATE(2025,12,31)-F6823,"-")</f>
        <v>-</v>
      </c>
    </row>
    <row r="6824" customFormat="false" ht="15" hidden="false" customHeight="false" outlineLevel="0" collapsed="false">
      <c r="B6824" s="7" t="s">
        <v>21470</v>
      </c>
      <c r="C6824" s="7" t="s">
        <v>7321</v>
      </c>
      <c r="D6824" s="7" t="s">
        <v>395</v>
      </c>
      <c r="E6824" s="7" t="s">
        <v>156</v>
      </c>
      <c r="F6824" s="39" t="n">
        <v>45971</v>
      </c>
      <c r="G6824" s="41" t="n">
        <v>131.24</v>
      </c>
      <c r="H6824" s="39" t="n">
        <v>45981</v>
      </c>
      <c r="I6824" s="7" t="s">
        <v>14651</v>
      </c>
      <c r="J6824" s="8" t="str">
        <f aca="false">IF(I6824="Open",DATE(2025,12,31)-F6824,"-")</f>
        <v>-</v>
      </c>
    </row>
    <row r="6825" customFormat="false" ht="15" hidden="false" customHeight="false" outlineLevel="0" collapsed="false">
      <c r="B6825" s="7" t="s">
        <v>21471</v>
      </c>
      <c r="C6825" s="7" t="s">
        <v>7322</v>
      </c>
      <c r="D6825" s="7" t="s">
        <v>399</v>
      </c>
      <c r="E6825" s="7" t="s">
        <v>154</v>
      </c>
      <c r="F6825" s="39" t="n">
        <v>45971</v>
      </c>
      <c r="G6825" s="41" t="n">
        <v>89.57</v>
      </c>
      <c r="H6825" s="6" t="s">
        <v>182</v>
      </c>
      <c r="I6825" s="7" t="s">
        <v>19787</v>
      </c>
      <c r="J6825" s="8" t="n">
        <f aca="false">IF(I6825="Open",DATE(2025,12,31)-F6825,"-")</f>
        <v>51</v>
      </c>
    </row>
    <row r="6826" customFormat="false" ht="15" hidden="false" customHeight="false" outlineLevel="0" collapsed="false">
      <c r="B6826" s="7" t="s">
        <v>21472</v>
      </c>
      <c r="C6826" s="7" t="s">
        <v>7323</v>
      </c>
      <c r="D6826" s="7" t="s">
        <v>401</v>
      </c>
      <c r="E6826" s="7" t="s">
        <v>156</v>
      </c>
      <c r="F6826" s="39" t="n">
        <v>45971</v>
      </c>
      <c r="G6826" s="41" t="n">
        <v>139.4</v>
      </c>
      <c r="H6826" s="39" t="n">
        <v>45984</v>
      </c>
      <c r="I6826" s="7" t="s">
        <v>14651</v>
      </c>
      <c r="J6826" s="8" t="str">
        <f aca="false">IF(I6826="Open",DATE(2025,12,31)-F6826,"-")</f>
        <v>-</v>
      </c>
    </row>
    <row r="6827" customFormat="false" ht="15" hidden="false" customHeight="false" outlineLevel="0" collapsed="false">
      <c r="B6827" s="7" t="s">
        <v>21473</v>
      </c>
      <c r="C6827" s="7" t="s">
        <v>7324</v>
      </c>
      <c r="D6827" s="7" t="s">
        <v>409</v>
      </c>
      <c r="E6827" s="7" t="s">
        <v>154</v>
      </c>
      <c r="F6827" s="39" t="n">
        <v>45971</v>
      </c>
      <c r="G6827" s="41" t="n">
        <v>90.37</v>
      </c>
      <c r="H6827" s="6" t="s">
        <v>182</v>
      </c>
      <c r="I6827" s="7" t="s">
        <v>19787</v>
      </c>
      <c r="J6827" s="8" t="n">
        <f aca="false">IF(I6827="Open",DATE(2025,12,31)-F6827,"-")</f>
        <v>51</v>
      </c>
    </row>
    <row r="6828" customFormat="false" ht="15" hidden="false" customHeight="false" outlineLevel="0" collapsed="false">
      <c r="B6828" s="7" t="s">
        <v>21474</v>
      </c>
      <c r="C6828" s="7" t="s">
        <v>7325</v>
      </c>
      <c r="D6828" s="7" t="s">
        <v>411</v>
      </c>
      <c r="E6828" s="7" t="s">
        <v>154</v>
      </c>
      <c r="F6828" s="39" t="n">
        <v>45971</v>
      </c>
      <c r="G6828" s="41" t="n">
        <v>131.18</v>
      </c>
      <c r="H6828" s="6" t="s">
        <v>182</v>
      </c>
      <c r="I6828" s="7" t="s">
        <v>19787</v>
      </c>
      <c r="J6828" s="8" t="n">
        <f aca="false">IF(I6828="Open",DATE(2025,12,31)-F6828,"-")</f>
        <v>51</v>
      </c>
    </row>
    <row r="6829" customFormat="false" ht="15" hidden="false" customHeight="false" outlineLevel="0" collapsed="false">
      <c r="B6829" s="7" t="s">
        <v>21475</v>
      </c>
      <c r="C6829" s="7" t="s">
        <v>7326</v>
      </c>
      <c r="D6829" s="7" t="s">
        <v>288</v>
      </c>
      <c r="E6829" s="7" t="s">
        <v>156</v>
      </c>
      <c r="F6829" s="39" t="n">
        <v>45972</v>
      </c>
      <c r="G6829" s="41" t="n">
        <v>124.78</v>
      </c>
      <c r="H6829" s="39" t="n">
        <v>45983</v>
      </c>
      <c r="I6829" s="7" t="s">
        <v>14651</v>
      </c>
      <c r="J6829" s="8" t="str">
        <f aca="false">IF(I6829="Open",DATE(2025,12,31)-F6829,"-")</f>
        <v>-</v>
      </c>
    </row>
    <row r="6830" customFormat="false" ht="15" hidden="false" customHeight="false" outlineLevel="0" collapsed="false">
      <c r="B6830" s="7" t="s">
        <v>21476</v>
      </c>
      <c r="C6830" s="7" t="s">
        <v>7327</v>
      </c>
      <c r="D6830" s="7" t="s">
        <v>293</v>
      </c>
      <c r="E6830" s="7" t="s">
        <v>157</v>
      </c>
      <c r="F6830" s="39" t="n">
        <v>45972</v>
      </c>
      <c r="G6830" s="41" t="n">
        <v>153.45</v>
      </c>
      <c r="H6830" s="39" t="n">
        <v>46011</v>
      </c>
      <c r="I6830" s="7" t="s">
        <v>14651</v>
      </c>
      <c r="J6830" s="8" t="str">
        <f aca="false">IF(I6830="Open",DATE(2025,12,31)-F6830,"-")</f>
        <v>-</v>
      </c>
    </row>
    <row r="6831" customFormat="false" ht="15" hidden="false" customHeight="false" outlineLevel="0" collapsed="false">
      <c r="B6831" s="7" t="s">
        <v>21477</v>
      </c>
      <c r="C6831" s="7" t="s">
        <v>7328</v>
      </c>
      <c r="D6831" s="7" t="s">
        <v>301</v>
      </c>
      <c r="E6831" s="7" t="s">
        <v>157</v>
      </c>
      <c r="F6831" s="39" t="n">
        <v>45972</v>
      </c>
      <c r="G6831" s="41" t="n">
        <v>176.55</v>
      </c>
      <c r="H6831" s="39" t="n">
        <v>46018</v>
      </c>
      <c r="I6831" s="7" t="s">
        <v>14651</v>
      </c>
      <c r="J6831" s="8" t="str">
        <f aca="false">IF(I6831="Open",DATE(2025,12,31)-F6831,"-")</f>
        <v>-</v>
      </c>
    </row>
    <row r="6832" customFormat="false" ht="15" hidden="false" customHeight="false" outlineLevel="0" collapsed="false">
      <c r="B6832" s="7" t="s">
        <v>21478</v>
      </c>
      <c r="C6832" s="7" t="s">
        <v>7329</v>
      </c>
      <c r="D6832" s="7" t="s">
        <v>313</v>
      </c>
      <c r="E6832" s="7" t="s">
        <v>156</v>
      </c>
      <c r="F6832" s="39" t="n">
        <v>45972</v>
      </c>
      <c r="G6832" s="41" t="n">
        <v>126.48</v>
      </c>
      <c r="H6832" s="39" t="n">
        <v>45998</v>
      </c>
      <c r="I6832" s="7" t="s">
        <v>14651</v>
      </c>
      <c r="J6832" s="8" t="str">
        <f aca="false">IF(I6832="Open",DATE(2025,12,31)-F6832,"-")</f>
        <v>-</v>
      </c>
    </row>
    <row r="6833" customFormat="false" ht="15" hidden="false" customHeight="false" outlineLevel="0" collapsed="false">
      <c r="B6833" s="7" t="s">
        <v>21479</v>
      </c>
      <c r="C6833" s="7" t="s">
        <v>7330</v>
      </c>
      <c r="D6833" s="7" t="s">
        <v>319</v>
      </c>
      <c r="E6833" s="7" t="s">
        <v>157</v>
      </c>
      <c r="F6833" s="39" t="n">
        <v>45972</v>
      </c>
      <c r="G6833" s="41" t="n">
        <v>163.35</v>
      </c>
      <c r="H6833" s="6" t="s">
        <v>182</v>
      </c>
      <c r="I6833" s="7" t="s">
        <v>19787</v>
      </c>
      <c r="J6833" s="8" t="n">
        <f aca="false">IF(I6833="Open",DATE(2025,12,31)-F6833,"-")</f>
        <v>50</v>
      </c>
    </row>
    <row r="6834" customFormat="false" ht="15" hidden="false" customHeight="false" outlineLevel="0" collapsed="false">
      <c r="B6834" s="7" t="s">
        <v>21480</v>
      </c>
      <c r="C6834" s="7" t="s">
        <v>7331</v>
      </c>
      <c r="D6834" s="7" t="s">
        <v>321</v>
      </c>
      <c r="E6834" s="7" t="s">
        <v>154</v>
      </c>
      <c r="F6834" s="39" t="n">
        <v>45972</v>
      </c>
      <c r="G6834" s="41" t="n">
        <v>104.68</v>
      </c>
      <c r="H6834" s="39" t="n">
        <v>46022</v>
      </c>
      <c r="I6834" s="7" t="s">
        <v>14651</v>
      </c>
      <c r="J6834" s="8" t="str">
        <f aca="false">IF(I6834="Open",DATE(2025,12,31)-F6834,"-")</f>
        <v>-</v>
      </c>
    </row>
    <row r="6835" customFormat="false" ht="15" hidden="false" customHeight="false" outlineLevel="0" collapsed="false">
      <c r="B6835" s="7" t="s">
        <v>21481</v>
      </c>
      <c r="C6835" s="7" t="s">
        <v>7332</v>
      </c>
      <c r="D6835" s="7" t="s">
        <v>323</v>
      </c>
      <c r="E6835" s="7" t="s">
        <v>159</v>
      </c>
      <c r="F6835" s="39" t="n">
        <v>45972</v>
      </c>
      <c r="G6835" s="41" t="n">
        <v>147.15</v>
      </c>
      <c r="H6835" s="6" t="s">
        <v>182</v>
      </c>
      <c r="I6835" s="7" t="s">
        <v>19787</v>
      </c>
      <c r="J6835" s="8" t="n">
        <f aca="false">IF(I6835="Open",DATE(2025,12,31)-F6835,"-")</f>
        <v>50</v>
      </c>
    </row>
    <row r="6836" customFormat="false" ht="15" hidden="false" customHeight="false" outlineLevel="0" collapsed="false">
      <c r="B6836" s="7" t="s">
        <v>21482</v>
      </c>
      <c r="C6836" s="7" t="s">
        <v>7333</v>
      </c>
      <c r="D6836" s="7" t="s">
        <v>327</v>
      </c>
      <c r="E6836" s="7" t="s">
        <v>157</v>
      </c>
      <c r="F6836" s="39" t="n">
        <v>45972</v>
      </c>
      <c r="G6836" s="41" t="n">
        <v>163.35</v>
      </c>
      <c r="H6836" s="39" t="n">
        <v>46003</v>
      </c>
      <c r="I6836" s="7" t="s">
        <v>14651</v>
      </c>
      <c r="J6836" s="8" t="str">
        <f aca="false">IF(I6836="Open",DATE(2025,12,31)-F6836,"-")</f>
        <v>-</v>
      </c>
    </row>
    <row r="6837" customFormat="false" ht="15" hidden="false" customHeight="false" outlineLevel="0" collapsed="false">
      <c r="B6837" s="7" t="s">
        <v>21483</v>
      </c>
      <c r="C6837" s="7" t="s">
        <v>7334</v>
      </c>
      <c r="D6837" s="7" t="s">
        <v>329</v>
      </c>
      <c r="E6837" s="7" t="s">
        <v>156</v>
      </c>
      <c r="F6837" s="39" t="n">
        <v>45972</v>
      </c>
      <c r="G6837" s="41" t="n">
        <v>136.68</v>
      </c>
      <c r="H6837" s="39" t="n">
        <v>45986</v>
      </c>
      <c r="I6837" s="7" t="s">
        <v>14651</v>
      </c>
      <c r="J6837" s="8" t="str">
        <f aca="false">IF(I6837="Open",DATE(2025,12,31)-F6837,"-")</f>
        <v>-</v>
      </c>
    </row>
    <row r="6838" customFormat="false" ht="15" hidden="false" customHeight="false" outlineLevel="0" collapsed="false">
      <c r="B6838" s="7" t="s">
        <v>21484</v>
      </c>
      <c r="C6838" s="7" t="s">
        <v>7335</v>
      </c>
      <c r="D6838" s="7" t="s">
        <v>349</v>
      </c>
      <c r="E6838" s="7" t="s">
        <v>154</v>
      </c>
      <c r="F6838" s="39" t="n">
        <v>45972</v>
      </c>
      <c r="G6838" s="41" t="n">
        <v>106.53</v>
      </c>
      <c r="H6838" s="6" t="s">
        <v>182</v>
      </c>
      <c r="I6838" s="7" t="s">
        <v>19787</v>
      </c>
      <c r="J6838" s="8" t="n">
        <f aca="false">IF(I6838="Open",DATE(2025,12,31)-F6838,"-")</f>
        <v>50</v>
      </c>
    </row>
    <row r="6839" customFormat="false" ht="15" hidden="false" customHeight="false" outlineLevel="0" collapsed="false">
      <c r="B6839" s="7" t="s">
        <v>21485</v>
      </c>
      <c r="C6839" s="7" t="s">
        <v>7336</v>
      </c>
      <c r="D6839" s="7" t="s">
        <v>359</v>
      </c>
      <c r="E6839" s="7" t="s">
        <v>156</v>
      </c>
      <c r="F6839" s="39" t="n">
        <v>45972</v>
      </c>
      <c r="G6839" s="41" t="n">
        <v>131.24</v>
      </c>
      <c r="H6839" s="39" t="n">
        <v>45975</v>
      </c>
      <c r="I6839" s="7" t="s">
        <v>14651</v>
      </c>
      <c r="J6839" s="8" t="str">
        <f aca="false">IF(I6839="Open",DATE(2025,12,31)-F6839,"-")</f>
        <v>-</v>
      </c>
    </row>
    <row r="6840" customFormat="false" ht="15" hidden="false" customHeight="false" outlineLevel="0" collapsed="false">
      <c r="B6840" s="7" t="s">
        <v>21486</v>
      </c>
      <c r="C6840" s="7" t="s">
        <v>7337</v>
      </c>
      <c r="D6840" s="7" t="s">
        <v>361</v>
      </c>
      <c r="E6840" s="7" t="s">
        <v>157</v>
      </c>
      <c r="F6840" s="39" t="n">
        <v>45972</v>
      </c>
      <c r="G6840" s="41" t="n">
        <v>174.9</v>
      </c>
      <c r="H6840" s="6" t="s">
        <v>182</v>
      </c>
      <c r="I6840" s="7" t="s">
        <v>19787</v>
      </c>
      <c r="J6840" s="8" t="n">
        <f aca="false">IF(I6840="Open",DATE(2025,12,31)-F6840,"-")</f>
        <v>50</v>
      </c>
    </row>
    <row r="6841" customFormat="false" ht="15" hidden="false" customHeight="false" outlineLevel="0" collapsed="false">
      <c r="B6841" s="7" t="s">
        <v>21487</v>
      </c>
      <c r="C6841" s="7" t="s">
        <v>7338</v>
      </c>
      <c r="D6841" s="7" t="s">
        <v>365</v>
      </c>
      <c r="E6841" s="7" t="s">
        <v>154</v>
      </c>
      <c r="F6841" s="39" t="n">
        <v>45972</v>
      </c>
      <c r="G6841" s="41" t="n">
        <v>98.84</v>
      </c>
      <c r="H6841" s="6" t="s">
        <v>182</v>
      </c>
      <c r="I6841" s="7" t="s">
        <v>19787</v>
      </c>
      <c r="J6841" s="8" t="n">
        <f aca="false">IF(I6841="Open",DATE(2025,12,31)-F6841,"-")</f>
        <v>50</v>
      </c>
    </row>
    <row r="6842" customFormat="false" ht="15" hidden="false" customHeight="false" outlineLevel="0" collapsed="false">
      <c r="B6842" s="7" t="s">
        <v>21488</v>
      </c>
      <c r="C6842" s="7" t="s">
        <v>7339</v>
      </c>
      <c r="D6842" s="7" t="s">
        <v>369</v>
      </c>
      <c r="E6842" s="7" t="s">
        <v>159</v>
      </c>
      <c r="F6842" s="39" t="n">
        <v>45972</v>
      </c>
      <c r="G6842" s="41" t="n">
        <v>147.15</v>
      </c>
      <c r="H6842" s="39" t="n">
        <v>46014</v>
      </c>
      <c r="I6842" s="7" t="s">
        <v>14651</v>
      </c>
      <c r="J6842" s="8" t="str">
        <f aca="false">IF(I6842="Open",DATE(2025,12,31)-F6842,"-")</f>
        <v>-</v>
      </c>
    </row>
    <row r="6843" customFormat="false" ht="15" hidden="false" customHeight="false" outlineLevel="0" collapsed="false">
      <c r="B6843" s="7" t="s">
        <v>21489</v>
      </c>
      <c r="C6843" s="7" t="s">
        <v>7340</v>
      </c>
      <c r="D6843" s="7" t="s">
        <v>381</v>
      </c>
      <c r="E6843" s="7" t="s">
        <v>157</v>
      </c>
      <c r="F6843" s="39" t="n">
        <v>45972</v>
      </c>
      <c r="G6843" s="41" t="n">
        <v>160.05</v>
      </c>
      <c r="H6843" s="39" t="n">
        <v>45999</v>
      </c>
      <c r="I6843" s="7" t="s">
        <v>14651</v>
      </c>
      <c r="J6843" s="8" t="str">
        <f aca="false">IF(I6843="Open",DATE(2025,12,31)-F6843,"-")</f>
        <v>-</v>
      </c>
    </row>
    <row r="6844" customFormat="false" ht="15" hidden="false" customHeight="false" outlineLevel="0" collapsed="false">
      <c r="B6844" s="7" t="s">
        <v>21490</v>
      </c>
      <c r="C6844" s="7" t="s">
        <v>7341</v>
      </c>
      <c r="D6844" s="7" t="s">
        <v>383</v>
      </c>
      <c r="E6844" s="7" t="s">
        <v>157</v>
      </c>
      <c r="F6844" s="39" t="n">
        <v>45972</v>
      </c>
      <c r="G6844" s="41" t="n">
        <v>173.25</v>
      </c>
      <c r="H6844" s="39" t="n">
        <v>45992</v>
      </c>
      <c r="I6844" s="7" t="s">
        <v>14651</v>
      </c>
      <c r="J6844" s="8" t="str">
        <f aca="false">IF(I6844="Open",DATE(2025,12,31)-F6844,"-")</f>
        <v>-</v>
      </c>
    </row>
    <row r="6845" customFormat="false" ht="15" hidden="false" customHeight="false" outlineLevel="0" collapsed="false">
      <c r="B6845" s="7" t="s">
        <v>21491</v>
      </c>
      <c r="C6845" s="7" t="s">
        <v>7342</v>
      </c>
      <c r="D6845" s="7" t="s">
        <v>387</v>
      </c>
      <c r="E6845" s="7" t="s">
        <v>154</v>
      </c>
      <c r="F6845" s="39" t="n">
        <v>45972</v>
      </c>
      <c r="G6845" s="41" t="n">
        <v>105.47</v>
      </c>
      <c r="H6845" s="6" t="s">
        <v>182</v>
      </c>
      <c r="I6845" s="7" t="s">
        <v>19787</v>
      </c>
      <c r="J6845" s="8" t="n">
        <f aca="false">IF(I6845="Open",DATE(2025,12,31)-F6845,"-")</f>
        <v>50</v>
      </c>
    </row>
    <row r="6846" customFormat="false" ht="15" hidden="false" customHeight="false" outlineLevel="0" collapsed="false">
      <c r="B6846" s="7" t="s">
        <v>21492</v>
      </c>
      <c r="C6846" s="7" t="s">
        <v>7343</v>
      </c>
      <c r="D6846" s="7" t="s">
        <v>389</v>
      </c>
      <c r="E6846" s="7" t="s">
        <v>154</v>
      </c>
      <c r="F6846" s="39" t="n">
        <v>45972</v>
      </c>
      <c r="G6846" s="41" t="n">
        <v>113.42</v>
      </c>
      <c r="H6846" s="6" t="s">
        <v>182</v>
      </c>
      <c r="I6846" s="7" t="s">
        <v>19787</v>
      </c>
      <c r="J6846" s="8" t="n">
        <f aca="false">IF(I6846="Open",DATE(2025,12,31)-F6846,"-")</f>
        <v>50</v>
      </c>
    </row>
    <row r="6847" customFormat="false" ht="15" hidden="false" customHeight="false" outlineLevel="0" collapsed="false">
      <c r="B6847" s="7" t="s">
        <v>21493</v>
      </c>
      <c r="C6847" s="7" t="s">
        <v>7344</v>
      </c>
      <c r="D6847" s="7" t="s">
        <v>391</v>
      </c>
      <c r="E6847" s="7" t="s">
        <v>156</v>
      </c>
      <c r="F6847" s="39" t="n">
        <v>45972</v>
      </c>
      <c r="G6847" s="41" t="n">
        <v>132.94</v>
      </c>
      <c r="H6847" s="39" t="n">
        <v>45983</v>
      </c>
      <c r="I6847" s="7" t="s">
        <v>14651</v>
      </c>
      <c r="J6847" s="8" t="str">
        <f aca="false">IF(I6847="Open",DATE(2025,12,31)-F6847,"-")</f>
        <v>-</v>
      </c>
    </row>
    <row r="6848" customFormat="false" ht="15" hidden="false" customHeight="false" outlineLevel="0" collapsed="false">
      <c r="B6848" s="7" t="s">
        <v>21494</v>
      </c>
      <c r="C6848" s="7" t="s">
        <v>7345</v>
      </c>
      <c r="D6848" s="7" t="s">
        <v>395</v>
      </c>
      <c r="E6848" s="7" t="s">
        <v>156</v>
      </c>
      <c r="F6848" s="39" t="n">
        <v>45972</v>
      </c>
      <c r="G6848" s="41" t="n">
        <v>140.42</v>
      </c>
      <c r="H6848" s="39" t="n">
        <v>45984</v>
      </c>
      <c r="I6848" s="7" t="s">
        <v>14651</v>
      </c>
      <c r="J6848" s="8" t="str">
        <f aca="false">IF(I6848="Open",DATE(2025,12,31)-F6848,"-")</f>
        <v>-</v>
      </c>
    </row>
    <row r="6849" customFormat="false" ht="15" hidden="false" customHeight="false" outlineLevel="0" collapsed="false">
      <c r="B6849" s="7" t="s">
        <v>21495</v>
      </c>
      <c r="C6849" s="7" t="s">
        <v>7346</v>
      </c>
      <c r="D6849" s="7" t="s">
        <v>397</v>
      </c>
      <c r="E6849" s="7" t="s">
        <v>159</v>
      </c>
      <c r="F6849" s="39" t="n">
        <v>45972</v>
      </c>
      <c r="G6849" s="41" t="n">
        <v>130.95</v>
      </c>
      <c r="H6849" s="6" t="s">
        <v>182</v>
      </c>
      <c r="I6849" s="7" t="s">
        <v>19787</v>
      </c>
      <c r="J6849" s="8" t="n">
        <f aca="false">IF(I6849="Open",DATE(2025,12,31)-F6849,"-")</f>
        <v>50</v>
      </c>
    </row>
    <row r="6850" customFormat="false" ht="15" hidden="false" customHeight="false" outlineLevel="0" collapsed="false">
      <c r="B6850" s="7" t="s">
        <v>21496</v>
      </c>
      <c r="C6850" s="7" t="s">
        <v>7347</v>
      </c>
      <c r="D6850" s="7" t="s">
        <v>401</v>
      </c>
      <c r="E6850" s="7" t="s">
        <v>156</v>
      </c>
      <c r="F6850" s="39" t="n">
        <v>45972</v>
      </c>
      <c r="G6850" s="41" t="n">
        <v>146.54</v>
      </c>
      <c r="H6850" s="39" t="n">
        <v>45988</v>
      </c>
      <c r="I6850" s="7" t="s">
        <v>14651</v>
      </c>
      <c r="J6850" s="8" t="str">
        <f aca="false">IF(I6850="Open",DATE(2025,12,31)-F6850,"-")</f>
        <v>-</v>
      </c>
    </row>
    <row r="6851" customFormat="false" ht="15" hidden="false" customHeight="false" outlineLevel="0" collapsed="false">
      <c r="B6851" s="7" t="s">
        <v>21497</v>
      </c>
      <c r="C6851" s="7" t="s">
        <v>7348</v>
      </c>
      <c r="D6851" s="7" t="s">
        <v>407</v>
      </c>
      <c r="E6851" s="7" t="s">
        <v>159</v>
      </c>
      <c r="F6851" s="39" t="n">
        <v>45972</v>
      </c>
      <c r="G6851" s="41" t="n">
        <v>125.55</v>
      </c>
      <c r="H6851" s="39" t="n">
        <v>46010</v>
      </c>
      <c r="I6851" s="7" t="s">
        <v>14651</v>
      </c>
      <c r="J6851" s="8" t="str">
        <f aca="false">IF(I6851="Open",DATE(2025,12,31)-F6851,"-")</f>
        <v>-</v>
      </c>
    </row>
    <row r="6852" customFormat="false" ht="15" hidden="false" customHeight="false" outlineLevel="0" collapsed="false">
      <c r="B6852" s="7" t="s">
        <v>21498</v>
      </c>
      <c r="C6852" s="7" t="s">
        <v>7349</v>
      </c>
      <c r="D6852" s="7" t="s">
        <v>288</v>
      </c>
      <c r="E6852" s="7" t="s">
        <v>156</v>
      </c>
      <c r="F6852" s="39" t="n">
        <v>45973</v>
      </c>
      <c r="G6852" s="41" t="n">
        <v>132.94</v>
      </c>
      <c r="H6852" s="39" t="n">
        <v>45983</v>
      </c>
      <c r="I6852" s="7" t="s">
        <v>14651</v>
      </c>
      <c r="J6852" s="8" t="str">
        <f aca="false">IF(I6852="Open",DATE(2025,12,31)-F6852,"-")</f>
        <v>-</v>
      </c>
    </row>
    <row r="6853" customFormat="false" ht="15" hidden="false" customHeight="false" outlineLevel="0" collapsed="false">
      <c r="B6853" s="7" t="s">
        <v>21499</v>
      </c>
      <c r="C6853" s="7" t="s">
        <v>7350</v>
      </c>
      <c r="D6853" s="7" t="s">
        <v>291</v>
      </c>
      <c r="E6853" s="7" t="s">
        <v>154</v>
      </c>
      <c r="F6853" s="39" t="n">
        <v>45973</v>
      </c>
      <c r="G6853" s="41" t="n">
        <v>121.63</v>
      </c>
      <c r="H6853" s="6" t="s">
        <v>182</v>
      </c>
      <c r="I6853" s="7" t="s">
        <v>19787</v>
      </c>
      <c r="J6853" s="8" t="n">
        <f aca="false">IF(I6853="Open",DATE(2025,12,31)-F6853,"-")</f>
        <v>49</v>
      </c>
    </row>
    <row r="6854" customFormat="false" ht="15" hidden="false" customHeight="false" outlineLevel="0" collapsed="false">
      <c r="B6854" s="7" t="s">
        <v>21500</v>
      </c>
      <c r="C6854" s="7" t="s">
        <v>7351</v>
      </c>
      <c r="D6854" s="7" t="s">
        <v>295</v>
      </c>
      <c r="E6854" s="7" t="s">
        <v>154</v>
      </c>
      <c r="F6854" s="39" t="n">
        <v>45973</v>
      </c>
      <c r="G6854" s="41" t="n">
        <v>115.27</v>
      </c>
      <c r="H6854" s="39" t="n">
        <v>46014</v>
      </c>
      <c r="I6854" s="7" t="s">
        <v>14651</v>
      </c>
      <c r="J6854" s="8" t="str">
        <f aca="false">IF(I6854="Open",DATE(2025,12,31)-F6854,"-")</f>
        <v>-</v>
      </c>
    </row>
    <row r="6855" customFormat="false" ht="15" hidden="false" customHeight="false" outlineLevel="0" collapsed="false">
      <c r="B6855" s="7" t="s">
        <v>21501</v>
      </c>
      <c r="C6855" s="7" t="s">
        <v>7352</v>
      </c>
      <c r="D6855" s="7" t="s">
        <v>305</v>
      </c>
      <c r="E6855" s="7" t="s">
        <v>154</v>
      </c>
      <c r="F6855" s="39" t="n">
        <v>45973</v>
      </c>
      <c r="G6855" s="41" t="n">
        <v>105.2</v>
      </c>
      <c r="H6855" s="39" t="n">
        <v>46011</v>
      </c>
      <c r="I6855" s="7" t="s">
        <v>14651</v>
      </c>
      <c r="J6855" s="8" t="str">
        <f aca="false">IF(I6855="Open",DATE(2025,12,31)-F6855,"-")</f>
        <v>-</v>
      </c>
    </row>
    <row r="6856" customFormat="false" ht="15" hidden="false" customHeight="false" outlineLevel="0" collapsed="false">
      <c r="B6856" s="7" t="s">
        <v>21502</v>
      </c>
      <c r="C6856" s="7" t="s">
        <v>7353</v>
      </c>
      <c r="D6856" s="7" t="s">
        <v>307</v>
      </c>
      <c r="E6856" s="7" t="s">
        <v>157</v>
      </c>
      <c r="F6856" s="39" t="n">
        <v>45973</v>
      </c>
      <c r="G6856" s="41" t="n">
        <v>151.8</v>
      </c>
      <c r="H6856" s="6" t="s">
        <v>182</v>
      </c>
      <c r="I6856" s="7" t="s">
        <v>19787</v>
      </c>
      <c r="J6856" s="8" t="n">
        <f aca="false">IF(I6856="Open",DATE(2025,12,31)-F6856,"-")</f>
        <v>49</v>
      </c>
    </row>
    <row r="6857" customFormat="false" ht="15" hidden="false" customHeight="false" outlineLevel="0" collapsed="false">
      <c r="B6857" s="7" t="s">
        <v>21503</v>
      </c>
      <c r="C6857" s="7" t="s">
        <v>7354</v>
      </c>
      <c r="D6857" s="7" t="s">
        <v>309</v>
      </c>
      <c r="E6857" s="7" t="s">
        <v>159</v>
      </c>
      <c r="F6857" s="39" t="n">
        <v>45973</v>
      </c>
      <c r="G6857" s="41" t="n">
        <v>122.85</v>
      </c>
      <c r="H6857" s="6" t="s">
        <v>182</v>
      </c>
      <c r="I6857" s="7" t="s">
        <v>19787</v>
      </c>
      <c r="J6857" s="8" t="n">
        <f aca="false">IF(I6857="Open",DATE(2025,12,31)-F6857,"-")</f>
        <v>49</v>
      </c>
    </row>
    <row r="6858" customFormat="false" ht="15" hidden="false" customHeight="false" outlineLevel="0" collapsed="false">
      <c r="B6858" s="7" t="s">
        <v>21504</v>
      </c>
      <c r="C6858" s="7" t="s">
        <v>7355</v>
      </c>
      <c r="D6858" s="7" t="s">
        <v>313</v>
      </c>
      <c r="E6858" s="7" t="s">
        <v>156</v>
      </c>
      <c r="F6858" s="39" t="n">
        <v>45973</v>
      </c>
      <c r="G6858" s="41" t="n">
        <v>135.32</v>
      </c>
      <c r="H6858" s="39" t="n">
        <v>45981</v>
      </c>
      <c r="I6858" s="7" t="s">
        <v>14651</v>
      </c>
      <c r="J6858" s="8" t="str">
        <f aca="false">IF(I6858="Open",DATE(2025,12,31)-F6858,"-")</f>
        <v>-</v>
      </c>
    </row>
    <row r="6859" customFormat="false" ht="15" hidden="false" customHeight="false" outlineLevel="0" collapsed="false">
      <c r="B6859" s="7" t="s">
        <v>21505</v>
      </c>
      <c r="C6859" s="7" t="s">
        <v>7356</v>
      </c>
      <c r="D6859" s="7" t="s">
        <v>315</v>
      </c>
      <c r="E6859" s="7" t="s">
        <v>159</v>
      </c>
      <c r="F6859" s="39" t="n">
        <v>45973</v>
      </c>
      <c r="G6859" s="41" t="n">
        <v>140.4</v>
      </c>
      <c r="H6859" s="6" t="s">
        <v>182</v>
      </c>
      <c r="I6859" s="7" t="s">
        <v>19787</v>
      </c>
      <c r="J6859" s="8" t="n">
        <f aca="false">IF(I6859="Open",DATE(2025,12,31)-F6859,"-")</f>
        <v>49</v>
      </c>
    </row>
    <row r="6860" customFormat="false" ht="15" hidden="false" customHeight="false" outlineLevel="0" collapsed="false">
      <c r="B6860" s="7" t="s">
        <v>21506</v>
      </c>
      <c r="C6860" s="7" t="s">
        <v>7357</v>
      </c>
      <c r="D6860" s="7" t="s">
        <v>321</v>
      </c>
      <c r="E6860" s="7" t="s">
        <v>154</v>
      </c>
      <c r="F6860" s="39" t="n">
        <v>45973</v>
      </c>
      <c r="G6860" s="41" t="n">
        <v>102.03</v>
      </c>
      <c r="H6860" s="6" t="s">
        <v>182</v>
      </c>
      <c r="I6860" s="7" t="s">
        <v>19787</v>
      </c>
      <c r="J6860" s="8" t="n">
        <f aca="false">IF(I6860="Open",DATE(2025,12,31)-F6860,"-")</f>
        <v>49</v>
      </c>
    </row>
    <row r="6861" customFormat="false" ht="15" hidden="false" customHeight="false" outlineLevel="0" collapsed="false">
      <c r="B6861" s="7" t="s">
        <v>21507</v>
      </c>
      <c r="C6861" s="7" t="s">
        <v>7358</v>
      </c>
      <c r="D6861" s="7" t="s">
        <v>329</v>
      </c>
      <c r="E6861" s="7" t="s">
        <v>156</v>
      </c>
      <c r="F6861" s="39" t="n">
        <v>45973</v>
      </c>
      <c r="G6861" s="41" t="n">
        <v>137.02</v>
      </c>
      <c r="H6861" s="39" t="n">
        <v>45985</v>
      </c>
      <c r="I6861" s="7" t="s">
        <v>14651</v>
      </c>
      <c r="J6861" s="8" t="str">
        <f aca="false">IF(I6861="Open",DATE(2025,12,31)-F6861,"-")</f>
        <v>-</v>
      </c>
    </row>
    <row r="6862" customFormat="false" ht="15" hidden="false" customHeight="false" outlineLevel="0" collapsed="false">
      <c r="B6862" s="7" t="s">
        <v>21508</v>
      </c>
      <c r="C6862" s="7" t="s">
        <v>7359</v>
      </c>
      <c r="D6862" s="7" t="s">
        <v>333</v>
      </c>
      <c r="E6862" s="7" t="s">
        <v>154</v>
      </c>
      <c r="F6862" s="39" t="n">
        <v>45973</v>
      </c>
      <c r="G6862" s="41" t="n">
        <v>95.13</v>
      </c>
      <c r="H6862" s="6" t="s">
        <v>182</v>
      </c>
      <c r="I6862" s="7" t="s">
        <v>19787</v>
      </c>
      <c r="J6862" s="8" t="n">
        <f aca="false">IF(I6862="Open",DATE(2025,12,31)-F6862,"-")</f>
        <v>49</v>
      </c>
    </row>
    <row r="6863" customFormat="false" ht="15" hidden="false" customHeight="false" outlineLevel="0" collapsed="false">
      <c r="B6863" s="7" t="s">
        <v>21509</v>
      </c>
      <c r="C6863" s="7" t="s">
        <v>7360</v>
      </c>
      <c r="D6863" s="7" t="s">
        <v>335</v>
      </c>
      <c r="E6863" s="7" t="s">
        <v>154</v>
      </c>
      <c r="F6863" s="39" t="n">
        <v>45973</v>
      </c>
      <c r="G6863" s="41" t="n">
        <v>104.94</v>
      </c>
      <c r="H6863" s="6" t="s">
        <v>182</v>
      </c>
      <c r="I6863" s="7" t="s">
        <v>19787</v>
      </c>
      <c r="J6863" s="8" t="n">
        <f aca="false">IF(I6863="Open",DATE(2025,12,31)-F6863,"-")</f>
        <v>49</v>
      </c>
    </row>
    <row r="6864" customFormat="false" ht="15" hidden="false" customHeight="false" outlineLevel="0" collapsed="false">
      <c r="B6864" s="7" t="s">
        <v>21510</v>
      </c>
      <c r="C6864" s="7" t="s">
        <v>7361</v>
      </c>
      <c r="D6864" s="7" t="s">
        <v>339</v>
      </c>
      <c r="E6864" s="7" t="s">
        <v>154</v>
      </c>
      <c r="F6864" s="39" t="n">
        <v>45973</v>
      </c>
      <c r="G6864" s="41" t="n">
        <v>90.63</v>
      </c>
      <c r="H6864" s="6" t="s">
        <v>182</v>
      </c>
      <c r="I6864" s="7" t="s">
        <v>19787</v>
      </c>
      <c r="J6864" s="8" t="n">
        <f aca="false">IF(I6864="Open",DATE(2025,12,31)-F6864,"-")</f>
        <v>49</v>
      </c>
    </row>
    <row r="6865" customFormat="false" ht="15" hidden="false" customHeight="false" outlineLevel="0" collapsed="false">
      <c r="B6865" s="7" t="s">
        <v>21511</v>
      </c>
      <c r="C6865" s="7" t="s">
        <v>7362</v>
      </c>
      <c r="D6865" s="7" t="s">
        <v>347</v>
      </c>
      <c r="E6865" s="7" t="s">
        <v>154</v>
      </c>
      <c r="F6865" s="39" t="n">
        <v>45973</v>
      </c>
      <c r="G6865" s="41" t="n">
        <v>115.41</v>
      </c>
      <c r="H6865" s="6" t="s">
        <v>182</v>
      </c>
      <c r="I6865" s="7" t="s">
        <v>19787</v>
      </c>
      <c r="J6865" s="8" t="n">
        <f aca="false">IF(I6865="Open",DATE(2025,12,31)-F6865,"-")</f>
        <v>49</v>
      </c>
    </row>
    <row r="6866" customFormat="false" ht="15" hidden="false" customHeight="false" outlineLevel="0" collapsed="false">
      <c r="B6866" s="7" t="s">
        <v>21512</v>
      </c>
      <c r="C6866" s="7" t="s">
        <v>7363</v>
      </c>
      <c r="D6866" s="7" t="s">
        <v>349</v>
      </c>
      <c r="E6866" s="7" t="s">
        <v>154</v>
      </c>
      <c r="F6866" s="39" t="n">
        <v>45973</v>
      </c>
      <c r="G6866" s="41" t="n">
        <v>112.62</v>
      </c>
      <c r="H6866" s="6" t="s">
        <v>182</v>
      </c>
      <c r="I6866" s="7" t="s">
        <v>19787</v>
      </c>
      <c r="J6866" s="8" t="n">
        <f aca="false">IF(I6866="Open",DATE(2025,12,31)-F6866,"-")</f>
        <v>49</v>
      </c>
    </row>
    <row r="6867" customFormat="false" ht="15" hidden="false" customHeight="false" outlineLevel="0" collapsed="false">
      <c r="B6867" s="7" t="s">
        <v>21513</v>
      </c>
      <c r="C6867" s="7" t="s">
        <v>7364</v>
      </c>
      <c r="D6867" s="7" t="s">
        <v>353</v>
      </c>
      <c r="E6867" s="7" t="s">
        <v>154</v>
      </c>
      <c r="F6867" s="39" t="n">
        <v>45973</v>
      </c>
      <c r="G6867" s="41" t="n">
        <v>91.69</v>
      </c>
      <c r="H6867" s="39" t="n">
        <v>45995</v>
      </c>
      <c r="I6867" s="7" t="s">
        <v>14651</v>
      </c>
      <c r="J6867" s="8" t="str">
        <f aca="false">IF(I6867="Open",DATE(2025,12,31)-F6867,"-")</f>
        <v>-</v>
      </c>
    </row>
    <row r="6868" customFormat="false" ht="15" hidden="false" customHeight="false" outlineLevel="0" collapsed="false">
      <c r="B6868" s="7" t="s">
        <v>21514</v>
      </c>
      <c r="C6868" s="7" t="s">
        <v>7365</v>
      </c>
      <c r="D6868" s="7" t="s">
        <v>355</v>
      </c>
      <c r="E6868" s="7" t="s">
        <v>154</v>
      </c>
      <c r="F6868" s="39" t="n">
        <v>45973</v>
      </c>
      <c r="G6868" s="41" t="n">
        <v>87.72</v>
      </c>
      <c r="H6868" s="6" t="s">
        <v>182</v>
      </c>
      <c r="I6868" s="7" t="s">
        <v>19787</v>
      </c>
      <c r="J6868" s="8" t="n">
        <f aca="false">IF(I6868="Open",DATE(2025,12,31)-F6868,"-")</f>
        <v>49</v>
      </c>
    </row>
    <row r="6869" customFormat="false" ht="15" hidden="false" customHeight="false" outlineLevel="0" collapsed="false">
      <c r="B6869" s="7" t="s">
        <v>21515</v>
      </c>
      <c r="C6869" s="7" t="s">
        <v>7366</v>
      </c>
      <c r="D6869" s="7" t="s">
        <v>357</v>
      </c>
      <c r="E6869" s="7" t="s">
        <v>154</v>
      </c>
      <c r="F6869" s="39" t="n">
        <v>45973</v>
      </c>
      <c r="G6869" s="41" t="n">
        <v>85.06</v>
      </c>
      <c r="H6869" s="6" t="s">
        <v>182</v>
      </c>
      <c r="I6869" s="7" t="s">
        <v>19787</v>
      </c>
      <c r="J6869" s="8" t="n">
        <f aca="false">IF(I6869="Open",DATE(2025,12,31)-F6869,"-")</f>
        <v>49</v>
      </c>
    </row>
    <row r="6870" customFormat="false" ht="15" hidden="false" customHeight="false" outlineLevel="0" collapsed="false">
      <c r="B6870" s="7" t="s">
        <v>21516</v>
      </c>
      <c r="C6870" s="7" t="s">
        <v>7367</v>
      </c>
      <c r="D6870" s="7" t="s">
        <v>359</v>
      </c>
      <c r="E6870" s="7" t="s">
        <v>156</v>
      </c>
      <c r="F6870" s="39" t="n">
        <v>45973</v>
      </c>
      <c r="G6870" s="41" t="n">
        <v>132.6</v>
      </c>
      <c r="H6870" s="39" t="n">
        <v>45993</v>
      </c>
      <c r="I6870" s="7" t="s">
        <v>14651</v>
      </c>
      <c r="J6870" s="8" t="str">
        <f aca="false">IF(I6870="Open",DATE(2025,12,31)-F6870,"-")</f>
        <v>-</v>
      </c>
    </row>
    <row r="6871" customFormat="false" ht="15" hidden="false" customHeight="false" outlineLevel="0" collapsed="false">
      <c r="B6871" s="7" t="s">
        <v>21517</v>
      </c>
      <c r="C6871" s="7" t="s">
        <v>7368</v>
      </c>
      <c r="D6871" s="7" t="s">
        <v>365</v>
      </c>
      <c r="E6871" s="7" t="s">
        <v>154</v>
      </c>
      <c r="F6871" s="39" t="n">
        <v>45973</v>
      </c>
      <c r="G6871" s="41" t="n">
        <v>103.88</v>
      </c>
      <c r="H6871" s="6" t="s">
        <v>182</v>
      </c>
      <c r="I6871" s="7" t="s">
        <v>19787</v>
      </c>
      <c r="J6871" s="8" t="n">
        <f aca="false">IF(I6871="Open",DATE(2025,12,31)-F6871,"-")</f>
        <v>49</v>
      </c>
    </row>
    <row r="6872" customFormat="false" ht="15" hidden="false" customHeight="false" outlineLevel="0" collapsed="false">
      <c r="B6872" s="7" t="s">
        <v>21518</v>
      </c>
      <c r="C6872" s="7" t="s">
        <v>7369</v>
      </c>
      <c r="D6872" s="7" t="s">
        <v>371</v>
      </c>
      <c r="E6872" s="7" t="s">
        <v>154</v>
      </c>
      <c r="F6872" s="39" t="n">
        <v>45973</v>
      </c>
      <c r="G6872" s="41" t="n">
        <v>124.81</v>
      </c>
      <c r="H6872" s="39" t="n">
        <v>46003</v>
      </c>
      <c r="I6872" s="7" t="s">
        <v>14651</v>
      </c>
      <c r="J6872" s="8" t="str">
        <f aca="false">IF(I6872="Open",DATE(2025,12,31)-F6872,"-")</f>
        <v>-</v>
      </c>
    </row>
    <row r="6873" customFormat="false" ht="15" hidden="false" customHeight="false" outlineLevel="0" collapsed="false">
      <c r="B6873" s="7" t="s">
        <v>21519</v>
      </c>
      <c r="C6873" s="7" t="s">
        <v>7370</v>
      </c>
      <c r="D6873" s="7" t="s">
        <v>379</v>
      </c>
      <c r="E6873" s="7" t="s">
        <v>156</v>
      </c>
      <c r="F6873" s="39" t="n">
        <v>45973</v>
      </c>
      <c r="G6873" s="41" t="n">
        <v>143.48</v>
      </c>
      <c r="H6873" s="39" t="n">
        <v>45991</v>
      </c>
      <c r="I6873" s="7" t="s">
        <v>14651</v>
      </c>
      <c r="J6873" s="8" t="str">
        <f aca="false">IF(I6873="Open",DATE(2025,12,31)-F6873,"-")</f>
        <v>-</v>
      </c>
    </row>
    <row r="6874" customFormat="false" ht="15" hidden="false" customHeight="false" outlineLevel="0" collapsed="false">
      <c r="B6874" s="7" t="s">
        <v>21520</v>
      </c>
      <c r="C6874" s="7" t="s">
        <v>7371</v>
      </c>
      <c r="D6874" s="7" t="s">
        <v>385</v>
      </c>
      <c r="E6874" s="7" t="s">
        <v>156</v>
      </c>
      <c r="F6874" s="39" t="n">
        <v>45973</v>
      </c>
      <c r="G6874" s="41" t="n">
        <v>135.32</v>
      </c>
      <c r="H6874" s="39" t="n">
        <v>45986</v>
      </c>
      <c r="I6874" s="7" t="s">
        <v>14651</v>
      </c>
      <c r="J6874" s="8" t="str">
        <f aca="false">IF(I6874="Open",DATE(2025,12,31)-F6874,"-")</f>
        <v>-</v>
      </c>
    </row>
    <row r="6875" customFormat="false" ht="15" hidden="false" customHeight="false" outlineLevel="0" collapsed="false">
      <c r="B6875" s="7" t="s">
        <v>21521</v>
      </c>
      <c r="C6875" s="7" t="s">
        <v>7372</v>
      </c>
      <c r="D6875" s="7" t="s">
        <v>387</v>
      </c>
      <c r="E6875" s="7" t="s">
        <v>154</v>
      </c>
      <c r="F6875" s="39" t="n">
        <v>45973</v>
      </c>
      <c r="G6875" s="41" t="n">
        <v>100.75</v>
      </c>
      <c r="H6875" s="39" t="n">
        <v>46021</v>
      </c>
      <c r="I6875" s="7" t="s">
        <v>14651</v>
      </c>
      <c r="J6875" s="8" t="str">
        <f aca="false">IF(I6875="Open",DATE(2025,12,31)-F6875,"-")</f>
        <v>-</v>
      </c>
    </row>
    <row r="6876" customFormat="false" ht="15" hidden="false" customHeight="false" outlineLevel="0" collapsed="false">
      <c r="B6876" s="7" t="s">
        <v>21522</v>
      </c>
      <c r="C6876" s="7" t="s">
        <v>7373</v>
      </c>
      <c r="D6876" s="7" t="s">
        <v>389</v>
      </c>
      <c r="E6876" s="7" t="s">
        <v>154</v>
      </c>
      <c r="F6876" s="39" t="n">
        <v>45973</v>
      </c>
      <c r="G6876" s="41" t="n">
        <v>105.66</v>
      </c>
      <c r="H6876" s="6" t="s">
        <v>182</v>
      </c>
      <c r="I6876" s="7" t="s">
        <v>19787</v>
      </c>
      <c r="J6876" s="8" t="n">
        <f aca="false">IF(I6876="Open",DATE(2025,12,31)-F6876,"-")</f>
        <v>49</v>
      </c>
    </row>
    <row r="6877" customFormat="false" ht="15" hidden="false" customHeight="false" outlineLevel="0" collapsed="false">
      <c r="B6877" s="7" t="s">
        <v>21523</v>
      </c>
      <c r="C6877" s="7" t="s">
        <v>7374</v>
      </c>
      <c r="D6877" s="7" t="s">
        <v>391</v>
      </c>
      <c r="E6877" s="7" t="s">
        <v>156</v>
      </c>
      <c r="F6877" s="39" t="n">
        <v>45973</v>
      </c>
      <c r="G6877" s="41" t="n">
        <v>145.52</v>
      </c>
      <c r="H6877" s="39" t="n">
        <v>45992</v>
      </c>
      <c r="I6877" s="7" t="s">
        <v>14651</v>
      </c>
      <c r="J6877" s="8" t="str">
        <f aca="false">IF(I6877="Open",DATE(2025,12,31)-F6877,"-")</f>
        <v>-</v>
      </c>
    </row>
    <row r="6878" customFormat="false" ht="15" hidden="false" customHeight="false" outlineLevel="0" collapsed="false">
      <c r="B6878" s="7" t="s">
        <v>21524</v>
      </c>
      <c r="C6878" s="7" t="s">
        <v>7375</v>
      </c>
      <c r="D6878" s="7" t="s">
        <v>393</v>
      </c>
      <c r="E6878" s="7" t="s">
        <v>157</v>
      </c>
      <c r="F6878" s="39" t="n">
        <v>45973</v>
      </c>
      <c r="G6878" s="41" t="n">
        <v>174.9</v>
      </c>
      <c r="H6878" s="6" t="s">
        <v>182</v>
      </c>
      <c r="I6878" s="7" t="s">
        <v>19787</v>
      </c>
      <c r="J6878" s="8" t="n">
        <f aca="false">IF(I6878="Open",DATE(2025,12,31)-F6878,"-")</f>
        <v>49</v>
      </c>
    </row>
    <row r="6879" customFormat="false" ht="15" hidden="false" customHeight="false" outlineLevel="0" collapsed="false">
      <c r="B6879" s="7" t="s">
        <v>21525</v>
      </c>
      <c r="C6879" s="7" t="s">
        <v>7376</v>
      </c>
      <c r="D6879" s="7" t="s">
        <v>395</v>
      </c>
      <c r="E6879" s="7" t="s">
        <v>156</v>
      </c>
      <c r="F6879" s="39" t="n">
        <v>45973</v>
      </c>
      <c r="G6879" s="41" t="n">
        <v>140.08</v>
      </c>
      <c r="H6879" s="39" t="n">
        <v>45982</v>
      </c>
      <c r="I6879" s="7" t="s">
        <v>14651</v>
      </c>
      <c r="J6879" s="8" t="str">
        <f aca="false">IF(I6879="Open",DATE(2025,12,31)-F6879,"-")</f>
        <v>-</v>
      </c>
    </row>
    <row r="6880" customFormat="false" ht="15" hidden="false" customHeight="false" outlineLevel="0" collapsed="false">
      <c r="B6880" s="7" t="s">
        <v>21526</v>
      </c>
      <c r="C6880" s="7" t="s">
        <v>7377</v>
      </c>
      <c r="D6880" s="7" t="s">
        <v>399</v>
      </c>
      <c r="E6880" s="7" t="s">
        <v>154</v>
      </c>
      <c r="F6880" s="39" t="n">
        <v>45973</v>
      </c>
      <c r="G6880" s="41" t="n">
        <v>94.34</v>
      </c>
      <c r="H6880" s="6" t="s">
        <v>182</v>
      </c>
      <c r="I6880" s="7" t="s">
        <v>19787</v>
      </c>
      <c r="J6880" s="8" t="n">
        <f aca="false">IF(I6880="Open",DATE(2025,12,31)-F6880,"-")</f>
        <v>49</v>
      </c>
    </row>
    <row r="6881" customFormat="false" ht="15" hidden="false" customHeight="false" outlineLevel="0" collapsed="false">
      <c r="B6881" s="7" t="s">
        <v>21527</v>
      </c>
      <c r="C6881" s="7" t="s">
        <v>7378</v>
      </c>
      <c r="D6881" s="7" t="s">
        <v>401</v>
      </c>
      <c r="E6881" s="7" t="s">
        <v>156</v>
      </c>
      <c r="F6881" s="39" t="n">
        <v>45973</v>
      </c>
      <c r="G6881" s="41" t="n">
        <v>126.14</v>
      </c>
      <c r="H6881" s="39" t="n">
        <v>45979</v>
      </c>
      <c r="I6881" s="7" t="s">
        <v>14651</v>
      </c>
      <c r="J6881" s="8" t="str">
        <f aca="false">IF(I6881="Open",DATE(2025,12,31)-F6881,"-")</f>
        <v>-</v>
      </c>
    </row>
    <row r="6882" customFormat="false" ht="15" hidden="false" customHeight="false" outlineLevel="0" collapsed="false">
      <c r="B6882" s="7" t="s">
        <v>21528</v>
      </c>
      <c r="C6882" s="7" t="s">
        <v>7379</v>
      </c>
      <c r="D6882" s="7" t="s">
        <v>403</v>
      </c>
      <c r="E6882" s="7" t="s">
        <v>156</v>
      </c>
      <c r="F6882" s="39" t="n">
        <v>45973</v>
      </c>
      <c r="G6882" s="41" t="n">
        <v>135.66</v>
      </c>
      <c r="H6882" s="39" t="n">
        <v>45979</v>
      </c>
      <c r="I6882" s="7" t="s">
        <v>14651</v>
      </c>
      <c r="J6882" s="8" t="str">
        <f aca="false">IF(I6882="Open",DATE(2025,12,31)-F6882,"-")</f>
        <v>-</v>
      </c>
    </row>
    <row r="6883" customFormat="false" ht="15" hidden="false" customHeight="false" outlineLevel="0" collapsed="false">
      <c r="B6883" s="7" t="s">
        <v>21529</v>
      </c>
      <c r="C6883" s="7" t="s">
        <v>7380</v>
      </c>
      <c r="D6883" s="7" t="s">
        <v>409</v>
      </c>
      <c r="E6883" s="7" t="s">
        <v>154</v>
      </c>
      <c r="F6883" s="39" t="n">
        <v>45973</v>
      </c>
      <c r="G6883" s="41" t="n">
        <v>90.23</v>
      </c>
      <c r="H6883" s="39" t="n">
        <v>46021</v>
      </c>
      <c r="I6883" s="7" t="s">
        <v>14651</v>
      </c>
      <c r="J6883" s="8" t="str">
        <f aca="false">IF(I6883="Open",DATE(2025,12,31)-F6883,"-")</f>
        <v>-</v>
      </c>
    </row>
    <row r="6884" customFormat="false" ht="15" hidden="false" customHeight="false" outlineLevel="0" collapsed="false">
      <c r="B6884" s="7" t="s">
        <v>21530</v>
      </c>
      <c r="C6884" s="7" t="s">
        <v>7381</v>
      </c>
      <c r="D6884" s="7" t="s">
        <v>411</v>
      </c>
      <c r="E6884" s="7" t="s">
        <v>154</v>
      </c>
      <c r="F6884" s="39" t="n">
        <v>45973</v>
      </c>
      <c r="G6884" s="41" t="n">
        <v>110.8</v>
      </c>
      <c r="H6884" s="6" t="s">
        <v>182</v>
      </c>
      <c r="I6884" s="7" t="s">
        <v>19787</v>
      </c>
      <c r="J6884" s="8" t="n">
        <f aca="false">IF(I6884="Open",DATE(2025,12,31)-F6884,"-")</f>
        <v>49</v>
      </c>
    </row>
    <row r="6885" customFormat="false" ht="15" hidden="false" customHeight="false" outlineLevel="0" collapsed="false">
      <c r="B6885" s="7" t="s">
        <v>21531</v>
      </c>
      <c r="C6885" s="7" t="s">
        <v>7382</v>
      </c>
      <c r="D6885" s="7" t="s">
        <v>288</v>
      </c>
      <c r="E6885" s="7" t="s">
        <v>156</v>
      </c>
      <c r="F6885" s="39" t="n">
        <v>45974</v>
      </c>
      <c r="G6885" s="41" t="n">
        <v>135.32</v>
      </c>
      <c r="H6885" s="39" t="n">
        <v>45983</v>
      </c>
      <c r="I6885" s="7" t="s">
        <v>14651</v>
      </c>
      <c r="J6885" s="8" t="str">
        <f aca="false">IF(I6885="Open",DATE(2025,12,31)-F6885,"-")</f>
        <v>-</v>
      </c>
    </row>
    <row r="6886" customFormat="false" ht="15" hidden="false" customHeight="false" outlineLevel="0" collapsed="false">
      <c r="B6886" s="7" t="s">
        <v>21532</v>
      </c>
      <c r="C6886" s="7" t="s">
        <v>7383</v>
      </c>
      <c r="D6886" s="7" t="s">
        <v>297</v>
      </c>
      <c r="E6886" s="7" t="s">
        <v>156</v>
      </c>
      <c r="F6886" s="39" t="n">
        <v>45974</v>
      </c>
      <c r="G6886" s="41" t="n">
        <v>103.02</v>
      </c>
      <c r="H6886" s="39" t="n">
        <v>45991</v>
      </c>
      <c r="I6886" s="7" t="s">
        <v>14651</v>
      </c>
      <c r="J6886" s="8" t="str">
        <f aca="false">IF(I6886="Open",DATE(2025,12,31)-F6886,"-")</f>
        <v>-</v>
      </c>
    </row>
    <row r="6887" customFormat="false" ht="15" hidden="false" customHeight="false" outlineLevel="0" collapsed="false">
      <c r="B6887" s="7" t="s">
        <v>21533</v>
      </c>
      <c r="C6887" s="7" t="s">
        <v>7384</v>
      </c>
      <c r="D6887" s="7" t="s">
        <v>299</v>
      </c>
      <c r="E6887" s="7" t="s">
        <v>154</v>
      </c>
      <c r="F6887" s="39" t="n">
        <v>45974</v>
      </c>
      <c r="G6887" s="41" t="n">
        <v>85.86</v>
      </c>
      <c r="H6887" s="6" t="s">
        <v>182</v>
      </c>
      <c r="I6887" s="7" t="s">
        <v>19787</v>
      </c>
      <c r="J6887" s="8" t="n">
        <f aca="false">IF(I6887="Open",DATE(2025,12,31)-F6887,"-")</f>
        <v>48</v>
      </c>
    </row>
    <row r="6888" customFormat="false" ht="15" hidden="false" customHeight="false" outlineLevel="0" collapsed="false">
      <c r="B6888" s="7" t="s">
        <v>21534</v>
      </c>
      <c r="C6888" s="7" t="s">
        <v>7385</v>
      </c>
      <c r="D6888" s="7" t="s">
        <v>303</v>
      </c>
      <c r="E6888" s="7" t="s">
        <v>154</v>
      </c>
      <c r="F6888" s="39" t="n">
        <v>45974</v>
      </c>
      <c r="G6888" s="41" t="n">
        <v>104.68</v>
      </c>
      <c r="H6888" s="6" t="s">
        <v>182</v>
      </c>
      <c r="I6888" s="7" t="s">
        <v>19787</v>
      </c>
      <c r="J6888" s="8" t="n">
        <f aca="false">IF(I6888="Open",DATE(2025,12,31)-F6888,"-")</f>
        <v>48</v>
      </c>
    </row>
    <row r="6889" customFormat="false" ht="15" hidden="false" customHeight="false" outlineLevel="0" collapsed="false">
      <c r="B6889" s="7" t="s">
        <v>21535</v>
      </c>
      <c r="C6889" s="7" t="s">
        <v>7386</v>
      </c>
      <c r="D6889" s="7" t="s">
        <v>311</v>
      </c>
      <c r="E6889" s="7" t="s">
        <v>154</v>
      </c>
      <c r="F6889" s="39" t="n">
        <v>45974</v>
      </c>
      <c r="G6889" s="41" t="n">
        <v>86.12</v>
      </c>
      <c r="H6889" s="6" t="s">
        <v>182</v>
      </c>
      <c r="I6889" s="7" t="s">
        <v>19787</v>
      </c>
      <c r="J6889" s="8" t="n">
        <f aca="false">IF(I6889="Open",DATE(2025,12,31)-F6889,"-")</f>
        <v>48</v>
      </c>
    </row>
    <row r="6890" customFormat="false" ht="15" hidden="false" customHeight="false" outlineLevel="0" collapsed="false">
      <c r="B6890" s="7" t="s">
        <v>21536</v>
      </c>
      <c r="C6890" s="7" t="s">
        <v>7387</v>
      </c>
      <c r="D6890" s="7" t="s">
        <v>313</v>
      </c>
      <c r="E6890" s="7" t="s">
        <v>156</v>
      </c>
      <c r="F6890" s="39" t="n">
        <v>45974</v>
      </c>
      <c r="G6890" s="41" t="n">
        <v>133.96</v>
      </c>
      <c r="H6890" s="39" t="n">
        <v>45990</v>
      </c>
      <c r="I6890" s="7" t="s">
        <v>14651</v>
      </c>
      <c r="J6890" s="8" t="str">
        <f aca="false">IF(I6890="Open",DATE(2025,12,31)-F6890,"-")</f>
        <v>-</v>
      </c>
    </row>
    <row r="6891" customFormat="false" ht="15" hidden="false" customHeight="false" outlineLevel="0" collapsed="false">
      <c r="B6891" s="7" t="s">
        <v>21537</v>
      </c>
      <c r="C6891" s="7" t="s">
        <v>7388</v>
      </c>
      <c r="D6891" s="7" t="s">
        <v>317</v>
      </c>
      <c r="E6891" s="7" t="s">
        <v>156</v>
      </c>
      <c r="F6891" s="39" t="n">
        <v>45974</v>
      </c>
      <c r="G6891" s="41" t="n">
        <v>100.3</v>
      </c>
      <c r="H6891" s="39" t="n">
        <v>45982</v>
      </c>
      <c r="I6891" s="7" t="s">
        <v>14651</v>
      </c>
      <c r="J6891" s="8" t="str">
        <f aca="false">IF(I6891="Open",DATE(2025,12,31)-F6891,"-")</f>
        <v>-</v>
      </c>
    </row>
    <row r="6892" customFormat="false" ht="15" hidden="false" customHeight="false" outlineLevel="0" collapsed="false">
      <c r="B6892" s="7" t="s">
        <v>21538</v>
      </c>
      <c r="C6892" s="7" t="s">
        <v>7389</v>
      </c>
      <c r="D6892" s="7" t="s">
        <v>321</v>
      </c>
      <c r="E6892" s="7" t="s">
        <v>154</v>
      </c>
      <c r="F6892" s="39" t="n">
        <v>45974</v>
      </c>
      <c r="G6892" s="41" t="n">
        <v>99.38</v>
      </c>
      <c r="H6892" s="6" t="s">
        <v>182</v>
      </c>
      <c r="I6892" s="7" t="s">
        <v>19787</v>
      </c>
      <c r="J6892" s="8" t="n">
        <f aca="false">IF(I6892="Open",DATE(2025,12,31)-F6892,"-")</f>
        <v>48</v>
      </c>
    </row>
    <row r="6893" customFormat="false" ht="15" hidden="false" customHeight="false" outlineLevel="0" collapsed="false">
      <c r="B6893" s="7" t="s">
        <v>21539</v>
      </c>
      <c r="C6893" s="7" t="s">
        <v>7390</v>
      </c>
      <c r="D6893" s="7" t="s">
        <v>325</v>
      </c>
      <c r="E6893" s="7" t="s">
        <v>154</v>
      </c>
      <c r="F6893" s="39" t="n">
        <v>45974</v>
      </c>
      <c r="G6893" s="41" t="n">
        <v>84.27</v>
      </c>
      <c r="H6893" s="6" t="s">
        <v>182</v>
      </c>
      <c r="I6893" s="7" t="s">
        <v>19787</v>
      </c>
      <c r="J6893" s="8" t="n">
        <f aca="false">IF(I6893="Open",DATE(2025,12,31)-F6893,"-")</f>
        <v>48</v>
      </c>
    </row>
    <row r="6894" customFormat="false" ht="15" hidden="false" customHeight="false" outlineLevel="0" collapsed="false">
      <c r="B6894" s="7" t="s">
        <v>21540</v>
      </c>
      <c r="C6894" s="7" t="s">
        <v>7391</v>
      </c>
      <c r="D6894" s="7" t="s">
        <v>329</v>
      </c>
      <c r="E6894" s="7" t="s">
        <v>156</v>
      </c>
      <c r="F6894" s="39" t="n">
        <v>45974</v>
      </c>
      <c r="G6894" s="41" t="n">
        <v>145.18</v>
      </c>
      <c r="H6894" s="39" t="n">
        <v>45980</v>
      </c>
      <c r="I6894" s="7" t="s">
        <v>14651</v>
      </c>
      <c r="J6894" s="8" t="str">
        <f aca="false">IF(I6894="Open",DATE(2025,12,31)-F6894,"-")</f>
        <v>-</v>
      </c>
    </row>
    <row r="6895" customFormat="false" ht="15" hidden="false" customHeight="false" outlineLevel="0" collapsed="false">
      <c r="B6895" s="7" t="s">
        <v>21541</v>
      </c>
      <c r="C6895" s="7" t="s">
        <v>7392</v>
      </c>
      <c r="D6895" s="7" t="s">
        <v>331</v>
      </c>
      <c r="E6895" s="7" t="s">
        <v>156</v>
      </c>
      <c r="F6895" s="39" t="n">
        <v>45974</v>
      </c>
      <c r="G6895" s="41" t="n">
        <v>125.12</v>
      </c>
      <c r="H6895" s="39" t="n">
        <v>45984</v>
      </c>
      <c r="I6895" s="7" t="s">
        <v>14651</v>
      </c>
      <c r="J6895" s="8" t="str">
        <f aca="false">IF(I6895="Open",DATE(2025,12,31)-F6895,"-")</f>
        <v>-</v>
      </c>
    </row>
    <row r="6896" customFormat="false" ht="15" hidden="false" customHeight="false" outlineLevel="0" collapsed="false">
      <c r="B6896" s="7" t="s">
        <v>21542</v>
      </c>
      <c r="C6896" s="7" t="s">
        <v>7393</v>
      </c>
      <c r="D6896" s="7" t="s">
        <v>341</v>
      </c>
      <c r="E6896" s="7" t="s">
        <v>156</v>
      </c>
      <c r="F6896" s="39" t="n">
        <v>45974</v>
      </c>
      <c r="G6896" s="41" t="n">
        <v>105.74</v>
      </c>
      <c r="H6896" s="39" t="n">
        <v>45989</v>
      </c>
      <c r="I6896" s="7" t="s">
        <v>14651</v>
      </c>
      <c r="J6896" s="8" t="str">
        <f aca="false">IF(I6896="Open",DATE(2025,12,31)-F6896,"-")</f>
        <v>-</v>
      </c>
    </row>
    <row r="6897" customFormat="false" ht="15" hidden="false" customHeight="false" outlineLevel="0" collapsed="false">
      <c r="B6897" s="7" t="s">
        <v>21543</v>
      </c>
      <c r="C6897" s="7" t="s">
        <v>7394</v>
      </c>
      <c r="D6897" s="7" t="s">
        <v>343</v>
      </c>
      <c r="E6897" s="7" t="s">
        <v>154</v>
      </c>
      <c r="F6897" s="39" t="n">
        <v>45974</v>
      </c>
      <c r="G6897" s="41" t="n">
        <v>111.04</v>
      </c>
      <c r="H6897" s="6" t="s">
        <v>182</v>
      </c>
      <c r="I6897" s="7" t="s">
        <v>19787</v>
      </c>
      <c r="J6897" s="8" t="n">
        <f aca="false">IF(I6897="Open",DATE(2025,12,31)-F6897,"-")</f>
        <v>48</v>
      </c>
    </row>
    <row r="6898" customFormat="false" ht="15" hidden="false" customHeight="false" outlineLevel="0" collapsed="false">
      <c r="B6898" s="7" t="s">
        <v>21544</v>
      </c>
      <c r="C6898" s="7" t="s">
        <v>7395</v>
      </c>
      <c r="D6898" s="7" t="s">
        <v>349</v>
      </c>
      <c r="E6898" s="7" t="s">
        <v>154</v>
      </c>
      <c r="F6898" s="39" t="n">
        <v>45974</v>
      </c>
      <c r="G6898" s="41" t="n">
        <v>105.47</v>
      </c>
      <c r="H6898" s="6" t="s">
        <v>182</v>
      </c>
      <c r="I6898" s="7" t="s">
        <v>19787</v>
      </c>
      <c r="J6898" s="8" t="n">
        <f aca="false">IF(I6898="Open",DATE(2025,12,31)-F6898,"-")</f>
        <v>48</v>
      </c>
    </row>
    <row r="6899" customFormat="false" ht="15" hidden="false" customHeight="false" outlineLevel="0" collapsed="false">
      <c r="B6899" s="7" t="s">
        <v>21545</v>
      </c>
      <c r="C6899" s="7" t="s">
        <v>7396</v>
      </c>
      <c r="D6899" s="7" t="s">
        <v>351</v>
      </c>
      <c r="E6899" s="7" t="s">
        <v>154</v>
      </c>
      <c r="F6899" s="39" t="n">
        <v>45974</v>
      </c>
      <c r="G6899" s="41" t="n">
        <v>75</v>
      </c>
      <c r="H6899" s="39" t="n">
        <v>46002</v>
      </c>
      <c r="I6899" s="7" t="s">
        <v>14651</v>
      </c>
      <c r="J6899" s="8" t="str">
        <f aca="false">IF(I6899="Open",DATE(2025,12,31)-F6899,"-")</f>
        <v>-</v>
      </c>
    </row>
    <row r="6900" customFormat="false" ht="15" hidden="false" customHeight="false" outlineLevel="0" collapsed="false">
      <c r="B6900" s="7" t="s">
        <v>21546</v>
      </c>
      <c r="C6900" s="7" t="s">
        <v>7397</v>
      </c>
      <c r="D6900" s="7" t="s">
        <v>359</v>
      </c>
      <c r="E6900" s="7" t="s">
        <v>156</v>
      </c>
      <c r="F6900" s="39" t="n">
        <v>45974</v>
      </c>
      <c r="G6900" s="41" t="n">
        <v>129.54</v>
      </c>
      <c r="H6900" s="39" t="n">
        <v>45986</v>
      </c>
      <c r="I6900" s="7" t="s">
        <v>14651</v>
      </c>
      <c r="J6900" s="8" t="str">
        <f aca="false">IF(I6900="Open",DATE(2025,12,31)-F6900,"-")</f>
        <v>-</v>
      </c>
    </row>
    <row r="6901" customFormat="false" ht="15" hidden="false" customHeight="false" outlineLevel="0" collapsed="false">
      <c r="B6901" s="7" t="s">
        <v>21547</v>
      </c>
      <c r="C6901" s="7" t="s">
        <v>7398</v>
      </c>
      <c r="D6901" s="7" t="s">
        <v>363</v>
      </c>
      <c r="E6901" s="7" t="s">
        <v>156</v>
      </c>
      <c r="F6901" s="39" t="n">
        <v>45974</v>
      </c>
      <c r="G6901" s="41" t="n">
        <v>125.12</v>
      </c>
      <c r="H6901" s="39" t="n">
        <v>45979</v>
      </c>
      <c r="I6901" s="7" t="s">
        <v>14651</v>
      </c>
      <c r="J6901" s="8" t="str">
        <f aca="false">IF(I6901="Open",DATE(2025,12,31)-F6901,"-")</f>
        <v>-</v>
      </c>
    </row>
    <row r="6902" customFormat="false" ht="15" hidden="false" customHeight="false" outlineLevel="0" collapsed="false">
      <c r="B6902" s="7" t="s">
        <v>21548</v>
      </c>
      <c r="C6902" s="7" t="s">
        <v>7399</v>
      </c>
      <c r="D6902" s="7" t="s">
        <v>365</v>
      </c>
      <c r="E6902" s="7" t="s">
        <v>154</v>
      </c>
      <c r="F6902" s="39" t="n">
        <v>45974</v>
      </c>
      <c r="G6902" s="41" t="n">
        <v>114.21</v>
      </c>
      <c r="H6902" s="39" t="n">
        <v>46014</v>
      </c>
      <c r="I6902" s="7" t="s">
        <v>14651</v>
      </c>
      <c r="J6902" s="8" t="str">
        <f aca="false">IF(I6902="Open",DATE(2025,12,31)-F6902,"-")</f>
        <v>-</v>
      </c>
    </row>
    <row r="6903" customFormat="false" ht="15" hidden="false" customHeight="false" outlineLevel="0" collapsed="false">
      <c r="B6903" s="7" t="s">
        <v>21549</v>
      </c>
      <c r="C6903" s="7" t="s">
        <v>7400</v>
      </c>
      <c r="D6903" s="7" t="s">
        <v>375</v>
      </c>
      <c r="E6903" s="7" t="s">
        <v>156</v>
      </c>
      <c r="F6903" s="39" t="n">
        <v>45974</v>
      </c>
      <c r="G6903" s="41" t="n">
        <v>106.08</v>
      </c>
      <c r="H6903" s="39" t="n">
        <v>45982</v>
      </c>
      <c r="I6903" s="7" t="s">
        <v>14651</v>
      </c>
      <c r="J6903" s="8" t="str">
        <f aca="false">IF(I6903="Open",DATE(2025,12,31)-F6903,"-")</f>
        <v>-</v>
      </c>
    </row>
    <row r="6904" customFormat="false" ht="15" hidden="false" customHeight="false" outlineLevel="0" collapsed="false">
      <c r="B6904" s="7" t="s">
        <v>21550</v>
      </c>
      <c r="C6904" s="7" t="s">
        <v>7401</v>
      </c>
      <c r="D6904" s="7" t="s">
        <v>377</v>
      </c>
      <c r="E6904" s="7" t="s">
        <v>154</v>
      </c>
      <c r="F6904" s="39" t="n">
        <v>45974</v>
      </c>
      <c r="G6904" s="41" t="n">
        <v>116.07</v>
      </c>
      <c r="H6904" s="39" t="n">
        <v>46015</v>
      </c>
      <c r="I6904" s="7" t="s">
        <v>14651</v>
      </c>
      <c r="J6904" s="8" t="str">
        <f aca="false">IF(I6904="Open",DATE(2025,12,31)-F6904,"-")</f>
        <v>-</v>
      </c>
    </row>
    <row r="6905" customFormat="false" ht="15" hidden="false" customHeight="false" outlineLevel="0" collapsed="false">
      <c r="B6905" s="7" t="s">
        <v>21551</v>
      </c>
      <c r="C6905" s="7" t="s">
        <v>7402</v>
      </c>
      <c r="D6905" s="7" t="s">
        <v>387</v>
      </c>
      <c r="E6905" s="7" t="s">
        <v>154</v>
      </c>
      <c r="F6905" s="39" t="n">
        <v>45974</v>
      </c>
      <c r="G6905" s="41" t="n">
        <v>99.64</v>
      </c>
      <c r="H6905" s="6" t="s">
        <v>182</v>
      </c>
      <c r="I6905" s="7" t="s">
        <v>19787</v>
      </c>
      <c r="J6905" s="8" t="n">
        <f aca="false">IF(I6905="Open",DATE(2025,12,31)-F6905,"-")</f>
        <v>48</v>
      </c>
    </row>
    <row r="6906" customFormat="false" ht="15" hidden="false" customHeight="false" outlineLevel="0" collapsed="false">
      <c r="B6906" s="7" t="s">
        <v>21552</v>
      </c>
      <c r="C6906" s="7" t="s">
        <v>7403</v>
      </c>
      <c r="D6906" s="7" t="s">
        <v>389</v>
      </c>
      <c r="E6906" s="7" t="s">
        <v>154</v>
      </c>
      <c r="F6906" s="39" t="n">
        <v>45974</v>
      </c>
      <c r="G6906" s="41" t="n">
        <v>102.29</v>
      </c>
      <c r="H6906" s="6" t="s">
        <v>182</v>
      </c>
      <c r="I6906" s="7" t="s">
        <v>19787</v>
      </c>
      <c r="J6906" s="8" t="n">
        <f aca="false">IF(I6906="Open",DATE(2025,12,31)-F6906,"-")</f>
        <v>48</v>
      </c>
    </row>
    <row r="6907" customFormat="false" ht="15" hidden="false" customHeight="false" outlineLevel="0" collapsed="false">
      <c r="B6907" s="7" t="s">
        <v>21553</v>
      </c>
      <c r="C6907" s="7" t="s">
        <v>7404</v>
      </c>
      <c r="D6907" s="7" t="s">
        <v>391</v>
      </c>
      <c r="E6907" s="7" t="s">
        <v>156</v>
      </c>
      <c r="F6907" s="39" t="n">
        <v>45974</v>
      </c>
      <c r="G6907" s="41" t="n">
        <v>143.48</v>
      </c>
      <c r="H6907" s="39" t="n">
        <v>45982</v>
      </c>
      <c r="I6907" s="7" t="s">
        <v>14651</v>
      </c>
      <c r="J6907" s="8" t="str">
        <f aca="false">IF(I6907="Open",DATE(2025,12,31)-F6907,"-")</f>
        <v>-</v>
      </c>
    </row>
    <row r="6908" customFormat="false" ht="15" hidden="false" customHeight="false" outlineLevel="0" collapsed="false">
      <c r="B6908" s="7" t="s">
        <v>21554</v>
      </c>
      <c r="C6908" s="7" t="s">
        <v>7405</v>
      </c>
      <c r="D6908" s="7" t="s">
        <v>395</v>
      </c>
      <c r="E6908" s="7" t="s">
        <v>156</v>
      </c>
      <c r="F6908" s="39" t="n">
        <v>45974</v>
      </c>
      <c r="G6908" s="41" t="n">
        <v>138.38</v>
      </c>
      <c r="H6908" s="39" t="n">
        <v>45992</v>
      </c>
      <c r="I6908" s="7" t="s">
        <v>14651</v>
      </c>
      <c r="J6908" s="8" t="str">
        <f aca="false">IF(I6908="Open",DATE(2025,12,31)-F6908,"-")</f>
        <v>-</v>
      </c>
    </row>
    <row r="6909" customFormat="false" ht="15" hidden="false" customHeight="false" outlineLevel="0" collapsed="false">
      <c r="B6909" s="7" t="s">
        <v>21555</v>
      </c>
      <c r="C6909" s="7" t="s">
        <v>7406</v>
      </c>
      <c r="D6909" s="7" t="s">
        <v>401</v>
      </c>
      <c r="E6909" s="7" t="s">
        <v>156</v>
      </c>
      <c r="F6909" s="39" t="n">
        <v>45974</v>
      </c>
      <c r="G6909" s="41" t="n">
        <v>139.06</v>
      </c>
      <c r="H6909" s="39" t="n">
        <v>45986</v>
      </c>
      <c r="I6909" s="7" t="s">
        <v>14651</v>
      </c>
      <c r="J6909" s="8" t="str">
        <f aca="false">IF(I6909="Open",DATE(2025,12,31)-F6909,"-")</f>
        <v>-</v>
      </c>
    </row>
    <row r="6910" customFormat="false" ht="15" hidden="false" customHeight="false" outlineLevel="0" collapsed="false">
      <c r="B6910" s="7" t="s">
        <v>21556</v>
      </c>
      <c r="C6910" s="7" t="s">
        <v>7407</v>
      </c>
      <c r="D6910" s="7" t="s">
        <v>288</v>
      </c>
      <c r="E6910" s="7" t="s">
        <v>156</v>
      </c>
      <c r="F6910" s="39" t="n">
        <v>45975</v>
      </c>
      <c r="G6910" s="41" t="n">
        <v>126.14</v>
      </c>
      <c r="H6910" s="39" t="n">
        <v>45987</v>
      </c>
      <c r="I6910" s="7" t="s">
        <v>14651</v>
      </c>
      <c r="J6910" s="8" t="str">
        <f aca="false">IF(I6910="Open",DATE(2025,12,31)-F6910,"-")</f>
        <v>-</v>
      </c>
    </row>
    <row r="6911" customFormat="false" ht="15" hidden="false" customHeight="false" outlineLevel="0" collapsed="false">
      <c r="B6911" s="7" t="s">
        <v>21557</v>
      </c>
      <c r="C6911" s="7" t="s">
        <v>7408</v>
      </c>
      <c r="D6911" s="7" t="s">
        <v>291</v>
      </c>
      <c r="E6911" s="7" t="s">
        <v>154</v>
      </c>
      <c r="F6911" s="39" t="n">
        <v>45975</v>
      </c>
      <c r="G6911" s="41" t="n">
        <v>126.94</v>
      </c>
      <c r="H6911" s="6" t="s">
        <v>182</v>
      </c>
      <c r="I6911" s="7" t="s">
        <v>19787</v>
      </c>
      <c r="J6911" s="8" t="n">
        <f aca="false">IF(I6911="Open",DATE(2025,12,31)-F6911,"-")</f>
        <v>47</v>
      </c>
    </row>
    <row r="6912" customFormat="false" ht="15" hidden="false" customHeight="false" outlineLevel="0" collapsed="false">
      <c r="B6912" s="7" t="s">
        <v>21558</v>
      </c>
      <c r="C6912" s="7" t="s">
        <v>7409</v>
      </c>
      <c r="D6912" s="7" t="s">
        <v>293</v>
      </c>
      <c r="E6912" s="7" t="s">
        <v>157</v>
      </c>
      <c r="F6912" s="39" t="n">
        <v>45975</v>
      </c>
      <c r="G6912" s="41" t="n">
        <v>156.75</v>
      </c>
      <c r="H6912" s="6" t="s">
        <v>182</v>
      </c>
      <c r="I6912" s="7" t="s">
        <v>19787</v>
      </c>
      <c r="J6912" s="8" t="n">
        <f aca="false">IF(I6912="Open",DATE(2025,12,31)-F6912,"-")</f>
        <v>47</v>
      </c>
    </row>
    <row r="6913" customFormat="false" ht="15" hidden="false" customHeight="false" outlineLevel="0" collapsed="false">
      <c r="B6913" s="7" t="s">
        <v>21559</v>
      </c>
      <c r="C6913" s="7" t="s">
        <v>7410</v>
      </c>
      <c r="D6913" s="7" t="s">
        <v>295</v>
      </c>
      <c r="E6913" s="7" t="s">
        <v>154</v>
      </c>
      <c r="F6913" s="39" t="n">
        <v>45975</v>
      </c>
      <c r="G6913" s="41" t="n">
        <v>101.5</v>
      </c>
      <c r="H6913" s="6" t="s">
        <v>182</v>
      </c>
      <c r="I6913" s="7" t="s">
        <v>19787</v>
      </c>
      <c r="J6913" s="8" t="n">
        <f aca="false">IF(I6913="Open",DATE(2025,12,31)-F6913,"-")</f>
        <v>47</v>
      </c>
    </row>
    <row r="6914" customFormat="false" ht="15" hidden="false" customHeight="false" outlineLevel="0" collapsed="false">
      <c r="B6914" s="7" t="s">
        <v>21560</v>
      </c>
      <c r="C6914" s="7" t="s">
        <v>7411</v>
      </c>
      <c r="D6914" s="7" t="s">
        <v>301</v>
      </c>
      <c r="E6914" s="7" t="s">
        <v>157</v>
      </c>
      <c r="F6914" s="39" t="n">
        <v>45975</v>
      </c>
      <c r="G6914" s="41" t="n">
        <v>174.9</v>
      </c>
      <c r="H6914" s="39" t="n">
        <v>46020</v>
      </c>
      <c r="I6914" s="7" t="s">
        <v>14651</v>
      </c>
      <c r="J6914" s="8" t="str">
        <f aca="false">IF(I6914="Open",DATE(2025,12,31)-F6914,"-")</f>
        <v>-</v>
      </c>
    </row>
    <row r="6915" customFormat="false" ht="15" hidden="false" customHeight="false" outlineLevel="0" collapsed="false">
      <c r="B6915" s="7" t="s">
        <v>21561</v>
      </c>
      <c r="C6915" s="7" t="s">
        <v>7412</v>
      </c>
      <c r="D6915" s="7" t="s">
        <v>305</v>
      </c>
      <c r="E6915" s="7" t="s">
        <v>154</v>
      </c>
      <c r="F6915" s="39" t="n">
        <v>45975</v>
      </c>
      <c r="G6915" s="41" t="n">
        <v>112.07</v>
      </c>
      <c r="H6915" s="6" t="s">
        <v>182</v>
      </c>
      <c r="I6915" s="7" t="s">
        <v>19787</v>
      </c>
      <c r="J6915" s="8" t="n">
        <f aca="false">IF(I6915="Open",DATE(2025,12,31)-F6915,"-")</f>
        <v>47</v>
      </c>
    </row>
    <row r="6916" customFormat="false" ht="15" hidden="false" customHeight="false" outlineLevel="0" collapsed="false">
      <c r="B6916" s="7" t="s">
        <v>21562</v>
      </c>
      <c r="C6916" s="7" t="s">
        <v>7413</v>
      </c>
      <c r="D6916" s="7" t="s">
        <v>307</v>
      </c>
      <c r="E6916" s="7" t="s">
        <v>157</v>
      </c>
      <c r="F6916" s="39" t="n">
        <v>45975</v>
      </c>
      <c r="G6916" s="41" t="n">
        <v>155.1</v>
      </c>
      <c r="H6916" s="39" t="n">
        <v>46012</v>
      </c>
      <c r="I6916" s="7" t="s">
        <v>14651</v>
      </c>
      <c r="J6916" s="8" t="str">
        <f aca="false">IF(I6916="Open",DATE(2025,12,31)-F6916,"-")</f>
        <v>-</v>
      </c>
    </row>
    <row r="6917" customFormat="false" ht="15" hidden="false" customHeight="false" outlineLevel="0" collapsed="false">
      <c r="B6917" s="7" t="s">
        <v>21563</v>
      </c>
      <c r="C6917" s="7" t="s">
        <v>7414</v>
      </c>
      <c r="D6917" s="7" t="s">
        <v>309</v>
      </c>
      <c r="E6917" s="7" t="s">
        <v>159</v>
      </c>
      <c r="F6917" s="39" t="n">
        <v>45975</v>
      </c>
      <c r="G6917" s="41" t="n">
        <v>126.9</v>
      </c>
      <c r="H6917" s="39" t="n">
        <v>46018</v>
      </c>
      <c r="I6917" s="7" t="s">
        <v>14651</v>
      </c>
      <c r="J6917" s="8" t="str">
        <f aca="false">IF(I6917="Open",DATE(2025,12,31)-F6917,"-")</f>
        <v>-</v>
      </c>
    </row>
    <row r="6918" customFormat="false" ht="15" hidden="false" customHeight="false" outlineLevel="0" collapsed="false">
      <c r="B6918" s="7" t="s">
        <v>21564</v>
      </c>
      <c r="C6918" s="7" t="s">
        <v>7415</v>
      </c>
      <c r="D6918" s="7" t="s">
        <v>313</v>
      </c>
      <c r="E6918" s="7" t="s">
        <v>156</v>
      </c>
      <c r="F6918" s="39" t="n">
        <v>45975</v>
      </c>
      <c r="G6918" s="41" t="n">
        <v>145.86</v>
      </c>
      <c r="H6918" s="39" t="n">
        <v>45981</v>
      </c>
      <c r="I6918" s="7" t="s">
        <v>14651</v>
      </c>
      <c r="J6918" s="8" t="str">
        <f aca="false">IF(I6918="Open",DATE(2025,12,31)-F6918,"-")</f>
        <v>-</v>
      </c>
    </row>
    <row r="6919" customFormat="false" ht="15" hidden="false" customHeight="false" outlineLevel="0" collapsed="false">
      <c r="B6919" s="7" t="s">
        <v>21565</v>
      </c>
      <c r="C6919" s="7" t="s">
        <v>7416</v>
      </c>
      <c r="D6919" s="7" t="s">
        <v>315</v>
      </c>
      <c r="E6919" s="7" t="s">
        <v>159</v>
      </c>
      <c r="F6919" s="39" t="n">
        <v>45975</v>
      </c>
      <c r="G6919" s="41" t="n">
        <v>130.95</v>
      </c>
      <c r="H6919" s="6" t="s">
        <v>182</v>
      </c>
      <c r="I6919" s="7" t="s">
        <v>19787</v>
      </c>
      <c r="J6919" s="8" t="n">
        <f aca="false">IF(I6919="Open",DATE(2025,12,31)-F6919,"-")</f>
        <v>47</v>
      </c>
    </row>
    <row r="6920" customFormat="false" ht="15" hidden="false" customHeight="false" outlineLevel="0" collapsed="false">
      <c r="B6920" s="7" t="s">
        <v>21566</v>
      </c>
      <c r="C6920" s="7" t="s">
        <v>7417</v>
      </c>
      <c r="D6920" s="7" t="s">
        <v>319</v>
      </c>
      <c r="E6920" s="7" t="s">
        <v>157</v>
      </c>
      <c r="F6920" s="39" t="n">
        <v>45975</v>
      </c>
      <c r="G6920" s="41" t="n">
        <v>178.2</v>
      </c>
      <c r="H6920" s="39" t="n">
        <v>46003</v>
      </c>
      <c r="I6920" s="7" t="s">
        <v>14651</v>
      </c>
      <c r="J6920" s="8" t="str">
        <f aca="false">IF(I6920="Open",DATE(2025,12,31)-F6920,"-")</f>
        <v>-</v>
      </c>
    </row>
    <row r="6921" customFormat="false" ht="15" hidden="false" customHeight="false" outlineLevel="0" collapsed="false">
      <c r="B6921" s="7" t="s">
        <v>21567</v>
      </c>
      <c r="C6921" s="7" t="s">
        <v>7418</v>
      </c>
      <c r="D6921" s="7" t="s">
        <v>321</v>
      </c>
      <c r="E6921" s="7" t="s">
        <v>154</v>
      </c>
      <c r="F6921" s="39" t="n">
        <v>45975</v>
      </c>
      <c r="G6921" s="41" t="n">
        <v>100.44</v>
      </c>
      <c r="H6921" s="6" t="s">
        <v>182</v>
      </c>
      <c r="I6921" s="7" t="s">
        <v>19787</v>
      </c>
      <c r="J6921" s="8" t="n">
        <f aca="false">IF(I6921="Open",DATE(2025,12,31)-F6921,"-")</f>
        <v>47</v>
      </c>
    </row>
    <row r="6922" customFormat="false" ht="15" hidden="false" customHeight="false" outlineLevel="0" collapsed="false">
      <c r="B6922" s="7" t="s">
        <v>21568</v>
      </c>
      <c r="C6922" s="7" t="s">
        <v>7419</v>
      </c>
      <c r="D6922" s="7" t="s">
        <v>323</v>
      </c>
      <c r="E6922" s="7" t="s">
        <v>159</v>
      </c>
      <c r="F6922" s="39" t="n">
        <v>45975</v>
      </c>
      <c r="G6922" s="41" t="n">
        <v>131.76</v>
      </c>
      <c r="H6922" s="39" t="n">
        <v>46006</v>
      </c>
      <c r="I6922" s="7" t="s">
        <v>14651</v>
      </c>
      <c r="J6922" s="8" t="str">
        <f aca="false">IF(I6922="Open",DATE(2025,12,31)-F6922,"-")</f>
        <v>-</v>
      </c>
    </row>
    <row r="6923" customFormat="false" ht="15" hidden="false" customHeight="false" outlineLevel="0" collapsed="false">
      <c r="B6923" s="7" t="s">
        <v>21569</v>
      </c>
      <c r="C6923" s="7" t="s">
        <v>7420</v>
      </c>
      <c r="D6923" s="7" t="s">
        <v>327</v>
      </c>
      <c r="E6923" s="7" t="s">
        <v>157</v>
      </c>
      <c r="F6923" s="39" t="n">
        <v>45975</v>
      </c>
      <c r="G6923" s="41" t="n">
        <v>176.55</v>
      </c>
      <c r="H6923" s="39" t="n">
        <v>46021</v>
      </c>
      <c r="I6923" s="7" t="s">
        <v>14651</v>
      </c>
      <c r="J6923" s="8" t="str">
        <f aca="false">IF(I6923="Open",DATE(2025,12,31)-F6923,"-")</f>
        <v>-</v>
      </c>
    </row>
    <row r="6924" customFormat="false" ht="15" hidden="false" customHeight="false" outlineLevel="0" collapsed="false">
      <c r="B6924" s="7" t="s">
        <v>21570</v>
      </c>
      <c r="C6924" s="7" t="s">
        <v>7421</v>
      </c>
      <c r="D6924" s="7" t="s">
        <v>329</v>
      </c>
      <c r="E6924" s="7" t="s">
        <v>156</v>
      </c>
      <c r="F6924" s="39" t="n">
        <v>45975</v>
      </c>
      <c r="G6924" s="41" t="n">
        <v>141.44</v>
      </c>
      <c r="H6924" s="39" t="n">
        <v>45986</v>
      </c>
      <c r="I6924" s="7" t="s">
        <v>14651</v>
      </c>
      <c r="J6924" s="8" t="str">
        <f aca="false">IF(I6924="Open",DATE(2025,12,31)-F6924,"-")</f>
        <v>-</v>
      </c>
    </row>
    <row r="6925" customFormat="false" ht="15" hidden="false" customHeight="false" outlineLevel="0" collapsed="false">
      <c r="B6925" s="7" t="s">
        <v>21571</v>
      </c>
      <c r="C6925" s="7" t="s">
        <v>7422</v>
      </c>
      <c r="D6925" s="7" t="s">
        <v>333</v>
      </c>
      <c r="E6925" s="7" t="s">
        <v>154</v>
      </c>
      <c r="F6925" s="39" t="n">
        <v>45975</v>
      </c>
      <c r="G6925" s="41" t="n">
        <v>94.07</v>
      </c>
      <c r="H6925" s="39" t="n">
        <v>46006</v>
      </c>
      <c r="I6925" s="7" t="s">
        <v>14651</v>
      </c>
      <c r="J6925" s="8" t="str">
        <f aca="false">IF(I6925="Open",DATE(2025,12,31)-F6925,"-")</f>
        <v>-</v>
      </c>
    </row>
    <row r="6926" customFormat="false" ht="15" hidden="false" customHeight="false" outlineLevel="0" collapsed="false">
      <c r="B6926" s="7" t="s">
        <v>21572</v>
      </c>
      <c r="C6926" s="7" t="s">
        <v>7423</v>
      </c>
      <c r="D6926" s="7" t="s">
        <v>335</v>
      </c>
      <c r="E6926" s="7" t="s">
        <v>154</v>
      </c>
      <c r="F6926" s="39" t="n">
        <v>45975</v>
      </c>
      <c r="G6926" s="41" t="n">
        <v>103.35</v>
      </c>
      <c r="H6926" s="6" t="s">
        <v>182</v>
      </c>
      <c r="I6926" s="7" t="s">
        <v>19787</v>
      </c>
      <c r="J6926" s="8" t="n">
        <f aca="false">IF(I6926="Open",DATE(2025,12,31)-F6926,"-")</f>
        <v>47</v>
      </c>
    </row>
    <row r="6927" customFormat="false" ht="15" hidden="false" customHeight="false" outlineLevel="0" collapsed="false">
      <c r="B6927" s="7" t="s">
        <v>21573</v>
      </c>
      <c r="C6927" s="7" t="s">
        <v>7424</v>
      </c>
      <c r="D6927" s="7" t="s">
        <v>339</v>
      </c>
      <c r="E6927" s="7" t="s">
        <v>154</v>
      </c>
      <c r="F6927" s="39" t="n">
        <v>45975</v>
      </c>
      <c r="G6927" s="41" t="n">
        <v>89.31</v>
      </c>
      <c r="H6927" s="6" t="s">
        <v>182</v>
      </c>
      <c r="I6927" s="7" t="s">
        <v>19787</v>
      </c>
      <c r="J6927" s="8" t="n">
        <f aca="false">IF(I6927="Open",DATE(2025,12,31)-F6927,"-")</f>
        <v>47</v>
      </c>
    </row>
    <row r="6928" customFormat="false" ht="15" hidden="false" customHeight="false" outlineLevel="0" collapsed="false">
      <c r="B6928" s="7" t="s">
        <v>21574</v>
      </c>
      <c r="C6928" s="7" t="s">
        <v>7425</v>
      </c>
      <c r="D6928" s="7" t="s">
        <v>347</v>
      </c>
      <c r="E6928" s="7" t="s">
        <v>154</v>
      </c>
      <c r="F6928" s="39" t="n">
        <v>45975</v>
      </c>
      <c r="G6928" s="41" t="n">
        <v>117.39</v>
      </c>
      <c r="H6928" s="6" t="s">
        <v>182</v>
      </c>
      <c r="I6928" s="7" t="s">
        <v>19787</v>
      </c>
      <c r="J6928" s="8" t="n">
        <f aca="false">IF(I6928="Open",DATE(2025,12,31)-F6928,"-")</f>
        <v>47</v>
      </c>
    </row>
    <row r="6929" customFormat="false" ht="15" hidden="false" customHeight="false" outlineLevel="0" collapsed="false">
      <c r="B6929" s="7" t="s">
        <v>21575</v>
      </c>
      <c r="C6929" s="7" t="s">
        <v>7426</v>
      </c>
      <c r="D6929" s="7" t="s">
        <v>349</v>
      </c>
      <c r="E6929" s="7" t="s">
        <v>154</v>
      </c>
      <c r="F6929" s="39" t="n">
        <v>45975</v>
      </c>
      <c r="G6929" s="41" t="n">
        <v>115.54</v>
      </c>
      <c r="H6929" s="6" t="s">
        <v>182</v>
      </c>
      <c r="I6929" s="7" t="s">
        <v>19787</v>
      </c>
      <c r="J6929" s="8" t="n">
        <f aca="false">IF(I6929="Open",DATE(2025,12,31)-F6929,"-")</f>
        <v>47</v>
      </c>
    </row>
    <row r="6930" customFormat="false" ht="15" hidden="false" customHeight="false" outlineLevel="0" collapsed="false">
      <c r="B6930" s="7" t="s">
        <v>21576</v>
      </c>
      <c r="C6930" s="7" t="s">
        <v>7427</v>
      </c>
      <c r="D6930" s="7" t="s">
        <v>353</v>
      </c>
      <c r="E6930" s="7" t="s">
        <v>154</v>
      </c>
      <c r="F6930" s="39" t="n">
        <v>45975</v>
      </c>
      <c r="G6930" s="41" t="n">
        <v>93.55</v>
      </c>
      <c r="H6930" s="6" t="s">
        <v>182</v>
      </c>
      <c r="I6930" s="7" t="s">
        <v>19787</v>
      </c>
      <c r="J6930" s="8" t="n">
        <f aca="false">IF(I6930="Open",DATE(2025,12,31)-F6930,"-")</f>
        <v>47</v>
      </c>
    </row>
    <row r="6931" customFormat="false" ht="15" hidden="false" customHeight="false" outlineLevel="0" collapsed="false">
      <c r="B6931" s="7" t="s">
        <v>21577</v>
      </c>
      <c r="C6931" s="7" t="s">
        <v>7428</v>
      </c>
      <c r="D6931" s="7" t="s">
        <v>355</v>
      </c>
      <c r="E6931" s="7" t="s">
        <v>154</v>
      </c>
      <c r="F6931" s="39" t="n">
        <v>45975</v>
      </c>
      <c r="G6931" s="41" t="n">
        <v>86.39</v>
      </c>
      <c r="H6931" s="6" t="s">
        <v>182</v>
      </c>
      <c r="I6931" s="7" t="s">
        <v>19787</v>
      </c>
      <c r="J6931" s="8" t="n">
        <f aca="false">IF(I6931="Open",DATE(2025,12,31)-F6931,"-")</f>
        <v>47</v>
      </c>
    </row>
    <row r="6932" customFormat="false" ht="15" hidden="false" customHeight="false" outlineLevel="0" collapsed="false">
      <c r="B6932" s="7" t="s">
        <v>21578</v>
      </c>
      <c r="C6932" s="7" t="s">
        <v>7429</v>
      </c>
      <c r="D6932" s="7" t="s">
        <v>357</v>
      </c>
      <c r="E6932" s="7" t="s">
        <v>154</v>
      </c>
      <c r="F6932" s="39" t="n">
        <v>45975</v>
      </c>
      <c r="G6932" s="41" t="n">
        <v>90.63</v>
      </c>
      <c r="H6932" s="6" t="s">
        <v>182</v>
      </c>
      <c r="I6932" s="7" t="s">
        <v>19787</v>
      </c>
      <c r="J6932" s="8" t="n">
        <f aca="false">IF(I6932="Open",DATE(2025,12,31)-F6932,"-")</f>
        <v>47</v>
      </c>
    </row>
    <row r="6933" customFormat="false" ht="15" hidden="false" customHeight="false" outlineLevel="0" collapsed="false">
      <c r="B6933" s="7" t="s">
        <v>21579</v>
      </c>
      <c r="C6933" s="7" t="s">
        <v>7430</v>
      </c>
      <c r="D6933" s="7" t="s">
        <v>359</v>
      </c>
      <c r="E6933" s="7" t="s">
        <v>156</v>
      </c>
      <c r="F6933" s="39" t="n">
        <v>45975</v>
      </c>
      <c r="G6933" s="41" t="n">
        <v>147.56</v>
      </c>
      <c r="H6933" s="39" t="n">
        <v>45991</v>
      </c>
      <c r="I6933" s="7" t="s">
        <v>14651</v>
      </c>
      <c r="J6933" s="8" t="str">
        <f aca="false">IF(I6933="Open",DATE(2025,12,31)-F6933,"-")</f>
        <v>-</v>
      </c>
    </row>
    <row r="6934" customFormat="false" ht="15" hidden="false" customHeight="false" outlineLevel="0" collapsed="false">
      <c r="B6934" s="7" t="s">
        <v>21580</v>
      </c>
      <c r="C6934" s="7" t="s">
        <v>7431</v>
      </c>
      <c r="D6934" s="7" t="s">
        <v>365</v>
      </c>
      <c r="E6934" s="7" t="s">
        <v>154</v>
      </c>
      <c r="F6934" s="39" t="n">
        <v>45975</v>
      </c>
      <c r="G6934" s="41" t="n">
        <v>112.07</v>
      </c>
      <c r="H6934" s="6" t="s">
        <v>182</v>
      </c>
      <c r="I6934" s="7" t="s">
        <v>19787</v>
      </c>
      <c r="J6934" s="8" t="n">
        <f aca="false">IF(I6934="Open",DATE(2025,12,31)-F6934,"-")</f>
        <v>47</v>
      </c>
    </row>
    <row r="6935" customFormat="false" ht="15" hidden="false" customHeight="false" outlineLevel="0" collapsed="false">
      <c r="B6935" s="7" t="s">
        <v>21581</v>
      </c>
      <c r="C6935" s="7" t="s">
        <v>7432</v>
      </c>
      <c r="D6935" s="7" t="s">
        <v>369</v>
      </c>
      <c r="E6935" s="7" t="s">
        <v>159</v>
      </c>
      <c r="F6935" s="39" t="n">
        <v>45975</v>
      </c>
      <c r="G6935" s="41" t="n">
        <v>139.05</v>
      </c>
      <c r="H6935" s="6" t="s">
        <v>182</v>
      </c>
      <c r="I6935" s="7" t="s">
        <v>19787</v>
      </c>
      <c r="J6935" s="8" t="n">
        <f aca="false">IF(I6935="Open",DATE(2025,12,31)-F6935,"-")</f>
        <v>47</v>
      </c>
    </row>
    <row r="6936" customFormat="false" ht="15" hidden="false" customHeight="false" outlineLevel="0" collapsed="false">
      <c r="B6936" s="7" t="s">
        <v>21582</v>
      </c>
      <c r="C6936" s="7" t="s">
        <v>7433</v>
      </c>
      <c r="D6936" s="7" t="s">
        <v>371</v>
      </c>
      <c r="E6936" s="7" t="s">
        <v>154</v>
      </c>
      <c r="F6936" s="39" t="n">
        <v>45975</v>
      </c>
      <c r="G6936" s="41" t="n">
        <v>127.2</v>
      </c>
      <c r="H6936" s="6" t="s">
        <v>182</v>
      </c>
      <c r="I6936" s="7" t="s">
        <v>19787</v>
      </c>
      <c r="J6936" s="8" t="n">
        <f aca="false">IF(I6936="Open",DATE(2025,12,31)-F6936,"-")</f>
        <v>47</v>
      </c>
    </row>
    <row r="6937" customFormat="false" ht="15" hidden="false" customHeight="false" outlineLevel="0" collapsed="false">
      <c r="B6937" s="7" t="s">
        <v>21583</v>
      </c>
      <c r="C6937" s="7" t="s">
        <v>7434</v>
      </c>
      <c r="D6937" s="7" t="s">
        <v>379</v>
      </c>
      <c r="E6937" s="7" t="s">
        <v>156</v>
      </c>
      <c r="F6937" s="39" t="n">
        <v>45975</v>
      </c>
      <c r="G6937" s="41" t="n">
        <v>145.86</v>
      </c>
      <c r="H6937" s="39" t="n">
        <v>45983</v>
      </c>
      <c r="I6937" s="7" t="s">
        <v>14651</v>
      </c>
      <c r="J6937" s="8" t="str">
        <f aca="false">IF(I6937="Open",DATE(2025,12,31)-F6937,"-")</f>
        <v>-</v>
      </c>
    </row>
    <row r="6938" customFormat="false" ht="15" hidden="false" customHeight="false" outlineLevel="0" collapsed="false">
      <c r="B6938" s="7" t="s">
        <v>21584</v>
      </c>
      <c r="C6938" s="7" t="s">
        <v>7435</v>
      </c>
      <c r="D6938" s="7" t="s">
        <v>381</v>
      </c>
      <c r="E6938" s="7" t="s">
        <v>157</v>
      </c>
      <c r="F6938" s="39" t="n">
        <v>45975</v>
      </c>
      <c r="G6938" s="41" t="n">
        <v>156.75</v>
      </c>
      <c r="H6938" s="39" t="n">
        <v>46015</v>
      </c>
      <c r="I6938" s="7" t="s">
        <v>14651</v>
      </c>
      <c r="J6938" s="8" t="str">
        <f aca="false">IF(I6938="Open",DATE(2025,12,31)-F6938,"-")</f>
        <v>-</v>
      </c>
    </row>
    <row r="6939" customFormat="false" ht="15" hidden="false" customHeight="false" outlineLevel="0" collapsed="false">
      <c r="B6939" s="7" t="s">
        <v>21585</v>
      </c>
      <c r="C6939" s="7" t="s">
        <v>7436</v>
      </c>
      <c r="D6939" s="7" t="s">
        <v>383</v>
      </c>
      <c r="E6939" s="7" t="s">
        <v>157</v>
      </c>
      <c r="F6939" s="39" t="n">
        <v>45975</v>
      </c>
      <c r="G6939" s="41" t="n">
        <v>150.15</v>
      </c>
      <c r="H6939" s="39" t="n">
        <v>46020</v>
      </c>
      <c r="I6939" s="7" t="s">
        <v>14651</v>
      </c>
      <c r="J6939" s="8" t="str">
        <f aca="false">IF(I6939="Open",DATE(2025,12,31)-F6939,"-")</f>
        <v>-</v>
      </c>
    </row>
    <row r="6940" customFormat="false" ht="15" hidden="false" customHeight="false" outlineLevel="0" collapsed="false">
      <c r="B6940" s="7" t="s">
        <v>21586</v>
      </c>
      <c r="C6940" s="7" t="s">
        <v>7437</v>
      </c>
      <c r="D6940" s="7" t="s">
        <v>385</v>
      </c>
      <c r="E6940" s="7" t="s">
        <v>156</v>
      </c>
      <c r="F6940" s="39" t="n">
        <v>45975</v>
      </c>
      <c r="G6940" s="41" t="n">
        <v>127.84</v>
      </c>
      <c r="H6940" s="39" t="n">
        <v>45987</v>
      </c>
      <c r="I6940" s="7" t="s">
        <v>14651</v>
      </c>
      <c r="J6940" s="8" t="str">
        <f aca="false">IF(I6940="Open",DATE(2025,12,31)-F6940,"-")</f>
        <v>-</v>
      </c>
    </row>
    <row r="6941" customFormat="false" ht="15" hidden="false" customHeight="false" outlineLevel="0" collapsed="false">
      <c r="B6941" s="7" t="s">
        <v>21587</v>
      </c>
      <c r="C6941" s="7" t="s">
        <v>7438</v>
      </c>
      <c r="D6941" s="7" t="s">
        <v>387</v>
      </c>
      <c r="E6941" s="7" t="s">
        <v>154</v>
      </c>
      <c r="F6941" s="39" t="n">
        <v>45975</v>
      </c>
      <c r="G6941" s="41" t="n">
        <v>95.93</v>
      </c>
      <c r="H6941" s="6" t="s">
        <v>182</v>
      </c>
      <c r="I6941" s="7" t="s">
        <v>19787</v>
      </c>
      <c r="J6941" s="8" t="n">
        <f aca="false">IF(I6941="Open",DATE(2025,12,31)-F6941,"-")</f>
        <v>47</v>
      </c>
    </row>
    <row r="6942" customFormat="false" ht="15" hidden="false" customHeight="false" outlineLevel="0" collapsed="false">
      <c r="B6942" s="7" t="s">
        <v>21588</v>
      </c>
      <c r="C6942" s="7" t="s">
        <v>7439</v>
      </c>
      <c r="D6942" s="7" t="s">
        <v>389</v>
      </c>
      <c r="E6942" s="7" t="s">
        <v>154</v>
      </c>
      <c r="F6942" s="39" t="n">
        <v>45975</v>
      </c>
      <c r="G6942" s="41" t="n">
        <v>110.77</v>
      </c>
      <c r="H6942" s="39" t="n">
        <v>46012</v>
      </c>
      <c r="I6942" s="7" t="s">
        <v>14651</v>
      </c>
      <c r="J6942" s="8" t="str">
        <f aca="false">IF(I6942="Open",DATE(2025,12,31)-F6942,"-")</f>
        <v>-</v>
      </c>
    </row>
    <row r="6943" customFormat="false" ht="15" hidden="false" customHeight="false" outlineLevel="0" collapsed="false">
      <c r="B6943" s="7" t="s">
        <v>21589</v>
      </c>
      <c r="C6943" s="7" t="s">
        <v>7440</v>
      </c>
      <c r="D6943" s="7" t="s">
        <v>391</v>
      </c>
      <c r="E6943" s="7" t="s">
        <v>156</v>
      </c>
      <c r="F6943" s="39" t="n">
        <v>45975</v>
      </c>
      <c r="G6943" s="41" t="n">
        <v>140.42</v>
      </c>
      <c r="H6943" s="39" t="n">
        <v>45990</v>
      </c>
      <c r="I6943" s="7" t="s">
        <v>14651</v>
      </c>
      <c r="J6943" s="8" t="str">
        <f aca="false">IF(I6943="Open",DATE(2025,12,31)-F6943,"-")</f>
        <v>-</v>
      </c>
    </row>
    <row r="6944" customFormat="false" ht="15" hidden="false" customHeight="false" outlineLevel="0" collapsed="false">
      <c r="B6944" s="7" t="s">
        <v>21590</v>
      </c>
      <c r="C6944" s="7" t="s">
        <v>7441</v>
      </c>
      <c r="D6944" s="7" t="s">
        <v>395</v>
      </c>
      <c r="E6944" s="7" t="s">
        <v>156</v>
      </c>
      <c r="F6944" s="39" t="n">
        <v>45975</v>
      </c>
      <c r="G6944" s="41" t="n">
        <v>143.48</v>
      </c>
      <c r="H6944" s="39" t="n">
        <v>45988</v>
      </c>
      <c r="I6944" s="7" t="s">
        <v>14651</v>
      </c>
      <c r="J6944" s="8" t="str">
        <f aca="false">IF(I6944="Open",DATE(2025,12,31)-F6944,"-")</f>
        <v>-</v>
      </c>
    </row>
    <row r="6945" customFormat="false" ht="15" hidden="false" customHeight="false" outlineLevel="0" collapsed="false">
      <c r="B6945" s="7" t="s">
        <v>21591</v>
      </c>
      <c r="C6945" s="7" t="s">
        <v>7442</v>
      </c>
      <c r="D6945" s="7" t="s">
        <v>397</v>
      </c>
      <c r="E6945" s="7" t="s">
        <v>159</v>
      </c>
      <c r="F6945" s="39" t="n">
        <v>45975</v>
      </c>
      <c r="G6945" s="41" t="n">
        <v>147.15</v>
      </c>
      <c r="H6945" s="39" t="n">
        <v>46018</v>
      </c>
      <c r="I6945" s="7" t="s">
        <v>14651</v>
      </c>
      <c r="J6945" s="8" t="str">
        <f aca="false">IF(I6945="Open",DATE(2025,12,31)-F6945,"-")</f>
        <v>-</v>
      </c>
    </row>
    <row r="6946" customFormat="false" ht="15" hidden="false" customHeight="false" outlineLevel="0" collapsed="false">
      <c r="B6946" s="7" t="s">
        <v>21592</v>
      </c>
      <c r="C6946" s="7" t="s">
        <v>7443</v>
      </c>
      <c r="D6946" s="7" t="s">
        <v>399</v>
      </c>
      <c r="E6946" s="7" t="s">
        <v>154</v>
      </c>
      <c r="F6946" s="39" t="n">
        <v>45975</v>
      </c>
      <c r="G6946" s="41" t="n">
        <v>92.75</v>
      </c>
      <c r="H6946" s="6" t="s">
        <v>182</v>
      </c>
      <c r="I6946" s="7" t="s">
        <v>19787</v>
      </c>
      <c r="J6946" s="8" t="n">
        <f aca="false">IF(I6946="Open",DATE(2025,12,31)-F6946,"-")</f>
        <v>47</v>
      </c>
    </row>
    <row r="6947" customFormat="false" ht="15" hidden="false" customHeight="false" outlineLevel="0" collapsed="false">
      <c r="B6947" s="7" t="s">
        <v>21593</v>
      </c>
      <c r="C6947" s="7" t="s">
        <v>7444</v>
      </c>
      <c r="D6947" s="7" t="s">
        <v>401</v>
      </c>
      <c r="E6947" s="7" t="s">
        <v>156</v>
      </c>
      <c r="F6947" s="39" t="n">
        <v>45975</v>
      </c>
      <c r="G6947" s="41" t="n">
        <v>141.78</v>
      </c>
      <c r="H6947" s="39" t="n">
        <v>45984</v>
      </c>
      <c r="I6947" s="7" t="s">
        <v>14651</v>
      </c>
      <c r="J6947" s="8" t="str">
        <f aca="false">IF(I6947="Open",DATE(2025,12,31)-F6947,"-")</f>
        <v>-</v>
      </c>
    </row>
    <row r="6948" customFormat="false" ht="15" hidden="false" customHeight="false" outlineLevel="0" collapsed="false">
      <c r="B6948" s="7" t="s">
        <v>21594</v>
      </c>
      <c r="C6948" s="7" t="s">
        <v>7445</v>
      </c>
      <c r="D6948" s="7" t="s">
        <v>403</v>
      </c>
      <c r="E6948" s="7" t="s">
        <v>156</v>
      </c>
      <c r="F6948" s="39" t="n">
        <v>45975</v>
      </c>
      <c r="G6948" s="41" t="n">
        <v>127.5</v>
      </c>
      <c r="H6948" s="39" t="n">
        <v>45992</v>
      </c>
      <c r="I6948" s="7" t="s">
        <v>14651</v>
      </c>
      <c r="J6948" s="8" t="str">
        <f aca="false">IF(I6948="Open",DATE(2025,12,31)-F6948,"-")</f>
        <v>-</v>
      </c>
    </row>
    <row r="6949" customFormat="false" ht="15" hidden="false" customHeight="false" outlineLevel="0" collapsed="false">
      <c r="B6949" s="7" t="s">
        <v>21595</v>
      </c>
      <c r="C6949" s="7" t="s">
        <v>7446</v>
      </c>
      <c r="D6949" s="7" t="s">
        <v>407</v>
      </c>
      <c r="E6949" s="7" t="s">
        <v>159</v>
      </c>
      <c r="F6949" s="39" t="n">
        <v>45975</v>
      </c>
      <c r="G6949" s="41" t="n">
        <v>137.7</v>
      </c>
      <c r="H6949" s="39" t="n">
        <v>46009</v>
      </c>
      <c r="I6949" s="7" t="s">
        <v>14651</v>
      </c>
      <c r="J6949" s="8" t="str">
        <f aca="false">IF(I6949="Open",DATE(2025,12,31)-F6949,"-")</f>
        <v>-</v>
      </c>
    </row>
    <row r="6950" customFormat="false" ht="15" hidden="false" customHeight="false" outlineLevel="0" collapsed="false">
      <c r="B6950" s="7" t="s">
        <v>21596</v>
      </c>
      <c r="C6950" s="7" t="s">
        <v>7447</v>
      </c>
      <c r="D6950" s="7" t="s">
        <v>409</v>
      </c>
      <c r="E6950" s="7" t="s">
        <v>154</v>
      </c>
      <c r="F6950" s="39" t="n">
        <v>45975</v>
      </c>
      <c r="G6950" s="41" t="n">
        <v>84.56</v>
      </c>
      <c r="H6950" s="39" t="n">
        <v>46017</v>
      </c>
      <c r="I6950" s="7" t="s">
        <v>14651</v>
      </c>
      <c r="J6950" s="8" t="str">
        <f aca="false">IF(I6950="Open",DATE(2025,12,31)-F6950,"-")</f>
        <v>-</v>
      </c>
    </row>
    <row r="6951" customFormat="false" ht="15" hidden="false" customHeight="false" outlineLevel="0" collapsed="false">
      <c r="B6951" s="7" t="s">
        <v>21597</v>
      </c>
      <c r="C6951" s="7" t="s">
        <v>7448</v>
      </c>
      <c r="D6951" s="7" t="s">
        <v>411</v>
      </c>
      <c r="E6951" s="7" t="s">
        <v>154</v>
      </c>
      <c r="F6951" s="39" t="n">
        <v>45975</v>
      </c>
      <c r="G6951" s="41" t="n">
        <v>118.98</v>
      </c>
      <c r="H6951" s="6" t="s">
        <v>182</v>
      </c>
      <c r="I6951" s="7" t="s">
        <v>19787</v>
      </c>
      <c r="J6951" s="8" t="n">
        <f aca="false">IF(I6951="Open",DATE(2025,12,31)-F6951,"-")</f>
        <v>47</v>
      </c>
    </row>
    <row r="6952" customFormat="false" ht="15" hidden="false" customHeight="false" outlineLevel="0" collapsed="false">
      <c r="B6952" s="7" t="s">
        <v>21598</v>
      </c>
      <c r="C6952" s="7" t="s">
        <v>7449</v>
      </c>
      <c r="D6952" s="7" t="s">
        <v>288</v>
      </c>
      <c r="E6952" s="7" t="s">
        <v>156</v>
      </c>
      <c r="F6952" s="39" t="n">
        <v>45976</v>
      </c>
      <c r="G6952" s="41" t="n">
        <v>127.16</v>
      </c>
      <c r="H6952" s="39" t="n">
        <v>45989</v>
      </c>
      <c r="I6952" s="7" t="s">
        <v>14651</v>
      </c>
      <c r="J6952" s="8" t="str">
        <f aca="false">IF(I6952="Open",DATE(2025,12,31)-F6952,"-")</f>
        <v>-</v>
      </c>
    </row>
    <row r="6953" customFormat="false" ht="15" hidden="false" customHeight="false" outlineLevel="0" collapsed="false">
      <c r="B6953" s="7" t="s">
        <v>21599</v>
      </c>
      <c r="C6953" s="7" t="s">
        <v>7450</v>
      </c>
      <c r="D6953" s="7" t="s">
        <v>321</v>
      </c>
      <c r="E6953" s="7" t="s">
        <v>154</v>
      </c>
      <c r="F6953" s="39" t="n">
        <v>45976</v>
      </c>
      <c r="G6953" s="41" t="n">
        <v>113.42</v>
      </c>
      <c r="H6953" s="6" t="s">
        <v>182</v>
      </c>
      <c r="I6953" s="7" t="s">
        <v>19787</v>
      </c>
      <c r="J6953" s="8" t="n">
        <f aca="false">IF(I6953="Open",DATE(2025,12,31)-F6953,"-")</f>
        <v>46</v>
      </c>
    </row>
    <row r="6954" customFormat="false" ht="15" hidden="false" customHeight="false" outlineLevel="0" collapsed="false">
      <c r="B6954" s="7" t="s">
        <v>21600</v>
      </c>
      <c r="C6954" s="7" t="s">
        <v>7451</v>
      </c>
      <c r="D6954" s="7" t="s">
        <v>359</v>
      </c>
      <c r="E6954" s="7" t="s">
        <v>156</v>
      </c>
      <c r="F6954" s="39" t="n">
        <v>45976</v>
      </c>
      <c r="G6954" s="41" t="n">
        <v>148.92</v>
      </c>
      <c r="H6954" s="39" t="n">
        <v>45990</v>
      </c>
      <c r="I6954" s="7" t="s">
        <v>14651</v>
      </c>
      <c r="J6954" s="8" t="str">
        <f aca="false">IF(I6954="Open",DATE(2025,12,31)-F6954,"-")</f>
        <v>-</v>
      </c>
    </row>
    <row r="6955" customFormat="false" ht="15" hidden="false" customHeight="false" outlineLevel="0" collapsed="false">
      <c r="B6955" s="7" t="s">
        <v>21601</v>
      </c>
      <c r="C6955" s="7" t="s">
        <v>7452</v>
      </c>
      <c r="D6955" s="7" t="s">
        <v>387</v>
      </c>
      <c r="E6955" s="7" t="s">
        <v>154</v>
      </c>
      <c r="F6955" s="39" t="n">
        <v>45976</v>
      </c>
      <c r="G6955" s="41" t="n">
        <v>96.99</v>
      </c>
      <c r="H6955" s="6" t="s">
        <v>182</v>
      </c>
      <c r="I6955" s="7" t="s">
        <v>19787</v>
      </c>
      <c r="J6955" s="8" t="n">
        <f aca="false">IF(I6955="Open",DATE(2025,12,31)-F6955,"-")</f>
        <v>46</v>
      </c>
    </row>
    <row r="6956" customFormat="false" ht="15" hidden="false" customHeight="false" outlineLevel="0" collapsed="false">
      <c r="B6956" s="7" t="s">
        <v>21602</v>
      </c>
      <c r="C6956" s="7" t="s">
        <v>7453</v>
      </c>
      <c r="D6956" s="7" t="s">
        <v>391</v>
      </c>
      <c r="E6956" s="7" t="s">
        <v>156</v>
      </c>
      <c r="F6956" s="39" t="n">
        <v>45976</v>
      </c>
      <c r="G6956" s="41" t="n">
        <v>148.92</v>
      </c>
      <c r="H6956" s="39" t="n">
        <v>45981</v>
      </c>
      <c r="I6956" s="7" t="s">
        <v>14651</v>
      </c>
      <c r="J6956" s="8" t="str">
        <f aca="false">IF(I6956="Open",DATE(2025,12,31)-F6956,"-")</f>
        <v>-</v>
      </c>
    </row>
    <row r="6957" customFormat="false" ht="15" hidden="false" customHeight="false" outlineLevel="0" collapsed="false">
      <c r="B6957" s="7" t="s">
        <v>21603</v>
      </c>
      <c r="C6957" s="7" t="s">
        <v>7454</v>
      </c>
      <c r="D6957" s="7" t="s">
        <v>395</v>
      </c>
      <c r="E6957" s="7" t="s">
        <v>156</v>
      </c>
      <c r="F6957" s="39" t="n">
        <v>45976</v>
      </c>
      <c r="G6957" s="41" t="n">
        <v>135.66</v>
      </c>
      <c r="H6957" s="39" t="n">
        <v>45984</v>
      </c>
      <c r="I6957" s="7" t="s">
        <v>14651</v>
      </c>
      <c r="J6957" s="8" t="str">
        <f aca="false">IF(I6957="Open",DATE(2025,12,31)-F6957,"-")</f>
        <v>-</v>
      </c>
    </row>
    <row r="6958" customFormat="false" ht="15" hidden="false" customHeight="false" outlineLevel="0" collapsed="false">
      <c r="B6958" s="7" t="s">
        <v>21604</v>
      </c>
      <c r="C6958" s="7" t="s">
        <v>7455</v>
      </c>
      <c r="D6958" s="7" t="s">
        <v>401</v>
      </c>
      <c r="E6958" s="7" t="s">
        <v>156</v>
      </c>
      <c r="F6958" s="39" t="n">
        <v>45976</v>
      </c>
      <c r="G6958" s="41" t="n">
        <v>135.32</v>
      </c>
      <c r="H6958" s="39" t="n">
        <v>45991</v>
      </c>
      <c r="I6958" s="7" t="s">
        <v>14651</v>
      </c>
      <c r="J6958" s="8" t="str">
        <f aca="false">IF(I6958="Open",DATE(2025,12,31)-F6958,"-")</f>
        <v>-</v>
      </c>
    </row>
    <row r="6959" customFormat="false" ht="15" hidden="false" customHeight="false" outlineLevel="0" collapsed="false">
      <c r="B6959" s="7" t="s">
        <v>21605</v>
      </c>
      <c r="C6959" s="7" t="s">
        <v>7456</v>
      </c>
      <c r="D6959" s="7" t="s">
        <v>288</v>
      </c>
      <c r="E6959" s="7" t="s">
        <v>156</v>
      </c>
      <c r="F6959" s="39" t="n">
        <v>45977</v>
      </c>
      <c r="G6959" s="41" t="n">
        <v>126.48</v>
      </c>
      <c r="H6959" s="39" t="n">
        <v>45987</v>
      </c>
      <c r="I6959" s="7" t="s">
        <v>14651</v>
      </c>
      <c r="J6959" s="8" t="str">
        <f aca="false">IF(I6959="Open",DATE(2025,12,31)-F6959,"-")</f>
        <v>-</v>
      </c>
    </row>
    <row r="6960" customFormat="false" ht="15" hidden="false" customHeight="false" outlineLevel="0" collapsed="false">
      <c r="B6960" s="7" t="s">
        <v>21606</v>
      </c>
      <c r="C6960" s="7" t="s">
        <v>7457</v>
      </c>
      <c r="D6960" s="7" t="s">
        <v>321</v>
      </c>
      <c r="E6960" s="7" t="s">
        <v>154</v>
      </c>
      <c r="F6960" s="39" t="n">
        <v>45977</v>
      </c>
      <c r="G6960" s="41" t="n">
        <v>101.76</v>
      </c>
      <c r="H6960" s="39" t="n">
        <v>46015</v>
      </c>
      <c r="I6960" s="7" t="s">
        <v>14651</v>
      </c>
      <c r="J6960" s="8" t="str">
        <f aca="false">IF(I6960="Open",DATE(2025,12,31)-F6960,"-")</f>
        <v>-</v>
      </c>
    </row>
    <row r="6961" customFormat="false" ht="15" hidden="false" customHeight="false" outlineLevel="0" collapsed="false">
      <c r="B6961" s="7" t="s">
        <v>21607</v>
      </c>
      <c r="C6961" s="7" t="s">
        <v>7458</v>
      </c>
      <c r="D6961" s="7" t="s">
        <v>359</v>
      </c>
      <c r="E6961" s="7" t="s">
        <v>156</v>
      </c>
      <c r="F6961" s="39" t="n">
        <v>45977</v>
      </c>
      <c r="G6961" s="41" t="n">
        <v>143.48</v>
      </c>
      <c r="H6961" s="39" t="n">
        <v>45989</v>
      </c>
      <c r="I6961" s="7" t="s">
        <v>14651</v>
      </c>
      <c r="J6961" s="8" t="str">
        <f aca="false">IF(I6961="Open",DATE(2025,12,31)-F6961,"-")</f>
        <v>-</v>
      </c>
    </row>
    <row r="6962" customFormat="false" ht="15" hidden="false" customHeight="false" outlineLevel="0" collapsed="false">
      <c r="B6962" s="7" t="s">
        <v>21608</v>
      </c>
      <c r="C6962" s="7" t="s">
        <v>7459</v>
      </c>
      <c r="D6962" s="7" t="s">
        <v>387</v>
      </c>
      <c r="E6962" s="7" t="s">
        <v>154</v>
      </c>
      <c r="F6962" s="39" t="n">
        <v>45977</v>
      </c>
      <c r="G6962" s="41" t="n">
        <v>103.88</v>
      </c>
      <c r="H6962" s="6" t="s">
        <v>182</v>
      </c>
      <c r="I6962" s="7" t="s">
        <v>19787</v>
      </c>
      <c r="J6962" s="8" t="n">
        <f aca="false">IF(I6962="Open",DATE(2025,12,31)-F6962,"-")</f>
        <v>45</v>
      </c>
    </row>
    <row r="6963" customFormat="false" ht="15" hidden="false" customHeight="false" outlineLevel="0" collapsed="false">
      <c r="B6963" s="7" t="s">
        <v>21609</v>
      </c>
      <c r="C6963" s="7" t="s">
        <v>7460</v>
      </c>
      <c r="D6963" s="7" t="s">
        <v>391</v>
      </c>
      <c r="E6963" s="7" t="s">
        <v>156</v>
      </c>
      <c r="F6963" s="39" t="n">
        <v>45977</v>
      </c>
      <c r="G6963" s="41" t="n">
        <v>126.14</v>
      </c>
      <c r="H6963" s="39" t="n">
        <v>45984</v>
      </c>
      <c r="I6963" s="7" t="s">
        <v>14651</v>
      </c>
      <c r="J6963" s="8" t="str">
        <f aca="false">IF(I6963="Open",DATE(2025,12,31)-F6963,"-")</f>
        <v>-</v>
      </c>
    </row>
    <row r="6964" customFormat="false" ht="15" hidden="false" customHeight="false" outlineLevel="0" collapsed="false">
      <c r="B6964" s="7" t="s">
        <v>21610</v>
      </c>
      <c r="C6964" s="7" t="s">
        <v>7461</v>
      </c>
      <c r="D6964" s="7" t="s">
        <v>395</v>
      </c>
      <c r="E6964" s="7" t="s">
        <v>156</v>
      </c>
      <c r="F6964" s="39" t="n">
        <v>45977</v>
      </c>
      <c r="G6964" s="41" t="n">
        <v>125.46</v>
      </c>
      <c r="H6964" s="39" t="n">
        <v>45996</v>
      </c>
      <c r="I6964" s="7" t="s">
        <v>14651</v>
      </c>
      <c r="J6964" s="8" t="str">
        <f aca="false">IF(I6964="Open",DATE(2025,12,31)-F6964,"-")</f>
        <v>-</v>
      </c>
    </row>
    <row r="6965" customFormat="false" ht="15" hidden="false" customHeight="false" outlineLevel="0" collapsed="false">
      <c r="B6965" s="7" t="s">
        <v>21611</v>
      </c>
      <c r="C6965" s="7" t="s">
        <v>7462</v>
      </c>
      <c r="D6965" s="7" t="s">
        <v>401</v>
      </c>
      <c r="E6965" s="7" t="s">
        <v>156</v>
      </c>
      <c r="F6965" s="39" t="n">
        <v>45977</v>
      </c>
      <c r="G6965" s="41" t="n">
        <v>125.8</v>
      </c>
      <c r="H6965" s="39" t="n">
        <v>45985</v>
      </c>
      <c r="I6965" s="7" t="s">
        <v>14651</v>
      </c>
      <c r="J6965" s="8" t="str">
        <f aca="false">IF(I6965="Open",DATE(2025,12,31)-F6965,"-")</f>
        <v>-</v>
      </c>
    </row>
    <row r="6966" customFormat="false" ht="15" hidden="false" customHeight="false" outlineLevel="0" collapsed="false">
      <c r="B6966" s="7" t="s">
        <v>21612</v>
      </c>
      <c r="C6966" s="7" t="s">
        <v>7463</v>
      </c>
      <c r="D6966" s="7" t="s">
        <v>288</v>
      </c>
      <c r="E6966" s="7" t="s">
        <v>156</v>
      </c>
      <c r="F6966" s="39" t="n">
        <v>45978</v>
      </c>
      <c r="G6966" s="41" t="n">
        <v>143.82</v>
      </c>
      <c r="H6966" s="39" t="n">
        <v>45989</v>
      </c>
      <c r="I6966" s="7" t="s">
        <v>14651</v>
      </c>
      <c r="J6966" s="8" t="str">
        <f aca="false">IF(I6966="Open",DATE(2025,12,31)-F6966,"-")</f>
        <v>-</v>
      </c>
    </row>
    <row r="6967" customFormat="false" ht="15" hidden="false" customHeight="false" outlineLevel="0" collapsed="false">
      <c r="B6967" s="7" t="s">
        <v>21613</v>
      </c>
      <c r="C6967" s="7" t="s">
        <v>7464</v>
      </c>
      <c r="D6967" s="7" t="s">
        <v>291</v>
      </c>
      <c r="E6967" s="7" t="s">
        <v>154</v>
      </c>
      <c r="F6967" s="39" t="n">
        <v>45978</v>
      </c>
      <c r="G6967" s="41" t="n">
        <v>126.4</v>
      </c>
      <c r="H6967" s="6" t="s">
        <v>182</v>
      </c>
      <c r="I6967" s="7" t="s">
        <v>19787</v>
      </c>
      <c r="J6967" s="8" t="n">
        <f aca="false">IF(I6967="Open",DATE(2025,12,31)-F6967,"-")</f>
        <v>44</v>
      </c>
    </row>
    <row r="6968" customFormat="false" ht="15" hidden="false" customHeight="false" outlineLevel="0" collapsed="false">
      <c r="B6968" s="7" t="s">
        <v>21614</v>
      </c>
      <c r="C6968" s="7" t="s">
        <v>7465</v>
      </c>
      <c r="D6968" s="7" t="s">
        <v>295</v>
      </c>
      <c r="E6968" s="7" t="s">
        <v>154</v>
      </c>
      <c r="F6968" s="39" t="n">
        <v>45978</v>
      </c>
      <c r="G6968" s="41" t="n">
        <v>98.84</v>
      </c>
      <c r="H6968" s="6" t="s">
        <v>182</v>
      </c>
      <c r="I6968" s="7" t="s">
        <v>19787</v>
      </c>
      <c r="J6968" s="8" t="n">
        <f aca="false">IF(I6968="Open",DATE(2025,12,31)-F6968,"-")</f>
        <v>44</v>
      </c>
    </row>
    <row r="6969" customFormat="false" ht="15" hidden="false" customHeight="false" outlineLevel="0" collapsed="false">
      <c r="B6969" s="7" t="s">
        <v>21615</v>
      </c>
      <c r="C6969" s="7" t="s">
        <v>7466</v>
      </c>
      <c r="D6969" s="7" t="s">
        <v>297</v>
      </c>
      <c r="E6969" s="7" t="s">
        <v>156</v>
      </c>
      <c r="F6969" s="39" t="n">
        <v>45978</v>
      </c>
      <c r="G6969" s="41" t="n">
        <v>99.62</v>
      </c>
      <c r="H6969" s="39" t="n">
        <v>45989</v>
      </c>
      <c r="I6969" s="7" t="s">
        <v>14651</v>
      </c>
      <c r="J6969" s="8" t="str">
        <f aca="false">IF(I6969="Open",DATE(2025,12,31)-F6969,"-")</f>
        <v>-</v>
      </c>
    </row>
    <row r="6970" customFormat="false" ht="15" hidden="false" customHeight="false" outlineLevel="0" collapsed="false">
      <c r="B6970" s="7" t="s">
        <v>21616</v>
      </c>
      <c r="C6970" s="7" t="s">
        <v>7467</v>
      </c>
      <c r="D6970" s="7" t="s">
        <v>299</v>
      </c>
      <c r="E6970" s="7" t="s">
        <v>154</v>
      </c>
      <c r="F6970" s="39" t="n">
        <v>45978</v>
      </c>
      <c r="G6970" s="41" t="n">
        <v>76.32</v>
      </c>
      <c r="H6970" s="6" t="s">
        <v>182</v>
      </c>
      <c r="I6970" s="7" t="s">
        <v>19787</v>
      </c>
      <c r="J6970" s="8" t="n">
        <f aca="false">IF(I6970="Open",DATE(2025,12,31)-F6970,"-")</f>
        <v>44</v>
      </c>
    </row>
    <row r="6971" customFormat="false" ht="15" hidden="false" customHeight="false" outlineLevel="0" collapsed="false">
      <c r="B6971" s="7" t="s">
        <v>21617</v>
      </c>
      <c r="C6971" s="7" t="s">
        <v>7468</v>
      </c>
      <c r="D6971" s="7" t="s">
        <v>303</v>
      </c>
      <c r="E6971" s="7" t="s">
        <v>154</v>
      </c>
      <c r="F6971" s="39" t="n">
        <v>45978</v>
      </c>
      <c r="G6971" s="41" t="n">
        <v>113.69</v>
      </c>
      <c r="H6971" s="39" t="n">
        <v>46021</v>
      </c>
      <c r="I6971" s="7" t="s">
        <v>14651</v>
      </c>
      <c r="J6971" s="8" t="str">
        <f aca="false">IF(I6971="Open",DATE(2025,12,31)-F6971,"-")</f>
        <v>-</v>
      </c>
    </row>
    <row r="6972" customFormat="false" ht="15" hidden="false" customHeight="false" outlineLevel="0" collapsed="false">
      <c r="B6972" s="7" t="s">
        <v>21618</v>
      </c>
      <c r="C6972" s="7" t="s">
        <v>7469</v>
      </c>
      <c r="D6972" s="7" t="s">
        <v>305</v>
      </c>
      <c r="E6972" s="7" t="s">
        <v>154</v>
      </c>
      <c r="F6972" s="39" t="n">
        <v>45978</v>
      </c>
      <c r="G6972" s="41" t="n">
        <v>102.29</v>
      </c>
      <c r="H6972" s="6" t="s">
        <v>182</v>
      </c>
      <c r="I6972" s="7" t="s">
        <v>19787</v>
      </c>
      <c r="J6972" s="8" t="n">
        <f aca="false">IF(I6972="Open",DATE(2025,12,31)-F6972,"-")</f>
        <v>44</v>
      </c>
    </row>
    <row r="6973" customFormat="false" ht="15" hidden="false" customHeight="false" outlineLevel="0" collapsed="false">
      <c r="B6973" s="7" t="s">
        <v>21619</v>
      </c>
      <c r="C6973" s="7" t="s">
        <v>7470</v>
      </c>
      <c r="D6973" s="7" t="s">
        <v>307</v>
      </c>
      <c r="E6973" s="7" t="s">
        <v>157</v>
      </c>
      <c r="F6973" s="39" t="n">
        <v>45978</v>
      </c>
      <c r="G6973" s="41" t="n">
        <v>160.05</v>
      </c>
      <c r="H6973" s="6" t="s">
        <v>182</v>
      </c>
      <c r="I6973" s="7" t="s">
        <v>19787</v>
      </c>
      <c r="J6973" s="8" t="n">
        <f aca="false">IF(I6973="Open",DATE(2025,12,31)-F6973,"-")</f>
        <v>44</v>
      </c>
    </row>
    <row r="6974" customFormat="false" ht="15" hidden="false" customHeight="false" outlineLevel="0" collapsed="false">
      <c r="B6974" s="7" t="s">
        <v>21620</v>
      </c>
      <c r="C6974" s="7" t="s">
        <v>7471</v>
      </c>
      <c r="D6974" s="7" t="s">
        <v>309</v>
      </c>
      <c r="E6974" s="7" t="s">
        <v>159</v>
      </c>
      <c r="F6974" s="39" t="n">
        <v>45978</v>
      </c>
      <c r="G6974" s="41" t="n">
        <v>126.9</v>
      </c>
      <c r="H6974" s="39" t="n">
        <v>46022</v>
      </c>
      <c r="I6974" s="7" t="s">
        <v>14651</v>
      </c>
      <c r="J6974" s="8" t="str">
        <f aca="false">IF(I6974="Open",DATE(2025,12,31)-F6974,"-")</f>
        <v>-</v>
      </c>
    </row>
    <row r="6975" customFormat="false" ht="15" hidden="false" customHeight="false" outlineLevel="0" collapsed="false">
      <c r="B6975" s="7" t="s">
        <v>21621</v>
      </c>
      <c r="C6975" s="7" t="s">
        <v>7472</v>
      </c>
      <c r="D6975" s="7" t="s">
        <v>311</v>
      </c>
      <c r="E6975" s="7" t="s">
        <v>154</v>
      </c>
      <c r="F6975" s="39" t="n">
        <v>45978</v>
      </c>
      <c r="G6975" s="41" t="n">
        <v>84</v>
      </c>
      <c r="H6975" s="6" t="s">
        <v>182</v>
      </c>
      <c r="I6975" s="7" t="s">
        <v>19787</v>
      </c>
      <c r="J6975" s="8" t="n">
        <f aca="false">IF(I6975="Open",DATE(2025,12,31)-F6975,"-")</f>
        <v>44</v>
      </c>
    </row>
    <row r="6976" customFormat="false" ht="15" hidden="false" customHeight="false" outlineLevel="0" collapsed="false">
      <c r="B6976" s="7" t="s">
        <v>21622</v>
      </c>
      <c r="C6976" s="7" t="s">
        <v>7473</v>
      </c>
      <c r="D6976" s="7" t="s">
        <v>313</v>
      </c>
      <c r="E6976" s="7" t="s">
        <v>156</v>
      </c>
      <c r="F6976" s="39" t="n">
        <v>45978</v>
      </c>
      <c r="G6976" s="41" t="n">
        <v>137.36</v>
      </c>
      <c r="H6976" s="39" t="n">
        <v>45992</v>
      </c>
      <c r="I6976" s="7" t="s">
        <v>14651</v>
      </c>
      <c r="J6976" s="8" t="str">
        <f aca="false">IF(I6976="Open",DATE(2025,12,31)-F6976,"-")</f>
        <v>-</v>
      </c>
    </row>
    <row r="6977" customFormat="false" ht="15" hidden="false" customHeight="false" outlineLevel="0" collapsed="false">
      <c r="B6977" s="7" t="s">
        <v>21623</v>
      </c>
      <c r="C6977" s="7" t="s">
        <v>7474</v>
      </c>
      <c r="D6977" s="7" t="s">
        <v>315</v>
      </c>
      <c r="E6977" s="7" t="s">
        <v>159</v>
      </c>
      <c r="F6977" s="39" t="n">
        <v>45978</v>
      </c>
      <c r="G6977" s="41" t="n">
        <v>135.54</v>
      </c>
      <c r="H6977" s="39" t="n">
        <v>45997</v>
      </c>
      <c r="I6977" s="7" t="s">
        <v>14651</v>
      </c>
      <c r="J6977" s="8" t="str">
        <f aca="false">IF(I6977="Open",DATE(2025,12,31)-F6977,"-")</f>
        <v>-</v>
      </c>
    </row>
    <row r="6978" customFormat="false" ht="15" hidden="false" customHeight="false" outlineLevel="0" collapsed="false">
      <c r="B6978" s="7" t="s">
        <v>21624</v>
      </c>
      <c r="C6978" s="7" t="s">
        <v>7475</v>
      </c>
      <c r="D6978" s="7" t="s">
        <v>317</v>
      </c>
      <c r="E6978" s="7" t="s">
        <v>156</v>
      </c>
      <c r="F6978" s="39" t="n">
        <v>45978</v>
      </c>
      <c r="G6978" s="41" t="n">
        <v>101.32</v>
      </c>
      <c r="H6978" s="39" t="n">
        <v>45997</v>
      </c>
      <c r="I6978" s="7" t="s">
        <v>14651</v>
      </c>
      <c r="J6978" s="8" t="str">
        <f aca="false">IF(I6978="Open",DATE(2025,12,31)-F6978,"-")</f>
        <v>-</v>
      </c>
    </row>
    <row r="6979" customFormat="false" ht="15" hidden="false" customHeight="false" outlineLevel="0" collapsed="false">
      <c r="B6979" s="7" t="s">
        <v>21625</v>
      </c>
      <c r="C6979" s="7" t="s">
        <v>7476</v>
      </c>
      <c r="D6979" s="7" t="s">
        <v>321</v>
      </c>
      <c r="E6979" s="7" t="s">
        <v>154</v>
      </c>
      <c r="F6979" s="39" t="n">
        <v>45978</v>
      </c>
      <c r="G6979" s="41" t="n">
        <v>115.01</v>
      </c>
      <c r="H6979" s="6" t="s">
        <v>182</v>
      </c>
      <c r="I6979" s="7" t="s">
        <v>19787</v>
      </c>
      <c r="J6979" s="8" t="n">
        <f aca="false">IF(I6979="Open",DATE(2025,12,31)-F6979,"-")</f>
        <v>44</v>
      </c>
    </row>
    <row r="6980" customFormat="false" ht="15" hidden="false" customHeight="false" outlineLevel="0" collapsed="false">
      <c r="B6980" s="7" t="s">
        <v>21626</v>
      </c>
      <c r="C6980" s="7" t="s">
        <v>7477</v>
      </c>
      <c r="D6980" s="7" t="s">
        <v>325</v>
      </c>
      <c r="E6980" s="7" t="s">
        <v>154</v>
      </c>
      <c r="F6980" s="39" t="n">
        <v>45978</v>
      </c>
      <c r="G6980" s="41" t="n">
        <v>82.68</v>
      </c>
      <c r="H6980" s="39" t="n">
        <v>45997</v>
      </c>
      <c r="I6980" s="7" t="s">
        <v>14651</v>
      </c>
      <c r="J6980" s="8" t="str">
        <f aca="false">IF(I6980="Open",DATE(2025,12,31)-F6980,"-")</f>
        <v>-</v>
      </c>
    </row>
    <row r="6981" customFormat="false" ht="15" hidden="false" customHeight="false" outlineLevel="0" collapsed="false">
      <c r="B6981" s="7" t="s">
        <v>21627</v>
      </c>
      <c r="C6981" s="7" t="s">
        <v>7478</v>
      </c>
      <c r="D6981" s="7" t="s">
        <v>329</v>
      </c>
      <c r="E6981" s="7" t="s">
        <v>156</v>
      </c>
      <c r="F6981" s="39" t="n">
        <v>45978</v>
      </c>
      <c r="G6981" s="41" t="n">
        <v>144.84</v>
      </c>
      <c r="H6981" s="39" t="n">
        <v>45981</v>
      </c>
      <c r="I6981" s="7" t="s">
        <v>14651</v>
      </c>
      <c r="J6981" s="8" t="str">
        <f aca="false">IF(I6981="Open",DATE(2025,12,31)-F6981,"-")</f>
        <v>-</v>
      </c>
    </row>
    <row r="6982" customFormat="false" ht="15" hidden="false" customHeight="false" outlineLevel="0" collapsed="false">
      <c r="B6982" s="7" t="s">
        <v>21628</v>
      </c>
      <c r="C6982" s="7" t="s">
        <v>7479</v>
      </c>
      <c r="D6982" s="7" t="s">
        <v>331</v>
      </c>
      <c r="E6982" s="7" t="s">
        <v>156</v>
      </c>
      <c r="F6982" s="39" t="n">
        <v>45978</v>
      </c>
      <c r="G6982" s="41" t="n">
        <v>129.54</v>
      </c>
      <c r="H6982" s="39" t="n">
        <v>45997</v>
      </c>
      <c r="I6982" s="7" t="s">
        <v>14651</v>
      </c>
      <c r="J6982" s="8" t="str">
        <f aca="false">IF(I6982="Open",DATE(2025,12,31)-F6982,"-")</f>
        <v>-</v>
      </c>
    </row>
    <row r="6983" customFormat="false" ht="15" hidden="false" customHeight="false" outlineLevel="0" collapsed="false">
      <c r="B6983" s="7" t="s">
        <v>21629</v>
      </c>
      <c r="C6983" s="7" t="s">
        <v>7480</v>
      </c>
      <c r="D6983" s="7" t="s">
        <v>333</v>
      </c>
      <c r="E6983" s="7" t="s">
        <v>154</v>
      </c>
      <c r="F6983" s="39" t="n">
        <v>45978</v>
      </c>
      <c r="G6983" s="41" t="n">
        <v>88.51</v>
      </c>
      <c r="H6983" s="6" t="s">
        <v>182</v>
      </c>
      <c r="I6983" s="7" t="s">
        <v>19787</v>
      </c>
      <c r="J6983" s="8" t="n">
        <f aca="false">IF(I6983="Open",DATE(2025,12,31)-F6983,"-")</f>
        <v>44</v>
      </c>
    </row>
    <row r="6984" customFormat="false" ht="15" hidden="false" customHeight="false" outlineLevel="0" collapsed="false">
      <c r="B6984" s="7" t="s">
        <v>21630</v>
      </c>
      <c r="C6984" s="7" t="s">
        <v>7481</v>
      </c>
      <c r="D6984" s="7" t="s">
        <v>335</v>
      </c>
      <c r="E6984" s="7" t="s">
        <v>154</v>
      </c>
      <c r="F6984" s="39" t="n">
        <v>45978</v>
      </c>
      <c r="G6984" s="41" t="n">
        <v>93.81</v>
      </c>
      <c r="H6984" s="6" t="s">
        <v>182</v>
      </c>
      <c r="I6984" s="7" t="s">
        <v>19787</v>
      </c>
      <c r="J6984" s="8" t="n">
        <f aca="false">IF(I6984="Open",DATE(2025,12,31)-F6984,"-")</f>
        <v>44</v>
      </c>
    </row>
    <row r="6985" customFormat="false" ht="15" hidden="false" customHeight="false" outlineLevel="0" collapsed="false">
      <c r="B6985" s="7" t="s">
        <v>21631</v>
      </c>
      <c r="C6985" s="7" t="s">
        <v>7482</v>
      </c>
      <c r="D6985" s="7" t="s">
        <v>339</v>
      </c>
      <c r="E6985" s="7" t="s">
        <v>154</v>
      </c>
      <c r="F6985" s="39" t="n">
        <v>45978</v>
      </c>
      <c r="G6985" s="41" t="n">
        <v>79.77</v>
      </c>
      <c r="H6985" s="39" t="n">
        <v>46018</v>
      </c>
      <c r="I6985" s="7" t="s">
        <v>14651</v>
      </c>
      <c r="J6985" s="8" t="str">
        <f aca="false">IF(I6985="Open",DATE(2025,12,31)-F6985,"-")</f>
        <v>-</v>
      </c>
    </row>
    <row r="6986" customFormat="false" ht="15" hidden="false" customHeight="false" outlineLevel="0" collapsed="false">
      <c r="B6986" s="7" t="s">
        <v>21632</v>
      </c>
      <c r="C6986" s="7" t="s">
        <v>7483</v>
      </c>
      <c r="D6986" s="7" t="s">
        <v>341</v>
      </c>
      <c r="E6986" s="7" t="s">
        <v>156</v>
      </c>
      <c r="F6986" s="39" t="n">
        <v>45978</v>
      </c>
      <c r="G6986" s="41" t="n">
        <v>102</v>
      </c>
      <c r="H6986" s="39" t="n">
        <v>45993</v>
      </c>
      <c r="I6986" s="7" t="s">
        <v>14651</v>
      </c>
      <c r="J6986" s="8" t="str">
        <f aca="false">IF(I6986="Open",DATE(2025,12,31)-F6986,"-")</f>
        <v>-</v>
      </c>
    </row>
    <row r="6987" customFormat="false" ht="15" hidden="false" customHeight="false" outlineLevel="0" collapsed="false">
      <c r="B6987" s="7" t="s">
        <v>21633</v>
      </c>
      <c r="C6987" s="7" t="s">
        <v>7484</v>
      </c>
      <c r="D6987" s="7" t="s">
        <v>343</v>
      </c>
      <c r="E6987" s="7" t="s">
        <v>154</v>
      </c>
      <c r="F6987" s="39" t="n">
        <v>45978</v>
      </c>
      <c r="G6987" s="41" t="n">
        <v>99.64</v>
      </c>
      <c r="H6987" s="39" t="n">
        <v>46019</v>
      </c>
      <c r="I6987" s="7" t="s">
        <v>14651</v>
      </c>
      <c r="J6987" s="8" t="str">
        <f aca="false">IF(I6987="Open",DATE(2025,12,31)-F6987,"-")</f>
        <v>-</v>
      </c>
    </row>
    <row r="6988" customFormat="false" ht="15" hidden="false" customHeight="false" outlineLevel="0" collapsed="false">
      <c r="B6988" s="7" t="s">
        <v>21634</v>
      </c>
      <c r="C6988" s="7" t="s">
        <v>7485</v>
      </c>
      <c r="D6988" s="7" t="s">
        <v>347</v>
      </c>
      <c r="E6988" s="7" t="s">
        <v>154</v>
      </c>
      <c r="F6988" s="39" t="n">
        <v>45978</v>
      </c>
      <c r="G6988" s="41" t="n">
        <v>112.89</v>
      </c>
      <c r="H6988" s="6" t="s">
        <v>182</v>
      </c>
      <c r="I6988" s="7" t="s">
        <v>19787</v>
      </c>
      <c r="J6988" s="8" t="n">
        <f aca="false">IF(I6988="Open",DATE(2025,12,31)-F6988,"-")</f>
        <v>44</v>
      </c>
    </row>
    <row r="6989" customFormat="false" ht="15" hidden="false" customHeight="false" outlineLevel="0" collapsed="false">
      <c r="B6989" s="7" t="s">
        <v>21635</v>
      </c>
      <c r="C6989" s="7" t="s">
        <v>7486</v>
      </c>
      <c r="D6989" s="7" t="s">
        <v>349</v>
      </c>
      <c r="E6989" s="7" t="s">
        <v>154</v>
      </c>
      <c r="F6989" s="39" t="n">
        <v>45978</v>
      </c>
      <c r="G6989" s="41" t="n">
        <v>115.81</v>
      </c>
      <c r="H6989" s="6" t="s">
        <v>182</v>
      </c>
      <c r="I6989" s="7" t="s">
        <v>19787</v>
      </c>
      <c r="J6989" s="8" t="n">
        <f aca="false">IF(I6989="Open",DATE(2025,12,31)-F6989,"-")</f>
        <v>44</v>
      </c>
    </row>
    <row r="6990" customFormat="false" ht="15" hidden="false" customHeight="false" outlineLevel="0" collapsed="false">
      <c r="B6990" s="7" t="s">
        <v>21636</v>
      </c>
      <c r="C6990" s="7" t="s">
        <v>7487</v>
      </c>
      <c r="D6990" s="7" t="s">
        <v>351</v>
      </c>
      <c r="E6990" s="7" t="s">
        <v>154</v>
      </c>
      <c r="F6990" s="39" t="n">
        <v>45978</v>
      </c>
      <c r="G6990" s="41" t="n">
        <v>70.7</v>
      </c>
      <c r="H6990" s="6" t="s">
        <v>182</v>
      </c>
      <c r="I6990" s="7" t="s">
        <v>19787</v>
      </c>
      <c r="J6990" s="8" t="n">
        <f aca="false">IF(I6990="Open",DATE(2025,12,31)-F6990,"-")</f>
        <v>44</v>
      </c>
    </row>
    <row r="6991" customFormat="false" ht="15" hidden="false" customHeight="false" outlineLevel="0" collapsed="false">
      <c r="B6991" s="7" t="s">
        <v>21637</v>
      </c>
      <c r="C6991" s="7" t="s">
        <v>7488</v>
      </c>
      <c r="D6991" s="7" t="s">
        <v>353</v>
      </c>
      <c r="E6991" s="7" t="s">
        <v>154</v>
      </c>
      <c r="F6991" s="39" t="n">
        <v>45978</v>
      </c>
      <c r="G6991" s="41" t="n">
        <v>83.47</v>
      </c>
      <c r="H6991" s="6" t="s">
        <v>182</v>
      </c>
      <c r="I6991" s="7" t="s">
        <v>19787</v>
      </c>
      <c r="J6991" s="8" t="n">
        <f aca="false">IF(I6991="Open",DATE(2025,12,31)-F6991,"-")</f>
        <v>44</v>
      </c>
    </row>
    <row r="6992" customFormat="false" ht="15" hidden="false" customHeight="false" outlineLevel="0" collapsed="false">
      <c r="B6992" s="7" t="s">
        <v>21638</v>
      </c>
      <c r="C6992" s="7" t="s">
        <v>7489</v>
      </c>
      <c r="D6992" s="7" t="s">
        <v>355</v>
      </c>
      <c r="E6992" s="7" t="s">
        <v>154</v>
      </c>
      <c r="F6992" s="39" t="n">
        <v>45978</v>
      </c>
      <c r="G6992" s="41" t="n">
        <v>87.9</v>
      </c>
      <c r="H6992" s="6" t="s">
        <v>182</v>
      </c>
      <c r="I6992" s="7" t="s">
        <v>19787</v>
      </c>
      <c r="J6992" s="8" t="n">
        <f aca="false">IF(I6992="Open",DATE(2025,12,31)-F6992,"-")</f>
        <v>44</v>
      </c>
    </row>
    <row r="6993" customFormat="false" ht="15" hidden="false" customHeight="false" outlineLevel="0" collapsed="false">
      <c r="B6993" s="7" t="s">
        <v>21639</v>
      </c>
      <c r="C6993" s="7" t="s">
        <v>7490</v>
      </c>
      <c r="D6993" s="7" t="s">
        <v>357</v>
      </c>
      <c r="E6993" s="7" t="s">
        <v>154</v>
      </c>
      <c r="F6993" s="39" t="n">
        <v>45978</v>
      </c>
      <c r="G6993" s="41" t="n">
        <v>90.74</v>
      </c>
      <c r="H6993" s="39" t="n">
        <v>46001</v>
      </c>
      <c r="I6993" s="7" t="s">
        <v>14651</v>
      </c>
      <c r="J6993" s="8" t="str">
        <f aca="false">IF(I6993="Open",DATE(2025,12,31)-F6993,"-")</f>
        <v>-</v>
      </c>
    </row>
    <row r="6994" customFormat="false" ht="15" hidden="false" customHeight="false" outlineLevel="0" collapsed="false">
      <c r="B6994" s="7" t="s">
        <v>21640</v>
      </c>
      <c r="C6994" s="7" t="s">
        <v>7491</v>
      </c>
      <c r="D6994" s="7" t="s">
        <v>359</v>
      </c>
      <c r="E6994" s="7" t="s">
        <v>156</v>
      </c>
      <c r="F6994" s="39" t="n">
        <v>45978</v>
      </c>
      <c r="G6994" s="41" t="n">
        <v>139.06</v>
      </c>
      <c r="H6994" s="39" t="n">
        <v>45991</v>
      </c>
      <c r="I6994" s="7" t="s">
        <v>14651</v>
      </c>
      <c r="J6994" s="8" t="str">
        <f aca="false">IF(I6994="Open",DATE(2025,12,31)-F6994,"-")</f>
        <v>-</v>
      </c>
    </row>
    <row r="6995" customFormat="false" ht="15" hidden="false" customHeight="false" outlineLevel="0" collapsed="false">
      <c r="B6995" s="7" t="s">
        <v>21641</v>
      </c>
      <c r="C6995" s="7" t="s">
        <v>7492</v>
      </c>
      <c r="D6995" s="7" t="s">
        <v>363</v>
      </c>
      <c r="E6995" s="7" t="s">
        <v>156</v>
      </c>
      <c r="F6995" s="39" t="n">
        <v>45978</v>
      </c>
      <c r="G6995" s="41" t="n">
        <v>130.56</v>
      </c>
      <c r="H6995" s="39" t="n">
        <v>45983</v>
      </c>
      <c r="I6995" s="7" t="s">
        <v>14651</v>
      </c>
      <c r="J6995" s="8" t="str">
        <f aca="false">IF(I6995="Open",DATE(2025,12,31)-F6995,"-")</f>
        <v>-</v>
      </c>
    </row>
    <row r="6996" customFormat="false" ht="15" hidden="false" customHeight="false" outlineLevel="0" collapsed="false">
      <c r="B6996" s="7" t="s">
        <v>21642</v>
      </c>
      <c r="C6996" s="7" t="s">
        <v>7493</v>
      </c>
      <c r="D6996" s="7" t="s">
        <v>365</v>
      </c>
      <c r="E6996" s="7" t="s">
        <v>154</v>
      </c>
      <c r="F6996" s="39" t="n">
        <v>45978</v>
      </c>
      <c r="G6996" s="41" t="n">
        <v>96.46</v>
      </c>
      <c r="H6996" s="6" t="s">
        <v>182</v>
      </c>
      <c r="I6996" s="7" t="s">
        <v>19787</v>
      </c>
      <c r="J6996" s="8" t="n">
        <f aca="false">IF(I6996="Open",DATE(2025,12,31)-F6996,"-")</f>
        <v>44</v>
      </c>
    </row>
    <row r="6997" customFormat="false" ht="15" hidden="false" customHeight="false" outlineLevel="0" collapsed="false">
      <c r="B6997" s="7" t="s">
        <v>21643</v>
      </c>
      <c r="C6997" s="7" t="s">
        <v>7494</v>
      </c>
      <c r="D6997" s="7" t="s">
        <v>371</v>
      </c>
      <c r="E6997" s="7" t="s">
        <v>154</v>
      </c>
      <c r="F6997" s="39" t="n">
        <v>45978</v>
      </c>
      <c r="G6997" s="41" t="n">
        <v>111.3</v>
      </c>
      <c r="H6997" s="6" t="s">
        <v>182</v>
      </c>
      <c r="I6997" s="7" t="s">
        <v>19787</v>
      </c>
      <c r="J6997" s="8" t="n">
        <f aca="false">IF(I6997="Open",DATE(2025,12,31)-F6997,"-")</f>
        <v>44</v>
      </c>
    </row>
    <row r="6998" customFormat="false" ht="15" hidden="false" customHeight="false" outlineLevel="0" collapsed="false">
      <c r="B6998" s="7" t="s">
        <v>21644</v>
      </c>
      <c r="C6998" s="7" t="s">
        <v>7495</v>
      </c>
      <c r="D6998" s="7" t="s">
        <v>375</v>
      </c>
      <c r="E6998" s="7" t="s">
        <v>156</v>
      </c>
      <c r="F6998" s="39" t="n">
        <v>45978</v>
      </c>
      <c r="G6998" s="41" t="n">
        <v>105.06</v>
      </c>
      <c r="H6998" s="39" t="n">
        <v>45990</v>
      </c>
      <c r="I6998" s="7" t="s">
        <v>14651</v>
      </c>
      <c r="J6998" s="8" t="str">
        <f aca="false">IF(I6998="Open",DATE(2025,12,31)-F6998,"-")</f>
        <v>-</v>
      </c>
    </row>
    <row r="6999" customFormat="false" ht="15" hidden="false" customHeight="false" outlineLevel="0" collapsed="false">
      <c r="B6999" s="7" t="s">
        <v>21645</v>
      </c>
      <c r="C6999" s="7" t="s">
        <v>7496</v>
      </c>
      <c r="D6999" s="7" t="s">
        <v>377</v>
      </c>
      <c r="E6999" s="7" t="s">
        <v>154</v>
      </c>
      <c r="F6999" s="39" t="n">
        <v>45978</v>
      </c>
      <c r="G6999" s="41" t="n">
        <v>96.99</v>
      </c>
      <c r="H6999" s="6" t="s">
        <v>182</v>
      </c>
      <c r="I6999" s="7" t="s">
        <v>19787</v>
      </c>
      <c r="J6999" s="8" t="n">
        <f aca="false">IF(I6999="Open",DATE(2025,12,31)-F6999,"-")</f>
        <v>44</v>
      </c>
    </row>
    <row r="7000" customFormat="false" ht="15" hidden="false" customHeight="false" outlineLevel="0" collapsed="false">
      <c r="B7000" s="7" t="s">
        <v>21646</v>
      </c>
      <c r="C7000" s="7" t="s">
        <v>7497</v>
      </c>
      <c r="D7000" s="7" t="s">
        <v>385</v>
      </c>
      <c r="E7000" s="7" t="s">
        <v>156</v>
      </c>
      <c r="F7000" s="39" t="n">
        <v>45978</v>
      </c>
      <c r="G7000" s="41" t="n">
        <v>123.76</v>
      </c>
      <c r="H7000" s="39" t="n">
        <v>45983</v>
      </c>
      <c r="I7000" s="7" t="s">
        <v>14651</v>
      </c>
      <c r="J7000" s="8" t="str">
        <f aca="false">IF(I7000="Open",DATE(2025,12,31)-F7000,"-")</f>
        <v>-</v>
      </c>
    </row>
    <row r="7001" customFormat="false" ht="15" hidden="false" customHeight="false" outlineLevel="0" collapsed="false">
      <c r="B7001" s="7" t="s">
        <v>21647</v>
      </c>
      <c r="C7001" s="7" t="s">
        <v>7498</v>
      </c>
      <c r="D7001" s="7" t="s">
        <v>387</v>
      </c>
      <c r="E7001" s="7" t="s">
        <v>154</v>
      </c>
      <c r="F7001" s="39" t="n">
        <v>45978</v>
      </c>
      <c r="G7001" s="41" t="n">
        <v>106</v>
      </c>
      <c r="H7001" s="6" t="s">
        <v>182</v>
      </c>
      <c r="I7001" s="7" t="s">
        <v>19787</v>
      </c>
      <c r="J7001" s="8" t="n">
        <f aca="false">IF(I7001="Open",DATE(2025,12,31)-F7001,"-")</f>
        <v>44</v>
      </c>
    </row>
    <row r="7002" customFormat="false" ht="15" hidden="false" customHeight="false" outlineLevel="0" collapsed="false">
      <c r="B7002" s="7" t="s">
        <v>21648</v>
      </c>
      <c r="C7002" s="7" t="s">
        <v>7499</v>
      </c>
      <c r="D7002" s="7" t="s">
        <v>389</v>
      </c>
      <c r="E7002" s="7" t="s">
        <v>154</v>
      </c>
      <c r="F7002" s="39" t="n">
        <v>45978</v>
      </c>
      <c r="G7002" s="41" t="n">
        <v>109.98</v>
      </c>
      <c r="H7002" s="6" t="s">
        <v>182</v>
      </c>
      <c r="I7002" s="7" t="s">
        <v>19787</v>
      </c>
      <c r="J7002" s="8" t="n">
        <f aca="false">IF(I7002="Open",DATE(2025,12,31)-F7002,"-")</f>
        <v>44</v>
      </c>
    </row>
    <row r="7003" customFormat="false" ht="15" hidden="false" customHeight="false" outlineLevel="0" collapsed="false">
      <c r="B7003" s="7" t="s">
        <v>21649</v>
      </c>
      <c r="C7003" s="7" t="s">
        <v>7500</v>
      </c>
      <c r="D7003" s="7" t="s">
        <v>391</v>
      </c>
      <c r="E7003" s="7" t="s">
        <v>156</v>
      </c>
      <c r="F7003" s="39" t="n">
        <v>45978</v>
      </c>
      <c r="G7003" s="41" t="n">
        <v>140.76</v>
      </c>
      <c r="H7003" s="39" t="n">
        <v>45984</v>
      </c>
      <c r="I7003" s="7" t="s">
        <v>14651</v>
      </c>
      <c r="J7003" s="8" t="str">
        <f aca="false">IF(I7003="Open",DATE(2025,12,31)-F7003,"-")</f>
        <v>-</v>
      </c>
    </row>
    <row r="7004" customFormat="false" ht="15" hidden="false" customHeight="false" outlineLevel="0" collapsed="false">
      <c r="B7004" s="7" t="s">
        <v>21650</v>
      </c>
      <c r="C7004" s="7" t="s">
        <v>7501</v>
      </c>
      <c r="D7004" s="7" t="s">
        <v>395</v>
      </c>
      <c r="E7004" s="7" t="s">
        <v>156</v>
      </c>
      <c r="F7004" s="39" t="n">
        <v>45978</v>
      </c>
      <c r="G7004" s="41" t="n">
        <v>130.22</v>
      </c>
      <c r="H7004" s="39" t="n">
        <v>45993</v>
      </c>
      <c r="I7004" s="7" t="s">
        <v>14651</v>
      </c>
      <c r="J7004" s="8" t="str">
        <f aca="false">IF(I7004="Open",DATE(2025,12,31)-F7004,"-")</f>
        <v>-</v>
      </c>
    </row>
    <row r="7005" customFormat="false" ht="15" hidden="false" customHeight="false" outlineLevel="0" collapsed="false">
      <c r="B7005" s="7" t="s">
        <v>21651</v>
      </c>
      <c r="C7005" s="7" t="s">
        <v>7502</v>
      </c>
      <c r="D7005" s="7" t="s">
        <v>399</v>
      </c>
      <c r="E7005" s="7" t="s">
        <v>154</v>
      </c>
      <c r="F7005" s="39" t="n">
        <v>45978</v>
      </c>
      <c r="G7005" s="41" t="n">
        <v>79.69</v>
      </c>
      <c r="H7005" s="6" t="s">
        <v>182</v>
      </c>
      <c r="I7005" s="7" t="s">
        <v>19787</v>
      </c>
      <c r="J7005" s="8" t="n">
        <f aca="false">IF(I7005="Open",DATE(2025,12,31)-F7005,"-")</f>
        <v>44</v>
      </c>
    </row>
    <row r="7006" customFormat="false" ht="15" hidden="false" customHeight="false" outlineLevel="0" collapsed="false">
      <c r="B7006" s="7" t="s">
        <v>21652</v>
      </c>
      <c r="C7006" s="7" t="s">
        <v>7503</v>
      </c>
      <c r="D7006" s="7" t="s">
        <v>401</v>
      </c>
      <c r="E7006" s="7" t="s">
        <v>156</v>
      </c>
      <c r="F7006" s="39" t="n">
        <v>45978</v>
      </c>
      <c r="G7006" s="41" t="n">
        <v>130.9</v>
      </c>
      <c r="H7006" s="39" t="n">
        <v>45991</v>
      </c>
      <c r="I7006" s="7" t="s">
        <v>14651</v>
      </c>
      <c r="J7006" s="8" t="str">
        <f aca="false">IF(I7006="Open",DATE(2025,12,31)-F7006,"-")</f>
        <v>-</v>
      </c>
    </row>
    <row r="7007" customFormat="false" ht="15" hidden="false" customHeight="false" outlineLevel="0" collapsed="false">
      <c r="B7007" s="7" t="s">
        <v>21653</v>
      </c>
      <c r="C7007" s="7" t="s">
        <v>7504</v>
      </c>
      <c r="D7007" s="7" t="s">
        <v>409</v>
      </c>
      <c r="E7007" s="7" t="s">
        <v>154</v>
      </c>
      <c r="F7007" s="39" t="n">
        <v>45978</v>
      </c>
      <c r="G7007" s="41" t="n">
        <v>86.92</v>
      </c>
      <c r="H7007" s="6" t="s">
        <v>182</v>
      </c>
      <c r="I7007" s="7" t="s">
        <v>19787</v>
      </c>
      <c r="J7007" s="8" t="n">
        <f aca="false">IF(I7007="Open",DATE(2025,12,31)-F7007,"-")</f>
        <v>44</v>
      </c>
    </row>
    <row r="7008" customFormat="false" ht="15" hidden="false" customHeight="false" outlineLevel="0" collapsed="false">
      <c r="B7008" s="7" t="s">
        <v>21654</v>
      </c>
      <c r="C7008" s="7" t="s">
        <v>7505</v>
      </c>
      <c r="D7008" s="7" t="s">
        <v>411</v>
      </c>
      <c r="E7008" s="7" t="s">
        <v>154</v>
      </c>
      <c r="F7008" s="39" t="n">
        <v>45978</v>
      </c>
      <c r="G7008" s="41" t="n">
        <v>124.02</v>
      </c>
      <c r="H7008" s="6" t="s">
        <v>182</v>
      </c>
      <c r="I7008" s="7" t="s">
        <v>19787</v>
      </c>
      <c r="J7008" s="8" t="n">
        <f aca="false">IF(I7008="Open",DATE(2025,12,31)-F7008,"-")</f>
        <v>44</v>
      </c>
    </row>
    <row r="7009" customFormat="false" ht="15" hidden="false" customHeight="false" outlineLevel="0" collapsed="false">
      <c r="B7009" s="7" t="s">
        <v>21655</v>
      </c>
      <c r="C7009" s="7" t="s">
        <v>7506</v>
      </c>
      <c r="D7009" s="7" t="s">
        <v>288</v>
      </c>
      <c r="E7009" s="7" t="s">
        <v>156</v>
      </c>
      <c r="F7009" s="39" t="n">
        <v>45979</v>
      </c>
      <c r="G7009" s="41" t="n">
        <v>129.88</v>
      </c>
      <c r="H7009" s="39" t="n">
        <v>45994</v>
      </c>
      <c r="I7009" s="7" t="s">
        <v>14651</v>
      </c>
      <c r="J7009" s="8" t="str">
        <f aca="false">IF(I7009="Open",DATE(2025,12,31)-F7009,"-")</f>
        <v>-</v>
      </c>
    </row>
    <row r="7010" customFormat="false" ht="15" hidden="false" customHeight="false" outlineLevel="0" collapsed="false">
      <c r="B7010" s="7" t="s">
        <v>21656</v>
      </c>
      <c r="C7010" s="7" t="s">
        <v>7507</v>
      </c>
      <c r="D7010" s="7" t="s">
        <v>293</v>
      </c>
      <c r="E7010" s="7" t="s">
        <v>157</v>
      </c>
      <c r="F7010" s="39" t="n">
        <v>45979</v>
      </c>
      <c r="G7010" s="41" t="n">
        <v>181.5</v>
      </c>
      <c r="H7010" s="6" t="s">
        <v>182</v>
      </c>
      <c r="I7010" s="7" t="s">
        <v>19787</v>
      </c>
      <c r="J7010" s="8" t="n">
        <f aca="false">IF(I7010="Open",DATE(2025,12,31)-F7010,"-")</f>
        <v>43</v>
      </c>
    </row>
    <row r="7011" customFormat="false" ht="15" hidden="false" customHeight="false" outlineLevel="0" collapsed="false">
      <c r="B7011" s="7" t="s">
        <v>21657</v>
      </c>
      <c r="C7011" s="7" t="s">
        <v>7508</v>
      </c>
      <c r="D7011" s="7" t="s">
        <v>301</v>
      </c>
      <c r="E7011" s="7" t="s">
        <v>157</v>
      </c>
      <c r="F7011" s="39" t="n">
        <v>45979</v>
      </c>
      <c r="G7011" s="41" t="n">
        <v>150.15</v>
      </c>
      <c r="H7011" s="39" t="n">
        <v>46007</v>
      </c>
      <c r="I7011" s="7" t="s">
        <v>14651</v>
      </c>
      <c r="J7011" s="8" t="str">
        <f aca="false">IF(I7011="Open",DATE(2025,12,31)-F7011,"-")</f>
        <v>-</v>
      </c>
    </row>
    <row r="7012" customFormat="false" ht="15" hidden="false" customHeight="false" outlineLevel="0" collapsed="false">
      <c r="B7012" s="7" t="s">
        <v>21658</v>
      </c>
      <c r="C7012" s="7" t="s">
        <v>7509</v>
      </c>
      <c r="D7012" s="7" t="s">
        <v>313</v>
      </c>
      <c r="E7012" s="7" t="s">
        <v>156</v>
      </c>
      <c r="F7012" s="39" t="n">
        <v>45979</v>
      </c>
      <c r="G7012" s="41" t="n">
        <v>125.12</v>
      </c>
      <c r="H7012" s="39" t="n">
        <v>45997</v>
      </c>
      <c r="I7012" s="7" t="s">
        <v>14651</v>
      </c>
      <c r="J7012" s="8" t="str">
        <f aca="false">IF(I7012="Open",DATE(2025,12,31)-F7012,"-")</f>
        <v>-</v>
      </c>
    </row>
    <row r="7013" customFormat="false" ht="15" hidden="false" customHeight="false" outlineLevel="0" collapsed="false">
      <c r="B7013" s="7" t="s">
        <v>21659</v>
      </c>
      <c r="C7013" s="7" t="s">
        <v>7510</v>
      </c>
      <c r="D7013" s="7" t="s">
        <v>319</v>
      </c>
      <c r="E7013" s="7" t="s">
        <v>157</v>
      </c>
      <c r="F7013" s="39" t="n">
        <v>45979</v>
      </c>
      <c r="G7013" s="41" t="n">
        <v>150.15</v>
      </c>
      <c r="H7013" s="39" t="n">
        <v>46009</v>
      </c>
      <c r="I7013" s="7" t="s">
        <v>14651</v>
      </c>
      <c r="J7013" s="8" t="str">
        <f aca="false">IF(I7013="Open",DATE(2025,12,31)-F7013,"-")</f>
        <v>-</v>
      </c>
    </row>
    <row r="7014" customFormat="false" ht="15" hidden="false" customHeight="false" outlineLevel="0" collapsed="false">
      <c r="B7014" s="7" t="s">
        <v>21660</v>
      </c>
      <c r="C7014" s="7" t="s">
        <v>7511</v>
      </c>
      <c r="D7014" s="7" t="s">
        <v>321</v>
      </c>
      <c r="E7014" s="7" t="s">
        <v>154</v>
      </c>
      <c r="F7014" s="39" t="n">
        <v>45979</v>
      </c>
      <c r="G7014" s="41" t="n">
        <v>100.7</v>
      </c>
      <c r="H7014" s="6" t="s">
        <v>182</v>
      </c>
      <c r="I7014" s="7" t="s">
        <v>19787</v>
      </c>
      <c r="J7014" s="8" t="n">
        <f aca="false">IF(I7014="Open",DATE(2025,12,31)-F7014,"-")</f>
        <v>43</v>
      </c>
    </row>
    <row r="7015" customFormat="false" ht="15" hidden="false" customHeight="false" outlineLevel="0" collapsed="false">
      <c r="B7015" s="7" t="s">
        <v>21661</v>
      </c>
      <c r="C7015" s="7" t="s">
        <v>7512</v>
      </c>
      <c r="D7015" s="7" t="s">
        <v>323</v>
      </c>
      <c r="E7015" s="7" t="s">
        <v>159</v>
      </c>
      <c r="F7015" s="39" t="n">
        <v>45979</v>
      </c>
      <c r="G7015" s="41" t="n">
        <v>124.2</v>
      </c>
      <c r="H7015" s="39" t="n">
        <v>46010</v>
      </c>
      <c r="I7015" s="7" t="s">
        <v>14651</v>
      </c>
      <c r="J7015" s="8" t="str">
        <f aca="false">IF(I7015="Open",DATE(2025,12,31)-F7015,"-")</f>
        <v>-</v>
      </c>
    </row>
    <row r="7016" customFormat="false" ht="15" hidden="false" customHeight="false" outlineLevel="0" collapsed="false">
      <c r="B7016" s="7" t="s">
        <v>21662</v>
      </c>
      <c r="C7016" s="7" t="s">
        <v>7513</v>
      </c>
      <c r="D7016" s="7" t="s">
        <v>327</v>
      </c>
      <c r="E7016" s="7" t="s">
        <v>157</v>
      </c>
      <c r="F7016" s="39" t="n">
        <v>45979</v>
      </c>
      <c r="G7016" s="41" t="n">
        <v>156.75</v>
      </c>
      <c r="H7016" s="39" t="n">
        <v>46021</v>
      </c>
      <c r="I7016" s="7" t="s">
        <v>14651</v>
      </c>
      <c r="J7016" s="8" t="str">
        <f aca="false">IF(I7016="Open",DATE(2025,12,31)-F7016,"-")</f>
        <v>-</v>
      </c>
    </row>
    <row r="7017" customFormat="false" ht="15" hidden="false" customHeight="false" outlineLevel="0" collapsed="false">
      <c r="B7017" s="7" t="s">
        <v>21663</v>
      </c>
      <c r="C7017" s="7" t="s">
        <v>7514</v>
      </c>
      <c r="D7017" s="7" t="s">
        <v>329</v>
      </c>
      <c r="E7017" s="7" t="s">
        <v>156</v>
      </c>
      <c r="F7017" s="39" t="n">
        <v>45979</v>
      </c>
      <c r="G7017" s="41" t="n">
        <v>128.18</v>
      </c>
      <c r="H7017" s="39" t="n">
        <v>46002</v>
      </c>
      <c r="I7017" s="7" t="s">
        <v>14651</v>
      </c>
      <c r="J7017" s="8" t="str">
        <f aca="false">IF(I7017="Open",DATE(2025,12,31)-F7017,"-")</f>
        <v>-</v>
      </c>
    </row>
    <row r="7018" customFormat="false" ht="15" hidden="false" customHeight="false" outlineLevel="0" collapsed="false">
      <c r="B7018" s="7" t="s">
        <v>21664</v>
      </c>
      <c r="C7018" s="7" t="s">
        <v>7515</v>
      </c>
      <c r="D7018" s="7" t="s">
        <v>349</v>
      </c>
      <c r="E7018" s="7" t="s">
        <v>154</v>
      </c>
      <c r="F7018" s="39" t="n">
        <v>45979</v>
      </c>
      <c r="G7018" s="41" t="n">
        <v>102.56</v>
      </c>
      <c r="H7018" s="6" t="s">
        <v>182</v>
      </c>
      <c r="I7018" s="7" t="s">
        <v>19787</v>
      </c>
      <c r="J7018" s="8" t="n">
        <f aca="false">IF(I7018="Open",DATE(2025,12,31)-F7018,"-")</f>
        <v>43</v>
      </c>
    </row>
    <row r="7019" customFormat="false" ht="15" hidden="false" customHeight="false" outlineLevel="0" collapsed="false">
      <c r="B7019" s="7" t="s">
        <v>21665</v>
      </c>
      <c r="C7019" s="7" t="s">
        <v>7516</v>
      </c>
      <c r="D7019" s="7" t="s">
        <v>359</v>
      </c>
      <c r="E7019" s="7" t="s">
        <v>156</v>
      </c>
      <c r="F7019" s="39" t="n">
        <v>45979</v>
      </c>
      <c r="G7019" s="41" t="n">
        <v>131.58</v>
      </c>
      <c r="H7019" s="39" t="n">
        <v>45983</v>
      </c>
      <c r="I7019" s="7" t="s">
        <v>14651</v>
      </c>
      <c r="J7019" s="8" t="str">
        <f aca="false">IF(I7019="Open",DATE(2025,12,31)-F7019,"-")</f>
        <v>-</v>
      </c>
    </row>
    <row r="7020" customFormat="false" ht="15" hidden="false" customHeight="false" outlineLevel="0" collapsed="false">
      <c r="B7020" s="7" t="s">
        <v>21666</v>
      </c>
      <c r="C7020" s="7" t="s">
        <v>7517</v>
      </c>
      <c r="D7020" s="7" t="s">
        <v>361</v>
      </c>
      <c r="E7020" s="7" t="s">
        <v>157</v>
      </c>
      <c r="F7020" s="39" t="n">
        <v>45979</v>
      </c>
      <c r="G7020" s="41" t="n">
        <v>158.4</v>
      </c>
      <c r="H7020" s="6" t="s">
        <v>182</v>
      </c>
      <c r="I7020" s="7" t="s">
        <v>19787</v>
      </c>
      <c r="J7020" s="8" t="n">
        <f aca="false">IF(I7020="Open",DATE(2025,12,31)-F7020,"-")</f>
        <v>43</v>
      </c>
    </row>
    <row r="7021" customFormat="false" ht="15" hidden="false" customHeight="false" outlineLevel="0" collapsed="false">
      <c r="B7021" s="7" t="s">
        <v>21667</v>
      </c>
      <c r="C7021" s="7" t="s">
        <v>7518</v>
      </c>
      <c r="D7021" s="7" t="s">
        <v>369</v>
      </c>
      <c r="E7021" s="7" t="s">
        <v>159</v>
      </c>
      <c r="F7021" s="39" t="n">
        <v>45979</v>
      </c>
      <c r="G7021" s="41" t="n">
        <v>137.7</v>
      </c>
      <c r="H7021" s="39" t="n">
        <v>46012</v>
      </c>
      <c r="I7021" s="7" t="s">
        <v>14651</v>
      </c>
      <c r="J7021" s="8" t="str">
        <f aca="false">IF(I7021="Open",DATE(2025,12,31)-F7021,"-")</f>
        <v>-</v>
      </c>
    </row>
    <row r="7022" customFormat="false" ht="15" hidden="false" customHeight="false" outlineLevel="0" collapsed="false">
      <c r="B7022" s="7" t="s">
        <v>21668</v>
      </c>
      <c r="C7022" s="7" t="s">
        <v>7519</v>
      </c>
      <c r="D7022" s="7" t="s">
        <v>381</v>
      </c>
      <c r="E7022" s="7" t="s">
        <v>157</v>
      </c>
      <c r="F7022" s="39" t="n">
        <v>45979</v>
      </c>
      <c r="G7022" s="41" t="n">
        <v>153.45</v>
      </c>
      <c r="H7022" s="39" t="n">
        <v>46004</v>
      </c>
      <c r="I7022" s="7" t="s">
        <v>14651</v>
      </c>
      <c r="J7022" s="8" t="str">
        <f aca="false">IF(I7022="Open",DATE(2025,12,31)-F7022,"-")</f>
        <v>-</v>
      </c>
    </row>
    <row r="7023" customFormat="false" ht="15" hidden="false" customHeight="false" outlineLevel="0" collapsed="false">
      <c r="B7023" s="7" t="s">
        <v>21669</v>
      </c>
      <c r="C7023" s="7" t="s">
        <v>7520</v>
      </c>
      <c r="D7023" s="7" t="s">
        <v>383</v>
      </c>
      <c r="E7023" s="7" t="s">
        <v>157</v>
      </c>
      <c r="F7023" s="39" t="n">
        <v>45979</v>
      </c>
      <c r="G7023" s="41" t="n">
        <v>179.85</v>
      </c>
      <c r="H7023" s="6" t="s">
        <v>182</v>
      </c>
      <c r="I7023" s="7" t="s">
        <v>19787</v>
      </c>
      <c r="J7023" s="8" t="n">
        <f aca="false">IF(I7023="Open",DATE(2025,12,31)-F7023,"-")</f>
        <v>43</v>
      </c>
    </row>
    <row r="7024" customFormat="false" ht="15" hidden="false" customHeight="false" outlineLevel="0" collapsed="false">
      <c r="B7024" s="7" t="s">
        <v>21670</v>
      </c>
      <c r="C7024" s="7" t="s">
        <v>7521</v>
      </c>
      <c r="D7024" s="7" t="s">
        <v>387</v>
      </c>
      <c r="E7024" s="7" t="s">
        <v>154</v>
      </c>
      <c r="F7024" s="39" t="n">
        <v>45979</v>
      </c>
      <c r="G7024" s="41" t="n">
        <v>108.92</v>
      </c>
      <c r="H7024" s="6" t="s">
        <v>182</v>
      </c>
      <c r="I7024" s="7" t="s">
        <v>19787</v>
      </c>
      <c r="J7024" s="8" t="n">
        <f aca="false">IF(I7024="Open",DATE(2025,12,31)-F7024,"-")</f>
        <v>43</v>
      </c>
    </row>
    <row r="7025" customFormat="false" ht="15" hidden="false" customHeight="false" outlineLevel="0" collapsed="false">
      <c r="B7025" s="7" t="s">
        <v>21671</v>
      </c>
      <c r="C7025" s="7" t="s">
        <v>7522</v>
      </c>
      <c r="D7025" s="7" t="s">
        <v>389</v>
      </c>
      <c r="E7025" s="7" t="s">
        <v>154</v>
      </c>
      <c r="F7025" s="39" t="n">
        <v>45979</v>
      </c>
      <c r="G7025" s="41" t="n">
        <v>112.89</v>
      </c>
      <c r="H7025" s="6" t="s">
        <v>182</v>
      </c>
      <c r="I7025" s="7" t="s">
        <v>19787</v>
      </c>
      <c r="J7025" s="8" t="n">
        <f aca="false">IF(I7025="Open",DATE(2025,12,31)-F7025,"-")</f>
        <v>43</v>
      </c>
    </row>
    <row r="7026" customFormat="false" ht="15" hidden="false" customHeight="false" outlineLevel="0" collapsed="false">
      <c r="B7026" s="7" t="s">
        <v>21672</v>
      </c>
      <c r="C7026" s="7" t="s">
        <v>7523</v>
      </c>
      <c r="D7026" s="7" t="s">
        <v>391</v>
      </c>
      <c r="E7026" s="7" t="s">
        <v>156</v>
      </c>
      <c r="F7026" s="39" t="n">
        <v>45979</v>
      </c>
      <c r="G7026" s="41" t="n">
        <v>139.74</v>
      </c>
      <c r="H7026" s="39" t="n">
        <v>45991</v>
      </c>
      <c r="I7026" s="7" t="s">
        <v>14651</v>
      </c>
      <c r="J7026" s="8" t="str">
        <f aca="false">IF(I7026="Open",DATE(2025,12,31)-F7026,"-")</f>
        <v>-</v>
      </c>
    </row>
    <row r="7027" customFormat="false" ht="15" hidden="false" customHeight="false" outlineLevel="0" collapsed="false">
      <c r="B7027" s="7" t="s">
        <v>21673</v>
      </c>
      <c r="C7027" s="7" t="s">
        <v>7524</v>
      </c>
      <c r="D7027" s="7" t="s">
        <v>395</v>
      </c>
      <c r="E7027" s="7" t="s">
        <v>156</v>
      </c>
      <c r="F7027" s="39" t="n">
        <v>45979</v>
      </c>
      <c r="G7027" s="41" t="n">
        <v>144.84</v>
      </c>
      <c r="H7027" s="39" t="n">
        <v>45988</v>
      </c>
      <c r="I7027" s="7" t="s">
        <v>14651</v>
      </c>
      <c r="J7027" s="8" t="str">
        <f aca="false">IF(I7027="Open",DATE(2025,12,31)-F7027,"-")</f>
        <v>-</v>
      </c>
    </row>
    <row r="7028" customFormat="false" ht="15" hidden="false" customHeight="false" outlineLevel="0" collapsed="false">
      <c r="B7028" s="7" t="s">
        <v>21674</v>
      </c>
      <c r="C7028" s="7" t="s">
        <v>7525</v>
      </c>
      <c r="D7028" s="7" t="s">
        <v>397</v>
      </c>
      <c r="E7028" s="7" t="s">
        <v>159</v>
      </c>
      <c r="F7028" s="39" t="n">
        <v>45979</v>
      </c>
      <c r="G7028" s="41" t="n">
        <v>124.2</v>
      </c>
      <c r="H7028" s="39" t="n">
        <v>45994</v>
      </c>
      <c r="I7028" s="7" t="s">
        <v>14651</v>
      </c>
      <c r="J7028" s="8" t="str">
        <f aca="false">IF(I7028="Open",DATE(2025,12,31)-F7028,"-")</f>
        <v>-</v>
      </c>
    </row>
    <row r="7029" customFormat="false" ht="15" hidden="false" customHeight="false" outlineLevel="0" collapsed="false">
      <c r="B7029" s="7" t="s">
        <v>21675</v>
      </c>
      <c r="C7029" s="7" t="s">
        <v>7526</v>
      </c>
      <c r="D7029" s="7" t="s">
        <v>401</v>
      </c>
      <c r="E7029" s="7" t="s">
        <v>156</v>
      </c>
      <c r="F7029" s="39" t="n">
        <v>45979</v>
      </c>
      <c r="G7029" s="41" t="n">
        <v>149.26</v>
      </c>
      <c r="H7029" s="39" t="n">
        <v>45992</v>
      </c>
      <c r="I7029" s="7" t="s">
        <v>14651</v>
      </c>
      <c r="J7029" s="8" t="str">
        <f aca="false">IF(I7029="Open",DATE(2025,12,31)-F7029,"-")</f>
        <v>-</v>
      </c>
    </row>
    <row r="7030" customFormat="false" ht="15" hidden="false" customHeight="false" outlineLevel="0" collapsed="false">
      <c r="B7030" s="7" t="s">
        <v>21676</v>
      </c>
      <c r="C7030" s="7" t="s">
        <v>7527</v>
      </c>
      <c r="D7030" s="7" t="s">
        <v>407</v>
      </c>
      <c r="E7030" s="7" t="s">
        <v>159</v>
      </c>
      <c r="F7030" s="39" t="n">
        <v>45979</v>
      </c>
      <c r="G7030" s="41" t="n">
        <v>136.35</v>
      </c>
      <c r="H7030" s="6" t="s">
        <v>182</v>
      </c>
      <c r="I7030" s="7" t="s">
        <v>19787</v>
      </c>
      <c r="J7030" s="8" t="n">
        <f aca="false">IF(I7030="Open",DATE(2025,12,31)-F7030,"-")</f>
        <v>43</v>
      </c>
    </row>
    <row r="7031" customFormat="false" ht="15" hidden="false" customHeight="false" outlineLevel="0" collapsed="false">
      <c r="B7031" s="7" t="s">
        <v>21677</v>
      </c>
      <c r="C7031" s="7" t="s">
        <v>7528</v>
      </c>
      <c r="D7031" s="7" t="s">
        <v>288</v>
      </c>
      <c r="E7031" s="7" t="s">
        <v>156</v>
      </c>
      <c r="F7031" s="39" t="n">
        <v>45980</v>
      </c>
      <c r="G7031" s="41" t="n">
        <v>146.88</v>
      </c>
      <c r="H7031" s="39" t="n">
        <v>46001</v>
      </c>
      <c r="I7031" s="7" t="s">
        <v>14651</v>
      </c>
      <c r="J7031" s="8" t="str">
        <f aca="false">IF(I7031="Open",DATE(2025,12,31)-F7031,"-")</f>
        <v>-</v>
      </c>
    </row>
    <row r="7032" customFormat="false" ht="15" hidden="false" customHeight="false" outlineLevel="0" collapsed="false">
      <c r="B7032" s="7" t="s">
        <v>21678</v>
      </c>
      <c r="C7032" s="7" t="s">
        <v>7529</v>
      </c>
      <c r="D7032" s="7" t="s">
        <v>291</v>
      </c>
      <c r="E7032" s="7" t="s">
        <v>154</v>
      </c>
      <c r="F7032" s="39" t="n">
        <v>45980</v>
      </c>
      <c r="G7032" s="41" t="n">
        <v>132.76</v>
      </c>
      <c r="H7032" s="6" t="s">
        <v>182</v>
      </c>
      <c r="I7032" s="7" t="s">
        <v>19787</v>
      </c>
      <c r="J7032" s="8" t="n">
        <f aca="false">IF(I7032="Open",DATE(2025,12,31)-F7032,"-")</f>
        <v>42</v>
      </c>
    </row>
    <row r="7033" customFormat="false" ht="15" hidden="false" customHeight="false" outlineLevel="0" collapsed="false">
      <c r="B7033" s="7" t="s">
        <v>21679</v>
      </c>
      <c r="C7033" s="7" t="s">
        <v>7530</v>
      </c>
      <c r="D7033" s="7" t="s">
        <v>295</v>
      </c>
      <c r="E7033" s="7" t="s">
        <v>154</v>
      </c>
      <c r="F7033" s="39" t="n">
        <v>45980</v>
      </c>
      <c r="G7033" s="41" t="n">
        <v>104.15</v>
      </c>
      <c r="H7033" s="39" t="n">
        <v>46018</v>
      </c>
      <c r="I7033" s="7" t="s">
        <v>14651</v>
      </c>
      <c r="J7033" s="8" t="str">
        <f aca="false">IF(I7033="Open",DATE(2025,12,31)-F7033,"-")</f>
        <v>-</v>
      </c>
    </row>
    <row r="7034" customFormat="false" ht="15" hidden="false" customHeight="false" outlineLevel="0" collapsed="false">
      <c r="B7034" s="7" t="s">
        <v>21680</v>
      </c>
      <c r="C7034" s="7" t="s">
        <v>7531</v>
      </c>
      <c r="D7034" s="7" t="s">
        <v>305</v>
      </c>
      <c r="E7034" s="7" t="s">
        <v>154</v>
      </c>
      <c r="F7034" s="39" t="n">
        <v>45980</v>
      </c>
      <c r="G7034" s="41" t="n">
        <v>112.1</v>
      </c>
      <c r="H7034" s="6" t="s">
        <v>182</v>
      </c>
      <c r="I7034" s="7" t="s">
        <v>19787</v>
      </c>
      <c r="J7034" s="8" t="n">
        <f aca="false">IF(I7034="Open",DATE(2025,12,31)-F7034,"-")</f>
        <v>42</v>
      </c>
    </row>
    <row r="7035" customFormat="false" ht="15" hidden="false" customHeight="false" outlineLevel="0" collapsed="false">
      <c r="B7035" s="7" t="s">
        <v>21681</v>
      </c>
      <c r="C7035" s="7" t="s">
        <v>7532</v>
      </c>
      <c r="D7035" s="7" t="s">
        <v>307</v>
      </c>
      <c r="E7035" s="7" t="s">
        <v>157</v>
      </c>
      <c r="F7035" s="39" t="n">
        <v>45980</v>
      </c>
      <c r="G7035" s="41" t="n">
        <v>176.55</v>
      </c>
      <c r="H7035" s="39" t="n">
        <v>46010</v>
      </c>
      <c r="I7035" s="7" t="s">
        <v>14651</v>
      </c>
      <c r="J7035" s="8" t="str">
        <f aca="false">IF(I7035="Open",DATE(2025,12,31)-F7035,"-")</f>
        <v>-</v>
      </c>
    </row>
    <row r="7036" customFormat="false" ht="15" hidden="false" customHeight="false" outlineLevel="0" collapsed="false">
      <c r="B7036" s="7" t="s">
        <v>21682</v>
      </c>
      <c r="C7036" s="7" t="s">
        <v>7533</v>
      </c>
      <c r="D7036" s="7" t="s">
        <v>309</v>
      </c>
      <c r="E7036" s="7" t="s">
        <v>159</v>
      </c>
      <c r="F7036" s="39" t="n">
        <v>45980</v>
      </c>
      <c r="G7036" s="41" t="n">
        <v>145.8</v>
      </c>
      <c r="H7036" s="6" t="s">
        <v>182</v>
      </c>
      <c r="I7036" s="7" t="s">
        <v>19787</v>
      </c>
      <c r="J7036" s="8" t="n">
        <f aca="false">IF(I7036="Open",DATE(2025,12,31)-F7036,"-")</f>
        <v>42</v>
      </c>
    </row>
    <row r="7037" customFormat="false" ht="15" hidden="false" customHeight="false" outlineLevel="0" collapsed="false">
      <c r="B7037" s="7" t="s">
        <v>21683</v>
      </c>
      <c r="C7037" s="7" t="s">
        <v>7534</v>
      </c>
      <c r="D7037" s="7" t="s">
        <v>313</v>
      </c>
      <c r="E7037" s="7" t="s">
        <v>156</v>
      </c>
      <c r="F7037" s="39" t="n">
        <v>45980</v>
      </c>
      <c r="G7037" s="41" t="n">
        <v>147.56</v>
      </c>
      <c r="H7037" s="39" t="n">
        <v>45994</v>
      </c>
      <c r="I7037" s="7" t="s">
        <v>14651</v>
      </c>
      <c r="J7037" s="8" t="str">
        <f aca="false">IF(I7037="Open",DATE(2025,12,31)-F7037,"-")</f>
        <v>-</v>
      </c>
    </row>
    <row r="7038" customFormat="false" ht="15" hidden="false" customHeight="false" outlineLevel="0" collapsed="false">
      <c r="B7038" s="7" t="s">
        <v>21684</v>
      </c>
      <c r="C7038" s="7" t="s">
        <v>7535</v>
      </c>
      <c r="D7038" s="7" t="s">
        <v>315</v>
      </c>
      <c r="E7038" s="7" t="s">
        <v>159</v>
      </c>
      <c r="F7038" s="39" t="n">
        <v>45980</v>
      </c>
      <c r="G7038" s="41" t="n">
        <v>139.05</v>
      </c>
      <c r="H7038" s="6" t="s">
        <v>182</v>
      </c>
      <c r="I7038" s="7" t="s">
        <v>19787</v>
      </c>
      <c r="J7038" s="8" t="n">
        <f aca="false">IF(I7038="Open",DATE(2025,12,31)-F7038,"-")</f>
        <v>42</v>
      </c>
    </row>
    <row r="7039" customFormat="false" ht="15" hidden="false" customHeight="false" outlineLevel="0" collapsed="false">
      <c r="B7039" s="7" t="s">
        <v>21685</v>
      </c>
      <c r="C7039" s="7" t="s">
        <v>7536</v>
      </c>
      <c r="D7039" s="7" t="s">
        <v>321</v>
      </c>
      <c r="E7039" s="7" t="s">
        <v>154</v>
      </c>
      <c r="F7039" s="39" t="n">
        <v>45980</v>
      </c>
      <c r="G7039" s="41" t="n">
        <v>110.24</v>
      </c>
      <c r="H7039" s="39" t="n">
        <v>46021</v>
      </c>
      <c r="I7039" s="7" t="s">
        <v>14651</v>
      </c>
      <c r="J7039" s="8" t="str">
        <f aca="false">IF(I7039="Open",DATE(2025,12,31)-F7039,"-")</f>
        <v>-</v>
      </c>
    </row>
    <row r="7040" customFormat="false" ht="15" hidden="false" customHeight="false" outlineLevel="0" collapsed="false">
      <c r="B7040" s="7" t="s">
        <v>21686</v>
      </c>
      <c r="C7040" s="7" t="s">
        <v>7537</v>
      </c>
      <c r="D7040" s="7" t="s">
        <v>329</v>
      </c>
      <c r="E7040" s="7" t="s">
        <v>156</v>
      </c>
      <c r="F7040" s="39" t="n">
        <v>45980</v>
      </c>
      <c r="G7040" s="41" t="n">
        <v>143.14</v>
      </c>
      <c r="H7040" s="39" t="n">
        <v>45992</v>
      </c>
      <c r="I7040" s="7" t="s">
        <v>14651</v>
      </c>
      <c r="J7040" s="8" t="str">
        <f aca="false">IF(I7040="Open",DATE(2025,12,31)-F7040,"-")</f>
        <v>-</v>
      </c>
    </row>
    <row r="7041" customFormat="false" ht="15" hidden="false" customHeight="false" outlineLevel="0" collapsed="false">
      <c r="B7041" s="7" t="s">
        <v>21687</v>
      </c>
      <c r="C7041" s="7" t="s">
        <v>7538</v>
      </c>
      <c r="D7041" s="7" t="s">
        <v>333</v>
      </c>
      <c r="E7041" s="7" t="s">
        <v>154</v>
      </c>
      <c r="F7041" s="39" t="n">
        <v>45980</v>
      </c>
      <c r="G7041" s="41" t="n">
        <v>95.13</v>
      </c>
      <c r="H7041" s="6" t="s">
        <v>182</v>
      </c>
      <c r="I7041" s="7" t="s">
        <v>19787</v>
      </c>
      <c r="J7041" s="8" t="n">
        <f aca="false">IF(I7041="Open",DATE(2025,12,31)-F7041,"-")</f>
        <v>42</v>
      </c>
    </row>
    <row r="7042" customFormat="false" ht="15" hidden="false" customHeight="false" outlineLevel="0" collapsed="false">
      <c r="B7042" s="7" t="s">
        <v>21688</v>
      </c>
      <c r="C7042" s="7" t="s">
        <v>7539</v>
      </c>
      <c r="D7042" s="7" t="s">
        <v>335</v>
      </c>
      <c r="E7042" s="7" t="s">
        <v>154</v>
      </c>
      <c r="F7042" s="39" t="n">
        <v>45980</v>
      </c>
      <c r="G7042" s="41" t="n">
        <v>99.64</v>
      </c>
      <c r="H7042" s="6" t="s">
        <v>182</v>
      </c>
      <c r="I7042" s="7" t="s">
        <v>19787</v>
      </c>
      <c r="J7042" s="8" t="n">
        <f aca="false">IF(I7042="Open",DATE(2025,12,31)-F7042,"-")</f>
        <v>42</v>
      </c>
    </row>
    <row r="7043" customFormat="false" ht="15" hidden="false" customHeight="false" outlineLevel="0" collapsed="false">
      <c r="B7043" s="7" t="s">
        <v>21689</v>
      </c>
      <c r="C7043" s="7" t="s">
        <v>7540</v>
      </c>
      <c r="D7043" s="7" t="s">
        <v>339</v>
      </c>
      <c r="E7043" s="7" t="s">
        <v>154</v>
      </c>
      <c r="F7043" s="39" t="n">
        <v>45980</v>
      </c>
      <c r="G7043" s="41" t="n">
        <v>86.39</v>
      </c>
      <c r="H7043" s="6" t="s">
        <v>182</v>
      </c>
      <c r="I7043" s="7" t="s">
        <v>19787</v>
      </c>
      <c r="J7043" s="8" t="n">
        <f aca="false">IF(I7043="Open",DATE(2025,12,31)-F7043,"-")</f>
        <v>42</v>
      </c>
    </row>
    <row r="7044" customFormat="false" ht="15" hidden="false" customHeight="false" outlineLevel="0" collapsed="false">
      <c r="B7044" s="7" t="s">
        <v>21690</v>
      </c>
      <c r="C7044" s="7" t="s">
        <v>7541</v>
      </c>
      <c r="D7044" s="7" t="s">
        <v>347</v>
      </c>
      <c r="E7044" s="7" t="s">
        <v>154</v>
      </c>
      <c r="F7044" s="39" t="n">
        <v>45980</v>
      </c>
      <c r="G7044" s="41" t="n">
        <v>113.95</v>
      </c>
      <c r="H7044" s="6" t="s">
        <v>182</v>
      </c>
      <c r="I7044" s="7" t="s">
        <v>19787</v>
      </c>
      <c r="J7044" s="8" t="n">
        <f aca="false">IF(I7044="Open",DATE(2025,12,31)-F7044,"-")</f>
        <v>42</v>
      </c>
    </row>
    <row r="7045" customFormat="false" ht="15" hidden="false" customHeight="false" outlineLevel="0" collapsed="false">
      <c r="B7045" s="7" t="s">
        <v>21691</v>
      </c>
      <c r="C7045" s="7" t="s">
        <v>7542</v>
      </c>
      <c r="D7045" s="7" t="s">
        <v>349</v>
      </c>
      <c r="E7045" s="7" t="s">
        <v>154</v>
      </c>
      <c r="F7045" s="39" t="n">
        <v>45980</v>
      </c>
      <c r="G7045" s="41" t="n">
        <v>105.2</v>
      </c>
      <c r="H7045" s="39" t="n">
        <v>46021</v>
      </c>
      <c r="I7045" s="7" t="s">
        <v>14651</v>
      </c>
      <c r="J7045" s="8" t="str">
        <f aca="false">IF(I7045="Open",DATE(2025,12,31)-F7045,"-")</f>
        <v>-</v>
      </c>
    </row>
    <row r="7046" customFormat="false" ht="15" hidden="false" customHeight="false" outlineLevel="0" collapsed="false">
      <c r="B7046" s="7" t="s">
        <v>21692</v>
      </c>
      <c r="C7046" s="7" t="s">
        <v>7543</v>
      </c>
      <c r="D7046" s="7" t="s">
        <v>353</v>
      </c>
      <c r="E7046" s="7" t="s">
        <v>154</v>
      </c>
      <c r="F7046" s="39" t="n">
        <v>45980</v>
      </c>
      <c r="G7046" s="41" t="n">
        <v>96.19</v>
      </c>
      <c r="H7046" s="6" t="s">
        <v>182</v>
      </c>
      <c r="I7046" s="7" t="s">
        <v>19787</v>
      </c>
      <c r="J7046" s="8" t="n">
        <f aca="false">IF(I7046="Open",DATE(2025,12,31)-F7046,"-")</f>
        <v>42</v>
      </c>
    </row>
    <row r="7047" customFormat="false" ht="15" hidden="false" customHeight="false" outlineLevel="0" collapsed="false">
      <c r="B7047" s="7" t="s">
        <v>21693</v>
      </c>
      <c r="C7047" s="7" t="s">
        <v>7544</v>
      </c>
      <c r="D7047" s="7" t="s">
        <v>355</v>
      </c>
      <c r="E7047" s="7" t="s">
        <v>154</v>
      </c>
      <c r="F7047" s="39" t="n">
        <v>45980</v>
      </c>
      <c r="G7047" s="41" t="n">
        <v>83.47</v>
      </c>
      <c r="H7047" s="6" t="s">
        <v>182</v>
      </c>
      <c r="I7047" s="7" t="s">
        <v>19787</v>
      </c>
      <c r="J7047" s="8" t="n">
        <f aca="false">IF(I7047="Open",DATE(2025,12,31)-F7047,"-")</f>
        <v>42</v>
      </c>
    </row>
    <row r="7048" customFormat="false" ht="15" hidden="false" customHeight="false" outlineLevel="0" collapsed="false">
      <c r="B7048" s="7" t="s">
        <v>21694</v>
      </c>
      <c r="C7048" s="7" t="s">
        <v>7545</v>
      </c>
      <c r="D7048" s="7" t="s">
        <v>357</v>
      </c>
      <c r="E7048" s="7" t="s">
        <v>154</v>
      </c>
      <c r="F7048" s="39" t="n">
        <v>45980</v>
      </c>
      <c r="G7048" s="41" t="n">
        <v>84.53</v>
      </c>
      <c r="H7048" s="6" t="s">
        <v>182</v>
      </c>
      <c r="I7048" s="7" t="s">
        <v>19787</v>
      </c>
      <c r="J7048" s="8" t="n">
        <f aca="false">IF(I7048="Open",DATE(2025,12,31)-F7048,"-")</f>
        <v>42</v>
      </c>
    </row>
    <row r="7049" customFormat="false" ht="15" hidden="false" customHeight="false" outlineLevel="0" collapsed="false">
      <c r="B7049" s="7" t="s">
        <v>21695</v>
      </c>
      <c r="C7049" s="7" t="s">
        <v>7546</v>
      </c>
      <c r="D7049" s="7" t="s">
        <v>359</v>
      </c>
      <c r="E7049" s="7" t="s">
        <v>156</v>
      </c>
      <c r="F7049" s="39" t="n">
        <v>45980</v>
      </c>
      <c r="G7049" s="41" t="n">
        <v>129.2</v>
      </c>
      <c r="H7049" s="39" t="n">
        <v>45997</v>
      </c>
      <c r="I7049" s="7" t="s">
        <v>14651</v>
      </c>
      <c r="J7049" s="8" t="str">
        <f aca="false">IF(I7049="Open",DATE(2025,12,31)-F7049,"-")</f>
        <v>-</v>
      </c>
    </row>
    <row r="7050" customFormat="false" ht="15" hidden="false" customHeight="false" outlineLevel="0" collapsed="false">
      <c r="B7050" s="7" t="s">
        <v>21696</v>
      </c>
      <c r="C7050" s="7" t="s">
        <v>7547</v>
      </c>
      <c r="D7050" s="7" t="s">
        <v>365</v>
      </c>
      <c r="E7050" s="7" t="s">
        <v>154</v>
      </c>
      <c r="F7050" s="39" t="n">
        <v>45980</v>
      </c>
      <c r="G7050" s="41" t="n">
        <v>103.62</v>
      </c>
      <c r="H7050" s="6" t="s">
        <v>182</v>
      </c>
      <c r="I7050" s="7" t="s">
        <v>19787</v>
      </c>
      <c r="J7050" s="8" t="n">
        <f aca="false">IF(I7050="Open",DATE(2025,12,31)-F7050,"-")</f>
        <v>42</v>
      </c>
    </row>
    <row r="7051" customFormat="false" ht="15" hidden="false" customHeight="false" outlineLevel="0" collapsed="false">
      <c r="B7051" s="7" t="s">
        <v>21697</v>
      </c>
      <c r="C7051" s="7" t="s">
        <v>7548</v>
      </c>
      <c r="D7051" s="7" t="s">
        <v>371</v>
      </c>
      <c r="E7051" s="7" t="s">
        <v>154</v>
      </c>
      <c r="F7051" s="39" t="n">
        <v>45980</v>
      </c>
      <c r="G7051" s="41" t="n">
        <v>122.96</v>
      </c>
      <c r="H7051" s="6" t="s">
        <v>182</v>
      </c>
      <c r="I7051" s="7" t="s">
        <v>19787</v>
      </c>
      <c r="J7051" s="8" t="n">
        <f aca="false">IF(I7051="Open",DATE(2025,12,31)-F7051,"-")</f>
        <v>42</v>
      </c>
    </row>
    <row r="7052" customFormat="false" ht="15" hidden="false" customHeight="false" outlineLevel="0" collapsed="false">
      <c r="B7052" s="7" t="s">
        <v>21698</v>
      </c>
      <c r="C7052" s="7" t="s">
        <v>7549</v>
      </c>
      <c r="D7052" s="7" t="s">
        <v>379</v>
      </c>
      <c r="E7052" s="7" t="s">
        <v>156</v>
      </c>
      <c r="F7052" s="39" t="n">
        <v>45980</v>
      </c>
      <c r="G7052" s="41" t="n">
        <v>166.6</v>
      </c>
      <c r="H7052" s="39" t="n">
        <v>45992</v>
      </c>
      <c r="I7052" s="7" t="s">
        <v>14651</v>
      </c>
      <c r="J7052" s="8" t="str">
        <f aca="false">IF(I7052="Open",DATE(2025,12,31)-F7052,"-")</f>
        <v>-</v>
      </c>
    </row>
    <row r="7053" customFormat="false" ht="15" hidden="false" customHeight="false" outlineLevel="0" collapsed="false">
      <c r="B7053" s="7" t="s">
        <v>21699</v>
      </c>
      <c r="C7053" s="7" t="s">
        <v>7550</v>
      </c>
      <c r="D7053" s="7" t="s">
        <v>385</v>
      </c>
      <c r="E7053" s="7" t="s">
        <v>156</v>
      </c>
      <c r="F7053" s="39" t="n">
        <v>45980</v>
      </c>
      <c r="G7053" s="41" t="n">
        <v>124.44</v>
      </c>
      <c r="H7053" s="39" t="n">
        <v>45995</v>
      </c>
      <c r="I7053" s="7" t="s">
        <v>14651</v>
      </c>
      <c r="J7053" s="8" t="str">
        <f aca="false">IF(I7053="Open",DATE(2025,12,31)-F7053,"-")</f>
        <v>-</v>
      </c>
    </row>
    <row r="7054" customFormat="false" ht="15" hidden="false" customHeight="false" outlineLevel="0" collapsed="false">
      <c r="B7054" s="7" t="s">
        <v>21700</v>
      </c>
      <c r="C7054" s="7" t="s">
        <v>7551</v>
      </c>
      <c r="D7054" s="7" t="s">
        <v>387</v>
      </c>
      <c r="E7054" s="7" t="s">
        <v>154</v>
      </c>
      <c r="F7054" s="39" t="n">
        <v>45980</v>
      </c>
      <c r="G7054" s="41" t="n">
        <v>106.42</v>
      </c>
      <c r="H7054" s="6" t="s">
        <v>182</v>
      </c>
      <c r="I7054" s="7" t="s">
        <v>19787</v>
      </c>
      <c r="J7054" s="8" t="n">
        <f aca="false">IF(I7054="Open",DATE(2025,12,31)-F7054,"-")</f>
        <v>42</v>
      </c>
    </row>
    <row r="7055" customFormat="false" ht="15" hidden="false" customHeight="false" outlineLevel="0" collapsed="false">
      <c r="B7055" s="7" t="s">
        <v>21701</v>
      </c>
      <c r="C7055" s="7" t="s">
        <v>7552</v>
      </c>
      <c r="D7055" s="7" t="s">
        <v>389</v>
      </c>
      <c r="E7055" s="7" t="s">
        <v>154</v>
      </c>
      <c r="F7055" s="39" t="n">
        <v>45980</v>
      </c>
      <c r="G7055" s="41" t="n">
        <v>114.48</v>
      </c>
      <c r="H7055" s="6" t="s">
        <v>182</v>
      </c>
      <c r="I7055" s="7" t="s">
        <v>19787</v>
      </c>
      <c r="J7055" s="8" t="n">
        <f aca="false">IF(I7055="Open",DATE(2025,12,31)-F7055,"-")</f>
        <v>42</v>
      </c>
    </row>
    <row r="7056" customFormat="false" ht="15" hidden="false" customHeight="false" outlineLevel="0" collapsed="false">
      <c r="B7056" s="7" t="s">
        <v>21702</v>
      </c>
      <c r="C7056" s="7" t="s">
        <v>7553</v>
      </c>
      <c r="D7056" s="7" t="s">
        <v>391</v>
      </c>
      <c r="E7056" s="7" t="s">
        <v>156</v>
      </c>
      <c r="F7056" s="39" t="n">
        <v>45980</v>
      </c>
      <c r="G7056" s="41" t="n">
        <v>134.98</v>
      </c>
      <c r="H7056" s="39" t="n">
        <v>45992</v>
      </c>
      <c r="I7056" s="7" t="s">
        <v>14651</v>
      </c>
      <c r="J7056" s="8" t="str">
        <f aca="false">IF(I7056="Open",DATE(2025,12,31)-F7056,"-")</f>
        <v>-</v>
      </c>
    </row>
    <row r="7057" customFormat="false" ht="15" hidden="false" customHeight="false" outlineLevel="0" collapsed="false">
      <c r="B7057" s="7" t="s">
        <v>21703</v>
      </c>
      <c r="C7057" s="7" t="s">
        <v>7554</v>
      </c>
      <c r="D7057" s="7" t="s">
        <v>393</v>
      </c>
      <c r="E7057" s="7" t="s">
        <v>157</v>
      </c>
      <c r="F7057" s="39" t="n">
        <v>45980</v>
      </c>
      <c r="G7057" s="41" t="n">
        <v>174.9</v>
      </c>
      <c r="H7057" s="39" t="n">
        <v>46010</v>
      </c>
      <c r="I7057" s="7" t="s">
        <v>14651</v>
      </c>
      <c r="J7057" s="8" t="str">
        <f aca="false">IF(I7057="Open",DATE(2025,12,31)-F7057,"-")</f>
        <v>-</v>
      </c>
    </row>
    <row r="7058" customFormat="false" ht="15" hidden="false" customHeight="false" outlineLevel="0" collapsed="false">
      <c r="B7058" s="7" t="s">
        <v>21704</v>
      </c>
      <c r="C7058" s="7" t="s">
        <v>7555</v>
      </c>
      <c r="D7058" s="7" t="s">
        <v>395</v>
      </c>
      <c r="E7058" s="7" t="s">
        <v>156</v>
      </c>
      <c r="F7058" s="39" t="n">
        <v>45980</v>
      </c>
      <c r="G7058" s="41" t="n">
        <v>135.32</v>
      </c>
      <c r="H7058" s="39" t="n">
        <v>45990</v>
      </c>
      <c r="I7058" s="7" t="s">
        <v>14651</v>
      </c>
      <c r="J7058" s="8" t="str">
        <f aca="false">IF(I7058="Open",DATE(2025,12,31)-F7058,"-")</f>
        <v>-</v>
      </c>
    </row>
    <row r="7059" customFormat="false" ht="15" hidden="false" customHeight="false" outlineLevel="0" collapsed="false">
      <c r="B7059" s="7" t="s">
        <v>21705</v>
      </c>
      <c r="C7059" s="7" t="s">
        <v>7556</v>
      </c>
      <c r="D7059" s="7" t="s">
        <v>399</v>
      </c>
      <c r="E7059" s="7" t="s">
        <v>154</v>
      </c>
      <c r="F7059" s="39" t="n">
        <v>45980</v>
      </c>
      <c r="G7059" s="41" t="n">
        <v>79.5</v>
      </c>
      <c r="H7059" s="39" t="n">
        <v>46018</v>
      </c>
      <c r="I7059" s="7" t="s">
        <v>14651</v>
      </c>
      <c r="J7059" s="8" t="str">
        <f aca="false">IF(I7059="Open",DATE(2025,12,31)-F7059,"-")</f>
        <v>-</v>
      </c>
    </row>
    <row r="7060" customFormat="false" ht="15" hidden="false" customHeight="false" outlineLevel="0" collapsed="false">
      <c r="B7060" s="7" t="s">
        <v>21706</v>
      </c>
      <c r="C7060" s="7" t="s">
        <v>7557</v>
      </c>
      <c r="D7060" s="7" t="s">
        <v>401</v>
      </c>
      <c r="E7060" s="7" t="s">
        <v>156</v>
      </c>
      <c r="F7060" s="39" t="n">
        <v>45980</v>
      </c>
      <c r="G7060" s="41" t="n">
        <v>144.5</v>
      </c>
      <c r="H7060" s="39" t="n">
        <v>45991</v>
      </c>
      <c r="I7060" s="7" t="s">
        <v>14651</v>
      </c>
      <c r="J7060" s="8" t="str">
        <f aca="false">IF(I7060="Open",DATE(2025,12,31)-F7060,"-")</f>
        <v>-</v>
      </c>
    </row>
    <row r="7061" customFormat="false" ht="15" hidden="false" customHeight="false" outlineLevel="0" collapsed="false">
      <c r="B7061" s="7" t="s">
        <v>21707</v>
      </c>
      <c r="C7061" s="7" t="s">
        <v>7558</v>
      </c>
      <c r="D7061" s="7" t="s">
        <v>403</v>
      </c>
      <c r="E7061" s="7" t="s">
        <v>156</v>
      </c>
      <c r="F7061" s="39" t="n">
        <v>45980</v>
      </c>
      <c r="G7061" s="41" t="n">
        <v>123.08</v>
      </c>
      <c r="H7061" s="39" t="n">
        <v>45994</v>
      </c>
      <c r="I7061" s="7" t="s">
        <v>14651</v>
      </c>
      <c r="J7061" s="8" t="str">
        <f aca="false">IF(I7061="Open",DATE(2025,12,31)-F7061,"-")</f>
        <v>-</v>
      </c>
    </row>
    <row r="7062" customFormat="false" ht="15" hidden="false" customHeight="false" outlineLevel="0" collapsed="false">
      <c r="B7062" s="7" t="s">
        <v>21708</v>
      </c>
      <c r="C7062" s="7" t="s">
        <v>7559</v>
      </c>
      <c r="D7062" s="7" t="s">
        <v>409</v>
      </c>
      <c r="E7062" s="7" t="s">
        <v>154</v>
      </c>
      <c r="F7062" s="39" t="n">
        <v>45980</v>
      </c>
      <c r="G7062" s="41" t="n">
        <v>81.75</v>
      </c>
      <c r="H7062" s="6" t="s">
        <v>182</v>
      </c>
      <c r="I7062" s="7" t="s">
        <v>19787</v>
      </c>
      <c r="J7062" s="8" t="n">
        <f aca="false">IF(I7062="Open",DATE(2025,12,31)-F7062,"-")</f>
        <v>42</v>
      </c>
    </row>
    <row r="7063" customFormat="false" ht="15" hidden="false" customHeight="false" outlineLevel="0" collapsed="false">
      <c r="B7063" s="7" t="s">
        <v>21709</v>
      </c>
      <c r="C7063" s="7" t="s">
        <v>7560</v>
      </c>
      <c r="D7063" s="7" t="s">
        <v>411</v>
      </c>
      <c r="E7063" s="7" t="s">
        <v>154</v>
      </c>
      <c r="F7063" s="39" t="n">
        <v>45980</v>
      </c>
      <c r="G7063" s="41" t="n">
        <v>114.21</v>
      </c>
      <c r="H7063" s="6" t="s">
        <v>182</v>
      </c>
      <c r="I7063" s="7" t="s">
        <v>19787</v>
      </c>
      <c r="J7063" s="8" t="n">
        <f aca="false">IF(I7063="Open",DATE(2025,12,31)-F7063,"-")</f>
        <v>42</v>
      </c>
    </row>
    <row r="7064" customFormat="false" ht="15" hidden="false" customHeight="false" outlineLevel="0" collapsed="false">
      <c r="B7064" s="7" t="s">
        <v>21710</v>
      </c>
      <c r="C7064" s="7" t="s">
        <v>7561</v>
      </c>
      <c r="D7064" s="7" t="s">
        <v>288</v>
      </c>
      <c r="E7064" s="7" t="s">
        <v>156</v>
      </c>
      <c r="F7064" s="39" t="n">
        <v>45981</v>
      </c>
      <c r="G7064" s="41" t="n">
        <v>138.38</v>
      </c>
      <c r="H7064" s="39" t="n">
        <v>45990</v>
      </c>
      <c r="I7064" s="7" t="s">
        <v>14651</v>
      </c>
      <c r="J7064" s="8" t="str">
        <f aca="false">IF(I7064="Open",DATE(2025,12,31)-F7064,"-")</f>
        <v>-</v>
      </c>
    </row>
    <row r="7065" customFormat="false" ht="15" hidden="false" customHeight="false" outlineLevel="0" collapsed="false">
      <c r="B7065" s="7" t="s">
        <v>21711</v>
      </c>
      <c r="C7065" s="7" t="s">
        <v>7562</v>
      </c>
      <c r="D7065" s="7" t="s">
        <v>297</v>
      </c>
      <c r="E7065" s="7" t="s">
        <v>156</v>
      </c>
      <c r="F7065" s="39" t="n">
        <v>45981</v>
      </c>
      <c r="G7065" s="41" t="n">
        <v>98.26</v>
      </c>
      <c r="H7065" s="39" t="n">
        <v>45998</v>
      </c>
      <c r="I7065" s="7" t="s">
        <v>14651</v>
      </c>
      <c r="J7065" s="8" t="str">
        <f aca="false">IF(I7065="Open",DATE(2025,12,31)-F7065,"-")</f>
        <v>-</v>
      </c>
    </row>
    <row r="7066" customFormat="false" ht="15" hidden="false" customHeight="false" outlineLevel="0" collapsed="false">
      <c r="B7066" s="7" t="s">
        <v>21712</v>
      </c>
      <c r="C7066" s="7" t="s">
        <v>7563</v>
      </c>
      <c r="D7066" s="7" t="s">
        <v>299</v>
      </c>
      <c r="E7066" s="7" t="s">
        <v>154</v>
      </c>
      <c r="F7066" s="39" t="n">
        <v>45981</v>
      </c>
      <c r="G7066" s="41" t="n">
        <v>80.82</v>
      </c>
      <c r="H7066" s="6" t="s">
        <v>182</v>
      </c>
      <c r="I7066" s="7" t="s">
        <v>19787</v>
      </c>
      <c r="J7066" s="8" t="n">
        <f aca="false">IF(I7066="Open",DATE(2025,12,31)-F7066,"-")</f>
        <v>41</v>
      </c>
    </row>
    <row r="7067" customFormat="false" ht="15" hidden="false" customHeight="false" outlineLevel="0" collapsed="false">
      <c r="B7067" s="7" t="s">
        <v>21713</v>
      </c>
      <c r="C7067" s="7" t="s">
        <v>7564</v>
      </c>
      <c r="D7067" s="7" t="s">
        <v>303</v>
      </c>
      <c r="E7067" s="7" t="s">
        <v>154</v>
      </c>
      <c r="F7067" s="39" t="n">
        <v>45981</v>
      </c>
      <c r="G7067" s="41" t="n">
        <v>113.15</v>
      </c>
      <c r="H7067" s="6" t="s">
        <v>182</v>
      </c>
      <c r="I7067" s="7" t="s">
        <v>19787</v>
      </c>
      <c r="J7067" s="8" t="n">
        <f aca="false">IF(I7067="Open",DATE(2025,12,31)-F7067,"-")</f>
        <v>41</v>
      </c>
    </row>
    <row r="7068" customFormat="false" ht="15" hidden="false" customHeight="false" outlineLevel="0" collapsed="false">
      <c r="B7068" s="7" t="s">
        <v>21714</v>
      </c>
      <c r="C7068" s="7" t="s">
        <v>7565</v>
      </c>
      <c r="D7068" s="7" t="s">
        <v>311</v>
      </c>
      <c r="E7068" s="7" t="s">
        <v>154</v>
      </c>
      <c r="F7068" s="39" t="n">
        <v>45981</v>
      </c>
      <c r="G7068" s="41" t="n">
        <v>74.73</v>
      </c>
      <c r="H7068" s="6" t="s">
        <v>182</v>
      </c>
      <c r="I7068" s="7" t="s">
        <v>19787</v>
      </c>
      <c r="J7068" s="8" t="n">
        <f aca="false">IF(I7068="Open",DATE(2025,12,31)-F7068,"-")</f>
        <v>41</v>
      </c>
    </row>
    <row r="7069" customFormat="false" ht="15" hidden="false" customHeight="false" outlineLevel="0" collapsed="false">
      <c r="B7069" s="7" t="s">
        <v>21715</v>
      </c>
      <c r="C7069" s="7" t="s">
        <v>7566</v>
      </c>
      <c r="D7069" s="7" t="s">
        <v>313</v>
      </c>
      <c r="E7069" s="7" t="s">
        <v>156</v>
      </c>
      <c r="F7069" s="39" t="n">
        <v>45981</v>
      </c>
      <c r="G7069" s="41" t="n">
        <v>134.98</v>
      </c>
      <c r="H7069" s="39" t="n">
        <v>45988</v>
      </c>
      <c r="I7069" s="7" t="s">
        <v>14651</v>
      </c>
      <c r="J7069" s="8" t="str">
        <f aca="false">IF(I7069="Open",DATE(2025,12,31)-F7069,"-")</f>
        <v>-</v>
      </c>
    </row>
    <row r="7070" customFormat="false" ht="15" hidden="false" customHeight="false" outlineLevel="0" collapsed="false">
      <c r="B7070" s="7" t="s">
        <v>21716</v>
      </c>
      <c r="C7070" s="7" t="s">
        <v>7567</v>
      </c>
      <c r="D7070" s="7" t="s">
        <v>317</v>
      </c>
      <c r="E7070" s="7" t="s">
        <v>156</v>
      </c>
      <c r="F7070" s="39" t="n">
        <v>45981</v>
      </c>
      <c r="G7070" s="41" t="n">
        <v>108.12</v>
      </c>
      <c r="H7070" s="39" t="n">
        <v>45996</v>
      </c>
      <c r="I7070" s="7" t="s">
        <v>14651</v>
      </c>
      <c r="J7070" s="8" t="str">
        <f aca="false">IF(I7070="Open",DATE(2025,12,31)-F7070,"-")</f>
        <v>-</v>
      </c>
    </row>
    <row r="7071" customFormat="false" ht="15" hidden="false" customHeight="false" outlineLevel="0" collapsed="false">
      <c r="B7071" s="7" t="s">
        <v>21717</v>
      </c>
      <c r="C7071" s="7" t="s">
        <v>7568</v>
      </c>
      <c r="D7071" s="7" t="s">
        <v>321</v>
      </c>
      <c r="E7071" s="7" t="s">
        <v>154</v>
      </c>
      <c r="F7071" s="39" t="n">
        <v>45981</v>
      </c>
      <c r="G7071" s="41" t="n">
        <v>103.88</v>
      </c>
      <c r="H7071" s="39" t="n">
        <v>46011</v>
      </c>
      <c r="I7071" s="7" t="s">
        <v>14651</v>
      </c>
      <c r="J7071" s="8" t="str">
        <f aca="false">IF(I7071="Open",DATE(2025,12,31)-F7071,"-")</f>
        <v>-</v>
      </c>
    </row>
    <row r="7072" customFormat="false" ht="15" hidden="false" customHeight="false" outlineLevel="0" collapsed="false">
      <c r="B7072" s="7" t="s">
        <v>21718</v>
      </c>
      <c r="C7072" s="7" t="s">
        <v>7569</v>
      </c>
      <c r="D7072" s="7" t="s">
        <v>325</v>
      </c>
      <c r="E7072" s="7" t="s">
        <v>154</v>
      </c>
      <c r="F7072" s="39" t="n">
        <v>45981</v>
      </c>
      <c r="G7072" s="41" t="n">
        <v>82.15</v>
      </c>
      <c r="H7072" s="6" t="s">
        <v>182</v>
      </c>
      <c r="I7072" s="7" t="s">
        <v>19787</v>
      </c>
      <c r="J7072" s="8" t="n">
        <f aca="false">IF(I7072="Open",DATE(2025,12,31)-F7072,"-")</f>
        <v>41</v>
      </c>
    </row>
    <row r="7073" customFormat="false" ht="15" hidden="false" customHeight="false" outlineLevel="0" collapsed="false">
      <c r="B7073" s="7" t="s">
        <v>21719</v>
      </c>
      <c r="C7073" s="7" t="s">
        <v>7570</v>
      </c>
      <c r="D7073" s="7" t="s">
        <v>329</v>
      </c>
      <c r="E7073" s="7" t="s">
        <v>156</v>
      </c>
      <c r="F7073" s="39" t="n">
        <v>45981</v>
      </c>
      <c r="G7073" s="41" t="n">
        <v>133.62</v>
      </c>
      <c r="H7073" s="39" t="n">
        <v>45992</v>
      </c>
      <c r="I7073" s="7" t="s">
        <v>14651</v>
      </c>
      <c r="J7073" s="8" t="str">
        <f aca="false">IF(I7073="Open",DATE(2025,12,31)-F7073,"-")</f>
        <v>-</v>
      </c>
    </row>
    <row r="7074" customFormat="false" ht="15" hidden="false" customHeight="false" outlineLevel="0" collapsed="false">
      <c r="B7074" s="7" t="s">
        <v>21720</v>
      </c>
      <c r="C7074" s="7" t="s">
        <v>7571</v>
      </c>
      <c r="D7074" s="7" t="s">
        <v>331</v>
      </c>
      <c r="E7074" s="7" t="s">
        <v>156</v>
      </c>
      <c r="F7074" s="39" t="n">
        <v>45981</v>
      </c>
      <c r="G7074" s="41" t="n">
        <v>137.7</v>
      </c>
      <c r="H7074" s="39" t="n">
        <v>45995</v>
      </c>
      <c r="I7074" s="7" t="s">
        <v>14651</v>
      </c>
      <c r="J7074" s="8" t="str">
        <f aca="false">IF(I7074="Open",DATE(2025,12,31)-F7074,"-")</f>
        <v>-</v>
      </c>
    </row>
    <row r="7075" customFormat="false" ht="15" hidden="false" customHeight="false" outlineLevel="0" collapsed="false">
      <c r="B7075" s="7" t="s">
        <v>21721</v>
      </c>
      <c r="C7075" s="7" t="s">
        <v>7572</v>
      </c>
      <c r="D7075" s="7" t="s">
        <v>341</v>
      </c>
      <c r="E7075" s="7" t="s">
        <v>156</v>
      </c>
      <c r="F7075" s="39" t="n">
        <v>45981</v>
      </c>
      <c r="G7075" s="41" t="n">
        <v>111.86</v>
      </c>
      <c r="H7075" s="39" t="n">
        <v>45985</v>
      </c>
      <c r="I7075" s="7" t="s">
        <v>14651</v>
      </c>
      <c r="J7075" s="8" t="str">
        <f aca="false">IF(I7075="Open",DATE(2025,12,31)-F7075,"-")</f>
        <v>-</v>
      </c>
    </row>
    <row r="7076" customFormat="false" ht="15" hidden="false" customHeight="false" outlineLevel="0" collapsed="false">
      <c r="B7076" s="7" t="s">
        <v>21722</v>
      </c>
      <c r="C7076" s="7" t="s">
        <v>7573</v>
      </c>
      <c r="D7076" s="7" t="s">
        <v>343</v>
      </c>
      <c r="E7076" s="7" t="s">
        <v>154</v>
      </c>
      <c r="F7076" s="39" t="n">
        <v>45981</v>
      </c>
      <c r="G7076" s="41" t="n">
        <v>107.06</v>
      </c>
      <c r="H7076" s="39" t="n">
        <v>46008</v>
      </c>
      <c r="I7076" s="7" t="s">
        <v>14651</v>
      </c>
      <c r="J7076" s="8" t="str">
        <f aca="false">IF(I7076="Open",DATE(2025,12,31)-F7076,"-")</f>
        <v>-</v>
      </c>
    </row>
    <row r="7077" customFormat="false" ht="15" hidden="false" customHeight="false" outlineLevel="0" collapsed="false">
      <c r="B7077" s="7" t="s">
        <v>21723</v>
      </c>
      <c r="C7077" s="7" t="s">
        <v>7574</v>
      </c>
      <c r="D7077" s="7" t="s">
        <v>349</v>
      </c>
      <c r="E7077" s="7" t="s">
        <v>154</v>
      </c>
      <c r="F7077" s="39" t="n">
        <v>45981</v>
      </c>
      <c r="G7077" s="41" t="n">
        <v>93.31</v>
      </c>
      <c r="H7077" s="6" t="s">
        <v>182</v>
      </c>
      <c r="I7077" s="7" t="s">
        <v>19787</v>
      </c>
      <c r="J7077" s="8" t="n">
        <f aca="false">IF(I7077="Open",DATE(2025,12,31)-F7077,"-")</f>
        <v>41</v>
      </c>
    </row>
    <row r="7078" customFormat="false" ht="15" hidden="false" customHeight="false" outlineLevel="0" collapsed="false">
      <c r="B7078" s="7" t="s">
        <v>21724</v>
      </c>
      <c r="C7078" s="7" t="s">
        <v>7575</v>
      </c>
      <c r="D7078" s="7" t="s">
        <v>351</v>
      </c>
      <c r="E7078" s="7" t="s">
        <v>154</v>
      </c>
      <c r="F7078" s="39" t="n">
        <v>45981</v>
      </c>
      <c r="G7078" s="41" t="n">
        <v>74.81</v>
      </c>
      <c r="H7078" s="6" t="s">
        <v>182</v>
      </c>
      <c r="I7078" s="7" t="s">
        <v>19787</v>
      </c>
      <c r="J7078" s="8" t="n">
        <f aca="false">IF(I7078="Open",DATE(2025,12,31)-F7078,"-")</f>
        <v>41</v>
      </c>
    </row>
    <row r="7079" customFormat="false" ht="15" hidden="false" customHeight="false" outlineLevel="0" collapsed="false">
      <c r="B7079" s="7" t="s">
        <v>21725</v>
      </c>
      <c r="C7079" s="7" t="s">
        <v>7576</v>
      </c>
      <c r="D7079" s="7" t="s">
        <v>359</v>
      </c>
      <c r="E7079" s="7" t="s">
        <v>156</v>
      </c>
      <c r="F7079" s="39" t="n">
        <v>45981</v>
      </c>
      <c r="G7079" s="41" t="n">
        <v>133.28</v>
      </c>
      <c r="H7079" s="39" t="n">
        <v>45995</v>
      </c>
      <c r="I7079" s="7" t="s">
        <v>14651</v>
      </c>
      <c r="J7079" s="8" t="str">
        <f aca="false">IF(I7079="Open",DATE(2025,12,31)-F7079,"-")</f>
        <v>-</v>
      </c>
    </row>
    <row r="7080" customFormat="false" ht="15" hidden="false" customHeight="false" outlineLevel="0" collapsed="false">
      <c r="B7080" s="7" t="s">
        <v>21726</v>
      </c>
      <c r="C7080" s="7" t="s">
        <v>7577</v>
      </c>
      <c r="D7080" s="7" t="s">
        <v>363</v>
      </c>
      <c r="E7080" s="7" t="s">
        <v>156</v>
      </c>
      <c r="F7080" s="39" t="n">
        <v>45981</v>
      </c>
      <c r="G7080" s="41" t="n">
        <v>142.46</v>
      </c>
      <c r="H7080" s="39" t="n">
        <v>45999</v>
      </c>
      <c r="I7080" s="7" t="s">
        <v>14651</v>
      </c>
      <c r="J7080" s="8" t="str">
        <f aca="false">IF(I7080="Open",DATE(2025,12,31)-F7080,"-")</f>
        <v>-</v>
      </c>
    </row>
    <row r="7081" customFormat="false" ht="15" hidden="false" customHeight="false" outlineLevel="0" collapsed="false">
      <c r="B7081" s="7" t="s">
        <v>21727</v>
      </c>
      <c r="C7081" s="7" t="s">
        <v>7578</v>
      </c>
      <c r="D7081" s="7" t="s">
        <v>365</v>
      </c>
      <c r="E7081" s="7" t="s">
        <v>154</v>
      </c>
      <c r="F7081" s="39" t="n">
        <v>45981</v>
      </c>
      <c r="G7081" s="41" t="n">
        <v>99.64</v>
      </c>
      <c r="H7081" s="6" t="s">
        <v>182</v>
      </c>
      <c r="I7081" s="7" t="s">
        <v>19787</v>
      </c>
      <c r="J7081" s="8" t="n">
        <f aca="false">IF(I7081="Open",DATE(2025,12,31)-F7081,"-")</f>
        <v>41</v>
      </c>
    </row>
    <row r="7082" customFormat="false" ht="15" hidden="false" customHeight="false" outlineLevel="0" collapsed="false">
      <c r="B7082" s="7" t="s">
        <v>21728</v>
      </c>
      <c r="C7082" s="7" t="s">
        <v>7579</v>
      </c>
      <c r="D7082" s="7" t="s">
        <v>375</v>
      </c>
      <c r="E7082" s="7" t="s">
        <v>156</v>
      </c>
      <c r="F7082" s="39" t="n">
        <v>45981</v>
      </c>
      <c r="G7082" s="41" t="n">
        <v>96.22</v>
      </c>
      <c r="H7082" s="39" t="n">
        <v>45998</v>
      </c>
      <c r="I7082" s="7" t="s">
        <v>14651</v>
      </c>
      <c r="J7082" s="8" t="str">
        <f aca="false">IF(I7082="Open",DATE(2025,12,31)-F7082,"-")</f>
        <v>-</v>
      </c>
    </row>
    <row r="7083" customFormat="false" ht="15" hidden="false" customHeight="false" outlineLevel="0" collapsed="false">
      <c r="B7083" s="7" t="s">
        <v>21729</v>
      </c>
      <c r="C7083" s="7" t="s">
        <v>7580</v>
      </c>
      <c r="D7083" s="7" t="s">
        <v>377</v>
      </c>
      <c r="E7083" s="7" t="s">
        <v>154</v>
      </c>
      <c r="F7083" s="39" t="n">
        <v>45981</v>
      </c>
      <c r="G7083" s="41" t="n">
        <v>105.73</v>
      </c>
      <c r="H7083" s="6" t="s">
        <v>182</v>
      </c>
      <c r="I7083" s="7" t="s">
        <v>19787</v>
      </c>
      <c r="J7083" s="8" t="n">
        <f aca="false">IF(I7083="Open",DATE(2025,12,31)-F7083,"-")</f>
        <v>41</v>
      </c>
    </row>
    <row r="7084" customFormat="false" ht="15" hidden="false" customHeight="false" outlineLevel="0" collapsed="false">
      <c r="B7084" s="7" t="s">
        <v>21730</v>
      </c>
      <c r="C7084" s="7" t="s">
        <v>7581</v>
      </c>
      <c r="D7084" s="7" t="s">
        <v>387</v>
      </c>
      <c r="E7084" s="7" t="s">
        <v>154</v>
      </c>
      <c r="F7084" s="39" t="n">
        <v>45981</v>
      </c>
      <c r="G7084" s="41" t="n">
        <v>101.23</v>
      </c>
      <c r="H7084" s="6" t="s">
        <v>182</v>
      </c>
      <c r="I7084" s="7" t="s">
        <v>19787</v>
      </c>
      <c r="J7084" s="8" t="n">
        <f aca="false">IF(I7084="Open",DATE(2025,12,31)-F7084,"-")</f>
        <v>41</v>
      </c>
    </row>
    <row r="7085" customFormat="false" ht="15" hidden="false" customHeight="false" outlineLevel="0" collapsed="false">
      <c r="B7085" s="7" t="s">
        <v>21731</v>
      </c>
      <c r="C7085" s="7" t="s">
        <v>7582</v>
      </c>
      <c r="D7085" s="7" t="s">
        <v>389</v>
      </c>
      <c r="E7085" s="7" t="s">
        <v>154</v>
      </c>
      <c r="F7085" s="39" t="n">
        <v>45981</v>
      </c>
      <c r="G7085" s="41" t="n">
        <v>112.89</v>
      </c>
      <c r="H7085" s="39" t="n">
        <v>46008</v>
      </c>
      <c r="I7085" s="7" t="s">
        <v>14651</v>
      </c>
      <c r="J7085" s="8" t="str">
        <f aca="false">IF(I7085="Open",DATE(2025,12,31)-F7085,"-")</f>
        <v>-</v>
      </c>
    </row>
    <row r="7086" customFormat="false" ht="15" hidden="false" customHeight="false" outlineLevel="0" collapsed="false">
      <c r="B7086" s="7" t="s">
        <v>21732</v>
      </c>
      <c r="C7086" s="7" t="s">
        <v>7583</v>
      </c>
      <c r="D7086" s="7" t="s">
        <v>391</v>
      </c>
      <c r="E7086" s="7" t="s">
        <v>156</v>
      </c>
      <c r="F7086" s="39" t="n">
        <v>45981</v>
      </c>
      <c r="G7086" s="41" t="n">
        <v>124.78</v>
      </c>
      <c r="H7086" s="39" t="n">
        <v>45990</v>
      </c>
      <c r="I7086" s="7" t="s">
        <v>14651</v>
      </c>
      <c r="J7086" s="8" t="str">
        <f aca="false">IF(I7086="Open",DATE(2025,12,31)-F7086,"-")</f>
        <v>-</v>
      </c>
    </row>
    <row r="7087" customFormat="false" ht="15" hidden="false" customHeight="false" outlineLevel="0" collapsed="false">
      <c r="B7087" s="7" t="s">
        <v>21733</v>
      </c>
      <c r="C7087" s="7" t="s">
        <v>7584</v>
      </c>
      <c r="D7087" s="7" t="s">
        <v>395</v>
      </c>
      <c r="E7087" s="7" t="s">
        <v>156</v>
      </c>
      <c r="F7087" s="39" t="n">
        <v>45981</v>
      </c>
      <c r="G7087" s="41" t="n">
        <v>134.3</v>
      </c>
      <c r="H7087" s="39" t="n">
        <v>45999</v>
      </c>
      <c r="I7087" s="7" t="s">
        <v>14651</v>
      </c>
      <c r="J7087" s="8" t="str">
        <f aca="false">IF(I7087="Open",DATE(2025,12,31)-F7087,"-")</f>
        <v>-</v>
      </c>
    </row>
    <row r="7088" customFormat="false" ht="15" hidden="false" customHeight="false" outlineLevel="0" collapsed="false">
      <c r="B7088" s="7" t="s">
        <v>21734</v>
      </c>
      <c r="C7088" s="7" t="s">
        <v>7585</v>
      </c>
      <c r="D7088" s="7" t="s">
        <v>401</v>
      </c>
      <c r="E7088" s="7" t="s">
        <v>156</v>
      </c>
      <c r="F7088" s="39" t="n">
        <v>45981</v>
      </c>
      <c r="G7088" s="41" t="n">
        <v>149.6</v>
      </c>
      <c r="H7088" s="39" t="n">
        <v>45990</v>
      </c>
      <c r="I7088" s="7" t="s">
        <v>14651</v>
      </c>
      <c r="J7088" s="8" t="str">
        <f aca="false">IF(I7088="Open",DATE(2025,12,31)-F7088,"-")</f>
        <v>-</v>
      </c>
    </row>
    <row r="7089" customFormat="false" ht="15" hidden="false" customHeight="false" outlineLevel="0" collapsed="false">
      <c r="B7089" s="7" t="s">
        <v>21735</v>
      </c>
      <c r="C7089" s="7" t="s">
        <v>7586</v>
      </c>
      <c r="D7089" s="7" t="s">
        <v>288</v>
      </c>
      <c r="E7089" s="7" t="s">
        <v>156</v>
      </c>
      <c r="F7089" s="39" t="n">
        <v>45982</v>
      </c>
      <c r="G7089" s="41" t="n">
        <v>133.28</v>
      </c>
      <c r="H7089" s="39" t="n">
        <v>45998</v>
      </c>
      <c r="I7089" s="7" t="s">
        <v>14651</v>
      </c>
      <c r="J7089" s="8" t="str">
        <f aca="false">IF(I7089="Open",DATE(2025,12,31)-F7089,"-")</f>
        <v>-</v>
      </c>
    </row>
    <row r="7090" customFormat="false" ht="15" hidden="false" customHeight="false" outlineLevel="0" collapsed="false">
      <c r="B7090" s="7" t="s">
        <v>21736</v>
      </c>
      <c r="C7090" s="7" t="s">
        <v>7587</v>
      </c>
      <c r="D7090" s="7" t="s">
        <v>291</v>
      </c>
      <c r="E7090" s="7" t="s">
        <v>154</v>
      </c>
      <c r="F7090" s="39" t="n">
        <v>45982</v>
      </c>
      <c r="G7090" s="41" t="n">
        <v>125.88</v>
      </c>
      <c r="H7090" s="6" t="s">
        <v>182</v>
      </c>
      <c r="I7090" s="7" t="s">
        <v>19787</v>
      </c>
      <c r="J7090" s="8" t="n">
        <f aca="false">IF(I7090="Open",DATE(2025,12,31)-F7090,"-")</f>
        <v>40</v>
      </c>
    </row>
    <row r="7091" customFormat="false" ht="15" hidden="false" customHeight="false" outlineLevel="0" collapsed="false">
      <c r="B7091" s="7" t="s">
        <v>21737</v>
      </c>
      <c r="C7091" s="7" t="s">
        <v>7588</v>
      </c>
      <c r="D7091" s="7" t="s">
        <v>293</v>
      </c>
      <c r="E7091" s="7" t="s">
        <v>157</v>
      </c>
      <c r="F7091" s="39" t="n">
        <v>45982</v>
      </c>
      <c r="G7091" s="41" t="n">
        <v>150.15</v>
      </c>
      <c r="H7091" s="39" t="n">
        <v>46016</v>
      </c>
      <c r="I7091" s="7" t="s">
        <v>14651</v>
      </c>
      <c r="J7091" s="8" t="str">
        <f aca="false">IF(I7091="Open",DATE(2025,12,31)-F7091,"-")</f>
        <v>-</v>
      </c>
    </row>
    <row r="7092" customFormat="false" ht="15" hidden="false" customHeight="false" outlineLevel="0" collapsed="false">
      <c r="B7092" s="7" t="s">
        <v>21738</v>
      </c>
      <c r="C7092" s="7" t="s">
        <v>7589</v>
      </c>
      <c r="D7092" s="7" t="s">
        <v>295</v>
      </c>
      <c r="E7092" s="7" t="s">
        <v>154</v>
      </c>
      <c r="F7092" s="39" t="n">
        <v>45982</v>
      </c>
      <c r="G7092" s="41" t="n">
        <v>98.84</v>
      </c>
      <c r="H7092" s="6" t="s">
        <v>182</v>
      </c>
      <c r="I7092" s="7" t="s">
        <v>19787</v>
      </c>
      <c r="J7092" s="8" t="n">
        <f aca="false">IF(I7092="Open",DATE(2025,12,31)-F7092,"-")</f>
        <v>40</v>
      </c>
    </row>
    <row r="7093" customFormat="false" ht="15" hidden="false" customHeight="false" outlineLevel="0" collapsed="false">
      <c r="B7093" s="7" t="s">
        <v>21739</v>
      </c>
      <c r="C7093" s="7" t="s">
        <v>7590</v>
      </c>
      <c r="D7093" s="7" t="s">
        <v>301</v>
      </c>
      <c r="E7093" s="7" t="s">
        <v>157</v>
      </c>
      <c r="F7093" s="39" t="n">
        <v>45982</v>
      </c>
      <c r="G7093" s="41" t="n">
        <v>166.65</v>
      </c>
      <c r="H7093" s="6" t="s">
        <v>182</v>
      </c>
      <c r="I7093" s="7" t="s">
        <v>19787</v>
      </c>
      <c r="J7093" s="8" t="n">
        <f aca="false">IF(I7093="Open",DATE(2025,12,31)-F7093,"-")</f>
        <v>40</v>
      </c>
    </row>
    <row r="7094" customFormat="false" ht="15" hidden="false" customHeight="false" outlineLevel="0" collapsed="false">
      <c r="B7094" s="7" t="s">
        <v>21740</v>
      </c>
      <c r="C7094" s="7" t="s">
        <v>7591</v>
      </c>
      <c r="D7094" s="7" t="s">
        <v>305</v>
      </c>
      <c r="E7094" s="7" t="s">
        <v>154</v>
      </c>
      <c r="F7094" s="39" t="n">
        <v>45982</v>
      </c>
      <c r="G7094" s="41" t="n">
        <v>115.01</v>
      </c>
      <c r="H7094" s="6" t="s">
        <v>182</v>
      </c>
      <c r="I7094" s="7" t="s">
        <v>19787</v>
      </c>
      <c r="J7094" s="8" t="n">
        <f aca="false">IF(I7094="Open",DATE(2025,12,31)-F7094,"-")</f>
        <v>40</v>
      </c>
    </row>
    <row r="7095" customFormat="false" ht="15" hidden="false" customHeight="false" outlineLevel="0" collapsed="false">
      <c r="B7095" s="7" t="s">
        <v>21741</v>
      </c>
      <c r="C7095" s="7" t="s">
        <v>7592</v>
      </c>
      <c r="D7095" s="7" t="s">
        <v>307</v>
      </c>
      <c r="E7095" s="7" t="s">
        <v>157</v>
      </c>
      <c r="F7095" s="39" t="n">
        <v>45982</v>
      </c>
      <c r="G7095" s="41" t="n">
        <v>150.15</v>
      </c>
      <c r="H7095" s="6" t="s">
        <v>182</v>
      </c>
      <c r="I7095" s="7" t="s">
        <v>19787</v>
      </c>
      <c r="J7095" s="8" t="n">
        <f aca="false">IF(I7095="Open",DATE(2025,12,31)-F7095,"-")</f>
        <v>40</v>
      </c>
    </row>
    <row r="7096" customFormat="false" ht="15" hidden="false" customHeight="false" outlineLevel="0" collapsed="false">
      <c r="B7096" s="7" t="s">
        <v>21742</v>
      </c>
      <c r="C7096" s="7" t="s">
        <v>7593</v>
      </c>
      <c r="D7096" s="7" t="s">
        <v>309</v>
      </c>
      <c r="E7096" s="7" t="s">
        <v>159</v>
      </c>
      <c r="F7096" s="39" t="n">
        <v>45982</v>
      </c>
      <c r="G7096" s="41" t="n">
        <v>128.11</v>
      </c>
      <c r="H7096" s="6" t="s">
        <v>182</v>
      </c>
      <c r="I7096" s="7" t="s">
        <v>19787</v>
      </c>
      <c r="J7096" s="8" t="n">
        <f aca="false">IF(I7096="Open",DATE(2025,12,31)-F7096,"-")</f>
        <v>40</v>
      </c>
    </row>
    <row r="7097" customFormat="false" ht="15" hidden="false" customHeight="false" outlineLevel="0" collapsed="false">
      <c r="B7097" s="7" t="s">
        <v>21743</v>
      </c>
      <c r="C7097" s="7" t="s">
        <v>7594</v>
      </c>
      <c r="D7097" s="7" t="s">
        <v>313</v>
      </c>
      <c r="E7097" s="7" t="s">
        <v>156</v>
      </c>
      <c r="F7097" s="39" t="n">
        <v>45982</v>
      </c>
      <c r="G7097" s="41" t="n">
        <v>148.24</v>
      </c>
      <c r="H7097" s="39" t="n">
        <v>45990</v>
      </c>
      <c r="I7097" s="7" t="s">
        <v>14651</v>
      </c>
      <c r="J7097" s="8" t="str">
        <f aca="false">IF(I7097="Open",DATE(2025,12,31)-F7097,"-")</f>
        <v>-</v>
      </c>
    </row>
    <row r="7098" customFormat="false" ht="15" hidden="false" customHeight="false" outlineLevel="0" collapsed="false">
      <c r="B7098" s="7" t="s">
        <v>21744</v>
      </c>
      <c r="C7098" s="7" t="s">
        <v>7595</v>
      </c>
      <c r="D7098" s="7" t="s">
        <v>315</v>
      </c>
      <c r="E7098" s="7" t="s">
        <v>159</v>
      </c>
      <c r="F7098" s="39" t="n">
        <v>45982</v>
      </c>
      <c r="G7098" s="41" t="n">
        <v>145.8</v>
      </c>
      <c r="H7098" s="39" t="n">
        <v>46005</v>
      </c>
      <c r="I7098" s="7" t="s">
        <v>14651</v>
      </c>
      <c r="J7098" s="8" t="str">
        <f aca="false">IF(I7098="Open",DATE(2025,12,31)-F7098,"-")</f>
        <v>-</v>
      </c>
    </row>
    <row r="7099" customFormat="false" ht="15" hidden="false" customHeight="false" outlineLevel="0" collapsed="false">
      <c r="B7099" s="7" t="s">
        <v>21745</v>
      </c>
      <c r="C7099" s="7" t="s">
        <v>7596</v>
      </c>
      <c r="D7099" s="7" t="s">
        <v>319</v>
      </c>
      <c r="E7099" s="7" t="s">
        <v>157</v>
      </c>
      <c r="F7099" s="39" t="n">
        <v>45982</v>
      </c>
      <c r="G7099" s="41" t="n">
        <v>148.83</v>
      </c>
      <c r="H7099" s="39" t="n">
        <v>45987</v>
      </c>
      <c r="I7099" s="7" t="s">
        <v>14651</v>
      </c>
      <c r="J7099" s="8" t="str">
        <f aca="false">IF(I7099="Open",DATE(2025,12,31)-F7099,"-")</f>
        <v>-</v>
      </c>
    </row>
    <row r="7100" customFormat="false" ht="15" hidden="false" customHeight="false" outlineLevel="0" collapsed="false">
      <c r="B7100" s="7" t="s">
        <v>21746</v>
      </c>
      <c r="C7100" s="7" t="s">
        <v>7597</v>
      </c>
      <c r="D7100" s="7" t="s">
        <v>321</v>
      </c>
      <c r="E7100" s="7" t="s">
        <v>154</v>
      </c>
      <c r="F7100" s="39" t="n">
        <v>45982</v>
      </c>
      <c r="G7100" s="41" t="n">
        <v>99.22</v>
      </c>
      <c r="H7100" s="6" t="s">
        <v>182</v>
      </c>
      <c r="I7100" s="7" t="s">
        <v>19787</v>
      </c>
      <c r="J7100" s="8" t="n">
        <f aca="false">IF(I7100="Open",DATE(2025,12,31)-F7100,"-")</f>
        <v>40</v>
      </c>
    </row>
    <row r="7101" customFormat="false" ht="15" hidden="false" customHeight="false" outlineLevel="0" collapsed="false">
      <c r="B7101" s="7" t="s">
        <v>21747</v>
      </c>
      <c r="C7101" s="7" t="s">
        <v>7598</v>
      </c>
      <c r="D7101" s="7" t="s">
        <v>323</v>
      </c>
      <c r="E7101" s="7" t="s">
        <v>159</v>
      </c>
      <c r="F7101" s="39" t="n">
        <v>45982</v>
      </c>
      <c r="G7101" s="41" t="n">
        <v>135</v>
      </c>
      <c r="H7101" s="6" t="s">
        <v>182</v>
      </c>
      <c r="I7101" s="7" t="s">
        <v>19787</v>
      </c>
      <c r="J7101" s="8" t="n">
        <f aca="false">IF(I7101="Open",DATE(2025,12,31)-F7101,"-")</f>
        <v>40</v>
      </c>
    </row>
    <row r="7102" customFormat="false" ht="15" hidden="false" customHeight="false" outlineLevel="0" collapsed="false">
      <c r="B7102" s="7" t="s">
        <v>21748</v>
      </c>
      <c r="C7102" s="7" t="s">
        <v>7599</v>
      </c>
      <c r="D7102" s="7" t="s">
        <v>327</v>
      </c>
      <c r="E7102" s="7" t="s">
        <v>157</v>
      </c>
      <c r="F7102" s="39" t="n">
        <v>45982</v>
      </c>
      <c r="G7102" s="41" t="n">
        <v>179.85</v>
      </c>
      <c r="H7102" s="6" t="s">
        <v>182</v>
      </c>
      <c r="I7102" s="7" t="s">
        <v>19787</v>
      </c>
      <c r="J7102" s="8" t="n">
        <f aca="false">IF(I7102="Open",DATE(2025,12,31)-F7102,"-")</f>
        <v>40</v>
      </c>
    </row>
    <row r="7103" customFormat="false" ht="15" hidden="false" customHeight="false" outlineLevel="0" collapsed="false">
      <c r="B7103" s="7" t="s">
        <v>21749</v>
      </c>
      <c r="C7103" s="7" t="s">
        <v>7600</v>
      </c>
      <c r="D7103" s="7" t="s">
        <v>329</v>
      </c>
      <c r="E7103" s="7" t="s">
        <v>156</v>
      </c>
      <c r="F7103" s="39" t="n">
        <v>45982</v>
      </c>
      <c r="G7103" s="41" t="n">
        <v>137.02</v>
      </c>
      <c r="H7103" s="39" t="n">
        <v>45983</v>
      </c>
      <c r="I7103" s="7" t="s">
        <v>14651</v>
      </c>
      <c r="J7103" s="8" t="str">
        <f aca="false">IF(I7103="Open",DATE(2025,12,31)-F7103,"-")</f>
        <v>-</v>
      </c>
    </row>
    <row r="7104" customFormat="false" ht="15" hidden="false" customHeight="false" outlineLevel="0" collapsed="false">
      <c r="B7104" s="7" t="s">
        <v>21750</v>
      </c>
      <c r="C7104" s="7" t="s">
        <v>7601</v>
      </c>
      <c r="D7104" s="7" t="s">
        <v>333</v>
      </c>
      <c r="E7104" s="7" t="s">
        <v>154</v>
      </c>
      <c r="F7104" s="39" t="n">
        <v>45982</v>
      </c>
      <c r="G7104" s="41" t="n">
        <v>87.98</v>
      </c>
      <c r="H7104" s="6" t="s">
        <v>182</v>
      </c>
      <c r="I7104" s="7" t="s">
        <v>19787</v>
      </c>
      <c r="J7104" s="8" t="n">
        <f aca="false">IF(I7104="Open",DATE(2025,12,31)-F7104,"-")</f>
        <v>40</v>
      </c>
    </row>
    <row r="7105" customFormat="false" ht="15" hidden="false" customHeight="false" outlineLevel="0" collapsed="false">
      <c r="B7105" s="7" t="s">
        <v>21751</v>
      </c>
      <c r="C7105" s="7" t="s">
        <v>7602</v>
      </c>
      <c r="D7105" s="7" t="s">
        <v>335</v>
      </c>
      <c r="E7105" s="7" t="s">
        <v>154</v>
      </c>
      <c r="F7105" s="39" t="n">
        <v>45982</v>
      </c>
      <c r="G7105" s="41" t="n">
        <v>112.1</v>
      </c>
      <c r="H7105" s="6" t="s">
        <v>182</v>
      </c>
      <c r="I7105" s="7" t="s">
        <v>19787</v>
      </c>
      <c r="J7105" s="8" t="n">
        <f aca="false">IF(I7105="Open",DATE(2025,12,31)-F7105,"-")</f>
        <v>40</v>
      </c>
    </row>
    <row r="7106" customFormat="false" ht="15" hidden="false" customHeight="false" outlineLevel="0" collapsed="false">
      <c r="B7106" s="7" t="s">
        <v>21752</v>
      </c>
      <c r="C7106" s="7" t="s">
        <v>7603</v>
      </c>
      <c r="D7106" s="7" t="s">
        <v>339</v>
      </c>
      <c r="E7106" s="7" t="s">
        <v>154</v>
      </c>
      <c r="F7106" s="39" t="n">
        <v>45982</v>
      </c>
      <c r="G7106" s="41" t="n">
        <v>93.28</v>
      </c>
      <c r="H7106" s="6" t="s">
        <v>182</v>
      </c>
      <c r="I7106" s="7" t="s">
        <v>19787</v>
      </c>
      <c r="J7106" s="8" t="n">
        <f aca="false">IF(I7106="Open",DATE(2025,12,31)-F7106,"-")</f>
        <v>40</v>
      </c>
    </row>
    <row r="7107" customFormat="false" ht="15" hidden="false" customHeight="false" outlineLevel="0" collapsed="false">
      <c r="B7107" s="7" t="s">
        <v>21753</v>
      </c>
      <c r="C7107" s="7" t="s">
        <v>7604</v>
      </c>
      <c r="D7107" s="7" t="s">
        <v>347</v>
      </c>
      <c r="E7107" s="7" t="s">
        <v>154</v>
      </c>
      <c r="F7107" s="39" t="n">
        <v>45982</v>
      </c>
      <c r="G7107" s="41" t="n">
        <v>134.09</v>
      </c>
      <c r="H7107" s="39" t="n">
        <v>45997</v>
      </c>
      <c r="I7107" s="7" t="s">
        <v>14651</v>
      </c>
      <c r="J7107" s="8" t="str">
        <f aca="false">IF(I7107="Open",DATE(2025,12,31)-F7107,"-")</f>
        <v>-</v>
      </c>
    </row>
    <row r="7108" customFormat="false" ht="15" hidden="false" customHeight="false" outlineLevel="0" collapsed="false">
      <c r="B7108" s="7" t="s">
        <v>21754</v>
      </c>
      <c r="C7108" s="7" t="s">
        <v>7605</v>
      </c>
      <c r="D7108" s="7" t="s">
        <v>349</v>
      </c>
      <c r="E7108" s="7" t="s">
        <v>154</v>
      </c>
      <c r="F7108" s="39" t="n">
        <v>45982</v>
      </c>
      <c r="G7108" s="41" t="n">
        <v>101.76</v>
      </c>
      <c r="H7108" s="6" t="s">
        <v>182</v>
      </c>
      <c r="I7108" s="7" t="s">
        <v>19787</v>
      </c>
      <c r="J7108" s="8" t="n">
        <f aca="false">IF(I7108="Open",DATE(2025,12,31)-F7108,"-")</f>
        <v>40</v>
      </c>
    </row>
    <row r="7109" customFormat="false" ht="15" hidden="false" customHeight="false" outlineLevel="0" collapsed="false">
      <c r="B7109" s="7" t="s">
        <v>21755</v>
      </c>
      <c r="C7109" s="7" t="s">
        <v>7606</v>
      </c>
      <c r="D7109" s="7" t="s">
        <v>353</v>
      </c>
      <c r="E7109" s="7" t="s">
        <v>154</v>
      </c>
      <c r="F7109" s="39" t="n">
        <v>45982</v>
      </c>
      <c r="G7109" s="41" t="n">
        <v>82.41</v>
      </c>
      <c r="H7109" s="39" t="n">
        <v>46012</v>
      </c>
      <c r="I7109" s="7" t="s">
        <v>14651</v>
      </c>
      <c r="J7109" s="8" t="str">
        <f aca="false">IF(I7109="Open",DATE(2025,12,31)-F7109,"-")</f>
        <v>-</v>
      </c>
    </row>
    <row r="7110" customFormat="false" ht="15" hidden="false" customHeight="false" outlineLevel="0" collapsed="false">
      <c r="B7110" s="7" t="s">
        <v>21756</v>
      </c>
      <c r="C7110" s="7" t="s">
        <v>7607</v>
      </c>
      <c r="D7110" s="7" t="s">
        <v>355</v>
      </c>
      <c r="E7110" s="7" t="s">
        <v>154</v>
      </c>
      <c r="F7110" s="39" t="n">
        <v>45982</v>
      </c>
      <c r="G7110" s="41" t="n">
        <v>88.43</v>
      </c>
      <c r="H7110" s="39" t="n">
        <v>46011</v>
      </c>
      <c r="I7110" s="7" t="s">
        <v>14651</v>
      </c>
      <c r="J7110" s="8" t="str">
        <f aca="false">IF(I7110="Open",DATE(2025,12,31)-F7110,"-")</f>
        <v>-</v>
      </c>
    </row>
    <row r="7111" customFormat="false" ht="15" hidden="false" customHeight="false" outlineLevel="0" collapsed="false">
      <c r="B7111" s="7" t="s">
        <v>21757</v>
      </c>
      <c r="C7111" s="7" t="s">
        <v>7608</v>
      </c>
      <c r="D7111" s="7" t="s">
        <v>357</v>
      </c>
      <c r="E7111" s="7" t="s">
        <v>154</v>
      </c>
      <c r="F7111" s="39" t="n">
        <v>45982</v>
      </c>
      <c r="G7111" s="41" t="n">
        <v>94.34</v>
      </c>
      <c r="H7111" s="6" t="s">
        <v>182</v>
      </c>
      <c r="I7111" s="7" t="s">
        <v>19787</v>
      </c>
      <c r="J7111" s="8" t="n">
        <f aca="false">IF(I7111="Open",DATE(2025,12,31)-F7111,"-")</f>
        <v>40</v>
      </c>
    </row>
    <row r="7112" customFormat="false" ht="15" hidden="false" customHeight="false" outlineLevel="0" collapsed="false">
      <c r="B7112" s="7" t="s">
        <v>21758</v>
      </c>
      <c r="C7112" s="7" t="s">
        <v>7609</v>
      </c>
      <c r="D7112" s="7" t="s">
        <v>359</v>
      </c>
      <c r="E7112" s="7" t="s">
        <v>156</v>
      </c>
      <c r="F7112" s="39" t="n">
        <v>45982</v>
      </c>
      <c r="G7112" s="41" t="n">
        <v>126.14</v>
      </c>
      <c r="H7112" s="39" t="n">
        <v>45995</v>
      </c>
      <c r="I7112" s="7" t="s">
        <v>14651</v>
      </c>
      <c r="J7112" s="8" t="str">
        <f aca="false">IF(I7112="Open",DATE(2025,12,31)-F7112,"-")</f>
        <v>-</v>
      </c>
    </row>
    <row r="7113" customFormat="false" ht="15" hidden="false" customHeight="false" outlineLevel="0" collapsed="false">
      <c r="B7113" s="7" t="s">
        <v>21759</v>
      </c>
      <c r="C7113" s="7" t="s">
        <v>7610</v>
      </c>
      <c r="D7113" s="7" t="s">
        <v>361</v>
      </c>
      <c r="E7113" s="7" t="s">
        <v>157</v>
      </c>
      <c r="F7113" s="39" t="n">
        <v>45982</v>
      </c>
      <c r="G7113" s="41" t="n">
        <v>168.3</v>
      </c>
      <c r="H7113" s="39" t="n">
        <v>46005</v>
      </c>
      <c r="I7113" s="7" t="s">
        <v>14651</v>
      </c>
      <c r="J7113" s="8" t="str">
        <f aca="false">IF(I7113="Open",DATE(2025,12,31)-F7113,"-")</f>
        <v>-</v>
      </c>
    </row>
    <row r="7114" customFormat="false" ht="15" hidden="false" customHeight="false" outlineLevel="0" collapsed="false">
      <c r="B7114" s="7" t="s">
        <v>21760</v>
      </c>
      <c r="C7114" s="7" t="s">
        <v>7611</v>
      </c>
      <c r="D7114" s="7" t="s">
        <v>365</v>
      </c>
      <c r="E7114" s="7" t="s">
        <v>154</v>
      </c>
      <c r="F7114" s="39" t="n">
        <v>45982</v>
      </c>
      <c r="G7114" s="41" t="n">
        <v>106.27</v>
      </c>
      <c r="H7114" s="6" t="s">
        <v>182</v>
      </c>
      <c r="I7114" s="7" t="s">
        <v>19787</v>
      </c>
      <c r="J7114" s="8" t="n">
        <f aca="false">IF(I7114="Open",DATE(2025,12,31)-F7114,"-")</f>
        <v>40</v>
      </c>
    </row>
    <row r="7115" customFormat="false" ht="15" hidden="false" customHeight="false" outlineLevel="0" collapsed="false">
      <c r="B7115" s="7" t="s">
        <v>21761</v>
      </c>
      <c r="C7115" s="7" t="s">
        <v>7612</v>
      </c>
      <c r="D7115" s="7" t="s">
        <v>369</v>
      </c>
      <c r="E7115" s="7" t="s">
        <v>159</v>
      </c>
      <c r="F7115" s="39" t="n">
        <v>45982</v>
      </c>
      <c r="G7115" s="41" t="n">
        <v>133.65</v>
      </c>
      <c r="H7115" s="6" t="s">
        <v>182</v>
      </c>
      <c r="I7115" s="7" t="s">
        <v>19787</v>
      </c>
      <c r="J7115" s="8" t="n">
        <f aca="false">IF(I7115="Open",DATE(2025,12,31)-F7115,"-")</f>
        <v>40</v>
      </c>
    </row>
    <row r="7116" customFormat="false" ht="15" hidden="false" customHeight="false" outlineLevel="0" collapsed="false">
      <c r="B7116" s="7" t="s">
        <v>21762</v>
      </c>
      <c r="C7116" s="7" t="s">
        <v>7613</v>
      </c>
      <c r="D7116" s="7" t="s">
        <v>371</v>
      </c>
      <c r="E7116" s="7" t="s">
        <v>154</v>
      </c>
      <c r="F7116" s="39" t="n">
        <v>45982</v>
      </c>
      <c r="G7116" s="41" t="n">
        <v>130.91</v>
      </c>
      <c r="H7116" s="6" t="s">
        <v>182</v>
      </c>
      <c r="I7116" s="7" t="s">
        <v>19787</v>
      </c>
      <c r="J7116" s="8" t="n">
        <f aca="false">IF(I7116="Open",DATE(2025,12,31)-F7116,"-")</f>
        <v>40</v>
      </c>
    </row>
    <row r="7117" customFormat="false" ht="15" hidden="false" customHeight="false" outlineLevel="0" collapsed="false">
      <c r="B7117" s="7" t="s">
        <v>21763</v>
      </c>
      <c r="C7117" s="7" t="s">
        <v>7614</v>
      </c>
      <c r="D7117" s="7" t="s">
        <v>379</v>
      </c>
      <c r="E7117" s="7" t="s">
        <v>156</v>
      </c>
      <c r="F7117" s="39" t="n">
        <v>45982</v>
      </c>
      <c r="G7117" s="41" t="n">
        <v>158.78</v>
      </c>
      <c r="H7117" s="39" t="n">
        <v>45989</v>
      </c>
      <c r="I7117" s="7" t="s">
        <v>14651</v>
      </c>
      <c r="J7117" s="8" t="str">
        <f aca="false">IF(I7117="Open",DATE(2025,12,31)-F7117,"-")</f>
        <v>-</v>
      </c>
    </row>
    <row r="7118" customFormat="false" ht="15" hidden="false" customHeight="false" outlineLevel="0" collapsed="false">
      <c r="B7118" s="7" t="s">
        <v>21764</v>
      </c>
      <c r="C7118" s="7" t="s">
        <v>7615</v>
      </c>
      <c r="D7118" s="7" t="s">
        <v>381</v>
      </c>
      <c r="E7118" s="7" t="s">
        <v>157</v>
      </c>
      <c r="F7118" s="39" t="n">
        <v>45982</v>
      </c>
      <c r="G7118" s="41" t="n">
        <v>181.5</v>
      </c>
      <c r="H7118" s="6" t="s">
        <v>182</v>
      </c>
      <c r="I7118" s="7" t="s">
        <v>19787</v>
      </c>
      <c r="J7118" s="8" t="n">
        <f aca="false">IF(I7118="Open",DATE(2025,12,31)-F7118,"-")</f>
        <v>40</v>
      </c>
    </row>
    <row r="7119" customFormat="false" ht="15" hidden="false" customHeight="false" outlineLevel="0" collapsed="false">
      <c r="B7119" s="7" t="s">
        <v>21765</v>
      </c>
      <c r="C7119" s="7" t="s">
        <v>7616</v>
      </c>
      <c r="D7119" s="7" t="s">
        <v>383</v>
      </c>
      <c r="E7119" s="7" t="s">
        <v>157</v>
      </c>
      <c r="F7119" s="39" t="n">
        <v>45982</v>
      </c>
      <c r="G7119" s="41" t="n">
        <v>158.4</v>
      </c>
      <c r="H7119" s="39" t="n">
        <v>46020</v>
      </c>
      <c r="I7119" s="7" t="s">
        <v>14651</v>
      </c>
      <c r="J7119" s="8" t="str">
        <f aca="false">IF(I7119="Open",DATE(2025,12,31)-F7119,"-")</f>
        <v>-</v>
      </c>
    </row>
    <row r="7120" customFormat="false" ht="15" hidden="false" customHeight="false" outlineLevel="0" collapsed="false">
      <c r="B7120" s="7" t="s">
        <v>21766</v>
      </c>
      <c r="C7120" s="7" t="s">
        <v>7617</v>
      </c>
      <c r="D7120" s="7" t="s">
        <v>385</v>
      </c>
      <c r="E7120" s="7" t="s">
        <v>156</v>
      </c>
      <c r="F7120" s="39" t="n">
        <v>45982</v>
      </c>
      <c r="G7120" s="41" t="n">
        <v>131.92</v>
      </c>
      <c r="H7120" s="39" t="n">
        <v>46000</v>
      </c>
      <c r="I7120" s="7" t="s">
        <v>14651</v>
      </c>
      <c r="J7120" s="8" t="str">
        <f aca="false">IF(I7120="Open",DATE(2025,12,31)-F7120,"-")</f>
        <v>-</v>
      </c>
    </row>
    <row r="7121" customFormat="false" ht="15" hidden="false" customHeight="false" outlineLevel="0" collapsed="false">
      <c r="B7121" s="7" t="s">
        <v>21767</v>
      </c>
      <c r="C7121" s="7" t="s">
        <v>7618</v>
      </c>
      <c r="D7121" s="7" t="s">
        <v>387</v>
      </c>
      <c r="E7121" s="7" t="s">
        <v>154</v>
      </c>
      <c r="F7121" s="39" t="n">
        <v>45982</v>
      </c>
      <c r="G7121" s="41" t="n">
        <v>100.44</v>
      </c>
      <c r="H7121" s="39" t="n">
        <v>46006</v>
      </c>
      <c r="I7121" s="7" t="s">
        <v>14651</v>
      </c>
      <c r="J7121" s="8" t="str">
        <f aca="false">IF(I7121="Open",DATE(2025,12,31)-F7121,"-")</f>
        <v>-</v>
      </c>
    </row>
    <row r="7122" customFormat="false" ht="15" hidden="false" customHeight="false" outlineLevel="0" collapsed="false">
      <c r="B7122" s="7" t="s">
        <v>21768</v>
      </c>
      <c r="C7122" s="7" t="s">
        <v>7619</v>
      </c>
      <c r="D7122" s="7" t="s">
        <v>389</v>
      </c>
      <c r="E7122" s="7" t="s">
        <v>154</v>
      </c>
      <c r="F7122" s="39" t="n">
        <v>45982</v>
      </c>
      <c r="G7122" s="41" t="n">
        <v>96.46</v>
      </c>
      <c r="H7122" s="6" t="s">
        <v>182</v>
      </c>
      <c r="I7122" s="7" t="s">
        <v>19787</v>
      </c>
      <c r="J7122" s="8" t="n">
        <f aca="false">IF(I7122="Open",DATE(2025,12,31)-F7122,"-")</f>
        <v>40</v>
      </c>
    </row>
    <row r="7123" customFormat="false" ht="15" hidden="false" customHeight="false" outlineLevel="0" collapsed="false">
      <c r="B7123" s="7" t="s">
        <v>21769</v>
      </c>
      <c r="C7123" s="7" t="s">
        <v>7620</v>
      </c>
      <c r="D7123" s="7" t="s">
        <v>391</v>
      </c>
      <c r="E7123" s="7" t="s">
        <v>156</v>
      </c>
      <c r="F7123" s="39" t="n">
        <v>45982</v>
      </c>
      <c r="G7123" s="41" t="n">
        <v>140.42</v>
      </c>
      <c r="H7123" s="39" t="n">
        <v>45992</v>
      </c>
      <c r="I7123" s="7" t="s">
        <v>14651</v>
      </c>
      <c r="J7123" s="8" t="str">
        <f aca="false">IF(I7123="Open",DATE(2025,12,31)-F7123,"-")</f>
        <v>-</v>
      </c>
    </row>
    <row r="7124" customFormat="false" ht="15" hidden="false" customHeight="false" outlineLevel="0" collapsed="false">
      <c r="B7124" s="7" t="s">
        <v>21770</v>
      </c>
      <c r="C7124" s="7" t="s">
        <v>7621</v>
      </c>
      <c r="D7124" s="7" t="s">
        <v>395</v>
      </c>
      <c r="E7124" s="7" t="s">
        <v>156</v>
      </c>
      <c r="F7124" s="39" t="n">
        <v>45982</v>
      </c>
      <c r="G7124" s="41" t="n">
        <v>129.2</v>
      </c>
      <c r="H7124" s="39" t="n">
        <v>45991</v>
      </c>
      <c r="I7124" s="7" t="s">
        <v>14651</v>
      </c>
      <c r="J7124" s="8" t="str">
        <f aca="false">IF(I7124="Open",DATE(2025,12,31)-F7124,"-")</f>
        <v>-</v>
      </c>
    </row>
    <row r="7125" customFormat="false" ht="15" hidden="false" customHeight="false" outlineLevel="0" collapsed="false">
      <c r="B7125" s="7" t="s">
        <v>21771</v>
      </c>
      <c r="C7125" s="7" t="s">
        <v>7622</v>
      </c>
      <c r="D7125" s="7" t="s">
        <v>397</v>
      </c>
      <c r="E7125" s="7" t="s">
        <v>159</v>
      </c>
      <c r="F7125" s="39" t="n">
        <v>45982</v>
      </c>
      <c r="G7125" s="41" t="n">
        <v>129.6</v>
      </c>
      <c r="H7125" s="6" t="s">
        <v>182</v>
      </c>
      <c r="I7125" s="7" t="s">
        <v>19787</v>
      </c>
      <c r="J7125" s="8" t="n">
        <f aca="false">IF(I7125="Open",DATE(2025,12,31)-F7125,"-")</f>
        <v>40</v>
      </c>
    </row>
    <row r="7126" customFormat="false" ht="15" hidden="false" customHeight="false" outlineLevel="0" collapsed="false">
      <c r="B7126" s="7" t="s">
        <v>21772</v>
      </c>
      <c r="C7126" s="7" t="s">
        <v>7623</v>
      </c>
      <c r="D7126" s="7" t="s">
        <v>399</v>
      </c>
      <c r="E7126" s="7" t="s">
        <v>154</v>
      </c>
      <c r="F7126" s="39" t="n">
        <v>45982</v>
      </c>
      <c r="G7126" s="41" t="n">
        <v>85.06</v>
      </c>
      <c r="H7126" s="6" t="s">
        <v>182</v>
      </c>
      <c r="I7126" s="7" t="s">
        <v>19787</v>
      </c>
      <c r="J7126" s="8" t="n">
        <f aca="false">IF(I7126="Open",DATE(2025,12,31)-F7126,"-")</f>
        <v>40</v>
      </c>
    </row>
    <row r="7127" customFormat="false" ht="15" hidden="false" customHeight="false" outlineLevel="0" collapsed="false">
      <c r="B7127" s="7" t="s">
        <v>21773</v>
      </c>
      <c r="C7127" s="7" t="s">
        <v>7624</v>
      </c>
      <c r="D7127" s="7" t="s">
        <v>401</v>
      </c>
      <c r="E7127" s="7" t="s">
        <v>156</v>
      </c>
      <c r="F7127" s="39" t="n">
        <v>45982</v>
      </c>
      <c r="G7127" s="41" t="n">
        <v>130.22</v>
      </c>
      <c r="H7127" s="39" t="n">
        <v>46005</v>
      </c>
      <c r="I7127" s="7" t="s">
        <v>14651</v>
      </c>
      <c r="J7127" s="8" t="str">
        <f aca="false">IF(I7127="Open",DATE(2025,12,31)-F7127,"-")</f>
        <v>-</v>
      </c>
    </row>
    <row r="7128" customFormat="false" ht="15" hidden="false" customHeight="false" outlineLevel="0" collapsed="false">
      <c r="B7128" s="7" t="s">
        <v>21774</v>
      </c>
      <c r="C7128" s="7" t="s">
        <v>7625</v>
      </c>
      <c r="D7128" s="7" t="s">
        <v>403</v>
      </c>
      <c r="E7128" s="7" t="s">
        <v>156</v>
      </c>
      <c r="F7128" s="39" t="n">
        <v>45982</v>
      </c>
      <c r="G7128" s="41" t="n">
        <v>141.78</v>
      </c>
      <c r="H7128" s="39" t="n">
        <v>45993</v>
      </c>
      <c r="I7128" s="7" t="s">
        <v>14651</v>
      </c>
      <c r="J7128" s="8" t="str">
        <f aca="false">IF(I7128="Open",DATE(2025,12,31)-F7128,"-")</f>
        <v>-</v>
      </c>
    </row>
    <row r="7129" customFormat="false" ht="15" hidden="false" customHeight="false" outlineLevel="0" collapsed="false">
      <c r="B7129" s="7" t="s">
        <v>21775</v>
      </c>
      <c r="C7129" s="7" t="s">
        <v>7626</v>
      </c>
      <c r="D7129" s="7" t="s">
        <v>407</v>
      </c>
      <c r="E7129" s="7" t="s">
        <v>159</v>
      </c>
      <c r="F7129" s="39" t="n">
        <v>45982</v>
      </c>
      <c r="G7129" s="41" t="n">
        <v>137.7</v>
      </c>
      <c r="H7129" s="39" t="n">
        <v>46020</v>
      </c>
      <c r="I7129" s="7" t="s">
        <v>14651</v>
      </c>
      <c r="J7129" s="8" t="str">
        <f aca="false">IF(I7129="Open",DATE(2025,12,31)-F7129,"-")</f>
        <v>-</v>
      </c>
    </row>
    <row r="7130" customFormat="false" ht="15" hidden="false" customHeight="false" outlineLevel="0" collapsed="false">
      <c r="B7130" s="7" t="s">
        <v>21776</v>
      </c>
      <c r="C7130" s="7" t="s">
        <v>7627</v>
      </c>
      <c r="D7130" s="7" t="s">
        <v>409</v>
      </c>
      <c r="E7130" s="7" t="s">
        <v>154</v>
      </c>
      <c r="F7130" s="39" t="n">
        <v>45982</v>
      </c>
      <c r="G7130" s="41" t="n">
        <v>85.86</v>
      </c>
      <c r="H7130" s="6" t="s">
        <v>182</v>
      </c>
      <c r="I7130" s="7" t="s">
        <v>19787</v>
      </c>
      <c r="J7130" s="8" t="n">
        <f aca="false">IF(I7130="Open",DATE(2025,12,31)-F7130,"-")</f>
        <v>40</v>
      </c>
    </row>
    <row r="7131" customFormat="false" ht="15" hidden="false" customHeight="false" outlineLevel="0" collapsed="false">
      <c r="B7131" s="7" t="s">
        <v>21777</v>
      </c>
      <c r="C7131" s="7" t="s">
        <v>7628</v>
      </c>
      <c r="D7131" s="7" t="s">
        <v>411</v>
      </c>
      <c r="E7131" s="7" t="s">
        <v>154</v>
      </c>
      <c r="F7131" s="39" t="n">
        <v>45982</v>
      </c>
      <c r="G7131" s="41" t="n">
        <v>125.35</v>
      </c>
      <c r="H7131" s="6" t="s">
        <v>182</v>
      </c>
      <c r="I7131" s="7" t="s">
        <v>19787</v>
      </c>
      <c r="J7131" s="8" t="n">
        <f aca="false">IF(I7131="Open",DATE(2025,12,31)-F7131,"-")</f>
        <v>40</v>
      </c>
    </row>
    <row r="7132" customFormat="false" ht="15" hidden="false" customHeight="false" outlineLevel="0" collapsed="false">
      <c r="B7132" s="7" t="s">
        <v>21778</v>
      </c>
      <c r="C7132" s="7" t="s">
        <v>7629</v>
      </c>
      <c r="D7132" s="7" t="s">
        <v>288</v>
      </c>
      <c r="E7132" s="7" t="s">
        <v>156</v>
      </c>
      <c r="F7132" s="39" t="n">
        <v>45983</v>
      </c>
      <c r="G7132" s="41" t="n">
        <v>124.1</v>
      </c>
      <c r="H7132" s="39" t="n">
        <v>45998</v>
      </c>
      <c r="I7132" s="7" t="s">
        <v>14651</v>
      </c>
      <c r="J7132" s="8" t="str">
        <f aca="false">IF(I7132="Open",DATE(2025,12,31)-F7132,"-")</f>
        <v>-</v>
      </c>
    </row>
    <row r="7133" customFormat="false" ht="15" hidden="false" customHeight="false" outlineLevel="0" collapsed="false">
      <c r="B7133" s="7" t="s">
        <v>21779</v>
      </c>
      <c r="C7133" s="7" t="s">
        <v>7630</v>
      </c>
      <c r="D7133" s="7" t="s">
        <v>321</v>
      </c>
      <c r="E7133" s="7" t="s">
        <v>154</v>
      </c>
      <c r="F7133" s="39" t="n">
        <v>45983</v>
      </c>
      <c r="G7133" s="41" t="n">
        <v>110.24</v>
      </c>
      <c r="H7133" s="6" t="s">
        <v>182</v>
      </c>
      <c r="I7133" s="7" t="s">
        <v>19787</v>
      </c>
      <c r="J7133" s="8" t="n">
        <f aca="false">IF(I7133="Open",DATE(2025,12,31)-F7133,"-")</f>
        <v>39</v>
      </c>
    </row>
    <row r="7134" customFormat="false" ht="15" hidden="false" customHeight="false" outlineLevel="0" collapsed="false">
      <c r="B7134" s="7" t="s">
        <v>21780</v>
      </c>
      <c r="C7134" s="7" t="s">
        <v>7631</v>
      </c>
      <c r="D7134" s="7" t="s">
        <v>359</v>
      </c>
      <c r="E7134" s="7" t="s">
        <v>156</v>
      </c>
      <c r="F7134" s="39" t="n">
        <v>45983</v>
      </c>
      <c r="G7134" s="41" t="n">
        <v>147.9</v>
      </c>
      <c r="H7134" s="39" t="n">
        <v>45989</v>
      </c>
      <c r="I7134" s="7" t="s">
        <v>14651</v>
      </c>
      <c r="J7134" s="8" t="str">
        <f aca="false">IF(I7134="Open",DATE(2025,12,31)-F7134,"-")</f>
        <v>-</v>
      </c>
    </row>
    <row r="7135" customFormat="false" ht="15" hidden="false" customHeight="false" outlineLevel="0" collapsed="false">
      <c r="B7135" s="7" t="s">
        <v>21781</v>
      </c>
      <c r="C7135" s="7" t="s">
        <v>7632</v>
      </c>
      <c r="D7135" s="7" t="s">
        <v>387</v>
      </c>
      <c r="E7135" s="7" t="s">
        <v>154</v>
      </c>
      <c r="F7135" s="39" t="n">
        <v>45983</v>
      </c>
      <c r="G7135" s="41" t="n">
        <v>108.46</v>
      </c>
      <c r="H7135" s="6" t="s">
        <v>182</v>
      </c>
      <c r="I7135" s="7" t="s">
        <v>19787</v>
      </c>
      <c r="J7135" s="8" t="n">
        <f aca="false">IF(I7135="Open",DATE(2025,12,31)-F7135,"-")</f>
        <v>39</v>
      </c>
    </row>
    <row r="7136" customFormat="false" ht="15" hidden="false" customHeight="false" outlineLevel="0" collapsed="false">
      <c r="B7136" s="7" t="s">
        <v>21782</v>
      </c>
      <c r="C7136" s="7" t="s">
        <v>7633</v>
      </c>
      <c r="D7136" s="7" t="s">
        <v>391</v>
      </c>
      <c r="E7136" s="7" t="s">
        <v>156</v>
      </c>
      <c r="F7136" s="39" t="n">
        <v>45983</v>
      </c>
      <c r="G7136" s="41" t="n">
        <v>149.26</v>
      </c>
      <c r="H7136" s="39" t="n">
        <v>45992</v>
      </c>
      <c r="I7136" s="7" t="s">
        <v>14651</v>
      </c>
      <c r="J7136" s="8" t="str">
        <f aca="false">IF(I7136="Open",DATE(2025,12,31)-F7136,"-")</f>
        <v>-</v>
      </c>
    </row>
    <row r="7137" customFormat="false" ht="15" hidden="false" customHeight="false" outlineLevel="0" collapsed="false">
      <c r="B7137" s="7" t="s">
        <v>21783</v>
      </c>
      <c r="C7137" s="7" t="s">
        <v>7634</v>
      </c>
      <c r="D7137" s="7" t="s">
        <v>395</v>
      </c>
      <c r="E7137" s="7" t="s">
        <v>156</v>
      </c>
      <c r="F7137" s="39" t="n">
        <v>45983</v>
      </c>
      <c r="G7137" s="41" t="n">
        <v>134.64</v>
      </c>
      <c r="H7137" s="39" t="n">
        <v>45994</v>
      </c>
      <c r="I7137" s="7" t="s">
        <v>14651</v>
      </c>
      <c r="J7137" s="8" t="str">
        <f aca="false">IF(I7137="Open",DATE(2025,12,31)-F7137,"-")</f>
        <v>-</v>
      </c>
    </row>
    <row r="7138" customFormat="false" ht="15" hidden="false" customHeight="false" outlineLevel="0" collapsed="false">
      <c r="B7138" s="7" t="s">
        <v>21784</v>
      </c>
      <c r="C7138" s="7" t="s">
        <v>7635</v>
      </c>
      <c r="D7138" s="7" t="s">
        <v>401</v>
      </c>
      <c r="E7138" s="7" t="s">
        <v>156</v>
      </c>
      <c r="F7138" s="39" t="n">
        <v>45983</v>
      </c>
      <c r="G7138" s="41" t="n">
        <v>140.08</v>
      </c>
      <c r="H7138" s="39" t="n">
        <v>46003</v>
      </c>
      <c r="I7138" s="7" t="s">
        <v>14651</v>
      </c>
      <c r="J7138" s="8" t="str">
        <f aca="false">IF(I7138="Open",DATE(2025,12,31)-F7138,"-")</f>
        <v>-</v>
      </c>
    </row>
    <row r="7139" customFormat="false" ht="15" hidden="false" customHeight="false" outlineLevel="0" collapsed="false">
      <c r="B7139" s="7" t="s">
        <v>21785</v>
      </c>
      <c r="C7139" s="7" t="s">
        <v>7636</v>
      </c>
      <c r="D7139" s="7" t="s">
        <v>321</v>
      </c>
      <c r="E7139" s="7" t="s">
        <v>154</v>
      </c>
      <c r="F7139" s="39" t="n">
        <v>45984</v>
      </c>
      <c r="G7139" s="41" t="n">
        <v>109.44</v>
      </c>
      <c r="H7139" s="6" t="s">
        <v>182</v>
      </c>
      <c r="I7139" s="7" t="s">
        <v>19787</v>
      </c>
      <c r="J7139" s="8" t="n">
        <f aca="false">IF(I7139="Open",DATE(2025,12,31)-F7139,"-")</f>
        <v>38</v>
      </c>
    </row>
    <row r="7140" customFormat="false" ht="15" hidden="false" customHeight="false" outlineLevel="0" collapsed="false">
      <c r="B7140" s="7" t="s">
        <v>21786</v>
      </c>
      <c r="C7140" s="7" t="s">
        <v>7637</v>
      </c>
      <c r="D7140" s="7" t="s">
        <v>359</v>
      </c>
      <c r="E7140" s="7" t="s">
        <v>156</v>
      </c>
      <c r="F7140" s="39" t="n">
        <v>45984</v>
      </c>
      <c r="G7140" s="41" t="n">
        <v>140.08</v>
      </c>
      <c r="H7140" s="39" t="n">
        <v>45992</v>
      </c>
      <c r="I7140" s="7" t="s">
        <v>14651</v>
      </c>
      <c r="J7140" s="8" t="str">
        <f aca="false">IF(I7140="Open",DATE(2025,12,31)-F7140,"-")</f>
        <v>-</v>
      </c>
    </row>
    <row r="7141" customFormat="false" ht="15" hidden="false" customHeight="false" outlineLevel="0" collapsed="false">
      <c r="B7141" s="7" t="s">
        <v>21787</v>
      </c>
      <c r="C7141" s="7" t="s">
        <v>7638</v>
      </c>
      <c r="D7141" s="7" t="s">
        <v>387</v>
      </c>
      <c r="E7141" s="7" t="s">
        <v>154</v>
      </c>
      <c r="F7141" s="39" t="n">
        <v>45984</v>
      </c>
      <c r="G7141" s="41" t="n">
        <v>112.62</v>
      </c>
      <c r="H7141" s="39" t="n">
        <v>46022</v>
      </c>
      <c r="I7141" s="7" t="s">
        <v>14651</v>
      </c>
      <c r="J7141" s="8" t="str">
        <f aca="false">IF(I7141="Open",DATE(2025,12,31)-F7141,"-")</f>
        <v>-</v>
      </c>
    </row>
    <row r="7142" customFormat="false" ht="15" hidden="false" customHeight="false" outlineLevel="0" collapsed="false">
      <c r="B7142" s="7" t="s">
        <v>21788</v>
      </c>
      <c r="C7142" s="7" t="s">
        <v>7639</v>
      </c>
      <c r="D7142" s="7" t="s">
        <v>391</v>
      </c>
      <c r="E7142" s="7" t="s">
        <v>156</v>
      </c>
      <c r="F7142" s="39" t="n">
        <v>45984</v>
      </c>
      <c r="G7142" s="41" t="n">
        <v>133.96</v>
      </c>
      <c r="H7142" s="39" t="n">
        <v>46006</v>
      </c>
      <c r="I7142" s="7" t="s">
        <v>14651</v>
      </c>
      <c r="J7142" s="8" t="str">
        <f aca="false">IF(I7142="Open",DATE(2025,12,31)-F7142,"-")</f>
        <v>-</v>
      </c>
    </row>
    <row r="7143" customFormat="false" ht="15" hidden="false" customHeight="false" outlineLevel="0" collapsed="false">
      <c r="B7143" s="7" t="s">
        <v>21789</v>
      </c>
      <c r="C7143" s="7" t="s">
        <v>7640</v>
      </c>
      <c r="D7143" s="7" t="s">
        <v>395</v>
      </c>
      <c r="E7143" s="7" t="s">
        <v>156</v>
      </c>
      <c r="F7143" s="39" t="n">
        <v>45984</v>
      </c>
      <c r="G7143" s="41" t="n">
        <v>141.44</v>
      </c>
      <c r="H7143" s="39" t="n">
        <v>45993</v>
      </c>
      <c r="I7143" s="7" t="s">
        <v>14651</v>
      </c>
      <c r="J7143" s="8" t="str">
        <f aca="false">IF(I7143="Open",DATE(2025,12,31)-F7143,"-")</f>
        <v>-</v>
      </c>
    </row>
    <row r="7144" customFormat="false" ht="15" hidden="false" customHeight="false" outlineLevel="0" collapsed="false">
      <c r="B7144" s="7" t="s">
        <v>21790</v>
      </c>
      <c r="C7144" s="7" t="s">
        <v>7641</v>
      </c>
      <c r="D7144" s="7" t="s">
        <v>288</v>
      </c>
      <c r="E7144" s="7" t="s">
        <v>156</v>
      </c>
      <c r="F7144" s="39" t="n">
        <v>45985</v>
      </c>
      <c r="G7144" s="41" t="n">
        <v>148.92</v>
      </c>
      <c r="H7144" s="39" t="n">
        <v>45999</v>
      </c>
      <c r="I7144" s="7" t="s">
        <v>14651</v>
      </c>
      <c r="J7144" s="8" t="str">
        <f aca="false">IF(I7144="Open",DATE(2025,12,31)-F7144,"-")</f>
        <v>-</v>
      </c>
    </row>
    <row r="7145" customFormat="false" ht="15" hidden="false" customHeight="false" outlineLevel="0" collapsed="false">
      <c r="B7145" s="7" t="s">
        <v>21791</v>
      </c>
      <c r="C7145" s="7" t="s">
        <v>7642</v>
      </c>
      <c r="D7145" s="7" t="s">
        <v>291</v>
      </c>
      <c r="E7145" s="7" t="s">
        <v>154</v>
      </c>
      <c r="F7145" s="39" t="n">
        <v>45985</v>
      </c>
      <c r="G7145" s="41" t="n">
        <v>128</v>
      </c>
      <c r="H7145" s="6" t="s">
        <v>182</v>
      </c>
      <c r="I7145" s="7" t="s">
        <v>19787</v>
      </c>
      <c r="J7145" s="8" t="n">
        <f aca="false">IF(I7145="Open",DATE(2025,12,31)-F7145,"-")</f>
        <v>37</v>
      </c>
    </row>
    <row r="7146" customFormat="false" ht="15" hidden="false" customHeight="false" outlineLevel="0" collapsed="false">
      <c r="B7146" s="7" t="s">
        <v>21792</v>
      </c>
      <c r="C7146" s="7" t="s">
        <v>7643</v>
      </c>
      <c r="D7146" s="7" t="s">
        <v>295</v>
      </c>
      <c r="E7146" s="7" t="s">
        <v>154</v>
      </c>
      <c r="F7146" s="39" t="n">
        <v>45985</v>
      </c>
      <c r="G7146" s="41" t="n">
        <v>94.6</v>
      </c>
      <c r="H7146" s="6" t="s">
        <v>182</v>
      </c>
      <c r="I7146" s="7" t="s">
        <v>19787</v>
      </c>
      <c r="J7146" s="8" t="n">
        <f aca="false">IF(I7146="Open",DATE(2025,12,31)-F7146,"-")</f>
        <v>37</v>
      </c>
    </row>
    <row r="7147" customFormat="false" ht="15" hidden="false" customHeight="false" outlineLevel="0" collapsed="false">
      <c r="B7147" s="7" t="s">
        <v>21793</v>
      </c>
      <c r="C7147" s="7" t="s">
        <v>7644</v>
      </c>
      <c r="D7147" s="7" t="s">
        <v>297</v>
      </c>
      <c r="E7147" s="7" t="s">
        <v>156</v>
      </c>
      <c r="F7147" s="39" t="n">
        <v>45985</v>
      </c>
      <c r="G7147" s="41" t="n">
        <v>101.32</v>
      </c>
      <c r="H7147" s="39" t="n">
        <v>45997</v>
      </c>
      <c r="I7147" s="7" t="s">
        <v>14651</v>
      </c>
      <c r="J7147" s="8" t="str">
        <f aca="false">IF(I7147="Open",DATE(2025,12,31)-F7147,"-")</f>
        <v>-</v>
      </c>
    </row>
    <row r="7148" customFormat="false" ht="15" hidden="false" customHeight="false" outlineLevel="0" collapsed="false">
      <c r="B7148" s="7" t="s">
        <v>21794</v>
      </c>
      <c r="C7148" s="7" t="s">
        <v>7645</v>
      </c>
      <c r="D7148" s="7" t="s">
        <v>299</v>
      </c>
      <c r="E7148" s="7" t="s">
        <v>154</v>
      </c>
      <c r="F7148" s="39" t="n">
        <v>45985</v>
      </c>
      <c r="G7148" s="41" t="n">
        <v>73.41</v>
      </c>
      <c r="H7148" s="6" t="s">
        <v>182</v>
      </c>
      <c r="I7148" s="7" t="s">
        <v>19787</v>
      </c>
      <c r="J7148" s="8" t="n">
        <f aca="false">IF(I7148="Open",DATE(2025,12,31)-F7148,"-")</f>
        <v>37</v>
      </c>
    </row>
    <row r="7149" customFormat="false" ht="15" hidden="false" customHeight="false" outlineLevel="0" collapsed="false">
      <c r="B7149" s="7" t="s">
        <v>21795</v>
      </c>
      <c r="C7149" s="7" t="s">
        <v>7646</v>
      </c>
      <c r="D7149" s="7" t="s">
        <v>303</v>
      </c>
      <c r="E7149" s="7" t="s">
        <v>154</v>
      </c>
      <c r="F7149" s="39" t="n">
        <v>45985</v>
      </c>
      <c r="G7149" s="41" t="n">
        <v>98.84</v>
      </c>
      <c r="H7149" s="6" t="s">
        <v>182</v>
      </c>
      <c r="I7149" s="7" t="s">
        <v>19787</v>
      </c>
      <c r="J7149" s="8" t="n">
        <f aca="false">IF(I7149="Open",DATE(2025,12,31)-F7149,"-")</f>
        <v>37</v>
      </c>
    </row>
    <row r="7150" customFormat="false" ht="15" hidden="false" customHeight="false" outlineLevel="0" collapsed="false">
      <c r="B7150" s="7" t="s">
        <v>21796</v>
      </c>
      <c r="C7150" s="7" t="s">
        <v>7647</v>
      </c>
      <c r="D7150" s="7" t="s">
        <v>305</v>
      </c>
      <c r="E7150" s="7" t="s">
        <v>154</v>
      </c>
      <c r="F7150" s="39" t="n">
        <v>45985</v>
      </c>
      <c r="G7150" s="41" t="n">
        <v>99.11</v>
      </c>
      <c r="H7150" s="6" t="s">
        <v>182</v>
      </c>
      <c r="I7150" s="7" t="s">
        <v>19787</v>
      </c>
      <c r="J7150" s="8" t="n">
        <f aca="false">IF(I7150="Open",DATE(2025,12,31)-F7150,"-")</f>
        <v>37</v>
      </c>
    </row>
    <row r="7151" customFormat="false" ht="15" hidden="false" customHeight="false" outlineLevel="0" collapsed="false">
      <c r="B7151" s="7" t="s">
        <v>21797</v>
      </c>
      <c r="C7151" s="7" t="s">
        <v>7648</v>
      </c>
      <c r="D7151" s="7" t="s">
        <v>307</v>
      </c>
      <c r="E7151" s="7" t="s">
        <v>157</v>
      </c>
      <c r="F7151" s="39" t="n">
        <v>45985</v>
      </c>
      <c r="G7151" s="41" t="n">
        <v>166.65</v>
      </c>
      <c r="H7151" s="39" t="n">
        <v>46022</v>
      </c>
      <c r="I7151" s="7" t="s">
        <v>14651</v>
      </c>
      <c r="J7151" s="8" t="str">
        <f aca="false">IF(I7151="Open",DATE(2025,12,31)-F7151,"-")</f>
        <v>-</v>
      </c>
    </row>
    <row r="7152" customFormat="false" ht="15" hidden="false" customHeight="false" outlineLevel="0" collapsed="false">
      <c r="B7152" s="7" t="s">
        <v>21798</v>
      </c>
      <c r="C7152" s="7" t="s">
        <v>7649</v>
      </c>
      <c r="D7152" s="7" t="s">
        <v>309</v>
      </c>
      <c r="E7152" s="7" t="s">
        <v>159</v>
      </c>
      <c r="F7152" s="39" t="n">
        <v>45985</v>
      </c>
      <c r="G7152" s="41" t="n">
        <v>136.35</v>
      </c>
      <c r="H7152" s="39" t="n">
        <v>46012</v>
      </c>
      <c r="I7152" s="7" t="s">
        <v>14651</v>
      </c>
      <c r="J7152" s="8" t="str">
        <f aca="false">IF(I7152="Open",DATE(2025,12,31)-F7152,"-")</f>
        <v>-</v>
      </c>
    </row>
    <row r="7153" customFormat="false" ht="15" hidden="false" customHeight="false" outlineLevel="0" collapsed="false">
      <c r="B7153" s="7" t="s">
        <v>21799</v>
      </c>
      <c r="C7153" s="7" t="s">
        <v>7650</v>
      </c>
      <c r="D7153" s="7" t="s">
        <v>311</v>
      </c>
      <c r="E7153" s="7" t="s">
        <v>154</v>
      </c>
      <c r="F7153" s="39" t="n">
        <v>45985</v>
      </c>
      <c r="G7153" s="41" t="n">
        <v>81.09</v>
      </c>
      <c r="H7153" s="6" t="s">
        <v>182</v>
      </c>
      <c r="I7153" s="7" t="s">
        <v>19787</v>
      </c>
      <c r="J7153" s="8" t="n">
        <f aca="false">IF(I7153="Open",DATE(2025,12,31)-F7153,"-")</f>
        <v>37</v>
      </c>
    </row>
    <row r="7154" customFormat="false" ht="15" hidden="false" customHeight="false" outlineLevel="0" collapsed="false">
      <c r="B7154" s="7" t="s">
        <v>21800</v>
      </c>
      <c r="C7154" s="7" t="s">
        <v>7651</v>
      </c>
      <c r="D7154" s="7" t="s">
        <v>313</v>
      </c>
      <c r="E7154" s="7" t="s">
        <v>156</v>
      </c>
      <c r="F7154" s="39" t="n">
        <v>45985</v>
      </c>
      <c r="G7154" s="41" t="n">
        <v>123.42</v>
      </c>
      <c r="H7154" s="39" t="n">
        <v>45988</v>
      </c>
      <c r="I7154" s="7" t="s">
        <v>14651</v>
      </c>
      <c r="J7154" s="8" t="str">
        <f aca="false">IF(I7154="Open",DATE(2025,12,31)-F7154,"-")</f>
        <v>-</v>
      </c>
    </row>
    <row r="7155" customFormat="false" ht="15" hidden="false" customHeight="false" outlineLevel="0" collapsed="false">
      <c r="B7155" s="7" t="s">
        <v>21801</v>
      </c>
      <c r="C7155" s="7" t="s">
        <v>7652</v>
      </c>
      <c r="D7155" s="7" t="s">
        <v>315</v>
      </c>
      <c r="E7155" s="7" t="s">
        <v>159</v>
      </c>
      <c r="F7155" s="39" t="n">
        <v>45985</v>
      </c>
      <c r="G7155" s="41" t="n">
        <v>137.7</v>
      </c>
      <c r="H7155" s="6" t="s">
        <v>182</v>
      </c>
      <c r="I7155" s="7" t="s">
        <v>19787</v>
      </c>
      <c r="J7155" s="8" t="n">
        <f aca="false">IF(I7155="Open",DATE(2025,12,31)-F7155,"-")</f>
        <v>37</v>
      </c>
    </row>
    <row r="7156" customFormat="false" ht="15" hidden="false" customHeight="false" outlineLevel="0" collapsed="false">
      <c r="B7156" s="7" t="s">
        <v>21802</v>
      </c>
      <c r="C7156" s="7" t="s">
        <v>7653</v>
      </c>
      <c r="D7156" s="7" t="s">
        <v>317</v>
      </c>
      <c r="E7156" s="7" t="s">
        <v>156</v>
      </c>
      <c r="F7156" s="39" t="n">
        <v>45985</v>
      </c>
      <c r="G7156" s="41" t="n">
        <v>107.78</v>
      </c>
      <c r="H7156" s="39" t="n">
        <v>45995</v>
      </c>
      <c r="I7156" s="7" t="s">
        <v>14651</v>
      </c>
      <c r="J7156" s="8" t="str">
        <f aca="false">IF(I7156="Open",DATE(2025,12,31)-F7156,"-")</f>
        <v>-</v>
      </c>
    </row>
    <row r="7157" customFormat="false" ht="15" hidden="false" customHeight="false" outlineLevel="0" collapsed="false">
      <c r="B7157" s="7" t="s">
        <v>21803</v>
      </c>
      <c r="C7157" s="7" t="s">
        <v>7654</v>
      </c>
      <c r="D7157" s="7" t="s">
        <v>321</v>
      </c>
      <c r="E7157" s="7" t="s">
        <v>154</v>
      </c>
      <c r="F7157" s="39" t="n">
        <v>45985</v>
      </c>
      <c r="G7157" s="41" t="n">
        <v>95.93</v>
      </c>
      <c r="H7157" s="6" t="s">
        <v>182</v>
      </c>
      <c r="I7157" s="7" t="s">
        <v>19787</v>
      </c>
      <c r="J7157" s="8" t="n">
        <f aca="false">IF(I7157="Open",DATE(2025,12,31)-F7157,"-")</f>
        <v>37</v>
      </c>
    </row>
    <row r="7158" customFormat="false" ht="15" hidden="false" customHeight="false" outlineLevel="0" collapsed="false">
      <c r="B7158" s="7" t="s">
        <v>21804</v>
      </c>
      <c r="C7158" s="7" t="s">
        <v>7655</v>
      </c>
      <c r="D7158" s="7" t="s">
        <v>325</v>
      </c>
      <c r="E7158" s="7" t="s">
        <v>154</v>
      </c>
      <c r="F7158" s="39" t="n">
        <v>45985</v>
      </c>
      <c r="G7158" s="41" t="n">
        <v>74.73</v>
      </c>
      <c r="H7158" s="6" t="s">
        <v>182</v>
      </c>
      <c r="I7158" s="7" t="s">
        <v>19787</v>
      </c>
      <c r="J7158" s="8" t="n">
        <f aca="false">IF(I7158="Open",DATE(2025,12,31)-F7158,"-")</f>
        <v>37</v>
      </c>
    </row>
    <row r="7159" customFormat="false" ht="15" hidden="false" customHeight="false" outlineLevel="0" collapsed="false">
      <c r="B7159" s="7" t="s">
        <v>21805</v>
      </c>
      <c r="C7159" s="7" t="s">
        <v>7656</v>
      </c>
      <c r="D7159" s="7" t="s">
        <v>329</v>
      </c>
      <c r="E7159" s="7" t="s">
        <v>156</v>
      </c>
      <c r="F7159" s="39" t="n">
        <v>45985</v>
      </c>
      <c r="G7159" s="41" t="n">
        <v>126.82</v>
      </c>
      <c r="H7159" s="39" t="n">
        <v>45987</v>
      </c>
      <c r="I7159" s="7" t="s">
        <v>14651</v>
      </c>
      <c r="J7159" s="8" t="str">
        <f aca="false">IF(I7159="Open",DATE(2025,12,31)-F7159,"-")</f>
        <v>-</v>
      </c>
    </row>
    <row r="7160" customFormat="false" ht="15" hidden="false" customHeight="false" outlineLevel="0" collapsed="false">
      <c r="B7160" s="7" t="s">
        <v>21806</v>
      </c>
      <c r="C7160" s="7" t="s">
        <v>7657</v>
      </c>
      <c r="D7160" s="7" t="s">
        <v>333</v>
      </c>
      <c r="E7160" s="7" t="s">
        <v>154</v>
      </c>
      <c r="F7160" s="39" t="n">
        <v>45985</v>
      </c>
      <c r="G7160" s="41" t="n">
        <v>84.53</v>
      </c>
      <c r="H7160" s="6" t="s">
        <v>182</v>
      </c>
      <c r="I7160" s="7" t="s">
        <v>19787</v>
      </c>
      <c r="J7160" s="8" t="n">
        <f aca="false">IF(I7160="Open",DATE(2025,12,31)-F7160,"-")</f>
        <v>37</v>
      </c>
    </row>
    <row r="7161" customFormat="false" ht="15" hidden="false" customHeight="false" outlineLevel="0" collapsed="false">
      <c r="B7161" s="7" t="s">
        <v>21807</v>
      </c>
      <c r="C7161" s="7" t="s">
        <v>7658</v>
      </c>
      <c r="D7161" s="7" t="s">
        <v>335</v>
      </c>
      <c r="E7161" s="7" t="s">
        <v>154</v>
      </c>
      <c r="F7161" s="39" t="n">
        <v>45985</v>
      </c>
      <c r="G7161" s="41" t="n">
        <v>103.09</v>
      </c>
      <c r="H7161" s="6" t="s">
        <v>182</v>
      </c>
      <c r="I7161" s="7" t="s">
        <v>19787</v>
      </c>
      <c r="J7161" s="8" t="n">
        <f aca="false">IF(I7161="Open",DATE(2025,12,31)-F7161,"-")</f>
        <v>37</v>
      </c>
    </row>
    <row r="7162" customFormat="false" ht="15" hidden="false" customHeight="false" outlineLevel="0" collapsed="false">
      <c r="B7162" s="7" t="s">
        <v>21808</v>
      </c>
      <c r="C7162" s="7" t="s">
        <v>7659</v>
      </c>
      <c r="D7162" s="7" t="s">
        <v>339</v>
      </c>
      <c r="E7162" s="7" t="s">
        <v>154</v>
      </c>
      <c r="F7162" s="39" t="n">
        <v>45985</v>
      </c>
      <c r="G7162" s="41" t="n">
        <v>90.1</v>
      </c>
      <c r="H7162" s="39" t="n">
        <v>46021</v>
      </c>
      <c r="I7162" s="7" t="s">
        <v>14651</v>
      </c>
      <c r="J7162" s="8" t="str">
        <f aca="false">IF(I7162="Open",DATE(2025,12,31)-F7162,"-")</f>
        <v>-</v>
      </c>
    </row>
    <row r="7163" customFormat="false" ht="15" hidden="false" customHeight="false" outlineLevel="0" collapsed="false">
      <c r="B7163" s="7" t="s">
        <v>21809</v>
      </c>
      <c r="C7163" s="7" t="s">
        <v>7660</v>
      </c>
      <c r="D7163" s="7" t="s">
        <v>341</v>
      </c>
      <c r="E7163" s="7" t="s">
        <v>156</v>
      </c>
      <c r="F7163" s="39" t="n">
        <v>45985</v>
      </c>
      <c r="G7163" s="41" t="n">
        <v>94.52</v>
      </c>
      <c r="H7163" s="39" t="n">
        <v>45998</v>
      </c>
      <c r="I7163" s="7" t="s">
        <v>14651</v>
      </c>
      <c r="J7163" s="8" t="str">
        <f aca="false">IF(I7163="Open",DATE(2025,12,31)-F7163,"-")</f>
        <v>-</v>
      </c>
    </row>
    <row r="7164" customFormat="false" ht="15" hidden="false" customHeight="false" outlineLevel="0" collapsed="false">
      <c r="B7164" s="7" t="s">
        <v>21810</v>
      </c>
      <c r="C7164" s="7" t="s">
        <v>7661</v>
      </c>
      <c r="D7164" s="7" t="s">
        <v>343</v>
      </c>
      <c r="E7164" s="7" t="s">
        <v>154</v>
      </c>
      <c r="F7164" s="39" t="n">
        <v>45985</v>
      </c>
      <c r="G7164" s="41" t="n">
        <v>95.93</v>
      </c>
      <c r="H7164" s="6" t="s">
        <v>182</v>
      </c>
      <c r="I7164" s="7" t="s">
        <v>19787</v>
      </c>
      <c r="J7164" s="8" t="n">
        <f aca="false">IF(I7164="Open",DATE(2025,12,31)-F7164,"-")</f>
        <v>37</v>
      </c>
    </row>
    <row r="7165" customFormat="false" ht="15" hidden="false" customHeight="false" outlineLevel="0" collapsed="false">
      <c r="B7165" s="7" t="s">
        <v>21811</v>
      </c>
      <c r="C7165" s="7" t="s">
        <v>7662</v>
      </c>
      <c r="D7165" s="7" t="s">
        <v>349</v>
      </c>
      <c r="E7165" s="7" t="s">
        <v>154</v>
      </c>
      <c r="F7165" s="39" t="n">
        <v>45985</v>
      </c>
      <c r="G7165" s="41" t="n">
        <v>113.69</v>
      </c>
      <c r="H7165" s="6" t="s">
        <v>182</v>
      </c>
      <c r="I7165" s="7" t="s">
        <v>19787</v>
      </c>
      <c r="J7165" s="8" t="n">
        <f aca="false">IF(I7165="Open",DATE(2025,12,31)-F7165,"-")</f>
        <v>37</v>
      </c>
    </row>
    <row r="7166" customFormat="false" ht="15" hidden="false" customHeight="false" outlineLevel="0" collapsed="false">
      <c r="B7166" s="7" t="s">
        <v>21812</v>
      </c>
      <c r="C7166" s="7" t="s">
        <v>7663</v>
      </c>
      <c r="D7166" s="7" t="s">
        <v>351</v>
      </c>
      <c r="E7166" s="7" t="s">
        <v>154</v>
      </c>
      <c r="F7166" s="39" t="n">
        <v>45985</v>
      </c>
      <c r="G7166" s="41" t="n">
        <v>72.88</v>
      </c>
      <c r="H7166" s="39" t="n">
        <v>46020</v>
      </c>
      <c r="I7166" s="7" t="s">
        <v>14651</v>
      </c>
      <c r="J7166" s="8" t="str">
        <f aca="false">IF(I7166="Open",DATE(2025,12,31)-F7166,"-")</f>
        <v>-</v>
      </c>
    </row>
    <row r="7167" customFormat="false" ht="15" hidden="false" customHeight="false" outlineLevel="0" collapsed="false">
      <c r="B7167" s="7" t="s">
        <v>21813</v>
      </c>
      <c r="C7167" s="7" t="s">
        <v>7664</v>
      </c>
      <c r="D7167" s="7" t="s">
        <v>353</v>
      </c>
      <c r="E7167" s="7" t="s">
        <v>154</v>
      </c>
      <c r="F7167" s="39" t="n">
        <v>45985</v>
      </c>
      <c r="G7167" s="41" t="n">
        <v>93.28</v>
      </c>
      <c r="H7167" s="6" t="s">
        <v>182</v>
      </c>
      <c r="I7167" s="7" t="s">
        <v>19787</v>
      </c>
      <c r="J7167" s="8" t="n">
        <f aca="false">IF(I7167="Open",DATE(2025,12,31)-F7167,"-")</f>
        <v>37</v>
      </c>
    </row>
    <row r="7168" customFormat="false" ht="15" hidden="false" customHeight="false" outlineLevel="0" collapsed="false">
      <c r="B7168" s="7" t="s">
        <v>21814</v>
      </c>
      <c r="C7168" s="7" t="s">
        <v>7665</v>
      </c>
      <c r="D7168" s="7" t="s">
        <v>355</v>
      </c>
      <c r="E7168" s="7" t="s">
        <v>154</v>
      </c>
      <c r="F7168" s="39" t="n">
        <v>45985</v>
      </c>
      <c r="G7168" s="41" t="n">
        <v>95.93</v>
      </c>
      <c r="H7168" s="6" t="s">
        <v>182</v>
      </c>
      <c r="I7168" s="7" t="s">
        <v>19787</v>
      </c>
      <c r="J7168" s="8" t="n">
        <f aca="false">IF(I7168="Open",DATE(2025,12,31)-F7168,"-")</f>
        <v>37</v>
      </c>
    </row>
    <row r="7169" customFormat="false" ht="15" hidden="false" customHeight="false" outlineLevel="0" collapsed="false">
      <c r="B7169" s="7" t="s">
        <v>21815</v>
      </c>
      <c r="C7169" s="7" t="s">
        <v>7666</v>
      </c>
      <c r="D7169" s="7" t="s">
        <v>357</v>
      </c>
      <c r="E7169" s="7" t="s">
        <v>154</v>
      </c>
      <c r="F7169" s="39" t="n">
        <v>45985</v>
      </c>
      <c r="G7169" s="41" t="n">
        <v>84.06</v>
      </c>
      <c r="H7169" s="6" t="s">
        <v>182</v>
      </c>
      <c r="I7169" s="7" t="s">
        <v>19787</v>
      </c>
      <c r="J7169" s="8" t="n">
        <f aca="false">IF(I7169="Open",DATE(2025,12,31)-F7169,"-")</f>
        <v>37</v>
      </c>
    </row>
    <row r="7170" customFormat="false" ht="15" hidden="false" customHeight="false" outlineLevel="0" collapsed="false">
      <c r="B7170" s="7" t="s">
        <v>21816</v>
      </c>
      <c r="C7170" s="7" t="s">
        <v>7667</v>
      </c>
      <c r="D7170" s="7" t="s">
        <v>359</v>
      </c>
      <c r="E7170" s="7" t="s">
        <v>156</v>
      </c>
      <c r="F7170" s="39" t="n">
        <v>45985</v>
      </c>
      <c r="G7170" s="41" t="n">
        <v>123.42</v>
      </c>
      <c r="H7170" s="39" t="n">
        <v>45999</v>
      </c>
      <c r="I7170" s="7" t="s">
        <v>14651</v>
      </c>
      <c r="J7170" s="8" t="str">
        <f aca="false">IF(I7170="Open",DATE(2025,12,31)-F7170,"-")</f>
        <v>-</v>
      </c>
    </row>
    <row r="7171" customFormat="false" ht="15" hidden="false" customHeight="false" outlineLevel="0" collapsed="false">
      <c r="B7171" s="7" t="s">
        <v>21817</v>
      </c>
      <c r="C7171" s="7" t="s">
        <v>7668</v>
      </c>
      <c r="D7171" s="7" t="s">
        <v>363</v>
      </c>
      <c r="E7171" s="7" t="s">
        <v>156</v>
      </c>
      <c r="F7171" s="39" t="n">
        <v>45985</v>
      </c>
      <c r="G7171" s="41" t="n">
        <v>147.56</v>
      </c>
      <c r="H7171" s="39" t="n">
        <v>46001</v>
      </c>
      <c r="I7171" s="7" t="s">
        <v>14651</v>
      </c>
      <c r="J7171" s="8" t="str">
        <f aca="false">IF(I7171="Open",DATE(2025,12,31)-F7171,"-")</f>
        <v>-</v>
      </c>
    </row>
    <row r="7172" customFormat="false" ht="15" hidden="false" customHeight="false" outlineLevel="0" collapsed="false">
      <c r="B7172" s="7" t="s">
        <v>21818</v>
      </c>
      <c r="C7172" s="7" t="s">
        <v>7669</v>
      </c>
      <c r="D7172" s="7" t="s">
        <v>365</v>
      </c>
      <c r="E7172" s="7" t="s">
        <v>154</v>
      </c>
      <c r="F7172" s="39" t="n">
        <v>45985</v>
      </c>
      <c r="G7172" s="41" t="n">
        <v>111.3</v>
      </c>
      <c r="H7172" s="6" t="s">
        <v>182</v>
      </c>
      <c r="I7172" s="7" t="s">
        <v>19787</v>
      </c>
      <c r="J7172" s="8" t="n">
        <f aca="false">IF(I7172="Open",DATE(2025,12,31)-F7172,"-")</f>
        <v>37</v>
      </c>
    </row>
    <row r="7173" customFormat="false" ht="15" hidden="false" customHeight="false" outlineLevel="0" collapsed="false">
      <c r="B7173" s="7" t="s">
        <v>21819</v>
      </c>
      <c r="C7173" s="7" t="s">
        <v>7670</v>
      </c>
      <c r="D7173" s="7" t="s">
        <v>367</v>
      </c>
      <c r="E7173" s="7" t="s">
        <v>156</v>
      </c>
      <c r="F7173" s="39" t="n">
        <v>45985</v>
      </c>
      <c r="G7173" s="41" t="n">
        <v>105.06</v>
      </c>
      <c r="H7173" s="39" t="n">
        <v>46004</v>
      </c>
      <c r="I7173" s="7" t="s">
        <v>14651</v>
      </c>
      <c r="J7173" s="8" t="str">
        <f aca="false">IF(I7173="Open",DATE(2025,12,31)-F7173,"-")</f>
        <v>-</v>
      </c>
    </row>
    <row r="7174" customFormat="false" ht="15" hidden="false" customHeight="false" outlineLevel="0" collapsed="false">
      <c r="B7174" s="7" t="s">
        <v>21820</v>
      </c>
      <c r="C7174" s="7" t="s">
        <v>7671</v>
      </c>
      <c r="D7174" s="7" t="s">
        <v>371</v>
      </c>
      <c r="E7174" s="7" t="s">
        <v>154</v>
      </c>
      <c r="F7174" s="39" t="n">
        <v>45985</v>
      </c>
      <c r="G7174" s="41" t="n">
        <v>116.87</v>
      </c>
      <c r="H7174" s="39" t="n">
        <v>46020</v>
      </c>
      <c r="I7174" s="7" t="s">
        <v>14651</v>
      </c>
      <c r="J7174" s="8" t="str">
        <f aca="false">IF(I7174="Open",DATE(2025,12,31)-F7174,"-")</f>
        <v>-</v>
      </c>
    </row>
    <row r="7175" customFormat="false" ht="15" hidden="false" customHeight="false" outlineLevel="0" collapsed="false">
      <c r="B7175" s="7" t="s">
        <v>21821</v>
      </c>
      <c r="C7175" s="7" t="s">
        <v>7672</v>
      </c>
      <c r="D7175" s="7" t="s">
        <v>375</v>
      </c>
      <c r="E7175" s="7" t="s">
        <v>156</v>
      </c>
      <c r="F7175" s="39" t="n">
        <v>45985</v>
      </c>
      <c r="G7175" s="41" t="n">
        <v>105.4</v>
      </c>
      <c r="H7175" s="39" t="n">
        <v>46000</v>
      </c>
      <c r="I7175" s="7" t="s">
        <v>14651</v>
      </c>
      <c r="J7175" s="8" t="str">
        <f aca="false">IF(I7175="Open",DATE(2025,12,31)-F7175,"-")</f>
        <v>-</v>
      </c>
    </row>
    <row r="7176" customFormat="false" ht="15" hidden="false" customHeight="false" outlineLevel="0" collapsed="false">
      <c r="B7176" s="7" t="s">
        <v>21822</v>
      </c>
      <c r="C7176" s="7" t="s">
        <v>7673</v>
      </c>
      <c r="D7176" s="7" t="s">
        <v>377</v>
      </c>
      <c r="E7176" s="7" t="s">
        <v>154</v>
      </c>
      <c r="F7176" s="39" t="n">
        <v>45985</v>
      </c>
      <c r="G7176" s="41" t="n">
        <v>108.65</v>
      </c>
      <c r="H7176" s="6" t="s">
        <v>182</v>
      </c>
      <c r="I7176" s="7" t="s">
        <v>19787</v>
      </c>
      <c r="J7176" s="8" t="n">
        <f aca="false">IF(I7176="Open",DATE(2025,12,31)-F7176,"-")</f>
        <v>37</v>
      </c>
    </row>
    <row r="7177" customFormat="false" ht="15" hidden="false" customHeight="false" outlineLevel="0" collapsed="false">
      <c r="B7177" s="7" t="s">
        <v>21823</v>
      </c>
      <c r="C7177" s="7" t="s">
        <v>7674</v>
      </c>
      <c r="D7177" s="7" t="s">
        <v>379</v>
      </c>
      <c r="E7177" s="7" t="s">
        <v>156</v>
      </c>
      <c r="F7177" s="39" t="n">
        <v>45985</v>
      </c>
      <c r="G7177" s="41" t="n">
        <v>172.38</v>
      </c>
      <c r="H7177" s="39" t="n">
        <v>45996</v>
      </c>
      <c r="I7177" s="7" t="s">
        <v>14651</v>
      </c>
      <c r="J7177" s="8" t="str">
        <f aca="false">IF(I7177="Open",DATE(2025,12,31)-F7177,"-")</f>
        <v>-</v>
      </c>
    </row>
    <row r="7178" customFormat="false" ht="15" hidden="false" customHeight="false" outlineLevel="0" collapsed="false">
      <c r="B7178" s="7" t="s">
        <v>21824</v>
      </c>
      <c r="C7178" s="7" t="s">
        <v>7675</v>
      </c>
      <c r="D7178" s="7" t="s">
        <v>385</v>
      </c>
      <c r="E7178" s="7" t="s">
        <v>156</v>
      </c>
      <c r="F7178" s="39" t="n">
        <v>45985</v>
      </c>
      <c r="G7178" s="41" t="n">
        <v>133.28</v>
      </c>
      <c r="H7178" s="39" t="n">
        <v>45988</v>
      </c>
      <c r="I7178" s="7" t="s">
        <v>14651</v>
      </c>
      <c r="J7178" s="8" t="str">
        <f aca="false">IF(I7178="Open",DATE(2025,12,31)-F7178,"-")</f>
        <v>-</v>
      </c>
    </row>
    <row r="7179" customFormat="false" ht="15" hidden="false" customHeight="false" outlineLevel="0" collapsed="false">
      <c r="B7179" s="7" t="s">
        <v>21825</v>
      </c>
      <c r="C7179" s="7" t="s">
        <v>7676</v>
      </c>
      <c r="D7179" s="7" t="s">
        <v>387</v>
      </c>
      <c r="E7179" s="7" t="s">
        <v>154</v>
      </c>
      <c r="F7179" s="39" t="n">
        <v>45985</v>
      </c>
      <c r="G7179" s="41" t="n">
        <v>102.56</v>
      </c>
      <c r="H7179" s="6" t="s">
        <v>182</v>
      </c>
      <c r="I7179" s="7" t="s">
        <v>19787</v>
      </c>
      <c r="J7179" s="8" t="n">
        <f aca="false">IF(I7179="Open",DATE(2025,12,31)-F7179,"-")</f>
        <v>37</v>
      </c>
    </row>
    <row r="7180" customFormat="false" ht="15" hidden="false" customHeight="false" outlineLevel="0" collapsed="false">
      <c r="B7180" s="7" t="s">
        <v>21826</v>
      </c>
      <c r="C7180" s="7" t="s">
        <v>7677</v>
      </c>
      <c r="D7180" s="7" t="s">
        <v>389</v>
      </c>
      <c r="E7180" s="7" t="s">
        <v>154</v>
      </c>
      <c r="F7180" s="39" t="n">
        <v>45985</v>
      </c>
      <c r="G7180" s="41" t="n">
        <v>105.73</v>
      </c>
      <c r="H7180" s="6" t="s">
        <v>182</v>
      </c>
      <c r="I7180" s="7" t="s">
        <v>19787</v>
      </c>
      <c r="J7180" s="8" t="n">
        <f aca="false">IF(I7180="Open",DATE(2025,12,31)-F7180,"-")</f>
        <v>37</v>
      </c>
    </row>
    <row r="7181" customFormat="false" ht="15" hidden="false" customHeight="false" outlineLevel="0" collapsed="false">
      <c r="B7181" s="7" t="s">
        <v>21827</v>
      </c>
      <c r="C7181" s="7" t="s">
        <v>7678</v>
      </c>
      <c r="D7181" s="7" t="s">
        <v>395</v>
      </c>
      <c r="E7181" s="7" t="s">
        <v>156</v>
      </c>
      <c r="F7181" s="39" t="n">
        <v>45985</v>
      </c>
      <c r="G7181" s="41" t="n">
        <v>127.5</v>
      </c>
      <c r="H7181" s="39" t="n">
        <v>45993</v>
      </c>
      <c r="I7181" s="7" t="s">
        <v>14651</v>
      </c>
      <c r="J7181" s="8" t="str">
        <f aca="false">IF(I7181="Open",DATE(2025,12,31)-F7181,"-")</f>
        <v>-</v>
      </c>
    </row>
    <row r="7182" customFormat="false" ht="15" hidden="false" customHeight="false" outlineLevel="0" collapsed="false">
      <c r="B7182" s="7" t="s">
        <v>21828</v>
      </c>
      <c r="C7182" s="7" t="s">
        <v>7679</v>
      </c>
      <c r="D7182" s="7" t="s">
        <v>399</v>
      </c>
      <c r="E7182" s="7" t="s">
        <v>154</v>
      </c>
      <c r="F7182" s="39" t="n">
        <v>45985</v>
      </c>
      <c r="G7182" s="41" t="n">
        <v>86.92</v>
      </c>
      <c r="H7182" s="6" t="s">
        <v>182</v>
      </c>
      <c r="I7182" s="7" t="s">
        <v>19787</v>
      </c>
      <c r="J7182" s="8" t="n">
        <f aca="false">IF(I7182="Open",DATE(2025,12,31)-F7182,"-")</f>
        <v>37</v>
      </c>
    </row>
    <row r="7183" customFormat="false" ht="15" hidden="false" customHeight="false" outlineLevel="0" collapsed="false">
      <c r="B7183" s="7" t="s">
        <v>21829</v>
      </c>
      <c r="C7183" s="7" t="s">
        <v>7680</v>
      </c>
      <c r="D7183" s="7" t="s">
        <v>401</v>
      </c>
      <c r="E7183" s="7" t="s">
        <v>156</v>
      </c>
      <c r="F7183" s="39" t="n">
        <v>45985</v>
      </c>
      <c r="G7183" s="41" t="n">
        <v>141.1</v>
      </c>
      <c r="H7183" s="39" t="n">
        <v>45999</v>
      </c>
      <c r="I7183" s="7" t="s">
        <v>14651</v>
      </c>
      <c r="J7183" s="8" t="str">
        <f aca="false">IF(I7183="Open",DATE(2025,12,31)-F7183,"-")</f>
        <v>-</v>
      </c>
    </row>
    <row r="7184" customFormat="false" ht="15" hidden="false" customHeight="false" outlineLevel="0" collapsed="false">
      <c r="B7184" s="7" t="s">
        <v>21830</v>
      </c>
      <c r="C7184" s="7" t="s">
        <v>7681</v>
      </c>
      <c r="D7184" s="7" t="s">
        <v>403</v>
      </c>
      <c r="E7184" s="7" t="s">
        <v>156</v>
      </c>
      <c r="F7184" s="39" t="n">
        <v>45985</v>
      </c>
      <c r="G7184" s="41" t="n">
        <v>139.06</v>
      </c>
      <c r="H7184" s="39" t="n">
        <v>45997</v>
      </c>
      <c r="I7184" s="7" t="s">
        <v>14651</v>
      </c>
      <c r="J7184" s="8" t="str">
        <f aca="false">IF(I7184="Open",DATE(2025,12,31)-F7184,"-")</f>
        <v>-</v>
      </c>
    </row>
    <row r="7185" customFormat="false" ht="15" hidden="false" customHeight="false" outlineLevel="0" collapsed="false">
      <c r="B7185" s="7" t="s">
        <v>21831</v>
      </c>
      <c r="C7185" s="7" t="s">
        <v>7682</v>
      </c>
      <c r="D7185" s="7" t="s">
        <v>409</v>
      </c>
      <c r="E7185" s="7" t="s">
        <v>154</v>
      </c>
      <c r="F7185" s="39" t="n">
        <v>45985</v>
      </c>
      <c r="G7185" s="41" t="n">
        <v>80.56</v>
      </c>
      <c r="H7185" s="6" t="s">
        <v>182</v>
      </c>
      <c r="I7185" s="7" t="s">
        <v>19787</v>
      </c>
      <c r="J7185" s="8" t="n">
        <f aca="false">IF(I7185="Open",DATE(2025,12,31)-F7185,"-")</f>
        <v>37</v>
      </c>
    </row>
    <row r="7186" customFormat="false" ht="15" hidden="false" customHeight="false" outlineLevel="0" collapsed="false">
      <c r="B7186" s="7" t="s">
        <v>21832</v>
      </c>
      <c r="C7186" s="7" t="s">
        <v>7683</v>
      </c>
      <c r="D7186" s="7" t="s">
        <v>411</v>
      </c>
      <c r="E7186" s="7" t="s">
        <v>154</v>
      </c>
      <c r="F7186" s="39" t="n">
        <v>45985</v>
      </c>
      <c r="G7186" s="41" t="n">
        <v>122.69</v>
      </c>
      <c r="H7186" s="6" t="s">
        <v>182</v>
      </c>
      <c r="I7186" s="7" t="s">
        <v>19787</v>
      </c>
      <c r="J7186" s="8" t="n">
        <f aca="false">IF(I7186="Open",DATE(2025,12,31)-F7186,"-")</f>
        <v>37</v>
      </c>
    </row>
    <row r="7187" customFormat="false" ht="15" hidden="false" customHeight="false" outlineLevel="0" collapsed="false">
      <c r="B7187" s="7" t="s">
        <v>21833</v>
      </c>
      <c r="C7187" s="7" t="s">
        <v>7684</v>
      </c>
      <c r="D7187" s="7" t="s">
        <v>288</v>
      </c>
      <c r="E7187" s="7" t="s">
        <v>156</v>
      </c>
      <c r="F7187" s="39" t="n">
        <v>45986</v>
      </c>
      <c r="G7187" s="41" t="n">
        <v>132.6</v>
      </c>
      <c r="H7187" s="39" t="n">
        <v>45992</v>
      </c>
      <c r="I7187" s="7" t="s">
        <v>14651</v>
      </c>
      <c r="J7187" s="8" t="str">
        <f aca="false">IF(I7187="Open",DATE(2025,12,31)-F7187,"-")</f>
        <v>-</v>
      </c>
    </row>
    <row r="7188" customFormat="false" ht="15" hidden="false" customHeight="false" outlineLevel="0" collapsed="false">
      <c r="B7188" s="7" t="s">
        <v>21834</v>
      </c>
      <c r="C7188" s="7" t="s">
        <v>7685</v>
      </c>
      <c r="D7188" s="7" t="s">
        <v>293</v>
      </c>
      <c r="E7188" s="7" t="s">
        <v>157</v>
      </c>
      <c r="F7188" s="39" t="n">
        <v>45986</v>
      </c>
      <c r="G7188" s="41" t="n">
        <v>153.45</v>
      </c>
      <c r="H7188" s="6" t="s">
        <v>182</v>
      </c>
      <c r="I7188" s="7" t="s">
        <v>19787</v>
      </c>
      <c r="J7188" s="8" t="n">
        <f aca="false">IF(I7188="Open",DATE(2025,12,31)-F7188,"-")</f>
        <v>36</v>
      </c>
    </row>
    <row r="7189" customFormat="false" ht="15" hidden="false" customHeight="false" outlineLevel="0" collapsed="false">
      <c r="B7189" s="7" t="s">
        <v>21835</v>
      </c>
      <c r="C7189" s="7" t="s">
        <v>7686</v>
      </c>
      <c r="D7189" s="7" t="s">
        <v>301</v>
      </c>
      <c r="E7189" s="7" t="s">
        <v>157</v>
      </c>
      <c r="F7189" s="39" t="n">
        <v>45986</v>
      </c>
      <c r="G7189" s="41" t="n">
        <v>161.7</v>
      </c>
      <c r="H7189" s="6" t="s">
        <v>182</v>
      </c>
      <c r="I7189" s="7" t="s">
        <v>19787</v>
      </c>
      <c r="J7189" s="8" t="n">
        <f aca="false">IF(I7189="Open",DATE(2025,12,31)-F7189,"-")</f>
        <v>36</v>
      </c>
    </row>
    <row r="7190" customFormat="false" ht="15" hidden="false" customHeight="false" outlineLevel="0" collapsed="false">
      <c r="B7190" s="7" t="s">
        <v>21836</v>
      </c>
      <c r="C7190" s="7" t="s">
        <v>7687</v>
      </c>
      <c r="D7190" s="7" t="s">
        <v>313</v>
      </c>
      <c r="E7190" s="7" t="s">
        <v>156</v>
      </c>
      <c r="F7190" s="39" t="n">
        <v>45986</v>
      </c>
      <c r="G7190" s="41" t="n">
        <v>146.88</v>
      </c>
      <c r="H7190" s="39" t="n">
        <v>45994</v>
      </c>
      <c r="I7190" s="7" t="s">
        <v>14651</v>
      </c>
      <c r="J7190" s="8" t="str">
        <f aca="false">IF(I7190="Open",DATE(2025,12,31)-F7190,"-")</f>
        <v>-</v>
      </c>
    </row>
    <row r="7191" customFormat="false" ht="15" hidden="false" customHeight="false" outlineLevel="0" collapsed="false">
      <c r="B7191" s="7" t="s">
        <v>21837</v>
      </c>
      <c r="C7191" s="7" t="s">
        <v>7688</v>
      </c>
      <c r="D7191" s="7" t="s">
        <v>319</v>
      </c>
      <c r="E7191" s="7" t="s">
        <v>157</v>
      </c>
      <c r="F7191" s="39" t="n">
        <v>45986</v>
      </c>
      <c r="G7191" s="41" t="n">
        <v>169.95</v>
      </c>
      <c r="H7191" s="6" t="s">
        <v>182</v>
      </c>
      <c r="I7191" s="7" t="s">
        <v>19787</v>
      </c>
      <c r="J7191" s="8" t="n">
        <f aca="false">IF(I7191="Open",DATE(2025,12,31)-F7191,"-")</f>
        <v>36</v>
      </c>
    </row>
    <row r="7192" customFormat="false" ht="15" hidden="false" customHeight="false" outlineLevel="0" collapsed="false">
      <c r="B7192" s="7" t="s">
        <v>21838</v>
      </c>
      <c r="C7192" s="7" t="s">
        <v>7689</v>
      </c>
      <c r="D7192" s="7" t="s">
        <v>321</v>
      </c>
      <c r="E7192" s="7" t="s">
        <v>154</v>
      </c>
      <c r="F7192" s="39" t="n">
        <v>45986</v>
      </c>
      <c r="G7192" s="41" t="n">
        <v>110.77</v>
      </c>
      <c r="H7192" s="6" t="s">
        <v>182</v>
      </c>
      <c r="I7192" s="7" t="s">
        <v>19787</v>
      </c>
      <c r="J7192" s="8" t="n">
        <f aca="false">IF(I7192="Open",DATE(2025,12,31)-F7192,"-")</f>
        <v>36</v>
      </c>
    </row>
    <row r="7193" customFormat="false" ht="15" hidden="false" customHeight="false" outlineLevel="0" collapsed="false">
      <c r="B7193" s="7" t="s">
        <v>21839</v>
      </c>
      <c r="C7193" s="7" t="s">
        <v>7690</v>
      </c>
      <c r="D7193" s="7" t="s">
        <v>323</v>
      </c>
      <c r="E7193" s="7" t="s">
        <v>159</v>
      </c>
      <c r="F7193" s="39" t="n">
        <v>45986</v>
      </c>
      <c r="G7193" s="41" t="n">
        <v>137.7</v>
      </c>
      <c r="H7193" s="39" t="n">
        <v>46004</v>
      </c>
      <c r="I7193" s="7" t="s">
        <v>14651</v>
      </c>
      <c r="J7193" s="8" t="str">
        <f aca="false">IF(I7193="Open",DATE(2025,12,31)-F7193,"-")</f>
        <v>-</v>
      </c>
    </row>
    <row r="7194" customFormat="false" ht="15" hidden="false" customHeight="false" outlineLevel="0" collapsed="false">
      <c r="B7194" s="7" t="s">
        <v>21840</v>
      </c>
      <c r="C7194" s="7" t="s">
        <v>7691</v>
      </c>
      <c r="D7194" s="7" t="s">
        <v>327</v>
      </c>
      <c r="E7194" s="7" t="s">
        <v>157</v>
      </c>
      <c r="F7194" s="39" t="n">
        <v>45986</v>
      </c>
      <c r="G7194" s="41" t="n">
        <v>173.25</v>
      </c>
      <c r="H7194" s="39" t="n">
        <v>46005</v>
      </c>
      <c r="I7194" s="7" t="s">
        <v>14651</v>
      </c>
      <c r="J7194" s="8" t="str">
        <f aca="false">IF(I7194="Open",DATE(2025,12,31)-F7194,"-")</f>
        <v>-</v>
      </c>
    </row>
    <row r="7195" customFormat="false" ht="15" hidden="false" customHeight="false" outlineLevel="0" collapsed="false">
      <c r="B7195" s="7" t="s">
        <v>21841</v>
      </c>
      <c r="C7195" s="7" t="s">
        <v>7692</v>
      </c>
      <c r="D7195" s="7" t="s">
        <v>329</v>
      </c>
      <c r="E7195" s="7" t="s">
        <v>156</v>
      </c>
      <c r="F7195" s="39" t="n">
        <v>45986</v>
      </c>
      <c r="G7195" s="41" t="n">
        <v>131.24</v>
      </c>
      <c r="H7195" s="39" t="n">
        <v>45996</v>
      </c>
      <c r="I7195" s="7" t="s">
        <v>14651</v>
      </c>
      <c r="J7195" s="8" t="str">
        <f aca="false">IF(I7195="Open",DATE(2025,12,31)-F7195,"-")</f>
        <v>-</v>
      </c>
    </row>
    <row r="7196" customFormat="false" ht="15" hidden="false" customHeight="false" outlineLevel="0" collapsed="false">
      <c r="B7196" s="7" t="s">
        <v>21842</v>
      </c>
      <c r="C7196" s="7" t="s">
        <v>7693</v>
      </c>
      <c r="D7196" s="7" t="s">
        <v>349</v>
      </c>
      <c r="E7196" s="7" t="s">
        <v>154</v>
      </c>
      <c r="F7196" s="39" t="n">
        <v>45986</v>
      </c>
      <c r="G7196" s="41" t="n">
        <v>101.5</v>
      </c>
      <c r="H7196" s="6" t="s">
        <v>182</v>
      </c>
      <c r="I7196" s="7" t="s">
        <v>19787</v>
      </c>
      <c r="J7196" s="8" t="n">
        <f aca="false">IF(I7196="Open",DATE(2025,12,31)-F7196,"-")</f>
        <v>36</v>
      </c>
    </row>
    <row r="7197" customFormat="false" ht="15" hidden="false" customHeight="false" outlineLevel="0" collapsed="false">
      <c r="B7197" s="7" t="s">
        <v>21843</v>
      </c>
      <c r="C7197" s="7" t="s">
        <v>7694</v>
      </c>
      <c r="D7197" s="7" t="s">
        <v>359</v>
      </c>
      <c r="E7197" s="7" t="s">
        <v>156</v>
      </c>
      <c r="F7197" s="39" t="n">
        <v>45986</v>
      </c>
      <c r="G7197" s="41" t="n">
        <v>146.88</v>
      </c>
      <c r="H7197" s="39" t="n">
        <v>45999</v>
      </c>
      <c r="I7197" s="7" t="s">
        <v>14651</v>
      </c>
      <c r="J7197" s="8" t="str">
        <f aca="false">IF(I7197="Open",DATE(2025,12,31)-F7197,"-")</f>
        <v>-</v>
      </c>
    </row>
    <row r="7198" customFormat="false" ht="15" hidden="false" customHeight="false" outlineLevel="0" collapsed="false">
      <c r="B7198" s="7" t="s">
        <v>21844</v>
      </c>
      <c r="C7198" s="7" t="s">
        <v>7695</v>
      </c>
      <c r="D7198" s="7" t="s">
        <v>361</v>
      </c>
      <c r="E7198" s="7" t="s">
        <v>157</v>
      </c>
      <c r="F7198" s="39" t="n">
        <v>45986</v>
      </c>
      <c r="G7198" s="41" t="n">
        <v>173.25</v>
      </c>
      <c r="H7198" s="6" t="s">
        <v>182</v>
      </c>
      <c r="I7198" s="7" t="s">
        <v>19787</v>
      </c>
      <c r="J7198" s="8" t="n">
        <f aca="false">IF(I7198="Open",DATE(2025,12,31)-F7198,"-")</f>
        <v>36</v>
      </c>
    </row>
    <row r="7199" customFormat="false" ht="15" hidden="false" customHeight="false" outlineLevel="0" collapsed="false">
      <c r="B7199" s="7" t="s">
        <v>21845</v>
      </c>
      <c r="C7199" s="7" t="s">
        <v>7696</v>
      </c>
      <c r="D7199" s="7" t="s">
        <v>365</v>
      </c>
      <c r="E7199" s="7" t="s">
        <v>154</v>
      </c>
      <c r="F7199" s="39" t="n">
        <v>45986</v>
      </c>
      <c r="G7199" s="41" t="n">
        <v>98.05</v>
      </c>
      <c r="H7199" s="6" t="s">
        <v>182</v>
      </c>
      <c r="I7199" s="7" t="s">
        <v>19787</v>
      </c>
      <c r="J7199" s="8" t="n">
        <f aca="false">IF(I7199="Open",DATE(2025,12,31)-F7199,"-")</f>
        <v>36</v>
      </c>
    </row>
    <row r="7200" customFormat="false" ht="15" hidden="false" customHeight="false" outlineLevel="0" collapsed="false">
      <c r="B7200" s="7" t="s">
        <v>21846</v>
      </c>
      <c r="C7200" s="7" t="s">
        <v>7697</v>
      </c>
      <c r="D7200" s="7" t="s">
        <v>369</v>
      </c>
      <c r="E7200" s="7" t="s">
        <v>159</v>
      </c>
      <c r="F7200" s="39" t="n">
        <v>45986</v>
      </c>
      <c r="G7200" s="41" t="n">
        <v>128.25</v>
      </c>
      <c r="H7200" s="6" t="s">
        <v>182</v>
      </c>
      <c r="I7200" s="7" t="s">
        <v>19787</v>
      </c>
      <c r="J7200" s="8" t="n">
        <f aca="false">IF(I7200="Open",DATE(2025,12,31)-F7200,"-")</f>
        <v>36</v>
      </c>
    </row>
    <row r="7201" customFormat="false" ht="15" hidden="false" customHeight="false" outlineLevel="0" collapsed="false">
      <c r="B7201" s="7" t="s">
        <v>21847</v>
      </c>
      <c r="C7201" s="7" t="s">
        <v>7698</v>
      </c>
      <c r="D7201" s="7" t="s">
        <v>381</v>
      </c>
      <c r="E7201" s="7" t="s">
        <v>157</v>
      </c>
      <c r="F7201" s="39" t="n">
        <v>45986</v>
      </c>
      <c r="G7201" s="41" t="n">
        <v>160.05</v>
      </c>
      <c r="H7201" s="39" t="n">
        <v>46009</v>
      </c>
      <c r="I7201" s="7" t="s">
        <v>14651</v>
      </c>
      <c r="J7201" s="8" t="str">
        <f aca="false">IF(I7201="Open",DATE(2025,12,31)-F7201,"-")</f>
        <v>-</v>
      </c>
    </row>
    <row r="7202" customFormat="false" ht="15" hidden="false" customHeight="false" outlineLevel="0" collapsed="false">
      <c r="B7202" s="7" t="s">
        <v>21848</v>
      </c>
      <c r="C7202" s="7" t="s">
        <v>7699</v>
      </c>
      <c r="D7202" s="7" t="s">
        <v>383</v>
      </c>
      <c r="E7202" s="7" t="s">
        <v>157</v>
      </c>
      <c r="F7202" s="39" t="n">
        <v>45986</v>
      </c>
      <c r="G7202" s="41" t="n">
        <v>167.64</v>
      </c>
      <c r="H7202" s="6" t="s">
        <v>182</v>
      </c>
      <c r="I7202" s="7" t="s">
        <v>19787</v>
      </c>
      <c r="J7202" s="8" t="n">
        <f aca="false">IF(I7202="Open",DATE(2025,12,31)-F7202,"-")</f>
        <v>36</v>
      </c>
    </row>
    <row r="7203" customFormat="false" ht="15" hidden="false" customHeight="false" outlineLevel="0" collapsed="false">
      <c r="B7203" s="7" t="s">
        <v>21849</v>
      </c>
      <c r="C7203" s="7" t="s">
        <v>7700</v>
      </c>
      <c r="D7203" s="7" t="s">
        <v>387</v>
      </c>
      <c r="E7203" s="7" t="s">
        <v>154</v>
      </c>
      <c r="F7203" s="39" t="n">
        <v>45986</v>
      </c>
      <c r="G7203" s="41" t="n">
        <v>99.11</v>
      </c>
      <c r="H7203" s="6" t="s">
        <v>182</v>
      </c>
      <c r="I7203" s="7" t="s">
        <v>19787</v>
      </c>
      <c r="J7203" s="8" t="n">
        <f aca="false">IF(I7203="Open",DATE(2025,12,31)-F7203,"-")</f>
        <v>36</v>
      </c>
    </row>
    <row r="7204" customFormat="false" ht="15" hidden="false" customHeight="false" outlineLevel="0" collapsed="false">
      <c r="B7204" s="7" t="s">
        <v>21850</v>
      </c>
      <c r="C7204" s="7" t="s">
        <v>7701</v>
      </c>
      <c r="D7204" s="7" t="s">
        <v>389</v>
      </c>
      <c r="E7204" s="7" t="s">
        <v>154</v>
      </c>
      <c r="F7204" s="39" t="n">
        <v>45986</v>
      </c>
      <c r="G7204" s="41" t="n">
        <v>95.66</v>
      </c>
      <c r="H7204" s="6" t="s">
        <v>182</v>
      </c>
      <c r="I7204" s="7" t="s">
        <v>19787</v>
      </c>
      <c r="J7204" s="8" t="n">
        <f aca="false">IF(I7204="Open",DATE(2025,12,31)-F7204,"-")</f>
        <v>36</v>
      </c>
    </row>
    <row r="7205" customFormat="false" ht="15" hidden="false" customHeight="false" outlineLevel="0" collapsed="false">
      <c r="B7205" s="7" t="s">
        <v>21851</v>
      </c>
      <c r="C7205" s="7" t="s">
        <v>7702</v>
      </c>
      <c r="D7205" s="7" t="s">
        <v>391</v>
      </c>
      <c r="E7205" s="7" t="s">
        <v>156</v>
      </c>
      <c r="F7205" s="39" t="n">
        <v>45986</v>
      </c>
      <c r="G7205" s="41" t="n">
        <v>124.1</v>
      </c>
      <c r="H7205" s="39" t="n">
        <v>45992</v>
      </c>
      <c r="I7205" s="7" t="s">
        <v>14651</v>
      </c>
      <c r="J7205" s="8" t="str">
        <f aca="false">IF(I7205="Open",DATE(2025,12,31)-F7205,"-")</f>
        <v>-</v>
      </c>
    </row>
    <row r="7206" customFormat="false" ht="15" hidden="false" customHeight="false" outlineLevel="0" collapsed="false">
      <c r="B7206" s="7" t="s">
        <v>21852</v>
      </c>
      <c r="C7206" s="7" t="s">
        <v>7703</v>
      </c>
      <c r="D7206" s="7" t="s">
        <v>395</v>
      </c>
      <c r="E7206" s="7" t="s">
        <v>156</v>
      </c>
      <c r="F7206" s="39" t="n">
        <v>45986</v>
      </c>
      <c r="G7206" s="41" t="n">
        <v>140.42</v>
      </c>
      <c r="H7206" s="39" t="n">
        <v>45991</v>
      </c>
      <c r="I7206" s="7" t="s">
        <v>14651</v>
      </c>
      <c r="J7206" s="8" t="str">
        <f aca="false">IF(I7206="Open",DATE(2025,12,31)-F7206,"-")</f>
        <v>-</v>
      </c>
    </row>
    <row r="7207" customFormat="false" ht="15" hidden="false" customHeight="false" outlineLevel="0" collapsed="false">
      <c r="B7207" s="7" t="s">
        <v>21853</v>
      </c>
      <c r="C7207" s="7" t="s">
        <v>7704</v>
      </c>
      <c r="D7207" s="7" t="s">
        <v>397</v>
      </c>
      <c r="E7207" s="7" t="s">
        <v>159</v>
      </c>
      <c r="F7207" s="39" t="n">
        <v>45986</v>
      </c>
      <c r="G7207" s="41" t="n">
        <v>137.7</v>
      </c>
      <c r="H7207" s="6" t="s">
        <v>182</v>
      </c>
      <c r="I7207" s="7" t="s">
        <v>19787</v>
      </c>
      <c r="J7207" s="8" t="n">
        <f aca="false">IF(I7207="Open",DATE(2025,12,31)-F7207,"-")</f>
        <v>36</v>
      </c>
    </row>
    <row r="7208" customFormat="false" ht="15" hidden="false" customHeight="false" outlineLevel="0" collapsed="false">
      <c r="B7208" s="7" t="s">
        <v>21854</v>
      </c>
      <c r="C7208" s="7" t="s">
        <v>7705</v>
      </c>
      <c r="D7208" s="7" t="s">
        <v>401</v>
      </c>
      <c r="E7208" s="7" t="s">
        <v>156</v>
      </c>
      <c r="F7208" s="39" t="n">
        <v>45986</v>
      </c>
      <c r="G7208" s="41" t="n">
        <v>145.52</v>
      </c>
      <c r="H7208" s="39" t="n">
        <v>45997</v>
      </c>
      <c r="I7208" s="7" t="s">
        <v>14651</v>
      </c>
      <c r="J7208" s="8" t="str">
        <f aca="false">IF(I7208="Open",DATE(2025,12,31)-F7208,"-")</f>
        <v>-</v>
      </c>
    </row>
    <row r="7209" customFormat="false" ht="15" hidden="false" customHeight="false" outlineLevel="0" collapsed="false">
      <c r="B7209" s="7" t="s">
        <v>21855</v>
      </c>
      <c r="C7209" s="7" t="s">
        <v>7706</v>
      </c>
      <c r="D7209" s="7" t="s">
        <v>407</v>
      </c>
      <c r="E7209" s="7" t="s">
        <v>159</v>
      </c>
      <c r="F7209" s="39" t="n">
        <v>45986</v>
      </c>
      <c r="G7209" s="41" t="n">
        <v>143.1</v>
      </c>
      <c r="H7209" s="6" t="s">
        <v>182</v>
      </c>
      <c r="I7209" s="7" t="s">
        <v>19787</v>
      </c>
      <c r="J7209" s="8" t="n">
        <f aca="false">IF(I7209="Open",DATE(2025,12,31)-F7209,"-")</f>
        <v>36</v>
      </c>
    </row>
    <row r="7210" customFormat="false" ht="15" hidden="false" customHeight="false" outlineLevel="0" collapsed="false">
      <c r="B7210" s="7" t="s">
        <v>21856</v>
      </c>
      <c r="C7210" s="7" t="s">
        <v>7707</v>
      </c>
      <c r="D7210" s="7" t="s">
        <v>288</v>
      </c>
      <c r="E7210" s="7" t="s">
        <v>156</v>
      </c>
      <c r="F7210" s="39" t="n">
        <v>45987</v>
      </c>
      <c r="G7210" s="41" t="n">
        <v>129.88</v>
      </c>
      <c r="H7210" s="39" t="n">
        <v>46001</v>
      </c>
      <c r="I7210" s="7" t="s">
        <v>14651</v>
      </c>
      <c r="J7210" s="8" t="str">
        <f aca="false">IF(I7210="Open",DATE(2025,12,31)-F7210,"-")</f>
        <v>-</v>
      </c>
    </row>
    <row r="7211" customFormat="false" ht="15" hidden="false" customHeight="false" outlineLevel="0" collapsed="false">
      <c r="B7211" s="7" t="s">
        <v>21857</v>
      </c>
      <c r="C7211" s="7" t="s">
        <v>7708</v>
      </c>
      <c r="D7211" s="7" t="s">
        <v>291</v>
      </c>
      <c r="E7211" s="7" t="s">
        <v>154</v>
      </c>
      <c r="F7211" s="39" t="n">
        <v>45987</v>
      </c>
      <c r="G7211" s="41" t="n">
        <v>121.11</v>
      </c>
      <c r="H7211" s="6" t="s">
        <v>182</v>
      </c>
      <c r="I7211" s="7" t="s">
        <v>19787</v>
      </c>
      <c r="J7211" s="8" t="n">
        <f aca="false">IF(I7211="Open",DATE(2025,12,31)-F7211,"-")</f>
        <v>35</v>
      </c>
    </row>
    <row r="7212" customFormat="false" ht="15" hidden="false" customHeight="false" outlineLevel="0" collapsed="false">
      <c r="B7212" s="7" t="s">
        <v>21858</v>
      </c>
      <c r="C7212" s="7" t="s">
        <v>7709</v>
      </c>
      <c r="D7212" s="7" t="s">
        <v>295</v>
      </c>
      <c r="E7212" s="7" t="s">
        <v>154</v>
      </c>
      <c r="F7212" s="39" t="n">
        <v>45987</v>
      </c>
      <c r="G7212" s="41" t="n">
        <v>104.89</v>
      </c>
      <c r="H7212" s="39" t="n">
        <v>46022</v>
      </c>
      <c r="I7212" s="7" t="s">
        <v>14651</v>
      </c>
      <c r="J7212" s="8" t="str">
        <f aca="false">IF(I7212="Open",DATE(2025,12,31)-F7212,"-")</f>
        <v>-</v>
      </c>
    </row>
    <row r="7213" customFormat="false" ht="15" hidden="false" customHeight="false" outlineLevel="0" collapsed="false">
      <c r="B7213" s="7" t="s">
        <v>21859</v>
      </c>
      <c r="C7213" s="7" t="s">
        <v>7710</v>
      </c>
      <c r="D7213" s="7" t="s">
        <v>305</v>
      </c>
      <c r="E7213" s="7" t="s">
        <v>154</v>
      </c>
      <c r="F7213" s="39" t="n">
        <v>45987</v>
      </c>
      <c r="G7213" s="41" t="n">
        <v>98.71</v>
      </c>
      <c r="H7213" s="39" t="n">
        <v>46018</v>
      </c>
      <c r="I7213" s="7" t="s">
        <v>14651</v>
      </c>
      <c r="J7213" s="8" t="str">
        <f aca="false">IF(I7213="Open",DATE(2025,12,31)-F7213,"-")</f>
        <v>-</v>
      </c>
    </row>
    <row r="7214" customFormat="false" ht="15" hidden="false" customHeight="false" outlineLevel="0" collapsed="false">
      <c r="B7214" s="7" t="s">
        <v>21860</v>
      </c>
      <c r="C7214" s="7" t="s">
        <v>7711</v>
      </c>
      <c r="D7214" s="7" t="s">
        <v>307</v>
      </c>
      <c r="E7214" s="7" t="s">
        <v>157</v>
      </c>
      <c r="F7214" s="39" t="n">
        <v>45987</v>
      </c>
      <c r="G7214" s="41" t="n">
        <v>153.45</v>
      </c>
      <c r="H7214" s="6" t="s">
        <v>182</v>
      </c>
      <c r="I7214" s="7" t="s">
        <v>19787</v>
      </c>
      <c r="J7214" s="8" t="n">
        <f aca="false">IF(I7214="Open",DATE(2025,12,31)-F7214,"-")</f>
        <v>35</v>
      </c>
    </row>
    <row r="7215" customFormat="false" ht="15" hidden="false" customHeight="false" outlineLevel="0" collapsed="false">
      <c r="B7215" s="7" t="s">
        <v>21861</v>
      </c>
      <c r="C7215" s="7" t="s">
        <v>7712</v>
      </c>
      <c r="D7215" s="7" t="s">
        <v>309</v>
      </c>
      <c r="E7215" s="7" t="s">
        <v>159</v>
      </c>
      <c r="F7215" s="39" t="n">
        <v>45987</v>
      </c>
      <c r="G7215" s="41" t="n">
        <v>136.35</v>
      </c>
      <c r="H7215" s="6" t="s">
        <v>182</v>
      </c>
      <c r="I7215" s="7" t="s">
        <v>19787</v>
      </c>
      <c r="J7215" s="8" t="n">
        <f aca="false">IF(I7215="Open",DATE(2025,12,31)-F7215,"-")</f>
        <v>35</v>
      </c>
    </row>
    <row r="7216" customFormat="false" ht="15" hidden="false" customHeight="false" outlineLevel="0" collapsed="false">
      <c r="B7216" s="7" t="s">
        <v>21862</v>
      </c>
      <c r="C7216" s="7" t="s">
        <v>7713</v>
      </c>
      <c r="D7216" s="7" t="s">
        <v>313</v>
      </c>
      <c r="E7216" s="7" t="s">
        <v>156</v>
      </c>
      <c r="F7216" s="39" t="n">
        <v>45987</v>
      </c>
      <c r="G7216" s="41" t="n">
        <v>132.26</v>
      </c>
      <c r="H7216" s="39" t="n">
        <v>45996</v>
      </c>
      <c r="I7216" s="7" t="s">
        <v>14651</v>
      </c>
      <c r="J7216" s="8" t="str">
        <f aca="false">IF(I7216="Open",DATE(2025,12,31)-F7216,"-")</f>
        <v>-</v>
      </c>
    </row>
    <row r="7217" customFormat="false" ht="15" hidden="false" customHeight="false" outlineLevel="0" collapsed="false">
      <c r="B7217" s="7" t="s">
        <v>21863</v>
      </c>
      <c r="C7217" s="7" t="s">
        <v>7714</v>
      </c>
      <c r="D7217" s="7" t="s">
        <v>315</v>
      </c>
      <c r="E7217" s="7" t="s">
        <v>159</v>
      </c>
      <c r="F7217" s="39" t="n">
        <v>45987</v>
      </c>
      <c r="G7217" s="41" t="n">
        <v>132.3</v>
      </c>
      <c r="H7217" s="6" t="s">
        <v>182</v>
      </c>
      <c r="I7217" s="7" t="s">
        <v>19787</v>
      </c>
      <c r="J7217" s="8" t="n">
        <f aca="false">IF(I7217="Open",DATE(2025,12,31)-F7217,"-")</f>
        <v>35</v>
      </c>
    </row>
    <row r="7218" customFormat="false" ht="15" hidden="false" customHeight="false" outlineLevel="0" collapsed="false">
      <c r="B7218" s="7" t="s">
        <v>21864</v>
      </c>
      <c r="C7218" s="7" t="s">
        <v>7715</v>
      </c>
      <c r="D7218" s="7" t="s">
        <v>329</v>
      </c>
      <c r="E7218" s="7" t="s">
        <v>156</v>
      </c>
      <c r="F7218" s="39" t="n">
        <v>45987</v>
      </c>
      <c r="G7218" s="41" t="n">
        <v>149.26</v>
      </c>
      <c r="H7218" s="39" t="n">
        <v>46003</v>
      </c>
      <c r="I7218" s="7" t="s">
        <v>14651</v>
      </c>
      <c r="J7218" s="8" t="str">
        <f aca="false">IF(I7218="Open",DATE(2025,12,31)-F7218,"-")</f>
        <v>-</v>
      </c>
    </row>
    <row r="7219" customFormat="false" ht="15" hidden="false" customHeight="false" outlineLevel="0" collapsed="false">
      <c r="B7219" s="7" t="s">
        <v>21865</v>
      </c>
      <c r="C7219" s="7" t="s">
        <v>7716</v>
      </c>
      <c r="D7219" s="7" t="s">
        <v>333</v>
      </c>
      <c r="E7219" s="7" t="s">
        <v>154</v>
      </c>
      <c r="F7219" s="39" t="n">
        <v>45987</v>
      </c>
      <c r="G7219" s="41" t="n">
        <v>96.72</v>
      </c>
      <c r="H7219" s="6" t="s">
        <v>182</v>
      </c>
      <c r="I7219" s="7" t="s">
        <v>19787</v>
      </c>
      <c r="J7219" s="8" t="n">
        <f aca="false">IF(I7219="Open",DATE(2025,12,31)-F7219,"-")</f>
        <v>35</v>
      </c>
    </row>
    <row r="7220" customFormat="false" ht="15" hidden="false" customHeight="false" outlineLevel="0" collapsed="false">
      <c r="B7220" s="7" t="s">
        <v>21866</v>
      </c>
      <c r="C7220" s="7" t="s">
        <v>7717</v>
      </c>
      <c r="D7220" s="7" t="s">
        <v>335</v>
      </c>
      <c r="E7220" s="7" t="s">
        <v>154</v>
      </c>
      <c r="F7220" s="39" t="n">
        <v>45987</v>
      </c>
      <c r="G7220" s="41" t="n">
        <v>98.84</v>
      </c>
      <c r="H7220" s="6" t="s">
        <v>182</v>
      </c>
      <c r="I7220" s="7" t="s">
        <v>19787</v>
      </c>
      <c r="J7220" s="8" t="n">
        <f aca="false">IF(I7220="Open",DATE(2025,12,31)-F7220,"-")</f>
        <v>35</v>
      </c>
    </row>
    <row r="7221" customFormat="false" ht="15" hidden="false" customHeight="false" outlineLevel="0" collapsed="false">
      <c r="B7221" s="7" t="s">
        <v>21867</v>
      </c>
      <c r="C7221" s="7" t="s">
        <v>7718</v>
      </c>
      <c r="D7221" s="7" t="s">
        <v>339</v>
      </c>
      <c r="E7221" s="7" t="s">
        <v>154</v>
      </c>
      <c r="F7221" s="39" t="n">
        <v>45987</v>
      </c>
      <c r="G7221" s="41" t="n">
        <v>96.19</v>
      </c>
      <c r="H7221" s="6" t="s">
        <v>182</v>
      </c>
      <c r="I7221" s="7" t="s">
        <v>19787</v>
      </c>
      <c r="J7221" s="8" t="n">
        <f aca="false">IF(I7221="Open",DATE(2025,12,31)-F7221,"-")</f>
        <v>35</v>
      </c>
    </row>
    <row r="7222" customFormat="false" ht="15" hidden="false" customHeight="false" outlineLevel="0" collapsed="false">
      <c r="B7222" s="7" t="s">
        <v>21868</v>
      </c>
      <c r="C7222" s="7" t="s">
        <v>7719</v>
      </c>
      <c r="D7222" s="7" t="s">
        <v>349</v>
      </c>
      <c r="E7222" s="7" t="s">
        <v>154</v>
      </c>
      <c r="F7222" s="39" t="n">
        <v>45987</v>
      </c>
      <c r="G7222" s="41" t="n">
        <v>96.46</v>
      </c>
      <c r="H7222" s="39" t="n">
        <v>46018</v>
      </c>
      <c r="I7222" s="7" t="s">
        <v>14651</v>
      </c>
      <c r="J7222" s="8" t="str">
        <f aca="false">IF(I7222="Open",DATE(2025,12,31)-F7222,"-")</f>
        <v>-</v>
      </c>
    </row>
    <row r="7223" customFormat="false" ht="15" hidden="false" customHeight="false" outlineLevel="0" collapsed="false">
      <c r="B7223" s="7" t="s">
        <v>21869</v>
      </c>
      <c r="C7223" s="7" t="s">
        <v>7720</v>
      </c>
      <c r="D7223" s="7" t="s">
        <v>353</v>
      </c>
      <c r="E7223" s="7" t="s">
        <v>154</v>
      </c>
      <c r="F7223" s="39" t="n">
        <v>45987</v>
      </c>
      <c r="G7223" s="41" t="n">
        <v>81.35</v>
      </c>
      <c r="H7223" s="39" t="n">
        <v>46022</v>
      </c>
      <c r="I7223" s="7" t="s">
        <v>14651</v>
      </c>
      <c r="J7223" s="8" t="str">
        <f aca="false">IF(I7223="Open",DATE(2025,12,31)-F7223,"-")</f>
        <v>-</v>
      </c>
    </row>
    <row r="7224" customFormat="false" ht="15" hidden="false" customHeight="false" outlineLevel="0" collapsed="false">
      <c r="B7224" s="7" t="s">
        <v>21870</v>
      </c>
      <c r="C7224" s="7" t="s">
        <v>7721</v>
      </c>
      <c r="D7224" s="7" t="s">
        <v>355</v>
      </c>
      <c r="E7224" s="7" t="s">
        <v>154</v>
      </c>
      <c r="F7224" s="39" t="n">
        <v>45987</v>
      </c>
      <c r="G7224" s="41" t="n">
        <v>86.12</v>
      </c>
      <c r="H7224" s="6" t="s">
        <v>182</v>
      </c>
      <c r="I7224" s="7" t="s">
        <v>19787</v>
      </c>
      <c r="J7224" s="8" t="n">
        <f aca="false">IF(I7224="Open",DATE(2025,12,31)-F7224,"-")</f>
        <v>35</v>
      </c>
    </row>
    <row r="7225" customFormat="false" ht="15" hidden="false" customHeight="false" outlineLevel="0" collapsed="false">
      <c r="B7225" s="7" t="s">
        <v>21871</v>
      </c>
      <c r="C7225" s="7" t="s">
        <v>7722</v>
      </c>
      <c r="D7225" s="7" t="s">
        <v>357</v>
      </c>
      <c r="E7225" s="7" t="s">
        <v>154</v>
      </c>
      <c r="F7225" s="39" t="n">
        <v>45987</v>
      </c>
      <c r="G7225" s="41" t="n">
        <v>81.09</v>
      </c>
      <c r="H7225" s="6" t="s">
        <v>182</v>
      </c>
      <c r="I7225" s="7" t="s">
        <v>19787</v>
      </c>
      <c r="J7225" s="8" t="n">
        <f aca="false">IF(I7225="Open",DATE(2025,12,31)-F7225,"-")</f>
        <v>35</v>
      </c>
    </row>
    <row r="7226" customFormat="false" ht="15" hidden="false" customHeight="false" outlineLevel="0" collapsed="false">
      <c r="B7226" s="7" t="s">
        <v>21872</v>
      </c>
      <c r="C7226" s="7" t="s">
        <v>7723</v>
      </c>
      <c r="D7226" s="7" t="s">
        <v>359</v>
      </c>
      <c r="E7226" s="7" t="s">
        <v>156</v>
      </c>
      <c r="F7226" s="39" t="n">
        <v>45987</v>
      </c>
      <c r="G7226" s="41" t="n">
        <v>127.5</v>
      </c>
      <c r="H7226" s="39" t="n">
        <v>45998</v>
      </c>
      <c r="I7226" s="7" t="s">
        <v>14651</v>
      </c>
      <c r="J7226" s="8" t="str">
        <f aca="false">IF(I7226="Open",DATE(2025,12,31)-F7226,"-")</f>
        <v>-</v>
      </c>
    </row>
    <row r="7227" customFormat="false" ht="15" hidden="false" customHeight="false" outlineLevel="0" collapsed="false">
      <c r="B7227" s="7" t="s">
        <v>21873</v>
      </c>
      <c r="C7227" s="7" t="s">
        <v>7724</v>
      </c>
      <c r="D7227" s="7" t="s">
        <v>365</v>
      </c>
      <c r="E7227" s="7" t="s">
        <v>154</v>
      </c>
      <c r="F7227" s="39" t="n">
        <v>45987</v>
      </c>
      <c r="G7227" s="41" t="n">
        <v>103.35</v>
      </c>
      <c r="H7227" s="6" t="s">
        <v>182</v>
      </c>
      <c r="I7227" s="7" t="s">
        <v>19787</v>
      </c>
      <c r="J7227" s="8" t="n">
        <f aca="false">IF(I7227="Open",DATE(2025,12,31)-F7227,"-")</f>
        <v>35</v>
      </c>
    </row>
    <row r="7228" customFormat="false" ht="15" hidden="false" customHeight="false" outlineLevel="0" collapsed="false">
      <c r="B7228" s="7" t="s">
        <v>21874</v>
      </c>
      <c r="C7228" s="7" t="s">
        <v>7725</v>
      </c>
      <c r="D7228" s="7" t="s">
        <v>371</v>
      </c>
      <c r="E7228" s="7" t="s">
        <v>154</v>
      </c>
      <c r="F7228" s="39" t="n">
        <v>45987</v>
      </c>
      <c r="G7228" s="41" t="n">
        <v>129.06</v>
      </c>
      <c r="H7228" s="6" t="s">
        <v>182</v>
      </c>
      <c r="I7228" s="7" t="s">
        <v>19787</v>
      </c>
      <c r="J7228" s="8" t="n">
        <f aca="false">IF(I7228="Open",DATE(2025,12,31)-F7228,"-")</f>
        <v>35</v>
      </c>
    </row>
    <row r="7229" customFormat="false" ht="15" hidden="false" customHeight="false" outlineLevel="0" collapsed="false">
      <c r="B7229" s="7" t="s">
        <v>21875</v>
      </c>
      <c r="C7229" s="7" t="s">
        <v>7726</v>
      </c>
      <c r="D7229" s="7" t="s">
        <v>379</v>
      </c>
      <c r="E7229" s="7" t="s">
        <v>156</v>
      </c>
      <c r="F7229" s="39" t="n">
        <v>45987</v>
      </c>
      <c r="G7229" s="41" t="n">
        <v>144.84</v>
      </c>
      <c r="H7229" s="39" t="n">
        <v>45998</v>
      </c>
      <c r="I7229" s="7" t="s">
        <v>14651</v>
      </c>
      <c r="J7229" s="8" t="str">
        <f aca="false">IF(I7229="Open",DATE(2025,12,31)-F7229,"-")</f>
        <v>-</v>
      </c>
    </row>
    <row r="7230" customFormat="false" ht="15" hidden="false" customHeight="false" outlineLevel="0" collapsed="false">
      <c r="B7230" s="7" t="s">
        <v>21876</v>
      </c>
      <c r="C7230" s="7" t="s">
        <v>7727</v>
      </c>
      <c r="D7230" s="7" t="s">
        <v>387</v>
      </c>
      <c r="E7230" s="7" t="s">
        <v>154</v>
      </c>
      <c r="F7230" s="39" t="n">
        <v>45987</v>
      </c>
      <c r="G7230" s="41" t="n">
        <v>107.59</v>
      </c>
      <c r="H7230" s="6" t="s">
        <v>182</v>
      </c>
      <c r="I7230" s="7" t="s">
        <v>19787</v>
      </c>
      <c r="J7230" s="8" t="n">
        <f aca="false">IF(I7230="Open",DATE(2025,12,31)-F7230,"-")</f>
        <v>35</v>
      </c>
    </row>
    <row r="7231" customFormat="false" ht="15" hidden="false" customHeight="false" outlineLevel="0" collapsed="false">
      <c r="B7231" s="7" t="s">
        <v>21877</v>
      </c>
      <c r="C7231" s="7" t="s">
        <v>7728</v>
      </c>
      <c r="D7231" s="7" t="s">
        <v>389</v>
      </c>
      <c r="E7231" s="7" t="s">
        <v>154</v>
      </c>
      <c r="F7231" s="39" t="n">
        <v>45987</v>
      </c>
      <c r="G7231" s="41" t="n">
        <v>100.17</v>
      </c>
      <c r="H7231" s="6" t="s">
        <v>182</v>
      </c>
      <c r="I7231" s="7" t="s">
        <v>19787</v>
      </c>
      <c r="J7231" s="8" t="n">
        <f aca="false">IF(I7231="Open",DATE(2025,12,31)-F7231,"-")</f>
        <v>35</v>
      </c>
    </row>
    <row r="7232" customFormat="false" ht="15" hidden="false" customHeight="false" outlineLevel="0" collapsed="false">
      <c r="B7232" s="7" t="s">
        <v>21878</v>
      </c>
      <c r="C7232" s="7" t="s">
        <v>7729</v>
      </c>
      <c r="D7232" s="7" t="s">
        <v>391</v>
      </c>
      <c r="E7232" s="7" t="s">
        <v>156</v>
      </c>
      <c r="F7232" s="39" t="n">
        <v>45987</v>
      </c>
      <c r="G7232" s="41" t="n">
        <v>142.12</v>
      </c>
      <c r="H7232" s="39" t="n">
        <v>45998</v>
      </c>
      <c r="I7232" s="7" t="s">
        <v>14651</v>
      </c>
      <c r="J7232" s="8" t="str">
        <f aca="false">IF(I7232="Open",DATE(2025,12,31)-F7232,"-")</f>
        <v>-</v>
      </c>
    </row>
    <row r="7233" customFormat="false" ht="15" hidden="false" customHeight="false" outlineLevel="0" collapsed="false">
      <c r="B7233" s="7" t="s">
        <v>21879</v>
      </c>
      <c r="C7233" s="7" t="s">
        <v>7730</v>
      </c>
      <c r="D7233" s="7" t="s">
        <v>393</v>
      </c>
      <c r="E7233" s="7" t="s">
        <v>157</v>
      </c>
      <c r="F7233" s="39" t="n">
        <v>45987</v>
      </c>
      <c r="G7233" s="41" t="n">
        <v>156.75</v>
      </c>
      <c r="H7233" s="39" t="n">
        <v>46007</v>
      </c>
      <c r="I7233" s="7" t="s">
        <v>14651</v>
      </c>
      <c r="J7233" s="8" t="str">
        <f aca="false">IF(I7233="Open",DATE(2025,12,31)-F7233,"-")</f>
        <v>-</v>
      </c>
    </row>
    <row r="7234" customFormat="false" ht="15" hidden="false" customHeight="false" outlineLevel="0" collapsed="false">
      <c r="B7234" s="7" t="s">
        <v>21880</v>
      </c>
      <c r="C7234" s="7" t="s">
        <v>7731</v>
      </c>
      <c r="D7234" s="7" t="s">
        <v>395</v>
      </c>
      <c r="E7234" s="7" t="s">
        <v>156</v>
      </c>
      <c r="F7234" s="39" t="n">
        <v>45987</v>
      </c>
      <c r="G7234" s="41" t="n">
        <v>134.98</v>
      </c>
      <c r="H7234" s="39" t="n">
        <v>46007</v>
      </c>
      <c r="I7234" s="7" t="s">
        <v>14651</v>
      </c>
      <c r="J7234" s="8" t="str">
        <f aca="false">IF(I7234="Open",DATE(2025,12,31)-F7234,"-")</f>
        <v>-</v>
      </c>
    </row>
    <row r="7235" customFormat="false" ht="15" hidden="false" customHeight="false" outlineLevel="0" collapsed="false">
      <c r="B7235" s="7" t="s">
        <v>21881</v>
      </c>
      <c r="C7235" s="7" t="s">
        <v>7732</v>
      </c>
      <c r="D7235" s="7" t="s">
        <v>399</v>
      </c>
      <c r="E7235" s="7" t="s">
        <v>154</v>
      </c>
      <c r="F7235" s="39" t="n">
        <v>45987</v>
      </c>
      <c r="G7235" s="41" t="n">
        <v>80.82</v>
      </c>
      <c r="H7235" s="6" t="s">
        <v>182</v>
      </c>
      <c r="I7235" s="7" t="s">
        <v>19787</v>
      </c>
      <c r="J7235" s="8" t="n">
        <f aca="false">IF(I7235="Open",DATE(2025,12,31)-F7235,"-")</f>
        <v>35</v>
      </c>
    </row>
    <row r="7236" customFormat="false" ht="15" hidden="false" customHeight="false" outlineLevel="0" collapsed="false">
      <c r="B7236" s="7" t="s">
        <v>21882</v>
      </c>
      <c r="C7236" s="7" t="s">
        <v>7733</v>
      </c>
      <c r="D7236" s="7" t="s">
        <v>401</v>
      </c>
      <c r="E7236" s="7" t="s">
        <v>156</v>
      </c>
      <c r="F7236" s="39" t="n">
        <v>45987</v>
      </c>
      <c r="G7236" s="41" t="n">
        <v>130.22</v>
      </c>
      <c r="H7236" s="39" t="n">
        <v>45998</v>
      </c>
      <c r="I7236" s="7" t="s">
        <v>14651</v>
      </c>
      <c r="J7236" s="8" t="str">
        <f aca="false">IF(I7236="Open",DATE(2025,12,31)-F7236,"-")</f>
        <v>-</v>
      </c>
    </row>
    <row r="7237" customFormat="false" ht="15" hidden="false" customHeight="false" outlineLevel="0" collapsed="false">
      <c r="B7237" s="7" t="s">
        <v>21883</v>
      </c>
      <c r="C7237" s="7" t="s">
        <v>7734</v>
      </c>
      <c r="D7237" s="7" t="s">
        <v>403</v>
      </c>
      <c r="E7237" s="7" t="s">
        <v>156</v>
      </c>
      <c r="F7237" s="39" t="n">
        <v>45987</v>
      </c>
      <c r="G7237" s="41" t="n">
        <v>142.46</v>
      </c>
      <c r="H7237" s="39" t="n">
        <v>45998</v>
      </c>
      <c r="I7237" s="7" t="s">
        <v>14651</v>
      </c>
      <c r="J7237" s="8" t="str">
        <f aca="false">IF(I7237="Open",DATE(2025,12,31)-F7237,"-")</f>
        <v>-</v>
      </c>
    </row>
    <row r="7238" customFormat="false" ht="15" hidden="false" customHeight="false" outlineLevel="0" collapsed="false">
      <c r="B7238" s="7" t="s">
        <v>21884</v>
      </c>
      <c r="C7238" s="7" t="s">
        <v>7735</v>
      </c>
      <c r="D7238" s="7" t="s">
        <v>409</v>
      </c>
      <c r="E7238" s="7" t="s">
        <v>154</v>
      </c>
      <c r="F7238" s="39" t="n">
        <v>45987</v>
      </c>
      <c r="G7238" s="41" t="n">
        <v>85.86</v>
      </c>
      <c r="H7238" s="6" t="s">
        <v>182</v>
      </c>
      <c r="I7238" s="7" t="s">
        <v>19787</v>
      </c>
      <c r="J7238" s="8" t="n">
        <f aca="false">IF(I7238="Open",DATE(2025,12,31)-F7238,"-")</f>
        <v>35</v>
      </c>
    </row>
    <row r="7239" customFormat="false" ht="15" hidden="false" customHeight="false" outlineLevel="0" collapsed="false">
      <c r="B7239" s="7" t="s">
        <v>21885</v>
      </c>
      <c r="C7239" s="7" t="s">
        <v>7736</v>
      </c>
      <c r="D7239" s="7" t="s">
        <v>411</v>
      </c>
      <c r="E7239" s="7" t="s">
        <v>154</v>
      </c>
      <c r="F7239" s="39" t="n">
        <v>45987</v>
      </c>
      <c r="G7239" s="41" t="n">
        <v>113.95</v>
      </c>
      <c r="H7239" s="6" t="s">
        <v>182</v>
      </c>
      <c r="I7239" s="7" t="s">
        <v>19787</v>
      </c>
      <c r="J7239" s="8" t="n">
        <f aca="false">IF(I7239="Open",DATE(2025,12,31)-F7239,"-")</f>
        <v>35</v>
      </c>
    </row>
    <row r="7240" customFormat="false" ht="15" hidden="false" customHeight="false" outlineLevel="0" collapsed="false">
      <c r="B7240" s="7" t="s">
        <v>21886</v>
      </c>
      <c r="C7240" s="7" t="s">
        <v>7737</v>
      </c>
      <c r="D7240" s="7" t="s">
        <v>288</v>
      </c>
      <c r="E7240" s="7" t="s">
        <v>156</v>
      </c>
      <c r="F7240" s="39" t="n">
        <v>45988</v>
      </c>
      <c r="G7240" s="41" t="n">
        <v>136</v>
      </c>
      <c r="H7240" s="39" t="n">
        <v>45996</v>
      </c>
      <c r="I7240" s="7" t="s">
        <v>14651</v>
      </c>
      <c r="J7240" s="8" t="str">
        <f aca="false">IF(I7240="Open",DATE(2025,12,31)-F7240,"-")</f>
        <v>-</v>
      </c>
    </row>
    <row r="7241" customFormat="false" ht="15" hidden="false" customHeight="false" outlineLevel="0" collapsed="false">
      <c r="B7241" s="7" t="s">
        <v>21887</v>
      </c>
      <c r="C7241" s="7" t="s">
        <v>7738</v>
      </c>
      <c r="D7241" s="7" t="s">
        <v>297</v>
      </c>
      <c r="E7241" s="7" t="s">
        <v>156</v>
      </c>
      <c r="F7241" s="39" t="n">
        <v>45988</v>
      </c>
      <c r="G7241" s="41" t="n">
        <v>98.94</v>
      </c>
      <c r="H7241" s="39" t="n">
        <v>45989</v>
      </c>
      <c r="I7241" s="7" t="s">
        <v>14651</v>
      </c>
      <c r="J7241" s="8" t="str">
        <f aca="false">IF(I7241="Open",DATE(2025,12,31)-F7241,"-")</f>
        <v>-</v>
      </c>
    </row>
    <row r="7242" customFormat="false" ht="15" hidden="false" customHeight="false" outlineLevel="0" collapsed="false">
      <c r="B7242" s="7" t="s">
        <v>21888</v>
      </c>
      <c r="C7242" s="7" t="s">
        <v>7739</v>
      </c>
      <c r="D7242" s="7" t="s">
        <v>299</v>
      </c>
      <c r="E7242" s="7" t="s">
        <v>154</v>
      </c>
      <c r="F7242" s="39" t="n">
        <v>45988</v>
      </c>
      <c r="G7242" s="41" t="n">
        <v>81.22</v>
      </c>
      <c r="H7242" s="6" t="s">
        <v>182</v>
      </c>
      <c r="I7242" s="7" t="s">
        <v>19787</v>
      </c>
      <c r="J7242" s="8" t="n">
        <f aca="false">IF(I7242="Open",DATE(2025,12,31)-F7242,"-")</f>
        <v>34</v>
      </c>
    </row>
    <row r="7243" customFormat="false" ht="15" hidden="false" customHeight="false" outlineLevel="0" collapsed="false">
      <c r="B7243" s="7" t="s">
        <v>21889</v>
      </c>
      <c r="C7243" s="7" t="s">
        <v>7740</v>
      </c>
      <c r="D7243" s="7" t="s">
        <v>303</v>
      </c>
      <c r="E7243" s="7" t="s">
        <v>154</v>
      </c>
      <c r="F7243" s="39" t="n">
        <v>45988</v>
      </c>
      <c r="G7243" s="41" t="n">
        <v>107.59</v>
      </c>
      <c r="H7243" s="6" t="s">
        <v>182</v>
      </c>
      <c r="I7243" s="7" t="s">
        <v>19787</v>
      </c>
      <c r="J7243" s="8" t="n">
        <f aca="false">IF(I7243="Open",DATE(2025,12,31)-F7243,"-")</f>
        <v>34</v>
      </c>
    </row>
    <row r="7244" customFormat="false" ht="15" hidden="false" customHeight="false" outlineLevel="0" collapsed="false">
      <c r="B7244" s="7" t="s">
        <v>21890</v>
      </c>
      <c r="C7244" s="7" t="s">
        <v>7741</v>
      </c>
      <c r="D7244" s="7" t="s">
        <v>311</v>
      </c>
      <c r="E7244" s="7" t="s">
        <v>154</v>
      </c>
      <c r="F7244" s="39" t="n">
        <v>45988</v>
      </c>
      <c r="G7244" s="41" t="n">
        <v>79.42</v>
      </c>
      <c r="H7244" s="6" t="s">
        <v>182</v>
      </c>
      <c r="I7244" s="7" t="s">
        <v>19787</v>
      </c>
      <c r="J7244" s="8" t="n">
        <f aca="false">IF(I7244="Open",DATE(2025,12,31)-F7244,"-")</f>
        <v>34</v>
      </c>
    </row>
    <row r="7245" customFormat="false" ht="15" hidden="false" customHeight="false" outlineLevel="0" collapsed="false">
      <c r="B7245" s="7" t="s">
        <v>21891</v>
      </c>
      <c r="C7245" s="7" t="s">
        <v>7742</v>
      </c>
      <c r="D7245" s="7" t="s">
        <v>313</v>
      </c>
      <c r="E7245" s="7" t="s">
        <v>156</v>
      </c>
      <c r="F7245" s="39" t="n">
        <v>45988</v>
      </c>
      <c r="G7245" s="41" t="n">
        <v>140.42</v>
      </c>
      <c r="H7245" s="39" t="n">
        <v>46006</v>
      </c>
      <c r="I7245" s="7" t="s">
        <v>14651</v>
      </c>
      <c r="J7245" s="8" t="str">
        <f aca="false">IF(I7245="Open",DATE(2025,12,31)-F7245,"-")</f>
        <v>-</v>
      </c>
    </row>
    <row r="7246" customFormat="false" ht="15" hidden="false" customHeight="false" outlineLevel="0" collapsed="false">
      <c r="B7246" s="7" t="s">
        <v>21892</v>
      </c>
      <c r="C7246" s="7" t="s">
        <v>7743</v>
      </c>
      <c r="D7246" s="7" t="s">
        <v>317</v>
      </c>
      <c r="E7246" s="7" t="s">
        <v>156</v>
      </c>
      <c r="F7246" s="39" t="n">
        <v>45988</v>
      </c>
      <c r="G7246" s="41" t="n">
        <v>94.86</v>
      </c>
      <c r="H7246" s="39" t="n">
        <v>46000</v>
      </c>
      <c r="I7246" s="7" t="s">
        <v>14651</v>
      </c>
      <c r="J7246" s="8" t="str">
        <f aca="false">IF(I7246="Open",DATE(2025,12,31)-F7246,"-")</f>
        <v>-</v>
      </c>
    </row>
    <row r="7247" customFormat="false" ht="15" hidden="false" customHeight="false" outlineLevel="0" collapsed="false">
      <c r="B7247" s="7" t="s">
        <v>21893</v>
      </c>
      <c r="C7247" s="7" t="s">
        <v>7744</v>
      </c>
      <c r="D7247" s="7" t="s">
        <v>321</v>
      </c>
      <c r="E7247" s="7" t="s">
        <v>154</v>
      </c>
      <c r="F7247" s="39" t="n">
        <v>45988</v>
      </c>
      <c r="G7247" s="41" t="n">
        <v>108.65</v>
      </c>
      <c r="H7247" s="6" t="s">
        <v>182</v>
      </c>
      <c r="I7247" s="7" t="s">
        <v>19787</v>
      </c>
      <c r="J7247" s="8" t="n">
        <f aca="false">IF(I7247="Open",DATE(2025,12,31)-F7247,"-")</f>
        <v>34</v>
      </c>
    </row>
    <row r="7248" customFormat="false" ht="15" hidden="false" customHeight="false" outlineLevel="0" collapsed="false">
      <c r="B7248" s="7" t="s">
        <v>21894</v>
      </c>
      <c r="C7248" s="7" t="s">
        <v>7745</v>
      </c>
      <c r="D7248" s="7" t="s">
        <v>325</v>
      </c>
      <c r="E7248" s="7" t="s">
        <v>154</v>
      </c>
      <c r="F7248" s="39" t="n">
        <v>45988</v>
      </c>
      <c r="G7248" s="41" t="n">
        <v>77.65</v>
      </c>
      <c r="H7248" s="6" t="s">
        <v>182</v>
      </c>
      <c r="I7248" s="7" t="s">
        <v>19787</v>
      </c>
      <c r="J7248" s="8" t="n">
        <f aca="false">IF(I7248="Open",DATE(2025,12,31)-F7248,"-")</f>
        <v>34</v>
      </c>
    </row>
    <row r="7249" customFormat="false" ht="15" hidden="false" customHeight="false" outlineLevel="0" collapsed="false">
      <c r="B7249" s="7" t="s">
        <v>21895</v>
      </c>
      <c r="C7249" s="7" t="s">
        <v>7746</v>
      </c>
      <c r="D7249" s="7" t="s">
        <v>329</v>
      </c>
      <c r="E7249" s="7" t="s">
        <v>156</v>
      </c>
      <c r="F7249" s="39" t="n">
        <v>45988</v>
      </c>
      <c r="G7249" s="41" t="n">
        <v>131.58</v>
      </c>
      <c r="H7249" s="39" t="n">
        <v>45997</v>
      </c>
      <c r="I7249" s="7" t="s">
        <v>14651</v>
      </c>
      <c r="J7249" s="8" t="str">
        <f aca="false">IF(I7249="Open",DATE(2025,12,31)-F7249,"-")</f>
        <v>-</v>
      </c>
    </row>
    <row r="7250" customFormat="false" ht="15" hidden="false" customHeight="false" outlineLevel="0" collapsed="false">
      <c r="B7250" s="7" t="s">
        <v>21896</v>
      </c>
      <c r="C7250" s="7" t="s">
        <v>7747</v>
      </c>
      <c r="D7250" s="7" t="s">
        <v>331</v>
      </c>
      <c r="E7250" s="7" t="s">
        <v>156</v>
      </c>
      <c r="F7250" s="39" t="n">
        <v>45988</v>
      </c>
      <c r="G7250" s="41" t="n">
        <v>135.66</v>
      </c>
      <c r="H7250" s="39" t="n">
        <v>45995</v>
      </c>
      <c r="I7250" s="7" t="s">
        <v>14651</v>
      </c>
      <c r="J7250" s="8" t="str">
        <f aca="false">IF(I7250="Open",DATE(2025,12,31)-F7250,"-")</f>
        <v>-</v>
      </c>
    </row>
    <row r="7251" customFormat="false" ht="15" hidden="false" customHeight="false" outlineLevel="0" collapsed="false">
      <c r="B7251" s="7" t="s">
        <v>21897</v>
      </c>
      <c r="C7251" s="7" t="s">
        <v>7748</v>
      </c>
      <c r="D7251" s="7" t="s">
        <v>341</v>
      </c>
      <c r="E7251" s="7" t="s">
        <v>156</v>
      </c>
      <c r="F7251" s="39" t="n">
        <v>45988</v>
      </c>
      <c r="G7251" s="41" t="n">
        <v>93.16</v>
      </c>
      <c r="H7251" s="39" t="n">
        <v>46000</v>
      </c>
      <c r="I7251" s="7" t="s">
        <v>14651</v>
      </c>
      <c r="J7251" s="8" t="str">
        <f aca="false">IF(I7251="Open",DATE(2025,12,31)-F7251,"-")</f>
        <v>-</v>
      </c>
    </row>
    <row r="7252" customFormat="false" ht="15" hidden="false" customHeight="false" outlineLevel="0" collapsed="false">
      <c r="B7252" s="7" t="s">
        <v>21898</v>
      </c>
      <c r="C7252" s="7" t="s">
        <v>7749</v>
      </c>
      <c r="D7252" s="7" t="s">
        <v>343</v>
      </c>
      <c r="E7252" s="7" t="s">
        <v>154</v>
      </c>
      <c r="F7252" s="39" t="n">
        <v>45988</v>
      </c>
      <c r="G7252" s="41" t="n">
        <v>106.27</v>
      </c>
      <c r="H7252" s="6" t="s">
        <v>182</v>
      </c>
      <c r="I7252" s="7" t="s">
        <v>19787</v>
      </c>
      <c r="J7252" s="8" t="n">
        <f aca="false">IF(I7252="Open",DATE(2025,12,31)-F7252,"-")</f>
        <v>34</v>
      </c>
    </row>
    <row r="7253" customFormat="false" ht="15" hidden="false" customHeight="false" outlineLevel="0" collapsed="false">
      <c r="B7253" s="7" t="s">
        <v>21899</v>
      </c>
      <c r="C7253" s="7" t="s">
        <v>7750</v>
      </c>
      <c r="D7253" s="7" t="s">
        <v>349</v>
      </c>
      <c r="E7253" s="7" t="s">
        <v>154</v>
      </c>
      <c r="F7253" s="39" t="n">
        <v>45988</v>
      </c>
      <c r="G7253" s="41" t="n">
        <v>97.18</v>
      </c>
      <c r="H7253" s="39" t="n">
        <v>46019</v>
      </c>
      <c r="I7253" s="7" t="s">
        <v>14651</v>
      </c>
      <c r="J7253" s="8" t="str">
        <f aca="false">IF(I7253="Open",DATE(2025,12,31)-F7253,"-")</f>
        <v>-</v>
      </c>
    </row>
    <row r="7254" customFormat="false" ht="15" hidden="false" customHeight="false" outlineLevel="0" collapsed="false">
      <c r="B7254" s="7" t="s">
        <v>21900</v>
      </c>
      <c r="C7254" s="7" t="s">
        <v>7751</v>
      </c>
      <c r="D7254" s="7" t="s">
        <v>351</v>
      </c>
      <c r="E7254" s="7" t="s">
        <v>154</v>
      </c>
      <c r="F7254" s="39" t="n">
        <v>45988</v>
      </c>
      <c r="G7254" s="41" t="n">
        <v>85.06</v>
      </c>
      <c r="H7254" s="6" t="s">
        <v>182</v>
      </c>
      <c r="I7254" s="7" t="s">
        <v>19787</v>
      </c>
      <c r="J7254" s="8" t="n">
        <f aca="false">IF(I7254="Open",DATE(2025,12,31)-F7254,"-")</f>
        <v>34</v>
      </c>
    </row>
    <row r="7255" customFormat="false" ht="15" hidden="false" customHeight="false" outlineLevel="0" collapsed="false">
      <c r="B7255" s="7" t="s">
        <v>21901</v>
      </c>
      <c r="C7255" s="7" t="s">
        <v>7752</v>
      </c>
      <c r="D7255" s="7" t="s">
        <v>359</v>
      </c>
      <c r="E7255" s="7" t="s">
        <v>156</v>
      </c>
      <c r="F7255" s="39" t="n">
        <v>45988</v>
      </c>
      <c r="G7255" s="41" t="n">
        <v>123.42</v>
      </c>
      <c r="H7255" s="39" t="n">
        <v>45999</v>
      </c>
      <c r="I7255" s="7" t="s">
        <v>14651</v>
      </c>
      <c r="J7255" s="8" t="str">
        <f aca="false">IF(I7255="Open",DATE(2025,12,31)-F7255,"-")</f>
        <v>-</v>
      </c>
    </row>
    <row r="7256" customFormat="false" ht="15" hidden="false" customHeight="false" outlineLevel="0" collapsed="false">
      <c r="B7256" s="7" t="s">
        <v>21902</v>
      </c>
      <c r="C7256" s="7" t="s">
        <v>7753</v>
      </c>
      <c r="D7256" s="7" t="s">
        <v>363</v>
      </c>
      <c r="E7256" s="7" t="s">
        <v>156</v>
      </c>
      <c r="F7256" s="39" t="n">
        <v>45988</v>
      </c>
      <c r="G7256" s="41" t="n">
        <v>131.58</v>
      </c>
      <c r="H7256" s="39" t="n">
        <v>45995</v>
      </c>
      <c r="I7256" s="7" t="s">
        <v>14651</v>
      </c>
      <c r="J7256" s="8" t="str">
        <f aca="false">IF(I7256="Open",DATE(2025,12,31)-F7256,"-")</f>
        <v>-</v>
      </c>
    </row>
    <row r="7257" customFormat="false" ht="15" hidden="false" customHeight="false" outlineLevel="0" collapsed="false">
      <c r="B7257" s="7" t="s">
        <v>21903</v>
      </c>
      <c r="C7257" s="7" t="s">
        <v>7754</v>
      </c>
      <c r="D7257" s="7" t="s">
        <v>365</v>
      </c>
      <c r="E7257" s="7" t="s">
        <v>154</v>
      </c>
      <c r="F7257" s="39" t="n">
        <v>45988</v>
      </c>
      <c r="G7257" s="41" t="n">
        <v>103.59</v>
      </c>
      <c r="H7257" s="6" t="s">
        <v>182</v>
      </c>
      <c r="I7257" s="7" t="s">
        <v>19787</v>
      </c>
      <c r="J7257" s="8" t="n">
        <f aca="false">IF(I7257="Open",DATE(2025,12,31)-F7257,"-")</f>
        <v>34</v>
      </c>
    </row>
    <row r="7258" customFormat="false" ht="15" hidden="false" customHeight="false" outlineLevel="0" collapsed="false">
      <c r="B7258" s="7" t="s">
        <v>21904</v>
      </c>
      <c r="C7258" s="7" t="s">
        <v>7755</v>
      </c>
      <c r="D7258" s="7" t="s">
        <v>367</v>
      </c>
      <c r="E7258" s="7" t="s">
        <v>156</v>
      </c>
      <c r="F7258" s="39" t="n">
        <v>45988</v>
      </c>
      <c r="G7258" s="41" t="n">
        <v>96.9</v>
      </c>
      <c r="H7258" s="39" t="n">
        <v>45989</v>
      </c>
      <c r="I7258" s="7" t="s">
        <v>14651</v>
      </c>
      <c r="J7258" s="8" t="str">
        <f aca="false">IF(I7258="Open",DATE(2025,12,31)-F7258,"-")</f>
        <v>-</v>
      </c>
    </row>
    <row r="7259" customFormat="false" ht="15" hidden="false" customHeight="false" outlineLevel="0" collapsed="false">
      <c r="B7259" s="7" t="s">
        <v>21905</v>
      </c>
      <c r="C7259" s="7" t="s">
        <v>7756</v>
      </c>
      <c r="D7259" s="7" t="s">
        <v>375</v>
      </c>
      <c r="E7259" s="7" t="s">
        <v>156</v>
      </c>
      <c r="F7259" s="39" t="n">
        <v>45988</v>
      </c>
      <c r="G7259" s="41" t="n">
        <v>97.24</v>
      </c>
      <c r="H7259" s="39" t="n">
        <v>46004</v>
      </c>
      <c r="I7259" s="7" t="s">
        <v>14651</v>
      </c>
      <c r="J7259" s="8" t="str">
        <f aca="false">IF(I7259="Open",DATE(2025,12,31)-F7259,"-")</f>
        <v>-</v>
      </c>
    </row>
    <row r="7260" customFormat="false" ht="15" hidden="false" customHeight="false" outlineLevel="0" collapsed="false">
      <c r="B7260" s="7" t="s">
        <v>21906</v>
      </c>
      <c r="C7260" s="7" t="s">
        <v>7757</v>
      </c>
      <c r="D7260" s="7" t="s">
        <v>377</v>
      </c>
      <c r="E7260" s="7" t="s">
        <v>154</v>
      </c>
      <c r="F7260" s="39" t="n">
        <v>45988</v>
      </c>
      <c r="G7260" s="41" t="n">
        <v>106</v>
      </c>
      <c r="H7260" s="6" t="s">
        <v>182</v>
      </c>
      <c r="I7260" s="7" t="s">
        <v>19787</v>
      </c>
      <c r="J7260" s="8" t="n">
        <f aca="false">IF(I7260="Open",DATE(2025,12,31)-F7260,"-")</f>
        <v>34</v>
      </c>
    </row>
    <row r="7261" customFormat="false" ht="15" hidden="false" customHeight="false" outlineLevel="0" collapsed="false">
      <c r="B7261" s="7" t="s">
        <v>21907</v>
      </c>
      <c r="C7261" s="7" t="s">
        <v>7758</v>
      </c>
      <c r="D7261" s="7" t="s">
        <v>387</v>
      </c>
      <c r="E7261" s="7" t="s">
        <v>154</v>
      </c>
      <c r="F7261" s="39" t="n">
        <v>45988</v>
      </c>
      <c r="G7261" s="41" t="n">
        <v>98.05</v>
      </c>
      <c r="H7261" s="6" t="s">
        <v>182</v>
      </c>
      <c r="I7261" s="7" t="s">
        <v>19787</v>
      </c>
      <c r="J7261" s="8" t="n">
        <f aca="false">IF(I7261="Open",DATE(2025,12,31)-F7261,"-")</f>
        <v>34</v>
      </c>
    </row>
    <row r="7262" customFormat="false" ht="15" hidden="false" customHeight="false" outlineLevel="0" collapsed="false">
      <c r="B7262" s="7" t="s">
        <v>21908</v>
      </c>
      <c r="C7262" s="7" t="s">
        <v>7759</v>
      </c>
      <c r="D7262" s="7" t="s">
        <v>389</v>
      </c>
      <c r="E7262" s="7" t="s">
        <v>154</v>
      </c>
      <c r="F7262" s="39" t="n">
        <v>45988</v>
      </c>
      <c r="G7262" s="41" t="n">
        <v>110.5</v>
      </c>
      <c r="H7262" s="6" t="s">
        <v>182</v>
      </c>
      <c r="I7262" s="7" t="s">
        <v>19787</v>
      </c>
      <c r="J7262" s="8" t="n">
        <f aca="false">IF(I7262="Open",DATE(2025,12,31)-F7262,"-")</f>
        <v>34</v>
      </c>
    </row>
    <row r="7263" customFormat="false" ht="15" hidden="false" customHeight="false" outlineLevel="0" collapsed="false">
      <c r="B7263" s="7" t="s">
        <v>21909</v>
      </c>
      <c r="C7263" s="7" t="s">
        <v>7760</v>
      </c>
      <c r="D7263" s="7" t="s">
        <v>391</v>
      </c>
      <c r="E7263" s="7" t="s">
        <v>156</v>
      </c>
      <c r="F7263" s="39" t="n">
        <v>45988</v>
      </c>
      <c r="G7263" s="41" t="n">
        <v>127.84</v>
      </c>
      <c r="H7263" s="39" t="n">
        <v>46002</v>
      </c>
      <c r="I7263" s="7" t="s">
        <v>14651</v>
      </c>
      <c r="J7263" s="8" t="str">
        <f aca="false">IF(I7263="Open",DATE(2025,12,31)-F7263,"-")</f>
        <v>-</v>
      </c>
    </row>
    <row r="7264" customFormat="false" ht="15" hidden="false" customHeight="false" outlineLevel="0" collapsed="false">
      <c r="B7264" s="7" t="s">
        <v>21910</v>
      </c>
      <c r="C7264" s="7" t="s">
        <v>7761</v>
      </c>
      <c r="D7264" s="7" t="s">
        <v>395</v>
      </c>
      <c r="E7264" s="7" t="s">
        <v>156</v>
      </c>
      <c r="F7264" s="39" t="n">
        <v>45988</v>
      </c>
      <c r="G7264" s="41" t="n">
        <v>138.04</v>
      </c>
      <c r="H7264" s="39" t="n">
        <v>46005</v>
      </c>
      <c r="I7264" s="7" t="s">
        <v>14651</v>
      </c>
      <c r="J7264" s="8" t="str">
        <f aca="false">IF(I7264="Open",DATE(2025,12,31)-F7264,"-")</f>
        <v>-</v>
      </c>
    </row>
    <row r="7265" customFormat="false" ht="15" hidden="false" customHeight="false" outlineLevel="0" collapsed="false">
      <c r="B7265" s="7" t="s">
        <v>21911</v>
      </c>
      <c r="C7265" s="7" t="s">
        <v>7762</v>
      </c>
      <c r="D7265" s="7" t="s">
        <v>401</v>
      </c>
      <c r="E7265" s="7" t="s">
        <v>156</v>
      </c>
      <c r="F7265" s="39" t="n">
        <v>45988</v>
      </c>
      <c r="G7265" s="41" t="n">
        <v>128.18</v>
      </c>
      <c r="H7265" s="39" t="n">
        <v>46001</v>
      </c>
      <c r="I7265" s="7" t="s">
        <v>14651</v>
      </c>
      <c r="J7265" s="8" t="str">
        <f aca="false">IF(I7265="Open",DATE(2025,12,31)-F7265,"-")</f>
        <v>-</v>
      </c>
    </row>
    <row r="7266" customFormat="false" ht="15" hidden="false" customHeight="false" outlineLevel="0" collapsed="false">
      <c r="B7266" s="7" t="s">
        <v>21912</v>
      </c>
      <c r="C7266" s="7" t="s">
        <v>7763</v>
      </c>
      <c r="D7266" s="7" t="s">
        <v>288</v>
      </c>
      <c r="E7266" s="7" t="s">
        <v>156</v>
      </c>
      <c r="F7266" s="39" t="n">
        <v>45989</v>
      </c>
      <c r="G7266" s="41" t="n">
        <v>125.12</v>
      </c>
      <c r="H7266" s="39" t="n">
        <v>46002</v>
      </c>
      <c r="I7266" s="7" t="s">
        <v>14651</v>
      </c>
      <c r="J7266" s="8" t="str">
        <f aca="false">IF(I7266="Open",DATE(2025,12,31)-F7266,"-")</f>
        <v>-</v>
      </c>
    </row>
    <row r="7267" customFormat="false" ht="15" hidden="false" customHeight="false" outlineLevel="0" collapsed="false">
      <c r="B7267" s="7" t="s">
        <v>21913</v>
      </c>
      <c r="C7267" s="7" t="s">
        <v>7764</v>
      </c>
      <c r="D7267" s="7" t="s">
        <v>291</v>
      </c>
      <c r="E7267" s="7" t="s">
        <v>154</v>
      </c>
      <c r="F7267" s="39" t="n">
        <v>45989</v>
      </c>
      <c r="G7267" s="41" t="n">
        <v>131.18</v>
      </c>
      <c r="H7267" s="6" t="s">
        <v>182</v>
      </c>
      <c r="I7267" s="7" t="s">
        <v>19787</v>
      </c>
      <c r="J7267" s="8" t="n">
        <f aca="false">IF(I7267="Open",DATE(2025,12,31)-F7267,"-")</f>
        <v>33</v>
      </c>
    </row>
    <row r="7268" customFormat="false" ht="15" hidden="false" customHeight="false" outlineLevel="0" collapsed="false">
      <c r="B7268" s="7" t="s">
        <v>21914</v>
      </c>
      <c r="C7268" s="7" t="s">
        <v>7765</v>
      </c>
      <c r="D7268" s="7" t="s">
        <v>293</v>
      </c>
      <c r="E7268" s="7" t="s">
        <v>157</v>
      </c>
      <c r="F7268" s="39" t="n">
        <v>45989</v>
      </c>
      <c r="G7268" s="41" t="n">
        <v>158.4</v>
      </c>
      <c r="H7268" s="6" t="s">
        <v>182</v>
      </c>
      <c r="I7268" s="7" t="s">
        <v>19787</v>
      </c>
      <c r="J7268" s="8" t="n">
        <f aca="false">IF(I7268="Open",DATE(2025,12,31)-F7268,"-")</f>
        <v>33</v>
      </c>
    </row>
    <row r="7269" customFormat="false" ht="15" hidden="false" customHeight="false" outlineLevel="0" collapsed="false">
      <c r="B7269" s="7" t="s">
        <v>21915</v>
      </c>
      <c r="C7269" s="7" t="s">
        <v>7766</v>
      </c>
      <c r="D7269" s="7" t="s">
        <v>295</v>
      </c>
      <c r="E7269" s="7" t="s">
        <v>154</v>
      </c>
      <c r="F7269" s="39" t="n">
        <v>45989</v>
      </c>
      <c r="G7269" s="41" t="n">
        <v>113.95</v>
      </c>
      <c r="H7269" s="39" t="n">
        <v>46015</v>
      </c>
      <c r="I7269" s="7" t="s">
        <v>14651</v>
      </c>
      <c r="J7269" s="8" t="str">
        <f aca="false">IF(I7269="Open",DATE(2025,12,31)-F7269,"-")</f>
        <v>-</v>
      </c>
    </row>
    <row r="7270" customFormat="false" ht="15" hidden="false" customHeight="false" outlineLevel="0" collapsed="false">
      <c r="B7270" s="7" t="s">
        <v>21916</v>
      </c>
      <c r="C7270" s="7" t="s">
        <v>7767</v>
      </c>
      <c r="D7270" s="7" t="s">
        <v>301</v>
      </c>
      <c r="E7270" s="7" t="s">
        <v>157</v>
      </c>
      <c r="F7270" s="39" t="n">
        <v>45989</v>
      </c>
      <c r="G7270" s="41" t="n">
        <v>174.9</v>
      </c>
      <c r="H7270" s="6" t="s">
        <v>182</v>
      </c>
      <c r="I7270" s="7" t="s">
        <v>19787</v>
      </c>
      <c r="J7270" s="8" t="n">
        <f aca="false">IF(I7270="Open",DATE(2025,12,31)-F7270,"-")</f>
        <v>33</v>
      </c>
    </row>
    <row r="7271" customFormat="false" ht="15" hidden="false" customHeight="false" outlineLevel="0" collapsed="false">
      <c r="B7271" s="7" t="s">
        <v>21917</v>
      </c>
      <c r="C7271" s="7" t="s">
        <v>7768</v>
      </c>
      <c r="D7271" s="7" t="s">
        <v>305</v>
      </c>
      <c r="E7271" s="7" t="s">
        <v>154</v>
      </c>
      <c r="F7271" s="39" t="n">
        <v>45989</v>
      </c>
      <c r="G7271" s="41" t="n">
        <v>102.03</v>
      </c>
      <c r="H7271" s="6" t="s">
        <v>182</v>
      </c>
      <c r="I7271" s="7" t="s">
        <v>19787</v>
      </c>
      <c r="J7271" s="8" t="n">
        <f aca="false">IF(I7271="Open",DATE(2025,12,31)-F7271,"-")</f>
        <v>33</v>
      </c>
    </row>
    <row r="7272" customFormat="false" ht="15" hidden="false" customHeight="false" outlineLevel="0" collapsed="false">
      <c r="B7272" s="7" t="s">
        <v>21918</v>
      </c>
      <c r="C7272" s="7" t="s">
        <v>7769</v>
      </c>
      <c r="D7272" s="7" t="s">
        <v>307</v>
      </c>
      <c r="E7272" s="7" t="s">
        <v>157</v>
      </c>
      <c r="F7272" s="39" t="n">
        <v>45989</v>
      </c>
      <c r="G7272" s="41" t="n">
        <v>178.2</v>
      </c>
      <c r="H7272" s="6" t="s">
        <v>182</v>
      </c>
      <c r="I7272" s="7" t="s">
        <v>19787</v>
      </c>
      <c r="J7272" s="8" t="n">
        <f aca="false">IF(I7272="Open",DATE(2025,12,31)-F7272,"-")</f>
        <v>33</v>
      </c>
    </row>
    <row r="7273" customFormat="false" ht="15" hidden="false" customHeight="false" outlineLevel="0" collapsed="false">
      <c r="B7273" s="7" t="s">
        <v>21919</v>
      </c>
      <c r="C7273" s="7" t="s">
        <v>7770</v>
      </c>
      <c r="D7273" s="7" t="s">
        <v>309</v>
      </c>
      <c r="E7273" s="7" t="s">
        <v>159</v>
      </c>
      <c r="F7273" s="39" t="n">
        <v>45989</v>
      </c>
      <c r="G7273" s="41" t="n">
        <v>139.05</v>
      </c>
      <c r="H7273" s="39" t="n">
        <v>46017</v>
      </c>
      <c r="I7273" s="7" t="s">
        <v>14651</v>
      </c>
      <c r="J7273" s="8" t="str">
        <f aca="false">IF(I7273="Open",DATE(2025,12,31)-F7273,"-")</f>
        <v>-</v>
      </c>
    </row>
    <row r="7274" customFormat="false" ht="15" hidden="false" customHeight="false" outlineLevel="0" collapsed="false">
      <c r="B7274" s="7" t="s">
        <v>21920</v>
      </c>
      <c r="C7274" s="7" t="s">
        <v>7771</v>
      </c>
      <c r="D7274" s="7" t="s">
        <v>313</v>
      </c>
      <c r="E7274" s="7" t="s">
        <v>156</v>
      </c>
      <c r="F7274" s="39" t="n">
        <v>45989</v>
      </c>
      <c r="G7274" s="41" t="n">
        <v>139.06</v>
      </c>
      <c r="H7274" s="39" t="n">
        <v>45992</v>
      </c>
      <c r="I7274" s="7" t="s">
        <v>14651</v>
      </c>
      <c r="J7274" s="8" t="str">
        <f aca="false">IF(I7274="Open",DATE(2025,12,31)-F7274,"-")</f>
        <v>-</v>
      </c>
    </row>
    <row r="7275" customFormat="false" ht="15" hidden="false" customHeight="false" outlineLevel="0" collapsed="false">
      <c r="B7275" s="7" t="s">
        <v>21921</v>
      </c>
      <c r="C7275" s="7" t="s">
        <v>7772</v>
      </c>
      <c r="D7275" s="7" t="s">
        <v>315</v>
      </c>
      <c r="E7275" s="7" t="s">
        <v>159</v>
      </c>
      <c r="F7275" s="39" t="n">
        <v>45989</v>
      </c>
      <c r="G7275" s="41" t="n">
        <v>133.65</v>
      </c>
      <c r="H7275" s="6" t="s">
        <v>182</v>
      </c>
      <c r="I7275" s="7" t="s">
        <v>19787</v>
      </c>
      <c r="J7275" s="8" t="n">
        <f aca="false">IF(I7275="Open",DATE(2025,12,31)-F7275,"-")</f>
        <v>33</v>
      </c>
    </row>
    <row r="7276" customFormat="false" ht="15" hidden="false" customHeight="false" outlineLevel="0" collapsed="false">
      <c r="B7276" s="7" t="s">
        <v>21922</v>
      </c>
      <c r="C7276" s="7" t="s">
        <v>7773</v>
      </c>
      <c r="D7276" s="7" t="s">
        <v>319</v>
      </c>
      <c r="E7276" s="7" t="s">
        <v>157</v>
      </c>
      <c r="F7276" s="39" t="n">
        <v>45989</v>
      </c>
      <c r="G7276" s="41" t="n">
        <v>153.45</v>
      </c>
      <c r="H7276" s="39" t="n">
        <v>46010</v>
      </c>
      <c r="I7276" s="7" t="s">
        <v>14651</v>
      </c>
      <c r="J7276" s="8" t="str">
        <f aca="false">IF(I7276="Open",DATE(2025,12,31)-F7276,"-")</f>
        <v>-</v>
      </c>
    </row>
    <row r="7277" customFormat="false" ht="15" hidden="false" customHeight="false" outlineLevel="0" collapsed="false">
      <c r="B7277" s="7" t="s">
        <v>21923</v>
      </c>
      <c r="C7277" s="7" t="s">
        <v>7774</v>
      </c>
      <c r="D7277" s="7" t="s">
        <v>321</v>
      </c>
      <c r="E7277" s="7" t="s">
        <v>154</v>
      </c>
      <c r="F7277" s="39" t="n">
        <v>45989</v>
      </c>
      <c r="G7277" s="41" t="n">
        <v>107.19</v>
      </c>
      <c r="H7277" s="6" t="s">
        <v>182</v>
      </c>
      <c r="I7277" s="7" t="s">
        <v>19787</v>
      </c>
      <c r="J7277" s="8" t="n">
        <f aca="false">IF(I7277="Open",DATE(2025,12,31)-F7277,"-")</f>
        <v>33</v>
      </c>
    </row>
    <row r="7278" customFormat="false" ht="15" hidden="false" customHeight="false" outlineLevel="0" collapsed="false">
      <c r="B7278" s="7" t="s">
        <v>21924</v>
      </c>
      <c r="C7278" s="7" t="s">
        <v>7775</v>
      </c>
      <c r="D7278" s="7" t="s">
        <v>323</v>
      </c>
      <c r="E7278" s="7" t="s">
        <v>159</v>
      </c>
      <c r="F7278" s="39" t="n">
        <v>45989</v>
      </c>
      <c r="G7278" s="41" t="n">
        <v>132.3</v>
      </c>
      <c r="H7278" s="6" t="s">
        <v>182</v>
      </c>
      <c r="I7278" s="7" t="s">
        <v>19787</v>
      </c>
      <c r="J7278" s="8" t="n">
        <f aca="false">IF(I7278="Open",DATE(2025,12,31)-F7278,"-")</f>
        <v>33</v>
      </c>
    </row>
    <row r="7279" customFormat="false" ht="15" hidden="false" customHeight="false" outlineLevel="0" collapsed="false">
      <c r="B7279" s="7" t="s">
        <v>21925</v>
      </c>
      <c r="C7279" s="7" t="s">
        <v>7776</v>
      </c>
      <c r="D7279" s="7" t="s">
        <v>327</v>
      </c>
      <c r="E7279" s="7" t="s">
        <v>157</v>
      </c>
      <c r="F7279" s="39" t="n">
        <v>45989</v>
      </c>
      <c r="G7279" s="41" t="n">
        <v>168.3</v>
      </c>
      <c r="H7279" s="39" t="n">
        <v>46019</v>
      </c>
      <c r="I7279" s="7" t="s">
        <v>14651</v>
      </c>
      <c r="J7279" s="8" t="str">
        <f aca="false">IF(I7279="Open",DATE(2025,12,31)-F7279,"-")</f>
        <v>-</v>
      </c>
    </row>
    <row r="7280" customFormat="false" ht="15" hidden="false" customHeight="false" outlineLevel="0" collapsed="false">
      <c r="B7280" s="7" t="s">
        <v>21926</v>
      </c>
      <c r="C7280" s="7" t="s">
        <v>7777</v>
      </c>
      <c r="D7280" s="7" t="s">
        <v>329</v>
      </c>
      <c r="E7280" s="7" t="s">
        <v>156</v>
      </c>
      <c r="F7280" s="39" t="n">
        <v>45989</v>
      </c>
      <c r="G7280" s="41" t="n">
        <v>132.94</v>
      </c>
      <c r="H7280" s="39" t="n">
        <v>46011</v>
      </c>
      <c r="I7280" s="7" t="s">
        <v>14651</v>
      </c>
      <c r="J7280" s="8" t="str">
        <f aca="false">IF(I7280="Open",DATE(2025,12,31)-F7280,"-")</f>
        <v>-</v>
      </c>
    </row>
    <row r="7281" customFormat="false" ht="15" hidden="false" customHeight="false" outlineLevel="0" collapsed="false">
      <c r="B7281" s="7" t="s">
        <v>21927</v>
      </c>
      <c r="C7281" s="7" t="s">
        <v>7778</v>
      </c>
      <c r="D7281" s="7" t="s">
        <v>333</v>
      </c>
      <c r="E7281" s="7" t="s">
        <v>154</v>
      </c>
      <c r="F7281" s="39" t="n">
        <v>45989</v>
      </c>
      <c r="G7281" s="41" t="n">
        <v>82.15</v>
      </c>
      <c r="H7281" s="39" t="n">
        <v>46018</v>
      </c>
      <c r="I7281" s="7" t="s">
        <v>14651</v>
      </c>
      <c r="J7281" s="8" t="str">
        <f aca="false">IF(I7281="Open",DATE(2025,12,31)-F7281,"-")</f>
        <v>-</v>
      </c>
    </row>
    <row r="7282" customFormat="false" ht="15" hidden="false" customHeight="false" outlineLevel="0" collapsed="false">
      <c r="B7282" s="7" t="s">
        <v>21928</v>
      </c>
      <c r="C7282" s="7" t="s">
        <v>7779</v>
      </c>
      <c r="D7282" s="7" t="s">
        <v>335</v>
      </c>
      <c r="E7282" s="7" t="s">
        <v>154</v>
      </c>
      <c r="F7282" s="39" t="n">
        <v>45989</v>
      </c>
      <c r="G7282" s="41" t="n">
        <v>111.56</v>
      </c>
      <c r="H7282" s="6" t="s">
        <v>182</v>
      </c>
      <c r="I7282" s="7" t="s">
        <v>19787</v>
      </c>
      <c r="J7282" s="8" t="n">
        <f aca="false">IF(I7282="Open",DATE(2025,12,31)-F7282,"-")</f>
        <v>33</v>
      </c>
    </row>
    <row r="7283" customFormat="false" ht="15" hidden="false" customHeight="false" outlineLevel="0" collapsed="false">
      <c r="B7283" s="7" t="s">
        <v>21929</v>
      </c>
      <c r="C7283" s="7" t="s">
        <v>7780</v>
      </c>
      <c r="D7283" s="7" t="s">
        <v>339</v>
      </c>
      <c r="E7283" s="7" t="s">
        <v>154</v>
      </c>
      <c r="F7283" s="39" t="n">
        <v>45989</v>
      </c>
      <c r="G7283" s="41" t="n">
        <v>91.95</v>
      </c>
      <c r="H7283" s="6" t="s">
        <v>182</v>
      </c>
      <c r="I7283" s="7" t="s">
        <v>19787</v>
      </c>
      <c r="J7283" s="8" t="n">
        <f aca="false">IF(I7283="Open",DATE(2025,12,31)-F7283,"-")</f>
        <v>33</v>
      </c>
    </row>
    <row r="7284" customFormat="false" ht="15" hidden="false" customHeight="false" outlineLevel="0" collapsed="false">
      <c r="B7284" s="7" t="s">
        <v>21930</v>
      </c>
      <c r="C7284" s="7" t="s">
        <v>7781</v>
      </c>
      <c r="D7284" s="7" t="s">
        <v>349</v>
      </c>
      <c r="E7284" s="7" t="s">
        <v>154</v>
      </c>
      <c r="F7284" s="39" t="n">
        <v>45989</v>
      </c>
      <c r="G7284" s="41" t="n">
        <v>111.04</v>
      </c>
      <c r="H7284" s="6" t="s">
        <v>182</v>
      </c>
      <c r="I7284" s="7" t="s">
        <v>19787</v>
      </c>
      <c r="J7284" s="8" t="n">
        <f aca="false">IF(I7284="Open",DATE(2025,12,31)-F7284,"-")</f>
        <v>33</v>
      </c>
    </row>
    <row r="7285" customFormat="false" ht="15" hidden="false" customHeight="false" outlineLevel="0" collapsed="false">
      <c r="B7285" s="7" t="s">
        <v>21931</v>
      </c>
      <c r="C7285" s="7" t="s">
        <v>7782</v>
      </c>
      <c r="D7285" s="7" t="s">
        <v>353</v>
      </c>
      <c r="E7285" s="7" t="s">
        <v>154</v>
      </c>
      <c r="F7285" s="39" t="n">
        <v>45989</v>
      </c>
      <c r="G7285" s="41" t="n">
        <v>89.84</v>
      </c>
      <c r="H7285" s="6" t="s">
        <v>182</v>
      </c>
      <c r="I7285" s="7" t="s">
        <v>19787</v>
      </c>
      <c r="J7285" s="8" t="n">
        <f aca="false">IF(I7285="Open",DATE(2025,12,31)-F7285,"-")</f>
        <v>33</v>
      </c>
    </row>
    <row r="7286" customFormat="false" ht="15" hidden="false" customHeight="false" outlineLevel="0" collapsed="false">
      <c r="B7286" s="7" t="s">
        <v>21932</v>
      </c>
      <c r="C7286" s="7" t="s">
        <v>7783</v>
      </c>
      <c r="D7286" s="7" t="s">
        <v>355</v>
      </c>
      <c r="E7286" s="7" t="s">
        <v>154</v>
      </c>
      <c r="F7286" s="39" t="n">
        <v>45989</v>
      </c>
      <c r="G7286" s="41" t="n">
        <v>81.75</v>
      </c>
      <c r="H7286" s="6" t="s">
        <v>182</v>
      </c>
      <c r="I7286" s="7" t="s">
        <v>19787</v>
      </c>
      <c r="J7286" s="8" t="n">
        <f aca="false">IF(I7286="Open",DATE(2025,12,31)-F7286,"-")</f>
        <v>33</v>
      </c>
    </row>
    <row r="7287" customFormat="false" ht="15" hidden="false" customHeight="false" outlineLevel="0" collapsed="false">
      <c r="B7287" s="7" t="s">
        <v>21933</v>
      </c>
      <c r="C7287" s="7" t="s">
        <v>7784</v>
      </c>
      <c r="D7287" s="7" t="s">
        <v>357</v>
      </c>
      <c r="E7287" s="7" t="s">
        <v>154</v>
      </c>
      <c r="F7287" s="39" t="n">
        <v>45989</v>
      </c>
      <c r="G7287" s="41" t="n">
        <v>81.35</v>
      </c>
      <c r="H7287" s="6" t="s">
        <v>182</v>
      </c>
      <c r="I7287" s="7" t="s">
        <v>19787</v>
      </c>
      <c r="J7287" s="8" t="n">
        <f aca="false">IF(I7287="Open",DATE(2025,12,31)-F7287,"-")</f>
        <v>33</v>
      </c>
    </row>
    <row r="7288" customFormat="false" ht="15" hidden="false" customHeight="false" outlineLevel="0" collapsed="false">
      <c r="B7288" s="7" t="s">
        <v>21934</v>
      </c>
      <c r="C7288" s="7" t="s">
        <v>7785</v>
      </c>
      <c r="D7288" s="7" t="s">
        <v>359</v>
      </c>
      <c r="E7288" s="7" t="s">
        <v>156</v>
      </c>
      <c r="F7288" s="39" t="n">
        <v>45989</v>
      </c>
      <c r="G7288" s="41" t="n">
        <v>127.5</v>
      </c>
      <c r="H7288" s="39" t="n">
        <v>46005</v>
      </c>
      <c r="I7288" s="7" t="s">
        <v>14651</v>
      </c>
      <c r="J7288" s="8" t="str">
        <f aca="false">IF(I7288="Open",DATE(2025,12,31)-F7288,"-")</f>
        <v>-</v>
      </c>
    </row>
    <row r="7289" customFormat="false" ht="15" hidden="false" customHeight="false" outlineLevel="0" collapsed="false">
      <c r="B7289" s="7" t="s">
        <v>21935</v>
      </c>
      <c r="C7289" s="7" t="s">
        <v>7786</v>
      </c>
      <c r="D7289" s="7" t="s">
        <v>361</v>
      </c>
      <c r="E7289" s="7" t="s">
        <v>157</v>
      </c>
      <c r="F7289" s="39" t="n">
        <v>45989</v>
      </c>
      <c r="G7289" s="41" t="n">
        <v>163.35</v>
      </c>
      <c r="H7289" s="6" t="s">
        <v>182</v>
      </c>
      <c r="I7289" s="7" t="s">
        <v>19787</v>
      </c>
      <c r="J7289" s="8" t="n">
        <f aca="false">IF(I7289="Open",DATE(2025,12,31)-F7289,"-")</f>
        <v>33</v>
      </c>
    </row>
    <row r="7290" customFormat="false" ht="15" hidden="false" customHeight="false" outlineLevel="0" collapsed="false">
      <c r="B7290" s="7" t="s">
        <v>21936</v>
      </c>
      <c r="C7290" s="7" t="s">
        <v>7787</v>
      </c>
      <c r="D7290" s="7" t="s">
        <v>365</v>
      </c>
      <c r="E7290" s="7" t="s">
        <v>154</v>
      </c>
      <c r="F7290" s="39" t="n">
        <v>45989</v>
      </c>
      <c r="G7290" s="41" t="n">
        <v>113.42</v>
      </c>
      <c r="H7290" s="6" t="s">
        <v>182</v>
      </c>
      <c r="I7290" s="7" t="s">
        <v>19787</v>
      </c>
      <c r="J7290" s="8" t="n">
        <f aca="false">IF(I7290="Open",DATE(2025,12,31)-F7290,"-")</f>
        <v>33</v>
      </c>
    </row>
    <row r="7291" customFormat="false" ht="15" hidden="false" customHeight="false" outlineLevel="0" collapsed="false">
      <c r="B7291" s="7" t="s">
        <v>21937</v>
      </c>
      <c r="C7291" s="7" t="s">
        <v>7788</v>
      </c>
      <c r="D7291" s="7" t="s">
        <v>369</v>
      </c>
      <c r="E7291" s="7" t="s">
        <v>159</v>
      </c>
      <c r="F7291" s="39" t="n">
        <v>45989</v>
      </c>
      <c r="G7291" s="41" t="n">
        <v>129.6</v>
      </c>
      <c r="H7291" s="6" t="s">
        <v>182</v>
      </c>
      <c r="I7291" s="7" t="s">
        <v>19787</v>
      </c>
      <c r="J7291" s="8" t="n">
        <f aca="false">IF(I7291="Open",DATE(2025,12,31)-F7291,"-")</f>
        <v>33</v>
      </c>
    </row>
    <row r="7292" customFormat="false" ht="15" hidden="false" customHeight="false" outlineLevel="0" collapsed="false">
      <c r="B7292" s="7" t="s">
        <v>21938</v>
      </c>
      <c r="C7292" s="7" t="s">
        <v>7789</v>
      </c>
      <c r="D7292" s="7" t="s">
        <v>371</v>
      </c>
      <c r="E7292" s="7" t="s">
        <v>154</v>
      </c>
      <c r="F7292" s="39" t="n">
        <v>45989</v>
      </c>
      <c r="G7292" s="41" t="n">
        <v>121.58</v>
      </c>
      <c r="H7292" s="6" t="s">
        <v>182</v>
      </c>
      <c r="I7292" s="7" t="s">
        <v>19787</v>
      </c>
      <c r="J7292" s="8" t="n">
        <f aca="false">IF(I7292="Open",DATE(2025,12,31)-F7292,"-")</f>
        <v>33</v>
      </c>
    </row>
    <row r="7293" customFormat="false" ht="15" hidden="false" customHeight="false" outlineLevel="0" collapsed="false">
      <c r="B7293" s="7" t="s">
        <v>21939</v>
      </c>
      <c r="C7293" s="7" t="s">
        <v>7790</v>
      </c>
      <c r="D7293" s="7" t="s">
        <v>379</v>
      </c>
      <c r="E7293" s="7" t="s">
        <v>156</v>
      </c>
      <c r="F7293" s="39" t="n">
        <v>45989</v>
      </c>
      <c r="G7293" s="41" t="n">
        <v>146.54</v>
      </c>
      <c r="H7293" s="39" t="n">
        <v>45996</v>
      </c>
      <c r="I7293" s="7" t="s">
        <v>14651</v>
      </c>
      <c r="J7293" s="8" t="str">
        <f aca="false">IF(I7293="Open",DATE(2025,12,31)-F7293,"-")</f>
        <v>-</v>
      </c>
    </row>
    <row r="7294" customFormat="false" ht="15" hidden="false" customHeight="false" outlineLevel="0" collapsed="false">
      <c r="B7294" s="7" t="s">
        <v>21940</v>
      </c>
      <c r="C7294" s="7" t="s">
        <v>7791</v>
      </c>
      <c r="D7294" s="7" t="s">
        <v>383</v>
      </c>
      <c r="E7294" s="7" t="s">
        <v>157</v>
      </c>
      <c r="F7294" s="39" t="n">
        <v>45989</v>
      </c>
      <c r="G7294" s="41" t="n">
        <v>161.37</v>
      </c>
      <c r="H7294" s="6" t="s">
        <v>182</v>
      </c>
      <c r="I7294" s="7" t="s">
        <v>19787</v>
      </c>
      <c r="J7294" s="8" t="n">
        <f aca="false">IF(I7294="Open",DATE(2025,12,31)-F7294,"-")</f>
        <v>33</v>
      </c>
    </row>
    <row r="7295" customFormat="false" ht="15" hidden="false" customHeight="false" outlineLevel="0" collapsed="false">
      <c r="B7295" s="7" t="s">
        <v>21941</v>
      </c>
      <c r="C7295" s="7" t="s">
        <v>7792</v>
      </c>
      <c r="D7295" s="7" t="s">
        <v>385</v>
      </c>
      <c r="E7295" s="7" t="s">
        <v>156</v>
      </c>
      <c r="F7295" s="39" t="n">
        <v>45989</v>
      </c>
      <c r="G7295" s="41" t="n">
        <v>134.64</v>
      </c>
      <c r="H7295" s="39" t="n">
        <v>45990</v>
      </c>
      <c r="I7295" s="7" t="s">
        <v>14651</v>
      </c>
      <c r="J7295" s="8" t="str">
        <f aca="false">IF(I7295="Open",DATE(2025,12,31)-F7295,"-")</f>
        <v>-</v>
      </c>
    </row>
    <row r="7296" customFormat="false" ht="15" hidden="false" customHeight="false" outlineLevel="0" collapsed="false">
      <c r="B7296" s="7" t="s">
        <v>21942</v>
      </c>
      <c r="C7296" s="7" t="s">
        <v>7793</v>
      </c>
      <c r="D7296" s="7" t="s">
        <v>387</v>
      </c>
      <c r="E7296" s="7" t="s">
        <v>154</v>
      </c>
      <c r="F7296" s="39" t="n">
        <v>45989</v>
      </c>
      <c r="G7296" s="41" t="n">
        <v>116.33</v>
      </c>
      <c r="H7296" s="6" t="s">
        <v>182</v>
      </c>
      <c r="I7296" s="7" t="s">
        <v>19787</v>
      </c>
      <c r="J7296" s="8" t="n">
        <f aca="false">IF(I7296="Open",DATE(2025,12,31)-F7296,"-")</f>
        <v>33</v>
      </c>
    </row>
    <row r="7297" customFormat="false" ht="15" hidden="false" customHeight="false" outlineLevel="0" collapsed="false">
      <c r="B7297" s="7" t="s">
        <v>21943</v>
      </c>
      <c r="C7297" s="7" t="s">
        <v>7794</v>
      </c>
      <c r="D7297" s="7" t="s">
        <v>389</v>
      </c>
      <c r="E7297" s="7" t="s">
        <v>154</v>
      </c>
      <c r="F7297" s="39" t="n">
        <v>45989</v>
      </c>
      <c r="G7297" s="41" t="n">
        <v>104.94</v>
      </c>
      <c r="H7297" s="6" t="s">
        <v>182</v>
      </c>
      <c r="I7297" s="7" t="s">
        <v>19787</v>
      </c>
      <c r="J7297" s="8" t="n">
        <f aca="false">IF(I7297="Open",DATE(2025,12,31)-F7297,"-")</f>
        <v>33</v>
      </c>
    </row>
    <row r="7298" customFormat="false" ht="15" hidden="false" customHeight="false" outlineLevel="0" collapsed="false">
      <c r="B7298" s="7" t="s">
        <v>21944</v>
      </c>
      <c r="C7298" s="7" t="s">
        <v>7795</v>
      </c>
      <c r="D7298" s="7" t="s">
        <v>391</v>
      </c>
      <c r="E7298" s="7" t="s">
        <v>156</v>
      </c>
      <c r="F7298" s="39" t="n">
        <v>45989</v>
      </c>
      <c r="G7298" s="41" t="n">
        <v>123.76</v>
      </c>
      <c r="H7298" s="39" t="n">
        <v>46005</v>
      </c>
      <c r="I7298" s="7" t="s">
        <v>14651</v>
      </c>
      <c r="J7298" s="8" t="str">
        <f aca="false">IF(I7298="Open",DATE(2025,12,31)-F7298,"-")</f>
        <v>-</v>
      </c>
    </row>
    <row r="7299" customFormat="false" ht="15" hidden="false" customHeight="false" outlineLevel="0" collapsed="false">
      <c r="B7299" s="7" t="s">
        <v>21945</v>
      </c>
      <c r="C7299" s="7" t="s">
        <v>7796</v>
      </c>
      <c r="D7299" s="7" t="s">
        <v>395</v>
      </c>
      <c r="E7299" s="7" t="s">
        <v>156</v>
      </c>
      <c r="F7299" s="39" t="n">
        <v>45989</v>
      </c>
      <c r="G7299" s="41" t="n">
        <v>130.9</v>
      </c>
      <c r="H7299" s="39" t="n">
        <v>45998</v>
      </c>
      <c r="I7299" s="7" t="s">
        <v>14651</v>
      </c>
      <c r="J7299" s="8" t="str">
        <f aca="false">IF(I7299="Open",DATE(2025,12,31)-F7299,"-")</f>
        <v>-</v>
      </c>
    </row>
    <row r="7300" customFormat="false" ht="15" hidden="false" customHeight="false" outlineLevel="0" collapsed="false">
      <c r="B7300" s="7" t="s">
        <v>21946</v>
      </c>
      <c r="C7300" s="7" t="s">
        <v>7797</v>
      </c>
      <c r="D7300" s="7" t="s">
        <v>397</v>
      </c>
      <c r="E7300" s="7" t="s">
        <v>159</v>
      </c>
      <c r="F7300" s="39" t="n">
        <v>45989</v>
      </c>
      <c r="G7300" s="41" t="n">
        <v>122.98</v>
      </c>
      <c r="H7300" s="6" t="s">
        <v>182</v>
      </c>
      <c r="I7300" s="7" t="s">
        <v>19787</v>
      </c>
      <c r="J7300" s="8" t="n">
        <f aca="false">IF(I7300="Open",DATE(2025,12,31)-F7300,"-")</f>
        <v>33</v>
      </c>
    </row>
    <row r="7301" customFormat="false" ht="15" hidden="false" customHeight="false" outlineLevel="0" collapsed="false">
      <c r="B7301" s="7" t="s">
        <v>21947</v>
      </c>
      <c r="C7301" s="7" t="s">
        <v>7798</v>
      </c>
      <c r="D7301" s="7" t="s">
        <v>399</v>
      </c>
      <c r="E7301" s="7" t="s">
        <v>154</v>
      </c>
      <c r="F7301" s="39" t="n">
        <v>45989</v>
      </c>
      <c r="G7301" s="41" t="n">
        <v>82.94</v>
      </c>
      <c r="H7301" s="6" t="s">
        <v>182</v>
      </c>
      <c r="I7301" s="7" t="s">
        <v>19787</v>
      </c>
      <c r="J7301" s="8" t="n">
        <f aca="false">IF(I7301="Open",DATE(2025,12,31)-F7301,"-")</f>
        <v>33</v>
      </c>
    </row>
    <row r="7302" customFormat="false" ht="15" hidden="false" customHeight="false" outlineLevel="0" collapsed="false">
      <c r="B7302" s="7" t="s">
        <v>21948</v>
      </c>
      <c r="C7302" s="7" t="s">
        <v>7799</v>
      </c>
      <c r="D7302" s="7" t="s">
        <v>401</v>
      </c>
      <c r="E7302" s="7" t="s">
        <v>156</v>
      </c>
      <c r="F7302" s="39" t="n">
        <v>45989</v>
      </c>
      <c r="G7302" s="41" t="n">
        <v>143.82</v>
      </c>
      <c r="H7302" s="39" t="n">
        <v>46002</v>
      </c>
      <c r="I7302" s="7" t="s">
        <v>14651</v>
      </c>
      <c r="J7302" s="8" t="str">
        <f aca="false">IF(I7302="Open",DATE(2025,12,31)-F7302,"-")</f>
        <v>-</v>
      </c>
    </row>
    <row r="7303" customFormat="false" ht="15" hidden="false" customHeight="false" outlineLevel="0" collapsed="false">
      <c r="B7303" s="7" t="s">
        <v>21949</v>
      </c>
      <c r="C7303" s="7" t="s">
        <v>7800</v>
      </c>
      <c r="D7303" s="7" t="s">
        <v>403</v>
      </c>
      <c r="E7303" s="7" t="s">
        <v>156</v>
      </c>
      <c r="F7303" s="39" t="n">
        <v>45989</v>
      </c>
      <c r="G7303" s="41" t="n">
        <v>122.4</v>
      </c>
      <c r="H7303" s="39" t="n">
        <v>45994</v>
      </c>
      <c r="I7303" s="7" t="s">
        <v>14651</v>
      </c>
      <c r="J7303" s="8" t="str">
        <f aca="false">IF(I7303="Open",DATE(2025,12,31)-F7303,"-")</f>
        <v>-</v>
      </c>
    </row>
    <row r="7304" customFormat="false" ht="15" hidden="false" customHeight="false" outlineLevel="0" collapsed="false">
      <c r="B7304" s="7" t="s">
        <v>21950</v>
      </c>
      <c r="C7304" s="7" t="s">
        <v>7801</v>
      </c>
      <c r="D7304" s="7" t="s">
        <v>407</v>
      </c>
      <c r="E7304" s="7" t="s">
        <v>159</v>
      </c>
      <c r="F7304" s="39" t="n">
        <v>45989</v>
      </c>
      <c r="G7304" s="41" t="n">
        <v>143.1</v>
      </c>
      <c r="H7304" s="6" t="s">
        <v>182</v>
      </c>
      <c r="I7304" s="7" t="s">
        <v>19787</v>
      </c>
      <c r="J7304" s="8" t="n">
        <f aca="false">IF(I7304="Open",DATE(2025,12,31)-F7304,"-")</f>
        <v>33</v>
      </c>
    </row>
    <row r="7305" customFormat="false" ht="15" hidden="false" customHeight="false" outlineLevel="0" collapsed="false">
      <c r="B7305" s="7" t="s">
        <v>21951</v>
      </c>
      <c r="C7305" s="7" t="s">
        <v>7802</v>
      </c>
      <c r="D7305" s="7" t="s">
        <v>409</v>
      </c>
      <c r="E7305" s="7" t="s">
        <v>154</v>
      </c>
      <c r="F7305" s="39" t="n">
        <v>45989</v>
      </c>
      <c r="G7305" s="41" t="n">
        <v>94.34</v>
      </c>
      <c r="H7305" s="6" t="s">
        <v>182</v>
      </c>
      <c r="I7305" s="7" t="s">
        <v>19787</v>
      </c>
      <c r="J7305" s="8" t="n">
        <f aca="false">IF(I7305="Open",DATE(2025,12,31)-F7305,"-")</f>
        <v>33</v>
      </c>
    </row>
    <row r="7306" customFormat="false" ht="15" hidden="false" customHeight="false" outlineLevel="0" collapsed="false">
      <c r="B7306" s="7" t="s">
        <v>21952</v>
      </c>
      <c r="C7306" s="7" t="s">
        <v>7803</v>
      </c>
      <c r="D7306" s="7" t="s">
        <v>411</v>
      </c>
      <c r="E7306" s="7" t="s">
        <v>154</v>
      </c>
      <c r="F7306" s="39" t="n">
        <v>45989</v>
      </c>
      <c r="G7306" s="41" t="n">
        <v>124.02</v>
      </c>
      <c r="H7306" s="6" t="s">
        <v>182</v>
      </c>
      <c r="I7306" s="7" t="s">
        <v>19787</v>
      </c>
      <c r="J7306" s="8" t="n">
        <f aca="false">IF(I7306="Open",DATE(2025,12,31)-F7306,"-")</f>
        <v>33</v>
      </c>
    </row>
    <row r="7307" customFormat="false" ht="15" hidden="false" customHeight="false" outlineLevel="0" collapsed="false">
      <c r="B7307" s="7" t="s">
        <v>21953</v>
      </c>
      <c r="C7307" s="7" t="s">
        <v>7804</v>
      </c>
      <c r="D7307" s="7" t="s">
        <v>288</v>
      </c>
      <c r="E7307" s="7" t="s">
        <v>156</v>
      </c>
      <c r="F7307" s="39" t="n">
        <v>45990</v>
      </c>
      <c r="G7307" s="41" t="n">
        <v>132.94</v>
      </c>
      <c r="H7307" s="39" t="n">
        <v>45997</v>
      </c>
      <c r="I7307" s="7" t="s">
        <v>14651</v>
      </c>
      <c r="J7307" s="8" t="str">
        <f aca="false">IF(I7307="Open",DATE(2025,12,31)-F7307,"-")</f>
        <v>-</v>
      </c>
    </row>
    <row r="7308" customFormat="false" ht="15" hidden="false" customHeight="false" outlineLevel="0" collapsed="false">
      <c r="B7308" s="7" t="s">
        <v>21954</v>
      </c>
      <c r="C7308" s="7" t="s">
        <v>7805</v>
      </c>
      <c r="D7308" s="7" t="s">
        <v>321</v>
      </c>
      <c r="E7308" s="7" t="s">
        <v>154</v>
      </c>
      <c r="F7308" s="39" t="n">
        <v>45990</v>
      </c>
      <c r="G7308" s="41" t="n">
        <v>116.33</v>
      </c>
      <c r="H7308" s="6" t="s">
        <v>182</v>
      </c>
      <c r="I7308" s="7" t="s">
        <v>19787</v>
      </c>
      <c r="J7308" s="8" t="n">
        <f aca="false">IF(I7308="Open",DATE(2025,12,31)-F7308,"-")</f>
        <v>32</v>
      </c>
    </row>
    <row r="7309" customFormat="false" ht="15" hidden="false" customHeight="false" outlineLevel="0" collapsed="false">
      <c r="B7309" s="7" t="s">
        <v>21955</v>
      </c>
      <c r="C7309" s="7" t="s">
        <v>7806</v>
      </c>
      <c r="D7309" s="7" t="s">
        <v>359</v>
      </c>
      <c r="E7309" s="7" t="s">
        <v>156</v>
      </c>
      <c r="F7309" s="39" t="n">
        <v>45990</v>
      </c>
      <c r="G7309" s="41" t="n">
        <v>140.76</v>
      </c>
      <c r="H7309" s="39" t="n">
        <v>46003</v>
      </c>
      <c r="I7309" s="7" t="s">
        <v>14651</v>
      </c>
      <c r="J7309" s="8" t="str">
        <f aca="false">IF(I7309="Open",DATE(2025,12,31)-F7309,"-")</f>
        <v>-</v>
      </c>
    </row>
    <row r="7310" customFormat="false" ht="15" hidden="false" customHeight="false" outlineLevel="0" collapsed="false">
      <c r="B7310" s="7" t="s">
        <v>21956</v>
      </c>
      <c r="C7310" s="7" t="s">
        <v>7807</v>
      </c>
      <c r="D7310" s="7" t="s">
        <v>387</v>
      </c>
      <c r="E7310" s="7" t="s">
        <v>154</v>
      </c>
      <c r="F7310" s="39" t="n">
        <v>45990</v>
      </c>
      <c r="G7310" s="41" t="n">
        <v>116.07</v>
      </c>
      <c r="H7310" s="6" t="s">
        <v>182</v>
      </c>
      <c r="I7310" s="7" t="s">
        <v>19787</v>
      </c>
      <c r="J7310" s="8" t="n">
        <f aca="false">IF(I7310="Open",DATE(2025,12,31)-F7310,"-")</f>
        <v>32</v>
      </c>
    </row>
    <row r="7311" customFormat="false" ht="15" hidden="false" customHeight="false" outlineLevel="0" collapsed="false">
      <c r="B7311" s="7" t="s">
        <v>21957</v>
      </c>
      <c r="C7311" s="7" t="s">
        <v>7808</v>
      </c>
      <c r="D7311" s="7" t="s">
        <v>391</v>
      </c>
      <c r="E7311" s="7" t="s">
        <v>156</v>
      </c>
      <c r="F7311" s="39" t="n">
        <v>45990</v>
      </c>
      <c r="G7311" s="41" t="n">
        <v>142.12</v>
      </c>
      <c r="H7311" s="39" t="n">
        <v>46006</v>
      </c>
      <c r="I7311" s="7" t="s">
        <v>14651</v>
      </c>
      <c r="J7311" s="8" t="str">
        <f aca="false">IF(I7311="Open",DATE(2025,12,31)-F7311,"-")</f>
        <v>-</v>
      </c>
    </row>
    <row r="7312" customFormat="false" ht="15" hidden="false" customHeight="false" outlineLevel="0" collapsed="false">
      <c r="B7312" s="7" t="s">
        <v>21958</v>
      </c>
      <c r="C7312" s="7" t="s">
        <v>7809</v>
      </c>
      <c r="D7312" s="7" t="s">
        <v>395</v>
      </c>
      <c r="E7312" s="7" t="s">
        <v>156</v>
      </c>
      <c r="F7312" s="39" t="n">
        <v>45990</v>
      </c>
      <c r="G7312" s="41" t="n">
        <v>132.6</v>
      </c>
      <c r="H7312" s="39" t="n">
        <v>46008</v>
      </c>
      <c r="I7312" s="7" t="s">
        <v>14651</v>
      </c>
      <c r="J7312" s="8" t="str">
        <f aca="false">IF(I7312="Open",DATE(2025,12,31)-F7312,"-")</f>
        <v>-</v>
      </c>
    </row>
    <row r="7313" customFormat="false" ht="15" hidden="false" customHeight="false" outlineLevel="0" collapsed="false">
      <c r="B7313" s="7" t="s">
        <v>21959</v>
      </c>
      <c r="C7313" s="7" t="s">
        <v>7810</v>
      </c>
      <c r="D7313" s="7" t="s">
        <v>401</v>
      </c>
      <c r="E7313" s="7" t="s">
        <v>156</v>
      </c>
      <c r="F7313" s="39" t="n">
        <v>45990</v>
      </c>
      <c r="G7313" s="41" t="n">
        <v>129.2</v>
      </c>
      <c r="H7313" s="39" t="n">
        <v>45998</v>
      </c>
      <c r="I7313" s="7" t="s">
        <v>14651</v>
      </c>
      <c r="J7313" s="8" t="str">
        <f aca="false">IF(I7313="Open",DATE(2025,12,31)-F7313,"-")</f>
        <v>-</v>
      </c>
    </row>
    <row r="7314" customFormat="false" ht="15" hidden="false" customHeight="false" outlineLevel="0" collapsed="false">
      <c r="B7314" s="7" t="s">
        <v>21960</v>
      </c>
      <c r="C7314" s="7" t="s">
        <v>7811</v>
      </c>
      <c r="D7314" s="7" t="s">
        <v>288</v>
      </c>
      <c r="E7314" s="7" t="s">
        <v>156</v>
      </c>
      <c r="F7314" s="39" t="n">
        <v>45991</v>
      </c>
      <c r="G7314" s="41" t="n">
        <v>146.2</v>
      </c>
      <c r="H7314" s="39" t="n">
        <v>46009</v>
      </c>
      <c r="I7314" s="7" t="s">
        <v>14651</v>
      </c>
      <c r="J7314" s="8" t="str">
        <f aca="false">IF(I7314="Open",DATE(2025,12,31)-F7314,"-")</f>
        <v>-</v>
      </c>
    </row>
    <row r="7315" customFormat="false" ht="15" hidden="false" customHeight="false" outlineLevel="0" collapsed="false">
      <c r="B7315" s="7" t="s">
        <v>21961</v>
      </c>
      <c r="C7315" s="7" t="s">
        <v>7812</v>
      </c>
      <c r="D7315" s="7" t="s">
        <v>321</v>
      </c>
      <c r="E7315" s="7" t="s">
        <v>154</v>
      </c>
      <c r="F7315" s="39" t="n">
        <v>45991</v>
      </c>
      <c r="G7315" s="41" t="n">
        <v>103.35</v>
      </c>
      <c r="H7315" s="6" t="s">
        <v>182</v>
      </c>
      <c r="I7315" s="7" t="s">
        <v>19787</v>
      </c>
      <c r="J7315" s="8" t="n">
        <f aca="false">IF(I7315="Open",DATE(2025,12,31)-F7315,"-")</f>
        <v>31</v>
      </c>
    </row>
    <row r="7316" customFormat="false" ht="15" hidden="false" customHeight="false" outlineLevel="0" collapsed="false">
      <c r="B7316" s="7" t="s">
        <v>21962</v>
      </c>
      <c r="C7316" s="7" t="s">
        <v>7813</v>
      </c>
      <c r="D7316" s="7" t="s">
        <v>359</v>
      </c>
      <c r="E7316" s="7" t="s">
        <v>156</v>
      </c>
      <c r="F7316" s="39" t="n">
        <v>45991</v>
      </c>
      <c r="G7316" s="41" t="n">
        <v>145.18</v>
      </c>
      <c r="H7316" s="39" t="n">
        <v>45999</v>
      </c>
      <c r="I7316" s="7" t="s">
        <v>14651</v>
      </c>
      <c r="J7316" s="8" t="str">
        <f aca="false">IF(I7316="Open",DATE(2025,12,31)-F7316,"-")</f>
        <v>-</v>
      </c>
    </row>
    <row r="7317" customFormat="false" ht="15" hidden="false" customHeight="false" outlineLevel="0" collapsed="false">
      <c r="B7317" s="7" t="s">
        <v>21963</v>
      </c>
      <c r="C7317" s="7" t="s">
        <v>7814</v>
      </c>
      <c r="D7317" s="7" t="s">
        <v>387</v>
      </c>
      <c r="E7317" s="7" t="s">
        <v>154</v>
      </c>
      <c r="F7317" s="39" t="n">
        <v>45991</v>
      </c>
      <c r="G7317" s="41" t="n">
        <v>105.39</v>
      </c>
      <c r="H7317" s="6" t="s">
        <v>182</v>
      </c>
      <c r="I7317" s="7" t="s">
        <v>19787</v>
      </c>
      <c r="J7317" s="8" t="n">
        <f aca="false">IF(I7317="Open",DATE(2025,12,31)-F7317,"-")</f>
        <v>31</v>
      </c>
    </row>
    <row r="7318" customFormat="false" ht="15" hidden="false" customHeight="false" outlineLevel="0" collapsed="false">
      <c r="B7318" s="7" t="s">
        <v>21964</v>
      </c>
      <c r="C7318" s="7" t="s">
        <v>7815</v>
      </c>
      <c r="D7318" s="7" t="s">
        <v>391</v>
      </c>
      <c r="E7318" s="7" t="s">
        <v>156</v>
      </c>
      <c r="F7318" s="39" t="n">
        <v>45991</v>
      </c>
      <c r="G7318" s="41" t="n">
        <v>137.7</v>
      </c>
      <c r="H7318" s="39" t="n">
        <v>45994</v>
      </c>
      <c r="I7318" s="7" t="s">
        <v>14651</v>
      </c>
      <c r="J7318" s="8" t="str">
        <f aca="false">IF(I7318="Open",DATE(2025,12,31)-F7318,"-")</f>
        <v>-</v>
      </c>
    </row>
    <row r="7319" customFormat="false" ht="15" hidden="false" customHeight="false" outlineLevel="0" collapsed="false">
      <c r="B7319" s="7" t="s">
        <v>21965</v>
      </c>
      <c r="C7319" s="7" t="s">
        <v>7816</v>
      </c>
      <c r="D7319" s="7" t="s">
        <v>395</v>
      </c>
      <c r="E7319" s="7" t="s">
        <v>156</v>
      </c>
      <c r="F7319" s="39" t="n">
        <v>45991</v>
      </c>
      <c r="G7319" s="41" t="n">
        <v>140.08</v>
      </c>
      <c r="H7319" s="39" t="n">
        <v>45997</v>
      </c>
      <c r="I7319" s="7" t="s">
        <v>14651</v>
      </c>
      <c r="J7319" s="8" t="str">
        <f aca="false">IF(I7319="Open",DATE(2025,12,31)-F7319,"-")</f>
        <v>-</v>
      </c>
    </row>
    <row r="7320" customFormat="false" ht="15" hidden="false" customHeight="false" outlineLevel="0" collapsed="false">
      <c r="B7320" s="7" t="s">
        <v>21966</v>
      </c>
      <c r="C7320" s="7" t="s">
        <v>7817</v>
      </c>
      <c r="D7320" s="7" t="s">
        <v>401</v>
      </c>
      <c r="E7320" s="7" t="s">
        <v>156</v>
      </c>
      <c r="F7320" s="39" t="n">
        <v>45991</v>
      </c>
      <c r="G7320" s="41" t="n">
        <v>125.46</v>
      </c>
      <c r="H7320" s="39" t="n">
        <v>46000</v>
      </c>
      <c r="I7320" s="7" t="s">
        <v>14651</v>
      </c>
      <c r="J7320" s="8" t="str">
        <f aca="false">IF(I7320="Open",DATE(2025,12,31)-F7320,"-")</f>
        <v>-</v>
      </c>
    </row>
    <row r="7321" customFormat="false" ht="15" hidden="false" customHeight="false" outlineLevel="0" collapsed="false">
      <c r="B7321" s="7" t="s">
        <v>21967</v>
      </c>
      <c r="C7321" s="7" t="s">
        <v>7818</v>
      </c>
      <c r="D7321" s="7" t="s">
        <v>288</v>
      </c>
      <c r="E7321" s="7" t="s">
        <v>156</v>
      </c>
      <c r="F7321" s="39" t="n">
        <v>45992</v>
      </c>
      <c r="G7321" s="41" t="n">
        <v>135.32</v>
      </c>
      <c r="H7321" s="39" t="n">
        <v>46006</v>
      </c>
      <c r="I7321" s="7" t="s">
        <v>14651</v>
      </c>
      <c r="J7321" s="8" t="str">
        <f aca="false">IF(I7321="Open",DATE(2025,12,31)-F7321,"-")</f>
        <v>-</v>
      </c>
    </row>
    <row r="7322" customFormat="false" ht="15" hidden="false" customHeight="false" outlineLevel="0" collapsed="false">
      <c r="B7322" s="7" t="s">
        <v>21968</v>
      </c>
      <c r="C7322" s="7" t="s">
        <v>7819</v>
      </c>
      <c r="D7322" s="7" t="s">
        <v>291</v>
      </c>
      <c r="E7322" s="7" t="s">
        <v>154</v>
      </c>
      <c r="F7322" s="39" t="n">
        <v>45992</v>
      </c>
      <c r="G7322" s="41" t="n">
        <v>133.3</v>
      </c>
      <c r="H7322" s="6" t="s">
        <v>182</v>
      </c>
      <c r="I7322" s="7" t="s">
        <v>19787</v>
      </c>
      <c r="J7322" s="8" t="n">
        <f aca="false">IF(I7322="Open",DATE(2025,12,31)-F7322,"-")</f>
        <v>30</v>
      </c>
    </row>
    <row r="7323" customFormat="false" ht="15" hidden="false" customHeight="false" outlineLevel="0" collapsed="false">
      <c r="B7323" s="7" t="s">
        <v>21969</v>
      </c>
      <c r="C7323" s="7" t="s">
        <v>7820</v>
      </c>
      <c r="D7323" s="7" t="s">
        <v>295</v>
      </c>
      <c r="E7323" s="7" t="s">
        <v>154</v>
      </c>
      <c r="F7323" s="39" t="n">
        <v>45992</v>
      </c>
      <c r="G7323" s="41" t="n">
        <v>96.46</v>
      </c>
      <c r="H7323" s="6" t="s">
        <v>182</v>
      </c>
      <c r="I7323" s="7" t="s">
        <v>19787</v>
      </c>
      <c r="J7323" s="8" t="n">
        <f aca="false">IF(I7323="Open",DATE(2025,12,31)-F7323,"-")</f>
        <v>30</v>
      </c>
    </row>
    <row r="7324" customFormat="false" ht="15" hidden="false" customHeight="false" outlineLevel="0" collapsed="false">
      <c r="B7324" s="7" t="s">
        <v>21970</v>
      </c>
      <c r="C7324" s="7" t="s">
        <v>7821</v>
      </c>
      <c r="D7324" s="7" t="s">
        <v>297</v>
      </c>
      <c r="E7324" s="7" t="s">
        <v>156</v>
      </c>
      <c r="F7324" s="39" t="n">
        <v>45992</v>
      </c>
      <c r="G7324" s="41" t="n">
        <v>103.7</v>
      </c>
      <c r="H7324" s="39" t="n">
        <v>45998</v>
      </c>
      <c r="I7324" s="7" t="s">
        <v>14651</v>
      </c>
      <c r="J7324" s="8" t="str">
        <f aca="false">IF(I7324="Open",DATE(2025,12,31)-F7324,"-")</f>
        <v>-</v>
      </c>
    </row>
    <row r="7325" customFormat="false" ht="15" hidden="false" customHeight="false" outlineLevel="0" collapsed="false">
      <c r="B7325" s="7" t="s">
        <v>21971</v>
      </c>
      <c r="C7325" s="7" t="s">
        <v>7822</v>
      </c>
      <c r="D7325" s="7" t="s">
        <v>299</v>
      </c>
      <c r="E7325" s="7" t="s">
        <v>154</v>
      </c>
      <c r="F7325" s="39" t="n">
        <v>45992</v>
      </c>
      <c r="G7325" s="41" t="n">
        <v>73.78</v>
      </c>
      <c r="H7325" s="6" t="s">
        <v>182</v>
      </c>
      <c r="I7325" s="7" t="s">
        <v>19787</v>
      </c>
      <c r="J7325" s="8" t="n">
        <f aca="false">IF(I7325="Open",DATE(2025,12,31)-F7325,"-")</f>
        <v>30</v>
      </c>
    </row>
    <row r="7326" customFormat="false" ht="15" hidden="false" customHeight="false" outlineLevel="0" collapsed="false">
      <c r="B7326" s="7" t="s">
        <v>21972</v>
      </c>
      <c r="C7326" s="7" t="s">
        <v>7823</v>
      </c>
      <c r="D7326" s="7" t="s">
        <v>303</v>
      </c>
      <c r="E7326" s="7" t="s">
        <v>154</v>
      </c>
      <c r="F7326" s="39" t="n">
        <v>45992</v>
      </c>
      <c r="G7326" s="41" t="n">
        <v>96.72</v>
      </c>
      <c r="H7326" s="6" t="s">
        <v>182</v>
      </c>
      <c r="I7326" s="7" t="s">
        <v>19787</v>
      </c>
      <c r="J7326" s="8" t="n">
        <f aca="false">IF(I7326="Open",DATE(2025,12,31)-F7326,"-")</f>
        <v>30</v>
      </c>
    </row>
    <row r="7327" customFormat="false" ht="15" hidden="false" customHeight="false" outlineLevel="0" collapsed="false">
      <c r="B7327" s="7" t="s">
        <v>21973</v>
      </c>
      <c r="C7327" s="7" t="s">
        <v>7824</v>
      </c>
      <c r="D7327" s="7" t="s">
        <v>305</v>
      </c>
      <c r="E7327" s="7" t="s">
        <v>154</v>
      </c>
      <c r="F7327" s="39" t="n">
        <v>45992</v>
      </c>
      <c r="G7327" s="41" t="n">
        <v>100.51</v>
      </c>
      <c r="H7327" s="6" t="s">
        <v>182</v>
      </c>
      <c r="I7327" s="7" t="s">
        <v>19787</v>
      </c>
      <c r="J7327" s="8" t="n">
        <f aca="false">IF(I7327="Open",DATE(2025,12,31)-F7327,"-")</f>
        <v>30</v>
      </c>
    </row>
    <row r="7328" customFormat="false" ht="15" hidden="false" customHeight="false" outlineLevel="0" collapsed="false">
      <c r="B7328" s="7" t="s">
        <v>21974</v>
      </c>
      <c r="C7328" s="7" t="s">
        <v>7825</v>
      </c>
      <c r="D7328" s="7" t="s">
        <v>307</v>
      </c>
      <c r="E7328" s="7" t="s">
        <v>157</v>
      </c>
      <c r="F7328" s="39" t="n">
        <v>45992</v>
      </c>
      <c r="G7328" s="41" t="n">
        <v>155.1</v>
      </c>
      <c r="H7328" s="6" t="s">
        <v>182</v>
      </c>
      <c r="I7328" s="7" t="s">
        <v>19787</v>
      </c>
      <c r="J7328" s="8" t="n">
        <f aca="false">IF(I7328="Open",DATE(2025,12,31)-F7328,"-")</f>
        <v>30</v>
      </c>
    </row>
    <row r="7329" customFormat="false" ht="15" hidden="false" customHeight="false" outlineLevel="0" collapsed="false">
      <c r="B7329" s="7" t="s">
        <v>21975</v>
      </c>
      <c r="C7329" s="7" t="s">
        <v>7826</v>
      </c>
      <c r="D7329" s="7" t="s">
        <v>309</v>
      </c>
      <c r="E7329" s="7" t="s">
        <v>159</v>
      </c>
      <c r="F7329" s="39" t="n">
        <v>45992</v>
      </c>
      <c r="G7329" s="41" t="n">
        <v>139.05</v>
      </c>
      <c r="H7329" s="6" t="s">
        <v>182</v>
      </c>
      <c r="I7329" s="7" t="s">
        <v>19787</v>
      </c>
      <c r="J7329" s="8" t="n">
        <f aca="false">IF(I7329="Open",DATE(2025,12,31)-F7329,"-")</f>
        <v>30</v>
      </c>
    </row>
    <row r="7330" customFormat="false" ht="15" hidden="false" customHeight="false" outlineLevel="0" collapsed="false">
      <c r="B7330" s="7" t="s">
        <v>21976</v>
      </c>
      <c r="C7330" s="7" t="s">
        <v>7827</v>
      </c>
      <c r="D7330" s="7" t="s">
        <v>311</v>
      </c>
      <c r="E7330" s="7" t="s">
        <v>154</v>
      </c>
      <c r="F7330" s="39" t="n">
        <v>45992</v>
      </c>
      <c r="G7330" s="41" t="n">
        <v>79.23</v>
      </c>
      <c r="H7330" s="6" t="s">
        <v>182</v>
      </c>
      <c r="I7330" s="7" t="s">
        <v>19787</v>
      </c>
      <c r="J7330" s="8" t="n">
        <f aca="false">IF(I7330="Open",DATE(2025,12,31)-F7330,"-")</f>
        <v>30</v>
      </c>
    </row>
    <row r="7331" customFormat="false" ht="15" hidden="false" customHeight="false" outlineLevel="0" collapsed="false">
      <c r="B7331" s="7" t="s">
        <v>21977</v>
      </c>
      <c r="C7331" s="7" t="s">
        <v>7828</v>
      </c>
      <c r="D7331" s="7" t="s">
        <v>313</v>
      </c>
      <c r="E7331" s="7" t="s">
        <v>156</v>
      </c>
      <c r="F7331" s="39" t="n">
        <v>45992</v>
      </c>
      <c r="G7331" s="41" t="n">
        <v>123.76</v>
      </c>
      <c r="H7331" s="39" t="n">
        <v>46008</v>
      </c>
      <c r="I7331" s="7" t="s">
        <v>14651</v>
      </c>
      <c r="J7331" s="8" t="str">
        <f aca="false">IF(I7331="Open",DATE(2025,12,31)-F7331,"-")</f>
        <v>-</v>
      </c>
    </row>
    <row r="7332" customFormat="false" ht="15" hidden="false" customHeight="false" outlineLevel="0" collapsed="false">
      <c r="B7332" s="7" t="s">
        <v>21978</v>
      </c>
      <c r="C7332" s="7" t="s">
        <v>7829</v>
      </c>
      <c r="D7332" s="7" t="s">
        <v>315</v>
      </c>
      <c r="E7332" s="7" t="s">
        <v>159</v>
      </c>
      <c r="F7332" s="39" t="n">
        <v>45992</v>
      </c>
      <c r="G7332" s="41" t="n">
        <v>124.2</v>
      </c>
      <c r="H7332" s="6" t="s">
        <v>182</v>
      </c>
      <c r="I7332" s="7" t="s">
        <v>19787</v>
      </c>
      <c r="J7332" s="8" t="n">
        <f aca="false">IF(I7332="Open",DATE(2025,12,31)-F7332,"-")</f>
        <v>30</v>
      </c>
    </row>
    <row r="7333" customFormat="false" ht="15" hidden="false" customHeight="false" outlineLevel="0" collapsed="false">
      <c r="B7333" s="7" t="s">
        <v>21979</v>
      </c>
      <c r="C7333" s="7" t="s">
        <v>7830</v>
      </c>
      <c r="D7333" s="7" t="s">
        <v>317</v>
      </c>
      <c r="E7333" s="7" t="s">
        <v>156</v>
      </c>
      <c r="F7333" s="39" t="n">
        <v>45992</v>
      </c>
      <c r="G7333" s="41" t="n">
        <v>99.62</v>
      </c>
      <c r="H7333" s="39" t="n">
        <v>45994</v>
      </c>
      <c r="I7333" s="7" t="s">
        <v>14651</v>
      </c>
      <c r="J7333" s="8" t="str">
        <f aca="false">IF(I7333="Open",DATE(2025,12,31)-F7333,"-")</f>
        <v>-</v>
      </c>
    </row>
    <row r="7334" customFormat="false" ht="15" hidden="false" customHeight="false" outlineLevel="0" collapsed="false">
      <c r="B7334" s="7" t="s">
        <v>21980</v>
      </c>
      <c r="C7334" s="7" t="s">
        <v>7831</v>
      </c>
      <c r="D7334" s="7" t="s">
        <v>321</v>
      </c>
      <c r="E7334" s="7" t="s">
        <v>154</v>
      </c>
      <c r="F7334" s="39" t="n">
        <v>45992</v>
      </c>
      <c r="G7334" s="41" t="n">
        <v>101.79</v>
      </c>
      <c r="H7334" s="6" t="s">
        <v>182</v>
      </c>
      <c r="I7334" s="7" t="s">
        <v>19787</v>
      </c>
      <c r="J7334" s="8" t="n">
        <f aca="false">IF(I7334="Open",DATE(2025,12,31)-F7334,"-")</f>
        <v>30</v>
      </c>
    </row>
    <row r="7335" customFormat="false" ht="15" hidden="false" customHeight="false" outlineLevel="0" collapsed="false">
      <c r="B7335" s="7" t="s">
        <v>21981</v>
      </c>
      <c r="C7335" s="7" t="s">
        <v>7832</v>
      </c>
      <c r="D7335" s="7" t="s">
        <v>325</v>
      </c>
      <c r="E7335" s="7" t="s">
        <v>154</v>
      </c>
      <c r="F7335" s="39" t="n">
        <v>45992</v>
      </c>
      <c r="G7335" s="41" t="n">
        <v>86.39</v>
      </c>
      <c r="H7335" s="6" t="s">
        <v>182</v>
      </c>
      <c r="I7335" s="7" t="s">
        <v>19787</v>
      </c>
      <c r="J7335" s="8" t="n">
        <f aca="false">IF(I7335="Open",DATE(2025,12,31)-F7335,"-")</f>
        <v>30</v>
      </c>
    </row>
    <row r="7336" customFormat="false" ht="15" hidden="false" customHeight="false" outlineLevel="0" collapsed="false">
      <c r="B7336" s="7" t="s">
        <v>21982</v>
      </c>
      <c r="C7336" s="7" t="s">
        <v>7833</v>
      </c>
      <c r="D7336" s="7" t="s">
        <v>329</v>
      </c>
      <c r="E7336" s="7" t="s">
        <v>156</v>
      </c>
      <c r="F7336" s="39" t="n">
        <v>45992</v>
      </c>
      <c r="G7336" s="41" t="n">
        <v>140.42</v>
      </c>
      <c r="H7336" s="39" t="n">
        <v>46015</v>
      </c>
      <c r="I7336" s="7" t="s">
        <v>14651</v>
      </c>
      <c r="J7336" s="8" t="str">
        <f aca="false">IF(I7336="Open",DATE(2025,12,31)-F7336,"-")</f>
        <v>-</v>
      </c>
    </row>
    <row r="7337" customFormat="false" ht="15" hidden="false" customHeight="false" outlineLevel="0" collapsed="false">
      <c r="B7337" s="7" t="s">
        <v>21983</v>
      </c>
      <c r="C7337" s="7" t="s">
        <v>7834</v>
      </c>
      <c r="D7337" s="7" t="s">
        <v>333</v>
      </c>
      <c r="E7337" s="7" t="s">
        <v>154</v>
      </c>
      <c r="F7337" s="39" t="n">
        <v>45992</v>
      </c>
      <c r="G7337" s="41" t="n">
        <v>91.69</v>
      </c>
      <c r="H7337" s="6" t="s">
        <v>182</v>
      </c>
      <c r="I7337" s="7" t="s">
        <v>19787</v>
      </c>
      <c r="J7337" s="8" t="n">
        <f aca="false">IF(I7337="Open",DATE(2025,12,31)-F7337,"-")</f>
        <v>30</v>
      </c>
    </row>
    <row r="7338" customFormat="false" ht="15" hidden="false" customHeight="false" outlineLevel="0" collapsed="false">
      <c r="B7338" s="7" t="s">
        <v>21984</v>
      </c>
      <c r="C7338" s="7" t="s">
        <v>7835</v>
      </c>
      <c r="D7338" s="7" t="s">
        <v>335</v>
      </c>
      <c r="E7338" s="7" t="s">
        <v>154</v>
      </c>
      <c r="F7338" s="39" t="n">
        <v>45992</v>
      </c>
      <c r="G7338" s="41" t="n">
        <v>106.93</v>
      </c>
      <c r="H7338" s="6" t="s">
        <v>182</v>
      </c>
      <c r="I7338" s="7" t="s">
        <v>19787</v>
      </c>
      <c r="J7338" s="8" t="n">
        <f aca="false">IF(I7338="Open",DATE(2025,12,31)-F7338,"-")</f>
        <v>30</v>
      </c>
    </row>
    <row r="7339" customFormat="false" ht="15" hidden="false" customHeight="false" outlineLevel="0" collapsed="false">
      <c r="B7339" s="7" t="s">
        <v>21985</v>
      </c>
      <c r="C7339" s="7" t="s">
        <v>7836</v>
      </c>
      <c r="D7339" s="7" t="s">
        <v>339</v>
      </c>
      <c r="E7339" s="7" t="s">
        <v>154</v>
      </c>
      <c r="F7339" s="39" t="n">
        <v>45992</v>
      </c>
      <c r="G7339" s="41" t="n">
        <v>88.51</v>
      </c>
      <c r="H7339" s="6" t="s">
        <v>182</v>
      </c>
      <c r="I7339" s="7" t="s">
        <v>19787</v>
      </c>
      <c r="J7339" s="8" t="n">
        <f aca="false">IF(I7339="Open",DATE(2025,12,31)-F7339,"-")</f>
        <v>30</v>
      </c>
    </row>
    <row r="7340" customFormat="false" ht="15" hidden="false" customHeight="false" outlineLevel="0" collapsed="false">
      <c r="B7340" s="7" t="s">
        <v>21986</v>
      </c>
      <c r="C7340" s="7" t="s">
        <v>7837</v>
      </c>
      <c r="D7340" s="7" t="s">
        <v>341</v>
      </c>
      <c r="E7340" s="7" t="s">
        <v>156</v>
      </c>
      <c r="F7340" s="39" t="n">
        <v>45992</v>
      </c>
      <c r="G7340" s="41" t="n">
        <v>102.34</v>
      </c>
      <c r="H7340" s="39" t="n">
        <v>45997</v>
      </c>
      <c r="I7340" s="7" t="s">
        <v>14651</v>
      </c>
      <c r="J7340" s="8" t="str">
        <f aca="false">IF(I7340="Open",DATE(2025,12,31)-F7340,"-")</f>
        <v>-</v>
      </c>
    </row>
    <row r="7341" customFormat="false" ht="15" hidden="false" customHeight="false" outlineLevel="0" collapsed="false">
      <c r="B7341" s="7" t="s">
        <v>21987</v>
      </c>
      <c r="C7341" s="7" t="s">
        <v>7838</v>
      </c>
      <c r="D7341" s="7" t="s">
        <v>343</v>
      </c>
      <c r="E7341" s="7" t="s">
        <v>154</v>
      </c>
      <c r="F7341" s="39" t="n">
        <v>45992</v>
      </c>
      <c r="G7341" s="41" t="n">
        <v>107.59</v>
      </c>
      <c r="H7341" s="6" t="s">
        <v>182</v>
      </c>
      <c r="I7341" s="7" t="s">
        <v>19787</v>
      </c>
      <c r="J7341" s="8" t="n">
        <f aca="false">IF(I7341="Open",DATE(2025,12,31)-F7341,"-")</f>
        <v>30</v>
      </c>
    </row>
    <row r="7342" customFormat="false" ht="15" hidden="false" customHeight="false" outlineLevel="0" collapsed="false">
      <c r="B7342" s="7" t="s">
        <v>21988</v>
      </c>
      <c r="C7342" s="7" t="s">
        <v>7839</v>
      </c>
      <c r="D7342" s="7" t="s">
        <v>349</v>
      </c>
      <c r="E7342" s="7" t="s">
        <v>154</v>
      </c>
      <c r="F7342" s="39" t="n">
        <v>45992</v>
      </c>
      <c r="G7342" s="41" t="n">
        <v>107.59</v>
      </c>
      <c r="H7342" s="6" t="s">
        <v>182</v>
      </c>
      <c r="I7342" s="7" t="s">
        <v>19787</v>
      </c>
      <c r="J7342" s="8" t="n">
        <f aca="false">IF(I7342="Open",DATE(2025,12,31)-F7342,"-")</f>
        <v>30</v>
      </c>
    </row>
    <row r="7343" customFormat="false" ht="15" hidden="false" customHeight="false" outlineLevel="0" collapsed="false">
      <c r="B7343" s="7" t="s">
        <v>21989</v>
      </c>
      <c r="C7343" s="7" t="s">
        <v>7840</v>
      </c>
      <c r="D7343" s="7" t="s">
        <v>351</v>
      </c>
      <c r="E7343" s="7" t="s">
        <v>154</v>
      </c>
      <c r="F7343" s="39" t="n">
        <v>45992</v>
      </c>
      <c r="G7343" s="41" t="n">
        <v>74.73</v>
      </c>
      <c r="H7343" s="6" t="s">
        <v>182</v>
      </c>
      <c r="I7343" s="7" t="s">
        <v>19787</v>
      </c>
      <c r="J7343" s="8" t="n">
        <f aca="false">IF(I7343="Open",DATE(2025,12,31)-F7343,"-")</f>
        <v>30</v>
      </c>
    </row>
    <row r="7344" customFormat="false" ht="15" hidden="false" customHeight="false" outlineLevel="0" collapsed="false">
      <c r="B7344" s="7" t="s">
        <v>21990</v>
      </c>
      <c r="C7344" s="7" t="s">
        <v>7841</v>
      </c>
      <c r="D7344" s="7" t="s">
        <v>353</v>
      </c>
      <c r="E7344" s="7" t="s">
        <v>154</v>
      </c>
      <c r="F7344" s="39" t="n">
        <v>45992</v>
      </c>
      <c r="G7344" s="41" t="n">
        <v>77.88</v>
      </c>
      <c r="H7344" s="6" t="s">
        <v>182</v>
      </c>
      <c r="I7344" s="7" t="s">
        <v>19787</v>
      </c>
      <c r="J7344" s="8" t="n">
        <f aca="false">IF(I7344="Open",DATE(2025,12,31)-F7344,"-")</f>
        <v>30</v>
      </c>
    </row>
    <row r="7345" customFormat="false" ht="15" hidden="false" customHeight="false" outlineLevel="0" collapsed="false">
      <c r="B7345" s="7" t="s">
        <v>21991</v>
      </c>
      <c r="C7345" s="7" t="s">
        <v>7842</v>
      </c>
      <c r="D7345" s="7" t="s">
        <v>355</v>
      </c>
      <c r="E7345" s="7" t="s">
        <v>154</v>
      </c>
      <c r="F7345" s="39" t="n">
        <v>45992</v>
      </c>
      <c r="G7345" s="41" t="n">
        <v>96.72</v>
      </c>
      <c r="H7345" s="6" t="s">
        <v>182</v>
      </c>
      <c r="I7345" s="7" t="s">
        <v>19787</v>
      </c>
      <c r="J7345" s="8" t="n">
        <f aca="false">IF(I7345="Open",DATE(2025,12,31)-F7345,"-")</f>
        <v>30</v>
      </c>
    </row>
    <row r="7346" customFormat="false" ht="15" hidden="false" customHeight="false" outlineLevel="0" collapsed="false">
      <c r="B7346" s="7" t="s">
        <v>21992</v>
      </c>
      <c r="C7346" s="7" t="s">
        <v>7843</v>
      </c>
      <c r="D7346" s="7" t="s">
        <v>357</v>
      </c>
      <c r="E7346" s="7" t="s">
        <v>154</v>
      </c>
      <c r="F7346" s="39" t="n">
        <v>45992</v>
      </c>
      <c r="G7346" s="41" t="n">
        <v>84</v>
      </c>
      <c r="H7346" s="6" t="s">
        <v>182</v>
      </c>
      <c r="I7346" s="7" t="s">
        <v>19787</v>
      </c>
      <c r="J7346" s="8" t="n">
        <f aca="false">IF(I7346="Open",DATE(2025,12,31)-F7346,"-")</f>
        <v>30</v>
      </c>
    </row>
    <row r="7347" customFormat="false" ht="15" hidden="false" customHeight="false" outlineLevel="0" collapsed="false">
      <c r="B7347" s="7" t="s">
        <v>21993</v>
      </c>
      <c r="C7347" s="7" t="s">
        <v>7844</v>
      </c>
      <c r="D7347" s="7" t="s">
        <v>359</v>
      </c>
      <c r="E7347" s="7" t="s">
        <v>156</v>
      </c>
      <c r="F7347" s="39" t="n">
        <v>45992</v>
      </c>
      <c r="G7347" s="41" t="n">
        <v>133.96</v>
      </c>
      <c r="H7347" s="39" t="n">
        <v>46002</v>
      </c>
      <c r="I7347" s="7" t="s">
        <v>14651</v>
      </c>
      <c r="J7347" s="8" t="str">
        <f aca="false">IF(I7347="Open",DATE(2025,12,31)-F7347,"-")</f>
        <v>-</v>
      </c>
    </row>
    <row r="7348" customFormat="false" ht="15" hidden="false" customHeight="false" outlineLevel="0" collapsed="false">
      <c r="B7348" s="7" t="s">
        <v>21994</v>
      </c>
      <c r="C7348" s="7" t="s">
        <v>7845</v>
      </c>
      <c r="D7348" s="7" t="s">
        <v>363</v>
      </c>
      <c r="E7348" s="7" t="s">
        <v>156</v>
      </c>
      <c r="F7348" s="39" t="n">
        <v>45992</v>
      </c>
      <c r="G7348" s="41" t="n">
        <v>129.2</v>
      </c>
      <c r="H7348" s="39" t="n">
        <v>46007</v>
      </c>
      <c r="I7348" s="7" t="s">
        <v>14651</v>
      </c>
      <c r="J7348" s="8" t="str">
        <f aca="false">IF(I7348="Open",DATE(2025,12,31)-F7348,"-")</f>
        <v>-</v>
      </c>
    </row>
    <row r="7349" customFormat="false" ht="15" hidden="false" customHeight="false" outlineLevel="0" collapsed="false">
      <c r="B7349" s="7" t="s">
        <v>21995</v>
      </c>
      <c r="C7349" s="7" t="s">
        <v>7846</v>
      </c>
      <c r="D7349" s="7" t="s">
        <v>365</v>
      </c>
      <c r="E7349" s="7" t="s">
        <v>154</v>
      </c>
      <c r="F7349" s="39" t="n">
        <v>45992</v>
      </c>
      <c r="G7349" s="41" t="n">
        <v>107.59</v>
      </c>
      <c r="H7349" s="6" t="s">
        <v>182</v>
      </c>
      <c r="I7349" s="7" t="s">
        <v>19787</v>
      </c>
      <c r="J7349" s="8" t="n">
        <f aca="false">IF(I7349="Open",DATE(2025,12,31)-F7349,"-")</f>
        <v>30</v>
      </c>
    </row>
    <row r="7350" customFormat="false" ht="15" hidden="false" customHeight="false" outlineLevel="0" collapsed="false">
      <c r="B7350" s="7" t="s">
        <v>21996</v>
      </c>
      <c r="C7350" s="7" t="s">
        <v>7847</v>
      </c>
      <c r="D7350" s="7" t="s">
        <v>367</v>
      </c>
      <c r="E7350" s="7" t="s">
        <v>156</v>
      </c>
      <c r="F7350" s="39" t="n">
        <v>45992</v>
      </c>
      <c r="G7350" s="41" t="n">
        <v>95.2</v>
      </c>
      <c r="H7350" s="39" t="n">
        <v>45996</v>
      </c>
      <c r="I7350" s="7" t="s">
        <v>14651</v>
      </c>
      <c r="J7350" s="8" t="str">
        <f aca="false">IF(I7350="Open",DATE(2025,12,31)-F7350,"-")</f>
        <v>-</v>
      </c>
    </row>
    <row r="7351" customFormat="false" ht="15" hidden="false" customHeight="false" outlineLevel="0" collapsed="false">
      <c r="B7351" s="7" t="s">
        <v>21997</v>
      </c>
      <c r="C7351" s="7" t="s">
        <v>7848</v>
      </c>
      <c r="D7351" s="7" t="s">
        <v>371</v>
      </c>
      <c r="E7351" s="7" t="s">
        <v>154</v>
      </c>
      <c r="F7351" s="39" t="n">
        <v>45992</v>
      </c>
      <c r="G7351" s="41" t="n">
        <v>114.75</v>
      </c>
      <c r="H7351" s="6" t="s">
        <v>182</v>
      </c>
      <c r="I7351" s="7" t="s">
        <v>19787</v>
      </c>
      <c r="J7351" s="8" t="n">
        <f aca="false">IF(I7351="Open",DATE(2025,12,31)-F7351,"-")</f>
        <v>30</v>
      </c>
    </row>
    <row r="7352" customFormat="false" ht="15" hidden="false" customHeight="false" outlineLevel="0" collapsed="false">
      <c r="B7352" s="7" t="s">
        <v>21998</v>
      </c>
      <c r="C7352" s="7" t="s">
        <v>7849</v>
      </c>
      <c r="D7352" s="7" t="s">
        <v>375</v>
      </c>
      <c r="E7352" s="7" t="s">
        <v>156</v>
      </c>
      <c r="F7352" s="39" t="n">
        <v>45992</v>
      </c>
      <c r="G7352" s="41" t="n">
        <v>101.66</v>
      </c>
      <c r="H7352" s="39" t="n">
        <v>46001</v>
      </c>
      <c r="I7352" s="7" t="s">
        <v>14651</v>
      </c>
      <c r="J7352" s="8" t="str">
        <f aca="false">IF(I7352="Open",DATE(2025,12,31)-F7352,"-")</f>
        <v>-</v>
      </c>
    </row>
    <row r="7353" customFormat="false" ht="15" hidden="false" customHeight="false" outlineLevel="0" collapsed="false">
      <c r="B7353" s="7" t="s">
        <v>21999</v>
      </c>
      <c r="C7353" s="7" t="s">
        <v>7850</v>
      </c>
      <c r="D7353" s="7" t="s">
        <v>377</v>
      </c>
      <c r="E7353" s="7" t="s">
        <v>154</v>
      </c>
      <c r="F7353" s="39" t="n">
        <v>45992</v>
      </c>
      <c r="G7353" s="41" t="n">
        <v>102.29</v>
      </c>
      <c r="H7353" s="6" t="s">
        <v>182</v>
      </c>
      <c r="I7353" s="7" t="s">
        <v>19787</v>
      </c>
      <c r="J7353" s="8" t="n">
        <f aca="false">IF(I7353="Open",DATE(2025,12,31)-F7353,"-")</f>
        <v>30</v>
      </c>
    </row>
    <row r="7354" customFormat="false" ht="15" hidden="false" customHeight="false" outlineLevel="0" collapsed="false">
      <c r="B7354" s="7" t="s">
        <v>22000</v>
      </c>
      <c r="C7354" s="7" t="s">
        <v>7851</v>
      </c>
      <c r="D7354" s="7" t="s">
        <v>379</v>
      </c>
      <c r="E7354" s="7" t="s">
        <v>156</v>
      </c>
      <c r="F7354" s="39" t="n">
        <v>45992</v>
      </c>
      <c r="G7354" s="41" t="n">
        <v>156.4</v>
      </c>
      <c r="H7354" s="39" t="n">
        <v>46001</v>
      </c>
      <c r="I7354" s="7" t="s">
        <v>14651</v>
      </c>
      <c r="J7354" s="8" t="str">
        <f aca="false">IF(I7354="Open",DATE(2025,12,31)-F7354,"-")</f>
        <v>-</v>
      </c>
    </row>
    <row r="7355" customFormat="false" ht="15" hidden="false" customHeight="false" outlineLevel="0" collapsed="false">
      <c r="B7355" s="7" t="s">
        <v>22001</v>
      </c>
      <c r="C7355" s="7" t="s">
        <v>7852</v>
      </c>
      <c r="D7355" s="7" t="s">
        <v>385</v>
      </c>
      <c r="E7355" s="7" t="s">
        <v>156</v>
      </c>
      <c r="F7355" s="39" t="n">
        <v>45992</v>
      </c>
      <c r="G7355" s="41" t="n">
        <v>122.4</v>
      </c>
      <c r="H7355" s="39" t="n">
        <v>46001</v>
      </c>
      <c r="I7355" s="7" t="s">
        <v>14651</v>
      </c>
      <c r="J7355" s="8" t="str">
        <f aca="false">IF(I7355="Open",DATE(2025,12,31)-F7355,"-")</f>
        <v>-</v>
      </c>
    </row>
    <row r="7356" customFormat="false" ht="15" hidden="false" customHeight="false" outlineLevel="0" collapsed="false">
      <c r="B7356" s="7" t="s">
        <v>22002</v>
      </c>
      <c r="C7356" s="7" t="s">
        <v>7853</v>
      </c>
      <c r="D7356" s="7" t="s">
        <v>387</v>
      </c>
      <c r="E7356" s="7" t="s">
        <v>154</v>
      </c>
      <c r="F7356" s="39" t="n">
        <v>45992</v>
      </c>
      <c r="G7356" s="41" t="n">
        <v>98.58</v>
      </c>
      <c r="H7356" s="6" t="s">
        <v>182</v>
      </c>
      <c r="I7356" s="7" t="s">
        <v>19787</v>
      </c>
      <c r="J7356" s="8" t="n">
        <f aca="false">IF(I7356="Open",DATE(2025,12,31)-F7356,"-")</f>
        <v>30</v>
      </c>
    </row>
    <row r="7357" customFormat="false" ht="15" hidden="false" customHeight="false" outlineLevel="0" collapsed="false">
      <c r="B7357" s="7" t="s">
        <v>22003</v>
      </c>
      <c r="C7357" s="7" t="s">
        <v>7854</v>
      </c>
      <c r="D7357" s="7" t="s">
        <v>389</v>
      </c>
      <c r="E7357" s="7" t="s">
        <v>154</v>
      </c>
      <c r="F7357" s="39" t="n">
        <v>45992</v>
      </c>
      <c r="G7357" s="41" t="n">
        <v>114.48</v>
      </c>
      <c r="H7357" s="6" t="s">
        <v>182</v>
      </c>
      <c r="I7357" s="7" t="s">
        <v>19787</v>
      </c>
      <c r="J7357" s="8" t="n">
        <f aca="false">IF(I7357="Open",DATE(2025,12,31)-F7357,"-")</f>
        <v>30</v>
      </c>
    </row>
    <row r="7358" customFormat="false" ht="15" hidden="false" customHeight="false" outlineLevel="0" collapsed="false">
      <c r="B7358" s="7" t="s">
        <v>22004</v>
      </c>
      <c r="C7358" s="7" t="s">
        <v>7855</v>
      </c>
      <c r="D7358" s="7" t="s">
        <v>391</v>
      </c>
      <c r="E7358" s="7" t="s">
        <v>156</v>
      </c>
      <c r="F7358" s="39" t="n">
        <v>45992</v>
      </c>
      <c r="G7358" s="41" t="n">
        <v>132.94</v>
      </c>
      <c r="H7358" s="39" t="n">
        <v>46007</v>
      </c>
      <c r="I7358" s="7" t="s">
        <v>14651</v>
      </c>
      <c r="J7358" s="8" t="str">
        <f aca="false">IF(I7358="Open",DATE(2025,12,31)-F7358,"-")</f>
        <v>-</v>
      </c>
    </row>
    <row r="7359" customFormat="false" ht="15" hidden="false" customHeight="false" outlineLevel="0" collapsed="false">
      <c r="B7359" s="7" t="s">
        <v>22005</v>
      </c>
      <c r="C7359" s="7" t="s">
        <v>7856</v>
      </c>
      <c r="D7359" s="7" t="s">
        <v>395</v>
      </c>
      <c r="E7359" s="7" t="s">
        <v>156</v>
      </c>
      <c r="F7359" s="39" t="n">
        <v>45992</v>
      </c>
      <c r="G7359" s="41" t="n">
        <v>128.52</v>
      </c>
      <c r="H7359" s="39" t="n">
        <v>46004</v>
      </c>
      <c r="I7359" s="7" t="s">
        <v>14651</v>
      </c>
      <c r="J7359" s="8" t="str">
        <f aca="false">IF(I7359="Open",DATE(2025,12,31)-F7359,"-")</f>
        <v>-</v>
      </c>
    </row>
    <row r="7360" customFormat="false" ht="15" hidden="false" customHeight="false" outlineLevel="0" collapsed="false">
      <c r="B7360" s="7" t="s">
        <v>22006</v>
      </c>
      <c r="C7360" s="7" t="s">
        <v>7857</v>
      </c>
      <c r="D7360" s="7" t="s">
        <v>399</v>
      </c>
      <c r="E7360" s="7" t="s">
        <v>154</v>
      </c>
      <c r="F7360" s="39" t="n">
        <v>45992</v>
      </c>
      <c r="G7360" s="41" t="n">
        <v>93.81</v>
      </c>
      <c r="H7360" s="6" t="s">
        <v>182</v>
      </c>
      <c r="I7360" s="7" t="s">
        <v>19787</v>
      </c>
      <c r="J7360" s="8" t="n">
        <f aca="false">IF(I7360="Open",DATE(2025,12,31)-F7360,"-")</f>
        <v>30</v>
      </c>
    </row>
    <row r="7361" customFormat="false" ht="15" hidden="false" customHeight="false" outlineLevel="0" collapsed="false">
      <c r="B7361" s="7" t="s">
        <v>22007</v>
      </c>
      <c r="C7361" s="7" t="s">
        <v>7858</v>
      </c>
      <c r="D7361" s="7" t="s">
        <v>401</v>
      </c>
      <c r="E7361" s="7" t="s">
        <v>156</v>
      </c>
      <c r="F7361" s="39" t="n">
        <v>45992</v>
      </c>
      <c r="G7361" s="41" t="n">
        <v>146.2</v>
      </c>
      <c r="H7361" s="39" t="n">
        <v>46006</v>
      </c>
      <c r="I7361" s="7" t="s">
        <v>14651</v>
      </c>
      <c r="J7361" s="8" t="str">
        <f aca="false">IF(I7361="Open",DATE(2025,12,31)-F7361,"-")</f>
        <v>-</v>
      </c>
    </row>
    <row r="7362" customFormat="false" ht="15" hidden="false" customHeight="false" outlineLevel="0" collapsed="false">
      <c r="B7362" s="7" t="s">
        <v>22008</v>
      </c>
      <c r="C7362" s="7" t="s">
        <v>7859</v>
      </c>
      <c r="D7362" s="7" t="s">
        <v>403</v>
      </c>
      <c r="E7362" s="7" t="s">
        <v>156</v>
      </c>
      <c r="F7362" s="39" t="n">
        <v>45992</v>
      </c>
      <c r="G7362" s="41" t="n">
        <v>125.46</v>
      </c>
      <c r="H7362" s="39" t="n">
        <v>45999</v>
      </c>
      <c r="I7362" s="7" t="s">
        <v>14651</v>
      </c>
      <c r="J7362" s="8" t="str">
        <f aca="false">IF(I7362="Open",DATE(2025,12,31)-F7362,"-")</f>
        <v>-</v>
      </c>
    </row>
    <row r="7363" customFormat="false" ht="15" hidden="false" customHeight="false" outlineLevel="0" collapsed="false">
      <c r="B7363" s="7" t="s">
        <v>22009</v>
      </c>
      <c r="C7363" s="7" t="s">
        <v>7860</v>
      </c>
      <c r="D7363" s="7" t="s">
        <v>409</v>
      </c>
      <c r="E7363" s="7" t="s">
        <v>154</v>
      </c>
      <c r="F7363" s="39" t="n">
        <v>45992</v>
      </c>
      <c r="G7363" s="41" t="n">
        <v>87.72</v>
      </c>
      <c r="H7363" s="6" t="s">
        <v>182</v>
      </c>
      <c r="I7363" s="7" t="s">
        <v>19787</v>
      </c>
      <c r="J7363" s="8" t="n">
        <f aca="false">IF(I7363="Open",DATE(2025,12,31)-F7363,"-")</f>
        <v>30</v>
      </c>
    </row>
    <row r="7364" customFormat="false" ht="15" hidden="false" customHeight="false" outlineLevel="0" collapsed="false">
      <c r="B7364" s="7" t="s">
        <v>22010</v>
      </c>
      <c r="C7364" s="7" t="s">
        <v>7861</v>
      </c>
      <c r="D7364" s="7" t="s">
        <v>411</v>
      </c>
      <c r="E7364" s="7" t="s">
        <v>154</v>
      </c>
      <c r="F7364" s="39" t="n">
        <v>45992</v>
      </c>
      <c r="G7364" s="41" t="n">
        <v>124.55</v>
      </c>
      <c r="H7364" s="6" t="s">
        <v>182</v>
      </c>
      <c r="I7364" s="7" t="s">
        <v>19787</v>
      </c>
      <c r="J7364" s="8" t="n">
        <f aca="false">IF(I7364="Open",DATE(2025,12,31)-F7364,"-")</f>
        <v>30</v>
      </c>
    </row>
    <row r="7365" customFormat="false" ht="15" hidden="false" customHeight="false" outlineLevel="0" collapsed="false">
      <c r="B7365" s="7" t="s">
        <v>22011</v>
      </c>
      <c r="C7365" s="7" t="s">
        <v>7862</v>
      </c>
      <c r="D7365" s="7" t="s">
        <v>288</v>
      </c>
      <c r="E7365" s="7" t="s">
        <v>156</v>
      </c>
      <c r="F7365" s="39" t="n">
        <v>45993</v>
      </c>
      <c r="G7365" s="41" t="n">
        <v>146.54</v>
      </c>
      <c r="H7365" s="39" t="n">
        <v>46004</v>
      </c>
      <c r="I7365" s="7" t="s">
        <v>14651</v>
      </c>
      <c r="J7365" s="8" t="str">
        <f aca="false">IF(I7365="Open",DATE(2025,12,31)-F7365,"-")</f>
        <v>-</v>
      </c>
    </row>
    <row r="7366" customFormat="false" ht="15" hidden="false" customHeight="false" outlineLevel="0" collapsed="false">
      <c r="B7366" s="7" t="s">
        <v>22012</v>
      </c>
      <c r="C7366" s="7" t="s">
        <v>7863</v>
      </c>
      <c r="D7366" s="7" t="s">
        <v>293</v>
      </c>
      <c r="E7366" s="7" t="s">
        <v>157</v>
      </c>
      <c r="F7366" s="39" t="n">
        <v>45993</v>
      </c>
      <c r="G7366" s="41" t="n">
        <v>176.55</v>
      </c>
      <c r="H7366" s="6" t="s">
        <v>182</v>
      </c>
      <c r="I7366" s="7" t="s">
        <v>19787</v>
      </c>
      <c r="J7366" s="8" t="n">
        <f aca="false">IF(I7366="Open",DATE(2025,12,31)-F7366,"-")</f>
        <v>29</v>
      </c>
    </row>
    <row r="7367" customFormat="false" ht="15" hidden="false" customHeight="false" outlineLevel="0" collapsed="false">
      <c r="B7367" s="7" t="s">
        <v>22013</v>
      </c>
      <c r="C7367" s="7" t="s">
        <v>7864</v>
      </c>
      <c r="D7367" s="7" t="s">
        <v>301</v>
      </c>
      <c r="E7367" s="7" t="s">
        <v>157</v>
      </c>
      <c r="F7367" s="39" t="n">
        <v>45993</v>
      </c>
      <c r="G7367" s="41" t="n">
        <v>153.45</v>
      </c>
      <c r="H7367" s="6" t="s">
        <v>182</v>
      </c>
      <c r="I7367" s="7" t="s">
        <v>19787</v>
      </c>
      <c r="J7367" s="8" t="n">
        <f aca="false">IF(I7367="Open",DATE(2025,12,31)-F7367,"-")</f>
        <v>29</v>
      </c>
    </row>
    <row r="7368" customFormat="false" ht="15" hidden="false" customHeight="false" outlineLevel="0" collapsed="false">
      <c r="B7368" s="7" t="s">
        <v>22014</v>
      </c>
      <c r="C7368" s="7" t="s">
        <v>7865</v>
      </c>
      <c r="D7368" s="7" t="s">
        <v>313</v>
      </c>
      <c r="E7368" s="7" t="s">
        <v>156</v>
      </c>
      <c r="F7368" s="39" t="n">
        <v>45993</v>
      </c>
      <c r="G7368" s="41" t="n">
        <v>134.64</v>
      </c>
      <c r="H7368" s="39" t="n">
        <v>45997</v>
      </c>
      <c r="I7368" s="7" t="s">
        <v>14651</v>
      </c>
      <c r="J7368" s="8" t="str">
        <f aca="false">IF(I7368="Open",DATE(2025,12,31)-F7368,"-")</f>
        <v>-</v>
      </c>
    </row>
    <row r="7369" customFormat="false" ht="15" hidden="false" customHeight="false" outlineLevel="0" collapsed="false">
      <c r="B7369" s="7" t="s">
        <v>22015</v>
      </c>
      <c r="C7369" s="7" t="s">
        <v>7866</v>
      </c>
      <c r="D7369" s="7" t="s">
        <v>319</v>
      </c>
      <c r="E7369" s="7" t="s">
        <v>157</v>
      </c>
      <c r="F7369" s="39" t="n">
        <v>45993</v>
      </c>
      <c r="G7369" s="41" t="n">
        <v>151.8</v>
      </c>
      <c r="H7369" s="6" t="s">
        <v>182</v>
      </c>
      <c r="I7369" s="7" t="s">
        <v>19787</v>
      </c>
      <c r="J7369" s="8" t="n">
        <f aca="false">IF(I7369="Open",DATE(2025,12,31)-F7369,"-")</f>
        <v>29</v>
      </c>
    </row>
    <row r="7370" customFormat="false" ht="15" hidden="false" customHeight="false" outlineLevel="0" collapsed="false">
      <c r="B7370" s="7" t="s">
        <v>22016</v>
      </c>
      <c r="C7370" s="7" t="s">
        <v>7867</v>
      </c>
      <c r="D7370" s="7" t="s">
        <v>321</v>
      </c>
      <c r="E7370" s="7" t="s">
        <v>154</v>
      </c>
      <c r="F7370" s="39" t="n">
        <v>45993</v>
      </c>
      <c r="G7370" s="41" t="n">
        <v>102.29</v>
      </c>
      <c r="H7370" s="6" t="s">
        <v>182</v>
      </c>
      <c r="I7370" s="7" t="s">
        <v>19787</v>
      </c>
      <c r="J7370" s="8" t="n">
        <f aca="false">IF(I7370="Open",DATE(2025,12,31)-F7370,"-")</f>
        <v>29</v>
      </c>
    </row>
    <row r="7371" customFormat="false" ht="15" hidden="false" customHeight="false" outlineLevel="0" collapsed="false">
      <c r="B7371" s="7" t="s">
        <v>22017</v>
      </c>
      <c r="C7371" s="7" t="s">
        <v>7868</v>
      </c>
      <c r="D7371" s="7" t="s">
        <v>323</v>
      </c>
      <c r="E7371" s="7" t="s">
        <v>159</v>
      </c>
      <c r="F7371" s="39" t="n">
        <v>45993</v>
      </c>
      <c r="G7371" s="41" t="n">
        <v>135</v>
      </c>
      <c r="H7371" s="39" t="n">
        <v>46019</v>
      </c>
      <c r="I7371" s="7" t="s">
        <v>14651</v>
      </c>
      <c r="J7371" s="8" t="str">
        <f aca="false">IF(I7371="Open",DATE(2025,12,31)-F7371,"-")</f>
        <v>-</v>
      </c>
    </row>
    <row r="7372" customFormat="false" ht="15" hidden="false" customHeight="false" outlineLevel="0" collapsed="false">
      <c r="B7372" s="7" t="s">
        <v>22018</v>
      </c>
      <c r="C7372" s="7" t="s">
        <v>7869</v>
      </c>
      <c r="D7372" s="7" t="s">
        <v>327</v>
      </c>
      <c r="E7372" s="7" t="s">
        <v>157</v>
      </c>
      <c r="F7372" s="39" t="n">
        <v>45993</v>
      </c>
      <c r="G7372" s="41" t="n">
        <v>142.56</v>
      </c>
      <c r="H7372" s="39" t="n">
        <v>46012</v>
      </c>
      <c r="I7372" s="7" t="s">
        <v>14651</v>
      </c>
      <c r="J7372" s="8" t="str">
        <f aca="false">IF(I7372="Open",DATE(2025,12,31)-F7372,"-")</f>
        <v>-</v>
      </c>
    </row>
    <row r="7373" customFormat="false" ht="15" hidden="false" customHeight="false" outlineLevel="0" collapsed="false">
      <c r="B7373" s="7" t="s">
        <v>22019</v>
      </c>
      <c r="C7373" s="7" t="s">
        <v>7870</v>
      </c>
      <c r="D7373" s="7" t="s">
        <v>329</v>
      </c>
      <c r="E7373" s="7" t="s">
        <v>156</v>
      </c>
      <c r="F7373" s="39" t="n">
        <v>45993</v>
      </c>
      <c r="G7373" s="41" t="n">
        <v>124.44</v>
      </c>
      <c r="H7373" s="39" t="n">
        <v>46005</v>
      </c>
      <c r="I7373" s="7" t="s">
        <v>14651</v>
      </c>
      <c r="J7373" s="8" t="str">
        <f aca="false">IF(I7373="Open",DATE(2025,12,31)-F7373,"-")</f>
        <v>-</v>
      </c>
    </row>
    <row r="7374" customFormat="false" ht="15" hidden="false" customHeight="false" outlineLevel="0" collapsed="false">
      <c r="B7374" s="7" t="s">
        <v>22020</v>
      </c>
      <c r="C7374" s="7" t="s">
        <v>7871</v>
      </c>
      <c r="D7374" s="7" t="s">
        <v>349</v>
      </c>
      <c r="E7374" s="7" t="s">
        <v>154</v>
      </c>
      <c r="F7374" s="39" t="n">
        <v>45993</v>
      </c>
      <c r="G7374" s="41" t="n">
        <v>101.23</v>
      </c>
      <c r="H7374" s="6" t="s">
        <v>182</v>
      </c>
      <c r="I7374" s="7" t="s">
        <v>19787</v>
      </c>
      <c r="J7374" s="8" t="n">
        <f aca="false">IF(I7374="Open",DATE(2025,12,31)-F7374,"-")</f>
        <v>29</v>
      </c>
    </row>
    <row r="7375" customFormat="false" ht="15" hidden="false" customHeight="false" outlineLevel="0" collapsed="false">
      <c r="B7375" s="7" t="s">
        <v>22021</v>
      </c>
      <c r="C7375" s="7" t="s">
        <v>7872</v>
      </c>
      <c r="D7375" s="7" t="s">
        <v>359</v>
      </c>
      <c r="E7375" s="7" t="s">
        <v>156</v>
      </c>
      <c r="F7375" s="39" t="n">
        <v>45993</v>
      </c>
      <c r="G7375" s="41" t="n">
        <v>135.66</v>
      </c>
      <c r="H7375" s="39" t="n">
        <v>46005</v>
      </c>
      <c r="I7375" s="7" t="s">
        <v>14651</v>
      </c>
      <c r="J7375" s="8" t="str">
        <f aca="false">IF(I7375="Open",DATE(2025,12,31)-F7375,"-")</f>
        <v>-</v>
      </c>
    </row>
    <row r="7376" customFormat="false" ht="15" hidden="false" customHeight="false" outlineLevel="0" collapsed="false">
      <c r="B7376" s="7" t="s">
        <v>22022</v>
      </c>
      <c r="C7376" s="7" t="s">
        <v>7873</v>
      </c>
      <c r="D7376" s="7" t="s">
        <v>361</v>
      </c>
      <c r="E7376" s="7" t="s">
        <v>157</v>
      </c>
      <c r="F7376" s="39" t="n">
        <v>45993</v>
      </c>
      <c r="G7376" s="41" t="n">
        <v>169.95</v>
      </c>
      <c r="H7376" s="6" t="s">
        <v>182</v>
      </c>
      <c r="I7376" s="7" t="s">
        <v>19787</v>
      </c>
      <c r="J7376" s="8" t="n">
        <f aca="false">IF(I7376="Open",DATE(2025,12,31)-F7376,"-")</f>
        <v>29</v>
      </c>
    </row>
    <row r="7377" customFormat="false" ht="15" hidden="false" customHeight="false" outlineLevel="0" collapsed="false">
      <c r="B7377" s="7" t="s">
        <v>22023</v>
      </c>
      <c r="C7377" s="7" t="s">
        <v>7874</v>
      </c>
      <c r="D7377" s="7" t="s">
        <v>365</v>
      </c>
      <c r="E7377" s="7" t="s">
        <v>154</v>
      </c>
      <c r="F7377" s="39" t="n">
        <v>45993</v>
      </c>
      <c r="G7377" s="41" t="n">
        <v>104.94</v>
      </c>
      <c r="H7377" s="6" t="s">
        <v>182</v>
      </c>
      <c r="I7377" s="7" t="s">
        <v>19787</v>
      </c>
      <c r="J7377" s="8" t="n">
        <f aca="false">IF(I7377="Open",DATE(2025,12,31)-F7377,"-")</f>
        <v>29</v>
      </c>
    </row>
    <row r="7378" customFormat="false" ht="15" hidden="false" customHeight="false" outlineLevel="0" collapsed="false">
      <c r="B7378" s="7" t="s">
        <v>22024</v>
      </c>
      <c r="C7378" s="7" t="s">
        <v>7875</v>
      </c>
      <c r="D7378" s="7" t="s">
        <v>369</v>
      </c>
      <c r="E7378" s="7" t="s">
        <v>159</v>
      </c>
      <c r="F7378" s="39" t="n">
        <v>45993</v>
      </c>
      <c r="G7378" s="41" t="n">
        <v>144.45</v>
      </c>
      <c r="H7378" s="6" t="s">
        <v>182</v>
      </c>
      <c r="I7378" s="7" t="s">
        <v>19787</v>
      </c>
      <c r="J7378" s="8" t="n">
        <f aca="false">IF(I7378="Open",DATE(2025,12,31)-F7378,"-")</f>
        <v>29</v>
      </c>
    </row>
    <row r="7379" customFormat="false" ht="15" hidden="false" customHeight="false" outlineLevel="0" collapsed="false">
      <c r="B7379" s="7" t="s">
        <v>22025</v>
      </c>
      <c r="C7379" s="7" t="s">
        <v>7876</v>
      </c>
      <c r="D7379" s="7" t="s">
        <v>381</v>
      </c>
      <c r="E7379" s="7" t="s">
        <v>157</v>
      </c>
      <c r="F7379" s="39" t="n">
        <v>45993</v>
      </c>
      <c r="G7379" s="41" t="n">
        <v>179.85</v>
      </c>
      <c r="H7379" s="39" t="n">
        <v>46019</v>
      </c>
      <c r="I7379" s="7" t="s">
        <v>14651</v>
      </c>
      <c r="J7379" s="8" t="str">
        <f aca="false">IF(I7379="Open",DATE(2025,12,31)-F7379,"-")</f>
        <v>-</v>
      </c>
    </row>
    <row r="7380" customFormat="false" ht="15" hidden="false" customHeight="false" outlineLevel="0" collapsed="false">
      <c r="B7380" s="7" t="s">
        <v>22026</v>
      </c>
      <c r="C7380" s="7" t="s">
        <v>7877</v>
      </c>
      <c r="D7380" s="7" t="s">
        <v>383</v>
      </c>
      <c r="E7380" s="7" t="s">
        <v>157</v>
      </c>
      <c r="F7380" s="39" t="n">
        <v>45993</v>
      </c>
      <c r="G7380" s="41" t="n">
        <v>163.35</v>
      </c>
      <c r="H7380" s="39" t="n">
        <v>46018</v>
      </c>
      <c r="I7380" s="7" t="s">
        <v>14651</v>
      </c>
      <c r="J7380" s="8" t="str">
        <f aca="false">IF(I7380="Open",DATE(2025,12,31)-F7380,"-")</f>
        <v>-</v>
      </c>
    </row>
    <row r="7381" customFormat="false" ht="15" hidden="false" customHeight="false" outlineLevel="0" collapsed="false">
      <c r="B7381" s="7" t="s">
        <v>22027</v>
      </c>
      <c r="C7381" s="7" t="s">
        <v>7878</v>
      </c>
      <c r="D7381" s="7" t="s">
        <v>387</v>
      </c>
      <c r="E7381" s="7" t="s">
        <v>154</v>
      </c>
      <c r="F7381" s="39" t="n">
        <v>45993</v>
      </c>
      <c r="G7381" s="41" t="n">
        <v>104.68</v>
      </c>
      <c r="H7381" s="6" t="s">
        <v>182</v>
      </c>
      <c r="I7381" s="7" t="s">
        <v>19787</v>
      </c>
      <c r="J7381" s="8" t="n">
        <f aca="false">IF(I7381="Open",DATE(2025,12,31)-F7381,"-")</f>
        <v>29</v>
      </c>
    </row>
    <row r="7382" customFormat="false" ht="15" hidden="false" customHeight="false" outlineLevel="0" collapsed="false">
      <c r="B7382" s="7" t="s">
        <v>22028</v>
      </c>
      <c r="C7382" s="7" t="s">
        <v>7879</v>
      </c>
      <c r="D7382" s="7" t="s">
        <v>389</v>
      </c>
      <c r="E7382" s="7" t="s">
        <v>154</v>
      </c>
      <c r="F7382" s="39" t="n">
        <v>45993</v>
      </c>
      <c r="G7382" s="41" t="n">
        <v>104.94</v>
      </c>
      <c r="H7382" s="6" t="s">
        <v>182</v>
      </c>
      <c r="I7382" s="7" t="s">
        <v>19787</v>
      </c>
      <c r="J7382" s="8" t="n">
        <f aca="false">IF(I7382="Open",DATE(2025,12,31)-F7382,"-")</f>
        <v>29</v>
      </c>
    </row>
    <row r="7383" customFormat="false" ht="15" hidden="false" customHeight="false" outlineLevel="0" collapsed="false">
      <c r="B7383" s="7" t="s">
        <v>22029</v>
      </c>
      <c r="C7383" s="7" t="s">
        <v>7880</v>
      </c>
      <c r="D7383" s="7" t="s">
        <v>391</v>
      </c>
      <c r="E7383" s="7" t="s">
        <v>156</v>
      </c>
      <c r="F7383" s="39" t="n">
        <v>45993</v>
      </c>
      <c r="G7383" s="41" t="n">
        <v>142.12</v>
      </c>
      <c r="H7383" s="39" t="n">
        <v>46000</v>
      </c>
      <c r="I7383" s="7" t="s">
        <v>14651</v>
      </c>
      <c r="J7383" s="8" t="str">
        <f aca="false">IF(I7383="Open",DATE(2025,12,31)-F7383,"-")</f>
        <v>-</v>
      </c>
    </row>
    <row r="7384" customFormat="false" ht="15" hidden="false" customHeight="false" outlineLevel="0" collapsed="false">
      <c r="B7384" s="7" t="s">
        <v>22030</v>
      </c>
      <c r="C7384" s="7" t="s">
        <v>7881</v>
      </c>
      <c r="D7384" s="7" t="s">
        <v>395</v>
      </c>
      <c r="E7384" s="7" t="s">
        <v>156</v>
      </c>
      <c r="F7384" s="39" t="n">
        <v>45993</v>
      </c>
      <c r="G7384" s="41" t="n">
        <v>127.84</v>
      </c>
      <c r="H7384" s="39" t="n">
        <v>46008</v>
      </c>
      <c r="I7384" s="7" t="s">
        <v>14651</v>
      </c>
      <c r="J7384" s="8" t="str">
        <f aca="false">IF(I7384="Open",DATE(2025,12,31)-F7384,"-")</f>
        <v>-</v>
      </c>
    </row>
    <row r="7385" customFormat="false" ht="15" hidden="false" customHeight="false" outlineLevel="0" collapsed="false">
      <c r="B7385" s="7" t="s">
        <v>22031</v>
      </c>
      <c r="C7385" s="7" t="s">
        <v>7882</v>
      </c>
      <c r="D7385" s="7" t="s">
        <v>397</v>
      </c>
      <c r="E7385" s="7" t="s">
        <v>159</v>
      </c>
      <c r="F7385" s="39" t="n">
        <v>45993</v>
      </c>
      <c r="G7385" s="41" t="n">
        <v>137.7</v>
      </c>
      <c r="H7385" s="6" t="s">
        <v>182</v>
      </c>
      <c r="I7385" s="7" t="s">
        <v>19787</v>
      </c>
      <c r="J7385" s="8" t="n">
        <f aca="false">IF(I7385="Open",DATE(2025,12,31)-F7385,"-")</f>
        <v>29</v>
      </c>
    </row>
    <row r="7386" customFormat="false" ht="15" hidden="false" customHeight="false" outlineLevel="0" collapsed="false">
      <c r="B7386" s="7" t="s">
        <v>22032</v>
      </c>
      <c r="C7386" s="7" t="s">
        <v>7883</v>
      </c>
      <c r="D7386" s="7" t="s">
        <v>401</v>
      </c>
      <c r="E7386" s="7" t="s">
        <v>156</v>
      </c>
      <c r="F7386" s="39" t="n">
        <v>45993</v>
      </c>
      <c r="G7386" s="41" t="n">
        <v>144.84</v>
      </c>
      <c r="H7386" s="39" t="n">
        <v>46007</v>
      </c>
      <c r="I7386" s="7" t="s">
        <v>14651</v>
      </c>
      <c r="J7386" s="8" t="str">
        <f aca="false">IF(I7386="Open",DATE(2025,12,31)-F7386,"-")</f>
        <v>-</v>
      </c>
    </row>
    <row r="7387" customFormat="false" ht="15" hidden="false" customHeight="false" outlineLevel="0" collapsed="false">
      <c r="B7387" s="7" t="s">
        <v>22033</v>
      </c>
      <c r="C7387" s="7" t="s">
        <v>7884</v>
      </c>
      <c r="D7387" s="7" t="s">
        <v>407</v>
      </c>
      <c r="E7387" s="7" t="s">
        <v>159</v>
      </c>
      <c r="F7387" s="39" t="n">
        <v>45993</v>
      </c>
      <c r="G7387" s="41" t="n">
        <v>139.05</v>
      </c>
      <c r="H7387" s="6" t="s">
        <v>182</v>
      </c>
      <c r="I7387" s="7" t="s">
        <v>19787</v>
      </c>
      <c r="J7387" s="8" t="n">
        <f aca="false">IF(I7387="Open",DATE(2025,12,31)-F7387,"-")</f>
        <v>29</v>
      </c>
    </row>
    <row r="7388" customFormat="false" ht="15" hidden="false" customHeight="false" outlineLevel="0" collapsed="false">
      <c r="B7388" s="7" t="s">
        <v>22034</v>
      </c>
      <c r="C7388" s="7" t="s">
        <v>7885</v>
      </c>
      <c r="D7388" s="7" t="s">
        <v>288</v>
      </c>
      <c r="E7388" s="7" t="s">
        <v>156</v>
      </c>
      <c r="F7388" s="39" t="n">
        <v>45994</v>
      </c>
      <c r="G7388" s="41" t="n">
        <v>143.48</v>
      </c>
      <c r="H7388" s="39" t="n">
        <v>46003</v>
      </c>
      <c r="I7388" s="7" t="s">
        <v>14651</v>
      </c>
      <c r="J7388" s="8" t="str">
        <f aca="false">IF(I7388="Open",DATE(2025,12,31)-F7388,"-")</f>
        <v>-</v>
      </c>
    </row>
    <row r="7389" customFormat="false" ht="15" hidden="false" customHeight="false" outlineLevel="0" collapsed="false">
      <c r="B7389" s="7" t="s">
        <v>22035</v>
      </c>
      <c r="C7389" s="7" t="s">
        <v>7886</v>
      </c>
      <c r="D7389" s="7" t="s">
        <v>291</v>
      </c>
      <c r="E7389" s="7" t="s">
        <v>154</v>
      </c>
      <c r="F7389" s="39" t="n">
        <v>45994</v>
      </c>
      <c r="G7389" s="41" t="n">
        <v>113.42</v>
      </c>
      <c r="H7389" s="6" t="s">
        <v>182</v>
      </c>
      <c r="I7389" s="7" t="s">
        <v>19787</v>
      </c>
      <c r="J7389" s="8" t="n">
        <f aca="false">IF(I7389="Open",DATE(2025,12,31)-F7389,"-")</f>
        <v>28</v>
      </c>
    </row>
    <row r="7390" customFormat="false" ht="15" hidden="false" customHeight="false" outlineLevel="0" collapsed="false">
      <c r="B7390" s="7" t="s">
        <v>22036</v>
      </c>
      <c r="C7390" s="7" t="s">
        <v>7887</v>
      </c>
      <c r="D7390" s="7" t="s">
        <v>295</v>
      </c>
      <c r="E7390" s="7" t="s">
        <v>154</v>
      </c>
      <c r="F7390" s="39" t="n">
        <v>45994</v>
      </c>
      <c r="G7390" s="41" t="n">
        <v>116.33</v>
      </c>
      <c r="H7390" s="6" t="s">
        <v>182</v>
      </c>
      <c r="I7390" s="7" t="s">
        <v>19787</v>
      </c>
      <c r="J7390" s="8" t="n">
        <f aca="false">IF(I7390="Open",DATE(2025,12,31)-F7390,"-")</f>
        <v>28</v>
      </c>
    </row>
    <row r="7391" customFormat="false" ht="15" hidden="false" customHeight="false" outlineLevel="0" collapsed="false">
      <c r="B7391" s="7" t="s">
        <v>22037</v>
      </c>
      <c r="C7391" s="7" t="s">
        <v>7888</v>
      </c>
      <c r="D7391" s="7" t="s">
        <v>305</v>
      </c>
      <c r="E7391" s="7" t="s">
        <v>154</v>
      </c>
      <c r="F7391" s="39" t="n">
        <v>45994</v>
      </c>
      <c r="G7391" s="41" t="n">
        <v>103.09</v>
      </c>
      <c r="H7391" s="6" t="s">
        <v>182</v>
      </c>
      <c r="I7391" s="7" t="s">
        <v>19787</v>
      </c>
      <c r="J7391" s="8" t="n">
        <f aca="false">IF(I7391="Open",DATE(2025,12,31)-F7391,"-")</f>
        <v>28</v>
      </c>
    </row>
    <row r="7392" customFormat="false" ht="15" hidden="false" customHeight="false" outlineLevel="0" collapsed="false">
      <c r="B7392" s="7" t="s">
        <v>22038</v>
      </c>
      <c r="C7392" s="7" t="s">
        <v>7889</v>
      </c>
      <c r="D7392" s="7" t="s">
        <v>307</v>
      </c>
      <c r="E7392" s="7" t="s">
        <v>157</v>
      </c>
      <c r="F7392" s="39" t="n">
        <v>45994</v>
      </c>
      <c r="G7392" s="41" t="n">
        <v>161.7</v>
      </c>
      <c r="H7392" s="39" t="n">
        <v>46021</v>
      </c>
      <c r="I7392" s="7" t="s">
        <v>14651</v>
      </c>
      <c r="J7392" s="8" t="str">
        <f aca="false">IF(I7392="Open",DATE(2025,12,31)-F7392,"-")</f>
        <v>-</v>
      </c>
    </row>
    <row r="7393" customFormat="false" ht="15" hidden="false" customHeight="false" outlineLevel="0" collapsed="false">
      <c r="B7393" s="7" t="s">
        <v>22039</v>
      </c>
      <c r="C7393" s="7" t="s">
        <v>7890</v>
      </c>
      <c r="D7393" s="7" t="s">
        <v>309</v>
      </c>
      <c r="E7393" s="7" t="s">
        <v>159</v>
      </c>
      <c r="F7393" s="39" t="n">
        <v>45994</v>
      </c>
      <c r="G7393" s="41" t="n">
        <v>133.11</v>
      </c>
      <c r="H7393" s="6" t="s">
        <v>182</v>
      </c>
      <c r="I7393" s="7" t="s">
        <v>19787</v>
      </c>
      <c r="J7393" s="8" t="n">
        <f aca="false">IF(I7393="Open",DATE(2025,12,31)-F7393,"-")</f>
        <v>28</v>
      </c>
    </row>
    <row r="7394" customFormat="false" ht="15" hidden="false" customHeight="false" outlineLevel="0" collapsed="false">
      <c r="B7394" s="7" t="s">
        <v>22040</v>
      </c>
      <c r="C7394" s="7" t="s">
        <v>7891</v>
      </c>
      <c r="D7394" s="7" t="s">
        <v>313</v>
      </c>
      <c r="E7394" s="7" t="s">
        <v>156</v>
      </c>
      <c r="F7394" s="39" t="n">
        <v>45994</v>
      </c>
      <c r="G7394" s="41" t="n">
        <v>148.24</v>
      </c>
      <c r="H7394" s="39" t="n">
        <v>46012</v>
      </c>
      <c r="I7394" s="7" t="s">
        <v>14651</v>
      </c>
      <c r="J7394" s="8" t="str">
        <f aca="false">IF(I7394="Open",DATE(2025,12,31)-F7394,"-")</f>
        <v>-</v>
      </c>
    </row>
    <row r="7395" customFormat="false" ht="15" hidden="false" customHeight="false" outlineLevel="0" collapsed="false">
      <c r="B7395" s="7" t="s">
        <v>22041</v>
      </c>
      <c r="C7395" s="7" t="s">
        <v>7892</v>
      </c>
      <c r="D7395" s="7" t="s">
        <v>315</v>
      </c>
      <c r="E7395" s="7" t="s">
        <v>159</v>
      </c>
      <c r="F7395" s="39" t="n">
        <v>45994</v>
      </c>
      <c r="G7395" s="41" t="n">
        <v>122.85</v>
      </c>
      <c r="H7395" s="6" t="s">
        <v>182</v>
      </c>
      <c r="I7395" s="7" t="s">
        <v>19787</v>
      </c>
      <c r="J7395" s="8" t="n">
        <f aca="false">IF(I7395="Open",DATE(2025,12,31)-F7395,"-")</f>
        <v>28</v>
      </c>
    </row>
    <row r="7396" customFormat="false" ht="15" hidden="false" customHeight="false" outlineLevel="0" collapsed="false">
      <c r="B7396" s="7" t="s">
        <v>22042</v>
      </c>
      <c r="C7396" s="7" t="s">
        <v>7893</v>
      </c>
      <c r="D7396" s="7" t="s">
        <v>329</v>
      </c>
      <c r="E7396" s="7" t="s">
        <v>156</v>
      </c>
      <c r="F7396" s="39" t="n">
        <v>45994</v>
      </c>
      <c r="G7396" s="41" t="n">
        <v>123.42</v>
      </c>
      <c r="H7396" s="39" t="n">
        <v>45999</v>
      </c>
      <c r="I7396" s="7" t="s">
        <v>14651</v>
      </c>
      <c r="J7396" s="8" t="str">
        <f aca="false">IF(I7396="Open",DATE(2025,12,31)-F7396,"-")</f>
        <v>-</v>
      </c>
    </row>
    <row r="7397" customFormat="false" ht="15" hidden="false" customHeight="false" outlineLevel="0" collapsed="false">
      <c r="B7397" s="7" t="s">
        <v>22043</v>
      </c>
      <c r="C7397" s="7" t="s">
        <v>7894</v>
      </c>
      <c r="D7397" s="7" t="s">
        <v>333</v>
      </c>
      <c r="E7397" s="7" t="s">
        <v>154</v>
      </c>
      <c r="F7397" s="39" t="n">
        <v>45994</v>
      </c>
      <c r="G7397" s="41" t="n">
        <v>92.22</v>
      </c>
      <c r="H7397" s="6" t="s">
        <v>182</v>
      </c>
      <c r="I7397" s="7" t="s">
        <v>19787</v>
      </c>
      <c r="J7397" s="8" t="n">
        <f aca="false">IF(I7397="Open",DATE(2025,12,31)-F7397,"-")</f>
        <v>28</v>
      </c>
    </row>
    <row r="7398" customFormat="false" ht="15" hidden="false" customHeight="false" outlineLevel="0" collapsed="false">
      <c r="B7398" s="7" t="s">
        <v>22044</v>
      </c>
      <c r="C7398" s="7" t="s">
        <v>7895</v>
      </c>
      <c r="D7398" s="7" t="s">
        <v>335</v>
      </c>
      <c r="E7398" s="7" t="s">
        <v>154</v>
      </c>
      <c r="F7398" s="39" t="n">
        <v>45994</v>
      </c>
      <c r="G7398" s="41" t="n">
        <v>114.75</v>
      </c>
      <c r="H7398" s="6" t="s">
        <v>182</v>
      </c>
      <c r="I7398" s="7" t="s">
        <v>19787</v>
      </c>
      <c r="J7398" s="8" t="n">
        <f aca="false">IF(I7398="Open",DATE(2025,12,31)-F7398,"-")</f>
        <v>28</v>
      </c>
    </row>
    <row r="7399" customFormat="false" ht="15" hidden="false" customHeight="false" outlineLevel="0" collapsed="false">
      <c r="B7399" s="7" t="s">
        <v>22045</v>
      </c>
      <c r="C7399" s="7" t="s">
        <v>7896</v>
      </c>
      <c r="D7399" s="7" t="s">
        <v>339</v>
      </c>
      <c r="E7399" s="7" t="s">
        <v>154</v>
      </c>
      <c r="F7399" s="39" t="n">
        <v>45994</v>
      </c>
      <c r="G7399" s="41" t="n">
        <v>95.66</v>
      </c>
      <c r="H7399" s="6" t="s">
        <v>182</v>
      </c>
      <c r="I7399" s="7" t="s">
        <v>19787</v>
      </c>
      <c r="J7399" s="8" t="n">
        <f aca="false">IF(I7399="Open",DATE(2025,12,31)-F7399,"-")</f>
        <v>28</v>
      </c>
    </row>
    <row r="7400" customFormat="false" ht="15" hidden="false" customHeight="false" outlineLevel="0" collapsed="false">
      <c r="B7400" s="7" t="s">
        <v>22046</v>
      </c>
      <c r="C7400" s="7" t="s">
        <v>7897</v>
      </c>
      <c r="D7400" s="7" t="s">
        <v>349</v>
      </c>
      <c r="E7400" s="7" t="s">
        <v>154</v>
      </c>
      <c r="F7400" s="39" t="n">
        <v>45994</v>
      </c>
      <c r="G7400" s="41" t="n">
        <v>106.27</v>
      </c>
      <c r="H7400" s="6" t="s">
        <v>182</v>
      </c>
      <c r="I7400" s="7" t="s">
        <v>19787</v>
      </c>
      <c r="J7400" s="8" t="n">
        <f aca="false">IF(I7400="Open",DATE(2025,12,31)-F7400,"-")</f>
        <v>28</v>
      </c>
    </row>
    <row r="7401" customFormat="false" ht="15" hidden="false" customHeight="false" outlineLevel="0" collapsed="false">
      <c r="B7401" s="7" t="s">
        <v>22047</v>
      </c>
      <c r="C7401" s="7" t="s">
        <v>7898</v>
      </c>
      <c r="D7401" s="7" t="s">
        <v>353</v>
      </c>
      <c r="E7401" s="7" t="s">
        <v>154</v>
      </c>
      <c r="F7401" s="39" t="n">
        <v>45994</v>
      </c>
      <c r="G7401" s="41" t="n">
        <v>92.54</v>
      </c>
      <c r="H7401" s="6" t="s">
        <v>182</v>
      </c>
      <c r="I7401" s="7" t="s">
        <v>19787</v>
      </c>
      <c r="J7401" s="8" t="n">
        <f aca="false">IF(I7401="Open",DATE(2025,12,31)-F7401,"-")</f>
        <v>28</v>
      </c>
    </row>
    <row r="7402" customFormat="false" ht="15" hidden="false" customHeight="false" outlineLevel="0" collapsed="false">
      <c r="B7402" s="7" t="s">
        <v>22048</v>
      </c>
      <c r="C7402" s="7" t="s">
        <v>7899</v>
      </c>
      <c r="D7402" s="7" t="s">
        <v>355</v>
      </c>
      <c r="E7402" s="7" t="s">
        <v>154</v>
      </c>
      <c r="F7402" s="39" t="n">
        <v>45994</v>
      </c>
      <c r="G7402" s="41" t="n">
        <v>86.89</v>
      </c>
      <c r="H7402" s="6" t="s">
        <v>182</v>
      </c>
      <c r="I7402" s="7" t="s">
        <v>19787</v>
      </c>
      <c r="J7402" s="8" t="n">
        <f aca="false">IF(I7402="Open",DATE(2025,12,31)-F7402,"-")</f>
        <v>28</v>
      </c>
    </row>
    <row r="7403" customFormat="false" ht="15" hidden="false" customHeight="false" outlineLevel="0" collapsed="false">
      <c r="B7403" s="7" t="s">
        <v>22049</v>
      </c>
      <c r="C7403" s="7" t="s">
        <v>7900</v>
      </c>
      <c r="D7403" s="7" t="s">
        <v>357</v>
      </c>
      <c r="E7403" s="7" t="s">
        <v>154</v>
      </c>
      <c r="F7403" s="39" t="n">
        <v>45994</v>
      </c>
      <c r="G7403" s="41" t="n">
        <v>84</v>
      </c>
      <c r="H7403" s="39" t="n">
        <v>46019</v>
      </c>
      <c r="I7403" s="7" t="s">
        <v>14651</v>
      </c>
      <c r="J7403" s="8" t="str">
        <f aca="false">IF(I7403="Open",DATE(2025,12,31)-F7403,"-")</f>
        <v>-</v>
      </c>
    </row>
    <row r="7404" customFormat="false" ht="15" hidden="false" customHeight="false" outlineLevel="0" collapsed="false">
      <c r="B7404" s="7" t="s">
        <v>22050</v>
      </c>
      <c r="C7404" s="7" t="s">
        <v>7901</v>
      </c>
      <c r="D7404" s="7" t="s">
        <v>359</v>
      </c>
      <c r="E7404" s="7" t="s">
        <v>156</v>
      </c>
      <c r="F7404" s="39" t="n">
        <v>45994</v>
      </c>
      <c r="G7404" s="41" t="n">
        <v>149.26</v>
      </c>
      <c r="H7404" s="39" t="n">
        <v>46006</v>
      </c>
      <c r="I7404" s="7" t="s">
        <v>14651</v>
      </c>
      <c r="J7404" s="8" t="str">
        <f aca="false">IF(I7404="Open",DATE(2025,12,31)-F7404,"-")</f>
        <v>-</v>
      </c>
    </row>
    <row r="7405" customFormat="false" ht="15" hidden="false" customHeight="false" outlineLevel="0" collapsed="false">
      <c r="B7405" s="7" t="s">
        <v>22051</v>
      </c>
      <c r="C7405" s="7" t="s">
        <v>7902</v>
      </c>
      <c r="D7405" s="7" t="s">
        <v>365</v>
      </c>
      <c r="E7405" s="7" t="s">
        <v>154</v>
      </c>
      <c r="F7405" s="39" t="n">
        <v>45994</v>
      </c>
      <c r="G7405" s="41" t="n">
        <v>100.44</v>
      </c>
      <c r="H7405" s="39" t="n">
        <v>46014</v>
      </c>
      <c r="I7405" s="7" t="s">
        <v>14651</v>
      </c>
      <c r="J7405" s="8" t="str">
        <f aca="false">IF(I7405="Open",DATE(2025,12,31)-F7405,"-")</f>
        <v>-</v>
      </c>
    </row>
    <row r="7406" customFormat="false" ht="15" hidden="false" customHeight="false" outlineLevel="0" collapsed="false">
      <c r="B7406" s="7" t="s">
        <v>22052</v>
      </c>
      <c r="C7406" s="7" t="s">
        <v>7903</v>
      </c>
      <c r="D7406" s="7" t="s">
        <v>371</v>
      </c>
      <c r="E7406" s="7" t="s">
        <v>154</v>
      </c>
      <c r="F7406" s="39" t="n">
        <v>45994</v>
      </c>
      <c r="G7406" s="41" t="n">
        <v>113.69</v>
      </c>
      <c r="H7406" s="6" t="s">
        <v>182</v>
      </c>
      <c r="I7406" s="7" t="s">
        <v>19787</v>
      </c>
      <c r="J7406" s="8" t="n">
        <f aca="false">IF(I7406="Open",DATE(2025,12,31)-F7406,"-")</f>
        <v>28</v>
      </c>
    </row>
    <row r="7407" customFormat="false" ht="15" hidden="false" customHeight="false" outlineLevel="0" collapsed="false">
      <c r="B7407" s="7" t="s">
        <v>22053</v>
      </c>
      <c r="C7407" s="7" t="s">
        <v>7904</v>
      </c>
      <c r="D7407" s="7" t="s">
        <v>379</v>
      </c>
      <c r="E7407" s="7" t="s">
        <v>156</v>
      </c>
      <c r="F7407" s="39" t="n">
        <v>45994</v>
      </c>
      <c r="G7407" s="41" t="n">
        <v>147.22</v>
      </c>
      <c r="H7407" s="39" t="n">
        <v>46004</v>
      </c>
      <c r="I7407" s="7" t="s">
        <v>14651</v>
      </c>
      <c r="J7407" s="8" t="str">
        <f aca="false">IF(I7407="Open",DATE(2025,12,31)-F7407,"-")</f>
        <v>-</v>
      </c>
    </row>
    <row r="7408" customFormat="false" ht="15" hidden="false" customHeight="false" outlineLevel="0" collapsed="false">
      <c r="B7408" s="7" t="s">
        <v>22054</v>
      </c>
      <c r="C7408" s="7" t="s">
        <v>7905</v>
      </c>
      <c r="D7408" s="7" t="s">
        <v>385</v>
      </c>
      <c r="E7408" s="7" t="s">
        <v>156</v>
      </c>
      <c r="F7408" s="39" t="n">
        <v>45994</v>
      </c>
      <c r="G7408" s="41" t="n">
        <v>126.48</v>
      </c>
      <c r="H7408" s="39" t="n">
        <v>45996</v>
      </c>
      <c r="I7408" s="7" t="s">
        <v>14651</v>
      </c>
      <c r="J7408" s="8" t="str">
        <f aca="false">IF(I7408="Open",DATE(2025,12,31)-F7408,"-")</f>
        <v>-</v>
      </c>
    </row>
    <row r="7409" customFormat="false" ht="15" hidden="false" customHeight="false" outlineLevel="0" collapsed="false">
      <c r="B7409" s="7" t="s">
        <v>22055</v>
      </c>
      <c r="C7409" s="7" t="s">
        <v>7906</v>
      </c>
      <c r="D7409" s="7" t="s">
        <v>387</v>
      </c>
      <c r="E7409" s="7" t="s">
        <v>154</v>
      </c>
      <c r="F7409" s="39" t="n">
        <v>45994</v>
      </c>
      <c r="G7409" s="41" t="n">
        <v>106.8</v>
      </c>
      <c r="H7409" s="6" t="s">
        <v>182</v>
      </c>
      <c r="I7409" s="7" t="s">
        <v>19787</v>
      </c>
      <c r="J7409" s="8" t="n">
        <f aca="false">IF(I7409="Open",DATE(2025,12,31)-F7409,"-")</f>
        <v>28</v>
      </c>
    </row>
    <row r="7410" customFormat="false" ht="15" hidden="false" customHeight="false" outlineLevel="0" collapsed="false">
      <c r="B7410" s="7" t="s">
        <v>22056</v>
      </c>
      <c r="C7410" s="7" t="s">
        <v>7907</v>
      </c>
      <c r="D7410" s="7" t="s">
        <v>389</v>
      </c>
      <c r="E7410" s="7" t="s">
        <v>154</v>
      </c>
      <c r="F7410" s="39" t="n">
        <v>45994</v>
      </c>
      <c r="G7410" s="41" t="n">
        <v>114.48</v>
      </c>
      <c r="H7410" s="6" t="s">
        <v>182</v>
      </c>
      <c r="I7410" s="7" t="s">
        <v>19787</v>
      </c>
      <c r="J7410" s="8" t="n">
        <f aca="false">IF(I7410="Open",DATE(2025,12,31)-F7410,"-")</f>
        <v>28</v>
      </c>
    </row>
    <row r="7411" customFormat="false" ht="15" hidden="false" customHeight="false" outlineLevel="0" collapsed="false">
      <c r="B7411" s="7" t="s">
        <v>22057</v>
      </c>
      <c r="C7411" s="7" t="s">
        <v>7908</v>
      </c>
      <c r="D7411" s="7" t="s">
        <v>393</v>
      </c>
      <c r="E7411" s="7" t="s">
        <v>157</v>
      </c>
      <c r="F7411" s="39" t="n">
        <v>45994</v>
      </c>
      <c r="G7411" s="41" t="n">
        <v>171.6</v>
      </c>
      <c r="H7411" s="6" t="s">
        <v>182</v>
      </c>
      <c r="I7411" s="7" t="s">
        <v>19787</v>
      </c>
      <c r="J7411" s="8" t="n">
        <f aca="false">IF(I7411="Open",DATE(2025,12,31)-F7411,"-")</f>
        <v>28</v>
      </c>
    </row>
    <row r="7412" customFormat="false" ht="15" hidden="false" customHeight="false" outlineLevel="0" collapsed="false">
      <c r="B7412" s="7" t="s">
        <v>22058</v>
      </c>
      <c r="C7412" s="7" t="s">
        <v>7909</v>
      </c>
      <c r="D7412" s="7" t="s">
        <v>395</v>
      </c>
      <c r="E7412" s="7" t="s">
        <v>156</v>
      </c>
      <c r="F7412" s="39" t="n">
        <v>45994</v>
      </c>
      <c r="G7412" s="41" t="n">
        <v>123.08</v>
      </c>
      <c r="H7412" s="39" t="n">
        <v>46000</v>
      </c>
      <c r="I7412" s="7" t="s">
        <v>14651</v>
      </c>
      <c r="J7412" s="8" t="str">
        <f aca="false">IF(I7412="Open",DATE(2025,12,31)-F7412,"-")</f>
        <v>-</v>
      </c>
    </row>
    <row r="7413" customFormat="false" ht="15" hidden="false" customHeight="false" outlineLevel="0" collapsed="false">
      <c r="B7413" s="7" t="s">
        <v>22059</v>
      </c>
      <c r="C7413" s="7" t="s">
        <v>7910</v>
      </c>
      <c r="D7413" s="7" t="s">
        <v>399</v>
      </c>
      <c r="E7413" s="7" t="s">
        <v>154</v>
      </c>
      <c r="F7413" s="39" t="n">
        <v>45994</v>
      </c>
      <c r="G7413" s="41" t="n">
        <v>84.8</v>
      </c>
      <c r="H7413" s="6" t="s">
        <v>182</v>
      </c>
      <c r="I7413" s="7" t="s">
        <v>19787</v>
      </c>
      <c r="J7413" s="8" t="n">
        <f aca="false">IF(I7413="Open",DATE(2025,12,31)-F7413,"-")</f>
        <v>28</v>
      </c>
    </row>
    <row r="7414" customFormat="false" ht="15" hidden="false" customHeight="false" outlineLevel="0" collapsed="false">
      <c r="B7414" s="7" t="s">
        <v>22060</v>
      </c>
      <c r="C7414" s="7" t="s">
        <v>7911</v>
      </c>
      <c r="D7414" s="7" t="s">
        <v>401</v>
      </c>
      <c r="E7414" s="7" t="s">
        <v>156</v>
      </c>
      <c r="F7414" s="39" t="n">
        <v>45994</v>
      </c>
      <c r="G7414" s="41" t="n">
        <v>138.38</v>
      </c>
      <c r="H7414" s="39" t="n">
        <v>46005</v>
      </c>
      <c r="I7414" s="7" t="s">
        <v>14651</v>
      </c>
      <c r="J7414" s="8" t="str">
        <f aca="false">IF(I7414="Open",DATE(2025,12,31)-F7414,"-")</f>
        <v>-</v>
      </c>
    </row>
    <row r="7415" customFormat="false" ht="15" hidden="false" customHeight="false" outlineLevel="0" collapsed="false">
      <c r="B7415" s="7" t="s">
        <v>22061</v>
      </c>
      <c r="C7415" s="7" t="s">
        <v>7912</v>
      </c>
      <c r="D7415" s="7" t="s">
        <v>403</v>
      </c>
      <c r="E7415" s="7" t="s">
        <v>156</v>
      </c>
      <c r="F7415" s="39" t="n">
        <v>45994</v>
      </c>
      <c r="G7415" s="41" t="n">
        <v>128.18</v>
      </c>
      <c r="H7415" s="39" t="n">
        <v>46002</v>
      </c>
      <c r="I7415" s="7" t="s">
        <v>14651</v>
      </c>
      <c r="J7415" s="8" t="str">
        <f aca="false">IF(I7415="Open",DATE(2025,12,31)-F7415,"-")</f>
        <v>-</v>
      </c>
    </row>
    <row r="7416" customFormat="false" ht="15" hidden="false" customHeight="false" outlineLevel="0" collapsed="false">
      <c r="B7416" s="7" t="s">
        <v>22062</v>
      </c>
      <c r="C7416" s="7" t="s">
        <v>7913</v>
      </c>
      <c r="D7416" s="7" t="s">
        <v>409</v>
      </c>
      <c r="E7416" s="7" t="s">
        <v>154</v>
      </c>
      <c r="F7416" s="39" t="n">
        <v>45994</v>
      </c>
      <c r="G7416" s="41" t="n">
        <v>86.66</v>
      </c>
      <c r="H7416" s="6" t="s">
        <v>182</v>
      </c>
      <c r="I7416" s="7" t="s">
        <v>19787</v>
      </c>
      <c r="J7416" s="8" t="n">
        <f aca="false">IF(I7416="Open",DATE(2025,12,31)-F7416,"-")</f>
        <v>28</v>
      </c>
    </row>
    <row r="7417" customFormat="false" ht="15" hidden="false" customHeight="false" outlineLevel="0" collapsed="false">
      <c r="B7417" s="7" t="s">
        <v>22063</v>
      </c>
      <c r="C7417" s="7" t="s">
        <v>7914</v>
      </c>
      <c r="D7417" s="7" t="s">
        <v>411</v>
      </c>
      <c r="E7417" s="7" t="s">
        <v>154</v>
      </c>
      <c r="F7417" s="39" t="n">
        <v>45994</v>
      </c>
      <c r="G7417" s="41" t="n">
        <v>133.03</v>
      </c>
      <c r="H7417" s="39" t="n">
        <v>46017</v>
      </c>
      <c r="I7417" s="7" t="s">
        <v>14651</v>
      </c>
      <c r="J7417" s="8" t="str">
        <f aca="false">IF(I7417="Open",DATE(2025,12,31)-F7417,"-")</f>
        <v>-</v>
      </c>
    </row>
    <row r="7418" customFormat="false" ht="15" hidden="false" customHeight="false" outlineLevel="0" collapsed="false">
      <c r="B7418" s="7" t="s">
        <v>22064</v>
      </c>
      <c r="C7418" s="7" t="s">
        <v>7915</v>
      </c>
      <c r="D7418" s="7" t="s">
        <v>288</v>
      </c>
      <c r="E7418" s="7" t="s">
        <v>156</v>
      </c>
      <c r="F7418" s="39" t="n">
        <v>45995</v>
      </c>
      <c r="G7418" s="41" t="n">
        <v>128.86</v>
      </c>
      <c r="H7418" s="39" t="n">
        <v>46008</v>
      </c>
      <c r="I7418" s="7" t="s">
        <v>14651</v>
      </c>
      <c r="J7418" s="8" t="str">
        <f aca="false">IF(I7418="Open",DATE(2025,12,31)-F7418,"-")</f>
        <v>-</v>
      </c>
    </row>
    <row r="7419" customFormat="false" ht="15" hidden="false" customHeight="false" outlineLevel="0" collapsed="false">
      <c r="B7419" s="7" t="s">
        <v>22065</v>
      </c>
      <c r="C7419" s="7" t="s">
        <v>7916</v>
      </c>
      <c r="D7419" s="7" t="s">
        <v>297</v>
      </c>
      <c r="E7419" s="7" t="s">
        <v>156</v>
      </c>
      <c r="F7419" s="39" t="n">
        <v>45995</v>
      </c>
      <c r="G7419" s="41" t="n">
        <v>99.62</v>
      </c>
      <c r="H7419" s="39" t="n">
        <v>45999</v>
      </c>
      <c r="I7419" s="7" t="s">
        <v>14651</v>
      </c>
      <c r="J7419" s="8" t="str">
        <f aca="false">IF(I7419="Open",DATE(2025,12,31)-F7419,"-")</f>
        <v>-</v>
      </c>
    </row>
    <row r="7420" customFormat="false" ht="15" hidden="false" customHeight="false" outlineLevel="0" collapsed="false">
      <c r="B7420" s="7" t="s">
        <v>22066</v>
      </c>
      <c r="C7420" s="7" t="s">
        <v>7917</v>
      </c>
      <c r="D7420" s="7" t="s">
        <v>303</v>
      </c>
      <c r="E7420" s="7" t="s">
        <v>154</v>
      </c>
      <c r="F7420" s="39" t="n">
        <v>45995</v>
      </c>
      <c r="G7420" s="41" t="n">
        <v>93.81</v>
      </c>
      <c r="H7420" s="6" t="s">
        <v>182</v>
      </c>
      <c r="I7420" s="7" t="s">
        <v>19787</v>
      </c>
      <c r="J7420" s="8" t="n">
        <f aca="false">IF(I7420="Open",DATE(2025,12,31)-F7420,"-")</f>
        <v>27</v>
      </c>
    </row>
    <row r="7421" customFormat="false" ht="15" hidden="false" customHeight="false" outlineLevel="0" collapsed="false">
      <c r="B7421" s="7" t="s">
        <v>22067</v>
      </c>
      <c r="C7421" s="7" t="s">
        <v>7918</v>
      </c>
      <c r="D7421" s="7" t="s">
        <v>311</v>
      </c>
      <c r="E7421" s="7" t="s">
        <v>154</v>
      </c>
      <c r="F7421" s="39" t="n">
        <v>45995</v>
      </c>
      <c r="G7421" s="41" t="n">
        <v>81.99</v>
      </c>
      <c r="H7421" s="6" t="s">
        <v>182</v>
      </c>
      <c r="I7421" s="7" t="s">
        <v>19787</v>
      </c>
      <c r="J7421" s="8" t="n">
        <f aca="false">IF(I7421="Open",DATE(2025,12,31)-F7421,"-")</f>
        <v>27</v>
      </c>
    </row>
    <row r="7422" customFormat="false" ht="15" hidden="false" customHeight="false" outlineLevel="0" collapsed="false">
      <c r="B7422" s="7" t="s">
        <v>22068</v>
      </c>
      <c r="C7422" s="7" t="s">
        <v>7919</v>
      </c>
      <c r="D7422" s="7" t="s">
        <v>313</v>
      </c>
      <c r="E7422" s="7" t="s">
        <v>156</v>
      </c>
      <c r="F7422" s="39" t="n">
        <v>45995</v>
      </c>
      <c r="G7422" s="41" t="n">
        <v>134.3</v>
      </c>
      <c r="H7422" s="39" t="n">
        <v>45997</v>
      </c>
      <c r="I7422" s="7" t="s">
        <v>14651</v>
      </c>
      <c r="J7422" s="8" t="str">
        <f aca="false">IF(I7422="Open",DATE(2025,12,31)-F7422,"-")</f>
        <v>-</v>
      </c>
    </row>
    <row r="7423" customFormat="false" ht="15" hidden="false" customHeight="false" outlineLevel="0" collapsed="false">
      <c r="B7423" s="7" t="s">
        <v>22069</v>
      </c>
      <c r="C7423" s="7" t="s">
        <v>7920</v>
      </c>
      <c r="D7423" s="7" t="s">
        <v>317</v>
      </c>
      <c r="E7423" s="7" t="s">
        <v>156</v>
      </c>
      <c r="F7423" s="39" t="n">
        <v>45995</v>
      </c>
      <c r="G7423" s="41" t="n">
        <v>110.84</v>
      </c>
      <c r="H7423" s="39" t="n">
        <v>46003</v>
      </c>
      <c r="I7423" s="7" t="s">
        <v>14651</v>
      </c>
      <c r="J7423" s="8" t="str">
        <f aca="false">IF(I7423="Open",DATE(2025,12,31)-F7423,"-")</f>
        <v>-</v>
      </c>
    </row>
    <row r="7424" customFormat="false" ht="15" hidden="false" customHeight="false" outlineLevel="0" collapsed="false">
      <c r="B7424" s="7" t="s">
        <v>22070</v>
      </c>
      <c r="C7424" s="7" t="s">
        <v>7921</v>
      </c>
      <c r="D7424" s="7" t="s">
        <v>321</v>
      </c>
      <c r="E7424" s="7" t="s">
        <v>154</v>
      </c>
      <c r="F7424" s="39" t="n">
        <v>45995</v>
      </c>
      <c r="G7424" s="41" t="n">
        <v>99.11</v>
      </c>
      <c r="H7424" s="6" t="s">
        <v>182</v>
      </c>
      <c r="I7424" s="7" t="s">
        <v>19787</v>
      </c>
      <c r="J7424" s="8" t="n">
        <f aca="false">IF(I7424="Open",DATE(2025,12,31)-F7424,"-")</f>
        <v>27</v>
      </c>
    </row>
    <row r="7425" customFormat="false" ht="15" hidden="false" customHeight="false" outlineLevel="0" collapsed="false">
      <c r="B7425" s="7" t="s">
        <v>22071</v>
      </c>
      <c r="C7425" s="7" t="s">
        <v>7922</v>
      </c>
      <c r="D7425" s="7" t="s">
        <v>325</v>
      </c>
      <c r="E7425" s="7" t="s">
        <v>154</v>
      </c>
      <c r="F7425" s="39" t="n">
        <v>45995</v>
      </c>
      <c r="G7425" s="41" t="n">
        <v>76.85</v>
      </c>
      <c r="H7425" s="6" t="s">
        <v>182</v>
      </c>
      <c r="I7425" s="7" t="s">
        <v>19787</v>
      </c>
      <c r="J7425" s="8" t="n">
        <f aca="false">IF(I7425="Open",DATE(2025,12,31)-F7425,"-")</f>
        <v>27</v>
      </c>
    </row>
    <row r="7426" customFormat="false" ht="15" hidden="false" customHeight="false" outlineLevel="0" collapsed="false">
      <c r="B7426" s="7" t="s">
        <v>22072</v>
      </c>
      <c r="C7426" s="7" t="s">
        <v>7923</v>
      </c>
      <c r="D7426" s="7" t="s">
        <v>329</v>
      </c>
      <c r="E7426" s="7" t="s">
        <v>156</v>
      </c>
      <c r="F7426" s="39" t="n">
        <v>45995</v>
      </c>
      <c r="G7426" s="41" t="n">
        <v>146.2</v>
      </c>
      <c r="H7426" s="39" t="n">
        <v>46008</v>
      </c>
      <c r="I7426" s="7" t="s">
        <v>14651</v>
      </c>
      <c r="J7426" s="8" t="str">
        <f aca="false">IF(I7426="Open",DATE(2025,12,31)-F7426,"-")</f>
        <v>-</v>
      </c>
    </row>
    <row r="7427" customFormat="false" ht="15" hidden="false" customHeight="false" outlineLevel="0" collapsed="false">
      <c r="B7427" s="7" t="s">
        <v>22073</v>
      </c>
      <c r="C7427" s="7" t="s">
        <v>7924</v>
      </c>
      <c r="D7427" s="7" t="s">
        <v>341</v>
      </c>
      <c r="E7427" s="7" t="s">
        <v>156</v>
      </c>
      <c r="F7427" s="39" t="n">
        <v>45995</v>
      </c>
      <c r="G7427" s="41" t="n">
        <v>105.74</v>
      </c>
      <c r="H7427" s="39" t="n">
        <v>46007</v>
      </c>
      <c r="I7427" s="7" t="s">
        <v>14651</v>
      </c>
      <c r="J7427" s="8" t="str">
        <f aca="false">IF(I7427="Open",DATE(2025,12,31)-F7427,"-")</f>
        <v>-</v>
      </c>
    </row>
    <row r="7428" customFormat="false" ht="15" hidden="false" customHeight="false" outlineLevel="0" collapsed="false">
      <c r="B7428" s="7" t="s">
        <v>22074</v>
      </c>
      <c r="C7428" s="7" t="s">
        <v>7925</v>
      </c>
      <c r="D7428" s="7" t="s">
        <v>343</v>
      </c>
      <c r="E7428" s="7" t="s">
        <v>154</v>
      </c>
      <c r="F7428" s="39" t="n">
        <v>45995</v>
      </c>
      <c r="G7428" s="41" t="n">
        <v>115.01</v>
      </c>
      <c r="H7428" s="6" t="s">
        <v>182</v>
      </c>
      <c r="I7428" s="7" t="s">
        <v>19787</v>
      </c>
      <c r="J7428" s="8" t="n">
        <f aca="false">IF(I7428="Open",DATE(2025,12,31)-F7428,"-")</f>
        <v>27</v>
      </c>
    </row>
    <row r="7429" customFormat="false" ht="15" hidden="false" customHeight="false" outlineLevel="0" collapsed="false">
      <c r="B7429" s="7" t="s">
        <v>22075</v>
      </c>
      <c r="C7429" s="7" t="s">
        <v>7926</v>
      </c>
      <c r="D7429" s="7" t="s">
        <v>349</v>
      </c>
      <c r="E7429" s="7" t="s">
        <v>154</v>
      </c>
      <c r="F7429" s="39" t="n">
        <v>45995</v>
      </c>
      <c r="G7429" s="41" t="n">
        <v>104.41</v>
      </c>
      <c r="H7429" s="6" t="s">
        <v>182</v>
      </c>
      <c r="I7429" s="7" t="s">
        <v>19787</v>
      </c>
      <c r="J7429" s="8" t="n">
        <f aca="false">IF(I7429="Open",DATE(2025,12,31)-F7429,"-")</f>
        <v>27</v>
      </c>
    </row>
    <row r="7430" customFormat="false" ht="15" hidden="false" customHeight="false" outlineLevel="0" collapsed="false">
      <c r="B7430" s="7" t="s">
        <v>22076</v>
      </c>
      <c r="C7430" s="7" t="s">
        <v>7927</v>
      </c>
      <c r="D7430" s="7" t="s">
        <v>351</v>
      </c>
      <c r="E7430" s="7" t="s">
        <v>154</v>
      </c>
      <c r="F7430" s="39" t="n">
        <v>45995</v>
      </c>
      <c r="G7430" s="41" t="n">
        <v>71.97</v>
      </c>
      <c r="H7430" s="6" t="s">
        <v>182</v>
      </c>
      <c r="I7430" s="7" t="s">
        <v>19787</v>
      </c>
      <c r="J7430" s="8" t="n">
        <f aca="false">IF(I7430="Open",DATE(2025,12,31)-F7430,"-")</f>
        <v>27</v>
      </c>
    </row>
    <row r="7431" customFormat="false" ht="15" hidden="false" customHeight="false" outlineLevel="0" collapsed="false">
      <c r="B7431" s="7" t="s">
        <v>22077</v>
      </c>
      <c r="C7431" s="7" t="s">
        <v>7928</v>
      </c>
      <c r="D7431" s="7" t="s">
        <v>359</v>
      </c>
      <c r="E7431" s="7" t="s">
        <v>156</v>
      </c>
      <c r="F7431" s="39" t="n">
        <v>45995</v>
      </c>
      <c r="G7431" s="41" t="n">
        <v>143.82</v>
      </c>
      <c r="H7431" s="39" t="n">
        <v>46006</v>
      </c>
      <c r="I7431" s="7" t="s">
        <v>14651</v>
      </c>
      <c r="J7431" s="8" t="str">
        <f aca="false">IF(I7431="Open",DATE(2025,12,31)-F7431,"-")</f>
        <v>-</v>
      </c>
    </row>
    <row r="7432" customFormat="false" ht="15" hidden="false" customHeight="false" outlineLevel="0" collapsed="false">
      <c r="B7432" s="7" t="s">
        <v>22078</v>
      </c>
      <c r="C7432" s="7" t="s">
        <v>7929</v>
      </c>
      <c r="D7432" s="7" t="s">
        <v>363</v>
      </c>
      <c r="E7432" s="7" t="s">
        <v>156</v>
      </c>
      <c r="F7432" s="39" t="n">
        <v>45995</v>
      </c>
      <c r="G7432" s="41" t="n">
        <v>133.96</v>
      </c>
      <c r="H7432" s="39" t="n">
        <v>46007</v>
      </c>
      <c r="I7432" s="7" t="s">
        <v>14651</v>
      </c>
      <c r="J7432" s="8" t="str">
        <f aca="false">IF(I7432="Open",DATE(2025,12,31)-F7432,"-")</f>
        <v>-</v>
      </c>
    </row>
    <row r="7433" customFormat="false" ht="15" hidden="false" customHeight="false" outlineLevel="0" collapsed="false">
      <c r="B7433" s="7" t="s">
        <v>22079</v>
      </c>
      <c r="C7433" s="7" t="s">
        <v>7930</v>
      </c>
      <c r="D7433" s="7" t="s">
        <v>365</v>
      </c>
      <c r="E7433" s="7" t="s">
        <v>154</v>
      </c>
      <c r="F7433" s="39" t="n">
        <v>45995</v>
      </c>
      <c r="G7433" s="41" t="n">
        <v>113.69</v>
      </c>
      <c r="H7433" s="6" t="s">
        <v>182</v>
      </c>
      <c r="I7433" s="7" t="s">
        <v>19787</v>
      </c>
      <c r="J7433" s="8" t="n">
        <f aca="false">IF(I7433="Open",DATE(2025,12,31)-F7433,"-")</f>
        <v>27</v>
      </c>
    </row>
    <row r="7434" customFormat="false" ht="15" hidden="false" customHeight="false" outlineLevel="0" collapsed="false">
      <c r="B7434" s="7" t="s">
        <v>22080</v>
      </c>
      <c r="C7434" s="7" t="s">
        <v>7931</v>
      </c>
      <c r="D7434" s="7" t="s">
        <v>367</v>
      </c>
      <c r="E7434" s="7" t="s">
        <v>156</v>
      </c>
      <c r="F7434" s="39" t="n">
        <v>45995</v>
      </c>
      <c r="G7434" s="41" t="n">
        <v>110.16</v>
      </c>
      <c r="H7434" s="39" t="n">
        <v>46004</v>
      </c>
      <c r="I7434" s="7" t="s">
        <v>14651</v>
      </c>
      <c r="J7434" s="8" t="str">
        <f aca="false">IF(I7434="Open",DATE(2025,12,31)-F7434,"-")</f>
        <v>-</v>
      </c>
    </row>
    <row r="7435" customFormat="false" ht="15" hidden="false" customHeight="false" outlineLevel="0" collapsed="false">
      <c r="B7435" s="7" t="s">
        <v>22081</v>
      </c>
      <c r="C7435" s="7" t="s">
        <v>7932</v>
      </c>
      <c r="D7435" s="7" t="s">
        <v>375</v>
      </c>
      <c r="E7435" s="7" t="s">
        <v>156</v>
      </c>
      <c r="F7435" s="39" t="n">
        <v>45995</v>
      </c>
      <c r="G7435" s="41" t="n">
        <v>109.14</v>
      </c>
      <c r="H7435" s="39" t="n">
        <v>46012</v>
      </c>
      <c r="I7435" s="7" t="s">
        <v>14651</v>
      </c>
      <c r="J7435" s="8" t="str">
        <f aca="false">IF(I7435="Open",DATE(2025,12,31)-F7435,"-")</f>
        <v>-</v>
      </c>
    </row>
    <row r="7436" customFormat="false" ht="15" hidden="false" customHeight="false" outlineLevel="0" collapsed="false">
      <c r="B7436" s="7" t="s">
        <v>22082</v>
      </c>
      <c r="C7436" s="7" t="s">
        <v>7933</v>
      </c>
      <c r="D7436" s="7" t="s">
        <v>377</v>
      </c>
      <c r="E7436" s="7" t="s">
        <v>154</v>
      </c>
      <c r="F7436" s="39" t="n">
        <v>45995</v>
      </c>
      <c r="G7436" s="41" t="n">
        <v>100.17</v>
      </c>
      <c r="H7436" s="6" t="s">
        <v>182</v>
      </c>
      <c r="I7436" s="7" t="s">
        <v>19787</v>
      </c>
      <c r="J7436" s="8" t="n">
        <f aca="false">IF(I7436="Open",DATE(2025,12,31)-F7436,"-")</f>
        <v>27</v>
      </c>
    </row>
    <row r="7437" customFormat="false" ht="15" hidden="false" customHeight="false" outlineLevel="0" collapsed="false">
      <c r="B7437" s="7" t="s">
        <v>22083</v>
      </c>
      <c r="C7437" s="7" t="s">
        <v>7934</v>
      </c>
      <c r="D7437" s="7" t="s">
        <v>387</v>
      </c>
      <c r="E7437" s="7" t="s">
        <v>154</v>
      </c>
      <c r="F7437" s="39" t="n">
        <v>45995</v>
      </c>
      <c r="G7437" s="41" t="n">
        <v>97.25</v>
      </c>
      <c r="H7437" s="6" t="s">
        <v>182</v>
      </c>
      <c r="I7437" s="7" t="s">
        <v>19787</v>
      </c>
      <c r="J7437" s="8" t="n">
        <f aca="false">IF(I7437="Open",DATE(2025,12,31)-F7437,"-")</f>
        <v>27</v>
      </c>
    </row>
    <row r="7438" customFormat="false" ht="15" hidden="false" customHeight="false" outlineLevel="0" collapsed="false">
      <c r="B7438" s="7" t="s">
        <v>22084</v>
      </c>
      <c r="C7438" s="7" t="s">
        <v>7935</v>
      </c>
      <c r="D7438" s="7" t="s">
        <v>389</v>
      </c>
      <c r="E7438" s="7" t="s">
        <v>154</v>
      </c>
      <c r="F7438" s="39" t="n">
        <v>45995</v>
      </c>
      <c r="G7438" s="41" t="n">
        <v>115.54</v>
      </c>
      <c r="H7438" s="6" t="s">
        <v>182</v>
      </c>
      <c r="I7438" s="7" t="s">
        <v>19787</v>
      </c>
      <c r="J7438" s="8" t="n">
        <f aca="false">IF(I7438="Open",DATE(2025,12,31)-F7438,"-")</f>
        <v>27</v>
      </c>
    </row>
    <row r="7439" customFormat="false" ht="15" hidden="false" customHeight="false" outlineLevel="0" collapsed="false">
      <c r="B7439" s="7" t="s">
        <v>22085</v>
      </c>
      <c r="C7439" s="7" t="s">
        <v>7936</v>
      </c>
      <c r="D7439" s="7" t="s">
        <v>391</v>
      </c>
      <c r="E7439" s="7" t="s">
        <v>156</v>
      </c>
      <c r="F7439" s="39" t="n">
        <v>45995</v>
      </c>
      <c r="G7439" s="41" t="n">
        <v>122.74</v>
      </c>
      <c r="H7439" s="39" t="n">
        <v>46014</v>
      </c>
      <c r="I7439" s="7" t="s">
        <v>14651</v>
      </c>
      <c r="J7439" s="8" t="str">
        <f aca="false">IF(I7439="Open",DATE(2025,12,31)-F7439,"-")</f>
        <v>-</v>
      </c>
    </row>
    <row r="7440" customFormat="false" ht="15" hidden="false" customHeight="false" outlineLevel="0" collapsed="false">
      <c r="B7440" s="7" t="s">
        <v>22086</v>
      </c>
      <c r="C7440" s="7" t="s">
        <v>7937</v>
      </c>
      <c r="D7440" s="7" t="s">
        <v>395</v>
      </c>
      <c r="E7440" s="7" t="s">
        <v>156</v>
      </c>
      <c r="F7440" s="39" t="n">
        <v>45995</v>
      </c>
      <c r="G7440" s="41" t="n">
        <v>127.84</v>
      </c>
      <c r="H7440" s="39" t="n">
        <v>46006</v>
      </c>
      <c r="I7440" s="7" t="s">
        <v>14651</v>
      </c>
      <c r="J7440" s="8" t="str">
        <f aca="false">IF(I7440="Open",DATE(2025,12,31)-F7440,"-")</f>
        <v>-</v>
      </c>
    </row>
    <row r="7441" customFormat="false" ht="15" hidden="false" customHeight="false" outlineLevel="0" collapsed="false">
      <c r="B7441" s="7" t="s">
        <v>22087</v>
      </c>
      <c r="C7441" s="7" t="s">
        <v>7938</v>
      </c>
      <c r="D7441" s="7" t="s">
        <v>401</v>
      </c>
      <c r="E7441" s="7" t="s">
        <v>156</v>
      </c>
      <c r="F7441" s="39" t="n">
        <v>45995</v>
      </c>
      <c r="G7441" s="41" t="n">
        <v>148.92</v>
      </c>
      <c r="H7441" s="39" t="n">
        <v>46003</v>
      </c>
      <c r="I7441" s="7" t="s">
        <v>14651</v>
      </c>
      <c r="J7441" s="8" t="str">
        <f aca="false">IF(I7441="Open",DATE(2025,12,31)-F7441,"-")</f>
        <v>-</v>
      </c>
    </row>
    <row r="7442" customFormat="false" ht="15" hidden="false" customHeight="false" outlineLevel="0" collapsed="false">
      <c r="B7442" s="7" t="s">
        <v>22088</v>
      </c>
      <c r="C7442" s="7" t="s">
        <v>7939</v>
      </c>
      <c r="D7442" s="7" t="s">
        <v>288</v>
      </c>
      <c r="E7442" s="7" t="s">
        <v>156</v>
      </c>
      <c r="F7442" s="39" t="n">
        <v>45996</v>
      </c>
      <c r="G7442" s="41" t="n">
        <v>125.8</v>
      </c>
      <c r="H7442" s="39" t="n">
        <v>46004</v>
      </c>
      <c r="I7442" s="7" t="s">
        <v>14651</v>
      </c>
      <c r="J7442" s="8" t="str">
        <f aca="false">IF(I7442="Open",DATE(2025,12,31)-F7442,"-")</f>
        <v>-</v>
      </c>
    </row>
    <row r="7443" customFormat="false" ht="15" hidden="false" customHeight="false" outlineLevel="0" collapsed="false">
      <c r="B7443" s="7" t="s">
        <v>22089</v>
      </c>
      <c r="C7443" s="7" t="s">
        <v>7940</v>
      </c>
      <c r="D7443" s="7" t="s">
        <v>291</v>
      </c>
      <c r="E7443" s="7" t="s">
        <v>154</v>
      </c>
      <c r="F7443" s="39" t="n">
        <v>45996</v>
      </c>
      <c r="G7443" s="41" t="n">
        <v>122.96</v>
      </c>
      <c r="H7443" s="6" t="s">
        <v>182</v>
      </c>
      <c r="I7443" s="7" t="s">
        <v>19787</v>
      </c>
      <c r="J7443" s="8" t="n">
        <f aca="false">IF(I7443="Open",DATE(2025,12,31)-F7443,"-")</f>
        <v>26</v>
      </c>
    </row>
    <row r="7444" customFormat="false" ht="15" hidden="false" customHeight="false" outlineLevel="0" collapsed="false">
      <c r="B7444" s="7" t="s">
        <v>22090</v>
      </c>
      <c r="C7444" s="7" t="s">
        <v>7941</v>
      </c>
      <c r="D7444" s="7" t="s">
        <v>293</v>
      </c>
      <c r="E7444" s="7" t="s">
        <v>157</v>
      </c>
      <c r="F7444" s="39" t="n">
        <v>45996</v>
      </c>
      <c r="G7444" s="41" t="n">
        <v>161.37</v>
      </c>
      <c r="H7444" s="6" t="s">
        <v>182</v>
      </c>
      <c r="I7444" s="7" t="s">
        <v>19787</v>
      </c>
      <c r="J7444" s="8" t="n">
        <f aca="false">IF(I7444="Open",DATE(2025,12,31)-F7444,"-")</f>
        <v>26</v>
      </c>
    </row>
    <row r="7445" customFormat="false" ht="15" hidden="false" customHeight="false" outlineLevel="0" collapsed="false">
      <c r="B7445" s="7" t="s">
        <v>22091</v>
      </c>
      <c r="C7445" s="7" t="s">
        <v>7942</v>
      </c>
      <c r="D7445" s="7" t="s">
        <v>295</v>
      </c>
      <c r="E7445" s="7" t="s">
        <v>154</v>
      </c>
      <c r="F7445" s="39" t="n">
        <v>45996</v>
      </c>
      <c r="G7445" s="41" t="n">
        <v>112.62</v>
      </c>
      <c r="H7445" s="6" t="s">
        <v>182</v>
      </c>
      <c r="I7445" s="7" t="s">
        <v>19787</v>
      </c>
      <c r="J7445" s="8" t="n">
        <f aca="false">IF(I7445="Open",DATE(2025,12,31)-F7445,"-")</f>
        <v>26</v>
      </c>
    </row>
    <row r="7446" customFormat="false" ht="15" hidden="false" customHeight="false" outlineLevel="0" collapsed="false">
      <c r="B7446" s="7" t="s">
        <v>22092</v>
      </c>
      <c r="C7446" s="7" t="s">
        <v>7943</v>
      </c>
      <c r="D7446" s="7" t="s">
        <v>301</v>
      </c>
      <c r="E7446" s="7" t="s">
        <v>157</v>
      </c>
      <c r="F7446" s="39" t="n">
        <v>45996</v>
      </c>
      <c r="G7446" s="41" t="n">
        <v>151.8</v>
      </c>
      <c r="H7446" s="39" t="n">
        <v>46012</v>
      </c>
      <c r="I7446" s="7" t="s">
        <v>14651</v>
      </c>
      <c r="J7446" s="8" t="str">
        <f aca="false">IF(I7446="Open",DATE(2025,12,31)-F7446,"-")</f>
        <v>-</v>
      </c>
    </row>
    <row r="7447" customFormat="false" ht="15" hidden="false" customHeight="false" outlineLevel="0" collapsed="false">
      <c r="B7447" s="7" t="s">
        <v>22093</v>
      </c>
      <c r="C7447" s="7" t="s">
        <v>7944</v>
      </c>
      <c r="D7447" s="7" t="s">
        <v>305</v>
      </c>
      <c r="E7447" s="7" t="s">
        <v>154</v>
      </c>
      <c r="F7447" s="39" t="n">
        <v>45996</v>
      </c>
      <c r="G7447" s="41" t="n">
        <v>114.48</v>
      </c>
      <c r="H7447" s="6" t="s">
        <v>182</v>
      </c>
      <c r="I7447" s="7" t="s">
        <v>19787</v>
      </c>
      <c r="J7447" s="8" t="n">
        <f aca="false">IF(I7447="Open",DATE(2025,12,31)-F7447,"-")</f>
        <v>26</v>
      </c>
    </row>
    <row r="7448" customFormat="false" ht="15" hidden="false" customHeight="false" outlineLevel="0" collapsed="false">
      <c r="B7448" s="7" t="s">
        <v>22094</v>
      </c>
      <c r="C7448" s="7" t="s">
        <v>7945</v>
      </c>
      <c r="D7448" s="7" t="s">
        <v>307</v>
      </c>
      <c r="E7448" s="7" t="s">
        <v>157</v>
      </c>
      <c r="F7448" s="39" t="n">
        <v>45996</v>
      </c>
      <c r="G7448" s="41" t="n">
        <v>179.85</v>
      </c>
      <c r="H7448" s="6" t="s">
        <v>182</v>
      </c>
      <c r="I7448" s="7" t="s">
        <v>19787</v>
      </c>
      <c r="J7448" s="8" t="n">
        <f aca="false">IF(I7448="Open",DATE(2025,12,31)-F7448,"-")</f>
        <v>26</v>
      </c>
    </row>
    <row r="7449" customFormat="false" ht="15" hidden="false" customHeight="false" outlineLevel="0" collapsed="false">
      <c r="B7449" s="7" t="s">
        <v>22095</v>
      </c>
      <c r="C7449" s="7" t="s">
        <v>7946</v>
      </c>
      <c r="D7449" s="7" t="s">
        <v>309</v>
      </c>
      <c r="E7449" s="7" t="s">
        <v>159</v>
      </c>
      <c r="F7449" s="39" t="n">
        <v>45996</v>
      </c>
      <c r="G7449" s="41" t="n">
        <v>136.35</v>
      </c>
      <c r="H7449" s="6" t="s">
        <v>182</v>
      </c>
      <c r="I7449" s="7" t="s">
        <v>19787</v>
      </c>
      <c r="J7449" s="8" t="n">
        <f aca="false">IF(I7449="Open",DATE(2025,12,31)-F7449,"-")</f>
        <v>26</v>
      </c>
    </row>
    <row r="7450" customFormat="false" ht="15" hidden="false" customHeight="false" outlineLevel="0" collapsed="false">
      <c r="B7450" s="7" t="s">
        <v>22096</v>
      </c>
      <c r="C7450" s="7" t="s">
        <v>7947</v>
      </c>
      <c r="D7450" s="7" t="s">
        <v>313</v>
      </c>
      <c r="E7450" s="7" t="s">
        <v>156</v>
      </c>
      <c r="F7450" s="39" t="n">
        <v>45996</v>
      </c>
      <c r="G7450" s="41" t="n">
        <v>123.08</v>
      </c>
      <c r="H7450" s="39" t="n">
        <v>46010</v>
      </c>
      <c r="I7450" s="7" t="s">
        <v>14651</v>
      </c>
      <c r="J7450" s="8" t="str">
        <f aca="false">IF(I7450="Open",DATE(2025,12,31)-F7450,"-")</f>
        <v>-</v>
      </c>
    </row>
    <row r="7451" customFormat="false" ht="15" hidden="false" customHeight="false" outlineLevel="0" collapsed="false">
      <c r="B7451" s="7" t="s">
        <v>22097</v>
      </c>
      <c r="C7451" s="7" t="s">
        <v>7948</v>
      </c>
      <c r="D7451" s="7" t="s">
        <v>315</v>
      </c>
      <c r="E7451" s="7" t="s">
        <v>159</v>
      </c>
      <c r="F7451" s="39" t="n">
        <v>45996</v>
      </c>
      <c r="G7451" s="41" t="n">
        <v>143.1</v>
      </c>
      <c r="H7451" s="39" t="n">
        <v>46016</v>
      </c>
      <c r="I7451" s="7" t="s">
        <v>14651</v>
      </c>
      <c r="J7451" s="8" t="str">
        <f aca="false">IF(I7451="Open",DATE(2025,12,31)-F7451,"-")</f>
        <v>-</v>
      </c>
    </row>
    <row r="7452" customFormat="false" ht="15" hidden="false" customHeight="false" outlineLevel="0" collapsed="false">
      <c r="B7452" s="7" t="s">
        <v>22098</v>
      </c>
      <c r="C7452" s="7" t="s">
        <v>7949</v>
      </c>
      <c r="D7452" s="7" t="s">
        <v>319</v>
      </c>
      <c r="E7452" s="7" t="s">
        <v>157</v>
      </c>
      <c r="F7452" s="39" t="n">
        <v>45996</v>
      </c>
      <c r="G7452" s="41" t="n">
        <v>161.7</v>
      </c>
      <c r="H7452" s="6" t="s">
        <v>182</v>
      </c>
      <c r="I7452" s="7" t="s">
        <v>19787</v>
      </c>
      <c r="J7452" s="8" t="n">
        <f aca="false">IF(I7452="Open",DATE(2025,12,31)-F7452,"-")</f>
        <v>26</v>
      </c>
    </row>
    <row r="7453" customFormat="false" ht="15" hidden="false" customHeight="false" outlineLevel="0" collapsed="false">
      <c r="B7453" s="7" t="s">
        <v>22099</v>
      </c>
      <c r="C7453" s="7" t="s">
        <v>7950</v>
      </c>
      <c r="D7453" s="7" t="s">
        <v>321</v>
      </c>
      <c r="E7453" s="7" t="s">
        <v>154</v>
      </c>
      <c r="F7453" s="39" t="n">
        <v>45996</v>
      </c>
      <c r="G7453" s="41" t="n">
        <v>104.68</v>
      </c>
      <c r="H7453" s="6" t="s">
        <v>182</v>
      </c>
      <c r="I7453" s="7" t="s">
        <v>19787</v>
      </c>
      <c r="J7453" s="8" t="n">
        <f aca="false">IF(I7453="Open",DATE(2025,12,31)-F7453,"-")</f>
        <v>26</v>
      </c>
    </row>
    <row r="7454" customFormat="false" ht="15" hidden="false" customHeight="false" outlineLevel="0" collapsed="false">
      <c r="B7454" s="7" t="s">
        <v>22100</v>
      </c>
      <c r="C7454" s="7" t="s">
        <v>7951</v>
      </c>
      <c r="D7454" s="7" t="s">
        <v>323</v>
      </c>
      <c r="E7454" s="7" t="s">
        <v>159</v>
      </c>
      <c r="F7454" s="39" t="n">
        <v>45996</v>
      </c>
      <c r="G7454" s="41" t="n">
        <v>135</v>
      </c>
      <c r="H7454" s="6" t="s">
        <v>182</v>
      </c>
      <c r="I7454" s="7" t="s">
        <v>19787</v>
      </c>
      <c r="J7454" s="8" t="n">
        <f aca="false">IF(I7454="Open",DATE(2025,12,31)-F7454,"-")</f>
        <v>26</v>
      </c>
    </row>
    <row r="7455" customFormat="false" ht="15" hidden="false" customHeight="false" outlineLevel="0" collapsed="false">
      <c r="B7455" s="7" t="s">
        <v>22101</v>
      </c>
      <c r="C7455" s="7" t="s">
        <v>7952</v>
      </c>
      <c r="D7455" s="7" t="s">
        <v>327</v>
      </c>
      <c r="E7455" s="7" t="s">
        <v>157</v>
      </c>
      <c r="F7455" s="39" t="n">
        <v>45996</v>
      </c>
      <c r="G7455" s="41" t="n">
        <v>169.95</v>
      </c>
      <c r="H7455" s="6" t="s">
        <v>182</v>
      </c>
      <c r="I7455" s="7" t="s">
        <v>19787</v>
      </c>
      <c r="J7455" s="8" t="n">
        <f aca="false">IF(I7455="Open",DATE(2025,12,31)-F7455,"-")</f>
        <v>26</v>
      </c>
    </row>
    <row r="7456" customFormat="false" ht="15" hidden="false" customHeight="false" outlineLevel="0" collapsed="false">
      <c r="B7456" s="7" t="s">
        <v>22102</v>
      </c>
      <c r="C7456" s="7" t="s">
        <v>7953</v>
      </c>
      <c r="D7456" s="7" t="s">
        <v>329</v>
      </c>
      <c r="E7456" s="7" t="s">
        <v>156</v>
      </c>
      <c r="F7456" s="39" t="n">
        <v>45996</v>
      </c>
      <c r="G7456" s="41" t="n">
        <v>144.5</v>
      </c>
      <c r="H7456" s="39" t="n">
        <v>46011</v>
      </c>
      <c r="I7456" s="7" t="s">
        <v>14651</v>
      </c>
      <c r="J7456" s="8" t="str">
        <f aca="false">IF(I7456="Open",DATE(2025,12,31)-F7456,"-")</f>
        <v>-</v>
      </c>
    </row>
    <row r="7457" customFormat="false" ht="15" hidden="false" customHeight="false" outlineLevel="0" collapsed="false">
      <c r="B7457" s="7" t="s">
        <v>22103</v>
      </c>
      <c r="C7457" s="7" t="s">
        <v>7954</v>
      </c>
      <c r="D7457" s="7" t="s">
        <v>333</v>
      </c>
      <c r="E7457" s="7" t="s">
        <v>154</v>
      </c>
      <c r="F7457" s="39" t="n">
        <v>45996</v>
      </c>
      <c r="G7457" s="41" t="n">
        <v>90.9</v>
      </c>
      <c r="H7457" s="6" t="s">
        <v>182</v>
      </c>
      <c r="I7457" s="7" t="s">
        <v>19787</v>
      </c>
      <c r="J7457" s="8" t="n">
        <f aca="false">IF(I7457="Open",DATE(2025,12,31)-F7457,"-")</f>
        <v>26</v>
      </c>
    </row>
    <row r="7458" customFormat="false" ht="15" hidden="false" customHeight="false" outlineLevel="0" collapsed="false">
      <c r="B7458" s="7" t="s">
        <v>22104</v>
      </c>
      <c r="C7458" s="7" t="s">
        <v>7955</v>
      </c>
      <c r="D7458" s="7" t="s">
        <v>339</v>
      </c>
      <c r="E7458" s="7" t="s">
        <v>154</v>
      </c>
      <c r="F7458" s="39" t="n">
        <v>45996</v>
      </c>
      <c r="G7458" s="41" t="n">
        <v>89.84</v>
      </c>
      <c r="H7458" s="6" t="s">
        <v>182</v>
      </c>
      <c r="I7458" s="7" t="s">
        <v>19787</v>
      </c>
      <c r="J7458" s="8" t="n">
        <f aca="false">IF(I7458="Open",DATE(2025,12,31)-F7458,"-")</f>
        <v>26</v>
      </c>
    </row>
    <row r="7459" customFormat="false" ht="15" hidden="false" customHeight="false" outlineLevel="0" collapsed="false">
      <c r="B7459" s="7" t="s">
        <v>22105</v>
      </c>
      <c r="C7459" s="7" t="s">
        <v>7956</v>
      </c>
      <c r="D7459" s="7" t="s">
        <v>349</v>
      </c>
      <c r="E7459" s="7" t="s">
        <v>154</v>
      </c>
      <c r="F7459" s="39" t="n">
        <v>45996</v>
      </c>
      <c r="G7459" s="41" t="n">
        <v>106.8</v>
      </c>
      <c r="H7459" s="6" t="s">
        <v>182</v>
      </c>
      <c r="I7459" s="7" t="s">
        <v>19787</v>
      </c>
      <c r="J7459" s="8" t="n">
        <f aca="false">IF(I7459="Open",DATE(2025,12,31)-F7459,"-")</f>
        <v>26</v>
      </c>
    </row>
    <row r="7460" customFormat="false" ht="15" hidden="false" customHeight="false" outlineLevel="0" collapsed="false">
      <c r="B7460" s="7" t="s">
        <v>22106</v>
      </c>
      <c r="C7460" s="7" t="s">
        <v>7957</v>
      </c>
      <c r="D7460" s="7" t="s">
        <v>353</v>
      </c>
      <c r="E7460" s="7" t="s">
        <v>154</v>
      </c>
      <c r="F7460" s="39" t="n">
        <v>45996</v>
      </c>
      <c r="G7460" s="41" t="n">
        <v>87.98</v>
      </c>
      <c r="H7460" s="6" t="s">
        <v>182</v>
      </c>
      <c r="I7460" s="7" t="s">
        <v>19787</v>
      </c>
      <c r="J7460" s="8" t="n">
        <f aca="false">IF(I7460="Open",DATE(2025,12,31)-F7460,"-")</f>
        <v>26</v>
      </c>
    </row>
    <row r="7461" customFormat="false" ht="15" hidden="false" customHeight="false" outlineLevel="0" collapsed="false">
      <c r="B7461" s="7" t="s">
        <v>22107</v>
      </c>
      <c r="C7461" s="7" t="s">
        <v>7958</v>
      </c>
      <c r="D7461" s="7" t="s">
        <v>355</v>
      </c>
      <c r="E7461" s="7" t="s">
        <v>154</v>
      </c>
      <c r="F7461" s="39" t="n">
        <v>45996</v>
      </c>
      <c r="G7461" s="41" t="n">
        <v>96.72</v>
      </c>
      <c r="H7461" s="6" t="s">
        <v>182</v>
      </c>
      <c r="I7461" s="7" t="s">
        <v>19787</v>
      </c>
      <c r="J7461" s="8" t="n">
        <f aca="false">IF(I7461="Open",DATE(2025,12,31)-F7461,"-")</f>
        <v>26</v>
      </c>
    </row>
    <row r="7462" customFormat="false" ht="15" hidden="false" customHeight="false" outlineLevel="0" collapsed="false">
      <c r="B7462" s="7" t="s">
        <v>22108</v>
      </c>
      <c r="C7462" s="7" t="s">
        <v>7959</v>
      </c>
      <c r="D7462" s="7" t="s">
        <v>357</v>
      </c>
      <c r="E7462" s="7" t="s">
        <v>154</v>
      </c>
      <c r="F7462" s="39" t="n">
        <v>45996</v>
      </c>
      <c r="G7462" s="41" t="n">
        <v>80.03</v>
      </c>
      <c r="H7462" s="6" t="s">
        <v>182</v>
      </c>
      <c r="I7462" s="7" t="s">
        <v>19787</v>
      </c>
      <c r="J7462" s="8" t="n">
        <f aca="false">IF(I7462="Open",DATE(2025,12,31)-F7462,"-")</f>
        <v>26</v>
      </c>
    </row>
    <row r="7463" customFormat="false" ht="15" hidden="false" customHeight="false" outlineLevel="0" collapsed="false">
      <c r="B7463" s="7" t="s">
        <v>22109</v>
      </c>
      <c r="C7463" s="7" t="s">
        <v>7960</v>
      </c>
      <c r="D7463" s="7" t="s">
        <v>361</v>
      </c>
      <c r="E7463" s="7" t="s">
        <v>157</v>
      </c>
      <c r="F7463" s="39" t="n">
        <v>45996</v>
      </c>
      <c r="G7463" s="41" t="n">
        <v>178.2</v>
      </c>
      <c r="H7463" s="6" t="s">
        <v>182</v>
      </c>
      <c r="I7463" s="7" t="s">
        <v>19787</v>
      </c>
      <c r="J7463" s="8" t="n">
        <f aca="false">IF(I7463="Open",DATE(2025,12,31)-F7463,"-")</f>
        <v>26</v>
      </c>
    </row>
    <row r="7464" customFormat="false" ht="15" hidden="false" customHeight="false" outlineLevel="0" collapsed="false">
      <c r="B7464" s="7" t="s">
        <v>22110</v>
      </c>
      <c r="C7464" s="7" t="s">
        <v>7961</v>
      </c>
      <c r="D7464" s="7" t="s">
        <v>365</v>
      </c>
      <c r="E7464" s="7" t="s">
        <v>154</v>
      </c>
      <c r="F7464" s="39" t="n">
        <v>45996</v>
      </c>
      <c r="G7464" s="41" t="n">
        <v>98.45</v>
      </c>
      <c r="H7464" s="6" t="s">
        <v>182</v>
      </c>
      <c r="I7464" s="7" t="s">
        <v>19787</v>
      </c>
      <c r="J7464" s="8" t="n">
        <f aca="false">IF(I7464="Open",DATE(2025,12,31)-F7464,"-")</f>
        <v>26</v>
      </c>
    </row>
    <row r="7465" customFormat="false" ht="15" hidden="false" customHeight="false" outlineLevel="0" collapsed="false">
      <c r="B7465" s="7" t="s">
        <v>22111</v>
      </c>
      <c r="C7465" s="7" t="s">
        <v>7962</v>
      </c>
      <c r="D7465" s="7" t="s">
        <v>369</v>
      </c>
      <c r="E7465" s="7" t="s">
        <v>159</v>
      </c>
      <c r="F7465" s="39" t="n">
        <v>45996</v>
      </c>
      <c r="G7465" s="41" t="n">
        <v>147.15</v>
      </c>
      <c r="H7465" s="6" t="s">
        <v>182</v>
      </c>
      <c r="I7465" s="7" t="s">
        <v>19787</v>
      </c>
      <c r="J7465" s="8" t="n">
        <f aca="false">IF(I7465="Open",DATE(2025,12,31)-F7465,"-")</f>
        <v>26</v>
      </c>
    </row>
    <row r="7466" customFormat="false" ht="15" hidden="false" customHeight="false" outlineLevel="0" collapsed="false">
      <c r="B7466" s="7" t="s">
        <v>22112</v>
      </c>
      <c r="C7466" s="7" t="s">
        <v>7963</v>
      </c>
      <c r="D7466" s="7" t="s">
        <v>371</v>
      </c>
      <c r="E7466" s="7" t="s">
        <v>154</v>
      </c>
      <c r="F7466" s="39" t="n">
        <v>45996</v>
      </c>
      <c r="G7466" s="41" t="n">
        <v>125.61</v>
      </c>
      <c r="H7466" s="6" t="s">
        <v>182</v>
      </c>
      <c r="I7466" s="7" t="s">
        <v>19787</v>
      </c>
      <c r="J7466" s="8" t="n">
        <f aca="false">IF(I7466="Open",DATE(2025,12,31)-F7466,"-")</f>
        <v>26</v>
      </c>
    </row>
    <row r="7467" customFormat="false" ht="15" hidden="false" customHeight="false" outlineLevel="0" collapsed="false">
      <c r="B7467" s="7" t="s">
        <v>22113</v>
      </c>
      <c r="C7467" s="7" t="s">
        <v>7964</v>
      </c>
      <c r="D7467" s="7" t="s">
        <v>379</v>
      </c>
      <c r="E7467" s="7" t="s">
        <v>156</v>
      </c>
      <c r="F7467" s="39" t="n">
        <v>45996</v>
      </c>
      <c r="G7467" s="41" t="n">
        <v>147.22</v>
      </c>
      <c r="H7467" s="39" t="n">
        <v>46005</v>
      </c>
      <c r="I7467" s="7" t="s">
        <v>14651</v>
      </c>
      <c r="J7467" s="8" t="str">
        <f aca="false">IF(I7467="Open",DATE(2025,12,31)-F7467,"-")</f>
        <v>-</v>
      </c>
    </row>
    <row r="7468" customFormat="false" ht="15" hidden="false" customHeight="false" outlineLevel="0" collapsed="false">
      <c r="B7468" s="7" t="s">
        <v>22114</v>
      </c>
      <c r="C7468" s="7" t="s">
        <v>7965</v>
      </c>
      <c r="D7468" s="7" t="s">
        <v>381</v>
      </c>
      <c r="E7468" s="7" t="s">
        <v>157</v>
      </c>
      <c r="F7468" s="39" t="n">
        <v>45996</v>
      </c>
      <c r="G7468" s="41" t="n">
        <v>167.64</v>
      </c>
      <c r="H7468" s="6" t="s">
        <v>182</v>
      </c>
      <c r="I7468" s="7" t="s">
        <v>19787</v>
      </c>
      <c r="J7468" s="8" t="n">
        <f aca="false">IF(I7468="Open",DATE(2025,12,31)-F7468,"-")</f>
        <v>26</v>
      </c>
    </row>
    <row r="7469" customFormat="false" ht="15" hidden="false" customHeight="false" outlineLevel="0" collapsed="false">
      <c r="B7469" s="7" t="s">
        <v>22115</v>
      </c>
      <c r="C7469" s="7" t="s">
        <v>7966</v>
      </c>
      <c r="D7469" s="7" t="s">
        <v>383</v>
      </c>
      <c r="E7469" s="7" t="s">
        <v>157</v>
      </c>
      <c r="F7469" s="39" t="n">
        <v>45996</v>
      </c>
      <c r="G7469" s="41" t="n">
        <v>158.23</v>
      </c>
      <c r="H7469" s="6" t="s">
        <v>182</v>
      </c>
      <c r="I7469" s="7" t="s">
        <v>19787</v>
      </c>
      <c r="J7469" s="8" t="n">
        <f aca="false">IF(I7469="Open",DATE(2025,12,31)-F7469,"-")</f>
        <v>26</v>
      </c>
    </row>
    <row r="7470" customFormat="false" ht="15" hidden="false" customHeight="false" outlineLevel="0" collapsed="false">
      <c r="B7470" s="7" t="s">
        <v>22116</v>
      </c>
      <c r="C7470" s="7" t="s">
        <v>7967</v>
      </c>
      <c r="D7470" s="7" t="s">
        <v>385</v>
      </c>
      <c r="E7470" s="7" t="s">
        <v>156</v>
      </c>
      <c r="F7470" s="39" t="n">
        <v>45996</v>
      </c>
      <c r="G7470" s="41" t="n">
        <v>148.92</v>
      </c>
      <c r="H7470" s="39" t="n">
        <v>46006</v>
      </c>
      <c r="I7470" s="7" t="s">
        <v>14651</v>
      </c>
      <c r="J7470" s="8" t="str">
        <f aca="false">IF(I7470="Open",DATE(2025,12,31)-F7470,"-")</f>
        <v>-</v>
      </c>
    </row>
    <row r="7471" customFormat="false" ht="15" hidden="false" customHeight="false" outlineLevel="0" collapsed="false">
      <c r="B7471" s="7" t="s">
        <v>22117</v>
      </c>
      <c r="C7471" s="7" t="s">
        <v>7968</v>
      </c>
      <c r="D7471" s="7" t="s">
        <v>387</v>
      </c>
      <c r="E7471" s="7" t="s">
        <v>154</v>
      </c>
      <c r="F7471" s="39" t="n">
        <v>45996</v>
      </c>
      <c r="G7471" s="41" t="n">
        <v>110.53</v>
      </c>
      <c r="H7471" s="6" t="s">
        <v>182</v>
      </c>
      <c r="I7471" s="7" t="s">
        <v>19787</v>
      </c>
      <c r="J7471" s="8" t="n">
        <f aca="false">IF(I7471="Open",DATE(2025,12,31)-F7471,"-")</f>
        <v>26</v>
      </c>
    </row>
    <row r="7472" customFormat="false" ht="15" hidden="false" customHeight="false" outlineLevel="0" collapsed="false">
      <c r="B7472" s="7" t="s">
        <v>22118</v>
      </c>
      <c r="C7472" s="7" t="s">
        <v>7969</v>
      </c>
      <c r="D7472" s="7" t="s">
        <v>389</v>
      </c>
      <c r="E7472" s="7" t="s">
        <v>154</v>
      </c>
      <c r="F7472" s="39" t="n">
        <v>45996</v>
      </c>
      <c r="G7472" s="41" t="n">
        <v>110.5</v>
      </c>
      <c r="H7472" s="6" t="s">
        <v>182</v>
      </c>
      <c r="I7472" s="7" t="s">
        <v>19787</v>
      </c>
      <c r="J7472" s="8" t="n">
        <f aca="false">IF(I7472="Open",DATE(2025,12,31)-F7472,"-")</f>
        <v>26</v>
      </c>
    </row>
    <row r="7473" customFormat="false" ht="15" hidden="false" customHeight="false" outlineLevel="0" collapsed="false">
      <c r="B7473" s="7" t="s">
        <v>22119</v>
      </c>
      <c r="C7473" s="7" t="s">
        <v>7970</v>
      </c>
      <c r="D7473" s="7" t="s">
        <v>391</v>
      </c>
      <c r="E7473" s="7" t="s">
        <v>156</v>
      </c>
      <c r="F7473" s="39" t="n">
        <v>45996</v>
      </c>
      <c r="G7473" s="41" t="n">
        <v>141.44</v>
      </c>
      <c r="H7473" s="39" t="n">
        <v>46003</v>
      </c>
      <c r="I7473" s="7" t="s">
        <v>14651</v>
      </c>
      <c r="J7473" s="8" t="str">
        <f aca="false">IF(I7473="Open",DATE(2025,12,31)-F7473,"-")</f>
        <v>-</v>
      </c>
    </row>
    <row r="7474" customFormat="false" ht="15" hidden="false" customHeight="false" outlineLevel="0" collapsed="false">
      <c r="B7474" s="7" t="s">
        <v>22120</v>
      </c>
      <c r="C7474" s="7" t="s">
        <v>7971</v>
      </c>
      <c r="D7474" s="7" t="s">
        <v>395</v>
      </c>
      <c r="E7474" s="7" t="s">
        <v>156</v>
      </c>
      <c r="F7474" s="39" t="n">
        <v>45996</v>
      </c>
      <c r="G7474" s="41" t="n">
        <v>137.7</v>
      </c>
      <c r="H7474" s="39" t="n">
        <v>46011</v>
      </c>
      <c r="I7474" s="7" t="s">
        <v>14651</v>
      </c>
      <c r="J7474" s="8" t="str">
        <f aca="false">IF(I7474="Open",DATE(2025,12,31)-F7474,"-")</f>
        <v>-</v>
      </c>
    </row>
    <row r="7475" customFormat="false" ht="15" hidden="false" customHeight="false" outlineLevel="0" collapsed="false">
      <c r="B7475" s="7" t="s">
        <v>22121</v>
      </c>
      <c r="C7475" s="7" t="s">
        <v>7972</v>
      </c>
      <c r="D7475" s="7" t="s">
        <v>397</v>
      </c>
      <c r="E7475" s="7" t="s">
        <v>159</v>
      </c>
      <c r="F7475" s="39" t="n">
        <v>45996</v>
      </c>
      <c r="G7475" s="41" t="n">
        <v>133.65</v>
      </c>
      <c r="H7475" s="6" t="s">
        <v>182</v>
      </c>
      <c r="I7475" s="7" t="s">
        <v>19787</v>
      </c>
      <c r="J7475" s="8" t="n">
        <f aca="false">IF(I7475="Open",DATE(2025,12,31)-F7475,"-")</f>
        <v>26</v>
      </c>
    </row>
    <row r="7476" customFormat="false" ht="15" hidden="false" customHeight="false" outlineLevel="0" collapsed="false">
      <c r="B7476" s="7" t="s">
        <v>22122</v>
      </c>
      <c r="C7476" s="7" t="s">
        <v>7973</v>
      </c>
      <c r="D7476" s="7" t="s">
        <v>399</v>
      </c>
      <c r="E7476" s="7" t="s">
        <v>154</v>
      </c>
      <c r="F7476" s="39" t="n">
        <v>45996</v>
      </c>
      <c r="G7476" s="41" t="n">
        <v>77.38</v>
      </c>
      <c r="H7476" s="6" t="s">
        <v>182</v>
      </c>
      <c r="I7476" s="7" t="s">
        <v>19787</v>
      </c>
      <c r="J7476" s="8" t="n">
        <f aca="false">IF(I7476="Open",DATE(2025,12,31)-F7476,"-")</f>
        <v>26</v>
      </c>
    </row>
    <row r="7477" customFormat="false" ht="15" hidden="false" customHeight="false" outlineLevel="0" collapsed="false">
      <c r="B7477" s="7" t="s">
        <v>22123</v>
      </c>
      <c r="C7477" s="7" t="s">
        <v>7974</v>
      </c>
      <c r="D7477" s="7" t="s">
        <v>401</v>
      </c>
      <c r="E7477" s="7" t="s">
        <v>156</v>
      </c>
      <c r="F7477" s="39" t="n">
        <v>45996</v>
      </c>
      <c r="G7477" s="41" t="n">
        <v>125.12</v>
      </c>
      <c r="H7477" s="39" t="n">
        <v>45998</v>
      </c>
      <c r="I7477" s="7" t="s">
        <v>14651</v>
      </c>
      <c r="J7477" s="8" t="str">
        <f aca="false">IF(I7477="Open",DATE(2025,12,31)-F7477,"-")</f>
        <v>-</v>
      </c>
    </row>
    <row r="7478" customFormat="false" ht="15" hidden="false" customHeight="false" outlineLevel="0" collapsed="false">
      <c r="B7478" s="7" t="s">
        <v>22124</v>
      </c>
      <c r="C7478" s="7" t="s">
        <v>7975</v>
      </c>
      <c r="D7478" s="7" t="s">
        <v>403</v>
      </c>
      <c r="E7478" s="7" t="s">
        <v>156</v>
      </c>
      <c r="F7478" s="39" t="n">
        <v>45996</v>
      </c>
      <c r="G7478" s="41" t="n">
        <v>122.74</v>
      </c>
      <c r="H7478" s="39" t="n">
        <v>46013</v>
      </c>
      <c r="I7478" s="7" t="s">
        <v>14651</v>
      </c>
      <c r="J7478" s="8" t="str">
        <f aca="false">IF(I7478="Open",DATE(2025,12,31)-F7478,"-")</f>
        <v>-</v>
      </c>
    </row>
    <row r="7479" customFormat="false" ht="15" hidden="false" customHeight="false" outlineLevel="0" collapsed="false">
      <c r="B7479" s="7" t="s">
        <v>22125</v>
      </c>
      <c r="C7479" s="7" t="s">
        <v>7976</v>
      </c>
      <c r="D7479" s="7" t="s">
        <v>407</v>
      </c>
      <c r="E7479" s="7" t="s">
        <v>159</v>
      </c>
      <c r="F7479" s="39" t="n">
        <v>45996</v>
      </c>
      <c r="G7479" s="41" t="n">
        <v>139.05</v>
      </c>
      <c r="H7479" s="6" t="s">
        <v>182</v>
      </c>
      <c r="I7479" s="7" t="s">
        <v>19787</v>
      </c>
      <c r="J7479" s="8" t="n">
        <f aca="false">IF(I7479="Open",DATE(2025,12,31)-F7479,"-")</f>
        <v>26</v>
      </c>
    </row>
    <row r="7480" customFormat="false" ht="15" hidden="false" customHeight="false" outlineLevel="0" collapsed="false">
      <c r="B7480" s="7" t="s">
        <v>22126</v>
      </c>
      <c r="C7480" s="7" t="s">
        <v>7977</v>
      </c>
      <c r="D7480" s="7" t="s">
        <v>411</v>
      </c>
      <c r="E7480" s="7" t="s">
        <v>154</v>
      </c>
      <c r="F7480" s="39" t="n">
        <v>45996</v>
      </c>
      <c r="G7480" s="41" t="n">
        <v>127.2</v>
      </c>
      <c r="H7480" s="6" t="s">
        <v>182</v>
      </c>
      <c r="I7480" s="7" t="s">
        <v>19787</v>
      </c>
      <c r="J7480" s="8" t="n">
        <f aca="false">IF(I7480="Open",DATE(2025,12,31)-F7480,"-")</f>
        <v>26</v>
      </c>
    </row>
    <row r="7481" customFormat="false" ht="15" hidden="false" customHeight="false" outlineLevel="0" collapsed="false">
      <c r="B7481" s="7" t="s">
        <v>22127</v>
      </c>
      <c r="C7481" s="7" t="s">
        <v>7978</v>
      </c>
      <c r="D7481" s="7" t="s">
        <v>288</v>
      </c>
      <c r="E7481" s="7" t="s">
        <v>156</v>
      </c>
      <c r="F7481" s="39" t="n">
        <v>45997</v>
      </c>
      <c r="G7481" s="41" t="n">
        <v>126.82</v>
      </c>
      <c r="H7481" s="39" t="n">
        <v>46008</v>
      </c>
      <c r="I7481" s="7" t="s">
        <v>14651</v>
      </c>
      <c r="J7481" s="8" t="str">
        <f aca="false">IF(I7481="Open",DATE(2025,12,31)-F7481,"-")</f>
        <v>-</v>
      </c>
    </row>
    <row r="7482" customFormat="false" ht="15" hidden="false" customHeight="false" outlineLevel="0" collapsed="false">
      <c r="B7482" s="7" t="s">
        <v>22128</v>
      </c>
      <c r="C7482" s="7" t="s">
        <v>7979</v>
      </c>
      <c r="D7482" s="7" t="s">
        <v>321</v>
      </c>
      <c r="E7482" s="7" t="s">
        <v>154</v>
      </c>
      <c r="F7482" s="39" t="n">
        <v>45997</v>
      </c>
      <c r="G7482" s="41" t="n">
        <v>109.5</v>
      </c>
      <c r="H7482" s="6" t="s">
        <v>182</v>
      </c>
      <c r="I7482" s="7" t="s">
        <v>19787</v>
      </c>
      <c r="J7482" s="8" t="n">
        <f aca="false">IF(I7482="Open",DATE(2025,12,31)-F7482,"-")</f>
        <v>25</v>
      </c>
    </row>
    <row r="7483" customFormat="false" ht="15" hidden="false" customHeight="false" outlineLevel="0" collapsed="false">
      <c r="B7483" s="7" t="s">
        <v>22129</v>
      </c>
      <c r="C7483" s="7" t="s">
        <v>7980</v>
      </c>
      <c r="D7483" s="7" t="s">
        <v>359</v>
      </c>
      <c r="E7483" s="7" t="s">
        <v>156</v>
      </c>
      <c r="F7483" s="39" t="n">
        <v>45997</v>
      </c>
      <c r="G7483" s="41" t="n">
        <v>126.82</v>
      </c>
      <c r="H7483" s="39" t="n">
        <v>46017</v>
      </c>
      <c r="I7483" s="7" t="s">
        <v>14651</v>
      </c>
      <c r="J7483" s="8" t="str">
        <f aca="false">IF(I7483="Open",DATE(2025,12,31)-F7483,"-")</f>
        <v>-</v>
      </c>
    </row>
    <row r="7484" customFormat="false" ht="15" hidden="false" customHeight="false" outlineLevel="0" collapsed="false">
      <c r="B7484" s="7" t="s">
        <v>22130</v>
      </c>
      <c r="C7484" s="7" t="s">
        <v>7981</v>
      </c>
      <c r="D7484" s="7" t="s">
        <v>387</v>
      </c>
      <c r="E7484" s="7" t="s">
        <v>154</v>
      </c>
      <c r="F7484" s="39" t="n">
        <v>45997</v>
      </c>
      <c r="G7484" s="41" t="n">
        <v>95.93</v>
      </c>
      <c r="H7484" s="6" t="s">
        <v>182</v>
      </c>
      <c r="I7484" s="7" t="s">
        <v>19787</v>
      </c>
      <c r="J7484" s="8" t="n">
        <f aca="false">IF(I7484="Open",DATE(2025,12,31)-F7484,"-")</f>
        <v>25</v>
      </c>
    </row>
    <row r="7485" customFormat="false" ht="15" hidden="false" customHeight="false" outlineLevel="0" collapsed="false">
      <c r="B7485" s="7" t="s">
        <v>22131</v>
      </c>
      <c r="C7485" s="7" t="s">
        <v>7982</v>
      </c>
      <c r="D7485" s="7" t="s">
        <v>391</v>
      </c>
      <c r="E7485" s="7" t="s">
        <v>156</v>
      </c>
      <c r="F7485" s="39" t="n">
        <v>45997</v>
      </c>
      <c r="G7485" s="41" t="n">
        <v>127.16</v>
      </c>
      <c r="H7485" s="39" t="n">
        <v>46022</v>
      </c>
      <c r="I7485" s="7" t="s">
        <v>14651</v>
      </c>
      <c r="J7485" s="8" t="str">
        <f aca="false">IF(I7485="Open",DATE(2025,12,31)-F7485,"-")</f>
        <v>-</v>
      </c>
    </row>
    <row r="7486" customFormat="false" ht="15" hidden="false" customHeight="false" outlineLevel="0" collapsed="false">
      <c r="B7486" s="7" t="s">
        <v>22132</v>
      </c>
      <c r="C7486" s="7" t="s">
        <v>7983</v>
      </c>
      <c r="D7486" s="7" t="s">
        <v>395</v>
      </c>
      <c r="E7486" s="7" t="s">
        <v>156</v>
      </c>
      <c r="F7486" s="39" t="n">
        <v>45997</v>
      </c>
      <c r="G7486" s="41" t="n">
        <v>126.14</v>
      </c>
      <c r="H7486" s="39" t="n">
        <v>46018</v>
      </c>
      <c r="I7486" s="7" t="s">
        <v>14651</v>
      </c>
      <c r="J7486" s="8" t="str">
        <f aca="false">IF(I7486="Open",DATE(2025,12,31)-F7486,"-")</f>
        <v>-</v>
      </c>
    </row>
    <row r="7487" customFormat="false" ht="15" hidden="false" customHeight="false" outlineLevel="0" collapsed="false">
      <c r="B7487" s="7" t="s">
        <v>22133</v>
      </c>
      <c r="C7487" s="7" t="s">
        <v>7984</v>
      </c>
      <c r="D7487" s="7" t="s">
        <v>401</v>
      </c>
      <c r="E7487" s="7" t="s">
        <v>156</v>
      </c>
      <c r="F7487" s="39" t="n">
        <v>45997</v>
      </c>
      <c r="G7487" s="41" t="n">
        <v>132.26</v>
      </c>
      <c r="H7487" s="39" t="n">
        <v>46002</v>
      </c>
      <c r="I7487" s="7" t="s">
        <v>14651</v>
      </c>
      <c r="J7487" s="8" t="str">
        <f aca="false">IF(I7487="Open",DATE(2025,12,31)-F7487,"-")</f>
        <v>-</v>
      </c>
    </row>
    <row r="7488" customFormat="false" ht="15" hidden="false" customHeight="false" outlineLevel="0" collapsed="false">
      <c r="B7488" s="7" t="s">
        <v>22134</v>
      </c>
      <c r="C7488" s="7" t="s">
        <v>7985</v>
      </c>
      <c r="D7488" s="7" t="s">
        <v>288</v>
      </c>
      <c r="E7488" s="7" t="s">
        <v>156</v>
      </c>
      <c r="F7488" s="39" t="n">
        <v>45998</v>
      </c>
      <c r="G7488" s="41" t="n">
        <v>139.74</v>
      </c>
      <c r="H7488" s="39" t="n">
        <v>46009</v>
      </c>
      <c r="I7488" s="7" t="s">
        <v>14651</v>
      </c>
      <c r="J7488" s="8" t="str">
        <f aca="false">IF(I7488="Open",DATE(2025,12,31)-F7488,"-")</f>
        <v>-</v>
      </c>
    </row>
    <row r="7489" customFormat="false" ht="15" hidden="false" customHeight="false" outlineLevel="0" collapsed="false">
      <c r="B7489" s="7" t="s">
        <v>22135</v>
      </c>
      <c r="C7489" s="7" t="s">
        <v>7986</v>
      </c>
      <c r="D7489" s="7" t="s">
        <v>321</v>
      </c>
      <c r="E7489" s="7" t="s">
        <v>154</v>
      </c>
      <c r="F7489" s="39" t="n">
        <v>45998</v>
      </c>
      <c r="G7489" s="41" t="n">
        <v>112.1</v>
      </c>
      <c r="H7489" s="6" t="s">
        <v>182</v>
      </c>
      <c r="I7489" s="7" t="s">
        <v>19787</v>
      </c>
      <c r="J7489" s="8" t="n">
        <f aca="false">IF(I7489="Open",DATE(2025,12,31)-F7489,"-")</f>
        <v>24</v>
      </c>
    </row>
    <row r="7490" customFormat="false" ht="15" hidden="false" customHeight="false" outlineLevel="0" collapsed="false">
      <c r="B7490" s="7" t="s">
        <v>22136</v>
      </c>
      <c r="C7490" s="7" t="s">
        <v>7987</v>
      </c>
      <c r="D7490" s="7" t="s">
        <v>359</v>
      </c>
      <c r="E7490" s="7" t="s">
        <v>156</v>
      </c>
      <c r="F7490" s="39" t="n">
        <v>45998</v>
      </c>
      <c r="G7490" s="41" t="n">
        <v>129.88</v>
      </c>
      <c r="H7490" s="39" t="n">
        <v>46012</v>
      </c>
      <c r="I7490" s="7" t="s">
        <v>14651</v>
      </c>
      <c r="J7490" s="8" t="str">
        <f aca="false">IF(I7490="Open",DATE(2025,12,31)-F7490,"-")</f>
        <v>-</v>
      </c>
    </row>
    <row r="7491" customFormat="false" ht="15" hidden="false" customHeight="false" outlineLevel="0" collapsed="false">
      <c r="B7491" s="7" t="s">
        <v>22137</v>
      </c>
      <c r="C7491" s="7" t="s">
        <v>7988</v>
      </c>
      <c r="D7491" s="7" t="s">
        <v>387</v>
      </c>
      <c r="E7491" s="7" t="s">
        <v>154</v>
      </c>
      <c r="F7491" s="39" t="n">
        <v>45998</v>
      </c>
      <c r="G7491" s="41" t="n">
        <v>104.15</v>
      </c>
      <c r="H7491" s="6" t="s">
        <v>182</v>
      </c>
      <c r="I7491" s="7" t="s">
        <v>19787</v>
      </c>
      <c r="J7491" s="8" t="n">
        <f aca="false">IF(I7491="Open",DATE(2025,12,31)-F7491,"-")</f>
        <v>24</v>
      </c>
    </row>
    <row r="7492" customFormat="false" ht="15" hidden="false" customHeight="false" outlineLevel="0" collapsed="false">
      <c r="B7492" s="7" t="s">
        <v>22138</v>
      </c>
      <c r="C7492" s="7" t="s">
        <v>7989</v>
      </c>
      <c r="D7492" s="7" t="s">
        <v>391</v>
      </c>
      <c r="E7492" s="7" t="s">
        <v>156</v>
      </c>
      <c r="F7492" s="39" t="n">
        <v>45998</v>
      </c>
      <c r="G7492" s="41" t="n">
        <v>123.76</v>
      </c>
      <c r="H7492" s="39" t="n">
        <v>46012</v>
      </c>
      <c r="I7492" s="7" t="s">
        <v>14651</v>
      </c>
      <c r="J7492" s="8" t="str">
        <f aca="false">IF(I7492="Open",DATE(2025,12,31)-F7492,"-")</f>
        <v>-</v>
      </c>
    </row>
    <row r="7493" customFormat="false" ht="15" hidden="false" customHeight="false" outlineLevel="0" collapsed="false">
      <c r="B7493" s="7" t="s">
        <v>22139</v>
      </c>
      <c r="C7493" s="7" t="s">
        <v>7990</v>
      </c>
      <c r="D7493" s="7" t="s">
        <v>395</v>
      </c>
      <c r="E7493" s="7" t="s">
        <v>156</v>
      </c>
      <c r="F7493" s="39" t="n">
        <v>45998</v>
      </c>
      <c r="G7493" s="41" t="n">
        <v>143.82</v>
      </c>
      <c r="H7493" s="39" t="n">
        <v>46012</v>
      </c>
      <c r="I7493" s="7" t="s">
        <v>14651</v>
      </c>
      <c r="J7493" s="8" t="str">
        <f aca="false">IF(I7493="Open",DATE(2025,12,31)-F7493,"-")</f>
        <v>-</v>
      </c>
    </row>
    <row r="7494" customFormat="false" ht="15" hidden="false" customHeight="false" outlineLevel="0" collapsed="false">
      <c r="B7494" s="7" t="s">
        <v>22140</v>
      </c>
      <c r="C7494" s="7" t="s">
        <v>7991</v>
      </c>
      <c r="D7494" s="7" t="s">
        <v>401</v>
      </c>
      <c r="E7494" s="7" t="s">
        <v>156</v>
      </c>
      <c r="F7494" s="39" t="n">
        <v>45998</v>
      </c>
      <c r="G7494" s="41" t="n">
        <v>147.9</v>
      </c>
      <c r="H7494" s="39" t="n">
        <v>46010</v>
      </c>
      <c r="I7494" s="7" t="s">
        <v>14651</v>
      </c>
      <c r="J7494" s="8" t="str">
        <f aca="false">IF(I7494="Open",DATE(2025,12,31)-F7494,"-")</f>
        <v>-</v>
      </c>
    </row>
    <row r="7495" customFormat="false" ht="15" hidden="false" customHeight="false" outlineLevel="0" collapsed="false">
      <c r="B7495" s="7" t="s">
        <v>22141</v>
      </c>
      <c r="C7495" s="7" t="s">
        <v>7992</v>
      </c>
      <c r="D7495" s="7" t="s">
        <v>288</v>
      </c>
      <c r="E7495" s="7" t="s">
        <v>156</v>
      </c>
      <c r="F7495" s="39" t="n">
        <v>45999</v>
      </c>
      <c r="G7495" s="41" t="n">
        <v>124.1</v>
      </c>
      <c r="H7495" s="39" t="n">
        <v>46006</v>
      </c>
      <c r="I7495" s="7" t="s">
        <v>14651</v>
      </c>
      <c r="J7495" s="8" t="str">
        <f aca="false">IF(I7495="Open",DATE(2025,12,31)-F7495,"-")</f>
        <v>-</v>
      </c>
    </row>
    <row r="7496" customFormat="false" ht="15" hidden="false" customHeight="false" outlineLevel="0" collapsed="false">
      <c r="B7496" s="7" t="s">
        <v>22142</v>
      </c>
      <c r="C7496" s="7" t="s">
        <v>7993</v>
      </c>
      <c r="D7496" s="7" t="s">
        <v>291</v>
      </c>
      <c r="E7496" s="7" t="s">
        <v>154</v>
      </c>
      <c r="F7496" s="39" t="n">
        <v>45999</v>
      </c>
      <c r="G7496" s="41" t="n">
        <v>135.42</v>
      </c>
      <c r="H7496" s="6" t="s">
        <v>182</v>
      </c>
      <c r="I7496" s="7" t="s">
        <v>19787</v>
      </c>
      <c r="J7496" s="8" t="n">
        <f aca="false">IF(I7496="Open",DATE(2025,12,31)-F7496,"-")</f>
        <v>23</v>
      </c>
    </row>
    <row r="7497" customFormat="false" ht="15" hidden="false" customHeight="false" outlineLevel="0" collapsed="false">
      <c r="B7497" s="7" t="s">
        <v>22143</v>
      </c>
      <c r="C7497" s="7" t="s">
        <v>7994</v>
      </c>
      <c r="D7497" s="7" t="s">
        <v>295</v>
      </c>
      <c r="E7497" s="7" t="s">
        <v>154</v>
      </c>
      <c r="F7497" s="39" t="n">
        <v>45999</v>
      </c>
      <c r="G7497" s="41" t="n">
        <v>115.01</v>
      </c>
      <c r="H7497" s="6" t="s">
        <v>182</v>
      </c>
      <c r="I7497" s="7" t="s">
        <v>19787</v>
      </c>
      <c r="J7497" s="8" t="n">
        <f aca="false">IF(I7497="Open",DATE(2025,12,31)-F7497,"-")</f>
        <v>23</v>
      </c>
    </row>
    <row r="7498" customFormat="false" ht="15" hidden="false" customHeight="false" outlineLevel="0" collapsed="false">
      <c r="B7498" s="7" t="s">
        <v>22144</v>
      </c>
      <c r="C7498" s="7" t="s">
        <v>7995</v>
      </c>
      <c r="D7498" s="7" t="s">
        <v>297</v>
      </c>
      <c r="E7498" s="7" t="s">
        <v>156</v>
      </c>
      <c r="F7498" s="39" t="n">
        <v>45999</v>
      </c>
      <c r="G7498" s="41" t="n">
        <v>109.48</v>
      </c>
      <c r="H7498" s="39" t="n">
        <v>46009</v>
      </c>
      <c r="I7498" s="7" t="s">
        <v>14651</v>
      </c>
      <c r="J7498" s="8" t="str">
        <f aca="false">IF(I7498="Open",DATE(2025,12,31)-F7498,"-")</f>
        <v>-</v>
      </c>
    </row>
    <row r="7499" customFormat="false" ht="15" hidden="false" customHeight="false" outlineLevel="0" collapsed="false">
      <c r="B7499" s="7" t="s">
        <v>22145</v>
      </c>
      <c r="C7499" s="7" t="s">
        <v>7996</v>
      </c>
      <c r="D7499" s="7" t="s">
        <v>299</v>
      </c>
      <c r="E7499" s="7" t="s">
        <v>154</v>
      </c>
      <c r="F7499" s="39" t="n">
        <v>45999</v>
      </c>
      <c r="G7499" s="41" t="n">
        <v>80.56</v>
      </c>
      <c r="H7499" s="6" t="s">
        <v>182</v>
      </c>
      <c r="I7499" s="7" t="s">
        <v>19787</v>
      </c>
      <c r="J7499" s="8" t="n">
        <f aca="false">IF(I7499="Open",DATE(2025,12,31)-F7499,"-")</f>
        <v>23</v>
      </c>
    </row>
    <row r="7500" customFormat="false" ht="15" hidden="false" customHeight="false" outlineLevel="0" collapsed="false">
      <c r="B7500" s="7" t="s">
        <v>22146</v>
      </c>
      <c r="C7500" s="7" t="s">
        <v>7997</v>
      </c>
      <c r="D7500" s="7" t="s">
        <v>303</v>
      </c>
      <c r="E7500" s="7" t="s">
        <v>154</v>
      </c>
      <c r="F7500" s="39" t="n">
        <v>45999</v>
      </c>
      <c r="G7500" s="41" t="n">
        <v>115.01</v>
      </c>
      <c r="H7500" s="6" t="s">
        <v>182</v>
      </c>
      <c r="I7500" s="7" t="s">
        <v>19787</v>
      </c>
      <c r="J7500" s="8" t="n">
        <f aca="false">IF(I7500="Open",DATE(2025,12,31)-F7500,"-")</f>
        <v>23</v>
      </c>
    </row>
    <row r="7501" customFormat="false" ht="15" hidden="false" customHeight="false" outlineLevel="0" collapsed="false">
      <c r="B7501" s="7" t="s">
        <v>22147</v>
      </c>
      <c r="C7501" s="7" t="s">
        <v>7998</v>
      </c>
      <c r="D7501" s="7" t="s">
        <v>305</v>
      </c>
      <c r="E7501" s="7" t="s">
        <v>154</v>
      </c>
      <c r="F7501" s="39" t="n">
        <v>45999</v>
      </c>
      <c r="G7501" s="41" t="n">
        <v>108.65</v>
      </c>
      <c r="H7501" s="6" t="s">
        <v>182</v>
      </c>
      <c r="I7501" s="7" t="s">
        <v>19787</v>
      </c>
      <c r="J7501" s="8" t="n">
        <f aca="false">IF(I7501="Open",DATE(2025,12,31)-F7501,"-")</f>
        <v>23</v>
      </c>
    </row>
    <row r="7502" customFormat="false" ht="15" hidden="false" customHeight="false" outlineLevel="0" collapsed="false">
      <c r="B7502" s="7" t="s">
        <v>22148</v>
      </c>
      <c r="C7502" s="7" t="s">
        <v>7999</v>
      </c>
      <c r="D7502" s="7" t="s">
        <v>307</v>
      </c>
      <c r="E7502" s="7" t="s">
        <v>157</v>
      </c>
      <c r="F7502" s="39" t="n">
        <v>45999</v>
      </c>
      <c r="G7502" s="41" t="n">
        <v>155.1</v>
      </c>
      <c r="H7502" s="6" t="s">
        <v>182</v>
      </c>
      <c r="I7502" s="7" t="s">
        <v>19787</v>
      </c>
      <c r="J7502" s="8" t="n">
        <f aca="false">IF(I7502="Open",DATE(2025,12,31)-F7502,"-")</f>
        <v>23</v>
      </c>
    </row>
    <row r="7503" customFormat="false" ht="15" hidden="false" customHeight="false" outlineLevel="0" collapsed="false">
      <c r="B7503" s="7" t="s">
        <v>22149</v>
      </c>
      <c r="C7503" s="7" t="s">
        <v>8000</v>
      </c>
      <c r="D7503" s="7" t="s">
        <v>309</v>
      </c>
      <c r="E7503" s="7" t="s">
        <v>159</v>
      </c>
      <c r="F7503" s="39" t="n">
        <v>45999</v>
      </c>
      <c r="G7503" s="41" t="n">
        <v>125.55</v>
      </c>
      <c r="H7503" s="6" t="s">
        <v>182</v>
      </c>
      <c r="I7503" s="7" t="s">
        <v>19787</v>
      </c>
      <c r="J7503" s="8" t="n">
        <f aca="false">IF(I7503="Open",DATE(2025,12,31)-F7503,"-")</f>
        <v>23</v>
      </c>
    </row>
    <row r="7504" customFormat="false" ht="15" hidden="false" customHeight="false" outlineLevel="0" collapsed="false">
      <c r="B7504" s="7" t="s">
        <v>22150</v>
      </c>
      <c r="C7504" s="7" t="s">
        <v>8001</v>
      </c>
      <c r="D7504" s="7" t="s">
        <v>311</v>
      </c>
      <c r="E7504" s="7" t="s">
        <v>154</v>
      </c>
      <c r="F7504" s="39" t="n">
        <v>45999</v>
      </c>
      <c r="G7504" s="41" t="n">
        <v>82.15</v>
      </c>
      <c r="H7504" s="6" t="s">
        <v>182</v>
      </c>
      <c r="I7504" s="7" t="s">
        <v>19787</v>
      </c>
      <c r="J7504" s="8" t="n">
        <f aca="false">IF(I7504="Open",DATE(2025,12,31)-F7504,"-")</f>
        <v>23</v>
      </c>
    </row>
    <row r="7505" customFormat="false" ht="15" hidden="false" customHeight="false" outlineLevel="0" collapsed="false">
      <c r="B7505" s="7" t="s">
        <v>22151</v>
      </c>
      <c r="C7505" s="7" t="s">
        <v>8002</v>
      </c>
      <c r="D7505" s="7" t="s">
        <v>313</v>
      </c>
      <c r="E7505" s="7" t="s">
        <v>156</v>
      </c>
      <c r="F7505" s="39" t="n">
        <v>45999</v>
      </c>
      <c r="G7505" s="41" t="n">
        <v>135.32</v>
      </c>
      <c r="H7505" s="39" t="n">
        <v>46005</v>
      </c>
      <c r="I7505" s="7" t="s">
        <v>14651</v>
      </c>
      <c r="J7505" s="8" t="str">
        <f aca="false">IF(I7505="Open",DATE(2025,12,31)-F7505,"-")</f>
        <v>-</v>
      </c>
    </row>
    <row r="7506" customFormat="false" ht="15" hidden="false" customHeight="false" outlineLevel="0" collapsed="false">
      <c r="B7506" s="7" t="s">
        <v>22152</v>
      </c>
      <c r="C7506" s="7" t="s">
        <v>8003</v>
      </c>
      <c r="D7506" s="7" t="s">
        <v>315</v>
      </c>
      <c r="E7506" s="7" t="s">
        <v>159</v>
      </c>
      <c r="F7506" s="39" t="n">
        <v>45999</v>
      </c>
      <c r="G7506" s="41" t="n">
        <v>129.6</v>
      </c>
      <c r="H7506" s="39" t="n">
        <v>46014</v>
      </c>
      <c r="I7506" s="7" t="s">
        <v>14651</v>
      </c>
      <c r="J7506" s="8" t="str">
        <f aca="false">IF(I7506="Open",DATE(2025,12,31)-F7506,"-")</f>
        <v>-</v>
      </c>
    </row>
    <row r="7507" customFormat="false" ht="15" hidden="false" customHeight="false" outlineLevel="0" collapsed="false">
      <c r="B7507" s="7" t="s">
        <v>22153</v>
      </c>
      <c r="C7507" s="7" t="s">
        <v>8004</v>
      </c>
      <c r="D7507" s="7" t="s">
        <v>317</v>
      </c>
      <c r="E7507" s="7" t="s">
        <v>156</v>
      </c>
      <c r="F7507" s="39" t="n">
        <v>45999</v>
      </c>
      <c r="G7507" s="41" t="n">
        <v>100.3</v>
      </c>
      <c r="H7507" s="39" t="n">
        <v>46014</v>
      </c>
      <c r="I7507" s="7" t="s">
        <v>14651</v>
      </c>
      <c r="J7507" s="8" t="str">
        <f aca="false">IF(I7507="Open",DATE(2025,12,31)-F7507,"-")</f>
        <v>-</v>
      </c>
    </row>
    <row r="7508" customFormat="false" ht="15" hidden="false" customHeight="false" outlineLevel="0" collapsed="false">
      <c r="B7508" s="7" t="s">
        <v>22154</v>
      </c>
      <c r="C7508" s="7" t="s">
        <v>8005</v>
      </c>
      <c r="D7508" s="7" t="s">
        <v>321</v>
      </c>
      <c r="E7508" s="7" t="s">
        <v>154</v>
      </c>
      <c r="F7508" s="39" t="n">
        <v>45999</v>
      </c>
      <c r="G7508" s="41" t="n">
        <v>112.89</v>
      </c>
      <c r="H7508" s="6" t="s">
        <v>182</v>
      </c>
      <c r="I7508" s="7" t="s">
        <v>19787</v>
      </c>
      <c r="J7508" s="8" t="n">
        <f aca="false">IF(I7508="Open",DATE(2025,12,31)-F7508,"-")</f>
        <v>23</v>
      </c>
    </row>
    <row r="7509" customFormat="false" ht="15" hidden="false" customHeight="false" outlineLevel="0" collapsed="false">
      <c r="B7509" s="7" t="s">
        <v>22155</v>
      </c>
      <c r="C7509" s="7" t="s">
        <v>8006</v>
      </c>
      <c r="D7509" s="7" t="s">
        <v>325</v>
      </c>
      <c r="E7509" s="7" t="s">
        <v>154</v>
      </c>
      <c r="F7509" s="39" t="n">
        <v>45999</v>
      </c>
      <c r="G7509" s="41" t="n">
        <v>87.19</v>
      </c>
      <c r="H7509" s="6" t="s">
        <v>182</v>
      </c>
      <c r="I7509" s="7" t="s">
        <v>19787</v>
      </c>
      <c r="J7509" s="8" t="n">
        <f aca="false">IF(I7509="Open",DATE(2025,12,31)-F7509,"-")</f>
        <v>23</v>
      </c>
    </row>
    <row r="7510" customFormat="false" ht="15" hidden="false" customHeight="false" outlineLevel="0" collapsed="false">
      <c r="B7510" s="7" t="s">
        <v>22156</v>
      </c>
      <c r="C7510" s="7" t="s">
        <v>8007</v>
      </c>
      <c r="D7510" s="7" t="s">
        <v>329</v>
      </c>
      <c r="E7510" s="7" t="s">
        <v>156</v>
      </c>
      <c r="F7510" s="39" t="n">
        <v>45999</v>
      </c>
      <c r="G7510" s="41" t="n">
        <v>145.86</v>
      </c>
      <c r="H7510" s="39" t="n">
        <v>46006</v>
      </c>
      <c r="I7510" s="7" t="s">
        <v>14651</v>
      </c>
      <c r="J7510" s="8" t="str">
        <f aca="false">IF(I7510="Open",DATE(2025,12,31)-F7510,"-")</f>
        <v>-</v>
      </c>
    </row>
    <row r="7511" customFormat="false" ht="15" hidden="false" customHeight="false" outlineLevel="0" collapsed="false">
      <c r="B7511" s="7" t="s">
        <v>22157</v>
      </c>
      <c r="C7511" s="7" t="s">
        <v>8008</v>
      </c>
      <c r="D7511" s="7" t="s">
        <v>333</v>
      </c>
      <c r="E7511" s="7" t="s">
        <v>154</v>
      </c>
      <c r="F7511" s="39" t="n">
        <v>45999</v>
      </c>
      <c r="G7511" s="41" t="n">
        <v>92.22</v>
      </c>
      <c r="H7511" s="6" t="s">
        <v>182</v>
      </c>
      <c r="I7511" s="7" t="s">
        <v>19787</v>
      </c>
      <c r="J7511" s="8" t="n">
        <f aca="false">IF(I7511="Open",DATE(2025,12,31)-F7511,"-")</f>
        <v>23</v>
      </c>
    </row>
    <row r="7512" customFormat="false" ht="15" hidden="false" customHeight="false" outlineLevel="0" collapsed="false">
      <c r="B7512" s="7" t="s">
        <v>22158</v>
      </c>
      <c r="C7512" s="7" t="s">
        <v>8009</v>
      </c>
      <c r="D7512" s="7" t="s">
        <v>335</v>
      </c>
      <c r="E7512" s="7" t="s">
        <v>154</v>
      </c>
      <c r="F7512" s="39" t="n">
        <v>45999</v>
      </c>
      <c r="G7512" s="41" t="n">
        <v>103.09</v>
      </c>
      <c r="H7512" s="6" t="s">
        <v>182</v>
      </c>
      <c r="I7512" s="7" t="s">
        <v>19787</v>
      </c>
      <c r="J7512" s="8" t="n">
        <f aca="false">IF(I7512="Open",DATE(2025,12,31)-F7512,"-")</f>
        <v>23</v>
      </c>
    </row>
    <row r="7513" customFormat="false" ht="15" hidden="false" customHeight="false" outlineLevel="0" collapsed="false">
      <c r="B7513" s="7" t="s">
        <v>22159</v>
      </c>
      <c r="C7513" s="7" t="s">
        <v>8010</v>
      </c>
      <c r="D7513" s="7" t="s">
        <v>339</v>
      </c>
      <c r="E7513" s="7" t="s">
        <v>154</v>
      </c>
      <c r="F7513" s="39" t="n">
        <v>45999</v>
      </c>
      <c r="G7513" s="41" t="n">
        <v>88.78</v>
      </c>
      <c r="H7513" s="6" t="s">
        <v>182</v>
      </c>
      <c r="I7513" s="7" t="s">
        <v>19787</v>
      </c>
      <c r="J7513" s="8" t="n">
        <f aca="false">IF(I7513="Open",DATE(2025,12,31)-F7513,"-")</f>
        <v>23</v>
      </c>
    </row>
    <row r="7514" customFormat="false" ht="15" hidden="false" customHeight="false" outlineLevel="0" collapsed="false">
      <c r="B7514" s="7" t="s">
        <v>22160</v>
      </c>
      <c r="C7514" s="7" t="s">
        <v>8011</v>
      </c>
      <c r="D7514" s="7" t="s">
        <v>341</v>
      </c>
      <c r="E7514" s="7" t="s">
        <v>156</v>
      </c>
      <c r="F7514" s="39" t="n">
        <v>45999</v>
      </c>
      <c r="G7514" s="41" t="n">
        <v>108.46</v>
      </c>
      <c r="H7514" s="39" t="n">
        <v>46009</v>
      </c>
      <c r="I7514" s="7" t="s">
        <v>14651</v>
      </c>
      <c r="J7514" s="8" t="str">
        <f aca="false">IF(I7514="Open",DATE(2025,12,31)-F7514,"-")</f>
        <v>-</v>
      </c>
    </row>
    <row r="7515" customFormat="false" ht="15" hidden="false" customHeight="false" outlineLevel="0" collapsed="false">
      <c r="B7515" s="7" t="s">
        <v>22161</v>
      </c>
      <c r="C7515" s="7" t="s">
        <v>8012</v>
      </c>
      <c r="D7515" s="7" t="s">
        <v>343</v>
      </c>
      <c r="E7515" s="7" t="s">
        <v>154</v>
      </c>
      <c r="F7515" s="39" t="n">
        <v>45999</v>
      </c>
      <c r="G7515" s="41" t="n">
        <v>99.11</v>
      </c>
      <c r="H7515" s="6" t="s">
        <v>182</v>
      </c>
      <c r="I7515" s="7" t="s">
        <v>19787</v>
      </c>
      <c r="J7515" s="8" t="n">
        <f aca="false">IF(I7515="Open",DATE(2025,12,31)-F7515,"-")</f>
        <v>23</v>
      </c>
    </row>
    <row r="7516" customFormat="false" ht="15" hidden="false" customHeight="false" outlineLevel="0" collapsed="false">
      <c r="B7516" s="7" t="s">
        <v>22162</v>
      </c>
      <c r="C7516" s="7" t="s">
        <v>8013</v>
      </c>
      <c r="D7516" s="7" t="s">
        <v>349</v>
      </c>
      <c r="E7516" s="7" t="s">
        <v>154</v>
      </c>
      <c r="F7516" s="39" t="n">
        <v>45999</v>
      </c>
      <c r="G7516" s="41" t="n">
        <v>107.32</v>
      </c>
      <c r="H7516" s="6" t="s">
        <v>182</v>
      </c>
      <c r="I7516" s="7" t="s">
        <v>19787</v>
      </c>
      <c r="J7516" s="8" t="n">
        <f aca="false">IF(I7516="Open",DATE(2025,12,31)-F7516,"-")</f>
        <v>23</v>
      </c>
    </row>
    <row r="7517" customFormat="false" ht="15" hidden="false" customHeight="false" outlineLevel="0" collapsed="false">
      <c r="B7517" s="7" t="s">
        <v>22163</v>
      </c>
      <c r="C7517" s="7" t="s">
        <v>8014</v>
      </c>
      <c r="D7517" s="7" t="s">
        <v>351</v>
      </c>
      <c r="E7517" s="7" t="s">
        <v>154</v>
      </c>
      <c r="F7517" s="39" t="n">
        <v>45999</v>
      </c>
      <c r="G7517" s="41" t="n">
        <v>83.53</v>
      </c>
      <c r="H7517" s="6" t="s">
        <v>182</v>
      </c>
      <c r="I7517" s="7" t="s">
        <v>19787</v>
      </c>
      <c r="J7517" s="8" t="n">
        <f aca="false">IF(I7517="Open",DATE(2025,12,31)-F7517,"-")</f>
        <v>23</v>
      </c>
    </row>
    <row r="7518" customFormat="false" ht="15" hidden="false" customHeight="false" outlineLevel="0" collapsed="false">
      <c r="B7518" s="7" t="s">
        <v>22164</v>
      </c>
      <c r="C7518" s="7" t="s">
        <v>8015</v>
      </c>
      <c r="D7518" s="7" t="s">
        <v>353</v>
      </c>
      <c r="E7518" s="7" t="s">
        <v>154</v>
      </c>
      <c r="F7518" s="39" t="n">
        <v>45999</v>
      </c>
      <c r="G7518" s="41" t="n">
        <v>96.72</v>
      </c>
      <c r="H7518" s="6" t="s">
        <v>182</v>
      </c>
      <c r="I7518" s="7" t="s">
        <v>19787</v>
      </c>
      <c r="J7518" s="8" t="n">
        <f aca="false">IF(I7518="Open",DATE(2025,12,31)-F7518,"-")</f>
        <v>23</v>
      </c>
    </row>
    <row r="7519" customFormat="false" ht="15" hidden="false" customHeight="false" outlineLevel="0" collapsed="false">
      <c r="B7519" s="7" t="s">
        <v>22165</v>
      </c>
      <c r="C7519" s="7" t="s">
        <v>8016</v>
      </c>
      <c r="D7519" s="7" t="s">
        <v>355</v>
      </c>
      <c r="E7519" s="7" t="s">
        <v>154</v>
      </c>
      <c r="F7519" s="39" t="n">
        <v>45999</v>
      </c>
      <c r="G7519" s="41" t="n">
        <v>95.66</v>
      </c>
      <c r="H7519" s="6" t="s">
        <v>182</v>
      </c>
      <c r="I7519" s="7" t="s">
        <v>19787</v>
      </c>
      <c r="J7519" s="8" t="n">
        <f aca="false">IF(I7519="Open",DATE(2025,12,31)-F7519,"-")</f>
        <v>23</v>
      </c>
    </row>
    <row r="7520" customFormat="false" ht="15" hidden="false" customHeight="false" outlineLevel="0" collapsed="false">
      <c r="B7520" s="7" t="s">
        <v>22166</v>
      </c>
      <c r="C7520" s="7" t="s">
        <v>8017</v>
      </c>
      <c r="D7520" s="7" t="s">
        <v>357</v>
      </c>
      <c r="E7520" s="7" t="s">
        <v>154</v>
      </c>
      <c r="F7520" s="39" t="n">
        <v>45999</v>
      </c>
      <c r="G7520" s="41" t="n">
        <v>77.12</v>
      </c>
      <c r="H7520" s="6" t="s">
        <v>182</v>
      </c>
      <c r="I7520" s="7" t="s">
        <v>19787</v>
      </c>
      <c r="J7520" s="8" t="n">
        <f aca="false">IF(I7520="Open",DATE(2025,12,31)-F7520,"-")</f>
        <v>23</v>
      </c>
    </row>
    <row r="7521" customFormat="false" ht="15" hidden="false" customHeight="false" outlineLevel="0" collapsed="false">
      <c r="B7521" s="7" t="s">
        <v>22167</v>
      </c>
      <c r="C7521" s="7" t="s">
        <v>8018</v>
      </c>
      <c r="D7521" s="7" t="s">
        <v>359</v>
      </c>
      <c r="E7521" s="7" t="s">
        <v>156</v>
      </c>
      <c r="F7521" s="39" t="n">
        <v>45999</v>
      </c>
      <c r="G7521" s="41" t="n">
        <v>126.14</v>
      </c>
      <c r="H7521" s="39" t="n">
        <v>46008</v>
      </c>
      <c r="I7521" s="7" t="s">
        <v>14651</v>
      </c>
      <c r="J7521" s="8" t="str">
        <f aca="false">IF(I7521="Open",DATE(2025,12,31)-F7521,"-")</f>
        <v>-</v>
      </c>
    </row>
    <row r="7522" customFormat="false" ht="15" hidden="false" customHeight="false" outlineLevel="0" collapsed="false">
      <c r="B7522" s="7" t="s">
        <v>22168</v>
      </c>
      <c r="C7522" s="7" t="s">
        <v>8019</v>
      </c>
      <c r="D7522" s="7" t="s">
        <v>363</v>
      </c>
      <c r="E7522" s="7" t="s">
        <v>156</v>
      </c>
      <c r="F7522" s="39" t="n">
        <v>45999</v>
      </c>
      <c r="G7522" s="41" t="n">
        <v>123.42</v>
      </c>
      <c r="H7522" s="39" t="n">
        <v>46001</v>
      </c>
      <c r="I7522" s="7" t="s">
        <v>14651</v>
      </c>
      <c r="J7522" s="8" t="str">
        <f aca="false">IF(I7522="Open",DATE(2025,12,31)-F7522,"-")</f>
        <v>-</v>
      </c>
    </row>
    <row r="7523" customFormat="false" ht="15" hidden="false" customHeight="false" outlineLevel="0" collapsed="false">
      <c r="B7523" s="7" t="s">
        <v>22169</v>
      </c>
      <c r="C7523" s="7" t="s">
        <v>8020</v>
      </c>
      <c r="D7523" s="7" t="s">
        <v>365</v>
      </c>
      <c r="E7523" s="7" t="s">
        <v>154</v>
      </c>
      <c r="F7523" s="39" t="n">
        <v>45999</v>
      </c>
      <c r="G7523" s="41" t="n">
        <v>92.54</v>
      </c>
      <c r="H7523" s="6" t="s">
        <v>182</v>
      </c>
      <c r="I7523" s="7" t="s">
        <v>19787</v>
      </c>
      <c r="J7523" s="8" t="n">
        <f aca="false">IF(I7523="Open",DATE(2025,12,31)-F7523,"-")</f>
        <v>23</v>
      </c>
    </row>
    <row r="7524" customFormat="false" ht="15" hidden="false" customHeight="false" outlineLevel="0" collapsed="false">
      <c r="B7524" s="7" t="s">
        <v>22170</v>
      </c>
      <c r="C7524" s="7" t="s">
        <v>8021</v>
      </c>
      <c r="D7524" s="7" t="s">
        <v>367</v>
      </c>
      <c r="E7524" s="7" t="s">
        <v>156</v>
      </c>
      <c r="F7524" s="39" t="n">
        <v>45999</v>
      </c>
      <c r="G7524" s="41" t="n">
        <v>95.54</v>
      </c>
      <c r="H7524" s="39" t="n">
        <v>46012</v>
      </c>
      <c r="I7524" s="7" t="s">
        <v>14651</v>
      </c>
      <c r="J7524" s="8" t="str">
        <f aca="false">IF(I7524="Open",DATE(2025,12,31)-F7524,"-")</f>
        <v>-</v>
      </c>
    </row>
    <row r="7525" customFormat="false" ht="15" hidden="false" customHeight="false" outlineLevel="0" collapsed="false">
      <c r="B7525" s="7" t="s">
        <v>22171</v>
      </c>
      <c r="C7525" s="7" t="s">
        <v>8022</v>
      </c>
      <c r="D7525" s="7" t="s">
        <v>371</v>
      </c>
      <c r="E7525" s="7" t="s">
        <v>154</v>
      </c>
      <c r="F7525" s="39" t="n">
        <v>45999</v>
      </c>
      <c r="G7525" s="41" t="n">
        <v>116.18</v>
      </c>
      <c r="H7525" s="6" t="s">
        <v>182</v>
      </c>
      <c r="I7525" s="7" t="s">
        <v>19787</v>
      </c>
      <c r="J7525" s="8" t="n">
        <f aca="false">IF(I7525="Open",DATE(2025,12,31)-F7525,"-")</f>
        <v>23</v>
      </c>
    </row>
    <row r="7526" customFormat="false" ht="15" hidden="false" customHeight="false" outlineLevel="0" collapsed="false">
      <c r="B7526" s="7" t="s">
        <v>22172</v>
      </c>
      <c r="C7526" s="7" t="s">
        <v>8023</v>
      </c>
      <c r="D7526" s="7" t="s">
        <v>375</v>
      </c>
      <c r="E7526" s="7" t="s">
        <v>156</v>
      </c>
      <c r="F7526" s="39" t="n">
        <v>45999</v>
      </c>
      <c r="G7526" s="41" t="n">
        <v>101.32</v>
      </c>
      <c r="H7526" s="39" t="n">
        <v>46015</v>
      </c>
      <c r="I7526" s="7" t="s">
        <v>14651</v>
      </c>
      <c r="J7526" s="8" t="str">
        <f aca="false">IF(I7526="Open",DATE(2025,12,31)-F7526,"-")</f>
        <v>-</v>
      </c>
    </row>
    <row r="7527" customFormat="false" ht="15" hidden="false" customHeight="false" outlineLevel="0" collapsed="false">
      <c r="B7527" s="7" t="s">
        <v>22173</v>
      </c>
      <c r="C7527" s="7" t="s">
        <v>8024</v>
      </c>
      <c r="D7527" s="7" t="s">
        <v>377</v>
      </c>
      <c r="E7527" s="7" t="s">
        <v>154</v>
      </c>
      <c r="F7527" s="39" t="n">
        <v>45999</v>
      </c>
      <c r="G7527" s="41" t="n">
        <v>109.71</v>
      </c>
      <c r="H7527" s="6" t="s">
        <v>182</v>
      </c>
      <c r="I7527" s="7" t="s">
        <v>19787</v>
      </c>
      <c r="J7527" s="8" t="n">
        <f aca="false">IF(I7527="Open",DATE(2025,12,31)-F7527,"-")</f>
        <v>23</v>
      </c>
    </row>
    <row r="7528" customFormat="false" ht="15" hidden="false" customHeight="false" outlineLevel="0" collapsed="false">
      <c r="B7528" s="7" t="s">
        <v>22174</v>
      </c>
      <c r="C7528" s="7" t="s">
        <v>8025</v>
      </c>
      <c r="D7528" s="7" t="s">
        <v>379</v>
      </c>
      <c r="E7528" s="7" t="s">
        <v>156</v>
      </c>
      <c r="F7528" s="39" t="n">
        <v>45999</v>
      </c>
      <c r="G7528" s="41" t="n">
        <v>158.44</v>
      </c>
      <c r="H7528" s="39" t="n">
        <v>46005</v>
      </c>
      <c r="I7528" s="7" t="s">
        <v>14651</v>
      </c>
      <c r="J7528" s="8" t="str">
        <f aca="false">IF(I7528="Open",DATE(2025,12,31)-F7528,"-")</f>
        <v>-</v>
      </c>
    </row>
    <row r="7529" customFormat="false" ht="15" hidden="false" customHeight="false" outlineLevel="0" collapsed="false">
      <c r="B7529" s="7" t="s">
        <v>22175</v>
      </c>
      <c r="C7529" s="7" t="s">
        <v>8026</v>
      </c>
      <c r="D7529" s="7" t="s">
        <v>385</v>
      </c>
      <c r="E7529" s="7" t="s">
        <v>156</v>
      </c>
      <c r="F7529" s="39" t="n">
        <v>45999</v>
      </c>
      <c r="G7529" s="41" t="n">
        <v>127.5</v>
      </c>
      <c r="H7529" s="39" t="n">
        <v>46013</v>
      </c>
      <c r="I7529" s="7" t="s">
        <v>14651</v>
      </c>
      <c r="J7529" s="8" t="str">
        <f aca="false">IF(I7529="Open",DATE(2025,12,31)-F7529,"-")</f>
        <v>-</v>
      </c>
    </row>
    <row r="7530" customFormat="false" ht="15" hidden="false" customHeight="false" outlineLevel="0" collapsed="false">
      <c r="B7530" s="7" t="s">
        <v>22176</v>
      </c>
      <c r="C7530" s="7" t="s">
        <v>8027</v>
      </c>
      <c r="D7530" s="7" t="s">
        <v>387</v>
      </c>
      <c r="E7530" s="7" t="s">
        <v>154</v>
      </c>
      <c r="F7530" s="39" t="n">
        <v>45999</v>
      </c>
      <c r="G7530" s="41" t="n">
        <v>97.52</v>
      </c>
      <c r="H7530" s="6" t="s">
        <v>182</v>
      </c>
      <c r="I7530" s="7" t="s">
        <v>19787</v>
      </c>
      <c r="J7530" s="8" t="n">
        <f aca="false">IF(I7530="Open",DATE(2025,12,31)-F7530,"-")</f>
        <v>23</v>
      </c>
    </row>
    <row r="7531" customFormat="false" ht="15" hidden="false" customHeight="false" outlineLevel="0" collapsed="false">
      <c r="B7531" s="7" t="s">
        <v>22177</v>
      </c>
      <c r="C7531" s="7" t="s">
        <v>8028</v>
      </c>
      <c r="D7531" s="7" t="s">
        <v>389</v>
      </c>
      <c r="E7531" s="7" t="s">
        <v>154</v>
      </c>
      <c r="F7531" s="39" t="n">
        <v>45999</v>
      </c>
      <c r="G7531" s="41" t="n">
        <v>107.59</v>
      </c>
      <c r="H7531" s="6" t="s">
        <v>182</v>
      </c>
      <c r="I7531" s="7" t="s">
        <v>19787</v>
      </c>
      <c r="J7531" s="8" t="n">
        <f aca="false">IF(I7531="Open",DATE(2025,12,31)-F7531,"-")</f>
        <v>23</v>
      </c>
    </row>
    <row r="7532" customFormat="false" ht="15" hidden="false" customHeight="false" outlineLevel="0" collapsed="false">
      <c r="B7532" s="7" t="s">
        <v>22178</v>
      </c>
      <c r="C7532" s="7" t="s">
        <v>8029</v>
      </c>
      <c r="D7532" s="7" t="s">
        <v>391</v>
      </c>
      <c r="E7532" s="7" t="s">
        <v>156</v>
      </c>
      <c r="F7532" s="39" t="n">
        <v>45999</v>
      </c>
      <c r="G7532" s="41" t="n">
        <v>133.28</v>
      </c>
      <c r="H7532" s="39" t="n">
        <v>46010</v>
      </c>
      <c r="I7532" s="7" t="s">
        <v>14651</v>
      </c>
      <c r="J7532" s="8" t="str">
        <f aca="false">IF(I7532="Open",DATE(2025,12,31)-F7532,"-")</f>
        <v>-</v>
      </c>
    </row>
    <row r="7533" customFormat="false" ht="15" hidden="false" customHeight="false" outlineLevel="0" collapsed="false">
      <c r="B7533" s="7" t="s">
        <v>22179</v>
      </c>
      <c r="C7533" s="7" t="s">
        <v>8030</v>
      </c>
      <c r="D7533" s="7" t="s">
        <v>395</v>
      </c>
      <c r="E7533" s="7" t="s">
        <v>156</v>
      </c>
      <c r="F7533" s="39" t="n">
        <v>45999</v>
      </c>
      <c r="G7533" s="41" t="n">
        <v>129.54</v>
      </c>
      <c r="H7533" s="39" t="n">
        <v>46011</v>
      </c>
      <c r="I7533" s="7" t="s">
        <v>14651</v>
      </c>
      <c r="J7533" s="8" t="str">
        <f aca="false">IF(I7533="Open",DATE(2025,12,31)-F7533,"-")</f>
        <v>-</v>
      </c>
    </row>
    <row r="7534" customFormat="false" ht="15" hidden="false" customHeight="false" outlineLevel="0" collapsed="false">
      <c r="B7534" s="7" t="s">
        <v>22180</v>
      </c>
      <c r="C7534" s="7" t="s">
        <v>8031</v>
      </c>
      <c r="D7534" s="7" t="s">
        <v>399</v>
      </c>
      <c r="E7534" s="7" t="s">
        <v>154</v>
      </c>
      <c r="F7534" s="39" t="n">
        <v>45999</v>
      </c>
      <c r="G7534" s="41" t="n">
        <v>83.53</v>
      </c>
      <c r="H7534" s="6" t="s">
        <v>182</v>
      </c>
      <c r="I7534" s="7" t="s">
        <v>19787</v>
      </c>
      <c r="J7534" s="8" t="n">
        <f aca="false">IF(I7534="Open",DATE(2025,12,31)-F7534,"-")</f>
        <v>23</v>
      </c>
    </row>
    <row r="7535" customFormat="false" ht="15" hidden="false" customHeight="false" outlineLevel="0" collapsed="false">
      <c r="B7535" s="7" t="s">
        <v>22181</v>
      </c>
      <c r="C7535" s="7" t="s">
        <v>8032</v>
      </c>
      <c r="D7535" s="7" t="s">
        <v>401</v>
      </c>
      <c r="E7535" s="7" t="s">
        <v>156</v>
      </c>
      <c r="F7535" s="39" t="n">
        <v>45999</v>
      </c>
      <c r="G7535" s="41" t="n">
        <v>123.76</v>
      </c>
      <c r="H7535" s="39" t="n">
        <v>46005</v>
      </c>
      <c r="I7535" s="7" t="s">
        <v>14651</v>
      </c>
      <c r="J7535" s="8" t="str">
        <f aca="false">IF(I7535="Open",DATE(2025,12,31)-F7535,"-")</f>
        <v>-</v>
      </c>
    </row>
    <row r="7536" customFormat="false" ht="15" hidden="false" customHeight="false" outlineLevel="0" collapsed="false">
      <c r="B7536" s="7" t="s">
        <v>22182</v>
      </c>
      <c r="C7536" s="7" t="s">
        <v>8033</v>
      </c>
      <c r="D7536" s="7" t="s">
        <v>403</v>
      </c>
      <c r="E7536" s="7" t="s">
        <v>156</v>
      </c>
      <c r="F7536" s="39" t="n">
        <v>45999</v>
      </c>
      <c r="G7536" s="41" t="n">
        <v>127.5</v>
      </c>
      <c r="H7536" s="39" t="n">
        <v>46013</v>
      </c>
      <c r="I7536" s="7" t="s">
        <v>14651</v>
      </c>
      <c r="J7536" s="8" t="str">
        <f aca="false">IF(I7536="Open",DATE(2025,12,31)-F7536,"-")</f>
        <v>-</v>
      </c>
    </row>
    <row r="7537" customFormat="false" ht="15" hidden="false" customHeight="false" outlineLevel="0" collapsed="false">
      <c r="B7537" s="7" t="s">
        <v>22183</v>
      </c>
      <c r="C7537" s="7" t="s">
        <v>8034</v>
      </c>
      <c r="D7537" s="7" t="s">
        <v>405</v>
      </c>
      <c r="E7537" s="7" t="s">
        <v>156</v>
      </c>
      <c r="F7537" s="39" t="n">
        <v>45999</v>
      </c>
      <c r="G7537" s="41" t="n">
        <v>97.92</v>
      </c>
      <c r="H7537" s="39" t="n">
        <v>46016</v>
      </c>
      <c r="I7537" s="7" t="s">
        <v>14651</v>
      </c>
      <c r="J7537" s="8" t="str">
        <f aca="false">IF(I7537="Open",DATE(2025,12,31)-F7537,"-")</f>
        <v>-</v>
      </c>
    </row>
    <row r="7538" customFormat="false" ht="15" hidden="false" customHeight="false" outlineLevel="0" collapsed="false">
      <c r="B7538" s="7" t="s">
        <v>22184</v>
      </c>
      <c r="C7538" s="7" t="s">
        <v>8035</v>
      </c>
      <c r="D7538" s="7" t="s">
        <v>409</v>
      </c>
      <c r="E7538" s="7" t="s">
        <v>154</v>
      </c>
      <c r="F7538" s="39" t="n">
        <v>45999</v>
      </c>
      <c r="G7538" s="41" t="n">
        <v>92.75</v>
      </c>
      <c r="H7538" s="6" t="s">
        <v>182</v>
      </c>
      <c r="I7538" s="7" t="s">
        <v>19787</v>
      </c>
      <c r="J7538" s="8" t="n">
        <f aca="false">IF(I7538="Open",DATE(2025,12,31)-F7538,"-")</f>
        <v>23</v>
      </c>
    </row>
    <row r="7539" customFormat="false" ht="15" hidden="false" customHeight="false" outlineLevel="0" collapsed="false">
      <c r="B7539" s="7" t="s">
        <v>22185</v>
      </c>
      <c r="C7539" s="7" t="s">
        <v>8036</v>
      </c>
      <c r="D7539" s="7" t="s">
        <v>411</v>
      </c>
      <c r="E7539" s="7" t="s">
        <v>154</v>
      </c>
      <c r="F7539" s="39" t="n">
        <v>45999</v>
      </c>
      <c r="G7539" s="41" t="n">
        <v>131.7</v>
      </c>
      <c r="H7539" s="6" t="s">
        <v>182</v>
      </c>
      <c r="I7539" s="7" t="s">
        <v>19787</v>
      </c>
      <c r="J7539" s="8" t="n">
        <f aca="false">IF(I7539="Open",DATE(2025,12,31)-F7539,"-")</f>
        <v>23</v>
      </c>
    </row>
    <row r="7540" customFormat="false" ht="15" hidden="false" customHeight="false" outlineLevel="0" collapsed="false">
      <c r="B7540" s="7" t="s">
        <v>22186</v>
      </c>
      <c r="C7540" s="7" t="s">
        <v>8037</v>
      </c>
      <c r="D7540" s="7" t="s">
        <v>288</v>
      </c>
      <c r="E7540" s="7" t="s">
        <v>156</v>
      </c>
      <c r="F7540" s="39" t="n">
        <v>46000</v>
      </c>
      <c r="G7540" s="41" t="n">
        <v>131.24</v>
      </c>
      <c r="H7540" s="39" t="n">
        <v>46011</v>
      </c>
      <c r="I7540" s="7" t="s">
        <v>14651</v>
      </c>
      <c r="J7540" s="8" t="str">
        <f aca="false">IF(I7540="Open",DATE(2025,12,31)-F7540,"-")</f>
        <v>-</v>
      </c>
    </row>
    <row r="7541" customFormat="false" ht="15" hidden="false" customHeight="false" outlineLevel="0" collapsed="false">
      <c r="B7541" s="7" t="s">
        <v>22187</v>
      </c>
      <c r="C7541" s="7" t="s">
        <v>8038</v>
      </c>
      <c r="D7541" s="7" t="s">
        <v>293</v>
      </c>
      <c r="E7541" s="7" t="s">
        <v>157</v>
      </c>
      <c r="F7541" s="39" t="n">
        <v>46000</v>
      </c>
      <c r="G7541" s="41" t="n">
        <v>160.05</v>
      </c>
      <c r="H7541" s="6" t="s">
        <v>182</v>
      </c>
      <c r="I7541" s="7" t="s">
        <v>19787</v>
      </c>
      <c r="J7541" s="8" t="n">
        <f aca="false">IF(I7541="Open",DATE(2025,12,31)-F7541,"-")</f>
        <v>22</v>
      </c>
    </row>
    <row r="7542" customFormat="false" ht="15" hidden="false" customHeight="false" outlineLevel="0" collapsed="false">
      <c r="B7542" s="7" t="s">
        <v>22188</v>
      </c>
      <c r="C7542" s="7" t="s">
        <v>8039</v>
      </c>
      <c r="D7542" s="7" t="s">
        <v>301</v>
      </c>
      <c r="E7542" s="7" t="s">
        <v>157</v>
      </c>
      <c r="F7542" s="39" t="n">
        <v>46000</v>
      </c>
      <c r="G7542" s="41" t="n">
        <v>163.35</v>
      </c>
      <c r="H7542" s="6" t="s">
        <v>182</v>
      </c>
      <c r="I7542" s="7" t="s">
        <v>19787</v>
      </c>
      <c r="J7542" s="8" t="n">
        <f aca="false">IF(I7542="Open",DATE(2025,12,31)-F7542,"-")</f>
        <v>22</v>
      </c>
    </row>
    <row r="7543" customFormat="false" ht="15" hidden="false" customHeight="false" outlineLevel="0" collapsed="false">
      <c r="B7543" s="7" t="s">
        <v>22189</v>
      </c>
      <c r="C7543" s="7" t="s">
        <v>8040</v>
      </c>
      <c r="D7543" s="7" t="s">
        <v>313</v>
      </c>
      <c r="E7543" s="7" t="s">
        <v>156</v>
      </c>
      <c r="F7543" s="39" t="n">
        <v>46000</v>
      </c>
      <c r="G7543" s="41" t="n">
        <v>126.14</v>
      </c>
      <c r="H7543" s="39" t="n">
        <v>46004</v>
      </c>
      <c r="I7543" s="7" t="s">
        <v>14651</v>
      </c>
      <c r="J7543" s="8" t="str">
        <f aca="false">IF(I7543="Open",DATE(2025,12,31)-F7543,"-")</f>
        <v>-</v>
      </c>
    </row>
    <row r="7544" customFormat="false" ht="15" hidden="false" customHeight="false" outlineLevel="0" collapsed="false">
      <c r="B7544" s="7" t="s">
        <v>22190</v>
      </c>
      <c r="C7544" s="7" t="s">
        <v>8041</v>
      </c>
      <c r="D7544" s="7" t="s">
        <v>319</v>
      </c>
      <c r="E7544" s="7" t="s">
        <v>157</v>
      </c>
      <c r="F7544" s="39" t="n">
        <v>46000</v>
      </c>
      <c r="G7544" s="41" t="n">
        <v>161.7</v>
      </c>
      <c r="H7544" s="6" t="s">
        <v>182</v>
      </c>
      <c r="I7544" s="7" t="s">
        <v>19787</v>
      </c>
      <c r="J7544" s="8" t="n">
        <f aca="false">IF(I7544="Open",DATE(2025,12,31)-F7544,"-")</f>
        <v>22</v>
      </c>
    </row>
    <row r="7545" customFormat="false" ht="15" hidden="false" customHeight="false" outlineLevel="0" collapsed="false">
      <c r="B7545" s="7" t="s">
        <v>22191</v>
      </c>
      <c r="C7545" s="7" t="s">
        <v>8042</v>
      </c>
      <c r="D7545" s="7" t="s">
        <v>321</v>
      </c>
      <c r="E7545" s="7" t="s">
        <v>154</v>
      </c>
      <c r="F7545" s="39" t="n">
        <v>46000</v>
      </c>
      <c r="G7545" s="41" t="n">
        <v>100.51</v>
      </c>
      <c r="H7545" s="6" t="s">
        <v>182</v>
      </c>
      <c r="I7545" s="7" t="s">
        <v>19787</v>
      </c>
      <c r="J7545" s="8" t="n">
        <f aca="false">IF(I7545="Open",DATE(2025,12,31)-F7545,"-")</f>
        <v>22</v>
      </c>
    </row>
    <row r="7546" customFormat="false" ht="15" hidden="false" customHeight="false" outlineLevel="0" collapsed="false">
      <c r="B7546" s="7" t="s">
        <v>22192</v>
      </c>
      <c r="C7546" s="7" t="s">
        <v>8043</v>
      </c>
      <c r="D7546" s="7" t="s">
        <v>323</v>
      </c>
      <c r="E7546" s="7" t="s">
        <v>159</v>
      </c>
      <c r="F7546" s="39" t="n">
        <v>46000</v>
      </c>
      <c r="G7546" s="41" t="n">
        <v>124.2</v>
      </c>
      <c r="H7546" s="6" t="s">
        <v>182</v>
      </c>
      <c r="I7546" s="7" t="s">
        <v>19787</v>
      </c>
      <c r="J7546" s="8" t="n">
        <f aca="false">IF(I7546="Open",DATE(2025,12,31)-F7546,"-")</f>
        <v>22</v>
      </c>
    </row>
    <row r="7547" customFormat="false" ht="15" hidden="false" customHeight="false" outlineLevel="0" collapsed="false">
      <c r="B7547" s="7" t="s">
        <v>22193</v>
      </c>
      <c r="C7547" s="7" t="s">
        <v>8044</v>
      </c>
      <c r="D7547" s="7" t="s">
        <v>327</v>
      </c>
      <c r="E7547" s="7" t="s">
        <v>157</v>
      </c>
      <c r="F7547" s="39" t="n">
        <v>46000</v>
      </c>
      <c r="G7547" s="41" t="n">
        <v>161.7</v>
      </c>
      <c r="H7547" s="6" t="s">
        <v>182</v>
      </c>
      <c r="I7547" s="7" t="s">
        <v>19787</v>
      </c>
      <c r="J7547" s="8" t="n">
        <f aca="false">IF(I7547="Open",DATE(2025,12,31)-F7547,"-")</f>
        <v>22</v>
      </c>
    </row>
    <row r="7548" customFormat="false" ht="15" hidden="false" customHeight="false" outlineLevel="0" collapsed="false">
      <c r="B7548" s="7" t="s">
        <v>22194</v>
      </c>
      <c r="C7548" s="7" t="s">
        <v>8045</v>
      </c>
      <c r="D7548" s="7" t="s">
        <v>329</v>
      </c>
      <c r="E7548" s="7" t="s">
        <v>156</v>
      </c>
      <c r="F7548" s="39" t="n">
        <v>46000</v>
      </c>
      <c r="G7548" s="41" t="n">
        <v>126.82</v>
      </c>
      <c r="H7548" s="39" t="n">
        <v>46020</v>
      </c>
      <c r="I7548" s="7" t="s">
        <v>14651</v>
      </c>
      <c r="J7548" s="8" t="str">
        <f aca="false">IF(I7548="Open",DATE(2025,12,31)-F7548,"-")</f>
        <v>-</v>
      </c>
    </row>
    <row r="7549" customFormat="false" ht="15" hidden="false" customHeight="false" outlineLevel="0" collapsed="false">
      <c r="B7549" s="7" t="s">
        <v>22195</v>
      </c>
      <c r="C7549" s="7" t="s">
        <v>8046</v>
      </c>
      <c r="D7549" s="7" t="s">
        <v>349</v>
      </c>
      <c r="E7549" s="7" t="s">
        <v>154</v>
      </c>
      <c r="F7549" s="39" t="n">
        <v>46000</v>
      </c>
      <c r="G7549" s="41" t="n">
        <v>99.11</v>
      </c>
      <c r="H7549" s="6" t="s">
        <v>182</v>
      </c>
      <c r="I7549" s="7" t="s">
        <v>19787</v>
      </c>
      <c r="J7549" s="8" t="n">
        <f aca="false">IF(I7549="Open",DATE(2025,12,31)-F7549,"-")</f>
        <v>22</v>
      </c>
    </row>
    <row r="7550" customFormat="false" ht="15" hidden="false" customHeight="false" outlineLevel="0" collapsed="false">
      <c r="B7550" s="7" t="s">
        <v>22196</v>
      </c>
      <c r="C7550" s="7" t="s">
        <v>8047</v>
      </c>
      <c r="D7550" s="7" t="s">
        <v>359</v>
      </c>
      <c r="E7550" s="7" t="s">
        <v>156</v>
      </c>
      <c r="F7550" s="39" t="n">
        <v>46000</v>
      </c>
      <c r="G7550" s="41" t="n">
        <v>136.68</v>
      </c>
      <c r="H7550" s="39" t="n">
        <v>46011</v>
      </c>
      <c r="I7550" s="7" t="s">
        <v>14651</v>
      </c>
      <c r="J7550" s="8" t="str">
        <f aca="false">IF(I7550="Open",DATE(2025,12,31)-F7550,"-")</f>
        <v>-</v>
      </c>
    </row>
    <row r="7551" customFormat="false" ht="15" hidden="false" customHeight="false" outlineLevel="0" collapsed="false">
      <c r="B7551" s="7" t="s">
        <v>22197</v>
      </c>
      <c r="C7551" s="7" t="s">
        <v>8048</v>
      </c>
      <c r="D7551" s="7" t="s">
        <v>361</v>
      </c>
      <c r="E7551" s="7" t="s">
        <v>157</v>
      </c>
      <c r="F7551" s="39" t="n">
        <v>46000</v>
      </c>
      <c r="G7551" s="41" t="n">
        <v>153.45</v>
      </c>
      <c r="H7551" s="6" t="s">
        <v>182</v>
      </c>
      <c r="I7551" s="7" t="s">
        <v>19787</v>
      </c>
      <c r="J7551" s="8" t="n">
        <f aca="false">IF(I7551="Open",DATE(2025,12,31)-F7551,"-")</f>
        <v>22</v>
      </c>
    </row>
    <row r="7552" customFormat="false" ht="15" hidden="false" customHeight="false" outlineLevel="0" collapsed="false">
      <c r="B7552" s="7" t="s">
        <v>22198</v>
      </c>
      <c r="C7552" s="7" t="s">
        <v>8049</v>
      </c>
      <c r="D7552" s="7" t="s">
        <v>365</v>
      </c>
      <c r="E7552" s="7" t="s">
        <v>154</v>
      </c>
      <c r="F7552" s="39" t="n">
        <v>46000</v>
      </c>
      <c r="G7552" s="41" t="n">
        <v>104.41</v>
      </c>
      <c r="H7552" s="6" t="s">
        <v>182</v>
      </c>
      <c r="I7552" s="7" t="s">
        <v>19787</v>
      </c>
      <c r="J7552" s="8" t="n">
        <f aca="false">IF(I7552="Open",DATE(2025,12,31)-F7552,"-")</f>
        <v>22</v>
      </c>
    </row>
    <row r="7553" customFormat="false" ht="15" hidden="false" customHeight="false" outlineLevel="0" collapsed="false">
      <c r="B7553" s="7" t="s">
        <v>22199</v>
      </c>
      <c r="C7553" s="7" t="s">
        <v>8050</v>
      </c>
      <c r="D7553" s="7" t="s">
        <v>381</v>
      </c>
      <c r="E7553" s="7" t="s">
        <v>157</v>
      </c>
      <c r="F7553" s="39" t="n">
        <v>46000</v>
      </c>
      <c r="G7553" s="41" t="n">
        <v>178.2</v>
      </c>
      <c r="H7553" s="6" t="s">
        <v>182</v>
      </c>
      <c r="I7553" s="7" t="s">
        <v>19787</v>
      </c>
      <c r="J7553" s="8" t="n">
        <f aca="false">IF(I7553="Open",DATE(2025,12,31)-F7553,"-")</f>
        <v>22</v>
      </c>
    </row>
    <row r="7554" customFormat="false" ht="15" hidden="false" customHeight="false" outlineLevel="0" collapsed="false">
      <c r="B7554" s="7" t="s">
        <v>22200</v>
      </c>
      <c r="C7554" s="7" t="s">
        <v>8051</v>
      </c>
      <c r="D7554" s="7" t="s">
        <v>383</v>
      </c>
      <c r="E7554" s="7" t="s">
        <v>157</v>
      </c>
      <c r="F7554" s="39" t="n">
        <v>46000</v>
      </c>
      <c r="G7554" s="41" t="n">
        <v>155.1</v>
      </c>
      <c r="H7554" s="6" t="s">
        <v>182</v>
      </c>
      <c r="I7554" s="7" t="s">
        <v>19787</v>
      </c>
      <c r="J7554" s="8" t="n">
        <f aca="false">IF(I7554="Open",DATE(2025,12,31)-F7554,"-")</f>
        <v>22</v>
      </c>
    </row>
    <row r="7555" customFormat="false" ht="15" hidden="false" customHeight="false" outlineLevel="0" collapsed="false">
      <c r="B7555" s="7" t="s">
        <v>22201</v>
      </c>
      <c r="C7555" s="7" t="s">
        <v>8052</v>
      </c>
      <c r="D7555" s="7" t="s">
        <v>387</v>
      </c>
      <c r="E7555" s="7" t="s">
        <v>154</v>
      </c>
      <c r="F7555" s="39" t="n">
        <v>46000</v>
      </c>
      <c r="G7555" s="41" t="n">
        <v>102.56</v>
      </c>
      <c r="H7555" s="6" t="s">
        <v>182</v>
      </c>
      <c r="I7555" s="7" t="s">
        <v>19787</v>
      </c>
      <c r="J7555" s="8" t="n">
        <f aca="false">IF(I7555="Open",DATE(2025,12,31)-F7555,"-")</f>
        <v>22</v>
      </c>
    </row>
    <row r="7556" customFormat="false" ht="15" hidden="false" customHeight="false" outlineLevel="0" collapsed="false">
      <c r="B7556" s="7" t="s">
        <v>22202</v>
      </c>
      <c r="C7556" s="7" t="s">
        <v>8053</v>
      </c>
      <c r="D7556" s="7" t="s">
        <v>389</v>
      </c>
      <c r="E7556" s="7" t="s">
        <v>154</v>
      </c>
      <c r="F7556" s="39" t="n">
        <v>46000</v>
      </c>
      <c r="G7556" s="41" t="n">
        <v>112.89</v>
      </c>
      <c r="H7556" s="6" t="s">
        <v>182</v>
      </c>
      <c r="I7556" s="7" t="s">
        <v>19787</v>
      </c>
      <c r="J7556" s="8" t="n">
        <f aca="false">IF(I7556="Open",DATE(2025,12,31)-F7556,"-")</f>
        <v>22</v>
      </c>
    </row>
    <row r="7557" customFormat="false" ht="15" hidden="false" customHeight="false" outlineLevel="0" collapsed="false">
      <c r="B7557" s="7" t="s">
        <v>22203</v>
      </c>
      <c r="C7557" s="7" t="s">
        <v>8054</v>
      </c>
      <c r="D7557" s="7" t="s">
        <v>391</v>
      </c>
      <c r="E7557" s="7" t="s">
        <v>156</v>
      </c>
      <c r="F7557" s="39" t="n">
        <v>46000</v>
      </c>
      <c r="G7557" s="41" t="n">
        <v>125.8</v>
      </c>
      <c r="H7557" s="39" t="n">
        <v>46011</v>
      </c>
      <c r="I7557" s="7" t="s">
        <v>14651</v>
      </c>
      <c r="J7557" s="8" t="str">
        <f aca="false">IF(I7557="Open",DATE(2025,12,31)-F7557,"-")</f>
        <v>-</v>
      </c>
    </row>
    <row r="7558" customFormat="false" ht="15" hidden="false" customHeight="false" outlineLevel="0" collapsed="false">
      <c r="B7558" s="7" t="s">
        <v>22204</v>
      </c>
      <c r="C7558" s="7" t="s">
        <v>8055</v>
      </c>
      <c r="D7558" s="7" t="s">
        <v>395</v>
      </c>
      <c r="E7558" s="7" t="s">
        <v>156</v>
      </c>
      <c r="F7558" s="39" t="n">
        <v>46000</v>
      </c>
      <c r="G7558" s="41" t="n">
        <v>134.3</v>
      </c>
      <c r="H7558" s="39" t="n">
        <v>46014</v>
      </c>
      <c r="I7558" s="7" t="s">
        <v>14651</v>
      </c>
      <c r="J7558" s="8" t="str">
        <f aca="false">IF(I7558="Open",DATE(2025,12,31)-F7558,"-")</f>
        <v>-</v>
      </c>
    </row>
    <row r="7559" customFormat="false" ht="15" hidden="false" customHeight="false" outlineLevel="0" collapsed="false">
      <c r="B7559" s="7" t="s">
        <v>22205</v>
      </c>
      <c r="C7559" s="7" t="s">
        <v>8056</v>
      </c>
      <c r="D7559" s="7" t="s">
        <v>397</v>
      </c>
      <c r="E7559" s="7" t="s">
        <v>159</v>
      </c>
      <c r="F7559" s="39" t="n">
        <v>46000</v>
      </c>
      <c r="G7559" s="41" t="n">
        <v>125.55</v>
      </c>
      <c r="H7559" s="6" t="s">
        <v>182</v>
      </c>
      <c r="I7559" s="7" t="s">
        <v>19787</v>
      </c>
      <c r="J7559" s="8" t="n">
        <f aca="false">IF(I7559="Open",DATE(2025,12,31)-F7559,"-")</f>
        <v>22</v>
      </c>
    </row>
    <row r="7560" customFormat="false" ht="15" hidden="false" customHeight="false" outlineLevel="0" collapsed="false">
      <c r="B7560" s="7" t="s">
        <v>22206</v>
      </c>
      <c r="C7560" s="7" t="s">
        <v>8057</v>
      </c>
      <c r="D7560" s="7" t="s">
        <v>401</v>
      </c>
      <c r="E7560" s="7" t="s">
        <v>156</v>
      </c>
      <c r="F7560" s="39" t="n">
        <v>46000</v>
      </c>
      <c r="G7560" s="41" t="n">
        <v>128.52</v>
      </c>
      <c r="H7560" s="39" t="n">
        <v>46014</v>
      </c>
      <c r="I7560" s="7" t="s">
        <v>14651</v>
      </c>
      <c r="J7560" s="8" t="str">
        <f aca="false">IF(I7560="Open",DATE(2025,12,31)-F7560,"-")</f>
        <v>-</v>
      </c>
    </row>
    <row r="7561" customFormat="false" ht="15" hidden="false" customHeight="false" outlineLevel="0" collapsed="false">
      <c r="B7561" s="7" t="s">
        <v>22207</v>
      </c>
      <c r="C7561" s="7" t="s">
        <v>8058</v>
      </c>
      <c r="D7561" s="7" t="s">
        <v>407</v>
      </c>
      <c r="E7561" s="7" t="s">
        <v>159</v>
      </c>
      <c r="F7561" s="39" t="n">
        <v>46000</v>
      </c>
      <c r="G7561" s="41" t="n">
        <v>136.35</v>
      </c>
      <c r="H7561" s="6" t="s">
        <v>182</v>
      </c>
      <c r="I7561" s="7" t="s">
        <v>19787</v>
      </c>
      <c r="J7561" s="8" t="n">
        <f aca="false">IF(I7561="Open",DATE(2025,12,31)-F7561,"-")</f>
        <v>22</v>
      </c>
    </row>
    <row r="7562" customFormat="false" ht="15" hidden="false" customHeight="false" outlineLevel="0" collapsed="false">
      <c r="B7562" s="7" t="s">
        <v>22208</v>
      </c>
      <c r="C7562" s="7" t="s">
        <v>8059</v>
      </c>
      <c r="D7562" s="7" t="s">
        <v>284</v>
      </c>
      <c r="E7562" s="7" t="s">
        <v>157</v>
      </c>
      <c r="F7562" s="39" t="n">
        <v>46001</v>
      </c>
      <c r="G7562" s="41" t="n">
        <v>176.55</v>
      </c>
      <c r="H7562" s="6" t="s">
        <v>182</v>
      </c>
      <c r="I7562" s="7" t="s">
        <v>19787</v>
      </c>
      <c r="J7562" s="8" t="n">
        <f aca="false">IF(I7562="Open",DATE(2025,12,31)-F7562,"-")</f>
        <v>21</v>
      </c>
    </row>
    <row r="7563" customFormat="false" ht="15" hidden="false" customHeight="false" outlineLevel="0" collapsed="false">
      <c r="B7563" s="7" t="s">
        <v>22209</v>
      </c>
      <c r="C7563" s="7" t="s">
        <v>8060</v>
      </c>
      <c r="D7563" s="7" t="s">
        <v>288</v>
      </c>
      <c r="E7563" s="7" t="s">
        <v>156</v>
      </c>
      <c r="F7563" s="39" t="n">
        <v>46001</v>
      </c>
      <c r="G7563" s="41" t="n">
        <v>126.48</v>
      </c>
      <c r="H7563" s="39" t="n">
        <v>46002</v>
      </c>
      <c r="I7563" s="7" t="s">
        <v>14651</v>
      </c>
      <c r="J7563" s="8" t="str">
        <f aca="false">IF(I7563="Open",DATE(2025,12,31)-F7563,"-")</f>
        <v>-</v>
      </c>
    </row>
    <row r="7564" customFormat="false" ht="15" hidden="false" customHeight="false" outlineLevel="0" collapsed="false">
      <c r="B7564" s="7" t="s">
        <v>22210</v>
      </c>
      <c r="C7564" s="7" t="s">
        <v>8061</v>
      </c>
      <c r="D7564" s="7" t="s">
        <v>291</v>
      </c>
      <c r="E7564" s="7" t="s">
        <v>154</v>
      </c>
      <c r="F7564" s="39" t="n">
        <v>46001</v>
      </c>
      <c r="G7564" s="41" t="n">
        <v>121.11</v>
      </c>
      <c r="H7564" s="6" t="s">
        <v>182</v>
      </c>
      <c r="I7564" s="7" t="s">
        <v>19787</v>
      </c>
      <c r="J7564" s="8" t="n">
        <f aca="false">IF(I7564="Open",DATE(2025,12,31)-F7564,"-")</f>
        <v>21</v>
      </c>
    </row>
    <row r="7565" customFormat="false" ht="15" hidden="false" customHeight="false" outlineLevel="0" collapsed="false">
      <c r="B7565" s="7" t="s">
        <v>22211</v>
      </c>
      <c r="C7565" s="7" t="s">
        <v>8062</v>
      </c>
      <c r="D7565" s="7" t="s">
        <v>295</v>
      </c>
      <c r="E7565" s="7" t="s">
        <v>154</v>
      </c>
      <c r="F7565" s="39" t="n">
        <v>46001</v>
      </c>
      <c r="G7565" s="41" t="n">
        <v>98.58</v>
      </c>
      <c r="H7565" s="6" t="s">
        <v>182</v>
      </c>
      <c r="I7565" s="7" t="s">
        <v>19787</v>
      </c>
      <c r="J7565" s="8" t="n">
        <f aca="false">IF(I7565="Open",DATE(2025,12,31)-F7565,"-")</f>
        <v>21</v>
      </c>
    </row>
    <row r="7566" customFormat="false" ht="15" hidden="false" customHeight="false" outlineLevel="0" collapsed="false">
      <c r="B7566" s="7" t="s">
        <v>22212</v>
      </c>
      <c r="C7566" s="7" t="s">
        <v>8063</v>
      </c>
      <c r="D7566" s="7" t="s">
        <v>305</v>
      </c>
      <c r="E7566" s="7" t="s">
        <v>154</v>
      </c>
      <c r="F7566" s="39" t="n">
        <v>46001</v>
      </c>
      <c r="G7566" s="41" t="n">
        <v>97.78</v>
      </c>
      <c r="H7566" s="6" t="s">
        <v>182</v>
      </c>
      <c r="I7566" s="7" t="s">
        <v>19787</v>
      </c>
      <c r="J7566" s="8" t="n">
        <f aca="false">IF(I7566="Open",DATE(2025,12,31)-F7566,"-")</f>
        <v>21</v>
      </c>
    </row>
    <row r="7567" customFormat="false" ht="15" hidden="false" customHeight="false" outlineLevel="0" collapsed="false">
      <c r="B7567" s="7" t="s">
        <v>22213</v>
      </c>
      <c r="C7567" s="7" t="s">
        <v>8064</v>
      </c>
      <c r="D7567" s="7" t="s">
        <v>307</v>
      </c>
      <c r="E7567" s="7" t="s">
        <v>157</v>
      </c>
      <c r="F7567" s="39" t="n">
        <v>46001</v>
      </c>
      <c r="G7567" s="41" t="n">
        <v>173.25</v>
      </c>
      <c r="H7567" s="6" t="s">
        <v>182</v>
      </c>
      <c r="I7567" s="7" t="s">
        <v>19787</v>
      </c>
      <c r="J7567" s="8" t="n">
        <f aca="false">IF(I7567="Open",DATE(2025,12,31)-F7567,"-")</f>
        <v>21</v>
      </c>
    </row>
    <row r="7568" customFormat="false" ht="15" hidden="false" customHeight="false" outlineLevel="0" collapsed="false">
      <c r="B7568" s="7" t="s">
        <v>22214</v>
      </c>
      <c r="C7568" s="7" t="s">
        <v>8065</v>
      </c>
      <c r="D7568" s="7" t="s">
        <v>309</v>
      </c>
      <c r="E7568" s="7" t="s">
        <v>159</v>
      </c>
      <c r="F7568" s="39" t="n">
        <v>46001</v>
      </c>
      <c r="G7568" s="41" t="n">
        <v>137.7</v>
      </c>
      <c r="H7568" s="6" t="s">
        <v>182</v>
      </c>
      <c r="I7568" s="7" t="s">
        <v>19787</v>
      </c>
      <c r="J7568" s="8" t="n">
        <f aca="false">IF(I7568="Open",DATE(2025,12,31)-F7568,"-")</f>
        <v>21</v>
      </c>
    </row>
    <row r="7569" customFormat="false" ht="15" hidden="false" customHeight="false" outlineLevel="0" collapsed="false">
      <c r="B7569" s="7" t="s">
        <v>22215</v>
      </c>
      <c r="C7569" s="7" t="s">
        <v>8066</v>
      </c>
      <c r="D7569" s="7" t="s">
        <v>315</v>
      </c>
      <c r="E7569" s="7" t="s">
        <v>159</v>
      </c>
      <c r="F7569" s="39" t="n">
        <v>46001</v>
      </c>
      <c r="G7569" s="41" t="n">
        <v>129.33</v>
      </c>
      <c r="H7569" s="6" t="s">
        <v>182</v>
      </c>
      <c r="I7569" s="7" t="s">
        <v>19787</v>
      </c>
      <c r="J7569" s="8" t="n">
        <f aca="false">IF(I7569="Open",DATE(2025,12,31)-F7569,"-")</f>
        <v>21</v>
      </c>
    </row>
    <row r="7570" customFormat="false" ht="15" hidden="false" customHeight="false" outlineLevel="0" collapsed="false">
      <c r="B7570" s="7" t="s">
        <v>22216</v>
      </c>
      <c r="C7570" s="7" t="s">
        <v>8067</v>
      </c>
      <c r="D7570" s="7" t="s">
        <v>321</v>
      </c>
      <c r="E7570" s="7" t="s">
        <v>154</v>
      </c>
      <c r="F7570" s="39" t="n">
        <v>46001</v>
      </c>
      <c r="G7570" s="41" t="n">
        <v>113.42</v>
      </c>
      <c r="H7570" s="6" t="s">
        <v>182</v>
      </c>
      <c r="I7570" s="7" t="s">
        <v>19787</v>
      </c>
      <c r="J7570" s="8" t="n">
        <f aca="false">IF(I7570="Open",DATE(2025,12,31)-F7570,"-")</f>
        <v>21</v>
      </c>
    </row>
    <row r="7571" customFormat="false" ht="15" hidden="false" customHeight="false" outlineLevel="0" collapsed="false">
      <c r="B7571" s="7" t="s">
        <v>22217</v>
      </c>
      <c r="C7571" s="7" t="s">
        <v>8068</v>
      </c>
      <c r="D7571" s="7" t="s">
        <v>329</v>
      </c>
      <c r="E7571" s="7" t="s">
        <v>156</v>
      </c>
      <c r="F7571" s="39" t="n">
        <v>46001</v>
      </c>
      <c r="G7571" s="41" t="n">
        <v>134.3</v>
      </c>
      <c r="H7571" s="39" t="n">
        <v>46009</v>
      </c>
      <c r="I7571" s="7" t="s">
        <v>14651</v>
      </c>
      <c r="J7571" s="8" t="str">
        <f aca="false">IF(I7571="Open",DATE(2025,12,31)-F7571,"-")</f>
        <v>-</v>
      </c>
    </row>
    <row r="7572" customFormat="false" ht="15" hidden="false" customHeight="false" outlineLevel="0" collapsed="false">
      <c r="B7572" s="7" t="s">
        <v>22218</v>
      </c>
      <c r="C7572" s="7" t="s">
        <v>8069</v>
      </c>
      <c r="D7572" s="7" t="s">
        <v>333</v>
      </c>
      <c r="E7572" s="7" t="s">
        <v>154</v>
      </c>
      <c r="F7572" s="39" t="n">
        <v>46001</v>
      </c>
      <c r="G7572" s="41" t="n">
        <v>93.55</v>
      </c>
      <c r="H7572" s="6" t="s">
        <v>182</v>
      </c>
      <c r="I7572" s="7" t="s">
        <v>19787</v>
      </c>
      <c r="J7572" s="8" t="n">
        <f aca="false">IF(I7572="Open",DATE(2025,12,31)-F7572,"-")</f>
        <v>21</v>
      </c>
    </row>
    <row r="7573" customFormat="false" ht="15" hidden="false" customHeight="false" outlineLevel="0" collapsed="false">
      <c r="B7573" s="7" t="s">
        <v>22219</v>
      </c>
      <c r="C7573" s="7" t="s">
        <v>8070</v>
      </c>
      <c r="D7573" s="7" t="s">
        <v>335</v>
      </c>
      <c r="E7573" s="7" t="s">
        <v>154</v>
      </c>
      <c r="F7573" s="39" t="n">
        <v>46001</v>
      </c>
      <c r="G7573" s="41" t="n">
        <v>113.42</v>
      </c>
      <c r="H7573" s="6" t="s">
        <v>182</v>
      </c>
      <c r="I7573" s="7" t="s">
        <v>19787</v>
      </c>
      <c r="J7573" s="8" t="n">
        <f aca="false">IF(I7573="Open",DATE(2025,12,31)-F7573,"-")</f>
        <v>21</v>
      </c>
    </row>
    <row r="7574" customFormat="false" ht="15" hidden="false" customHeight="false" outlineLevel="0" collapsed="false">
      <c r="B7574" s="7" t="s">
        <v>22220</v>
      </c>
      <c r="C7574" s="7" t="s">
        <v>8071</v>
      </c>
      <c r="D7574" s="7" t="s">
        <v>339</v>
      </c>
      <c r="E7574" s="7" t="s">
        <v>154</v>
      </c>
      <c r="F7574" s="39" t="n">
        <v>46001</v>
      </c>
      <c r="G7574" s="41" t="n">
        <v>85.33</v>
      </c>
      <c r="H7574" s="6" t="s">
        <v>182</v>
      </c>
      <c r="I7574" s="7" t="s">
        <v>19787</v>
      </c>
      <c r="J7574" s="8" t="n">
        <f aca="false">IF(I7574="Open",DATE(2025,12,31)-F7574,"-")</f>
        <v>21</v>
      </c>
    </row>
    <row r="7575" customFormat="false" ht="15" hidden="false" customHeight="false" outlineLevel="0" collapsed="false">
      <c r="B7575" s="7" t="s">
        <v>22221</v>
      </c>
      <c r="C7575" s="7" t="s">
        <v>8072</v>
      </c>
      <c r="D7575" s="7" t="s">
        <v>349</v>
      </c>
      <c r="E7575" s="7" t="s">
        <v>154</v>
      </c>
      <c r="F7575" s="39" t="n">
        <v>46001</v>
      </c>
      <c r="G7575" s="41" t="n">
        <v>95.66</v>
      </c>
      <c r="H7575" s="6" t="s">
        <v>182</v>
      </c>
      <c r="I7575" s="7" t="s">
        <v>19787</v>
      </c>
      <c r="J7575" s="8" t="n">
        <f aca="false">IF(I7575="Open",DATE(2025,12,31)-F7575,"-")</f>
        <v>21</v>
      </c>
    </row>
    <row r="7576" customFormat="false" ht="15" hidden="false" customHeight="false" outlineLevel="0" collapsed="false">
      <c r="B7576" s="7" t="s">
        <v>22222</v>
      </c>
      <c r="C7576" s="7" t="s">
        <v>8073</v>
      </c>
      <c r="D7576" s="7" t="s">
        <v>353</v>
      </c>
      <c r="E7576" s="7" t="s">
        <v>154</v>
      </c>
      <c r="F7576" s="39" t="n">
        <v>46001</v>
      </c>
      <c r="G7576" s="41" t="n">
        <v>96.19</v>
      </c>
      <c r="H7576" s="6" t="s">
        <v>182</v>
      </c>
      <c r="I7576" s="7" t="s">
        <v>19787</v>
      </c>
      <c r="J7576" s="8" t="n">
        <f aca="false">IF(I7576="Open",DATE(2025,12,31)-F7576,"-")</f>
        <v>21</v>
      </c>
    </row>
    <row r="7577" customFormat="false" ht="15" hidden="false" customHeight="false" outlineLevel="0" collapsed="false">
      <c r="B7577" s="7" t="s">
        <v>22223</v>
      </c>
      <c r="C7577" s="7" t="s">
        <v>8074</v>
      </c>
      <c r="D7577" s="7" t="s">
        <v>355</v>
      </c>
      <c r="E7577" s="7" t="s">
        <v>154</v>
      </c>
      <c r="F7577" s="39" t="n">
        <v>46001</v>
      </c>
      <c r="G7577" s="41" t="n">
        <v>86.39</v>
      </c>
      <c r="H7577" s="6" t="s">
        <v>182</v>
      </c>
      <c r="I7577" s="7" t="s">
        <v>19787</v>
      </c>
      <c r="J7577" s="8" t="n">
        <f aca="false">IF(I7577="Open",DATE(2025,12,31)-F7577,"-")</f>
        <v>21</v>
      </c>
    </row>
    <row r="7578" customFormat="false" ht="15" hidden="false" customHeight="false" outlineLevel="0" collapsed="false">
      <c r="B7578" s="7" t="s">
        <v>22224</v>
      </c>
      <c r="C7578" s="7" t="s">
        <v>8075</v>
      </c>
      <c r="D7578" s="7" t="s">
        <v>357</v>
      </c>
      <c r="E7578" s="7" t="s">
        <v>154</v>
      </c>
      <c r="F7578" s="39" t="n">
        <v>46001</v>
      </c>
      <c r="G7578" s="41" t="n">
        <v>80.56</v>
      </c>
      <c r="H7578" s="6" t="s">
        <v>182</v>
      </c>
      <c r="I7578" s="7" t="s">
        <v>19787</v>
      </c>
      <c r="J7578" s="8" t="n">
        <f aca="false">IF(I7578="Open",DATE(2025,12,31)-F7578,"-")</f>
        <v>21</v>
      </c>
    </row>
    <row r="7579" customFormat="false" ht="15" hidden="false" customHeight="false" outlineLevel="0" collapsed="false">
      <c r="B7579" s="7" t="s">
        <v>22225</v>
      </c>
      <c r="C7579" s="7" t="s">
        <v>8076</v>
      </c>
      <c r="D7579" s="7" t="s">
        <v>359</v>
      </c>
      <c r="E7579" s="7" t="s">
        <v>156</v>
      </c>
      <c r="F7579" s="39" t="n">
        <v>46001</v>
      </c>
      <c r="G7579" s="41" t="n">
        <v>145.18</v>
      </c>
      <c r="H7579" s="39" t="n">
        <v>46002</v>
      </c>
      <c r="I7579" s="7" t="s">
        <v>14651</v>
      </c>
      <c r="J7579" s="8" t="str">
        <f aca="false">IF(I7579="Open",DATE(2025,12,31)-F7579,"-")</f>
        <v>-</v>
      </c>
    </row>
    <row r="7580" customFormat="false" ht="15" hidden="false" customHeight="false" outlineLevel="0" collapsed="false">
      <c r="B7580" s="7" t="s">
        <v>22226</v>
      </c>
      <c r="C7580" s="7" t="s">
        <v>8077</v>
      </c>
      <c r="D7580" s="7" t="s">
        <v>365</v>
      </c>
      <c r="E7580" s="7" t="s">
        <v>154</v>
      </c>
      <c r="F7580" s="39" t="n">
        <v>46001</v>
      </c>
      <c r="G7580" s="41" t="n">
        <v>96.46</v>
      </c>
      <c r="H7580" s="39" t="n">
        <v>46018</v>
      </c>
      <c r="I7580" s="7" t="s">
        <v>14651</v>
      </c>
      <c r="J7580" s="8" t="str">
        <f aca="false">IF(I7580="Open",DATE(2025,12,31)-F7580,"-")</f>
        <v>-</v>
      </c>
    </row>
    <row r="7581" customFormat="false" ht="15" hidden="false" customHeight="false" outlineLevel="0" collapsed="false">
      <c r="B7581" s="7" t="s">
        <v>22227</v>
      </c>
      <c r="C7581" s="7" t="s">
        <v>8078</v>
      </c>
      <c r="D7581" s="7" t="s">
        <v>371</v>
      </c>
      <c r="E7581" s="7" t="s">
        <v>154</v>
      </c>
      <c r="F7581" s="39" t="n">
        <v>46001</v>
      </c>
      <c r="G7581" s="41" t="n">
        <v>126.67</v>
      </c>
      <c r="H7581" s="6" t="s">
        <v>182</v>
      </c>
      <c r="I7581" s="7" t="s">
        <v>19787</v>
      </c>
      <c r="J7581" s="8" t="n">
        <f aca="false">IF(I7581="Open",DATE(2025,12,31)-F7581,"-")</f>
        <v>21</v>
      </c>
    </row>
    <row r="7582" customFormat="false" ht="15" hidden="false" customHeight="false" outlineLevel="0" collapsed="false">
      <c r="B7582" s="7" t="s">
        <v>22228</v>
      </c>
      <c r="C7582" s="7" t="s">
        <v>8079</v>
      </c>
      <c r="D7582" s="7" t="s">
        <v>379</v>
      </c>
      <c r="E7582" s="7" t="s">
        <v>156</v>
      </c>
      <c r="F7582" s="39" t="n">
        <v>46001</v>
      </c>
      <c r="G7582" s="41" t="n">
        <v>150.62</v>
      </c>
      <c r="H7582" s="39" t="n">
        <v>46014</v>
      </c>
      <c r="I7582" s="7" t="s">
        <v>14651</v>
      </c>
      <c r="J7582" s="8" t="str">
        <f aca="false">IF(I7582="Open",DATE(2025,12,31)-F7582,"-")</f>
        <v>-</v>
      </c>
    </row>
    <row r="7583" customFormat="false" ht="15" hidden="false" customHeight="false" outlineLevel="0" collapsed="false">
      <c r="B7583" s="7" t="s">
        <v>22229</v>
      </c>
      <c r="C7583" s="7" t="s">
        <v>8080</v>
      </c>
      <c r="D7583" s="7" t="s">
        <v>385</v>
      </c>
      <c r="E7583" s="7" t="s">
        <v>156</v>
      </c>
      <c r="F7583" s="39" t="n">
        <v>46001</v>
      </c>
      <c r="G7583" s="41" t="n">
        <v>131.24</v>
      </c>
      <c r="H7583" s="39" t="n">
        <v>46005</v>
      </c>
      <c r="I7583" s="7" t="s">
        <v>14651</v>
      </c>
      <c r="J7583" s="8" t="str">
        <f aca="false">IF(I7583="Open",DATE(2025,12,31)-F7583,"-")</f>
        <v>-</v>
      </c>
    </row>
    <row r="7584" customFormat="false" ht="15" hidden="false" customHeight="false" outlineLevel="0" collapsed="false">
      <c r="B7584" s="7" t="s">
        <v>22230</v>
      </c>
      <c r="C7584" s="7" t="s">
        <v>8081</v>
      </c>
      <c r="D7584" s="7" t="s">
        <v>387</v>
      </c>
      <c r="E7584" s="7" t="s">
        <v>154</v>
      </c>
      <c r="F7584" s="39" t="n">
        <v>46001</v>
      </c>
      <c r="G7584" s="41" t="n">
        <v>108.46</v>
      </c>
      <c r="H7584" s="6" t="s">
        <v>182</v>
      </c>
      <c r="I7584" s="7" t="s">
        <v>19787</v>
      </c>
      <c r="J7584" s="8" t="n">
        <f aca="false">IF(I7584="Open",DATE(2025,12,31)-F7584,"-")</f>
        <v>21</v>
      </c>
    </row>
    <row r="7585" customFormat="false" ht="15" hidden="false" customHeight="false" outlineLevel="0" collapsed="false">
      <c r="B7585" s="7" t="s">
        <v>22231</v>
      </c>
      <c r="C7585" s="7" t="s">
        <v>8082</v>
      </c>
      <c r="D7585" s="7" t="s">
        <v>389</v>
      </c>
      <c r="E7585" s="7" t="s">
        <v>154</v>
      </c>
      <c r="F7585" s="39" t="n">
        <v>46001</v>
      </c>
      <c r="G7585" s="41" t="n">
        <v>98.31</v>
      </c>
      <c r="H7585" s="6" t="s">
        <v>182</v>
      </c>
      <c r="I7585" s="7" t="s">
        <v>19787</v>
      </c>
      <c r="J7585" s="8" t="n">
        <f aca="false">IF(I7585="Open",DATE(2025,12,31)-F7585,"-")</f>
        <v>21</v>
      </c>
    </row>
    <row r="7586" customFormat="false" ht="15" hidden="false" customHeight="false" outlineLevel="0" collapsed="false">
      <c r="B7586" s="7" t="s">
        <v>22232</v>
      </c>
      <c r="C7586" s="7" t="s">
        <v>8083</v>
      </c>
      <c r="D7586" s="7" t="s">
        <v>391</v>
      </c>
      <c r="E7586" s="7" t="s">
        <v>156</v>
      </c>
      <c r="F7586" s="39" t="n">
        <v>46001</v>
      </c>
      <c r="G7586" s="41" t="n">
        <v>122.4</v>
      </c>
      <c r="H7586" s="39" t="n">
        <v>46011</v>
      </c>
      <c r="I7586" s="7" t="s">
        <v>14651</v>
      </c>
      <c r="J7586" s="8" t="str">
        <f aca="false">IF(I7586="Open",DATE(2025,12,31)-F7586,"-")</f>
        <v>-</v>
      </c>
    </row>
    <row r="7587" customFormat="false" ht="15" hidden="false" customHeight="false" outlineLevel="0" collapsed="false">
      <c r="B7587" s="7" t="s">
        <v>22233</v>
      </c>
      <c r="C7587" s="7" t="s">
        <v>8084</v>
      </c>
      <c r="D7587" s="7" t="s">
        <v>393</v>
      </c>
      <c r="E7587" s="7" t="s">
        <v>157</v>
      </c>
      <c r="F7587" s="39" t="n">
        <v>46001</v>
      </c>
      <c r="G7587" s="41" t="n">
        <v>168.3</v>
      </c>
      <c r="H7587" s="39" t="n">
        <v>46018</v>
      </c>
      <c r="I7587" s="7" t="s">
        <v>14651</v>
      </c>
      <c r="J7587" s="8" t="str">
        <f aca="false">IF(I7587="Open",DATE(2025,12,31)-F7587,"-")</f>
        <v>-</v>
      </c>
    </row>
    <row r="7588" customFormat="false" ht="15" hidden="false" customHeight="false" outlineLevel="0" collapsed="false">
      <c r="B7588" s="7" t="s">
        <v>22234</v>
      </c>
      <c r="C7588" s="7" t="s">
        <v>8085</v>
      </c>
      <c r="D7588" s="7" t="s">
        <v>395</v>
      </c>
      <c r="E7588" s="7" t="s">
        <v>156</v>
      </c>
      <c r="F7588" s="39" t="n">
        <v>46001</v>
      </c>
      <c r="G7588" s="41" t="n">
        <v>132.6</v>
      </c>
      <c r="H7588" s="39" t="n">
        <v>46005</v>
      </c>
      <c r="I7588" s="7" t="s">
        <v>14651</v>
      </c>
      <c r="J7588" s="8" t="str">
        <f aca="false">IF(I7588="Open",DATE(2025,12,31)-F7588,"-")</f>
        <v>-</v>
      </c>
    </row>
    <row r="7589" customFormat="false" ht="15" hidden="false" customHeight="false" outlineLevel="0" collapsed="false">
      <c r="B7589" s="7" t="s">
        <v>22235</v>
      </c>
      <c r="C7589" s="7" t="s">
        <v>8086</v>
      </c>
      <c r="D7589" s="7" t="s">
        <v>401</v>
      </c>
      <c r="E7589" s="7" t="s">
        <v>156</v>
      </c>
      <c r="F7589" s="39" t="n">
        <v>46001</v>
      </c>
      <c r="G7589" s="41" t="n">
        <v>122.4</v>
      </c>
      <c r="H7589" s="39" t="n">
        <v>46012</v>
      </c>
      <c r="I7589" s="7" t="s">
        <v>14651</v>
      </c>
      <c r="J7589" s="8" t="str">
        <f aca="false">IF(I7589="Open",DATE(2025,12,31)-F7589,"-")</f>
        <v>-</v>
      </c>
    </row>
    <row r="7590" customFormat="false" ht="15" hidden="false" customHeight="false" outlineLevel="0" collapsed="false">
      <c r="B7590" s="7" t="s">
        <v>22236</v>
      </c>
      <c r="C7590" s="7" t="s">
        <v>8087</v>
      </c>
      <c r="D7590" s="7" t="s">
        <v>403</v>
      </c>
      <c r="E7590" s="7" t="s">
        <v>156</v>
      </c>
      <c r="F7590" s="39" t="n">
        <v>46001</v>
      </c>
      <c r="G7590" s="41" t="n">
        <v>144.5</v>
      </c>
      <c r="H7590" s="39" t="n">
        <v>46018</v>
      </c>
      <c r="I7590" s="7" t="s">
        <v>14651</v>
      </c>
      <c r="J7590" s="8" t="str">
        <f aca="false">IF(I7590="Open",DATE(2025,12,31)-F7590,"-")</f>
        <v>-</v>
      </c>
    </row>
    <row r="7591" customFormat="false" ht="15" hidden="false" customHeight="false" outlineLevel="0" collapsed="false">
      <c r="B7591" s="7" t="s">
        <v>22237</v>
      </c>
      <c r="C7591" s="7" t="s">
        <v>8088</v>
      </c>
      <c r="D7591" s="7" t="s">
        <v>409</v>
      </c>
      <c r="E7591" s="7" t="s">
        <v>154</v>
      </c>
      <c r="F7591" s="39" t="n">
        <v>46001</v>
      </c>
      <c r="G7591" s="41" t="n">
        <v>90.37</v>
      </c>
      <c r="H7591" s="6" t="s">
        <v>182</v>
      </c>
      <c r="I7591" s="7" t="s">
        <v>19787</v>
      </c>
      <c r="J7591" s="8" t="n">
        <f aca="false">IF(I7591="Open",DATE(2025,12,31)-F7591,"-")</f>
        <v>21</v>
      </c>
    </row>
    <row r="7592" customFormat="false" ht="15" hidden="false" customHeight="false" outlineLevel="0" collapsed="false">
      <c r="B7592" s="7" t="s">
        <v>22238</v>
      </c>
      <c r="C7592" s="7" t="s">
        <v>8089</v>
      </c>
      <c r="D7592" s="7" t="s">
        <v>411</v>
      </c>
      <c r="E7592" s="7" t="s">
        <v>154</v>
      </c>
      <c r="F7592" s="39" t="n">
        <v>46001</v>
      </c>
      <c r="G7592" s="41" t="n">
        <v>115.41</v>
      </c>
      <c r="H7592" s="6" t="s">
        <v>182</v>
      </c>
      <c r="I7592" s="7" t="s">
        <v>19787</v>
      </c>
      <c r="J7592" s="8" t="n">
        <f aca="false">IF(I7592="Open",DATE(2025,12,31)-F7592,"-")</f>
        <v>21</v>
      </c>
    </row>
    <row r="7593" customFormat="false" ht="15" hidden="false" customHeight="false" outlineLevel="0" collapsed="false">
      <c r="B7593" s="7" t="s">
        <v>22239</v>
      </c>
      <c r="C7593" s="7" t="s">
        <v>8090</v>
      </c>
      <c r="D7593" s="7" t="s">
        <v>288</v>
      </c>
      <c r="E7593" s="7" t="s">
        <v>156</v>
      </c>
      <c r="F7593" s="39" t="n">
        <v>46002</v>
      </c>
      <c r="G7593" s="41" t="n">
        <v>138.72</v>
      </c>
      <c r="H7593" s="39" t="n">
        <v>46016</v>
      </c>
      <c r="I7593" s="7" t="s">
        <v>14651</v>
      </c>
      <c r="J7593" s="8" t="str">
        <f aca="false">IF(I7593="Open",DATE(2025,12,31)-F7593,"-")</f>
        <v>-</v>
      </c>
    </row>
    <row r="7594" customFormat="false" ht="15" hidden="false" customHeight="false" outlineLevel="0" collapsed="false">
      <c r="B7594" s="7" t="s">
        <v>22240</v>
      </c>
      <c r="C7594" s="7" t="s">
        <v>8091</v>
      </c>
      <c r="D7594" s="7" t="s">
        <v>297</v>
      </c>
      <c r="E7594" s="7" t="s">
        <v>156</v>
      </c>
      <c r="F7594" s="39" t="n">
        <v>46002</v>
      </c>
      <c r="G7594" s="41" t="n">
        <v>92.82</v>
      </c>
      <c r="H7594" s="6" t="s">
        <v>182</v>
      </c>
      <c r="I7594" s="7" t="s">
        <v>19787</v>
      </c>
      <c r="J7594" s="8" t="n">
        <f aca="false">IF(I7594="Open",DATE(2025,12,31)-F7594,"-")</f>
        <v>20</v>
      </c>
    </row>
    <row r="7595" customFormat="false" ht="15" hidden="false" customHeight="false" outlineLevel="0" collapsed="false">
      <c r="B7595" s="7" t="s">
        <v>22241</v>
      </c>
      <c r="C7595" s="7" t="s">
        <v>8092</v>
      </c>
      <c r="D7595" s="7" t="s">
        <v>299</v>
      </c>
      <c r="E7595" s="7" t="s">
        <v>154</v>
      </c>
      <c r="F7595" s="39" t="n">
        <v>46002</v>
      </c>
      <c r="G7595" s="41" t="n">
        <v>71.81</v>
      </c>
      <c r="H7595" s="6" t="s">
        <v>182</v>
      </c>
      <c r="I7595" s="7" t="s">
        <v>19787</v>
      </c>
      <c r="J7595" s="8" t="n">
        <f aca="false">IF(I7595="Open",DATE(2025,12,31)-F7595,"-")</f>
        <v>20</v>
      </c>
    </row>
    <row r="7596" customFormat="false" ht="15" hidden="false" customHeight="false" outlineLevel="0" collapsed="false">
      <c r="B7596" s="7" t="s">
        <v>22242</v>
      </c>
      <c r="C7596" s="7" t="s">
        <v>8093</v>
      </c>
      <c r="D7596" s="7" t="s">
        <v>303</v>
      </c>
      <c r="E7596" s="7" t="s">
        <v>154</v>
      </c>
      <c r="F7596" s="39" t="n">
        <v>46002</v>
      </c>
      <c r="G7596" s="41" t="n">
        <v>101.23</v>
      </c>
      <c r="H7596" s="6" t="s">
        <v>182</v>
      </c>
      <c r="I7596" s="7" t="s">
        <v>19787</v>
      </c>
      <c r="J7596" s="8" t="n">
        <f aca="false">IF(I7596="Open",DATE(2025,12,31)-F7596,"-")</f>
        <v>20</v>
      </c>
    </row>
    <row r="7597" customFormat="false" ht="15" hidden="false" customHeight="false" outlineLevel="0" collapsed="false">
      <c r="B7597" s="7" t="s">
        <v>22243</v>
      </c>
      <c r="C7597" s="7" t="s">
        <v>8094</v>
      </c>
      <c r="D7597" s="7" t="s">
        <v>311</v>
      </c>
      <c r="E7597" s="7" t="s">
        <v>154</v>
      </c>
      <c r="F7597" s="39" t="n">
        <v>46002</v>
      </c>
      <c r="G7597" s="41" t="n">
        <v>77.12</v>
      </c>
      <c r="H7597" s="6" t="s">
        <v>182</v>
      </c>
      <c r="I7597" s="7" t="s">
        <v>19787</v>
      </c>
      <c r="J7597" s="8" t="n">
        <f aca="false">IF(I7597="Open",DATE(2025,12,31)-F7597,"-")</f>
        <v>20</v>
      </c>
    </row>
    <row r="7598" customFormat="false" ht="15" hidden="false" customHeight="false" outlineLevel="0" collapsed="false">
      <c r="B7598" s="7" t="s">
        <v>22244</v>
      </c>
      <c r="C7598" s="7" t="s">
        <v>8095</v>
      </c>
      <c r="D7598" s="7" t="s">
        <v>313</v>
      </c>
      <c r="E7598" s="7" t="s">
        <v>156</v>
      </c>
      <c r="F7598" s="39" t="n">
        <v>46002</v>
      </c>
      <c r="G7598" s="41" t="n">
        <v>142.12</v>
      </c>
      <c r="H7598" s="39" t="n">
        <v>46018</v>
      </c>
      <c r="I7598" s="7" t="s">
        <v>14651</v>
      </c>
      <c r="J7598" s="8" t="str">
        <f aca="false">IF(I7598="Open",DATE(2025,12,31)-F7598,"-")</f>
        <v>-</v>
      </c>
    </row>
    <row r="7599" customFormat="false" ht="15" hidden="false" customHeight="false" outlineLevel="0" collapsed="false">
      <c r="B7599" s="7" t="s">
        <v>22245</v>
      </c>
      <c r="C7599" s="7" t="s">
        <v>8096</v>
      </c>
      <c r="D7599" s="7" t="s">
        <v>317</v>
      </c>
      <c r="E7599" s="7" t="s">
        <v>156</v>
      </c>
      <c r="F7599" s="39" t="n">
        <v>46002</v>
      </c>
      <c r="G7599" s="41" t="n">
        <v>102</v>
      </c>
      <c r="H7599" s="39" t="n">
        <v>46018</v>
      </c>
      <c r="I7599" s="7" t="s">
        <v>14651</v>
      </c>
      <c r="J7599" s="8" t="str">
        <f aca="false">IF(I7599="Open",DATE(2025,12,31)-F7599,"-")</f>
        <v>-</v>
      </c>
    </row>
    <row r="7600" customFormat="false" ht="15" hidden="false" customHeight="false" outlineLevel="0" collapsed="false">
      <c r="B7600" s="7" t="s">
        <v>22246</v>
      </c>
      <c r="C7600" s="7" t="s">
        <v>8097</v>
      </c>
      <c r="D7600" s="7" t="s">
        <v>321</v>
      </c>
      <c r="E7600" s="7" t="s">
        <v>154</v>
      </c>
      <c r="F7600" s="39" t="n">
        <v>46002</v>
      </c>
      <c r="G7600" s="41" t="n">
        <v>106.16</v>
      </c>
      <c r="H7600" s="6" t="s">
        <v>182</v>
      </c>
      <c r="I7600" s="7" t="s">
        <v>19787</v>
      </c>
      <c r="J7600" s="8" t="n">
        <f aca="false">IF(I7600="Open",DATE(2025,12,31)-F7600,"-")</f>
        <v>20</v>
      </c>
    </row>
    <row r="7601" customFormat="false" ht="15" hidden="false" customHeight="false" outlineLevel="0" collapsed="false">
      <c r="B7601" s="7" t="s">
        <v>22247</v>
      </c>
      <c r="C7601" s="7" t="s">
        <v>8098</v>
      </c>
      <c r="D7601" s="7" t="s">
        <v>325</v>
      </c>
      <c r="E7601" s="7" t="s">
        <v>154</v>
      </c>
      <c r="F7601" s="39" t="n">
        <v>46002</v>
      </c>
      <c r="G7601" s="41" t="n">
        <v>85.33</v>
      </c>
      <c r="H7601" s="6" t="s">
        <v>182</v>
      </c>
      <c r="I7601" s="7" t="s">
        <v>19787</v>
      </c>
      <c r="J7601" s="8" t="n">
        <f aca="false">IF(I7601="Open",DATE(2025,12,31)-F7601,"-")</f>
        <v>20</v>
      </c>
    </row>
    <row r="7602" customFormat="false" ht="15" hidden="false" customHeight="false" outlineLevel="0" collapsed="false">
      <c r="B7602" s="7" t="s">
        <v>22248</v>
      </c>
      <c r="C7602" s="7" t="s">
        <v>8099</v>
      </c>
      <c r="D7602" s="7" t="s">
        <v>329</v>
      </c>
      <c r="E7602" s="7" t="s">
        <v>156</v>
      </c>
      <c r="F7602" s="39" t="n">
        <v>46002</v>
      </c>
      <c r="G7602" s="41" t="n">
        <v>132.6</v>
      </c>
      <c r="H7602" s="39" t="n">
        <v>46018</v>
      </c>
      <c r="I7602" s="7" t="s">
        <v>14651</v>
      </c>
      <c r="J7602" s="8" t="str">
        <f aca="false">IF(I7602="Open",DATE(2025,12,31)-F7602,"-")</f>
        <v>-</v>
      </c>
    </row>
    <row r="7603" customFormat="false" ht="15" hidden="false" customHeight="false" outlineLevel="0" collapsed="false">
      <c r="B7603" s="7" t="s">
        <v>22249</v>
      </c>
      <c r="C7603" s="7" t="s">
        <v>8100</v>
      </c>
      <c r="D7603" s="7" t="s">
        <v>341</v>
      </c>
      <c r="E7603" s="7" t="s">
        <v>156</v>
      </c>
      <c r="F7603" s="39" t="n">
        <v>46002</v>
      </c>
      <c r="G7603" s="41" t="n">
        <v>94.86</v>
      </c>
      <c r="H7603" s="39" t="n">
        <v>46010</v>
      </c>
      <c r="I7603" s="7" t="s">
        <v>14651</v>
      </c>
      <c r="J7603" s="8" t="str">
        <f aca="false">IF(I7603="Open",DATE(2025,12,31)-F7603,"-")</f>
        <v>-</v>
      </c>
    </row>
    <row r="7604" customFormat="false" ht="15" hidden="false" customHeight="false" outlineLevel="0" collapsed="false">
      <c r="B7604" s="7" t="s">
        <v>22250</v>
      </c>
      <c r="C7604" s="7" t="s">
        <v>8101</v>
      </c>
      <c r="D7604" s="7" t="s">
        <v>343</v>
      </c>
      <c r="E7604" s="7" t="s">
        <v>154</v>
      </c>
      <c r="F7604" s="39" t="n">
        <v>46002</v>
      </c>
      <c r="G7604" s="41" t="n">
        <v>107.06</v>
      </c>
      <c r="H7604" s="6" t="s">
        <v>182</v>
      </c>
      <c r="I7604" s="7" t="s">
        <v>19787</v>
      </c>
      <c r="J7604" s="8" t="n">
        <f aca="false">IF(I7604="Open",DATE(2025,12,31)-F7604,"-")</f>
        <v>20</v>
      </c>
    </row>
    <row r="7605" customFormat="false" ht="15" hidden="false" customHeight="false" outlineLevel="0" collapsed="false">
      <c r="B7605" s="7" t="s">
        <v>22251</v>
      </c>
      <c r="C7605" s="7" t="s">
        <v>8102</v>
      </c>
      <c r="D7605" s="7" t="s">
        <v>349</v>
      </c>
      <c r="E7605" s="7" t="s">
        <v>154</v>
      </c>
      <c r="F7605" s="39" t="n">
        <v>46002</v>
      </c>
      <c r="G7605" s="41" t="n">
        <v>111.83</v>
      </c>
      <c r="H7605" s="6" t="s">
        <v>182</v>
      </c>
      <c r="I7605" s="7" t="s">
        <v>19787</v>
      </c>
      <c r="J7605" s="8" t="n">
        <f aca="false">IF(I7605="Open",DATE(2025,12,31)-F7605,"-")</f>
        <v>20</v>
      </c>
    </row>
    <row r="7606" customFormat="false" ht="15" hidden="false" customHeight="false" outlineLevel="0" collapsed="false">
      <c r="B7606" s="7" t="s">
        <v>22252</v>
      </c>
      <c r="C7606" s="7" t="s">
        <v>8103</v>
      </c>
      <c r="D7606" s="7" t="s">
        <v>351</v>
      </c>
      <c r="E7606" s="7" t="s">
        <v>154</v>
      </c>
      <c r="F7606" s="39" t="n">
        <v>46002</v>
      </c>
      <c r="G7606" s="41" t="n">
        <v>72.88</v>
      </c>
      <c r="H7606" s="6" t="s">
        <v>182</v>
      </c>
      <c r="I7606" s="7" t="s">
        <v>19787</v>
      </c>
      <c r="J7606" s="8" t="n">
        <f aca="false">IF(I7606="Open",DATE(2025,12,31)-F7606,"-")</f>
        <v>20</v>
      </c>
    </row>
    <row r="7607" customFormat="false" ht="15" hidden="false" customHeight="false" outlineLevel="0" collapsed="false">
      <c r="B7607" s="7" t="s">
        <v>22253</v>
      </c>
      <c r="C7607" s="7" t="s">
        <v>8104</v>
      </c>
      <c r="D7607" s="7" t="s">
        <v>359</v>
      </c>
      <c r="E7607" s="7" t="s">
        <v>156</v>
      </c>
      <c r="F7607" s="39" t="n">
        <v>46002</v>
      </c>
      <c r="G7607" s="41" t="n">
        <v>125.8</v>
      </c>
      <c r="H7607" s="39" t="n">
        <v>46017</v>
      </c>
      <c r="I7607" s="7" t="s">
        <v>14651</v>
      </c>
      <c r="J7607" s="8" t="str">
        <f aca="false">IF(I7607="Open",DATE(2025,12,31)-F7607,"-")</f>
        <v>-</v>
      </c>
    </row>
    <row r="7608" customFormat="false" ht="15" hidden="false" customHeight="false" outlineLevel="0" collapsed="false">
      <c r="B7608" s="7" t="s">
        <v>22254</v>
      </c>
      <c r="C7608" s="7" t="s">
        <v>8105</v>
      </c>
      <c r="D7608" s="7" t="s">
        <v>363</v>
      </c>
      <c r="E7608" s="7" t="s">
        <v>156</v>
      </c>
      <c r="F7608" s="39" t="n">
        <v>46002</v>
      </c>
      <c r="G7608" s="41" t="n">
        <v>145.18</v>
      </c>
      <c r="H7608" s="39" t="n">
        <v>46016</v>
      </c>
      <c r="I7608" s="7" t="s">
        <v>14651</v>
      </c>
      <c r="J7608" s="8" t="str">
        <f aca="false">IF(I7608="Open",DATE(2025,12,31)-F7608,"-")</f>
        <v>-</v>
      </c>
    </row>
    <row r="7609" customFormat="false" ht="15" hidden="false" customHeight="false" outlineLevel="0" collapsed="false">
      <c r="B7609" s="7" t="s">
        <v>22255</v>
      </c>
      <c r="C7609" s="7" t="s">
        <v>8106</v>
      </c>
      <c r="D7609" s="7" t="s">
        <v>365</v>
      </c>
      <c r="E7609" s="7" t="s">
        <v>154</v>
      </c>
      <c r="F7609" s="39" t="n">
        <v>46002</v>
      </c>
      <c r="G7609" s="41" t="n">
        <v>109.44</v>
      </c>
      <c r="H7609" s="6" t="s">
        <v>182</v>
      </c>
      <c r="I7609" s="7" t="s">
        <v>19787</v>
      </c>
      <c r="J7609" s="8" t="n">
        <f aca="false">IF(I7609="Open",DATE(2025,12,31)-F7609,"-")</f>
        <v>20</v>
      </c>
    </row>
    <row r="7610" customFormat="false" ht="15" hidden="false" customHeight="false" outlineLevel="0" collapsed="false">
      <c r="B7610" s="7" t="s">
        <v>22256</v>
      </c>
      <c r="C7610" s="7" t="s">
        <v>8107</v>
      </c>
      <c r="D7610" s="7" t="s">
        <v>367</v>
      </c>
      <c r="E7610" s="7" t="s">
        <v>156</v>
      </c>
      <c r="F7610" s="39" t="n">
        <v>46002</v>
      </c>
      <c r="G7610" s="41" t="n">
        <v>101.66</v>
      </c>
      <c r="H7610" s="39" t="n">
        <v>46017</v>
      </c>
      <c r="I7610" s="7" t="s">
        <v>14651</v>
      </c>
      <c r="J7610" s="8" t="str">
        <f aca="false">IF(I7610="Open",DATE(2025,12,31)-F7610,"-")</f>
        <v>-</v>
      </c>
    </row>
    <row r="7611" customFormat="false" ht="15" hidden="false" customHeight="false" outlineLevel="0" collapsed="false">
      <c r="B7611" s="7" t="s">
        <v>22257</v>
      </c>
      <c r="C7611" s="7" t="s">
        <v>8108</v>
      </c>
      <c r="D7611" s="7" t="s">
        <v>375</v>
      </c>
      <c r="E7611" s="7" t="s">
        <v>156</v>
      </c>
      <c r="F7611" s="39" t="n">
        <v>46002</v>
      </c>
      <c r="G7611" s="41" t="n">
        <v>92.14</v>
      </c>
      <c r="H7611" s="39" t="n">
        <v>46015</v>
      </c>
      <c r="I7611" s="7" t="s">
        <v>14651</v>
      </c>
      <c r="J7611" s="8" t="str">
        <f aca="false">IF(I7611="Open",DATE(2025,12,31)-F7611,"-")</f>
        <v>-</v>
      </c>
    </row>
    <row r="7612" customFormat="false" ht="15" hidden="false" customHeight="false" outlineLevel="0" collapsed="false">
      <c r="B7612" s="7" t="s">
        <v>22258</v>
      </c>
      <c r="C7612" s="7" t="s">
        <v>8109</v>
      </c>
      <c r="D7612" s="7" t="s">
        <v>377</v>
      </c>
      <c r="E7612" s="7" t="s">
        <v>154</v>
      </c>
      <c r="F7612" s="39" t="n">
        <v>46002</v>
      </c>
      <c r="G7612" s="41" t="n">
        <v>102.03</v>
      </c>
      <c r="H7612" s="6" t="s">
        <v>182</v>
      </c>
      <c r="I7612" s="7" t="s">
        <v>19787</v>
      </c>
      <c r="J7612" s="8" t="n">
        <f aca="false">IF(I7612="Open",DATE(2025,12,31)-F7612,"-")</f>
        <v>20</v>
      </c>
    </row>
    <row r="7613" customFormat="false" ht="15" hidden="false" customHeight="false" outlineLevel="0" collapsed="false">
      <c r="B7613" s="7" t="s">
        <v>22259</v>
      </c>
      <c r="C7613" s="7" t="s">
        <v>8110</v>
      </c>
      <c r="D7613" s="7" t="s">
        <v>389</v>
      </c>
      <c r="E7613" s="7" t="s">
        <v>154</v>
      </c>
      <c r="F7613" s="39" t="n">
        <v>46002</v>
      </c>
      <c r="G7613" s="41" t="n">
        <v>94.07</v>
      </c>
      <c r="H7613" s="6" t="s">
        <v>182</v>
      </c>
      <c r="I7613" s="7" t="s">
        <v>19787</v>
      </c>
      <c r="J7613" s="8" t="n">
        <f aca="false">IF(I7613="Open",DATE(2025,12,31)-F7613,"-")</f>
        <v>20</v>
      </c>
    </row>
    <row r="7614" customFormat="false" ht="15" hidden="false" customHeight="false" outlineLevel="0" collapsed="false">
      <c r="B7614" s="7" t="s">
        <v>22260</v>
      </c>
      <c r="C7614" s="7" t="s">
        <v>8111</v>
      </c>
      <c r="D7614" s="7" t="s">
        <v>391</v>
      </c>
      <c r="E7614" s="7" t="s">
        <v>156</v>
      </c>
      <c r="F7614" s="39" t="n">
        <v>46002</v>
      </c>
      <c r="G7614" s="41" t="n">
        <v>123.76</v>
      </c>
      <c r="H7614" s="39" t="n">
        <v>46003</v>
      </c>
      <c r="I7614" s="7" t="s">
        <v>14651</v>
      </c>
      <c r="J7614" s="8" t="str">
        <f aca="false">IF(I7614="Open",DATE(2025,12,31)-F7614,"-")</f>
        <v>-</v>
      </c>
    </row>
    <row r="7615" customFormat="false" ht="15" hidden="false" customHeight="false" outlineLevel="0" collapsed="false">
      <c r="B7615" s="7" t="s">
        <v>22261</v>
      </c>
      <c r="C7615" s="7" t="s">
        <v>8112</v>
      </c>
      <c r="D7615" s="7" t="s">
        <v>395</v>
      </c>
      <c r="E7615" s="7" t="s">
        <v>156</v>
      </c>
      <c r="F7615" s="39" t="n">
        <v>46002</v>
      </c>
      <c r="G7615" s="41" t="n">
        <v>125.46</v>
      </c>
      <c r="H7615" s="39" t="n">
        <v>46012</v>
      </c>
      <c r="I7615" s="7" t="s">
        <v>14651</v>
      </c>
      <c r="J7615" s="8" t="str">
        <f aca="false">IF(I7615="Open",DATE(2025,12,31)-F7615,"-")</f>
        <v>-</v>
      </c>
    </row>
    <row r="7616" customFormat="false" ht="15" hidden="false" customHeight="false" outlineLevel="0" collapsed="false">
      <c r="B7616" s="7" t="s">
        <v>22262</v>
      </c>
      <c r="C7616" s="7" t="s">
        <v>8113</v>
      </c>
      <c r="D7616" s="7" t="s">
        <v>401</v>
      </c>
      <c r="E7616" s="7" t="s">
        <v>156</v>
      </c>
      <c r="F7616" s="39" t="n">
        <v>46002</v>
      </c>
      <c r="G7616" s="41" t="n">
        <v>146.2</v>
      </c>
      <c r="H7616" s="6" t="s">
        <v>182</v>
      </c>
      <c r="I7616" s="7" t="s">
        <v>19787</v>
      </c>
      <c r="J7616" s="8" t="n">
        <f aca="false">IF(I7616="Open",DATE(2025,12,31)-F7616,"-")</f>
        <v>20</v>
      </c>
    </row>
    <row r="7617" customFormat="false" ht="15" hidden="false" customHeight="false" outlineLevel="0" collapsed="false">
      <c r="B7617" s="7" t="s">
        <v>22263</v>
      </c>
      <c r="C7617" s="7" t="s">
        <v>8114</v>
      </c>
      <c r="D7617" s="7" t="s">
        <v>405</v>
      </c>
      <c r="E7617" s="7" t="s">
        <v>156</v>
      </c>
      <c r="F7617" s="39" t="n">
        <v>46002</v>
      </c>
      <c r="G7617" s="41" t="n">
        <v>102.68</v>
      </c>
      <c r="H7617" s="39" t="n">
        <v>46018</v>
      </c>
      <c r="I7617" s="7" t="s">
        <v>14651</v>
      </c>
      <c r="J7617" s="8" t="str">
        <f aca="false">IF(I7617="Open",DATE(2025,12,31)-F7617,"-")</f>
        <v>-</v>
      </c>
    </row>
    <row r="7618" customFormat="false" ht="15" hidden="false" customHeight="false" outlineLevel="0" collapsed="false">
      <c r="B7618" s="7" t="s">
        <v>22264</v>
      </c>
      <c r="C7618" s="7" t="s">
        <v>8115</v>
      </c>
      <c r="D7618" s="7" t="s">
        <v>291</v>
      </c>
      <c r="E7618" s="7" t="s">
        <v>154</v>
      </c>
      <c r="F7618" s="39" t="n">
        <v>46003</v>
      </c>
      <c r="G7618" s="41" t="n">
        <v>113.42</v>
      </c>
      <c r="H7618" s="6" t="s">
        <v>182</v>
      </c>
      <c r="I7618" s="7" t="s">
        <v>19787</v>
      </c>
      <c r="J7618" s="8" t="n">
        <f aca="false">IF(I7618="Open",DATE(2025,12,31)-F7618,"-")</f>
        <v>19</v>
      </c>
    </row>
    <row r="7619" customFormat="false" ht="15" hidden="false" customHeight="false" outlineLevel="0" collapsed="false">
      <c r="B7619" s="7" t="s">
        <v>22265</v>
      </c>
      <c r="C7619" s="7" t="s">
        <v>8116</v>
      </c>
      <c r="D7619" s="7" t="s">
        <v>293</v>
      </c>
      <c r="E7619" s="7" t="s">
        <v>157</v>
      </c>
      <c r="F7619" s="39" t="n">
        <v>46003</v>
      </c>
      <c r="G7619" s="41" t="n">
        <v>173.25</v>
      </c>
      <c r="H7619" s="6" t="s">
        <v>182</v>
      </c>
      <c r="I7619" s="7" t="s">
        <v>19787</v>
      </c>
      <c r="J7619" s="8" t="n">
        <f aca="false">IF(I7619="Open",DATE(2025,12,31)-F7619,"-")</f>
        <v>19</v>
      </c>
    </row>
    <row r="7620" customFormat="false" ht="15" hidden="false" customHeight="false" outlineLevel="0" collapsed="false">
      <c r="B7620" s="7" t="s">
        <v>22266</v>
      </c>
      <c r="C7620" s="7" t="s">
        <v>8117</v>
      </c>
      <c r="D7620" s="7" t="s">
        <v>295</v>
      </c>
      <c r="E7620" s="7" t="s">
        <v>154</v>
      </c>
      <c r="F7620" s="39" t="n">
        <v>46003</v>
      </c>
      <c r="G7620" s="41" t="n">
        <v>101.76</v>
      </c>
      <c r="H7620" s="6" t="s">
        <v>182</v>
      </c>
      <c r="I7620" s="7" t="s">
        <v>19787</v>
      </c>
      <c r="J7620" s="8" t="n">
        <f aca="false">IF(I7620="Open",DATE(2025,12,31)-F7620,"-")</f>
        <v>19</v>
      </c>
    </row>
    <row r="7621" customFormat="false" ht="15" hidden="false" customHeight="false" outlineLevel="0" collapsed="false">
      <c r="B7621" s="7" t="s">
        <v>22267</v>
      </c>
      <c r="C7621" s="7" t="s">
        <v>8118</v>
      </c>
      <c r="D7621" s="7" t="s">
        <v>301</v>
      </c>
      <c r="E7621" s="7" t="s">
        <v>157</v>
      </c>
      <c r="F7621" s="39" t="n">
        <v>46003</v>
      </c>
      <c r="G7621" s="41" t="n">
        <v>168.3</v>
      </c>
      <c r="H7621" s="6" t="s">
        <v>182</v>
      </c>
      <c r="I7621" s="7" t="s">
        <v>19787</v>
      </c>
      <c r="J7621" s="8" t="n">
        <f aca="false">IF(I7621="Open",DATE(2025,12,31)-F7621,"-")</f>
        <v>19</v>
      </c>
    </row>
    <row r="7622" customFormat="false" ht="15" hidden="false" customHeight="false" outlineLevel="0" collapsed="false">
      <c r="B7622" s="7" t="s">
        <v>22268</v>
      </c>
      <c r="C7622" s="7" t="s">
        <v>8119</v>
      </c>
      <c r="D7622" s="7" t="s">
        <v>305</v>
      </c>
      <c r="E7622" s="7" t="s">
        <v>154</v>
      </c>
      <c r="F7622" s="39" t="n">
        <v>46003</v>
      </c>
      <c r="G7622" s="41" t="n">
        <v>102.56</v>
      </c>
      <c r="H7622" s="6" t="s">
        <v>182</v>
      </c>
      <c r="I7622" s="7" t="s">
        <v>19787</v>
      </c>
      <c r="J7622" s="8" t="n">
        <f aca="false">IF(I7622="Open",DATE(2025,12,31)-F7622,"-")</f>
        <v>19</v>
      </c>
    </row>
    <row r="7623" customFormat="false" ht="15" hidden="false" customHeight="false" outlineLevel="0" collapsed="false">
      <c r="B7623" s="7" t="s">
        <v>22269</v>
      </c>
      <c r="C7623" s="7" t="s">
        <v>8120</v>
      </c>
      <c r="D7623" s="7" t="s">
        <v>307</v>
      </c>
      <c r="E7623" s="7" t="s">
        <v>157</v>
      </c>
      <c r="F7623" s="39" t="n">
        <v>46003</v>
      </c>
      <c r="G7623" s="41" t="n">
        <v>163.35</v>
      </c>
      <c r="H7623" s="6" t="s">
        <v>182</v>
      </c>
      <c r="I7623" s="7" t="s">
        <v>19787</v>
      </c>
      <c r="J7623" s="8" t="n">
        <f aca="false">IF(I7623="Open",DATE(2025,12,31)-F7623,"-")</f>
        <v>19</v>
      </c>
    </row>
    <row r="7624" customFormat="false" ht="15" hidden="false" customHeight="false" outlineLevel="0" collapsed="false">
      <c r="B7624" s="7" t="s">
        <v>22270</v>
      </c>
      <c r="C7624" s="7" t="s">
        <v>8121</v>
      </c>
      <c r="D7624" s="7" t="s">
        <v>309</v>
      </c>
      <c r="E7624" s="7" t="s">
        <v>159</v>
      </c>
      <c r="F7624" s="39" t="n">
        <v>46003</v>
      </c>
      <c r="G7624" s="41" t="n">
        <v>124.34</v>
      </c>
      <c r="H7624" s="6" t="s">
        <v>182</v>
      </c>
      <c r="I7624" s="7" t="s">
        <v>19787</v>
      </c>
      <c r="J7624" s="8" t="n">
        <f aca="false">IF(I7624="Open",DATE(2025,12,31)-F7624,"-")</f>
        <v>19</v>
      </c>
    </row>
    <row r="7625" customFormat="false" ht="15" hidden="false" customHeight="false" outlineLevel="0" collapsed="false">
      <c r="B7625" s="7" t="s">
        <v>22271</v>
      </c>
      <c r="C7625" s="7" t="s">
        <v>8122</v>
      </c>
      <c r="D7625" s="7" t="s">
        <v>313</v>
      </c>
      <c r="E7625" s="7" t="s">
        <v>156</v>
      </c>
      <c r="F7625" s="39" t="n">
        <v>46003</v>
      </c>
      <c r="G7625" s="41" t="n">
        <v>142.8</v>
      </c>
      <c r="H7625" s="39" t="n">
        <v>46013</v>
      </c>
      <c r="I7625" s="7" t="s">
        <v>14651</v>
      </c>
      <c r="J7625" s="8" t="str">
        <f aca="false">IF(I7625="Open",DATE(2025,12,31)-F7625,"-")</f>
        <v>-</v>
      </c>
    </row>
    <row r="7626" customFormat="false" ht="15" hidden="false" customHeight="false" outlineLevel="0" collapsed="false">
      <c r="B7626" s="7" t="s">
        <v>22272</v>
      </c>
      <c r="C7626" s="7" t="s">
        <v>8123</v>
      </c>
      <c r="D7626" s="7" t="s">
        <v>315</v>
      </c>
      <c r="E7626" s="7" t="s">
        <v>159</v>
      </c>
      <c r="F7626" s="39" t="n">
        <v>46003</v>
      </c>
      <c r="G7626" s="41" t="n">
        <v>125.55</v>
      </c>
      <c r="H7626" s="6" t="s">
        <v>182</v>
      </c>
      <c r="I7626" s="7" t="s">
        <v>19787</v>
      </c>
      <c r="J7626" s="8" t="n">
        <f aca="false">IF(I7626="Open",DATE(2025,12,31)-F7626,"-")</f>
        <v>19</v>
      </c>
    </row>
    <row r="7627" customFormat="false" ht="15" hidden="false" customHeight="false" outlineLevel="0" collapsed="false">
      <c r="B7627" s="7" t="s">
        <v>22273</v>
      </c>
      <c r="C7627" s="7" t="s">
        <v>8124</v>
      </c>
      <c r="D7627" s="7" t="s">
        <v>319</v>
      </c>
      <c r="E7627" s="7" t="s">
        <v>157</v>
      </c>
      <c r="F7627" s="39" t="n">
        <v>46003</v>
      </c>
      <c r="G7627" s="41" t="n">
        <v>161.7</v>
      </c>
      <c r="H7627" s="6" t="s">
        <v>182</v>
      </c>
      <c r="I7627" s="7" t="s">
        <v>19787</v>
      </c>
      <c r="J7627" s="8" t="n">
        <f aca="false">IF(I7627="Open",DATE(2025,12,31)-F7627,"-")</f>
        <v>19</v>
      </c>
    </row>
    <row r="7628" customFormat="false" ht="15" hidden="false" customHeight="false" outlineLevel="0" collapsed="false">
      <c r="B7628" s="7" t="s">
        <v>22274</v>
      </c>
      <c r="C7628" s="7" t="s">
        <v>8125</v>
      </c>
      <c r="D7628" s="7" t="s">
        <v>321</v>
      </c>
      <c r="E7628" s="7" t="s">
        <v>154</v>
      </c>
      <c r="F7628" s="39" t="n">
        <v>46003</v>
      </c>
      <c r="G7628" s="41" t="n">
        <v>112.89</v>
      </c>
      <c r="H7628" s="6" t="s">
        <v>182</v>
      </c>
      <c r="I7628" s="7" t="s">
        <v>19787</v>
      </c>
      <c r="J7628" s="8" t="n">
        <f aca="false">IF(I7628="Open",DATE(2025,12,31)-F7628,"-")</f>
        <v>19</v>
      </c>
    </row>
    <row r="7629" customFormat="false" ht="15" hidden="false" customHeight="false" outlineLevel="0" collapsed="false">
      <c r="B7629" s="7" t="s">
        <v>22275</v>
      </c>
      <c r="C7629" s="7" t="s">
        <v>8126</v>
      </c>
      <c r="D7629" s="7" t="s">
        <v>323</v>
      </c>
      <c r="E7629" s="7" t="s">
        <v>159</v>
      </c>
      <c r="F7629" s="39" t="n">
        <v>46003</v>
      </c>
      <c r="G7629" s="41" t="n">
        <v>126.9</v>
      </c>
      <c r="H7629" s="6" t="s">
        <v>182</v>
      </c>
      <c r="I7629" s="7" t="s">
        <v>19787</v>
      </c>
      <c r="J7629" s="8" t="n">
        <f aca="false">IF(I7629="Open",DATE(2025,12,31)-F7629,"-")</f>
        <v>19</v>
      </c>
    </row>
    <row r="7630" customFormat="false" ht="15" hidden="false" customHeight="false" outlineLevel="0" collapsed="false">
      <c r="B7630" s="7" t="s">
        <v>22276</v>
      </c>
      <c r="C7630" s="7" t="s">
        <v>8127</v>
      </c>
      <c r="D7630" s="7" t="s">
        <v>327</v>
      </c>
      <c r="E7630" s="7" t="s">
        <v>157</v>
      </c>
      <c r="F7630" s="39" t="n">
        <v>46003</v>
      </c>
      <c r="G7630" s="41" t="n">
        <v>163.35</v>
      </c>
      <c r="H7630" s="6" t="s">
        <v>182</v>
      </c>
      <c r="I7630" s="7" t="s">
        <v>19787</v>
      </c>
      <c r="J7630" s="8" t="n">
        <f aca="false">IF(I7630="Open",DATE(2025,12,31)-F7630,"-")</f>
        <v>19</v>
      </c>
    </row>
    <row r="7631" customFormat="false" ht="15" hidden="false" customHeight="false" outlineLevel="0" collapsed="false">
      <c r="B7631" s="7" t="s">
        <v>22277</v>
      </c>
      <c r="C7631" s="7" t="s">
        <v>8128</v>
      </c>
      <c r="D7631" s="7" t="s">
        <v>329</v>
      </c>
      <c r="E7631" s="7" t="s">
        <v>156</v>
      </c>
      <c r="F7631" s="39" t="n">
        <v>46003</v>
      </c>
      <c r="G7631" s="41" t="n">
        <v>136.68</v>
      </c>
      <c r="H7631" s="39" t="n">
        <v>46009</v>
      </c>
      <c r="I7631" s="7" t="s">
        <v>14651</v>
      </c>
      <c r="J7631" s="8" t="str">
        <f aca="false">IF(I7631="Open",DATE(2025,12,31)-F7631,"-")</f>
        <v>-</v>
      </c>
    </row>
    <row r="7632" customFormat="false" ht="15" hidden="false" customHeight="false" outlineLevel="0" collapsed="false">
      <c r="B7632" s="7" t="s">
        <v>22278</v>
      </c>
      <c r="C7632" s="7" t="s">
        <v>8129</v>
      </c>
      <c r="D7632" s="7" t="s">
        <v>333</v>
      </c>
      <c r="E7632" s="7" t="s">
        <v>154</v>
      </c>
      <c r="F7632" s="39" t="n">
        <v>46003</v>
      </c>
      <c r="G7632" s="41" t="n">
        <v>80.3</v>
      </c>
      <c r="H7632" s="6" t="s">
        <v>182</v>
      </c>
      <c r="I7632" s="7" t="s">
        <v>19787</v>
      </c>
      <c r="J7632" s="8" t="n">
        <f aca="false">IF(I7632="Open",DATE(2025,12,31)-F7632,"-")</f>
        <v>19</v>
      </c>
    </row>
    <row r="7633" customFormat="false" ht="15" hidden="false" customHeight="false" outlineLevel="0" collapsed="false">
      <c r="B7633" s="7" t="s">
        <v>22279</v>
      </c>
      <c r="C7633" s="7" t="s">
        <v>8130</v>
      </c>
      <c r="D7633" s="7" t="s">
        <v>335</v>
      </c>
      <c r="E7633" s="7" t="s">
        <v>154</v>
      </c>
      <c r="F7633" s="39" t="n">
        <v>46003</v>
      </c>
      <c r="G7633" s="41" t="n">
        <v>109.18</v>
      </c>
      <c r="H7633" s="6" t="s">
        <v>182</v>
      </c>
      <c r="I7633" s="7" t="s">
        <v>19787</v>
      </c>
      <c r="J7633" s="8" t="n">
        <f aca="false">IF(I7633="Open",DATE(2025,12,31)-F7633,"-")</f>
        <v>19</v>
      </c>
    </row>
    <row r="7634" customFormat="false" ht="15" hidden="false" customHeight="false" outlineLevel="0" collapsed="false">
      <c r="B7634" s="7" t="s">
        <v>22280</v>
      </c>
      <c r="C7634" s="7" t="s">
        <v>8131</v>
      </c>
      <c r="D7634" s="7" t="s">
        <v>339</v>
      </c>
      <c r="E7634" s="7" t="s">
        <v>154</v>
      </c>
      <c r="F7634" s="39" t="n">
        <v>46003</v>
      </c>
      <c r="G7634" s="41" t="n">
        <v>91.16</v>
      </c>
      <c r="H7634" s="6" t="s">
        <v>182</v>
      </c>
      <c r="I7634" s="7" t="s">
        <v>19787</v>
      </c>
      <c r="J7634" s="8" t="n">
        <f aca="false">IF(I7634="Open",DATE(2025,12,31)-F7634,"-")</f>
        <v>19</v>
      </c>
    </row>
    <row r="7635" customFormat="false" ht="15" hidden="false" customHeight="false" outlineLevel="0" collapsed="false">
      <c r="B7635" s="7" t="s">
        <v>22281</v>
      </c>
      <c r="C7635" s="7" t="s">
        <v>8132</v>
      </c>
      <c r="D7635" s="7" t="s">
        <v>349</v>
      </c>
      <c r="E7635" s="7" t="s">
        <v>154</v>
      </c>
      <c r="F7635" s="39" t="n">
        <v>46003</v>
      </c>
      <c r="G7635" s="41" t="n">
        <v>112.1</v>
      </c>
      <c r="H7635" s="6" t="s">
        <v>182</v>
      </c>
      <c r="I7635" s="7" t="s">
        <v>19787</v>
      </c>
      <c r="J7635" s="8" t="n">
        <f aca="false">IF(I7635="Open",DATE(2025,12,31)-F7635,"-")</f>
        <v>19</v>
      </c>
    </row>
    <row r="7636" customFormat="false" ht="15" hidden="false" customHeight="false" outlineLevel="0" collapsed="false">
      <c r="B7636" s="7" t="s">
        <v>22282</v>
      </c>
      <c r="C7636" s="7" t="s">
        <v>8133</v>
      </c>
      <c r="D7636" s="7" t="s">
        <v>353</v>
      </c>
      <c r="E7636" s="7" t="s">
        <v>154</v>
      </c>
      <c r="F7636" s="39" t="n">
        <v>46003</v>
      </c>
      <c r="G7636" s="41" t="n">
        <v>84.32</v>
      </c>
      <c r="H7636" s="6" t="s">
        <v>182</v>
      </c>
      <c r="I7636" s="7" t="s">
        <v>19787</v>
      </c>
      <c r="J7636" s="8" t="n">
        <f aca="false">IF(I7636="Open",DATE(2025,12,31)-F7636,"-")</f>
        <v>19</v>
      </c>
    </row>
    <row r="7637" customFormat="false" ht="15" hidden="false" customHeight="false" outlineLevel="0" collapsed="false">
      <c r="B7637" s="7" t="s">
        <v>22283</v>
      </c>
      <c r="C7637" s="7" t="s">
        <v>8134</v>
      </c>
      <c r="D7637" s="7" t="s">
        <v>355</v>
      </c>
      <c r="E7637" s="7" t="s">
        <v>154</v>
      </c>
      <c r="F7637" s="39" t="n">
        <v>46003</v>
      </c>
      <c r="G7637" s="41" t="n">
        <v>96.19</v>
      </c>
      <c r="H7637" s="6" t="s">
        <v>182</v>
      </c>
      <c r="I7637" s="7" t="s">
        <v>19787</v>
      </c>
      <c r="J7637" s="8" t="n">
        <f aca="false">IF(I7637="Open",DATE(2025,12,31)-F7637,"-")</f>
        <v>19</v>
      </c>
    </row>
    <row r="7638" customFormat="false" ht="15" hidden="false" customHeight="false" outlineLevel="0" collapsed="false">
      <c r="B7638" s="7" t="s">
        <v>22284</v>
      </c>
      <c r="C7638" s="7" t="s">
        <v>8135</v>
      </c>
      <c r="D7638" s="7" t="s">
        <v>357</v>
      </c>
      <c r="E7638" s="7" t="s">
        <v>154</v>
      </c>
      <c r="F7638" s="39" t="n">
        <v>46003</v>
      </c>
      <c r="G7638" s="41" t="n">
        <v>86.92</v>
      </c>
      <c r="H7638" s="6" t="s">
        <v>182</v>
      </c>
      <c r="I7638" s="7" t="s">
        <v>19787</v>
      </c>
      <c r="J7638" s="8" t="n">
        <f aca="false">IF(I7638="Open",DATE(2025,12,31)-F7638,"-")</f>
        <v>19</v>
      </c>
    </row>
    <row r="7639" customFormat="false" ht="15" hidden="false" customHeight="false" outlineLevel="0" collapsed="false">
      <c r="B7639" s="7" t="s">
        <v>22285</v>
      </c>
      <c r="C7639" s="7" t="s">
        <v>8136</v>
      </c>
      <c r="D7639" s="7" t="s">
        <v>359</v>
      </c>
      <c r="E7639" s="7" t="s">
        <v>156</v>
      </c>
      <c r="F7639" s="39" t="n">
        <v>46003</v>
      </c>
      <c r="G7639" s="41" t="n">
        <v>140.76</v>
      </c>
      <c r="H7639" s="39" t="n">
        <v>46013</v>
      </c>
      <c r="I7639" s="7" t="s">
        <v>14651</v>
      </c>
      <c r="J7639" s="8" t="str">
        <f aca="false">IF(I7639="Open",DATE(2025,12,31)-F7639,"-")</f>
        <v>-</v>
      </c>
    </row>
    <row r="7640" customFormat="false" ht="15" hidden="false" customHeight="false" outlineLevel="0" collapsed="false">
      <c r="B7640" s="7" t="s">
        <v>22286</v>
      </c>
      <c r="C7640" s="7" t="s">
        <v>8137</v>
      </c>
      <c r="D7640" s="7" t="s">
        <v>361</v>
      </c>
      <c r="E7640" s="7" t="s">
        <v>157</v>
      </c>
      <c r="F7640" s="39" t="n">
        <v>46003</v>
      </c>
      <c r="G7640" s="41" t="n">
        <v>151.8</v>
      </c>
      <c r="H7640" s="39" t="n">
        <v>46021</v>
      </c>
      <c r="I7640" s="7" t="s">
        <v>14651</v>
      </c>
      <c r="J7640" s="8" t="str">
        <f aca="false">IF(I7640="Open",DATE(2025,12,31)-F7640,"-")</f>
        <v>-</v>
      </c>
    </row>
    <row r="7641" customFormat="false" ht="15" hidden="false" customHeight="false" outlineLevel="0" collapsed="false">
      <c r="B7641" s="7" t="s">
        <v>22287</v>
      </c>
      <c r="C7641" s="7" t="s">
        <v>8138</v>
      </c>
      <c r="D7641" s="7" t="s">
        <v>365</v>
      </c>
      <c r="E7641" s="7" t="s">
        <v>154</v>
      </c>
      <c r="F7641" s="39" t="n">
        <v>46003</v>
      </c>
      <c r="G7641" s="41" t="n">
        <v>104.41</v>
      </c>
      <c r="H7641" s="6" t="s">
        <v>182</v>
      </c>
      <c r="I7641" s="7" t="s">
        <v>19787</v>
      </c>
      <c r="J7641" s="8" t="n">
        <f aca="false">IF(I7641="Open",DATE(2025,12,31)-F7641,"-")</f>
        <v>19</v>
      </c>
    </row>
    <row r="7642" customFormat="false" ht="15" hidden="false" customHeight="false" outlineLevel="0" collapsed="false">
      <c r="B7642" s="7" t="s">
        <v>22288</v>
      </c>
      <c r="C7642" s="7" t="s">
        <v>8139</v>
      </c>
      <c r="D7642" s="7" t="s">
        <v>369</v>
      </c>
      <c r="E7642" s="7" t="s">
        <v>159</v>
      </c>
      <c r="F7642" s="39" t="n">
        <v>46003</v>
      </c>
      <c r="G7642" s="41" t="n">
        <v>135</v>
      </c>
      <c r="H7642" s="6" t="s">
        <v>182</v>
      </c>
      <c r="I7642" s="7" t="s">
        <v>19787</v>
      </c>
      <c r="J7642" s="8" t="n">
        <f aca="false">IF(I7642="Open",DATE(2025,12,31)-F7642,"-")</f>
        <v>19</v>
      </c>
    </row>
    <row r="7643" customFormat="false" ht="15" hidden="false" customHeight="false" outlineLevel="0" collapsed="false">
      <c r="B7643" s="7" t="s">
        <v>22289</v>
      </c>
      <c r="C7643" s="7" t="s">
        <v>8140</v>
      </c>
      <c r="D7643" s="7" t="s">
        <v>371</v>
      </c>
      <c r="E7643" s="7" t="s">
        <v>154</v>
      </c>
      <c r="F7643" s="39" t="n">
        <v>46003</v>
      </c>
      <c r="G7643" s="41" t="n">
        <v>120.57</v>
      </c>
      <c r="H7643" s="6" t="s">
        <v>182</v>
      </c>
      <c r="I7643" s="7" t="s">
        <v>19787</v>
      </c>
      <c r="J7643" s="8" t="n">
        <f aca="false">IF(I7643="Open",DATE(2025,12,31)-F7643,"-")</f>
        <v>19</v>
      </c>
    </row>
    <row r="7644" customFormat="false" ht="15" hidden="false" customHeight="false" outlineLevel="0" collapsed="false">
      <c r="B7644" s="7" t="s">
        <v>22290</v>
      </c>
      <c r="C7644" s="7" t="s">
        <v>8141</v>
      </c>
      <c r="D7644" s="7" t="s">
        <v>379</v>
      </c>
      <c r="E7644" s="7" t="s">
        <v>156</v>
      </c>
      <c r="F7644" s="39" t="n">
        <v>46003</v>
      </c>
      <c r="G7644" s="41" t="n">
        <v>159.12</v>
      </c>
      <c r="H7644" s="39" t="n">
        <v>46016</v>
      </c>
      <c r="I7644" s="7" t="s">
        <v>14651</v>
      </c>
      <c r="J7644" s="8" t="str">
        <f aca="false">IF(I7644="Open",DATE(2025,12,31)-F7644,"-")</f>
        <v>-</v>
      </c>
    </row>
    <row r="7645" customFormat="false" ht="15" hidden="false" customHeight="false" outlineLevel="0" collapsed="false">
      <c r="B7645" s="7" t="s">
        <v>22291</v>
      </c>
      <c r="C7645" s="7" t="s">
        <v>8142</v>
      </c>
      <c r="D7645" s="7" t="s">
        <v>381</v>
      </c>
      <c r="E7645" s="7" t="s">
        <v>157</v>
      </c>
      <c r="F7645" s="39" t="n">
        <v>46003</v>
      </c>
      <c r="G7645" s="41" t="n">
        <v>161.7</v>
      </c>
      <c r="H7645" s="6" t="s">
        <v>182</v>
      </c>
      <c r="I7645" s="7" t="s">
        <v>19787</v>
      </c>
      <c r="J7645" s="8" t="n">
        <f aca="false">IF(I7645="Open",DATE(2025,12,31)-F7645,"-")</f>
        <v>19</v>
      </c>
    </row>
    <row r="7646" customFormat="false" ht="15" hidden="false" customHeight="false" outlineLevel="0" collapsed="false">
      <c r="B7646" s="7" t="s">
        <v>22292</v>
      </c>
      <c r="C7646" s="7" t="s">
        <v>8143</v>
      </c>
      <c r="D7646" s="7" t="s">
        <v>383</v>
      </c>
      <c r="E7646" s="7" t="s">
        <v>157</v>
      </c>
      <c r="F7646" s="39" t="n">
        <v>46003</v>
      </c>
      <c r="G7646" s="41" t="n">
        <v>148.5</v>
      </c>
      <c r="H7646" s="6" t="s">
        <v>182</v>
      </c>
      <c r="I7646" s="7" t="s">
        <v>19787</v>
      </c>
      <c r="J7646" s="8" t="n">
        <f aca="false">IF(I7646="Open",DATE(2025,12,31)-F7646,"-")</f>
        <v>19</v>
      </c>
    </row>
    <row r="7647" customFormat="false" ht="15" hidden="false" customHeight="false" outlineLevel="0" collapsed="false">
      <c r="B7647" s="7" t="s">
        <v>22293</v>
      </c>
      <c r="C7647" s="7" t="s">
        <v>8144</v>
      </c>
      <c r="D7647" s="7" t="s">
        <v>385</v>
      </c>
      <c r="E7647" s="7" t="s">
        <v>156</v>
      </c>
      <c r="F7647" s="39" t="n">
        <v>46003</v>
      </c>
      <c r="G7647" s="41" t="n">
        <v>141.1</v>
      </c>
      <c r="H7647" s="39" t="n">
        <v>46015</v>
      </c>
      <c r="I7647" s="7" t="s">
        <v>14651</v>
      </c>
      <c r="J7647" s="8" t="str">
        <f aca="false">IF(I7647="Open",DATE(2025,12,31)-F7647,"-")</f>
        <v>-</v>
      </c>
    </row>
    <row r="7648" customFormat="false" ht="15" hidden="false" customHeight="false" outlineLevel="0" collapsed="false">
      <c r="B7648" s="7" t="s">
        <v>22294</v>
      </c>
      <c r="C7648" s="7" t="s">
        <v>8145</v>
      </c>
      <c r="D7648" s="7" t="s">
        <v>387</v>
      </c>
      <c r="E7648" s="7" t="s">
        <v>154</v>
      </c>
      <c r="F7648" s="39" t="n">
        <v>46003</v>
      </c>
      <c r="G7648" s="41" t="n">
        <v>107.46</v>
      </c>
      <c r="H7648" s="6" t="s">
        <v>182</v>
      </c>
      <c r="I7648" s="7" t="s">
        <v>19787</v>
      </c>
      <c r="J7648" s="8" t="n">
        <f aca="false">IF(I7648="Open",DATE(2025,12,31)-F7648,"-")</f>
        <v>19</v>
      </c>
    </row>
    <row r="7649" customFormat="false" ht="15" hidden="false" customHeight="false" outlineLevel="0" collapsed="false">
      <c r="B7649" s="7" t="s">
        <v>22295</v>
      </c>
      <c r="C7649" s="7" t="s">
        <v>8146</v>
      </c>
      <c r="D7649" s="7" t="s">
        <v>389</v>
      </c>
      <c r="E7649" s="7" t="s">
        <v>154</v>
      </c>
      <c r="F7649" s="39" t="n">
        <v>46003</v>
      </c>
      <c r="G7649" s="41" t="n">
        <v>102.82</v>
      </c>
      <c r="H7649" s="6" t="s">
        <v>182</v>
      </c>
      <c r="I7649" s="7" t="s">
        <v>19787</v>
      </c>
      <c r="J7649" s="8" t="n">
        <f aca="false">IF(I7649="Open",DATE(2025,12,31)-F7649,"-")</f>
        <v>19</v>
      </c>
    </row>
    <row r="7650" customFormat="false" ht="15" hidden="false" customHeight="false" outlineLevel="0" collapsed="false">
      <c r="B7650" s="7" t="s">
        <v>22296</v>
      </c>
      <c r="C7650" s="7" t="s">
        <v>8147</v>
      </c>
      <c r="D7650" s="7" t="s">
        <v>391</v>
      </c>
      <c r="E7650" s="7" t="s">
        <v>156</v>
      </c>
      <c r="F7650" s="39" t="n">
        <v>46003</v>
      </c>
      <c r="G7650" s="41" t="n">
        <v>126.48</v>
      </c>
      <c r="H7650" s="39" t="n">
        <v>46006</v>
      </c>
      <c r="I7650" s="7" t="s">
        <v>14651</v>
      </c>
      <c r="J7650" s="8" t="str">
        <f aca="false">IF(I7650="Open",DATE(2025,12,31)-F7650,"-")</f>
        <v>-</v>
      </c>
    </row>
    <row r="7651" customFormat="false" ht="15" hidden="false" customHeight="false" outlineLevel="0" collapsed="false">
      <c r="B7651" s="7" t="s">
        <v>22297</v>
      </c>
      <c r="C7651" s="7" t="s">
        <v>8148</v>
      </c>
      <c r="D7651" s="7" t="s">
        <v>395</v>
      </c>
      <c r="E7651" s="7" t="s">
        <v>156</v>
      </c>
      <c r="F7651" s="39" t="n">
        <v>46003</v>
      </c>
      <c r="G7651" s="41" t="n">
        <v>138.72</v>
      </c>
      <c r="H7651" s="39" t="n">
        <v>46017</v>
      </c>
      <c r="I7651" s="7" t="s">
        <v>14651</v>
      </c>
      <c r="J7651" s="8" t="str">
        <f aca="false">IF(I7651="Open",DATE(2025,12,31)-F7651,"-")</f>
        <v>-</v>
      </c>
    </row>
    <row r="7652" customFormat="false" ht="15" hidden="false" customHeight="false" outlineLevel="0" collapsed="false">
      <c r="B7652" s="7" t="s">
        <v>22298</v>
      </c>
      <c r="C7652" s="7" t="s">
        <v>8149</v>
      </c>
      <c r="D7652" s="7" t="s">
        <v>397</v>
      </c>
      <c r="E7652" s="7" t="s">
        <v>159</v>
      </c>
      <c r="F7652" s="39" t="n">
        <v>46003</v>
      </c>
      <c r="G7652" s="41" t="n">
        <v>147.15</v>
      </c>
      <c r="H7652" s="6" t="s">
        <v>182</v>
      </c>
      <c r="I7652" s="7" t="s">
        <v>19787</v>
      </c>
      <c r="J7652" s="8" t="n">
        <f aca="false">IF(I7652="Open",DATE(2025,12,31)-F7652,"-")</f>
        <v>19</v>
      </c>
    </row>
    <row r="7653" customFormat="false" ht="15" hidden="false" customHeight="false" outlineLevel="0" collapsed="false">
      <c r="B7653" s="7" t="s">
        <v>22299</v>
      </c>
      <c r="C7653" s="7" t="s">
        <v>8150</v>
      </c>
      <c r="D7653" s="7" t="s">
        <v>399</v>
      </c>
      <c r="E7653" s="7" t="s">
        <v>154</v>
      </c>
      <c r="F7653" s="39" t="n">
        <v>46003</v>
      </c>
      <c r="G7653" s="41" t="n">
        <v>81.99</v>
      </c>
      <c r="H7653" s="6" t="s">
        <v>182</v>
      </c>
      <c r="I7653" s="7" t="s">
        <v>19787</v>
      </c>
      <c r="J7653" s="8" t="n">
        <f aca="false">IF(I7653="Open",DATE(2025,12,31)-F7653,"-")</f>
        <v>19</v>
      </c>
    </row>
    <row r="7654" customFormat="false" ht="15" hidden="false" customHeight="false" outlineLevel="0" collapsed="false">
      <c r="B7654" s="7" t="s">
        <v>22300</v>
      </c>
      <c r="C7654" s="7" t="s">
        <v>8151</v>
      </c>
      <c r="D7654" s="7" t="s">
        <v>401</v>
      </c>
      <c r="E7654" s="7" t="s">
        <v>156</v>
      </c>
      <c r="F7654" s="39" t="n">
        <v>46003</v>
      </c>
      <c r="G7654" s="41" t="n">
        <v>142.46</v>
      </c>
      <c r="H7654" s="39" t="n">
        <v>46013</v>
      </c>
      <c r="I7654" s="7" t="s">
        <v>14651</v>
      </c>
      <c r="J7654" s="8" t="str">
        <f aca="false">IF(I7654="Open",DATE(2025,12,31)-F7654,"-")</f>
        <v>-</v>
      </c>
    </row>
    <row r="7655" customFormat="false" ht="15" hidden="false" customHeight="false" outlineLevel="0" collapsed="false">
      <c r="B7655" s="7" t="s">
        <v>22301</v>
      </c>
      <c r="C7655" s="7" t="s">
        <v>8152</v>
      </c>
      <c r="D7655" s="7" t="s">
        <v>403</v>
      </c>
      <c r="E7655" s="7" t="s">
        <v>156</v>
      </c>
      <c r="F7655" s="39" t="n">
        <v>46003</v>
      </c>
      <c r="G7655" s="41" t="n">
        <v>124.78</v>
      </c>
      <c r="H7655" s="39" t="n">
        <v>46006</v>
      </c>
      <c r="I7655" s="7" t="s">
        <v>14651</v>
      </c>
      <c r="J7655" s="8" t="str">
        <f aca="false">IF(I7655="Open",DATE(2025,12,31)-F7655,"-")</f>
        <v>-</v>
      </c>
    </row>
    <row r="7656" customFormat="false" ht="15" hidden="false" customHeight="false" outlineLevel="0" collapsed="false">
      <c r="B7656" s="7" t="s">
        <v>22302</v>
      </c>
      <c r="C7656" s="7" t="s">
        <v>8153</v>
      </c>
      <c r="D7656" s="7" t="s">
        <v>407</v>
      </c>
      <c r="E7656" s="7" t="s">
        <v>159</v>
      </c>
      <c r="F7656" s="39" t="n">
        <v>46003</v>
      </c>
      <c r="G7656" s="41" t="n">
        <v>125.55</v>
      </c>
      <c r="H7656" s="6" t="s">
        <v>182</v>
      </c>
      <c r="I7656" s="7" t="s">
        <v>19787</v>
      </c>
      <c r="J7656" s="8" t="n">
        <f aca="false">IF(I7656="Open",DATE(2025,12,31)-F7656,"-")</f>
        <v>19</v>
      </c>
    </row>
    <row r="7657" customFormat="false" ht="15" hidden="false" customHeight="false" outlineLevel="0" collapsed="false">
      <c r="B7657" s="7" t="s">
        <v>22303</v>
      </c>
      <c r="C7657" s="7" t="s">
        <v>8154</v>
      </c>
      <c r="D7657" s="7" t="s">
        <v>409</v>
      </c>
      <c r="E7657" s="7" t="s">
        <v>154</v>
      </c>
      <c r="F7657" s="39" t="n">
        <v>46003</v>
      </c>
      <c r="G7657" s="41" t="n">
        <v>79.77</v>
      </c>
      <c r="H7657" s="6" t="s">
        <v>182</v>
      </c>
      <c r="I7657" s="7" t="s">
        <v>19787</v>
      </c>
      <c r="J7657" s="8" t="n">
        <f aca="false">IF(I7657="Open",DATE(2025,12,31)-F7657,"-")</f>
        <v>19</v>
      </c>
    </row>
    <row r="7658" customFormat="false" ht="15" hidden="false" customHeight="false" outlineLevel="0" collapsed="false">
      <c r="B7658" s="7" t="s">
        <v>22304</v>
      </c>
      <c r="C7658" s="7" t="s">
        <v>8155</v>
      </c>
      <c r="D7658" s="7" t="s">
        <v>411</v>
      </c>
      <c r="E7658" s="7" t="s">
        <v>154</v>
      </c>
      <c r="F7658" s="39" t="n">
        <v>46003</v>
      </c>
      <c r="G7658" s="41" t="n">
        <v>125.61</v>
      </c>
      <c r="H7658" s="6" t="s">
        <v>182</v>
      </c>
      <c r="I7658" s="7" t="s">
        <v>19787</v>
      </c>
      <c r="J7658" s="8" t="n">
        <f aca="false">IF(I7658="Open",DATE(2025,12,31)-F7658,"-")</f>
        <v>19</v>
      </c>
    </row>
    <row r="7659" customFormat="false" ht="15" hidden="false" customHeight="false" outlineLevel="0" collapsed="false">
      <c r="B7659" s="7" t="s">
        <v>22305</v>
      </c>
      <c r="C7659" s="7" t="s">
        <v>8156</v>
      </c>
      <c r="D7659" s="7" t="s">
        <v>288</v>
      </c>
      <c r="E7659" s="7" t="s">
        <v>156</v>
      </c>
      <c r="F7659" s="39" t="n">
        <v>46004</v>
      </c>
      <c r="G7659" s="41" t="n">
        <v>123.76</v>
      </c>
      <c r="H7659" s="39" t="n">
        <v>46017</v>
      </c>
      <c r="I7659" s="7" t="s">
        <v>14651</v>
      </c>
      <c r="J7659" s="8" t="str">
        <f aca="false">IF(I7659="Open",DATE(2025,12,31)-F7659,"-")</f>
        <v>-</v>
      </c>
    </row>
    <row r="7660" customFormat="false" ht="15" hidden="false" customHeight="false" outlineLevel="0" collapsed="false">
      <c r="B7660" s="7" t="s">
        <v>22306</v>
      </c>
      <c r="C7660" s="7" t="s">
        <v>8157</v>
      </c>
      <c r="D7660" s="7" t="s">
        <v>321</v>
      </c>
      <c r="E7660" s="7" t="s">
        <v>154</v>
      </c>
      <c r="F7660" s="39" t="n">
        <v>46004</v>
      </c>
      <c r="G7660" s="41" t="n">
        <v>106.53</v>
      </c>
      <c r="H7660" s="6" t="s">
        <v>182</v>
      </c>
      <c r="I7660" s="7" t="s">
        <v>19787</v>
      </c>
      <c r="J7660" s="8" t="n">
        <f aca="false">IF(I7660="Open",DATE(2025,12,31)-F7660,"-")</f>
        <v>18</v>
      </c>
    </row>
    <row r="7661" customFormat="false" ht="15" hidden="false" customHeight="false" outlineLevel="0" collapsed="false">
      <c r="B7661" s="7" t="s">
        <v>22307</v>
      </c>
      <c r="C7661" s="7" t="s">
        <v>8158</v>
      </c>
      <c r="D7661" s="7" t="s">
        <v>359</v>
      </c>
      <c r="E7661" s="7" t="s">
        <v>156</v>
      </c>
      <c r="F7661" s="39" t="n">
        <v>46004</v>
      </c>
      <c r="G7661" s="41" t="n">
        <v>136.68</v>
      </c>
      <c r="H7661" s="39" t="n">
        <v>46019</v>
      </c>
      <c r="I7661" s="7" t="s">
        <v>14651</v>
      </c>
      <c r="J7661" s="8" t="str">
        <f aca="false">IF(I7661="Open",DATE(2025,12,31)-F7661,"-")</f>
        <v>-</v>
      </c>
    </row>
    <row r="7662" customFormat="false" ht="15" hidden="false" customHeight="false" outlineLevel="0" collapsed="false">
      <c r="B7662" s="7" t="s">
        <v>22308</v>
      </c>
      <c r="C7662" s="7" t="s">
        <v>8159</v>
      </c>
      <c r="D7662" s="7" t="s">
        <v>387</v>
      </c>
      <c r="E7662" s="7" t="s">
        <v>154</v>
      </c>
      <c r="F7662" s="39" t="n">
        <v>46004</v>
      </c>
      <c r="G7662" s="41" t="n">
        <v>101.5</v>
      </c>
      <c r="H7662" s="6" t="s">
        <v>182</v>
      </c>
      <c r="I7662" s="7" t="s">
        <v>19787</v>
      </c>
      <c r="J7662" s="8" t="n">
        <f aca="false">IF(I7662="Open",DATE(2025,12,31)-F7662,"-")</f>
        <v>18</v>
      </c>
    </row>
    <row r="7663" customFormat="false" ht="15" hidden="false" customHeight="false" outlineLevel="0" collapsed="false">
      <c r="B7663" s="7" t="s">
        <v>22309</v>
      </c>
      <c r="C7663" s="7" t="s">
        <v>8160</v>
      </c>
      <c r="D7663" s="7" t="s">
        <v>391</v>
      </c>
      <c r="E7663" s="7" t="s">
        <v>156</v>
      </c>
      <c r="F7663" s="39" t="n">
        <v>46004</v>
      </c>
      <c r="G7663" s="41" t="n">
        <v>124.1</v>
      </c>
      <c r="H7663" s="6" t="s">
        <v>182</v>
      </c>
      <c r="I7663" s="7" t="s">
        <v>19787</v>
      </c>
      <c r="J7663" s="8" t="n">
        <f aca="false">IF(I7663="Open",DATE(2025,12,31)-F7663,"-")</f>
        <v>18</v>
      </c>
    </row>
    <row r="7664" customFormat="false" ht="15" hidden="false" customHeight="false" outlineLevel="0" collapsed="false">
      <c r="B7664" s="7" t="s">
        <v>22310</v>
      </c>
      <c r="C7664" s="7" t="s">
        <v>8161</v>
      </c>
      <c r="D7664" s="7" t="s">
        <v>395</v>
      </c>
      <c r="E7664" s="7" t="s">
        <v>156</v>
      </c>
      <c r="F7664" s="39" t="n">
        <v>46004</v>
      </c>
      <c r="G7664" s="41" t="n">
        <v>125.46</v>
      </c>
      <c r="H7664" s="6" t="s">
        <v>182</v>
      </c>
      <c r="I7664" s="7" t="s">
        <v>19787</v>
      </c>
      <c r="J7664" s="8" t="n">
        <f aca="false">IF(I7664="Open",DATE(2025,12,31)-F7664,"-")</f>
        <v>18</v>
      </c>
    </row>
    <row r="7665" customFormat="false" ht="15" hidden="false" customHeight="false" outlineLevel="0" collapsed="false">
      <c r="B7665" s="7" t="s">
        <v>22311</v>
      </c>
      <c r="C7665" s="7" t="s">
        <v>8162</v>
      </c>
      <c r="D7665" s="7" t="s">
        <v>401</v>
      </c>
      <c r="E7665" s="7" t="s">
        <v>156</v>
      </c>
      <c r="F7665" s="39" t="n">
        <v>46004</v>
      </c>
      <c r="G7665" s="41" t="n">
        <v>145.52</v>
      </c>
      <c r="H7665" s="39" t="n">
        <v>46016</v>
      </c>
      <c r="I7665" s="7" t="s">
        <v>14651</v>
      </c>
      <c r="J7665" s="8" t="str">
        <f aca="false">IF(I7665="Open",DATE(2025,12,31)-F7665,"-")</f>
        <v>-</v>
      </c>
    </row>
    <row r="7666" customFormat="false" ht="15" hidden="false" customHeight="false" outlineLevel="0" collapsed="false">
      <c r="B7666" s="7" t="s">
        <v>22312</v>
      </c>
      <c r="C7666" s="7" t="s">
        <v>8163</v>
      </c>
      <c r="D7666" s="7" t="s">
        <v>288</v>
      </c>
      <c r="E7666" s="7" t="s">
        <v>156</v>
      </c>
      <c r="F7666" s="39" t="n">
        <v>46005</v>
      </c>
      <c r="G7666" s="41" t="n">
        <v>131.92</v>
      </c>
      <c r="H7666" s="39" t="n">
        <v>46012</v>
      </c>
      <c r="I7666" s="7" t="s">
        <v>14651</v>
      </c>
      <c r="J7666" s="8" t="str">
        <f aca="false">IF(I7666="Open",DATE(2025,12,31)-F7666,"-")</f>
        <v>-</v>
      </c>
    </row>
    <row r="7667" customFormat="false" ht="15" hidden="false" customHeight="false" outlineLevel="0" collapsed="false">
      <c r="B7667" s="7" t="s">
        <v>22313</v>
      </c>
      <c r="C7667" s="7" t="s">
        <v>8164</v>
      </c>
      <c r="D7667" s="7" t="s">
        <v>321</v>
      </c>
      <c r="E7667" s="7" t="s">
        <v>154</v>
      </c>
      <c r="F7667" s="39" t="n">
        <v>46005</v>
      </c>
      <c r="G7667" s="41" t="n">
        <v>109.44</v>
      </c>
      <c r="H7667" s="6" t="s">
        <v>182</v>
      </c>
      <c r="I7667" s="7" t="s">
        <v>19787</v>
      </c>
      <c r="J7667" s="8" t="n">
        <f aca="false">IF(I7667="Open",DATE(2025,12,31)-F7667,"-")</f>
        <v>17</v>
      </c>
    </row>
    <row r="7668" customFormat="false" ht="15" hidden="false" customHeight="false" outlineLevel="0" collapsed="false">
      <c r="B7668" s="7" t="s">
        <v>22314</v>
      </c>
      <c r="C7668" s="7" t="s">
        <v>8165</v>
      </c>
      <c r="D7668" s="7" t="s">
        <v>359</v>
      </c>
      <c r="E7668" s="7" t="s">
        <v>156</v>
      </c>
      <c r="F7668" s="39" t="n">
        <v>46005</v>
      </c>
      <c r="G7668" s="41" t="n">
        <v>122.74</v>
      </c>
      <c r="H7668" s="39" t="n">
        <v>46020</v>
      </c>
      <c r="I7668" s="7" t="s">
        <v>14651</v>
      </c>
      <c r="J7668" s="8" t="str">
        <f aca="false">IF(I7668="Open",DATE(2025,12,31)-F7668,"-")</f>
        <v>-</v>
      </c>
    </row>
    <row r="7669" customFormat="false" ht="15" hidden="false" customHeight="false" outlineLevel="0" collapsed="false">
      <c r="B7669" s="7" t="s">
        <v>22315</v>
      </c>
      <c r="C7669" s="7" t="s">
        <v>8166</v>
      </c>
      <c r="D7669" s="7" t="s">
        <v>387</v>
      </c>
      <c r="E7669" s="7" t="s">
        <v>154</v>
      </c>
      <c r="F7669" s="39" t="n">
        <v>46005</v>
      </c>
      <c r="G7669" s="41" t="n">
        <v>109.98</v>
      </c>
      <c r="H7669" s="6" t="s">
        <v>182</v>
      </c>
      <c r="I7669" s="7" t="s">
        <v>19787</v>
      </c>
      <c r="J7669" s="8" t="n">
        <f aca="false">IF(I7669="Open",DATE(2025,12,31)-F7669,"-")</f>
        <v>17</v>
      </c>
    </row>
    <row r="7670" customFormat="false" ht="15" hidden="false" customHeight="false" outlineLevel="0" collapsed="false">
      <c r="B7670" s="7" t="s">
        <v>22316</v>
      </c>
      <c r="C7670" s="7" t="s">
        <v>8167</v>
      </c>
      <c r="D7670" s="7" t="s">
        <v>391</v>
      </c>
      <c r="E7670" s="7" t="s">
        <v>156</v>
      </c>
      <c r="F7670" s="39" t="n">
        <v>46005</v>
      </c>
      <c r="G7670" s="41" t="n">
        <v>133.62</v>
      </c>
      <c r="H7670" s="6" t="s">
        <v>182</v>
      </c>
      <c r="I7670" s="7" t="s">
        <v>19787</v>
      </c>
      <c r="J7670" s="8" t="n">
        <f aca="false">IF(I7670="Open",DATE(2025,12,31)-F7670,"-")</f>
        <v>17</v>
      </c>
    </row>
    <row r="7671" customFormat="false" ht="15" hidden="false" customHeight="false" outlineLevel="0" collapsed="false">
      <c r="B7671" s="7" t="s">
        <v>22317</v>
      </c>
      <c r="C7671" s="7" t="s">
        <v>8168</v>
      </c>
      <c r="D7671" s="7" t="s">
        <v>395</v>
      </c>
      <c r="E7671" s="7" t="s">
        <v>156</v>
      </c>
      <c r="F7671" s="39" t="n">
        <v>46005</v>
      </c>
      <c r="G7671" s="41" t="n">
        <v>127.84</v>
      </c>
      <c r="H7671" s="39" t="n">
        <v>46019</v>
      </c>
      <c r="I7671" s="7" t="s">
        <v>14651</v>
      </c>
      <c r="J7671" s="8" t="str">
        <f aca="false">IF(I7671="Open",DATE(2025,12,31)-F7671,"-")</f>
        <v>-</v>
      </c>
    </row>
    <row r="7672" customFormat="false" ht="15" hidden="false" customHeight="false" outlineLevel="0" collapsed="false">
      <c r="B7672" s="7" t="s">
        <v>22318</v>
      </c>
      <c r="C7672" s="7" t="s">
        <v>8169</v>
      </c>
      <c r="D7672" s="7" t="s">
        <v>401</v>
      </c>
      <c r="E7672" s="7" t="s">
        <v>156</v>
      </c>
      <c r="F7672" s="39" t="n">
        <v>46005</v>
      </c>
      <c r="G7672" s="41" t="n">
        <v>148.92</v>
      </c>
      <c r="H7672" s="39" t="n">
        <v>46016</v>
      </c>
      <c r="I7672" s="7" t="s">
        <v>14651</v>
      </c>
      <c r="J7672" s="8" t="str">
        <f aca="false">IF(I7672="Open",DATE(2025,12,31)-F7672,"-")</f>
        <v>-</v>
      </c>
    </row>
    <row r="7673" customFormat="false" ht="15" hidden="false" customHeight="false" outlineLevel="0" collapsed="false">
      <c r="B7673" s="7" t="s">
        <v>22319</v>
      </c>
      <c r="C7673" s="7" t="s">
        <v>8170</v>
      </c>
      <c r="D7673" s="7" t="s">
        <v>288</v>
      </c>
      <c r="E7673" s="7" t="s">
        <v>156</v>
      </c>
      <c r="F7673" s="39" t="n">
        <v>46006</v>
      </c>
      <c r="G7673" s="41" t="n">
        <v>144.5</v>
      </c>
      <c r="H7673" s="39" t="n">
        <v>46017</v>
      </c>
      <c r="I7673" s="7" t="s">
        <v>14651</v>
      </c>
      <c r="J7673" s="8" t="str">
        <f aca="false">IF(I7673="Open",DATE(2025,12,31)-F7673,"-")</f>
        <v>-</v>
      </c>
    </row>
    <row r="7674" customFormat="false" ht="15" hidden="false" customHeight="false" outlineLevel="0" collapsed="false">
      <c r="B7674" s="7" t="s">
        <v>22320</v>
      </c>
      <c r="C7674" s="7" t="s">
        <v>8171</v>
      </c>
      <c r="D7674" s="7" t="s">
        <v>291</v>
      </c>
      <c r="E7674" s="7" t="s">
        <v>154</v>
      </c>
      <c r="F7674" s="39" t="n">
        <v>46006</v>
      </c>
      <c r="G7674" s="41" t="n">
        <v>126.14</v>
      </c>
      <c r="H7674" s="6" t="s">
        <v>182</v>
      </c>
      <c r="I7674" s="7" t="s">
        <v>19787</v>
      </c>
      <c r="J7674" s="8" t="n">
        <f aca="false">IF(I7674="Open",DATE(2025,12,31)-F7674,"-")</f>
        <v>16</v>
      </c>
    </row>
    <row r="7675" customFormat="false" ht="15" hidden="false" customHeight="false" outlineLevel="0" collapsed="false">
      <c r="B7675" s="7" t="s">
        <v>22321</v>
      </c>
      <c r="C7675" s="7" t="s">
        <v>8172</v>
      </c>
      <c r="D7675" s="7" t="s">
        <v>295</v>
      </c>
      <c r="E7675" s="7" t="s">
        <v>154</v>
      </c>
      <c r="F7675" s="39" t="n">
        <v>46006</v>
      </c>
      <c r="G7675" s="41" t="n">
        <v>111.3</v>
      </c>
      <c r="H7675" s="6" t="s">
        <v>182</v>
      </c>
      <c r="I7675" s="7" t="s">
        <v>19787</v>
      </c>
      <c r="J7675" s="8" t="n">
        <f aca="false">IF(I7675="Open",DATE(2025,12,31)-F7675,"-")</f>
        <v>16</v>
      </c>
    </row>
    <row r="7676" customFormat="false" ht="15" hidden="false" customHeight="false" outlineLevel="0" collapsed="false">
      <c r="B7676" s="7" t="s">
        <v>22322</v>
      </c>
      <c r="C7676" s="7" t="s">
        <v>8173</v>
      </c>
      <c r="D7676" s="7" t="s">
        <v>297</v>
      </c>
      <c r="E7676" s="7" t="s">
        <v>156</v>
      </c>
      <c r="F7676" s="39" t="n">
        <v>46006</v>
      </c>
      <c r="G7676" s="41" t="n">
        <v>108.8</v>
      </c>
      <c r="H7676" s="39" t="n">
        <v>46019</v>
      </c>
      <c r="I7676" s="7" t="s">
        <v>14651</v>
      </c>
      <c r="J7676" s="8" t="str">
        <f aca="false">IF(I7676="Open",DATE(2025,12,31)-F7676,"-")</f>
        <v>-</v>
      </c>
    </row>
    <row r="7677" customFormat="false" ht="15" hidden="false" customHeight="false" outlineLevel="0" collapsed="false">
      <c r="B7677" s="7" t="s">
        <v>22323</v>
      </c>
      <c r="C7677" s="7" t="s">
        <v>8174</v>
      </c>
      <c r="D7677" s="7" t="s">
        <v>299</v>
      </c>
      <c r="E7677" s="7" t="s">
        <v>154</v>
      </c>
      <c r="F7677" s="39" t="n">
        <v>46006</v>
      </c>
      <c r="G7677" s="41" t="n">
        <v>82.94</v>
      </c>
      <c r="H7677" s="6" t="s">
        <v>182</v>
      </c>
      <c r="I7677" s="7" t="s">
        <v>19787</v>
      </c>
      <c r="J7677" s="8" t="n">
        <f aca="false">IF(I7677="Open",DATE(2025,12,31)-F7677,"-")</f>
        <v>16</v>
      </c>
    </row>
    <row r="7678" customFormat="false" ht="15" hidden="false" customHeight="false" outlineLevel="0" collapsed="false">
      <c r="B7678" s="7" t="s">
        <v>22324</v>
      </c>
      <c r="C7678" s="7" t="s">
        <v>8175</v>
      </c>
      <c r="D7678" s="7" t="s">
        <v>303</v>
      </c>
      <c r="E7678" s="7" t="s">
        <v>154</v>
      </c>
      <c r="F7678" s="39" t="n">
        <v>46006</v>
      </c>
      <c r="G7678" s="41" t="n">
        <v>96.46</v>
      </c>
      <c r="H7678" s="6" t="s">
        <v>182</v>
      </c>
      <c r="I7678" s="7" t="s">
        <v>19787</v>
      </c>
      <c r="J7678" s="8" t="n">
        <f aca="false">IF(I7678="Open",DATE(2025,12,31)-F7678,"-")</f>
        <v>16</v>
      </c>
    </row>
    <row r="7679" customFormat="false" ht="15" hidden="false" customHeight="false" outlineLevel="0" collapsed="false">
      <c r="B7679" s="7" t="s">
        <v>22325</v>
      </c>
      <c r="C7679" s="7" t="s">
        <v>8176</v>
      </c>
      <c r="D7679" s="7" t="s">
        <v>305</v>
      </c>
      <c r="E7679" s="7" t="s">
        <v>154</v>
      </c>
      <c r="F7679" s="39" t="n">
        <v>46006</v>
      </c>
      <c r="G7679" s="41" t="n">
        <v>110.24</v>
      </c>
      <c r="H7679" s="6" t="s">
        <v>182</v>
      </c>
      <c r="I7679" s="7" t="s">
        <v>19787</v>
      </c>
      <c r="J7679" s="8" t="n">
        <f aca="false">IF(I7679="Open",DATE(2025,12,31)-F7679,"-")</f>
        <v>16</v>
      </c>
    </row>
    <row r="7680" customFormat="false" ht="15" hidden="false" customHeight="false" outlineLevel="0" collapsed="false">
      <c r="B7680" s="7" t="s">
        <v>22326</v>
      </c>
      <c r="C7680" s="7" t="s">
        <v>8177</v>
      </c>
      <c r="D7680" s="7" t="s">
        <v>307</v>
      </c>
      <c r="E7680" s="7" t="s">
        <v>157</v>
      </c>
      <c r="F7680" s="39" t="n">
        <v>46006</v>
      </c>
      <c r="G7680" s="41" t="n">
        <v>174.9</v>
      </c>
      <c r="H7680" s="6" t="s">
        <v>182</v>
      </c>
      <c r="I7680" s="7" t="s">
        <v>19787</v>
      </c>
      <c r="J7680" s="8" t="n">
        <f aca="false">IF(I7680="Open",DATE(2025,12,31)-F7680,"-")</f>
        <v>16</v>
      </c>
    </row>
    <row r="7681" customFormat="false" ht="15" hidden="false" customHeight="false" outlineLevel="0" collapsed="false">
      <c r="B7681" s="7" t="s">
        <v>22327</v>
      </c>
      <c r="C7681" s="7" t="s">
        <v>8178</v>
      </c>
      <c r="D7681" s="7" t="s">
        <v>309</v>
      </c>
      <c r="E7681" s="7" t="s">
        <v>159</v>
      </c>
      <c r="F7681" s="39" t="n">
        <v>46006</v>
      </c>
      <c r="G7681" s="41" t="n">
        <v>135</v>
      </c>
      <c r="H7681" s="6" t="s">
        <v>182</v>
      </c>
      <c r="I7681" s="7" t="s">
        <v>19787</v>
      </c>
      <c r="J7681" s="8" t="n">
        <f aca="false">IF(I7681="Open",DATE(2025,12,31)-F7681,"-")</f>
        <v>16</v>
      </c>
    </row>
    <row r="7682" customFormat="false" ht="15" hidden="false" customHeight="false" outlineLevel="0" collapsed="false">
      <c r="B7682" s="7" t="s">
        <v>22328</v>
      </c>
      <c r="C7682" s="7" t="s">
        <v>8179</v>
      </c>
      <c r="D7682" s="7" t="s">
        <v>311</v>
      </c>
      <c r="E7682" s="7" t="s">
        <v>154</v>
      </c>
      <c r="F7682" s="39" t="n">
        <v>46006</v>
      </c>
      <c r="G7682" s="41" t="n">
        <v>74.2</v>
      </c>
      <c r="H7682" s="6" t="s">
        <v>182</v>
      </c>
      <c r="I7682" s="7" t="s">
        <v>19787</v>
      </c>
      <c r="J7682" s="8" t="n">
        <f aca="false">IF(I7682="Open",DATE(2025,12,31)-F7682,"-")</f>
        <v>16</v>
      </c>
    </row>
    <row r="7683" customFormat="false" ht="15" hidden="false" customHeight="false" outlineLevel="0" collapsed="false">
      <c r="B7683" s="7" t="s">
        <v>22329</v>
      </c>
      <c r="C7683" s="7" t="s">
        <v>8180</v>
      </c>
      <c r="D7683" s="7" t="s">
        <v>313</v>
      </c>
      <c r="E7683" s="7" t="s">
        <v>156</v>
      </c>
      <c r="F7683" s="39" t="n">
        <v>46006</v>
      </c>
      <c r="G7683" s="41" t="n">
        <v>141.1</v>
      </c>
      <c r="H7683" s="39" t="n">
        <v>46016</v>
      </c>
      <c r="I7683" s="7" t="s">
        <v>14651</v>
      </c>
      <c r="J7683" s="8" t="str">
        <f aca="false">IF(I7683="Open",DATE(2025,12,31)-F7683,"-")</f>
        <v>-</v>
      </c>
    </row>
    <row r="7684" customFormat="false" ht="15" hidden="false" customHeight="false" outlineLevel="0" collapsed="false">
      <c r="B7684" s="7" t="s">
        <v>22330</v>
      </c>
      <c r="C7684" s="7" t="s">
        <v>8181</v>
      </c>
      <c r="D7684" s="7" t="s">
        <v>315</v>
      </c>
      <c r="E7684" s="7" t="s">
        <v>159</v>
      </c>
      <c r="F7684" s="39" t="n">
        <v>46006</v>
      </c>
      <c r="G7684" s="41" t="n">
        <v>144.45</v>
      </c>
      <c r="H7684" s="6" t="s">
        <v>182</v>
      </c>
      <c r="I7684" s="7" t="s">
        <v>19787</v>
      </c>
      <c r="J7684" s="8" t="n">
        <f aca="false">IF(I7684="Open",DATE(2025,12,31)-F7684,"-")</f>
        <v>16</v>
      </c>
    </row>
    <row r="7685" customFormat="false" ht="15" hidden="false" customHeight="false" outlineLevel="0" collapsed="false">
      <c r="B7685" s="7" t="s">
        <v>22331</v>
      </c>
      <c r="C7685" s="7" t="s">
        <v>8182</v>
      </c>
      <c r="D7685" s="7" t="s">
        <v>317</v>
      </c>
      <c r="E7685" s="7" t="s">
        <v>156</v>
      </c>
      <c r="F7685" s="39" t="n">
        <v>46006</v>
      </c>
      <c r="G7685" s="41" t="n">
        <v>102.68</v>
      </c>
      <c r="H7685" s="39" t="n">
        <v>46019</v>
      </c>
      <c r="I7685" s="7" t="s">
        <v>14651</v>
      </c>
      <c r="J7685" s="8" t="str">
        <f aca="false">IF(I7685="Open",DATE(2025,12,31)-F7685,"-")</f>
        <v>-</v>
      </c>
    </row>
    <row r="7686" customFormat="false" ht="15" hidden="false" customHeight="false" outlineLevel="0" collapsed="false">
      <c r="B7686" s="7" t="s">
        <v>22332</v>
      </c>
      <c r="C7686" s="7" t="s">
        <v>8183</v>
      </c>
      <c r="D7686" s="7" t="s">
        <v>321</v>
      </c>
      <c r="E7686" s="7" t="s">
        <v>154</v>
      </c>
      <c r="F7686" s="39" t="n">
        <v>46006</v>
      </c>
      <c r="G7686" s="41" t="n">
        <v>96.46</v>
      </c>
      <c r="H7686" s="6" t="s">
        <v>182</v>
      </c>
      <c r="I7686" s="7" t="s">
        <v>19787</v>
      </c>
      <c r="J7686" s="8" t="n">
        <f aca="false">IF(I7686="Open",DATE(2025,12,31)-F7686,"-")</f>
        <v>16</v>
      </c>
    </row>
    <row r="7687" customFormat="false" ht="15" hidden="false" customHeight="false" outlineLevel="0" collapsed="false">
      <c r="B7687" s="7" t="s">
        <v>22333</v>
      </c>
      <c r="C7687" s="7" t="s">
        <v>8184</v>
      </c>
      <c r="D7687" s="7" t="s">
        <v>325</v>
      </c>
      <c r="E7687" s="7" t="s">
        <v>154</v>
      </c>
      <c r="F7687" s="39" t="n">
        <v>46006</v>
      </c>
      <c r="G7687" s="41" t="n">
        <v>75.53</v>
      </c>
      <c r="H7687" s="6" t="s">
        <v>182</v>
      </c>
      <c r="I7687" s="7" t="s">
        <v>19787</v>
      </c>
      <c r="J7687" s="8" t="n">
        <f aca="false">IF(I7687="Open",DATE(2025,12,31)-F7687,"-")</f>
        <v>16</v>
      </c>
    </row>
    <row r="7688" customFormat="false" ht="15" hidden="false" customHeight="false" outlineLevel="0" collapsed="false">
      <c r="B7688" s="7" t="s">
        <v>22334</v>
      </c>
      <c r="C7688" s="7" t="s">
        <v>8185</v>
      </c>
      <c r="D7688" s="7" t="s">
        <v>329</v>
      </c>
      <c r="E7688" s="7" t="s">
        <v>156</v>
      </c>
      <c r="F7688" s="39" t="n">
        <v>46006</v>
      </c>
      <c r="G7688" s="41" t="n">
        <v>130.56</v>
      </c>
      <c r="H7688" s="39" t="n">
        <v>46021</v>
      </c>
      <c r="I7688" s="7" t="s">
        <v>14651</v>
      </c>
      <c r="J7688" s="8" t="str">
        <f aca="false">IF(I7688="Open",DATE(2025,12,31)-F7688,"-")</f>
        <v>-</v>
      </c>
    </row>
    <row r="7689" customFormat="false" ht="15" hidden="false" customHeight="false" outlineLevel="0" collapsed="false">
      <c r="B7689" s="7" t="s">
        <v>22335</v>
      </c>
      <c r="C7689" s="7" t="s">
        <v>8186</v>
      </c>
      <c r="D7689" s="7" t="s">
        <v>333</v>
      </c>
      <c r="E7689" s="7" t="s">
        <v>154</v>
      </c>
      <c r="F7689" s="39" t="n">
        <v>46006</v>
      </c>
      <c r="G7689" s="41" t="n">
        <v>83.47</v>
      </c>
      <c r="H7689" s="6" t="s">
        <v>182</v>
      </c>
      <c r="I7689" s="7" t="s">
        <v>19787</v>
      </c>
      <c r="J7689" s="8" t="n">
        <f aca="false">IF(I7689="Open",DATE(2025,12,31)-F7689,"-")</f>
        <v>16</v>
      </c>
    </row>
    <row r="7690" customFormat="false" ht="15" hidden="false" customHeight="false" outlineLevel="0" collapsed="false">
      <c r="B7690" s="7" t="s">
        <v>22336</v>
      </c>
      <c r="C7690" s="7" t="s">
        <v>8187</v>
      </c>
      <c r="D7690" s="7" t="s">
        <v>335</v>
      </c>
      <c r="E7690" s="7" t="s">
        <v>154</v>
      </c>
      <c r="F7690" s="39" t="n">
        <v>46006</v>
      </c>
      <c r="G7690" s="41" t="n">
        <v>112.89</v>
      </c>
      <c r="H7690" s="6" t="s">
        <v>182</v>
      </c>
      <c r="I7690" s="7" t="s">
        <v>19787</v>
      </c>
      <c r="J7690" s="8" t="n">
        <f aca="false">IF(I7690="Open",DATE(2025,12,31)-F7690,"-")</f>
        <v>16</v>
      </c>
    </row>
    <row r="7691" customFormat="false" ht="15" hidden="false" customHeight="false" outlineLevel="0" collapsed="false">
      <c r="B7691" s="7" t="s">
        <v>22337</v>
      </c>
      <c r="C7691" s="7" t="s">
        <v>8188</v>
      </c>
      <c r="D7691" s="7" t="s">
        <v>339</v>
      </c>
      <c r="E7691" s="7" t="s">
        <v>154</v>
      </c>
      <c r="F7691" s="39" t="n">
        <v>46006</v>
      </c>
      <c r="G7691" s="41" t="n">
        <v>87.13</v>
      </c>
      <c r="H7691" s="6" t="s">
        <v>182</v>
      </c>
      <c r="I7691" s="7" t="s">
        <v>19787</v>
      </c>
      <c r="J7691" s="8" t="n">
        <f aca="false">IF(I7691="Open",DATE(2025,12,31)-F7691,"-")</f>
        <v>16</v>
      </c>
    </row>
    <row r="7692" customFormat="false" ht="15" hidden="false" customHeight="false" outlineLevel="0" collapsed="false">
      <c r="B7692" s="7" t="s">
        <v>22338</v>
      </c>
      <c r="C7692" s="7" t="s">
        <v>8189</v>
      </c>
      <c r="D7692" s="7" t="s">
        <v>341</v>
      </c>
      <c r="E7692" s="7" t="s">
        <v>156</v>
      </c>
      <c r="F7692" s="39" t="n">
        <v>46006</v>
      </c>
      <c r="G7692" s="41" t="n">
        <v>101.66</v>
      </c>
      <c r="H7692" s="39" t="n">
        <v>46015</v>
      </c>
      <c r="I7692" s="7" t="s">
        <v>14651</v>
      </c>
      <c r="J7692" s="8" t="str">
        <f aca="false">IF(I7692="Open",DATE(2025,12,31)-F7692,"-")</f>
        <v>-</v>
      </c>
    </row>
    <row r="7693" customFormat="false" ht="15" hidden="false" customHeight="false" outlineLevel="0" collapsed="false">
      <c r="B7693" s="7" t="s">
        <v>22339</v>
      </c>
      <c r="C7693" s="7" t="s">
        <v>8190</v>
      </c>
      <c r="D7693" s="7" t="s">
        <v>343</v>
      </c>
      <c r="E7693" s="7" t="s">
        <v>154</v>
      </c>
      <c r="F7693" s="39" t="n">
        <v>46006</v>
      </c>
      <c r="G7693" s="41" t="n">
        <v>108.12</v>
      </c>
      <c r="H7693" s="6" t="s">
        <v>182</v>
      </c>
      <c r="I7693" s="7" t="s">
        <v>19787</v>
      </c>
      <c r="J7693" s="8" t="n">
        <f aca="false">IF(I7693="Open",DATE(2025,12,31)-F7693,"-")</f>
        <v>16</v>
      </c>
    </row>
    <row r="7694" customFormat="false" ht="15" hidden="false" customHeight="false" outlineLevel="0" collapsed="false">
      <c r="B7694" s="7" t="s">
        <v>22340</v>
      </c>
      <c r="C7694" s="7" t="s">
        <v>8191</v>
      </c>
      <c r="D7694" s="7" t="s">
        <v>349</v>
      </c>
      <c r="E7694" s="7" t="s">
        <v>154</v>
      </c>
      <c r="F7694" s="39" t="n">
        <v>46006</v>
      </c>
      <c r="G7694" s="41" t="n">
        <v>114.21</v>
      </c>
      <c r="H7694" s="6" t="s">
        <v>182</v>
      </c>
      <c r="I7694" s="7" t="s">
        <v>19787</v>
      </c>
      <c r="J7694" s="8" t="n">
        <f aca="false">IF(I7694="Open",DATE(2025,12,31)-F7694,"-")</f>
        <v>16</v>
      </c>
    </row>
    <row r="7695" customFormat="false" ht="15" hidden="false" customHeight="false" outlineLevel="0" collapsed="false">
      <c r="B7695" s="7" t="s">
        <v>22341</v>
      </c>
      <c r="C7695" s="7" t="s">
        <v>8192</v>
      </c>
      <c r="D7695" s="7" t="s">
        <v>351</v>
      </c>
      <c r="E7695" s="7" t="s">
        <v>154</v>
      </c>
      <c r="F7695" s="39" t="n">
        <v>46006</v>
      </c>
      <c r="G7695" s="41" t="n">
        <v>72.61</v>
      </c>
      <c r="H7695" s="6" t="s">
        <v>182</v>
      </c>
      <c r="I7695" s="7" t="s">
        <v>19787</v>
      </c>
      <c r="J7695" s="8" t="n">
        <f aca="false">IF(I7695="Open",DATE(2025,12,31)-F7695,"-")</f>
        <v>16</v>
      </c>
    </row>
    <row r="7696" customFormat="false" ht="15" hidden="false" customHeight="false" outlineLevel="0" collapsed="false">
      <c r="B7696" s="7" t="s">
        <v>22342</v>
      </c>
      <c r="C7696" s="7" t="s">
        <v>8193</v>
      </c>
      <c r="D7696" s="7" t="s">
        <v>353</v>
      </c>
      <c r="E7696" s="7" t="s">
        <v>154</v>
      </c>
      <c r="F7696" s="39" t="n">
        <v>46006</v>
      </c>
      <c r="G7696" s="41" t="n">
        <v>82.76</v>
      </c>
      <c r="H7696" s="6" t="s">
        <v>182</v>
      </c>
      <c r="I7696" s="7" t="s">
        <v>19787</v>
      </c>
      <c r="J7696" s="8" t="n">
        <f aca="false">IF(I7696="Open",DATE(2025,12,31)-F7696,"-")</f>
        <v>16</v>
      </c>
    </row>
    <row r="7697" customFormat="false" ht="15" hidden="false" customHeight="false" outlineLevel="0" collapsed="false">
      <c r="B7697" s="7" t="s">
        <v>22343</v>
      </c>
      <c r="C7697" s="7" t="s">
        <v>8194</v>
      </c>
      <c r="D7697" s="7" t="s">
        <v>355</v>
      </c>
      <c r="E7697" s="7" t="s">
        <v>154</v>
      </c>
      <c r="F7697" s="39" t="n">
        <v>46006</v>
      </c>
      <c r="G7697" s="41" t="n">
        <v>92.48</v>
      </c>
      <c r="H7697" s="6" t="s">
        <v>182</v>
      </c>
      <c r="I7697" s="7" t="s">
        <v>19787</v>
      </c>
      <c r="J7697" s="8" t="n">
        <f aca="false">IF(I7697="Open",DATE(2025,12,31)-F7697,"-")</f>
        <v>16</v>
      </c>
    </row>
    <row r="7698" customFormat="false" ht="15" hidden="false" customHeight="false" outlineLevel="0" collapsed="false">
      <c r="B7698" s="7" t="s">
        <v>22344</v>
      </c>
      <c r="C7698" s="7" t="s">
        <v>8195</v>
      </c>
      <c r="D7698" s="7" t="s">
        <v>357</v>
      </c>
      <c r="E7698" s="7" t="s">
        <v>154</v>
      </c>
      <c r="F7698" s="39" t="n">
        <v>46006</v>
      </c>
      <c r="G7698" s="41" t="n">
        <v>84</v>
      </c>
      <c r="H7698" s="6" t="s">
        <v>182</v>
      </c>
      <c r="I7698" s="7" t="s">
        <v>19787</v>
      </c>
      <c r="J7698" s="8" t="n">
        <f aca="false">IF(I7698="Open",DATE(2025,12,31)-F7698,"-")</f>
        <v>16</v>
      </c>
    </row>
    <row r="7699" customFormat="false" ht="15" hidden="false" customHeight="false" outlineLevel="0" collapsed="false">
      <c r="B7699" s="7" t="s">
        <v>22345</v>
      </c>
      <c r="C7699" s="7" t="s">
        <v>8196</v>
      </c>
      <c r="D7699" s="7" t="s">
        <v>359</v>
      </c>
      <c r="E7699" s="7" t="s">
        <v>156</v>
      </c>
      <c r="F7699" s="39" t="n">
        <v>46006</v>
      </c>
      <c r="G7699" s="41" t="n">
        <v>146.88</v>
      </c>
      <c r="H7699" s="39" t="n">
        <v>46021</v>
      </c>
      <c r="I7699" s="7" t="s">
        <v>14651</v>
      </c>
      <c r="J7699" s="8" t="str">
        <f aca="false">IF(I7699="Open",DATE(2025,12,31)-F7699,"-")</f>
        <v>-</v>
      </c>
    </row>
    <row r="7700" customFormat="false" ht="15" hidden="false" customHeight="false" outlineLevel="0" collapsed="false">
      <c r="B7700" s="7" t="s">
        <v>22346</v>
      </c>
      <c r="C7700" s="7" t="s">
        <v>8197</v>
      </c>
      <c r="D7700" s="7" t="s">
        <v>363</v>
      </c>
      <c r="E7700" s="7" t="s">
        <v>156</v>
      </c>
      <c r="F7700" s="39" t="n">
        <v>46006</v>
      </c>
      <c r="G7700" s="41" t="n">
        <v>133.28</v>
      </c>
      <c r="H7700" s="6" t="s">
        <v>182</v>
      </c>
      <c r="I7700" s="7" t="s">
        <v>19787</v>
      </c>
      <c r="J7700" s="8" t="n">
        <f aca="false">IF(I7700="Open",DATE(2025,12,31)-F7700,"-")</f>
        <v>16</v>
      </c>
    </row>
    <row r="7701" customFormat="false" ht="15" hidden="false" customHeight="false" outlineLevel="0" collapsed="false">
      <c r="B7701" s="7" t="s">
        <v>22347</v>
      </c>
      <c r="C7701" s="7" t="s">
        <v>8198</v>
      </c>
      <c r="D7701" s="7" t="s">
        <v>365</v>
      </c>
      <c r="E7701" s="7" t="s">
        <v>154</v>
      </c>
      <c r="F7701" s="39" t="n">
        <v>46006</v>
      </c>
      <c r="G7701" s="41" t="n">
        <v>103.88</v>
      </c>
      <c r="H7701" s="6" t="s">
        <v>182</v>
      </c>
      <c r="I7701" s="7" t="s">
        <v>19787</v>
      </c>
      <c r="J7701" s="8" t="n">
        <f aca="false">IF(I7701="Open",DATE(2025,12,31)-F7701,"-")</f>
        <v>16</v>
      </c>
    </row>
    <row r="7702" customFormat="false" ht="15" hidden="false" customHeight="false" outlineLevel="0" collapsed="false">
      <c r="B7702" s="7" t="s">
        <v>22348</v>
      </c>
      <c r="C7702" s="7" t="s">
        <v>8199</v>
      </c>
      <c r="D7702" s="7" t="s">
        <v>367</v>
      </c>
      <c r="E7702" s="7" t="s">
        <v>156</v>
      </c>
      <c r="F7702" s="39" t="n">
        <v>46006</v>
      </c>
      <c r="G7702" s="41" t="n">
        <v>96.9</v>
      </c>
      <c r="H7702" s="39" t="n">
        <v>46007</v>
      </c>
      <c r="I7702" s="7" t="s">
        <v>14651</v>
      </c>
      <c r="J7702" s="8" t="str">
        <f aca="false">IF(I7702="Open",DATE(2025,12,31)-F7702,"-")</f>
        <v>-</v>
      </c>
    </row>
    <row r="7703" customFormat="false" ht="15" hidden="false" customHeight="false" outlineLevel="0" collapsed="false">
      <c r="B7703" s="7" t="s">
        <v>22349</v>
      </c>
      <c r="C7703" s="7" t="s">
        <v>8200</v>
      </c>
      <c r="D7703" s="7" t="s">
        <v>371</v>
      </c>
      <c r="E7703" s="7" t="s">
        <v>154</v>
      </c>
      <c r="F7703" s="39" t="n">
        <v>46006</v>
      </c>
      <c r="G7703" s="41" t="n">
        <v>121.32</v>
      </c>
      <c r="H7703" s="6" t="s">
        <v>182</v>
      </c>
      <c r="I7703" s="7" t="s">
        <v>19787</v>
      </c>
      <c r="J7703" s="8" t="n">
        <f aca="false">IF(I7703="Open",DATE(2025,12,31)-F7703,"-")</f>
        <v>16</v>
      </c>
    </row>
    <row r="7704" customFormat="false" ht="15" hidden="false" customHeight="false" outlineLevel="0" collapsed="false">
      <c r="B7704" s="7" t="s">
        <v>22350</v>
      </c>
      <c r="C7704" s="7" t="s">
        <v>8201</v>
      </c>
      <c r="D7704" s="7" t="s">
        <v>375</v>
      </c>
      <c r="E7704" s="7" t="s">
        <v>156</v>
      </c>
      <c r="F7704" s="39" t="n">
        <v>46006</v>
      </c>
      <c r="G7704" s="41" t="n">
        <v>99.62</v>
      </c>
      <c r="H7704" s="6" t="s">
        <v>182</v>
      </c>
      <c r="I7704" s="7" t="s">
        <v>19787</v>
      </c>
      <c r="J7704" s="8" t="n">
        <f aca="false">IF(I7704="Open",DATE(2025,12,31)-F7704,"-")</f>
        <v>16</v>
      </c>
    </row>
    <row r="7705" customFormat="false" ht="15" hidden="false" customHeight="false" outlineLevel="0" collapsed="false">
      <c r="B7705" s="7" t="s">
        <v>22351</v>
      </c>
      <c r="C7705" s="7" t="s">
        <v>8202</v>
      </c>
      <c r="D7705" s="7" t="s">
        <v>377</v>
      </c>
      <c r="E7705" s="7" t="s">
        <v>154</v>
      </c>
      <c r="F7705" s="39" t="n">
        <v>46006</v>
      </c>
      <c r="G7705" s="41" t="n">
        <v>95.66</v>
      </c>
      <c r="H7705" s="6" t="s">
        <v>182</v>
      </c>
      <c r="I7705" s="7" t="s">
        <v>19787</v>
      </c>
      <c r="J7705" s="8" t="n">
        <f aca="false">IF(I7705="Open",DATE(2025,12,31)-F7705,"-")</f>
        <v>16</v>
      </c>
    </row>
    <row r="7706" customFormat="false" ht="15" hidden="false" customHeight="false" outlineLevel="0" collapsed="false">
      <c r="B7706" s="7" t="s">
        <v>22352</v>
      </c>
      <c r="C7706" s="7" t="s">
        <v>8203</v>
      </c>
      <c r="D7706" s="7" t="s">
        <v>379</v>
      </c>
      <c r="E7706" s="7" t="s">
        <v>156</v>
      </c>
      <c r="F7706" s="39" t="n">
        <v>46006</v>
      </c>
      <c r="G7706" s="41" t="n">
        <v>155.38</v>
      </c>
      <c r="H7706" s="39" t="n">
        <v>46014</v>
      </c>
      <c r="I7706" s="7" t="s">
        <v>14651</v>
      </c>
      <c r="J7706" s="8" t="str">
        <f aca="false">IF(I7706="Open",DATE(2025,12,31)-F7706,"-")</f>
        <v>-</v>
      </c>
    </row>
    <row r="7707" customFormat="false" ht="15" hidden="false" customHeight="false" outlineLevel="0" collapsed="false">
      <c r="B7707" s="7" t="s">
        <v>22353</v>
      </c>
      <c r="C7707" s="7" t="s">
        <v>8204</v>
      </c>
      <c r="D7707" s="7" t="s">
        <v>385</v>
      </c>
      <c r="E7707" s="7" t="s">
        <v>156</v>
      </c>
      <c r="F7707" s="39" t="n">
        <v>46006</v>
      </c>
      <c r="G7707" s="41" t="n">
        <v>148.58</v>
      </c>
      <c r="H7707" s="39" t="n">
        <v>46019</v>
      </c>
      <c r="I7707" s="7" t="s">
        <v>14651</v>
      </c>
      <c r="J7707" s="8" t="str">
        <f aca="false">IF(I7707="Open",DATE(2025,12,31)-F7707,"-")</f>
        <v>-</v>
      </c>
    </row>
    <row r="7708" customFormat="false" ht="15" hidden="false" customHeight="false" outlineLevel="0" collapsed="false">
      <c r="B7708" s="7" t="s">
        <v>22354</v>
      </c>
      <c r="C7708" s="7" t="s">
        <v>8205</v>
      </c>
      <c r="D7708" s="7" t="s">
        <v>387</v>
      </c>
      <c r="E7708" s="7" t="s">
        <v>154</v>
      </c>
      <c r="F7708" s="39" t="n">
        <v>46006</v>
      </c>
      <c r="G7708" s="41" t="n">
        <v>110.24</v>
      </c>
      <c r="H7708" s="6" t="s">
        <v>182</v>
      </c>
      <c r="I7708" s="7" t="s">
        <v>19787</v>
      </c>
      <c r="J7708" s="8" t="n">
        <f aca="false">IF(I7708="Open",DATE(2025,12,31)-F7708,"-")</f>
        <v>16</v>
      </c>
    </row>
    <row r="7709" customFormat="false" ht="15" hidden="false" customHeight="false" outlineLevel="0" collapsed="false">
      <c r="B7709" s="7" t="s">
        <v>22355</v>
      </c>
      <c r="C7709" s="7" t="s">
        <v>8206</v>
      </c>
      <c r="D7709" s="7" t="s">
        <v>389</v>
      </c>
      <c r="E7709" s="7" t="s">
        <v>154</v>
      </c>
      <c r="F7709" s="39" t="n">
        <v>46006</v>
      </c>
      <c r="G7709" s="41" t="n">
        <v>107.59</v>
      </c>
      <c r="H7709" s="6" t="s">
        <v>182</v>
      </c>
      <c r="I7709" s="7" t="s">
        <v>19787</v>
      </c>
      <c r="J7709" s="8" t="n">
        <f aca="false">IF(I7709="Open",DATE(2025,12,31)-F7709,"-")</f>
        <v>16</v>
      </c>
    </row>
    <row r="7710" customFormat="false" ht="15" hidden="false" customHeight="false" outlineLevel="0" collapsed="false">
      <c r="B7710" s="7" t="s">
        <v>22356</v>
      </c>
      <c r="C7710" s="7" t="s">
        <v>8207</v>
      </c>
      <c r="D7710" s="7" t="s">
        <v>391</v>
      </c>
      <c r="E7710" s="7" t="s">
        <v>156</v>
      </c>
      <c r="F7710" s="39" t="n">
        <v>46006</v>
      </c>
      <c r="G7710" s="41" t="n">
        <v>147.22</v>
      </c>
      <c r="H7710" s="39" t="n">
        <v>46016</v>
      </c>
      <c r="I7710" s="7" t="s">
        <v>14651</v>
      </c>
      <c r="J7710" s="8" t="str">
        <f aca="false">IF(I7710="Open",DATE(2025,12,31)-F7710,"-")</f>
        <v>-</v>
      </c>
    </row>
    <row r="7711" customFormat="false" ht="15" hidden="false" customHeight="false" outlineLevel="0" collapsed="false">
      <c r="B7711" s="7" t="s">
        <v>22357</v>
      </c>
      <c r="C7711" s="7" t="s">
        <v>8208</v>
      </c>
      <c r="D7711" s="7" t="s">
        <v>395</v>
      </c>
      <c r="E7711" s="7" t="s">
        <v>156</v>
      </c>
      <c r="F7711" s="39" t="n">
        <v>46006</v>
      </c>
      <c r="G7711" s="41" t="n">
        <v>139.06</v>
      </c>
      <c r="H7711" s="39" t="n">
        <v>46019</v>
      </c>
      <c r="I7711" s="7" t="s">
        <v>14651</v>
      </c>
      <c r="J7711" s="8" t="str">
        <f aca="false">IF(I7711="Open",DATE(2025,12,31)-F7711,"-")</f>
        <v>-</v>
      </c>
    </row>
    <row r="7712" customFormat="false" ht="15" hidden="false" customHeight="false" outlineLevel="0" collapsed="false">
      <c r="B7712" s="7" t="s">
        <v>22358</v>
      </c>
      <c r="C7712" s="7" t="s">
        <v>8209</v>
      </c>
      <c r="D7712" s="7" t="s">
        <v>399</v>
      </c>
      <c r="E7712" s="7" t="s">
        <v>154</v>
      </c>
      <c r="F7712" s="39" t="n">
        <v>46006</v>
      </c>
      <c r="G7712" s="41" t="n">
        <v>87.72</v>
      </c>
      <c r="H7712" s="6" t="s">
        <v>182</v>
      </c>
      <c r="I7712" s="7" t="s">
        <v>19787</v>
      </c>
      <c r="J7712" s="8" t="n">
        <f aca="false">IF(I7712="Open",DATE(2025,12,31)-F7712,"-")</f>
        <v>16</v>
      </c>
    </row>
    <row r="7713" customFormat="false" ht="15" hidden="false" customHeight="false" outlineLevel="0" collapsed="false">
      <c r="B7713" s="7" t="s">
        <v>22359</v>
      </c>
      <c r="C7713" s="7" t="s">
        <v>8210</v>
      </c>
      <c r="D7713" s="7" t="s">
        <v>401</v>
      </c>
      <c r="E7713" s="7" t="s">
        <v>156</v>
      </c>
      <c r="F7713" s="39" t="n">
        <v>46006</v>
      </c>
      <c r="G7713" s="41" t="n">
        <v>148.24</v>
      </c>
      <c r="H7713" s="39" t="n">
        <v>46016</v>
      </c>
      <c r="I7713" s="7" t="s">
        <v>14651</v>
      </c>
      <c r="J7713" s="8" t="str">
        <f aca="false">IF(I7713="Open",DATE(2025,12,31)-F7713,"-")</f>
        <v>-</v>
      </c>
    </row>
    <row r="7714" customFormat="false" ht="15" hidden="false" customHeight="false" outlineLevel="0" collapsed="false">
      <c r="B7714" s="7" t="s">
        <v>22360</v>
      </c>
      <c r="C7714" s="7" t="s">
        <v>8211</v>
      </c>
      <c r="D7714" s="7" t="s">
        <v>403</v>
      </c>
      <c r="E7714" s="7" t="s">
        <v>156</v>
      </c>
      <c r="F7714" s="39" t="n">
        <v>46006</v>
      </c>
      <c r="G7714" s="41" t="n">
        <v>136.34</v>
      </c>
      <c r="H7714" s="39" t="n">
        <v>46019</v>
      </c>
      <c r="I7714" s="7" t="s">
        <v>14651</v>
      </c>
      <c r="J7714" s="8" t="str">
        <f aca="false">IF(I7714="Open",DATE(2025,12,31)-F7714,"-")</f>
        <v>-</v>
      </c>
    </row>
    <row r="7715" customFormat="false" ht="15" hidden="false" customHeight="false" outlineLevel="0" collapsed="false">
      <c r="B7715" s="7" t="s">
        <v>22361</v>
      </c>
      <c r="C7715" s="7" t="s">
        <v>8212</v>
      </c>
      <c r="D7715" s="7" t="s">
        <v>405</v>
      </c>
      <c r="E7715" s="7" t="s">
        <v>156</v>
      </c>
      <c r="F7715" s="39" t="n">
        <v>46006</v>
      </c>
      <c r="G7715" s="41" t="n">
        <v>111.52</v>
      </c>
      <c r="H7715" s="39" t="n">
        <v>46022</v>
      </c>
      <c r="I7715" s="7" t="s">
        <v>14651</v>
      </c>
      <c r="J7715" s="8" t="str">
        <f aca="false">IF(I7715="Open",DATE(2025,12,31)-F7715,"-")</f>
        <v>-</v>
      </c>
    </row>
    <row r="7716" customFormat="false" ht="15" hidden="false" customHeight="false" outlineLevel="0" collapsed="false">
      <c r="B7716" s="7" t="s">
        <v>22362</v>
      </c>
      <c r="C7716" s="7" t="s">
        <v>8213</v>
      </c>
      <c r="D7716" s="7" t="s">
        <v>409</v>
      </c>
      <c r="E7716" s="7" t="s">
        <v>154</v>
      </c>
      <c r="F7716" s="39" t="n">
        <v>46006</v>
      </c>
      <c r="G7716" s="41" t="n">
        <v>84.83</v>
      </c>
      <c r="H7716" s="6" t="s">
        <v>182</v>
      </c>
      <c r="I7716" s="7" t="s">
        <v>19787</v>
      </c>
      <c r="J7716" s="8" t="n">
        <f aca="false">IF(I7716="Open",DATE(2025,12,31)-F7716,"-")</f>
        <v>16</v>
      </c>
    </row>
    <row r="7717" customFormat="false" ht="15" hidden="false" customHeight="false" outlineLevel="0" collapsed="false">
      <c r="B7717" s="7" t="s">
        <v>22363</v>
      </c>
      <c r="C7717" s="7" t="s">
        <v>8214</v>
      </c>
      <c r="D7717" s="7" t="s">
        <v>411</v>
      </c>
      <c r="E7717" s="7" t="s">
        <v>154</v>
      </c>
      <c r="F7717" s="39" t="n">
        <v>46006</v>
      </c>
      <c r="G7717" s="41" t="n">
        <v>123.23</v>
      </c>
      <c r="H7717" s="6" t="s">
        <v>182</v>
      </c>
      <c r="I7717" s="7" t="s">
        <v>19787</v>
      </c>
      <c r="J7717" s="8" t="n">
        <f aca="false">IF(I7717="Open",DATE(2025,12,31)-F7717,"-")</f>
        <v>16</v>
      </c>
    </row>
    <row r="7718" customFormat="false" ht="15" hidden="false" customHeight="false" outlineLevel="0" collapsed="false">
      <c r="B7718" s="7" t="s">
        <v>22364</v>
      </c>
      <c r="C7718" s="7" t="s">
        <v>8215</v>
      </c>
      <c r="D7718" s="7" t="s">
        <v>288</v>
      </c>
      <c r="E7718" s="7" t="s">
        <v>156</v>
      </c>
      <c r="F7718" s="39" t="n">
        <v>46007</v>
      </c>
      <c r="G7718" s="41" t="n">
        <v>122.74</v>
      </c>
      <c r="H7718" s="39" t="n">
        <v>46016</v>
      </c>
      <c r="I7718" s="7" t="s">
        <v>14651</v>
      </c>
      <c r="J7718" s="8" t="str">
        <f aca="false">IF(I7718="Open",DATE(2025,12,31)-F7718,"-")</f>
        <v>-</v>
      </c>
    </row>
    <row r="7719" customFormat="false" ht="15" hidden="false" customHeight="false" outlineLevel="0" collapsed="false">
      <c r="B7719" s="7" t="s">
        <v>22365</v>
      </c>
      <c r="C7719" s="7" t="s">
        <v>8216</v>
      </c>
      <c r="D7719" s="7" t="s">
        <v>293</v>
      </c>
      <c r="E7719" s="7" t="s">
        <v>157</v>
      </c>
      <c r="F7719" s="39" t="n">
        <v>46007</v>
      </c>
      <c r="G7719" s="41" t="n">
        <v>153.45</v>
      </c>
      <c r="H7719" s="6" t="s">
        <v>182</v>
      </c>
      <c r="I7719" s="7" t="s">
        <v>19787</v>
      </c>
      <c r="J7719" s="8" t="n">
        <f aca="false">IF(I7719="Open",DATE(2025,12,31)-F7719,"-")</f>
        <v>15</v>
      </c>
    </row>
    <row r="7720" customFormat="false" ht="15" hidden="false" customHeight="false" outlineLevel="0" collapsed="false">
      <c r="B7720" s="7" t="s">
        <v>22366</v>
      </c>
      <c r="C7720" s="7" t="s">
        <v>8217</v>
      </c>
      <c r="D7720" s="7" t="s">
        <v>301</v>
      </c>
      <c r="E7720" s="7" t="s">
        <v>157</v>
      </c>
      <c r="F7720" s="39" t="n">
        <v>46007</v>
      </c>
      <c r="G7720" s="41" t="n">
        <v>156.75</v>
      </c>
      <c r="H7720" s="6" t="s">
        <v>182</v>
      </c>
      <c r="I7720" s="7" t="s">
        <v>19787</v>
      </c>
      <c r="J7720" s="8" t="n">
        <f aca="false">IF(I7720="Open",DATE(2025,12,31)-F7720,"-")</f>
        <v>15</v>
      </c>
    </row>
    <row r="7721" customFormat="false" ht="15" hidden="false" customHeight="false" outlineLevel="0" collapsed="false">
      <c r="B7721" s="7" t="s">
        <v>22367</v>
      </c>
      <c r="C7721" s="7" t="s">
        <v>8218</v>
      </c>
      <c r="D7721" s="7" t="s">
        <v>313</v>
      </c>
      <c r="E7721" s="7" t="s">
        <v>156</v>
      </c>
      <c r="F7721" s="39" t="n">
        <v>46007</v>
      </c>
      <c r="G7721" s="41" t="n">
        <v>143.82</v>
      </c>
      <c r="H7721" s="39" t="n">
        <v>46020</v>
      </c>
      <c r="I7721" s="7" t="s">
        <v>14651</v>
      </c>
      <c r="J7721" s="8" t="str">
        <f aca="false">IF(I7721="Open",DATE(2025,12,31)-F7721,"-")</f>
        <v>-</v>
      </c>
    </row>
    <row r="7722" customFormat="false" ht="15" hidden="false" customHeight="false" outlineLevel="0" collapsed="false">
      <c r="B7722" s="7" t="s">
        <v>22368</v>
      </c>
      <c r="C7722" s="7" t="s">
        <v>8219</v>
      </c>
      <c r="D7722" s="7" t="s">
        <v>319</v>
      </c>
      <c r="E7722" s="7" t="s">
        <v>157</v>
      </c>
      <c r="F7722" s="39" t="n">
        <v>46007</v>
      </c>
      <c r="G7722" s="41" t="n">
        <v>150.15</v>
      </c>
      <c r="H7722" s="6" t="s">
        <v>182</v>
      </c>
      <c r="I7722" s="7" t="s">
        <v>19787</v>
      </c>
      <c r="J7722" s="8" t="n">
        <f aca="false">IF(I7722="Open",DATE(2025,12,31)-F7722,"-")</f>
        <v>15</v>
      </c>
    </row>
    <row r="7723" customFormat="false" ht="15" hidden="false" customHeight="false" outlineLevel="0" collapsed="false">
      <c r="B7723" s="7" t="s">
        <v>22369</v>
      </c>
      <c r="C7723" s="7" t="s">
        <v>8220</v>
      </c>
      <c r="D7723" s="7" t="s">
        <v>321</v>
      </c>
      <c r="E7723" s="7" t="s">
        <v>154</v>
      </c>
      <c r="F7723" s="39" t="n">
        <v>46007</v>
      </c>
      <c r="G7723" s="41" t="n">
        <v>111.04</v>
      </c>
      <c r="H7723" s="6" t="s">
        <v>182</v>
      </c>
      <c r="I7723" s="7" t="s">
        <v>19787</v>
      </c>
      <c r="J7723" s="8" t="n">
        <f aca="false">IF(I7723="Open",DATE(2025,12,31)-F7723,"-")</f>
        <v>15</v>
      </c>
    </row>
    <row r="7724" customFormat="false" ht="15" hidden="false" customHeight="false" outlineLevel="0" collapsed="false">
      <c r="B7724" s="7" t="s">
        <v>22370</v>
      </c>
      <c r="C7724" s="7" t="s">
        <v>8221</v>
      </c>
      <c r="D7724" s="7" t="s">
        <v>323</v>
      </c>
      <c r="E7724" s="7" t="s">
        <v>159</v>
      </c>
      <c r="F7724" s="39" t="n">
        <v>46007</v>
      </c>
      <c r="G7724" s="41" t="n">
        <v>121.5</v>
      </c>
      <c r="H7724" s="6" t="s">
        <v>182</v>
      </c>
      <c r="I7724" s="7" t="s">
        <v>19787</v>
      </c>
      <c r="J7724" s="8" t="n">
        <f aca="false">IF(I7724="Open",DATE(2025,12,31)-F7724,"-")</f>
        <v>15</v>
      </c>
    </row>
    <row r="7725" customFormat="false" ht="15" hidden="false" customHeight="false" outlineLevel="0" collapsed="false">
      <c r="B7725" s="7" t="s">
        <v>22371</v>
      </c>
      <c r="C7725" s="7" t="s">
        <v>8222</v>
      </c>
      <c r="D7725" s="7" t="s">
        <v>327</v>
      </c>
      <c r="E7725" s="7" t="s">
        <v>157</v>
      </c>
      <c r="F7725" s="39" t="n">
        <v>46007</v>
      </c>
      <c r="G7725" s="41" t="n">
        <v>158.4</v>
      </c>
      <c r="H7725" s="6" t="s">
        <v>182</v>
      </c>
      <c r="I7725" s="7" t="s">
        <v>19787</v>
      </c>
      <c r="J7725" s="8" t="n">
        <f aca="false">IF(I7725="Open",DATE(2025,12,31)-F7725,"-")</f>
        <v>15</v>
      </c>
    </row>
    <row r="7726" customFormat="false" ht="15" hidden="false" customHeight="false" outlineLevel="0" collapsed="false">
      <c r="B7726" s="7" t="s">
        <v>22372</v>
      </c>
      <c r="C7726" s="7" t="s">
        <v>8223</v>
      </c>
      <c r="D7726" s="7" t="s">
        <v>329</v>
      </c>
      <c r="E7726" s="7" t="s">
        <v>156</v>
      </c>
      <c r="F7726" s="39" t="n">
        <v>46007</v>
      </c>
      <c r="G7726" s="41" t="n">
        <v>148.92</v>
      </c>
      <c r="H7726" s="39" t="n">
        <v>46018</v>
      </c>
      <c r="I7726" s="7" t="s">
        <v>14651</v>
      </c>
      <c r="J7726" s="8" t="str">
        <f aca="false">IF(I7726="Open",DATE(2025,12,31)-F7726,"-")</f>
        <v>-</v>
      </c>
    </row>
    <row r="7727" customFormat="false" ht="15" hidden="false" customHeight="false" outlineLevel="0" collapsed="false">
      <c r="B7727" s="7" t="s">
        <v>22373</v>
      </c>
      <c r="C7727" s="7" t="s">
        <v>8224</v>
      </c>
      <c r="D7727" s="7" t="s">
        <v>349</v>
      </c>
      <c r="E7727" s="7" t="s">
        <v>154</v>
      </c>
      <c r="F7727" s="39" t="n">
        <v>46007</v>
      </c>
      <c r="G7727" s="41" t="n">
        <v>109.71</v>
      </c>
      <c r="H7727" s="6" t="s">
        <v>182</v>
      </c>
      <c r="I7727" s="7" t="s">
        <v>19787</v>
      </c>
      <c r="J7727" s="8" t="n">
        <f aca="false">IF(I7727="Open",DATE(2025,12,31)-F7727,"-")</f>
        <v>15</v>
      </c>
    </row>
    <row r="7728" customFormat="false" ht="15" hidden="false" customHeight="false" outlineLevel="0" collapsed="false">
      <c r="B7728" s="7" t="s">
        <v>22374</v>
      </c>
      <c r="C7728" s="7" t="s">
        <v>8225</v>
      </c>
      <c r="D7728" s="7" t="s">
        <v>359</v>
      </c>
      <c r="E7728" s="7" t="s">
        <v>156</v>
      </c>
      <c r="F7728" s="39" t="n">
        <v>46007</v>
      </c>
      <c r="G7728" s="41" t="n">
        <v>129.88</v>
      </c>
      <c r="H7728" s="39" t="n">
        <v>46011</v>
      </c>
      <c r="I7728" s="7" t="s">
        <v>14651</v>
      </c>
      <c r="J7728" s="8" t="str">
        <f aca="false">IF(I7728="Open",DATE(2025,12,31)-F7728,"-")</f>
        <v>-</v>
      </c>
    </row>
    <row r="7729" customFormat="false" ht="15" hidden="false" customHeight="false" outlineLevel="0" collapsed="false">
      <c r="B7729" s="7" t="s">
        <v>22375</v>
      </c>
      <c r="C7729" s="7" t="s">
        <v>8226</v>
      </c>
      <c r="D7729" s="7" t="s">
        <v>361</v>
      </c>
      <c r="E7729" s="7" t="s">
        <v>157</v>
      </c>
      <c r="F7729" s="39" t="n">
        <v>46007</v>
      </c>
      <c r="G7729" s="41" t="n">
        <v>168.3</v>
      </c>
      <c r="H7729" s="6" t="s">
        <v>182</v>
      </c>
      <c r="I7729" s="7" t="s">
        <v>19787</v>
      </c>
      <c r="J7729" s="8" t="n">
        <f aca="false">IF(I7729="Open",DATE(2025,12,31)-F7729,"-")</f>
        <v>15</v>
      </c>
    </row>
    <row r="7730" customFormat="false" ht="15" hidden="false" customHeight="false" outlineLevel="0" collapsed="false">
      <c r="B7730" s="7" t="s">
        <v>22376</v>
      </c>
      <c r="C7730" s="7" t="s">
        <v>8227</v>
      </c>
      <c r="D7730" s="7" t="s">
        <v>365</v>
      </c>
      <c r="E7730" s="7" t="s">
        <v>154</v>
      </c>
      <c r="F7730" s="39" t="n">
        <v>46007</v>
      </c>
      <c r="G7730" s="41" t="n">
        <v>114.48</v>
      </c>
      <c r="H7730" s="6" t="s">
        <v>182</v>
      </c>
      <c r="I7730" s="7" t="s">
        <v>19787</v>
      </c>
      <c r="J7730" s="8" t="n">
        <f aca="false">IF(I7730="Open",DATE(2025,12,31)-F7730,"-")</f>
        <v>15</v>
      </c>
    </row>
    <row r="7731" customFormat="false" ht="15" hidden="false" customHeight="false" outlineLevel="0" collapsed="false">
      <c r="B7731" s="7" t="s">
        <v>22377</v>
      </c>
      <c r="C7731" s="7" t="s">
        <v>8228</v>
      </c>
      <c r="D7731" s="7" t="s">
        <v>369</v>
      </c>
      <c r="E7731" s="7" t="s">
        <v>159</v>
      </c>
      <c r="F7731" s="39" t="n">
        <v>46007</v>
      </c>
      <c r="G7731" s="41" t="n">
        <v>135</v>
      </c>
      <c r="H7731" s="6" t="s">
        <v>182</v>
      </c>
      <c r="I7731" s="7" t="s">
        <v>19787</v>
      </c>
      <c r="J7731" s="8" t="n">
        <f aca="false">IF(I7731="Open",DATE(2025,12,31)-F7731,"-")</f>
        <v>15</v>
      </c>
    </row>
    <row r="7732" customFormat="false" ht="15" hidden="false" customHeight="false" outlineLevel="0" collapsed="false">
      <c r="B7732" s="7" t="s">
        <v>22378</v>
      </c>
      <c r="C7732" s="7" t="s">
        <v>8229</v>
      </c>
      <c r="D7732" s="7" t="s">
        <v>381</v>
      </c>
      <c r="E7732" s="7" t="s">
        <v>157</v>
      </c>
      <c r="F7732" s="39" t="n">
        <v>46007</v>
      </c>
      <c r="G7732" s="41" t="n">
        <v>161.7</v>
      </c>
      <c r="H7732" s="6" t="s">
        <v>182</v>
      </c>
      <c r="I7732" s="7" t="s">
        <v>19787</v>
      </c>
      <c r="J7732" s="8" t="n">
        <f aca="false">IF(I7732="Open",DATE(2025,12,31)-F7732,"-")</f>
        <v>15</v>
      </c>
    </row>
    <row r="7733" customFormat="false" ht="15" hidden="false" customHeight="false" outlineLevel="0" collapsed="false">
      <c r="B7733" s="7" t="s">
        <v>22379</v>
      </c>
      <c r="C7733" s="7" t="s">
        <v>8230</v>
      </c>
      <c r="D7733" s="7" t="s">
        <v>383</v>
      </c>
      <c r="E7733" s="7" t="s">
        <v>157</v>
      </c>
      <c r="F7733" s="39" t="n">
        <v>46007</v>
      </c>
      <c r="G7733" s="41" t="n">
        <v>168.3</v>
      </c>
      <c r="H7733" s="6" t="s">
        <v>182</v>
      </c>
      <c r="I7733" s="7" t="s">
        <v>19787</v>
      </c>
      <c r="J7733" s="8" t="n">
        <f aca="false">IF(I7733="Open",DATE(2025,12,31)-F7733,"-")</f>
        <v>15</v>
      </c>
    </row>
    <row r="7734" customFormat="false" ht="15" hidden="false" customHeight="false" outlineLevel="0" collapsed="false">
      <c r="B7734" s="7" t="s">
        <v>22380</v>
      </c>
      <c r="C7734" s="7" t="s">
        <v>8231</v>
      </c>
      <c r="D7734" s="7" t="s">
        <v>387</v>
      </c>
      <c r="E7734" s="7" t="s">
        <v>154</v>
      </c>
      <c r="F7734" s="39" t="n">
        <v>46007</v>
      </c>
      <c r="G7734" s="41" t="n">
        <v>99.38</v>
      </c>
      <c r="H7734" s="6" t="s">
        <v>182</v>
      </c>
      <c r="I7734" s="7" t="s">
        <v>19787</v>
      </c>
      <c r="J7734" s="8" t="n">
        <f aca="false">IF(I7734="Open",DATE(2025,12,31)-F7734,"-")</f>
        <v>15</v>
      </c>
    </row>
    <row r="7735" customFormat="false" ht="15" hidden="false" customHeight="false" outlineLevel="0" collapsed="false">
      <c r="B7735" s="7" t="s">
        <v>22381</v>
      </c>
      <c r="C7735" s="7" t="s">
        <v>8232</v>
      </c>
      <c r="D7735" s="7" t="s">
        <v>389</v>
      </c>
      <c r="E7735" s="7" t="s">
        <v>154</v>
      </c>
      <c r="F7735" s="39" t="n">
        <v>46007</v>
      </c>
      <c r="G7735" s="41" t="n">
        <v>114.48</v>
      </c>
      <c r="H7735" s="6" t="s">
        <v>182</v>
      </c>
      <c r="I7735" s="7" t="s">
        <v>19787</v>
      </c>
      <c r="J7735" s="8" t="n">
        <f aca="false">IF(I7735="Open",DATE(2025,12,31)-F7735,"-")</f>
        <v>15</v>
      </c>
    </row>
    <row r="7736" customFormat="false" ht="15" hidden="false" customHeight="false" outlineLevel="0" collapsed="false">
      <c r="B7736" s="7" t="s">
        <v>22382</v>
      </c>
      <c r="C7736" s="7" t="s">
        <v>8233</v>
      </c>
      <c r="D7736" s="7" t="s">
        <v>391</v>
      </c>
      <c r="E7736" s="7" t="s">
        <v>156</v>
      </c>
      <c r="F7736" s="39" t="n">
        <v>46007</v>
      </c>
      <c r="G7736" s="41" t="n">
        <v>144.84</v>
      </c>
      <c r="H7736" s="39" t="n">
        <v>46015</v>
      </c>
      <c r="I7736" s="7" t="s">
        <v>14651</v>
      </c>
      <c r="J7736" s="8" t="str">
        <f aca="false">IF(I7736="Open",DATE(2025,12,31)-F7736,"-")</f>
        <v>-</v>
      </c>
    </row>
    <row r="7737" customFormat="false" ht="15" hidden="false" customHeight="false" outlineLevel="0" collapsed="false">
      <c r="B7737" s="7" t="s">
        <v>22383</v>
      </c>
      <c r="C7737" s="7" t="s">
        <v>8234</v>
      </c>
      <c r="D7737" s="7" t="s">
        <v>395</v>
      </c>
      <c r="E7737" s="7" t="s">
        <v>156</v>
      </c>
      <c r="F7737" s="39" t="n">
        <v>46007</v>
      </c>
      <c r="G7737" s="41" t="n">
        <v>149.26</v>
      </c>
      <c r="H7737" s="39" t="n">
        <v>46022</v>
      </c>
      <c r="I7737" s="7" t="s">
        <v>14651</v>
      </c>
      <c r="J7737" s="8" t="str">
        <f aca="false">IF(I7737="Open",DATE(2025,12,31)-F7737,"-")</f>
        <v>-</v>
      </c>
    </row>
    <row r="7738" customFormat="false" ht="15" hidden="false" customHeight="false" outlineLevel="0" collapsed="false">
      <c r="B7738" s="7" t="s">
        <v>22384</v>
      </c>
      <c r="C7738" s="7" t="s">
        <v>8235</v>
      </c>
      <c r="D7738" s="7" t="s">
        <v>397</v>
      </c>
      <c r="E7738" s="7" t="s">
        <v>159</v>
      </c>
      <c r="F7738" s="39" t="n">
        <v>46007</v>
      </c>
      <c r="G7738" s="41" t="n">
        <v>135</v>
      </c>
      <c r="H7738" s="6" t="s">
        <v>182</v>
      </c>
      <c r="I7738" s="7" t="s">
        <v>19787</v>
      </c>
      <c r="J7738" s="8" t="n">
        <f aca="false">IF(I7738="Open",DATE(2025,12,31)-F7738,"-")</f>
        <v>15</v>
      </c>
    </row>
    <row r="7739" customFormat="false" ht="15" hidden="false" customHeight="false" outlineLevel="0" collapsed="false">
      <c r="B7739" s="7" t="s">
        <v>22385</v>
      </c>
      <c r="C7739" s="7" t="s">
        <v>8236</v>
      </c>
      <c r="D7739" s="7" t="s">
        <v>401</v>
      </c>
      <c r="E7739" s="7" t="s">
        <v>156</v>
      </c>
      <c r="F7739" s="39" t="n">
        <v>46007</v>
      </c>
      <c r="G7739" s="41" t="n">
        <v>124.44</v>
      </c>
      <c r="H7739" s="39" t="n">
        <v>46018</v>
      </c>
      <c r="I7739" s="7" t="s">
        <v>14651</v>
      </c>
      <c r="J7739" s="8" t="str">
        <f aca="false">IF(I7739="Open",DATE(2025,12,31)-F7739,"-")</f>
        <v>-</v>
      </c>
    </row>
    <row r="7740" customFormat="false" ht="15" hidden="false" customHeight="false" outlineLevel="0" collapsed="false">
      <c r="B7740" s="7" t="s">
        <v>22386</v>
      </c>
      <c r="C7740" s="7" t="s">
        <v>8237</v>
      </c>
      <c r="D7740" s="7" t="s">
        <v>407</v>
      </c>
      <c r="E7740" s="7" t="s">
        <v>159</v>
      </c>
      <c r="F7740" s="39" t="n">
        <v>46007</v>
      </c>
      <c r="G7740" s="41" t="n">
        <v>122.85</v>
      </c>
      <c r="H7740" s="6" t="s">
        <v>182</v>
      </c>
      <c r="I7740" s="7" t="s">
        <v>19787</v>
      </c>
      <c r="J7740" s="8" t="n">
        <f aca="false">IF(I7740="Open",DATE(2025,12,31)-F7740,"-")</f>
        <v>15</v>
      </c>
    </row>
    <row r="7741" customFormat="false" ht="15" hidden="false" customHeight="false" outlineLevel="0" collapsed="false">
      <c r="B7741" s="7" t="s">
        <v>22387</v>
      </c>
      <c r="C7741" s="7" t="s">
        <v>8238</v>
      </c>
      <c r="D7741" s="7" t="s">
        <v>284</v>
      </c>
      <c r="E7741" s="7" t="s">
        <v>157</v>
      </c>
      <c r="F7741" s="39" t="n">
        <v>46008</v>
      </c>
      <c r="G7741" s="41" t="n">
        <v>168.3</v>
      </c>
      <c r="H7741" s="6" t="s">
        <v>182</v>
      </c>
      <c r="I7741" s="7" t="s">
        <v>19787</v>
      </c>
      <c r="J7741" s="8" t="n">
        <f aca="false">IF(I7741="Open",DATE(2025,12,31)-F7741,"-")</f>
        <v>14</v>
      </c>
    </row>
    <row r="7742" customFormat="false" ht="15" hidden="false" customHeight="false" outlineLevel="0" collapsed="false">
      <c r="B7742" s="7" t="s">
        <v>22388</v>
      </c>
      <c r="C7742" s="7" t="s">
        <v>8239</v>
      </c>
      <c r="D7742" s="7" t="s">
        <v>288</v>
      </c>
      <c r="E7742" s="7" t="s">
        <v>156</v>
      </c>
      <c r="F7742" s="39" t="n">
        <v>46008</v>
      </c>
      <c r="G7742" s="41" t="n">
        <v>149.26</v>
      </c>
      <c r="H7742" s="6" t="s">
        <v>182</v>
      </c>
      <c r="I7742" s="7" t="s">
        <v>19787</v>
      </c>
      <c r="J7742" s="8" t="n">
        <f aca="false">IF(I7742="Open",DATE(2025,12,31)-F7742,"-")</f>
        <v>14</v>
      </c>
    </row>
    <row r="7743" customFormat="false" ht="15" hidden="false" customHeight="false" outlineLevel="0" collapsed="false">
      <c r="B7743" s="7" t="s">
        <v>22389</v>
      </c>
      <c r="C7743" s="7" t="s">
        <v>8240</v>
      </c>
      <c r="D7743" s="7" t="s">
        <v>291</v>
      </c>
      <c r="E7743" s="7" t="s">
        <v>154</v>
      </c>
      <c r="F7743" s="39" t="n">
        <v>46008</v>
      </c>
      <c r="G7743" s="41" t="n">
        <v>120.84</v>
      </c>
      <c r="H7743" s="6" t="s">
        <v>182</v>
      </c>
      <c r="I7743" s="7" t="s">
        <v>19787</v>
      </c>
      <c r="J7743" s="8" t="n">
        <f aca="false">IF(I7743="Open",DATE(2025,12,31)-F7743,"-")</f>
        <v>14</v>
      </c>
    </row>
    <row r="7744" customFormat="false" ht="15" hidden="false" customHeight="false" outlineLevel="0" collapsed="false">
      <c r="B7744" s="7" t="s">
        <v>22390</v>
      </c>
      <c r="C7744" s="7" t="s">
        <v>8241</v>
      </c>
      <c r="D7744" s="7" t="s">
        <v>295</v>
      </c>
      <c r="E7744" s="7" t="s">
        <v>154</v>
      </c>
      <c r="F7744" s="39" t="n">
        <v>46008</v>
      </c>
      <c r="G7744" s="41" t="n">
        <v>115.27</v>
      </c>
      <c r="H7744" s="6" t="s">
        <v>182</v>
      </c>
      <c r="I7744" s="7" t="s">
        <v>19787</v>
      </c>
      <c r="J7744" s="8" t="n">
        <f aca="false">IF(I7744="Open",DATE(2025,12,31)-F7744,"-")</f>
        <v>14</v>
      </c>
    </row>
    <row r="7745" customFormat="false" ht="15" hidden="false" customHeight="false" outlineLevel="0" collapsed="false">
      <c r="B7745" s="7" t="s">
        <v>22391</v>
      </c>
      <c r="C7745" s="7" t="s">
        <v>8242</v>
      </c>
      <c r="D7745" s="7" t="s">
        <v>305</v>
      </c>
      <c r="E7745" s="7" t="s">
        <v>154</v>
      </c>
      <c r="F7745" s="39" t="n">
        <v>46008</v>
      </c>
      <c r="G7745" s="41" t="n">
        <v>98.84</v>
      </c>
      <c r="H7745" s="6" t="s">
        <v>182</v>
      </c>
      <c r="I7745" s="7" t="s">
        <v>19787</v>
      </c>
      <c r="J7745" s="8" t="n">
        <f aca="false">IF(I7745="Open",DATE(2025,12,31)-F7745,"-")</f>
        <v>14</v>
      </c>
    </row>
    <row r="7746" customFormat="false" ht="15" hidden="false" customHeight="false" outlineLevel="0" collapsed="false">
      <c r="B7746" s="7" t="s">
        <v>22392</v>
      </c>
      <c r="C7746" s="7" t="s">
        <v>8243</v>
      </c>
      <c r="D7746" s="7" t="s">
        <v>307</v>
      </c>
      <c r="E7746" s="7" t="s">
        <v>157</v>
      </c>
      <c r="F7746" s="39" t="n">
        <v>46008</v>
      </c>
      <c r="G7746" s="41" t="n">
        <v>153.62</v>
      </c>
      <c r="H7746" s="6" t="s">
        <v>182</v>
      </c>
      <c r="I7746" s="7" t="s">
        <v>19787</v>
      </c>
      <c r="J7746" s="8" t="n">
        <f aca="false">IF(I7746="Open",DATE(2025,12,31)-F7746,"-")</f>
        <v>14</v>
      </c>
    </row>
    <row r="7747" customFormat="false" ht="15" hidden="false" customHeight="false" outlineLevel="0" collapsed="false">
      <c r="B7747" s="7" t="s">
        <v>22393</v>
      </c>
      <c r="C7747" s="7" t="s">
        <v>8244</v>
      </c>
      <c r="D7747" s="7" t="s">
        <v>309</v>
      </c>
      <c r="E7747" s="7" t="s">
        <v>159</v>
      </c>
      <c r="F7747" s="39" t="n">
        <v>46008</v>
      </c>
      <c r="G7747" s="41" t="n">
        <v>122.85</v>
      </c>
      <c r="H7747" s="6" t="s">
        <v>182</v>
      </c>
      <c r="I7747" s="7" t="s">
        <v>19787</v>
      </c>
      <c r="J7747" s="8" t="n">
        <f aca="false">IF(I7747="Open",DATE(2025,12,31)-F7747,"-")</f>
        <v>14</v>
      </c>
    </row>
    <row r="7748" customFormat="false" ht="15" hidden="false" customHeight="false" outlineLevel="0" collapsed="false">
      <c r="B7748" s="7" t="s">
        <v>22394</v>
      </c>
      <c r="C7748" s="7" t="s">
        <v>8245</v>
      </c>
      <c r="D7748" s="7" t="s">
        <v>313</v>
      </c>
      <c r="E7748" s="7" t="s">
        <v>156</v>
      </c>
      <c r="F7748" s="39" t="n">
        <v>46008</v>
      </c>
      <c r="G7748" s="41" t="n">
        <v>127.5</v>
      </c>
      <c r="H7748" s="39" t="n">
        <v>46021</v>
      </c>
      <c r="I7748" s="7" t="s">
        <v>14651</v>
      </c>
      <c r="J7748" s="8" t="str">
        <f aca="false">IF(I7748="Open",DATE(2025,12,31)-F7748,"-")</f>
        <v>-</v>
      </c>
    </row>
    <row r="7749" customFormat="false" ht="15" hidden="false" customHeight="false" outlineLevel="0" collapsed="false">
      <c r="B7749" s="7" t="s">
        <v>22395</v>
      </c>
      <c r="C7749" s="7" t="s">
        <v>8246</v>
      </c>
      <c r="D7749" s="7" t="s">
        <v>315</v>
      </c>
      <c r="E7749" s="7" t="s">
        <v>159</v>
      </c>
      <c r="F7749" s="39" t="n">
        <v>46008</v>
      </c>
      <c r="G7749" s="41" t="n">
        <v>143.1</v>
      </c>
      <c r="H7749" s="6" t="s">
        <v>182</v>
      </c>
      <c r="I7749" s="7" t="s">
        <v>19787</v>
      </c>
      <c r="J7749" s="8" t="n">
        <f aca="false">IF(I7749="Open",DATE(2025,12,31)-F7749,"-")</f>
        <v>14</v>
      </c>
    </row>
    <row r="7750" customFormat="false" ht="15" hidden="false" customHeight="false" outlineLevel="0" collapsed="false">
      <c r="B7750" s="7" t="s">
        <v>22396</v>
      </c>
      <c r="C7750" s="7" t="s">
        <v>8247</v>
      </c>
      <c r="D7750" s="7" t="s">
        <v>321</v>
      </c>
      <c r="E7750" s="7" t="s">
        <v>154</v>
      </c>
      <c r="F7750" s="39" t="n">
        <v>46008</v>
      </c>
      <c r="G7750" s="41" t="n">
        <v>98.18</v>
      </c>
      <c r="H7750" s="6" t="s">
        <v>182</v>
      </c>
      <c r="I7750" s="7" t="s">
        <v>19787</v>
      </c>
      <c r="J7750" s="8" t="n">
        <f aca="false">IF(I7750="Open",DATE(2025,12,31)-F7750,"-")</f>
        <v>14</v>
      </c>
    </row>
    <row r="7751" customFormat="false" ht="15" hidden="false" customHeight="false" outlineLevel="0" collapsed="false">
      <c r="B7751" s="7" t="s">
        <v>22397</v>
      </c>
      <c r="C7751" s="7" t="s">
        <v>8248</v>
      </c>
      <c r="D7751" s="7" t="s">
        <v>329</v>
      </c>
      <c r="E7751" s="7" t="s">
        <v>156</v>
      </c>
      <c r="F7751" s="39" t="n">
        <v>46008</v>
      </c>
      <c r="G7751" s="41" t="n">
        <v>122.4</v>
      </c>
      <c r="H7751" s="39" t="n">
        <v>46018</v>
      </c>
      <c r="I7751" s="7" t="s">
        <v>14651</v>
      </c>
      <c r="J7751" s="8" t="str">
        <f aca="false">IF(I7751="Open",DATE(2025,12,31)-F7751,"-")</f>
        <v>-</v>
      </c>
    </row>
    <row r="7752" customFormat="false" ht="15" hidden="false" customHeight="false" outlineLevel="0" collapsed="false">
      <c r="B7752" s="7" t="s">
        <v>22398</v>
      </c>
      <c r="C7752" s="7" t="s">
        <v>8249</v>
      </c>
      <c r="D7752" s="7" t="s">
        <v>333</v>
      </c>
      <c r="E7752" s="7" t="s">
        <v>154</v>
      </c>
      <c r="F7752" s="39" t="n">
        <v>46008</v>
      </c>
      <c r="G7752" s="41" t="n">
        <v>92.75</v>
      </c>
      <c r="H7752" s="6" t="s">
        <v>182</v>
      </c>
      <c r="I7752" s="7" t="s">
        <v>19787</v>
      </c>
      <c r="J7752" s="8" t="n">
        <f aca="false">IF(I7752="Open",DATE(2025,12,31)-F7752,"-")</f>
        <v>14</v>
      </c>
    </row>
    <row r="7753" customFormat="false" ht="15" hidden="false" customHeight="false" outlineLevel="0" collapsed="false">
      <c r="B7753" s="7" t="s">
        <v>22399</v>
      </c>
      <c r="C7753" s="7" t="s">
        <v>8250</v>
      </c>
      <c r="D7753" s="7" t="s">
        <v>335</v>
      </c>
      <c r="E7753" s="7" t="s">
        <v>154</v>
      </c>
      <c r="F7753" s="39" t="n">
        <v>46008</v>
      </c>
      <c r="G7753" s="41" t="n">
        <v>112.36</v>
      </c>
      <c r="H7753" s="6" t="s">
        <v>182</v>
      </c>
      <c r="I7753" s="7" t="s">
        <v>19787</v>
      </c>
      <c r="J7753" s="8" t="n">
        <f aca="false">IF(I7753="Open",DATE(2025,12,31)-F7753,"-")</f>
        <v>14</v>
      </c>
    </row>
    <row r="7754" customFormat="false" ht="15" hidden="false" customHeight="false" outlineLevel="0" collapsed="false">
      <c r="B7754" s="7" t="s">
        <v>22400</v>
      </c>
      <c r="C7754" s="7" t="s">
        <v>8251</v>
      </c>
      <c r="D7754" s="7" t="s">
        <v>339</v>
      </c>
      <c r="E7754" s="7" t="s">
        <v>154</v>
      </c>
      <c r="F7754" s="39" t="n">
        <v>46008</v>
      </c>
      <c r="G7754" s="41" t="n">
        <v>83.47</v>
      </c>
      <c r="H7754" s="6" t="s">
        <v>182</v>
      </c>
      <c r="I7754" s="7" t="s">
        <v>19787</v>
      </c>
      <c r="J7754" s="8" t="n">
        <f aca="false">IF(I7754="Open",DATE(2025,12,31)-F7754,"-")</f>
        <v>14</v>
      </c>
    </row>
    <row r="7755" customFormat="false" ht="15" hidden="false" customHeight="false" outlineLevel="0" collapsed="false">
      <c r="B7755" s="7" t="s">
        <v>22401</v>
      </c>
      <c r="C7755" s="7" t="s">
        <v>8252</v>
      </c>
      <c r="D7755" s="7" t="s">
        <v>349</v>
      </c>
      <c r="E7755" s="7" t="s">
        <v>154</v>
      </c>
      <c r="F7755" s="39" t="n">
        <v>46008</v>
      </c>
      <c r="G7755" s="41" t="n">
        <v>103.35</v>
      </c>
      <c r="H7755" s="6" t="s">
        <v>182</v>
      </c>
      <c r="I7755" s="7" t="s">
        <v>19787</v>
      </c>
      <c r="J7755" s="8" t="n">
        <f aca="false">IF(I7755="Open",DATE(2025,12,31)-F7755,"-")</f>
        <v>14</v>
      </c>
    </row>
    <row r="7756" customFormat="false" ht="15" hidden="false" customHeight="false" outlineLevel="0" collapsed="false">
      <c r="B7756" s="7" t="s">
        <v>22402</v>
      </c>
      <c r="C7756" s="7" t="s">
        <v>8253</v>
      </c>
      <c r="D7756" s="7" t="s">
        <v>353</v>
      </c>
      <c r="E7756" s="7" t="s">
        <v>154</v>
      </c>
      <c r="F7756" s="39" t="n">
        <v>46008</v>
      </c>
      <c r="G7756" s="41" t="n">
        <v>86.12</v>
      </c>
      <c r="H7756" s="6" t="s">
        <v>182</v>
      </c>
      <c r="I7756" s="7" t="s">
        <v>19787</v>
      </c>
      <c r="J7756" s="8" t="n">
        <f aca="false">IF(I7756="Open",DATE(2025,12,31)-F7756,"-")</f>
        <v>14</v>
      </c>
    </row>
    <row r="7757" customFormat="false" ht="15" hidden="false" customHeight="false" outlineLevel="0" collapsed="false">
      <c r="B7757" s="7" t="s">
        <v>22403</v>
      </c>
      <c r="C7757" s="7" t="s">
        <v>8254</v>
      </c>
      <c r="D7757" s="7" t="s">
        <v>355</v>
      </c>
      <c r="E7757" s="7" t="s">
        <v>154</v>
      </c>
      <c r="F7757" s="39" t="n">
        <v>46008</v>
      </c>
      <c r="G7757" s="41" t="n">
        <v>80.03</v>
      </c>
      <c r="H7757" s="6" t="s">
        <v>182</v>
      </c>
      <c r="I7757" s="7" t="s">
        <v>19787</v>
      </c>
      <c r="J7757" s="8" t="n">
        <f aca="false">IF(I7757="Open",DATE(2025,12,31)-F7757,"-")</f>
        <v>14</v>
      </c>
    </row>
    <row r="7758" customFormat="false" ht="15" hidden="false" customHeight="false" outlineLevel="0" collapsed="false">
      <c r="B7758" s="7" t="s">
        <v>22404</v>
      </c>
      <c r="C7758" s="7" t="s">
        <v>8255</v>
      </c>
      <c r="D7758" s="7" t="s">
        <v>357</v>
      </c>
      <c r="E7758" s="7" t="s">
        <v>154</v>
      </c>
      <c r="F7758" s="39" t="n">
        <v>46008</v>
      </c>
      <c r="G7758" s="41" t="n">
        <v>93.81</v>
      </c>
      <c r="H7758" s="6" t="s">
        <v>182</v>
      </c>
      <c r="I7758" s="7" t="s">
        <v>19787</v>
      </c>
      <c r="J7758" s="8" t="n">
        <f aca="false">IF(I7758="Open",DATE(2025,12,31)-F7758,"-")</f>
        <v>14</v>
      </c>
    </row>
    <row r="7759" customFormat="false" ht="15" hidden="false" customHeight="false" outlineLevel="0" collapsed="false">
      <c r="B7759" s="7" t="s">
        <v>22405</v>
      </c>
      <c r="C7759" s="7" t="s">
        <v>8256</v>
      </c>
      <c r="D7759" s="7" t="s">
        <v>359</v>
      </c>
      <c r="E7759" s="7" t="s">
        <v>156</v>
      </c>
      <c r="F7759" s="39" t="n">
        <v>46008</v>
      </c>
      <c r="G7759" s="41" t="n">
        <v>127.16</v>
      </c>
      <c r="H7759" s="39" t="n">
        <v>46019</v>
      </c>
      <c r="I7759" s="7" t="s">
        <v>14651</v>
      </c>
      <c r="J7759" s="8" t="str">
        <f aca="false">IF(I7759="Open",DATE(2025,12,31)-F7759,"-")</f>
        <v>-</v>
      </c>
    </row>
    <row r="7760" customFormat="false" ht="15" hidden="false" customHeight="false" outlineLevel="0" collapsed="false">
      <c r="B7760" s="7" t="s">
        <v>22406</v>
      </c>
      <c r="C7760" s="7" t="s">
        <v>8257</v>
      </c>
      <c r="D7760" s="7" t="s">
        <v>365</v>
      </c>
      <c r="E7760" s="7" t="s">
        <v>154</v>
      </c>
      <c r="F7760" s="39" t="n">
        <v>46008</v>
      </c>
      <c r="G7760" s="41" t="n">
        <v>102.56</v>
      </c>
      <c r="H7760" s="6" t="s">
        <v>182</v>
      </c>
      <c r="I7760" s="7" t="s">
        <v>19787</v>
      </c>
      <c r="J7760" s="8" t="n">
        <f aca="false">IF(I7760="Open",DATE(2025,12,31)-F7760,"-")</f>
        <v>14</v>
      </c>
    </row>
    <row r="7761" customFormat="false" ht="15" hidden="false" customHeight="false" outlineLevel="0" collapsed="false">
      <c r="B7761" s="7" t="s">
        <v>22407</v>
      </c>
      <c r="C7761" s="7" t="s">
        <v>8258</v>
      </c>
      <c r="D7761" s="7" t="s">
        <v>379</v>
      </c>
      <c r="E7761" s="7" t="s">
        <v>156</v>
      </c>
      <c r="F7761" s="39" t="n">
        <v>46008</v>
      </c>
      <c r="G7761" s="41" t="n">
        <v>147.9</v>
      </c>
      <c r="H7761" s="39" t="n">
        <v>46016</v>
      </c>
      <c r="I7761" s="7" t="s">
        <v>14651</v>
      </c>
      <c r="J7761" s="8" t="str">
        <f aca="false">IF(I7761="Open",DATE(2025,12,31)-F7761,"-")</f>
        <v>-</v>
      </c>
    </row>
    <row r="7762" customFormat="false" ht="15" hidden="false" customHeight="false" outlineLevel="0" collapsed="false">
      <c r="B7762" s="7" t="s">
        <v>22408</v>
      </c>
      <c r="C7762" s="7" t="s">
        <v>8259</v>
      </c>
      <c r="D7762" s="7" t="s">
        <v>385</v>
      </c>
      <c r="E7762" s="7" t="s">
        <v>156</v>
      </c>
      <c r="F7762" s="39" t="n">
        <v>46008</v>
      </c>
      <c r="G7762" s="41" t="n">
        <v>146.88</v>
      </c>
      <c r="H7762" s="39" t="n">
        <v>46021</v>
      </c>
      <c r="I7762" s="7" t="s">
        <v>14651</v>
      </c>
      <c r="J7762" s="8" t="str">
        <f aca="false">IF(I7762="Open",DATE(2025,12,31)-F7762,"-")</f>
        <v>-</v>
      </c>
    </row>
    <row r="7763" customFormat="false" ht="15" hidden="false" customHeight="false" outlineLevel="0" collapsed="false">
      <c r="B7763" s="7" t="s">
        <v>22409</v>
      </c>
      <c r="C7763" s="7" t="s">
        <v>8260</v>
      </c>
      <c r="D7763" s="7" t="s">
        <v>387</v>
      </c>
      <c r="E7763" s="7" t="s">
        <v>154</v>
      </c>
      <c r="F7763" s="39" t="n">
        <v>46008</v>
      </c>
      <c r="G7763" s="41" t="n">
        <v>103.35</v>
      </c>
      <c r="H7763" s="6" t="s">
        <v>182</v>
      </c>
      <c r="I7763" s="7" t="s">
        <v>19787</v>
      </c>
      <c r="J7763" s="8" t="n">
        <f aca="false">IF(I7763="Open",DATE(2025,12,31)-F7763,"-")</f>
        <v>14</v>
      </c>
    </row>
    <row r="7764" customFormat="false" ht="15" hidden="false" customHeight="false" outlineLevel="0" collapsed="false">
      <c r="B7764" s="7" t="s">
        <v>22410</v>
      </c>
      <c r="C7764" s="7" t="s">
        <v>8261</v>
      </c>
      <c r="D7764" s="7" t="s">
        <v>389</v>
      </c>
      <c r="E7764" s="7" t="s">
        <v>154</v>
      </c>
      <c r="F7764" s="39" t="n">
        <v>46008</v>
      </c>
      <c r="G7764" s="41" t="n">
        <v>102.32</v>
      </c>
      <c r="H7764" s="6" t="s">
        <v>182</v>
      </c>
      <c r="I7764" s="7" t="s">
        <v>19787</v>
      </c>
      <c r="J7764" s="8" t="n">
        <f aca="false">IF(I7764="Open",DATE(2025,12,31)-F7764,"-")</f>
        <v>14</v>
      </c>
    </row>
    <row r="7765" customFormat="false" ht="15" hidden="false" customHeight="false" outlineLevel="0" collapsed="false">
      <c r="B7765" s="7" t="s">
        <v>22411</v>
      </c>
      <c r="C7765" s="7" t="s">
        <v>8262</v>
      </c>
      <c r="D7765" s="7" t="s">
        <v>391</v>
      </c>
      <c r="E7765" s="7" t="s">
        <v>156</v>
      </c>
      <c r="F7765" s="39" t="n">
        <v>46008</v>
      </c>
      <c r="G7765" s="41" t="n">
        <v>138.04</v>
      </c>
      <c r="H7765" s="39" t="n">
        <v>46019</v>
      </c>
      <c r="I7765" s="7" t="s">
        <v>14651</v>
      </c>
      <c r="J7765" s="8" t="str">
        <f aca="false">IF(I7765="Open",DATE(2025,12,31)-F7765,"-")</f>
        <v>-</v>
      </c>
    </row>
    <row r="7766" customFormat="false" ht="15" hidden="false" customHeight="false" outlineLevel="0" collapsed="false">
      <c r="B7766" s="7" t="s">
        <v>22412</v>
      </c>
      <c r="C7766" s="7" t="s">
        <v>8263</v>
      </c>
      <c r="D7766" s="7" t="s">
        <v>393</v>
      </c>
      <c r="E7766" s="7" t="s">
        <v>157</v>
      </c>
      <c r="F7766" s="39" t="n">
        <v>46008</v>
      </c>
      <c r="G7766" s="41" t="n">
        <v>179.85</v>
      </c>
      <c r="H7766" s="6" t="s">
        <v>182</v>
      </c>
      <c r="I7766" s="7" t="s">
        <v>19787</v>
      </c>
      <c r="J7766" s="8" t="n">
        <f aca="false">IF(I7766="Open",DATE(2025,12,31)-F7766,"-")</f>
        <v>14</v>
      </c>
    </row>
    <row r="7767" customFormat="false" ht="15" hidden="false" customHeight="false" outlineLevel="0" collapsed="false">
      <c r="B7767" s="7" t="s">
        <v>22413</v>
      </c>
      <c r="C7767" s="7" t="s">
        <v>8264</v>
      </c>
      <c r="D7767" s="7" t="s">
        <v>395</v>
      </c>
      <c r="E7767" s="7" t="s">
        <v>156</v>
      </c>
      <c r="F7767" s="39" t="n">
        <v>46008</v>
      </c>
      <c r="G7767" s="41" t="n">
        <v>138.72</v>
      </c>
      <c r="H7767" s="39" t="n">
        <v>46009</v>
      </c>
      <c r="I7767" s="7" t="s">
        <v>14651</v>
      </c>
      <c r="J7767" s="8" t="str">
        <f aca="false">IF(I7767="Open",DATE(2025,12,31)-F7767,"-")</f>
        <v>-</v>
      </c>
    </row>
    <row r="7768" customFormat="false" ht="15" hidden="false" customHeight="false" outlineLevel="0" collapsed="false">
      <c r="B7768" s="7" t="s">
        <v>22414</v>
      </c>
      <c r="C7768" s="7" t="s">
        <v>8265</v>
      </c>
      <c r="D7768" s="7" t="s">
        <v>399</v>
      </c>
      <c r="E7768" s="7" t="s">
        <v>154</v>
      </c>
      <c r="F7768" s="39" t="n">
        <v>46008</v>
      </c>
      <c r="G7768" s="41" t="n">
        <v>85.33</v>
      </c>
      <c r="H7768" s="6" t="s">
        <v>182</v>
      </c>
      <c r="I7768" s="7" t="s">
        <v>19787</v>
      </c>
      <c r="J7768" s="8" t="n">
        <f aca="false">IF(I7768="Open",DATE(2025,12,31)-F7768,"-")</f>
        <v>14</v>
      </c>
    </row>
    <row r="7769" customFormat="false" ht="15" hidden="false" customHeight="false" outlineLevel="0" collapsed="false">
      <c r="B7769" s="7" t="s">
        <v>22415</v>
      </c>
      <c r="C7769" s="7" t="s">
        <v>8266</v>
      </c>
      <c r="D7769" s="7" t="s">
        <v>403</v>
      </c>
      <c r="E7769" s="7" t="s">
        <v>156</v>
      </c>
      <c r="F7769" s="39" t="n">
        <v>46008</v>
      </c>
      <c r="G7769" s="41" t="n">
        <v>144.16</v>
      </c>
      <c r="H7769" s="6" t="s">
        <v>182</v>
      </c>
      <c r="I7769" s="7" t="s">
        <v>19787</v>
      </c>
      <c r="J7769" s="8" t="n">
        <f aca="false">IF(I7769="Open",DATE(2025,12,31)-F7769,"-")</f>
        <v>14</v>
      </c>
    </row>
    <row r="7770" customFormat="false" ht="15" hidden="false" customHeight="false" outlineLevel="0" collapsed="false">
      <c r="B7770" s="7" t="s">
        <v>22416</v>
      </c>
      <c r="C7770" s="7" t="s">
        <v>8267</v>
      </c>
      <c r="D7770" s="7" t="s">
        <v>409</v>
      </c>
      <c r="E7770" s="7" t="s">
        <v>154</v>
      </c>
      <c r="F7770" s="39" t="n">
        <v>46008</v>
      </c>
      <c r="G7770" s="41" t="n">
        <v>88.51</v>
      </c>
      <c r="H7770" s="6" t="s">
        <v>182</v>
      </c>
      <c r="I7770" s="7" t="s">
        <v>19787</v>
      </c>
      <c r="J7770" s="8" t="n">
        <f aca="false">IF(I7770="Open",DATE(2025,12,31)-F7770,"-")</f>
        <v>14</v>
      </c>
    </row>
    <row r="7771" customFormat="false" ht="15" hidden="false" customHeight="false" outlineLevel="0" collapsed="false">
      <c r="B7771" s="7" t="s">
        <v>22417</v>
      </c>
      <c r="C7771" s="7" t="s">
        <v>8268</v>
      </c>
      <c r="D7771" s="7" t="s">
        <v>411</v>
      </c>
      <c r="E7771" s="7" t="s">
        <v>154</v>
      </c>
      <c r="F7771" s="39" t="n">
        <v>46008</v>
      </c>
      <c r="G7771" s="41" t="n">
        <v>135.68</v>
      </c>
      <c r="H7771" s="6" t="s">
        <v>182</v>
      </c>
      <c r="I7771" s="7" t="s">
        <v>19787</v>
      </c>
      <c r="J7771" s="8" t="n">
        <f aca="false">IF(I7771="Open",DATE(2025,12,31)-F7771,"-")</f>
        <v>14</v>
      </c>
    </row>
    <row r="7772" customFormat="false" ht="15" hidden="false" customHeight="false" outlineLevel="0" collapsed="false">
      <c r="B7772" s="7" t="s">
        <v>22418</v>
      </c>
      <c r="C7772" s="7" t="s">
        <v>8269</v>
      </c>
      <c r="D7772" s="7" t="s">
        <v>288</v>
      </c>
      <c r="E7772" s="7" t="s">
        <v>156</v>
      </c>
      <c r="F7772" s="39" t="n">
        <v>46009</v>
      </c>
      <c r="G7772" s="41" t="n">
        <v>133.28</v>
      </c>
      <c r="H7772" s="39" t="n">
        <v>46012</v>
      </c>
      <c r="I7772" s="7" t="s">
        <v>14651</v>
      </c>
      <c r="J7772" s="8" t="str">
        <f aca="false">IF(I7772="Open",DATE(2025,12,31)-F7772,"-")</f>
        <v>-</v>
      </c>
    </row>
    <row r="7773" customFormat="false" ht="15" hidden="false" customHeight="false" outlineLevel="0" collapsed="false">
      <c r="B7773" s="7" t="s">
        <v>22419</v>
      </c>
      <c r="C7773" s="7" t="s">
        <v>8270</v>
      </c>
      <c r="D7773" s="7" t="s">
        <v>297</v>
      </c>
      <c r="E7773" s="7" t="s">
        <v>156</v>
      </c>
      <c r="F7773" s="39" t="n">
        <v>46009</v>
      </c>
      <c r="G7773" s="41" t="n">
        <v>103.7</v>
      </c>
      <c r="H7773" s="39" t="n">
        <v>46014</v>
      </c>
      <c r="I7773" s="7" t="s">
        <v>14651</v>
      </c>
      <c r="J7773" s="8" t="str">
        <f aca="false">IF(I7773="Open",DATE(2025,12,31)-F7773,"-")</f>
        <v>-</v>
      </c>
    </row>
    <row r="7774" customFormat="false" ht="15" hidden="false" customHeight="false" outlineLevel="0" collapsed="false">
      <c r="B7774" s="7" t="s">
        <v>22420</v>
      </c>
      <c r="C7774" s="7" t="s">
        <v>8271</v>
      </c>
      <c r="D7774" s="7" t="s">
        <v>299</v>
      </c>
      <c r="E7774" s="7" t="s">
        <v>154</v>
      </c>
      <c r="F7774" s="39" t="n">
        <v>46009</v>
      </c>
      <c r="G7774" s="41" t="n">
        <v>71.81</v>
      </c>
      <c r="H7774" s="6" t="s">
        <v>182</v>
      </c>
      <c r="I7774" s="7" t="s">
        <v>19787</v>
      </c>
      <c r="J7774" s="8" t="n">
        <f aca="false">IF(I7774="Open",DATE(2025,12,31)-F7774,"-")</f>
        <v>13</v>
      </c>
    </row>
    <row r="7775" customFormat="false" ht="15" hidden="false" customHeight="false" outlineLevel="0" collapsed="false">
      <c r="B7775" s="7" t="s">
        <v>22421</v>
      </c>
      <c r="C7775" s="7" t="s">
        <v>8272</v>
      </c>
      <c r="D7775" s="7" t="s">
        <v>303</v>
      </c>
      <c r="E7775" s="7" t="s">
        <v>154</v>
      </c>
      <c r="F7775" s="39" t="n">
        <v>46009</v>
      </c>
      <c r="G7775" s="41" t="n">
        <v>113.42</v>
      </c>
      <c r="H7775" s="6" t="s">
        <v>182</v>
      </c>
      <c r="I7775" s="7" t="s">
        <v>19787</v>
      </c>
      <c r="J7775" s="8" t="n">
        <f aca="false">IF(I7775="Open",DATE(2025,12,31)-F7775,"-")</f>
        <v>13</v>
      </c>
    </row>
    <row r="7776" customFormat="false" ht="15" hidden="false" customHeight="false" outlineLevel="0" collapsed="false">
      <c r="B7776" s="7" t="s">
        <v>22422</v>
      </c>
      <c r="C7776" s="7" t="s">
        <v>8273</v>
      </c>
      <c r="D7776" s="7" t="s">
        <v>311</v>
      </c>
      <c r="E7776" s="7" t="s">
        <v>154</v>
      </c>
      <c r="F7776" s="39" t="n">
        <v>46009</v>
      </c>
      <c r="G7776" s="41" t="n">
        <v>82.76</v>
      </c>
      <c r="H7776" s="6" t="s">
        <v>182</v>
      </c>
      <c r="I7776" s="7" t="s">
        <v>19787</v>
      </c>
      <c r="J7776" s="8" t="n">
        <f aca="false">IF(I7776="Open",DATE(2025,12,31)-F7776,"-")</f>
        <v>13</v>
      </c>
    </row>
    <row r="7777" customFormat="false" ht="15" hidden="false" customHeight="false" outlineLevel="0" collapsed="false">
      <c r="B7777" s="7" t="s">
        <v>22423</v>
      </c>
      <c r="C7777" s="7" t="s">
        <v>8274</v>
      </c>
      <c r="D7777" s="7" t="s">
        <v>313</v>
      </c>
      <c r="E7777" s="7" t="s">
        <v>156</v>
      </c>
      <c r="F7777" s="39" t="n">
        <v>46009</v>
      </c>
      <c r="G7777" s="41" t="n">
        <v>145.52</v>
      </c>
      <c r="H7777" s="39" t="n">
        <v>46019</v>
      </c>
      <c r="I7777" s="7" t="s">
        <v>14651</v>
      </c>
      <c r="J7777" s="8" t="str">
        <f aca="false">IF(I7777="Open",DATE(2025,12,31)-F7777,"-")</f>
        <v>-</v>
      </c>
    </row>
    <row r="7778" customFormat="false" ht="15" hidden="false" customHeight="false" outlineLevel="0" collapsed="false">
      <c r="B7778" s="7" t="s">
        <v>22424</v>
      </c>
      <c r="C7778" s="7" t="s">
        <v>8275</v>
      </c>
      <c r="D7778" s="7" t="s">
        <v>317</v>
      </c>
      <c r="E7778" s="7" t="s">
        <v>156</v>
      </c>
      <c r="F7778" s="39" t="n">
        <v>46009</v>
      </c>
      <c r="G7778" s="41" t="n">
        <v>93.5</v>
      </c>
      <c r="H7778" s="6" t="s">
        <v>182</v>
      </c>
      <c r="I7778" s="7" t="s">
        <v>19787</v>
      </c>
      <c r="J7778" s="8" t="n">
        <f aca="false">IF(I7778="Open",DATE(2025,12,31)-F7778,"-")</f>
        <v>13</v>
      </c>
    </row>
    <row r="7779" customFormat="false" ht="15" hidden="false" customHeight="false" outlineLevel="0" collapsed="false">
      <c r="B7779" s="7" t="s">
        <v>22425</v>
      </c>
      <c r="C7779" s="7" t="s">
        <v>8276</v>
      </c>
      <c r="D7779" s="7" t="s">
        <v>321</v>
      </c>
      <c r="E7779" s="7" t="s">
        <v>154</v>
      </c>
      <c r="F7779" s="39" t="n">
        <v>46009</v>
      </c>
      <c r="G7779" s="41" t="n">
        <v>100.97</v>
      </c>
      <c r="H7779" s="6" t="s">
        <v>182</v>
      </c>
      <c r="I7779" s="7" t="s">
        <v>19787</v>
      </c>
      <c r="J7779" s="8" t="n">
        <f aca="false">IF(I7779="Open",DATE(2025,12,31)-F7779,"-")</f>
        <v>13</v>
      </c>
    </row>
    <row r="7780" customFormat="false" ht="15" hidden="false" customHeight="false" outlineLevel="0" collapsed="false">
      <c r="B7780" s="7" t="s">
        <v>22426</v>
      </c>
      <c r="C7780" s="7" t="s">
        <v>8277</v>
      </c>
      <c r="D7780" s="7" t="s">
        <v>325</v>
      </c>
      <c r="E7780" s="7" t="s">
        <v>154</v>
      </c>
      <c r="F7780" s="39" t="n">
        <v>46009</v>
      </c>
      <c r="G7780" s="41" t="n">
        <v>86.66</v>
      </c>
      <c r="H7780" s="6" t="s">
        <v>182</v>
      </c>
      <c r="I7780" s="7" t="s">
        <v>19787</v>
      </c>
      <c r="J7780" s="8" t="n">
        <f aca="false">IF(I7780="Open",DATE(2025,12,31)-F7780,"-")</f>
        <v>13</v>
      </c>
    </row>
    <row r="7781" customFormat="false" ht="15" hidden="false" customHeight="false" outlineLevel="0" collapsed="false">
      <c r="B7781" s="7" t="s">
        <v>22427</v>
      </c>
      <c r="C7781" s="7" t="s">
        <v>8278</v>
      </c>
      <c r="D7781" s="7" t="s">
        <v>329</v>
      </c>
      <c r="E7781" s="7" t="s">
        <v>156</v>
      </c>
      <c r="F7781" s="39" t="n">
        <v>46009</v>
      </c>
      <c r="G7781" s="41" t="n">
        <v>132.26</v>
      </c>
      <c r="H7781" s="39" t="n">
        <v>46017</v>
      </c>
      <c r="I7781" s="7" t="s">
        <v>14651</v>
      </c>
      <c r="J7781" s="8" t="str">
        <f aca="false">IF(I7781="Open",DATE(2025,12,31)-F7781,"-")</f>
        <v>-</v>
      </c>
    </row>
    <row r="7782" customFormat="false" ht="15" hidden="false" customHeight="false" outlineLevel="0" collapsed="false">
      <c r="B7782" s="7" t="s">
        <v>22428</v>
      </c>
      <c r="C7782" s="7" t="s">
        <v>8279</v>
      </c>
      <c r="D7782" s="7" t="s">
        <v>341</v>
      </c>
      <c r="E7782" s="7" t="s">
        <v>156</v>
      </c>
      <c r="F7782" s="39" t="n">
        <v>46009</v>
      </c>
      <c r="G7782" s="41" t="n">
        <v>105.06</v>
      </c>
      <c r="H7782" s="39" t="n">
        <v>46017</v>
      </c>
      <c r="I7782" s="7" t="s">
        <v>14651</v>
      </c>
      <c r="J7782" s="8" t="str">
        <f aca="false">IF(I7782="Open",DATE(2025,12,31)-F7782,"-")</f>
        <v>-</v>
      </c>
    </row>
    <row r="7783" customFormat="false" ht="15" hidden="false" customHeight="false" outlineLevel="0" collapsed="false">
      <c r="B7783" s="7" t="s">
        <v>22429</v>
      </c>
      <c r="C7783" s="7" t="s">
        <v>8280</v>
      </c>
      <c r="D7783" s="7" t="s">
        <v>349</v>
      </c>
      <c r="E7783" s="7" t="s">
        <v>154</v>
      </c>
      <c r="F7783" s="39" t="n">
        <v>46009</v>
      </c>
      <c r="G7783" s="41" t="n">
        <v>103.62</v>
      </c>
      <c r="H7783" s="6" t="s">
        <v>182</v>
      </c>
      <c r="I7783" s="7" t="s">
        <v>19787</v>
      </c>
      <c r="J7783" s="8" t="n">
        <f aca="false">IF(I7783="Open",DATE(2025,12,31)-F7783,"-")</f>
        <v>13</v>
      </c>
    </row>
    <row r="7784" customFormat="false" ht="15" hidden="false" customHeight="false" outlineLevel="0" collapsed="false">
      <c r="B7784" s="7" t="s">
        <v>22430</v>
      </c>
      <c r="C7784" s="7" t="s">
        <v>8281</v>
      </c>
      <c r="D7784" s="7" t="s">
        <v>351</v>
      </c>
      <c r="E7784" s="7" t="s">
        <v>154</v>
      </c>
      <c r="F7784" s="39" t="n">
        <v>46009</v>
      </c>
      <c r="G7784" s="41" t="n">
        <v>85.59</v>
      </c>
      <c r="H7784" s="6" t="s">
        <v>182</v>
      </c>
      <c r="I7784" s="7" t="s">
        <v>19787</v>
      </c>
      <c r="J7784" s="8" t="n">
        <f aca="false">IF(I7784="Open",DATE(2025,12,31)-F7784,"-")</f>
        <v>13</v>
      </c>
    </row>
    <row r="7785" customFormat="false" ht="15" hidden="false" customHeight="false" outlineLevel="0" collapsed="false">
      <c r="B7785" s="7" t="s">
        <v>22431</v>
      </c>
      <c r="C7785" s="7" t="s">
        <v>8282</v>
      </c>
      <c r="D7785" s="7" t="s">
        <v>359</v>
      </c>
      <c r="E7785" s="7" t="s">
        <v>156</v>
      </c>
      <c r="F7785" s="39" t="n">
        <v>46009</v>
      </c>
      <c r="G7785" s="41" t="n">
        <v>141.44</v>
      </c>
      <c r="H7785" s="39" t="n">
        <v>46021</v>
      </c>
      <c r="I7785" s="7" t="s">
        <v>14651</v>
      </c>
      <c r="J7785" s="8" t="str">
        <f aca="false">IF(I7785="Open",DATE(2025,12,31)-F7785,"-")</f>
        <v>-</v>
      </c>
    </row>
    <row r="7786" customFormat="false" ht="15" hidden="false" customHeight="false" outlineLevel="0" collapsed="false">
      <c r="B7786" s="7" t="s">
        <v>22432</v>
      </c>
      <c r="C7786" s="7" t="s">
        <v>8283</v>
      </c>
      <c r="D7786" s="7" t="s">
        <v>363</v>
      </c>
      <c r="E7786" s="7" t="s">
        <v>156</v>
      </c>
      <c r="F7786" s="39" t="n">
        <v>46009</v>
      </c>
      <c r="G7786" s="41" t="n">
        <v>139.74</v>
      </c>
      <c r="H7786" s="39" t="n">
        <v>46017</v>
      </c>
      <c r="I7786" s="7" t="s">
        <v>14651</v>
      </c>
      <c r="J7786" s="8" t="str">
        <f aca="false">IF(I7786="Open",DATE(2025,12,31)-F7786,"-")</f>
        <v>-</v>
      </c>
    </row>
    <row r="7787" customFormat="false" ht="15" hidden="false" customHeight="false" outlineLevel="0" collapsed="false">
      <c r="B7787" s="7" t="s">
        <v>22433</v>
      </c>
      <c r="C7787" s="7" t="s">
        <v>8284</v>
      </c>
      <c r="D7787" s="7" t="s">
        <v>365</v>
      </c>
      <c r="E7787" s="7" t="s">
        <v>154</v>
      </c>
      <c r="F7787" s="39" t="n">
        <v>46009</v>
      </c>
      <c r="G7787" s="41" t="n">
        <v>95.66</v>
      </c>
      <c r="H7787" s="6" t="s">
        <v>182</v>
      </c>
      <c r="I7787" s="7" t="s">
        <v>19787</v>
      </c>
      <c r="J7787" s="8" t="n">
        <f aca="false">IF(I7787="Open",DATE(2025,12,31)-F7787,"-")</f>
        <v>13</v>
      </c>
    </row>
    <row r="7788" customFormat="false" ht="15" hidden="false" customHeight="false" outlineLevel="0" collapsed="false">
      <c r="B7788" s="7" t="s">
        <v>22434</v>
      </c>
      <c r="C7788" s="7" t="s">
        <v>8285</v>
      </c>
      <c r="D7788" s="7" t="s">
        <v>367</v>
      </c>
      <c r="E7788" s="7" t="s">
        <v>156</v>
      </c>
      <c r="F7788" s="39" t="n">
        <v>46009</v>
      </c>
      <c r="G7788" s="41" t="n">
        <v>98.26</v>
      </c>
      <c r="H7788" s="6" t="s">
        <v>182</v>
      </c>
      <c r="I7788" s="7" t="s">
        <v>19787</v>
      </c>
      <c r="J7788" s="8" t="n">
        <f aca="false">IF(I7788="Open",DATE(2025,12,31)-F7788,"-")</f>
        <v>13</v>
      </c>
    </row>
    <row r="7789" customFormat="false" ht="15" hidden="false" customHeight="false" outlineLevel="0" collapsed="false">
      <c r="B7789" s="7" t="s">
        <v>22435</v>
      </c>
      <c r="C7789" s="7" t="s">
        <v>8286</v>
      </c>
      <c r="D7789" s="7" t="s">
        <v>375</v>
      </c>
      <c r="E7789" s="7" t="s">
        <v>156</v>
      </c>
      <c r="F7789" s="39" t="n">
        <v>46009</v>
      </c>
      <c r="G7789" s="41" t="n">
        <v>107.78</v>
      </c>
      <c r="H7789" s="6" t="s">
        <v>182</v>
      </c>
      <c r="I7789" s="7" t="s">
        <v>19787</v>
      </c>
      <c r="J7789" s="8" t="n">
        <f aca="false">IF(I7789="Open",DATE(2025,12,31)-F7789,"-")</f>
        <v>13</v>
      </c>
    </row>
    <row r="7790" customFormat="false" ht="15" hidden="false" customHeight="false" outlineLevel="0" collapsed="false">
      <c r="B7790" s="7" t="s">
        <v>22436</v>
      </c>
      <c r="C7790" s="7" t="s">
        <v>8287</v>
      </c>
      <c r="D7790" s="7" t="s">
        <v>377</v>
      </c>
      <c r="E7790" s="7" t="s">
        <v>154</v>
      </c>
      <c r="F7790" s="39" t="n">
        <v>46009</v>
      </c>
      <c r="G7790" s="41" t="n">
        <v>112.1</v>
      </c>
      <c r="H7790" s="6" t="s">
        <v>182</v>
      </c>
      <c r="I7790" s="7" t="s">
        <v>19787</v>
      </c>
      <c r="J7790" s="8" t="n">
        <f aca="false">IF(I7790="Open",DATE(2025,12,31)-F7790,"-")</f>
        <v>13</v>
      </c>
    </row>
    <row r="7791" customFormat="false" ht="15" hidden="false" customHeight="false" outlineLevel="0" collapsed="false">
      <c r="B7791" s="7" t="s">
        <v>22437</v>
      </c>
      <c r="C7791" s="7" t="s">
        <v>8288</v>
      </c>
      <c r="D7791" s="7" t="s">
        <v>387</v>
      </c>
      <c r="E7791" s="7" t="s">
        <v>154</v>
      </c>
      <c r="F7791" s="39" t="n">
        <v>46009</v>
      </c>
      <c r="G7791" s="41" t="n">
        <v>96.46</v>
      </c>
      <c r="H7791" s="6" t="s">
        <v>182</v>
      </c>
      <c r="I7791" s="7" t="s">
        <v>19787</v>
      </c>
      <c r="J7791" s="8" t="n">
        <f aca="false">IF(I7791="Open",DATE(2025,12,31)-F7791,"-")</f>
        <v>13</v>
      </c>
    </row>
    <row r="7792" customFormat="false" ht="15" hidden="false" customHeight="false" outlineLevel="0" collapsed="false">
      <c r="B7792" s="7" t="s">
        <v>22438</v>
      </c>
      <c r="C7792" s="7" t="s">
        <v>8289</v>
      </c>
      <c r="D7792" s="7" t="s">
        <v>389</v>
      </c>
      <c r="E7792" s="7" t="s">
        <v>154</v>
      </c>
      <c r="F7792" s="39" t="n">
        <v>46009</v>
      </c>
      <c r="G7792" s="41" t="n">
        <v>100.97</v>
      </c>
      <c r="H7792" s="6" t="s">
        <v>182</v>
      </c>
      <c r="I7792" s="7" t="s">
        <v>19787</v>
      </c>
      <c r="J7792" s="8" t="n">
        <f aca="false">IF(I7792="Open",DATE(2025,12,31)-F7792,"-")</f>
        <v>13</v>
      </c>
    </row>
    <row r="7793" customFormat="false" ht="15" hidden="false" customHeight="false" outlineLevel="0" collapsed="false">
      <c r="B7793" s="7" t="s">
        <v>22439</v>
      </c>
      <c r="C7793" s="7" t="s">
        <v>8290</v>
      </c>
      <c r="D7793" s="7" t="s">
        <v>391</v>
      </c>
      <c r="E7793" s="7" t="s">
        <v>156</v>
      </c>
      <c r="F7793" s="39" t="n">
        <v>46009</v>
      </c>
      <c r="G7793" s="41" t="n">
        <v>124.44</v>
      </c>
      <c r="H7793" s="39" t="n">
        <v>46019</v>
      </c>
      <c r="I7793" s="7" t="s">
        <v>14651</v>
      </c>
      <c r="J7793" s="8" t="str">
        <f aca="false">IF(I7793="Open",DATE(2025,12,31)-F7793,"-")</f>
        <v>-</v>
      </c>
    </row>
    <row r="7794" customFormat="false" ht="15" hidden="false" customHeight="false" outlineLevel="0" collapsed="false">
      <c r="B7794" s="7" t="s">
        <v>22440</v>
      </c>
      <c r="C7794" s="7" t="s">
        <v>8291</v>
      </c>
      <c r="D7794" s="7" t="s">
        <v>395</v>
      </c>
      <c r="E7794" s="7" t="s">
        <v>156</v>
      </c>
      <c r="F7794" s="39" t="n">
        <v>46009</v>
      </c>
      <c r="G7794" s="41" t="n">
        <v>126.82</v>
      </c>
      <c r="H7794" s="6" t="s">
        <v>182</v>
      </c>
      <c r="I7794" s="7" t="s">
        <v>19787</v>
      </c>
      <c r="J7794" s="8" t="n">
        <f aca="false">IF(I7794="Open",DATE(2025,12,31)-F7794,"-")</f>
        <v>13</v>
      </c>
    </row>
    <row r="7795" customFormat="false" ht="15" hidden="false" customHeight="false" outlineLevel="0" collapsed="false">
      <c r="B7795" s="7" t="s">
        <v>22441</v>
      </c>
      <c r="C7795" s="7" t="s">
        <v>8292</v>
      </c>
      <c r="D7795" s="7" t="s">
        <v>401</v>
      </c>
      <c r="E7795" s="7" t="s">
        <v>156</v>
      </c>
      <c r="F7795" s="39" t="n">
        <v>46009</v>
      </c>
      <c r="G7795" s="41" t="n">
        <v>130.56</v>
      </c>
      <c r="H7795" s="39" t="n">
        <v>46022</v>
      </c>
      <c r="I7795" s="7" t="s">
        <v>14651</v>
      </c>
      <c r="J7795" s="8" t="str">
        <f aca="false">IF(I7795="Open",DATE(2025,12,31)-F7795,"-")</f>
        <v>-</v>
      </c>
    </row>
    <row r="7796" customFormat="false" ht="15" hidden="false" customHeight="false" outlineLevel="0" collapsed="false">
      <c r="B7796" s="7" t="s">
        <v>22442</v>
      </c>
      <c r="C7796" s="7" t="s">
        <v>8293</v>
      </c>
      <c r="D7796" s="7" t="s">
        <v>405</v>
      </c>
      <c r="E7796" s="7" t="s">
        <v>156</v>
      </c>
      <c r="F7796" s="39" t="n">
        <v>46009</v>
      </c>
      <c r="G7796" s="41" t="n">
        <v>92.82</v>
      </c>
      <c r="H7796" s="6" t="s">
        <v>182</v>
      </c>
      <c r="I7796" s="7" t="s">
        <v>19787</v>
      </c>
      <c r="J7796" s="8" t="n">
        <f aca="false">IF(I7796="Open",DATE(2025,12,31)-F7796,"-")</f>
        <v>13</v>
      </c>
    </row>
    <row r="7797" customFormat="false" ht="15" hidden="false" customHeight="false" outlineLevel="0" collapsed="false">
      <c r="B7797" s="7" t="s">
        <v>22443</v>
      </c>
      <c r="C7797" s="7" t="s">
        <v>8294</v>
      </c>
      <c r="D7797" s="7" t="s">
        <v>288</v>
      </c>
      <c r="E7797" s="7" t="s">
        <v>156</v>
      </c>
      <c r="F7797" s="39" t="n">
        <v>46010</v>
      </c>
      <c r="G7797" s="41" t="n">
        <v>137.02</v>
      </c>
      <c r="H7797" s="6" t="s">
        <v>182</v>
      </c>
      <c r="I7797" s="7" t="s">
        <v>19787</v>
      </c>
      <c r="J7797" s="8" t="n">
        <f aca="false">IF(I7797="Open",DATE(2025,12,31)-F7797,"-")</f>
        <v>12</v>
      </c>
    </row>
    <row r="7798" customFormat="false" ht="15" hidden="false" customHeight="false" outlineLevel="0" collapsed="false">
      <c r="B7798" s="7" t="s">
        <v>22444</v>
      </c>
      <c r="C7798" s="7" t="s">
        <v>8295</v>
      </c>
      <c r="D7798" s="7" t="s">
        <v>291</v>
      </c>
      <c r="E7798" s="7" t="s">
        <v>154</v>
      </c>
      <c r="F7798" s="39" t="n">
        <v>46010</v>
      </c>
      <c r="G7798" s="41" t="n">
        <v>115.54</v>
      </c>
      <c r="H7798" s="6" t="s">
        <v>182</v>
      </c>
      <c r="I7798" s="7" t="s">
        <v>19787</v>
      </c>
      <c r="J7798" s="8" t="n">
        <f aca="false">IF(I7798="Open",DATE(2025,12,31)-F7798,"-")</f>
        <v>12</v>
      </c>
    </row>
    <row r="7799" customFormat="false" ht="15" hidden="false" customHeight="false" outlineLevel="0" collapsed="false">
      <c r="B7799" s="7" t="s">
        <v>22445</v>
      </c>
      <c r="C7799" s="7" t="s">
        <v>8296</v>
      </c>
      <c r="D7799" s="7" t="s">
        <v>293</v>
      </c>
      <c r="E7799" s="7" t="s">
        <v>157</v>
      </c>
      <c r="F7799" s="39" t="n">
        <v>46010</v>
      </c>
      <c r="G7799" s="41" t="n">
        <v>165</v>
      </c>
      <c r="H7799" s="6" t="s">
        <v>182</v>
      </c>
      <c r="I7799" s="7" t="s">
        <v>19787</v>
      </c>
      <c r="J7799" s="8" t="n">
        <f aca="false">IF(I7799="Open",DATE(2025,12,31)-F7799,"-")</f>
        <v>12</v>
      </c>
    </row>
    <row r="7800" customFormat="false" ht="15" hidden="false" customHeight="false" outlineLevel="0" collapsed="false">
      <c r="B7800" s="7" t="s">
        <v>22446</v>
      </c>
      <c r="C7800" s="7" t="s">
        <v>8297</v>
      </c>
      <c r="D7800" s="7" t="s">
        <v>295</v>
      </c>
      <c r="E7800" s="7" t="s">
        <v>154</v>
      </c>
      <c r="F7800" s="39" t="n">
        <v>46010</v>
      </c>
      <c r="G7800" s="41" t="n">
        <v>111.56</v>
      </c>
      <c r="H7800" s="6" t="s">
        <v>182</v>
      </c>
      <c r="I7800" s="7" t="s">
        <v>19787</v>
      </c>
      <c r="J7800" s="8" t="n">
        <f aca="false">IF(I7800="Open",DATE(2025,12,31)-F7800,"-")</f>
        <v>12</v>
      </c>
    </row>
    <row r="7801" customFormat="false" ht="15" hidden="false" customHeight="false" outlineLevel="0" collapsed="false">
      <c r="B7801" s="7" t="s">
        <v>22447</v>
      </c>
      <c r="C7801" s="7" t="s">
        <v>8298</v>
      </c>
      <c r="D7801" s="7" t="s">
        <v>301</v>
      </c>
      <c r="E7801" s="7" t="s">
        <v>157</v>
      </c>
      <c r="F7801" s="39" t="n">
        <v>46010</v>
      </c>
      <c r="G7801" s="41" t="n">
        <v>166.65</v>
      </c>
      <c r="H7801" s="6" t="s">
        <v>182</v>
      </c>
      <c r="I7801" s="7" t="s">
        <v>19787</v>
      </c>
      <c r="J7801" s="8" t="n">
        <f aca="false">IF(I7801="Open",DATE(2025,12,31)-F7801,"-")</f>
        <v>12</v>
      </c>
    </row>
    <row r="7802" customFormat="false" ht="15" hidden="false" customHeight="false" outlineLevel="0" collapsed="false">
      <c r="B7802" s="7" t="s">
        <v>22448</v>
      </c>
      <c r="C7802" s="7" t="s">
        <v>8299</v>
      </c>
      <c r="D7802" s="7" t="s">
        <v>305</v>
      </c>
      <c r="E7802" s="7" t="s">
        <v>154</v>
      </c>
      <c r="F7802" s="39" t="n">
        <v>46010</v>
      </c>
      <c r="G7802" s="41" t="n">
        <v>107.32</v>
      </c>
      <c r="H7802" s="6" t="s">
        <v>182</v>
      </c>
      <c r="I7802" s="7" t="s">
        <v>19787</v>
      </c>
      <c r="J7802" s="8" t="n">
        <f aca="false">IF(I7802="Open",DATE(2025,12,31)-F7802,"-")</f>
        <v>12</v>
      </c>
    </row>
    <row r="7803" customFormat="false" ht="15" hidden="false" customHeight="false" outlineLevel="0" collapsed="false">
      <c r="B7803" s="7" t="s">
        <v>22449</v>
      </c>
      <c r="C7803" s="7" t="s">
        <v>8300</v>
      </c>
      <c r="D7803" s="7" t="s">
        <v>307</v>
      </c>
      <c r="E7803" s="7" t="s">
        <v>157</v>
      </c>
      <c r="F7803" s="39" t="n">
        <v>46010</v>
      </c>
      <c r="G7803" s="41" t="n">
        <v>150.48</v>
      </c>
      <c r="H7803" s="6" t="s">
        <v>182</v>
      </c>
      <c r="I7803" s="7" t="s">
        <v>19787</v>
      </c>
      <c r="J7803" s="8" t="n">
        <f aca="false">IF(I7803="Open",DATE(2025,12,31)-F7803,"-")</f>
        <v>12</v>
      </c>
    </row>
    <row r="7804" customFormat="false" ht="15" hidden="false" customHeight="false" outlineLevel="0" collapsed="false">
      <c r="B7804" s="7" t="s">
        <v>22450</v>
      </c>
      <c r="C7804" s="7" t="s">
        <v>8301</v>
      </c>
      <c r="D7804" s="7" t="s">
        <v>313</v>
      </c>
      <c r="E7804" s="7" t="s">
        <v>156</v>
      </c>
      <c r="F7804" s="39" t="n">
        <v>46010</v>
      </c>
      <c r="G7804" s="41" t="n">
        <v>145.52</v>
      </c>
      <c r="H7804" s="6" t="s">
        <v>182</v>
      </c>
      <c r="I7804" s="7" t="s">
        <v>19787</v>
      </c>
      <c r="J7804" s="8" t="n">
        <f aca="false">IF(I7804="Open",DATE(2025,12,31)-F7804,"-")</f>
        <v>12</v>
      </c>
    </row>
    <row r="7805" customFormat="false" ht="15" hidden="false" customHeight="false" outlineLevel="0" collapsed="false">
      <c r="B7805" s="7" t="s">
        <v>22451</v>
      </c>
      <c r="C7805" s="7" t="s">
        <v>8302</v>
      </c>
      <c r="D7805" s="7" t="s">
        <v>315</v>
      </c>
      <c r="E7805" s="7" t="s">
        <v>159</v>
      </c>
      <c r="F7805" s="39" t="n">
        <v>46010</v>
      </c>
      <c r="G7805" s="41" t="n">
        <v>132.3</v>
      </c>
      <c r="H7805" s="6" t="s">
        <v>182</v>
      </c>
      <c r="I7805" s="7" t="s">
        <v>19787</v>
      </c>
      <c r="J7805" s="8" t="n">
        <f aca="false">IF(I7805="Open",DATE(2025,12,31)-F7805,"-")</f>
        <v>12</v>
      </c>
    </row>
    <row r="7806" customFormat="false" ht="15" hidden="false" customHeight="false" outlineLevel="0" collapsed="false">
      <c r="B7806" s="7" t="s">
        <v>22452</v>
      </c>
      <c r="C7806" s="7" t="s">
        <v>8303</v>
      </c>
      <c r="D7806" s="7" t="s">
        <v>319</v>
      </c>
      <c r="E7806" s="7" t="s">
        <v>157</v>
      </c>
      <c r="F7806" s="39" t="n">
        <v>46010</v>
      </c>
      <c r="G7806" s="41" t="n">
        <v>168.3</v>
      </c>
      <c r="H7806" s="6" t="s">
        <v>182</v>
      </c>
      <c r="I7806" s="7" t="s">
        <v>19787</v>
      </c>
      <c r="J7806" s="8" t="n">
        <f aca="false">IF(I7806="Open",DATE(2025,12,31)-F7806,"-")</f>
        <v>12</v>
      </c>
    </row>
    <row r="7807" customFormat="false" ht="15" hidden="false" customHeight="false" outlineLevel="0" collapsed="false">
      <c r="B7807" s="7" t="s">
        <v>22453</v>
      </c>
      <c r="C7807" s="7" t="s">
        <v>8304</v>
      </c>
      <c r="D7807" s="7" t="s">
        <v>321</v>
      </c>
      <c r="E7807" s="7" t="s">
        <v>154</v>
      </c>
      <c r="F7807" s="39" t="n">
        <v>46010</v>
      </c>
      <c r="G7807" s="41" t="n">
        <v>108.92</v>
      </c>
      <c r="H7807" s="6" t="s">
        <v>182</v>
      </c>
      <c r="I7807" s="7" t="s">
        <v>19787</v>
      </c>
      <c r="J7807" s="8" t="n">
        <f aca="false">IF(I7807="Open",DATE(2025,12,31)-F7807,"-")</f>
        <v>12</v>
      </c>
    </row>
    <row r="7808" customFormat="false" ht="15" hidden="false" customHeight="false" outlineLevel="0" collapsed="false">
      <c r="B7808" s="7" t="s">
        <v>22454</v>
      </c>
      <c r="C7808" s="7" t="s">
        <v>8305</v>
      </c>
      <c r="D7808" s="7" t="s">
        <v>323</v>
      </c>
      <c r="E7808" s="7" t="s">
        <v>159</v>
      </c>
      <c r="F7808" s="39" t="n">
        <v>46010</v>
      </c>
      <c r="G7808" s="41" t="n">
        <v>145.8</v>
      </c>
      <c r="H7808" s="6" t="s">
        <v>182</v>
      </c>
      <c r="I7808" s="7" t="s">
        <v>19787</v>
      </c>
      <c r="J7808" s="8" t="n">
        <f aca="false">IF(I7808="Open",DATE(2025,12,31)-F7808,"-")</f>
        <v>12</v>
      </c>
    </row>
    <row r="7809" customFormat="false" ht="15" hidden="false" customHeight="false" outlineLevel="0" collapsed="false">
      <c r="B7809" s="7" t="s">
        <v>22455</v>
      </c>
      <c r="C7809" s="7" t="s">
        <v>8306</v>
      </c>
      <c r="D7809" s="7" t="s">
        <v>327</v>
      </c>
      <c r="E7809" s="7" t="s">
        <v>157</v>
      </c>
      <c r="F7809" s="39" t="n">
        <v>46010</v>
      </c>
      <c r="G7809" s="41" t="n">
        <v>156.75</v>
      </c>
      <c r="H7809" s="6" t="s">
        <v>182</v>
      </c>
      <c r="I7809" s="7" t="s">
        <v>19787</v>
      </c>
      <c r="J7809" s="8" t="n">
        <f aca="false">IF(I7809="Open",DATE(2025,12,31)-F7809,"-")</f>
        <v>12</v>
      </c>
    </row>
    <row r="7810" customFormat="false" ht="15" hidden="false" customHeight="false" outlineLevel="0" collapsed="false">
      <c r="B7810" s="7" t="s">
        <v>22456</v>
      </c>
      <c r="C7810" s="7" t="s">
        <v>8307</v>
      </c>
      <c r="D7810" s="7" t="s">
        <v>329</v>
      </c>
      <c r="E7810" s="7" t="s">
        <v>156</v>
      </c>
      <c r="F7810" s="39" t="n">
        <v>46010</v>
      </c>
      <c r="G7810" s="41" t="n">
        <v>128.18</v>
      </c>
      <c r="H7810" s="6" t="s">
        <v>182</v>
      </c>
      <c r="I7810" s="7" t="s">
        <v>19787</v>
      </c>
      <c r="J7810" s="8" t="n">
        <f aca="false">IF(I7810="Open",DATE(2025,12,31)-F7810,"-")</f>
        <v>12</v>
      </c>
    </row>
    <row r="7811" customFormat="false" ht="15" hidden="false" customHeight="false" outlineLevel="0" collapsed="false">
      <c r="B7811" s="7" t="s">
        <v>22457</v>
      </c>
      <c r="C7811" s="7" t="s">
        <v>8308</v>
      </c>
      <c r="D7811" s="7" t="s">
        <v>333</v>
      </c>
      <c r="E7811" s="7" t="s">
        <v>154</v>
      </c>
      <c r="F7811" s="39" t="n">
        <v>46010</v>
      </c>
      <c r="G7811" s="41" t="n">
        <v>96.19</v>
      </c>
      <c r="H7811" s="6" t="s">
        <v>182</v>
      </c>
      <c r="I7811" s="7" t="s">
        <v>19787</v>
      </c>
      <c r="J7811" s="8" t="n">
        <f aca="false">IF(I7811="Open",DATE(2025,12,31)-F7811,"-")</f>
        <v>12</v>
      </c>
    </row>
    <row r="7812" customFormat="false" ht="15" hidden="false" customHeight="false" outlineLevel="0" collapsed="false">
      <c r="B7812" s="7" t="s">
        <v>22458</v>
      </c>
      <c r="C7812" s="7" t="s">
        <v>8309</v>
      </c>
      <c r="D7812" s="7" t="s">
        <v>335</v>
      </c>
      <c r="E7812" s="7" t="s">
        <v>154</v>
      </c>
      <c r="F7812" s="39" t="n">
        <v>46010</v>
      </c>
      <c r="G7812" s="41" t="n">
        <v>101.76</v>
      </c>
      <c r="H7812" s="6" t="s">
        <v>182</v>
      </c>
      <c r="I7812" s="7" t="s">
        <v>19787</v>
      </c>
      <c r="J7812" s="8" t="n">
        <f aca="false">IF(I7812="Open",DATE(2025,12,31)-F7812,"-")</f>
        <v>12</v>
      </c>
    </row>
    <row r="7813" customFormat="false" ht="15" hidden="false" customHeight="false" outlineLevel="0" collapsed="false">
      <c r="B7813" s="7" t="s">
        <v>22459</v>
      </c>
      <c r="C7813" s="7" t="s">
        <v>8310</v>
      </c>
      <c r="D7813" s="7" t="s">
        <v>339</v>
      </c>
      <c r="E7813" s="7" t="s">
        <v>154</v>
      </c>
      <c r="F7813" s="39" t="n">
        <v>46010</v>
      </c>
      <c r="G7813" s="41" t="n">
        <v>84</v>
      </c>
      <c r="H7813" s="6" t="s">
        <v>182</v>
      </c>
      <c r="I7813" s="7" t="s">
        <v>19787</v>
      </c>
      <c r="J7813" s="8" t="n">
        <f aca="false">IF(I7813="Open",DATE(2025,12,31)-F7813,"-")</f>
        <v>12</v>
      </c>
    </row>
    <row r="7814" customFormat="false" ht="15" hidden="false" customHeight="false" outlineLevel="0" collapsed="false">
      <c r="B7814" s="7" t="s">
        <v>22460</v>
      </c>
      <c r="C7814" s="7" t="s">
        <v>8311</v>
      </c>
      <c r="D7814" s="7" t="s">
        <v>349</v>
      </c>
      <c r="E7814" s="7" t="s">
        <v>154</v>
      </c>
      <c r="F7814" s="39" t="n">
        <v>46010</v>
      </c>
      <c r="G7814" s="41" t="n">
        <v>111.3</v>
      </c>
      <c r="H7814" s="6" t="s">
        <v>182</v>
      </c>
      <c r="I7814" s="7" t="s">
        <v>19787</v>
      </c>
      <c r="J7814" s="8" t="n">
        <f aca="false">IF(I7814="Open",DATE(2025,12,31)-F7814,"-")</f>
        <v>12</v>
      </c>
    </row>
    <row r="7815" customFormat="false" ht="15" hidden="false" customHeight="false" outlineLevel="0" collapsed="false">
      <c r="B7815" s="7" t="s">
        <v>22461</v>
      </c>
      <c r="C7815" s="7" t="s">
        <v>8312</v>
      </c>
      <c r="D7815" s="7" t="s">
        <v>353</v>
      </c>
      <c r="E7815" s="7" t="s">
        <v>154</v>
      </c>
      <c r="F7815" s="39" t="n">
        <v>46010</v>
      </c>
      <c r="G7815" s="41" t="n">
        <v>89.04</v>
      </c>
      <c r="H7815" s="6" t="s">
        <v>182</v>
      </c>
      <c r="I7815" s="7" t="s">
        <v>19787</v>
      </c>
      <c r="J7815" s="8" t="n">
        <f aca="false">IF(I7815="Open",DATE(2025,12,31)-F7815,"-")</f>
        <v>12</v>
      </c>
    </row>
    <row r="7816" customFormat="false" ht="15" hidden="false" customHeight="false" outlineLevel="0" collapsed="false">
      <c r="B7816" s="7" t="s">
        <v>22462</v>
      </c>
      <c r="C7816" s="7" t="s">
        <v>8313</v>
      </c>
      <c r="D7816" s="7" t="s">
        <v>355</v>
      </c>
      <c r="E7816" s="7" t="s">
        <v>154</v>
      </c>
      <c r="F7816" s="39" t="n">
        <v>46010</v>
      </c>
      <c r="G7816" s="41" t="n">
        <v>83.47</v>
      </c>
      <c r="H7816" s="6" t="s">
        <v>182</v>
      </c>
      <c r="I7816" s="7" t="s">
        <v>19787</v>
      </c>
      <c r="J7816" s="8" t="n">
        <f aca="false">IF(I7816="Open",DATE(2025,12,31)-F7816,"-")</f>
        <v>12</v>
      </c>
    </row>
    <row r="7817" customFormat="false" ht="15" hidden="false" customHeight="false" outlineLevel="0" collapsed="false">
      <c r="B7817" s="7" t="s">
        <v>22463</v>
      </c>
      <c r="C7817" s="7" t="s">
        <v>8314</v>
      </c>
      <c r="D7817" s="7" t="s">
        <v>357</v>
      </c>
      <c r="E7817" s="7" t="s">
        <v>154</v>
      </c>
      <c r="F7817" s="39" t="n">
        <v>46010</v>
      </c>
      <c r="G7817" s="41" t="n">
        <v>87.98</v>
      </c>
      <c r="H7817" s="6" t="s">
        <v>182</v>
      </c>
      <c r="I7817" s="7" t="s">
        <v>19787</v>
      </c>
      <c r="J7817" s="8" t="n">
        <f aca="false">IF(I7817="Open",DATE(2025,12,31)-F7817,"-")</f>
        <v>12</v>
      </c>
    </row>
    <row r="7818" customFormat="false" ht="15" hidden="false" customHeight="false" outlineLevel="0" collapsed="false">
      <c r="B7818" s="7" t="s">
        <v>22464</v>
      </c>
      <c r="C7818" s="7" t="s">
        <v>8315</v>
      </c>
      <c r="D7818" s="7" t="s">
        <v>359</v>
      </c>
      <c r="E7818" s="7" t="s">
        <v>156</v>
      </c>
      <c r="F7818" s="39" t="n">
        <v>46010</v>
      </c>
      <c r="G7818" s="41" t="n">
        <v>128.52</v>
      </c>
      <c r="H7818" s="39" t="n">
        <v>46016</v>
      </c>
      <c r="I7818" s="7" t="s">
        <v>14651</v>
      </c>
      <c r="J7818" s="8" t="str">
        <f aca="false">IF(I7818="Open",DATE(2025,12,31)-F7818,"-")</f>
        <v>-</v>
      </c>
    </row>
    <row r="7819" customFormat="false" ht="15" hidden="false" customHeight="false" outlineLevel="0" collapsed="false">
      <c r="B7819" s="7" t="s">
        <v>22465</v>
      </c>
      <c r="C7819" s="7" t="s">
        <v>8316</v>
      </c>
      <c r="D7819" s="7" t="s">
        <v>361</v>
      </c>
      <c r="E7819" s="7" t="s">
        <v>157</v>
      </c>
      <c r="F7819" s="39" t="n">
        <v>46010</v>
      </c>
      <c r="G7819" s="41" t="n">
        <v>176.55</v>
      </c>
      <c r="H7819" s="6" t="s">
        <v>182</v>
      </c>
      <c r="I7819" s="7" t="s">
        <v>19787</v>
      </c>
      <c r="J7819" s="8" t="n">
        <f aca="false">IF(I7819="Open",DATE(2025,12,31)-F7819,"-")</f>
        <v>12</v>
      </c>
    </row>
    <row r="7820" customFormat="false" ht="15" hidden="false" customHeight="false" outlineLevel="0" collapsed="false">
      <c r="B7820" s="7" t="s">
        <v>22466</v>
      </c>
      <c r="C7820" s="7" t="s">
        <v>8317</v>
      </c>
      <c r="D7820" s="7" t="s">
        <v>365</v>
      </c>
      <c r="E7820" s="7" t="s">
        <v>154</v>
      </c>
      <c r="F7820" s="39" t="n">
        <v>46010</v>
      </c>
      <c r="G7820" s="41" t="n">
        <v>96.14</v>
      </c>
      <c r="H7820" s="6" t="s">
        <v>182</v>
      </c>
      <c r="I7820" s="7" t="s">
        <v>19787</v>
      </c>
      <c r="J7820" s="8" t="n">
        <f aca="false">IF(I7820="Open",DATE(2025,12,31)-F7820,"-")</f>
        <v>12</v>
      </c>
    </row>
    <row r="7821" customFormat="false" ht="15" hidden="false" customHeight="false" outlineLevel="0" collapsed="false">
      <c r="B7821" s="7" t="s">
        <v>22467</v>
      </c>
      <c r="C7821" s="7" t="s">
        <v>8318</v>
      </c>
      <c r="D7821" s="7" t="s">
        <v>369</v>
      </c>
      <c r="E7821" s="7" t="s">
        <v>159</v>
      </c>
      <c r="F7821" s="39" t="n">
        <v>46010</v>
      </c>
      <c r="G7821" s="41" t="n">
        <v>128.25</v>
      </c>
      <c r="H7821" s="6" t="s">
        <v>182</v>
      </c>
      <c r="I7821" s="7" t="s">
        <v>19787</v>
      </c>
      <c r="J7821" s="8" t="n">
        <f aca="false">IF(I7821="Open",DATE(2025,12,31)-F7821,"-")</f>
        <v>12</v>
      </c>
    </row>
    <row r="7822" customFormat="false" ht="15" hidden="false" customHeight="false" outlineLevel="0" collapsed="false">
      <c r="B7822" s="7" t="s">
        <v>22468</v>
      </c>
      <c r="C7822" s="7" t="s">
        <v>8319</v>
      </c>
      <c r="D7822" s="7" t="s">
        <v>371</v>
      </c>
      <c r="E7822" s="7" t="s">
        <v>154</v>
      </c>
      <c r="F7822" s="39" t="n">
        <v>46010</v>
      </c>
      <c r="G7822" s="41" t="n">
        <v>128.52</v>
      </c>
      <c r="H7822" s="6" t="s">
        <v>182</v>
      </c>
      <c r="I7822" s="7" t="s">
        <v>19787</v>
      </c>
      <c r="J7822" s="8" t="n">
        <f aca="false">IF(I7822="Open",DATE(2025,12,31)-F7822,"-")</f>
        <v>12</v>
      </c>
    </row>
    <row r="7823" customFormat="false" ht="15" hidden="false" customHeight="false" outlineLevel="0" collapsed="false">
      <c r="B7823" s="7" t="s">
        <v>22469</v>
      </c>
      <c r="C7823" s="7" t="s">
        <v>8320</v>
      </c>
      <c r="D7823" s="7" t="s">
        <v>379</v>
      </c>
      <c r="E7823" s="7" t="s">
        <v>156</v>
      </c>
      <c r="F7823" s="39" t="n">
        <v>46010</v>
      </c>
      <c r="G7823" s="41" t="n">
        <v>160.48</v>
      </c>
      <c r="H7823" s="39" t="n">
        <v>46020</v>
      </c>
      <c r="I7823" s="7" t="s">
        <v>14651</v>
      </c>
      <c r="J7823" s="8" t="str">
        <f aca="false">IF(I7823="Open",DATE(2025,12,31)-F7823,"-")</f>
        <v>-</v>
      </c>
    </row>
    <row r="7824" customFormat="false" ht="15" hidden="false" customHeight="false" outlineLevel="0" collapsed="false">
      <c r="B7824" s="7" t="s">
        <v>22470</v>
      </c>
      <c r="C7824" s="7" t="s">
        <v>8321</v>
      </c>
      <c r="D7824" s="7" t="s">
        <v>381</v>
      </c>
      <c r="E7824" s="7" t="s">
        <v>157</v>
      </c>
      <c r="F7824" s="39" t="n">
        <v>46010</v>
      </c>
      <c r="G7824" s="41" t="n">
        <v>165</v>
      </c>
      <c r="H7824" s="6" t="s">
        <v>182</v>
      </c>
      <c r="I7824" s="7" t="s">
        <v>19787</v>
      </c>
      <c r="J7824" s="8" t="n">
        <f aca="false">IF(I7824="Open",DATE(2025,12,31)-F7824,"-")</f>
        <v>12</v>
      </c>
    </row>
    <row r="7825" customFormat="false" ht="15" hidden="false" customHeight="false" outlineLevel="0" collapsed="false">
      <c r="B7825" s="7" t="s">
        <v>22471</v>
      </c>
      <c r="C7825" s="7" t="s">
        <v>8322</v>
      </c>
      <c r="D7825" s="7" t="s">
        <v>383</v>
      </c>
      <c r="E7825" s="7" t="s">
        <v>157</v>
      </c>
      <c r="F7825" s="39" t="n">
        <v>46010</v>
      </c>
      <c r="G7825" s="41" t="n">
        <v>176.55</v>
      </c>
      <c r="H7825" s="6" t="s">
        <v>182</v>
      </c>
      <c r="I7825" s="7" t="s">
        <v>19787</v>
      </c>
      <c r="J7825" s="8" t="n">
        <f aca="false">IF(I7825="Open",DATE(2025,12,31)-F7825,"-")</f>
        <v>12</v>
      </c>
    </row>
    <row r="7826" customFormat="false" ht="15" hidden="false" customHeight="false" outlineLevel="0" collapsed="false">
      <c r="B7826" s="7" t="s">
        <v>22472</v>
      </c>
      <c r="C7826" s="7" t="s">
        <v>8323</v>
      </c>
      <c r="D7826" s="7" t="s">
        <v>385</v>
      </c>
      <c r="E7826" s="7" t="s">
        <v>156</v>
      </c>
      <c r="F7826" s="39" t="n">
        <v>46010</v>
      </c>
      <c r="G7826" s="41" t="n">
        <v>140.08</v>
      </c>
      <c r="H7826" s="6" t="s">
        <v>182</v>
      </c>
      <c r="I7826" s="7" t="s">
        <v>19787</v>
      </c>
      <c r="J7826" s="8" t="n">
        <f aca="false">IF(I7826="Open",DATE(2025,12,31)-F7826,"-")</f>
        <v>12</v>
      </c>
    </row>
    <row r="7827" customFormat="false" ht="15" hidden="false" customHeight="false" outlineLevel="0" collapsed="false">
      <c r="B7827" s="7" t="s">
        <v>22473</v>
      </c>
      <c r="C7827" s="7" t="s">
        <v>8324</v>
      </c>
      <c r="D7827" s="7" t="s">
        <v>387</v>
      </c>
      <c r="E7827" s="7" t="s">
        <v>154</v>
      </c>
      <c r="F7827" s="39" t="n">
        <v>46010</v>
      </c>
      <c r="G7827" s="41" t="n">
        <v>110.5</v>
      </c>
      <c r="H7827" s="6" t="s">
        <v>182</v>
      </c>
      <c r="I7827" s="7" t="s">
        <v>19787</v>
      </c>
      <c r="J7827" s="8" t="n">
        <f aca="false">IF(I7827="Open",DATE(2025,12,31)-F7827,"-")</f>
        <v>12</v>
      </c>
    </row>
    <row r="7828" customFormat="false" ht="15" hidden="false" customHeight="false" outlineLevel="0" collapsed="false">
      <c r="B7828" s="7" t="s">
        <v>22474</v>
      </c>
      <c r="C7828" s="7" t="s">
        <v>8325</v>
      </c>
      <c r="D7828" s="7" t="s">
        <v>389</v>
      </c>
      <c r="E7828" s="7" t="s">
        <v>154</v>
      </c>
      <c r="F7828" s="39" t="n">
        <v>46010</v>
      </c>
      <c r="G7828" s="41" t="n">
        <v>99.38</v>
      </c>
      <c r="H7828" s="6" t="s">
        <v>182</v>
      </c>
      <c r="I7828" s="7" t="s">
        <v>19787</v>
      </c>
      <c r="J7828" s="8" t="n">
        <f aca="false">IF(I7828="Open",DATE(2025,12,31)-F7828,"-")</f>
        <v>12</v>
      </c>
    </row>
    <row r="7829" customFormat="false" ht="15" hidden="false" customHeight="false" outlineLevel="0" collapsed="false">
      <c r="B7829" s="7" t="s">
        <v>22475</v>
      </c>
      <c r="C7829" s="7" t="s">
        <v>8326</v>
      </c>
      <c r="D7829" s="7" t="s">
        <v>391</v>
      </c>
      <c r="E7829" s="7" t="s">
        <v>156</v>
      </c>
      <c r="F7829" s="39" t="n">
        <v>46010</v>
      </c>
      <c r="G7829" s="41" t="n">
        <v>146.2</v>
      </c>
      <c r="H7829" s="6" t="s">
        <v>182</v>
      </c>
      <c r="I7829" s="7" t="s">
        <v>19787</v>
      </c>
      <c r="J7829" s="8" t="n">
        <f aca="false">IF(I7829="Open",DATE(2025,12,31)-F7829,"-")</f>
        <v>12</v>
      </c>
    </row>
    <row r="7830" customFormat="false" ht="15" hidden="false" customHeight="false" outlineLevel="0" collapsed="false">
      <c r="B7830" s="7" t="s">
        <v>22476</v>
      </c>
      <c r="C7830" s="7" t="s">
        <v>8327</v>
      </c>
      <c r="D7830" s="7" t="s">
        <v>395</v>
      </c>
      <c r="E7830" s="7" t="s">
        <v>156</v>
      </c>
      <c r="F7830" s="39" t="n">
        <v>46010</v>
      </c>
      <c r="G7830" s="41" t="n">
        <v>143.82</v>
      </c>
      <c r="H7830" s="6" t="s">
        <v>182</v>
      </c>
      <c r="I7830" s="7" t="s">
        <v>19787</v>
      </c>
      <c r="J7830" s="8" t="n">
        <f aca="false">IF(I7830="Open",DATE(2025,12,31)-F7830,"-")</f>
        <v>12</v>
      </c>
    </row>
    <row r="7831" customFormat="false" ht="15" hidden="false" customHeight="false" outlineLevel="0" collapsed="false">
      <c r="B7831" s="7" t="s">
        <v>22477</v>
      </c>
      <c r="C7831" s="7" t="s">
        <v>8328</v>
      </c>
      <c r="D7831" s="7" t="s">
        <v>397</v>
      </c>
      <c r="E7831" s="7" t="s">
        <v>159</v>
      </c>
      <c r="F7831" s="39" t="n">
        <v>46010</v>
      </c>
      <c r="G7831" s="41" t="n">
        <v>136.35</v>
      </c>
      <c r="H7831" s="6" t="s">
        <v>182</v>
      </c>
      <c r="I7831" s="7" t="s">
        <v>19787</v>
      </c>
      <c r="J7831" s="8" t="n">
        <f aca="false">IF(I7831="Open",DATE(2025,12,31)-F7831,"-")</f>
        <v>12</v>
      </c>
    </row>
    <row r="7832" customFormat="false" ht="15" hidden="false" customHeight="false" outlineLevel="0" collapsed="false">
      <c r="B7832" s="7" t="s">
        <v>22478</v>
      </c>
      <c r="C7832" s="7" t="s">
        <v>8329</v>
      </c>
      <c r="D7832" s="7" t="s">
        <v>399</v>
      </c>
      <c r="E7832" s="7" t="s">
        <v>154</v>
      </c>
      <c r="F7832" s="39" t="n">
        <v>46010</v>
      </c>
      <c r="G7832" s="41" t="n">
        <v>82.15</v>
      </c>
      <c r="H7832" s="6" t="s">
        <v>182</v>
      </c>
      <c r="I7832" s="7" t="s">
        <v>19787</v>
      </c>
      <c r="J7832" s="8" t="n">
        <f aca="false">IF(I7832="Open",DATE(2025,12,31)-F7832,"-")</f>
        <v>12</v>
      </c>
    </row>
    <row r="7833" customFormat="false" ht="15" hidden="false" customHeight="false" outlineLevel="0" collapsed="false">
      <c r="B7833" s="7" t="s">
        <v>22479</v>
      </c>
      <c r="C7833" s="7" t="s">
        <v>8330</v>
      </c>
      <c r="D7833" s="7" t="s">
        <v>401</v>
      </c>
      <c r="E7833" s="7" t="s">
        <v>156</v>
      </c>
      <c r="F7833" s="39" t="n">
        <v>46010</v>
      </c>
      <c r="G7833" s="41" t="n">
        <v>131.92</v>
      </c>
      <c r="H7833" s="39" t="n">
        <v>46019</v>
      </c>
      <c r="I7833" s="7" t="s">
        <v>14651</v>
      </c>
      <c r="J7833" s="8" t="str">
        <f aca="false">IF(I7833="Open",DATE(2025,12,31)-F7833,"-")</f>
        <v>-</v>
      </c>
    </row>
    <row r="7834" customFormat="false" ht="15" hidden="false" customHeight="false" outlineLevel="0" collapsed="false">
      <c r="B7834" s="7" t="s">
        <v>22480</v>
      </c>
      <c r="C7834" s="7" t="s">
        <v>8331</v>
      </c>
      <c r="D7834" s="7" t="s">
        <v>403</v>
      </c>
      <c r="E7834" s="7" t="s">
        <v>156</v>
      </c>
      <c r="F7834" s="39" t="n">
        <v>46010</v>
      </c>
      <c r="G7834" s="41" t="n">
        <v>127.84</v>
      </c>
      <c r="H7834" s="6" t="s">
        <v>182</v>
      </c>
      <c r="I7834" s="7" t="s">
        <v>19787</v>
      </c>
      <c r="J7834" s="8" t="n">
        <f aca="false">IF(I7834="Open",DATE(2025,12,31)-F7834,"-")</f>
        <v>12</v>
      </c>
    </row>
    <row r="7835" customFormat="false" ht="15" hidden="false" customHeight="false" outlineLevel="0" collapsed="false">
      <c r="B7835" s="7" t="s">
        <v>22481</v>
      </c>
      <c r="C7835" s="7" t="s">
        <v>8332</v>
      </c>
      <c r="D7835" s="7" t="s">
        <v>407</v>
      </c>
      <c r="E7835" s="7" t="s">
        <v>159</v>
      </c>
      <c r="F7835" s="39" t="n">
        <v>46010</v>
      </c>
      <c r="G7835" s="41" t="n">
        <v>133.65</v>
      </c>
      <c r="H7835" s="6" t="s">
        <v>182</v>
      </c>
      <c r="I7835" s="7" t="s">
        <v>19787</v>
      </c>
      <c r="J7835" s="8" t="n">
        <f aca="false">IF(I7835="Open",DATE(2025,12,31)-F7835,"-")</f>
        <v>12</v>
      </c>
    </row>
    <row r="7836" customFormat="false" ht="15" hidden="false" customHeight="false" outlineLevel="0" collapsed="false">
      <c r="B7836" s="7" t="s">
        <v>22482</v>
      </c>
      <c r="C7836" s="7" t="s">
        <v>8333</v>
      </c>
      <c r="D7836" s="7" t="s">
        <v>409</v>
      </c>
      <c r="E7836" s="7" t="s">
        <v>154</v>
      </c>
      <c r="F7836" s="39" t="n">
        <v>46010</v>
      </c>
      <c r="G7836" s="41" t="n">
        <v>80.56</v>
      </c>
      <c r="H7836" s="6" t="s">
        <v>182</v>
      </c>
      <c r="I7836" s="7" t="s">
        <v>19787</v>
      </c>
      <c r="J7836" s="8" t="n">
        <f aca="false">IF(I7836="Open",DATE(2025,12,31)-F7836,"-")</f>
        <v>12</v>
      </c>
    </row>
    <row r="7837" customFormat="false" ht="15" hidden="false" customHeight="false" outlineLevel="0" collapsed="false">
      <c r="B7837" s="7" t="s">
        <v>22483</v>
      </c>
      <c r="C7837" s="7" t="s">
        <v>8334</v>
      </c>
      <c r="D7837" s="7" t="s">
        <v>411</v>
      </c>
      <c r="E7837" s="7" t="s">
        <v>154</v>
      </c>
      <c r="F7837" s="39" t="n">
        <v>46010</v>
      </c>
      <c r="G7837" s="41" t="n">
        <v>127.2</v>
      </c>
      <c r="H7837" s="6" t="s">
        <v>182</v>
      </c>
      <c r="I7837" s="7" t="s">
        <v>19787</v>
      </c>
      <c r="J7837" s="8" t="n">
        <f aca="false">IF(I7837="Open",DATE(2025,12,31)-F7837,"-")</f>
        <v>12</v>
      </c>
    </row>
    <row r="7838" customFormat="false" ht="15" hidden="false" customHeight="false" outlineLevel="0" collapsed="false">
      <c r="B7838" s="7" t="s">
        <v>22484</v>
      </c>
      <c r="C7838" s="7" t="s">
        <v>8335</v>
      </c>
      <c r="D7838" s="7" t="s">
        <v>288</v>
      </c>
      <c r="E7838" s="7" t="s">
        <v>156</v>
      </c>
      <c r="F7838" s="39" t="n">
        <v>46011</v>
      </c>
      <c r="G7838" s="41" t="n">
        <v>142.46</v>
      </c>
      <c r="H7838" s="6" t="s">
        <v>182</v>
      </c>
      <c r="I7838" s="7" t="s">
        <v>19787</v>
      </c>
      <c r="J7838" s="8" t="n">
        <f aca="false">IF(I7838="Open",DATE(2025,12,31)-F7838,"-")</f>
        <v>11</v>
      </c>
    </row>
    <row r="7839" customFormat="false" ht="15" hidden="false" customHeight="false" outlineLevel="0" collapsed="false">
      <c r="B7839" s="7" t="s">
        <v>22485</v>
      </c>
      <c r="C7839" s="7" t="s">
        <v>8336</v>
      </c>
      <c r="D7839" s="7" t="s">
        <v>321</v>
      </c>
      <c r="E7839" s="7" t="s">
        <v>154</v>
      </c>
      <c r="F7839" s="39" t="n">
        <v>46011</v>
      </c>
      <c r="G7839" s="41" t="n">
        <v>110.77</v>
      </c>
      <c r="H7839" s="6" t="s">
        <v>182</v>
      </c>
      <c r="I7839" s="7" t="s">
        <v>19787</v>
      </c>
      <c r="J7839" s="8" t="n">
        <f aca="false">IF(I7839="Open",DATE(2025,12,31)-F7839,"-")</f>
        <v>11</v>
      </c>
    </row>
    <row r="7840" customFormat="false" ht="15" hidden="false" customHeight="false" outlineLevel="0" collapsed="false">
      <c r="B7840" s="7" t="s">
        <v>22486</v>
      </c>
      <c r="C7840" s="7" t="s">
        <v>8337</v>
      </c>
      <c r="D7840" s="7" t="s">
        <v>359</v>
      </c>
      <c r="E7840" s="7" t="s">
        <v>156</v>
      </c>
      <c r="F7840" s="39" t="n">
        <v>46011</v>
      </c>
      <c r="G7840" s="41" t="n">
        <v>142.12</v>
      </c>
      <c r="H7840" s="39" t="n">
        <v>46017</v>
      </c>
      <c r="I7840" s="7" t="s">
        <v>14651</v>
      </c>
      <c r="J7840" s="8" t="str">
        <f aca="false">IF(I7840="Open",DATE(2025,12,31)-F7840,"-")</f>
        <v>-</v>
      </c>
    </row>
    <row r="7841" customFormat="false" ht="15" hidden="false" customHeight="false" outlineLevel="0" collapsed="false">
      <c r="B7841" s="7" t="s">
        <v>22487</v>
      </c>
      <c r="C7841" s="7" t="s">
        <v>8338</v>
      </c>
      <c r="D7841" s="7" t="s">
        <v>387</v>
      </c>
      <c r="E7841" s="7" t="s">
        <v>154</v>
      </c>
      <c r="F7841" s="39" t="n">
        <v>46011</v>
      </c>
      <c r="G7841" s="41" t="n">
        <v>112.36</v>
      </c>
      <c r="H7841" s="6" t="s">
        <v>182</v>
      </c>
      <c r="I7841" s="7" t="s">
        <v>19787</v>
      </c>
      <c r="J7841" s="8" t="n">
        <f aca="false">IF(I7841="Open",DATE(2025,12,31)-F7841,"-")</f>
        <v>11</v>
      </c>
    </row>
    <row r="7842" customFormat="false" ht="15" hidden="false" customHeight="false" outlineLevel="0" collapsed="false">
      <c r="B7842" s="7" t="s">
        <v>22488</v>
      </c>
      <c r="C7842" s="7" t="s">
        <v>8339</v>
      </c>
      <c r="D7842" s="7" t="s">
        <v>391</v>
      </c>
      <c r="E7842" s="7" t="s">
        <v>156</v>
      </c>
      <c r="F7842" s="39" t="n">
        <v>46011</v>
      </c>
      <c r="G7842" s="41" t="n">
        <v>129.2</v>
      </c>
      <c r="H7842" s="39" t="n">
        <v>46012</v>
      </c>
      <c r="I7842" s="7" t="s">
        <v>14651</v>
      </c>
      <c r="J7842" s="8" t="str">
        <f aca="false">IF(I7842="Open",DATE(2025,12,31)-F7842,"-")</f>
        <v>-</v>
      </c>
    </row>
    <row r="7843" customFormat="false" ht="15" hidden="false" customHeight="false" outlineLevel="0" collapsed="false">
      <c r="B7843" s="7" t="s">
        <v>22489</v>
      </c>
      <c r="C7843" s="7" t="s">
        <v>8340</v>
      </c>
      <c r="D7843" s="7" t="s">
        <v>395</v>
      </c>
      <c r="E7843" s="7" t="s">
        <v>156</v>
      </c>
      <c r="F7843" s="39" t="n">
        <v>46011</v>
      </c>
      <c r="G7843" s="41" t="n">
        <v>145.86</v>
      </c>
      <c r="H7843" s="6" t="s">
        <v>182</v>
      </c>
      <c r="I7843" s="7" t="s">
        <v>19787</v>
      </c>
      <c r="J7843" s="8" t="n">
        <f aca="false">IF(I7843="Open",DATE(2025,12,31)-F7843,"-")</f>
        <v>11</v>
      </c>
    </row>
    <row r="7844" customFormat="false" ht="15" hidden="false" customHeight="false" outlineLevel="0" collapsed="false">
      <c r="B7844" s="7" t="s">
        <v>22490</v>
      </c>
      <c r="C7844" s="7" t="s">
        <v>8341</v>
      </c>
      <c r="D7844" s="7" t="s">
        <v>401</v>
      </c>
      <c r="E7844" s="7" t="s">
        <v>156</v>
      </c>
      <c r="F7844" s="39" t="n">
        <v>46011</v>
      </c>
      <c r="G7844" s="41" t="n">
        <v>149.26</v>
      </c>
      <c r="H7844" s="39" t="n">
        <v>46015</v>
      </c>
      <c r="I7844" s="7" t="s">
        <v>14651</v>
      </c>
      <c r="J7844" s="8" t="str">
        <f aca="false">IF(I7844="Open",DATE(2025,12,31)-F7844,"-")</f>
        <v>-</v>
      </c>
    </row>
    <row r="7845" customFormat="false" ht="15" hidden="false" customHeight="false" outlineLevel="0" collapsed="false">
      <c r="B7845" s="7" t="s">
        <v>22491</v>
      </c>
      <c r="C7845" s="7" t="s">
        <v>8342</v>
      </c>
      <c r="D7845" s="7" t="s">
        <v>321</v>
      </c>
      <c r="E7845" s="7" t="s">
        <v>154</v>
      </c>
      <c r="F7845" s="39" t="n">
        <v>46012</v>
      </c>
      <c r="G7845" s="41" t="n">
        <v>100.97</v>
      </c>
      <c r="H7845" s="6" t="s">
        <v>182</v>
      </c>
      <c r="I7845" s="7" t="s">
        <v>19787</v>
      </c>
      <c r="J7845" s="8" t="n">
        <f aca="false">IF(I7845="Open",DATE(2025,12,31)-F7845,"-")</f>
        <v>10</v>
      </c>
    </row>
    <row r="7846" customFormat="false" ht="15" hidden="false" customHeight="false" outlineLevel="0" collapsed="false">
      <c r="B7846" s="7" t="s">
        <v>22492</v>
      </c>
      <c r="C7846" s="7" t="s">
        <v>8343</v>
      </c>
      <c r="D7846" s="7" t="s">
        <v>359</v>
      </c>
      <c r="E7846" s="7" t="s">
        <v>156</v>
      </c>
      <c r="F7846" s="39" t="n">
        <v>46012</v>
      </c>
      <c r="G7846" s="41" t="n">
        <v>142.46</v>
      </c>
      <c r="H7846" s="6" t="s">
        <v>182</v>
      </c>
      <c r="I7846" s="7" t="s">
        <v>19787</v>
      </c>
      <c r="J7846" s="8" t="n">
        <f aca="false">IF(I7846="Open",DATE(2025,12,31)-F7846,"-")</f>
        <v>10</v>
      </c>
    </row>
    <row r="7847" customFormat="false" ht="15" hidden="false" customHeight="false" outlineLevel="0" collapsed="false">
      <c r="B7847" s="7" t="s">
        <v>22493</v>
      </c>
      <c r="C7847" s="7" t="s">
        <v>8344</v>
      </c>
      <c r="D7847" s="7" t="s">
        <v>387</v>
      </c>
      <c r="E7847" s="7" t="s">
        <v>154</v>
      </c>
      <c r="F7847" s="39" t="n">
        <v>46012</v>
      </c>
      <c r="G7847" s="41" t="n">
        <v>107.86</v>
      </c>
      <c r="H7847" s="6" t="s">
        <v>182</v>
      </c>
      <c r="I7847" s="7" t="s">
        <v>19787</v>
      </c>
      <c r="J7847" s="8" t="n">
        <f aca="false">IF(I7847="Open",DATE(2025,12,31)-F7847,"-")</f>
        <v>10</v>
      </c>
    </row>
    <row r="7848" customFormat="false" ht="15" hidden="false" customHeight="false" outlineLevel="0" collapsed="false">
      <c r="B7848" s="7" t="s">
        <v>22494</v>
      </c>
      <c r="C7848" s="7" t="s">
        <v>8345</v>
      </c>
      <c r="D7848" s="7" t="s">
        <v>391</v>
      </c>
      <c r="E7848" s="7" t="s">
        <v>156</v>
      </c>
      <c r="F7848" s="39" t="n">
        <v>46012</v>
      </c>
      <c r="G7848" s="41" t="n">
        <v>133.96</v>
      </c>
      <c r="H7848" s="39" t="n">
        <v>46022</v>
      </c>
      <c r="I7848" s="7" t="s">
        <v>14651</v>
      </c>
      <c r="J7848" s="8" t="str">
        <f aca="false">IF(I7848="Open",DATE(2025,12,31)-F7848,"-")</f>
        <v>-</v>
      </c>
    </row>
    <row r="7849" customFormat="false" ht="15" hidden="false" customHeight="false" outlineLevel="0" collapsed="false">
      <c r="B7849" s="7" t="s">
        <v>22495</v>
      </c>
      <c r="C7849" s="7" t="s">
        <v>8346</v>
      </c>
      <c r="D7849" s="7" t="s">
        <v>395</v>
      </c>
      <c r="E7849" s="7" t="s">
        <v>156</v>
      </c>
      <c r="F7849" s="39" t="n">
        <v>46012</v>
      </c>
      <c r="G7849" s="41" t="n">
        <v>138.72</v>
      </c>
      <c r="H7849" s="6" t="s">
        <v>182</v>
      </c>
      <c r="I7849" s="7" t="s">
        <v>19787</v>
      </c>
      <c r="J7849" s="8" t="n">
        <f aca="false">IF(I7849="Open",DATE(2025,12,31)-F7849,"-")</f>
        <v>10</v>
      </c>
    </row>
    <row r="7850" customFormat="false" ht="15" hidden="false" customHeight="false" outlineLevel="0" collapsed="false">
      <c r="B7850" s="7" t="s">
        <v>22496</v>
      </c>
      <c r="C7850" s="7" t="s">
        <v>8347</v>
      </c>
      <c r="D7850" s="7" t="s">
        <v>401</v>
      </c>
      <c r="E7850" s="7" t="s">
        <v>156</v>
      </c>
      <c r="F7850" s="39" t="n">
        <v>46012</v>
      </c>
      <c r="G7850" s="41" t="n">
        <v>145.18</v>
      </c>
      <c r="H7850" s="39" t="n">
        <v>46013</v>
      </c>
      <c r="I7850" s="7" t="s">
        <v>14651</v>
      </c>
      <c r="J7850" s="8" t="str">
        <f aca="false">IF(I7850="Open",DATE(2025,12,31)-F7850,"-")</f>
        <v>-</v>
      </c>
    </row>
    <row r="7851" customFormat="false" ht="15" hidden="false" customHeight="false" outlineLevel="0" collapsed="false">
      <c r="B7851" s="7" t="s">
        <v>22497</v>
      </c>
      <c r="C7851" s="7" t="s">
        <v>8348</v>
      </c>
      <c r="D7851" s="7" t="s">
        <v>288</v>
      </c>
      <c r="E7851" s="7" t="s">
        <v>156</v>
      </c>
      <c r="F7851" s="39" t="n">
        <v>46013</v>
      </c>
      <c r="G7851" s="41" t="n">
        <v>125.12</v>
      </c>
      <c r="H7851" s="6" t="s">
        <v>182</v>
      </c>
      <c r="I7851" s="7" t="s">
        <v>19787</v>
      </c>
      <c r="J7851" s="8" t="n">
        <f aca="false">IF(I7851="Open",DATE(2025,12,31)-F7851,"-")</f>
        <v>9</v>
      </c>
    </row>
    <row r="7852" customFormat="false" ht="15" hidden="false" customHeight="false" outlineLevel="0" collapsed="false">
      <c r="B7852" s="7" t="s">
        <v>22498</v>
      </c>
      <c r="C7852" s="7" t="s">
        <v>8349</v>
      </c>
      <c r="D7852" s="7" t="s">
        <v>291</v>
      </c>
      <c r="E7852" s="7" t="s">
        <v>154</v>
      </c>
      <c r="F7852" s="39" t="n">
        <v>46013</v>
      </c>
      <c r="G7852" s="41" t="n">
        <v>135.15</v>
      </c>
      <c r="H7852" s="6" t="s">
        <v>182</v>
      </c>
      <c r="I7852" s="7" t="s">
        <v>19787</v>
      </c>
      <c r="J7852" s="8" t="n">
        <f aca="false">IF(I7852="Open",DATE(2025,12,31)-F7852,"-")</f>
        <v>9</v>
      </c>
    </row>
    <row r="7853" customFormat="false" ht="15" hidden="false" customHeight="false" outlineLevel="0" collapsed="false">
      <c r="B7853" s="7" t="s">
        <v>22499</v>
      </c>
      <c r="C7853" s="7" t="s">
        <v>8350</v>
      </c>
      <c r="D7853" s="7" t="s">
        <v>295</v>
      </c>
      <c r="E7853" s="7" t="s">
        <v>154</v>
      </c>
      <c r="F7853" s="39" t="n">
        <v>46013</v>
      </c>
      <c r="G7853" s="41" t="n">
        <v>104.41</v>
      </c>
      <c r="H7853" s="6" t="s">
        <v>182</v>
      </c>
      <c r="I7853" s="7" t="s">
        <v>19787</v>
      </c>
      <c r="J7853" s="8" t="n">
        <f aca="false">IF(I7853="Open",DATE(2025,12,31)-F7853,"-")</f>
        <v>9</v>
      </c>
    </row>
    <row r="7854" customFormat="false" ht="15" hidden="false" customHeight="false" outlineLevel="0" collapsed="false">
      <c r="B7854" s="7" t="s">
        <v>22500</v>
      </c>
      <c r="C7854" s="7" t="s">
        <v>8351</v>
      </c>
      <c r="D7854" s="7" t="s">
        <v>297</v>
      </c>
      <c r="E7854" s="7" t="s">
        <v>156</v>
      </c>
      <c r="F7854" s="39" t="n">
        <v>46013</v>
      </c>
      <c r="G7854" s="41" t="n">
        <v>100.98</v>
      </c>
      <c r="H7854" s="39" t="n">
        <v>46017</v>
      </c>
      <c r="I7854" s="7" t="s">
        <v>14651</v>
      </c>
      <c r="J7854" s="8" t="str">
        <f aca="false">IF(I7854="Open",DATE(2025,12,31)-F7854,"-")</f>
        <v>-</v>
      </c>
    </row>
    <row r="7855" customFormat="false" ht="15" hidden="false" customHeight="false" outlineLevel="0" collapsed="false">
      <c r="B7855" s="7" t="s">
        <v>22501</v>
      </c>
      <c r="C7855" s="7" t="s">
        <v>8352</v>
      </c>
      <c r="D7855" s="7" t="s">
        <v>299</v>
      </c>
      <c r="E7855" s="7" t="s">
        <v>154</v>
      </c>
      <c r="F7855" s="39" t="n">
        <v>46013</v>
      </c>
      <c r="G7855" s="41" t="n">
        <v>83.74</v>
      </c>
      <c r="H7855" s="6" t="s">
        <v>182</v>
      </c>
      <c r="I7855" s="7" t="s">
        <v>19787</v>
      </c>
      <c r="J7855" s="8" t="n">
        <f aca="false">IF(I7855="Open",DATE(2025,12,31)-F7855,"-")</f>
        <v>9</v>
      </c>
    </row>
    <row r="7856" customFormat="false" ht="15" hidden="false" customHeight="false" outlineLevel="0" collapsed="false">
      <c r="B7856" s="7" t="s">
        <v>22502</v>
      </c>
      <c r="C7856" s="7" t="s">
        <v>8353</v>
      </c>
      <c r="D7856" s="7" t="s">
        <v>303</v>
      </c>
      <c r="E7856" s="7" t="s">
        <v>154</v>
      </c>
      <c r="F7856" s="39" t="n">
        <v>46013</v>
      </c>
      <c r="G7856" s="41" t="n">
        <v>95.4</v>
      </c>
      <c r="H7856" s="6" t="s">
        <v>182</v>
      </c>
      <c r="I7856" s="7" t="s">
        <v>19787</v>
      </c>
      <c r="J7856" s="8" t="n">
        <f aca="false">IF(I7856="Open",DATE(2025,12,31)-F7856,"-")</f>
        <v>9</v>
      </c>
    </row>
    <row r="7857" customFormat="false" ht="15" hidden="false" customHeight="false" outlineLevel="0" collapsed="false">
      <c r="B7857" s="7" t="s">
        <v>22503</v>
      </c>
      <c r="C7857" s="7" t="s">
        <v>8354</v>
      </c>
      <c r="D7857" s="7" t="s">
        <v>305</v>
      </c>
      <c r="E7857" s="7" t="s">
        <v>154</v>
      </c>
      <c r="F7857" s="39" t="n">
        <v>46013</v>
      </c>
      <c r="G7857" s="41" t="n">
        <v>104.15</v>
      </c>
      <c r="H7857" s="6" t="s">
        <v>182</v>
      </c>
      <c r="I7857" s="7" t="s">
        <v>19787</v>
      </c>
      <c r="J7857" s="8" t="n">
        <f aca="false">IF(I7857="Open",DATE(2025,12,31)-F7857,"-")</f>
        <v>9</v>
      </c>
    </row>
    <row r="7858" customFormat="false" ht="15" hidden="false" customHeight="false" outlineLevel="0" collapsed="false">
      <c r="B7858" s="7" t="s">
        <v>22504</v>
      </c>
      <c r="C7858" s="7" t="s">
        <v>8355</v>
      </c>
      <c r="D7858" s="7" t="s">
        <v>307</v>
      </c>
      <c r="E7858" s="7" t="s">
        <v>157</v>
      </c>
      <c r="F7858" s="39" t="n">
        <v>46013</v>
      </c>
      <c r="G7858" s="41" t="n">
        <v>167.64</v>
      </c>
      <c r="H7858" s="6" t="s">
        <v>182</v>
      </c>
      <c r="I7858" s="7" t="s">
        <v>19787</v>
      </c>
      <c r="J7858" s="8" t="n">
        <f aca="false">IF(I7858="Open",DATE(2025,12,31)-F7858,"-")</f>
        <v>9</v>
      </c>
    </row>
    <row r="7859" customFormat="false" ht="15" hidden="false" customHeight="false" outlineLevel="0" collapsed="false">
      <c r="B7859" s="7" t="s">
        <v>22505</v>
      </c>
      <c r="C7859" s="7" t="s">
        <v>8356</v>
      </c>
      <c r="D7859" s="7" t="s">
        <v>309</v>
      </c>
      <c r="E7859" s="7" t="s">
        <v>159</v>
      </c>
      <c r="F7859" s="39" t="n">
        <v>46013</v>
      </c>
      <c r="G7859" s="41" t="n">
        <v>137.7</v>
      </c>
      <c r="H7859" s="6" t="s">
        <v>182</v>
      </c>
      <c r="I7859" s="7" t="s">
        <v>19787</v>
      </c>
      <c r="J7859" s="8" t="n">
        <f aca="false">IF(I7859="Open",DATE(2025,12,31)-F7859,"-")</f>
        <v>9</v>
      </c>
    </row>
    <row r="7860" customFormat="false" ht="15" hidden="false" customHeight="false" outlineLevel="0" collapsed="false">
      <c r="B7860" s="7" t="s">
        <v>22506</v>
      </c>
      <c r="C7860" s="7" t="s">
        <v>8357</v>
      </c>
      <c r="D7860" s="7" t="s">
        <v>311</v>
      </c>
      <c r="E7860" s="7" t="s">
        <v>154</v>
      </c>
      <c r="F7860" s="39" t="n">
        <v>46013</v>
      </c>
      <c r="G7860" s="41" t="n">
        <v>77.38</v>
      </c>
      <c r="H7860" s="6" t="s">
        <v>182</v>
      </c>
      <c r="I7860" s="7" t="s">
        <v>19787</v>
      </c>
      <c r="J7860" s="8" t="n">
        <f aca="false">IF(I7860="Open",DATE(2025,12,31)-F7860,"-")</f>
        <v>9</v>
      </c>
    </row>
    <row r="7861" customFormat="false" ht="15" hidden="false" customHeight="false" outlineLevel="0" collapsed="false">
      <c r="B7861" s="7" t="s">
        <v>22507</v>
      </c>
      <c r="C7861" s="7" t="s">
        <v>8358</v>
      </c>
      <c r="D7861" s="7" t="s">
        <v>313</v>
      </c>
      <c r="E7861" s="7" t="s">
        <v>156</v>
      </c>
      <c r="F7861" s="39" t="n">
        <v>46013</v>
      </c>
      <c r="G7861" s="41" t="n">
        <v>132.6</v>
      </c>
      <c r="H7861" s="6" t="s">
        <v>182</v>
      </c>
      <c r="I7861" s="7" t="s">
        <v>19787</v>
      </c>
      <c r="J7861" s="8" t="n">
        <f aca="false">IF(I7861="Open",DATE(2025,12,31)-F7861,"-")</f>
        <v>9</v>
      </c>
    </row>
    <row r="7862" customFormat="false" ht="15" hidden="false" customHeight="false" outlineLevel="0" collapsed="false">
      <c r="B7862" s="7" t="s">
        <v>22508</v>
      </c>
      <c r="C7862" s="7" t="s">
        <v>8359</v>
      </c>
      <c r="D7862" s="7" t="s">
        <v>315</v>
      </c>
      <c r="E7862" s="7" t="s">
        <v>159</v>
      </c>
      <c r="F7862" s="39" t="n">
        <v>46013</v>
      </c>
      <c r="G7862" s="41" t="n">
        <v>129.6</v>
      </c>
      <c r="H7862" s="6" t="s">
        <v>182</v>
      </c>
      <c r="I7862" s="7" t="s">
        <v>19787</v>
      </c>
      <c r="J7862" s="8" t="n">
        <f aca="false">IF(I7862="Open",DATE(2025,12,31)-F7862,"-")</f>
        <v>9</v>
      </c>
    </row>
    <row r="7863" customFormat="false" ht="15" hidden="false" customHeight="false" outlineLevel="0" collapsed="false">
      <c r="B7863" s="7" t="s">
        <v>22509</v>
      </c>
      <c r="C7863" s="7" t="s">
        <v>8360</v>
      </c>
      <c r="D7863" s="7" t="s">
        <v>317</v>
      </c>
      <c r="E7863" s="7" t="s">
        <v>156</v>
      </c>
      <c r="F7863" s="39" t="n">
        <v>46013</v>
      </c>
      <c r="G7863" s="41" t="n">
        <v>96.56</v>
      </c>
      <c r="H7863" s="6" t="s">
        <v>182</v>
      </c>
      <c r="I7863" s="7" t="s">
        <v>19787</v>
      </c>
      <c r="J7863" s="8" t="n">
        <f aca="false">IF(I7863="Open",DATE(2025,12,31)-F7863,"-")</f>
        <v>9</v>
      </c>
    </row>
    <row r="7864" customFormat="false" ht="15" hidden="false" customHeight="false" outlineLevel="0" collapsed="false">
      <c r="B7864" s="7" t="s">
        <v>22510</v>
      </c>
      <c r="C7864" s="7" t="s">
        <v>8361</v>
      </c>
      <c r="D7864" s="7" t="s">
        <v>321</v>
      </c>
      <c r="E7864" s="7" t="s">
        <v>154</v>
      </c>
      <c r="F7864" s="39" t="n">
        <v>46013</v>
      </c>
      <c r="G7864" s="41" t="n">
        <v>106</v>
      </c>
      <c r="H7864" s="6" t="s">
        <v>182</v>
      </c>
      <c r="I7864" s="7" t="s">
        <v>19787</v>
      </c>
      <c r="J7864" s="8" t="n">
        <f aca="false">IF(I7864="Open",DATE(2025,12,31)-F7864,"-")</f>
        <v>9</v>
      </c>
    </row>
    <row r="7865" customFormat="false" ht="15" hidden="false" customHeight="false" outlineLevel="0" collapsed="false">
      <c r="B7865" s="7" t="s">
        <v>22511</v>
      </c>
      <c r="C7865" s="7" t="s">
        <v>8362</v>
      </c>
      <c r="D7865" s="7" t="s">
        <v>325</v>
      </c>
      <c r="E7865" s="7" t="s">
        <v>154</v>
      </c>
      <c r="F7865" s="39" t="n">
        <v>46013</v>
      </c>
      <c r="G7865" s="41" t="n">
        <v>76.59</v>
      </c>
      <c r="H7865" s="6" t="s">
        <v>182</v>
      </c>
      <c r="I7865" s="7" t="s">
        <v>19787</v>
      </c>
      <c r="J7865" s="8" t="n">
        <f aca="false">IF(I7865="Open",DATE(2025,12,31)-F7865,"-")</f>
        <v>9</v>
      </c>
    </row>
    <row r="7866" customFormat="false" ht="15" hidden="false" customHeight="false" outlineLevel="0" collapsed="false">
      <c r="B7866" s="7" t="s">
        <v>22512</v>
      </c>
      <c r="C7866" s="7" t="s">
        <v>8363</v>
      </c>
      <c r="D7866" s="7" t="s">
        <v>329</v>
      </c>
      <c r="E7866" s="7" t="s">
        <v>156</v>
      </c>
      <c r="F7866" s="39" t="n">
        <v>46013</v>
      </c>
      <c r="G7866" s="41" t="n">
        <v>137.02</v>
      </c>
      <c r="H7866" s="6" t="s">
        <v>182</v>
      </c>
      <c r="I7866" s="7" t="s">
        <v>19787</v>
      </c>
      <c r="J7866" s="8" t="n">
        <f aca="false">IF(I7866="Open",DATE(2025,12,31)-F7866,"-")</f>
        <v>9</v>
      </c>
    </row>
    <row r="7867" customFormat="false" ht="15" hidden="false" customHeight="false" outlineLevel="0" collapsed="false">
      <c r="B7867" s="7" t="s">
        <v>22513</v>
      </c>
      <c r="C7867" s="7" t="s">
        <v>8364</v>
      </c>
      <c r="D7867" s="7" t="s">
        <v>333</v>
      </c>
      <c r="E7867" s="7" t="s">
        <v>154</v>
      </c>
      <c r="F7867" s="39" t="n">
        <v>46013</v>
      </c>
      <c r="G7867" s="41" t="n">
        <v>84</v>
      </c>
      <c r="H7867" s="6" t="s">
        <v>182</v>
      </c>
      <c r="I7867" s="7" t="s">
        <v>19787</v>
      </c>
      <c r="J7867" s="8" t="n">
        <f aca="false">IF(I7867="Open",DATE(2025,12,31)-F7867,"-")</f>
        <v>9</v>
      </c>
    </row>
    <row r="7868" customFormat="false" ht="15" hidden="false" customHeight="false" outlineLevel="0" collapsed="false">
      <c r="B7868" s="7" t="s">
        <v>22514</v>
      </c>
      <c r="C7868" s="7" t="s">
        <v>8365</v>
      </c>
      <c r="D7868" s="7" t="s">
        <v>335</v>
      </c>
      <c r="E7868" s="7" t="s">
        <v>154</v>
      </c>
      <c r="F7868" s="39" t="n">
        <v>46013</v>
      </c>
      <c r="G7868" s="41" t="n">
        <v>94.34</v>
      </c>
      <c r="H7868" s="6" t="s">
        <v>182</v>
      </c>
      <c r="I7868" s="7" t="s">
        <v>19787</v>
      </c>
      <c r="J7868" s="8" t="n">
        <f aca="false">IF(I7868="Open",DATE(2025,12,31)-F7868,"-")</f>
        <v>9</v>
      </c>
    </row>
    <row r="7869" customFormat="false" ht="15" hidden="false" customHeight="false" outlineLevel="0" collapsed="false">
      <c r="B7869" s="7" t="s">
        <v>22515</v>
      </c>
      <c r="C7869" s="7" t="s">
        <v>8366</v>
      </c>
      <c r="D7869" s="7" t="s">
        <v>339</v>
      </c>
      <c r="E7869" s="7" t="s">
        <v>154</v>
      </c>
      <c r="F7869" s="39" t="n">
        <v>46013</v>
      </c>
      <c r="G7869" s="41" t="n">
        <v>87.98</v>
      </c>
      <c r="H7869" s="6" t="s">
        <v>182</v>
      </c>
      <c r="I7869" s="7" t="s">
        <v>19787</v>
      </c>
      <c r="J7869" s="8" t="n">
        <f aca="false">IF(I7869="Open",DATE(2025,12,31)-F7869,"-")</f>
        <v>9</v>
      </c>
    </row>
    <row r="7870" customFormat="false" ht="15" hidden="false" customHeight="false" outlineLevel="0" collapsed="false">
      <c r="B7870" s="7" t="s">
        <v>22516</v>
      </c>
      <c r="C7870" s="7" t="s">
        <v>8367</v>
      </c>
      <c r="D7870" s="7" t="s">
        <v>341</v>
      </c>
      <c r="E7870" s="7" t="s">
        <v>156</v>
      </c>
      <c r="F7870" s="39" t="n">
        <v>46013</v>
      </c>
      <c r="G7870" s="41" t="n">
        <v>103.02</v>
      </c>
      <c r="H7870" s="6" t="s">
        <v>182</v>
      </c>
      <c r="I7870" s="7" t="s">
        <v>19787</v>
      </c>
      <c r="J7870" s="8" t="n">
        <f aca="false">IF(I7870="Open",DATE(2025,12,31)-F7870,"-")</f>
        <v>9</v>
      </c>
    </row>
    <row r="7871" customFormat="false" ht="15" hidden="false" customHeight="false" outlineLevel="0" collapsed="false">
      <c r="B7871" s="7" t="s">
        <v>22517</v>
      </c>
      <c r="C7871" s="7" t="s">
        <v>8368</v>
      </c>
      <c r="D7871" s="7" t="s">
        <v>343</v>
      </c>
      <c r="E7871" s="7" t="s">
        <v>154</v>
      </c>
      <c r="F7871" s="39" t="n">
        <v>46013</v>
      </c>
      <c r="G7871" s="41" t="n">
        <v>111.04</v>
      </c>
      <c r="H7871" s="6" t="s">
        <v>182</v>
      </c>
      <c r="I7871" s="7" t="s">
        <v>19787</v>
      </c>
      <c r="J7871" s="8" t="n">
        <f aca="false">IF(I7871="Open",DATE(2025,12,31)-F7871,"-")</f>
        <v>9</v>
      </c>
    </row>
    <row r="7872" customFormat="false" ht="15" hidden="false" customHeight="false" outlineLevel="0" collapsed="false">
      <c r="B7872" s="7" t="s">
        <v>22518</v>
      </c>
      <c r="C7872" s="7" t="s">
        <v>8369</v>
      </c>
      <c r="D7872" s="7" t="s">
        <v>349</v>
      </c>
      <c r="E7872" s="7" t="s">
        <v>154</v>
      </c>
      <c r="F7872" s="39" t="n">
        <v>46013</v>
      </c>
      <c r="G7872" s="41" t="n">
        <v>98.71</v>
      </c>
      <c r="H7872" s="6" t="s">
        <v>182</v>
      </c>
      <c r="I7872" s="7" t="s">
        <v>19787</v>
      </c>
      <c r="J7872" s="8" t="n">
        <f aca="false">IF(I7872="Open",DATE(2025,12,31)-F7872,"-")</f>
        <v>9</v>
      </c>
    </row>
    <row r="7873" customFormat="false" ht="15" hidden="false" customHeight="false" outlineLevel="0" collapsed="false">
      <c r="B7873" s="7" t="s">
        <v>22519</v>
      </c>
      <c r="C7873" s="7" t="s">
        <v>8370</v>
      </c>
      <c r="D7873" s="7" t="s">
        <v>351</v>
      </c>
      <c r="E7873" s="7" t="s">
        <v>154</v>
      </c>
      <c r="F7873" s="39" t="n">
        <v>46013</v>
      </c>
      <c r="G7873" s="41" t="n">
        <v>74.47</v>
      </c>
      <c r="H7873" s="6" t="s">
        <v>182</v>
      </c>
      <c r="I7873" s="7" t="s">
        <v>19787</v>
      </c>
      <c r="J7873" s="8" t="n">
        <f aca="false">IF(I7873="Open",DATE(2025,12,31)-F7873,"-")</f>
        <v>9</v>
      </c>
    </row>
    <row r="7874" customFormat="false" ht="15" hidden="false" customHeight="false" outlineLevel="0" collapsed="false">
      <c r="B7874" s="7" t="s">
        <v>22520</v>
      </c>
      <c r="C7874" s="7" t="s">
        <v>8371</v>
      </c>
      <c r="D7874" s="7" t="s">
        <v>353</v>
      </c>
      <c r="E7874" s="7" t="s">
        <v>154</v>
      </c>
      <c r="F7874" s="39" t="n">
        <v>46013</v>
      </c>
      <c r="G7874" s="41" t="n">
        <v>79.77</v>
      </c>
      <c r="H7874" s="6" t="s">
        <v>182</v>
      </c>
      <c r="I7874" s="7" t="s">
        <v>19787</v>
      </c>
      <c r="J7874" s="8" t="n">
        <f aca="false">IF(I7874="Open",DATE(2025,12,31)-F7874,"-")</f>
        <v>9</v>
      </c>
    </row>
    <row r="7875" customFormat="false" ht="15" hidden="false" customHeight="false" outlineLevel="0" collapsed="false">
      <c r="B7875" s="7" t="s">
        <v>22521</v>
      </c>
      <c r="C7875" s="7" t="s">
        <v>8372</v>
      </c>
      <c r="D7875" s="7" t="s">
        <v>355</v>
      </c>
      <c r="E7875" s="7" t="s">
        <v>154</v>
      </c>
      <c r="F7875" s="39" t="n">
        <v>46013</v>
      </c>
      <c r="G7875" s="41" t="n">
        <v>82.41</v>
      </c>
      <c r="H7875" s="6" t="s">
        <v>182</v>
      </c>
      <c r="I7875" s="7" t="s">
        <v>19787</v>
      </c>
      <c r="J7875" s="8" t="n">
        <f aca="false">IF(I7875="Open",DATE(2025,12,31)-F7875,"-")</f>
        <v>9</v>
      </c>
    </row>
    <row r="7876" customFormat="false" ht="15" hidden="false" customHeight="false" outlineLevel="0" collapsed="false">
      <c r="B7876" s="7" t="s">
        <v>22522</v>
      </c>
      <c r="C7876" s="7" t="s">
        <v>8373</v>
      </c>
      <c r="D7876" s="7" t="s">
        <v>357</v>
      </c>
      <c r="E7876" s="7" t="s">
        <v>154</v>
      </c>
      <c r="F7876" s="39" t="n">
        <v>46013</v>
      </c>
      <c r="G7876" s="41" t="n">
        <v>87.98</v>
      </c>
      <c r="H7876" s="6" t="s">
        <v>182</v>
      </c>
      <c r="I7876" s="7" t="s">
        <v>19787</v>
      </c>
      <c r="J7876" s="8" t="n">
        <f aca="false">IF(I7876="Open",DATE(2025,12,31)-F7876,"-")</f>
        <v>9</v>
      </c>
    </row>
    <row r="7877" customFormat="false" ht="15" hidden="false" customHeight="false" outlineLevel="0" collapsed="false">
      <c r="B7877" s="7" t="s">
        <v>22523</v>
      </c>
      <c r="C7877" s="7" t="s">
        <v>8374</v>
      </c>
      <c r="D7877" s="7" t="s">
        <v>359</v>
      </c>
      <c r="E7877" s="7" t="s">
        <v>156</v>
      </c>
      <c r="F7877" s="39" t="n">
        <v>46013</v>
      </c>
      <c r="G7877" s="41" t="n">
        <v>137.02</v>
      </c>
      <c r="H7877" s="6" t="s">
        <v>182</v>
      </c>
      <c r="I7877" s="7" t="s">
        <v>19787</v>
      </c>
      <c r="J7877" s="8" t="n">
        <f aca="false">IF(I7877="Open",DATE(2025,12,31)-F7877,"-")</f>
        <v>9</v>
      </c>
    </row>
    <row r="7878" customFormat="false" ht="15" hidden="false" customHeight="false" outlineLevel="0" collapsed="false">
      <c r="B7878" s="7" t="s">
        <v>22524</v>
      </c>
      <c r="C7878" s="7" t="s">
        <v>8375</v>
      </c>
      <c r="D7878" s="7" t="s">
        <v>363</v>
      </c>
      <c r="E7878" s="7" t="s">
        <v>156</v>
      </c>
      <c r="F7878" s="39" t="n">
        <v>46013</v>
      </c>
      <c r="G7878" s="41" t="n">
        <v>133.62</v>
      </c>
      <c r="H7878" s="6" t="s">
        <v>182</v>
      </c>
      <c r="I7878" s="7" t="s">
        <v>19787</v>
      </c>
      <c r="J7878" s="8" t="n">
        <f aca="false">IF(I7878="Open",DATE(2025,12,31)-F7878,"-")</f>
        <v>9</v>
      </c>
    </row>
    <row r="7879" customFormat="false" ht="15" hidden="false" customHeight="false" outlineLevel="0" collapsed="false">
      <c r="B7879" s="7" t="s">
        <v>22525</v>
      </c>
      <c r="C7879" s="7" t="s">
        <v>8376</v>
      </c>
      <c r="D7879" s="7" t="s">
        <v>365</v>
      </c>
      <c r="E7879" s="7" t="s">
        <v>154</v>
      </c>
      <c r="F7879" s="39" t="n">
        <v>46013</v>
      </c>
      <c r="G7879" s="41" t="n">
        <v>106</v>
      </c>
      <c r="H7879" s="6" t="s">
        <v>182</v>
      </c>
      <c r="I7879" s="7" t="s">
        <v>19787</v>
      </c>
      <c r="J7879" s="8" t="n">
        <f aca="false">IF(I7879="Open",DATE(2025,12,31)-F7879,"-")</f>
        <v>9</v>
      </c>
    </row>
    <row r="7880" customFormat="false" ht="15" hidden="false" customHeight="false" outlineLevel="0" collapsed="false">
      <c r="B7880" s="7" t="s">
        <v>22526</v>
      </c>
      <c r="C7880" s="7" t="s">
        <v>8377</v>
      </c>
      <c r="D7880" s="7" t="s">
        <v>367</v>
      </c>
      <c r="E7880" s="7" t="s">
        <v>156</v>
      </c>
      <c r="F7880" s="39" t="n">
        <v>46013</v>
      </c>
      <c r="G7880" s="41" t="n">
        <v>111.52</v>
      </c>
      <c r="H7880" s="6" t="s">
        <v>182</v>
      </c>
      <c r="I7880" s="7" t="s">
        <v>19787</v>
      </c>
      <c r="J7880" s="8" t="n">
        <f aca="false">IF(I7880="Open",DATE(2025,12,31)-F7880,"-")</f>
        <v>9</v>
      </c>
    </row>
    <row r="7881" customFormat="false" ht="15" hidden="false" customHeight="false" outlineLevel="0" collapsed="false">
      <c r="B7881" s="7" t="s">
        <v>22527</v>
      </c>
      <c r="C7881" s="7" t="s">
        <v>8378</v>
      </c>
      <c r="D7881" s="7" t="s">
        <v>375</v>
      </c>
      <c r="E7881" s="7" t="s">
        <v>156</v>
      </c>
      <c r="F7881" s="39" t="n">
        <v>46013</v>
      </c>
      <c r="G7881" s="41" t="n">
        <v>102.34</v>
      </c>
      <c r="H7881" s="39" t="n">
        <v>46015</v>
      </c>
      <c r="I7881" s="7" t="s">
        <v>14651</v>
      </c>
      <c r="J7881" s="8" t="str">
        <f aca="false">IF(I7881="Open",DATE(2025,12,31)-F7881,"-")</f>
        <v>-</v>
      </c>
    </row>
    <row r="7882" customFormat="false" ht="15" hidden="false" customHeight="false" outlineLevel="0" collapsed="false">
      <c r="B7882" s="7" t="s">
        <v>22528</v>
      </c>
      <c r="C7882" s="7" t="s">
        <v>8379</v>
      </c>
      <c r="D7882" s="7" t="s">
        <v>377</v>
      </c>
      <c r="E7882" s="7" t="s">
        <v>154</v>
      </c>
      <c r="F7882" s="39" t="n">
        <v>46013</v>
      </c>
      <c r="G7882" s="41" t="n">
        <v>116.07</v>
      </c>
      <c r="H7882" s="6" t="s">
        <v>182</v>
      </c>
      <c r="I7882" s="7" t="s">
        <v>19787</v>
      </c>
      <c r="J7882" s="8" t="n">
        <f aca="false">IF(I7882="Open",DATE(2025,12,31)-F7882,"-")</f>
        <v>9</v>
      </c>
    </row>
    <row r="7883" customFormat="false" ht="15" hidden="false" customHeight="false" outlineLevel="0" collapsed="false">
      <c r="B7883" s="7" t="s">
        <v>22529</v>
      </c>
      <c r="C7883" s="7" t="s">
        <v>8380</v>
      </c>
      <c r="D7883" s="7" t="s">
        <v>379</v>
      </c>
      <c r="E7883" s="7" t="s">
        <v>156</v>
      </c>
      <c r="F7883" s="39" t="n">
        <v>46013</v>
      </c>
      <c r="G7883" s="41" t="n">
        <v>145.18</v>
      </c>
      <c r="H7883" s="6" t="s">
        <v>182</v>
      </c>
      <c r="I7883" s="7" t="s">
        <v>19787</v>
      </c>
      <c r="J7883" s="8" t="n">
        <f aca="false">IF(I7883="Open",DATE(2025,12,31)-F7883,"-")</f>
        <v>9</v>
      </c>
    </row>
    <row r="7884" customFormat="false" ht="15" hidden="false" customHeight="false" outlineLevel="0" collapsed="false">
      <c r="B7884" s="7" t="s">
        <v>22530</v>
      </c>
      <c r="C7884" s="7" t="s">
        <v>8381</v>
      </c>
      <c r="D7884" s="7" t="s">
        <v>385</v>
      </c>
      <c r="E7884" s="7" t="s">
        <v>156</v>
      </c>
      <c r="F7884" s="39" t="n">
        <v>46013</v>
      </c>
      <c r="G7884" s="41" t="n">
        <v>136.68</v>
      </c>
      <c r="H7884" s="6" t="s">
        <v>182</v>
      </c>
      <c r="I7884" s="7" t="s">
        <v>19787</v>
      </c>
      <c r="J7884" s="8" t="n">
        <f aca="false">IF(I7884="Open",DATE(2025,12,31)-F7884,"-")</f>
        <v>9</v>
      </c>
    </row>
    <row r="7885" customFormat="false" ht="15" hidden="false" customHeight="false" outlineLevel="0" collapsed="false">
      <c r="B7885" s="7" t="s">
        <v>22531</v>
      </c>
      <c r="C7885" s="7" t="s">
        <v>8382</v>
      </c>
      <c r="D7885" s="7" t="s">
        <v>387</v>
      </c>
      <c r="E7885" s="7" t="s">
        <v>154</v>
      </c>
      <c r="F7885" s="39" t="n">
        <v>46013</v>
      </c>
      <c r="G7885" s="41" t="n">
        <v>110.24</v>
      </c>
      <c r="H7885" s="6" t="s">
        <v>182</v>
      </c>
      <c r="I7885" s="7" t="s">
        <v>19787</v>
      </c>
      <c r="J7885" s="8" t="n">
        <f aca="false">IF(I7885="Open",DATE(2025,12,31)-F7885,"-")</f>
        <v>9</v>
      </c>
    </row>
    <row r="7886" customFormat="false" ht="15" hidden="false" customHeight="false" outlineLevel="0" collapsed="false">
      <c r="B7886" s="7" t="s">
        <v>22532</v>
      </c>
      <c r="C7886" s="7" t="s">
        <v>8383</v>
      </c>
      <c r="D7886" s="7" t="s">
        <v>389</v>
      </c>
      <c r="E7886" s="7" t="s">
        <v>154</v>
      </c>
      <c r="F7886" s="39" t="n">
        <v>46013</v>
      </c>
      <c r="G7886" s="41" t="n">
        <v>102.56</v>
      </c>
      <c r="H7886" s="6" t="s">
        <v>182</v>
      </c>
      <c r="I7886" s="7" t="s">
        <v>19787</v>
      </c>
      <c r="J7886" s="8" t="n">
        <f aca="false">IF(I7886="Open",DATE(2025,12,31)-F7886,"-")</f>
        <v>9</v>
      </c>
    </row>
    <row r="7887" customFormat="false" ht="15" hidden="false" customHeight="false" outlineLevel="0" collapsed="false">
      <c r="B7887" s="7" t="s">
        <v>22533</v>
      </c>
      <c r="C7887" s="7" t="s">
        <v>8384</v>
      </c>
      <c r="D7887" s="7" t="s">
        <v>391</v>
      </c>
      <c r="E7887" s="7" t="s">
        <v>156</v>
      </c>
      <c r="F7887" s="39" t="n">
        <v>46013</v>
      </c>
      <c r="G7887" s="41" t="n">
        <v>144.5</v>
      </c>
      <c r="H7887" s="6" t="s">
        <v>182</v>
      </c>
      <c r="I7887" s="7" t="s">
        <v>19787</v>
      </c>
      <c r="J7887" s="8" t="n">
        <f aca="false">IF(I7887="Open",DATE(2025,12,31)-F7887,"-")</f>
        <v>9</v>
      </c>
    </row>
    <row r="7888" customFormat="false" ht="15" hidden="false" customHeight="false" outlineLevel="0" collapsed="false">
      <c r="B7888" s="7" t="s">
        <v>22534</v>
      </c>
      <c r="C7888" s="7" t="s">
        <v>8385</v>
      </c>
      <c r="D7888" s="7" t="s">
        <v>395</v>
      </c>
      <c r="E7888" s="7" t="s">
        <v>156</v>
      </c>
      <c r="F7888" s="39" t="n">
        <v>46013</v>
      </c>
      <c r="G7888" s="41" t="n">
        <v>140.76</v>
      </c>
      <c r="H7888" s="6" t="s">
        <v>182</v>
      </c>
      <c r="I7888" s="7" t="s">
        <v>19787</v>
      </c>
      <c r="J7888" s="8" t="n">
        <f aca="false">IF(I7888="Open",DATE(2025,12,31)-F7888,"-")</f>
        <v>9</v>
      </c>
    </row>
    <row r="7889" customFormat="false" ht="15" hidden="false" customHeight="false" outlineLevel="0" collapsed="false">
      <c r="B7889" s="7" t="s">
        <v>22535</v>
      </c>
      <c r="C7889" s="7" t="s">
        <v>8386</v>
      </c>
      <c r="D7889" s="7" t="s">
        <v>399</v>
      </c>
      <c r="E7889" s="7" t="s">
        <v>154</v>
      </c>
      <c r="F7889" s="39" t="n">
        <v>46013</v>
      </c>
      <c r="G7889" s="41" t="n">
        <v>96.72</v>
      </c>
      <c r="H7889" s="6" t="s">
        <v>182</v>
      </c>
      <c r="I7889" s="7" t="s">
        <v>19787</v>
      </c>
      <c r="J7889" s="8" t="n">
        <f aca="false">IF(I7889="Open",DATE(2025,12,31)-F7889,"-")</f>
        <v>9</v>
      </c>
    </row>
    <row r="7890" customFormat="false" ht="15" hidden="false" customHeight="false" outlineLevel="0" collapsed="false">
      <c r="B7890" s="7" t="s">
        <v>22536</v>
      </c>
      <c r="C7890" s="7" t="s">
        <v>8387</v>
      </c>
      <c r="D7890" s="7" t="s">
        <v>401</v>
      </c>
      <c r="E7890" s="7" t="s">
        <v>156</v>
      </c>
      <c r="F7890" s="39" t="n">
        <v>46013</v>
      </c>
      <c r="G7890" s="41" t="n">
        <v>144.5</v>
      </c>
      <c r="H7890" s="6" t="s">
        <v>182</v>
      </c>
      <c r="I7890" s="7" t="s">
        <v>19787</v>
      </c>
      <c r="J7890" s="8" t="n">
        <f aca="false">IF(I7890="Open",DATE(2025,12,31)-F7890,"-")</f>
        <v>9</v>
      </c>
    </row>
    <row r="7891" customFormat="false" ht="15" hidden="false" customHeight="false" outlineLevel="0" collapsed="false">
      <c r="B7891" s="7" t="s">
        <v>22537</v>
      </c>
      <c r="C7891" s="7" t="s">
        <v>8388</v>
      </c>
      <c r="D7891" s="7" t="s">
        <v>403</v>
      </c>
      <c r="E7891" s="7" t="s">
        <v>156</v>
      </c>
      <c r="F7891" s="39" t="n">
        <v>46013</v>
      </c>
      <c r="G7891" s="41" t="n">
        <v>125.46</v>
      </c>
      <c r="H7891" s="6" t="s">
        <v>182</v>
      </c>
      <c r="I7891" s="7" t="s">
        <v>19787</v>
      </c>
      <c r="J7891" s="8" t="n">
        <f aca="false">IF(I7891="Open",DATE(2025,12,31)-F7891,"-")</f>
        <v>9</v>
      </c>
    </row>
    <row r="7892" customFormat="false" ht="15" hidden="false" customHeight="false" outlineLevel="0" collapsed="false">
      <c r="B7892" s="7" t="s">
        <v>22538</v>
      </c>
      <c r="C7892" s="7" t="s">
        <v>8389</v>
      </c>
      <c r="D7892" s="7" t="s">
        <v>405</v>
      </c>
      <c r="E7892" s="7" t="s">
        <v>156</v>
      </c>
      <c r="F7892" s="39" t="n">
        <v>46013</v>
      </c>
      <c r="G7892" s="41" t="n">
        <v>95.54</v>
      </c>
      <c r="H7892" s="6" t="s">
        <v>182</v>
      </c>
      <c r="I7892" s="7" t="s">
        <v>19787</v>
      </c>
      <c r="J7892" s="8" t="n">
        <f aca="false">IF(I7892="Open",DATE(2025,12,31)-F7892,"-")</f>
        <v>9</v>
      </c>
    </row>
    <row r="7893" customFormat="false" ht="15" hidden="false" customHeight="false" outlineLevel="0" collapsed="false">
      <c r="B7893" s="7" t="s">
        <v>22539</v>
      </c>
      <c r="C7893" s="7" t="s">
        <v>8390</v>
      </c>
      <c r="D7893" s="7" t="s">
        <v>409</v>
      </c>
      <c r="E7893" s="7" t="s">
        <v>154</v>
      </c>
      <c r="F7893" s="39" t="n">
        <v>46013</v>
      </c>
      <c r="G7893" s="41" t="n">
        <v>81.09</v>
      </c>
      <c r="H7893" s="6" t="s">
        <v>182</v>
      </c>
      <c r="I7893" s="7" t="s">
        <v>19787</v>
      </c>
      <c r="J7893" s="8" t="n">
        <f aca="false">IF(I7893="Open",DATE(2025,12,31)-F7893,"-")</f>
        <v>9</v>
      </c>
    </row>
    <row r="7894" customFormat="false" ht="15" hidden="false" customHeight="false" outlineLevel="0" collapsed="false">
      <c r="B7894" s="7" t="s">
        <v>22540</v>
      </c>
      <c r="C7894" s="7" t="s">
        <v>8391</v>
      </c>
      <c r="D7894" s="7" t="s">
        <v>411</v>
      </c>
      <c r="E7894" s="7" t="s">
        <v>154</v>
      </c>
      <c r="F7894" s="39" t="n">
        <v>46013</v>
      </c>
      <c r="G7894" s="41" t="n">
        <v>134.88</v>
      </c>
      <c r="H7894" s="6" t="s">
        <v>182</v>
      </c>
      <c r="I7894" s="7" t="s">
        <v>19787</v>
      </c>
      <c r="J7894" s="8" t="n">
        <f aca="false">IF(I7894="Open",DATE(2025,12,31)-F7894,"-")</f>
        <v>9</v>
      </c>
    </row>
    <row r="7895" customFormat="false" ht="15" hidden="false" customHeight="false" outlineLevel="0" collapsed="false">
      <c r="B7895" s="7" t="s">
        <v>22541</v>
      </c>
      <c r="C7895" s="7" t="s">
        <v>8392</v>
      </c>
      <c r="D7895" s="7" t="s">
        <v>288</v>
      </c>
      <c r="E7895" s="7" t="s">
        <v>156</v>
      </c>
      <c r="F7895" s="39" t="n">
        <v>46014</v>
      </c>
      <c r="G7895" s="41" t="n">
        <v>143.14</v>
      </c>
      <c r="H7895" s="6" t="s">
        <v>182</v>
      </c>
      <c r="I7895" s="7" t="s">
        <v>19787</v>
      </c>
      <c r="J7895" s="8" t="n">
        <f aca="false">IF(I7895="Open",DATE(2025,12,31)-F7895,"-")</f>
        <v>8</v>
      </c>
    </row>
    <row r="7896" customFormat="false" ht="15" hidden="false" customHeight="false" outlineLevel="0" collapsed="false">
      <c r="B7896" s="7" t="s">
        <v>22542</v>
      </c>
      <c r="C7896" s="7" t="s">
        <v>8393</v>
      </c>
      <c r="D7896" s="7" t="s">
        <v>293</v>
      </c>
      <c r="E7896" s="7" t="s">
        <v>157</v>
      </c>
      <c r="F7896" s="39" t="n">
        <v>46014</v>
      </c>
      <c r="G7896" s="41" t="n">
        <v>150.15</v>
      </c>
      <c r="H7896" s="6" t="s">
        <v>182</v>
      </c>
      <c r="I7896" s="7" t="s">
        <v>19787</v>
      </c>
      <c r="J7896" s="8" t="n">
        <f aca="false">IF(I7896="Open",DATE(2025,12,31)-F7896,"-")</f>
        <v>8</v>
      </c>
    </row>
    <row r="7897" customFormat="false" ht="15" hidden="false" customHeight="false" outlineLevel="0" collapsed="false">
      <c r="B7897" s="7" t="s">
        <v>22543</v>
      </c>
      <c r="C7897" s="7" t="s">
        <v>8394</v>
      </c>
      <c r="D7897" s="7" t="s">
        <v>301</v>
      </c>
      <c r="E7897" s="7" t="s">
        <v>157</v>
      </c>
      <c r="F7897" s="39" t="n">
        <v>46014</v>
      </c>
      <c r="G7897" s="41" t="n">
        <v>156.75</v>
      </c>
      <c r="H7897" s="6" t="s">
        <v>182</v>
      </c>
      <c r="I7897" s="7" t="s">
        <v>19787</v>
      </c>
      <c r="J7897" s="8" t="n">
        <f aca="false">IF(I7897="Open",DATE(2025,12,31)-F7897,"-")</f>
        <v>8</v>
      </c>
    </row>
    <row r="7898" customFormat="false" ht="15" hidden="false" customHeight="false" outlineLevel="0" collapsed="false">
      <c r="B7898" s="7" t="s">
        <v>22544</v>
      </c>
      <c r="C7898" s="7" t="s">
        <v>8395</v>
      </c>
      <c r="D7898" s="7" t="s">
        <v>313</v>
      </c>
      <c r="E7898" s="7" t="s">
        <v>156</v>
      </c>
      <c r="F7898" s="39" t="n">
        <v>46014</v>
      </c>
      <c r="G7898" s="41" t="n">
        <v>127.16</v>
      </c>
      <c r="H7898" s="6" t="s">
        <v>182</v>
      </c>
      <c r="I7898" s="7" t="s">
        <v>19787</v>
      </c>
      <c r="J7898" s="8" t="n">
        <f aca="false">IF(I7898="Open",DATE(2025,12,31)-F7898,"-")</f>
        <v>8</v>
      </c>
    </row>
    <row r="7899" customFormat="false" ht="15" hidden="false" customHeight="false" outlineLevel="0" collapsed="false">
      <c r="B7899" s="7" t="s">
        <v>22545</v>
      </c>
      <c r="C7899" s="7" t="s">
        <v>8396</v>
      </c>
      <c r="D7899" s="7" t="s">
        <v>319</v>
      </c>
      <c r="E7899" s="7" t="s">
        <v>157</v>
      </c>
      <c r="F7899" s="39" t="n">
        <v>46014</v>
      </c>
      <c r="G7899" s="41" t="n">
        <v>168.3</v>
      </c>
      <c r="H7899" s="6" t="s">
        <v>182</v>
      </c>
      <c r="I7899" s="7" t="s">
        <v>19787</v>
      </c>
      <c r="J7899" s="8" t="n">
        <f aca="false">IF(I7899="Open",DATE(2025,12,31)-F7899,"-")</f>
        <v>8</v>
      </c>
    </row>
    <row r="7900" customFormat="false" ht="15" hidden="false" customHeight="false" outlineLevel="0" collapsed="false">
      <c r="B7900" s="7" t="s">
        <v>22546</v>
      </c>
      <c r="C7900" s="7" t="s">
        <v>8397</v>
      </c>
      <c r="D7900" s="7" t="s">
        <v>321</v>
      </c>
      <c r="E7900" s="7" t="s">
        <v>154</v>
      </c>
      <c r="F7900" s="39" t="n">
        <v>46014</v>
      </c>
      <c r="G7900" s="41" t="n">
        <v>113.15</v>
      </c>
      <c r="H7900" s="6" t="s">
        <v>182</v>
      </c>
      <c r="I7900" s="7" t="s">
        <v>19787</v>
      </c>
      <c r="J7900" s="8" t="n">
        <f aca="false">IF(I7900="Open",DATE(2025,12,31)-F7900,"-")</f>
        <v>8</v>
      </c>
    </row>
    <row r="7901" customFormat="false" ht="15" hidden="false" customHeight="false" outlineLevel="0" collapsed="false">
      <c r="B7901" s="7" t="s">
        <v>22547</v>
      </c>
      <c r="C7901" s="7" t="s">
        <v>8398</v>
      </c>
      <c r="D7901" s="7" t="s">
        <v>323</v>
      </c>
      <c r="E7901" s="7" t="s">
        <v>159</v>
      </c>
      <c r="F7901" s="39" t="n">
        <v>46014</v>
      </c>
      <c r="G7901" s="41" t="n">
        <v>144.45</v>
      </c>
      <c r="H7901" s="6" t="s">
        <v>182</v>
      </c>
      <c r="I7901" s="7" t="s">
        <v>19787</v>
      </c>
      <c r="J7901" s="8" t="n">
        <f aca="false">IF(I7901="Open",DATE(2025,12,31)-F7901,"-")</f>
        <v>8</v>
      </c>
    </row>
    <row r="7902" customFormat="false" ht="15" hidden="false" customHeight="false" outlineLevel="0" collapsed="false">
      <c r="B7902" s="7" t="s">
        <v>22548</v>
      </c>
      <c r="C7902" s="7" t="s">
        <v>8399</v>
      </c>
      <c r="D7902" s="7" t="s">
        <v>327</v>
      </c>
      <c r="E7902" s="7" t="s">
        <v>157</v>
      </c>
      <c r="F7902" s="39" t="n">
        <v>46014</v>
      </c>
      <c r="G7902" s="41" t="n">
        <v>165</v>
      </c>
      <c r="H7902" s="6" t="s">
        <v>182</v>
      </c>
      <c r="I7902" s="7" t="s">
        <v>19787</v>
      </c>
      <c r="J7902" s="8" t="n">
        <f aca="false">IF(I7902="Open",DATE(2025,12,31)-F7902,"-")</f>
        <v>8</v>
      </c>
    </row>
    <row r="7903" customFormat="false" ht="15" hidden="false" customHeight="false" outlineLevel="0" collapsed="false">
      <c r="B7903" s="7" t="s">
        <v>22549</v>
      </c>
      <c r="C7903" s="7" t="s">
        <v>8400</v>
      </c>
      <c r="D7903" s="7" t="s">
        <v>329</v>
      </c>
      <c r="E7903" s="7" t="s">
        <v>156</v>
      </c>
      <c r="F7903" s="39" t="n">
        <v>46014</v>
      </c>
      <c r="G7903" s="41" t="n">
        <v>130.56</v>
      </c>
      <c r="H7903" s="39" t="n">
        <v>46021</v>
      </c>
      <c r="I7903" s="7" t="s">
        <v>14651</v>
      </c>
      <c r="J7903" s="8" t="str">
        <f aca="false">IF(I7903="Open",DATE(2025,12,31)-F7903,"-")</f>
        <v>-</v>
      </c>
    </row>
    <row r="7904" customFormat="false" ht="15" hidden="false" customHeight="false" outlineLevel="0" collapsed="false">
      <c r="B7904" s="7" t="s">
        <v>22550</v>
      </c>
      <c r="C7904" s="7" t="s">
        <v>8401</v>
      </c>
      <c r="D7904" s="7" t="s">
        <v>345</v>
      </c>
      <c r="E7904" s="7" t="s">
        <v>159</v>
      </c>
      <c r="F7904" s="39" t="n">
        <v>46014</v>
      </c>
      <c r="G7904" s="41" t="n">
        <v>122.98</v>
      </c>
      <c r="H7904" s="6" t="s">
        <v>182</v>
      </c>
      <c r="I7904" s="7" t="s">
        <v>19787</v>
      </c>
      <c r="J7904" s="8" t="n">
        <f aca="false">IF(I7904="Open",DATE(2025,12,31)-F7904,"-")</f>
        <v>8</v>
      </c>
    </row>
    <row r="7905" customFormat="false" ht="15" hidden="false" customHeight="false" outlineLevel="0" collapsed="false">
      <c r="B7905" s="7" t="s">
        <v>22551</v>
      </c>
      <c r="C7905" s="7" t="s">
        <v>8402</v>
      </c>
      <c r="D7905" s="7" t="s">
        <v>349</v>
      </c>
      <c r="E7905" s="7" t="s">
        <v>154</v>
      </c>
      <c r="F7905" s="39" t="n">
        <v>46014</v>
      </c>
      <c r="G7905" s="41" t="n">
        <v>114.21</v>
      </c>
      <c r="H7905" s="6" t="s">
        <v>182</v>
      </c>
      <c r="I7905" s="7" t="s">
        <v>19787</v>
      </c>
      <c r="J7905" s="8" t="n">
        <f aca="false">IF(I7905="Open",DATE(2025,12,31)-F7905,"-")</f>
        <v>8</v>
      </c>
    </row>
    <row r="7906" customFormat="false" ht="15" hidden="false" customHeight="false" outlineLevel="0" collapsed="false">
      <c r="B7906" s="7" t="s">
        <v>22552</v>
      </c>
      <c r="C7906" s="7" t="s">
        <v>8403</v>
      </c>
      <c r="D7906" s="7" t="s">
        <v>359</v>
      </c>
      <c r="E7906" s="7" t="s">
        <v>156</v>
      </c>
      <c r="F7906" s="39" t="n">
        <v>46014</v>
      </c>
      <c r="G7906" s="41" t="n">
        <v>123.76</v>
      </c>
      <c r="H7906" s="6" t="s">
        <v>182</v>
      </c>
      <c r="I7906" s="7" t="s">
        <v>19787</v>
      </c>
      <c r="J7906" s="8" t="n">
        <f aca="false">IF(I7906="Open",DATE(2025,12,31)-F7906,"-")</f>
        <v>8</v>
      </c>
    </row>
    <row r="7907" customFormat="false" ht="15" hidden="false" customHeight="false" outlineLevel="0" collapsed="false">
      <c r="B7907" s="7" t="s">
        <v>22553</v>
      </c>
      <c r="C7907" s="7" t="s">
        <v>8404</v>
      </c>
      <c r="D7907" s="7" t="s">
        <v>361</v>
      </c>
      <c r="E7907" s="7" t="s">
        <v>157</v>
      </c>
      <c r="F7907" s="39" t="n">
        <v>46014</v>
      </c>
      <c r="G7907" s="41" t="n">
        <v>142.56</v>
      </c>
      <c r="H7907" s="6" t="s">
        <v>182</v>
      </c>
      <c r="I7907" s="7" t="s">
        <v>19787</v>
      </c>
      <c r="J7907" s="8" t="n">
        <f aca="false">IF(I7907="Open",DATE(2025,12,31)-F7907,"-")</f>
        <v>8</v>
      </c>
    </row>
    <row r="7908" customFormat="false" ht="15" hidden="false" customHeight="false" outlineLevel="0" collapsed="false">
      <c r="B7908" s="7" t="s">
        <v>22554</v>
      </c>
      <c r="C7908" s="7" t="s">
        <v>8405</v>
      </c>
      <c r="D7908" s="7" t="s">
        <v>365</v>
      </c>
      <c r="E7908" s="7" t="s">
        <v>154</v>
      </c>
      <c r="F7908" s="39" t="n">
        <v>46014</v>
      </c>
      <c r="G7908" s="41" t="n">
        <v>104.68</v>
      </c>
      <c r="H7908" s="6" t="s">
        <v>182</v>
      </c>
      <c r="I7908" s="7" t="s">
        <v>19787</v>
      </c>
      <c r="J7908" s="8" t="n">
        <f aca="false">IF(I7908="Open",DATE(2025,12,31)-F7908,"-")</f>
        <v>8</v>
      </c>
    </row>
    <row r="7909" customFormat="false" ht="15" hidden="false" customHeight="false" outlineLevel="0" collapsed="false">
      <c r="B7909" s="7" t="s">
        <v>22555</v>
      </c>
      <c r="C7909" s="7" t="s">
        <v>8406</v>
      </c>
      <c r="D7909" s="7" t="s">
        <v>369</v>
      </c>
      <c r="E7909" s="7" t="s">
        <v>159</v>
      </c>
      <c r="F7909" s="39" t="n">
        <v>46014</v>
      </c>
      <c r="G7909" s="41" t="n">
        <v>145.8</v>
      </c>
      <c r="H7909" s="6" t="s">
        <v>182</v>
      </c>
      <c r="I7909" s="7" t="s">
        <v>19787</v>
      </c>
      <c r="J7909" s="8" t="n">
        <f aca="false">IF(I7909="Open",DATE(2025,12,31)-F7909,"-")</f>
        <v>8</v>
      </c>
    </row>
    <row r="7910" customFormat="false" ht="15" hidden="false" customHeight="false" outlineLevel="0" collapsed="false">
      <c r="B7910" s="7" t="s">
        <v>22556</v>
      </c>
      <c r="C7910" s="7" t="s">
        <v>8407</v>
      </c>
      <c r="D7910" s="7" t="s">
        <v>381</v>
      </c>
      <c r="E7910" s="7" t="s">
        <v>157</v>
      </c>
      <c r="F7910" s="39" t="n">
        <v>46014</v>
      </c>
      <c r="G7910" s="41" t="n">
        <v>161.7</v>
      </c>
      <c r="H7910" s="6" t="s">
        <v>182</v>
      </c>
      <c r="I7910" s="7" t="s">
        <v>19787</v>
      </c>
      <c r="J7910" s="8" t="n">
        <f aca="false">IF(I7910="Open",DATE(2025,12,31)-F7910,"-")</f>
        <v>8</v>
      </c>
    </row>
    <row r="7911" customFormat="false" ht="15" hidden="false" customHeight="false" outlineLevel="0" collapsed="false">
      <c r="B7911" s="7" t="s">
        <v>22557</v>
      </c>
      <c r="C7911" s="7" t="s">
        <v>8408</v>
      </c>
      <c r="D7911" s="7" t="s">
        <v>383</v>
      </c>
      <c r="E7911" s="7" t="s">
        <v>157</v>
      </c>
      <c r="F7911" s="39" t="n">
        <v>46014</v>
      </c>
      <c r="G7911" s="41" t="n">
        <v>173.25</v>
      </c>
      <c r="H7911" s="6" t="s">
        <v>182</v>
      </c>
      <c r="I7911" s="7" t="s">
        <v>19787</v>
      </c>
      <c r="J7911" s="8" t="n">
        <f aca="false">IF(I7911="Open",DATE(2025,12,31)-F7911,"-")</f>
        <v>8</v>
      </c>
    </row>
    <row r="7912" customFormat="false" ht="15" hidden="false" customHeight="false" outlineLevel="0" collapsed="false">
      <c r="B7912" s="7" t="s">
        <v>22558</v>
      </c>
      <c r="C7912" s="7" t="s">
        <v>8409</v>
      </c>
      <c r="D7912" s="7" t="s">
        <v>387</v>
      </c>
      <c r="E7912" s="7" t="s">
        <v>154</v>
      </c>
      <c r="F7912" s="39" t="n">
        <v>46014</v>
      </c>
      <c r="G7912" s="41" t="n">
        <v>113.15</v>
      </c>
      <c r="H7912" s="6" t="s">
        <v>182</v>
      </c>
      <c r="I7912" s="7" t="s">
        <v>19787</v>
      </c>
      <c r="J7912" s="8" t="n">
        <f aca="false">IF(I7912="Open",DATE(2025,12,31)-F7912,"-")</f>
        <v>8</v>
      </c>
    </row>
    <row r="7913" customFormat="false" ht="15" hidden="false" customHeight="false" outlineLevel="0" collapsed="false">
      <c r="B7913" s="7" t="s">
        <v>22559</v>
      </c>
      <c r="C7913" s="7" t="s">
        <v>8410</v>
      </c>
      <c r="D7913" s="7" t="s">
        <v>389</v>
      </c>
      <c r="E7913" s="7" t="s">
        <v>154</v>
      </c>
      <c r="F7913" s="39" t="n">
        <v>46014</v>
      </c>
      <c r="G7913" s="41" t="n">
        <v>101.76</v>
      </c>
      <c r="H7913" s="6" t="s">
        <v>182</v>
      </c>
      <c r="I7913" s="7" t="s">
        <v>19787</v>
      </c>
      <c r="J7913" s="8" t="n">
        <f aca="false">IF(I7913="Open",DATE(2025,12,31)-F7913,"-")</f>
        <v>8</v>
      </c>
    </row>
    <row r="7914" customFormat="false" ht="15" hidden="false" customHeight="false" outlineLevel="0" collapsed="false">
      <c r="B7914" s="7" t="s">
        <v>22560</v>
      </c>
      <c r="C7914" s="7" t="s">
        <v>8411</v>
      </c>
      <c r="D7914" s="7" t="s">
        <v>391</v>
      </c>
      <c r="E7914" s="7" t="s">
        <v>156</v>
      </c>
      <c r="F7914" s="39" t="n">
        <v>46014</v>
      </c>
      <c r="G7914" s="41" t="n">
        <v>143.82</v>
      </c>
      <c r="H7914" s="6" t="s">
        <v>182</v>
      </c>
      <c r="I7914" s="7" t="s">
        <v>19787</v>
      </c>
      <c r="J7914" s="8" t="n">
        <f aca="false">IF(I7914="Open",DATE(2025,12,31)-F7914,"-")</f>
        <v>8</v>
      </c>
    </row>
    <row r="7915" customFormat="false" ht="15" hidden="false" customHeight="false" outlineLevel="0" collapsed="false">
      <c r="B7915" s="7" t="s">
        <v>22561</v>
      </c>
      <c r="C7915" s="7" t="s">
        <v>8412</v>
      </c>
      <c r="D7915" s="7" t="s">
        <v>395</v>
      </c>
      <c r="E7915" s="7" t="s">
        <v>156</v>
      </c>
      <c r="F7915" s="39" t="n">
        <v>46014</v>
      </c>
      <c r="G7915" s="41" t="n">
        <v>138.38</v>
      </c>
      <c r="H7915" s="39" t="n">
        <v>46015</v>
      </c>
      <c r="I7915" s="7" t="s">
        <v>14651</v>
      </c>
      <c r="J7915" s="8" t="str">
        <f aca="false">IF(I7915="Open",DATE(2025,12,31)-F7915,"-")</f>
        <v>-</v>
      </c>
    </row>
    <row r="7916" customFormat="false" ht="15" hidden="false" customHeight="false" outlineLevel="0" collapsed="false">
      <c r="B7916" s="7" t="s">
        <v>22562</v>
      </c>
      <c r="C7916" s="7" t="s">
        <v>8413</v>
      </c>
      <c r="D7916" s="7" t="s">
        <v>397</v>
      </c>
      <c r="E7916" s="7" t="s">
        <v>159</v>
      </c>
      <c r="F7916" s="39" t="n">
        <v>46014</v>
      </c>
      <c r="G7916" s="41" t="n">
        <v>144.45</v>
      </c>
      <c r="H7916" s="6" t="s">
        <v>182</v>
      </c>
      <c r="I7916" s="7" t="s">
        <v>19787</v>
      </c>
      <c r="J7916" s="8" t="n">
        <f aca="false">IF(I7916="Open",DATE(2025,12,31)-F7916,"-")</f>
        <v>8</v>
      </c>
    </row>
    <row r="7917" customFormat="false" ht="15" hidden="false" customHeight="false" outlineLevel="0" collapsed="false">
      <c r="B7917" s="7" t="s">
        <v>22563</v>
      </c>
      <c r="C7917" s="7" t="s">
        <v>8414</v>
      </c>
      <c r="D7917" s="7" t="s">
        <v>401</v>
      </c>
      <c r="E7917" s="7" t="s">
        <v>156</v>
      </c>
      <c r="F7917" s="39" t="n">
        <v>46014</v>
      </c>
      <c r="G7917" s="41" t="n">
        <v>123.76</v>
      </c>
      <c r="H7917" s="6" t="s">
        <v>182</v>
      </c>
      <c r="I7917" s="7" t="s">
        <v>19787</v>
      </c>
      <c r="J7917" s="8" t="n">
        <f aca="false">IF(I7917="Open",DATE(2025,12,31)-F7917,"-")</f>
        <v>8</v>
      </c>
    </row>
    <row r="7918" customFormat="false" ht="15" hidden="false" customHeight="false" outlineLevel="0" collapsed="false">
      <c r="B7918" s="7" t="s">
        <v>22564</v>
      </c>
      <c r="C7918" s="7" t="s">
        <v>8415</v>
      </c>
      <c r="D7918" s="7" t="s">
        <v>407</v>
      </c>
      <c r="E7918" s="7" t="s">
        <v>159</v>
      </c>
      <c r="F7918" s="39" t="n">
        <v>46014</v>
      </c>
      <c r="G7918" s="41" t="n">
        <v>128.11</v>
      </c>
      <c r="H7918" s="6" t="s">
        <v>182</v>
      </c>
      <c r="I7918" s="7" t="s">
        <v>19787</v>
      </c>
      <c r="J7918" s="8" t="n">
        <f aca="false">IF(I7918="Open",DATE(2025,12,31)-F7918,"-")</f>
        <v>8</v>
      </c>
    </row>
    <row r="7919" customFormat="false" ht="15" hidden="false" customHeight="false" outlineLevel="0" collapsed="false">
      <c r="B7919" s="7" t="s">
        <v>22565</v>
      </c>
      <c r="C7919" s="7" t="s">
        <v>8416</v>
      </c>
      <c r="D7919" s="7" t="s">
        <v>284</v>
      </c>
      <c r="E7919" s="7" t="s">
        <v>157</v>
      </c>
      <c r="F7919" s="39" t="n">
        <v>46015</v>
      </c>
      <c r="G7919" s="41" t="n">
        <v>161.7</v>
      </c>
      <c r="H7919" s="6" t="s">
        <v>182</v>
      </c>
      <c r="I7919" s="7" t="s">
        <v>19787</v>
      </c>
      <c r="J7919" s="8" t="n">
        <f aca="false">IF(I7919="Open",DATE(2025,12,31)-F7919,"-")</f>
        <v>7</v>
      </c>
    </row>
    <row r="7920" customFormat="false" ht="15" hidden="false" customHeight="false" outlineLevel="0" collapsed="false">
      <c r="B7920" s="7" t="s">
        <v>22566</v>
      </c>
      <c r="C7920" s="7" t="s">
        <v>8417</v>
      </c>
      <c r="D7920" s="7" t="s">
        <v>288</v>
      </c>
      <c r="E7920" s="7" t="s">
        <v>156</v>
      </c>
      <c r="F7920" s="39" t="n">
        <v>46015</v>
      </c>
      <c r="G7920" s="41" t="n">
        <v>132.94</v>
      </c>
      <c r="H7920" s="6" t="s">
        <v>182</v>
      </c>
      <c r="I7920" s="7" t="s">
        <v>19787</v>
      </c>
      <c r="J7920" s="8" t="n">
        <f aca="false">IF(I7920="Open",DATE(2025,12,31)-F7920,"-")</f>
        <v>7</v>
      </c>
    </row>
    <row r="7921" customFormat="false" ht="15" hidden="false" customHeight="false" outlineLevel="0" collapsed="false">
      <c r="B7921" s="7" t="s">
        <v>22567</v>
      </c>
      <c r="C7921" s="7" t="s">
        <v>8418</v>
      </c>
      <c r="D7921" s="7" t="s">
        <v>291</v>
      </c>
      <c r="E7921" s="7" t="s">
        <v>154</v>
      </c>
      <c r="F7921" s="39" t="n">
        <v>46015</v>
      </c>
      <c r="G7921" s="41" t="n">
        <v>111.83</v>
      </c>
      <c r="H7921" s="6" t="s">
        <v>182</v>
      </c>
      <c r="I7921" s="7" t="s">
        <v>19787</v>
      </c>
      <c r="J7921" s="8" t="n">
        <f aca="false">IF(I7921="Open",DATE(2025,12,31)-F7921,"-")</f>
        <v>7</v>
      </c>
    </row>
    <row r="7922" customFormat="false" ht="15" hidden="false" customHeight="false" outlineLevel="0" collapsed="false">
      <c r="B7922" s="7" t="s">
        <v>22568</v>
      </c>
      <c r="C7922" s="7" t="s">
        <v>8419</v>
      </c>
      <c r="D7922" s="7" t="s">
        <v>295</v>
      </c>
      <c r="E7922" s="7" t="s">
        <v>154</v>
      </c>
      <c r="F7922" s="39" t="n">
        <v>46015</v>
      </c>
      <c r="G7922" s="41" t="n">
        <v>113.42</v>
      </c>
      <c r="H7922" s="6" t="s">
        <v>182</v>
      </c>
      <c r="I7922" s="7" t="s">
        <v>19787</v>
      </c>
      <c r="J7922" s="8" t="n">
        <f aca="false">IF(I7922="Open",DATE(2025,12,31)-F7922,"-")</f>
        <v>7</v>
      </c>
    </row>
    <row r="7923" customFormat="false" ht="15" hidden="false" customHeight="false" outlineLevel="0" collapsed="false">
      <c r="B7923" s="7" t="s">
        <v>22569</v>
      </c>
      <c r="C7923" s="7" t="s">
        <v>8420</v>
      </c>
      <c r="D7923" s="7" t="s">
        <v>305</v>
      </c>
      <c r="E7923" s="7" t="s">
        <v>154</v>
      </c>
      <c r="F7923" s="39" t="n">
        <v>46015</v>
      </c>
      <c r="G7923" s="41" t="n">
        <v>98.84</v>
      </c>
      <c r="H7923" s="6" t="s">
        <v>182</v>
      </c>
      <c r="I7923" s="7" t="s">
        <v>19787</v>
      </c>
      <c r="J7923" s="8" t="n">
        <f aca="false">IF(I7923="Open",DATE(2025,12,31)-F7923,"-")</f>
        <v>7</v>
      </c>
    </row>
    <row r="7924" customFormat="false" ht="15" hidden="false" customHeight="false" outlineLevel="0" collapsed="false">
      <c r="B7924" s="7" t="s">
        <v>22570</v>
      </c>
      <c r="C7924" s="7" t="s">
        <v>8421</v>
      </c>
      <c r="D7924" s="7" t="s">
        <v>307</v>
      </c>
      <c r="E7924" s="7" t="s">
        <v>157</v>
      </c>
      <c r="F7924" s="39" t="n">
        <v>46015</v>
      </c>
      <c r="G7924" s="41" t="n">
        <v>151.8</v>
      </c>
      <c r="H7924" s="6" t="s">
        <v>182</v>
      </c>
      <c r="I7924" s="7" t="s">
        <v>19787</v>
      </c>
      <c r="J7924" s="8" t="n">
        <f aca="false">IF(I7924="Open",DATE(2025,12,31)-F7924,"-")</f>
        <v>7</v>
      </c>
    </row>
    <row r="7925" customFormat="false" ht="15" hidden="false" customHeight="false" outlineLevel="0" collapsed="false">
      <c r="B7925" s="7" t="s">
        <v>22571</v>
      </c>
      <c r="C7925" s="7" t="s">
        <v>8422</v>
      </c>
      <c r="D7925" s="7" t="s">
        <v>309</v>
      </c>
      <c r="E7925" s="7" t="s">
        <v>159</v>
      </c>
      <c r="F7925" s="39" t="n">
        <v>46015</v>
      </c>
      <c r="G7925" s="41" t="n">
        <v>135</v>
      </c>
      <c r="H7925" s="6" t="s">
        <v>182</v>
      </c>
      <c r="I7925" s="7" t="s">
        <v>19787</v>
      </c>
      <c r="J7925" s="8" t="n">
        <f aca="false">IF(I7925="Open",DATE(2025,12,31)-F7925,"-")</f>
        <v>7</v>
      </c>
    </row>
    <row r="7926" customFormat="false" ht="15" hidden="false" customHeight="false" outlineLevel="0" collapsed="false">
      <c r="B7926" s="7" t="s">
        <v>22572</v>
      </c>
      <c r="C7926" s="7" t="s">
        <v>8423</v>
      </c>
      <c r="D7926" s="7" t="s">
        <v>313</v>
      </c>
      <c r="E7926" s="7" t="s">
        <v>156</v>
      </c>
      <c r="F7926" s="39" t="n">
        <v>46015</v>
      </c>
      <c r="G7926" s="41" t="n">
        <v>139.74</v>
      </c>
      <c r="H7926" s="6" t="s">
        <v>182</v>
      </c>
      <c r="I7926" s="7" t="s">
        <v>19787</v>
      </c>
      <c r="J7926" s="8" t="n">
        <f aca="false">IF(I7926="Open",DATE(2025,12,31)-F7926,"-")</f>
        <v>7</v>
      </c>
    </row>
    <row r="7927" customFormat="false" ht="15" hidden="false" customHeight="false" outlineLevel="0" collapsed="false">
      <c r="B7927" s="7" t="s">
        <v>22573</v>
      </c>
      <c r="C7927" s="7" t="s">
        <v>8424</v>
      </c>
      <c r="D7927" s="7" t="s">
        <v>315</v>
      </c>
      <c r="E7927" s="7" t="s">
        <v>159</v>
      </c>
      <c r="F7927" s="39" t="n">
        <v>46015</v>
      </c>
      <c r="G7927" s="41" t="n">
        <v>132.3</v>
      </c>
      <c r="H7927" s="6" t="s">
        <v>182</v>
      </c>
      <c r="I7927" s="7" t="s">
        <v>19787</v>
      </c>
      <c r="J7927" s="8" t="n">
        <f aca="false">IF(I7927="Open",DATE(2025,12,31)-F7927,"-")</f>
        <v>7</v>
      </c>
    </row>
    <row r="7928" customFormat="false" ht="15" hidden="false" customHeight="false" outlineLevel="0" collapsed="false">
      <c r="B7928" s="7" t="s">
        <v>22574</v>
      </c>
      <c r="C7928" s="7" t="s">
        <v>8425</v>
      </c>
      <c r="D7928" s="7" t="s">
        <v>321</v>
      </c>
      <c r="E7928" s="7" t="s">
        <v>154</v>
      </c>
      <c r="F7928" s="39" t="n">
        <v>46015</v>
      </c>
      <c r="G7928" s="41" t="n">
        <v>108.38</v>
      </c>
      <c r="H7928" s="6" t="s">
        <v>182</v>
      </c>
      <c r="I7928" s="7" t="s">
        <v>19787</v>
      </c>
      <c r="J7928" s="8" t="n">
        <f aca="false">IF(I7928="Open",DATE(2025,12,31)-F7928,"-")</f>
        <v>7</v>
      </c>
    </row>
    <row r="7929" customFormat="false" ht="15" hidden="false" customHeight="false" outlineLevel="0" collapsed="false">
      <c r="B7929" s="7" t="s">
        <v>22575</v>
      </c>
      <c r="C7929" s="7" t="s">
        <v>8426</v>
      </c>
      <c r="D7929" s="7" t="s">
        <v>329</v>
      </c>
      <c r="E7929" s="7" t="s">
        <v>156</v>
      </c>
      <c r="F7929" s="39" t="n">
        <v>46015</v>
      </c>
      <c r="G7929" s="41" t="n">
        <v>123.08</v>
      </c>
      <c r="H7929" s="39" t="n">
        <v>46016</v>
      </c>
      <c r="I7929" s="7" t="s">
        <v>14651</v>
      </c>
      <c r="J7929" s="8" t="str">
        <f aca="false">IF(I7929="Open",DATE(2025,12,31)-F7929,"-")</f>
        <v>-</v>
      </c>
    </row>
    <row r="7930" customFormat="false" ht="15" hidden="false" customHeight="false" outlineLevel="0" collapsed="false">
      <c r="B7930" s="7" t="s">
        <v>22576</v>
      </c>
      <c r="C7930" s="7" t="s">
        <v>8427</v>
      </c>
      <c r="D7930" s="7" t="s">
        <v>333</v>
      </c>
      <c r="E7930" s="7" t="s">
        <v>154</v>
      </c>
      <c r="F7930" s="39" t="n">
        <v>46015</v>
      </c>
      <c r="G7930" s="41" t="n">
        <v>86.89</v>
      </c>
      <c r="H7930" s="6" t="s">
        <v>182</v>
      </c>
      <c r="I7930" s="7" t="s">
        <v>19787</v>
      </c>
      <c r="J7930" s="8" t="n">
        <f aca="false">IF(I7930="Open",DATE(2025,12,31)-F7930,"-")</f>
        <v>7</v>
      </c>
    </row>
    <row r="7931" customFormat="false" ht="15" hidden="false" customHeight="false" outlineLevel="0" collapsed="false">
      <c r="B7931" s="7" t="s">
        <v>22577</v>
      </c>
      <c r="C7931" s="7" t="s">
        <v>8428</v>
      </c>
      <c r="D7931" s="7" t="s">
        <v>335</v>
      </c>
      <c r="E7931" s="7" t="s">
        <v>154</v>
      </c>
      <c r="F7931" s="39" t="n">
        <v>46015</v>
      </c>
      <c r="G7931" s="41" t="n">
        <v>95.4</v>
      </c>
      <c r="H7931" s="6" t="s">
        <v>182</v>
      </c>
      <c r="I7931" s="7" t="s">
        <v>19787</v>
      </c>
      <c r="J7931" s="8" t="n">
        <f aca="false">IF(I7931="Open",DATE(2025,12,31)-F7931,"-")</f>
        <v>7</v>
      </c>
    </row>
    <row r="7932" customFormat="false" ht="15" hidden="false" customHeight="false" outlineLevel="0" collapsed="false">
      <c r="B7932" s="7" t="s">
        <v>22578</v>
      </c>
      <c r="C7932" s="7" t="s">
        <v>8429</v>
      </c>
      <c r="D7932" s="7" t="s">
        <v>339</v>
      </c>
      <c r="E7932" s="7" t="s">
        <v>154</v>
      </c>
      <c r="F7932" s="39" t="n">
        <v>46015</v>
      </c>
      <c r="G7932" s="41" t="n">
        <v>91.16</v>
      </c>
      <c r="H7932" s="6" t="s">
        <v>182</v>
      </c>
      <c r="I7932" s="7" t="s">
        <v>19787</v>
      </c>
      <c r="J7932" s="8" t="n">
        <f aca="false">IF(I7932="Open",DATE(2025,12,31)-F7932,"-")</f>
        <v>7</v>
      </c>
    </row>
    <row r="7933" customFormat="false" ht="15" hidden="false" customHeight="false" outlineLevel="0" collapsed="false">
      <c r="B7933" s="7" t="s">
        <v>22579</v>
      </c>
      <c r="C7933" s="7" t="s">
        <v>8430</v>
      </c>
      <c r="D7933" s="7" t="s">
        <v>349</v>
      </c>
      <c r="E7933" s="7" t="s">
        <v>154</v>
      </c>
      <c r="F7933" s="39" t="n">
        <v>46015</v>
      </c>
      <c r="G7933" s="41" t="n">
        <v>112.07</v>
      </c>
      <c r="H7933" s="6" t="s">
        <v>182</v>
      </c>
      <c r="I7933" s="7" t="s">
        <v>19787</v>
      </c>
      <c r="J7933" s="8" t="n">
        <f aca="false">IF(I7933="Open",DATE(2025,12,31)-F7933,"-")</f>
        <v>7</v>
      </c>
    </row>
    <row r="7934" customFormat="false" ht="15" hidden="false" customHeight="false" outlineLevel="0" collapsed="false">
      <c r="B7934" s="7" t="s">
        <v>22580</v>
      </c>
      <c r="C7934" s="7" t="s">
        <v>8431</v>
      </c>
      <c r="D7934" s="7" t="s">
        <v>353</v>
      </c>
      <c r="E7934" s="7" t="s">
        <v>154</v>
      </c>
      <c r="F7934" s="39" t="n">
        <v>46015</v>
      </c>
      <c r="G7934" s="41" t="n">
        <v>79.42</v>
      </c>
      <c r="H7934" s="6" t="s">
        <v>182</v>
      </c>
      <c r="I7934" s="7" t="s">
        <v>19787</v>
      </c>
      <c r="J7934" s="8" t="n">
        <f aca="false">IF(I7934="Open",DATE(2025,12,31)-F7934,"-")</f>
        <v>7</v>
      </c>
    </row>
    <row r="7935" customFormat="false" ht="15" hidden="false" customHeight="false" outlineLevel="0" collapsed="false">
      <c r="B7935" s="7" t="s">
        <v>22581</v>
      </c>
      <c r="C7935" s="7" t="s">
        <v>8432</v>
      </c>
      <c r="D7935" s="7" t="s">
        <v>355</v>
      </c>
      <c r="E7935" s="7" t="s">
        <v>154</v>
      </c>
      <c r="F7935" s="39" t="n">
        <v>46015</v>
      </c>
      <c r="G7935" s="41" t="n">
        <v>80.45</v>
      </c>
      <c r="H7935" s="6" t="s">
        <v>182</v>
      </c>
      <c r="I7935" s="7" t="s">
        <v>19787</v>
      </c>
      <c r="J7935" s="8" t="n">
        <f aca="false">IF(I7935="Open",DATE(2025,12,31)-F7935,"-")</f>
        <v>7</v>
      </c>
    </row>
    <row r="7936" customFormat="false" ht="15" hidden="false" customHeight="false" outlineLevel="0" collapsed="false">
      <c r="B7936" s="7" t="s">
        <v>22582</v>
      </c>
      <c r="C7936" s="7" t="s">
        <v>8433</v>
      </c>
      <c r="D7936" s="7" t="s">
        <v>357</v>
      </c>
      <c r="E7936" s="7" t="s">
        <v>154</v>
      </c>
      <c r="F7936" s="39" t="n">
        <v>46015</v>
      </c>
      <c r="G7936" s="41" t="n">
        <v>90.9</v>
      </c>
      <c r="H7936" s="6" t="s">
        <v>182</v>
      </c>
      <c r="I7936" s="7" t="s">
        <v>19787</v>
      </c>
      <c r="J7936" s="8" t="n">
        <f aca="false">IF(I7936="Open",DATE(2025,12,31)-F7936,"-")</f>
        <v>7</v>
      </c>
    </row>
    <row r="7937" customFormat="false" ht="15" hidden="false" customHeight="false" outlineLevel="0" collapsed="false">
      <c r="B7937" s="7" t="s">
        <v>22583</v>
      </c>
      <c r="C7937" s="7" t="s">
        <v>8434</v>
      </c>
      <c r="D7937" s="7" t="s">
        <v>359</v>
      </c>
      <c r="E7937" s="7" t="s">
        <v>156</v>
      </c>
      <c r="F7937" s="39" t="n">
        <v>46015</v>
      </c>
      <c r="G7937" s="41" t="n">
        <v>139.06</v>
      </c>
      <c r="H7937" s="6" t="s">
        <v>182</v>
      </c>
      <c r="I7937" s="7" t="s">
        <v>19787</v>
      </c>
      <c r="J7937" s="8" t="n">
        <f aca="false">IF(I7937="Open",DATE(2025,12,31)-F7937,"-")</f>
        <v>7</v>
      </c>
    </row>
    <row r="7938" customFormat="false" ht="15" hidden="false" customHeight="false" outlineLevel="0" collapsed="false">
      <c r="B7938" s="7" t="s">
        <v>22584</v>
      </c>
      <c r="C7938" s="7" t="s">
        <v>8435</v>
      </c>
      <c r="D7938" s="7" t="s">
        <v>365</v>
      </c>
      <c r="E7938" s="7" t="s">
        <v>154</v>
      </c>
      <c r="F7938" s="39" t="n">
        <v>46015</v>
      </c>
      <c r="G7938" s="41" t="n">
        <v>104.12</v>
      </c>
      <c r="H7938" s="6" t="s">
        <v>182</v>
      </c>
      <c r="I7938" s="7" t="s">
        <v>19787</v>
      </c>
      <c r="J7938" s="8" t="n">
        <f aca="false">IF(I7938="Open",DATE(2025,12,31)-F7938,"-")</f>
        <v>7</v>
      </c>
    </row>
    <row r="7939" customFormat="false" ht="15" hidden="false" customHeight="false" outlineLevel="0" collapsed="false">
      <c r="B7939" s="7" t="s">
        <v>22585</v>
      </c>
      <c r="C7939" s="7" t="s">
        <v>8436</v>
      </c>
      <c r="D7939" s="7" t="s">
        <v>371</v>
      </c>
      <c r="E7939" s="7" t="s">
        <v>154</v>
      </c>
      <c r="F7939" s="39" t="n">
        <v>46015</v>
      </c>
      <c r="G7939" s="41" t="n">
        <v>120.05</v>
      </c>
      <c r="H7939" s="6" t="s">
        <v>182</v>
      </c>
      <c r="I7939" s="7" t="s">
        <v>19787</v>
      </c>
      <c r="J7939" s="8" t="n">
        <f aca="false">IF(I7939="Open",DATE(2025,12,31)-F7939,"-")</f>
        <v>7</v>
      </c>
    </row>
    <row r="7940" customFormat="false" ht="15" hidden="false" customHeight="false" outlineLevel="0" collapsed="false">
      <c r="B7940" s="7" t="s">
        <v>22586</v>
      </c>
      <c r="C7940" s="7" t="s">
        <v>8437</v>
      </c>
      <c r="D7940" s="7" t="s">
        <v>379</v>
      </c>
      <c r="E7940" s="7" t="s">
        <v>156</v>
      </c>
      <c r="F7940" s="39" t="n">
        <v>46015</v>
      </c>
      <c r="G7940" s="41" t="n">
        <v>165.58</v>
      </c>
      <c r="H7940" s="6" t="s">
        <v>182</v>
      </c>
      <c r="I7940" s="7" t="s">
        <v>19787</v>
      </c>
      <c r="J7940" s="8" t="n">
        <f aca="false">IF(I7940="Open",DATE(2025,12,31)-F7940,"-")</f>
        <v>7</v>
      </c>
    </row>
    <row r="7941" customFormat="false" ht="15" hidden="false" customHeight="false" outlineLevel="0" collapsed="false">
      <c r="B7941" s="7" t="s">
        <v>22587</v>
      </c>
      <c r="C7941" s="7" t="s">
        <v>8438</v>
      </c>
      <c r="D7941" s="7" t="s">
        <v>385</v>
      </c>
      <c r="E7941" s="7" t="s">
        <v>156</v>
      </c>
      <c r="F7941" s="39" t="n">
        <v>46015</v>
      </c>
      <c r="G7941" s="41" t="n">
        <v>136.34</v>
      </c>
      <c r="H7941" s="39" t="n">
        <v>46021</v>
      </c>
      <c r="I7941" s="7" t="s">
        <v>14651</v>
      </c>
      <c r="J7941" s="8" t="str">
        <f aca="false">IF(I7941="Open",DATE(2025,12,31)-F7941,"-")</f>
        <v>-</v>
      </c>
    </row>
    <row r="7942" customFormat="false" ht="15" hidden="false" customHeight="false" outlineLevel="0" collapsed="false">
      <c r="B7942" s="7" t="s">
        <v>22588</v>
      </c>
      <c r="C7942" s="7" t="s">
        <v>8439</v>
      </c>
      <c r="D7942" s="7" t="s">
        <v>387</v>
      </c>
      <c r="E7942" s="7" t="s">
        <v>154</v>
      </c>
      <c r="F7942" s="39" t="n">
        <v>46015</v>
      </c>
      <c r="G7942" s="41" t="n">
        <v>110.5</v>
      </c>
      <c r="H7942" s="6" t="s">
        <v>182</v>
      </c>
      <c r="I7942" s="7" t="s">
        <v>19787</v>
      </c>
      <c r="J7942" s="8" t="n">
        <f aca="false">IF(I7942="Open",DATE(2025,12,31)-F7942,"-")</f>
        <v>7</v>
      </c>
    </row>
    <row r="7943" customFormat="false" ht="15" hidden="false" customHeight="false" outlineLevel="0" collapsed="false">
      <c r="B7943" s="7" t="s">
        <v>22589</v>
      </c>
      <c r="C7943" s="7" t="s">
        <v>8440</v>
      </c>
      <c r="D7943" s="7" t="s">
        <v>391</v>
      </c>
      <c r="E7943" s="7" t="s">
        <v>156</v>
      </c>
      <c r="F7943" s="39" t="n">
        <v>46015</v>
      </c>
      <c r="G7943" s="41" t="n">
        <v>123.76</v>
      </c>
      <c r="H7943" s="39" t="n">
        <v>46021</v>
      </c>
      <c r="I7943" s="7" t="s">
        <v>14651</v>
      </c>
      <c r="J7943" s="8" t="str">
        <f aca="false">IF(I7943="Open",DATE(2025,12,31)-F7943,"-")</f>
        <v>-</v>
      </c>
    </row>
    <row r="7944" customFormat="false" ht="15" hidden="false" customHeight="false" outlineLevel="0" collapsed="false">
      <c r="B7944" s="7" t="s">
        <v>22590</v>
      </c>
      <c r="C7944" s="7" t="s">
        <v>8441</v>
      </c>
      <c r="D7944" s="7" t="s">
        <v>393</v>
      </c>
      <c r="E7944" s="7" t="s">
        <v>157</v>
      </c>
      <c r="F7944" s="39" t="n">
        <v>46015</v>
      </c>
      <c r="G7944" s="41" t="n">
        <v>170.77</v>
      </c>
      <c r="H7944" s="6" t="s">
        <v>182</v>
      </c>
      <c r="I7944" s="7" t="s">
        <v>19787</v>
      </c>
      <c r="J7944" s="8" t="n">
        <f aca="false">IF(I7944="Open",DATE(2025,12,31)-F7944,"-")</f>
        <v>7</v>
      </c>
    </row>
    <row r="7945" customFormat="false" ht="15" hidden="false" customHeight="false" outlineLevel="0" collapsed="false">
      <c r="B7945" s="7" t="s">
        <v>22591</v>
      </c>
      <c r="C7945" s="7" t="s">
        <v>8442</v>
      </c>
      <c r="D7945" s="7" t="s">
        <v>395</v>
      </c>
      <c r="E7945" s="7" t="s">
        <v>156</v>
      </c>
      <c r="F7945" s="39" t="n">
        <v>46015</v>
      </c>
      <c r="G7945" s="41" t="n">
        <v>143.82</v>
      </c>
      <c r="H7945" s="6" t="s">
        <v>182</v>
      </c>
      <c r="I7945" s="7" t="s">
        <v>19787</v>
      </c>
      <c r="J7945" s="8" t="n">
        <f aca="false">IF(I7945="Open",DATE(2025,12,31)-F7945,"-")</f>
        <v>7</v>
      </c>
    </row>
    <row r="7946" customFormat="false" ht="15" hidden="false" customHeight="false" outlineLevel="0" collapsed="false">
      <c r="B7946" s="7" t="s">
        <v>22592</v>
      </c>
      <c r="C7946" s="7" t="s">
        <v>8443</v>
      </c>
      <c r="D7946" s="7" t="s">
        <v>399</v>
      </c>
      <c r="E7946" s="7" t="s">
        <v>154</v>
      </c>
      <c r="F7946" s="39" t="n">
        <v>46015</v>
      </c>
      <c r="G7946" s="41" t="n">
        <v>84.27</v>
      </c>
      <c r="H7946" s="6" t="s">
        <v>182</v>
      </c>
      <c r="I7946" s="7" t="s">
        <v>19787</v>
      </c>
      <c r="J7946" s="8" t="n">
        <f aca="false">IF(I7946="Open",DATE(2025,12,31)-F7946,"-")</f>
        <v>7</v>
      </c>
    </row>
    <row r="7947" customFormat="false" ht="15" hidden="false" customHeight="false" outlineLevel="0" collapsed="false">
      <c r="B7947" s="7" t="s">
        <v>22593</v>
      </c>
      <c r="C7947" s="7" t="s">
        <v>8444</v>
      </c>
      <c r="D7947" s="7" t="s">
        <v>401</v>
      </c>
      <c r="E7947" s="7" t="s">
        <v>156</v>
      </c>
      <c r="F7947" s="39" t="n">
        <v>46015</v>
      </c>
      <c r="G7947" s="41" t="n">
        <v>139.06</v>
      </c>
      <c r="H7947" s="6" t="s">
        <v>182</v>
      </c>
      <c r="I7947" s="7" t="s">
        <v>19787</v>
      </c>
      <c r="J7947" s="8" t="n">
        <f aca="false">IF(I7947="Open",DATE(2025,12,31)-F7947,"-")</f>
        <v>7</v>
      </c>
    </row>
    <row r="7948" customFormat="false" ht="15" hidden="false" customHeight="false" outlineLevel="0" collapsed="false">
      <c r="B7948" s="7" t="s">
        <v>22594</v>
      </c>
      <c r="C7948" s="7" t="s">
        <v>8445</v>
      </c>
      <c r="D7948" s="7" t="s">
        <v>403</v>
      </c>
      <c r="E7948" s="7" t="s">
        <v>156</v>
      </c>
      <c r="F7948" s="39" t="n">
        <v>46015</v>
      </c>
      <c r="G7948" s="41" t="n">
        <v>123.08</v>
      </c>
      <c r="H7948" s="6" t="s">
        <v>182</v>
      </c>
      <c r="I7948" s="7" t="s">
        <v>19787</v>
      </c>
      <c r="J7948" s="8" t="n">
        <f aca="false">IF(I7948="Open",DATE(2025,12,31)-F7948,"-")</f>
        <v>7</v>
      </c>
    </row>
    <row r="7949" customFormat="false" ht="15" hidden="false" customHeight="false" outlineLevel="0" collapsed="false">
      <c r="B7949" s="7" t="s">
        <v>22595</v>
      </c>
      <c r="C7949" s="7" t="s">
        <v>8446</v>
      </c>
      <c r="D7949" s="7" t="s">
        <v>409</v>
      </c>
      <c r="E7949" s="7" t="s">
        <v>154</v>
      </c>
      <c r="F7949" s="39" t="n">
        <v>46015</v>
      </c>
      <c r="G7949" s="41" t="n">
        <v>96.72</v>
      </c>
      <c r="H7949" s="6" t="s">
        <v>182</v>
      </c>
      <c r="I7949" s="7" t="s">
        <v>19787</v>
      </c>
      <c r="J7949" s="8" t="n">
        <f aca="false">IF(I7949="Open",DATE(2025,12,31)-F7949,"-")</f>
        <v>7</v>
      </c>
    </row>
    <row r="7950" customFormat="false" ht="15" hidden="false" customHeight="false" outlineLevel="0" collapsed="false">
      <c r="B7950" s="7" t="s">
        <v>22596</v>
      </c>
      <c r="C7950" s="7" t="s">
        <v>8447</v>
      </c>
      <c r="D7950" s="7" t="s">
        <v>411</v>
      </c>
      <c r="E7950" s="7" t="s">
        <v>154</v>
      </c>
      <c r="F7950" s="39" t="n">
        <v>46015</v>
      </c>
      <c r="G7950" s="41" t="n">
        <v>121.11</v>
      </c>
      <c r="H7950" s="6" t="s">
        <v>182</v>
      </c>
      <c r="I7950" s="7" t="s">
        <v>19787</v>
      </c>
      <c r="J7950" s="8" t="n">
        <f aca="false">IF(I7950="Open",DATE(2025,12,31)-F7950,"-")</f>
        <v>7</v>
      </c>
    </row>
    <row r="7951" customFormat="false" ht="15" hidden="false" customHeight="false" outlineLevel="0" collapsed="false">
      <c r="B7951" s="7" t="s">
        <v>22597</v>
      </c>
      <c r="C7951" s="7" t="s">
        <v>8448</v>
      </c>
      <c r="D7951" s="7" t="s">
        <v>288</v>
      </c>
      <c r="E7951" s="7" t="s">
        <v>156</v>
      </c>
      <c r="F7951" s="39" t="n">
        <v>46016</v>
      </c>
      <c r="G7951" s="41" t="n">
        <v>125.12</v>
      </c>
      <c r="H7951" s="6" t="s">
        <v>182</v>
      </c>
      <c r="I7951" s="7" t="s">
        <v>19787</v>
      </c>
      <c r="J7951" s="8" t="n">
        <f aca="false">IF(I7951="Open",DATE(2025,12,31)-F7951,"-")</f>
        <v>6</v>
      </c>
    </row>
    <row r="7952" customFormat="false" ht="15" hidden="false" customHeight="false" outlineLevel="0" collapsed="false">
      <c r="B7952" s="7" t="s">
        <v>22598</v>
      </c>
      <c r="C7952" s="7" t="s">
        <v>8449</v>
      </c>
      <c r="D7952" s="7" t="s">
        <v>297</v>
      </c>
      <c r="E7952" s="7" t="s">
        <v>156</v>
      </c>
      <c r="F7952" s="39" t="n">
        <v>46016</v>
      </c>
      <c r="G7952" s="41" t="n">
        <v>100.64</v>
      </c>
      <c r="H7952" s="6" t="s">
        <v>182</v>
      </c>
      <c r="I7952" s="7" t="s">
        <v>19787</v>
      </c>
      <c r="J7952" s="8" t="n">
        <f aca="false">IF(I7952="Open",DATE(2025,12,31)-F7952,"-")</f>
        <v>6</v>
      </c>
    </row>
    <row r="7953" customFormat="false" ht="15" hidden="false" customHeight="false" outlineLevel="0" collapsed="false">
      <c r="B7953" s="7" t="s">
        <v>22599</v>
      </c>
      <c r="C7953" s="7" t="s">
        <v>8450</v>
      </c>
      <c r="D7953" s="7" t="s">
        <v>299</v>
      </c>
      <c r="E7953" s="7" t="s">
        <v>154</v>
      </c>
      <c r="F7953" s="39" t="n">
        <v>46016</v>
      </c>
      <c r="G7953" s="41" t="n">
        <v>79.5</v>
      </c>
      <c r="H7953" s="6" t="s">
        <v>182</v>
      </c>
      <c r="I7953" s="7" t="s">
        <v>19787</v>
      </c>
      <c r="J7953" s="8" t="n">
        <f aca="false">IF(I7953="Open",DATE(2025,12,31)-F7953,"-")</f>
        <v>6</v>
      </c>
    </row>
    <row r="7954" customFormat="false" ht="15" hidden="false" customHeight="false" outlineLevel="0" collapsed="false">
      <c r="B7954" s="7" t="s">
        <v>22600</v>
      </c>
      <c r="C7954" s="7" t="s">
        <v>8451</v>
      </c>
      <c r="D7954" s="7" t="s">
        <v>303</v>
      </c>
      <c r="E7954" s="7" t="s">
        <v>154</v>
      </c>
      <c r="F7954" s="39" t="n">
        <v>46016</v>
      </c>
      <c r="G7954" s="41" t="n">
        <v>110.77</v>
      </c>
      <c r="H7954" s="6" t="s">
        <v>182</v>
      </c>
      <c r="I7954" s="7" t="s">
        <v>19787</v>
      </c>
      <c r="J7954" s="8" t="n">
        <f aca="false">IF(I7954="Open",DATE(2025,12,31)-F7954,"-")</f>
        <v>6</v>
      </c>
    </row>
    <row r="7955" customFormat="false" ht="15" hidden="false" customHeight="false" outlineLevel="0" collapsed="false">
      <c r="B7955" s="7" t="s">
        <v>22601</v>
      </c>
      <c r="C7955" s="7" t="s">
        <v>8452</v>
      </c>
      <c r="D7955" s="7" t="s">
        <v>311</v>
      </c>
      <c r="E7955" s="7" t="s">
        <v>154</v>
      </c>
      <c r="F7955" s="39" t="n">
        <v>46016</v>
      </c>
      <c r="G7955" s="41" t="n">
        <v>87.19</v>
      </c>
      <c r="H7955" s="6" t="s">
        <v>182</v>
      </c>
      <c r="I7955" s="7" t="s">
        <v>19787</v>
      </c>
      <c r="J7955" s="8" t="n">
        <f aca="false">IF(I7955="Open",DATE(2025,12,31)-F7955,"-")</f>
        <v>6</v>
      </c>
    </row>
    <row r="7956" customFormat="false" ht="15" hidden="false" customHeight="false" outlineLevel="0" collapsed="false">
      <c r="B7956" s="7" t="s">
        <v>22602</v>
      </c>
      <c r="C7956" s="7" t="s">
        <v>8453</v>
      </c>
      <c r="D7956" s="7" t="s">
        <v>313</v>
      </c>
      <c r="E7956" s="7" t="s">
        <v>156</v>
      </c>
      <c r="F7956" s="39" t="n">
        <v>46016</v>
      </c>
      <c r="G7956" s="41" t="n">
        <v>128.86</v>
      </c>
      <c r="H7956" s="6" t="s">
        <v>182</v>
      </c>
      <c r="I7956" s="7" t="s">
        <v>19787</v>
      </c>
      <c r="J7956" s="8" t="n">
        <f aca="false">IF(I7956="Open",DATE(2025,12,31)-F7956,"-")</f>
        <v>6</v>
      </c>
    </row>
    <row r="7957" customFormat="false" ht="15" hidden="false" customHeight="false" outlineLevel="0" collapsed="false">
      <c r="B7957" s="7" t="s">
        <v>22603</v>
      </c>
      <c r="C7957" s="7" t="s">
        <v>8454</v>
      </c>
      <c r="D7957" s="7" t="s">
        <v>317</v>
      </c>
      <c r="E7957" s="7" t="s">
        <v>156</v>
      </c>
      <c r="F7957" s="39" t="n">
        <v>46016</v>
      </c>
      <c r="G7957" s="41" t="n">
        <v>92.82</v>
      </c>
      <c r="H7957" s="6" t="s">
        <v>182</v>
      </c>
      <c r="I7957" s="7" t="s">
        <v>19787</v>
      </c>
      <c r="J7957" s="8" t="n">
        <f aca="false">IF(I7957="Open",DATE(2025,12,31)-F7957,"-")</f>
        <v>6</v>
      </c>
    </row>
    <row r="7958" customFormat="false" ht="15" hidden="false" customHeight="false" outlineLevel="0" collapsed="false">
      <c r="B7958" s="7" t="s">
        <v>22604</v>
      </c>
      <c r="C7958" s="7" t="s">
        <v>8455</v>
      </c>
      <c r="D7958" s="7" t="s">
        <v>321</v>
      </c>
      <c r="E7958" s="7" t="s">
        <v>154</v>
      </c>
      <c r="F7958" s="39" t="n">
        <v>46016</v>
      </c>
      <c r="G7958" s="41" t="n">
        <v>93.04</v>
      </c>
      <c r="H7958" s="6" t="s">
        <v>182</v>
      </c>
      <c r="I7958" s="7" t="s">
        <v>19787</v>
      </c>
      <c r="J7958" s="8" t="n">
        <f aca="false">IF(I7958="Open",DATE(2025,12,31)-F7958,"-")</f>
        <v>6</v>
      </c>
    </row>
    <row r="7959" customFormat="false" ht="15" hidden="false" customHeight="false" outlineLevel="0" collapsed="false">
      <c r="B7959" s="7" t="s">
        <v>22605</v>
      </c>
      <c r="C7959" s="7" t="s">
        <v>8456</v>
      </c>
      <c r="D7959" s="7" t="s">
        <v>325</v>
      </c>
      <c r="E7959" s="7" t="s">
        <v>154</v>
      </c>
      <c r="F7959" s="39" t="n">
        <v>46016</v>
      </c>
      <c r="G7959" s="41" t="n">
        <v>80.72</v>
      </c>
      <c r="H7959" s="6" t="s">
        <v>182</v>
      </c>
      <c r="I7959" s="7" t="s">
        <v>19787</v>
      </c>
      <c r="J7959" s="8" t="n">
        <f aca="false">IF(I7959="Open",DATE(2025,12,31)-F7959,"-")</f>
        <v>6</v>
      </c>
    </row>
    <row r="7960" customFormat="false" ht="15" hidden="false" customHeight="false" outlineLevel="0" collapsed="false">
      <c r="B7960" s="7" t="s">
        <v>22606</v>
      </c>
      <c r="C7960" s="7" t="s">
        <v>8457</v>
      </c>
      <c r="D7960" s="7" t="s">
        <v>329</v>
      </c>
      <c r="E7960" s="7" t="s">
        <v>156</v>
      </c>
      <c r="F7960" s="39" t="n">
        <v>46016</v>
      </c>
      <c r="G7960" s="41" t="n">
        <v>129.88</v>
      </c>
      <c r="H7960" s="6" t="s">
        <v>182</v>
      </c>
      <c r="I7960" s="7" t="s">
        <v>19787</v>
      </c>
      <c r="J7960" s="8" t="n">
        <f aca="false">IF(I7960="Open",DATE(2025,12,31)-F7960,"-")</f>
        <v>6</v>
      </c>
    </row>
    <row r="7961" customFormat="false" ht="15" hidden="false" customHeight="false" outlineLevel="0" collapsed="false">
      <c r="B7961" s="7" t="s">
        <v>22607</v>
      </c>
      <c r="C7961" s="7" t="s">
        <v>8458</v>
      </c>
      <c r="D7961" s="7" t="s">
        <v>341</v>
      </c>
      <c r="E7961" s="7" t="s">
        <v>156</v>
      </c>
      <c r="F7961" s="39" t="n">
        <v>46016</v>
      </c>
      <c r="G7961" s="41" t="n">
        <v>107.1</v>
      </c>
      <c r="H7961" s="39" t="n">
        <v>46018</v>
      </c>
      <c r="I7961" s="7" t="s">
        <v>14651</v>
      </c>
      <c r="J7961" s="8" t="str">
        <f aca="false">IF(I7961="Open",DATE(2025,12,31)-F7961,"-")</f>
        <v>-</v>
      </c>
    </row>
    <row r="7962" customFormat="false" ht="15" hidden="false" customHeight="false" outlineLevel="0" collapsed="false">
      <c r="B7962" s="7" t="s">
        <v>22608</v>
      </c>
      <c r="C7962" s="7" t="s">
        <v>8459</v>
      </c>
      <c r="D7962" s="7" t="s">
        <v>349</v>
      </c>
      <c r="E7962" s="7" t="s">
        <v>154</v>
      </c>
      <c r="F7962" s="39" t="n">
        <v>46016</v>
      </c>
      <c r="G7962" s="41" t="n">
        <v>95.66</v>
      </c>
      <c r="H7962" s="6" t="s">
        <v>182</v>
      </c>
      <c r="I7962" s="7" t="s">
        <v>19787</v>
      </c>
      <c r="J7962" s="8" t="n">
        <f aca="false">IF(I7962="Open",DATE(2025,12,31)-F7962,"-")</f>
        <v>6</v>
      </c>
    </row>
    <row r="7963" customFormat="false" ht="15" hidden="false" customHeight="false" outlineLevel="0" collapsed="false">
      <c r="B7963" s="7" t="s">
        <v>22609</v>
      </c>
      <c r="C7963" s="7" t="s">
        <v>8460</v>
      </c>
      <c r="D7963" s="7" t="s">
        <v>351</v>
      </c>
      <c r="E7963" s="7" t="s">
        <v>154</v>
      </c>
      <c r="F7963" s="39" t="n">
        <v>46016</v>
      </c>
      <c r="G7963" s="41" t="n">
        <v>83.21</v>
      </c>
      <c r="H7963" s="6" t="s">
        <v>182</v>
      </c>
      <c r="I7963" s="7" t="s">
        <v>19787</v>
      </c>
      <c r="J7963" s="8" t="n">
        <f aca="false">IF(I7963="Open",DATE(2025,12,31)-F7963,"-")</f>
        <v>6</v>
      </c>
    </row>
    <row r="7964" customFormat="false" ht="15" hidden="false" customHeight="false" outlineLevel="0" collapsed="false">
      <c r="B7964" s="7" t="s">
        <v>22610</v>
      </c>
      <c r="C7964" s="7" t="s">
        <v>8461</v>
      </c>
      <c r="D7964" s="7" t="s">
        <v>359</v>
      </c>
      <c r="E7964" s="7" t="s">
        <v>156</v>
      </c>
      <c r="F7964" s="39" t="n">
        <v>46016</v>
      </c>
      <c r="G7964" s="41" t="n">
        <v>144.16</v>
      </c>
      <c r="H7964" s="6" t="s">
        <v>182</v>
      </c>
      <c r="I7964" s="7" t="s">
        <v>19787</v>
      </c>
      <c r="J7964" s="8" t="n">
        <f aca="false">IF(I7964="Open",DATE(2025,12,31)-F7964,"-")</f>
        <v>6</v>
      </c>
    </row>
    <row r="7965" customFormat="false" ht="15" hidden="false" customHeight="false" outlineLevel="0" collapsed="false">
      <c r="B7965" s="7" t="s">
        <v>22611</v>
      </c>
      <c r="C7965" s="7" t="s">
        <v>8462</v>
      </c>
      <c r="D7965" s="7" t="s">
        <v>363</v>
      </c>
      <c r="E7965" s="7" t="s">
        <v>156</v>
      </c>
      <c r="F7965" s="39" t="n">
        <v>46016</v>
      </c>
      <c r="G7965" s="41" t="n">
        <v>148.24</v>
      </c>
      <c r="H7965" s="39" t="n">
        <v>46021</v>
      </c>
      <c r="I7965" s="7" t="s">
        <v>14651</v>
      </c>
      <c r="J7965" s="8" t="str">
        <f aca="false">IF(I7965="Open",DATE(2025,12,31)-F7965,"-")</f>
        <v>-</v>
      </c>
    </row>
    <row r="7966" customFormat="false" ht="15" hidden="false" customHeight="false" outlineLevel="0" collapsed="false">
      <c r="B7966" s="7" t="s">
        <v>22612</v>
      </c>
      <c r="C7966" s="7" t="s">
        <v>8463</v>
      </c>
      <c r="D7966" s="7" t="s">
        <v>365</v>
      </c>
      <c r="E7966" s="7" t="s">
        <v>154</v>
      </c>
      <c r="F7966" s="39" t="n">
        <v>46016</v>
      </c>
      <c r="G7966" s="41" t="n">
        <v>107.86</v>
      </c>
      <c r="H7966" s="6" t="s">
        <v>182</v>
      </c>
      <c r="I7966" s="7" t="s">
        <v>19787</v>
      </c>
      <c r="J7966" s="8" t="n">
        <f aca="false">IF(I7966="Open",DATE(2025,12,31)-F7966,"-")</f>
        <v>6</v>
      </c>
    </row>
    <row r="7967" customFormat="false" ht="15" hidden="false" customHeight="false" outlineLevel="0" collapsed="false">
      <c r="B7967" s="7" t="s">
        <v>22613</v>
      </c>
      <c r="C7967" s="7" t="s">
        <v>8464</v>
      </c>
      <c r="D7967" s="7" t="s">
        <v>367</v>
      </c>
      <c r="E7967" s="7" t="s">
        <v>156</v>
      </c>
      <c r="F7967" s="39" t="n">
        <v>46016</v>
      </c>
      <c r="G7967" s="41" t="n">
        <v>108.46</v>
      </c>
      <c r="H7967" s="6" t="s">
        <v>182</v>
      </c>
      <c r="I7967" s="7" t="s">
        <v>19787</v>
      </c>
      <c r="J7967" s="8" t="n">
        <f aca="false">IF(I7967="Open",DATE(2025,12,31)-F7967,"-")</f>
        <v>6</v>
      </c>
    </row>
    <row r="7968" customFormat="false" ht="15" hidden="false" customHeight="false" outlineLevel="0" collapsed="false">
      <c r="B7968" s="7" t="s">
        <v>22614</v>
      </c>
      <c r="C7968" s="7" t="s">
        <v>8465</v>
      </c>
      <c r="D7968" s="7" t="s">
        <v>375</v>
      </c>
      <c r="E7968" s="7" t="s">
        <v>156</v>
      </c>
      <c r="F7968" s="39" t="n">
        <v>46016</v>
      </c>
      <c r="G7968" s="41" t="n">
        <v>96.56</v>
      </c>
      <c r="H7968" s="6" t="s">
        <v>182</v>
      </c>
      <c r="I7968" s="7" t="s">
        <v>19787</v>
      </c>
      <c r="J7968" s="8" t="n">
        <f aca="false">IF(I7968="Open",DATE(2025,12,31)-F7968,"-")</f>
        <v>6</v>
      </c>
    </row>
    <row r="7969" customFormat="false" ht="15" hidden="false" customHeight="false" outlineLevel="0" collapsed="false">
      <c r="B7969" s="7" t="s">
        <v>22615</v>
      </c>
      <c r="C7969" s="7" t="s">
        <v>8466</v>
      </c>
      <c r="D7969" s="7" t="s">
        <v>377</v>
      </c>
      <c r="E7969" s="7" t="s">
        <v>154</v>
      </c>
      <c r="F7969" s="39" t="n">
        <v>46016</v>
      </c>
      <c r="G7969" s="41" t="n">
        <v>107.86</v>
      </c>
      <c r="H7969" s="6" t="s">
        <v>182</v>
      </c>
      <c r="I7969" s="7" t="s">
        <v>19787</v>
      </c>
      <c r="J7969" s="8" t="n">
        <f aca="false">IF(I7969="Open",DATE(2025,12,31)-F7969,"-")</f>
        <v>6</v>
      </c>
    </row>
    <row r="7970" customFormat="false" ht="15" hidden="false" customHeight="false" outlineLevel="0" collapsed="false">
      <c r="B7970" s="7" t="s">
        <v>22616</v>
      </c>
      <c r="C7970" s="7" t="s">
        <v>8467</v>
      </c>
      <c r="D7970" s="7" t="s">
        <v>387</v>
      </c>
      <c r="E7970" s="7" t="s">
        <v>154</v>
      </c>
      <c r="F7970" s="39" t="n">
        <v>46016</v>
      </c>
      <c r="G7970" s="41" t="n">
        <v>101.02</v>
      </c>
      <c r="H7970" s="6" t="s">
        <v>182</v>
      </c>
      <c r="I7970" s="7" t="s">
        <v>19787</v>
      </c>
      <c r="J7970" s="8" t="n">
        <f aca="false">IF(I7970="Open",DATE(2025,12,31)-F7970,"-")</f>
        <v>6</v>
      </c>
    </row>
    <row r="7971" customFormat="false" ht="15" hidden="false" customHeight="false" outlineLevel="0" collapsed="false">
      <c r="B7971" s="7" t="s">
        <v>22617</v>
      </c>
      <c r="C7971" s="7" t="s">
        <v>8468</v>
      </c>
      <c r="D7971" s="7" t="s">
        <v>389</v>
      </c>
      <c r="E7971" s="7" t="s">
        <v>154</v>
      </c>
      <c r="F7971" s="39" t="n">
        <v>46016</v>
      </c>
      <c r="G7971" s="41" t="n">
        <v>104.12</v>
      </c>
      <c r="H7971" s="6" t="s">
        <v>182</v>
      </c>
      <c r="I7971" s="7" t="s">
        <v>19787</v>
      </c>
      <c r="J7971" s="8" t="n">
        <f aca="false">IF(I7971="Open",DATE(2025,12,31)-F7971,"-")</f>
        <v>6</v>
      </c>
    </row>
    <row r="7972" customFormat="false" ht="15" hidden="false" customHeight="false" outlineLevel="0" collapsed="false">
      <c r="B7972" s="7" t="s">
        <v>22618</v>
      </c>
      <c r="C7972" s="7" t="s">
        <v>8469</v>
      </c>
      <c r="D7972" s="7" t="s">
        <v>391</v>
      </c>
      <c r="E7972" s="7" t="s">
        <v>156</v>
      </c>
      <c r="F7972" s="39" t="n">
        <v>46016</v>
      </c>
      <c r="G7972" s="41" t="n">
        <v>142.12</v>
      </c>
      <c r="H7972" s="6" t="s">
        <v>182</v>
      </c>
      <c r="I7972" s="7" t="s">
        <v>19787</v>
      </c>
      <c r="J7972" s="8" t="n">
        <f aca="false">IF(I7972="Open",DATE(2025,12,31)-F7972,"-")</f>
        <v>6</v>
      </c>
    </row>
    <row r="7973" customFormat="false" ht="15" hidden="false" customHeight="false" outlineLevel="0" collapsed="false">
      <c r="B7973" s="7" t="s">
        <v>22619</v>
      </c>
      <c r="C7973" s="7" t="s">
        <v>8470</v>
      </c>
      <c r="D7973" s="7" t="s">
        <v>395</v>
      </c>
      <c r="E7973" s="7" t="s">
        <v>156</v>
      </c>
      <c r="F7973" s="39" t="n">
        <v>46016</v>
      </c>
      <c r="G7973" s="41" t="n">
        <v>129.2</v>
      </c>
      <c r="H7973" s="6" t="s">
        <v>182</v>
      </c>
      <c r="I7973" s="7" t="s">
        <v>19787</v>
      </c>
      <c r="J7973" s="8" t="n">
        <f aca="false">IF(I7973="Open",DATE(2025,12,31)-F7973,"-")</f>
        <v>6</v>
      </c>
    </row>
    <row r="7974" customFormat="false" ht="15" hidden="false" customHeight="false" outlineLevel="0" collapsed="false">
      <c r="B7974" s="7" t="s">
        <v>22620</v>
      </c>
      <c r="C7974" s="7" t="s">
        <v>8471</v>
      </c>
      <c r="D7974" s="7" t="s">
        <v>401</v>
      </c>
      <c r="E7974" s="7" t="s">
        <v>156</v>
      </c>
      <c r="F7974" s="39" t="n">
        <v>46016</v>
      </c>
      <c r="G7974" s="41" t="n">
        <v>144.5</v>
      </c>
      <c r="H7974" s="6" t="s">
        <v>182</v>
      </c>
      <c r="I7974" s="7" t="s">
        <v>19787</v>
      </c>
      <c r="J7974" s="8" t="n">
        <f aca="false">IF(I7974="Open",DATE(2025,12,31)-F7974,"-")</f>
        <v>6</v>
      </c>
    </row>
    <row r="7975" customFormat="false" ht="15" hidden="false" customHeight="false" outlineLevel="0" collapsed="false">
      <c r="B7975" s="7" t="s">
        <v>22621</v>
      </c>
      <c r="C7975" s="7" t="s">
        <v>8472</v>
      </c>
      <c r="D7975" s="7" t="s">
        <v>405</v>
      </c>
      <c r="E7975" s="7" t="s">
        <v>156</v>
      </c>
      <c r="F7975" s="39" t="n">
        <v>46016</v>
      </c>
      <c r="G7975" s="41" t="n">
        <v>108.8</v>
      </c>
      <c r="H7975" s="6" t="s">
        <v>182</v>
      </c>
      <c r="I7975" s="7" t="s">
        <v>19787</v>
      </c>
      <c r="J7975" s="8" t="n">
        <f aca="false">IF(I7975="Open",DATE(2025,12,31)-F7975,"-")</f>
        <v>6</v>
      </c>
    </row>
    <row r="7976" customFormat="false" ht="15" hidden="false" customHeight="false" outlineLevel="0" collapsed="false">
      <c r="B7976" s="7" t="s">
        <v>22622</v>
      </c>
      <c r="C7976" s="7" t="s">
        <v>8473</v>
      </c>
      <c r="D7976" s="7" t="s">
        <v>288</v>
      </c>
      <c r="E7976" s="7" t="s">
        <v>156</v>
      </c>
      <c r="F7976" s="39" t="n">
        <v>46017</v>
      </c>
      <c r="G7976" s="41" t="n">
        <v>126.48</v>
      </c>
      <c r="H7976" s="6" t="s">
        <v>182</v>
      </c>
      <c r="I7976" s="7" t="s">
        <v>19787</v>
      </c>
      <c r="J7976" s="8" t="n">
        <f aca="false">IF(I7976="Open",DATE(2025,12,31)-F7976,"-")</f>
        <v>5</v>
      </c>
    </row>
    <row r="7977" customFormat="false" ht="15" hidden="false" customHeight="false" outlineLevel="0" collapsed="false">
      <c r="B7977" s="7" t="s">
        <v>22623</v>
      </c>
      <c r="C7977" s="7" t="s">
        <v>8474</v>
      </c>
      <c r="D7977" s="7" t="s">
        <v>291</v>
      </c>
      <c r="E7977" s="7" t="s">
        <v>154</v>
      </c>
      <c r="F7977" s="39" t="n">
        <v>46017</v>
      </c>
      <c r="G7977" s="41" t="n">
        <v>134.62</v>
      </c>
      <c r="H7977" s="6" t="s">
        <v>182</v>
      </c>
      <c r="I7977" s="7" t="s">
        <v>19787</v>
      </c>
      <c r="J7977" s="8" t="n">
        <f aca="false">IF(I7977="Open",DATE(2025,12,31)-F7977,"-")</f>
        <v>5</v>
      </c>
    </row>
    <row r="7978" customFormat="false" ht="15" hidden="false" customHeight="false" outlineLevel="0" collapsed="false">
      <c r="B7978" s="7" t="s">
        <v>22624</v>
      </c>
      <c r="C7978" s="7" t="s">
        <v>8475</v>
      </c>
      <c r="D7978" s="7" t="s">
        <v>293</v>
      </c>
      <c r="E7978" s="7" t="s">
        <v>157</v>
      </c>
      <c r="F7978" s="39" t="n">
        <v>46017</v>
      </c>
      <c r="G7978" s="41" t="n">
        <v>178.2</v>
      </c>
      <c r="H7978" s="6" t="s">
        <v>182</v>
      </c>
      <c r="I7978" s="7" t="s">
        <v>19787</v>
      </c>
      <c r="J7978" s="8" t="n">
        <f aca="false">IF(I7978="Open",DATE(2025,12,31)-F7978,"-")</f>
        <v>5</v>
      </c>
    </row>
    <row r="7979" customFormat="false" ht="15" hidden="false" customHeight="false" outlineLevel="0" collapsed="false">
      <c r="B7979" s="7" t="s">
        <v>22625</v>
      </c>
      <c r="C7979" s="7" t="s">
        <v>8476</v>
      </c>
      <c r="D7979" s="7" t="s">
        <v>301</v>
      </c>
      <c r="E7979" s="7" t="s">
        <v>157</v>
      </c>
      <c r="F7979" s="39" t="n">
        <v>46017</v>
      </c>
      <c r="G7979" s="41" t="n">
        <v>166.65</v>
      </c>
      <c r="H7979" s="6" t="s">
        <v>182</v>
      </c>
      <c r="I7979" s="7" t="s">
        <v>19787</v>
      </c>
      <c r="J7979" s="8" t="n">
        <f aca="false">IF(I7979="Open",DATE(2025,12,31)-F7979,"-")</f>
        <v>5</v>
      </c>
    </row>
    <row r="7980" customFormat="false" ht="15" hidden="false" customHeight="false" outlineLevel="0" collapsed="false">
      <c r="B7980" s="7" t="s">
        <v>22626</v>
      </c>
      <c r="C7980" s="7" t="s">
        <v>8477</v>
      </c>
      <c r="D7980" s="7" t="s">
        <v>305</v>
      </c>
      <c r="E7980" s="7" t="s">
        <v>154</v>
      </c>
      <c r="F7980" s="39" t="n">
        <v>46017</v>
      </c>
      <c r="G7980" s="41" t="n">
        <v>96.19</v>
      </c>
      <c r="H7980" s="6" t="s">
        <v>182</v>
      </c>
      <c r="I7980" s="7" t="s">
        <v>19787</v>
      </c>
      <c r="J7980" s="8" t="n">
        <f aca="false">IF(I7980="Open",DATE(2025,12,31)-F7980,"-")</f>
        <v>5</v>
      </c>
    </row>
    <row r="7981" customFormat="false" ht="15" hidden="false" customHeight="false" outlineLevel="0" collapsed="false">
      <c r="B7981" s="7" t="s">
        <v>22627</v>
      </c>
      <c r="C7981" s="7" t="s">
        <v>8478</v>
      </c>
      <c r="D7981" s="7" t="s">
        <v>307</v>
      </c>
      <c r="E7981" s="7" t="s">
        <v>157</v>
      </c>
      <c r="F7981" s="39" t="n">
        <v>46017</v>
      </c>
      <c r="G7981" s="41" t="n">
        <v>163.35</v>
      </c>
      <c r="H7981" s="6" t="s">
        <v>182</v>
      </c>
      <c r="I7981" s="7" t="s">
        <v>19787</v>
      </c>
      <c r="J7981" s="8" t="n">
        <f aca="false">IF(I7981="Open",DATE(2025,12,31)-F7981,"-")</f>
        <v>5</v>
      </c>
    </row>
    <row r="7982" customFormat="false" ht="15" hidden="false" customHeight="false" outlineLevel="0" collapsed="false">
      <c r="B7982" s="7" t="s">
        <v>22628</v>
      </c>
      <c r="C7982" s="7" t="s">
        <v>8479</v>
      </c>
      <c r="D7982" s="7" t="s">
        <v>309</v>
      </c>
      <c r="E7982" s="7" t="s">
        <v>159</v>
      </c>
      <c r="F7982" s="39" t="n">
        <v>46017</v>
      </c>
      <c r="G7982" s="41" t="n">
        <v>144.45</v>
      </c>
      <c r="H7982" s="6" t="s">
        <v>182</v>
      </c>
      <c r="I7982" s="7" t="s">
        <v>19787</v>
      </c>
      <c r="J7982" s="8" t="n">
        <f aca="false">IF(I7982="Open",DATE(2025,12,31)-F7982,"-")</f>
        <v>5</v>
      </c>
    </row>
    <row r="7983" customFormat="false" ht="15" hidden="false" customHeight="false" outlineLevel="0" collapsed="false">
      <c r="B7983" s="7" t="s">
        <v>22629</v>
      </c>
      <c r="C7983" s="7" t="s">
        <v>8480</v>
      </c>
      <c r="D7983" s="7" t="s">
        <v>315</v>
      </c>
      <c r="E7983" s="7" t="s">
        <v>159</v>
      </c>
      <c r="F7983" s="39" t="n">
        <v>46017</v>
      </c>
      <c r="G7983" s="41" t="n">
        <v>129.6</v>
      </c>
      <c r="H7983" s="6" t="s">
        <v>182</v>
      </c>
      <c r="I7983" s="7" t="s">
        <v>19787</v>
      </c>
      <c r="J7983" s="8" t="n">
        <f aca="false">IF(I7983="Open",DATE(2025,12,31)-F7983,"-")</f>
        <v>5</v>
      </c>
    </row>
    <row r="7984" customFormat="false" ht="15" hidden="false" customHeight="false" outlineLevel="0" collapsed="false">
      <c r="B7984" s="7" t="s">
        <v>22630</v>
      </c>
      <c r="C7984" s="7" t="s">
        <v>8481</v>
      </c>
      <c r="D7984" s="7" t="s">
        <v>319</v>
      </c>
      <c r="E7984" s="7" t="s">
        <v>157</v>
      </c>
      <c r="F7984" s="39" t="n">
        <v>46017</v>
      </c>
      <c r="G7984" s="41" t="n">
        <v>179.85</v>
      </c>
      <c r="H7984" s="6" t="s">
        <v>182</v>
      </c>
      <c r="I7984" s="7" t="s">
        <v>19787</v>
      </c>
      <c r="J7984" s="8" t="n">
        <f aca="false">IF(I7984="Open",DATE(2025,12,31)-F7984,"-")</f>
        <v>5</v>
      </c>
    </row>
    <row r="7985" customFormat="false" ht="15" hidden="false" customHeight="false" outlineLevel="0" collapsed="false">
      <c r="B7985" s="7" t="s">
        <v>22631</v>
      </c>
      <c r="C7985" s="7" t="s">
        <v>8482</v>
      </c>
      <c r="D7985" s="7" t="s">
        <v>321</v>
      </c>
      <c r="E7985" s="7" t="s">
        <v>154</v>
      </c>
      <c r="F7985" s="39" t="n">
        <v>46017</v>
      </c>
      <c r="G7985" s="41" t="n">
        <v>109.5</v>
      </c>
      <c r="H7985" s="6" t="s">
        <v>182</v>
      </c>
      <c r="I7985" s="7" t="s">
        <v>19787</v>
      </c>
      <c r="J7985" s="8" t="n">
        <f aca="false">IF(I7985="Open",DATE(2025,12,31)-F7985,"-")</f>
        <v>5</v>
      </c>
    </row>
    <row r="7986" customFormat="false" ht="15" hidden="false" customHeight="false" outlineLevel="0" collapsed="false">
      <c r="B7986" s="7" t="s">
        <v>22632</v>
      </c>
      <c r="C7986" s="7" t="s">
        <v>8483</v>
      </c>
      <c r="D7986" s="7" t="s">
        <v>323</v>
      </c>
      <c r="E7986" s="7" t="s">
        <v>159</v>
      </c>
      <c r="F7986" s="39" t="n">
        <v>46017</v>
      </c>
      <c r="G7986" s="41" t="n">
        <v>128.25</v>
      </c>
      <c r="H7986" s="6" t="s">
        <v>182</v>
      </c>
      <c r="I7986" s="7" t="s">
        <v>19787</v>
      </c>
      <c r="J7986" s="8" t="n">
        <f aca="false">IF(I7986="Open",DATE(2025,12,31)-F7986,"-")</f>
        <v>5</v>
      </c>
    </row>
    <row r="7987" customFormat="false" ht="15" hidden="false" customHeight="false" outlineLevel="0" collapsed="false">
      <c r="B7987" s="7" t="s">
        <v>22633</v>
      </c>
      <c r="C7987" s="7" t="s">
        <v>8484</v>
      </c>
      <c r="D7987" s="7" t="s">
        <v>327</v>
      </c>
      <c r="E7987" s="7" t="s">
        <v>157</v>
      </c>
      <c r="F7987" s="39" t="n">
        <v>46017</v>
      </c>
      <c r="G7987" s="41" t="n">
        <v>158.4</v>
      </c>
      <c r="H7987" s="6" t="s">
        <v>182</v>
      </c>
      <c r="I7987" s="7" t="s">
        <v>19787</v>
      </c>
      <c r="J7987" s="8" t="n">
        <f aca="false">IF(I7987="Open",DATE(2025,12,31)-F7987,"-")</f>
        <v>5</v>
      </c>
    </row>
    <row r="7988" customFormat="false" ht="15" hidden="false" customHeight="false" outlineLevel="0" collapsed="false">
      <c r="B7988" s="7" t="s">
        <v>22634</v>
      </c>
      <c r="C7988" s="7" t="s">
        <v>8485</v>
      </c>
      <c r="D7988" s="7" t="s">
        <v>329</v>
      </c>
      <c r="E7988" s="7" t="s">
        <v>156</v>
      </c>
      <c r="F7988" s="39" t="n">
        <v>46017</v>
      </c>
      <c r="G7988" s="41" t="n">
        <v>131.24</v>
      </c>
      <c r="H7988" s="6" t="s">
        <v>182</v>
      </c>
      <c r="I7988" s="7" t="s">
        <v>19787</v>
      </c>
      <c r="J7988" s="8" t="n">
        <f aca="false">IF(I7988="Open",DATE(2025,12,31)-F7988,"-")</f>
        <v>5</v>
      </c>
    </row>
    <row r="7989" customFormat="false" ht="15" hidden="false" customHeight="false" outlineLevel="0" collapsed="false">
      <c r="B7989" s="7" t="s">
        <v>22635</v>
      </c>
      <c r="C7989" s="7" t="s">
        <v>8486</v>
      </c>
      <c r="D7989" s="7" t="s">
        <v>333</v>
      </c>
      <c r="E7989" s="7" t="s">
        <v>154</v>
      </c>
      <c r="F7989" s="39" t="n">
        <v>46017</v>
      </c>
      <c r="G7989" s="41" t="n">
        <v>91.95</v>
      </c>
      <c r="H7989" s="6" t="s">
        <v>182</v>
      </c>
      <c r="I7989" s="7" t="s">
        <v>19787</v>
      </c>
      <c r="J7989" s="8" t="n">
        <f aca="false">IF(I7989="Open",DATE(2025,12,31)-F7989,"-")</f>
        <v>5</v>
      </c>
    </row>
    <row r="7990" customFormat="false" ht="15" hidden="false" customHeight="false" outlineLevel="0" collapsed="false">
      <c r="B7990" s="7" t="s">
        <v>22636</v>
      </c>
      <c r="C7990" s="7" t="s">
        <v>8487</v>
      </c>
      <c r="D7990" s="7" t="s">
        <v>335</v>
      </c>
      <c r="E7990" s="7" t="s">
        <v>154</v>
      </c>
      <c r="F7990" s="39" t="n">
        <v>46017</v>
      </c>
      <c r="G7990" s="41" t="n">
        <v>105.2</v>
      </c>
      <c r="H7990" s="6" t="s">
        <v>182</v>
      </c>
      <c r="I7990" s="7" t="s">
        <v>19787</v>
      </c>
      <c r="J7990" s="8" t="n">
        <f aca="false">IF(I7990="Open",DATE(2025,12,31)-F7990,"-")</f>
        <v>5</v>
      </c>
    </row>
    <row r="7991" customFormat="false" ht="15" hidden="false" customHeight="false" outlineLevel="0" collapsed="false">
      <c r="B7991" s="7" t="s">
        <v>22637</v>
      </c>
      <c r="C7991" s="7" t="s">
        <v>8488</v>
      </c>
      <c r="D7991" s="7" t="s">
        <v>339</v>
      </c>
      <c r="E7991" s="7" t="s">
        <v>154</v>
      </c>
      <c r="F7991" s="39" t="n">
        <v>46017</v>
      </c>
      <c r="G7991" s="41" t="n">
        <v>80.56</v>
      </c>
      <c r="H7991" s="6" t="s">
        <v>182</v>
      </c>
      <c r="I7991" s="7" t="s">
        <v>19787</v>
      </c>
      <c r="J7991" s="8" t="n">
        <f aca="false">IF(I7991="Open",DATE(2025,12,31)-F7991,"-")</f>
        <v>5</v>
      </c>
    </row>
    <row r="7992" customFormat="false" ht="15" hidden="false" customHeight="false" outlineLevel="0" collapsed="false">
      <c r="B7992" s="7" t="s">
        <v>22638</v>
      </c>
      <c r="C7992" s="7" t="s">
        <v>8489</v>
      </c>
      <c r="D7992" s="7" t="s">
        <v>345</v>
      </c>
      <c r="E7992" s="7" t="s">
        <v>159</v>
      </c>
      <c r="F7992" s="39" t="n">
        <v>46017</v>
      </c>
      <c r="G7992" s="41" t="n">
        <v>132.3</v>
      </c>
      <c r="H7992" s="6" t="s">
        <v>182</v>
      </c>
      <c r="I7992" s="7" t="s">
        <v>19787</v>
      </c>
      <c r="J7992" s="8" t="n">
        <f aca="false">IF(I7992="Open",DATE(2025,12,31)-F7992,"-")</f>
        <v>5</v>
      </c>
    </row>
    <row r="7993" customFormat="false" ht="15" hidden="false" customHeight="false" outlineLevel="0" collapsed="false">
      <c r="B7993" s="7" t="s">
        <v>22639</v>
      </c>
      <c r="C7993" s="7" t="s">
        <v>8490</v>
      </c>
      <c r="D7993" s="7" t="s">
        <v>349</v>
      </c>
      <c r="E7993" s="7" t="s">
        <v>154</v>
      </c>
      <c r="F7993" s="39" t="n">
        <v>46017</v>
      </c>
      <c r="G7993" s="41" t="n">
        <v>101.28</v>
      </c>
      <c r="H7993" s="6" t="s">
        <v>182</v>
      </c>
      <c r="I7993" s="7" t="s">
        <v>19787</v>
      </c>
      <c r="J7993" s="8" t="n">
        <f aca="false">IF(I7993="Open",DATE(2025,12,31)-F7993,"-")</f>
        <v>5</v>
      </c>
    </row>
    <row r="7994" customFormat="false" ht="15" hidden="false" customHeight="false" outlineLevel="0" collapsed="false">
      <c r="B7994" s="7" t="s">
        <v>22640</v>
      </c>
      <c r="C7994" s="7" t="s">
        <v>8491</v>
      </c>
      <c r="D7994" s="7" t="s">
        <v>353</v>
      </c>
      <c r="E7994" s="7" t="s">
        <v>154</v>
      </c>
      <c r="F7994" s="39" t="n">
        <v>46017</v>
      </c>
      <c r="G7994" s="41" t="n">
        <v>92.75</v>
      </c>
      <c r="H7994" s="6" t="s">
        <v>182</v>
      </c>
      <c r="I7994" s="7" t="s">
        <v>19787</v>
      </c>
      <c r="J7994" s="8" t="n">
        <f aca="false">IF(I7994="Open",DATE(2025,12,31)-F7994,"-")</f>
        <v>5</v>
      </c>
    </row>
    <row r="7995" customFormat="false" ht="15" hidden="false" customHeight="false" outlineLevel="0" collapsed="false">
      <c r="B7995" s="7" t="s">
        <v>22641</v>
      </c>
      <c r="C7995" s="7" t="s">
        <v>8492</v>
      </c>
      <c r="D7995" s="7" t="s">
        <v>355</v>
      </c>
      <c r="E7995" s="7" t="s">
        <v>154</v>
      </c>
      <c r="F7995" s="39" t="n">
        <v>46017</v>
      </c>
      <c r="G7995" s="41" t="n">
        <v>88.25</v>
      </c>
      <c r="H7995" s="6" t="s">
        <v>182</v>
      </c>
      <c r="I7995" s="7" t="s">
        <v>19787</v>
      </c>
      <c r="J7995" s="8" t="n">
        <f aca="false">IF(I7995="Open",DATE(2025,12,31)-F7995,"-")</f>
        <v>5</v>
      </c>
    </row>
    <row r="7996" customFormat="false" ht="15" hidden="false" customHeight="false" outlineLevel="0" collapsed="false">
      <c r="B7996" s="7" t="s">
        <v>22642</v>
      </c>
      <c r="C7996" s="7" t="s">
        <v>8493</v>
      </c>
      <c r="D7996" s="7" t="s">
        <v>357</v>
      </c>
      <c r="E7996" s="7" t="s">
        <v>154</v>
      </c>
      <c r="F7996" s="39" t="n">
        <v>46017</v>
      </c>
      <c r="G7996" s="41" t="n">
        <v>87.66</v>
      </c>
      <c r="H7996" s="6" t="s">
        <v>182</v>
      </c>
      <c r="I7996" s="7" t="s">
        <v>19787</v>
      </c>
      <c r="J7996" s="8" t="n">
        <f aca="false">IF(I7996="Open",DATE(2025,12,31)-F7996,"-")</f>
        <v>5</v>
      </c>
    </row>
    <row r="7997" customFormat="false" ht="15" hidden="false" customHeight="false" outlineLevel="0" collapsed="false">
      <c r="B7997" s="7" t="s">
        <v>22643</v>
      </c>
      <c r="C7997" s="7" t="s">
        <v>8494</v>
      </c>
      <c r="D7997" s="7" t="s">
        <v>359</v>
      </c>
      <c r="E7997" s="7" t="s">
        <v>156</v>
      </c>
      <c r="F7997" s="39" t="n">
        <v>46017</v>
      </c>
      <c r="G7997" s="41" t="n">
        <v>132.26</v>
      </c>
      <c r="H7997" s="6" t="s">
        <v>182</v>
      </c>
      <c r="I7997" s="7" t="s">
        <v>19787</v>
      </c>
      <c r="J7997" s="8" t="n">
        <f aca="false">IF(I7997="Open",DATE(2025,12,31)-F7997,"-")</f>
        <v>5</v>
      </c>
    </row>
    <row r="7998" customFormat="false" ht="15" hidden="false" customHeight="false" outlineLevel="0" collapsed="false">
      <c r="B7998" s="7" t="s">
        <v>22644</v>
      </c>
      <c r="C7998" s="7" t="s">
        <v>8495</v>
      </c>
      <c r="D7998" s="7" t="s">
        <v>361</v>
      </c>
      <c r="E7998" s="7" t="s">
        <v>157</v>
      </c>
      <c r="F7998" s="39" t="n">
        <v>46017</v>
      </c>
      <c r="G7998" s="41" t="n">
        <v>168.3</v>
      </c>
      <c r="H7998" s="6" t="s">
        <v>182</v>
      </c>
      <c r="I7998" s="7" t="s">
        <v>19787</v>
      </c>
      <c r="J7998" s="8" t="n">
        <f aca="false">IF(I7998="Open",DATE(2025,12,31)-F7998,"-")</f>
        <v>5</v>
      </c>
    </row>
    <row r="7999" customFormat="false" ht="15" hidden="false" customHeight="false" outlineLevel="0" collapsed="false">
      <c r="B7999" s="7" t="s">
        <v>22645</v>
      </c>
      <c r="C7999" s="7" t="s">
        <v>8496</v>
      </c>
      <c r="D7999" s="7" t="s">
        <v>365</v>
      </c>
      <c r="E7999" s="7" t="s">
        <v>154</v>
      </c>
      <c r="F7999" s="39" t="n">
        <v>46017</v>
      </c>
      <c r="G7999" s="41" t="n">
        <v>100.44</v>
      </c>
      <c r="H7999" s="6" t="s">
        <v>182</v>
      </c>
      <c r="I7999" s="7" t="s">
        <v>19787</v>
      </c>
      <c r="J7999" s="8" t="n">
        <f aca="false">IF(I7999="Open",DATE(2025,12,31)-F7999,"-")</f>
        <v>5</v>
      </c>
    </row>
    <row r="8000" customFormat="false" ht="15" hidden="false" customHeight="false" outlineLevel="0" collapsed="false">
      <c r="B8000" s="7" t="s">
        <v>22646</v>
      </c>
      <c r="C8000" s="7" t="s">
        <v>8497</v>
      </c>
      <c r="D8000" s="7" t="s">
        <v>369</v>
      </c>
      <c r="E8000" s="7" t="s">
        <v>159</v>
      </c>
      <c r="F8000" s="39" t="n">
        <v>46017</v>
      </c>
      <c r="G8000" s="41" t="n">
        <v>122.85</v>
      </c>
      <c r="H8000" s="6" t="s">
        <v>182</v>
      </c>
      <c r="I8000" s="7" t="s">
        <v>19787</v>
      </c>
      <c r="J8000" s="8" t="n">
        <f aca="false">IF(I8000="Open",DATE(2025,12,31)-F8000,"-")</f>
        <v>5</v>
      </c>
    </row>
    <row r="8001" customFormat="false" ht="15" hidden="false" customHeight="false" outlineLevel="0" collapsed="false">
      <c r="B8001" s="7" t="s">
        <v>22647</v>
      </c>
      <c r="C8001" s="7" t="s">
        <v>8498</v>
      </c>
      <c r="D8001" s="7" t="s">
        <v>371</v>
      </c>
      <c r="E8001" s="7" t="s">
        <v>154</v>
      </c>
      <c r="F8001" s="39" t="n">
        <v>46017</v>
      </c>
      <c r="G8001" s="41" t="n">
        <v>123.75</v>
      </c>
      <c r="H8001" s="6" t="s">
        <v>182</v>
      </c>
      <c r="I8001" s="7" t="s">
        <v>19787</v>
      </c>
      <c r="J8001" s="8" t="n">
        <f aca="false">IF(I8001="Open",DATE(2025,12,31)-F8001,"-")</f>
        <v>5</v>
      </c>
    </row>
    <row r="8002" customFormat="false" ht="15" hidden="false" customHeight="false" outlineLevel="0" collapsed="false">
      <c r="B8002" s="7" t="s">
        <v>22648</v>
      </c>
      <c r="C8002" s="7" t="s">
        <v>8499</v>
      </c>
      <c r="D8002" s="7" t="s">
        <v>379</v>
      </c>
      <c r="E8002" s="7" t="s">
        <v>156</v>
      </c>
      <c r="F8002" s="39" t="n">
        <v>46017</v>
      </c>
      <c r="G8002" s="41" t="n">
        <v>155.38</v>
      </c>
      <c r="H8002" s="6" t="s">
        <v>182</v>
      </c>
      <c r="I8002" s="7" t="s">
        <v>19787</v>
      </c>
      <c r="J8002" s="8" t="n">
        <f aca="false">IF(I8002="Open",DATE(2025,12,31)-F8002,"-")</f>
        <v>5</v>
      </c>
    </row>
    <row r="8003" customFormat="false" ht="15" hidden="false" customHeight="false" outlineLevel="0" collapsed="false">
      <c r="B8003" s="7" t="s">
        <v>22649</v>
      </c>
      <c r="C8003" s="7" t="s">
        <v>8500</v>
      </c>
      <c r="D8003" s="7" t="s">
        <v>381</v>
      </c>
      <c r="E8003" s="7" t="s">
        <v>157</v>
      </c>
      <c r="F8003" s="39" t="n">
        <v>46017</v>
      </c>
      <c r="G8003" s="41" t="n">
        <v>173.25</v>
      </c>
      <c r="H8003" s="6" t="s">
        <v>182</v>
      </c>
      <c r="I8003" s="7" t="s">
        <v>19787</v>
      </c>
      <c r="J8003" s="8" t="n">
        <f aca="false">IF(I8003="Open",DATE(2025,12,31)-F8003,"-")</f>
        <v>5</v>
      </c>
    </row>
    <row r="8004" customFormat="false" ht="15" hidden="false" customHeight="false" outlineLevel="0" collapsed="false">
      <c r="B8004" s="7" t="s">
        <v>22650</v>
      </c>
      <c r="C8004" s="7" t="s">
        <v>8501</v>
      </c>
      <c r="D8004" s="7" t="s">
        <v>383</v>
      </c>
      <c r="E8004" s="7" t="s">
        <v>157</v>
      </c>
      <c r="F8004" s="39" t="n">
        <v>46017</v>
      </c>
      <c r="G8004" s="41" t="n">
        <v>169.95</v>
      </c>
      <c r="H8004" s="6" t="s">
        <v>182</v>
      </c>
      <c r="I8004" s="7" t="s">
        <v>19787</v>
      </c>
      <c r="J8004" s="8" t="n">
        <f aca="false">IF(I8004="Open",DATE(2025,12,31)-F8004,"-")</f>
        <v>5</v>
      </c>
    </row>
    <row r="8005" customFormat="false" ht="15" hidden="false" customHeight="false" outlineLevel="0" collapsed="false">
      <c r="B8005" s="7" t="s">
        <v>22651</v>
      </c>
      <c r="C8005" s="7" t="s">
        <v>8502</v>
      </c>
      <c r="D8005" s="7" t="s">
        <v>385</v>
      </c>
      <c r="E8005" s="7" t="s">
        <v>156</v>
      </c>
      <c r="F8005" s="39" t="n">
        <v>46017</v>
      </c>
      <c r="G8005" s="41" t="n">
        <v>125.8</v>
      </c>
      <c r="H8005" s="39" t="n">
        <v>46022</v>
      </c>
      <c r="I8005" s="7" t="s">
        <v>14651</v>
      </c>
      <c r="J8005" s="8" t="str">
        <f aca="false">IF(I8005="Open",DATE(2025,12,31)-F8005,"-")</f>
        <v>-</v>
      </c>
    </row>
    <row r="8006" customFormat="false" ht="15" hidden="false" customHeight="false" outlineLevel="0" collapsed="false">
      <c r="B8006" s="7" t="s">
        <v>22652</v>
      </c>
      <c r="C8006" s="7" t="s">
        <v>8503</v>
      </c>
      <c r="D8006" s="7" t="s">
        <v>387</v>
      </c>
      <c r="E8006" s="7" t="s">
        <v>154</v>
      </c>
      <c r="F8006" s="39" t="n">
        <v>46017</v>
      </c>
      <c r="G8006" s="41" t="n">
        <v>111.3</v>
      </c>
      <c r="H8006" s="6" t="s">
        <v>182</v>
      </c>
      <c r="I8006" s="7" t="s">
        <v>19787</v>
      </c>
      <c r="J8006" s="8" t="n">
        <f aca="false">IF(I8006="Open",DATE(2025,12,31)-F8006,"-")</f>
        <v>5</v>
      </c>
    </row>
    <row r="8007" customFormat="false" ht="15" hidden="false" customHeight="false" outlineLevel="0" collapsed="false">
      <c r="B8007" s="7" t="s">
        <v>22653</v>
      </c>
      <c r="C8007" s="7" t="s">
        <v>8504</v>
      </c>
      <c r="D8007" s="7" t="s">
        <v>389</v>
      </c>
      <c r="E8007" s="7" t="s">
        <v>154</v>
      </c>
      <c r="F8007" s="39" t="n">
        <v>46017</v>
      </c>
      <c r="G8007" s="41" t="n">
        <v>98.84</v>
      </c>
      <c r="H8007" s="6" t="s">
        <v>182</v>
      </c>
      <c r="I8007" s="7" t="s">
        <v>19787</v>
      </c>
      <c r="J8007" s="8" t="n">
        <f aca="false">IF(I8007="Open",DATE(2025,12,31)-F8007,"-")</f>
        <v>5</v>
      </c>
    </row>
    <row r="8008" customFormat="false" ht="15" hidden="false" customHeight="false" outlineLevel="0" collapsed="false">
      <c r="B8008" s="7" t="s">
        <v>22654</v>
      </c>
      <c r="C8008" s="7" t="s">
        <v>8505</v>
      </c>
      <c r="D8008" s="7" t="s">
        <v>391</v>
      </c>
      <c r="E8008" s="7" t="s">
        <v>156</v>
      </c>
      <c r="F8008" s="39" t="n">
        <v>46017</v>
      </c>
      <c r="G8008" s="41" t="n">
        <v>137.7</v>
      </c>
      <c r="H8008" s="6" t="s">
        <v>182</v>
      </c>
      <c r="I8008" s="7" t="s">
        <v>19787</v>
      </c>
      <c r="J8008" s="8" t="n">
        <f aca="false">IF(I8008="Open",DATE(2025,12,31)-F8008,"-")</f>
        <v>5</v>
      </c>
    </row>
    <row r="8009" customFormat="false" ht="15" hidden="false" customHeight="false" outlineLevel="0" collapsed="false">
      <c r="B8009" s="7" t="s">
        <v>22655</v>
      </c>
      <c r="C8009" s="7" t="s">
        <v>8506</v>
      </c>
      <c r="D8009" s="7" t="s">
        <v>395</v>
      </c>
      <c r="E8009" s="7" t="s">
        <v>156</v>
      </c>
      <c r="F8009" s="39" t="n">
        <v>46017</v>
      </c>
      <c r="G8009" s="41" t="n">
        <v>140.08</v>
      </c>
      <c r="H8009" s="6" t="s">
        <v>182</v>
      </c>
      <c r="I8009" s="7" t="s">
        <v>19787</v>
      </c>
      <c r="J8009" s="8" t="n">
        <f aca="false">IF(I8009="Open",DATE(2025,12,31)-F8009,"-")</f>
        <v>5</v>
      </c>
    </row>
    <row r="8010" customFormat="false" ht="15" hidden="false" customHeight="false" outlineLevel="0" collapsed="false">
      <c r="B8010" s="7" t="s">
        <v>22656</v>
      </c>
      <c r="C8010" s="7" t="s">
        <v>8507</v>
      </c>
      <c r="D8010" s="7" t="s">
        <v>397</v>
      </c>
      <c r="E8010" s="7" t="s">
        <v>159</v>
      </c>
      <c r="F8010" s="39" t="n">
        <v>46017</v>
      </c>
      <c r="G8010" s="41" t="n">
        <v>129.33</v>
      </c>
      <c r="H8010" s="6" t="s">
        <v>182</v>
      </c>
      <c r="I8010" s="7" t="s">
        <v>19787</v>
      </c>
      <c r="J8010" s="8" t="n">
        <f aca="false">IF(I8010="Open",DATE(2025,12,31)-F8010,"-")</f>
        <v>5</v>
      </c>
    </row>
    <row r="8011" customFormat="false" ht="15" hidden="false" customHeight="false" outlineLevel="0" collapsed="false">
      <c r="B8011" s="7" t="s">
        <v>22657</v>
      </c>
      <c r="C8011" s="7" t="s">
        <v>8508</v>
      </c>
      <c r="D8011" s="7" t="s">
        <v>399</v>
      </c>
      <c r="E8011" s="7" t="s">
        <v>154</v>
      </c>
      <c r="F8011" s="39" t="n">
        <v>46017</v>
      </c>
      <c r="G8011" s="41" t="n">
        <v>79.77</v>
      </c>
      <c r="H8011" s="6" t="s">
        <v>182</v>
      </c>
      <c r="I8011" s="7" t="s">
        <v>19787</v>
      </c>
      <c r="J8011" s="8" t="n">
        <f aca="false">IF(I8011="Open",DATE(2025,12,31)-F8011,"-")</f>
        <v>5</v>
      </c>
    </row>
    <row r="8012" customFormat="false" ht="15" hidden="false" customHeight="false" outlineLevel="0" collapsed="false">
      <c r="B8012" s="7" t="s">
        <v>22658</v>
      </c>
      <c r="C8012" s="7" t="s">
        <v>8509</v>
      </c>
      <c r="D8012" s="7" t="s">
        <v>401</v>
      </c>
      <c r="E8012" s="7" t="s">
        <v>156</v>
      </c>
      <c r="F8012" s="39" t="n">
        <v>46017</v>
      </c>
      <c r="G8012" s="41" t="n">
        <v>124.44</v>
      </c>
      <c r="H8012" s="6" t="s">
        <v>182</v>
      </c>
      <c r="I8012" s="7" t="s">
        <v>19787</v>
      </c>
      <c r="J8012" s="8" t="n">
        <f aca="false">IF(I8012="Open",DATE(2025,12,31)-F8012,"-")</f>
        <v>5</v>
      </c>
    </row>
    <row r="8013" customFormat="false" ht="15" hidden="false" customHeight="false" outlineLevel="0" collapsed="false">
      <c r="B8013" s="7" t="s">
        <v>22659</v>
      </c>
      <c r="C8013" s="7" t="s">
        <v>8510</v>
      </c>
      <c r="D8013" s="7" t="s">
        <v>403</v>
      </c>
      <c r="E8013" s="7" t="s">
        <v>156</v>
      </c>
      <c r="F8013" s="39" t="n">
        <v>46017</v>
      </c>
      <c r="G8013" s="41" t="n">
        <v>134.3</v>
      </c>
      <c r="H8013" s="6" t="s">
        <v>182</v>
      </c>
      <c r="I8013" s="7" t="s">
        <v>19787</v>
      </c>
      <c r="J8013" s="8" t="n">
        <f aca="false">IF(I8013="Open",DATE(2025,12,31)-F8013,"-")</f>
        <v>5</v>
      </c>
    </row>
    <row r="8014" customFormat="false" ht="15" hidden="false" customHeight="false" outlineLevel="0" collapsed="false">
      <c r="B8014" s="7" t="s">
        <v>22660</v>
      </c>
      <c r="C8014" s="7" t="s">
        <v>8511</v>
      </c>
      <c r="D8014" s="7" t="s">
        <v>407</v>
      </c>
      <c r="E8014" s="7" t="s">
        <v>159</v>
      </c>
      <c r="F8014" s="39" t="n">
        <v>46017</v>
      </c>
      <c r="G8014" s="41" t="n">
        <v>136.35</v>
      </c>
      <c r="H8014" s="6" t="s">
        <v>182</v>
      </c>
      <c r="I8014" s="7" t="s">
        <v>19787</v>
      </c>
      <c r="J8014" s="8" t="n">
        <f aca="false">IF(I8014="Open",DATE(2025,12,31)-F8014,"-")</f>
        <v>5</v>
      </c>
    </row>
    <row r="8015" customFormat="false" ht="15" hidden="false" customHeight="false" outlineLevel="0" collapsed="false">
      <c r="B8015" s="7" t="s">
        <v>22661</v>
      </c>
      <c r="C8015" s="7" t="s">
        <v>8512</v>
      </c>
      <c r="D8015" s="7" t="s">
        <v>409</v>
      </c>
      <c r="E8015" s="7" t="s">
        <v>154</v>
      </c>
      <c r="F8015" s="39" t="n">
        <v>46017</v>
      </c>
      <c r="G8015" s="41" t="n">
        <v>81.35</v>
      </c>
      <c r="H8015" s="6" t="s">
        <v>182</v>
      </c>
      <c r="I8015" s="7" t="s">
        <v>19787</v>
      </c>
      <c r="J8015" s="8" t="n">
        <f aca="false">IF(I8015="Open",DATE(2025,12,31)-F8015,"-")</f>
        <v>5</v>
      </c>
    </row>
    <row r="8016" customFormat="false" ht="15" hidden="false" customHeight="false" outlineLevel="0" collapsed="false">
      <c r="B8016" s="7" t="s">
        <v>22662</v>
      </c>
      <c r="C8016" s="7" t="s">
        <v>8513</v>
      </c>
      <c r="D8016" s="7" t="s">
        <v>288</v>
      </c>
      <c r="E8016" s="7" t="s">
        <v>156</v>
      </c>
      <c r="F8016" s="39" t="n">
        <v>46018</v>
      </c>
      <c r="G8016" s="41" t="n">
        <v>138.38</v>
      </c>
      <c r="H8016" s="6" t="s">
        <v>182</v>
      </c>
      <c r="I8016" s="7" t="s">
        <v>19787</v>
      </c>
      <c r="J8016" s="8" t="n">
        <f aca="false">IF(I8016="Open",DATE(2025,12,31)-F8016,"-")</f>
        <v>4</v>
      </c>
    </row>
    <row r="8017" customFormat="false" ht="15" hidden="false" customHeight="false" outlineLevel="0" collapsed="false">
      <c r="B8017" s="7" t="s">
        <v>22663</v>
      </c>
      <c r="C8017" s="7" t="s">
        <v>8514</v>
      </c>
      <c r="D8017" s="7" t="s">
        <v>321</v>
      </c>
      <c r="E8017" s="7" t="s">
        <v>154</v>
      </c>
      <c r="F8017" s="39" t="n">
        <v>46018</v>
      </c>
      <c r="G8017" s="41" t="n">
        <v>104.68</v>
      </c>
      <c r="H8017" s="6" t="s">
        <v>182</v>
      </c>
      <c r="I8017" s="7" t="s">
        <v>19787</v>
      </c>
      <c r="J8017" s="8" t="n">
        <f aca="false">IF(I8017="Open",DATE(2025,12,31)-F8017,"-")</f>
        <v>4</v>
      </c>
    </row>
    <row r="8018" customFormat="false" ht="15" hidden="false" customHeight="false" outlineLevel="0" collapsed="false">
      <c r="B8018" s="7" t="s">
        <v>22664</v>
      </c>
      <c r="C8018" s="7" t="s">
        <v>8515</v>
      </c>
      <c r="D8018" s="7" t="s">
        <v>359</v>
      </c>
      <c r="E8018" s="7" t="s">
        <v>156</v>
      </c>
      <c r="F8018" s="39" t="n">
        <v>46018</v>
      </c>
      <c r="G8018" s="41" t="n">
        <v>144.84</v>
      </c>
      <c r="H8018" s="6" t="s">
        <v>182</v>
      </c>
      <c r="I8018" s="7" t="s">
        <v>19787</v>
      </c>
      <c r="J8018" s="8" t="n">
        <f aca="false">IF(I8018="Open",DATE(2025,12,31)-F8018,"-")</f>
        <v>4</v>
      </c>
    </row>
    <row r="8019" customFormat="false" ht="15" hidden="false" customHeight="false" outlineLevel="0" collapsed="false">
      <c r="B8019" s="7" t="s">
        <v>22665</v>
      </c>
      <c r="C8019" s="7" t="s">
        <v>8516</v>
      </c>
      <c r="D8019" s="7" t="s">
        <v>387</v>
      </c>
      <c r="E8019" s="7" t="s">
        <v>154</v>
      </c>
      <c r="F8019" s="39" t="n">
        <v>46018</v>
      </c>
      <c r="G8019" s="41" t="n">
        <v>98.31</v>
      </c>
      <c r="H8019" s="6" t="s">
        <v>182</v>
      </c>
      <c r="I8019" s="7" t="s">
        <v>19787</v>
      </c>
      <c r="J8019" s="8" t="n">
        <f aca="false">IF(I8019="Open",DATE(2025,12,31)-F8019,"-")</f>
        <v>4</v>
      </c>
    </row>
    <row r="8020" customFormat="false" ht="15" hidden="false" customHeight="false" outlineLevel="0" collapsed="false">
      <c r="B8020" s="7" t="s">
        <v>22666</v>
      </c>
      <c r="C8020" s="7" t="s">
        <v>8517</v>
      </c>
      <c r="D8020" s="7" t="s">
        <v>391</v>
      </c>
      <c r="E8020" s="7" t="s">
        <v>156</v>
      </c>
      <c r="F8020" s="39" t="n">
        <v>46018</v>
      </c>
      <c r="G8020" s="41" t="n">
        <v>133.28</v>
      </c>
      <c r="H8020" s="6" t="s">
        <v>182</v>
      </c>
      <c r="I8020" s="7" t="s">
        <v>19787</v>
      </c>
      <c r="J8020" s="8" t="n">
        <f aca="false">IF(I8020="Open",DATE(2025,12,31)-F8020,"-")</f>
        <v>4</v>
      </c>
    </row>
    <row r="8021" customFormat="false" ht="15" hidden="false" customHeight="false" outlineLevel="0" collapsed="false">
      <c r="B8021" s="7" t="s">
        <v>22667</v>
      </c>
      <c r="C8021" s="7" t="s">
        <v>8518</v>
      </c>
      <c r="D8021" s="7" t="s">
        <v>395</v>
      </c>
      <c r="E8021" s="7" t="s">
        <v>156</v>
      </c>
      <c r="F8021" s="39" t="n">
        <v>46018</v>
      </c>
      <c r="G8021" s="41" t="n">
        <v>139.4</v>
      </c>
      <c r="H8021" s="6" t="s">
        <v>182</v>
      </c>
      <c r="I8021" s="7" t="s">
        <v>19787</v>
      </c>
      <c r="J8021" s="8" t="n">
        <f aca="false">IF(I8021="Open",DATE(2025,12,31)-F8021,"-")</f>
        <v>4</v>
      </c>
    </row>
    <row r="8022" customFormat="false" ht="15" hidden="false" customHeight="false" outlineLevel="0" collapsed="false">
      <c r="B8022" s="7" t="s">
        <v>22668</v>
      </c>
      <c r="C8022" s="7" t="s">
        <v>8519</v>
      </c>
      <c r="D8022" s="7" t="s">
        <v>401</v>
      </c>
      <c r="E8022" s="7" t="s">
        <v>156</v>
      </c>
      <c r="F8022" s="39" t="n">
        <v>46018</v>
      </c>
      <c r="G8022" s="41" t="n">
        <v>126.48</v>
      </c>
      <c r="H8022" s="6" t="s">
        <v>182</v>
      </c>
      <c r="I8022" s="7" t="s">
        <v>19787</v>
      </c>
      <c r="J8022" s="8" t="n">
        <f aca="false">IF(I8022="Open",DATE(2025,12,31)-F8022,"-")</f>
        <v>4</v>
      </c>
    </row>
    <row r="8023" customFormat="false" ht="15" hidden="false" customHeight="false" outlineLevel="0" collapsed="false">
      <c r="B8023" s="7" t="s">
        <v>22669</v>
      </c>
      <c r="C8023" s="7" t="s">
        <v>8520</v>
      </c>
      <c r="D8023" s="7" t="s">
        <v>288</v>
      </c>
      <c r="E8023" s="7" t="s">
        <v>156</v>
      </c>
      <c r="F8023" s="39" t="n">
        <v>46019</v>
      </c>
      <c r="G8023" s="41" t="n">
        <v>133.62</v>
      </c>
      <c r="H8023" s="6" t="s">
        <v>182</v>
      </c>
      <c r="I8023" s="7" t="s">
        <v>19787</v>
      </c>
      <c r="J8023" s="8" t="n">
        <f aca="false">IF(I8023="Open",DATE(2025,12,31)-F8023,"-")</f>
        <v>3</v>
      </c>
    </row>
    <row r="8024" customFormat="false" ht="15" hidden="false" customHeight="false" outlineLevel="0" collapsed="false">
      <c r="B8024" s="7" t="s">
        <v>22670</v>
      </c>
      <c r="C8024" s="7" t="s">
        <v>8521</v>
      </c>
      <c r="D8024" s="7" t="s">
        <v>321</v>
      </c>
      <c r="E8024" s="7" t="s">
        <v>154</v>
      </c>
      <c r="F8024" s="39" t="n">
        <v>46019</v>
      </c>
      <c r="G8024" s="41" t="n">
        <v>106</v>
      </c>
      <c r="H8024" s="6" t="s">
        <v>182</v>
      </c>
      <c r="I8024" s="7" t="s">
        <v>19787</v>
      </c>
      <c r="J8024" s="8" t="n">
        <f aca="false">IF(I8024="Open",DATE(2025,12,31)-F8024,"-")</f>
        <v>3</v>
      </c>
    </row>
    <row r="8025" customFormat="false" ht="15" hidden="false" customHeight="false" outlineLevel="0" collapsed="false">
      <c r="B8025" s="7" t="s">
        <v>22671</v>
      </c>
      <c r="C8025" s="7" t="s">
        <v>8522</v>
      </c>
      <c r="D8025" s="7" t="s">
        <v>359</v>
      </c>
      <c r="E8025" s="7" t="s">
        <v>156</v>
      </c>
      <c r="F8025" s="39" t="n">
        <v>46019</v>
      </c>
      <c r="G8025" s="41" t="n">
        <v>124.78</v>
      </c>
      <c r="H8025" s="6" t="s">
        <v>182</v>
      </c>
      <c r="I8025" s="7" t="s">
        <v>19787</v>
      </c>
      <c r="J8025" s="8" t="n">
        <f aca="false">IF(I8025="Open",DATE(2025,12,31)-F8025,"-")</f>
        <v>3</v>
      </c>
    </row>
    <row r="8026" customFormat="false" ht="15" hidden="false" customHeight="false" outlineLevel="0" collapsed="false">
      <c r="B8026" s="7" t="s">
        <v>22672</v>
      </c>
      <c r="C8026" s="7" t="s">
        <v>8523</v>
      </c>
      <c r="D8026" s="7" t="s">
        <v>387</v>
      </c>
      <c r="E8026" s="7" t="s">
        <v>154</v>
      </c>
      <c r="F8026" s="39" t="n">
        <v>46019</v>
      </c>
      <c r="G8026" s="41" t="n">
        <v>110.77</v>
      </c>
      <c r="H8026" s="6" t="s">
        <v>182</v>
      </c>
      <c r="I8026" s="7" t="s">
        <v>19787</v>
      </c>
      <c r="J8026" s="8" t="n">
        <f aca="false">IF(I8026="Open",DATE(2025,12,31)-F8026,"-")</f>
        <v>3</v>
      </c>
    </row>
    <row r="8027" customFormat="false" ht="15" hidden="false" customHeight="false" outlineLevel="0" collapsed="false">
      <c r="B8027" s="7" t="s">
        <v>22673</v>
      </c>
      <c r="C8027" s="7" t="s">
        <v>8524</v>
      </c>
      <c r="D8027" s="7" t="s">
        <v>391</v>
      </c>
      <c r="E8027" s="7" t="s">
        <v>156</v>
      </c>
      <c r="F8027" s="39" t="n">
        <v>46019</v>
      </c>
      <c r="G8027" s="41" t="n">
        <v>140.42</v>
      </c>
      <c r="H8027" s="6" t="s">
        <v>182</v>
      </c>
      <c r="I8027" s="7" t="s">
        <v>19787</v>
      </c>
      <c r="J8027" s="8" t="n">
        <f aca="false">IF(I8027="Open",DATE(2025,12,31)-F8027,"-")</f>
        <v>3</v>
      </c>
    </row>
    <row r="8028" customFormat="false" ht="15" hidden="false" customHeight="false" outlineLevel="0" collapsed="false">
      <c r="B8028" s="7" t="s">
        <v>22674</v>
      </c>
      <c r="C8028" s="7" t="s">
        <v>8525</v>
      </c>
      <c r="D8028" s="7" t="s">
        <v>395</v>
      </c>
      <c r="E8028" s="7" t="s">
        <v>156</v>
      </c>
      <c r="F8028" s="39" t="n">
        <v>46019</v>
      </c>
      <c r="G8028" s="41" t="n">
        <v>140.76</v>
      </c>
      <c r="H8028" s="6" t="s">
        <v>182</v>
      </c>
      <c r="I8028" s="7" t="s">
        <v>19787</v>
      </c>
      <c r="J8028" s="8" t="n">
        <f aca="false">IF(I8028="Open",DATE(2025,12,31)-F8028,"-")</f>
        <v>3</v>
      </c>
    </row>
    <row r="8029" customFormat="false" ht="15" hidden="false" customHeight="false" outlineLevel="0" collapsed="false">
      <c r="B8029" s="7" t="s">
        <v>22675</v>
      </c>
      <c r="C8029" s="7" t="s">
        <v>8526</v>
      </c>
      <c r="D8029" s="7" t="s">
        <v>401</v>
      </c>
      <c r="E8029" s="7" t="s">
        <v>156</v>
      </c>
      <c r="F8029" s="39" t="n">
        <v>46019</v>
      </c>
      <c r="G8029" s="41" t="n">
        <v>137.36</v>
      </c>
      <c r="H8029" s="6" t="s">
        <v>182</v>
      </c>
      <c r="I8029" s="7" t="s">
        <v>19787</v>
      </c>
      <c r="J8029" s="8" t="n">
        <f aca="false">IF(I8029="Open",DATE(2025,12,31)-F8029,"-")</f>
        <v>3</v>
      </c>
    </row>
    <row r="8030" customFormat="false" ht="15" hidden="false" customHeight="false" outlineLevel="0" collapsed="false">
      <c r="B8030" s="7" t="s">
        <v>22676</v>
      </c>
      <c r="C8030" s="7" t="s">
        <v>8527</v>
      </c>
      <c r="D8030" s="7" t="s">
        <v>288</v>
      </c>
      <c r="E8030" s="7" t="s">
        <v>156</v>
      </c>
      <c r="F8030" s="39" t="n">
        <v>46020</v>
      </c>
      <c r="G8030" s="41" t="n">
        <v>127.5</v>
      </c>
      <c r="H8030" s="6" t="s">
        <v>182</v>
      </c>
      <c r="I8030" s="7" t="s">
        <v>19787</v>
      </c>
      <c r="J8030" s="8" t="n">
        <f aca="false">IF(I8030="Open",DATE(2025,12,31)-F8030,"-")</f>
        <v>2</v>
      </c>
    </row>
    <row r="8031" customFormat="false" ht="15" hidden="false" customHeight="false" outlineLevel="0" collapsed="false">
      <c r="B8031" s="7" t="s">
        <v>22677</v>
      </c>
      <c r="C8031" s="7" t="s">
        <v>8528</v>
      </c>
      <c r="D8031" s="7" t="s">
        <v>291</v>
      </c>
      <c r="E8031" s="7" t="s">
        <v>154</v>
      </c>
      <c r="F8031" s="39" t="n">
        <v>46020</v>
      </c>
      <c r="G8031" s="41" t="n">
        <v>123.23</v>
      </c>
      <c r="H8031" s="6" t="s">
        <v>182</v>
      </c>
      <c r="I8031" s="7" t="s">
        <v>19787</v>
      </c>
      <c r="J8031" s="8" t="n">
        <f aca="false">IF(I8031="Open",DATE(2025,12,31)-F8031,"-")</f>
        <v>2</v>
      </c>
    </row>
    <row r="8032" customFormat="false" ht="15" hidden="false" customHeight="false" outlineLevel="0" collapsed="false">
      <c r="B8032" s="7" t="s">
        <v>22678</v>
      </c>
      <c r="C8032" s="7" t="s">
        <v>8529</v>
      </c>
      <c r="D8032" s="7" t="s">
        <v>295</v>
      </c>
      <c r="E8032" s="7" t="s">
        <v>154</v>
      </c>
      <c r="F8032" s="39" t="n">
        <v>46020</v>
      </c>
      <c r="G8032" s="41" t="n">
        <v>103.88</v>
      </c>
      <c r="H8032" s="6" t="s">
        <v>182</v>
      </c>
      <c r="I8032" s="7" t="s">
        <v>19787</v>
      </c>
      <c r="J8032" s="8" t="n">
        <f aca="false">IF(I8032="Open",DATE(2025,12,31)-F8032,"-")</f>
        <v>2</v>
      </c>
    </row>
    <row r="8033" customFormat="false" ht="15" hidden="false" customHeight="false" outlineLevel="0" collapsed="false">
      <c r="B8033" s="7" t="s">
        <v>22679</v>
      </c>
      <c r="C8033" s="7" t="s">
        <v>8530</v>
      </c>
      <c r="D8033" s="7" t="s">
        <v>297</v>
      </c>
      <c r="E8033" s="7" t="s">
        <v>156</v>
      </c>
      <c r="F8033" s="39" t="n">
        <v>46020</v>
      </c>
      <c r="G8033" s="41" t="n">
        <v>108.8</v>
      </c>
      <c r="H8033" s="6" t="s">
        <v>182</v>
      </c>
      <c r="I8033" s="7" t="s">
        <v>19787</v>
      </c>
      <c r="J8033" s="8" t="n">
        <f aca="false">IF(I8033="Open",DATE(2025,12,31)-F8033,"-")</f>
        <v>2</v>
      </c>
    </row>
    <row r="8034" customFormat="false" ht="15" hidden="false" customHeight="false" outlineLevel="0" collapsed="false">
      <c r="B8034" s="7" t="s">
        <v>22680</v>
      </c>
      <c r="C8034" s="7" t="s">
        <v>8531</v>
      </c>
      <c r="D8034" s="7" t="s">
        <v>299</v>
      </c>
      <c r="E8034" s="7" t="s">
        <v>154</v>
      </c>
      <c r="F8034" s="39" t="n">
        <v>46020</v>
      </c>
      <c r="G8034" s="41" t="n">
        <v>72.88</v>
      </c>
      <c r="H8034" s="6" t="s">
        <v>182</v>
      </c>
      <c r="I8034" s="7" t="s">
        <v>19787</v>
      </c>
      <c r="J8034" s="8" t="n">
        <f aca="false">IF(I8034="Open",DATE(2025,12,31)-F8034,"-")</f>
        <v>2</v>
      </c>
    </row>
    <row r="8035" customFormat="false" ht="15" hidden="false" customHeight="false" outlineLevel="0" collapsed="false">
      <c r="B8035" s="7" t="s">
        <v>22681</v>
      </c>
      <c r="C8035" s="7" t="s">
        <v>8532</v>
      </c>
      <c r="D8035" s="7" t="s">
        <v>303</v>
      </c>
      <c r="E8035" s="7" t="s">
        <v>154</v>
      </c>
      <c r="F8035" s="39" t="n">
        <v>46020</v>
      </c>
      <c r="G8035" s="41" t="n">
        <v>107.59</v>
      </c>
      <c r="H8035" s="6" t="s">
        <v>182</v>
      </c>
      <c r="I8035" s="7" t="s">
        <v>19787</v>
      </c>
      <c r="J8035" s="8" t="n">
        <f aca="false">IF(I8035="Open",DATE(2025,12,31)-F8035,"-")</f>
        <v>2</v>
      </c>
    </row>
    <row r="8036" customFormat="false" ht="15" hidden="false" customHeight="false" outlineLevel="0" collapsed="false">
      <c r="B8036" s="7" t="s">
        <v>22682</v>
      </c>
      <c r="C8036" s="7" t="s">
        <v>8533</v>
      </c>
      <c r="D8036" s="7" t="s">
        <v>305</v>
      </c>
      <c r="E8036" s="7" t="s">
        <v>154</v>
      </c>
      <c r="F8036" s="39" t="n">
        <v>46020</v>
      </c>
      <c r="G8036" s="41" t="n">
        <v>101.79</v>
      </c>
      <c r="H8036" s="6" t="s">
        <v>182</v>
      </c>
      <c r="I8036" s="7" t="s">
        <v>19787</v>
      </c>
      <c r="J8036" s="8" t="n">
        <f aca="false">IF(I8036="Open",DATE(2025,12,31)-F8036,"-")</f>
        <v>2</v>
      </c>
    </row>
    <row r="8037" customFormat="false" ht="15" hidden="false" customHeight="false" outlineLevel="0" collapsed="false">
      <c r="B8037" s="7" t="s">
        <v>22683</v>
      </c>
      <c r="C8037" s="7" t="s">
        <v>8534</v>
      </c>
      <c r="D8037" s="7" t="s">
        <v>307</v>
      </c>
      <c r="E8037" s="7" t="s">
        <v>157</v>
      </c>
      <c r="F8037" s="39" t="n">
        <v>46020</v>
      </c>
      <c r="G8037" s="41" t="n">
        <v>166.65</v>
      </c>
      <c r="H8037" s="6" t="s">
        <v>182</v>
      </c>
      <c r="I8037" s="7" t="s">
        <v>19787</v>
      </c>
      <c r="J8037" s="8" t="n">
        <f aca="false">IF(I8037="Open",DATE(2025,12,31)-F8037,"-")</f>
        <v>2</v>
      </c>
    </row>
    <row r="8038" customFormat="false" ht="15" hidden="false" customHeight="false" outlineLevel="0" collapsed="false">
      <c r="B8038" s="7" t="s">
        <v>22684</v>
      </c>
      <c r="C8038" s="7" t="s">
        <v>8535</v>
      </c>
      <c r="D8038" s="7" t="s">
        <v>309</v>
      </c>
      <c r="E8038" s="7" t="s">
        <v>159</v>
      </c>
      <c r="F8038" s="39" t="n">
        <v>46020</v>
      </c>
      <c r="G8038" s="41" t="n">
        <v>143.1</v>
      </c>
      <c r="H8038" s="6" t="s">
        <v>182</v>
      </c>
      <c r="I8038" s="7" t="s">
        <v>19787</v>
      </c>
      <c r="J8038" s="8" t="n">
        <f aca="false">IF(I8038="Open",DATE(2025,12,31)-F8038,"-")</f>
        <v>2</v>
      </c>
    </row>
    <row r="8039" customFormat="false" ht="15" hidden="false" customHeight="false" outlineLevel="0" collapsed="false">
      <c r="B8039" s="7" t="s">
        <v>22685</v>
      </c>
      <c r="C8039" s="7" t="s">
        <v>8536</v>
      </c>
      <c r="D8039" s="7" t="s">
        <v>311</v>
      </c>
      <c r="E8039" s="7" t="s">
        <v>154</v>
      </c>
      <c r="F8039" s="39" t="n">
        <v>46020</v>
      </c>
      <c r="G8039" s="41" t="n">
        <v>74.73</v>
      </c>
      <c r="H8039" s="6" t="s">
        <v>182</v>
      </c>
      <c r="I8039" s="7" t="s">
        <v>19787</v>
      </c>
      <c r="J8039" s="8" t="n">
        <f aca="false">IF(I8039="Open",DATE(2025,12,31)-F8039,"-")</f>
        <v>2</v>
      </c>
    </row>
    <row r="8040" customFormat="false" ht="15" hidden="false" customHeight="false" outlineLevel="0" collapsed="false">
      <c r="B8040" s="7" t="s">
        <v>22686</v>
      </c>
      <c r="C8040" s="7" t="s">
        <v>8537</v>
      </c>
      <c r="D8040" s="7" t="s">
        <v>313</v>
      </c>
      <c r="E8040" s="7" t="s">
        <v>156</v>
      </c>
      <c r="F8040" s="39" t="n">
        <v>46020</v>
      </c>
      <c r="G8040" s="41" t="n">
        <v>139.4</v>
      </c>
      <c r="H8040" s="6" t="s">
        <v>182</v>
      </c>
      <c r="I8040" s="7" t="s">
        <v>19787</v>
      </c>
      <c r="J8040" s="8" t="n">
        <f aca="false">IF(I8040="Open",DATE(2025,12,31)-F8040,"-")</f>
        <v>2</v>
      </c>
    </row>
    <row r="8041" customFormat="false" ht="15" hidden="false" customHeight="false" outlineLevel="0" collapsed="false">
      <c r="B8041" s="7" t="s">
        <v>22687</v>
      </c>
      <c r="C8041" s="7" t="s">
        <v>8538</v>
      </c>
      <c r="D8041" s="7" t="s">
        <v>315</v>
      </c>
      <c r="E8041" s="7" t="s">
        <v>159</v>
      </c>
      <c r="F8041" s="39" t="n">
        <v>46020</v>
      </c>
      <c r="G8041" s="41" t="n">
        <v>141.75</v>
      </c>
      <c r="H8041" s="6" t="s">
        <v>182</v>
      </c>
      <c r="I8041" s="7" t="s">
        <v>19787</v>
      </c>
      <c r="J8041" s="8" t="n">
        <f aca="false">IF(I8041="Open",DATE(2025,12,31)-F8041,"-")</f>
        <v>2</v>
      </c>
    </row>
    <row r="8042" customFormat="false" ht="15" hidden="false" customHeight="false" outlineLevel="0" collapsed="false">
      <c r="B8042" s="7" t="s">
        <v>22688</v>
      </c>
      <c r="C8042" s="7" t="s">
        <v>8539</v>
      </c>
      <c r="D8042" s="7" t="s">
        <v>317</v>
      </c>
      <c r="E8042" s="7" t="s">
        <v>156</v>
      </c>
      <c r="F8042" s="39" t="n">
        <v>46020</v>
      </c>
      <c r="G8042" s="41" t="n">
        <v>105.4</v>
      </c>
      <c r="H8042" s="6" t="s">
        <v>182</v>
      </c>
      <c r="I8042" s="7" t="s">
        <v>19787</v>
      </c>
      <c r="J8042" s="8" t="n">
        <f aca="false">IF(I8042="Open",DATE(2025,12,31)-F8042,"-")</f>
        <v>2</v>
      </c>
    </row>
    <row r="8043" customFormat="false" ht="15" hidden="false" customHeight="false" outlineLevel="0" collapsed="false">
      <c r="B8043" s="7" t="s">
        <v>22689</v>
      </c>
      <c r="C8043" s="7" t="s">
        <v>8540</v>
      </c>
      <c r="D8043" s="7" t="s">
        <v>321</v>
      </c>
      <c r="E8043" s="7" t="s">
        <v>154</v>
      </c>
      <c r="F8043" s="39" t="n">
        <v>46020</v>
      </c>
      <c r="G8043" s="41" t="n">
        <v>102.82</v>
      </c>
      <c r="H8043" s="6" t="s">
        <v>182</v>
      </c>
      <c r="I8043" s="7" t="s">
        <v>19787</v>
      </c>
      <c r="J8043" s="8" t="n">
        <f aca="false">IF(I8043="Open",DATE(2025,12,31)-F8043,"-")</f>
        <v>2</v>
      </c>
    </row>
    <row r="8044" customFormat="false" ht="15" hidden="false" customHeight="false" outlineLevel="0" collapsed="false">
      <c r="B8044" s="7" t="s">
        <v>22690</v>
      </c>
      <c r="C8044" s="7" t="s">
        <v>8541</v>
      </c>
      <c r="D8044" s="7" t="s">
        <v>329</v>
      </c>
      <c r="E8044" s="7" t="s">
        <v>156</v>
      </c>
      <c r="F8044" s="39" t="n">
        <v>46020</v>
      </c>
      <c r="G8044" s="41" t="n">
        <v>130.56</v>
      </c>
      <c r="H8044" s="6" t="s">
        <v>182</v>
      </c>
      <c r="I8044" s="7" t="s">
        <v>19787</v>
      </c>
      <c r="J8044" s="8" t="n">
        <f aca="false">IF(I8044="Open",DATE(2025,12,31)-F8044,"-")</f>
        <v>2</v>
      </c>
    </row>
    <row r="8045" customFormat="false" ht="15" hidden="false" customHeight="false" outlineLevel="0" collapsed="false">
      <c r="B8045" s="7" t="s">
        <v>22691</v>
      </c>
      <c r="C8045" s="7" t="s">
        <v>8542</v>
      </c>
      <c r="D8045" s="7" t="s">
        <v>333</v>
      </c>
      <c r="E8045" s="7" t="s">
        <v>154</v>
      </c>
      <c r="F8045" s="39" t="n">
        <v>46020</v>
      </c>
      <c r="G8045" s="41" t="n">
        <v>91.95</v>
      </c>
      <c r="H8045" s="6" t="s">
        <v>182</v>
      </c>
      <c r="I8045" s="7" t="s">
        <v>19787</v>
      </c>
      <c r="J8045" s="8" t="n">
        <f aca="false">IF(I8045="Open",DATE(2025,12,31)-F8045,"-")</f>
        <v>2</v>
      </c>
    </row>
    <row r="8046" customFormat="false" ht="15" hidden="false" customHeight="false" outlineLevel="0" collapsed="false">
      <c r="B8046" s="7" t="s">
        <v>22692</v>
      </c>
      <c r="C8046" s="7" t="s">
        <v>8543</v>
      </c>
      <c r="D8046" s="7" t="s">
        <v>335</v>
      </c>
      <c r="E8046" s="7" t="s">
        <v>154</v>
      </c>
      <c r="F8046" s="39" t="n">
        <v>46020</v>
      </c>
      <c r="G8046" s="41" t="n">
        <v>116.33</v>
      </c>
      <c r="H8046" s="6" t="s">
        <v>182</v>
      </c>
      <c r="I8046" s="7" t="s">
        <v>19787</v>
      </c>
      <c r="J8046" s="8" t="n">
        <f aca="false">IF(I8046="Open",DATE(2025,12,31)-F8046,"-")</f>
        <v>2</v>
      </c>
    </row>
    <row r="8047" customFormat="false" ht="15" hidden="false" customHeight="false" outlineLevel="0" collapsed="false">
      <c r="B8047" s="7" t="s">
        <v>22693</v>
      </c>
      <c r="C8047" s="7" t="s">
        <v>8544</v>
      </c>
      <c r="D8047" s="7" t="s">
        <v>339</v>
      </c>
      <c r="E8047" s="7" t="s">
        <v>154</v>
      </c>
      <c r="F8047" s="39" t="n">
        <v>46020</v>
      </c>
      <c r="G8047" s="41" t="n">
        <v>88.25</v>
      </c>
      <c r="H8047" s="6" t="s">
        <v>182</v>
      </c>
      <c r="I8047" s="7" t="s">
        <v>19787</v>
      </c>
      <c r="J8047" s="8" t="n">
        <f aca="false">IF(I8047="Open",DATE(2025,12,31)-F8047,"-")</f>
        <v>2</v>
      </c>
    </row>
    <row r="8048" customFormat="false" ht="15" hidden="false" customHeight="false" outlineLevel="0" collapsed="false">
      <c r="B8048" s="7" t="s">
        <v>22694</v>
      </c>
      <c r="C8048" s="7" t="s">
        <v>8545</v>
      </c>
      <c r="D8048" s="7" t="s">
        <v>341</v>
      </c>
      <c r="E8048" s="7" t="s">
        <v>156</v>
      </c>
      <c r="F8048" s="39" t="n">
        <v>46020</v>
      </c>
      <c r="G8048" s="41" t="n">
        <v>103.36</v>
      </c>
      <c r="H8048" s="6" t="s">
        <v>182</v>
      </c>
      <c r="I8048" s="7" t="s">
        <v>19787</v>
      </c>
      <c r="J8048" s="8" t="n">
        <f aca="false">IF(I8048="Open",DATE(2025,12,31)-F8048,"-")</f>
        <v>2</v>
      </c>
    </row>
    <row r="8049" customFormat="false" ht="15" hidden="false" customHeight="false" outlineLevel="0" collapsed="false">
      <c r="B8049" s="7" t="s">
        <v>22695</v>
      </c>
      <c r="C8049" s="7" t="s">
        <v>8546</v>
      </c>
      <c r="D8049" s="7" t="s">
        <v>343</v>
      </c>
      <c r="E8049" s="7" t="s">
        <v>154</v>
      </c>
      <c r="F8049" s="39" t="n">
        <v>46020</v>
      </c>
      <c r="G8049" s="41" t="n">
        <v>112.89</v>
      </c>
      <c r="H8049" s="6" t="s">
        <v>182</v>
      </c>
      <c r="I8049" s="7" t="s">
        <v>19787</v>
      </c>
      <c r="J8049" s="8" t="n">
        <f aca="false">IF(I8049="Open",DATE(2025,12,31)-F8049,"-")</f>
        <v>2</v>
      </c>
    </row>
    <row r="8050" customFormat="false" ht="15" hidden="false" customHeight="false" outlineLevel="0" collapsed="false">
      <c r="B8050" s="7" t="s">
        <v>22696</v>
      </c>
      <c r="C8050" s="7" t="s">
        <v>8547</v>
      </c>
      <c r="D8050" s="7" t="s">
        <v>349</v>
      </c>
      <c r="E8050" s="7" t="s">
        <v>154</v>
      </c>
      <c r="F8050" s="39" t="n">
        <v>46020</v>
      </c>
      <c r="G8050" s="41" t="n">
        <v>96.46</v>
      </c>
      <c r="H8050" s="6" t="s">
        <v>182</v>
      </c>
      <c r="I8050" s="7" t="s">
        <v>19787</v>
      </c>
      <c r="J8050" s="8" t="n">
        <f aca="false">IF(I8050="Open",DATE(2025,12,31)-F8050,"-")</f>
        <v>2</v>
      </c>
    </row>
    <row r="8051" customFormat="false" ht="15" hidden="false" customHeight="false" outlineLevel="0" collapsed="false">
      <c r="B8051" s="7" t="s">
        <v>22697</v>
      </c>
      <c r="C8051" s="7" t="s">
        <v>8548</v>
      </c>
      <c r="D8051" s="7" t="s">
        <v>351</v>
      </c>
      <c r="E8051" s="7" t="s">
        <v>154</v>
      </c>
      <c r="F8051" s="39" t="n">
        <v>46020</v>
      </c>
      <c r="G8051" s="41" t="n">
        <v>75.26</v>
      </c>
      <c r="H8051" s="6" t="s">
        <v>182</v>
      </c>
      <c r="I8051" s="7" t="s">
        <v>19787</v>
      </c>
      <c r="J8051" s="8" t="n">
        <f aca="false">IF(I8051="Open",DATE(2025,12,31)-F8051,"-")</f>
        <v>2</v>
      </c>
    </row>
    <row r="8052" customFormat="false" ht="15" hidden="false" customHeight="false" outlineLevel="0" collapsed="false">
      <c r="B8052" s="7" t="s">
        <v>22698</v>
      </c>
      <c r="C8052" s="7" t="s">
        <v>8549</v>
      </c>
      <c r="D8052" s="7" t="s">
        <v>353</v>
      </c>
      <c r="E8052" s="7" t="s">
        <v>154</v>
      </c>
      <c r="F8052" s="39" t="n">
        <v>46020</v>
      </c>
      <c r="G8052" s="41" t="n">
        <v>83.29</v>
      </c>
      <c r="H8052" s="6" t="s">
        <v>182</v>
      </c>
      <c r="I8052" s="7" t="s">
        <v>19787</v>
      </c>
      <c r="J8052" s="8" t="n">
        <f aca="false">IF(I8052="Open",DATE(2025,12,31)-F8052,"-")</f>
        <v>2</v>
      </c>
    </row>
    <row r="8053" customFormat="false" ht="15" hidden="false" customHeight="false" outlineLevel="0" collapsed="false">
      <c r="B8053" s="7" t="s">
        <v>22699</v>
      </c>
      <c r="C8053" s="7" t="s">
        <v>8550</v>
      </c>
      <c r="D8053" s="7" t="s">
        <v>355</v>
      </c>
      <c r="E8053" s="7" t="s">
        <v>154</v>
      </c>
      <c r="F8053" s="39" t="n">
        <v>46020</v>
      </c>
      <c r="G8053" s="41" t="n">
        <v>77.88</v>
      </c>
      <c r="H8053" s="6" t="s">
        <v>182</v>
      </c>
      <c r="I8053" s="7" t="s">
        <v>19787</v>
      </c>
      <c r="J8053" s="8" t="n">
        <f aca="false">IF(I8053="Open",DATE(2025,12,31)-F8053,"-")</f>
        <v>2</v>
      </c>
    </row>
    <row r="8054" customFormat="false" ht="15" hidden="false" customHeight="false" outlineLevel="0" collapsed="false">
      <c r="B8054" s="7" t="s">
        <v>22700</v>
      </c>
      <c r="C8054" s="7" t="s">
        <v>8551</v>
      </c>
      <c r="D8054" s="7" t="s">
        <v>357</v>
      </c>
      <c r="E8054" s="7" t="s">
        <v>154</v>
      </c>
      <c r="F8054" s="39" t="n">
        <v>46020</v>
      </c>
      <c r="G8054" s="41" t="n">
        <v>85.33</v>
      </c>
      <c r="H8054" s="6" t="s">
        <v>182</v>
      </c>
      <c r="I8054" s="7" t="s">
        <v>19787</v>
      </c>
      <c r="J8054" s="8" t="n">
        <f aca="false">IF(I8054="Open",DATE(2025,12,31)-F8054,"-")</f>
        <v>2</v>
      </c>
    </row>
    <row r="8055" customFormat="false" ht="15" hidden="false" customHeight="false" outlineLevel="0" collapsed="false">
      <c r="B8055" s="7" t="s">
        <v>22701</v>
      </c>
      <c r="C8055" s="7" t="s">
        <v>8552</v>
      </c>
      <c r="D8055" s="7" t="s">
        <v>359</v>
      </c>
      <c r="E8055" s="7" t="s">
        <v>156</v>
      </c>
      <c r="F8055" s="39" t="n">
        <v>46020</v>
      </c>
      <c r="G8055" s="41" t="n">
        <v>143.14</v>
      </c>
      <c r="H8055" s="6" t="s">
        <v>182</v>
      </c>
      <c r="I8055" s="7" t="s">
        <v>19787</v>
      </c>
      <c r="J8055" s="8" t="n">
        <f aca="false">IF(I8055="Open",DATE(2025,12,31)-F8055,"-")</f>
        <v>2</v>
      </c>
    </row>
    <row r="8056" customFormat="false" ht="15" hidden="false" customHeight="false" outlineLevel="0" collapsed="false">
      <c r="B8056" s="7" t="s">
        <v>22702</v>
      </c>
      <c r="C8056" s="7" t="s">
        <v>8553</v>
      </c>
      <c r="D8056" s="7" t="s">
        <v>363</v>
      </c>
      <c r="E8056" s="7" t="s">
        <v>156</v>
      </c>
      <c r="F8056" s="39" t="n">
        <v>46020</v>
      </c>
      <c r="G8056" s="41" t="n">
        <v>124.44</v>
      </c>
      <c r="H8056" s="6" t="s">
        <v>182</v>
      </c>
      <c r="I8056" s="7" t="s">
        <v>19787</v>
      </c>
      <c r="J8056" s="8" t="n">
        <f aca="false">IF(I8056="Open",DATE(2025,12,31)-F8056,"-")</f>
        <v>2</v>
      </c>
    </row>
    <row r="8057" customFormat="false" ht="15" hidden="false" customHeight="false" outlineLevel="0" collapsed="false">
      <c r="B8057" s="7" t="s">
        <v>22703</v>
      </c>
      <c r="C8057" s="7" t="s">
        <v>8554</v>
      </c>
      <c r="D8057" s="7" t="s">
        <v>365</v>
      </c>
      <c r="E8057" s="7" t="s">
        <v>154</v>
      </c>
      <c r="F8057" s="39" t="n">
        <v>46020</v>
      </c>
      <c r="G8057" s="41" t="n">
        <v>106.8</v>
      </c>
      <c r="H8057" s="6" t="s">
        <v>182</v>
      </c>
      <c r="I8057" s="7" t="s">
        <v>19787</v>
      </c>
      <c r="J8057" s="8" t="n">
        <f aca="false">IF(I8057="Open",DATE(2025,12,31)-F8057,"-")</f>
        <v>2</v>
      </c>
    </row>
    <row r="8058" customFormat="false" ht="15" hidden="false" customHeight="false" outlineLevel="0" collapsed="false">
      <c r="B8058" s="7" t="s">
        <v>22704</v>
      </c>
      <c r="C8058" s="7" t="s">
        <v>8555</v>
      </c>
      <c r="D8058" s="7" t="s">
        <v>367</v>
      </c>
      <c r="E8058" s="7" t="s">
        <v>156</v>
      </c>
      <c r="F8058" s="39" t="n">
        <v>46020</v>
      </c>
      <c r="G8058" s="41" t="n">
        <v>99.28</v>
      </c>
      <c r="H8058" s="6" t="s">
        <v>182</v>
      </c>
      <c r="I8058" s="7" t="s">
        <v>19787</v>
      </c>
      <c r="J8058" s="8" t="n">
        <f aca="false">IF(I8058="Open",DATE(2025,12,31)-F8058,"-")</f>
        <v>2</v>
      </c>
    </row>
    <row r="8059" customFormat="false" ht="15" hidden="false" customHeight="false" outlineLevel="0" collapsed="false">
      <c r="B8059" s="7" t="s">
        <v>22705</v>
      </c>
      <c r="C8059" s="7" t="s">
        <v>8556</v>
      </c>
      <c r="D8059" s="7" t="s">
        <v>371</v>
      </c>
      <c r="E8059" s="7" t="s">
        <v>154</v>
      </c>
      <c r="F8059" s="39" t="n">
        <v>46020</v>
      </c>
      <c r="G8059" s="41" t="n">
        <v>117.66</v>
      </c>
      <c r="H8059" s="6" t="s">
        <v>182</v>
      </c>
      <c r="I8059" s="7" t="s">
        <v>19787</v>
      </c>
      <c r="J8059" s="8" t="n">
        <f aca="false">IF(I8059="Open",DATE(2025,12,31)-F8059,"-")</f>
        <v>2</v>
      </c>
    </row>
    <row r="8060" customFormat="false" ht="15" hidden="false" customHeight="false" outlineLevel="0" collapsed="false">
      <c r="B8060" s="7" t="s">
        <v>22706</v>
      </c>
      <c r="C8060" s="7" t="s">
        <v>8557</v>
      </c>
      <c r="D8060" s="7" t="s">
        <v>375</v>
      </c>
      <c r="E8060" s="7" t="s">
        <v>156</v>
      </c>
      <c r="F8060" s="39" t="n">
        <v>46020</v>
      </c>
      <c r="G8060" s="41" t="n">
        <v>111.52</v>
      </c>
      <c r="H8060" s="6" t="s">
        <v>182</v>
      </c>
      <c r="I8060" s="7" t="s">
        <v>19787</v>
      </c>
      <c r="J8060" s="8" t="n">
        <f aca="false">IF(I8060="Open",DATE(2025,12,31)-F8060,"-")</f>
        <v>2</v>
      </c>
    </row>
    <row r="8061" customFormat="false" ht="15" hidden="false" customHeight="false" outlineLevel="0" collapsed="false">
      <c r="B8061" s="7" t="s">
        <v>22707</v>
      </c>
      <c r="C8061" s="7" t="s">
        <v>8558</v>
      </c>
      <c r="D8061" s="7" t="s">
        <v>377</v>
      </c>
      <c r="E8061" s="7" t="s">
        <v>154</v>
      </c>
      <c r="F8061" s="39" t="n">
        <v>46020</v>
      </c>
      <c r="G8061" s="41" t="n">
        <v>103.62</v>
      </c>
      <c r="H8061" s="6" t="s">
        <v>182</v>
      </c>
      <c r="I8061" s="7" t="s">
        <v>19787</v>
      </c>
      <c r="J8061" s="8" t="n">
        <f aca="false">IF(I8061="Open",DATE(2025,12,31)-F8061,"-")</f>
        <v>2</v>
      </c>
    </row>
    <row r="8062" customFormat="false" ht="15" hidden="false" customHeight="false" outlineLevel="0" collapsed="false">
      <c r="B8062" s="7" t="s">
        <v>22708</v>
      </c>
      <c r="C8062" s="7" t="s">
        <v>8559</v>
      </c>
      <c r="D8062" s="7" t="s">
        <v>379</v>
      </c>
      <c r="E8062" s="7" t="s">
        <v>156</v>
      </c>
      <c r="F8062" s="39" t="n">
        <v>46020</v>
      </c>
      <c r="G8062" s="41" t="n">
        <v>157.76</v>
      </c>
      <c r="H8062" s="6" t="s">
        <v>182</v>
      </c>
      <c r="I8062" s="7" t="s">
        <v>19787</v>
      </c>
      <c r="J8062" s="8" t="n">
        <f aca="false">IF(I8062="Open",DATE(2025,12,31)-F8062,"-")</f>
        <v>2</v>
      </c>
    </row>
    <row r="8063" customFormat="false" ht="15" hidden="false" customHeight="false" outlineLevel="0" collapsed="false">
      <c r="B8063" s="7" t="s">
        <v>22709</v>
      </c>
      <c r="C8063" s="7" t="s">
        <v>8560</v>
      </c>
      <c r="D8063" s="7" t="s">
        <v>385</v>
      </c>
      <c r="E8063" s="7" t="s">
        <v>156</v>
      </c>
      <c r="F8063" s="39" t="n">
        <v>46020</v>
      </c>
      <c r="G8063" s="41" t="n">
        <v>128.86</v>
      </c>
      <c r="H8063" s="6" t="s">
        <v>182</v>
      </c>
      <c r="I8063" s="7" t="s">
        <v>19787</v>
      </c>
      <c r="J8063" s="8" t="n">
        <f aca="false">IF(I8063="Open",DATE(2025,12,31)-F8063,"-")</f>
        <v>2</v>
      </c>
    </row>
    <row r="8064" customFormat="false" ht="15" hidden="false" customHeight="false" outlineLevel="0" collapsed="false">
      <c r="B8064" s="7" t="s">
        <v>22710</v>
      </c>
      <c r="C8064" s="7" t="s">
        <v>8561</v>
      </c>
      <c r="D8064" s="7" t="s">
        <v>387</v>
      </c>
      <c r="E8064" s="7" t="s">
        <v>154</v>
      </c>
      <c r="F8064" s="39" t="n">
        <v>46020</v>
      </c>
      <c r="G8064" s="41" t="n">
        <v>103.35</v>
      </c>
      <c r="H8064" s="6" t="s">
        <v>182</v>
      </c>
      <c r="I8064" s="7" t="s">
        <v>19787</v>
      </c>
      <c r="J8064" s="8" t="n">
        <f aca="false">IF(I8064="Open",DATE(2025,12,31)-F8064,"-")</f>
        <v>2</v>
      </c>
    </row>
    <row r="8065" customFormat="false" ht="15" hidden="false" customHeight="false" outlineLevel="0" collapsed="false">
      <c r="B8065" s="7" t="s">
        <v>22711</v>
      </c>
      <c r="C8065" s="7" t="s">
        <v>8562</v>
      </c>
      <c r="D8065" s="7" t="s">
        <v>389</v>
      </c>
      <c r="E8065" s="7" t="s">
        <v>154</v>
      </c>
      <c r="F8065" s="39" t="n">
        <v>46020</v>
      </c>
      <c r="G8065" s="41" t="n">
        <v>109.71</v>
      </c>
      <c r="H8065" s="6" t="s">
        <v>182</v>
      </c>
      <c r="I8065" s="7" t="s">
        <v>19787</v>
      </c>
      <c r="J8065" s="8" t="n">
        <f aca="false">IF(I8065="Open",DATE(2025,12,31)-F8065,"-")</f>
        <v>2</v>
      </c>
    </row>
    <row r="8066" customFormat="false" ht="15" hidden="false" customHeight="false" outlineLevel="0" collapsed="false">
      <c r="B8066" s="7" t="s">
        <v>22712</v>
      </c>
      <c r="C8066" s="7" t="s">
        <v>8563</v>
      </c>
      <c r="D8066" s="7" t="s">
        <v>391</v>
      </c>
      <c r="E8066" s="7" t="s">
        <v>156</v>
      </c>
      <c r="F8066" s="39" t="n">
        <v>46020</v>
      </c>
      <c r="G8066" s="41" t="n">
        <v>131.92</v>
      </c>
      <c r="H8066" s="6" t="s">
        <v>182</v>
      </c>
      <c r="I8066" s="7" t="s">
        <v>19787</v>
      </c>
      <c r="J8066" s="8" t="n">
        <f aca="false">IF(I8066="Open",DATE(2025,12,31)-F8066,"-")</f>
        <v>2</v>
      </c>
    </row>
    <row r="8067" customFormat="false" ht="15" hidden="false" customHeight="false" outlineLevel="0" collapsed="false">
      <c r="B8067" s="7" t="s">
        <v>22713</v>
      </c>
      <c r="C8067" s="7" t="s">
        <v>8564</v>
      </c>
      <c r="D8067" s="7" t="s">
        <v>395</v>
      </c>
      <c r="E8067" s="7" t="s">
        <v>156</v>
      </c>
      <c r="F8067" s="39" t="n">
        <v>46020</v>
      </c>
      <c r="G8067" s="41" t="n">
        <v>135.66</v>
      </c>
      <c r="H8067" s="6" t="s">
        <v>182</v>
      </c>
      <c r="I8067" s="7" t="s">
        <v>19787</v>
      </c>
      <c r="J8067" s="8" t="n">
        <f aca="false">IF(I8067="Open",DATE(2025,12,31)-F8067,"-")</f>
        <v>2</v>
      </c>
    </row>
    <row r="8068" customFormat="false" ht="15" hidden="false" customHeight="false" outlineLevel="0" collapsed="false">
      <c r="B8068" s="7" t="s">
        <v>22714</v>
      </c>
      <c r="C8068" s="7" t="s">
        <v>8565</v>
      </c>
      <c r="D8068" s="7" t="s">
        <v>399</v>
      </c>
      <c r="E8068" s="7" t="s">
        <v>154</v>
      </c>
      <c r="F8068" s="39" t="n">
        <v>46020</v>
      </c>
      <c r="G8068" s="41" t="n">
        <v>86.66</v>
      </c>
      <c r="H8068" s="6" t="s">
        <v>182</v>
      </c>
      <c r="I8068" s="7" t="s">
        <v>19787</v>
      </c>
      <c r="J8068" s="8" t="n">
        <f aca="false">IF(I8068="Open",DATE(2025,12,31)-F8068,"-")</f>
        <v>2</v>
      </c>
    </row>
    <row r="8069" customFormat="false" ht="15" hidden="false" customHeight="false" outlineLevel="0" collapsed="false">
      <c r="B8069" s="7" t="s">
        <v>22715</v>
      </c>
      <c r="C8069" s="7" t="s">
        <v>8566</v>
      </c>
      <c r="D8069" s="7" t="s">
        <v>401</v>
      </c>
      <c r="E8069" s="7" t="s">
        <v>156</v>
      </c>
      <c r="F8069" s="39" t="n">
        <v>46020</v>
      </c>
      <c r="G8069" s="41" t="n">
        <v>129.54</v>
      </c>
      <c r="H8069" s="6" t="s">
        <v>182</v>
      </c>
      <c r="I8069" s="7" t="s">
        <v>19787</v>
      </c>
      <c r="J8069" s="8" t="n">
        <f aca="false">IF(I8069="Open",DATE(2025,12,31)-F8069,"-")</f>
        <v>2</v>
      </c>
    </row>
    <row r="8070" customFormat="false" ht="15" hidden="false" customHeight="false" outlineLevel="0" collapsed="false">
      <c r="B8070" s="7" t="s">
        <v>22716</v>
      </c>
      <c r="C8070" s="7" t="s">
        <v>8567</v>
      </c>
      <c r="D8070" s="7" t="s">
        <v>403</v>
      </c>
      <c r="E8070" s="7" t="s">
        <v>156</v>
      </c>
      <c r="F8070" s="39" t="n">
        <v>46020</v>
      </c>
      <c r="G8070" s="41" t="n">
        <v>133.62</v>
      </c>
      <c r="H8070" s="6" t="s">
        <v>182</v>
      </c>
      <c r="I8070" s="7" t="s">
        <v>19787</v>
      </c>
      <c r="J8070" s="8" t="n">
        <f aca="false">IF(I8070="Open",DATE(2025,12,31)-F8070,"-")</f>
        <v>2</v>
      </c>
    </row>
    <row r="8071" customFormat="false" ht="15" hidden="false" customHeight="false" outlineLevel="0" collapsed="false">
      <c r="B8071" s="7" t="s">
        <v>22717</v>
      </c>
      <c r="C8071" s="7" t="s">
        <v>8568</v>
      </c>
      <c r="D8071" s="7" t="s">
        <v>405</v>
      </c>
      <c r="E8071" s="7" t="s">
        <v>156</v>
      </c>
      <c r="F8071" s="39" t="n">
        <v>46020</v>
      </c>
      <c r="G8071" s="41" t="n">
        <v>105.06</v>
      </c>
      <c r="H8071" s="6" t="s">
        <v>182</v>
      </c>
      <c r="I8071" s="7" t="s">
        <v>19787</v>
      </c>
      <c r="J8071" s="8" t="n">
        <f aca="false">IF(I8071="Open",DATE(2025,12,31)-F8071,"-")</f>
        <v>2</v>
      </c>
    </row>
    <row r="8072" customFormat="false" ht="15" hidden="false" customHeight="false" outlineLevel="0" collapsed="false">
      <c r="B8072" s="7" t="s">
        <v>22718</v>
      </c>
      <c r="C8072" s="7" t="s">
        <v>8569</v>
      </c>
      <c r="D8072" s="7" t="s">
        <v>411</v>
      </c>
      <c r="E8072" s="7" t="s">
        <v>154</v>
      </c>
      <c r="F8072" s="39" t="n">
        <v>46020</v>
      </c>
      <c r="G8072" s="41" t="n">
        <v>117.39</v>
      </c>
      <c r="H8072" s="6" t="s">
        <v>182</v>
      </c>
      <c r="I8072" s="7" t="s">
        <v>19787</v>
      </c>
      <c r="J8072" s="8" t="n">
        <f aca="false">IF(I8072="Open",DATE(2025,12,31)-F8072,"-")</f>
        <v>2</v>
      </c>
    </row>
    <row r="8073" customFormat="false" ht="15" hidden="false" customHeight="false" outlineLevel="0" collapsed="false">
      <c r="B8073" s="7" t="s">
        <v>22719</v>
      </c>
      <c r="C8073" s="7" t="s">
        <v>8570</v>
      </c>
      <c r="D8073" s="7" t="s">
        <v>288</v>
      </c>
      <c r="E8073" s="7" t="s">
        <v>156</v>
      </c>
      <c r="F8073" s="39" t="n">
        <v>46021</v>
      </c>
      <c r="G8073" s="41" t="n">
        <v>134.64</v>
      </c>
      <c r="H8073" s="6" t="s">
        <v>182</v>
      </c>
      <c r="I8073" s="7" t="s">
        <v>19787</v>
      </c>
      <c r="J8073" s="8" t="n">
        <f aca="false">IF(I8073="Open",DATE(2025,12,31)-F8073,"-")</f>
        <v>1</v>
      </c>
    </row>
    <row r="8074" customFormat="false" ht="15" hidden="false" customHeight="false" outlineLevel="0" collapsed="false">
      <c r="B8074" s="7" t="s">
        <v>22720</v>
      </c>
      <c r="C8074" s="7" t="s">
        <v>8571</v>
      </c>
      <c r="D8074" s="7" t="s">
        <v>293</v>
      </c>
      <c r="E8074" s="7" t="s">
        <v>157</v>
      </c>
      <c r="F8074" s="39" t="n">
        <v>46021</v>
      </c>
      <c r="G8074" s="41" t="n">
        <v>165</v>
      </c>
      <c r="H8074" s="6" t="s">
        <v>182</v>
      </c>
      <c r="I8074" s="7" t="s">
        <v>19787</v>
      </c>
      <c r="J8074" s="8" t="n">
        <f aca="false">IF(I8074="Open",DATE(2025,12,31)-F8074,"-")</f>
        <v>1</v>
      </c>
    </row>
    <row r="8075" customFormat="false" ht="15" hidden="false" customHeight="false" outlineLevel="0" collapsed="false">
      <c r="B8075" s="7" t="s">
        <v>22721</v>
      </c>
      <c r="C8075" s="7" t="s">
        <v>8572</v>
      </c>
      <c r="D8075" s="7" t="s">
        <v>301</v>
      </c>
      <c r="E8075" s="7" t="s">
        <v>157</v>
      </c>
      <c r="F8075" s="39" t="n">
        <v>46021</v>
      </c>
      <c r="G8075" s="41" t="n">
        <v>174.9</v>
      </c>
      <c r="H8075" s="6" t="s">
        <v>182</v>
      </c>
      <c r="I8075" s="7" t="s">
        <v>19787</v>
      </c>
      <c r="J8075" s="8" t="n">
        <f aca="false">IF(I8075="Open",DATE(2025,12,31)-F8075,"-")</f>
        <v>1</v>
      </c>
    </row>
    <row r="8076" customFormat="false" ht="15" hidden="false" customHeight="false" outlineLevel="0" collapsed="false">
      <c r="B8076" s="7" t="s">
        <v>22722</v>
      </c>
      <c r="C8076" s="7" t="s">
        <v>8573</v>
      </c>
      <c r="D8076" s="7" t="s">
        <v>313</v>
      </c>
      <c r="E8076" s="7" t="s">
        <v>156</v>
      </c>
      <c r="F8076" s="39" t="n">
        <v>46021</v>
      </c>
      <c r="G8076" s="41" t="n">
        <v>125.8</v>
      </c>
      <c r="H8076" s="6" t="s">
        <v>182</v>
      </c>
      <c r="I8076" s="7" t="s">
        <v>19787</v>
      </c>
      <c r="J8076" s="8" t="n">
        <f aca="false">IF(I8076="Open",DATE(2025,12,31)-F8076,"-")</f>
        <v>1</v>
      </c>
    </row>
    <row r="8077" customFormat="false" ht="15" hidden="false" customHeight="false" outlineLevel="0" collapsed="false">
      <c r="B8077" s="7" t="s">
        <v>22723</v>
      </c>
      <c r="C8077" s="7" t="s">
        <v>8574</v>
      </c>
      <c r="D8077" s="7" t="s">
        <v>319</v>
      </c>
      <c r="E8077" s="7" t="s">
        <v>157</v>
      </c>
      <c r="F8077" s="39" t="n">
        <v>46021</v>
      </c>
      <c r="G8077" s="41" t="n">
        <v>160.05</v>
      </c>
      <c r="H8077" s="6" t="s">
        <v>182</v>
      </c>
      <c r="I8077" s="7" t="s">
        <v>19787</v>
      </c>
      <c r="J8077" s="8" t="n">
        <f aca="false">IF(I8077="Open",DATE(2025,12,31)-F8077,"-")</f>
        <v>1</v>
      </c>
    </row>
    <row r="8078" customFormat="false" ht="15" hidden="false" customHeight="false" outlineLevel="0" collapsed="false">
      <c r="B8078" s="7" t="s">
        <v>22724</v>
      </c>
      <c r="C8078" s="7" t="s">
        <v>8575</v>
      </c>
      <c r="D8078" s="7" t="s">
        <v>321</v>
      </c>
      <c r="E8078" s="7" t="s">
        <v>154</v>
      </c>
      <c r="F8078" s="39" t="n">
        <v>46021</v>
      </c>
      <c r="G8078" s="41" t="n">
        <v>106</v>
      </c>
      <c r="H8078" s="6" t="s">
        <v>182</v>
      </c>
      <c r="I8078" s="7" t="s">
        <v>19787</v>
      </c>
      <c r="J8078" s="8" t="n">
        <f aca="false">IF(I8078="Open",DATE(2025,12,31)-F8078,"-")</f>
        <v>1</v>
      </c>
    </row>
    <row r="8079" customFormat="false" ht="15" hidden="false" customHeight="false" outlineLevel="0" collapsed="false">
      <c r="B8079" s="7" t="s">
        <v>22725</v>
      </c>
      <c r="C8079" s="7" t="s">
        <v>8576</v>
      </c>
      <c r="D8079" s="7" t="s">
        <v>323</v>
      </c>
      <c r="E8079" s="7" t="s">
        <v>159</v>
      </c>
      <c r="F8079" s="39" t="n">
        <v>46021</v>
      </c>
      <c r="G8079" s="41" t="n">
        <v>132.3</v>
      </c>
      <c r="H8079" s="6" t="s">
        <v>182</v>
      </c>
      <c r="I8079" s="7" t="s">
        <v>19787</v>
      </c>
      <c r="J8079" s="8" t="n">
        <f aca="false">IF(I8079="Open",DATE(2025,12,31)-F8079,"-")</f>
        <v>1</v>
      </c>
    </row>
    <row r="8080" customFormat="false" ht="15" hidden="false" customHeight="false" outlineLevel="0" collapsed="false">
      <c r="B8080" s="7" t="s">
        <v>22726</v>
      </c>
      <c r="C8080" s="7" t="s">
        <v>8577</v>
      </c>
      <c r="D8080" s="7" t="s">
        <v>327</v>
      </c>
      <c r="E8080" s="7" t="s">
        <v>157</v>
      </c>
      <c r="F8080" s="39" t="n">
        <v>46021</v>
      </c>
      <c r="G8080" s="41" t="n">
        <v>166.15</v>
      </c>
      <c r="H8080" s="6" t="s">
        <v>182</v>
      </c>
      <c r="I8080" s="7" t="s">
        <v>19787</v>
      </c>
      <c r="J8080" s="8" t="n">
        <f aca="false">IF(I8080="Open",DATE(2025,12,31)-F8080,"-")</f>
        <v>1</v>
      </c>
    </row>
    <row r="8081" customFormat="false" ht="15" hidden="false" customHeight="false" outlineLevel="0" collapsed="false">
      <c r="B8081" s="7" t="s">
        <v>22727</v>
      </c>
      <c r="C8081" s="7" t="s">
        <v>8578</v>
      </c>
      <c r="D8081" s="7" t="s">
        <v>329</v>
      </c>
      <c r="E8081" s="7" t="s">
        <v>156</v>
      </c>
      <c r="F8081" s="39" t="n">
        <v>46021</v>
      </c>
      <c r="G8081" s="41" t="n">
        <v>131.92</v>
      </c>
      <c r="H8081" s="6" t="s">
        <v>182</v>
      </c>
      <c r="I8081" s="7" t="s">
        <v>19787</v>
      </c>
      <c r="J8081" s="8" t="n">
        <f aca="false">IF(I8081="Open",DATE(2025,12,31)-F8081,"-")</f>
        <v>1</v>
      </c>
    </row>
    <row r="8082" customFormat="false" ht="15" hidden="false" customHeight="false" outlineLevel="0" collapsed="false">
      <c r="B8082" s="7" t="s">
        <v>22728</v>
      </c>
      <c r="C8082" s="7" t="s">
        <v>8579</v>
      </c>
      <c r="D8082" s="7" t="s">
        <v>345</v>
      </c>
      <c r="E8082" s="7" t="s">
        <v>159</v>
      </c>
      <c r="F8082" s="39" t="n">
        <v>46021</v>
      </c>
      <c r="G8082" s="41" t="n">
        <v>122.85</v>
      </c>
      <c r="H8082" s="6" t="s">
        <v>182</v>
      </c>
      <c r="I8082" s="7" t="s">
        <v>19787</v>
      </c>
      <c r="J8082" s="8" t="n">
        <f aca="false">IF(I8082="Open",DATE(2025,12,31)-F8082,"-")</f>
        <v>1</v>
      </c>
    </row>
    <row r="8083" customFormat="false" ht="15" hidden="false" customHeight="false" outlineLevel="0" collapsed="false">
      <c r="B8083" s="7" t="s">
        <v>22729</v>
      </c>
      <c r="C8083" s="7" t="s">
        <v>8580</v>
      </c>
      <c r="D8083" s="7" t="s">
        <v>349</v>
      </c>
      <c r="E8083" s="7" t="s">
        <v>154</v>
      </c>
      <c r="F8083" s="39" t="n">
        <v>46021</v>
      </c>
      <c r="G8083" s="41" t="n">
        <v>115.27</v>
      </c>
      <c r="H8083" s="6" t="s">
        <v>182</v>
      </c>
      <c r="I8083" s="7" t="s">
        <v>19787</v>
      </c>
      <c r="J8083" s="8" t="n">
        <f aca="false">IF(I8083="Open",DATE(2025,12,31)-F8083,"-")</f>
        <v>1</v>
      </c>
    </row>
    <row r="8084" customFormat="false" ht="15" hidden="false" customHeight="false" outlineLevel="0" collapsed="false">
      <c r="B8084" s="7" t="s">
        <v>22730</v>
      </c>
      <c r="C8084" s="7" t="s">
        <v>8581</v>
      </c>
      <c r="D8084" s="7" t="s">
        <v>359</v>
      </c>
      <c r="E8084" s="7" t="s">
        <v>156</v>
      </c>
      <c r="F8084" s="39" t="n">
        <v>46021</v>
      </c>
      <c r="G8084" s="41" t="n">
        <v>129.88</v>
      </c>
      <c r="H8084" s="6" t="s">
        <v>182</v>
      </c>
      <c r="I8084" s="7" t="s">
        <v>19787</v>
      </c>
      <c r="J8084" s="8" t="n">
        <f aca="false">IF(I8084="Open",DATE(2025,12,31)-F8084,"-")</f>
        <v>1</v>
      </c>
    </row>
    <row r="8085" customFormat="false" ht="15" hidden="false" customHeight="false" outlineLevel="0" collapsed="false">
      <c r="B8085" s="7" t="s">
        <v>22731</v>
      </c>
      <c r="C8085" s="7" t="s">
        <v>8582</v>
      </c>
      <c r="D8085" s="7" t="s">
        <v>361</v>
      </c>
      <c r="E8085" s="7" t="s">
        <v>157</v>
      </c>
      <c r="F8085" s="39" t="n">
        <v>46021</v>
      </c>
      <c r="G8085" s="41" t="n">
        <v>168.3</v>
      </c>
      <c r="H8085" s="6" t="s">
        <v>182</v>
      </c>
      <c r="I8085" s="7" t="s">
        <v>19787</v>
      </c>
      <c r="J8085" s="8" t="n">
        <f aca="false">IF(I8085="Open",DATE(2025,12,31)-F8085,"-")</f>
        <v>1</v>
      </c>
    </row>
    <row r="8086" customFormat="false" ht="15" hidden="false" customHeight="false" outlineLevel="0" collapsed="false">
      <c r="B8086" s="7" t="s">
        <v>22732</v>
      </c>
      <c r="C8086" s="7" t="s">
        <v>8583</v>
      </c>
      <c r="D8086" s="7" t="s">
        <v>365</v>
      </c>
      <c r="E8086" s="7" t="s">
        <v>154</v>
      </c>
      <c r="F8086" s="39" t="n">
        <v>46021</v>
      </c>
      <c r="G8086" s="41" t="n">
        <v>109.71</v>
      </c>
      <c r="H8086" s="6" t="s">
        <v>182</v>
      </c>
      <c r="I8086" s="7" t="s">
        <v>19787</v>
      </c>
      <c r="J8086" s="8" t="n">
        <f aca="false">IF(I8086="Open",DATE(2025,12,31)-F8086,"-")</f>
        <v>1</v>
      </c>
    </row>
    <row r="8087" customFormat="false" ht="15" hidden="false" customHeight="false" outlineLevel="0" collapsed="false">
      <c r="B8087" s="7" t="s">
        <v>22733</v>
      </c>
      <c r="C8087" s="7" t="s">
        <v>8584</v>
      </c>
      <c r="D8087" s="7" t="s">
        <v>369</v>
      </c>
      <c r="E8087" s="7" t="s">
        <v>159</v>
      </c>
      <c r="F8087" s="39" t="n">
        <v>46021</v>
      </c>
      <c r="G8087" s="41" t="n">
        <v>124.2</v>
      </c>
      <c r="H8087" s="6" t="s">
        <v>182</v>
      </c>
      <c r="I8087" s="7" t="s">
        <v>19787</v>
      </c>
      <c r="J8087" s="8" t="n">
        <f aca="false">IF(I8087="Open",DATE(2025,12,31)-F8087,"-")</f>
        <v>1</v>
      </c>
    </row>
    <row r="8088" customFormat="false" ht="15" hidden="false" customHeight="false" outlineLevel="0" collapsed="false">
      <c r="B8088" s="7" t="s">
        <v>22734</v>
      </c>
      <c r="C8088" s="7" t="s">
        <v>8585</v>
      </c>
      <c r="D8088" s="7" t="s">
        <v>381</v>
      </c>
      <c r="E8088" s="7" t="s">
        <v>157</v>
      </c>
      <c r="F8088" s="39" t="n">
        <v>46021</v>
      </c>
      <c r="G8088" s="41" t="n">
        <v>174.9</v>
      </c>
      <c r="H8088" s="6" t="s">
        <v>182</v>
      </c>
      <c r="I8088" s="7" t="s">
        <v>19787</v>
      </c>
      <c r="J8088" s="8" t="n">
        <f aca="false">IF(I8088="Open",DATE(2025,12,31)-F8088,"-")</f>
        <v>1</v>
      </c>
    </row>
    <row r="8089" customFormat="false" ht="15" hidden="false" customHeight="false" outlineLevel="0" collapsed="false">
      <c r="B8089" s="7" t="s">
        <v>22735</v>
      </c>
      <c r="C8089" s="7" t="s">
        <v>8586</v>
      </c>
      <c r="D8089" s="7" t="s">
        <v>383</v>
      </c>
      <c r="E8089" s="7" t="s">
        <v>157</v>
      </c>
      <c r="F8089" s="39" t="n">
        <v>46021</v>
      </c>
      <c r="G8089" s="41" t="n">
        <v>178.2</v>
      </c>
      <c r="H8089" s="6" t="s">
        <v>182</v>
      </c>
      <c r="I8089" s="7" t="s">
        <v>19787</v>
      </c>
      <c r="J8089" s="8" t="n">
        <f aca="false">IF(I8089="Open",DATE(2025,12,31)-F8089,"-")</f>
        <v>1</v>
      </c>
    </row>
    <row r="8090" customFormat="false" ht="15" hidden="false" customHeight="false" outlineLevel="0" collapsed="false">
      <c r="B8090" s="7" t="s">
        <v>22736</v>
      </c>
      <c r="C8090" s="7" t="s">
        <v>8587</v>
      </c>
      <c r="D8090" s="7" t="s">
        <v>387</v>
      </c>
      <c r="E8090" s="7" t="s">
        <v>154</v>
      </c>
      <c r="F8090" s="39" t="n">
        <v>46021</v>
      </c>
      <c r="G8090" s="41" t="n">
        <v>100.7</v>
      </c>
      <c r="H8090" s="6" t="s">
        <v>182</v>
      </c>
      <c r="I8090" s="7" t="s">
        <v>19787</v>
      </c>
      <c r="J8090" s="8" t="n">
        <f aca="false">IF(I8090="Open",DATE(2025,12,31)-F8090,"-")</f>
        <v>1</v>
      </c>
    </row>
    <row r="8091" customFormat="false" ht="15" hidden="false" customHeight="false" outlineLevel="0" collapsed="false">
      <c r="B8091" s="7" t="s">
        <v>22737</v>
      </c>
      <c r="C8091" s="7" t="s">
        <v>8588</v>
      </c>
      <c r="D8091" s="7" t="s">
        <v>389</v>
      </c>
      <c r="E8091" s="7" t="s">
        <v>154</v>
      </c>
      <c r="F8091" s="39" t="n">
        <v>46021</v>
      </c>
      <c r="G8091" s="41" t="n">
        <v>105.73</v>
      </c>
      <c r="H8091" s="6" t="s">
        <v>182</v>
      </c>
      <c r="I8091" s="7" t="s">
        <v>19787</v>
      </c>
      <c r="J8091" s="8" t="n">
        <f aca="false">IF(I8091="Open",DATE(2025,12,31)-F8091,"-")</f>
        <v>1</v>
      </c>
    </row>
    <row r="8092" customFormat="false" ht="15" hidden="false" customHeight="false" outlineLevel="0" collapsed="false">
      <c r="B8092" s="7" t="s">
        <v>22738</v>
      </c>
      <c r="C8092" s="7" t="s">
        <v>8589</v>
      </c>
      <c r="D8092" s="7" t="s">
        <v>391</v>
      </c>
      <c r="E8092" s="7" t="s">
        <v>156</v>
      </c>
      <c r="F8092" s="39" t="n">
        <v>46021</v>
      </c>
      <c r="G8092" s="41" t="n">
        <v>144.16</v>
      </c>
      <c r="H8092" s="6" t="s">
        <v>182</v>
      </c>
      <c r="I8092" s="7" t="s">
        <v>19787</v>
      </c>
      <c r="J8092" s="8" t="n">
        <f aca="false">IF(I8092="Open",DATE(2025,12,31)-F8092,"-")</f>
        <v>1</v>
      </c>
    </row>
    <row r="8093" customFormat="false" ht="15" hidden="false" customHeight="false" outlineLevel="0" collapsed="false">
      <c r="B8093" s="7" t="s">
        <v>22739</v>
      </c>
      <c r="C8093" s="7" t="s">
        <v>8590</v>
      </c>
      <c r="D8093" s="7" t="s">
        <v>395</v>
      </c>
      <c r="E8093" s="7" t="s">
        <v>156</v>
      </c>
      <c r="F8093" s="39" t="n">
        <v>46021</v>
      </c>
      <c r="G8093" s="41" t="n">
        <v>123.76</v>
      </c>
      <c r="H8093" s="6" t="s">
        <v>182</v>
      </c>
      <c r="I8093" s="7" t="s">
        <v>19787</v>
      </c>
      <c r="J8093" s="8" t="n">
        <f aca="false">IF(I8093="Open",DATE(2025,12,31)-F8093,"-")</f>
        <v>1</v>
      </c>
    </row>
    <row r="8094" customFormat="false" ht="15" hidden="false" customHeight="false" outlineLevel="0" collapsed="false">
      <c r="B8094" s="7" t="s">
        <v>22740</v>
      </c>
      <c r="C8094" s="7" t="s">
        <v>8591</v>
      </c>
      <c r="D8094" s="7" t="s">
        <v>397</v>
      </c>
      <c r="E8094" s="7" t="s">
        <v>159</v>
      </c>
      <c r="F8094" s="39" t="n">
        <v>46021</v>
      </c>
      <c r="G8094" s="41" t="n">
        <v>136.35</v>
      </c>
      <c r="H8094" s="6" t="s">
        <v>182</v>
      </c>
      <c r="I8094" s="7" t="s">
        <v>19787</v>
      </c>
      <c r="J8094" s="8" t="n">
        <f aca="false">IF(I8094="Open",DATE(2025,12,31)-F8094,"-")</f>
        <v>1</v>
      </c>
    </row>
    <row r="8095" customFormat="false" ht="15" hidden="false" customHeight="false" outlineLevel="0" collapsed="false">
      <c r="B8095" s="7" t="s">
        <v>22741</v>
      </c>
      <c r="C8095" s="7" t="s">
        <v>8592</v>
      </c>
      <c r="D8095" s="7" t="s">
        <v>401</v>
      </c>
      <c r="E8095" s="7" t="s">
        <v>156</v>
      </c>
      <c r="F8095" s="39" t="n">
        <v>46021</v>
      </c>
      <c r="G8095" s="41" t="n">
        <v>148.58</v>
      </c>
      <c r="H8095" s="6" t="s">
        <v>182</v>
      </c>
      <c r="I8095" s="7" t="s">
        <v>19787</v>
      </c>
      <c r="J8095" s="8" t="n">
        <f aca="false">IF(I8095="Open",DATE(2025,12,31)-F8095,"-")</f>
        <v>1</v>
      </c>
    </row>
    <row r="8096" customFormat="false" ht="15" hidden="false" customHeight="false" outlineLevel="0" collapsed="false">
      <c r="B8096" s="7" t="s">
        <v>22742</v>
      </c>
      <c r="C8096" s="7" t="s">
        <v>8593</v>
      </c>
      <c r="D8096" s="7" t="s">
        <v>407</v>
      </c>
      <c r="E8096" s="7" t="s">
        <v>159</v>
      </c>
      <c r="F8096" s="39" t="n">
        <v>46021</v>
      </c>
      <c r="G8096" s="41" t="n">
        <v>115.56</v>
      </c>
      <c r="H8096" s="6" t="s">
        <v>182</v>
      </c>
      <c r="I8096" s="7" t="s">
        <v>19787</v>
      </c>
      <c r="J8096" s="8" t="n">
        <f aca="false">IF(I8096="Open",DATE(2025,12,31)-F8096,"-")</f>
        <v>1</v>
      </c>
    </row>
    <row r="8097" customFormat="false" ht="15" hidden="false" customHeight="false" outlineLevel="0" collapsed="false">
      <c r="B8097" s="7" t="s">
        <v>22743</v>
      </c>
      <c r="C8097" s="7" t="s">
        <v>8594</v>
      </c>
      <c r="D8097" s="7" t="s">
        <v>284</v>
      </c>
      <c r="E8097" s="7" t="s">
        <v>157</v>
      </c>
      <c r="F8097" s="39" t="n">
        <v>46022</v>
      </c>
      <c r="G8097" s="41" t="n">
        <v>156.75</v>
      </c>
      <c r="H8097" s="6" t="s">
        <v>182</v>
      </c>
      <c r="I8097" s="7" t="s">
        <v>19787</v>
      </c>
      <c r="J8097" s="8" t="n">
        <f aca="false">IF(I8097="Open",DATE(2025,12,31)-F8097,"-")</f>
        <v>0</v>
      </c>
    </row>
    <row r="8098" customFormat="false" ht="15" hidden="false" customHeight="false" outlineLevel="0" collapsed="false">
      <c r="B8098" s="7" t="s">
        <v>22744</v>
      </c>
      <c r="C8098" s="7" t="s">
        <v>8595</v>
      </c>
      <c r="D8098" s="7" t="s">
        <v>288</v>
      </c>
      <c r="E8098" s="7" t="s">
        <v>156</v>
      </c>
      <c r="F8098" s="39" t="n">
        <v>46022</v>
      </c>
      <c r="G8098" s="41" t="n">
        <v>145.86</v>
      </c>
      <c r="H8098" s="6" t="s">
        <v>182</v>
      </c>
      <c r="I8098" s="7" t="s">
        <v>19787</v>
      </c>
      <c r="J8098" s="8" t="n">
        <f aca="false">IF(I8098="Open",DATE(2025,12,31)-F8098,"-")</f>
        <v>0</v>
      </c>
    </row>
    <row r="8099" customFormat="false" ht="15" hidden="false" customHeight="false" outlineLevel="0" collapsed="false">
      <c r="B8099" s="7" t="s">
        <v>22745</v>
      </c>
      <c r="C8099" s="7" t="s">
        <v>8596</v>
      </c>
      <c r="D8099" s="7" t="s">
        <v>291</v>
      </c>
      <c r="E8099" s="7" t="s">
        <v>154</v>
      </c>
      <c r="F8099" s="39" t="n">
        <v>46022</v>
      </c>
      <c r="G8099" s="41" t="n">
        <v>126.4</v>
      </c>
      <c r="H8099" s="6" t="s">
        <v>182</v>
      </c>
      <c r="I8099" s="7" t="s">
        <v>19787</v>
      </c>
      <c r="J8099" s="8" t="n">
        <f aca="false">IF(I8099="Open",DATE(2025,12,31)-F8099,"-")</f>
        <v>0</v>
      </c>
    </row>
    <row r="8100" customFormat="false" ht="15" hidden="false" customHeight="false" outlineLevel="0" collapsed="false">
      <c r="B8100" s="7" t="s">
        <v>22746</v>
      </c>
      <c r="C8100" s="7" t="s">
        <v>8597</v>
      </c>
      <c r="D8100" s="7" t="s">
        <v>295</v>
      </c>
      <c r="E8100" s="7" t="s">
        <v>154</v>
      </c>
      <c r="F8100" s="39" t="n">
        <v>46022</v>
      </c>
      <c r="G8100" s="41" t="n">
        <v>115.01</v>
      </c>
      <c r="H8100" s="6" t="s">
        <v>182</v>
      </c>
      <c r="I8100" s="7" t="s">
        <v>19787</v>
      </c>
      <c r="J8100" s="8" t="n">
        <f aca="false">IF(I8100="Open",DATE(2025,12,31)-F8100,"-")</f>
        <v>0</v>
      </c>
    </row>
    <row r="8101" customFormat="false" ht="15" hidden="false" customHeight="false" outlineLevel="0" collapsed="false">
      <c r="B8101" s="7" t="s">
        <v>22747</v>
      </c>
      <c r="C8101" s="7" t="s">
        <v>8598</v>
      </c>
      <c r="D8101" s="7" t="s">
        <v>305</v>
      </c>
      <c r="E8101" s="7" t="s">
        <v>154</v>
      </c>
      <c r="F8101" s="39" t="n">
        <v>46022</v>
      </c>
      <c r="G8101" s="41" t="n">
        <v>110.77</v>
      </c>
      <c r="H8101" s="6" t="s">
        <v>182</v>
      </c>
      <c r="I8101" s="7" t="s">
        <v>19787</v>
      </c>
      <c r="J8101" s="8" t="n">
        <f aca="false">IF(I8101="Open",DATE(2025,12,31)-F8101,"-")</f>
        <v>0</v>
      </c>
    </row>
    <row r="8102" customFormat="false" ht="15" hidden="false" customHeight="false" outlineLevel="0" collapsed="false">
      <c r="B8102" s="7" t="s">
        <v>22748</v>
      </c>
      <c r="C8102" s="7" t="s">
        <v>8599</v>
      </c>
      <c r="D8102" s="7" t="s">
        <v>307</v>
      </c>
      <c r="E8102" s="7" t="s">
        <v>157</v>
      </c>
      <c r="F8102" s="39" t="n">
        <v>46022</v>
      </c>
      <c r="G8102" s="41" t="n">
        <v>178.2</v>
      </c>
      <c r="H8102" s="6" t="s">
        <v>182</v>
      </c>
      <c r="I8102" s="7" t="s">
        <v>19787</v>
      </c>
      <c r="J8102" s="8" t="n">
        <f aca="false">IF(I8102="Open",DATE(2025,12,31)-F8102,"-")</f>
        <v>0</v>
      </c>
    </row>
    <row r="8103" customFormat="false" ht="15" hidden="false" customHeight="false" outlineLevel="0" collapsed="false">
      <c r="B8103" s="7" t="s">
        <v>22749</v>
      </c>
      <c r="C8103" s="7" t="s">
        <v>8600</v>
      </c>
      <c r="D8103" s="7" t="s">
        <v>309</v>
      </c>
      <c r="E8103" s="7" t="s">
        <v>159</v>
      </c>
      <c r="F8103" s="39" t="n">
        <v>46022</v>
      </c>
      <c r="G8103" s="41" t="n">
        <v>147.15</v>
      </c>
      <c r="H8103" s="6" t="s">
        <v>182</v>
      </c>
      <c r="I8103" s="7" t="s">
        <v>19787</v>
      </c>
      <c r="J8103" s="8" t="n">
        <f aca="false">IF(I8103="Open",DATE(2025,12,31)-F8103,"-")</f>
        <v>0</v>
      </c>
    </row>
    <row r="8104" customFormat="false" ht="15" hidden="false" customHeight="false" outlineLevel="0" collapsed="false">
      <c r="B8104" s="7" t="s">
        <v>22750</v>
      </c>
      <c r="C8104" s="7" t="s">
        <v>8601</v>
      </c>
      <c r="D8104" s="7" t="s">
        <v>313</v>
      </c>
      <c r="E8104" s="7" t="s">
        <v>156</v>
      </c>
      <c r="F8104" s="39" t="n">
        <v>46022</v>
      </c>
      <c r="G8104" s="41" t="n">
        <v>148.92</v>
      </c>
      <c r="H8104" s="6" t="s">
        <v>182</v>
      </c>
      <c r="I8104" s="7" t="s">
        <v>19787</v>
      </c>
      <c r="J8104" s="8" t="n">
        <f aca="false">IF(I8104="Open",DATE(2025,12,31)-F8104,"-")</f>
        <v>0</v>
      </c>
    </row>
    <row r="8105" customFormat="false" ht="15" hidden="false" customHeight="false" outlineLevel="0" collapsed="false">
      <c r="B8105" s="7" t="s">
        <v>22751</v>
      </c>
      <c r="C8105" s="7" t="s">
        <v>8602</v>
      </c>
      <c r="D8105" s="7" t="s">
        <v>315</v>
      </c>
      <c r="E8105" s="7" t="s">
        <v>159</v>
      </c>
      <c r="F8105" s="39" t="n">
        <v>46022</v>
      </c>
      <c r="G8105" s="41" t="n">
        <v>145.8</v>
      </c>
      <c r="H8105" s="6" t="s">
        <v>182</v>
      </c>
      <c r="I8105" s="7" t="s">
        <v>19787</v>
      </c>
      <c r="J8105" s="8" t="n">
        <f aca="false">IF(I8105="Open",DATE(2025,12,31)-F8105,"-")</f>
        <v>0</v>
      </c>
    </row>
    <row r="8106" customFormat="false" ht="15" hidden="false" customHeight="false" outlineLevel="0" collapsed="false">
      <c r="B8106" s="7" t="s">
        <v>22752</v>
      </c>
      <c r="C8106" s="7" t="s">
        <v>8603</v>
      </c>
      <c r="D8106" s="7" t="s">
        <v>321</v>
      </c>
      <c r="E8106" s="7" t="s">
        <v>154</v>
      </c>
      <c r="F8106" s="39" t="n">
        <v>46022</v>
      </c>
      <c r="G8106" s="41" t="n">
        <v>103.09</v>
      </c>
      <c r="H8106" s="6" t="s">
        <v>182</v>
      </c>
      <c r="I8106" s="7" t="s">
        <v>19787</v>
      </c>
      <c r="J8106" s="8" t="n">
        <f aca="false">IF(I8106="Open",DATE(2025,12,31)-F8106,"-")</f>
        <v>0</v>
      </c>
    </row>
    <row r="8107" customFormat="false" ht="15" hidden="false" customHeight="false" outlineLevel="0" collapsed="false">
      <c r="B8107" s="7" t="s">
        <v>22753</v>
      </c>
      <c r="C8107" s="7" t="s">
        <v>8604</v>
      </c>
      <c r="D8107" s="7" t="s">
        <v>329</v>
      </c>
      <c r="E8107" s="7" t="s">
        <v>156</v>
      </c>
      <c r="F8107" s="39" t="n">
        <v>46022</v>
      </c>
      <c r="G8107" s="41" t="n">
        <v>137.7</v>
      </c>
      <c r="H8107" s="6" t="s">
        <v>182</v>
      </c>
      <c r="I8107" s="7" t="s">
        <v>19787</v>
      </c>
      <c r="J8107" s="8" t="n">
        <f aca="false">IF(I8107="Open",DATE(2025,12,31)-F8107,"-")</f>
        <v>0</v>
      </c>
    </row>
    <row r="8108" customFormat="false" ht="15" hidden="false" customHeight="false" outlineLevel="0" collapsed="false">
      <c r="B8108" s="7" t="s">
        <v>22754</v>
      </c>
      <c r="C8108" s="7" t="s">
        <v>8605</v>
      </c>
      <c r="D8108" s="7" t="s">
        <v>333</v>
      </c>
      <c r="E8108" s="7" t="s">
        <v>154</v>
      </c>
      <c r="F8108" s="39" t="n">
        <v>46022</v>
      </c>
      <c r="G8108" s="41" t="n">
        <v>88.51</v>
      </c>
      <c r="H8108" s="6" t="s">
        <v>182</v>
      </c>
      <c r="I8108" s="7" t="s">
        <v>19787</v>
      </c>
      <c r="J8108" s="8" t="n">
        <f aca="false">IF(I8108="Open",DATE(2025,12,31)-F8108,"-")</f>
        <v>0</v>
      </c>
    </row>
    <row r="8109" customFormat="false" ht="15" hidden="false" customHeight="false" outlineLevel="0" collapsed="false">
      <c r="B8109" s="7" t="s">
        <v>22755</v>
      </c>
      <c r="C8109" s="7" t="s">
        <v>8606</v>
      </c>
      <c r="D8109" s="7" t="s">
        <v>335</v>
      </c>
      <c r="E8109" s="7" t="s">
        <v>154</v>
      </c>
      <c r="F8109" s="39" t="n">
        <v>46022</v>
      </c>
      <c r="G8109" s="41" t="n">
        <v>115.54</v>
      </c>
      <c r="H8109" s="6" t="s">
        <v>182</v>
      </c>
      <c r="I8109" s="7" t="s">
        <v>19787</v>
      </c>
      <c r="J8109" s="8" t="n">
        <f aca="false">IF(I8109="Open",DATE(2025,12,31)-F8109,"-")</f>
        <v>0</v>
      </c>
    </row>
    <row r="8110" customFormat="false" ht="15" hidden="false" customHeight="false" outlineLevel="0" collapsed="false">
      <c r="B8110" s="7" t="s">
        <v>22756</v>
      </c>
      <c r="C8110" s="7" t="s">
        <v>8607</v>
      </c>
      <c r="D8110" s="7" t="s">
        <v>339</v>
      </c>
      <c r="E8110" s="7" t="s">
        <v>154</v>
      </c>
      <c r="F8110" s="39" t="n">
        <v>46022</v>
      </c>
      <c r="G8110" s="41" t="n">
        <v>92.48</v>
      </c>
      <c r="H8110" s="6" t="s">
        <v>182</v>
      </c>
      <c r="I8110" s="7" t="s">
        <v>19787</v>
      </c>
      <c r="J8110" s="8" t="n">
        <f aca="false">IF(I8110="Open",DATE(2025,12,31)-F8110,"-")</f>
        <v>0</v>
      </c>
    </row>
    <row r="8111" customFormat="false" ht="15" hidden="false" customHeight="false" outlineLevel="0" collapsed="false">
      <c r="B8111" s="7" t="s">
        <v>22757</v>
      </c>
      <c r="C8111" s="7" t="s">
        <v>8608</v>
      </c>
      <c r="D8111" s="7" t="s">
        <v>349</v>
      </c>
      <c r="E8111" s="7" t="s">
        <v>154</v>
      </c>
      <c r="F8111" s="39" t="n">
        <v>46022</v>
      </c>
      <c r="G8111" s="41" t="n">
        <v>107.19</v>
      </c>
      <c r="H8111" s="6" t="s">
        <v>182</v>
      </c>
      <c r="I8111" s="7" t="s">
        <v>19787</v>
      </c>
      <c r="J8111" s="8" t="n">
        <f aca="false">IF(I8111="Open",DATE(2025,12,31)-F8111,"-")</f>
        <v>0</v>
      </c>
    </row>
    <row r="8112" customFormat="false" ht="15" hidden="false" customHeight="false" outlineLevel="0" collapsed="false">
      <c r="B8112" s="7" t="s">
        <v>22758</v>
      </c>
      <c r="C8112" s="7" t="s">
        <v>8609</v>
      </c>
      <c r="D8112" s="7" t="s">
        <v>353</v>
      </c>
      <c r="E8112" s="7" t="s">
        <v>154</v>
      </c>
      <c r="F8112" s="39" t="n">
        <v>46022</v>
      </c>
      <c r="G8112" s="41" t="n">
        <v>88.51</v>
      </c>
      <c r="H8112" s="6" t="s">
        <v>182</v>
      </c>
      <c r="I8112" s="7" t="s">
        <v>19787</v>
      </c>
      <c r="J8112" s="8" t="n">
        <f aca="false">IF(I8112="Open",DATE(2025,12,31)-F8112,"-")</f>
        <v>0</v>
      </c>
    </row>
    <row r="8113" customFormat="false" ht="15" hidden="false" customHeight="false" outlineLevel="0" collapsed="false">
      <c r="B8113" s="7" t="s">
        <v>22759</v>
      </c>
      <c r="C8113" s="7" t="s">
        <v>8610</v>
      </c>
      <c r="D8113" s="7" t="s">
        <v>355</v>
      </c>
      <c r="E8113" s="7" t="s">
        <v>154</v>
      </c>
      <c r="F8113" s="39" t="n">
        <v>46022</v>
      </c>
      <c r="G8113" s="41" t="n">
        <v>96.19</v>
      </c>
      <c r="H8113" s="6" t="s">
        <v>182</v>
      </c>
      <c r="I8113" s="7" t="s">
        <v>19787</v>
      </c>
      <c r="J8113" s="8" t="n">
        <f aca="false">IF(I8113="Open",DATE(2025,12,31)-F8113,"-")</f>
        <v>0</v>
      </c>
    </row>
    <row r="8114" customFormat="false" ht="15" hidden="false" customHeight="false" outlineLevel="0" collapsed="false">
      <c r="B8114" s="7" t="s">
        <v>22760</v>
      </c>
      <c r="C8114" s="7" t="s">
        <v>8611</v>
      </c>
      <c r="D8114" s="7" t="s">
        <v>357</v>
      </c>
      <c r="E8114" s="7" t="s">
        <v>154</v>
      </c>
      <c r="F8114" s="39" t="n">
        <v>46022</v>
      </c>
      <c r="G8114" s="41" t="n">
        <v>88.7</v>
      </c>
      <c r="H8114" s="6" t="s">
        <v>182</v>
      </c>
      <c r="I8114" s="7" t="s">
        <v>19787</v>
      </c>
      <c r="J8114" s="8" t="n">
        <f aca="false">IF(I8114="Open",DATE(2025,12,31)-F8114,"-")</f>
        <v>0</v>
      </c>
    </row>
    <row r="8115" customFormat="false" ht="15" hidden="false" customHeight="false" outlineLevel="0" collapsed="false">
      <c r="B8115" s="7" t="s">
        <v>22761</v>
      </c>
      <c r="C8115" s="7" t="s">
        <v>8612</v>
      </c>
      <c r="D8115" s="7" t="s">
        <v>359</v>
      </c>
      <c r="E8115" s="7" t="s">
        <v>156</v>
      </c>
      <c r="F8115" s="39" t="n">
        <v>46022</v>
      </c>
      <c r="G8115" s="41" t="n">
        <v>139.4</v>
      </c>
      <c r="H8115" s="6" t="s">
        <v>182</v>
      </c>
      <c r="I8115" s="7" t="s">
        <v>19787</v>
      </c>
      <c r="J8115" s="8" t="n">
        <f aca="false">IF(I8115="Open",DATE(2025,12,31)-F8115,"-")</f>
        <v>0</v>
      </c>
    </row>
    <row r="8116" customFormat="false" ht="15" hidden="false" customHeight="false" outlineLevel="0" collapsed="false">
      <c r="B8116" s="7" t="s">
        <v>22762</v>
      </c>
      <c r="C8116" s="7" t="s">
        <v>8613</v>
      </c>
      <c r="D8116" s="7" t="s">
        <v>365</v>
      </c>
      <c r="E8116" s="7" t="s">
        <v>154</v>
      </c>
      <c r="F8116" s="39" t="n">
        <v>46022</v>
      </c>
      <c r="G8116" s="41" t="n">
        <v>97.25</v>
      </c>
      <c r="H8116" s="6" t="s">
        <v>182</v>
      </c>
      <c r="I8116" s="7" t="s">
        <v>19787</v>
      </c>
      <c r="J8116" s="8" t="n">
        <f aca="false">IF(I8116="Open",DATE(2025,12,31)-F8116,"-")</f>
        <v>0</v>
      </c>
    </row>
    <row r="8117" customFormat="false" ht="15" hidden="false" customHeight="false" outlineLevel="0" collapsed="false">
      <c r="B8117" s="7" t="s">
        <v>22763</v>
      </c>
      <c r="C8117" s="7" t="s">
        <v>8614</v>
      </c>
      <c r="D8117" s="7" t="s">
        <v>371</v>
      </c>
      <c r="E8117" s="7" t="s">
        <v>154</v>
      </c>
      <c r="F8117" s="39" t="n">
        <v>46022</v>
      </c>
      <c r="G8117" s="41" t="n">
        <v>127.2</v>
      </c>
      <c r="H8117" s="6" t="s">
        <v>182</v>
      </c>
      <c r="I8117" s="7" t="s">
        <v>19787</v>
      </c>
      <c r="J8117" s="8" t="n">
        <f aca="false">IF(I8117="Open",DATE(2025,12,31)-F8117,"-")</f>
        <v>0</v>
      </c>
    </row>
    <row r="8118" customFormat="false" ht="15" hidden="false" customHeight="false" outlineLevel="0" collapsed="false">
      <c r="B8118" s="7" t="s">
        <v>22764</v>
      </c>
      <c r="C8118" s="7" t="s">
        <v>8615</v>
      </c>
      <c r="D8118" s="7" t="s">
        <v>379</v>
      </c>
      <c r="E8118" s="7" t="s">
        <v>156</v>
      </c>
      <c r="F8118" s="39" t="n">
        <v>46022</v>
      </c>
      <c r="G8118" s="41" t="n">
        <v>169.66</v>
      </c>
      <c r="H8118" s="6" t="s">
        <v>182</v>
      </c>
      <c r="I8118" s="7" t="s">
        <v>19787</v>
      </c>
      <c r="J8118" s="8" t="n">
        <f aca="false">IF(I8118="Open",DATE(2025,12,31)-F8118,"-")</f>
        <v>0</v>
      </c>
    </row>
    <row r="8119" customFormat="false" ht="15" hidden="false" customHeight="false" outlineLevel="0" collapsed="false">
      <c r="B8119" s="7" t="s">
        <v>22765</v>
      </c>
      <c r="C8119" s="7" t="s">
        <v>8616</v>
      </c>
      <c r="D8119" s="7" t="s">
        <v>385</v>
      </c>
      <c r="E8119" s="7" t="s">
        <v>156</v>
      </c>
      <c r="F8119" s="39" t="n">
        <v>46022</v>
      </c>
      <c r="G8119" s="41" t="n">
        <v>133.28</v>
      </c>
      <c r="H8119" s="6" t="s">
        <v>182</v>
      </c>
      <c r="I8119" s="7" t="s">
        <v>19787</v>
      </c>
      <c r="J8119" s="8" t="n">
        <f aca="false">IF(I8119="Open",DATE(2025,12,31)-F8119,"-")</f>
        <v>0</v>
      </c>
    </row>
    <row r="8120" customFormat="false" ht="15" hidden="false" customHeight="false" outlineLevel="0" collapsed="false">
      <c r="B8120" s="7" t="s">
        <v>22766</v>
      </c>
      <c r="C8120" s="7" t="s">
        <v>8617</v>
      </c>
      <c r="D8120" s="7" t="s">
        <v>387</v>
      </c>
      <c r="E8120" s="7" t="s">
        <v>154</v>
      </c>
      <c r="F8120" s="39" t="n">
        <v>46022</v>
      </c>
      <c r="G8120" s="41" t="n">
        <v>115.81</v>
      </c>
      <c r="H8120" s="6" t="s">
        <v>182</v>
      </c>
      <c r="I8120" s="7" t="s">
        <v>19787</v>
      </c>
      <c r="J8120" s="8" t="n">
        <f aca="false">IF(I8120="Open",DATE(2025,12,31)-F8120,"-")</f>
        <v>0</v>
      </c>
    </row>
    <row r="8121" customFormat="false" ht="15" hidden="false" customHeight="false" outlineLevel="0" collapsed="false">
      <c r="B8121" s="7" t="s">
        <v>22767</v>
      </c>
      <c r="C8121" s="7" t="s">
        <v>8618</v>
      </c>
      <c r="D8121" s="7" t="s">
        <v>389</v>
      </c>
      <c r="E8121" s="7" t="s">
        <v>154</v>
      </c>
      <c r="F8121" s="39" t="n">
        <v>46022</v>
      </c>
      <c r="G8121" s="41" t="n">
        <v>114.75</v>
      </c>
      <c r="H8121" s="6" t="s">
        <v>182</v>
      </c>
      <c r="I8121" s="7" t="s">
        <v>19787</v>
      </c>
      <c r="J8121" s="8" t="n">
        <f aca="false">IF(I8121="Open",DATE(2025,12,31)-F8121,"-")</f>
        <v>0</v>
      </c>
    </row>
    <row r="8122" customFormat="false" ht="15" hidden="false" customHeight="false" outlineLevel="0" collapsed="false">
      <c r="B8122" s="7" t="s">
        <v>22768</v>
      </c>
      <c r="C8122" s="7" t="s">
        <v>8619</v>
      </c>
      <c r="D8122" s="7" t="s">
        <v>391</v>
      </c>
      <c r="E8122" s="7" t="s">
        <v>156</v>
      </c>
      <c r="F8122" s="39" t="n">
        <v>46022</v>
      </c>
      <c r="G8122" s="41" t="n">
        <v>141.1</v>
      </c>
      <c r="H8122" s="6" t="s">
        <v>182</v>
      </c>
      <c r="I8122" s="7" t="s">
        <v>19787</v>
      </c>
      <c r="J8122" s="8" t="n">
        <f aca="false">IF(I8122="Open",DATE(2025,12,31)-F8122,"-")</f>
        <v>0</v>
      </c>
    </row>
    <row r="8123" customFormat="false" ht="15" hidden="false" customHeight="false" outlineLevel="0" collapsed="false">
      <c r="B8123" s="7" t="s">
        <v>22769</v>
      </c>
      <c r="C8123" s="7" t="s">
        <v>8620</v>
      </c>
      <c r="D8123" s="7" t="s">
        <v>393</v>
      </c>
      <c r="E8123" s="7" t="s">
        <v>157</v>
      </c>
      <c r="F8123" s="39" t="n">
        <v>46022</v>
      </c>
      <c r="G8123" s="41" t="n">
        <v>151.8</v>
      </c>
      <c r="H8123" s="6" t="s">
        <v>182</v>
      </c>
      <c r="I8123" s="7" t="s">
        <v>19787</v>
      </c>
      <c r="J8123" s="8" t="n">
        <f aca="false">IF(I8123="Open",DATE(2025,12,31)-F8123,"-")</f>
        <v>0</v>
      </c>
    </row>
    <row r="8124" customFormat="false" ht="15" hidden="false" customHeight="false" outlineLevel="0" collapsed="false">
      <c r="B8124" s="7" t="s">
        <v>22770</v>
      </c>
      <c r="C8124" s="7" t="s">
        <v>8621</v>
      </c>
      <c r="D8124" s="7" t="s">
        <v>395</v>
      </c>
      <c r="E8124" s="7" t="s">
        <v>156</v>
      </c>
      <c r="F8124" s="39" t="n">
        <v>46022</v>
      </c>
      <c r="G8124" s="41" t="n">
        <v>141.1</v>
      </c>
      <c r="H8124" s="6" t="s">
        <v>182</v>
      </c>
      <c r="I8124" s="7" t="s">
        <v>19787</v>
      </c>
      <c r="J8124" s="8" t="n">
        <f aca="false">IF(I8124="Open",DATE(2025,12,31)-F8124,"-")</f>
        <v>0</v>
      </c>
    </row>
    <row r="8125" customFormat="false" ht="15" hidden="false" customHeight="false" outlineLevel="0" collapsed="false">
      <c r="B8125" s="7" t="s">
        <v>22771</v>
      </c>
      <c r="C8125" s="7" t="s">
        <v>8622</v>
      </c>
      <c r="D8125" s="7" t="s">
        <v>399</v>
      </c>
      <c r="E8125" s="7" t="s">
        <v>154</v>
      </c>
      <c r="F8125" s="39" t="n">
        <v>46022</v>
      </c>
      <c r="G8125" s="41" t="n">
        <v>91.69</v>
      </c>
      <c r="H8125" s="6" t="s">
        <v>182</v>
      </c>
      <c r="I8125" s="7" t="s">
        <v>19787</v>
      </c>
      <c r="J8125" s="8" t="n">
        <f aca="false">IF(I8125="Open",DATE(2025,12,31)-F8125,"-")</f>
        <v>0</v>
      </c>
    </row>
    <row r="8126" customFormat="false" ht="15" hidden="false" customHeight="false" outlineLevel="0" collapsed="false">
      <c r="B8126" s="7" t="s">
        <v>22772</v>
      </c>
      <c r="C8126" s="7" t="s">
        <v>8623</v>
      </c>
      <c r="D8126" s="7" t="s">
        <v>401</v>
      </c>
      <c r="E8126" s="7" t="s">
        <v>156</v>
      </c>
      <c r="F8126" s="39" t="n">
        <v>46022</v>
      </c>
      <c r="G8126" s="41" t="n">
        <v>127.5</v>
      </c>
      <c r="H8126" s="6" t="s">
        <v>182</v>
      </c>
      <c r="I8126" s="7" t="s">
        <v>19787</v>
      </c>
      <c r="J8126" s="8" t="n">
        <f aca="false">IF(I8126="Open",DATE(2025,12,31)-F8126,"-")</f>
        <v>0</v>
      </c>
    </row>
    <row r="8127" customFormat="false" ht="15" hidden="false" customHeight="false" outlineLevel="0" collapsed="false">
      <c r="B8127" s="7" t="s">
        <v>22773</v>
      </c>
      <c r="C8127" s="7" t="s">
        <v>8624</v>
      </c>
      <c r="D8127" s="7" t="s">
        <v>403</v>
      </c>
      <c r="E8127" s="7" t="s">
        <v>156</v>
      </c>
      <c r="F8127" s="39" t="n">
        <v>46022</v>
      </c>
      <c r="G8127" s="41" t="n">
        <v>126.48</v>
      </c>
      <c r="H8127" s="6" t="s">
        <v>182</v>
      </c>
      <c r="I8127" s="7" t="s">
        <v>19787</v>
      </c>
      <c r="J8127" s="8" t="n">
        <f aca="false">IF(I8127="Open",DATE(2025,12,31)-F8127,"-")</f>
        <v>0</v>
      </c>
    </row>
    <row r="8128" customFormat="false" ht="15" hidden="false" customHeight="false" outlineLevel="0" collapsed="false">
      <c r="B8128" s="7" t="s">
        <v>22774</v>
      </c>
      <c r="C8128" s="7" t="s">
        <v>8625</v>
      </c>
      <c r="D8128" s="7" t="s">
        <v>409</v>
      </c>
      <c r="E8128" s="7" t="s">
        <v>154</v>
      </c>
      <c r="F8128" s="39" t="n">
        <v>46022</v>
      </c>
      <c r="G8128" s="41" t="n">
        <v>90.9</v>
      </c>
      <c r="H8128" s="6" t="s">
        <v>182</v>
      </c>
      <c r="I8128" s="7" t="s">
        <v>19787</v>
      </c>
      <c r="J8128" s="8" t="n">
        <f aca="false">IF(I8128="Open",DATE(2025,12,31)-F8128,"-")</f>
        <v>0</v>
      </c>
    </row>
    <row r="8129" customFormat="false" ht="15" hidden="false" customHeight="false" outlineLevel="0" collapsed="false">
      <c r="B8129" s="7" t="s">
        <v>22775</v>
      </c>
      <c r="C8129" s="7" t="s">
        <v>8626</v>
      </c>
      <c r="D8129" s="7" t="s">
        <v>411</v>
      </c>
      <c r="E8129" s="7" t="s">
        <v>154</v>
      </c>
      <c r="F8129" s="39" t="n">
        <v>46022</v>
      </c>
      <c r="G8129" s="41" t="n">
        <v>122.17</v>
      </c>
      <c r="H8129" s="6" t="s">
        <v>182</v>
      </c>
      <c r="I8129" s="7" t="s">
        <v>19787</v>
      </c>
      <c r="J8129" s="8" t="n">
        <f aca="false">IF(I8129="Open",DATE(2025,12,31)-F8129,"-")</f>
        <v>0</v>
      </c>
    </row>
    <row r="8131" customFormat="false" ht="15" hidden="false" customHeight="false" outlineLevel="0" collapsed="false">
      <c r="B8131" s="36" t="s">
        <v>22776</v>
      </c>
      <c r="G8131" s="37" t="n">
        <f aca="false">SUMIF(I6:I8129,"Open",G6:G8129)</f>
        <v>123535.67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8" min="3" style="0" width="14"/>
  </cols>
  <sheetData>
    <row r="2" customFormat="false" ht="17.35" hidden="false" customHeight="false" outlineLevel="0" collapsed="false">
      <c r="B2" s="1" t="s">
        <v>22777</v>
      </c>
    </row>
    <row r="3" customFormat="false" ht="15" hidden="false" customHeight="false" outlineLevel="0" collapsed="false">
      <c r="B3" s="2" t="s">
        <v>22778</v>
      </c>
    </row>
    <row r="5" customFormat="false" ht="15" hidden="false" customHeight="false" outlineLevel="0" collapsed="false">
      <c r="B5" s="11" t="s">
        <v>149</v>
      </c>
      <c r="C5" s="11" t="s">
        <v>22779</v>
      </c>
      <c r="D5" s="11" t="s">
        <v>22780</v>
      </c>
      <c r="E5" s="11" t="s">
        <v>22781</v>
      </c>
      <c r="F5" s="11" t="s">
        <v>22782</v>
      </c>
      <c r="G5" s="11" t="s">
        <v>22783</v>
      </c>
      <c r="H5" s="11" t="s">
        <v>22784</v>
      </c>
    </row>
    <row r="6" customFormat="false" ht="15" hidden="false" customHeight="false" outlineLevel="0" collapsed="false">
      <c r="B6" s="13" t="s">
        <v>154</v>
      </c>
      <c r="C6" s="34" t="n">
        <f aca="false">SUMIFS('AR Detail Ledger'!$G$6:$G$8129,'AR Detail Ledger'!$E$6:$E$8129,"Medicaid Waiver",'AR Detail Ledger'!$I$6:$I$8129,"Open",'AR Detail Ledger'!$J$6:$J$8129,"&lt;=0")</f>
        <v>1892.16</v>
      </c>
      <c r="D6" s="34" t="n">
        <f aca="false">SUMIFS('AR Detail Ledger'!$G$6:$G$8129,'AR Detail Ledger'!$E$6:$E$8129,"Medicaid Waiver",'AR Detail Ledger'!$I$6:$I$8129,"Open",'AR Detail Ledger'!$J$6:$J$8129,"&gt;0",'AR Detail Ledger'!$J$6:$J$8129,"&lt;=30")</f>
        <v>33909.53</v>
      </c>
      <c r="E6" s="34" t="n">
        <f aca="false">SUMIFS('AR Detail Ledger'!$G$6:$G$8129,'AR Detail Ledger'!$E$6:$E$8129,"Medicaid Waiver",'AR Detail Ledger'!$I$6:$I$8129,"Open",'AR Detail Ledger'!$J$6:$J$8129,"&gt;30",'AR Detail Ledger'!$J$6:$J$8129,"&lt;=60")</f>
        <v>24943.43</v>
      </c>
      <c r="F6" s="34" t="n">
        <f aca="false">SUMIFS('AR Detail Ledger'!$G$6:$G$8129,'AR Detail Ledger'!$E$6:$E$8129,"Medicaid Waiver",'AR Detail Ledger'!$I$6:$I$8129,"Open",'AR Detail Ledger'!$J$6:$J$8129,"&gt;60",'AR Detail Ledger'!$J$6:$J$8129,"&lt;=90")</f>
        <v>11072.34</v>
      </c>
      <c r="G6" s="34" t="n">
        <f aca="false">SUMIFS('AR Detail Ledger'!$G$6:$G$8129,'AR Detail Ledger'!$E$6:$E$8129,"Medicaid Waiver",'AR Detail Ledger'!$I$6:$I$8129,"Open",'AR Detail Ledger'!$J$6:$J$8129,"&gt;90")</f>
        <v>3114.76</v>
      </c>
      <c r="H6" s="35" t="n">
        <f aca="false">SUM(C6:G6)</f>
        <v>74932.22</v>
      </c>
    </row>
    <row r="7" customFormat="false" ht="15" hidden="false" customHeight="false" outlineLevel="0" collapsed="false">
      <c r="B7" s="13" t="s">
        <v>156</v>
      </c>
      <c r="C7" s="34" t="n">
        <f aca="false">SUMIFS('AR Detail Ledger'!$G$6:$G$8129,'AR Detail Ledger'!$E$6:$E$8129,"Private Pay",'AR Detail Ledger'!$I$6:$I$8129,"Open",'AR Detail Ledger'!$J$6:$J$8129,"&lt;=0")</f>
        <v>1411</v>
      </c>
      <c r="D7" s="34" t="n">
        <f aca="false">SUMIFS('AR Detail Ledger'!$G$6:$G$8129,'AR Detail Ledger'!$E$6:$E$8129,"Private Pay",'AR Detail Ledger'!$I$6:$I$8129,"Open",'AR Detail Ledger'!$J$6:$J$8129,"&gt;0",'AR Detail Ledger'!$J$6:$J$8129,"&lt;=30")</f>
        <v>13706.76</v>
      </c>
      <c r="E7" s="34" t="n">
        <f aca="false">SUMIFS('AR Detail Ledger'!$G$6:$G$8129,'AR Detail Ledger'!$E$6:$E$8129,"Private Pay",'AR Detail Ledger'!$I$6:$I$8129,"Open",'AR Detail Ledger'!$J$6:$J$8129,"&gt;30",'AR Detail Ledger'!$J$6:$J$8129,"&lt;=60")</f>
        <v>0</v>
      </c>
      <c r="F7" s="34" t="n">
        <f aca="false">SUMIFS('AR Detail Ledger'!$G$6:$G$8129,'AR Detail Ledger'!$E$6:$E$8129,"Private Pay",'AR Detail Ledger'!$I$6:$I$8129,"Open",'AR Detail Ledger'!$J$6:$J$8129,"&gt;60",'AR Detail Ledger'!$J$6:$J$8129,"&lt;=90")</f>
        <v>0</v>
      </c>
      <c r="G7" s="34" t="n">
        <f aca="false">SUMIFS('AR Detail Ledger'!$G$6:$G$8129,'AR Detail Ledger'!$E$6:$E$8129,"Private Pay",'AR Detail Ledger'!$I$6:$I$8129,"Open",'AR Detail Ledger'!$J$6:$J$8129,"&gt;90")</f>
        <v>0</v>
      </c>
      <c r="H7" s="35" t="n">
        <f aca="false">SUM(C7:G7)</f>
        <v>15117.76</v>
      </c>
    </row>
    <row r="8" customFormat="false" ht="15" hidden="false" customHeight="false" outlineLevel="0" collapsed="false">
      <c r="B8" s="13" t="s">
        <v>157</v>
      </c>
      <c r="C8" s="34" t="n">
        <f aca="false">SUMIFS('AR Detail Ledger'!$G$6:$G$8129,'AR Detail Ledger'!$E$6:$E$8129,"Medicare (Skilled)",'AR Detail Ledger'!$I$6:$I$8129,"Open",'AR Detail Ledger'!$J$6:$J$8129,"&lt;=0")</f>
        <v>486.75</v>
      </c>
      <c r="D8" s="34" t="n">
        <f aca="false">SUMIFS('AR Detail Ledger'!$G$6:$G$8129,'AR Detail Ledger'!$E$6:$E$8129,"Medicare (Skilled)",'AR Detail Ledger'!$I$6:$I$8129,"Open",'AR Detail Ledger'!$J$6:$J$8129,"&gt;0",'AR Detail Ledger'!$J$6:$J$8129,"&lt;=30")</f>
        <v>12534.71</v>
      </c>
      <c r="E8" s="34" t="n">
        <f aca="false">SUMIFS('AR Detail Ledger'!$G$6:$G$8129,'AR Detail Ledger'!$E$6:$E$8129,"Medicare (Skilled)",'AR Detail Ledger'!$I$6:$I$8129,"Open",'AR Detail Ledger'!$J$6:$J$8129,"&gt;30",'AR Detail Ledger'!$J$6:$J$8129,"&lt;=60")</f>
        <v>4323.66</v>
      </c>
      <c r="F8" s="34" t="n">
        <f aca="false">SUMIFS('AR Detail Ledger'!$G$6:$G$8129,'AR Detail Ledger'!$E$6:$E$8129,"Medicare (Skilled)",'AR Detail Ledger'!$I$6:$I$8129,"Open",'AR Detail Ledger'!$J$6:$J$8129,"&gt;60",'AR Detail Ledger'!$J$6:$J$8129,"&lt;=90")</f>
        <v>1514.7</v>
      </c>
      <c r="G8" s="34" t="n">
        <f aca="false">SUMIFS('AR Detail Ledger'!$G$6:$G$8129,'AR Detail Ledger'!$E$6:$E$8129,"Medicare (Skilled)",'AR Detail Ledger'!$I$6:$I$8129,"Open",'AR Detail Ledger'!$J$6:$J$8129,"&gt;90")</f>
        <v>169.95</v>
      </c>
      <c r="H8" s="35" t="n">
        <f aca="false">SUM(C8:G8)</f>
        <v>19029.77</v>
      </c>
    </row>
    <row r="9" customFormat="false" ht="15" hidden="false" customHeight="false" outlineLevel="0" collapsed="false">
      <c r="B9" s="13" t="s">
        <v>159</v>
      </c>
      <c r="C9" s="34" t="n">
        <f aca="false">SUMIFS('AR Detail Ledger'!$G$6:$G$8129,'AR Detail Ledger'!$E$6:$E$8129,"Private Insurance",'AR Detail Ledger'!$I$6:$I$8129,"Open",'AR Detail Ledger'!$J$6:$J$8129,"&lt;=0")</f>
        <v>292.95</v>
      </c>
      <c r="D9" s="34" t="n">
        <f aca="false">SUMIFS('AR Detail Ledger'!$G$6:$G$8129,'AR Detail Ledger'!$E$6:$E$8129,"Private Insurance",'AR Detail Ledger'!$I$6:$I$8129,"Open",'AR Detail Ledger'!$J$6:$J$8129,"&gt;0",'AR Detail Ledger'!$J$6:$J$8129,"&lt;=30")</f>
        <v>7990.51</v>
      </c>
      <c r="E9" s="34" t="n">
        <f aca="false">SUMIFS('AR Detail Ledger'!$G$6:$G$8129,'AR Detail Ledger'!$E$6:$E$8129,"Private Insurance",'AR Detail Ledger'!$I$6:$I$8129,"Open",'AR Detail Ledger'!$J$6:$J$8129,"&gt;30",'AR Detail Ledger'!$J$6:$J$8129,"&lt;=60")</f>
        <v>3905.95</v>
      </c>
      <c r="F9" s="34" t="n">
        <f aca="false">SUMIFS('AR Detail Ledger'!$G$6:$G$8129,'AR Detail Ledger'!$E$6:$E$8129,"Private Insurance",'AR Detail Ledger'!$I$6:$I$8129,"Open",'AR Detail Ledger'!$J$6:$J$8129,"&gt;60",'AR Detail Ledger'!$J$6:$J$8129,"&lt;=90")</f>
        <v>2124.76</v>
      </c>
      <c r="G9" s="34" t="n">
        <f aca="false">SUMIFS('AR Detail Ledger'!$G$6:$G$8129,'AR Detail Ledger'!$E$6:$E$8129,"Private Insurance",'AR Detail Ledger'!$I$6:$I$8129,"Open",'AR Detail Ledger'!$J$6:$J$8129,"&gt;90")</f>
        <v>141.75</v>
      </c>
      <c r="H9" s="35" t="n">
        <f aca="false">SUM(C9:G9)</f>
        <v>14455.92</v>
      </c>
    </row>
    <row r="10" customFormat="false" ht="15" hidden="false" customHeight="false" outlineLevel="0" collapsed="false">
      <c r="B10" s="46" t="s">
        <v>22785</v>
      </c>
      <c r="C10" s="47" t="n">
        <f aca="false">SUM(C6:C9)</f>
        <v>4082.86</v>
      </c>
      <c r="D10" s="47" t="n">
        <f aca="false">SUM(D6:D9)</f>
        <v>68141.51</v>
      </c>
      <c r="E10" s="47" t="n">
        <f aca="false">SUM(E6:E9)</f>
        <v>33173.04</v>
      </c>
      <c r="F10" s="47" t="n">
        <f aca="false">SUM(F6:F9)</f>
        <v>14711.8</v>
      </c>
      <c r="G10" s="47" t="n">
        <f aca="false">SUM(G6:G9)</f>
        <v>3426.46</v>
      </c>
      <c r="H10" s="47" t="n">
        <f aca="false">SUM(H6:H9)</f>
        <v>123535.67</v>
      </c>
    </row>
    <row r="12" customFormat="false" ht="15" hidden="false" customHeight="false" outlineLevel="0" collapsed="false">
      <c r="B12" s="3" t="s">
        <v>22786</v>
      </c>
    </row>
    <row r="13" customFormat="false" ht="15" hidden="false" customHeight="false" outlineLevel="0" collapsed="false">
      <c r="C13" s="49" t="s">
        <v>22779</v>
      </c>
      <c r="D13" s="49" t="s">
        <v>22787</v>
      </c>
      <c r="E13" s="49" t="s">
        <v>22788</v>
      </c>
      <c r="F13" s="49" t="s">
        <v>22789</v>
      </c>
      <c r="G13" s="49" t="s">
        <v>22790</v>
      </c>
    </row>
    <row r="14" customFormat="false" ht="15" hidden="false" customHeight="false" outlineLevel="0" collapsed="false">
      <c r="C14" s="28" t="n">
        <f aca="false">IFERROR(C10/$H$10,0)</f>
        <v>0.0330500494310672</v>
      </c>
      <c r="D14" s="28" t="n">
        <f aca="false">IFERROR(D10/$H$10,0)</f>
        <v>0.551593802826342</v>
      </c>
      <c r="E14" s="28" t="n">
        <f aca="false">IFERROR(E10/$H$10,0)</f>
        <v>0.268530052898892</v>
      </c>
      <c r="F14" s="28" t="n">
        <f aca="false">IFERROR(F10/$H$10,0)</f>
        <v>0.119089490509098</v>
      </c>
      <c r="G14" s="28" t="n">
        <f aca="false">IFERROR(G10/$H$10,0)</f>
        <v>0.0277366043346023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11"/>
    <col collapsed="false" customWidth="true" hidden="false" outlineLevel="0" max="4" min="4" style="0" width="42"/>
    <col collapsed="false" customWidth="true" hidden="false" outlineLevel="0" max="5" min="5" style="0" width="13"/>
    <col collapsed="false" customWidth="true" hidden="false" outlineLevel="0" max="6" min="6" style="0" width="18"/>
  </cols>
  <sheetData>
    <row r="2" customFormat="false" ht="17.35" hidden="false" customHeight="false" outlineLevel="0" collapsed="false">
      <c r="B2" s="1" t="s">
        <v>22791</v>
      </c>
    </row>
    <row r="3" customFormat="false" ht="15" hidden="false" customHeight="false" outlineLevel="0" collapsed="false">
      <c r="B3" s="2" t="s">
        <v>22792</v>
      </c>
    </row>
    <row r="5" customFormat="false" ht="23.85" hidden="false" customHeight="false" outlineLevel="0" collapsed="false">
      <c r="B5" s="11" t="s">
        <v>22793</v>
      </c>
      <c r="C5" s="11" t="s">
        <v>484</v>
      </c>
      <c r="D5" s="11" t="s">
        <v>430</v>
      </c>
      <c r="E5" s="11" t="s">
        <v>485</v>
      </c>
      <c r="F5" s="11" t="s">
        <v>22794</v>
      </c>
    </row>
    <row r="6" customFormat="false" ht="15" hidden="false" customHeight="false" outlineLevel="0" collapsed="false">
      <c r="B6" s="7" t="s">
        <v>22795</v>
      </c>
      <c r="C6" s="39" t="n">
        <v>45658</v>
      </c>
      <c r="D6" s="7" t="s">
        <v>124</v>
      </c>
      <c r="E6" s="41" t="n">
        <v>2079.87</v>
      </c>
      <c r="F6" s="7" t="s">
        <v>22796</v>
      </c>
    </row>
    <row r="7" customFormat="false" ht="15" hidden="false" customHeight="false" outlineLevel="0" collapsed="false">
      <c r="B7" s="7" t="s">
        <v>22797</v>
      </c>
      <c r="C7" s="39" t="n">
        <v>45669</v>
      </c>
      <c r="D7" s="7" t="s">
        <v>22798</v>
      </c>
      <c r="E7" s="41" t="n">
        <v>87.47</v>
      </c>
      <c r="F7" s="7" t="s">
        <v>22796</v>
      </c>
    </row>
    <row r="8" customFormat="false" ht="15" hidden="false" customHeight="false" outlineLevel="0" collapsed="false">
      <c r="B8" s="7" t="s">
        <v>22799</v>
      </c>
      <c r="C8" s="39" t="n">
        <v>45672</v>
      </c>
      <c r="D8" s="7" t="s">
        <v>22798</v>
      </c>
      <c r="E8" s="41" t="n">
        <v>57.1</v>
      </c>
      <c r="F8" s="7" t="s">
        <v>22796</v>
      </c>
    </row>
    <row r="9" customFormat="false" ht="15" hidden="false" customHeight="false" outlineLevel="0" collapsed="false">
      <c r="B9" s="7" t="s">
        <v>22800</v>
      </c>
      <c r="C9" s="39" t="n">
        <v>45688</v>
      </c>
      <c r="D9" s="7" t="s">
        <v>22798</v>
      </c>
      <c r="E9" s="41" t="n">
        <v>73.3</v>
      </c>
      <c r="F9" s="7" t="s">
        <v>22796</v>
      </c>
    </row>
    <row r="10" customFormat="false" ht="15" hidden="false" customHeight="false" outlineLevel="0" collapsed="false">
      <c r="B10" s="7" t="s">
        <v>22801</v>
      </c>
      <c r="C10" s="39" t="n">
        <v>45658</v>
      </c>
      <c r="D10" s="7" t="s">
        <v>22802</v>
      </c>
      <c r="E10" s="41" t="n">
        <v>24.33</v>
      </c>
      <c r="F10" s="7" t="s">
        <v>22796</v>
      </c>
    </row>
    <row r="11" customFormat="false" ht="15" hidden="false" customHeight="false" outlineLevel="0" collapsed="false">
      <c r="B11" s="7" t="s">
        <v>22803</v>
      </c>
      <c r="C11" s="39" t="n">
        <v>45671</v>
      </c>
      <c r="D11" s="7" t="s">
        <v>22802</v>
      </c>
      <c r="E11" s="41" t="n">
        <v>15.84</v>
      </c>
      <c r="F11" s="7" t="s">
        <v>22796</v>
      </c>
    </row>
    <row r="12" customFormat="false" ht="15" hidden="false" customHeight="false" outlineLevel="0" collapsed="false">
      <c r="B12" s="7" t="s">
        <v>22804</v>
      </c>
      <c r="C12" s="39" t="n">
        <v>45674</v>
      </c>
      <c r="D12" s="7" t="s">
        <v>22802</v>
      </c>
      <c r="E12" s="41" t="n">
        <v>12.13</v>
      </c>
      <c r="F12" s="7" t="s">
        <v>22796</v>
      </c>
    </row>
    <row r="13" customFormat="false" ht="15" hidden="false" customHeight="false" outlineLevel="0" collapsed="false">
      <c r="B13" s="7" t="s">
        <v>22805</v>
      </c>
      <c r="C13" s="39" t="n">
        <v>45677</v>
      </c>
      <c r="D13" s="7" t="s">
        <v>22802</v>
      </c>
      <c r="E13" s="41" t="n">
        <v>12.92</v>
      </c>
      <c r="F13" s="7" t="s">
        <v>22796</v>
      </c>
    </row>
    <row r="14" customFormat="false" ht="15" hidden="false" customHeight="false" outlineLevel="0" collapsed="false">
      <c r="B14" s="7" t="s">
        <v>22806</v>
      </c>
      <c r="C14" s="39" t="n">
        <v>45659</v>
      </c>
      <c r="D14" s="7" t="s">
        <v>22807</v>
      </c>
      <c r="E14" s="41" t="n">
        <v>23.47</v>
      </c>
      <c r="F14" s="7" t="s">
        <v>22796</v>
      </c>
    </row>
    <row r="15" customFormat="false" ht="15" hidden="false" customHeight="false" outlineLevel="0" collapsed="false">
      <c r="B15" s="7" t="s">
        <v>22808</v>
      </c>
      <c r="C15" s="39" t="n">
        <v>45663</v>
      </c>
      <c r="D15" s="7" t="s">
        <v>22807</v>
      </c>
      <c r="E15" s="41" t="n">
        <v>18.42</v>
      </c>
      <c r="F15" s="7" t="s">
        <v>22796</v>
      </c>
    </row>
    <row r="16" customFormat="false" ht="15" hidden="false" customHeight="false" outlineLevel="0" collapsed="false">
      <c r="B16" s="7" t="s">
        <v>22809</v>
      </c>
      <c r="C16" s="39" t="n">
        <v>45670</v>
      </c>
      <c r="D16" s="7" t="s">
        <v>22807</v>
      </c>
      <c r="E16" s="41" t="n">
        <v>14.57</v>
      </c>
      <c r="F16" s="7" t="s">
        <v>22796</v>
      </c>
    </row>
    <row r="17" customFormat="false" ht="15" hidden="false" customHeight="false" outlineLevel="0" collapsed="false">
      <c r="B17" s="7" t="s">
        <v>22810</v>
      </c>
      <c r="C17" s="39" t="n">
        <v>45685</v>
      </c>
      <c r="D17" s="7" t="s">
        <v>22807</v>
      </c>
      <c r="E17" s="41" t="n">
        <v>44.63</v>
      </c>
      <c r="F17" s="7" t="s">
        <v>22796</v>
      </c>
    </row>
    <row r="18" customFormat="false" ht="15" hidden="false" customHeight="false" outlineLevel="0" collapsed="false">
      <c r="B18" s="7" t="s">
        <v>22811</v>
      </c>
      <c r="C18" s="39" t="n">
        <v>45666</v>
      </c>
      <c r="D18" s="7" t="s">
        <v>22812</v>
      </c>
      <c r="E18" s="41" t="n">
        <v>1539.98</v>
      </c>
      <c r="F18" s="7" t="s">
        <v>22813</v>
      </c>
    </row>
    <row r="19" customFormat="false" ht="15" hidden="false" customHeight="false" outlineLevel="0" collapsed="false">
      <c r="B19" s="7" t="s">
        <v>22814</v>
      </c>
      <c r="C19" s="39" t="n">
        <v>45680</v>
      </c>
      <c r="D19" s="7" t="s">
        <v>22812</v>
      </c>
      <c r="E19" s="41" t="n">
        <v>1539.98</v>
      </c>
      <c r="F19" s="7" t="s">
        <v>22813</v>
      </c>
    </row>
    <row r="20" customFormat="false" ht="15" hidden="false" customHeight="false" outlineLevel="0" collapsed="false">
      <c r="B20" s="7" t="s">
        <v>22815</v>
      </c>
      <c r="C20" s="39" t="n">
        <v>45666</v>
      </c>
      <c r="D20" s="7" t="s">
        <v>22816</v>
      </c>
      <c r="E20" s="41" t="n">
        <v>1373.88</v>
      </c>
      <c r="F20" s="7" t="s">
        <v>22813</v>
      </c>
    </row>
    <row r="21" customFormat="false" ht="15" hidden="false" customHeight="false" outlineLevel="0" collapsed="false">
      <c r="B21" s="7" t="s">
        <v>22817</v>
      </c>
      <c r="C21" s="39" t="n">
        <v>45680</v>
      </c>
      <c r="D21" s="7" t="s">
        <v>22816</v>
      </c>
      <c r="E21" s="41" t="n">
        <v>1373.88</v>
      </c>
      <c r="F21" s="7" t="s">
        <v>22813</v>
      </c>
    </row>
    <row r="22" customFormat="false" ht="15" hidden="false" customHeight="false" outlineLevel="0" collapsed="false">
      <c r="B22" s="7" t="s">
        <v>22818</v>
      </c>
      <c r="C22" s="39" t="n">
        <v>45666</v>
      </c>
      <c r="D22" s="7" t="s">
        <v>22819</v>
      </c>
      <c r="E22" s="41" t="n">
        <v>670.62</v>
      </c>
      <c r="F22" s="7" t="s">
        <v>22813</v>
      </c>
    </row>
    <row r="23" customFormat="false" ht="15" hidden="false" customHeight="false" outlineLevel="0" collapsed="false">
      <c r="B23" s="7" t="s">
        <v>22820</v>
      </c>
      <c r="C23" s="39" t="n">
        <v>45680</v>
      </c>
      <c r="D23" s="7" t="s">
        <v>22819</v>
      </c>
      <c r="E23" s="41" t="n">
        <v>670.61</v>
      </c>
      <c r="F23" s="7" t="s">
        <v>22813</v>
      </c>
    </row>
    <row r="24" customFormat="false" ht="15" hidden="false" customHeight="false" outlineLevel="0" collapsed="false">
      <c r="B24" s="7" t="s">
        <v>22821</v>
      </c>
      <c r="C24" s="39" t="n">
        <v>45666</v>
      </c>
      <c r="D24" s="7" t="s">
        <v>22822</v>
      </c>
      <c r="E24" s="41" t="n">
        <v>2584.82</v>
      </c>
      <c r="F24" s="7" t="s">
        <v>22813</v>
      </c>
    </row>
    <row r="25" customFormat="false" ht="15" hidden="false" customHeight="false" outlineLevel="0" collapsed="false">
      <c r="B25" s="7" t="s">
        <v>22823</v>
      </c>
      <c r="C25" s="39" t="n">
        <v>45680</v>
      </c>
      <c r="D25" s="7" t="s">
        <v>22822</v>
      </c>
      <c r="E25" s="41" t="n">
        <v>2584.81</v>
      </c>
      <c r="F25" s="7" t="s">
        <v>22813</v>
      </c>
    </row>
    <row r="26" customFormat="false" ht="15" hidden="false" customHeight="false" outlineLevel="0" collapsed="false">
      <c r="B26" s="7" t="s">
        <v>22824</v>
      </c>
      <c r="C26" s="39" t="n">
        <v>45658</v>
      </c>
      <c r="D26" s="7" t="s">
        <v>22825</v>
      </c>
      <c r="E26" s="41" t="n">
        <v>700.02</v>
      </c>
      <c r="F26" s="7" t="s">
        <v>22796</v>
      </c>
    </row>
    <row r="27" customFormat="false" ht="15" hidden="false" customHeight="false" outlineLevel="0" collapsed="false">
      <c r="B27" s="7" t="s">
        <v>22826</v>
      </c>
      <c r="C27" s="39" t="n">
        <v>45658</v>
      </c>
      <c r="D27" s="7" t="s">
        <v>22827</v>
      </c>
      <c r="E27" s="41" t="n">
        <v>117.37</v>
      </c>
      <c r="F27" s="7" t="s">
        <v>22796</v>
      </c>
    </row>
    <row r="28" customFormat="false" ht="15" hidden="false" customHeight="false" outlineLevel="0" collapsed="false">
      <c r="B28" s="7" t="s">
        <v>22828</v>
      </c>
      <c r="C28" s="39" t="n">
        <v>45658</v>
      </c>
      <c r="D28" s="7" t="s">
        <v>22829</v>
      </c>
      <c r="E28" s="41" t="n">
        <v>82.06</v>
      </c>
      <c r="F28" s="7" t="s">
        <v>22796</v>
      </c>
    </row>
    <row r="29" customFormat="false" ht="15" hidden="false" customHeight="false" outlineLevel="0" collapsed="false">
      <c r="B29" s="7" t="s">
        <v>22830</v>
      </c>
      <c r="C29" s="39" t="n">
        <v>45658</v>
      </c>
      <c r="D29" s="7" t="s">
        <v>22831</v>
      </c>
      <c r="E29" s="41" t="n">
        <v>90.14</v>
      </c>
      <c r="F29" s="7" t="s">
        <v>22796</v>
      </c>
    </row>
    <row r="30" customFormat="false" ht="15" hidden="false" customHeight="false" outlineLevel="0" collapsed="false">
      <c r="B30" s="7" t="s">
        <v>22832</v>
      </c>
      <c r="C30" s="39" t="n">
        <v>45666</v>
      </c>
      <c r="D30" s="7" t="s">
        <v>132</v>
      </c>
      <c r="E30" s="41" t="n">
        <v>214.43</v>
      </c>
      <c r="F30" s="7" t="s">
        <v>22813</v>
      </c>
    </row>
    <row r="31" customFormat="false" ht="15" hidden="false" customHeight="false" outlineLevel="0" collapsed="false">
      <c r="B31" s="7" t="s">
        <v>22833</v>
      </c>
      <c r="C31" s="39" t="n">
        <v>45680</v>
      </c>
      <c r="D31" s="7" t="s">
        <v>132</v>
      </c>
      <c r="E31" s="41" t="n">
        <v>214.43</v>
      </c>
      <c r="F31" s="7" t="s">
        <v>22813</v>
      </c>
    </row>
    <row r="32" customFormat="false" ht="15" hidden="false" customHeight="false" outlineLevel="0" collapsed="false">
      <c r="B32" s="7" t="s">
        <v>22834</v>
      </c>
      <c r="C32" s="39" t="n">
        <v>45658</v>
      </c>
      <c r="D32" s="7" t="s">
        <v>22835</v>
      </c>
      <c r="E32" s="41" t="n">
        <v>950</v>
      </c>
      <c r="F32" s="7" t="s">
        <v>22796</v>
      </c>
    </row>
    <row r="33" customFormat="false" ht="15" hidden="false" customHeight="false" outlineLevel="0" collapsed="false">
      <c r="B33" s="7" t="s">
        <v>22836</v>
      </c>
      <c r="C33" s="39" t="n">
        <v>45658</v>
      </c>
      <c r="D33" s="7" t="s">
        <v>22837</v>
      </c>
      <c r="E33" s="41" t="n">
        <v>367.13</v>
      </c>
      <c r="F33" s="7" t="s">
        <v>22796</v>
      </c>
    </row>
    <row r="34" customFormat="false" ht="15" hidden="false" customHeight="false" outlineLevel="0" collapsed="false">
      <c r="B34" s="7" t="s">
        <v>22838</v>
      </c>
      <c r="C34" s="39" t="n">
        <v>45658</v>
      </c>
      <c r="D34" s="7" t="s">
        <v>22839</v>
      </c>
      <c r="E34" s="41" t="n">
        <v>137.55</v>
      </c>
      <c r="F34" s="7" t="s">
        <v>22796</v>
      </c>
    </row>
    <row r="35" customFormat="false" ht="15" hidden="false" customHeight="false" outlineLevel="0" collapsed="false">
      <c r="B35" s="7" t="s">
        <v>22840</v>
      </c>
      <c r="C35" s="39" t="n">
        <v>45660</v>
      </c>
      <c r="D35" s="7" t="s">
        <v>22841</v>
      </c>
      <c r="E35" s="41" t="n">
        <v>96.93</v>
      </c>
      <c r="F35" s="7" t="s">
        <v>22796</v>
      </c>
    </row>
    <row r="36" customFormat="false" ht="15" hidden="false" customHeight="false" outlineLevel="0" collapsed="false">
      <c r="B36" s="7" t="s">
        <v>22842</v>
      </c>
      <c r="C36" s="39" t="n">
        <v>45674</v>
      </c>
      <c r="D36" s="7" t="s">
        <v>22841</v>
      </c>
      <c r="E36" s="41" t="n">
        <v>76.21</v>
      </c>
      <c r="F36" s="7" t="s">
        <v>22796</v>
      </c>
    </row>
    <row r="37" customFormat="false" ht="15" hidden="false" customHeight="false" outlineLevel="0" collapsed="false">
      <c r="B37" s="7" t="s">
        <v>22843</v>
      </c>
      <c r="C37" s="39" t="n">
        <v>45686</v>
      </c>
      <c r="D37" s="7" t="s">
        <v>22841</v>
      </c>
      <c r="E37" s="41" t="n">
        <v>77.29</v>
      </c>
      <c r="F37" s="7" t="s">
        <v>22796</v>
      </c>
    </row>
    <row r="38" customFormat="false" ht="15" hidden="false" customHeight="false" outlineLevel="0" collapsed="false">
      <c r="B38" s="7" t="s">
        <v>22844</v>
      </c>
      <c r="C38" s="39" t="n">
        <v>45661</v>
      </c>
      <c r="D38" s="7" t="s">
        <v>22845</v>
      </c>
      <c r="E38" s="41" t="n">
        <v>142.69</v>
      </c>
      <c r="F38" s="7" t="s">
        <v>22796</v>
      </c>
    </row>
    <row r="39" customFormat="false" ht="15" hidden="false" customHeight="false" outlineLevel="0" collapsed="false">
      <c r="B39" s="7" t="s">
        <v>22846</v>
      </c>
      <c r="C39" s="39" t="n">
        <v>45685</v>
      </c>
      <c r="D39" s="7" t="s">
        <v>22845</v>
      </c>
      <c r="E39" s="41" t="n">
        <v>226.18</v>
      </c>
      <c r="F39" s="7" t="s">
        <v>22796</v>
      </c>
    </row>
    <row r="40" customFormat="false" ht="15" hidden="false" customHeight="false" outlineLevel="0" collapsed="false">
      <c r="B40" s="7" t="s">
        <v>22847</v>
      </c>
      <c r="C40" s="39" t="n">
        <v>45668</v>
      </c>
      <c r="D40" s="7" t="s">
        <v>22848</v>
      </c>
      <c r="E40" s="41" t="n">
        <v>107.73</v>
      </c>
      <c r="F40" s="7" t="s">
        <v>22796</v>
      </c>
    </row>
    <row r="41" customFormat="false" ht="15" hidden="false" customHeight="false" outlineLevel="0" collapsed="false">
      <c r="B41" s="7" t="s">
        <v>22849</v>
      </c>
      <c r="C41" s="39" t="n">
        <v>45674</v>
      </c>
      <c r="D41" s="7" t="s">
        <v>22848</v>
      </c>
      <c r="E41" s="41" t="n">
        <v>38.71</v>
      </c>
      <c r="F41" s="7" t="s">
        <v>22796</v>
      </c>
    </row>
    <row r="42" customFormat="false" ht="15" hidden="false" customHeight="false" outlineLevel="0" collapsed="false">
      <c r="B42" s="7" t="s">
        <v>22850</v>
      </c>
      <c r="C42" s="39" t="n">
        <v>45679</v>
      </c>
      <c r="D42" s="7" t="s">
        <v>22848</v>
      </c>
      <c r="E42" s="41" t="n">
        <v>116.1</v>
      </c>
      <c r="F42" s="7" t="s">
        <v>22796</v>
      </c>
    </row>
    <row r="43" customFormat="false" ht="15" hidden="false" customHeight="false" outlineLevel="0" collapsed="false">
      <c r="B43" s="7" t="s">
        <v>22851</v>
      </c>
      <c r="C43" s="39" t="n">
        <v>45659</v>
      </c>
      <c r="D43" s="7" t="s">
        <v>136</v>
      </c>
      <c r="E43" s="41" t="n">
        <v>44.54</v>
      </c>
      <c r="F43" s="7" t="s">
        <v>22796</v>
      </c>
    </row>
    <row r="44" customFormat="false" ht="15" hidden="false" customHeight="false" outlineLevel="0" collapsed="false">
      <c r="B44" s="7" t="s">
        <v>22852</v>
      </c>
      <c r="C44" s="39" t="n">
        <v>45676</v>
      </c>
      <c r="D44" s="7" t="s">
        <v>136</v>
      </c>
      <c r="E44" s="41" t="n">
        <v>47.82</v>
      </c>
      <c r="F44" s="7" t="s">
        <v>22796</v>
      </c>
    </row>
    <row r="45" customFormat="false" ht="15" hidden="false" customHeight="false" outlineLevel="0" collapsed="false">
      <c r="B45" s="7" t="s">
        <v>22853</v>
      </c>
      <c r="C45" s="39" t="n">
        <v>45686</v>
      </c>
      <c r="D45" s="7" t="s">
        <v>136</v>
      </c>
      <c r="E45" s="41" t="n">
        <v>66.46</v>
      </c>
      <c r="F45" s="7" t="s">
        <v>22796</v>
      </c>
    </row>
    <row r="46" customFormat="false" ht="15" hidden="false" customHeight="false" outlineLevel="0" collapsed="false">
      <c r="B46" s="7" t="s">
        <v>22854</v>
      </c>
      <c r="C46" s="39" t="n">
        <v>45658</v>
      </c>
      <c r="D46" s="7" t="s">
        <v>22855</v>
      </c>
      <c r="E46" s="41" t="n">
        <v>170.62</v>
      </c>
      <c r="F46" s="7" t="s">
        <v>22796</v>
      </c>
    </row>
    <row r="47" customFormat="false" ht="15" hidden="false" customHeight="false" outlineLevel="0" collapsed="false">
      <c r="B47" s="7" t="s">
        <v>22856</v>
      </c>
      <c r="C47" s="39" t="n">
        <v>45658</v>
      </c>
      <c r="D47" s="7" t="s">
        <v>22857</v>
      </c>
      <c r="E47" s="41" t="n">
        <v>455.93</v>
      </c>
      <c r="F47" s="7" t="s">
        <v>22796</v>
      </c>
    </row>
    <row r="48" customFormat="false" ht="15" hidden="false" customHeight="false" outlineLevel="0" collapsed="false">
      <c r="B48" s="7" t="s">
        <v>22858</v>
      </c>
      <c r="C48" s="39" t="n">
        <v>45667</v>
      </c>
      <c r="D48" s="7" t="s">
        <v>22859</v>
      </c>
      <c r="E48" s="41" t="n">
        <v>228.13</v>
      </c>
      <c r="F48" s="7" t="s">
        <v>22796</v>
      </c>
    </row>
    <row r="49" customFormat="false" ht="15" hidden="false" customHeight="false" outlineLevel="0" collapsed="false">
      <c r="B49" s="7" t="s">
        <v>22860</v>
      </c>
      <c r="C49" s="39" t="n">
        <v>45673</v>
      </c>
      <c r="D49" s="7" t="s">
        <v>22859</v>
      </c>
      <c r="E49" s="41" t="n">
        <v>257.45</v>
      </c>
      <c r="F49" s="7" t="s">
        <v>22796</v>
      </c>
    </row>
    <row r="50" customFormat="false" ht="15" hidden="false" customHeight="false" outlineLevel="0" collapsed="false">
      <c r="B50" s="7" t="s">
        <v>22861</v>
      </c>
      <c r="C50" s="39" t="n">
        <v>45659</v>
      </c>
      <c r="D50" s="7" t="s">
        <v>22862</v>
      </c>
      <c r="E50" s="41" t="n">
        <v>53.44</v>
      </c>
      <c r="F50" s="7" t="s">
        <v>22796</v>
      </c>
    </row>
    <row r="51" customFormat="false" ht="15" hidden="false" customHeight="false" outlineLevel="0" collapsed="false">
      <c r="B51" s="7" t="s">
        <v>22863</v>
      </c>
      <c r="C51" s="39" t="n">
        <v>45671</v>
      </c>
      <c r="D51" s="7" t="s">
        <v>22862</v>
      </c>
      <c r="E51" s="41" t="n">
        <v>33.38</v>
      </c>
      <c r="F51" s="7" t="s">
        <v>22796</v>
      </c>
    </row>
    <row r="52" customFormat="false" ht="15" hidden="false" customHeight="false" outlineLevel="0" collapsed="false">
      <c r="B52" s="7" t="s">
        <v>22864</v>
      </c>
      <c r="C52" s="39" t="n">
        <v>45680</v>
      </c>
      <c r="D52" s="7" t="s">
        <v>22862</v>
      </c>
      <c r="E52" s="41" t="n">
        <v>69.48</v>
      </c>
      <c r="F52" s="7" t="s">
        <v>22796</v>
      </c>
    </row>
    <row r="53" customFormat="false" ht="15" hidden="false" customHeight="false" outlineLevel="0" collapsed="false">
      <c r="B53" s="7" t="s">
        <v>22865</v>
      </c>
      <c r="C53" s="39" t="n">
        <v>45660</v>
      </c>
      <c r="D53" s="7" t="s">
        <v>22866</v>
      </c>
      <c r="E53" s="41" t="n">
        <v>300.31</v>
      </c>
      <c r="F53" s="7" t="s">
        <v>22796</v>
      </c>
    </row>
    <row r="54" customFormat="false" ht="15" hidden="false" customHeight="false" outlineLevel="0" collapsed="false">
      <c r="B54" s="7" t="s">
        <v>22867</v>
      </c>
      <c r="C54" s="39" t="n">
        <v>45662</v>
      </c>
      <c r="D54" s="7" t="s">
        <v>22866</v>
      </c>
      <c r="E54" s="41" t="n">
        <v>146.62</v>
      </c>
      <c r="F54" s="7" t="s">
        <v>22796</v>
      </c>
    </row>
    <row r="55" customFormat="false" ht="15" hidden="false" customHeight="false" outlineLevel="0" collapsed="false">
      <c r="B55" s="7" t="s">
        <v>22868</v>
      </c>
      <c r="C55" s="39" t="n">
        <v>45678</v>
      </c>
      <c r="D55" s="7" t="s">
        <v>22866</v>
      </c>
      <c r="E55" s="41" t="n">
        <v>203.02</v>
      </c>
      <c r="F55" s="7" t="s">
        <v>22796</v>
      </c>
    </row>
    <row r="56" customFormat="false" ht="15" hidden="false" customHeight="false" outlineLevel="0" collapsed="false">
      <c r="B56" s="7" t="s">
        <v>22869</v>
      </c>
      <c r="C56" s="39" t="n">
        <v>45661</v>
      </c>
      <c r="D56" s="7" t="s">
        <v>22870</v>
      </c>
      <c r="E56" s="41" t="n">
        <v>113.59</v>
      </c>
      <c r="F56" s="7" t="s">
        <v>22796</v>
      </c>
    </row>
    <row r="57" customFormat="false" ht="15" hidden="false" customHeight="false" outlineLevel="0" collapsed="false">
      <c r="B57" s="7" t="s">
        <v>22871</v>
      </c>
      <c r="C57" s="39" t="n">
        <v>45675</v>
      </c>
      <c r="D57" s="7" t="s">
        <v>22870</v>
      </c>
      <c r="E57" s="41" t="n">
        <v>87.77</v>
      </c>
      <c r="F57" s="7" t="s">
        <v>22796</v>
      </c>
    </row>
    <row r="58" customFormat="false" ht="15" hidden="false" customHeight="false" outlineLevel="0" collapsed="false">
      <c r="B58" s="7" t="s">
        <v>22872</v>
      </c>
      <c r="C58" s="39" t="n">
        <v>45680</v>
      </c>
      <c r="D58" s="7" t="s">
        <v>22870</v>
      </c>
      <c r="E58" s="41" t="n">
        <v>145.57</v>
      </c>
      <c r="F58" s="7" t="s">
        <v>22796</v>
      </c>
    </row>
    <row r="59" customFormat="false" ht="15" hidden="false" customHeight="false" outlineLevel="0" collapsed="false">
      <c r="B59" s="7" t="s">
        <v>22873</v>
      </c>
      <c r="C59" s="39" t="n">
        <v>45658</v>
      </c>
      <c r="D59" s="7" t="s">
        <v>22874</v>
      </c>
      <c r="E59" s="41" t="n">
        <v>393.81</v>
      </c>
      <c r="F59" s="7" t="s">
        <v>22796</v>
      </c>
    </row>
    <row r="60" customFormat="false" ht="15" hidden="false" customHeight="false" outlineLevel="0" collapsed="false">
      <c r="B60" s="7" t="s">
        <v>22875</v>
      </c>
      <c r="C60" s="39" t="n">
        <v>45662</v>
      </c>
      <c r="D60" s="7" t="s">
        <v>22876</v>
      </c>
      <c r="E60" s="41" t="n">
        <v>74.42</v>
      </c>
      <c r="F60" s="7" t="s">
        <v>22796</v>
      </c>
    </row>
    <row r="61" customFormat="false" ht="15" hidden="false" customHeight="false" outlineLevel="0" collapsed="false">
      <c r="B61" s="7" t="s">
        <v>22877</v>
      </c>
      <c r="C61" s="39" t="n">
        <v>45681</v>
      </c>
      <c r="D61" s="7" t="s">
        <v>22876</v>
      </c>
      <c r="E61" s="41" t="n">
        <v>288.41</v>
      </c>
      <c r="F61" s="7" t="s">
        <v>22796</v>
      </c>
    </row>
    <row r="62" customFormat="false" ht="15" hidden="false" customHeight="false" outlineLevel="0" collapsed="false">
      <c r="B62" s="7" t="s">
        <v>22878</v>
      </c>
      <c r="C62" s="39" t="n">
        <v>45661</v>
      </c>
      <c r="D62" s="7" t="s">
        <v>142</v>
      </c>
      <c r="E62" s="41" t="n">
        <v>65.93</v>
      </c>
      <c r="F62" s="7" t="s">
        <v>22796</v>
      </c>
    </row>
    <row r="63" customFormat="false" ht="15" hidden="false" customHeight="false" outlineLevel="0" collapsed="false">
      <c r="B63" s="7" t="s">
        <v>22879</v>
      </c>
      <c r="C63" s="39" t="n">
        <v>45675</v>
      </c>
      <c r="D63" s="7" t="s">
        <v>142</v>
      </c>
      <c r="E63" s="41" t="n">
        <v>59.07</v>
      </c>
      <c r="F63" s="7" t="s">
        <v>22796</v>
      </c>
    </row>
    <row r="64" customFormat="false" ht="15" hidden="false" customHeight="false" outlineLevel="0" collapsed="false">
      <c r="B64" s="7" t="s">
        <v>22880</v>
      </c>
      <c r="C64" s="39" t="n">
        <v>45680</v>
      </c>
      <c r="D64" s="7" t="s">
        <v>142</v>
      </c>
      <c r="E64" s="41" t="n">
        <v>63.68</v>
      </c>
      <c r="F64" s="7" t="s">
        <v>22796</v>
      </c>
    </row>
    <row r="65" customFormat="false" ht="15" hidden="false" customHeight="false" outlineLevel="0" collapsed="false">
      <c r="B65" s="7" t="s">
        <v>22881</v>
      </c>
      <c r="C65" s="39" t="n">
        <v>45670</v>
      </c>
      <c r="D65" s="7" t="s">
        <v>22882</v>
      </c>
      <c r="E65" s="41" t="n">
        <v>10.57</v>
      </c>
      <c r="F65" s="7" t="s">
        <v>22796</v>
      </c>
    </row>
    <row r="66" customFormat="false" ht="15" hidden="false" customHeight="false" outlineLevel="0" collapsed="false">
      <c r="B66" s="7" t="s">
        <v>22883</v>
      </c>
      <c r="C66" s="39" t="n">
        <v>45685</v>
      </c>
      <c r="D66" s="7" t="s">
        <v>22882</v>
      </c>
      <c r="E66" s="41" t="n">
        <v>7.59</v>
      </c>
      <c r="F66" s="7" t="s">
        <v>22796</v>
      </c>
    </row>
    <row r="67" customFormat="false" ht="15" hidden="false" customHeight="false" outlineLevel="0" collapsed="false">
      <c r="B67" s="7" t="s">
        <v>22884</v>
      </c>
      <c r="C67" s="39" t="n">
        <v>45688</v>
      </c>
      <c r="D67" s="7" t="s">
        <v>22882</v>
      </c>
      <c r="E67" s="41" t="n">
        <v>28.57</v>
      </c>
      <c r="F67" s="7" t="s">
        <v>22796</v>
      </c>
    </row>
    <row r="68" customFormat="false" ht="15" hidden="false" customHeight="false" outlineLevel="0" collapsed="false">
      <c r="B68" s="7" t="s">
        <v>22885</v>
      </c>
      <c r="C68" s="39" t="n">
        <v>45664</v>
      </c>
      <c r="D68" s="7" t="s">
        <v>143</v>
      </c>
      <c r="E68" s="41" t="n">
        <v>63.47</v>
      </c>
      <c r="F68" s="7" t="s">
        <v>22796</v>
      </c>
    </row>
    <row r="69" customFormat="false" ht="15" hidden="false" customHeight="false" outlineLevel="0" collapsed="false">
      <c r="B69" s="7" t="s">
        <v>22886</v>
      </c>
      <c r="C69" s="39" t="n">
        <v>45676</v>
      </c>
      <c r="D69" s="7" t="s">
        <v>143</v>
      </c>
      <c r="E69" s="41" t="n">
        <v>50.77</v>
      </c>
      <c r="F69" s="7" t="s">
        <v>22796</v>
      </c>
    </row>
    <row r="70" customFormat="false" ht="15" hidden="false" customHeight="false" outlineLevel="0" collapsed="false">
      <c r="B70" s="7" t="s">
        <v>22887</v>
      </c>
      <c r="C70" s="39" t="n">
        <v>45679</v>
      </c>
      <c r="D70" s="7" t="s">
        <v>143</v>
      </c>
      <c r="E70" s="41" t="n">
        <v>26.92</v>
      </c>
      <c r="F70" s="7" t="s">
        <v>22796</v>
      </c>
    </row>
    <row r="71" customFormat="false" ht="15" hidden="false" customHeight="false" outlineLevel="0" collapsed="false">
      <c r="B71" s="7" t="s">
        <v>22888</v>
      </c>
      <c r="C71" s="39" t="n">
        <v>45687</v>
      </c>
      <c r="D71" s="7" t="s">
        <v>143</v>
      </c>
      <c r="E71" s="41" t="n">
        <v>56.53</v>
      </c>
      <c r="F71" s="7" t="s">
        <v>22796</v>
      </c>
    </row>
    <row r="72" customFormat="false" ht="15" hidden="false" customHeight="false" outlineLevel="0" collapsed="false">
      <c r="B72" s="7" t="s">
        <v>22889</v>
      </c>
      <c r="C72" s="39" t="n">
        <v>45689</v>
      </c>
      <c r="D72" s="7" t="s">
        <v>124</v>
      </c>
      <c r="E72" s="41" t="n">
        <v>2314.54</v>
      </c>
      <c r="F72" s="7" t="s">
        <v>22796</v>
      </c>
    </row>
    <row r="73" customFormat="false" ht="15" hidden="false" customHeight="false" outlineLevel="0" collapsed="false">
      <c r="B73" s="7" t="s">
        <v>22890</v>
      </c>
      <c r="C73" s="39" t="n">
        <v>45694</v>
      </c>
      <c r="D73" s="7" t="s">
        <v>22798</v>
      </c>
      <c r="E73" s="41" t="n">
        <v>52.98</v>
      </c>
      <c r="F73" s="7" t="s">
        <v>22796</v>
      </c>
    </row>
    <row r="74" customFormat="false" ht="15" hidden="false" customHeight="false" outlineLevel="0" collapsed="false">
      <c r="B74" s="7" t="s">
        <v>22891</v>
      </c>
      <c r="C74" s="39" t="n">
        <v>45706</v>
      </c>
      <c r="D74" s="7" t="s">
        <v>22798</v>
      </c>
      <c r="E74" s="41" t="n">
        <v>156.12</v>
      </c>
      <c r="F74" s="7" t="s">
        <v>22796</v>
      </c>
    </row>
    <row r="75" customFormat="false" ht="15" hidden="false" customHeight="false" outlineLevel="0" collapsed="false">
      <c r="B75" s="7" t="s">
        <v>22892</v>
      </c>
      <c r="C75" s="39" t="n">
        <v>45696</v>
      </c>
      <c r="D75" s="7" t="s">
        <v>22802</v>
      </c>
      <c r="E75" s="41" t="n">
        <v>33.47</v>
      </c>
      <c r="F75" s="7" t="s">
        <v>22796</v>
      </c>
    </row>
    <row r="76" customFormat="false" ht="15" hidden="false" customHeight="false" outlineLevel="0" collapsed="false">
      <c r="B76" s="7" t="s">
        <v>22893</v>
      </c>
      <c r="C76" s="39" t="n">
        <v>45710</v>
      </c>
      <c r="D76" s="7" t="s">
        <v>22802</v>
      </c>
      <c r="E76" s="41" t="n">
        <v>35.16</v>
      </c>
      <c r="F76" s="7" t="s">
        <v>22796</v>
      </c>
    </row>
    <row r="77" customFormat="false" ht="15" hidden="false" customHeight="false" outlineLevel="0" collapsed="false">
      <c r="B77" s="7" t="s">
        <v>22894</v>
      </c>
      <c r="C77" s="39" t="n">
        <v>45695</v>
      </c>
      <c r="D77" s="7" t="s">
        <v>22807</v>
      </c>
      <c r="E77" s="41" t="n">
        <v>41.22</v>
      </c>
      <c r="F77" s="7" t="s">
        <v>22796</v>
      </c>
    </row>
    <row r="78" customFormat="false" ht="15" hidden="false" customHeight="false" outlineLevel="0" collapsed="false">
      <c r="B78" s="7" t="s">
        <v>22895</v>
      </c>
      <c r="C78" s="39" t="n">
        <v>45701</v>
      </c>
      <c r="D78" s="7" t="s">
        <v>22807</v>
      </c>
      <c r="E78" s="41" t="n">
        <v>16.16</v>
      </c>
      <c r="F78" s="7" t="s">
        <v>22796</v>
      </c>
    </row>
    <row r="79" customFormat="false" ht="15" hidden="false" customHeight="false" outlineLevel="0" collapsed="false">
      <c r="B79" s="7" t="s">
        <v>22896</v>
      </c>
      <c r="C79" s="39" t="n">
        <v>45713</v>
      </c>
      <c r="D79" s="7" t="s">
        <v>22807</v>
      </c>
      <c r="E79" s="41" t="n">
        <v>34.87</v>
      </c>
      <c r="F79" s="7" t="s">
        <v>22796</v>
      </c>
    </row>
    <row r="80" customFormat="false" ht="15" hidden="false" customHeight="false" outlineLevel="0" collapsed="false">
      <c r="B80" s="7" t="s">
        <v>22897</v>
      </c>
      <c r="C80" s="39" t="n">
        <v>45694</v>
      </c>
      <c r="D80" s="7" t="s">
        <v>22812</v>
      </c>
      <c r="E80" s="41" t="n">
        <v>1517.6</v>
      </c>
      <c r="F80" s="7" t="s">
        <v>22813</v>
      </c>
    </row>
    <row r="81" customFormat="false" ht="15" hidden="false" customHeight="false" outlineLevel="0" collapsed="false">
      <c r="B81" s="7" t="s">
        <v>22898</v>
      </c>
      <c r="C81" s="39" t="n">
        <v>45708</v>
      </c>
      <c r="D81" s="7" t="s">
        <v>22812</v>
      </c>
      <c r="E81" s="41" t="n">
        <v>1517.59</v>
      </c>
      <c r="F81" s="7" t="s">
        <v>22813</v>
      </c>
    </row>
    <row r="82" customFormat="false" ht="15" hidden="false" customHeight="false" outlineLevel="0" collapsed="false">
      <c r="B82" s="7" t="s">
        <v>22899</v>
      </c>
      <c r="C82" s="39" t="n">
        <v>45694</v>
      </c>
      <c r="D82" s="7" t="s">
        <v>22816</v>
      </c>
      <c r="E82" s="41" t="n">
        <v>1313.26</v>
      </c>
      <c r="F82" s="7" t="s">
        <v>22813</v>
      </c>
    </row>
    <row r="83" customFormat="false" ht="15" hidden="false" customHeight="false" outlineLevel="0" collapsed="false">
      <c r="B83" s="7" t="s">
        <v>22900</v>
      </c>
      <c r="C83" s="39" t="n">
        <v>45708</v>
      </c>
      <c r="D83" s="7" t="s">
        <v>22816</v>
      </c>
      <c r="E83" s="41" t="n">
        <v>1313.25</v>
      </c>
      <c r="F83" s="7" t="s">
        <v>22813</v>
      </c>
    </row>
    <row r="84" customFormat="false" ht="15" hidden="false" customHeight="false" outlineLevel="0" collapsed="false">
      <c r="B84" s="7" t="s">
        <v>22901</v>
      </c>
      <c r="C84" s="39" t="n">
        <v>45694</v>
      </c>
      <c r="D84" s="7" t="s">
        <v>22819</v>
      </c>
      <c r="E84" s="41" t="n">
        <v>667.4</v>
      </c>
      <c r="F84" s="7" t="s">
        <v>22813</v>
      </c>
    </row>
    <row r="85" customFormat="false" ht="15" hidden="false" customHeight="false" outlineLevel="0" collapsed="false">
      <c r="B85" s="7" t="s">
        <v>22902</v>
      </c>
      <c r="C85" s="39" t="n">
        <v>45708</v>
      </c>
      <c r="D85" s="7" t="s">
        <v>22819</v>
      </c>
      <c r="E85" s="41" t="n">
        <v>667.41</v>
      </c>
      <c r="F85" s="7" t="s">
        <v>22813</v>
      </c>
    </row>
    <row r="86" customFormat="false" ht="15" hidden="false" customHeight="false" outlineLevel="0" collapsed="false">
      <c r="B86" s="7" t="s">
        <v>22903</v>
      </c>
      <c r="C86" s="39" t="n">
        <v>45694</v>
      </c>
      <c r="D86" s="7" t="s">
        <v>22822</v>
      </c>
      <c r="E86" s="41" t="n">
        <v>2452.64</v>
      </c>
      <c r="F86" s="7" t="s">
        <v>22813</v>
      </c>
    </row>
    <row r="87" customFormat="false" ht="15" hidden="false" customHeight="false" outlineLevel="0" collapsed="false">
      <c r="B87" s="7" t="s">
        <v>22904</v>
      </c>
      <c r="C87" s="39" t="n">
        <v>45708</v>
      </c>
      <c r="D87" s="7" t="s">
        <v>22822</v>
      </c>
      <c r="E87" s="41" t="n">
        <v>2452.65</v>
      </c>
      <c r="F87" s="7" t="s">
        <v>22813</v>
      </c>
    </row>
    <row r="88" customFormat="false" ht="15" hidden="false" customHeight="false" outlineLevel="0" collapsed="false">
      <c r="B88" s="7" t="s">
        <v>22905</v>
      </c>
      <c r="C88" s="39" t="n">
        <v>45689</v>
      </c>
      <c r="D88" s="7" t="s">
        <v>22825</v>
      </c>
      <c r="E88" s="41" t="n">
        <v>689.34</v>
      </c>
      <c r="F88" s="7" t="s">
        <v>22796</v>
      </c>
    </row>
    <row r="89" customFormat="false" ht="15" hidden="false" customHeight="false" outlineLevel="0" collapsed="false">
      <c r="B89" s="7" t="s">
        <v>22906</v>
      </c>
      <c r="C89" s="39" t="n">
        <v>45689</v>
      </c>
      <c r="D89" s="7" t="s">
        <v>22827</v>
      </c>
      <c r="E89" s="41" t="n">
        <v>127.03</v>
      </c>
      <c r="F89" s="7" t="s">
        <v>22796</v>
      </c>
    </row>
    <row r="90" customFormat="false" ht="15" hidden="false" customHeight="false" outlineLevel="0" collapsed="false">
      <c r="B90" s="7" t="s">
        <v>22907</v>
      </c>
      <c r="C90" s="39" t="n">
        <v>45689</v>
      </c>
      <c r="D90" s="7" t="s">
        <v>22829</v>
      </c>
      <c r="E90" s="41" t="n">
        <v>90.47</v>
      </c>
      <c r="F90" s="7" t="s">
        <v>22796</v>
      </c>
    </row>
    <row r="91" customFormat="false" ht="15" hidden="false" customHeight="false" outlineLevel="0" collapsed="false">
      <c r="B91" s="7" t="s">
        <v>22908</v>
      </c>
      <c r="C91" s="39" t="n">
        <v>45689</v>
      </c>
      <c r="D91" s="7" t="s">
        <v>22831</v>
      </c>
      <c r="E91" s="41" t="n">
        <v>96</v>
      </c>
      <c r="F91" s="7" t="s">
        <v>22796</v>
      </c>
    </row>
    <row r="92" customFormat="false" ht="15" hidden="false" customHeight="false" outlineLevel="0" collapsed="false">
      <c r="B92" s="7" t="s">
        <v>22909</v>
      </c>
      <c r="C92" s="39" t="n">
        <v>45694</v>
      </c>
      <c r="D92" s="7" t="s">
        <v>132</v>
      </c>
      <c r="E92" s="41" t="n">
        <v>212.26</v>
      </c>
      <c r="F92" s="7" t="s">
        <v>22813</v>
      </c>
    </row>
    <row r="93" customFormat="false" ht="15" hidden="false" customHeight="false" outlineLevel="0" collapsed="false">
      <c r="B93" s="7" t="s">
        <v>22910</v>
      </c>
      <c r="C93" s="39" t="n">
        <v>45708</v>
      </c>
      <c r="D93" s="7" t="s">
        <v>132</v>
      </c>
      <c r="E93" s="41" t="n">
        <v>212.26</v>
      </c>
      <c r="F93" s="7" t="s">
        <v>22813</v>
      </c>
    </row>
    <row r="94" customFormat="false" ht="15" hidden="false" customHeight="false" outlineLevel="0" collapsed="false">
      <c r="B94" s="7" t="s">
        <v>22911</v>
      </c>
      <c r="C94" s="39" t="n">
        <v>45689</v>
      </c>
      <c r="D94" s="7" t="s">
        <v>22835</v>
      </c>
      <c r="E94" s="41" t="n">
        <v>950</v>
      </c>
      <c r="F94" s="7" t="s">
        <v>22796</v>
      </c>
    </row>
    <row r="95" customFormat="false" ht="15" hidden="false" customHeight="false" outlineLevel="0" collapsed="false">
      <c r="B95" s="7" t="s">
        <v>22912</v>
      </c>
      <c r="C95" s="39" t="n">
        <v>45689</v>
      </c>
      <c r="D95" s="7" t="s">
        <v>22837</v>
      </c>
      <c r="E95" s="41" t="n">
        <v>363.13</v>
      </c>
      <c r="F95" s="7" t="s">
        <v>22796</v>
      </c>
    </row>
    <row r="96" customFormat="false" ht="15" hidden="false" customHeight="false" outlineLevel="0" collapsed="false">
      <c r="B96" s="7" t="s">
        <v>22913</v>
      </c>
      <c r="C96" s="39" t="n">
        <v>45689</v>
      </c>
      <c r="D96" s="7" t="s">
        <v>22839</v>
      </c>
      <c r="E96" s="41" t="n">
        <v>143.31</v>
      </c>
      <c r="F96" s="7" t="s">
        <v>22796</v>
      </c>
    </row>
    <row r="97" customFormat="false" ht="15" hidden="false" customHeight="false" outlineLevel="0" collapsed="false">
      <c r="B97" s="7" t="s">
        <v>22914</v>
      </c>
      <c r="C97" s="39" t="n">
        <v>45693</v>
      </c>
      <c r="D97" s="7" t="s">
        <v>22841</v>
      </c>
      <c r="E97" s="41" t="n">
        <v>50.94</v>
      </c>
      <c r="F97" s="7" t="s">
        <v>22796</v>
      </c>
    </row>
    <row r="98" customFormat="false" ht="15" hidden="false" customHeight="false" outlineLevel="0" collapsed="false">
      <c r="B98" s="7" t="s">
        <v>22915</v>
      </c>
      <c r="C98" s="39" t="n">
        <v>45696</v>
      </c>
      <c r="D98" s="7" t="s">
        <v>22841</v>
      </c>
      <c r="E98" s="41" t="n">
        <v>82.55</v>
      </c>
      <c r="F98" s="7" t="s">
        <v>22796</v>
      </c>
    </row>
    <row r="99" customFormat="false" ht="15" hidden="false" customHeight="false" outlineLevel="0" collapsed="false">
      <c r="B99" s="7" t="s">
        <v>22916</v>
      </c>
      <c r="C99" s="39" t="n">
        <v>45701</v>
      </c>
      <c r="D99" s="7" t="s">
        <v>22841</v>
      </c>
      <c r="E99" s="41" t="n">
        <v>28.22</v>
      </c>
      <c r="F99" s="7" t="s">
        <v>22796</v>
      </c>
    </row>
    <row r="100" customFormat="false" ht="15" hidden="false" customHeight="false" outlineLevel="0" collapsed="false">
      <c r="B100" s="7" t="s">
        <v>22917</v>
      </c>
      <c r="C100" s="39" t="n">
        <v>45713</v>
      </c>
      <c r="D100" s="7" t="s">
        <v>22841</v>
      </c>
      <c r="E100" s="41" t="n">
        <v>90.68</v>
      </c>
      <c r="F100" s="7" t="s">
        <v>22796</v>
      </c>
    </row>
    <row r="101" customFormat="false" ht="15" hidden="false" customHeight="false" outlineLevel="0" collapsed="false">
      <c r="B101" s="7" t="s">
        <v>22918</v>
      </c>
      <c r="C101" s="39" t="n">
        <v>45692</v>
      </c>
      <c r="D101" s="7" t="s">
        <v>22845</v>
      </c>
      <c r="E101" s="41" t="n">
        <v>73.49</v>
      </c>
      <c r="F101" s="7" t="s">
        <v>22796</v>
      </c>
    </row>
    <row r="102" customFormat="false" ht="15" hidden="false" customHeight="false" outlineLevel="0" collapsed="false">
      <c r="B102" s="7" t="s">
        <v>22919</v>
      </c>
      <c r="C102" s="39" t="n">
        <v>45701</v>
      </c>
      <c r="D102" s="7" t="s">
        <v>22845</v>
      </c>
      <c r="E102" s="41" t="n">
        <v>89.48</v>
      </c>
      <c r="F102" s="7" t="s">
        <v>22796</v>
      </c>
    </row>
    <row r="103" customFormat="false" ht="15" hidden="false" customHeight="false" outlineLevel="0" collapsed="false">
      <c r="B103" s="7" t="s">
        <v>22920</v>
      </c>
      <c r="C103" s="39" t="n">
        <v>45702</v>
      </c>
      <c r="D103" s="7" t="s">
        <v>22845</v>
      </c>
      <c r="E103" s="41" t="n">
        <v>196.53</v>
      </c>
      <c r="F103" s="7" t="s">
        <v>22796</v>
      </c>
    </row>
    <row r="104" customFormat="false" ht="15" hidden="false" customHeight="false" outlineLevel="0" collapsed="false">
      <c r="B104" s="7" t="s">
        <v>22921</v>
      </c>
      <c r="C104" s="39" t="n">
        <v>45693</v>
      </c>
      <c r="D104" s="7" t="s">
        <v>22848</v>
      </c>
      <c r="E104" s="41" t="n">
        <v>60.49</v>
      </c>
      <c r="F104" s="7" t="s">
        <v>22796</v>
      </c>
    </row>
    <row r="105" customFormat="false" ht="15" hidden="false" customHeight="false" outlineLevel="0" collapsed="false">
      <c r="B105" s="7" t="s">
        <v>22922</v>
      </c>
      <c r="C105" s="39" t="n">
        <v>45706</v>
      </c>
      <c r="D105" s="7" t="s">
        <v>22848</v>
      </c>
      <c r="E105" s="41" t="n">
        <v>50.73</v>
      </c>
      <c r="F105" s="7" t="s">
        <v>22796</v>
      </c>
    </row>
    <row r="106" customFormat="false" ht="15" hidden="false" customHeight="false" outlineLevel="0" collapsed="false">
      <c r="B106" s="7" t="s">
        <v>22923</v>
      </c>
      <c r="C106" s="39" t="n">
        <v>45707</v>
      </c>
      <c r="D106" s="7" t="s">
        <v>22848</v>
      </c>
      <c r="E106" s="41" t="n">
        <v>135.27</v>
      </c>
      <c r="F106" s="7" t="s">
        <v>22796</v>
      </c>
    </row>
    <row r="107" customFormat="false" ht="15" hidden="false" customHeight="false" outlineLevel="0" collapsed="false">
      <c r="B107" s="7" t="s">
        <v>22924</v>
      </c>
      <c r="C107" s="39" t="n">
        <v>45697</v>
      </c>
      <c r="D107" s="7" t="s">
        <v>136</v>
      </c>
      <c r="E107" s="41" t="n">
        <v>59.82</v>
      </c>
      <c r="F107" s="7" t="s">
        <v>22796</v>
      </c>
    </row>
    <row r="108" customFormat="false" ht="15" hidden="false" customHeight="false" outlineLevel="0" collapsed="false">
      <c r="B108" s="7" t="s">
        <v>22925</v>
      </c>
      <c r="C108" s="39" t="n">
        <v>45704</v>
      </c>
      <c r="D108" s="7" t="s">
        <v>136</v>
      </c>
      <c r="E108" s="41" t="n">
        <v>86.15</v>
      </c>
      <c r="F108" s="7" t="s">
        <v>22796</v>
      </c>
    </row>
    <row r="109" customFormat="false" ht="15" hidden="false" customHeight="false" outlineLevel="0" collapsed="false">
      <c r="B109" s="7" t="s">
        <v>22926</v>
      </c>
      <c r="C109" s="39" t="n">
        <v>45689</v>
      </c>
      <c r="D109" s="7" t="s">
        <v>22855</v>
      </c>
      <c r="E109" s="41" t="n">
        <v>161.41</v>
      </c>
      <c r="F109" s="7" t="s">
        <v>22796</v>
      </c>
    </row>
    <row r="110" customFormat="false" ht="15" hidden="false" customHeight="false" outlineLevel="0" collapsed="false">
      <c r="B110" s="7" t="s">
        <v>22927</v>
      </c>
      <c r="C110" s="39" t="n">
        <v>45689</v>
      </c>
      <c r="D110" s="7" t="s">
        <v>22857</v>
      </c>
      <c r="E110" s="41" t="n">
        <v>494.71</v>
      </c>
      <c r="F110" s="7" t="s">
        <v>22796</v>
      </c>
    </row>
    <row r="111" customFormat="false" ht="15" hidden="false" customHeight="false" outlineLevel="0" collapsed="false">
      <c r="B111" s="7" t="s">
        <v>22928</v>
      </c>
      <c r="C111" s="39" t="n">
        <v>45693</v>
      </c>
      <c r="D111" s="7" t="s">
        <v>22859</v>
      </c>
      <c r="E111" s="41" t="n">
        <v>86.81</v>
      </c>
      <c r="F111" s="7" t="s">
        <v>22796</v>
      </c>
    </row>
    <row r="112" customFormat="false" ht="15" hidden="false" customHeight="false" outlineLevel="0" collapsed="false">
      <c r="B112" s="7" t="s">
        <v>22929</v>
      </c>
      <c r="C112" s="39" t="n">
        <v>45696</v>
      </c>
      <c r="D112" s="7" t="s">
        <v>22859</v>
      </c>
      <c r="E112" s="41" t="n">
        <v>89.38</v>
      </c>
      <c r="F112" s="7" t="s">
        <v>22796</v>
      </c>
    </row>
    <row r="113" customFormat="false" ht="15" hidden="false" customHeight="false" outlineLevel="0" collapsed="false">
      <c r="B113" s="7" t="s">
        <v>22930</v>
      </c>
      <c r="C113" s="39" t="n">
        <v>45699</v>
      </c>
      <c r="D113" s="7" t="s">
        <v>22859</v>
      </c>
      <c r="E113" s="41" t="n">
        <v>251.44</v>
      </c>
      <c r="F113" s="7" t="s">
        <v>22796</v>
      </c>
    </row>
    <row r="114" customFormat="false" ht="15" hidden="false" customHeight="false" outlineLevel="0" collapsed="false">
      <c r="B114" s="7" t="s">
        <v>22931</v>
      </c>
      <c r="C114" s="39" t="n">
        <v>45698</v>
      </c>
      <c r="D114" s="7" t="s">
        <v>22862</v>
      </c>
      <c r="E114" s="41" t="n">
        <v>53.79</v>
      </c>
      <c r="F114" s="7" t="s">
        <v>22796</v>
      </c>
    </row>
    <row r="115" customFormat="false" ht="15" hidden="false" customHeight="false" outlineLevel="0" collapsed="false">
      <c r="B115" s="7" t="s">
        <v>22932</v>
      </c>
      <c r="C115" s="39" t="n">
        <v>45707</v>
      </c>
      <c r="D115" s="7" t="s">
        <v>22862</v>
      </c>
      <c r="E115" s="41" t="n">
        <v>44.84</v>
      </c>
      <c r="F115" s="7" t="s">
        <v>22796</v>
      </c>
    </row>
    <row r="116" customFormat="false" ht="15" hidden="false" customHeight="false" outlineLevel="0" collapsed="false">
      <c r="B116" s="7" t="s">
        <v>22933</v>
      </c>
      <c r="C116" s="39" t="n">
        <v>45710</v>
      </c>
      <c r="D116" s="7" t="s">
        <v>22862</v>
      </c>
      <c r="E116" s="41" t="n">
        <v>62.75</v>
      </c>
      <c r="F116" s="7" t="s">
        <v>22796</v>
      </c>
    </row>
    <row r="117" customFormat="false" ht="15" hidden="false" customHeight="false" outlineLevel="0" collapsed="false">
      <c r="B117" s="7" t="s">
        <v>22934</v>
      </c>
      <c r="C117" s="39" t="n">
        <v>45706</v>
      </c>
      <c r="D117" s="7" t="s">
        <v>22866</v>
      </c>
      <c r="E117" s="41" t="n">
        <v>231.03</v>
      </c>
      <c r="F117" s="7" t="s">
        <v>22796</v>
      </c>
    </row>
    <row r="118" customFormat="false" ht="15" hidden="false" customHeight="false" outlineLevel="0" collapsed="false">
      <c r="B118" s="7" t="s">
        <v>22935</v>
      </c>
      <c r="C118" s="39" t="n">
        <v>45712</v>
      </c>
      <c r="D118" s="7" t="s">
        <v>22866</v>
      </c>
      <c r="E118" s="41" t="n">
        <v>159.26</v>
      </c>
      <c r="F118" s="7" t="s">
        <v>22796</v>
      </c>
    </row>
    <row r="119" customFormat="false" ht="15" hidden="false" customHeight="false" outlineLevel="0" collapsed="false">
      <c r="B119" s="7" t="s">
        <v>22936</v>
      </c>
      <c r="C119" s="39" t="n">
        <v>45713</v>
      </c>
      <c r="D119" s="7" t="s">
        <v>22866</v>
      </c>
      <c r="E119" s="41" t="n">
        <v>277.33</v>
      </c>
      <c r="F119" s="7" t="s">
        <v>22796</v>
      </c>
    </row>
    <row r="120" customFormat="false" ht="15" hidden="false" customHeight="false" outlineLevel="0" collapsed="false">
      <c r="B120" s="7" t="s">
        <v>22937</v>
      </c>
      <c r="C120" s="39" t="n">
        <v>45691</v>
      </c>
      <c r="D120" s="7" t="s">
        <v>22870</v>
      </c>
      <c r="E120" s="41" t="n">
        <v>89.79</v>
      </c>
      <c r="F120" s="7" t="s">
        <v>22796</v>
      </c>
    </row>
    <row r="121" customFormat="false" ht="15" hidden="false" customHeight="false" outlineLevel="0" collapsed="false">
      <c r="B121" s="7" t="s">
        <v>22938</v>
      </c>
      <c r="C121" s="39" t="n">
        <v>45705</v>
      </c>
      <c r="D121" s="7" t="s">
        <v>22870</v>
      </c>
      <c r="E121" s="41" t="n">
        <v>119.89</v>
      </c>
      <c r="F121" s="7" t="s">
        <v>22796</v>
      </c>
    </row>
    <row r="122" customFormat="false" ht="15" hidden="false" customHeight="false" outlineLevel="0" collapsed="false">
      <c r="B122" s="7" t="s">
        <v>22939</v>
      </c>
      <c r="C122" s="39" t="n">
        <v>45707</v>
      </c>
      <c r="D122" s="7" t="s">
        <v>22870</v>
      </c>
      <c r="E122" s="41" t="n">
        <v>51.04</v>
      </c>
      <c r="F122" s="7" t="s">
        <v>22796</v>
      </c>
    </row>
    <row r="123" customFormat="false" ht="15" hidden="false" customHeight="false" outlineLevel="0" collapsed="false">
      <c r="B123" s="7" t="s">
        <v>22940</v>
      </c>
      <c r="C123" s="39" t="n">
        <v>45715</v>
      </c>
      <c r="D123" s="7" t="s">
        <v>22870</v>
      </c>
      <c r="E123" s="41" t="n">
        <v>79.24</v>
      </c>
      <c r="F123" s="7" t="s">
        <v>22796</v>
      </c>
    </row>
    <row r="124" customFormat="false" ht="15" hidden="false" customHeight="false" outlineLevel="0" collapsed="false">
      <c r="B124" s="7" t="s">
        <v>22941</v>
      </c>
      <c r="C124" s="39" t="n">
        <v>45689</v>
      </c>
      <c r="D124" s="7" t="s">
        <v>22874</v>
      </c>
      <c r="E124" s="41" t="n">
        <v>432.44</v>
      </c>
      <c r="F124" s="7" t="s">
        <v>22796</v>
      </c>
    </row>
    <row r="125" customFormat="false" ht="15" hidden="false" customHeight="false" outlineLevel="0" collapsed="false">
      <c r="B125" s="7" t="s">
        <v>22942</v>
      </c>
      <c r="C125" s="39" t="n">
        <v>45692</v>
      </c>
      <c r="D125" s="7" t="s">
        <v>22876</v>
      </c>
      <c r="E125" s="41" t="n">
        <v>171.24</v>
      </c>
      <c r="F125" s="7" t="s">
        <v>22796</v>
      </c>
    </row>
    <row r="126" customFormat="false" ht="15" hidden="false" customHeight="false" outlineLevel="0" collapsed="false">
      <c r="B126" s="7" t="s">
        <v>22943</v>
      </c>
      <c r="C126" s="39" t="n">
        <v>45709</v>
      </c>
      <c r="D126" s="7" t="s">
        <v>22876</v>
      </c>
      <c r="E126" s="41" t="n">
        <v>218.22</v>
      </c>
      <c r="F126" s="7" t="s">
        <v>22796</v>
      </c>
    </row>
    <row r="127" customFormat="false" ht="15" hidden="false" customHeight="false" outlineLevel="0" collapsed="false">
      <c r="B127" s="7" t="s">
        <v>22944</v>
      </c>
      <c r="C127" s="39" t="n">
        <v>45709</v>
      </c>
      <c r="D127" s="7" t="s">
        <v>142</v>
      </c>
      <c r="E127" s="41" t="n">
        <v>49.91</v>
      </c>
      <c r="F127" s="7" t="s">
        <v>22796</v>
      </c>
    </row>
    <row r="128" customFormat="false" ht="15" hidden="false" customHeight="false" outlineLevel="0" collapsed="false">
      <c r="B128" s="7" t="s">
        <v>22945</v>
      </c>
      <c r="C128" s="39" t="n">
        <v>45713</v>
      </c>
      <c r="D128" s="7" t="s">
        <v>142</v>
      </c>
      <c r="E128" s="41" t="n">
        <v>135.36</v>
      </c>
      <c r="F128" s="7" t="s">
        <v>22796</v>
      </c>
    </row>
    <row r="129" customFormat="false" ht="15" hidden="false" customHeight="false" outlineLevel="0" collapsed="false">
      <c r="B129" s="7" t="s">
        <v>22946</v>
      </c>
      <c r="C129" s="39" t="n">
        <v>45694</v>
      </c>
      <c r="D129" s="7" t="s">
        <v>22882</v>
      </c>
      <c r="E129" s="41" t="n">
        <v>16.78</v>
      </c>
      <c r="F129" s="7" t="s">
        <v>22796</v>
      </c>
    </row>
    <row r="130" customFormat="false" ht="15" hidden="false" customHeight="false" outlineLevel="0" collapsed="false">
      <c r="B130" s="7" t="s">
        <v>22947</v>
      </c>
      <c r="C130" s="39" t="n">
        <v>45697</v>
      </c>
      <c r="D130" s="7" t="s">
        <v>22882</v>
      </c>
      <c r="E130" s="41" t="n">
        <v>31.73</v>
      </c>
      <c r="F130" s="7" t="s">
        <v>22796</v>
      </c>
    </row>
    <row r="131" customFormat="false" ht="15" hidden="false" customHeight="false" outlineLevel="0" collapsed="false">
      <c r="B131" s="7" t="s">
        <v>22948</v>
      </c>
      <c r="C131" s="39" t="n">
        <v>45691</v>
      </c>
      <c r="D131" s="7" t="s">
        <v>143</v>
      </c>
      <c r="E131" s="41" t="n">
        <v>63.54</v>
      </c>
      <c r="F131" s="7" t="s">
        <v>22796</v>
      </c>
    </row>
    <row r="132" customFormat="false" ht="15" hidden="false" customHeight="false" outlineLevel="0" collapsed="false">
      <c r="B132" s="7" t="s">
        <v>22949</v>
      </c>
      <c r="C132" s="39" t="n">
        <v>45699</v>
      </c>
      <c r="D132" s="7" t="s">
        <v>143</v>
      </c>
      <c r="E132" s="41" t="n">
        <v>35.66</v>
      </c>
      <c r="F132" s="7" t="s">
        <v>22796</v>
      </c>
    </row>
    <row r="133" customFormat="false" ht="15" hidden="false" customHeight="false" outlineLevel="0" collapsed="false">
      <c r="B133" s="7" t="s">
        <v>22950</v>
      </c>
      <c r="C133" s="39" t="n">
        <v>45703</v>
      </c>
      <c r="D133" s="7" t="s">
        <v>143</v>
      </c>
      <c r="E133" s="41" t="n">
        <v>91.69</v>
      </c>
      <c r="F133" s="7" t="s">
        <v>22796</v>
      </c>
    </row>
    <row r="134" customFormat="false" ht="15" hidden="false" customHeight="false" outlineLevel="0" collapsed="false">
      <c r="B134" s="7" t="s">
        <v>22951</v>
      </c>
      <c r="C134" s="39" t="n">
        <v>45717</v>
      </c>
      <c r="D134" s="7" t="s">
        <v>124</v>
      </c>
      <c r="E134" s="41" t="n">
        <v>2110.92</v>
      </c>
      <c r="F134" s="7" t="s">
        <v>22796</v>
      </c>
    </row>
    <row r="135" customFormat="false" ht="15" hidden="false" customHeight="false" outlineLevel="0" collapsed="false">
      <c r="B135" s="7" t="s">
        <v>22952</v>
      </c>
      <c r="C135" s="39" t="n">
        <v>45720</v>
      </c>
      <c r="D135" s="7" t="s">
        <v>22798</v>
      </c>
      <c r="E135" s="41" t="n">
        <v>96.16</v>
      </c>
      <c r="F135" s="7" t="s">
        <v>22796</v>
      </c>
    </row>
    <row r="136" customFormat="false" ht="15" hidden="false" customHeight="false" outlineLevel="0" collapsed="false">
      <c r="B136" s="7" t="s">
        <v>22953</v>
      </c>
      <c r="C136" s="39" t="n">
        <v>45727</v>
      </c>
      <c r="D136" s="7" t="s">
        <v>22798</v>
      </c>
      <c r="E136" s="41" t="n">
        <v>51.14</v>
      </c>
      <c r="F136" s="7" t="s">
        <v>22796</v>
      </c>
    </row>
    <row r="137" customFormat="false" ht="15" hidden="false" customHeight="false" outlineLevel="0" collapsed="false">
      <c r="B137" s="7" t="s">
        <v>22954</v>
      </c>
      <c r="C137" s="39" t="n">
        <v>45728</v>
      </c>
      <c r="D137" s="7" t="s">
        <v>22798</v>
      </c>
      <c r="E137" s="41" t="n">
        <v>73.75</v>
      </c>
      <c r="F137" s="7" t="s">
        <v>22796</v>
      </c>
    </row>
    <row r="138" customFormat="false" ht="15" hidden="false" customHeight="false" outlineLevel="0" collapsed="false">
      <c r="B138" s="7" t="s">
        <v>22955</v>
      </c>
      <c r="C138" s="39" t="n">
        <v>45723</v>
      </c>
      <c r="D138" s="7" t="s">
        <v>22802</v>
      </c>
      <c r="E138" s="41" t="n">
        <v>17.66</v>
      </c>
      <c r="F138" s="7" t="s">
        <v>22796</v>
      </c>
    </row>
    <row r="139" customFormat="false" ht="15" hidden="false" customHeight="false" outlineLevel="0" collapsed="false">
      <c r="B139" s="7" t="s">
        <v>22956</v>
      </c>
      <c r="C139" s="39" t="n">
        <v>45742</v>
      </c>
      <c r="D139" s="7" t="s">
        <v>22802</v>
      </c>
      <c r="E139" s="41" t="n">
        <v>16.1</v>
      </c>
      <c r="F139" s="7" t="s">
        <v>22796</v>
      </c>
    </row>
    <row r="140" customFormat="false" ht="15" hidden="false" customHeight="false" outlineLevel="0" collapsed="false">
      <c r="B140" s="7" t="s">
        <v>22957</v>
      </c>
      <c r="C140" s="39" t="n">
        <v>45743</v>
      </c>
      <c r="D140" s="7" t="s">
        <v>22802</v>
      </c>
      <c r="E140" s="41" t="n">
        <v>31.41</v>
      </c>
      <c r="F140" s="7" t="s">
        <v>22796</v>
      </c>
    </row>
    <row r="141" customFormat="false" ht="15" hidden="false" customHeight="false" outlineLevel="0" collapsed="false">
      <c r="B141" s="7" t="s">
        <v>22958</v>
      </c>
      <c r="C141" s="39" t="n">
        <v>45724</v>
      </c>
      <c r="D141" s="7" t="s">
        <v>22807</v>
      </c>
      <c r="E141" s="41" t="n">
        <v>33.77</v>
      </c>
      <c r="F141" s="7" t="s">
        <v>22796</v>
      </c>
    </row>
    <row r="142" customFormat="false" ht="15" hidden="false" customHeight="false" outlineLevel="0" collapsed="false">
      <c r="B142" s="7" t="s">
        <v>22959</v>
      </c>
      <c r="C142" s="39" t="n">
        <v>45726</v>
      </c>
      <c r="D142" s="7" t="s">
        <v>22807</v>
      </c>
      <c r="E142" s="41" t="n">
        <v>12.98</v>
      </c>
      <c r="F142" s="7" t="s">
        <v>22796</v>
      </c>
    </row>
    <row r="143" customFormat="false" ht="15" hidden="false" customHeight="false" outlineLevel="0" collapsed="false">
      <c r="B143" s="7" t="s">
        <v>22960</v>
      </c>
      <c r="C143" s="39" t="n">
        <v>45735</v>
      </c>
      <c r="D143" s="7" t="s">
        <v>22807</v>
      </c>
      <c r="E143" s="41" t="n">
        <v>12.09</v>
      </c>
      <c r="F143" s="7" t="s">
        <v>22796</v>
      </c>
    </row>
    <row r="144" customFormat="false" ht="15" hidden="false" customHeight="false" outlineLevel="0" collapsed="false">
      <c r="B144" s="7" t="s">
        <v>22961</v>
      </c>
      <c r="C144" s="39" t="n">
        <v>45743</v>
      </c>
      <c r="D144" s="7" t="s">
        <v>22807</v>
      </c>
      <c r="E144" s="41" t="n">
        <v>35.44</v>
      </c>
      <c r="F144" s="7" t="s">
        <v>22796</v>
      </c>
    </row>
    <row r="145" customFormat="false" ht="15" hidden="false" customHeight="false" outlineLevel="0" collapsed="false">
      <c r="B145" s="7" t="s">
        <v>22962</v>
      </c>
      <c r="C145" s="39" t="n">
        <v>45722</v>
      </c>
      <c r="D145" s="7" t="s">
        <v>22812</v>
      </c>
      <c r="E145" s="41" t="n">
        <v>1702.44</v>
      </c>
      <c r="F145" s="7" t="s">
        <v>22813</v>
      </c>
    </row>
    <row r="146" customFormat="false" ht="15" hidden="false" customHeight="false" outlineLevel="0" collapsed="false">
      <c r="B146" s="7" t="s">
        <v>22963</v>
      </c>
      <c r="C146" s="39" t="n">
        <v>45736</v>
      </c>
      <c r="D146" s="7" t="s">
        <v>22812</v>
      </c>
      <c r="E146" s="41" t="n">
        <v>1702.45</v>
      </c>
      <c r="F146" s="7" t="s">
        <v>22813</v>
      </c>
    </row>
    <row r="147" customFormat="false" ht="15" hidden="false" customHeight="false" outlineLevel="0" collapsed="false">
      <c r="B147" s="7" t="s">
        <v>22964</v>
      </c>
      <c r="C147" s="39" t="n">
        <v>45722</v>
      </c>
      <c r="D147" s="7" t="s">
        <v>22816</v>
      </c>
      <c r="E147" s="41" t="n">
        <v>1365.55</v>
      </c>
      <c r="F147" s="7" t="s">
        <v>22813</v>
      </c>
    </row>
    <row r="148" customFormat="false" ht="15" hidden="false" customHeight="false" outlineLevel="0" collapsed="false">
      <c r="B148" s="7" t="s">
        <v>22965</v>
      </c>
      <c r="C148" s="39" t="n">
        <v>45736</v>
      </c>
      <c r="D148" s="7" t="s">
        <v>22816</v>
      </c>
      <c r="E148" s="41" t="n">
        <v>1365.54</v>
      </c>
      <c r="F148" s="7" t="s">
        <v>22813</v>
      </c>
    </row>
    <row r="149" customFormat="false" ht="15" hidden="false" customHeight="false" outlineLevel="0" collapsed="false">
      <c r="B149" s="7" t="s">
        <v>22966</v>
      </c>
      <c r="C149" s="39" t="n">
        <v>45722</v>
      </c>
      <c r="D149" s="7" t="s">
        <v>22819</v>
      </c>
      <c r="E149" s="41" t="n">
        <v>678.92</v>
      </c>
      <c r="F149" s="7" t="s">
        <v>22813</v>
      </c>
    </row>
    <row r="150" customFormat="false" ht="15" hidden="false" customHeight="false" outlineLevel="0" collapsed="false">
      <c r="B150" s="7" t="s">
        <v>22967</v>
      </c>
      <c r="C150" s="39" t="n">
        <v>45736</v>
      </c>
      <c r="D150" s="7" t="s">
        <v>22819</v>
      </c>
      <c r="E150" s="41" t="n">
        <v>678.93</v>
      </c>
      <c r="F150" s="7" t="s">
        <v>22813</v>
      </c>
    </row>
    <row r="151" customFormat="false" ht="15" hidden="false" customHeight="false" outlineLevel="0" collapsed="false">
      <c r="B151" s="7" t="s">
        <v>22968</v>
      </c>
      <c r="C151" s="39" t="n">
        <v>45722</v>
      </c>
      <c r="D151" s="7" t="s">
        <v>22822</v>
      </c>
      <c r="E151" s="41" t="n">
        <v>2509</v>
      </c>
      <c r="F151" s="7" t="s">
        <v>22813</v>
      </c>
    </row>
    <row r="152" customFormat="false" ht="15" hidden="false" customHeight="false" outlineLevel="0" collapsed="false">
      <c r="B152" s="7" t="s">
        <v>22969</v>
      </c>
      <c r="C152" s="39" t="n">
        <v>45736</v>
      </c>
      <c r="D152" s="7" t="s">
        <v>22822</v>
      </c>
      <c r="E152" s="41" t="n">
        <v>2509</v>
      </c>
      <c r="F152" s="7" t="s">
        <v>22813</v>
      </c>
    </row>
    <row r="153" customFormat="false" ht="15" hidden="false" customHeight="false" outlineLevel="0" collapsed="false">
      <c r="B153" s="7" t="s">
        <v>22970</v>
      </c>
      <c r="C153" s="39" t="n">
        <v>45717</v>
      </c>
      <c r="D153" s="7" t="s">
        <v>22825</v>
      </c>
      <c r="E153" s="41" t="n">
        <v>696.39</v>
      </c>
      <c r="F153" s="7" t="s">
        <v>22796</v>
      </c>
    </row>
    <row r="154" customFormat="false" ht="15" hidden="false" customHeight="false" outlineLevel="0" collapsed="false">
      <c r="B154" s="7" t="s">
        <v>22971</v>
      </c>
      <c r="C154" s="39" t="n">
        <v>45717</v>
      </c>
      <c r="D154" s="7" t="s">
        <v>22827</v>
      </c>
      <c r="E154" s="41" t="n">
        <v>122.69</v>
      </c>
      <c r="F154" s="7" t="s">
        <v>22796</v>
      </c>
    </row>
    <row r="155" customFormat="false" ht="15" hidden="false" customHeight="false" outlineLevel="0" collapsed="false">
      <c r="B155" s="7" t="s">
        <v>22972</v>
      </c>
      <c r="C155" s="39" t="n">
        <v>45717</v>
      </c>
      <c r="D155" s="7" t="s">
        <v>22829</v>
      </c>
      <c r="E155" s="41" t="n">
        <v>88.42</v>
      </c>
      <c r="F155" s="7" t="s">
        <v>22796</v>
      </c>
    </row>
    <row r="156" customFormat="false" ht="15" hidden="false" customHeight="false" outlineLevel="0" collapsed="false">
      <c r="B156" s="7" t="s">
        <v>22973</v>
      </c>
      <c r="C156" s="39" t="n">
        <v>45717</v>
      </c>
      <c r="D156" s="7" t="s">
        <v>22831</v>
      </c>
      <c r="E156" s="41" t="n">
        <v>101.36</v>
      </c>
      <c r="F156" s="7" t="s">
        <v>22796</v>
      </c>
    </row>
    <row r="157" customFormat="false" ht="15" hidden="false" customHeight="false" outlineLevel="0" collapsed="false">
      <c r="B157" s="7" t="s">
        <v>22974</v>
      </c>
      <c r="C157" s="39" t="n">
        <v>45722</v>
      </c>
      <c r="D157" s="7" t="s">
        <v>132</v>
      </c>
      <c r="E157" s="41" t="n">
        <v>205.07</v>
      </c>
      <c r="F157" s="7" t="s">
        <v>22813</v>
      </c>
    </row>
    <row r="158" customFormat="false" ht="15" hidden="false" customHeight="false" outlineLevel="0" collapsed="false">
      <c r="B158" s="7" t="s">
        <v>22975</v>
      </c>
      <c r="C158" s="39" t="n">
        <v>45736</v>
      </c>
      <c r="D158" s="7" t="s">
        <v>132</v>
      </c>
      <c r="E158" s="41" t="n">
        <v>205.07</v>
      </c>
      <c r="F158" s="7" t="s">
        <v>22813</v>
      </c>
    </row>
    <row r="159" customFormat="false" ht="15" hidden="false" customHeight="false" outlineLevel="0" collapsed="false">
      <c r="B159" s="7" t="s">
        <v>22976</v>
      </c>
      <c r="C159" s="39" t="n">
        <v>45717</v>
      </c>
      <c r="D159" s="7" t="s">
        <v>22835</v>
      </c>
      <c r="E159" s="41" t="n">
        <v>950</v>
      </c>
      <c r="F159" s="7" t="s">
        <v>22796</v>
      </c>
    </row>
    <row r="160" customFormat="false" ht="15" hidden="false" customHeight="false" outlineLevel="0" collapsed="false">
      <c r="B160" s="7" t="s">
        <v>22977</v>
      </c>
      <c r="C160" s="39" t="n">
        <v>45717</v>
      </c>
      <c r="D160" s="7" t="s">
        <v>22837</v>
      </c>
      <c r="E160" s="41" t="n">
        <v>383.79</v>
      </c>
      <c r="F160" s="7" t="s">
        <v>22796</v>
      </c>
    </row>
    <row r="161" customFormat="false" ht="15" hidden="false" customHeight="false" outlineLevel="0" collapsed="false">
      <c r="B161" s="7" t="s">
        <v>22978</v>
      </c>
      <c r="C161" s="39" t="n">
        <v>45717</v>
      </c>
      <c r="D161" s="7" t="s">
        <v>22839</v>
      </c>
      <c r="E161" s="41" t="n">
        <v>154.85</v>
      </c>
      <c r="F161" s="7" t="s">
        <v>22796</v>
      </c>
    </row>
    <row r="162" customFormat="false" ht="15" hidden="false" customHeight="false" outlineLevel="0" collapsed="false">
      <c r="B162" s="7" t="s">
        <v>22979</v>
      </c>
      <c r="C162" s="39" t="n">
        <v>45720</v>
      </c>
      <c r="D162" s="7" t="s">
        <v>22841</v>
      </c>
      <c r="E162" s="41" t="n">
        <v>113.65</v>
      </c>
      <c r="F162" s="7" t="s">
        <v>22796</v>
      </c>
    </row>
    <row r="163" customFormat="false" ht="15" hidden="false" customHeight="false" outlineLevel="0" collapsed="false">
      <c r="B163" s="7" t="s">
        <v>22980</v>
      </c>
      <c r="C163" s="39" t="n">
        <v>45743</v>
      </c>
      <c r="D163" s="7" t="s">
        <v>22841</v>
      </c>
      <c r="E163" s="41" t="n">
        <v>48.77</v>
      </c>
      <c r="F163" s="7" t="s">
        <v>22796</v>
      </c>
    </row>
    <row r="164" customFormat="false" ht="15" hidden="false" customHeight="false" outlineLevel="0" collapsed="false">
      <c r="B164" s="7" t="s">
        <v>22981</v>
      </c>
      <c r="C164" s="39" t="n">
        <v>45745</v>
      </c>
      <c r="D164" s="7" t="s">
        <v>22841</v>
      </c>
      <c r="E164" s="41" t="n">
        <v>88.76</v>
      </c>
      <c r="F164" s="7" t="s">
        <v>22796</v>
      </c>
    </row>
    <row r="165" customFormat="false" ht="15" hidden="false" customHeight="false" outlineLevel="0" collapsed="false">
      <c r="B165" s="7" t="s">
        <v>22982</v>
      </c>
      <c r="C165" s="39" t="n">
        <v>45725</v>
      </c>
      <c r="D165" s="7" t="s">
        <v>22845</v>
      </c>
      <c r="E165" s="41" t="n">
        <v>76.74</v>
      </c>
      <c r="F165" s="7" t="s">
        <v>22796</v>
      </c>
    </row>
    <row r="166" customFormat="false" ht="15" hidden="false" customHeight="false" outlineLevel="0" collapsed="false">
      <c r="B166" s="7" t="s">
        <v>22983</v>
      </c>
      <c r="C166" s="39" t="n">
        <v>45726</v>
      </c>
      <c r="D166" s="7" t="s">
        <v>22845</v>
      </c>
      <c r="E166" s="41" t="n">
        <v>96.08</v>
      </c>
      <c r="F166" s="7" t="s">
        <v>22796</v>
      </c>
    </row>
    <row r="167" customFormat="false" ht="15" hidden="false" customHeight="false" outlineLevel="0" collapsed="false">
      <c r="B167" s="7" t="s">
        <v>22984</v>
      </c>
      <c r="C167" s="39" t="n">
        <v>45733</v>
      </c>
      <c r="D167" s="7" t="s">
        <v>22845</v>
      </c>
      <c r="E167" s="41" t="n">
        <v>57.83</v>
      </c>
      <c r="F167" s="7" t="s">
        <v>22796</v>
      </c>
    </row>
    <row r="168" customFormat="false" ht="15" hidden="false" customHeight="false" outlineLevel="0" collapsed="false">
      <c r="B168" s="7" t="s">
        <v>22985</v>
      </c>
      <c r="C168" s="39" t="n">
        <v>45741</v>
      </c>
      <c r="D168" s="7" t="s">
        <v>22845</v>
      </c>
      <c r="E168" s="41" t="n">
        <v>104.9</v>
      </c>
      <c r="F168" s="7" t="s">
        <v>22796</v>
      </c>
    </row>
    <row r="169" customFormat="false" ht="15" hidden="false" customHeight="false" outlineLevel="0" collapsed="false">
      <c r="B169" s="7" t="s">
        <v>22986</v>
      </c>
      <c r="C169" s="39" t="n">
        <v>45731</v>
      </c>
      <c r="D169" s="7" t="s">
        <v>22848</v>
      </c>
      <c r="E169" s="41" t="n">
        <v>85.91</v>
      </c>
      <c r="F169" s="7" t="s">
        <v>22796</v>
      </c>
    </row>
    <row r="170" customFormat="false" ht="15" hidden="false" customHeight="false" outlineLevel="0" collapsed="false">
      <c r="B170" s="7" t="s">
        <v>22987</v>
      </c>
      <c r="C170" s="39" t="n">
        <v>45732</v>
      </c>
      <c r="D170" s="7" t="s">
        <v>22848</v>
      </c>
      <c r="E170" s="41" t="n">
        <v>73.34</v>
      </c>
      <c r="F170" s="7" t="s">
        <v>22796</v>
      </c>
    </row>
    <row r="171" customFormat="false" ht="15" hidden="false" customHeight="false" outlineLevel="0" collapsed="false">
      <c r="B171" s="7" t="s">
        <v>22988</v>
      </c>
      <c r="C171" s="39" t="n">
        <v>45734</v>
      </c>
      <c r="D171" s="7" t="s">
        <v>22848</v>
      </c>
      <c r="E171" s="41" t="n">
        <v>15.72</v>
      </c>
      <c r="F171" s="7" t="s">
        <v>22796</v>
      </c>
    </row>
    <row r="172" customFormat="false" ht="15" hidden="false" customHeight="false" outlineLevel="0" collapsed="false">
      <c r="B172" s="7" t="s">
        <v>22989</v>
      </c>
      <c r="C172" s="39" t="n">
        <v>45737</v>
      </c>
      <c r="D172" s="7" t="s">
        <v>22848</v>
      </c>
      <c r="E172" s="41" t="n">
        <v>61.82</v>
      </c>
      <c r="F172" s="7" t="s">
        <v>22796</v>
      </c>
    </row>
    <row r="173" customFormat="false" ht="15" hidden="false" customHeight="false" outlineLevel="0" collapsed="false">
      <c r="B173" s="7" t="s">
        <v>22990</v>
      </c>
      <c r="C173" s="39" t="n">
        <v>45719</v>
      </c>
      <c r="D173" s="7" t="s">
        <v>136</v>
      </c>
      <c r="E173" s="41" t="n">
        <v>62.44</v>
      </c>
      <c r="F173" s="7" t="s">
        <v>22796</v>
      </c>
    </row>
    <row r="174" customFormat="false" ht="15" hidden="false" customHeight="false" outlineLevel="0" collapsed="false">
      <c r="B174" s="7" t="s">
        <v>22991</v>
      </c>
      <c r="C174" s="39" t="n">
        <v>45720</v>
      </c>
      <c r="D174" s="7" t="s">
        <v>136</v>
      </c>
      <c r="E174" s="41" t="n">
        <v>24.5</v>
      </c>
      <c r="F174" s="7" t="s">
        <v>22796</v>
      </c>
    </row>
    <row r="175" customFormat="false" ht="15" hidden="false" customHeight="false" outlineLevel="0" collapsed="false">
      <c r="B175" s="7" t="s">
        <v>22992</v>
      </c>
      <c r="C175" s="39" t="n">
        <v>45726</v>
      </c>
      <c r="D175" s="7" t="s">
        <v>136</v>
      </c>
      <c r="E175" s="41" t="n">
        <v>28.32</v>
      </c>
      <c r="F175" s="7" t="s">
        <v>22796</v>
      </c>
    </row>
    <row r="176" customFormat="false" ht="15" hidden="false" customHeight="false" outlineLevel="0" collapsed="false">
      <c r="B176" s="7" t="s">
        <v>22993</v>
      </c>
      <c r="C176" s="39" t="n">
        <v>45743</v>
      </c>
      <c r="D176" s="7" t="s">
        <v>136</v>
      </c>
      <c r="E176" s="41" t="n">
        <v>40.81</v>
      </c>
      <c r="F176" s="7" t="s">
        <v>22796</v>
      </c>
    </row>
    <row r="177" customFormat="false" ht="15" hidden="false" customHeight="false" outlineLevel="0" collapsed="false">
      <c r="B177" s="7" t="s">
        <v>22994</v>
      </c>
      <c r="C177" s="39" t="n">
        <v>45717</v>
      </c>
      <c r="D177" s="7" t="s">
        <v>22855</v>
      </c>
      <c r="E177" s="41" t="n">
        <v>170.83</v>
      </c>
      <c r="F177" s="7" t="s">
        <v>22796</v>
      </c>
    </row>
    <row r="178" customFormat="false" ht="15" hidden="false" customHeight="false" outlineLevel="0" collapsed="false">
      <c r="B178" s="7" t="s">
        <v>22995</v>
      </c>
      <c r="C178" s="39" t="n">
        <v>45717</v>
      </c>
      <c r="D178" s="7" t="s">
        <v>22857</v>
      </c>
      <c r="E178" s="41" t="n">
        <v>487.75</v>
      </c>
      <c r="F178" s="7" t="s">
        <v>22796</v>
      </c>
    </row>
    <row r="179" customFormat="false" ht="15" hidden="false" customHeight="false" outlineLevel="0" collapsed="false">
      <c r="B179" s="7" t="s">
        <v>22996</v>
      </c>
      <c r="C179" s="39" t="n">
        <v>45717</v>
      </c>
      <c r="D179" s="7" t="s">
        <v>22859</v>
      </c>
      <c r="E179" s="41" t="n">
        <v>126.68</v>
      </c>
      <c r="F179" s="7" t="s">
        <v>22796</v>
      </c>
    </row>
    <row r="180" customFormat="false" ht="15" hidden="false" customHeight="false" outlineLevel="0" collapsed="false">
      <c r="B180" s="7" t="s">
        <v>22997</v>
      </c>
      <c r="C180" s="39" t="n">
        <v>45719</v>
      </c>
      <c r="D180" s="7" t="s">
        <v>22859</v>
      </c>
      <c r="E180" s="41" t="n">
        <v>155.6</v>
      </c>
      <c r="F180" s="7" t="s">
        <v>22796</v>
      </c>
    </row>
    <row r="181" customFormat="false" ht="15" hidden="false" customHeight="false" outlineLevel="0" collapsed="false">
      <c r="B181" s="7" t="s">
        <v>22998</v>
      </c>
      <c r="C181" s="39" t="n">
        <v>45728</v>
      </c>
      <c r="D181" s="7" t="s">
        <v>22859</v>
      </c>
      <c r="E181" s="41" t="n">
        <v>170.93</v>
      </c>
      <c r="F181" s="7" t="s">
        <v>22796</v>
      </c>
    </row>
    <row r="182" customFormat="false" ht="15" hidden="false" customHeight="false" outlineLevel="0" collapsed="false">
      <c r="B182" s="7" t="s">
        <v>22999</v>
      </c>
      <c r="C182" s="39" t="n">
        <v>45717</v>
      </c>
      <c r="D182" s="7" t="s">
        <v>22862</v>
      </c>
      <c r="E182" s="41" t="n">
        <v>43.85</v>
      </c>
      <c r="F182" s="7" t="s">
        <v>22796</v>
      </c>
    </row>
    <row r="183" customFormat="false" ht="15" hidden="false" customHeight="false" outlineLevel="0" collapsed="false">
      <c r="B183" s="7" t="s">
        <v>23000</v>
      </c>
      <c r="C183" s="39" t="n">
        <v>45722</v>
      </c>
      <c r="D183" s="7" t="s">
        <v>22862</v>
      </c>
      <c r="E183" s="41" t="n">
        <v>29.46</v>
      </c>
      <c r="F183" s="7" t="s">
        <v>22796</v>
      </c>
    </row>
    <row r="184" customFormat="false" ht="15" hidden="false" customHeight="false" outlineLevel="0" collapsed="false">
      <c r="B184" s="7" t="s">
        <v>23001</v>
      </c>
      <c r="C184" s="39" t="n">
        <v>45737</v>
      </c>
      <c r="D184" s="7" t="s">
        <v>22862</v>
      </c>
      <c r="E184" s="41" t="n">
        <v>69.55</v>
      </c>
      <c r="F184" s="7" t="s">
        <v>22796</v>
      </c>
    </row>
    <row r="185" customFormat="false" ht="15" hidden="false" customHeight="false" outlineLevel="0" collapsed="false">
      <c r="B185" s="7" t="s">
        <v>23002</v>
      </c>
      <c r="C185" s="39" t="n">
        <v>45717</v>
      </c>
      <c r="D185" s="7" t="s">
        <v>22866</v>
      </c>
      <c r="E185" s="41" t="n">
        <v>133.53</v>
      </c>
      <c r="F185" s="7" t="s">
        <v>22796</v>
      </c>
    </row>
    <row r="186" customFormat="false" ht="15" hidden="false" customHeight="false" outlineLevel="0" collapsed="false">
      <c r="B186" s="7" t="s">
        <v>23003</v>
      </c>
      <c r="C186" s="39" t="n">
        <v>45718</v>
      </c>
      <c r="D186" s="7" t="s">
        <v>22866</v>
      </c>
      <c r="E186" s="41" t="n">
        <v>215.38</v>
      </c>
      <c r="F186" s="7" t="s">
        <v>22796</v>
      </c>
    </row>
    <row r="187" customFormat="false" ht="15" hidden="false" customHeight="false" outlineLevel="0" collapsed="false">
      <c r="B187" s="7" t="s">
        <v>23004</v>
      </c>
      <c r="C187" s="39" t="n">
        <v>45737</v>
      </c>
      <c r="D187" s="7" t="s">
        <v>22866</v>
      </c>
      <c r="E187" s="41" t="n">
        <v>117.02</v>
      </c>
      <c r="F187" s="7" t="s">
        <v>22796</v>
      </c>
    </row>
    <row r="188" customFormat="false" ht="15" hidden="false" customHeight="false" outlineLevel="0" collapsed="false">
      <c r="B188" s="7" t="s">
        <v>23005</v>
      </c>
      <c r="C188" s="39" t="n">
        <v>45739</v>
      </c>
      <c r="D188" s="7" t="s">
        <v>22866</v>
      </c>
      <c r="E188" s="41" t="n">
        <v>127.53</v>
      </c>
      <c r="F188" s="7" t="s">
        <v>22796</v>
      </c>
    </row>
    <row r="189" customFormat="false" ht="15" hidden="false" customHeight="false" outlineLevel="0" collapsed="false">
      <c r="B189" s="7" t="s">
        <v>23006</v>
      </c>
      <c r="C189" s="39" t="n">
        <v>45718</v>
      </c>
      <c r="D189" s="7" t="s">
        <v>22870</v>
      </c>
      <c r="E189" s="41" t="n">
        <v>73.88</v>
      </c>
      <c r="F189" s="7" t="s">
        <v>22796</v>
      </c>
    </row>
    <row r="190" customFormat="false" ht="15" hidden="false" customHeight="false" outlineLevel="0" collapsed="false">
      <c r="B190" s="7" t="s">
        <v>23007</v>
      </c>
      <c r="C190" s="39" t="n">
        <v>45729</v>
      </c>
      <c r="D190" s="7" t="s">
        <v>22870</v>
      </c>
      <c r="E190" s="41" t="n">
        <v>64.14</v>
      </c>
      <c r="F190" s="7" t="s">
        <v>22796</v>
      </c>
    </row>
    <row r="191" customFormat="false" ht="15" hidden="false" customHeight="false" outlineLevel="0" collapsed="false">
      <c r="B191" s="7" t="s">
        <v>23008</v>
      </c>
      <c r="C191" s="39" t="n">
        <v>45741</v>
      </c>
      <c r="D191" s="7" t="s">
        <v>22870</v>
      </c>
      <c r="E191" s="41" t="n">
        <v>210.81</v>
      </c>
      <c r="F191" s="7" t="s">
        <v>22796</v>
      </c>
    </row>
    <row r="192" customFormat="false" ht="15" hidden="false" customHeight="false" outlineLevel="0" collapsed="false">
      <c r="B192" s="7" t="s">
        <v>23009</v>
      </c>
      <c r="C192" s="39" t="n">
        <v>45717</v>
      </c>
      <c r="D192" s="7" t="s">
        <v>22874</v>
      </c>
      <c r="E192" s="41" t="n">
        <v>402.86</v>
      </c>
      <c r="F192" s="7" t="s">
        <v>22796</v>
      </c>
    </row>
    <row r="193" customFormat="false" ht="15" hidden="false" customHeight="false" outlineLevel="0" collapsed="false">
      <c r="B193" s="7" t="s">
        <v>23010</v>
      </c>
      <c r="C193" s="39" t="n">
        <v>45725</v>
      </c>
      <c r="D193" s="7" t="s">
        <v>22876</v>
      </c>
      <c r="E193" s="41" t="n">
        <v>92.38</v>
      </c>
      <c r="F193" s="7" t="s">
        <v>22796</v>
      </c>
    </row>
    <row r="194" customFormat="false" ht="15" hidden="false" customHeight="false" outlineLevel="0" collapsed="false">
      <c r="B194" s="7" t="s">
        <v>23011</v>
      </c>
      <c r="C194" s="39" t="n">
        <v>45729</v>
      </c>
      <c r="D194" s="7" t="s">
        <v>22876</v>
      </c>
      <c r="E194" s="41" t="n">
        <v>67.29</v>
      </c>
      <c r="F194" s="7" t="s">
        <v>22796</v>
      </c>
    </row>
    <row r="195" customFormat="false" ht="15" hidden="false" customHeight="false" outlineLevel="0" collapsed="false">
      <c r="B195" s="7" t="s">
        <v>23012</v>
      </c>
      <c r="C195" s="39" t="n">
        <v>45736</v>
      </c>
      <c r="D195" s="7" t="s">
        <v>22876</v>
      </c>
      <c r="E195" s="41" t="n">
        <v>201.37</v>
      </c>
      <c r="F195" s="7" t="s">
        <v>22796</v>
      </c>
    </row>
    <row r="196" customFormat="false" ht="15" hidden="false" customHeight="false" outlineLevel="0" collapsed="false">
      <c r="B196" s="7" t="s">
        <v>23013</v>
      </c>
      <c r="C196" s="39" t="n">
        <v>45730</v>
      </c>
      <c r="D196" s="7" t="s">
        <v>142</v>
      </c>
      <c r="E196" s="41" t="n">
        <v>72.67</v>
      </c>
      <c r="F196" s="7" t="s">
        <v>22796</v>
      </c>
    </row>
    <row r="197" customFormat="false" ht="15" hidden="false" customHeight="false" outlineLevel="0" collapsed="false">
      <c r="B197" s="7" t="s">
        <v>23014</v>
      </c>
      <c r="C197" s="39" t="n">
        <v>45735</v>
      </c>
      <c r="D197" s="7" t="s">
        <v>142</v>
      </c>
      <c r="E197" s="41" t="n">
        <v>52.07</v>
      </c>
      <c r="F197" s="7" t="s">
        <v>22796</v>
      </c>
    </row>
    <row r="198" customFormat="false" ht="15" hidden="false" customHeight="false" outlineLevel="0" collapsed="false">
      <c r="B198" s="7" t="s">
        <v>23015</v>
      </c>
      <c r="C198" s="39" t="n">
        <v>45742</v>
      </c>
      <c r="D198" s="7" t="s">
        <v>142</v>
      </c>
      <c r="E198" s="41" t="n">
        <v>24.9</v>
      </c>
      <c r="F198" s="7" t="s">
        <v>22796</v>
      </c>
    </row>
    <row r="199" customFormat="false" ht="15" hidden="false" customHeight="false" outlineLevel="0" collapsed="false">
      <c r="B199" s="7" t="s">
        <v>23016</v>
      </c>
      <c r="C199" s="39" t="n">
        <v>45747</v>
      </c>
      <c r="D199" s="7" t="s">
        <v>142</v>
      </c>
      <c r="E199" s="41" t="n">
        <v>37.49</v>
      </c>
      <c r="F199" s="7" t="s">
        <v>22796</v>
      </c>
    </row>
    <row r="200" customFormat="false" ht="15" hidden="false" customHeight="false" outlineLevel="0" collapsed="false">
      <c r="B200" s="7" t="s">
        <v>23017</v>
      </c>
      <c r="C200" s="39" t="n">
        <v>45730</v>
      </c>
      <c r="D200" s="7" t="s">
        <v>22882</v>
      </c>
      <c r="E200" s="41" t="n">
        <v>20.33</v>
      </c>
      <c r="F200" s="7" t="s">
        <v>22796</v>
      </c>
    </row>
    <row r="201" customFormat="false" ht="15" hidden="false" customHeight="false" outlineLevel="0" collapsed="false">
      <c r="B201" s="7" t="s">
        <v>23018</v>
      </c>
      <c r="C201" s="39" t="n">
        <v>45731</v>
      </c>
      <c r="D201" s="7" t="s">
        <v>22882</v>
      </c>
      <c r="E201" s="41" t="n">
        <v>8.59</v>
      </c>
      <c r="F201" s="7" t="s">
        <v>22796</v>
      </c>
    </row>
    <row r="202" customFormat="false" ht="15" hidden="false" customHeight="false" outlineLevel="0" collapsed="false">
      <c r="B202" s="7" t="s">
        <v>23019</v>
      </c>
      <c r="C202" s="39" t="n">
        <v>45737</v>
      </c>
      <c r="D202" s="7" t="s">
        <v>22882</v>
      </c>
      <c r="E202" s="41" t="n">
        <v>16.27</v>
      </c>
      <c r="F202" s="7" t="s">
        <v>22796</v>
      </c>
    </row>
    <row r="203" customFormat="false" ht="15" hidden="false" customHeight="false" outlineLevel="0" collapsed="false">
      <c r="B203" s="7" t="s">
        <v>23020</v>
      </c>
      <c r="C203" s="39" t="n">
        <v>45718</v>
      </c>
      <c r="D203" s="7" t="s">
        <v>143</v>
      </c>
      <c r="E203" s="41" t="n">
        <v>66.89</v>
      </c>
      <c r="F203" s="7" t="s">
        <v>22796</v>
      </c>
    </row>
    <row r="204" customFormat="false" ht="15" hidden="false" customHeight="false" outlineLevel="0" collapsed="false">
      <c r="B204" s="7" t="s">
        <v>23021</v>
      </c>
      <c r="C204" s="39" t="n">
        <v>45731</v>
      </c>
      <c r="D204" s="7" t="s">
        <v>143</v>
      </c>
      <c r="E204" s="41" t="n">
        <v>48.28</v>
      </c>
      <c r="F204" s="7" t="s">
        <v>22796</v>
      </c>
    </row>
    <row r="205" customFormat="false" ht="15" hidden="false" customHeight="false" outlineLevel="0" collapsed="false">
      <c r="B205" s="7" t="s">
        <v>23022</v>
      </c>
      <c r="C205" s="39" t="n">
        <v>45745</v>
      </c>
      <c r="D205" s="7" t="s">
        <v>143</v>
      </c>
      <c r="E205" s="41" t="n">
        <v>63.88</v>
      </c>
      <c r="F205" s="7" t="s">
        <v>22796</v>
      </c>
    </row>
    <row r="206" customFormat="false" ht="15" hidden="false" customHeight="false" outlineLevel="0" collapsed="false">
      <c r="B206" s="7" t="s">
        <v>23023</v>
      </c>
      <c r="C206" s="39" t="n">
        <v>45748</v>
      </c>
      <c r="D206" s="7" t="s">
        <v>124</v>
      </c>
      <c r="E206" s="41" t="n">
        <v>2102.6</v>
      </c>
      <c r="F206" s="7" t="s">
        <v>22796</v>
      </c>
    </row>
    <row r="207" customFormat="false" ht="15" hidden="false" customHeight="false" outlineLevel="0" collapsed="false">
      <c r="B207" s="7" t="s">
        <v>23024</v>
      </c>
      <c r="C207" s="39" t="n">
        <v>45748</v>
      </c>
      <c r="D207" s="7" t="s">
        <v>22798</v>
      </c>
      <c r="E207" s="41" t="n">
        <v>57.96</v>
      </c>
      <c r="F207" s="7" t="s">
        <v>22796</v>
      </c>
    </row>
    <row r="208" customFormat="false" ht="15" hidden="false" customHeight="false" outlineLevel="0" collapsed="false">
      <c r="B208" s="7" t="s">
        <v>23025</v>
      </c>
      <c r="C208" s="39" t="n">
        <v>45751</v>
      </c>
      <c r="D208" s="7" t="s">
        <v>22798</v>
      </c>
      <c r="E208" s="41" t="n">
        <v>62.13</v>
      </c>
      <c r="F208" s="7" t="s">
        <v>22796</v>
      </c>
    </row>
    <row r="209" customFormat="false" ht="15" hidden="false" customHeight="false" outlineLevel="0" collapsed="false">
      <c r="B209" s="7" t="s">
        <v>23026</v>
      </c>
      <c r="C209" s="39" t="n">
        <v>45768</v>
      </c>
      <c r="D209" s="7" t="s">
        <v>22798</v>
      </c>
      <c r="E209" s="41" t="n">
        <v>31.7</v>
      </c>
      <c r="F209" s="7" t="s">
        <v>22796</v>
      </c>
    </row>
    <row r="210" customFormat="false" ht="15" hidden="false" customHeight="false" outlineLevel="0" collapsed="false">
      <c r="B210" s="7" t="s">
        <v>23027</v>
      </c>
      <c r="C210" s="39" t="n">
        <v>45774</v>
      </c>
      <c r="D210" s="7" t="s">
        <v>22798</v>
      </c>
      <c r="E210" s="41" t="n">
        <v>58.66</v>
      </c>
      <c r="F210" s="7" t="s">
        <v>22796</v>
      </c>
    </row>
    <row r="211" customFormat="false" ht="15" hidden="false" customHeight="false" outlineLevel="0" collapsed="false">
      <c r="B211" s="7" t="s">
        <v>23028</v>
      </c>
      <c r="C211" s="39" t="n">
        <v>45748</v>
      </c>
      <c r="D211" s="7" t="s">
        <v>22802</v>
      </c>
      <c r="E211" s="41" t="n">
        <v>17.95</v>
      </c>
      <c r="F211" s="7" t="s">
        <v>22796</v>
      </c>
    </row>
    <row r="212" customFormat="false" ht="15" hidden="false" customHeight="false" outlineLevel="0" collapsed="false">
      <c r="B212" s="7" t="s">
        <v>23029</v>
      </c>
      <c r="C212" s="39" t="n">
        <v>45763</v>
      </c>
      <c r="D212" s="7" t="s">
        <v>22802</v>
      </c>
      <c r="E212" s="41" t="n">
        <v>14.85</v>
      </c>
      <c r="F212" s="7" t="s">
        <v>22796</v>
      </c>
    </row>
    <row r="213" customFormat="false" ht="15" hidden="false" customHeight="false" outlineLevel="0" collapsed="false">
      <c r="B213" s="7" t="s">
        <v>23030</v>
      </c>
      <c r="C213" s="39" t="n">
        <v>45772</v>
      </c>
      <c r="D213" s="7" t="s">
        <v>22802</v>
      </c>
      <c r="E213" s="41" t="n">
        <v>33.07</v>
      </c>
      <c r="F213" s="7" t="s">
        <v>22796</v>
      </c>
    </row>
    <row r="214" customFormat="false" ht="15" hidden="false" customHeight="false" outlineLevel="0" collapsed="false">
      <c r="B214" s="7" t="s">
        <v>23031</v>
      </c>
      <c r="C214" s="39" t="n">
        <v>45748</v>
      </c>
      <c r="D214" s="7" t="s">
        <v>22807</v>
      </c>
      <c r="E214" s="41" t="n">
        <v>35.89</v>
      </c>
      <c r="F214" s="7" t="s">
        <v>22796</v>
      </c>
    </row>
    <row r="215" customFormat="false" ht="15" hidden="false" customHeight="false" outlineLevel="0" collapsed="false">
      <c r="B215" s="7" t="s">
        <v>23032</v>
      </c>
      <c r="C215" s="39" t="n">
        <v>45764</v>
      </c>
      <c r="D215" s="7" t="s">
        <v>22807</v>
      </c>
      <c r="E215" s="41" t="n">
        <v>23.25</v>
      </c>
      <c r="F215" s="7" t="s">
        <v>22796</v>
      </c>
    </row>
    <row r="216" customFormat="false" ht="15" hidden="false" customHeight="false" outlineLevel="0" collapsed="false">
      <c r="B216" s="7" t="s">
        <v>23033</v>
      </c>
      <c r="C216" s="39" t="n">
        <v>45777</v>
      </c>
      <c r="D216" s="7" t="s">
        <v>22807</v>
      </c>
      <c r="E216" s="41" t="n">
        <v>35.37</v>
      </c>
      <c r="F216" s="7" t="s">
        <v>22796</v>
      </c>
    </row>
    <row r="217" customFormat="false" ht="15" hidden="false" customHeight="false" outlineLevel="0" collapsed="false">
      <c r="B217" s="7" t="s">
        <v>23034</v>
      </c>
      <c r="C217" s="39" t="n">
        <v>45750</v>
      </c>
      <c r="D217" s="7" t="s">
        <v>22812</v>
      </c>
      <c r="E217" s="41" t="n">
        <v>1698.73</v>
      </c>
      <c r="F217" s="7" t="s">
        <v>22813</v>
      </c>
    </row>
    <row r="218" customFormat="false" ht="15" hidden="false" customHeight="false" outlineLevel="0" collapsed="false">
      <c r="B218" s="7" t="s">
        <v>23035</v>
      </c>
      <c r="C218" s="39" t="n">
        <v>45764</v>
      </c>
      <c r="D218" s="7" t="s">
        <v>22812</v>
      </c>
      <c r="E218" s="41" t="n">
        <v>1698.74</v>
      </c>
      <c r="F218" s="7" t="s">
        <v>22813</v>
      </c>
    </row>
    <row r="219" customFormat="false" ht="15" hidden="false" customHeight="false" outlineLevel="0" collapsed="false">
      <c r="B219" s="7" t="s">
        <v>23036</v>
      </c>
      <c r="C219" s="39" t="n">
        <v>45750</v>
      </c>
      <c r="D219" s="7" t="s">
        <v>22816</v>
      </c>
      <c r="E219" s="41" t="n">
        <v>1228.92</v>
      </c>
      <c r="F219" s="7" t="s">
        <v>22813</v>
      </c>
    </row>
    <row r="220" customFormat="false" ht="15" hidden="false" customHeight="false" outlineLevel="0" collapsed="false">
      <c r="B220" s="7" t="s">
        <v>23037</v>
      </c>
      <c r="C220" s="39" t="n">
        <v>45764</v>
      </c>
      <c r="D220" s="7" t="s">
        <v>22816</v>
      </c>
      <c r="E220" s="41" t="n">
        <v>1228.92</v>
      </c>
      <c r="F220" s="7" t="s">
        <v>22813</v>
      </c>
    </row>
    <row r="221" customFormat="false" ht="15" hidden="false" customHeight="false" outlineLevel="0" collapsed="false">
      <c r="B221" s="7" t="s">
        <v>23038</v>
      </c>
      <c r="C221" s="39" t="n">
        <v>45750</v>
      </c>
      <c r="D221" s="7" t="s">
        <v>22819</v>
      </c>
      <c r="E221" s="41" t="n">
        <v>664.28</v>
      </c>
      <c r="F221" s="7" t="s">
        <v>22813</v>
      </c>
    </row>
    <row r="222" customFormat="false" ht="15" hidden="false" customHeight="false" outlineLevel="0" collapsed="false">
      <c r="B222" s="7" t="s">
        <v>23039</v>
      </c>
      <c r="C222" s="39" t="n">
        <v>45764</v>
      </c>
      <c r="D222" s="7" t="s">
        <v>22819</v>
      </c>
      <c r="E222" s="41" t="n">
        <v>664.29</v>
      </c>
      <c r="F222" s="7" t="s">
        <v>22813</v>
      </c>
    </row>
    <row r="223" customFormat="false" ht="15" hidden="false" customHeight="false" outlineLevel="0" collapsed="false">
      <c r="B223" s="7" t="s">
        <v>23040</v>
      </c>
      <c r="C223" s="39" t="n">
        <v>45750</v>
      </c>
      <c r="D223" s="7" t="s">
        <v>22822</v>
      </c>
      <c r="E223" s="41" t="n">
        <v>2711.77</v>
      </c>
      <c r="F223" s="7" t="s">
        <v>22813</v>
      </c>
    </row>
    <row r="224" customFormat="false" ht="15" hidden="false" customHeight="false" outlineLevel="0" collapsed="false">
      <c r="B224" s="7" t="s">
        <v>23041</v>
      </c>
      <c r="C224" s="39" t="n">
        <v>45764</v>
      </c>
      <c r="D224" s="7" t="s">
        <v>22822</v>
      </c>
      <c r="E224" s="41" t="n">
        <v>2711.77</v>
      </c>
      <c r="F224" s="7" t="s">
        <v>22813</v>
      </c>
    </row>
    <row r="225" customFormat="false" ht="15" hidden="false" customHeight="false" outlineLevel="0" collapsed="false">
      <c r="B225" s="7" t="s">
        <v>23042</v>
      </c>
      <c r="C225" s="39" t="n">
        <v>45748</v>
      </c>
      <c r="D225" s="7" t="s">
        <v>22825</v>
      </c>
      <c r="E225" s="41" t="n">
        <v>620.36</v>
      </c>
      <c r="F225" s="7" t="s">
        <v>22796</v>
      </c>
    </row>
    <row r="226" customFormat="false" ht="15" hidden="false" customHeight="false" outlineLevel="0" collapsed="false">
      <c r="B226" s="7" t="s">
        <v>23043</v>
      </c>
      <c r="C226" s="39" t="n">
        <v>45748</v>
      </c>
      <c r="D226" s="7" t="s">
        <v>22827</v>
      </c>
      <c r="E226" s="41" t="n">
        <v>122.13</v>
      </c>
      <c r="F226" s="7" t="s">
        <v>22796</v>
      </c>
    </row>
    <row r="227" customFormat="false" ht="15" hidden="false" customHeight="false" outlineLevel="0" collapsed="false">
      <c r="B227" s="7" t="s">
        <v>23044</v>
      </c>
      <c r="C227" s="39" t="n">
        <v>45748</v>
      </c>
      <c r="D227" s="7" t="s">
        <v>22829</v>
      </c>
      <c r="E227" s="41" t="n">
        <v>85.02</v>
      </c>
      <c r="F227" s="7" t="s">
        <v>22796</v>
      </c>
    </row>
    <row r="228" customFormat="false" ht="15" hidden="false" customHeight="false" outlineLevel="0" collapsed="false">
      <c r="B228" s="7" t="s">
        <v>23045</v>
      </c>
      <c r="C228" s="39" t="n">
        <v>45748</v>
      </c>
      <c r="D228" s="7" t="s">
        <v>22831</v>
      </c>
      <c r="E228" s="41" t="n">
        <v>96.08</v>
      </c>
      <c r="F228" s="7" t="s">
        <v>22796</v>
      </c>
    </row>
    <row r="229" customFormat="false" ht="15" hidden="false" customHeight="false" outlineLevel="0" collapsed="false">
      <c r="B229" s="7" t="s">
        <v>23046</v>
      </c>
      <c r="C229" s="39" t="n">
        <v>45750</v>
      </c>
      <c r="D229" s="7" t="s">
        <v>132</v>
      </c>
      <c r="E229" s="41" t="n">
        <v>198.06</v>
      </c>
      <c r="F229" s="7" t="s">
        <v>22813</v>
      </c>
    </row>
    <row r="230" customFormat="false" ht="15" hidden="false" customHeight="false" outlineLevel="0" collapsed="false">
      <c r="B230" s="7" t="s">
        <v>23047</v>
      </c>
      <c r="C230" s="39" t="n">
        <v>45764</v>
      </c>
      <c r="D230" s="7" t="s">
        <v>132</v>
      </c>
      <c r="E230" s="41" t="n">
        <v>198.06</v>
      </c>
      <c r="F230" s="7" t="s">
        <v>22813</v>
      </c>
    </row>
    <row r="231" customFormat="false" ht="15" hidden="false" customHeight="false" outlineLevel="0" collapsed="false">
      <c r="B231" s="7" t="s">
        <v>23048</v>
      </c>
      <c r="C231" s="39" t="n">
        <v>45748</v>
      </c>
      <c r="D231" s="7" t="s">
        <v>22835</v>
      </c>
      <c r="E231" s="41" t="n">
        <v>950</v>
      </c>
      <c r="F231" s="7" t="s">
        <v>22796</v>
      </c>
    </row>
    <row r="232" customFormat="false" ht="15" hidden="false" customHeight="false" outlineLevel="0" collapsed="false">
      <c r="B232" s="7" t="s">
        <v>23049</v>
      </c>
      <c r="C232" s="39" t="n">
        <v>45748</v>
      </c>
      <c r="D232" s="7" t="s">
        <v>22837</v>
      </c>
      <c r="E232" s="41" t="n">
        <v>394.46</v>
      </c>
      <c r="F232" s="7" t="s">
        <v>22796</v>
      </c>
    </row>
    <row r="233" customFormat="false" ht="15" hidden="false" customHeight="false" outlineLevel="0" collapsed="false">
      <c r="B233" s="7" t="s">
        <v>23050</v>
      </c>
      <c r="C233" s="39" t="n">
        <v>45748</v>
      </c>
      <c r="D233" s="7" t="s">
        <v>22839</v>
      </c>
      <c r="E233" s="41" t="n">
        <v>148.04</v>
      </c>
      <c r="F233" s="7" t="s">
        <v>22796</v>
      </c>
    </row>
    <row r="234" customFormat="false" ht="15" hidden="false" customHeight="false" outlineLevel="0" collapsed="false">
      <c r="B234" s="7" t="s">
        <v>23051</v>
      </c>
      <c r="C234" s="39" t="n">
        <v>45748</v>
      </c>
      <c r="D234" s="7" t="s">
        <v>22841</v>
      </c>
      <c r="E234" s="41" t="n">
        <v>108.22</v>
      </c>
      <c r="F234" s="7" t="s">
        <v>22796</v>
      </c>
    </row>
    <row r="235" customFormat="false" ht="15" hidden="false" customHeight="false" outlineLevel="0" collapsed="false">
      <c r="B235" s="7" t="s">
        <v>23052</v>
      </c>
      <c r="C235" s="39" t="n">
        <v>45762</v>
      </c>
      <c r="D235" s="7" t="s">
        <v>22841</v>
      </c>
      <c r="E235" s="41" t="n">
        <v>31.25</v>
      </c>
      <c r="F235" s="7" t="s">
        <v>22796</v>
      </c>
    </row>
    <row r="236" customFormat="false" ht="15" hidden="false" customHeight="false" outlineLevel="0" collapsed="false">
      <c r="B236" s="7" t="s">
        <v>23053</v>
      </c>
      <c r="C236" s="39" t="n">
        <v>45765</v>
      </c>
      <c r="D236" s="7" t="s">
        <v>22841</v>
      </c>
      <c r="E236" s="41" t="n">
        <v>24.08</v>
      </c>
      <c r="F236" s="7" t="s">
        <v>22796</v>
      </c>
    </row>
    <row r="237" customFormat="false" ht="15" hidden="false" customHeight="false" outlineLevel="0" collapsed="false">
      <c r="B237" s="7" t="s">
        <v>23054</v>
      </c>
      <c r="C237" s="39" t="n">
        <v>45771</v>
      </c>
      <c r="D237" s="7" t="s">
        <v>22841</v>
      </c>
      <c r="E237" s="41" t="n">
        <v>94.47</v>
      </c>
      <c r="F237" s="7" t="s">
        <v>22796</v>
      </c>
    </row>
    <row r="238" customFormat="false" ht="15" hidden="false" customHeight="false" outlineLevel="0" collapsed="false">
      <c r="B238" s="7" t="s">
        <v>23055</v>
      </c>
      <c r="C238" s="39" t="n">
        <v>45756</v>
      </c>
      <c r="D238" s="7" t="s">
        <v>22845</v>
      </c>
      <c r="E238" s="41" t="n">
        <v>95.54</v>
      </c>
      <c r="F238" s="7" t="s">
        <v>22796</v>
      </c>
    </row>
    <row r="239" customFormat="false" ht="15" hidden="false" customHeight="false" outlineLevel="0" collapsed="false">
      <c r="B239" s="7" t="s">
        <v>23056</v>
      </c>
      <c r="C239" s="39" t="n">
        <v>45765</v>
      </c>
      <c r="D239" s="7" t="s">
        <v>22845</v>
      </c>
      <c r="E239" s="41" t="n">
        <v>71.96</v>
      </c>
      <c r="F239" s="7" t="s">
        <v>22796</v>
      </c>
    </row>
    <row r="240" customFormat="false" ht="15" hidden="false" customHeight="false" outlineLevel="0" collapsed="false">
      <c r="B240" s="7" t="s">
        <v>23057</v>
      </c>
      <c r="C240" s="39" t="n">
        <v>45775</v>
      </c>
      <c r="D240" s="7" t="s">
        <v>22845</v>
      </c>
      <c r="E240" s="41" t="n">
        <v>162.48</v>
      </c>
      <c r="F240" s="7" t="s">
        <v>22796</v>
      </c>
    </row>
    <row r="241" customFormat="false" ht="15" hidden="false" customHeight="false" outlineLevel="0" collapsed="false">
      <c r="B241" s="7" t="s">
        <v>23058</v>
      </c>
      <c r="C241" s="39" t="n">
        <v>45760</v>
      </c>
      <c r="D241" s="7" t="s">
        <v>22848</v>
      </c>
      <c r="E241" s="41" t="n">
        <v>71.46</v>
      </c>
      <c r="F241" s="7" t="s">
        <v>22796</v>
      </c>
    </row>
    <row r="242" customFormat="false" ht="15" hidden="false" customHeight="false" outlineLevel="0" collapsed="false">
      <c r="B242" s="7" t="s">
        <v>23059</v>
      </c>
      <c r="C242" s="39" t="n">
        <v>45768</v>
      </c>
      <c r="D242" s="7" t="s">
        <v>22848</v>
      </c>
      <c r="E242" s="41" t="n">
        <v>174.28</v>
      </c>
      <c r="F242" s="7" t="s">
        <v>22796</v>
      </c>
    </row>
    <row r="243" customFormat="false" ht="15" hidden="false" customHeight="false" outlineLevel="0" collapsed="false">
      <c r="B243" s="7" t="s">
        <v>23060</v>
      </c>
      <c r="C243" s="39" t="n">
        <v>45749</v>
      </c>
      <c r="D243" s="7" t="s">
        <v>136</v>
      </c>
      <c r="E243" s="41" t="n">
        <v>64.26</v>
      </c>
      <c r="F243" s="7" t="s">
        <v>22796</v>
      </c>
    </row>
    <row r="244" customFormat="false" ht="15" hidden="false" customHeight="false" outlineLevel="0" collapsed="false">
      <c r="B244" s="7" t="s">
        <v>23061</v>
      </c>
      <c r="C244" s="39" t="n">
        <v>45750</v>
      </c>
      <c r="D244" s="7" t="s">
        <v>136</v>
      </c>
      <c r="E244" s="41" t="n">
        <v>21.84</v>
      </c>
      <c r="F244" s="7" t="s">
        <v>22796</v>
      </c>
    </row>
    <row r="245" customFormat="false" ht="15" hidden="false" customHeight="false" outlineLevel="0" collapsed="false">
      <c r="B245" s="7" t="s">
        <v>23062</v>
      </c>
      <c r="C245" s="39" t="n">
        <v>45759</v>
      </c>
      <c r="D245" s="7" t="s">
        <v>136</v>
      </c>
      <c r="E245" s="41" t="n">
        <v>60.59</v>
      </c>
      <c r="F245" s="7" t="s">
        <v>22796</v>
      </c>
    </row>
    <row r="246" customFormat="false" ht="15" hidden="false" customHeight="false" outlineLevel="0" collapsed="false">
      <c r="B246" s="7" t="s">
        <v>23063</v>
      </c>
      <c r="C246" s="39" t="n">
        <v>45748</v>
      </c>
      <c r="D246" s="7" t="s">
        <v>22855</v>
      </c>
      <c r="E246" s="41" t="n">
        <v>157.96</v>
      </c>
      <c r="F246" s="7" t="s">
        <v>22796</v>
      </c>
    </row>
    <row r="247" customFormat="false" ht="15" hidden="false" customHeight="false" outlineLevel="0" collapsed="false">
      <c r="B247" s="7" t="s">
        <v>23064</v>
      </c>
      <c r="C247" s="39" t="n">
        <v>45748</v>
      </c>
      <c r="D247" s="7" t="s">
        <v>22857</v>
      </c>
      <c r="E247" s="41" t="n">
        <v>473.42</v>
      </c>
      <c r="F247" s="7" t="s">
        <v>22796</v>
      </c>
    </row>
    <row r="248" customFormat="false" ht="15" hidden="false" customHeight="false" outlineLevel="0" collapsed="false">
      <c r="B248" s="7" t="s">
        <v>23065</v>
      </c>
      <c r="C248" s="39" t="n">
        <v>45751</v>
      </c>
      <c r="D248" s="7" t="s">
        <v>22859</v>
      </c>
      <c r="E248" s="41" t="n">
        <v>140.97</v>
      </c>
      <c r="F248" s="7" t="s">
        <v>22796</v>
      </c>
    </row>
    <row r="249" customFormat="false" ht="15" hidden="false" customHeight="false" outlineLevel="0" collapsed="false">
      <c r="B249" s="7" t="s">
        <v>23066</v>
      </c>
      <c r="C249" s="39" t="n">
        <v>45763</v>
      </c>
      <c r="D249" s="7" t="s">
        <v>22859</v>
      </c>
      <c r="E249" s="41" t="n">
        <v>155.22</v>
      </c>
      <c r="F249" s="7" t="s">
        <v>22796</v>
      </c>
    </row>
    <row r="250" customFormat="false" ht="15" hidden="false" customHeight="false" outlineLevel="0" collapsed="false">
      <c r="B250" s="7" t="s">
        <v>23067</v>
      </c>
      <c r="C250" s="39" t="n">
        <v>45777</v>
      </c>
      <c r="D250" s="7" t="s">
        <v>22859</v>
      </c>
      <c r="E250" s="41" t="n">
        <v>162.71</v>
      </c>
      <c r="F250" s="7" t="s">
        <v>22796</v>
      </c>
    </row>
    <row r="251" customFormat="false" ht="15" hidden="false" customHeight="false" outlineLevel="0" collapsed="false">
      <c r="B251" s="7" t="s">
        <v>23068</v>
      </c>
      <c r="C251" s="39" t="n">
        <v>45753</v>
      </c>
      <c r="D251" s="7" t="s">
        <v>22862</v>
      </c>
      <c r="E251" s="41" t="n">
        <v>64.14</v>
      </c>
      <c r="F251" s="7" t="s">
        <v>22796</v>
      </c>
    </row>
    <row r="252" customFormat="false" ht="15" hidden="false" customHeight="false" outlineLevel="0" collapsed="false">
      <c r="B252" s="7" t="s">
        <v>23069</v>
      </c>
      <c r="C252" s="39" t="n">
        <v>45755</v>
      </c>
      <c r="D252" s="7" t="s">
        <v>22862</v>
      </c>
      <c r="E252" s="41" t="n">
        <v>39.84</v>
      </c>
      <c r="F252" s="7" t="s">
        <v>22796</v>
      </c>
    </row>
    <row r="253" customFormat="false" ht="15" hidden="false" customHeight="false" outlineLevel="0" collapsed="false">
      <c r="B253" s="7" t="s">
        <v>23070</v>
      </c>
      <c r="C253" s="39" t="n">
        <v>45761</v>
      </c>
      <c r="D253" s="7" t="s">
        <v>22862</v>
      </c>
      <c r="E253" s="41" t="n">
        <v>15.5</v>
      </c>
      <c r="F253" s="7" t="s">
        <v>22796</v>
      </c>
    </row>
    <row r="254" customFormat="false" ht="15" hidden="false" customHeight="false" outlineLevel="0" collapsed="false">
      <c r="B254" s="7" t="s">
        <v>23071</v>
      </c>
      <c r="C254" s="39" t="n">
        <v>45763</v>
      </c>
      <c r="D254" s="7" t="s">
        <v>22862</v>
      </c>
      <c r="E254" s="41" t="n">
        <v>40.33</v>
      </c>
      <c r="F254" s="7" t="s">
        <v>22796</v>
      </c>
    </row>
    <row r="255" customFormat="false" ht="15" hidden="false" customHeight="false" outlineLevel="0" collapsed="false">
      <c r="B255" s="7" t="s">
        <v>23072</v>
      </c>
      <c r="C255" s="39" t="n">
        <v>45757</v>
      </c>
      <c r="D255" s="7" t="s">
        <v>22866</v>
      </c>
      <c r="E255" s="41" t="n">
        <v>148.13</v>
      </c>
      <c r="F255" s="7" t="s">
        <v>22796</v>
      </c>
    </row>
    <row r="256" customFormat="false" ht="15" hidden="false" customHeight="false" outlineLevel="0" collapsed="false">
      <c r="B256" s="7" t="s">
        <v>23073</v>
      </c>
      <c r="C256" s="39" t="n">
        <v>45758</v>
      </c>
      <c r="D256" s="7" t="s">
        <v>22866</v>
      </c>
      <c r="E256" s="41" t="n">
        <v>488.99</v>
      </c>
      <c r="F256" s="7" t="s">
        <v>22796</v>
      </c>
    </row>
    <row r="257" customFormat="false" ht="15" hidden="false" customHeight="false" outlineLevel="0" collapsed="false">
      <c r="B257" s="7" t="s">
        <v>23074</v>
      </c>
      <c r="C257" s="39" t="n">
        <v>45763</v>
      </c>
      <c r="D257" s="7" t="s">
        <v>22870</v>
      </c>
      <c r="E257" s="41" t="n">
        <v>153.15</v>
      </c>
      <c r="F257" s="7" t="s">
        <v>22796</v>
      </c>
    </row>
    <row r="258" customFormat="false" ht="15" hidden="false" customHeight="false" outlineLevel="0" collapsed="false">
      <c r="B258" s="7" t="s">
        <v>23075</v>
      </c>
      <c r="C258" s="39" t="n">
        <v>45765</v>
      </c>
      <c r="D258" s="7" t="s">
        <v>22870</v>
      </c>
      <c r="E258" s="41" t="n">
        <v>91.71</v>
      </c>
      <c r="F258" s="7" t="s">
        <v>22796</v>
      </c>
    </row>
    <row r="259" customFormat="false" ht="15" hidden="false" customHeight="false" outlineLevel="0" collapsed="false">
      <c r="B259" s="7" t="s">
        <v>23076</v>
      </c>
      <c r="C259" s="39" t="n">
        <v>45772</v>
      </c>
      <c r="D259" s="7" t="s">
        <v>22870</v>
      </c>
      <c r="E259" s="41" t="n">
        <v>47.81</v>
      </c>
      <c r="F259" s="7" t="s">
        <v>22796</v>
      </c>
    </row>
    <row r="260" customFormat="false" ht="15" hidden="false" customHeight="false" outlineLevel="0" collapsed="false">
      <c r="B260" s="7" t="s">
        <v>23077</v>
      </c>
      <c r="C260" s="39" t="n">
        <v>45776</v>
      </c>
      <c r="D260" s="7" t="s">
        <v>22870</v>
      </c>
      <c r="E260" s="41" t="n">
        <v>72.22</v>
      </c>
      <c r="F260" s="7" t="s">
        <v>22796</v>
      </c>
    </row>
    <row r="261" customFormat="false" ht="15" hidden="false" customHeight="false" outlineLevel="0" collapsed="false">
      <c r="B261" s="7" t="s">
        <v>23078</v>
      </c>
      <c r="C261" s="39" t="n">
        <v>45748</v>
      </c>
      <c r="D261" s="7" t="s">
        <v>22874</v>
      </c>
      <c r="E261" s="41" t="n">
        <v>433.39</v>
      </c>
      <c r="F261" s="7" t="s">
        <v>22796</v>
      </c>
    </row>
    <row r="262" customFormat="false" ht="15" hidden="false" customHeight="false" outlineLevel="0" collapsed="false">
      <c r="B262" s="7" t="s">
        <v>23079</v>
      </c>
      <c r="C262" s="39" t="n">
        <v>45748</v>
      </c>
      <c r="D262" s="7" t="s">
        <v>22876</v>
      </c>
      <c r="E262" s="41" t="n">
        <v>171.36</v>
      </c>
      <c r="F262" s="7" t="s">
        <v>22796</v>
      </c>
    </row>
    <row r="263" customFormat="false" ht="15" hidden="false" customHeight="false" outlineLevel="0" collapsed="false">
      <c r="B263" s="7" t="s">
        <v>23080</v>
      </c>
      <c r="C263" s="39" t="n">
        <v>45768</v>
      </c>
      <c r="D263" s="7" t="s">
        <v>22876</v>
      </c>
      <c r="E263" s="41" t="n">
        <v>227.39</v>
      </c>
      <c r="F263" s="7" t="s">
        <v>22796</v>
      </c>
    </row>
    <row r="264" customFormat="false" ht="15" hidden="false" customHeight="false" outlineLevel="0" collapsed="false">
      <c r="B264" s="7" t="s">
        <v>23081</v>
      </c>
      <c r="C264" s="39" t="n">
        <v>45759</v>
      </c>
      <c r="D264" s="7" t="s">
        <v>142</v>
      </c>
      <c r="E264" s="41" t="n">
        <v>67.16</v>
      </c>
      <c r="F264" s="7" t="s">
        <v>22796</v>
      </c>
    </row>
    <row r="265" customFormat="false" ht="15" hidden="false" customHeight="false" outlineLevel="0" collapsed="false">
      <c r="B265" s="7" t="s">
        <v>23082</v>
      </c>
      <c r="C265" s="39" t="n">
        <v>45771</v>
      </c>
      <c r="D265" s="7" t="s">
        <v>142</v>
      </c>
      <c r="E265" s="41" t="n">
        <v>31.46</v>
      </c>
      <c r="F265" s="7" t="s">
        <v>22796</v>
      </c>
    </row>
    <row r="266" customFormat="false" ht="15" hidden="false" customHeight="false" outlineLevel="0" collapsed="false">
      <c r="B266" s="7" t="s">
        <v>23083</v>
      </c>
      <c r="C266" s="39" t="n">
        <v>45775</v>
      </c>
      <c r="D266" s="7" t="s">
        <v>142</v>
      </c>
      <c r="E266" s="41" t="n">
        <v>74.84</v>
      </c>
      <c r="F266" s="7" t="s">
        <v>22796</v>
      </c>
    </row>
    <row r="267" customFormat="false" ht="15" hidden="false" customHeight="false" outlineLevel="0" collapsed="false">
      <c r="B267" s="7" t="s">
        <v>23084</v>
      </c>
      <c r="C267" s="39" t="n">
        <v>45748</v>
      </c>
      <c r="D267" s="7" t="s">
        <v>22882</v>
      </c>
      <c r="E267" s="41" t="n">
        <v>12.81</v>
      </c>
      <c r="F267" s="7" t="s">
        <v>22796</v>
      </c>
    </row>
    <row r="268" customFormat="false" ht="15" hidden="false" customHeight="false" outlineLevel="0" collapsed="false">
      <c r="B268" s="7" t="s">
        <v>23085</v>
      </c>
      <c r="C268" s="39" t="n">
        <v>45761</v>
      </c>
      <c r="D268" s="7" t="s">
        <v>22882</v>
      </c>
      <c r="E268" s="41" t="n">
        <v>12.77</v>
      </c>
      <c r="F268" s="7" t="s">
        <v>22796</v>
      </c>
    </row>
    <row r="269" customFormat="false" ht="15" hidden="false" customHeight="false" outlineLevel="0" collapsed="false">
      <c r="B269" s="7" t="s">
        <v>23086</v>
      </c>
      <c r="C269" s="39" t="n">
        <v>45766</v>
      </c>
      <c r="D269" s="7" t="s">
        <v>22882</v>
      </c>
      <c r="E269" s="41" t="n">
        <v>7.33</v>
      </c>
      <c r="F269" s="7" t="s">
        <v>22796</v>
      </c>
    </row>
    <row r="270" customFormat="false" ht="15" hidden="false" customHeight="false" outlineLevel="0" collapsed="false">
      <c r="B270" s="7" t="s">
        <v>23087</v>
      </c>
      <c r="C270" s="39" t="n">
        <v>45777</v>
      </c>
      <c r="D270" s="7" t="s">
        <v>22882</v>
      </c>
      <c r="E270" s="41" t="n">
        <v>12.65</v>
      </c>
      <c r="F270" s="7" t="s">
        <v>22796</v>
      </c>
    </row>
    <row r="271" customFormat="false" ht="15" hidden="false" customHeight="false" outlineLevel="0" collapsed="false">
      <c r="B271" s="7" t="s">
        <v>23088</v>
      </c>
      <c r="C271" s="39" t="n">
        <v>45764</v>
      </c>
      <c r="D271" s="7" t="s">
        <v>143</v>
      </c>
      <c r="E271" s="41" t="n">
        <v>86.26</v>
      </c>
      <c r="F271" s="7" t="s">
        <v>22796</v>
      </c>
    </row>
    <row r="272" customFormat="false" ht="15" hidden="false" customHeight="false" outlineLevel="0" collapsed="false">
      <c r="B272" s="7" t="s">
        <v>23089</v>
      </c>
      <c r="C272" s="39" t="n">
        <v>45766</v>
      </c>
      <c r="D272" s="7" t="s">
        <v>143</v>
      </c>
      <c r="E272" s="41" t="n">
        <v>100.41</v>
      </c>
      <c r="F272" s="7" t="s">
        <v>22796</v>
      </c>
    </row>
    <row r="273" customFormat="false" ht="15" hidden="false" customHeight="false" outlineLevel="0" collapsed="false">
      <c r="B273" s="7" t="s">
        <v>23090</v>
      </c>
      <c r="C273" s="39" t="n">
        <v>45778</v>
      </c>
      <c r="D273" s="7" t="s">
        <v>124</v>
      </c>
      <c r="E273" s="41" t="n">
        <v>2086.67</v>
      </c>
      <c r="F273" s="7" t="s">
        <v>22796</v>
      </c>
    </row>
    <row r="274" customFormat="false" ht="15" hidden="false" customHeight="false" outlineLevel="0" collapsed="false">
      <c r="B274" s="7" t="s">
        <v>23091</v>
      </c>
      <c r="C274" s="39" t="n">
        <v>45781</v>
      </c>
      <c r="D274" s="7" t="s">
        <v>22798</v>
      </c>
      <c r="E274" s="41" t="n">
        <v>106.54</v>
      </c>
      <c r="F274" s="7" t="s">
        <v>22796</v>
      </c>
    </row>
    <row r="275" customFormat="false" ht="15" hidden="false" customHeight="false" outlineLevel="0" collapsed="false">
      <c r="B275" s="7" t="s">
        <v>23092</v>
      </c>
      <c r="C275" s="39" t="n">
        <v>45792</v>
      </c>
      <c r="D275" s="7" t="s">
        <v>22798</v>
      </c>
      <c r="E275" s="41" t="n">
        <v>33.63</v>
      </c>
      <c r="F275" s="7" t="s">
        <v>22796</v>
      </c>
    </row>
    <row r="276" customFormat="false" ht="15" hidden="false" customHeight="false" outlineLevel="0" collapsed="false">
      <c r="B276" s="7" t="s">
        <v>23093</v>
      </c>
      <c r="C276" s="39" t="n">
        <v>45806</v>
      </c>
      <c r="D276" s="7" t="s">
        <v>22798</v>
      </c>
      <c r="E276" s="41" t="n">
        <v>78.14</v>
      </c>
      <c r="F276" s="7" t="s">
        <v>22796</v>
      </c>
    </row>
    <row r="277" customFormat="false" ht="15" hidden="false" customHeight="false" outlineLevel="0" collapsed="false">
      <c r="B277" s="7" t="s">
        <v>23094</v>
      </c>
      <c r="C277" s="39" t="n">
        <v>45778</v>
      </c>
      <c r="D277" s="7" t="s">
        <v>22802</v>
      </c>
      <c r="E277" s="41" t="n">
        <v>14.2</v>
      </c>
      <c r="F277" s="7" t="s">
        <v>22796</v>
      </c>
    </row>
    <row r="278" customFormat="false" ht="15" hidden="false" customHeight="false" outlineLevel="0" collapsed="false">
      <c r="B278" s="7" t="s">
        <v>23095</v>
      </c>
      <c r="C278" s="39" t="n">
        <v>45799</v>
      </c>
      <c r="D278" s="7" t="s">
        <v>22802</v>
      </c>
      <c r="E278" s="41" t="n">
        <v>13.45</v>
      </c>
      <c r="F278" s="7" t="s">
        <v>22796</v>
      </c>
    </row>
    <row r="279" customFormat="false" ht="15" hidden="false" customHeight="false" outlineLevel="0" collapsed="false">
      <c r="B279" s="7" t="s">
        <v>23096</v>
      </c>
      <c r="C279" s="39" t="n">
        <v>45803</v>
      </c>
      <c r="D279" s="7" t="s">
        <v>22802</v>
      </c>
      <c r="E279" s="41" t="n">
        <v>34.79</v>
      </c>
      <c r="F279" s="7" t="s">
        <v>22796</v>
      </c>
    </row>
    <row r="280" customFormat="false" ht="15" hidden="false" customHeight="false" outlineLevel="0" collapsed="false">
      <c r="B280" s="7" t="s">
        <v>23097</v>
      </c>
      <c r="C280" s="39" t="n">
        <v>45783</v>
      </c>
      <c r="D280" s="7" t="s">
        <v>22807</v>
      </c>
      <c r="E280" s="41" t="n">
        <v>22.07</v>
      </c>
      <c r="F280" s="7" t="s">
        <v>22796</v>
      </c>
    </row>
    <row r="281" customFormat="false" ht="15" hidden="false" customHeight="false" outlineLevel="0" collapsed="false">
      <c r="B281" s="7" t="s">
        <v>23098</v>
      </c>
      <c r="C281" s="39" t="n">
        <v>45807</v>
      </c>
      <c r="D281" s="7" t="s">
        <v>22807</v>
      </c>
      <c r="E281" s="41" t="n">
        <v>74.86</v>
      </c>
      <c r="F281" s="7" t="s">
        <v>22796</v>
      </c>
    </row>
    <row r="282" customFormat="false" ht="15" hidden="false" customHeight="false" outlineLevel="0" collapsed="false">
      <c r="B282" s="7" t="s">
        <v>23099</v>
      </c>
      <c r="C282" s="39" t="n">
        <v>45778</v>
      </c>
      <c r="D282" s="7" t="s">
        <v>22812</v>
      </c>
      <c r="E282" s="41" t="n">
        <v>1047.37</v>
      </c>
      <c r="F282" s="7" t="s">
        <v>22813</v>
      </c>
    </row>
    <row r="283" customFormat="false" ht="15" hidden="false" customHeight="false" outlineLevel="0" collapsed="false">
      <c r="B283" s="7" t="s">
        <v>23100</v>
      </c>
      <c r="C283" s="39" t="n">
        <v>45792</v>
      </c>
      <c r="D283" s="7" t="s">
        <v>22812</v>
      </c>
      <c r="E283" s="41" t="n">
        <v>1047.37</v>
      </c>
      <c r="F283" s="7" t="s">
        <v>22813</v>
      </c>
    </row>
    <row r="284" customFormat="false" ht="15" hidden="false" customHeight="false" outlineLevel="0" collapsed="false">
      <c r="B284" s="7" t="s">
        <v>23101</v>
      </c>
      <c r="C284" s="39" t="n">
        <v>45806</v>
      </c>
      <c r="D284" s="7" t="s">
        <v>22812</v>
      </c>
      <c r="E284" s="41" t="n">
        <v>1047.36</v>
      </c>
      <c r="F284" s="7" t="s">
        <v>22813</v>
      </c>
    </row>
    <row r="285" customFormat="false" ht="15" hidden="false" customHeight="false" outlineLevel="0" collapsed="false">
      <c r="B285" s="7" t="s">
        <v>23102</v>
      </c>
      <c r="C285" s="39" t="n">
        <v>45778</v>
      </c>
      <c r="D285" s="7" t="s">
        <v>22816</v>
      </c>
      <c r="E285" s="41" t="n">
        <v>901.55</v>
      </c>
      <c r="F285" s="7" t="s">
        <v>22813</v>
      </c>
    </row>
    <row r="286" customFormat="false" ht="15" hidden="false" customHeight="false" outlineLevel="0" collapsed="false">
      <c r="B286" s="7" t="s">
        <v>23103</v>
      </c>
      <c r="C286" s="39" t="n">
        <v>45792</v>
      </c>
      <c r="D286" s="7" t="s">
        <v>22816</v>
      </c>
      <c r="E286" s="41" t="n">
        <v>901.55</v>
      </c>
      <c r="F286" s="7" t="s">
        <v>22813</v>
      </c>
    </row>
    <row r="287" customFormat="false" ht="15" hidden="false" customHeight="false" outlineLevel="0" collapsed="false">
      <c r="B287" s="7" t="s">
        <v>23104</v>
      </c>
      <c r="C287" s="39" t="n">
        <v>45806</v>
      </c>
      <c r="D287" s="7" t="s">
        <v>22816</v>
      </c>
      <c r="E287" s="41" t="n">
        <v>901.55</v>
      </c>
      <c r="F287" s="7" t="s">
        <v>22813</v>
      </c>
    </row>
    <row r="288" customFormat="false" ht="15" hidden="false" customHeight="false" outlineLevel="0" collapsed="false">
      <c r="B288" s="7" t="s">
        <v>23105</v>
      </c>
      <c r="C288" s="39" t="n">
        <v>45778</v>
      </c>
      <c r="D288" s="7" t="s">
        <v>22819</v>
      </c>
      <c r="E288" s="41" t="n">
        <v>477.68</v>
      </c>
      <c r="F288" s="7" t="s">
        <v>22813</v>
      </c>
    </row>
    <row r="289" customFormat="false" ht="15" hidden="false" customHeight="false" outlineLevel="0" collapsed="false">
      <c r="B289" s="7" t="s">
        <v>23106</v>
      </c>
      <c r="C289" s="39" t="n">
        <v>45792</v>
      </c>
      <c r="D289" s="7" t="s">
        <v>22819</v>
      </c>
      <c r="E289" s="41" t="n">
        <v>477.68</v>
      </c>
      <c r="F289" s="7" t="s">
        <v>22813</v>
      </c>
    </row>
    <row r="290" customFormat="false" ht="15" hidden="false" customHeight="false" outlineLevel="0" collapsed="false">
      <c r="B290" s="7" t="s">
        <v>23107</v>
      </c>
      <c r="C290" s="39" t="n">
        <v>45806</v>
      </c>
      <c r="D290" s="7" t="s">
        <v>22819</v>
      </c>
      <c r="E290" s="41" t="n">
        <v>477.68</v>
      </c>
      <c r="F290" s="7" t="s">
        <v>22813</v>
      </c>
    </row>
    <row r="291" customFormat="false" ht="15" hidden="false" customHeight="false" outlineLevel="0" collapsed="false">
      <c r="B291" s="7" t="s">
        <v>23108</v>
      </c>
      <c r="C291" s="39" t="n">
        <v>45778</v>
      </c>
      <c r="D291" s="7" t="s">
        <v>22822</v>
      </c>
      <c r="E291" s="41" t="n">
        <v>1757.16</v>
      </c>
      <c r="F291" s="7" t="s">
        <v>22813</v>
      </c>
    </row>
    <row r="292" customFormat="false" ht="15" hidden="false" customHeight="false" outlineLevel="0" collapsed="false">
      <c r="B292" s="7" t="s">
        <v>23109</v>
      </c>
      <c r="C292" s="39" t="n">
        <v>45792</v>
      </c>
      <c r="D292" s="7" t="s">
        <v>22822</v>
      </c>
      <c r="E292" s="41" t="n">
        <v>1757.16</v>
      </c>
      <c r="F292" s="7" t="s">
        <v>22813</v>
      </c>
    </row>
    <row r="293" customFormat="false" ht="15" hidden="false" customHeight="false" outlineLevel="0" collapsed="false">
      <c r="B293" s="7" t="s">
        <v>23110</v>
      </c>
      <c r="C293" s="39" t="n">
        <v>45806</v>
      </c>
      <c r="D293" s="7" t="s">
        <v>22822</v>
      </c>
      <c r="E293" s="41" t="n">
        <v>1757.16</v>
      </c>
      <c r="F293" s="7" t="s">
        <v>22813</v>
      </c>
    </row>
    <row r="294" customFormat="false" ht="15" hidden="false" customHeight="false" outlineLevel="0" collapsed="false">
      <c r="B294" s="7" t="s">
        <v>23111</v>
      </c>
      <c r="C294" s="39" t="n">
        <v>45778</v>
      </c>
      <c r="D294" s="7" t="s">
        <v>22825</v>
      </c>
      <c r="E294" s="41" t="n">
        <v>669.26</v>
      </c>
      <c r="F294" s="7" t="s">
        <v>22796</v>
      </c>
    </row>
    <row r="295" customFormat="false" ht="15" hidden="false" customHeight="false" outlineLevel="0" collapsed="false">
      <c r="B295" s="7" t="s">
        <v>23112</v>
      </c>
      <c r="C295" s="39" t="n">
        <v>45778</v>
      </c>
      <c r="D295" s="7" t="s">
        <v>22827</v>
      </c>
      <c r="E295" s="41" t="n">
        <v>125.46</v>
      </c>
      <c r="F295" s="7" t="s">
        <v>22796</v>
      </c>
    </row>
    <row r="296" customFormat="false" ht="15" hidden="false" customHeight="false" outlineLevel="0" collapsed="false">
      <c r="B296" s="7" t="s">
        <v>23113</v>
      </c>
      <c r="C296" s="39" t="n">
        <v>45778</v>
      </c>
      <c r="D296" s="7" t="s">
        <v>22829</v>
      </c>
      <c r="E296" s="41" t="n">
        <v>80.72</v>
      </c>
      <c r="F296" s="7" t="s">
        <v>22796</v>
      </c>
    </row>
    <row r="297" customFormat="false" ht="15" hidden="false" customHeight="false" outlineLevel="0" collapsed="false">
      <c r="B297" s="7" t="s">
        <v>23114</v>
      </c>
      <c r="C297" s="39" t="n">
        <v>45778</v>
      </c>
      <c r="D297" s="7" t="s">
        <v>22831</v>
      </c>
      <c r="E297" s="41" t="n">
        <v>97.49</v>
      </c>
      <c r="F297" s="7" t="s">
        <v>22796</v>
      </c>
    </row>
    <row r="298" customFormat="false" ht="15" hidden="false" customHeight="false" outlineLevel="0" collapsed="false">
      <c r="B298" s="7" t="s">
        <v>23115</v>
      </c>
      <c r="C298" s="39" t="n">
        <v>45778</v>
      </c>
      <c r="D298" s="7" t="s">
        <v>132</v>
      </c>
      <c r="E298" s="41" t="n">
        <v>144.82</v>
      </c>
      <c r="F298" s="7" t="s">
        <v>22813</v>
      </c>
    </row>
    <row r="299" customFormat="false" ht="15" hidden="false" customHeight="false" outlineLevel="0" collapsed="false">
      <c r="B299" s="7" t="s">
        <v>23116</v>
      </c>
      <c r="C299" s="39" t="n">
        <v>45792</v>
      </c>
      <c r="D299" s="7" t="s">
        <v>132</v>
      </c>
      <c r="E299" s="41" t="n">
        <v>144.82</v>
      </c>
      <c r="F299" s="7" t="s">
        <v>22813</v>
      </c>
    </row>
    <row r="300" customFormat="false" ht="15" hidden="false" customHeight="false" outlineLevel="0" collapsed="false">
      <c r="B300" s="7" t="s">
        <v>23117</v>
      </c>
      <c r="C300" s="39" t="n">
        <v>45806</v>
      </c>
      <c r="D300" s="7" t="s">
        <v>132</v>
      </c>
      <c r="E300" s="41" t="n">
        <v>144.81</v>
      </c>
      <c r="F300" s="7" t="s">
        <v>22813</v>
      </c>
    </row>
    <row r="301" customFormat="false" ht="15" hidden="false" customHeight="false" outlineLevel="0" collapsed="false">
      <c r="B301" s="7" t="s">
        <v>23118</v>
      </c>
      <c r="C301" s="39" t="n">
        <v>45778</v>
      </c>
      <c r="D301" s="7" t="s">
        <v>22835</v>
      </c>
      <c r="E301" s="41" t="n">
        <v>950</v>
      </c>
      <c r="F301" s="7" t="s">
        <v>22796</v>
      </c>
    </row>
    <row r="302" customFormat="false" ht="15" hidden="false" customHeight="false" outlineLevel="0" collapsed="false">
      <c r="B302" s="7" t="s">
        <v>23119</v>
      </c>
      <c r="C302" s="39" t="n">
        <v>45778</v>
      </c>
      <c r="D302" s="7" t="s">
        <v>22837</v>
      </c>
      <c r="E302" s="41" t="n">
        <v>400.85</v>
      </c>
      <c r="F302" s="7" t="s">
        <v>22796</v>
      </c>
    </row>
    <row r="303" customFormat="false" ht="15" hidden="false" customHeight="false" outlineLevel="0" collapsed="false">
      <c r="B303" s="7" t="s">
        <v>23120</v>
      </c>
      <c r="C303" s="39" t="n">
        <v>45778</v>
      </c>
      <c r="D303" s="7" t="s">
        <v>22839</v>
      </c>
      <c r="E303" s="41" t="n">
        <v>149.9</v>
      </c>
      <c r="F303" s="7" t="s">
        <v>22796</v>
      </c>
    </row>
    <row r="304" customFormat="false" ht="15" hidden="false" customHeight="false" outlineLevel="0" collapsed="false">
      <c r="B304" s="7" t="s">
        <v>23121</v>
      </c>
      <c r="C304" s="39" t="n">
        <v>45781</v>
      </c>
      <c r="D304" s="7" t="s">
        <v>22841</v>
      </c>
      <c r="E304" s="41" t="n">
        <v>64.48</v>
      </c>
      <c r="F304" s="7" t="s">
        <v>22796</v>
      </c>
    </row>
    <row r="305" customFormat="false" ht="15" hidden="false" customHeight="false" outlineLevel="0" collapsed="false">
      <c r="B305" s="7" t="s">
        <v>23122</v>
      </c>
      <c r="C305" s="39" t="n">
        <v>45802</v>
      </c>
      <c r="D305" s="7" t="s">
        <v>22841</v>
      </c>
      <c r="E305" s="41" t="n">
        <v>197.43</v>
      </c>
      <c r="F305" s="7" t="s">
        <v>22796</v>
      </c>
    </row>
    <row r="306" customFormat="false" ht="15" hidden="false" customHeight="false" outlineLevel="0" collapsed="false">
      <c r="B306" s="7" t="s">
        <v>23123</v>
      </c>
      <c r="C306" s="39" t="n">
        <v>45779</v>
      </c>
      <c r="D306" s="7" t="s">
        <v>22845</v>
      </c>
      <c r="E306" s="41" t="n">
        <v>112.34</v>
      </c>
      <c r="F306" s="7" t="s">
        <v>22796</v>
      </c>
    </row>
    <row r="307" customFormat="false" ht="15" hidden="false" customHeight="false" outlineLevel="0" collapsed="false">
      <c r="B307" s="7" t="s">
        <v>23124</v>
      </c>
      <c r="C307" s="39" t="n">
        <v>45786</v>
      </c>
      <c r="D307" s="7" t="s">
        <v>22845</v>
      </c>
      <c r="E307" s="41" t="n">
        <v>93.25</v>
      </c>
      <c r="F307" s="7" t="s">
        <v>22796</v>
      </c>
    </row>
    <row r="308" customFormat="false" ht="15" hidden="false" customHeight="false" outlineLevel="0" collapsed="false">
      <c r="B308" s="7" t="s">
        <v>23125</v>
      </c>
      <c r="C308" s="39" t="n">
        <v>45789</v>
      </c>
      <c r="D308" s="7" t="s">
        <v>22845</v>
      </c>
      <c r="E308" s="41" t="n">
        <v>147.21</v>
      </c>
      <c r="F308" s="7" t="s">
        <v>22796</v>
      </c>
    </row>
    <row r="309" customFormat="false" ht="15" hidden="false" customHeight="false" outlineLevel="0" collapsed="false">
      <c r="B309" s="7" t="s">
        <v>23126</v>
      </c>
      <c r="C309" s="39" t="n">
        <v>45788</v>
      </c>
      <c r="D309" s="7" t="s">
        <v>22848</v>
      </c>
      <c r="E309" s="41" t="n">
        <v>102.72</v>
      </c>
      <c r="F309" s="7" t="s">
        <v>22796</v>
      </c>
    </row>
    <row r="310" customFormat="false" ht="15" hidden="false" customHeight="false" outlineLevel="0" collapsed="false">
      <c r="B310" s="7" t="s">
        <v>23127</v>
      </c>
      <c r="C310" s="39" t="n">
        <v>45804</v>
      </c>
      <c r="D310" s="7" t="s">
        <v>22848</v>
      </c>
      <c r="E310" s="41" t="n">
        <v>30.52</v>
      </c>
      <c r="F310" s="7" t="s">
        <v>22796</v>
      </c>
    </row>
    <row r="311" customFormat="false" ht="15" hidden="false" customHeight="false" outlineLevel="0" collapsed="false">
      <c r="B311" s="7" t="s">
        <v>23128</v>
      </c>
      <c r="C311" s="39" t="n">
        <v>45807</v>
      </c>
      <c r="D311" s="7" t="s">
        <v>22848</v>
      </c>
      <c r="E311" s="41" t="n">
        <v>117.77</v>
      </c>
      <c r="F311" s="7" t="s">
        <v>22796</v>
      </c>
    </row>
    <row r="312" customFormat="false" ht="15" hidden="false" customHeight="false" outlineLevel="0" collapsed="false">
      <c r="B312" s="7" t="s">
        <v>23129</v>
      </c>
      <c r="C312" s="39" t="n">
        <v>45788</v>
      </c>
      <c r="D312" s="7" t="s">
        <v>136</v>
      </c>
      <c r="E312" s="41" t="n">
        <v>36.03</v>
      </c>
      <c r="F312" s="7" t="s">
        <v>22796</v>
      </c>
    </row>
    <row r="313" customFormat="false" ht="15" hidden="false" customHeight="false" outlineLevel="0" collapsed="false">
      <c r="B313" s="7" t="s">
        <v>23130</v>
      </c>
      <c r="C313" s="39" t="n">
        <v>45798</v>
      </c>
      <c r="D313" s="7" t="s">
        <v>136</v>
      </c>
      <c r="E313" s="41" t="n">
        <v>44.48</v>
      </c>
      <c r="F313" s="7" t="s">
        <v>22796</v>
      </c>
    </row>
    <row r="314" customFormat="false" ht="15" hidden="false" customHeight="false" outlineLevel="0" collapsed="false">
      <c r="B314" s="7" t="s">
        <v>23131</v>
      </c>
      <c r="C314" s="39" t="n">
        <v>45806</v>
      </c>
      <c r="D314" s="7" t="s">
        <v>136</v>
      </c>
      <c r="E314" s="41" t="n">
        <v>77.7</v>
      </c>
      <c r="F314" s="7" t="s">
        <v>22796</v>
      </c>
    </row>
    <row r="315" customFormat="false" ht="15" hidden="false" customHeight="false" outlineLevel="0" collapsed="false">
      <c r="B315" s="7" t="s">
        <v>23132</v>
      </c>
      <c r="C315" s="39" t="n">
        <v>45778</v>
      </c>
      <c r="D315" s="7" t="s">
        <v>22855</v>
      </c>
      <c r="E315" s="41" t="n">
        <v>176.93</v>
      </c>
      <c r="F315" s="7" t="s">
        <v>22796</v>
      </c>
    </row>
    <row r="316" customFormat="false" ht="15" hidden="false" customHeight="false" outlineLevel="0" collapsed="false">
      <c r="B316" s="7" t="s">
        <v>23133</v>
      </c>
      <c r="C316" s="39" t="n">
        <v>45778</v>
      </c>
      <c r="D316" s="7" t="s">
        <v>22857</v>
      </c>
      <c r="E316" s="41" t="n">
        <v>498.56</v>
      </c>
      <c r="F316" s="7" t="s">
        <v>22796</v>
      </c>
    </row>
    <row r="317" customFormat="false" ht="15" hidden="false" customHeight="false" outlineLevel="0" collapsed="false">
      <c r="B317" s="7" t="s">
        <v>23134</v>
      </c>
      <c r="C317" s="39" t="n">
        <v>45787</v>
      </c>
      <c r="D317" s="7" t="s">
        <v>22859</v>
      </c>
      <c r="E317" s="41" t="n">
        <v>105.21</v>
      </c>
      <c r="F317" s="7" t="s">
        <v>22796</v>
      </c>
    </row>
    <row r="318" customFormat="false" ht="15" hidden="false" customHeight="false" outlineLevel="0" collapsed="false">
      <c r="B318" s="7" t="s">
        <v>23135</v>
      </c>
      <c r="C318" s="39" t="n">
        <v>45794</v>
      </c>
      <c r="D318" s="7" t="s">
        <v>22859</v>
      </c>
      <c r="E318" s="41" t="n">
        <v>82.72</v>
      </c>
      <c r="F318" s="7" t="s">
        <v>22796</v>
      </c>
    </row>
    <row r="319" customFormat="false" ht="15" hidden="false" customHeight="false" outlineLevel="0" collapsed="false">
      <c r="B319" s="7" t="s">
        <v>23136</v>
      </c>
      <c r="C319" s="39" t="n">
        <v>45807</v>
      </c>
      <c r="D319" s="7" t="s">
        <v>22859</v>
      </c>
      <c r="E319" s="41" t="n">
        <v>235.9</v>
      </c>
      <c r="F319" s="7" t="s">
        <v>22796</v>
      </c>
    </row>
    <row r="320" customFormat="false" ht="15" hidden="false" customHeight="false" outlineLevel="0" collapsed="false">
      <c r="B320" s="7" t="s">
        <v>23137</v>
      </c>
      <c r="C320" s="39" t="n">
        <v>45785</v>
      </c>
      <c r="D320" s="7" t="s">
        <v>22862</v>
      </c>
      <c r="E320" s="41" t="n">
        <v>41.44</v>
      </c>
      <c r="F320" s="7" t="s">
        <v>22796</v>
      </c>
    </row>
    <row r="321" customFormat="false" ht="15" hidden="false" customHeight="false" outlineLevel="0" collapsed="false">
      <c r="B321" s="7" t="s">
        <v>23138</v>
      </c>
      <c r="C321" s="39" t="n">
        <v>45788</v>
      </c>
      <c r="D321" s="7" t="s">
        <v>22862</v>
      </c>
      <c r="E321" s="41" t="n">
        <v>29.9</v>
      </c>
      <c r="F321" s="7" t="s">
        <v>22796</v>
      </c>
    </row>
    <row r="322" customFormat="false" ht="15" hidden="false" customHeight="false" outlineLevel="0" collapsed="false">
      <c r="B322" s="7" t="s">
        <v>23139</v>
      </c>
      <c r="C322" s="39" t="n">
        <v>45798</v>
      </c>
      <c r="D322" s="7" t="s">
        <v>22862</v>
      </c>
      <c r="E322" s="41" t="n">
        <v>37.89</v>
      </c>
      <c r="F322" s="7" t="s">
        <v>22796</v>
      </c>
    </row>
    <row r="323" customFormat="false" ht="15" hidden="false" customHeight="false" outlineLevel="0" collapsed="false">
      <c r="B323" s="7" t="s">
        <v>23140</v>
      </c>
      <c r="C323" s="39" t="n">
        <v>45806</v>
      </c>
      <c r="D323" s="7" t="s">
        <v>22862</v>
      </c>
      <c r="E323" s="41" t="n">
        <v>43.34</v>
      </c>
      <c r="F323" s="7" t="s">
        <v>22796</v>
      </c>
    </row>
    <row r="324" customFormat="false" ht="15" hidden="false" customHeight="false" outlineLevel="0" collapsed="false">
      <c r="B324" s="7" t="s">
        <v>23141</v>
      </c>
      <c r="C324" s="39" t="n">
        <v>45793</v>
      </c>
      <c r="D324" s="7" t="s">
        <v>22866</v>
      </c>
      <c r="E324" s="41" t="n">
        <v>248.51</v>
      </c>
      <c r="F324" s="7" t="s">
        <v>22796</v>
      </c>
    </row>
    <row r="325" customFormat="false" ht="15" hidden="false" customHeight="false" outlineLevel="0" collapsed="false">
      <c r="B325" s="7" t="s">
        <v>23142</v>
      </c>
      <c r="C325" s="39" t="n">
        <v>45806</v>
      </c>
      <c r="D325" s="7" t="s">
        <v>22866</v>
      </c>
      <c r="E325" s="41" t="n">
        <v>359.23</v>
      </c>
      <c r="F325" s="7" t="s">
        <v>22796</v>
      </c>
    </row>
    <row r="326" customFormat="false" ht="15" hidden="false" customHeight="false" outlineLevel="0" collapsed="false">
      <c r="B326" s="7" t="s">
        <v>23143</v>
      </c>
      <c r="C326" s="39" t="n">
        <v>45778</v>
      </c>
      <c r="D326" s="7" t="s">
        <v>22870</v>
      </c>
      <c r="E326" s="41" t="n">
        <v>161.76</v>
      </c>
      <c r="F326" s="7" t="s">
        <v>22796</v>
      </c>
    </row>
    <row r="327" customFormat="false" ht="15" hidden="false" customHeight="false" outlineLevel="0" collapsed="false">
      <c r="B327" s="7" t="s">
        <v>23144</v>
      </c>
      <c r="C327" s="39" t="n">
        <v>45787</v>
      </c>
      <c r="D327" s="7" t="s">
        <v>22870</v>
      </c>
      <c r="E327" s="41" t="n">
        <v>163.75</v>
      </c>
      <c r="F327" s="7" t="s">
        <v>22796</v>
      </c>
    </row>
    <row r="328" customFormat="false" ht="15" hidden="false" customHeight="false" outlineLevel="0" collapsed="false">
      <c r="B328" s="7" t="s">
        <v>23145</v>
      </c>
      <c r="C328" s="39" t="n">
        <v>45778</v>
      </c>
      <c r="D328" s="7" t="s">
        <v>22874</v>
      </c>
      <c r="E328" s="41" t="n">
        <v>397.51</v>
      </c>
      <c r="F328" s="7" t="s">
        <v>22796</v>
      </c>
    </row>
    <row r="329" customFormat="false" ht="15" hidden="false" customHeight="false" outlineLevel="0" collapsed="false">
      <c r="B329" s="7" t="s">
        <v>23146</v>
      </c>
      <c r="C329" s="39" t="n">
        <v>45796</v>
      </c>
      <c r="D329" s="7" t="s">
        <v>22876</v>
      </c>
      <c r="E329" s="41" t="n">
        <v>105.53</v>
      </c>
      <c r="F329" s="7" t="s">
        <v>22796</v>
      </c>
    </row>
    <row r="330" customFormat="false" ht="15" hidden="false" customHeight="false" outlineLevel="0" collapsed="false">
      <c r="B330" s="7" t="s">
        <v>23147</v>
      </c>
      <c r="C330" s="39" t="n">
        <v>45801</v>
      </c>
      <c r="D330" s="7" t="s">
        <v>22876</v>
      </c>
      <c r="E330" s="41" t="n">
        <v>252.21</v>
      </c>
      <c r="F330" s="7" t="s">
        <v>22796</v>
      </c>
    </row>
    <row r="331" customFormat="false" ht="15" hidden="false" customHeight="false" outlineLevel="0" collapsed="false">
      <c r="B331" s="7" t="s">
        <v>23148</v>
      </c>
      <c r="C331" s="39" t="n">
        <v>45790</v>
      </c>
      <c r="D331" s="7" t="s">
        <v>142</v>
      </c>
      <c r="E331" s="41" t="n">
        <v>85.93</v>
      </c>
      <c r="F331" s="7" t="s">
        <v>22796</v>
      </c>
    </row>
    <row r="332" customFormat="false" ht="15" hidden="false" customHeight="false" outlineLevel="0" collapsed="false">
      <c r="B332" s="7" t="s">
        <v>23149</v>
      </c>
      <c r="C332" s="39" t="n">
        <v>45793</v>
      </c>
      <c r="D332" s="7" t="s">
        <v>142</v>
      </c>
      <c r="E332" s="41" t="n">
        <v>104.79</v>
      </c>
      <c r="F332" s="7" t="s">
        <v>22796</v>
      </c>
    </row>
    <row r="333" customFormat="false" ht="15" hidden="false" customHeight="false" outlineLevel="0" collapsed="false">
      <c r="B333" s="7" t="s">
        <v>23150</v>
      </c>
      <c r="C333" s="39" t="n">
        <v>45779</v>
      </c>
      <c r="D333" s="7" t="s">
        <v>22882</v>
      </c>
      <c r="E333" s="41" t="n">
        <v>17.9</v>
      </c>
      <c r="F333" s="7" t="s">
        <v>22796</v>
      </c>
    </row>
    <row r="334" customFormat="false" ht="15" hidden="false" customHeight="false" outlineLevel="0" collapsed="false">
      <c r="B334" s="7" t="s">
        <v>23151</v>
      </c>
      <c r="C334" s="39" t="n">
        <v>45807</v>
      </c>
      <c r="D334" s="7" t="s">
        <v>22882</v>
      </c>
      <c r="E334" s="41" t="n">
        <v>11.11</v>
      </c>
      <c r="F334" s="7" t="s">
        <v>22796</v>
      </c>
    </row>
    <row r="335" customFormat="false" ht="15" hidden="false" customHeight="false" outlineLevel="0" collapsed="false">
      <c r="B335" s="7" t="s">
        <v>23152</v>
      </c>
      <c r="C335" s="39" t="n">
        <v>45808</v>
      </c>
      <c r="D335" s="7" t="s">
        <v>22882</v>
      </c>
      <c r="E335" s="41" t="n">
        <v>14.79</v>
      </c>
      <c r="F335" s="7" t="s">
        <v>22796</v>
      </c>
    </row>
    <row r="336" customFormat="false" ht="15" hidden="false" customHeight="false" outlineLevel="0" collapsed="false">
      <c r="B336" s="7" t="s">
        <v>23153</v>
      </c>
      <c r="C336" s="39" t="n">
        <v>45780</v>
      </c>
      <c r="D336" s="7" t="s">
        <v>143</v>
      </c>
      <c r="E336" s="41" t="n">
        <v>44.8</v>
      </c>
      <c r="F336" s="7" t="s">
        <v>22796</v>
      </c>
    </row>
    <row r="337" customFormat="false" ht="15" hidden="false" customHeight="false" outlineLevel="0" collapsed="false">
      <c r="B337" s="7" t="s">
        <v>23154</v>
      </c>
      <c r="C337" s="39" t="n">
        <v>45785</v>
      </c>
      <c r="D337" s="7" t="s">
        <v>143</v>
      </c>
      <c r="E337" s="41" t="n">
        <v>41.04</v>
      </c>
      <c r="F337" s="7" t="s">
        <v>22796</v>
      </c>
    </row>
    <row r="338" customFormat="false" ht="15" hidden="false" customHeight="false" outlineLevel="0" collapsed="false">
      <c r="B338" s="7" t="s">
        <v>23155</v>
      </c>
      <c r="C338" s="39" t="n">
        <v>45794</v>
      </c>
      <c r="D338" s="7" t="s">
        <v>143</v>
      </c>
      <c r="E338" s="41" t="n">
        <v>104.11</v>
      </c>
      <c r="F338" s="7" t="s">
        <v>22796</v>
      </c>
    </row>
    <row r="339" customFormat="false" ht="15" hidden="false" customHeight="false" outlineLevel="0" collapsed="false">
      <c r="B339" s="7" t="s">
        <v>23156</v>
      </c>
      <c r="C339" s="39" t="n">
        <v>45809</v>
      </c>
      <c r="D339" s="7" t="s">
        <v>124</v>
      </c>
      <c r="E339" s="41" t="n">
        <v>2076.62</v>
      </c>
      <c r="F339" s="7" t="s">
        <v>22796</v>
      </c>
    </row>
    <row r="340" customFormat="false" ht="15" hidden="false" customHeight="false" outlineLevel="0" collapsed="false">
      <c r="B340" s="7" t="s">
        <v>23157</v>
      </c>
      <c r="C340" s="39" t="n">
        <v>45819</v>
      </c>
      <c r="D340" s="7" t="s">
        <v>22798</v>
      </c>
      <c r="E340" s="41" t="n">
        <v>87.31</v>
      </c>
      <c r="F340" s="7" t="s">
        <v>22796</v>
      </c>
    </row>
    <row r="341" customFormat="false" ht="15" hidden="false" customHeight="false" outlineLevel="0" collapsed="false">
      <c r="B341" s="7" t="s">
        <v>23158</v>
      </c>
      <c r="C341" s="39" t="n">
        <v>45831</v>
      </c>
      <c r="D341" s="7" t="s">
        <v>22798</v>
      </c>
      <c r="E341" s="41" t="n">
        <v>39</v>
      </c>
      <c r="F341" s="7" t="s">
        <v>22796</v>
      </c>
    </row>
    <row r="342" customFormat="false" ht="15" hidden="false" customHeight="false" outlineLevel="0" collapsed="false">
      <c r="B342" s="7" t="s">
        <v>23159</v>
      </c>
      <c r="C342" s="39" t="n">
        <v>45837</v>
      </c>
      <c r="D342" s="7" t="s">
        <v>22798</v>
      </c>
      <c r="E342" s="41" t="n">
        <v>73.92</v>
      </c>
      <c r="F342" s="7" t="s">
        <v>22796</v>
      </c>
    </row>
    <row r="343" customFormat="false" ht="15" hidden="false" customHeight="false" outlineLevel="0" collapsed="false">
      <c r="B343" s="7" t="s">
        <v>23160</v>
      </c>
      <c r="C343" s="39" t="n">
        <v>45811</v>
      </c>
      <c r="D343" s="7" t="s">
        <v>22802</v>
      </c>
      <c r="E343" s="41" t="n">
        <v>21.47</v>
      </c>
      <c r="F343" s="7" t="s">
        <v>22796</v>
      </c>
    </row>
    <row r="344" customFormat="false" ht="15" hidden="false" customHeight="false" outlineLevel="0" collapsed="false">
      <c r="B344" s="7" t="s">
        <v>23161</v>
      </c>
      <c r="C344" s="39" t="n">
        <v>45820</v>
      </c>
      <c r="D344" s="7" t="s">
        <v>22802</v>
      </c>
      <c r="E344" s="41" t="n">
        <v>12.76</v>
      </c>
      <c r="F344" s="7" t="s">
        <v>22796</v>
      </c>
    </row>
    <row r="345" customFormat="false" ht="15" hidden="false" customHeight="false" outlineLevel="0" collapsed="false">
      <c r="B345" s="7" t="s">
        <v>23162</v>
      </c>
      <c r="C345" s="39" t="n">
        <v>45830</v>
      </c>
      <c r="D345" s="7" t="s">
        <v>22802</v>
      </c>
      <c r="E345" s="41" t="n">
        <v>30.7</v>
      </c>
      <c r="F345" s="7" t="s">
        <v>22796</v>
      </c>
    </row>
    <row r="346" customFormat="false" ht="15" hidden="false" customHeight="false" outlineLevel="0" collapsed="false">
      <c r="B346" s="7" t="s">
        <v>23163</v>
      </c>
      <c r="C346" s="39" t="n">
        <v>45822</v>
      </c>
      <c r="D346" s="7" t="s">
        <v>22807</v>
      </c>
      <c r="E346" s="41" t="n">
        <v>37.07</v>
      </c>
      <c r="F346" s="7" t="s">
        <v>22796</v>
      </c>
    </row>
    <row r="347" customFormat="false" ht="15" hidden="false" customHeight="false" outlineLevel="0" collapsed="false">
      <c r="B347" s="7" t="s">
        <v>23164</v>
      </c>
      <c r="C347" s="39" t="n">
        <v>45824</v>
      </c>
      <c r="D347" s="7" t="s">
        <v>22807</v>
      </c>
      <c r="E347" s="41" t="n">
        <v>14.26</v>
      </c>
      <c r="F347" s="7" t="s">
        <v>22796</v>
      </c>
    </row>
    <row r="348" customFormat="false" ht="15" hidden="false" customHeight="false" outlineLevel="0" collapsed="false">
      <c r="B348" s="7" t="s">
        <v>23165</v>
      </c>
      <c r="C348" s="39" t="n">
        <v>45828</v>
      </c>
      <c r="D348" s="7" t="s">
        <v>22807</v>
      </c>
      <c r="E348" s="41" t="n">
        <v>48.71</v>
      </c>
      <c r="F348" s="7" t="s">
        <v>22796</v>
      </c>
    </row>
    <row r="349" customFormat="false" ht="15" hidden="false" customHeight="false" outlineLevel="0" collapsed="false">
      <c r="B349" s="7" t="s">
        <v>23166</v>
      </c>
      <c r="C349" s="39" t="n">
        <v>45820</v>
      </c>
      <c r="D349" s="7" t="s">
        <v>22812</v>
      </c>
      <c r="E349" s="41" t="n">
        <v>1692.41</v>
      </c>
      <c r="F349" s="7" t="s">
        <v>22813</v>
      </c>
    </row>
    <row r="350" customFormat="false" ht="15" hidden="false" customHeight="false" outlineLevel="0" collapsed="false">
      <c r="B350" s="7" t="s">
        <v>23167</v>
      </c>
      <c r="C350" s="39" t="n">
        <v>45834</v>
      </c>
      <c r="D350" s="7" t="s">
        <v>22812</v>
      </c>
      <c r="E350" s="41" t="n">
        <v>1692.42</v>
      </c>
      <c r="F350" s="7" t="s">
        <v>22813</v>
      </c>
    </row>
    <row r="351" customFormat="false" ht="15" hidden="false" customHeight="false" outlineLevel="0" collapsed="false">
      <c r="B351" s="7" t="s">
        <v>23168</v>
      </c>
      <c r="C351" s="39" t="n">
        <v>45820</v>
      </c>
      <c r="D351" s="7" t="s">
        <v>22816</v>
      </c>
      <c r="E351" s="41" t="n">
        <v>1333.23</v>
      </c>
      <c r="F351" s="7" t="s">
        <v>22813</v>
      </c>
    </row>
    <row r="352" customFormat="false" ht="15" hidden="false" customHeight="false" outlineLevel="0" collapsed="false">
      <c r="B352" s="7" t="s">
        <v>23169</v>
      </c>
      <c r="C352" s="39" t="n">
        <v>45834</v>
      </c>
      <c r="D352" s="7" t="s">
        <v>22816</v>
      </c>
      <c r="E352" s="41" t="n">
        <v>1333.23</v>
      </c>
      <c r="F352" s="7" t="s">
        <v>22813</v>
      </c>
    </row>
    <row r="353" customFormat="false" ht="15" hidden="false" customHeight="false" outlineLevel="0" collapsed="false">
      <c r="B353" s="7" t="s">
        <v>23170</v>
      </c>
      <c r="C353" s="39" t="n">
        <v>45820</v>
      </c>
      <c r="D353" s="7" t="s">
        <v>22819</v>
      </c>
      <c r="E353" s="41" t="n">
        <v>662.6</v>
      </c>
      <c r="F353" s="7" t="s">
        <v>22813</v>
      </c>
    </row>
    <row r="354" customFormat="false" ht="15" hidden="false" customHeight="false" outlineLevel="0" collapsed="false">
      <c r="B354" s="7" t="s">
        <v>23171</v>
      </c>
      <c r="C354" s="39" t="n">
        <v>45834</v>
      </c>
      <c r="D354" s="7" t="s">
        <v>22819</v>
      </c>
      <c r="E354" s="41" t="n">
        <v>662.59</v>
      </c>
      <c r="F354" s="7" t="s">
        <v>22813</v>
      </c>
    </row>
    <row r="355" customFormat="false" ht="15" hidden="false" customHeight="false" outlineLevel="0" collapsed="false">
      <c r="B355" s="7" t="s">
        <v>23172</v>
      </c>
      <c r="C355" s="39" t="n">
        <v>45820</v>
      </c>
      <c r="D355" s="7" t="s">
        <v>22822</v>
      </c>
      <c r="E355" s="41" t="n">
        <v>2478.23</v>
      </c>
      <c r="F355" s="7" t="s">
        <v>22813</v>
      </c>
    </row>
    <row r="356" customFormat="false" ht="15" hidden="false" customHeight="false" outlineLevel="0" collapsed="false">
      <c r="B356" s="7" t="s">
        <v>23173</v>
      </c>
      <c r="C356" s="39" t="n">
        <v>45834</v>
      </c>
      <c r="D356" s="7" t="s">
        <v>22822</v>
      </c>
      <c r="E356" s="41" t="n">
        <v>2478.23</v>
      </c>
      <c r="F356" s="7" t="s">
        <v>22813</v>
      </c>
    </row>
    <row r="357" customFormat="false" ht="15" hidden="false" customHeight="false" outlineLevel="0" collapsed="false">
      <c r="B357" s="7" t="s">
        <v>23174</v>
      </c>
      <c r="C357" s="39" t="n">
        <v>45809</v>
      </c>
      <c r="D357" s="7" t="s">
        <v>22825</v>
      </c>
      <c r="E357" s="41" t="n">
        <v>637.74</v>
      </c>
      <c r="F357" s="7" t="s">
        <v>22796</v>
      </c>
    </row>
    <row r="358" customFormat="false" ht="15" hidden="false" customHeight="false" outlineLevel="0" collapsed="false">
      <c r="B358" s="7" t="s">
        <v>23175</v>
      </c>
      <c r="C358" s="39" t="n">
        <v>45809</v>
      </c>
      <c r="D358" s="7" t="s">
        <v>22827</v>
      </c>
      <c r="E358" s="41" t="n">
        <v>120.02</v>
      </c>
      <c r="F358" s="7" t="s">
        <v>22796</v>
      </c>
    </row>
    <row r="359" customFormat="false" ht="15" hidden="false" customHeight="false" outlineLevel="0" collapsed="false">
      <c r="B359" s="7" t="s">
        <v>23176</v>
      </c>
      <c r="C359" s="39" t="n">
        <v>45809</v>
      </c>
      <c r="D359" s="7" t="s">
        <v>22829</v>
      </c>
      <c r="E359" s="41" t="n">
        <v>89.44</v>
      </c>
      <c r="F359" s="7" t="s">
        <v>22796</v>
      </c>
    </row>
    <row r="360" customFormat="false" ht="15" hidden="false" customHeight="false" outlineLevel="0" collapsed="false">
      <c r="B360" s="7" t="s">
        <v>23177</v>
      </c>
      <c r="C360" s="39" t="n">
        <v>45809</v>
      </c>
      <c r="D360" s="7" t="s">
        <v>22831</v>
      </c>
      <c r="E360" s="41" t="n">
        <v>99.95</v>
      </c>
      <c r="F360" s="7" t="s">
        <v>22796</v>
      </c>
    </row>
    <row r="361" customFormat="false" ht="15" hidden="false" customHeight="false" outlineLevel="0" collapsed="false">
      <c r="B361" s="7" t="s">
        <v>23178</v>
      </c>
      <c r="C361" s="39" t="n">
        <v>45820</v>
      </c>
      <c r="D361" s="7" t="s">
        <v>132</v>
      </c>
      <c r="E361" s="41" t="n">
        <v>219.16</v>
      </c>
      <c r="F361" s="7" t="s">
        <v>22813</v>
      </c>
    </row>
    <row r="362" customFormat="false" ht="15" hidden="false" customHeight="false" outlineLevel="0" collapsed="false">
      <c r="B362" s="7" t="s">
        <v>23179</v>
      </c>
      <c r="C362" s="39" t="n">
        <v>45834</v>
      </c>
      <c r="D362" s="7" t="s">
        <v>132</v>
      </c>
      <c r="E362" s="41" t="n">
        <v>219.17</v>
      </c>
      <c r="F362" s="7" t="s">
        <v>22813</v>
      </c>
    </row>
    <row r="363" customFormat="false" ht="15" hidden="false" customHeight="false" outlineLevel="0" collapsed="false">
      <c r="B363" s="7" t="s">
        <v>23180</v>
      </c>
      <c r="C363" s="39" t="n">
        <v>45809</v>
      </c>
      <c r="D363" s="7" t="s">
        <v>22835</v>
      </c>
      <c r="E363" s="41" t="n">
        <v>950</v>
      </c>
      <c r="F363" s="7" t="s">
        <v>22796</v>
      </c>
    </row>
    <row r="364" customFormat="false" ht="15" hidden="false" customHeight="false" outlineLevel="0" collapsed="false">
      <c r="B364" s="7" t="s">
        <v>23181</v>
      </c>
      <c r="C364" s="39" t="n">
        <v>45809</v>
      </c>
      <c r="D364" s="7" t="s">
        <v>22837</v>
      </c>
      <c r="E364" s="41" t="n">
        <v>396.07</v>
      </c>
      <c r="F364" s="7" t="s">
        <v>22796</v>
      </c>
    </row>
    <row r="365" customFormat="false" ht="15" hidden="false" customHeight="false" outlineLevel="0" collapsed="false">
      <c r="B365" s="7" t="s">
        <v>23182</v>
      </c>
      <c r="C365" s="39" t="n">
        <v>45809</v>
      </c>
      <c r="D365" s="7" t="s">
        <v>22839</v>
      </c>
      <c r="E365" s="41" t="n">
        <v>146.7</v>
      </c>
      <c r="F365" s="7" t="s">
        <v>22796</v>
      </c>
    </row>
    <row r="366" customFormat="false" ht="15" hidden="false" customHeight="false" outlineLevel="0" collapsed="false">
      <c r="B366" s="7" t="s">
        <v>23183</v>
      </c>
      <c r="C366" s="39" t="n">
        <v>45814</v>
      </c>
      <c r="D366" s="7" t="s">
        <v>22841</v>
      </c>
      <c r="E366" s="41" t="n">
        <v>51.44</v>
      </c>
      <c r="F366" s="7" t="s">
        <v>22796</v>
      </c>
    </row>
    <row r="367" customFormat="false" ht="15" hidden="false" customHeight="false" outlineLevel="0" collapsed="false">
      <c r="B367" s="7" t="s">
        <v>23184</v>
      </c>
      <c r="C367" s="39" t="n">
        <v>45832</v>
      </c>
      <c r="D367" s="7" t="s">
        <v>22841</v>
      </c>
      <c r="E367" s="41" t="n">
        <v>53.44</v>
      </c>
      <c r="F367" s="7" t="s">
        <v>22796</v>
      </c>
    </row>
    <row r="368" customFormat="false" ht="15" hidden="false" customHeight="false" outlineLevel="0" collapsed="false">
      <c r="B368" s="7" t="s">
        <v>23185</v>
      </c>
      <c r="C368" s="39" t="n">
        <v>45838</v>
      </c>
      <c r="D368" s="7" t="s">
        <v>22841</v>
      </c>
      <c r="E368" s="41" t="n">
        <v>142.7</v>
      </c>
      <c r="F368" s="7" t="s">
        <v>22796</v>
      </c>
    </row>
    <row r="369" customFormat="false" ht="15" hidden="false" customHeight="false" outlineLevel="0" collapsed="false">
      <c r="B369" s="7" t="s">
        <v>23186</v>
      </c>
      <c r="C369" s="39" t="n">
        <v>45814</v>
      </c>
      <c r="D369" s="7" t="s">
        <v>22845</v>
      </c>
      <c r="E369" s="41" t="n">
        <v>113.37</v>
      </c>
      <c r="F369" s="7" t="s">
        <v>22796</v>
      </c>
    </row>
    <row r="370" customFormat="false" ht="15" hidden="false" customHeight="false" outlineLevel="0" collapsed="false">
      <c r="B370" s="7" t="s">
        <v>23187</v>
      </c>
      <c r="C370" s="39" t="n">
        <v>45819</v>
      </c>
      <c r="D370" s="7" t="s">
        <v>22845</v>
      </c>
      <c r="E370" s="41" t="n">
        <v>54.75</v>
      </c>
      <c r="F370" s="7" t="s">
        <v>22796</v>
      </c>
    </row>
    <row r="371" customFormat="false" ht="15" hidden="false" customHeight="false" outlineLevel="0" collapsed="false">
      <c r="B371" s="7" t="s">
        <v>23188</v>
      </c>
      <c r="C371" s="39" t="n">
        <v>45821</v>
      </c>
      <c r="D371" s="7" t="s">
        <v>22845</v>
      </c>
      <c r="E371" s="41" t="n">
        <v>161.7</v>
      </c>
      <c r="F371" s="7" t="s">
        <v>22796</v>
      </c>
    </row>
    <row r="372" customFormat="false" ht="15" hidden="false" customHeight="false" outlineLevel="0" collapsed="false">
      <c r="B372" s="7" t="s">
        <v>23189</v>
      </c>
      <c r="C372" s="39" t="n">
        <v>45823</v>
      </c>
      <c r="D372" s="7" t="s">
        <v>22848</v>
      </c>
      <c r="E372" s="41" t="n">
        <v>99.97</v>
      </c>
      <c r="F372" s="7" t="s">
        <v>22796</v>
      </c>
    </row>
    <row r="373" customFormat="false" ht="15" hidden="false" customHeight="false" outlineLevel="0" collapsed="false">
      <c r="B373" s="7" t="s">
        <v>23190</v>
      </c>
      <c r="C373" s="39" t="n">
        <v>45834</v>
      </c>
      <c r="D373" s="7" t="s">
        <v>22848</v>
      </c>
      <c r="E373" s="41" t="n">
        <v>154.15</v>
      </c>
      <c r="F373" s="7" t="s">
        <v>22796</v>
      </c>
    </row>
    <row r="374" customFormat="false" ht="15" hidden="false" customHeight="false" outlineLevel="0" collapsed="false">
      <c r="B374" s="7" t="s">
        <v>23191</v>
      </c>
      <c r="C374" s="39" t="n">
        <v>45831</v>
      </c>
      <c r="D374" s="7" t="s">
        <v>136</v>
      </c>
      <c r="E374" s="41" t="n">
        <v>56.69</v>
      </c>
      <c r="F374" s="7" t="s">
        <v>22796</v>
      </c>
    </row>
    <row r="375" customFormat="false" ht="15" hidden="false" customHeight="false" outlineLevel="0" collapsed="false">
      <c r="B375" s="7" t="s">
        <v>23192</v>
      </c>
      <c r="C375" s="39" t="n">
        <v>45837</v>
      </c>
      <c r="D375" s="7" t="s">
        <v>136</v>
      </c>
      <c r="E375" s="41" t="n">
        <v>85.27</v>
      </c>
      <c r="F375" s="7" t="s">
        <v>22796</v>
      </c>
    </row>
    <row r="376" customFormat="false" ht="15" hidden="false" customHeight="false" outlineLevel="0" collapsed="false">
      <c r="B376" s="7" t="s">
        <v>23193</v>
      </c>
      <c r="C376" s="39" t="n">
        <v>45809</v>
      </c>
      <c r="D376" s="7" t="s">
        <v>22855</v>
      </c>
      <c r="E376" s="41" t="n">
        <v>168.02</v>
      </c>
      <c r="F376" s="7" t="s">
        <v>22796</v>
      </c>
    </row>
    <row r="377" customFormat="false" ht="15" hidden="false" customHeight="false" outlineLevel="0" collapsed="false">
      <c r="B377" s="7" t="s">
        <v>23194</v>
      </c>
      <c r="C377" s="39" t="n">
        <v>45809</v>
      </c>
      <c r="D377" s="7" t="s">
        <v>22857</v>
      </c>
      <c r="E377" s="41" t="n">
        <v>493.99</v>
      </c>
      <c r="F377" s="7" t="s">
        <v>22796</v>
      </c>
    </row>
    <row r="378" customFormat="false" ht="15" hidden="false" customHeight="false" outlineLevel="0" collapsed="false">
      <c r="B378" s="7" t="s">
        <v>23195</v>
      </c>
      <c r="C378" s="39" t="n">
        <v>45819</v>
      </c>
      <c r="D378" s="7" t="s">
        <v>22859</v>
      </c>
      <c r="E378" s="41" t="n">
        <v>120.9</v>
      </c>
      <c r="F378" s="7" t="s">
        <v>22796</v>
      </c>
    </row>
    <row r="379" customFormat="false" ht="15" hidden="false" customHeight="false" outlineLevel="0" collapsed="false">
      <c r="B379" s="7" t="s">
        <v>23196</v>
      </c>
      <c r="C379" s="39" t="n">
        <v>45834</v>
      </c>
      <c r="D379" s="7" t="s">
        <v>22859</v>
      </c>
      <c r="E379" s="41" t="n">
        <v>152.56</v>
      </c>
      <c r="F379" s="7" t="s">
        <v>22796</v>
      </c>
    </row>
    <row r="380" customFormat="false" ht="15" hidden="false" customHeight="false" outlineLevel="0" collapsed="false">
      <c r="B380" s="7" t="s">
        <v>23197</v>
      </c>
      <c r="C380" s="39" t="n">
        <v>45837</v>
      </c>
      <c r="D380" s="7" t="s">
        <v>22859</v>
      </c>
      <c r="E380" s="41" t="n">
        <v>177.55</v>
      </c>
      <c r="F380" s="7" t="s">
        <v>22796</v>
      </c>
    </row>
    <row r="381" customFormat="false" ht="15" hidden="false" customHeight="false" outlineLevel="0" collapsed="false">
      <c r="B381" s="7" t="s">
        <v>23198</v>
      </c>
      <c r="C381" s="39" t="n">
        <v>45825</v>
      </c>
      <c r="D381" s="7" t="s">
        <v>22862</v>
      </c>
      <c r="E381" s="41" t="n">
        <v>57</v>
      </c>
      <c r="F381" s="7" t="s">
        <v>22796</v>
      </c>
    </row>
    <row r="382" customFormat="false" ht="15" hidden="false" customHeight="false" outlineLevel="0" collapsed="false">
      <c r="B382" s="7" t="s">
        <v>23199</v>
      </c>
      <c r="C382" s="39" t="n">
        <v>45832</v>
      </c>
      <c r="D382" s="7" t="s">
        <v>22862</v>
      </c>
      <c r="E382" s="41" t="n">
        <v>21.2</v>
      </c>
      <c r="F382" s="7" t="s">
        <v>22796</v>
      </c>
    </row>
    <row r="383" customFormat="false" ht="15" hidden="false" customHeight="false" outlineLevel="0" collapsed="false">
      <c r="B383" s="7" t="s">
        <v>23200</v>
      </c>
      <c r="C383" s="39" t="n">
        <v>45836</v>
      </c>
      <c r="D383" s="7" t="s">
        <v>22862</v>
      </c>
      <c r="E383" s="41" t="n">
        <v>70.84</v>
      </c>
      <c r="F383" s="7" t="s">
        <v>22796</v>
      </c>
    </row>
    <row r="384" customFormat="false" ht="15" hidden="false" customHeight="false" outlineLevel="0" collapsed="false">
      <c r="B384" s="7" t="s">
        <v>23201</v>
      </c>
      <c r="C384" s="39" t="n">
        <v>45820</v>
      </c>
      <c r="D384" s="7" t="s">
        <v>22866</v>
      </c>
      <c r="E384" s="41" t="n">
        <v>160.14</v>
      </c>
      <c r="F384" s="7" t="s">
        <v>22796</v>
      </c>
    </row>
    <row r="385" customFormat="false" ht="15" hidden="false" customHeight="false" outlineLevel="0" collapsed="false">
      <c r="B385" s="7" t="s">
        <v>23202</v>
      </c>
      <c r="C385" s="39" t="n">
        <v>45829</v>
      </c>
      <c r="D385" s="7" t="s">
        <v>22866</v>
      </c>
      <c r="E385" s="41" t="n">
        <v>183.7</v>
      </c>
      <c r="F385" s="7" t="s">
        <v>22796</v>
      </c>
    </row>
    <row r="386" customFormat="false" ht="15" hidden="false" customHeight="false" outlineLevel="0" collapsed="false">
      <c r="B386" s="7" t="s">
        <v>23203</v>
      </c>
      <c r="C386" s="39" t="n">
        <v>45838</v>
      </c>
      <c r="D386" s="7" t="s">
        <v>22866</v>
      </c>
      <c r="E386" s="41" t="n">
        <v>325.72</v>
      </c>
      <c r="F386" s="7" t="s">
        <v>22796</v>
      </c>
    </row>
    <row r="387" customFormat="false" ht="15" hidden="false" customHeight="false" outlineLevel="0" collapsed="false">
      <c r="B387" s="7" t="s">
        <v>23204</v>
      </c>
      <c r="C387" s="39" t="n">
        <v>45809</v>
      </c>
      <c r="D387" s="7" t="s">
        <v>22870</v>
      </c>
      <c r="E387" s="41" t="n">
        <v>170.11</v>
      </c>
      <c r="F387" s="7" t="s">
        <v>22796</v>
      </c>
    </row>
    <row r="388" customFormat="false" ht="15" hidden="false" customHeight="false" outlineLevel="0" collapsed="false">
      <c r="B388" s="7" t="s">
        <v>23205</v>
      </c>
      <c r="C388" s="39" t="n">
        <v>45825</v>
      </c>
      <c r="D388" s="7" t="s">
        <v>22870</v>
      </c>
      <c r="E388" s="41" t="n">
        <v>42.51</v>
      </c>
      <c r="F388" s="7" t="s">
        <v>22796</v>
      </c>
    </row>
    <row r="389" customFormat="false" ht="15" hidden="false" customHeight="false" outlineLevel="0" collapsed="false">
      <c r="B389" s="7" t="s">
        <v>23206</v>
      </c>
      <c r="C389" s="39" t="n">
        <v>45828</v>
      </c>
      <c r="D389" s="7" t="s">
        <v>22870</v>
      </c>
      <c r="E389" s="41" t="n">
        <v>26.87</v>
      </c>
      <c r="F389" s="7" t="s">
        <v>22796</v>
      </c>
    </row>
    <row r="390" customFormat="false" ht="15" hidden="false" customHeight="false" outlineLevel="0" collapsed="false">
      <c r="B390" s="7" t="s">
        <v>23207</v>
      </c>
      <c r="C390" s="39" t="n">
        <v>45835</v>
      </c>
      <c r="D390" s="7" t="s">
        <v>22870</v>
      </c>
      <c r="E390" s="41" t="n">
        <v>102.13</v>
      </c>
      <c r="F390" s="7" t="s">
        <v>22796</v>
      </c>
    </row>
    <row r="391" customFormat="false" ht="15" hidden="false" customHeight="false" outlineLevel="0" collapsed="false">
      <c r="B391" s="7" t="s">
        <v>23208</v>
      </c>
      <c r="C391" s="39" t="n">
        <v>45809</v>
      </c>
      <c r="D391" s="7" t="s">
        <v>22874</v>
      </c>
      <c r="E391" s="41" t="n">
        <v>410.44</v>
      </c>
      <c r="F391" s="7" t="s">
        <v>22796</v>
      </c>
    </row>
    <row r="392" customFormat="false" ht="15" hidden="false" customHeight="false" outlineLevel="0" collapsed="false">
      <c r="B392" s="7" t="s">
        <v>23209</v>
      </c>
      <c r="C392" s="39" t="n">
        <v>45812</v>
      </c>
      <c r="D392" s="7" t="s">
        <v>22876</v>
      </c>
      <c r="E392" s="41" t="n">
        <v>89.23</v>
      </c>
      <c r="F392" s="7" t="s">
        <v>22796</v>
      </c>
    </row>
    <row r="393" customFormat="false" ht="15" hidden="false" customHeight="false" outlineLevel="0" collapsed="false">
      <c r="B393" s="7" t="s">
        <v>23210</v>
      </c>
      <c r="C393" s="39" t="n">
        <v>45830</v>
      </c>
      <c r="D393" s="7" t="s">
        <v>22876</v>
      </c>
      <c r="E393" s="41" t="n">
        <v>56.44</v>
      </c>
      <c r="F393" s="7" t="s">
        <v>22796</v>
      </c>
    </row>
    <row r="394" customFormat="false" ht="15" hidden="false" customHeight="false" outlineLevel="0" collapsed="false">
      <c r="B394" s="7" t="s">
        <v>23211</v>
      </c>
      <c r="C394" s="39" t="n">
        <v>45838</v>
      </c>
      <c r="D394" s="7" t="s">
        <v>22876</v>
      </c>
      <c r="E394" s="41" t="n">
        <v>212.83</v>
      </c>
      <c r="F394" s="7" t="s">
        <v>22796</v>
      </c>
    </row>
    <row r="395" customFormat="false" ht="15" hidden="false" customHeight="false" outlineLevel="0" collapsed="false">
      <c r="B395" s="7" t="s">
        <v>23212</v>
      </c>
      <c r="C395" s="39" t="n">
        <v>45813</v>
      </c>
      <c r="D395" s="7" t="s">
        <v>142</v>
      </c>
      <c r="E395" s="41" t="n">
        <v>73.93</v>
      </c>
      <c r="F395" s="7" t="s">
        <v>22796</v>
      </c>
    </row>
    <row r="396" customFormat="false" ht="15" hidden="false" customHeight="false" outlineLevel="0" collapsed="false">
      <c r="B396" s="7" t="s">
        <v>23213</v>
      </c>
      <c r="C396" s="39" t="n">
        <v>45823</v>
      </c>
      <c r="D396" s="7" t="s">
        <v>142</v>
      </c>
      <c r="E396" s="41" t="n">
        <v>42.01</v>
      </c>
      <c r="F396" s="7" t="s">
        <v>22796</v>
      </c>
    </row>
    <row r="397" customFormat="false" ht="15" hidden="false" customHeight="false" outlineLevel="0" collapsed="false">
      <c r="B397" s="7" t="s">
        <v>23214</v>
      </c>
      <c r="C397" s="39" t="n">
        <v>45825</v>
      </c>
      <c r="D397" s="7" t="s">
        <v>142</v>
      </c>
      <c r="E397" s="41" t="n">
        <v>17.19</v>
      </c>
      <c r="F397" s="7" t="s">
        <v>22796</v>
      </c>
    </row>
    <row r="398" customFormat="false" ht="15" hidden="false" customHeight="false" outlineLevel="0" collapsed="false">
      <c r="B398" s="7" t="s">
        <v>23215</v>
      </c>
      <c r="C398" s="39" t="n">
        <v>45838</v>
      </c>
      <c r="D398" s="7" t="s">
        <v>142</v>
      </c>
      <c r="E398" s="41" t="n">
        <v>58.42</v>
      </c>
      <c r="F398" s="7" t="s">
        <v>22796</v>
      </c>
    </row>
    <row r="399" customFormat="false" ht="15" hidden="false" customHeight="false" outlineLevel="0" collapsed="false">
      <c r="B399" s="7" t="s">
        <v>23216</v>
      </c>
      <c r="C399" s="39" t="n">
        <v>45811</v>
      </c>
      <c r="D399" s="7" t="s">
        <v>22882</v>
      </c>
      <c r="E399" s="41" t="n">
        <v>20.81</v>
      </c>
      <c r="F399" s="7" t="s">
        <v>22796</v>
      </c>
    </row>
    <row r="400" customFormat="false" ht="15" hidden="false" customHeight="false" outlineLevel="0" collapsed="false">
      <c r="B400" s="7" t="s">
        <v>23217</v>
      </c>
      <c r="C400" s="39" t="n">
        <v>45814</v>
      </c>
      <c r="D400" s="7" t="s">
        <v>22882</v>
      </c>
      <c r="E400" s="41" t="n">
        <v>6.43</v>
      </c>
      <c r="F400" s="7" t="s">
        <v>22796</v>
      </c>
    </row>
    <row r="401" customFormat="false" ht="15" hidden="false" customHeight="false" outlineLevel="0" collapsed="false">
      <c r="B401" s="7" t="s">
        <v>23218</v>
      </c>
      <c r="C401" s="39" t="n">
        <v>45835</v>
      </c>
      <c r="D401" s="7" t="s">
        <v>22882</v>
      </c>
      <c r="E401" s="41" t="n">
        <v>16.59</v>
      </c>
      <c r="F401" s="7" t="s">
        <v>22796</v>
      </c>
    </row>
    <row r="402" customFormat="false" ht="15" hidden="false" customHeight="false" outlineLevel="0" collapsed="false">
      <c r="B402" s="7" t="s">
        <v>23219</v>
      </c>
      <c r="C402" s="39" t="n">
        <v>45809</v>
      </c>
      <c r="D402" s="7" t="s">
        <v>143</v>
      </c>
      <c r="E402" s="41" t="n">
        <v>63.3</v>
      </c>
      <c r="F402" s="7" t="s">
        <v>22796</v>
      </c>
    </row>
    <row r="403" customFormat="false" ht="15" hidden="false" customHeight="false" outlineLevel="0" collapsed="false">
      <c r="B403" s="7" t="s">
        <v>23220</v>
      </c>
      <c r="C403" s="39" t="n">
        <v>45823</v>
      </c>
      <c r="D403" s="7" t="s">
        <v>143</v>
      </c>
      <c r="E403" s="41" t="n">
        <v>42.78</v>
      </c>
      <c r="F403" s="7" t="s">
        <v>22796</v>
      </c>
    </row>
    <row r="404" customFormat="false" ht="15" hidden="false" customHeight="false" outlineLevel="0" collapsed="false">
      <c r="B404" s="7" t="s">
        <v>23221</v>
      </c>
      <c r="C404" s="39" t="n">
        <v>45825</v>
      </c>
      <c r="D404" s="7" t="s">
        <v>143</v>
      </c>
      <c r="E404" s="41" t="n">
        <v>97.39</v>
      </c>
      <c r="F404" s="7" t="s">
        <v>22796</v>
      </c>
    </row>
    <row r="405" customFormat="false" ht="15" hidden="false" customHeight="false" outlineLevel="0" collapsed="false">
      <c r="B405" s="7" t="s">
        <v>23222</v>
      </c>
      <c r="C405" s="39" t="n">
        <v>45839</v>
      </c>
      <c r="D405" s="7" t="s">
        <v>124</v>
      </c>
      <c r="E405" s="41" t="n">
        <v>2322.11</v>
      </c>
      <c r="F405" s="7" t="s">
        <v>22796</v>
      </c>
    </row>
    <row r="406" customFormat="false" ht="15" hidden="false" customHeight="false" outlineLevel="0" collapsed="false">
      <c r="B406" s="7" t="s">
        <v>23223</v>
      </c>
      <c r="C406" s="39" t="n">
        <v>45841</v>
      </c>
      <c r="D406" s="7" t="s">
        <v>22798</v>
      </c>
      <c r="E406" s="41" t="n">
        <v>97.59</v>
      </c>
      <c r="F406" s="7" t="s">
        <v>22796</v>
      </c>
    </row>
    <row r="407" customFormat="false" ht="15" hidden="false" customHeight="false" outlineLevel="0" collapsed="false">
      <c r="B407" s="7" t="s">
        <v>23224</v>
      </c>
      <c r="C407" s="39" t="n">
        <v>45861</v>
      </c>
      <c r="D407" s="7" t="s">
        <v>22798</v>
      </c>
      <c r="E407" s="41" t="n">
        <v>37.5</v>
      </c>
      <c r="F407" s="7" t="s">
        <v>22796</v>
      </c>
    </row>
    <row r="408" customFormat="false" ht="15" hidden="false" customHeight="false" outlineLevel="0" collapsed="false">
      <c r="B408" s="7" t="s">
        <v>23225</v>
      </c>
      <c r="C408" s="39" t="n">
        <v>45869</v>
      </c>
      <c r="D408" s="7" t="s">
        <v>22798</v>
      </c>
      <c r="E408" s="41" t="n">
        <v>62.35</v>
      </c>
      <c r="F408" s="7" t="s">
        <v>22796</v>
      </c>
    </row>
    <row r="409" customFormat="false" ht="15" hidden="false" customHeight="false" outlineLevel="0" collapsed="false">
      <c r="B409" s="7" t="s">
        <v>23226</v>
      </c>
      <c r="C409" s="39" t="n">
        <v>45860</v>
      </c>
      <c r="D409" s="7" t="s">
        <v>22802</v>
      </c>
      <c r="E409" s="41" t="n">
        <v>18.01</v>
      </c>
      <c r="F409" s="7" t="s">
        <v>22796</v>
      </c>
    </row>
    <row r="410" customFormat="false" ht="15" hidden="false" customHeight="false" outlineLevel="0" collapsed="false">
      <c r="B410" s="7" t="s">
        <v>23227</v>
      </c>
      <c r="C410" s="39" t="n">
        <v>45866</v>
      </c>
      <c r="D410" s="7" t="s">
        <v>22802</v>
      </c>
      <c r="E410" s="41" t="n">
        <v>45.49</v>
      </c>
      <c r="F410" s="7" t="s">
        <v>22796</v>
      </c>
    </row>
    <row r="411" customFormat="false" ht="15" hidden="false" customHeight="false" outlineLevel="0" collapsed="false">
      <c r="B411" s="7" t="s">
        <v>23228</v>
      </c>
      <c r="C411" s="39" t="n">
        <v>45839</v>
      </c>
      <c r="D411" s="7" t="s">
        <v>22807</v>
      </c>
      <c r="E411" s="41" t="n">
        <v>44.38</v>
      </c>
      <c r="F411" s="7" t="s">
        <v>22796</v>
      </c>
    </row>
    <row r="412" customFormat="false" ht="15" hidden="false" customHeight="false" outlineLevel="0" collapsed="false">
      <c r="B412" s="7" t="s">
        <v>23229</v>
      </c>
      <c r="C412" s="39" t="n">
        <v>45842</v>
      </c>
      <c r="D412" s="7" t="s">
        <v>22807</v>
      </c>
      <c r="E412" s="41" t="n">
        <v>15.22</v>
      </c>
      <c r="F412" s="7" t="s">
        <v>22796</v>
      </c>
    </row>
    <row r="413" customFormat="false" ht="15" hidden="false" customHeight="false" outlineLevel="0" collapsed="false">
      <c r="B413" s="7" t="s">
        <v>23230</v>
      </c>
      <c r="C413" s="39" t="n">
        <v>45867</v>
      </c>
      <c r="D413" s="7" t="s">
        <v>22807</v>
      </c>
      <c r="E413" s="41" t="n">
        <v>35.19</v>
      </c>
      <c r="F413" s="7" t="s">
        <v>22796</v>
      </c>
    </row>
    <row r="414" customFormat="false" ht="15" hidden="false" customHeight="false" outlineLevel="0" collapsed="false">
      <c r="B414" s="7" t="s">
        <v>23231</v>
      </c>
      <c r="C414" s="39" t="n">
        <v>45848</v>
      </c>
      <c r="D414" s="7" t="s">
        <v>22812</v>
      </c>
      <c r="E414" s="41" t="n">
        <v>1639.93</v>
      </c>
      <c r="F414" s="7" t="s">
        <v>22813</v>
      </c>
    </row>
    <row r="415" customFormat="false" ht="15" hidden="false" customHeight="false" outlineLevel="0" collapsed="false">
      <c r="B415" s="7" t="s">
        <v>23232</v>
      </c>
      <c r="C415" s="39" t="n">
        <v>45862</v>
      </c>
      <c r="D415" s="7" t="s">
        <v>22812</v>
      </c>
      <c r="E415" s="41" t="n">
        <v>1639.94</v>
      </c>
      <c r="F415" s="7" t="s">
        <v>22813</v>
      </c>
    </row>
    <row r="416" customFormat="false" ht="15" hidden="false" customHeight="false" outlineLevel="0" collapsed="false">
      <c r="B416" s="7" t="s">
        <v>23233</v>
      </c>
      <c r="C416" s="39" t="n">
        <v>45848</v>
      </c>
      <c r="D416" s="7" t="s">
        <v>22816</v>
      </c>
      <c r="E416" s="41" t="n">
        <v>1398.98</v>
      </c>
      <c r="F416" s="7" t="s">
        <v>22813</v>
      </c>
    </row>
    <row r="417" customFormat="false" ht="15" hidden="false" customHeight="false" outlineLevel="0" collapsed="false">
      <c r="B417" s="7" t="s">
        <v>23234</v>
      </c>
      <c r="C417" s="39" t="n">
        <v>45862</v>
      </c>
      <c r="D417" s="7" t="s">
        <v>22816</v>
      </c>
      <c r="E417" s="41" t="n">
        <v>1398.98</v>
      </c>
      <c r="F417" s="7" t="s">
        <v>22813</v>
      </c>
    </row>
    <row r="418" customFormat="false" ht="15" hidden="false" customHeight="false" outlineLevel="0" collapsed="false">
      <c r="B418" s="7" t="s">
        <v>23235</v>
      </c>
      <c r="C418" s="39" t="n">
        <v>45848</v>
      </c>
      <c r="D418" s="7" t="s">
        <v>22819</v>
      </c>
      <c r="E418" s="41" t="n">
        <v>677.17</v>
      </c>
      <c r="F418" s="7" t="s">
        <v>22813</v>
      </c>
    </row>
    <row r="419" customFormat="false" ht="15" hidden="false" customHeight="false" outlineLevel="0" collapsed="false">
      <c r="B419" s="7" t="s">
        <v>23236</v>
      </c>
      <c r="C419" s="39" t="n">
        <v>45862</v>
      </c>
      <c r="D419" s="7" t="s">
        <v>22819</v>
      </c>
      <c r="E419" s="41" t="n">
        <v>677.17</v>
      </c>
      <c r="F419" s="7" t="s">
        <v>22813</v>
      </c>
    </row>
    <row r="420" customFormat="false" ht="15" hidden="false" customHeight="false" outlineLevel="0" collapsed="false">
      <c r="B420" s="7" t="s">
        <v>23237</v>
      </c>
      <c r="C420" s="39" t="n">
        <v>45848</v>
      </c>
      <c r="D420" s="7" t="s">
        <v>22822</v>
      </c>
      <c r="E420" s="41" t="n">
        <v>2540.07</v>
      </c>
      <c r="F420" s="7" t="s">
        <v>22813</v>
      </c>
    </row>
    <row r="421" customFormat="false" ht="15" hidden="false" customHeight="false" outlineLevel="0" collapsed="false">
      <c r="B421" s="7" t="s">
        <v>23238</v>
      </c>
      <c r="C421" s="39" t="n">
        <v>45862</v>
      </c>
      <c r="D421" s="7" t="s">
        <v>22822</v>
      </c>
      <c r="E421" s="41" t="n">
        <v>2540.07</v>
      </c>
      <c r="F421" s="7" t="s">
        <v>22813</v>
      </c>
    </row>
    <row r="422" customFormat="false" ht="15" hidden="false" customHeight="false" outlineLevel="0" collapsed="false">
      <c r="B422" s="7" t="s">
        <v>23239</v>
      </c>
      <c r="C422" s="39" t="n">
        <v>45839</v>
      </c>
      <c r="D422" s="7" t="s">
        <v>22825</v>
      </c>
      <c r="E422" s="41" t="n">
        <v>641.56</v>
      </c>
      <c r="F422" s="7" t="s">
        <v>22796</v>
      </c>
    </row>
    <row r="423" customFormat="false" ht="15" hidden="false" customHeight="false" outlineLevel="0" collapsed="false">
      <c r="B423" s="7" t="s">
        <v>23240</v>
      </c>
      <c r="C423" s="39" t="n">
        <v>45839</v>
      </c>
      <c r="D423" s="7" t="s">
        <v>22827</v>
      </c>
      <c r="E423" s="41" t="n">
        <v>117.5</v>
      </c>
      <c r="F423" s="7" t="s">
        <v>22796</v>
      </c>
    </row>
    <row r="424" customFormat="false" ht="15" hidden="false" customHeight="false" outlineLevel="0" collapsed="false">
      <c r="B424" s="7" t="s">
        <v>23241</v>
      </c>
      <c r="C424" s="39" t="n">
        <v>45839</v>
      </c>
      <c r="D424" s="7" t="s">
        <v>22829</v>
      </c>
      <c r="E424" s="41" t="n">
        <v>85.8</v>
      </c>
      <c r="F424" s="7" t="s">
        <v>22796</v>
      </c>
    </row>
    <row r="425" customFormat="false" ht="15" hidden="false" customHeight="false" outlineLevel="0" collapsed="false">
      <c r="B425" s="7" t="s">
        <v>23242</v>
      </c>
      <c r="C425" s="39" t="n">
        <v>45839</v>
      </c>
      <c r="D425" s="7" t="s">
        <v>22831</v>
      </c>
      <c r="E425" s="41" t="n">
        <v>89.59</v>
      </c>
      <c r="F425" s="7" t="s">
        <v>22796</v>
      </c>
    </row>
    <row r="426" customFormat="false" ht="15" hidden="false" customHeight="false" outlineLevel="0" collapsed="false">
      <c r="B426" s="7" t="s">
        <v>23243</v>
      </c>
      <c r="C426" s="39" t="n">
        <v>45848</v>
      </c>
      <c r="D426" s="7" t="s">
        <v>132</v>
      </c>
      <c r="E426" s="41" t="n">
        <v>221.12</v>
      </c>
      <c r="F426" s="7" t="s">
        <v>22813</v>
      </c>
    </row>
    <row r="427" customFormat="false" ht="15" hidden="false" customHeight="false" outlineLevel="0" collapsed="false">
      <c r="B427" s="7" t="s">
        <v>23244</v>
      </c>
      <c r="C427" s="39" t="n">
        <v>45862</v>
      </c>
      <c r="D427" s="7" t="s">
        <v>132</v>
      </c>
      <c r="E427" s="41" t="n">
        <v>221.12</v>
      </c>
      <c r="F427" s="7" t="s">
        <v>22813</v>
      </c>
    </row>
    <row r="428" customFormat="false" ht="15" hidden="false" customHeight="false" outlineLevel="0" collapsed="false">
      <c r="B428" s="7" t="s">
        <v>23245</v>
      </c>
      <c r="C428" s="39" t="n">
        <v>45839</v>
      </c>
      <c r="D428" s="7" t="s">
        <v>22835</v>
      </c>
      <c r="E428" s="41" t="n">
        <v>950</v>
      </c>
      <c r="F428" s="7" t="s">
        <v>22796</v>
      </c>
    </row>
    <row r="429" customFormat="false" ht="15" hidden="false" customHeight="false" outlineLevel="0" collapsed="false">
      <c r="B429" s="7" t="s">
        <v>23246</v>
      </c>
      <c r="C429" s="39" t="n">
        <v>45839</v>
      </c>
      <c r="D429" s="7" t="s">
        <v>22837</v>
      </c>
      <c r="E429" s="41" t="n">
        <v>410.3</v>
      </c>
      <c r="F429" s="7" t="s">
        <v>22796</v>
      </c>
    </row>
    <row r="430" customFormat="false" ht="15" hidden="false" customHeight="false" outlineLevel="0" collapsed="false">
      <c r="B430" s="7" t="s">
        <v>23247</v>
      </c>
      <c r="C430" s="39" t="n">
        <v>45839</v>
      </c>
      <c r="D430" s="7" t="s">
        <v>22839</v>
      </c>
      <c r="E430" s="41" t="n">
        <v>140.63</v>
      </c>
      <c r="F430" s="7" t="s">
        <v>22796</v>
      </c>
    </row>
    <row r="431" customFormat="false" ht="15" hidden="false" customHeight="false" outlineLevel="0" collapsed="false">
      <c r="B431" s="7" t="s">
        <v>23248</v>
      </c>
      <c r="C431" s="39" t="n">
        <v>45852</v>
      </c>
      <c r="D431" s="7" t="s">
        <v>22841</v>
      </c>
      <c r="E431" s="41" t="n">
        <v>54.35</v>
      </c>
      <c r="F431" s="7" t="s">
        <v>22796</v>
      </c>
    </row>
    <row r="432" customFormat="false" ht="15" hidden="false" customHeight="false" outlineLevel="0" collapsed="false">
      <c r="B432" s="7" t="s">
        <v>23249</v>
      </c>
      <c r="C432" s="39" t="n">
        <v>45858</v>
      </c>
      <c r="D432" s="7" t="s">
        <v>22841</v>
      </c>
      <c r="E432" s="41" t="n">
        <v>59.89</v>
      </c>
      <c r="F432" s="7" t="s">
        <v>22796</v>
      </c>
    </row>
    <row r="433" customFormat="false" ht="15" hidden="false" customHeight="false" outlineLevel="0" collapsed="false">
      <c r="B433" s="7" t="s">
        <v>23250</v>
      </c>
      <c r="C433" s="39" t="n">
        <v>45861</v>
      </c>
      <c r="D433" s="7" t="s">
        <v>22841</v>
      </c>
      <c r="E433" s="41" t="n">
        <v>48.49</v>
      </c>
      <c r="F433" s="7" t="s">
        <v>22796</v>
      </c>
    </row>
    <row r="434" customFormat="false" ht="15" hidden="false" customHeight="false" outlineLevel="0" collapsed="false">
      <c r="B434" s="7" t="s">
        <v>23251</v>
      </c>
      <c r="C434" s="39" t="n">
        <v>45862</v>
      </c>
      <c r="D434" s="7" t="s">
        <v>22841</v>
      </c>
      <c r="E434" s="41" t="n">
        <v>96.11</v>
      </c>
      <c r="F434" s="7" t="s">
        <v>22796</v>
      </c>
    </row>
    <row r="435" customFormat="false" ht="15" hidden="false" customHeight="false" outlineLevel="0" collapsed="false">
      <c r="B435" s="7" t="s">
        <v>23252</v>
      </c>
      <c r="C435" s="39" t="n">
        <v>45840</v>
      </c>
      <c r="D435" s="7" t="s">
        <v>22845</v>
      </c>
      <c r="E435" s="41" t="n">
        <v>113.5</v>
      </c>
      <c r="F435" s="7" t="s">
        <v>22796</v>
      </c>
    </row>
    <row r="436" customFormat="false" ht="15" hidden="false" customHeight="false" outlineLevel="0" collapsed="false">
      <c r="B436" s="7" t="s">
        <v>23253</v>
      </c>
      <c r="C436" s="39" t="n">
        <v>45853</v>
      </c>
      <c r="D436" s="7" t="s">
        <v>22845</v>
      </c>
      <c r="E436" s="41" t="n">
        <v>236.51</v>
      </c>
      <c r="F436" s="7" t="s">
        <v>22796</v>
      </c>
    </row>
    <row r="437" customFormat="false" ht="15" hidden="false" customHeight="false" outlineLevel="0" collapsed="false">
      <c r="B437" s="7" t="s">
        <v>23254</v>
      </c>
      <c r="C437" s="39" t="n">
        <v>45851</v>
      </c>
      <c r="D437" s="7" t="s">
        <v>22848</v>
      </c>
      <c r="E437" s="41" t="n">
        <v>57.12</v>
      </c>
      <c r="F437" s="7" t="s">
        <v>22796</v>
      </c>
    </row>
    <row r="438" customFormat="false" ht="15" hidden="false" customHeight="false" outlineLevel="0" collapsed="false">
      <c r="B438" s="7" t="s">
        <v>23255</v>
      </c>
      <c r="C438" s="39" t="n">
        <v>45852</v>
      </c>
      <c r="D438" s="7" t="s">
        <v>22848</v>
      </c>
      <c r="E438" s="41" t="n">
        <v>45.21</v>
      </c>
      <c r="F438" s="7" t="s">
        <v>22796</v>
      </c>
    </row>
    <row r="439" customFormat="false" ht="15" hidden="false" customHeight="false" outlineLevel="0" collapsed="false">
      <c r="B439" s="7" t="s">
        <v>23256</v>
      </c>
      <c r="C439" s="39" t="n">
        <v>45865</v>
      </c>
      <c r="D439" s="7" t="s">
        <v>22848</v>
      </c>
      <c r="E439" s="41" t="n">
        <v>139.52</v>
      </c>
      <c r="F439" s="7" t="s">
        <v>22796</v>
      </c>
    </row>
    <row r="440" customFormat="false" ht="15" hidden="false" customHeight="false" outlineLevel="0" collapsed="false">
      <c r="B440" s="7" t="s">
        <v>23257</v>
      </c>
      <c r="C440" s="39" t="n">
        <v>45844</v>
      </c>
      <c r="D440" s="7" t="s">
        <v>136</v>
      </c>
      <c r="E440" s="41" t="n">
        <v>32.59</v>
      </c>
      <c r="F440" s="7" t="s">
        <v>22796</v>
      </c>
    </row>
    <row r="441" customFormat="false" ht="15" hidden="false" customHeight="false" outlineLevel="0" collapsed="false">
      <c r="B441" s="7" t="s">
        <v>23258</v>
      </c>
      <c r="C441" s="39" t="n">
        <v>45845</v>
      </c>
      <c r="D441" s="7" t="s">
        <v>136</v>
      </c>
      <c r="E441" s="41" t="n">
        <v>27.81</v>
      </c>
      <c r="F441" s="7" t="s">
        <v>22796</v>
      </c>
    </row>
    <row r="442" customFormat="false" ht="15" hidden="false" customHeight="false" outlineLevel="0" collapsed="false">
      <c r="B442" s="7" t="s">
        <v>23259</v>
      </c>
      <c r="C442" s="39" t="n">
        <v>45851</v>
      </c>
      <c r="D442" s="7" t="s">
        <v>136</v>
      </c>
      <c r="E442" s="41" t="n">
        <v>96.81</v>
      </c>
      <c r="F442" s="7" t="s">
        <v>22796</v>
      </c>
    </row>
    <row r="443" customFormat="false" ht="15" hidden="false" customHeight="false" outlineLevel="0" collapsed="false">
      <c r="B443" s="7" t="s">
        <v>23260</v>
      </c>
      <c r="C443" s="39" t="n">
        <v>45839</v>
      </c>
      <c r="D443" s="7" t="s">
        <v>22855</v>
      </c>
      <c r="E443" s="41" t="n">
        <v>175.88</v>
      </c>
      <c r="F443" s="7" t="s">
        <v>22796</v>
      </c>
    </row>
    <row r="444" customFormat="false" ht="15" hidden="false" customHeight="false" outlineLevel="0" collapsed="false">
      <c r="B444" s="7" t="s">
        <v>23261</v>
      </c>
      <c r="C444" s="39" t="n">
        <v>45839</v>
      </c>
      <c r="D444" s="7" t="s">
        <v>22857</v>
      </c>
      <c r="E444" s="41" t="n">
        <v>476.63</v>
      </c>
      <c r="F444" s="7" t="s">
        <v>22796</v>
      </c>
    </row>
    <row r="445" customFormat="false" ht="15" hidden="false" customHeight="false" outlineLevel="0" collapsed="false">
      <c r="B445" s="7" t="s">
        <v>23262</v>
      </c>
      <c r="C445" s="39" t="n">
        <v>45853</v>
      </c>
      <c r="D445" s="7" t="s">
        <v>22859</v>
      </c>
      <c r="E445" s="41" t="n">
        <v>200.13</v>
      </c>
      <c r="F445" s="7" t="s">
        <v>22796</v>
      </c>
    </row>
    <row r="446" customFormat="false" ht="15" hidden="false" customHeight="false" outlineLevel="0" collapsed="false">
      <c r="B446" s="7" t="s">
        <v>23263</v>
      </c>
      <c r="C446" s="39" t="n">
        <v>45862</v>
      </c>
      <c r="D446" s="7" t="s">
        <v>22859</v>
      </c>
      <c r="E446" s="41" t="n">
        <v>269.52</v>
      </c>
      <c r="F446" s="7" t="s">
        <v>22796</v>
      </c>
    </row>
    <row r="447" customFormat="false" ht="15" hidden="false" customHeight="false" outlineLevel="0" collapsed="false">
      <c r="B447" s="7" t="s">
        <v>23264</v>
      </c>
      <c r="C447" s="39" t="n">
        <v>45843</v>
      </c>
      <c r="D447" s="7" t="s">
        <v>22862</v>
      </c>
      <c r="E447" s="41" t="n">
        <v>67.8</v>
      </c>
      <c r="F447" s="7" t="s">
        <v>22796</v>
      </c>
    </row>
    <row r="448" customFormat="false" ht="15" hidden="false" customHeight="false" outlineLevel="0" collapsed="false">
      <c r="B448" s="7" t="s">
        <v>23265</v>
      </c>
      <c r="C448" s="39" t="n">
        <v>45860</v>
      </c>
      <c r="D448" s="7" t="s">
        <v>22862</v>
      </c>
      <c r="E448" s="41" t="n">
        <v>25.1</v>
      </c>
      <c r="F448" s="7" t="s">
        <v>22796</v>
      </c>
    </row>
    <row r="449" customFormat="false" ht="15" hidden="false" customHeight="false" outlineLevel="0" collapsed="false">
      <c r="B449" s="7" t="s">
        <v>23266</v>
      </c>
      <c r="C449" s="39" t="n">
        <v>45867</v>
      </c>
      <c r="D449" s="7" t="s">
        <v>22862</v>
      </c>
      <c r="E449" s="41" t="n">
        <v>68.18</v>
      </c>
      <c r="F449" s="7" t="s">
        <v>22796</v>
      </c>
    </row>
    <row r="450" customFormat="false" ht="15" hidden="false" customHeight="false" outlineLevel="0" collapsed="false">
      <c r="B450" s="7" t="s">
        <v>23267</v>
      </c>
      <c r="C450" s="39" t="n">
        <v>45840</v>
      </c>
      <c r="D450" s="7" t="s">
        <v>22866</v>
      </c>
      <c r="E450" s="41" t="n">
        <v>186.29</v>
      </c>
      <c r="F450" s="7" t="s">
        <v>22796</v>
      </c>
    </row>
    <row r="451" customFormat="false" ht="15" hidden="false" customHeight="false" outlineLevel="0" collapsed="false">
      <c r="B451" s="7" t="s">
        <v>23268</v>
      </c>
      <c r="C451" s="39" t="n">
        <v>45848</v>
      </c>
      <c r="D451" s="7" t="s">
        <v>22866</v>
      </c>
      <c r="E451" s="41" t="n">
        <v>407.13</v>
      </c>
      <c r="F451" s="7" t="s">
        <v>22796</v>
      </c>
    </row>
    <row r="452" customFormat="false" ht="15" hidden="false" customHeight="false" outlineLevel="0" collapsed="false">
      <c r="B452" s="7" t="s">
        <v>23269</v>
      </c>
      <c r="C452" s="39" t="n">
        <v>45847</v>
      </c>
      <c r="D452" s="7" t="s">
        <v>22870</v>
      </c>
      <c r="E452" s="41" t="n">
        <v>132.99</v>
      </c>
      <c r="F452" s="7" t="s">
        <v>22796</v>
      </c>
    </row>
    <row r="453" customFormat="false" ht="15" hidden="false" customHeight="false" outlineLevel="0" collapsed="false">
      <c r="B453" s="7" t="s">
        <v>23270</v>
      </c>
      <c r="C453" s="39" t="n">
        <v>45859</v>
      </c>
      <c r="D453" s="7" t="s">
        <v>22870</v>
      </c>
      <c r="E453" s="41" t="n">
        <v>55.08</v>
      </c>
      <c r="F453" s="7" t="s">
        <v>22796</v>
      </c>
    </row>
    <row r="454" customFormat="false" ht="15" hidden="false" customHeight="false" outlineLevel="0" collapsed="false">
      <c r="B454" s="7" t="s">
        <v>23271</v>
      </c>
      <c r="C454" s="39" t="n">
        <v>45869</v>
      </c>
      <c r="D454" s="7" t="s">
        <v>22870</v>
      </c>
      <c r="E454" s="41" t="n">
        <v>148.64</v>
      </c>
      <c r="F454" s="7" t="s">
        <v>22796</v>
      </c>
    </row>
    <row r="455" customFormat="false" ht="15" hidden="false" customHeight="false" outlineLevel="0" collapsed="false">
      <c r="B455" s="7" t="s">
        <v>23272</v>
      </c>
      <c r="C455" s="39" t="n">
        <v>45839</v>
      </c>
      <c r="D455" s="7" t="s">
        <v>22874</v>
      </c>
      <c r="E455" s="41" t="n">
        <v>411.97</v>
      </c>
      <c r="F455" s="7" t="s">
        <v>22796</v>
      </c>
    </row>
    <row r="456" customFormat="false" ht="15" hidden="false" customHeight="false" outlineLevel="0" collapsed="false">
      <c r="B456" s="7" t="s">
        <v>23273</v>
      </c>
      <c r="C456" s="39" t="n">
        <v>45839</v>
      </c>
      <c r="D456" s="7" t="s">
        <v>22876</v>
      </c>
      <c r="E456" s="41" t="n">
        <v>134.24</v>
      </c>
      <c r="F456" s="7" t="s">
        <v>22796</v>
      </c>
    </row>
    <row r="457" customFormat="false" ht="15" hidden="false" customHeight="false" outlineLevel="0" collapsed="false">
      <c r="B457" s="7" t="s">
        <v>23274</v>
      </c>
      <c r="C457" s="39" t="n">
        <v>45842</v>
      </c>
      <c r="D457" s="7" t="s">
        <v>22876</v>
      </c>
      <c r="E457" s="41" t="n">
        <v>109.74</v>
      </c>
      <c r="F457" s="7" t="s">
        <v>22796</v>
      </c>
    </row>
    <row r="458" customFormat="false" ht="15" hidden="false" customHeight="false" outlineLevel="0" collapsed="false">
      <c r="B458" s="7" t="s">
        <v>23275</v>
      </c>
      <c r="C458" s="39" t="n">
        <v>45845</v>
      </c>
      <c r="D458" s="7" t="s">
        <v>22876</v>
      </c>
      <c r="E458" s="41" t="n">
        <v>52.06</v>
      </c>
      <c r="F458" s="7" t="s">
        <v>22796</v>
      </c>
    </row>
    <row r="459" customFormat="false" ht="15" hidden="false" customHeight="false" outlineLevel="0" collapsed="false">
      <c r="B459" s="7" t="s">
        <v>23276</v>
      </c>
      <c r="C459" s="39" t="n">
        <v>45849</v>
      </c>
      <c r="D459" s="7" t="s">
        <v>22876</v>
      </c>
      <c r="E459" s="41" t="n">
        <v>61.75</v>
      </c>
      <c r="F459" s="7" t="s">
        <v>22796</v>
      </c>
    </row>
    <row r="460" customFormat="false" ht="15" hidden="false" customHeight="false" outlineLevel="0" collapsed="false">
      <c r="B460" s="7" t="s">
        <v>23277</v>
      </c>
      <c r="C460" s="39" t="n">
        <v>45839</v>
      </c>
      <c r="D460" s="7" t="s">
        <v>142</v>
      </c>
      <c r="E460" s="41" t="n">
        <v>62.05</v>
      </c>
      <c r="F460" s="7" t="s">
        <v>22796</v>
      </c>
    </row>
    <row r="461" customFormat="false" ht="15" hidden="false" customHeight="false" outlineLevel="0" collapsed="false">
      <c r="B461" s="7" t="s">
        <v>23278</v>
      </c>
      <c r="C461" s="39" t="n">
        <v>45855</v>
      </c>
      <c r="D461" s="7" t="s">
        <v>142</v>
      </c>
      <c r="E461" s="41" t="n">
        <v>47.52</v>
      </c>
      <c r="F461" s="7" t="s">
        <v>22796</v>
      </c>
    </row>
    <row r="462" customFormat="false" ht="15" hidden="false" customHeight="false" outlineLevel="0" collapsed="false">
      <c r="B462" s="7" t="s">
        <v>23279</v>
      </c>
      <c r="C462" s="39" t="n">
        <v>45866</v>
      </c>
      <c r="D462" s="7" t="s">
        <v>142</v>
      </c>
      <c r="E462" s="41" t="n">
        <v>67.57</v>
      </c>
      <c r="F462" s="7" t="s">
        <v>22796</v>
      </c>
    </row>
    <row r="463" customFormat="false" ht="15" hidden="false" customHeight="false" outlineLevel="0" collapsed="false">
      <c r="B463" s="7" t="s">
        <v>23280</v>
      </c>
      <c r="C463" s="39" t="n">
        <v>45848</v>
      </c>
      <c r="D463" s="7" t="s">
        <v>22882</v>
      </c>
      <c r="E463" s="41" t="n">
        <v>21.26</v>
      </c>
      <c r="F463" s="7" t="s">
        <v>22796</v>
      </c>
    </row>
    <row r="464" customFormat="false" ht="15" hidden="false" customHeight="false" outlineLevel="0" collapsed="false">
      <c r="B464" s="7" t="s">
        <v>23281</v>
      </c>
      <c r="C464" s="39" t="n">
        <v>45854</v>
      </c>
      <c r="D464" s="7" t="s">
        <v>22882</v>
      </c>
      <c r="E464" s="41" t="n">
        <v>10.33</v>
      </c>
      <c r="F464" s="7" t="s">
        <v>22796</v>
      </c>
    </row>
    <row r="465" customFormat="false" ht="15" hidden="false" customHeight="false" outlineLevel="0" collapsed="false">
      <c r="B465" s="7" t="s">
        <v>23282</v>
      </c>
      <c r="C465" s="39" t="n">
        <v>45858</v>
      </c>
      <c r="D465" s="7" t="s">
        <v>22882</v>
      </c>
      <c r="E465" s="41" t="n">
        <v>3.3</v>
      </c>
      <c r="F465" s="7" t="s">
        <v>22796</v>
      </c>
    </row>
    <row r="466" customFormat="false" ht="15" hidden="false" customHeight="false" outlineLevel="0" collapsed="false">
      <c r="B466" s="7" t="s">
        <v>23283</v>
      </c>
      <c r="C466" s="39" t="n">
        <v>45861</v>
      </c>
      <c r="D466" s="7" t="s">
        <v>22882</v>
      </c>
      <c r="E466" s="41" t="n">
        <v>8.1</v>
      </c>
      <c r="F466" s="7" t="s">
        <v>22796</v>
      </c>
    </row>
    <row r="467" customFormat="false" ht="15" hidden="false" customHeight="false" outlineLevel="0" collapsed="false">
      <c r="B467" s="7" t="s">
        <v>23284</v>
      </c>
      <c r="C467" s="39" t="n">
        <v>45850</v>
      </c>
      <c r="D467" s="7" t="s">
        <v>143</v>
      </c>
      <c r="E467" s="41" t="n">
        <v>79.64</v>
      </c>
      <c r="F467" s="7" t="s">
        <v>22796</v>
      </c>
    </row>
    <row r="468" customFormat="false" ht="15" hidden="false" customHeight="false" outlineLevel="0" collapsed="false">
      <c r="B468" s="7" t="s">
        <v>23285</v>
      </c>
      <c r="C468" s="39" t="n">
        <v>45854</v>
      </c>
      <c r="D468" s="7" t="s">
        <v>143</v>
      </c>
      <c r="E468" s="41" t="n">
        <v>24.07</v>
      </c>
      <c r="F468" s="7" t="s">
        <v>22796</v>
      </c>
    </row>
    <row r="469" customFormat="false" ht="15" hidden="false" customHeight="false" outlineLevel="0" collapsed="false">
      <c r="B469" s="7" t="s">
        <v>23286</v>
      </c>
      <c r="C469" s="39" t="n">
        <v>45867</v>
      </c>
      <c r="D469" s="7" t="s">
        <v>143</v>
      </c>
      <c r="E469" s="41" t="n">
        <v>78.43</v>
      </c>
      <c r="F469" s="7" t="s">
        <v>22796</v>
      </c>
    </row>
    <row r="470" customFormat="false" ht="15" hidden="false" customHeight="false" outlineLevel="0" collapsed="false">
      <c r="B470" s="7" t="s">
        <v>23287</v>
      </c>
      <c r="C470" s="39" t="n">
        <v>45870</v>
      </c>
      <c r="D470" s="7" t="s">
        <v>124</v>
      </c>
      <c r="E470" s="41" t="n">
        <v>2077.41</v>
      </c>
      <c r="F470" s="7" t="s">
        <v>22796</v>
      </c>
    </row>
    <row r="471" customFormat="false" ht="15" hidden="false" customHeight="false" outlineLevel="0" collapsed="false">
      <c r="B471" s="7" t="s">
        <v>23288</v>
      </c>
      <c r="C471" s="39" t="n">
        <v>45878</v>
      </c>
      <c r="D471" s="7" t="s">
        <v>22798</v>
      </c>
      <c r="E471" s="41" t="n">
        <v>73.71</v>
      </c>
      <c r="F471" s="7" t="s">
        <v>22796</v>
      </c>
    </row>
    <row r="472" customFormat="false" ht="15" hidden="false" customHeight="false" outlineLevel="0" collapsed="false">
      <c r="B472" s="7" t="s">
        <v>23289</v>
      </c>
      <c r="C472" s="39" t="n">
        <v>45884</v>
      </c>
      <c r="D472" s="7" t="s">
        <v>22798</v>
      </c>
      <c r="E472" s="41" t="n">
        <v>57.97</v>
      </c>
      <c r="F472" s="7" t="s">
        <v>22796</v>
      </c>
    </row>
    <row r="473" customFormat="false" ht="15" hidden="false" customHeight="false" outlineLevel="0" collapsed="false">
      <c r="B473" s="7" t="s">
        <v>23290</v>
      </c>
      <c r="C473" s="39" t="n">
        <v>45885</v>
      </c>
      <c r="D473" s="7" t="s">
        <v>22798</v>
      </c>
      <c r="E473" s="41" t="n">
        <v>78.84</v>
      </c>
      <c r="F473" s="7" t="s">
        <v>22796</v>
      </c>
    </row>
    <row r="474" customFormat="false" ht="15" hidden="false" customHeight="false" outlineLevel="0" collapsed="false">
      <c r="B474" s="7" t="s">
        <v>23291</v>
      </c>
      <c r="C474" s="39" t="n">
        <v>45871</v>
      </c>
      <c r="D474" s="7" t="s">
        <v>22802</v>
      </c>
      <c r="E474" s="41" t="n">
        <v>23.99</v>
      </c>
      <c r="F474" s="7" t="s">
        <v>22796</v>
      </c>
    </row>
    <row r="475" customFormat="false" ht="15" hidden="false" customHeight="false" outlineLevel="0" collapsed="false">
      <c r="B475" s="7" t="s">
        <v>23292</v>
      </c>
      <c r="C475" s="39" t="n">
        <v>45879</v>
      </c>
      <c r="D475" s="7" t="s">
        <v>22802</v>
      </c>
      <c r="E475" s="41" t="n">
        <v>19.85</v>
      </c>
      <c r="F475" s="7" t="s">
        <v>22796</v>
      </c>
    </row>
    <row r="476" customFormat="false" ht="15" hidden="false" customHeight="false" outlineLevel="0" collapsed="false">
      <c r="B476" s="7" t="s">
        <v>23293</v>
      </c>
      <c r="C476" s="39" t="n">
        <v>45883</v>
      </c>
      <c r="D476" s="7" t="s">
        <v>22802</v>
      </c>
      <c r="E476" s="41" t="n">
        <v>10.11</v>
      </c>
      <c r="F476" s="7" t="s">
        <v>22796</v>
      </c>
    </row>
    <row r="477" customFormat="false" ht="15" hidden="false" customHeight="false" outlineLevel="0" collapsed="false">
      <c r="B477" s="7" t="s">
        <v>23294</v>
      </c>
      <c r="C477" s="39" t="n">
        <v>45890</v>
      </c>
      <c r="D477" s="7" t="s">
        <v>22802</v>
      </c>
      <c r="E477" s="41" t="n">
        <v>13.99</v>
      </c>
      <c r="F477" s="7" t="s">
        <v>22796</v>
      </c>
    </row>
    <row r="478" customFormat="false" ht="15" hidden="false" customHeight="false" outlineLevel="0" collapsed="false">
      <c r="B478" s="7" t="s">
        <v>23295</v>
      </c>
      <c r="C478" s="39" t="n">
        <v>45871</v>
      </c>
      <c r="D478" s="7" t="s">
        <v>22807</v>
      </c>
      <c r="E478" s="41" t="n">
        <v>20.59</v>
      </c>
      <c r="F478" s="7" t="s">
        <v>22796</v>
      </c>
    </row>
    <row r="479" customFormat="false" ht="15" hidden="false" customHeight="false" outlineLevel="0" collapsed="false">
      <c r="B479" s="7" t="s">
        <v>23296</v>
      </c>
      <c r="C479" s="39" t="n">
        <v>45888</v>
      </c>
      <c r="D479" s="7" t="s">
        <v>22807</v>
      </c>
      <c r="E479" s="41" t="n">
        <v>17.37</v>
      </c>
      <c r="F479" s="7" t="s">
        <v>22796</v>
      </c>
    </row>
    <row r="480" customFormat="false" ht="15" hidden="false" customHeight="false" outlineLevel="0" collapsed="false">
      <c r="B480" s="7" t="s">
        <v>23297</v>
      </c>
      <c r="C480" s="39" t="n">
        <v>45896</v>
      </c>
      <c r="D480" s="7" t="s">
        <v>22807</v>
      </c>
      <c r="E480" s="41" t="n">
        <v>18.02</v>
      </c>
      <c r="F480" s="7" t="s">
        <v>22796</v>
      </c>
    </row>
    <row r="481" customFormat="false" ht="15" hidden="false" customHeight="false" outlineLevel="0" collapsed="false">
      <c r="B481" s="7" t="s">
        <v>23298</v>
      </c>
      <c r="C481" s="39" t="n">
        <v>45898</v>
      </c>
      <c r="D481" s="7" t="s">
        <v>22807</v>
      </c>
      <c r="E481" s="41" t="n">
        <v>33.59</v>
      </c>
      <c r="F481" s="7" t="s">
        <v>22796</v>
      </c>
    </row>
    <row r="482" customFormat="false" ht="15" hidden="false" customHeight="false" outlineLevel="0" collapsed="false">
      <c r="B482" s="7" t="s">
        <v>23299</v>
      </c>
      <c r="C482" s="39" t="n">
        <v>45876</v>
      </c>
      <c r="D482" s="7" t="s">
        <v>22812</v>
      </c>
      <c r="E482" s="41" t="n">
        <v>1704.14</v>
      </c>
      <c r="F482" s="7" t="s">
        <v>22813</v>
      </c>
    </row>
    <row r="483" customFormat="false" ht="15" hidden="false" customHeight="false" outlineLevel="0" collapsed="false">
      <c r="B483" s="7" t="s">
        <v>23300</v>
      </c>
      <c r="C483" s="39" t="n">
        <v>45890</v>
      </c>
      <c r="D483" s="7" t="s">
        <v>22812</v>
      </c>
      <c r="E483" s="41" t="n">
        <v>1704.14</v>
      </c>
      <c r="F483" s="7" t="s">
        <v>22813</v>
      </c>
    </row>
    <row r="484" customFormat="false" ht="15" hidden="false" customHeight="false" outlineLevel="0" collapsed="false">
      <c r="B484" s="7" t="s">
        <v>23301</v>
      </c>
      <c r="C484" s="39" t="n">
        <v>45876</v>
      </c>
      <c r="D484" s="7" t="s">
        <v>22816</v>
      </c>
      <c r="E484" s="41" t="n">
        <v>1336.31</v>
      </c>
      <c r="F484" s="7" t="s">
        <v>22813</v>
      </c>
    </row>
    <row r="485" customFormat="false" ht="15" hidden="false" customHeight="false" outlineLevel="0" collapsed="false">
      <c r="B485" s="7" t="s">
        <v>23302</v>
      </c>
      <c r="C485" s="39" t="n">
        <v>45890</v>
      </c>
      <c r="D485" s="7" t="s">
        <v>22816</v>
      </c>
      <c r="E485" s="41" t="n">
        <v>1336.3</v>
      </c>
      <c r="F485" s="7" t="s">
        <v>22813</v>
      </c>
    </row>
    <row r="486" customFormat="false" ht="15" hidden="false" customHeight="false" outlineLevel="0" collapsed="false">
      <c r="B486" s="7" t="s">
        <v>23303</v>
      </c>
      <c r="C486" s="39" t="n">
        <v>45876</v>
      </c>
      <c r="D486" s="7" t="s">
        <v>22819</v>
      </c>
      <c r="E486" s="41" t="n">
        <v>679.58</v>
      </c>
      <c r="F486" s="7" t="s">
        <v>22813</v>
      </c>
    </row>
    <row r="487" customFormat="false" ht="15" hidden="false" customHeight="false" outlineLevel="0" collapsed="false">
      <c r="B487" s="7" t="s">
        <v>23304</v>
      </c>
      <c r="C487" s="39" t="n">
        <v>45890</v>
      </c>
      <c r="D487" s="7" t="s">
        <v>22819</v>
      </c>
      <c r="E487" s="41" t="n">
        <v>679.58</v>
      </c>
      <c r="F487" s="7" t="s">
        <v>22813</v>
      </c>
    </row>
    <row r="488" customFormat="false" ht="15" hidden="false" customHeight="false" outlineLevel="0" collapsed="false">
      <c r="B488" s="7" t="s">
        <v>23305</v>
      </c>
      <c r="C488" s="39" t="n">
        <v>45876</v>
      </c>
      <c r="D488" s="7" t="s">
        <v>22822</v>
      </c>
      <c r="E488" s="41" t="n">
        <v>2472.8</v>
      </c>
      <c r="F488" s="7" t="s">
        <v>22813</v>
      </c>
    </row>
    <row r="489" customFormat="false" ht="15" hidden="false" customHeight="false" outlineLevel="0" collapsed="false">
      <c r="B489" s="7" t="s">
        <v>23306</v>
      </c>
      <c r="C489" s="39" t="n">
        <v>45890</v>
      </c>
      <c r="D489" s="7" t="s">
        <v>22822</v>
      </c>
      <c r="E489" s="41" t="n">
        <v>2472.79</v>
      </c>
      <c r="F489" s="7" t="s">
        <v>22813</v>
      </c>
    </row>
    <row r="490" customFormat="false" ht="15" hidden="false" customHeight="false" outlineLevel="0" collapsed="false">
      <c r="B490" s="7" t="s">
        <v>23307</v>
      </c>
      <c r="C490" s="39" t="n">
        <v>45870</v>
      </c>
      <c r="D490" s="7" t="s">
        <v>22825</v>
      </c>
      <c r="E490" s="41" t="n">
        <v>690.78</v>
      </c>
      <c r="F490" s="7" t="s">
        <v>22796</v>
      </c>
    </row>
    <row r="491" customFormat="false" ht="15" hidden="false" customHeight="false" outlineLevel="0" collapsed="false">
      <c r="B491" s="7" t="s">
        <v>23308</v>
      </c>
      <c r="C491" s="39" t="n">
        <v>45870</v>
      </c>
      <c r="D491" s="7" t="s">
        <v>22827</v>
      </c>
      <c r="E491" s="41" t="n">
        <v>118.66</v>
      </c>
      <c r="F491" s="7" t="s">
        <v>22796</v>
      </c>
    </row>
    <row r="492" customFormat="false" ht="15" hidden="false" customHeight="false" outlineLevel="0" collapsed="false">
      <c r="B492" s="7" t="s">
        <v>23309</v>
      </c>
      <c r="C492" s="39" t="n">
        <v>45870</v>
      </c>
      <c r="D492" s="7" t="s">
        <v>22829</v>
      </c>
      <c r="E492" s="41" t="n">
        <v>90.36</v>
      </c>
      <c r="F492" s="7" t="s">
        <v>22796</v>
      </c>
    </row>
    <row r="493" customFormat="false" ht="15" hidden="false" customHeight="false" outlineLevel="0" collapsed="false">
      <c r="B493" s="7" t="s">
        <v>23310</v>
      </c>
      <c r="C493" s="39" t="n">
        <v>45870</v>
      </c>
      <c r="D493" s="7" t="s">
        <v>22831</v>
      </c>
      <c r="E493" s="41" t="n">
        <v>98.36</v>
      </c>
      <c r="F493" s="7" t="s">
        <v>22796</v>
      </c>
    </row>
    <row r="494" customFormat="false" ht="15" hidden="false" customHeight="false" outlineLevel="0" collapsed="false">
      <c r="B494" s="7" t="s">
        <v>23311</v>
      </c>
      <c r="C494" s="39" t="n">
        <v>45876</v>
      </c>
      <c r="D494" s="7" t="s">
        <v>132</v>
      </c>
      <c r="E494" s="41" t="n">
        <v>221.22</v>
      </c>
      <c r="F494" s="7" t="s">
        <v>22813</v>
      </c>
    </row>
    <row r="495" customFormat="false" ht="15" hidden="false" customHeight="false" outlineLevel="0" collapsed="false">
      <c r="B495" s="7" t="s">
        <v>23312</v>
      </c>
      <c r="C495" s="39" t="n">
        <v>45890</v>
      </c>
      <c r="D495" s="7" t="s">
        <v>132</v>
      </c>
      <c r="E495" s="41" t="n">
        <v>221.21</v>
      </c>
      <c r="F495" s="7" t="s">
        <v>22813</v>
      </c>
    </row>
    <row r="496" customFormat="false" ht="15" hidden="false" customHeight="false" outlineLevel="0" collapsed="false">
      <c r="B496" s="7" t="s">
        <v>23313</v>
      </c>
      <c r="C496" s="39" t="n">
        <v>45870</v>
      </c>
      <c r="D496" s="7" t="s">
        <v>22835</v>
      </c>
      <c r="E496" s="41" t="n">
        <v>950</v>
      </c>
      <c r="F496" s="7" t="s">
        <v>22796</v>
      </c>
    </row>
    <row r="497" customFormat="false" ht="15" hidden="false" customHeight="false" outlineLevel="0" collapsed="false">
      <c r="B497" s="7" t="s">
        <v>23314</v>
      </c>
      <c r="C497" s="39" t="n">
        <v>45870</v>
      </c>
      <c r="D497" s="7" t="s">
        <v>22837</v>
      </c>
      <c r="E497" s="41" t="n">
        <v>395.01</v>
      </c>
      <c r="F497" s="7" t="s">
        <v>22796</v>
      </c>
    </row>
    <row r="498" customFormat="false" ht="15" hidden="false" customHeight="false" outlineLevel="0" collapsed="false">
      <c r="B498" s="7" t="s">
        <v>23315</v>
      </c>
      <c r="C498" s="39" t="n">
        <v>45870</v>
      </c>
      <c r="D498" s="7" t="s">
        <v>22839</v>
      </c>
      <c r="E498" s="41" t="n">
        <v>154.52</v>
      </c>
      <c r="F498" s="7" t="s">
        <v>22796</v>
      </c>
    </row>
    <row r="499" customFormat="false" ht="15" hidden="false" customHeight="false" outlineLevel="0" collapsed="false">
      <c r="B499" s="7" t="s">
        <v>23316</v>
      </c>
      <c r="C499" s="39" t="n">
        <v>45875</v>
      </c>
      <c r="D499" s="7" t="s">
        <v>22841</v>
      </c>
      <c r="E499" s="41" t="n">
        <v>106.29</v>
      </c>
      <c r="F499" s="7" t="s">
        <v>22796</v>
      </c>
    </row>
    <row r="500" customFormat="false" ht="15" hidden="false" customHeight="false" outlineLevel="0" collapsed="false">
      <c r="B500" s="7" t="s">
        <v>23317</v>
      </c>
      <c r="C500" s="39" t="n">
        <v>45886</v>
      </c>
      <c r="D500" s="7" t="s">
        <v>22841</v>
      </c>
      <c r="E500" s="41" t="n">
        <v>66.82</v>
      </c>
      <c r="F500" s="7" t="s">
        <v>22796</v>
      </c>
    </row>
    <row r="501" customFormat="false" ht="15" hidden="false" customHeight="false" outlineLevel="0" collapsed="false">
      <c r="B501" s="7" t="s">
        <v>23318</v>
      </c>
      <c r="C501" s="39" t="n">
        <v>45895</v>
      </c>
      <c r="D501" s="7" t="s">
        <v>22841</v>
      </c>
      <c r="E501" s="41" t="n">
        <v>36.02</v>
      </c>
      <c r="F501" s="7" t="s">
        <v>22796</v>
      </c>
    </row>
    <row r="502" customFormat="false" ht="15" hidden="false" customHeight="false" outlineLevel="0" collapsed="false">
      <c r="B502" s="7" t="s">
        <v>23319</v>
      </c>
      <c r="C502" s="39" t="n">
        <v>45900</v>
      </c>
      <c r="D502" s="7" t="s">
        <v>22841</v>
      </c>
      <c r="E502" s="41" t="n">
        <v>52.95</v>
      </c>
      <c r="F502" s="7" t="s">
        <v>22796</v>
      </c>
    </row>
    <row r="503" customFormat="false" ht="15" hidden="false" customHeight="false" outlineLevel="0" collapsed="false">
      <c r="B503" s="7" t="s">
        <v>23320</v>
      </c>
      <c r="C503" s="39" t="n">
        <v>45870</v>
      </c>
      <c r="D503" s="7" t="s">
        <v>22845</v>
      </c>
      <c r="E503" s="41" t="n">
        <v>78.91</v>
      </c>
      <c r="F503" s="7" t="s">
        <v>22796</v>
      </c>
    </row>
    <row r="504" customFormat="false" ht="15" hidden="false" customHeight="false" outlineLevel="0" collapsed="false">
      <c r="B504" s="7" t="s">
        <v>23321</v>
      </c>
      <c r="C504" s="39" t="n">
        <v>45871</v>
      </c>
      <c r="D504" s="7" t="s">
        <v>22845</v>
      </c>
      <c r="E504" s="41" t="n">
        <v>265.69</v>
      </c>
      <c r="F504" s="7" t="s">
        <v>22796</v>
      </c>
    </row>
    <row r="505" customFormat="false" ht="15" hidden="false" customHeight="false" outlineLevel="0" collapsed="false">
      <c r="B505" s="7" t="s">
        <v>23322</v>
      </c>
      <c r="C505" s="39" t="n">
        <v>45872</v>
      </c>
      <c r="D505" s="7" t="s">
        <v>22848</v>
      </c>
      <c r="E505" s="41" t="n">
        <v>124.36</v>
      </c>
      <c r="F505" s="7" t="s">
        <v>22796</v>
      </c>
    </row>
    <row r="506" customFormat="false" ht="15" hidden="false" customHeight="false" outlineLevel="0" collapsed="false">
      <c r="B506" s="7" t="s">
        <v>23323</v>
      </c>
      <c r="C506" s="39" t="n">
        <v>45894</v>
      </c>
      <c r="D506" s="7" t="s">
        <v>22848</v>
      </c>
      <c r="E506" s="41" t="n">
        <v>135.25</v>
      </c>
      <c r="F506" s="7" t="s">
        <v>22796</v>
      </c>
    </row>
    <row r="507" customFormat="false" ht="15" hidden="false" customHeight="false" outlineLevel="0" collapsed="false">
      <c r="B507" s="7" t="s">
        <v>23324</v>
      </c>
      <c r="C507" s="39" t="n">
        <v>45886</v>
      </c>
      <c r="D507" s="7" t="s">
        <v>136</v>
      </c>
      <c r="E507" s="41" t="n">
        <v>71.74</v>
      </c>
      <c r="F507" s="7" t="s">
        <v>22796</v>
      </c>
    </row>
    <row r="508" customFormat="false" ht="15" hidden="false" customHeight="false" outlineLevel="0" collapsed="false">
      <c r="B508" s="7" t="s">
        <v>23325</v>
      </c>
      <c r="C508" s="39" t="n">
        <v>45892</v>
      </c>
      <c r="D508" s="7" t="s">
        <v>136</v>
      </c>
      <c r="E508" s="41" t="n">
        <v>22.23</v>
      </c>
      <c r="F508" s="7" t="s">
        <v>22796</v>
      </c>
    </row>
    <row r="509" customFormat="false" ht="15" hidden="false" customHeight="false" outlineLevel="0" collapsed="false">
      <c r="B509" s="7" t="s">
        <v>23326</v>
      </c>
      <c r="C509" s="39" t="n">
        <v>45900</v>
      </c>
      <c r="D509" s="7" t="s">
        <v>136</v>
      </c>
      <c r="E509" s="41" t="n">
        <v>64.64</v>
      </c>
      <c r="F509" s="7" t="s">
        <v>22796</v>
      </c>
    </row>
    <row r="510" customFormat="false" ht="15" hidden="false" customHeight="false" outlineLevel="0" collapsed="false">
      <c r="B510" s="7" t="s">
        <v>23327</v>
      </c>
      <c r="C510" s="39" t="n">
        <v>45870</v>
      </c>
      <c r="D510" s="7" t="s">
        <v>22855</v>
      </c>
      <c r="E510" s="41" t="n">
        <v>174.42</v>
      </c>
      <c r="F510" s="7" t="s">
        <v>22796</v>
      </c>
    </row>
    <row r="511" customFormat="false" ht="15" hidden="false" customHeight="false" outlineLevel="0" collapsed="false">
      <c r="B511" s="7" t="s">
        <v>23328</v>
      </c>
      <c r="C511" s="39" t="n">
        <v>45870</v>
      </c>
      <c r="D511" s="7" t="s">
        <v>22857</v>
      </c>
      <c r="E511" s="41" t="n">
        <v>458.04</v>
      </c>
      <c r="F511" s="7" t="s">
        <v>22796</v>
      </c>
    </row>
    <row r="512" customFormat="false" ht="15" hidden="false" customHeight="false" outlineLevel="0" collapsed="false">
      <c r="B512" s="7" t="s">
        <v>23329</v>
      </c>
      <c r="C512" s="39" t="n">
        <v>45876</v>
      </c>
      <c r="D512" s="7" t="s">
        <v>22859</v>
      </c>
      <c r="E512" s="41" t="n">
        <v>121.74</v>
      </c>
      <c r="F512" s="7" t="s">
        <v>22796</v>
      </c>
    </row>
    <row r="513" customFormat="false" ht="15" hidden="false" customHeight="false" outlineLevel="0" collapsed="false">
      <c r="B513" s="7" t="s">
        <v>23330</v>
      </c>
      <c r="C513" s="39" t="n">
        <v>45888</v>
      </c>
      <c r="D513" s="7" t="s">
        <v>22859</v>
      </c>
      <c r="E513" s="41" t="n">
        <v>91.23</v>
      </c>
      <c r="F513" s="7" t="s">
        <v>22796</v>
      </c>
    </row>
    <row r="514" customFormat="false" ht="15" hidden="false" customHeight="false" outlineLevel="0" collapsed="false">
      <c r="B514" s="7" t="s">
        <v>23331</v>
      </c>
      <c r="C514" s="39" t="n">
        <v>45896</v>
      </c>
      <c r="D514" s="7" t="s">
        <v>22859</v>
      </c>
      <c r="E514" s="41" t="n">
        <v>105.11</v>
      </c>
      <c r="F514" s="7" t="s">
        <v>22796</v>
      </c>
    </row>
    <row r="515" customFormat="false" ht="15" hidden="false" customHeight="false" outlineLevel="0" collapsed="false">
      <c r="B515" s="7" t="s">
        <v>23332</v>
      </c>
      <c r="C515" s="39" t="n">
        <v>45900</v>
      </c>
      <c r="D515" s="7" t="s">
        <v>22859</v>
      </c>
      <c r="E515" s="41" t="n">
        <v>105.7</v>
      </c>
      <c r="F515" s="7" t="s">
        <v>22796</v>
      </c>
    </row>
    <row r="516" customFormat="false" ht="15" hidden="false" customHeight="false" outlineLevel="0" collapsed="false">
      <c r="B516" s="7" t="s">
        <v>23333</v>
      </c>
      <c r="C516" s="39" t="n">
        <v>45870</v>
      </c>
      <c r="D516" s="7" t="s">
        <v>22862</v>
      </c>
      <c r="E516" s="41" t="n">
        <v>70.26</v>
      </c>
      <c r="F516" s="7" t="s">
        <v>22796</v>
      </c>
    </row>
    <row r="517" customFormat="false" ht="15" hidden="false" customHeight="false" outlineLevel="0" collapsed="false">
      <c r="B517" s="7" t="s">
        <v>23334</v>
      </c>
      <c r="C517" s="39" t="n">
        <v>45874</v>
      </c>
      <c r="D517" s="7" t="s">
        <v>22862</v>
      </c>
      <c r="E517" s="41" t="n">
        <v>19.23</v>
      </c>
      <c r="F517" s="7" t="s">
        <v>22796</v>
      </c>
    </row>
    <row r="518" customFormat="false" ht="15" hidden="false" customHeight="false" outlineLevel="0" collapsed="false">
      <c r="B518" s="7" t="s">
        <v>23335</v>
      </c>
      <c r="C518" s="39" t="n">
        <v>45882</v>
      </c>
      <c r="D518" s="7" t="s">
        <v>22862</v>
      </c>
      <c r="E518" s="41" t="n">
        <v>15.52</v>
      </c>
      <c r="F518" s="7" t="s">
        <v>22796</v>
      </c>
    </row>
    <row r="519" customFormat="false" ht="15" hidden="false" customHeight="false" outlineLevel="0" collapsed="false">
      <c r="B519" s="7" t="s">
        <v>23336</v>
      </c>
      <c r="C519" s="39" t="n">
        <v>45888</v>
      </c>
      <c r="D519" s="7" t="s">
        <v>22862</v>
      </c>
      <c r="E519" s="41" t="n">
        <v>46.76</v>
      </c>
      <c r="F519" s="7" t="s">
        <v>22796</v>
      </c>
    </row>
    <row r="520" customFormat="false" ht="15" hidden="false" customHeight="false" outlineLevel="0" collapsed="false">
      <c r="B520" s="7" t="s">
        <v>23337</v>
      </c>
      <c r="C520" s="39" t="n">
        <v>45884</v>
      </c>
      <c r="D520" s="7" t="s">
        <v>22866</v>
      </c>
      <c r="E520" s="41" t="n">
        <v>143.94</v>
      </c>
      <c r="F520" s="7" t="s">
        <v>22796</v>
      </c>
    </row>
    <row r="521" customFormat="false" ht="15" hidden="false" customHeight="false" outlineLevel="0" collapsed="false">
      <c r="B521" s="7" t="s">
        <v>23338</v>
      </c>
      <c r="C521" s="39" t="n">
        <v>45897</v>
      </c>
      <c r="D521" s="7" t="s">
        <v>22866</v>
      </c>
      <c r="E521" s="41" t="n">
        <v>489.91</v>
      </c>
      <c r="F521" s="7" t="s">
        <v>22796</v>
      </c>
    </row>
    <row r="522" customFormat="false" ht="15" hidden="false" customHeight="false" outlineLevel="0" collapsed="false">
      <c r="B522" s="7" t="s">
        <v>23339</v>
      </c>
      <c r="C522" s="39" t="n">
        <v>45870</v>
      </c>
      <c r="D522" s="7" t="s">
        <v>22870</v>
      </c>
      <c r="E522" s="41" t="n">
        <v>120.54</v>
      </c>
      <c r="F522" s="7" t="s">
        <v>22796</v>
      </c>
    </row>
    <row r="523" customFormat="false" ht="15" hidden="false" customHeight="false" outlineLevel="0" collapsed="false">
      <c r="B523" s="7" t="s">
        <v>23340</v>
      </c>
      <c r="C523" s="39" t="n">
        <v>45871</v>
      </c>
      <c r="D523" s="7" t="s">
        <v>22870</v>
      </c>
      <c r="E523" s="41" t="n">
        <v>210.48</v>
      </c>
      <c r="F523" s="7" t="s">
        <v>22796</v>
      </c>
    </row>
    <row r="524" customFormat="false" ht="15" hidden="false" customHeight="false" outlineLevel="0" collapsed="false">
      <c r="B524" s="7" t="s">
        <v>23341</v>
      </c>
      <c r="C524" s="39" t="n">
        <v>45870</v>
      </c>
      <c r="D524" s="7" t="s">
        <v>22874</v>
      </c>
      <c r="E524" s="41" t="n">
        <v>394.63</v>
      </c>
      <c r="F524" s="7" t="s">
        <v>22796</v>
      </c>
    </row>
    <row r="525" customFormat="false" ht="15" hidden="false" customHeight="false" outlineLevel="0" collapsed="false">
      <c r="B525" s="7" t="s">
        <v>23342</v>
      </c>
      <c r="C525" s="39" t="n">
        <v>45879</v>
      </c>
      <c r="D525" s="7" t="s">
        <v>22876</v>
      </c>
      <c r="E525" s="41" t="n">
        <v>110.81</v>
      </c>
      <c r="F525" s="7" t="s">
        <v>22796</v>
      </c>
    </row>
    <row r="526" customFormat="false" ht="15" hidden="false" customHeight="false" outlineLevel="0" collapsed="false">
      <c r="B526" s="7" t="s">
        <v>23343</v>
      </c>
      <c r="C526" s="39" t="n">
        <v>45886</v>
      </c>
      <c r="D526" s="7" t="s">
        <v>22876</v>
      </c>
      <c r="E526" s="41" t="n">
        <v>59.08</v>
      </c>
      <c r="F526" s="7" t="s">
        <v>22796</v>
      </c>
    </row>
    <row r="527" customFormat="false" ht="15" hidden="false" customHeight="false" outlineLevel="0" collapsed="false">
      <c r="B527" s="7" t="s">
        <v>23344</v>
      </c>
      <c r="C527" s="39" t="n">
        <v>45887</v>
      </c>
      <c r="D527" s="7" t="s">
        <v>22876</v>
      </c>
      <c r="E527" s="41" t="n">
        <v>202.63</v>
      </c>
      <c r="F527" s="7" t="s">
        <v>22796</v>
      </c>
    </row>
    <row r="528" customFormat="false" ht="15" hidden="false" customHeight="false" outlineLevel="0" collapsed="false">
      <c r="B528" s="7" t="s">
        <v>23345</v>
      </c>
      <c r="C528" s="39" t="n">
        <v>45887</v>
      </c>
      <c r="D528" s="7" t="s">
        <v>142</v>
      </c>
      <c r="E528" s="41" t="n">
        <v>74.02</v>
      </c>
      <c r="F528" s="7" t="s">
        <v>22796</v>
      </c>
    </row>
    <row r="529" customFormat="false" ht="15" hidden="false" customHeight="false" outlineLevel="0" collapsed="false">
      <c r="B529" s="7" t="s">
        <v>23346</v>
      </c>
      <c r="C529" s="39" t="n">
        <v>45896</v>
      </c>
      <c r="D529" s="7" t="s">
        <v>142</v>
      </c>
      <c r="E529" s="41" t="n">
        <v>44.84</v>
      </c>
      <c r="F529" s="7" t="s">
        <v>22796</v>
      </c>
    </row>
    <row r="530" customFormat="false" ht="15" hidden="false" customHeight="false" outlineLevel="0" collapsed="false">
      <c r="B530" s="7" t="s">
        <v>23347</v>
      </c>
      <c r="C530" s="39" t="n">
        <v>45898</v>
      </c>
      <c r="D530" s="7" t="s">
        <v>142</v>
      </c>
      <c r="E530" s="41" t="n">
        <v>70.61</v>
      </c>
      <c r="F530" s="7" t="s">
        <v>22796</v>
      </c>
    </row>
    <row r="531" customFormat="false" ht="15" hidden="false" customHeight="false" outlineLevel="0" collapsed="false">
      <c r="B531" s="7" t="s">
        <v>23348</v>
      </c>
      <c r="C531" s="39" t="n">
        <v>45873</v>
      </c>
      <c r="D531" s="7" t="s">
        <v>22882</v>
      </c>
      <c r="E531" s="41" t="n">
        <v>14.1</v>
      </c>
      <c r="F531" s="7" t="s">
        <v>22796</v>
      </c>
    </row>
    <row r="532" customFormat="false" ht="15" hidden="false" customHeight="false" outlineLevel="0" collapsed="false">
      <c r="B532" s="7" t="s">
        <v>23349</v>
      </c>
      <c r="C532" s="39" t="n">
        <v>45882</v>
      </c>
      <c r="D532" s="7" t="s">
        <v>22882</v>
      </c>
      <c r="E532" s="41" t="n">
        <v>11.02</v>
      </c>
      <c r="F532" s="7" t="s">
        <v>22796</v>
      </c>
    </row>
    <row r="533" customFormat="false" ht="15" hidden="false" customHeight="false" outlineLevel="0" collapsed="false">
      <c r="B533" s="7" t="s">
        <v>23350</v>
      </c>
      <c r="C533" s="39" t="n">
        <v>45896</v>
      </c>
      <c r="D533" s="7" t="s">
        <v>22882</v>
      </c>
      <c r="E533" s="41" t="n">
        <v>21.37</v>
      </c>
      <c r="F533" s="7" t="s">
        <v>22796</v>
      </c>
    </row>
    <row r="534" customFormat="false" ht="15" hidden="false" customHeight="false" outlineLevel="0" collapsed="false">
      <c r="B534" s="7" t="s">
        <v>23351</v>
      </c>
      <c r="C534" s="39" t="n">
        <v>45878</v>
      </c>
      <c r="D534" s="7" t="s">
        <v>143</v>
      </c>
      <c r="E534" s="41" t="n">
        <v>79.68</v>
      </c>
      <c r="F534" s="7" t="s">
        <v>22796</v>
      </c>
    </row>
    <row r="535" customFormat="false" ht="15" hidden="false" customHeight="false" outlineLevel="0" collapsed="false">
      <c r="B535" s="7" t="s">
        <v>23352</v>
      </c>
      <c r="C535" s="39" t="n">
        <v>45882</v>
      </c>
      <c r="D535" s="7" t="s">
        <v>143</v>
      </c>
      <c r="E535" s="41" t="n">
        <v>54.95</v>
      </c>
      <c r="F535" s="7" t="s">
        <v>22796</v>
      </c>
    </row>
    <row r="536" customFormat="false" ht="15" hidden="false" customHeight="false" outlineLevel="0" collapsed="false">
      <c r="B536" s="7" t="s">
        <v>23353</v>
      </c>
      <c r="C536" s="39" t="n">
        <v>45890</v>
      </c>
      <c r="D536" s="7" t="s">
        <v>143</v>
      </c>
      <c r="E536" s="41" t="n">
        <v>17.29</v>
      </c>
      <c r="F536" s="7" t="s">
        <v>22796</v>
      </c>
    </row>
    <row r="537" customFormat="false" ht="15" hidden="false" customHeight="false" outlineLevel="0" collapsed="false">
      <c r="B537" s="7" t="s">
        <v>23354</v>
      </c>
      <c r="C537" s="39" t="n">
        <v>45899</v>
      </c>
      <c r="D537" s="7" t="s">
        <v>143</v>
      </c>
      <c r="E537" s="41" t="n">
        <v>42.45</v>
      </c>
      <c r="F537" s="7" t="s">
        <v>22796</v>
      </c>
    </row>
    <row r="538" customFormat="false" ht="15" hidden="false" customHeight="false" outlineLevel="0" collapsed="false">
      <c r="B538" s="7" t="s">
        <v>23355</v>
      </c>
      <c r="C538" s="39" t="n">
        <v>45901</v>
      </c>
      <c r="D538" s="7" t="s">
        <v>124</v>
      </c>
      <c r="E538" s="41" t="n">
        <v>2101.34</v>
      </c>
      <c r="F538" s="7" t="s">
        <v>22796</v>
      </c>
    </row>
    <row r="539" customFormat="false" ht="15" hidden="false" customHeight="false" outlineLevel="0" collapsed="false">
      <c r="B539" s="7" t="s">
        <v>23356</v>
      </c>
      <c r="C539" s="39" t="n">
        <v>45902</v>
      </c>
      <c r="D539" s="7" t="s">
        <v>22798</v>
      </c>
      <c r="E539" s="41" t="n">
        <v>64.28</v>
      </c>
      <c r="F539" s="7" t="s">
        <v>22796</v>
      </c>
    </row>
    <row r="540" customFormat="false" ht="15" hidden="false" customHeight="false" outlineLevel="0" collapsed="false">
      <c r="B540" s="7" t="s">
        <v>23357</v>
      </c>
      <c r="C540" s="39" t="n">
        <v>45904</v>
      </c>
      <c r="D540" s="7" t="s">
        <v>22798</v>
      </c>
      <c r="E540" s="41" t="n">
        <v>47.7</v>
      </c>
      <c r="F540" s="7" t="s">
        <v>22796</v>
      </c>
    </row>
    <row r="541" customFormat="false" ht="15" hidden="false" customHeight="false" outlineLevel="0" collapsed="false">
      <c r="B541" s="7" t="s">
        <v>23358</v>
      </c>
      <c r="C541" s="39" t="n">
        <v>45915</v>
      </c>
      <c r="D541" s="7" t="s">
        <v>22798</v>
      </c>
      <c r="E541" s="41" t="n">
        <v>109.54</v>
      </c>
      <c r="F541" s="7" t="s">
        <v>22796</v>
      </c>
    </row>
    <row r="542" customFormat="false" ht="15" hidden="false" customHeight="false" outlineLevel="0" collapsed="false">
      <c r="B542" s="7" t="s">
        <v>23359</v>
      </c>
      <c r="C542" s="39" t="n">
        <v>45915</v>
      </c>
      <c r="D542" s="7" t="s">
        <v>22802</v>
      </c>
      <c r="E542" s="41" t="n">
        <v>19.05</v>
      </c>
      <c r="F542" s="7" t="s">
        <v>22796</v>
      </c>
    </row>
    <row r="543" customFormat="false" ht="15" hidden="false" customHeight="false" outlineLevel="0" collapsed="false">
      <c r="B543" s="7" t="s">
        <v>23360</v>
      </c>
      <c r="C543" s="39" t="n">
        <v>45918</v>
      </c>
      <c r="D543" s="7" t="s">
        <v>22802</v>
      </c>
      <c r="E543" s="41" t="n">
        <v>42.36</v>
      </c>
      <c r="F543" s="7" t="s">
        <v>22796</v>
      </c>
    </row>
    <row r="544" customFormat="false" ht="15" hidden="false" customHeight="false" outlineLevel="0" collapsed="false">
      <c r="B544" s="7" t="s">
        <v>23361</v>
      </c>
      <c r="C544" s="39" t="n">
        <v>45907</v>
      </c>
      <c r="D544" s="7" t="s">
        <v>22807</v>
      </c>
      <c r="E544" s="41" t="n">
        <v>23.15</v>
      </c>
      <c r="F544" s="7" t="s">
        <v>22796</v>
      </c>
    </row>
    <row r="545" customFormat="false" ht="15" hidden="false" customHeight="false" outlineLevel="0" collapsed="false">
      <c r="B545" s="7" t="s">
        <v>23362</v>
      </c>
      <c r="C545" s="39" t="n">
        <v>45914</v>
      </c>
      <c r="D545" s="7" t="s">
        <v>22807</v>
      </c>
      <c r="E545" s="41" t="n">
        <v>20.2</v>
      </c>
      <c r="F545" s="7" t="s">
        <v>22796</v>
      </c>
    </row>
    <row r="546" customFormat="false" ht="15" hidden="false" customHeight="false" outlineLevel="0" collapsed="false">
      <c r="B546" s="7" t="s">
        <v>23363</v>
      </c>
      <c r="C546" s="39" t="n">
        <v>45926</v>
      </c>
      <c r="D546" s="7" t="s">
        <v>22807</v>
      </c>
      <c r="E546" s="41" t="n">
        <v>50.35</v>
      </c>
      <c r="F546" s="7" t="s">
        <v>22796</v>
      </c>
    </row>
    <row r="547" customFormat="false" ht="15" hidden="false" customHeight="false" outlineLevel="0" collapsed="false">
      <c r="B547" s="7" t="s">
        <v>23364</v>
      </c>
      <c r="C547" s="39" t="n">
        <v>45904</v>
      </c>
      <c r="D547" s="7" t="s">
        <v>22812</v>
      </c>
      <c r="E547" s="41" t="n">
        <v>1673.32</v>
      </c>
      <c r="F547" s="7" t="s">
        <v>22813</v>
      </c>
    </row>
    <row r="548" customFormat="false" ht="15" hidden="false" customHeight="false" outlineLevel="0" collapsed="false">
      <c r="B548" s="7" t="s">
        <v>23365</v>
      </c>
      <c r="C548" s="39" t="n">
        <v>45918</v>
      </c>
      <c r="D548" s="7" t="s">
        <v>22812</v>
      </c>
      <c r="E548" s="41" t="n">
        <v>1673.31</v>
      </c>
      <c r="F548" s="7" t="s">
        <v>22813</v>
      </c>
    </row>
    <row r="549" customFormat="false" ht="15" hidden="false" customHeight="false" outlineLevel="0" collapsed="false">
      <c r="B549" s="7" t="s">
        <v>23366</v>
      </c>
      <c r="C549" s="39" t="n">
        <v>45904</v>
      </c>
      <c r="D549" s="7" t="s">
        <v>22816</v>
      </c>
      <c r="E549" s="41" t="n">
        <v>1402.16</v>
      </c>
      <c r="F549" s="7" t="s">
        <v>22813</v>
      </c>
    </row>
    <row r="550" customFormat="false" ht="15" hidden="false" customHeight="false" outlineLevel="0" collapsed="false">
      <c r="B550" s="7" t="s">
        <v>23367</v>
      </c>
      <c r="C550" s="39" t="n">
        <v>45918</v>
      </c>
      <c r="D550" s="7" t="s">
        <v>22816</v>
      </c>
      <c r="E550" s="41" t="n">
        <v>1402.17</v>
      </c>
      <c r="F550" s="7" t="s">
        <v>22813</v>
      </c>
    </row>
    <row r="551" customFormat="false" ht="15" hidden="false" customHeight="false" outlineLevel="0" collapsed="false">
      <c r="B551" s="7" t="s">
        <v>23368</v>
      </c>
      <c r="C551" s="39" t="n">
        <v>45904</v>
      </c>
      <c r="D551" s="7" t="s">
        <v>22819</v>
      </c>
      <c r="E551" s="41" t="n">
        <v>710.41</v>
      </c>
      <c r="F551" s="7" t="s">
        <v>22813</v>
      </c>
    </row>
    <row r="552" customFormat="false" ht="15" hidden="false" customHeight="false" outlineLevel="0" collapsed="false">
      <c r="B552" s="7" t="s">
        <v>23369</v>
      </c>
      <c r="C552" s="39" t="n">
        <v>45918</v>
      </c>
      <c r="D552" s="7" t="s">
        <v>22819</v>
      </c>
      <c r="E552" s="41" t="n">
        <v>710.41</v>
      </c>
      <c r="F552" s="7" t="s">
        <v>22813</v>
      </c>
    </row>
    <row r="553" customFormat="false" ht="15" hidden="false" customHeight="false" outlineLevel="0" collapsed="false">
      <c r="B553" s="7" t="s">
        <v>23370</v>
      </c>
      <c r="C553" s="39" t="n">
        <v>45904</v>
      </c>
      <c r="D553" s="7" t="s">
        <v>22822</v>
      </c>
      <c r="E553" s="41" t="n">
        <v>2563.08</v>
      </c>
      <c r="F553" s="7" t="s">
        <v>22813</v>
      </c>
    </row>
    <row r="554" customFormat="false" ht="15" hidden="false" customHeight="false" outlineLevel="0" collapsed="false">
      <c r="B554" s="7" t="s">
        <v>23371</v>
      </c>
      <c r="C554" s="39" t="n">
        <v>45918</v>
      </c>
      <c r="D554" s="7" t="s">
        <v>22822</v>
      </c>
      <c r="E554" s="41" t="n">
        <v>2563.08</v>
      </c>
      <c r="F554" s="7" t="s">
        <v>22813</v>
      </c>
    </row>
    <row r="555" customFormat="false" ht="15" hidden="false" customHeight="false" outlineLevel="0" collapsed="false">
      <c r="B555" s="7" t="s">
        <v>23372</v>
      </c>
      <c r="C555" s="39" t="n">
        <v>45901</v>
      </c>
      <c r="D555" s="7" t="s">
        <v>22825</v>
      </c>
      <c r="E555" s="41" t="n">
        <v>673.49</v>
      </c>
      <c r="F555" s="7" t="s">
        <v>22796</v>
      </c>
    </row>
    <row r="556" customFormat="false" ht="15" hidden="false" customHeight="false" outlineLevel="0" collapsed="false">
      <c r="B556" s="7" t="s">
        <v>23373</v>
      </c>
      <c r="C556" s="39" t="n">
        <v>45901</v>
      </c>
      <c r="D556" s="7" t="s">
        <v>22827</v>
      </c>
      <c r="E556" s="41" t="n">
        <v>129.07</v>
      </c>
      <c r="F556" s="7" t="s">
        <v>22796</v>
      </c>
    </row>
    <row r="557" customFormat="false" ht="15" hidden="false" customHeight="false" outlineLevel="0" collapsed="false">
      <c r="B557" s="7" t="s">
        <v>23374</v>
      </c>
      <c r="C557" s="39" t="n">
        <v>45901</v>
      </c>
      <c r="D557" s="7" t="s">
        <v>22829</v>
      </c>
      <c r="E557" s="41" t="n">
        <v>80.25</v>
      </c>
      <c r="F557" s="7" t="s">
        <v>22796</v>
      </c>
    </row>
    <row r="558" customFormat="false" ht="15" hidden="false" customHeight="false" outlineLevel="0" collapsed="false">
      <c r="B558" s="7" t="s">
        <v>23375</v>
      </c>
      <c r="C558" s="39" t="n">
        <v>45901</v>
      </c>
      <c r="D558" s="7" t="s">
        <v>22831</v>
      </c>
      <c r="E558" s="41" t="n">
        <v>91.93</v>
      </c>
      <c r="F558" s="7" t="s">
        <v>22796</v>
      </c>
    </row>
    <row r="559" customFormat="false" ht="15" hidden="false" customHeight="false" outlineLevel="0" collapsed="false">
      <c r="B559" s="7" t="s">
        <v>23376</v>
      </c>
      <c r="C559" s="39" t="n">
        <v>45904</v>
      </c>
      <c r="D559" s="7" t="s">
        <v>132</v>
      </c>
      <c r="E559" s="41" t="n">
        <v>201.22</v>
      </c>
      <c r="F559" s="7" t="s">
        <v>22813</v>
      </c>
    </row>
    <row r="560" customFormat="false" ht="15" hidden="false" customHeight="false" outlineLevel="0" collapsed="false">
      <c r="B560" s="7" t="s">
        <v>23377</v>
      </c>
      <c r="C560" s="39" t="n">
        <v>45918</v>
      </c>
      <c r="D560" s="7" t="s">
        <v>132</v>
      </c>
      <c r="E560" s="41" t="n">
        <v>201.22</v>
      </c>
      <c r="F560" s="7" t="s">
        <v>22813</v>
      </c>
    </row>
    <row r="561" customFormat="false" ht="15" hidden="false" customHeight="false" outlineLevel="0" collapsed="false">
      <c r="B561" s="7" t="s">
        <v>23378</v>
      </c>
      <c r="C561" s="39" t="n">
        <v>45901</v>
      </c>
      <c r="D561" s="7" t="s">
        <v>22835</v>
      </c>
      <c r="E561" s="41" t="n">
        <v>950</v>
      </c>
      <c r="F561" s="7" t="s">
        <v>22796</v>
      </c>
    </row>
    <row r="562" customFormat="false" ht="15" hidden="false" customHeight="false" outlineLevel="0" collapsed="false">
      <c r="B562" s="7" t="s">
        <v>23379</v>
      </c>
      <c r="C562" s="39" t="n">
        <v>45901</v>
      </c>
      <c r="D562" s="7" t="s">
        <v>22837</v>
      </c>
      <c r="E562" s="41" t="n">
        <v>387.78</v>
      </c>
      <c r="F562" s="7" t="s">
        <v>22796</v>
      </c>
    </row>
    <row r="563" customFormat="false" ht="15" hidden="false" customHeight="false" outlineLevel="0" collapsed="false">
      <c r="B563" s="7" t="s">
        <v>23380</v>
      </c>
      <c r="C563" s="39" t="n">
        <v>45901</v>
      </c>
      <c r="D563" s="7" t="s">
        <v>22839</v>
      </c>
      <c r="E563" s="41" t="n">
        <v>153.34</v>
      </c>
      <c r="F563" s="7" t="s">
        <v>22796</v>
      </c>
    </row>
    <row r="564" customFormat="false" ht="15" hidden="false" customHeight="false" outlineLevel="0" collapsed="false">
      <c r="B564" s="7" t="s">
        <v>23381</v>
      </c>
      <c r="C564" s="39" t="n">
        <v>45903</v>
      </c>
      <c r="D564" s="7" t="s">
        <v>22841</v>
      </c>
      <c r="E564" s="41" t="n">
        <v>119.49</v>
      </c>
      <c r="F564" s="7" t="s">
        <v>22796</v>
      </c>
    </row>
    <row r="565" customFormat="false" ht="15" hidden="false" customHeight="false" outlineLevel="0" collapsed="false">
      <c r="B565" s="7" t="s">
        <v>23382</v>
      </c>
      <c r="C565" s="39" t="n">
        <v>45913</v>
      </c>
      <c r="D565" s="7" t="s">
        <v>22841</v>
      </c>
      <c r="E565" s="41" t="n">
        <v>137.12</v>
      </c>
      <c r="F565" s="7" t="s">
        <v>22796</v>
      </c>
    </row>
    <row r="566" customFormat="false" ht="15" hidden="false" customHeight="false" outlineLevel="0" collapsed="false">
      <c r="B566" s="7" t="s">
        <v>23383</v>
      </c>
      <c r="C566" s="39" t="n">
        <v>45901</v>
      </c>
      <c r="D566" s="7" t="s">
        <v>22845</v>
      </c>
      <c r="E566" s="41" t="n">
        <v>71.88</v>
      </c>
      <c r="F566" s="7" t="s">
        <v>22796</v>
      </c>
    </row>
    <row r="567" customFormat="false" ht="15" hidden="false" customHeight="false" outlineLevel="0" collapsed="false">
      <c r="B567" s="7" t="s">
        <v>23384</v>
      </c>
      <c r="C567" s="39" t="n">
        <v>45920</v>
      </c>
      <c r="D567" s="7" t="s">
        <v>22845</v>
      </c>
      <c r="E567" s="41" t="n">
        <v>257.23</v>
      </c>
      <c r="F567" s="7" t="s">
        <v>22796</v>
      </c>
    </row>
    <row r="568" customFormat="false" ht="15" hidden="false" customHeight="false" outlineLevel="0" collapsed="false">
      <c r="B568" s="7" t="s">
        <v>23385</v>
      </c>
      <c r="C568" s="39" t="n">
        <v>45901</v>
      </c>
      <c r="D568" s="7" t="s">
        <v>22848</v>
      </c>
      <c r="E568" s="41" t="n">
        <v>84.6</v>
      </c>
      <c r="F568" s="7" t="s">
        <v>22796</v>
      </c>
    </row>
    <row r="569" customFormat="false" ht="15" hidden="false" customHeight="false" outlineLevel="0" collapsed="false">
      <c r="B569" s="7" t="s">
        <v>23386</v>
      </c>
      <c r="C569" s="39" t="n">
        <v>45915</v>
      </c>
      <c r="D569" s="7" t="s">
        <v>22848</v>
      </c>
      <c r="E569" s="41" t="n">
        <v>84.13</v>
      </c>
      <c r="F569" s="7" t="s">
        <v>22796</v>
      </c>
    </row>
    <row r="570" customFormat="false" ht="15" hidden="false" customHeight="false" outlineLevel="0" collapsed="false">
      <c r="B570" s="7" t="s">
        <v>23387</v>
      </c>
      <c r="C570" s="39" t="n">
        <v>45916</v>
      </c>
      <c r="D570" s="7" t="s">
        <v>22848</v>
      </c>
      <c r="E570" s="41" t="n">
        <v>90.81</v>
      </c>
      <c r="F570" s="7" t="s">
        <v>22796</v>
      </c>
    </row>
    <row r="571" customFormat="false" ht="15" hidden="false" customHeight="false" outlineLevel="0" collapsed="false">
      <c r="B571" s="7" t="s">
        <v>23388</v>
      </c>
      <c r="C571" s="39" t="n">
        <v>45909</v>
      </c>
      <c r="D571" s="7" t="s">
        <v>136</v>
      </c>
      <c r="E571" s="41" t="n">
        <v>60.61</v>
      </c>
      <c r="F571" s="7" t="s">
        <v>22796</v>
      </c>
    </row>
    <row r="572" customFormat="false" ht="15" hidden="false" customHeight="false" outlineLevel="0" collapsed="false">
      <c r="B572" s="7" t="s">
        <v>23389</v>
      </c>
      <c r="C572" s="39" t="n">
        <v>45911</v>
      </c>
      <c r="D572" s="7" t="s">
        <v>136</v>
      </c>
      <c r="E572" s="41" t="n">
        <v>80.87</v>
      </c>
      <c r="F572" s="7" t="s">
        <v>22796</v>
      </c>
    </row>
    <row r="573" customFormat="false" ht="15" hidden="false" customHeight="false" outlineLevel="0" collapsed="false">
      <c r="B573" s="7" t="s">
        <v>23390</v>
      </c>
      <c r="C573" s="39" t="n">
        <v>45901</v>
      </c>
      <c r="D573" s="7" t="s">
        <v>22855</v>
      </c>
      <c r="E573" s="41" t="n">
        <v>156.91</v>
      </c>
      <c r="F573" s="7" t="s">
        <v>22796</v>
      </c>
    </row>
    <row r="574" customFormat="false" ht="15" hidden="false" customHeight="false" outlineLevel="0" collapsed="false">
      <c r="B574" s="7" t="s">
        <v>23391</v>
      </c>
      <c r="C574" s="39" t="n">
        <v>45901</v>
      </c>
      <c r="D574" s="7" t="s">
        <v>22857</v>
      </c>
      <c r="E574" s="41" t="n">
        <v>464.9</v>
      </c>
      <c r="F574" s="7" t="s">
        <v>22796</v>
      </c>
    </row>
    <row r="575" customFormat="false" ht="15" hidden="false" customHeight="false" outlineLevel="0" collapsed="false">
      <c r="B575" s="7" t="s">
        <v>23392</v>
      </c>
      <c r="C575" s="39" t="n">
        <v>45910</v>
      </c>
      <c r="D575" s="7" t="s">
        <v>22859</v>
      </c>
      <c r="E575" s="41" t="n">
        <v>101.16</v>
      </c>
      <c r="F575" s="7" t="s">
        <v>22796</v>
      </c>
    </row>
    <row r="576" customFormat="false" ht="15" hidden="false" customHeight="false" outlineLevel="0" collapsed="false">
      <c r="B576" s="7" t="s">
        <v>23393</v>
      </c>
      <c r="C576" s="39" t="n">
        <v>45922</v>
      </c>
      <c r="D576" s="7" t="s">
        <v>22859</v>
      </c>
      <c r="E576" s="41" t="n">
        <v>349.57</v>
      </c>
      <c r="F576" s="7" t="s">
        <v>22796</v>
      </c>
    </row>
    <row r="577" customFormat="false" ht="15" hidden="false" customHeight="false" outlineLevel="0" collapsed="false">
      <c r="B577" s="7" t="s">
        <v>23394</v>
      </c>
      <c r="C577" s="39" t="n">
        <v>45911</v>
      </c>
      <c r="D577" s="7" t="s">
        <v>22862</v>
      </c>
      <c r="E577" s="41" t="n">
        <v>61.36</v>
      </c>
      <c r="F577" s="7" t="s">
        <v>22796</v>
      </c>
    </row>
    <row r="578" customFormat="false" ht="15" hidden="false" customHeight="false" outlineLevel="0" collapsed="false">
      <c r="B578" s="7" t="s">
        <v>23395</v>
      </c>
      <c r="C578" s="39" t="n">
        <v>45912</v>
      </c>
      <c r="D578" s="7" t="s">
        <v>22862</v>
      </c>
      <c r="E578" s="41" t="n">
        <v>33.04</v>
      </c>
      <c r="F578" s="7" t="s">
        <v>22796</v>
      </c>
    </row>
    <row r="579" customFormat="false" ht="15" hidden="false" customHeight="false" outlineLevel="0" collapsed="false">
      <c r="B579" s="7" t="s">
        <v>23396</v>
      </c>
      <c r="C579" s="39" t="n">
        <v>45914</v>
      </c>
      <c r="D579" s="7" t="s">
        <v>22862</v>
      </c>
      <c r="E579" s="41" t="n">
        <v>48.38</v>
      </c>
      <c r="F579" s="7" t="s">
        <v>22796</v>
      </c>
    </row>
    <row r="580" customFormat="false" ht="15" hidden="false" customHeight="false" outlineLevel="0" collapsed="false">
      <c r="B580" s="7" t="s">
        <v>23397</v>
      </c>
      <c r="C580" s="39" t="n">
        <v>45903</v>
      </c>
      <c r="D580" s="7" t="s">
        <v>22866</v>
      </c>
      <c r="E580" s="41" t="n">
        <v>281.58</v>
      </c>
      <c r="F580" s="7" t="s">
        <v>22796</v>
      </c>
    </row>
    <row r="581" customFormat="false" ht="15" hidden="false" customHeight="false" outlineLevel="0" collapsed="false">
      <c r="B581" s="7" t="s">
        <v>23398</v>
      </c>
      <c r="C581" s="39" t="n">
        <v>45911</v>
      </c>
      <c r="D581" s="7" t="s">
        <v>22866</v>
      </c>
      <c r="E581" s="41" t="n">
        <v>130.01</v>
      </c>
      <c r="F581" s="7" t="s">
        <v>22796</v>
      </c>
    </row>
    <row r="582" customFormat="false" ht="15" hidden="false" customHeight="false" outlineLevel="0" collapsed="false">
      <c r="B582" s="7" t="s">
        <v>23399</v>
      </c>
      <c r="C582" s="39" t="n">
        <v>45915</v>
      </c>
      <c r="D582" s="7" t="s">
        <v>22866</v>
      </c>
      <c r="E582" s="41" t="n">
        <v>209.76</v>
      </c>
      <c r="F582" s="7" t="s">
        <v>22796</v>
      </c>
    </row>
    <row r="583" customFormat="false" ht="15" hidden="false" customHeight="false" outlineLevel="0" collapsed="false">
      <c r="B583" s="7" t="s">
        <v>23400</v>
      </c>
      <c r="C583" s="39" t="n">
        <v>45909</v>
      </c>
      <c r="D583" s="7" t="s">
        <v>22870</v>
      </c>
      <c r="E583" s="41" t="n">
        <v>164.23</v>
      </c>
      <c r="F583" s="7" t="s">
        <v>22796</v>
      </c>
    </row>
    <row r="584" customFormat="false" ht="15" hidden="false" customHeight="false" outlineLevel="0" collapsed="false">
      <c r="B584" s="7" t="s">
        <v>23401</v>
      </c>
      <c r="C584" s="39" t="n">
        <v>45924</v>
      </c>
      <c r="D584" s="7" t="s">
        <v>22870</v>
      </c>
      <c r="E584" s="41" t="n">
        <v>35.32</v>
      </c>
      <c r="F584" s="7" t="s">
        <v>22796</v>
      </c>
    </row>
    <row r="585" customFormat="false" ht="15" hidden="false" customHeight="false" outlineLevel="0" collapsed="false">
      <c r="B585" s="7" t="s">
        <v>23402</v>
      </c>
      <c r="C585" s="39" t="n">
        <v>45929</v>
      </c>
      <c r="D585" s="7" t="s">
        <v>22870</v>
      </c>
      <c r="E585" s="41" t="n">
        <v>132.79</v>
      </c>
      <c r="F585" s="7" t="s">
        <v>22796</v>
      </c>
    </row>
    <row r="586" customFormat="false" ht="15" hidden="false" customHeight="false" outlineLevel="0" collapsed="false">
      <c r="B586" s="7" t="s">
        <v>23403</v>
      </c>
      <c r="C586" s="39" t="n">
        <v>45901</v>
      </c>
      <c r="D586" s="7" t="s">
        <v>22874</v>
      </c>
      <c r="E586" s="41" t="n">
        <v>399.18</v>
      </c>
      <c r="F586" s="7" t="s">
        <v>22796</v>
      </c>
    </row>
    <row r="587" customFormat="false" ht="15" hidden="false" customHeight="false" outlineLevel="0" collapsed="false">
      <c r="B587" s="7" t="s">
        <v>23404</v>
      </c>
      <c r="C587" s="39" t="n">
        <v>45906</v>
      </c>
      <c r="D587" s="7" t="s">
        <v>22876</v>
      </c>
      <c r="E587" s="41" t="n">
        <v>126.36</v>
      </c>
      <c r="F587" s="7" t="s">
        <v>22796</v>
      </c>
    </row>
    <row r="588" customFormat="false" ht="15" hidden="false" customHeight="false" outlineLevel="0" collapsed="false">
      <c r="B588" s="7" t="s">
        <v>23405</v>
      </c>
      <c r="C588" s="39" t="n">
        <v>45925</v>
      </c>
      <c r="D588" s="7" t="s">
        <v>22876</v>
      </c>
      <c r="E588" s="41" t="n">
        <v>96.14</v>
      </c>
      <c r="F588" s="7" t="s">
        <v>22796</v>
      </c>
    </row>
    <row r="589" customFormat="false" ht="15" hidden="false" customHeight="false" outlineLevel="0" collapsed="false">
      <c r="B589" s="7" t="s">
        <v>23406</v>
      </c>
      <c r="C589" s="39" t="n">
        <v>45929</v>
      </c>
      <c r="D589" s="7" t="s">
        <v>22876</v>
      </c>
      <c r="E589" s="41" t="n">
        <v>181.03</v>
      </c>
      <c r="F589" s="7" t="s">
        <v>22796</v>
      </c>
    </row>
    <row r="590" customFormat="false" ht="15" hidden="false" customHeight="false" outlineLevel="0" collapsed="false">
      <c r="B590" s="7" t="s">
        <v>23407</v>
      </c>
      <c r="C590" s="39" t="n">
        <v>45904</v>
      </c>
      <c r="D590" s="7" t="s">
        <v>142</v>
      </c>
      <c r="E590" s="41" t="n">
        <v>41.15</v>
      </c>
      <c r="F590" s="7" t="s">
        <v>22796</v>
      </c>
    </row>
    <row r="591" customFormat="false" ht="15" hidden="false" customHeight="false" outlineLevel="0" collapsed="false">
      <c r="B591" s="7" t="s">
        <v>23408</v>
      </c>
      <c r="C591" s="39" t="n">
        <v>45914</v>
      </c>
      <c r="D591" s="7" t="s">
        <v>142</v>
      </c>
      <c r="E591" s="41" t="n">
        <v>34.79</v>
      </c>
      <c r="F591" s="7" t="s">
        <v>22796</v>
      </c>
    </row>
    <row r="592" customFormat="false" ht="15" hidden="false" customHeight="false" outlineLevel="0" collapsed="false">
      <c r="B592" s="7" t="s">
        <v>23409</v>
      </c>
      <c r="C592" s="39" t="n">
        <v>45926</v>
      </c>
      <c r="D592" s="7" t="s">
        <v>142</v>
      </c>
      <c r="E592" s="41" t="n">
        <v>115.45</v>
      </c>
      <c r="F592" s="7" t="s">
        <v>22796</v>
      </c>
    </row>
    <row r="593" customFormat="false" ht="15" hidden="false" customHeight="false" outlineLevel="0" collapsed="false">
      <c r="B593" s="7" t="s">
        <v>23410</v>
      </c>
      <c r="C593" s="39" t="n">
        <v>45904</v>
      </c>
      <c r="D593" s="7" t="s">
        <v>22882</v>
      </c>
      <c r="E593" s="41" t="n">
        <v>19.59</v>
      </c>
      <c r="F593" s="7" t="s">
        <v>22796</v>
      </c>
    </row>
    <row r="594" customFormat="false" ht="15" hidden="false" customHeight="false" outlineLevel="0" collapsed="false">
      <c r="B594" s="7" t="s">
        <v>23411</v>
      </c>
      <c r="C594" s="39" t="n">
        <v>45906</v>
      </c>
      <c r="D594" s="7" t="s">
        <v>22882</v>
      </c>
      <c r="E594" s="41" t="n">
        <v>8.99</v>
      </c>
      <c r="F594" s="7" t="s">
        <v>22796</v>
      </c>
    </row>
    <row r="595" customFormat="false" ht="15" hidden="false" customHeight="false" outlineLevel="0" collapsed="false">
      <c r="B595" s="7" t="s">
        <v>23412</v>
      </c>
      <c r="C595" s="39" t="n">
        <v>45909</v>
      </c>
      <c r="D595" s="7" t="s">
        <v>22882</v>
      </c>
      <c r="E595" s="41" t="n">
        <v>3.68</v>
      </c>
      <c r="F595" s="7" t="s">
        <v>22796</v>
      </c>
    </row>
    <row r="596" customFormat="false" ht="15" hidden="false" customHeight="false" outlineLevel="0" collapsed="false">
      <c r="B596" s="7" t="s">
        <v>23413</v>
      </c>
      <c r="C596" s="39" t="n">
        <v>45926</v>
      </c>
      <c r="D596" s="7" t="s">
        <v>22882</v>
      </c>
      <c r="E596" s="41" t="n">
        <v>14.22</v>
      </c>
      <c r="F596" s="7" t="s">
        <v>22796</v>
      </c>
    </row>
    <row r="597" customFormat="false" ht="15" hidden="false" customHeight="false" outlineLevel="0" collapsed="false">
      <c r="B597" s="7" t="s">
        <v>23414</v>
      </c>
      <c r="C597" s="39" t="n">
        <v>45912</v>
      </c>
      <c r="D597" s="7" t="s">
        <v>143</v>
      </c>
      <c r="E597" s="41" t="n">
        <v>64.44</v>
      </c>
      <c r="F597" s="7" t="s">
        <v>22796</v>
      </c>
    </row>
    <row r="598" customFormat="false" ht="15" hidden="false" customHeight="false" outlineLevel="0" collapsed="false">
      <c r="B598" s="7" t="s">
        <v>23415</v>
      </c>
      <c r="C598" s="39" t="n">
        <v>45915</v>
      </c>
      <c r="D598" s="7" t="s">
        <v>143</v>
      </c>
      <c r="E598" s="41" t="n">
        <v>133.61</v>
      </c>
      <c r="F598" s="7" t="s">
        <v>22796</v>
      </c>
    </row>
    <row r="599" customFormat="false" ht="15" hidden="false" customHeight="false" outlineLevel="0" collapsed="false">
      <c r="B599" s="7" t="s">
        <v>23416</v>
      </c>
      <c r="C599" s="39" t="n">
        <v>45931</v>
      </c>
      <c r="D599" s="7" t="s">
        <v>124</v>
      </c>
      <c r="E599" s="41" t="n">
        <v>2109.47</v>
      </c>
      <c r="F599" s="7" t="s">
        <v>22796</v>
      </c>
    </row>
    <row r="600" customFormat="false" ht="15" hidden="false" customHeight="false" outlineLevel="0" collapsed="false">
      <c r="B600" s="7" t="s">
        <v>23417</v>
      </c>
      <c r="C600" s="39" t="n">
        <v>45937</v>
      </c>
      <c r="D600" s="7" t="s">
        <v>22798</v>
      </c>
      <c r="E600" s="41" t="n">
        <v>96.51</v>
      </c>
      <c r="F600" s="7" t="s">
        <v>22796</v>
      </c>
    </row>
    <row r="601" customFormat="false" ht="15" hidden="false" customHeight="false" outlineLevel="0" collapsed="false">
      <c r="B601" s="7" t="s">
        <v>23418</v>
      </c>
      <c r="C601" s="39" t="n">
        <v>45945</v>
      </c>
      <c r="D601" s="7" t="s">
        <v>22798</v>
      </c>
      <c r="E601" s="41" t="n">
        <v>39.15</v>
      </c>
      <c r="F601" s="7" t="s">
        <v>22796</v>
      </c>
    </row>
    <row r="602" customFormat="false" ht="15" hidden="false" customHeight="false" outlineLevel="0" collapsed="false">
      <c r="B602" s="7" t="s">
        <v>23419</v>
      </c>
      <c r="C602" s="39" t="n">
        <v>45952</v>
      </c>
      <c r="D602" s="7" t="s">
        <v>22798</v>
      </c>
      <c r="E602" s="41" t="n">
        <v>85.48</v>
      </c>
      <c r="F602" s="7" t="s">
        <v>22796</v>
      </c>
    </row>
    <row r="603" customFormat="false" ht="15" hidden="false" customHeight="false" outlineLevel="0" collapsed="false">
      <c r="B603" s="7" t="s">
        <v>23420</v>
      </c>
      <c r="C603" s="39" t="n">
        <v>45939</v>
      </c>
      <c r="D603" s="7" t="s">
        <v>22802</v>
      </c>
      <c r="E603" s="41" t="n">
        <v>19.87</v>
      </c>
      <c r="F603" s="7" t="s">
        <v>22796</v>
      </c>
    </row>
    <row r="604" customFormat="false" ht="15" hidden="false" customHeight="false" outlineLevel="0" collapsed="false">
      <c r="B604" s="7" t="s">
        <v>23421</v>
      </c>
      <c r="C604" s="39" t="n">
        <v>45944</v>
      </c>
      <c r="D604" s="7" t="s">
        <v>22802</v>
      </c>
      <c r="E604" s="41" t="n">
        <v>13.05</v>
      </c>
      <c r="F604" s="7" t="s">
        <v>22796</v>
      </c>
    </row>
    <row r="605" customFormat="false" ht="15" hidden="false" customHeight="false" outlineLevel="0" collapsed="false">
      <c r="B605" s="7" t="s">
        <v>23422</v>
      </c>
      <c r="C605" s="39" t="n">
        <v>45946</v>
      </c>
      <c r="D605" s="7" t="s">
        <v>22802</v>
      </c>
      <c r="E605" s="41" t="n">
        <v>13.7</v>
      </c>
      <c r="F605" s="7" t="s">
        <v>22796</v>
      </c>
    </row>
    <row r="606" customFormat="false" ht="15" hidden="false" customHeight="false" outlineLevel="0" collapsed="false">
      <c r="B606" s="7" t="s">
        <v>23423</v>
      </c>
      <c r="C606" s="39" t="n">
        <v>45950</v>
      </c>
      <c r="D606" s="7" t="s">
        <v>22802</v>
      </c>
      <c r="E606" s="41" t="n">
        <v>20.13</v>
      </c>
      <c r="F606" s="7" t="s">
        <v>22796</v>
      </c>
    </row>
    <row r="607" customFormat="false" ht="15" hidden="false" customHeight="false" outlineLevel="0" collapsed="false">
      <c r="B607" s="7" t="s">
        <v>23424</v>
      </c>
      <c r="C607" s="39" t="n">
        <v>45931</v>
      </c>
      <c r="D607" s="7" t="s">
        <v>22807</v>
      </c>
      <c r="E607" s="41" t="n">
        <v>28.61</v>
      </c>
      <c r="F607" s="7" t="s">
        <v>22796</v>
      </c>
    </row>
    <row r="608" customFormat="false" ht="15" hidden="false" customHeight="false" outlineLevel="0" collapsed="false">
      <c r="B608" s="7" t="s">
        <v>23425</v>
      </c>
      <c r="C608" s="39" t="n">
        <v>45940</v>
      </c>
      <c r="D608" s="7" t="s">
        <v>22807</v>
      </c>
      <c r="E608" s="41" t="n">
        <v>67.07</v>
      </c>
      <c r="F608" s="7" t="s">
        <v>22796</v>
      </c>
    </row>
    <row r="609" customFormat="false" ht="15" hidden="false" customHeight="false" outlineLevel="0" collapsed="false">
      <c r="B609" s="7" t="s">
        <v>23426</v>
      </c>
      <c r="C609" s="39" t="n">
        <v>45932</v>
      </c>
      <c r="D609" s="7" t="s">
        <v>22812</v>
      </c>
      <c r="E609" s="41" t="n">
        <v>1019.45</v>
      </c>
      <c r="F609" s="7" t="s">
        <v>22813</v>
      </c>
    </row>
    <row r="610" customFormat="false" ht="15" hidden="false" customHeight="false" outlineLevel="0" collapsed="false">
      <c r="B610" s="7" t="s">
        <v>23427</v>
      </c>
      <c r="C610" s="39" t="n">
        <v>45946</v>
      </c>
      <c r="D610" s="7" t="s">
        <v>22812</v>
      </c>
      <c r="E610" s="41" t="n">
        <v>1019.45</v>
      </c>
      <c r="F610" s="7" t="s">
        <v>22813</v>
      </c>
    </row>
    <row r="611" customFormat="false" ht="15" hidden="false" customHeight="false" outlineLevel="0" collapsed="false">
      <c r="B611" s="7" t="s">
        <v>23428</v>
      </c>
      <c r="C611" s="39" t="n">
        <v>45960</v>
      </c>
      <c r="D611" s="7" t="s">
        <v>22812</v>
      </c>
      <c r="E611" s="41" t="n">
        <v>1019.44</v>
      </c>
      <c r="F611" s="7" t="s">
        <v>22813</v>
      </c>
    </row>
    <row r="612" customFormat="false" ht="15" hidden="false" customHeight="false" outlineLevel="0" collapsed="false">
      <c r="B612" s="7" t="s">
        <v>23429</v>
      </c>
      <c r="C612" s="39" t="n">
        <v>45932</v>
      </c>
      <c r="D612" s="7" t="s">
        <v>22816</v>
      </c>
      <c r="E612" s="41" t="n">
        <v>826.51</v>
      </c>
      <c r="F612" s="7" t="s">
        <v>22813</v>
      </c>
    </row>
    <row r="613" customFormat="false" ht="15" hidden="false" customHeight="false" outlineLevel="0" collapsed="false">
      <c r="B613" s="7" t="s">
        <v>23430</v>
      </c>
      <c r="C613" s="39" t="n">
        <v>45946</v>
      </c>
      <c r="D613" s="7" t="s">
        <v>22816</v>
      </c>
      <c r="E613" s="41" t="n">
        <v>826.51</v>
      </c>
      <c r="F613" s="7" t="s">
        <v>22813</v>
      </c>
    </row>
    <row r="614" customFormat="false" ht="15" hidden="false" customHeight="false" outlineLevel="0" collapsed="false">
      <c r="B614" s="7" t="s">
        <v>23431</v>
      </c>
      <c r="C614" s="39" t="n">
        <v>45960</v>
      </c>
      <c r="D614" s="7" t="s">
        <v>22816</v>
      </c>
      <c r="E614" s="41" t="n">
        <v>826.5</v>
      </c>
      <c r="F614" s="7" t="s">
        <v>22813</v>
      </c>
    </row>
    <row r="615" customFormat="false" ht="15" hidden="false" customHeight="false" outlineLevel="0" collapsed="false">
      <c r="B615" s="7" t="s">
        <v>23432</v>
      </c>
      <c r="C615" s="39" t="n">
        <v>45932</v>
      </c>
      <c r="D615" s="7" t="s">
        <v>22819</v>
      </c>
      <c r="E615" s="41" t="n">
        <v>467.56</v>
      </c>
      <c r="F615" s="7" t="s">
        <v>22813</v>
      </c>
    </row>
    <row r="616" customFormat="false" ht="15" hidden="false" customHeight="false" outlineLevel="0" collapsed="false">
      <c r="B616" s="7" t="s">
        <v>23433</v>
      </c>
      <c r="C616" s="39" t="n">
        <v>45946</v>
      </c>
      <c r="D616" s="7" t="s">
        <v>22819</v>
      </c>
      <c r="E616" s="41" t="n">
        <v>467.56</v>
      </c>
      <c r="F616" s="7" t="s">
        <v>22813</v>
      </c>
    </row>
    <row r="617" customFormat="false" ht="15" hidden="false" customHeight="false" outlineLevel="0" collapsed="false">
      <c r="B617" s="7" t="s">
        <v>23434</v>
      </c>
      <c r="C617" s="39" t="n">
        <v>45960</v>
      </c>
      <c r="D617" s="7" t="s">
        <v>22819</v>
      </c>
      <c r="E617" s="41" t="n">
        <v>467.56</v>
      </c>
      <c r="F617" s="7" t="s">
        <v>22813</v>
      </c>
    </row>
    <row r="618" customFormat="false" ht="15" hidden="false" customHeight="false" outlineLevel="0" collapsed="false">
      <c r="B618" s="7" t="s">
        <v>23435</v>
      </c>
      <c r="C618" s="39" t="n">
        <v>45932</v>
      </c>
      <c r="D618" s="7" t="s">
        <v>22822</v>
      </c>
      <c r="E618" s="41" t="n">
        <v>1842.3</v>
      </c>
      <c r="F618" s="7" t="s">
        <v>22813</v>
      </c>
    </row>
    <row r="619" customFormat="false" ht="15" hidden="false" customHeight="false" outlineLevel="0" collapsed="false">
      <c r="B619" s="7" t="s">
        <v>23436</v>
      </c>
      <c r="C619" s="39" t="n">
        <v>45946</v>
      </c>
      <c r="D619" s="7" t="s">
        <v>22822</v>
      </c>
      <c r="E619" s="41" t="n">
        <v>1842.3</v>
      </c>
      <c r="F619" s="7" t="s">
        <v>22813</v>
      </c>
    </row>
    <row r="620" customFormat="false" ht="15" hidden="false" customHeight="false" outlineLevel="0" collapsed="false">
      <c r="B620" s="7" t="s">
        <v>23437</v>
      </c>
      <c r="C620" s="39" t="n">
        <v>45960</v>
      </c>
      <c r="D620" s="7" t="s">
        <v>22822</v>
      </c>
      <c r="E620" s="41" t="n">
        <v>1842.29</v>
      </c>
      <c r="F620" s="7" t="s">
        <v>22813</v>
      </c>
    </row>
    <row r="621" customFormat="false" ht="15" hidden="false" customHeight="false" outlineLevel="0" collapsed="false">
      <c r="B621" s="7" t="s">
        <v>23438</v>
      </c>
      <c r="C621" s="39" t="n">
        <v>45931</v>
      </c>
      <c r="D621" s="7" t="s">
        <v>22825</v>
      </c>
      <c r="E621" s="41" t="n">
        <v>686.12</v>
      </c>
      <c r="F621" s="7" t="s">
        <v>22796</v>
      </c>
    </row>
    <row r="622" customFormat="false" ht="15" hidden="false" customHeight="false" outlineLevel="0" collapsed="false">
      <c r="B622" s="7" t="s">
        <v>23439</v>
      </c>
      <c r="C622" s="39" t="n">
        <v>45931</v>
      </c>
      <c r="D622" s="7" t="s">
        <v>22827</v>
      </c>
      <c r="E622" s="41" t="n">
        <v>121.12</v>
      </c>
      <c r="F622" s="7" t="s">
        <v>22796</v>
      </c>
    </row>
    <row r="623" customFormat="false" ht="15" hidden="false" customHeight="false" outlineLevel="0" collapsed="false">
      <c r="B623" s="7" t="s">
        <v>23440</v>
      </c>
      <c r="C623" s="39" t="n">
        <v>45931</v>
      </c>
      <c r="D623" s="7" t="s">
        <v>22829</v>
      </c>
      <c r="E623" s="41" t="n">
        <v>88.77</v>
      </c>
      <c r="F623" s="7" t="s">
        <v>22796</v>
      </c>
    </row>
    <row r="624" customFormat="false" ht="15" hidden="false" customHeight="false" outlineLevel="0" collapsed="false">
      <c r="B624" s="7" t="s">
        <v>23441</v>
      </c>
      <c r="C624" s="39" t="n">
        <v>45931</v>
      </c>
      <c r="D624" s="7" t="s">
        <v>22831</v>
      </c>
      <c r="E624" s="41" t="n">
        <v>98.35</v>
      </c>
      <c r="F624" s="7" t="s">
        <v>22796</v>
      </c>
    </row>
    <row r="625" customFormat="false" ht="15" hidden="false" customHeight="false" outlineLevel="0" collapsed="false">
      <c r="B625" s="7" t="s">
        <v>23442</v>
      </c>
      <c r="C625" s="39" t="n">
        <v>45932</v>
      </c>
      <c r="D625" s="7" t="s">
        <v>132</v>
      </c>
      <c r="E625" s="41" t="n">
        <v>146.09</v>
      </c>
      <c r="F625" s="7" t="s">
        <v>22813</v>
      </c>
    </row>
    <row r="626" customFormat="false" ht="15" hidden="false" customHeight="false" outlineLevel="0" collapsed="false">
      <c r="B626" s="7" t="s">
        <v>23443</v>
      </c>
      <c r="C626" s="39" t="n">
        <v>45946</v>
      </c>
      <c r="D626" s="7" t="s">
        <v>132</v>
      </c>
      <c r="E626" s="41" t="n">
        <v>146.09</v>
      </c>
      <c r="F626" s="7" t="s">
        <v>22813</v>
      </c>
    </row>
    <row r="627" customFormat="false" ht="15" hidden="false" customHeight="false" outlineLevel="0" collapsed="false">
      <c r="B627" s="7" t="s">
        <v>23444</v>
      </c>
      <c r="C627" s="39" t="n">
        <v>45960</v>
      </c>
      <c r="D627" s="7" t="s">
        <v>132</v>
      </c>
      <c r="E627" s="41" t="n">
        <v>146.1</v>
      </c>
      <c r="F627" s="7" t="s">
        <v>22813</v>
      </c>
    </row>
    <row r="628" customFormat="false" ht="15" hidden="false" customHeight="false" outlineLevel="0" collapsed="false">
      <c r="B628" s="7" t="s">
        <v>23445</v>
      </c>
      <c r="C628" s="39" t="n">
        <v>45931</v>
      </c>
      <c r="D628" s="7" t="s">
        <v>22835</v>
      </c>
      <c r="E628" s="41" t="n">
        <v>950</v>
      </c>
      <c r="F628" s="7" t="s">
        <v>22796</v>
      </c>
    </row>
    <row r="629" customFormat="false" ht="15" hidden="false" customHeight="false" outlineLevel="0" collapsed="false">
      <c r="B629" s="7" t="s">
        <v>23446</v>
      </c>
      <c r="C629" s="39" t="n">
        <v>45931</v>
      </c>
      <c r="D629" s="7" t="s">
        <v>22837</v>
      </c>
      <c r="E629" s="41" t="n">
        <v>404.58</v>
      </c>
      <c r="F629" s="7" t="s">
        <v>22796</v>
      </c>
    </row>
    <row r="630" customFormat="false" ht="15" hidden="false" customHeight="false" outlineLevel="0" collapsed="false">
      <c r="B630" s="7" t="s">
        <v>23447</v>
      </c>
      <c r="C630" s="39" t="n">
        <v>45931</v>
      </c>
      <c r="D630" s="7" t="s">
        <v>22839</v>
      </c>
      <c r="E630" s="41" t="n">
        <v>143.69</v>
      </c>
      <c r="F630" s="7" t="s">
        <v>22796</v>
      </c>
    </row>
    <row r="631" customFormat="false" ht="15" hidden="false" customHeight="false" outlineLevel="0" collapsed="false">
      <c r="B631" s="7" t="s">
        <v>23448</v>
      </c>
      <c r="C631" s="39" t="n">
        <v>45932</v>
      </c>
      <c r="D631" s="7" t="s">
        <v>22841</v>
      </c>
      <c r="E631" s="41" t="n">
        <v>58.84</v>
      </c>
      <c r="F631" s="7" t="s">
        <v>22796</v>
      </c>
    </row>
    <row r="632" customFormat="false" ht="15" hidden="false" customHeight="false" outlineLevel="0" collapsed="false">
      <c r="B632" s="7" t="s">
        <v>23449</v>
      </c>
      <c r="C632" s="39" t="n">
        <v>45946</v>
      </c>
      <c r="D632" s="7" t="s">
        <v>22841</v>
      </c>
      <c r="E632" s="41" t="n">
        <v>82.1</v>
      </c>
      <c r="F632" s="7" t="s">
        <v>22796</v>
      </c>
    </row>
    <row r="633" customFormat="false" ht="15" hidden="false" customHeight="false" outlineLevel="0" collapsed="false">
      <c r="B633" s="7" t="s">
        <v>23450</v>
      </c>
      <c r="C633" s="39" t="n">
        <v>45954</v>
      </c>
      <c r="D633" s="7" t="s">
        <v>22841</v>
      </c>
      <c r="E633" s="41" t="n">
        <v>52.38</v>
      </c>
      <c r="F633" s="7" t="s">
        <v>22796</v>
      </c>
    </row>
    <row r="634" customFormat="false" ht="15" hidden="false" customHeight="false" outlineLevel="0" collapsed="false">
      <c r="B634" s="7" t="s">
        <v>23451</v>
      </c>
      <c r="C634" s="39" t="n">
        <v>45957</v>
      </c>
      <c r="D634" s="7" t="s">
        <v>22841</v>
      </c>
      <c r="E634" s="41" t="n">
        <v>69.13</v>
      </c>
      <c r="F634" s="7" t="s">
        <v>22796</v>
      </c>
    </row>
    <row r="635" customFormat="false" ht="15" hidden="false" customHeight="false" outlineLevel="0" collapsed="false">
      <c r="B635" s="7" t="s">
        <v>23452</v>
      </c>
      <c r="C635" s="39" t="n">
        <v>45940</v>
      </c>
      <c r="D635" s="7" t="s">
        <v>22845</v>
      </c>
      <c r="E635" s="41" t="n">
        <v>96.54</v>
      </c>
      <c r="F635" s="7" t="s">
        <v>22796</v>
      </c>
    </row>
    <row r="636" customFormat="false" ht="15" hidden="false" customHeight="false" outlineLevel="0" collapsed="false">
      <c r="B636" s="7" t="s">
        <v>23453</v>
      </c>
      <c r="C636" s="39" t="n">
        <v>45942</v>
      </c>
      <c r="D636" s="7" t="s">
        <v>22845</v>
      </c>
      <c r="E636" s="41" t="n">
        <v>53.22</v>
      </c>
      <c r="F636" s="7" t="s">
        <v>22796</v>
      </c>
    </row>
    <row r="637" customFormat="false" ht="15" hidden="false" customHeight="false" outlineLevel="0" collapsed="false">
      <c r="B637" s="7" t="s">
        <v>23454</v>
      </c>
      <c r="C637" s="39" t="n">
        <v>45959</v>
      </c>
      <c r="D637" s="7" t="s">
        <v>22845</v>
      </c>
      <c r="E637" s="41" t="n">
        <v>46.23</v>
      </c>
      <c r="F637" s="7" t="s">
        <v>22796</v>
      </c>
    </row>
    <row r="638" customFormat="false" ht="15" hidden="false" customHeight="false" outlineLevel="0" collapsed="false">
      <c r="B638" s="7" t="s">
        <v>23455</v>
      </c>
      <c r="C638" s="39" t="n">
        <v>45961</v>
      </c>
      <c r="D638" s="7" t="s">
        <v>22845</v>
      </c>
      <c r="E638" s="41" t="n">
        <v>163.64</v>
      </c>
      <c r="F638" s="7" t="s">
        <v>22796</v>
      </c>
    </row>
    <row r="639" customFormat="false" ht="15" hidden="false" customHeight="false" outlineLevel="0" collapsed="false">
      <c r="B639" s="7" t="s">
        <v>23456</v>
      </c>
      <c r="C639" s="39" t="n">
        <v>45931</v>
      </c>
      <c r="D639" s="7" t="s">
        <v>22848</v>
      </c>
      <c r="E639" s="41" t="n">
        <v>115.94</v>
      </c>
      <c r="F639" s="7" t="s">
        <v>22796</v>
      </c>
    </row>
    <row r="640" customFormat="false" ht="15" hidden="false" customHeight="false" outlineLevel="0" collapsed="false">
      <c r="B640" s="7" t="s">
        <v>23457</v>
      </c>
      <c r="C640" s="39" t="n">
        <v>45948</v>
      </c>
      <c r="D640" s="7" t="s">
        <v>22848</v>
      </c>
      <c r="E640" s="41" t="n">
        <v>56.91</v>
      </c>
      <c r="F640" s="7" t="s">
        <v>22796</v>
      </c>
    </row>
    <row r="641" customFormat="false" ht="15" hidden="false" customHeight="false" outlineLevel="0" collapsed="false">
      <c r="B641" s="7" t="s">
        <v>23458</v>
      </c>
      <c r="C641" s="39" t="n">
        <v>45960</v>
      </c>
      <c r="D641" s="7" t="s">
        <v>22848</v>
      </c>
      <c r="E641" s="41" t="n">
        <v>64.62</v>
      </c>
      <c r="F641" s="7" t="s">
        <v>22796</v>
      </c>
    </row>
    <row r="642" customFormat="false" ht="15" hidden="false" customHeight="false" outlineLevel="0" collapsed="false">
      <c r="B642" s="7" t="s">
        <v>23459</v>
      </c>
      <c r="C642" s="39" t="n">
        <v>45932</v>
      </c>
      <c r="D642" s="7" t="s">
        <v>136</v>
      </c>
      <c r="E642" s="41" t="n">
        <v>36.22</v>
      </c>
      <c r="F642" s="7" t="s">
        <v>22796</v>
      </c>
    </row>
    <row r="643" customFormat="false" ht="15" hidden="false" customHeight="false" outlineLevel="0" collapsed="false">
      <c r="B643" s="7" t="s">
        <v>23460</v>
      </c>
      <c r="C643" s="39" t="n">
        <v>45950</v>
      </c>
      <c r="D643" s="7" t="s">
        <v>136</v>
      </c>
      <c r="E643" s="41" t="n">
        <v>27.67</v>
      </c>
      <c r="F643" s="7" t="s">
        <v>22796</v>
      </c>
    </row>
    <row r="644" customFormat="false" ht="15" hidden="false" customHeight="false" outlineLevel="0" collapsed="false">
      <c r="B644" s="7" t="s">
        <v>23461</v>
      </c>
      <c r="C644" s="39" t="n">
        <v>45952</v>
      </c>
      <c r="D644" s="7" t="s">
        <v>136</v>
      </c>
      <c r="E644" s="41" t="n">
        <v>26.7</v>
      </c>
      <c r="F644" s="7" t="s">
        <v>22796</v>
      </c>
    </row>
    <row r="645" customFormat="false" ht="15" hidden="false" customHeight="false" outlineLevel="0" collapsed="false">
      <c r="B645" s="7" t="s">
        <v>23462</v>
      </c>
      <c r="C645" s="39" t="n">
        <v>45957</v>
      </c>
      <c r="D645" s="7" t="s">
        <v>136</v>
      </c>
      <c r="E645" s="41" t="n">
        <v>68.85</v>
      </c>
      <c r="F645" s="7" t="s">
        <v>22796</v>
      </c>
    </row>
    <row r="646" customFormat="false" ht="15" hidden="false" customHeight="false" outlineLevel="0" collapsed="false">
      <c r="B646" s="7" t="s">
        <v>23463</v>
      </c>
      <c r="C646" s="39" t="n">
        <v>45931</v>
      </c>
      <c r="D646" s="7" t="s">
        <v>22855</v>
      </c>
      <c r="E646" s="41" t="n">
        <v>175.5</v>
      </c>
      <c r="F646" s="7" t="s">
        <v>22796</v>
      </c>
    </row>
    <row r="647" customFormat="false" ht="15" hidden="false" customHeight="false" outlineLevel="0" collapsed="false">
      <c r="B647" s="7" t="s">
        <v>23464</v>
      </c>
      <c r="C647" s="39" t="n">
        <v>45931</v>
      </c>
      <c r="D647" s="7" t="s">
        <v>22857</v>
      </c>
      <c r="E647" s="41" t="n">
        <v>502.54</v>
      </c>
      <c r="F647" s="7" t="s">
        <v>22796</v>
      </c>
    </row>
    <row r="648" customFormat="false" ht="15" hidden="false" customHeight="false" outlineLevel="0" collapsed="false">
      <c r="B648" s="7" t="s">
        <v>23465</v>
      </c>
      <c r="C648" s="39" t="n">
        <v>45942</v>
      </c>
      <c r="D648" s="7" t="s">
        <v>22859</v>
      </c>
      <c r="E648" s="41" t="n">
        <v>115.54</v>
      </c>
      <c r="F648" s="7" t="s">
        <v>22796</v>
      </c>
    </row>
    <row r="649" customFormat="false" ht="15" hidden="false" customHeight="false" outlineLevel="0" collapsed="false">
      <c r="B649" s="7" t="s">
        <v>23466</v>
      </c>
      <c r="C649" s="39" t="n">
        <v>45955</v>
      </c>
      <c r="D649" s="7" t="s">
        <v>22859</v>
      </c>
      <c r="E649" s="41" t="n">
        <v>94.72</v>
      </c>
      <c r="F649" s="7" t="s">
        <v>22796</v>
      </c>
    </row>
    <row r="650" customFormat="false" ht="15" hidden="false" customHeight="false" outlineLevel="0" collapsed="false">
      <c r="B650" s="7" t="s">
        <v>23467</v>
      </c>
      <c r="C650" s="39" t="n">
        <v>45958</v>
      </c>
      <c r="D650" s="7" t="s">
        <v>22859</v>
      </c>
      <c r="E650" s="41" t="n">
        <v>221.59</v>
      </c>
      <c r="F650" s="7" t="s">
        <v>22796</v>
      </c>
    </row>
    <row r="651" customFormat="false" ht="15" hidden="false" customHeight="false" outlineLevel="0" collapsed="false">
      <c r="B651" s="7" t="s">
        <v>23468</v>
      </c>
      <c r="C651" s="39" t="n">
        <v>45935</v>
      </c>
      <c r="D651" s="7" t="s">
        <v>22862</v>
      </c>
      <c r="E651" s="41" t="n">
        <v>38.72</v>
      </c>
      <c r="F651" s="7" t="s">
        <v>22796</v>
      </c>
    </row>
    <row r="652" customFormat="false" ht="15" hidden="false" customHeight="false" outlineLevel="0" collapsed="false">
      <c r="B652" s="7" t="s">
        <v>23469</v>
      </c>
      <c r="C652" s="39" t="n">
        <v>45948</v>
      </c>
      <c r="D652" s="7" t="s">
        <v>22862</v>
      </c>
      <c r="E652" s="41" t="n">
        <v>54.28</v>
      </c>
      <c r="F652" s="7" t="s">
        <v>22796</v>
      </c>
    </row>
    <row r="653" customFormat="false" ht="15" hidden="false" customHeight="false" outlineLevel="0" collapsed="false">
      <c r="B653" s="7" t="s">
        <v>23470</v>
      </c>
      <c r="C653" s="39" t="n">
        <v>45952</v>
      </c>
      <c r="D653" s="7" t="s">
        <v>22862</v>
      </c>
      <c r="E653" s="41" t="n">
        <v>56.08</v>
      </c>
      <c r="F653" s="7" t="s">
        <v>22796</v>
      </c>
    </row>
    <row r="654" customFormat="false" ht="15" hidden="false" customHeight="false" outlineLevel="0" collapsed="false">
      <c r="B654" s="7" t="s">
        <v>23471</v>
      </c>
      <c r="C654" s="39" t="n">
        <v>45941</v>
      </c>
      <c r="D654" s="7" t="s">
        <v>22866</v>
      </c>
      <c r="E654" s="41" t="n">
        <v>285.16</v>
      </c>
      <c r="F654" s="7" t="s">
        <v>22796</v>
      </c>
    </row>
    <row r="655" customFormat="false" ht="15" hidden="false" customHeight="false" outlineLevel="0" collapsed="false">
      <c r="B655" s="7" t="s">
        <v>23472</v>
      </c>
      <c r="C655" s="39" t="n">
        <v>45944</v>
      </c>
      <c r="D655" s="7" t="s">
        <v>22866</v>
      </c>
      <c r="E655" s="41" t="n">
        <v>77.81</v>
      </c>
      <c r="F655" s="7" t="s">
        <v>22796</v>
      </c>
    </row>
    <row r="656" customFormat="false" ht="15" hidden="false" customHeight="false" outlineLevel="0" collapsed="false">
      <c r="B656" s="7" t="s">
        <v>23473</v>
      </c>
      <c r="C656" s="39" t="n">
        <v>45954</v>
      </c>
      <c r="D656" s="7" t="s">
        <v>22866</v>
      </c>
      <c r="E656" s="41" t="n">
        <v>293.43</v>
      </c>
      <c r="F656" s="7" t="s">
        <v>22796</v>
      </c>
    </row>
    <row r="657" customFormat="false" ht="15" hidden="false" customHeight="false" outlineLevel="0" collapsed="false">
      <c r="B657" s="7" t="s">
        <v>23474</v>
      </c>
      <c r="C657" s="39" t="n">
        <v>45945</v>
      </c>
      <c r="D657" s="7" t="s">
        <v>22870</v>
      </c>
      <c r="E657" s="41" t="n">
        <v>178.85</v>
      </c>
      <c r="F657" s="7" t="s">
        <v>22796</v>
      </c>
    </row>
    <row r="658" customFormat="false" ht="15" hidden="false" customHeight="false" outlineLevel="0" collapsed="false">
      <c r="B658" s="7" t="s">
        <v>23475</v>
      </c>
      <c r="C658" s="39" t="n">
        <v>45960</v>
      </c>
      <c r="D658" s="7" t="s">
        <v>22870</v>
      </c>
      <c r="E658" s="41" t="n">
        <v>183.15</v>
      </c>
      <c r="F658" s="7" t="s">
        <v>22796</v>
      </c>
    </row>
    <row r="659" customFormat="false" ht="15" hidden="false" customHeight="false" outlineLevel="0" collapsed="false">
      <c r="B659" s="7" t="s">
        <v>23476</v>
      </c>
      <c r="C659" s="39" t="n">
        <v>45931</v>
      </c>
      <c r="D659" s="7" t="s">
        <v>22874</v>
      </c>
      <c r="E659" s="41" t="n">
        <v>431.41</v>
      </c>
      <c r="F659" s="7" t="s">
        <v>22796</v>
      </c>
    </row>
    <row r="660" customFormat="false" ht="15" hidden="false" customHeight="false" outlineLevel="0" collapsed="false">
      <c r="B660" s="7" t="s">
        <v>23477</v>
      </c>
      <c r="C660" s="39" t="n">
        <v>45933</v>
      </c>
      <c r="D660" s="7" t="s">
        <v>22876</v>
      </c>
      <c r="E660" s="41" t="n">
        <v>99.82</v>
      </c>
      <c r="F660" s="7" t="s">
        <v>22796</v>
      </c>
    </row>
    <row r="661" customFormat="false" ht="15" hidden="false" customHeight="false" outlineLevel="0" collapsed="false">
      <c r="B661" s="7" t="s">
        <v>23478</v>
      </c>
      <c r="C661" s="39" t="n">
        <v>45953</v>
      </c>
      <c r="D661" s="7" t="s">
        <v>22876</v>
      </c>
      <c r="E661" s="41" t="n">
        <v>267.96</v>
      </c>
      <c r="F661" s="7" t="s">
        <v>22796</v>
      </c>
    </row>
    <row r="662" customFormat="false" ht="15" hidden="false" customHeight="false" outlineLevel="0" collapsed="false">
      <c r="B662" s="7" t="s">
        <v>23479</v>
      </c>
      <c r="C662" s="39" t="n">
        <v>45940</v>
      </c>
      <c r="D662" s="7" t="s">
        <v>142</v>
      </c>
      <c r="E662" s="41" t="n">
        <v>81.89</v>
      </c>
      <c r="F662" s="7" t="s">
        <v>22796</v>
      </c>
    </row>
    <row r="663" customFormat="false" ht="15" hidden="false" customHeight="false" outlineLevel="0" collapsed="false">
      <c r="B663" s="7" t="s">
        <v>23480</v>
      </c>
      <c r="C663" s="39" t="n">
        <v>45946</v>
      </c>
      <c r="D663" s="7" t="s">
        <v>142</v>
      </c>
      <c r="E663" s="41" t="n">
        <v>42.44</v>
      </c>
      <c r="F663" s="7" t="s">
        <v>22796</v>
      </c>
    </row>
    <row r="664" customFormat="false" ht="15" hidden="false" customHeight="false" outlineLevel="0" collapsed="false">
      <c r="B664" s="7" t="s">
        <v>23481</v>
      </c>
      <c r="C664" s="39" t="n">
        <v>45950</v>
      </c>
      <c r="D664" s="7" t="s">
        <v>142</v>
      </c>
      <c r="E664" s="41" t="n">
        <v>55.53</v>
      </c>
      <c r="F664" s="7" t="s">
        <v>22796</v>
      </c>
    </row>
    <row r="665" customFormat="false" ht="15" hidden="false" customHeight="false" outlineLevel="0" collapsed="false">
      <c r="B665" s="7" t="s">
        <v>23482</v>
      </c>
      <c r="C665" s="39" t="n">
        <v>45945</v>
      </c>
      <c r="D665" s="7" t="s">
        <v>22882</v>
      </c>
      <c r="E665" s="41" t="n">
        <v>18.48</v>
      </c>
      <c r="F665" s="7" t="s">
        <v>22796</v>
      </c>
    </row>
    <row r="666" customFormat="false" ht="15" hidden="false" customHeight="false" outlineLevel="0" collapsed="false">
      <c r="B666" s="7" t="s">
        <v>23483</v>
      </c>
      <c r="C666" s="39" t="n">
        <v>45948</v>
      </c>
      <c r="D666" s="7" t="s">
        <v>22882</v>
      </c>
      <c r="E666" s="41" t="n">
        <v>7.36</v>
      </c>
      <c r="F666" s="7" t="s">
        <v>22796</v>
      </c>
    </row>
    <row r="667" customFormat="false" ht="15" hidden="false" customHeight="false" outlineLevel="0" collapsed="false">
      <c r="B667" s="7" t="s">
        <v>23484</v>
      </c>
      <c r="C667" s="39" t="n">
        <v>45952</v>
      </c>
      <c r="D667" s="7" t="s">
        <v>22882</v>
      </c>
      <c r="E667" s="41" t="n">
        <v>6.65</v>
      </c>
      <c r="F667" s="7" t="s">
        <v>22796</v>
      </c>
    </row>
    <row r="668" customFormat="false" ht="15" hidden="false" customHeight="false" outlineLevel="0" collapsed="false">
      <c r="B668" s="7" t="s">
        <v>23485</v>
      </c>
      <c r="C668" s="39" t="n">
        <v>45960</v>
      </c>
      <c r="D668" s="7" t="s">
        <v>22882</v>
      </c>
      <c r="E668" s="41" t="n">
        <v>15.35</v>
      </c>
      <c r="F668" s="7" t="s">
        <v>22796</v>
      </c>
    </row>
    <row r="669" customFormat="false" ht="15" hidden="false" customHeight="false" outlineLevel="0" collapsed="false">
      <c r="B669" s="7" t="s">
        <v>23486</v>
      </c>
      <c r="C669" s="39" t="n">
        <v>45931</v>
      </c>
      <c r="D669" s="7" t="s">
        <v>143</v>
      </c>
      <c r="E669" s="41" t="n">
        <v>65.34</v>
      </c>
      <c r="F669" s="7" t="s">
        <v>22796</v>
      </c>
    </row>
    <row r="670" customFormat="false" ht="15" hidden="false" customHeight="false" outlineLevel="0" collapsed="false">
      <c r="B670" s="7" t="s">
        <v>23487</v>
      </c>
      <c r="C670" s="39" t="n">
        <v>45957</v>
      </c>
      <c r="D670" s="7" t="s">
        <v>143</v>
      </c>
      <c r="E670" s="41" t="n">
        <v>128.84</v>
      </c>
      <c r="F670" s="7" t="s">
        <v>22796</v>
      </c>
    </row>
    <row r="671" customFormat="false" ht="15" hidden="false" customHeight="false" outlineLevel="0" collapsed="false">
      <c r="B671" s="7" t="s">
        <v>23488</v>
      </c>
      <c r="C671" s="39" t="n">
        <v>45962</v>
      </c>
      <c r="D671" s="7" t="s">
        <v>124</v>
      </c>
      <c r="E671" s="41" t="n">
        <v>2219.97</v>
      </c>
      <c r="F671" s="7" t="s">
        <v>22796</v>
      </c>
    </row>
    <row r="672" customFormat="false" ht="15" hidden="false" customHeight="false" outlineLevel="0" collapsed="false">
      <c r="B672" s="7" t="s">
        <v>23489</v>
      </c>
      <c r="C672" s="39" t="n">
        <v>45972</v>
      </c>
      <c r="D672" s="7" t="s">
        <v>22798</v>
      </c>
      <c r="E672" s="41" t="n">
        <v>99.41</v>
      </c>
      <c r="F672" s="7" t="s">
        <v>22796</v>
      </c>
    </row>
    <row r="673" customFormat="false" ht="15" hidden="false" customHeight="false" outlineLevel="0" collapsed="false">
      <c r="B673" s="7" t="s">
        <v>23490</v>
      </c>
      <c r="C673" s="39" t="n">
        <v>45975</v>
      </c>
      <c r="D673" s="7" t="s">
        <v>22798</v>
      </c>
      <c r="E673" s="41" t="n">
        <v>34.83</v>
      </c>
      <c r="F673" s="7" t="s">
        <v>22796</v>
      </c>
    </row>
    <row r="674" customFormat="false" ht="15" hidden="false" customHeight="false" outlineLevel="0" collapsed="false">
      <c r="B674" s="7" t="s">
        <v>23491</v>
      </c>
      <c r="C674" s="39" t="n">
        <v>45979</v>
      </c>
      <c r="D674" s="7" t="s">
        <v>22798</v>
      </c>
      <c r="E674" s="41" t="n">
        <v>26.13</v>
      </c>
      <c r="F674" s="7" t="s">
        <v>22796</v>
      </c>
    </row>
    <row r="675" customFormat="false" ht="15" hidden="false" customHeight="false" outlineLevel="0" collapsed="false">
      <c r="B675" s="7" t="s">
        <v>23492</v>
      </c>
      <c r="C675" s="39" t="n">
        <v>45987</v>
      </c>
      <c r="D675" s="7" t="s">
        <v>22798</v>
      </c>
      <c r="E675" s="41" t="n">
        <v>53.23</v>
      </c>
      <c r="F675" s="7" t="s">
        <v>22796</v>
      </c>
    </row>
    <row r="676" customFormat="false" ht="15" hidden="false" customHeight="false" outlineLevel="0" collapsed="false">
      <c r="B676" s="7" t="s">
        <v>23493</v>
      </c>
      <c r="C676" s="39" t="n">
        <v>45982</v>
      </c>
      <c r="D676" s="7" t="s">
        <v>22802</v>
      </c>
      <c r="E676" s="41" t="n">
        <v>16.06</v>
      </c>
      <c r="F676" s="7" t="s">
        <v>22796</v>
      </c>
    </row>
    <row r="677" customFormat="false" ht="15" hidden="false" customHeight="false" outlineLevel="0" collapsed="false">
      <c r="B677" s="7" t="s">
        <v>23494</v>
      </c>
      <c r="C677" s="39" t="n">
        <v>45985</v>
      </c>
      <c r="D677" s="7" t="s">
        <v>22802</v>
      </c>
      <c r="E677" s="41" t="n">
        <v>53.44</v>
      </c>
      <c r="F677" s="7" t="s">
        <v>22796</v>
      </c>
    </row>
    <row r="678" customFormat="false" ht="15" hidden="false" customHeight="false" outlineLevel="0" collapsed="false">
      <c r="B678" s="7" t="s">
        <v>23495</v>
      </c>
      <c r="C678" s="39" t="n">
        <v>45963</v>
      </c>
      <c r="D678" s="7" t="s">
        <v>22807</v>
      </c>
      <c r="E678" s="41" t="n">
        <v>42.8</v>
      </c>
      <c r="F678" s="7" t="s">
        <v>22796</v>
      </c>
    </row>
    <row r="679" customFormat="false" ht="15" hidden="false" customHeight="false" outlineLevel="0" collapsed="false">
      <c r="B679" s="7" t="s">
        <v>23496</v>
      </c>
      <c r="C679" s="39" t="n">
        <v>45974</v>
      </c>
      <c r="D679" s="7" t="s">
        <v>22807</v>
      </c>
      <c r="E679" s="41" t="n">
        <v>17.6</v>
      </c>
      <c r="F679" s="7" t="s">
        <v>22796</v>
      </c>
    </row>
    <row r="680" customFormat="false" ht="15" hidden="false" customHeight="false" outlineLevel="0" collapsed="false">
      <c r="B680" s="7" t="s">
        <v>23497</v>
      </c>
      <c r="C680" s="39" t="n">
        <v>45984</v>
      </c>
      <c r="D680" s="7" t="s">
        <v>22807</v>
      </c>
      <c r="E680" s="41" t="n">
        <v>11.25</v>
      </c>
      <c r="F680" s="7" t="s">
        <v>22796</v>
      </c>
    </row>
    <row r="681" customFormat="false" ht="15" hidden="false" customHeight="false" outlineLevel="0" collapsed="false">
      <c r="B681" s="7" t="s">
        <v>23498</v>
      </c>
      <c r="C681" s="39" t="n">
        <v>45985</v>
      </c>
      <c r="D681" s="7" t="s">
        <v>22807</v>
      </c>
      <c r="E681" s="41" t="n">
        <v>28.5</v>
      </c>
      <c r="F681" s="7" t="s">
        <v>22796</v>
      </c>
    </row>
    <row r="682" customFormat="false" ht="15" hidden="false" customHeight="false" outlineLevel="0" collapsed="false">
      <c r="B682" s="7" t="s">
        <v>23499</v>
      </c>
      <c r="C682" s="39" t="n">
        <v>45974</v>
      </c>
      <c r="D682" s="7" t="s">
        <v>22812</v>
      </c>
      <c r="E682" s="41" t="n">
        <v>1506.56</v>
      </c>
      <c r="F682" s="7" t="s">
        <v>22813</v>
      </c>
    </row>
    <row r="683" customFormat="false" ht="15" hidden="false" customHeight="false" outlineLevel="0" collapsed="false">
      <c r="B683" s="7" t="s">
        <v>23500</v>
      </c>
      <c r="C683" s="39" t="n">
        <v>45988</v>
      </c>
      <c r="D683" s="7" t="s">
        <v>22812</v>
      </c>
      <c r="E683" s="41" t="n">
        <v>1506.55</v>
      </c>
      <c r="F683" s="7" t="s">
        <v>22813</v>
      </c>
    </row>
    <row r="684" customFormat="false" ht="15" hidden="false" customHeight="false" outlineLevel="0" collapsed="false">
      <c r="B684" s="7" t="s">
        <v>23501</v>
      </c>
      <c r="C684" s="39" t="n">
        <v>45974</v>
      </c>
      <c r="D684" s="7" t="s">
        <v>22816</v>
      </c>
      <c r="E684" s="41" t="n">
        <v>1387.18</v>
      </c>
      <c r="F684" s="7" t="s">
        <v>22813</v>
      </c>
    </row>
    <row r="685" customFormat="false" ht="15" hidden="false" customHeight="false" outlineLevel="0" collapsed="false">
      <c r="B685" s="7" t="s">
        <v>23502</v>
      </c>
      <c r="C685" s="39" t="n">
        <v>45988</v>
      </c>
      <c r="D685" s="7" t="s">
        <v>22816</v>
      </c>
      <c r="E685" s="41" t="n">
        <v>1387.18</v>
      </c>
      <c r="F685" s="7" t="s">
        <v>22813</v>
      </c>
    </row>
    <row r="686" customFormat="false" ht="15" hidden="false" customHeight="false" outlineLevel="0" collapsed="false">
      <c r="B686" s="7" t="s">
        <v>23503</v>
      </c>
      <c r="C686" s="39" t="n">
        <v>45974</v>
      </c>
      <c r="D686" s="7" t="s">
        <v>22819</v>
      </c>
      <c r="E686" s="41" t="n">
        <v>693.46</v>
      </c>
      <c r="F686" s="7" t="s">
        <v>22813</v>
      </c>
    </row>
    <row r="687" customFormat="false" ht="15" hidden="false" customHeight="false" outlineLevel="0" collapsed="false">
      <c r="B687" s="7" t="s">
        <v>23504</v>
      </c>
      <c r="C687" s="39" t="n">
        <v>45988</v>
      </c>
      <c r="D687" s="7" t="s">
        <v>22819</v>
      </c>
      <c r="E687" s="41" t="n">
        <v>693.45</v>
      </c>
      <c r="F687" s="7" t="s">
        <v>22813</v>
      </c>
    </row>
    <row r="688" customFormat="false" ht="15" hidden="false" customHeight="false" outlineLevel="0" collapsed="false">
      <c r="B688" s="7" t="s">
        <v>23505</v>
      </c>
      <c r="C688" s="39" t="n">
        <v>45974</v>
      </c>
      <c r="D688" s="7" t="s">
        <v>22822</v>
      </c>
      <c r="E688" s="41" t="n">
        <v>2721.88</v>
      </c>
      <c r="F688" s="7" t="s">
        <v>22813</v>
      </c>
    </row>
    <row r="689" customFormat="false" ht="15" hidden="false" customHeight="false" outlineLevel="0" collapsed="false">
      <c r="B689" s="7" t="s">
        <v>23506</v>
      </c>
      <c r="C689" s="39" t="n">
        <v>45988</v>
      </c>
      <c r="D689" s="7" t="s">
        <v>22822</v>
      </c>
      <c r="E689" s="41" t="n">
        <v>2721.88</v>
      </c>
      <c r="F689" s="7" t="s">
        <v>22813</v>
      </c>
    </row>
    <row r="690" customFormat="false" ht="15" hidden="false" customHeight="false" outlineLevel="0" collapsed="false">
      <c r="B690" s="7" t="s">
        <v>23507</v>
      </c>
      <c r="C690" s="39" t="n">
        <v>45962</v>
      </c>
      <c r="D690" s="7" t="s">
        <v>22825</v>
      </c>
      <c r="E690" s="41" t="n">
        <v>627.48</v>
      </c>
      <c r="F690" s="7" t="s">
        <v>22796</v>
      </c>
    </row>
    <row r="691" customFormat="false" ht="15" hidden="false" customHeight="false" outlineLevel="0" collapsed="false">
      <c r="B691" s="7" t="s">
        <v>23508</v>
      </c>
      <c r="C691" s="39" t="n">
        <v>45962</v>
      </c>
      <c r="D691" s="7" t="s">
        <v>22827</v>
      </c>
      <c r="E691" s="41" t="n">
        <v>125.71</v>
      </c>
      <c r="F691" s="7" t="s">
        <v>22796</v>
      </c>
    </row>
    <row r="692" customFormat="false" ht="15" hidden="false" customHeight="false" outlineLevel="0" collapsed="false">
      <c r="B692" s="7" t="s">
        <v>23509</v>
      </c>
      <c r="C692" s="39" t="n">
        <v>45962</v>
      </c>
      <c r="D692" s="7" t="s">
        <v>22829</v>
      </c>
      <c r="E692" s="41" t="n">
        <v>83.27</v>
      </c>
      <c r="F692" s="7" t="s">
        <v>22796</v>
      </c>
    </row>
    <row r="693" customFormat="false" ht="15" hidden="false" customHeight="false" outlineLevel="0" collapsed="false">
      <c r="B693" s="7" t="s">
        <v>23510</v>
      </c>
      <c r="C693" s="39" t="n">
        <v>45962</v>
      </c>
      <c r="D693" s="7" t="s">
        <v>22831</v>
      </c>
      <c r="E693" s="41" t="n">
        <v>96.82</v>
      </c>
      <c r="F693" s="7" t="s">
        <v>22796</v>
      </c>
    </row>
    <row r="694" customFormat="false" ht="15" hidden="false" customHeight="false" outlineLevel="0" collapsed="false">
      <c r="B694" s="7" t="s">
        <v>23511</v>
      </c>
      <c r="C694" s="39" t="n">
        <v>45974</v>
      </c>
      <c r="D694" s="7" t="s">
        <v>132</v>
      </c>
      <c r="E694" s="41" t="n">
        <v>204.91</v>
      </c>
      <c r="F694" s="7" t="s">
        <v>22813</v>
      </c>
    </row>
    <row r="695" customFormat="false" ht="15" hidden="false" customHeight="false" outlineLevel="0" collapsed="false">
      <c r="B695" s="7" t="s">
        <v>23512</v>
      </c>
      <c r="C695" s="39" t="n">
        <v>45988</v>
      </c>
      <c r="D695" s="7" t="s">
        <v>132</v>
      </c>
      <c r="E695" s="41" t="n">
        <v>204.9</v>
      </c>
      <c r="F695" s="7" t="s">
        <v>22813</v>
      </c>
    </row>
    <row r="696" customFormat="false" ht="15" hidden="false" customHeight="false" outlineLevel="0" collapsed="false">
      <c r="B696" s="7" t="s">
        <v>23513</v>
      </c>
      <c r="C696" s="39" t="n">
        <v>45962</v>
      </c>
      <c r="D696" s="7" t="s">
        <v>22835</v>
      </c>
      <c r="E696" s="41" t="n">
        <v>950</v>
      </c>
      <c r="F696" s="7" t="s">
        <v>22796</v>
      </c>
    </row>
    <row r="697" customFormat="false" ht="15" hidden="false" customHeight="false" outlineLevel="0" collapsed="false">
      <c r="B697" s="7" t="s">
        <v>23514</v>
      </c>
      <c r="C697" s="39" t="n">
        <v>45962</v>
      </c>
      <c r="D697" s="7" t="s">
        <v>22837</v>
      </c>
      <c r="E697" s="41" t="n">
        <v>377.86</v>
      </c>
      <c r="F697" s="7" t="s">
        <v>22796</v>
      </c>
    </row>
    <row r="698" customFormat="false" ht="15" hidden="false" customHeight="false" outlineLevel="0" collapsed="false">
      <c r="B698" s="7" t="s">
        <v>23515</v>
      </c>
      <c r="C698" s="39" t="n">
        <v>45962</v>
      </c>
      <c r="D698" s="7" t="s">
        <v>22839</v>
      </c>
      <c r="E698" s="41" t="n">
        <v>149.19</v>
      </c>
      <c r="F698" s="7" t="s">
        <v>22796</v>
      </c>
    </row>
    <row r="699" customFormat="false" ht="15" hidden="false" customHeight="false" outlineLevel="0" collapsed="false">
      <c r="B699" s="7" t="s">
        <v>23516</v>
      </c>
      <c r="C699" s="39" t="n">
        <v>45974</v>
      </c>
      <c r="D699" s="7" t="s">
        <v>22841</v>
      </c>
      <c r="E699" s="41" t="n">
        <v>79.32</v>
      </c>
      <c r="F699" s="7" t="s">
        <v>22796</v>
      </c>
    </row>
    <row r="700" customFormat="false" ht="15" hidden="false" customHeight="false" outlineLevel="0" collapsed="false">
      <c r="B700" s="7" t="s">
        <v>23517</v>
      </c>
      <c r="C700" s="39" t="n">
        <v>45980</v>
      </c>
      <c r="D700" s="7" t="s">
        <v>22841</v>
      </c>
      <c r="E700" s="41" t="n">
        <v>54.21</v>
      </c>
      <c r="F700" s="7" t="s">
        <v>22796</v>
      </c>
    </row>
    <row r="701" customFormat="false" ht="15" hidden="false" customHeight="false" outlineLevel="0" collapsed="false">
      <c r="B701" s="7" t="s">
        <v>23518</v>
      </c>
      <c r="C701" s="39" t="n">
        <v>45989</v>
      </c>
      <c r="D701" s="7" t="s">
        <v>22841</v>
      </c>
      <c r="E701" s="41" t="n">
        <v>116.89</v>
      </c>
      <c r="F701" s="7" t="s">
        <v>22796</v>
      </c>
    </row>
    <row r="702" customFormat="false" ht="15" hidden="false" customHeight="false" outlineLevel="0" collapsed="false">
      <c r="B702" s="7" t="s">
        <v>23519</v>
      </c>
      <c r="C702" s="39" t="n">
        <v>45967</v>
      </c>
      <c r="D702" s="7" t="s">
        <v>22845</v>
      </c>
      <c r="E702" s="41" t="n">
        <v>122.23</v>
      </c>
      <c r="F702" s="7" t="s">
        <v>22796</v>
      </c>
    </row>
    <row r="703" customFormat="false" ht="15" hidden="false" customHeight="false" outlineLevel="0" collapsed="false">
      <c r="B703" s="7" t="s">
        <v>23520</v>
      </c>
      <c r="C703" s="39" t="n">
        <v>45985</v>
      </c>
      <c r="D703" s="7" t="s">
        <v>22845</v>
      </c>
      <c r="E703" s="41" t="n">
        <v>218.77</v>
      </c>
      <c r="F703" s="7" t="s">
        <v>22796</v>
      </c>
    </row>
    <row r="704" customFormat="false" ht="15" hidden="false" customHeight="false" outlineLevel="0" collapsed="false">
      <c r="B704" s="7" t="s">
        <v>23521</v>
      </c>
      <c r="C704" s="39" t="n">
        <v>45968</v>
      </c>
      <c r="D704" s="7" t="s">
        <v>22848</v>
      </c>
      <c r="E704" s="41" t="n">
        <v>54.46</v>
      </c>
      <c r="F704" s="7" t="s">
        <v>22796</v>
      </c>
    </row>
    <row r="705" customFormat="false" ht="15" hidden="false" customHeight="false" outlineLevel="0" collapsed="false">
      <c r="B705" s="7" t="s">
        <v>23522</v>
      </c>
      <c r="C705" s="39" t="n">
        <v>45987</v>
      </c>
      <c r="D705" s="7" t="s">
        <v>22848</v>
      </c>
      <c r="E705" s="41" t="n">
        <v>187.7</v>
      </c>
      <c r="F705" s="7" t="s">
        <v>22796</v>
      </c>
    </row>
    <row r="706" customFormat="false" ht="15" hidden="false" customHeight="false" outlineLevel="0" collapsed="false">
      <c r="B706" s="7" t="s">
        <v>23523</v>
      </c>
      <c r="C706" s="39" t="n">
        <v>45970</v>
      </c>
      <c r="D706" s="7" t="s">
        <v>136</v>
      </c>
      <c r="E706" s="41" t="n">
        <v>45.19</v>
      </c>
      <c r="F706" s="7" t="s">
        <v>22796</v>
      </c>
    </row>
    <row r="707" customFormat="false" ht="15" hidden="false" customHeight="false" outlineLevel="0" collapsed="false">
      <c r="B707" s="7" t="s">
        <v>23524</v>
      </c>
      <c r="C707" s="39" t="n">
        <v>45972</v>
      </c>
      <c r="D707" s="7" t="s">
        <v>136</v>
      </c>
      <c r="E707" s="41" t="n">
        <v>25.51</v>
      </c>
      <c r="F707" s="7" t="s">
        <v>22796</v>
      </c>
    </row>
    <row r="708" customFormat="false" ht="15" hidden="false" customHeight="false" outlineLevel="0" collapsed="false">
      <c r="B708" s="7" t="s">
        <v>23525</v>
      </c>
      <c r="C708" s="39" t="n">
        <v>45978</v>
      </c>
      <c r="D708" s="7" t="s">
        <v>136</v>
      </c>
      <c r="E708" s="41" t="n">
        <v>70.79</v>
      </c>
      <c r="F708" s="7" t="s">
        <v>22796</v>
      </c>
    </row>
    <row r="709" customFormat="false" ht="15" hidden="false" customHeight="false" outlineLevel="0" collapsed="false">
      <c r="B709" s="7" t="s">
        <v>23526</v>
      </c>
      <c r="C709" s="39" t="n">
        <v>45962</v>
      </c>
      <c r="D709" s="7" t="s">
        <v>22855</v>
      </c>
      <c r="E709" s="41" t="n">
        <v>176.73</v>
      </c>
      <c r="F709" s="7" t="s">
        <v>22796</v>
      </c>
    </row>
    <row r="710" customFormat="false" ht="15" hidden="false" customHeight="false" outlineLevel="0" collapsed="false">
      <c r="B710" s="7" t="s">
        <v>23527</v>
      </c>
      <c r="C710" s="39" t="n">
        <v>45962</v>
      </c>
      <c r="D710" s="7" t="s">
        <v>22857</v>
      </c>
      <c r="E710" s="41" t="n">
        <v>514.19</v>
      </c>
      <c r="F710" s="7" t="s">
        <v>22796</v>
      </c>
    </row>
    <row r="711" customFormat="false" ht="15" hidden="false" customHeight="false" outlineLevel="0" collapsed="false">
      <c r="B711" s="7" t="s">
        <v>23528</v>
      </c>
      <c r="C711" s="39" t="n">
        <v>45972</v>
      </c>
      <c r="D711" s="7" t="s">
        <v>22859</v>
      </c>
      <c r="E711" s="41" t="n">
        <v>164.83</v>
      </c>
      <c r="F711" s="7" t="s">
        <v>22796</v>
      </c>
    </row>
    <row r="712" customFormat="false" ht="15" hidden="false" customHeight="false" outlineLevel="0" collapsed="false">
      <c r="B712" s="7" t="s">
        <v>23529</v>
      </c>
      <c r="C712" s="39" t="n">
        <v>45974</v>
      </c>
      <c r="D712" s="7" t="s">
        <v>22859</v>
      </c>
      <c r="E712" s="41" t="n">
        <v>108.04</v>
      </c>
      <c r="F712" s="7" t="s">
        <v>22796</v>
      </c>
    </row>
    <row r="713" customFormat="false" ht="15" hidden="false" customHeight="false" outlineLevel="0" collapsed="false">
      <c r="B713" s="7" t="s">
        <v>23530</v>
      </c>
      <c r="C713" s="39" t="n">
        <v>45986</v>
      </c>
      <c r="D713" s="7" t="s">
        <v>22859</v>
      </c>
      <c r="E713" s="41" t="n">
        <v>181.31</v>
      </c>
      <c r="F713" s="7" t="s">
        <v>22796</v>
      </c>
    </row>
    <row r="714" customFormat="false" ht="15" hidden="false" customHeight="false" outlineLevel="0" collapsed="false">
      <c r="B714" s="7" t="s">
        <v>23531</v>
      </c>
      <c r="C714" s="39" t="n">
        <v>45978</v>
      </c>
      <c r="D714" s="7" t="s">
        <v>22862</v>
      </c>
      <c r="E714" s="41" t="n">
        <v>47.79</v>
      </c>
      <c r="F714" s="7" t="s">
        <v>22796</v>
      </c>
    </row>
    <row r="715" customFormat="false" ht="15" hidden="false" customHeight="false" outlineLevel="0" collapsed="false">
      <c r="B715" s="7" t="s">
        <v>23532</v>
      </c>
      <c r="C715" s="39" t="n">
        <v>45980</v>
      </c>
      <c r="D715" s="7" t="s">
        <v>22862</v>
      </c>
      <c r="E715" s="41" t="n">
        <v>47.47</v>
      </c>
      <c r="F715" s="7" t="s">
        <v>22796</v>
      </c>
    </row>
    <row r="716" customFormat="false" ht="15" hidden="false" customHeight="false" outlineLevel="0" collapsed="false">
      <c r="B716" s="7" t="s">
        <v>23533</v>
      </c>
      <c r="C716" s="39" t="n">
        <v>45985</v>
      </c>
      <c r="D716" s="7" t="s">
        <v>22862</v>
      </c>
      <c r="E716" s="41" t="n">
        <v>59.83</v>
      </c>
      <c r="F716" s="7" t="s">
        <v>22796</v>
      </c>
    </row>
    <row r="717" customFormat="false" ht="15" hidden="false" customHeight="false" outlineLevel="0" collapsed="false">
      <c r="B717" s="7" t="s">
        <v>23534</v>
      </c>
      <c r="C717" s="39" t="n">
        <v>45980</v>
      </c>
      <c r="D717" s="7" t="s">
        <v>22866</v>
      </c>
      <c r="E717" s="41" t="n">
        <v>170.78</v>
      </c>
      <c r="F717" s="7" t="s">
        <v>22796</v>
      </c>
    </row>
    <row r="718" customFormat="false" ht="15" hidden="false" customHeight="false" outlineLevel="0" collapsed="false">
      <c r="B718" s="7" t="s">
        <v>23535</v>
      </c>
      <c r="C718" s="39" t="n">
        <v>45983</v>
      </c>
      <c r="D718" s="7" t="s">
        <v>22866</v>
      </c>
      <c r="E718" s="41" t="n">
        <v>443.5</v>
      </c>
      <c r="F718" s="7" t="s">
        <v>22796</v>
      </c>
    </row>
    <row r="719" customFormat="false" ht="15" hidden="false" customHeight="false" outlineLevel="0" collapsed="false">
      <c r="B719" s="7" t="s">
        <v>23536</v>
      </c>
      <c r="C719" s="39" t="n">
        <v>45965</v>
      </c>
      <c r="D719" s="7" t="s">
        <v>22870</v>
      </c>
      <c r="E719" s="41" t="n">
        <v>112.13</v>
      </c>
      <c r="F719" s="7" t="s">
        <v>22796</v>
      </c>
    </row>
    <row r="720" customFormat="false" ht="15" hidden="false" customHeight="false" outlineLevel="0" collapsed="false">
      <c r="B720" s="7" t="s">
        <v>23537</v>
      </c>
      <c r="C720" s="39" t="n">
        <v>45971</v>
      </c>
      <c r="D720" s="7" t="s">
        <v>22870</v>
      </c>
      <c r="E720" s="41" t="n">
        <v>92.66</v>
      </c>
      <c r="F720" s="7" t="s">
        <v>22796</v>
      </c>
    </row>
    <row r="721" customFormat="false" ht="15" hidden="false" customHeight="false" outlineLevel="0" collapsed="false">
      <c r="B721" s="7" t="s">
        <v>23538</v>
      </c>
      <c r="C721" s="39" t="n">
        <v>45979</v>
      </c>
      <c r="D721" s="7" t="s">
        <v>22870</v>
      </c>
      <c r="E721" s="41" t="n">
        <v>153.15</v>
      </c>
      <c r="F721" s="7" t="s">
        <v>22796</v>
      </c>
    </row>
    <row r="722" customFormat="false" ht="15" hidden="false" customHeight="false" outlineLevel="0" collapsed="false">
      <c r="B722" s="7" t="s">
        <v>23539</v>
      </c>
      <c r="C722" s="39" t="n">
        <v>45962</v>
      </c>
      <c r="D722" s="7" t="s">
        <v>22874</v>
      </c>
      <c r="E722" s="41" t="n">
        <v>404.34</v>
      </c>
      <c r="F722" s="7" t="s">
        <v>22796</v>
      </c>
    </row>
    <row r="723" customFormat="false" ht="15" hidden="false" customHeight="false" outlineLevel="0" collapsed="false">
      <c r="B723" s="7" t="s">
        <v>23540</v>
      </c>
      <c r="C723" s="39" t="n">
        <v>45963</v>
      </c>
      <c r="D723" s="7" t="s">
        <v>22876</v>
      </c>
      <c r="E723" s="41" t="n">
        <v>114.5</v>
      </c>
      <c r="F723" s="7" t="s">
        <v>22796</v>
      </c>
    </row>
    <row r="724" customFormat="false" ht="15" hidden="false" customHeight="false" outlineLevel="0" collapsed="false">
      <c r="B724" s="7" t="s">
        <v>23541</v>
      </c>
      <c r="C724" s="39" t="n">
        <v>45968</v>
      </c>
      <c r="D724" s="7" t="s">
        <v>22876</v>
      </c>
      <c r="E724" s="41" t="n">
        <v>91.92</v>
      </c>
      <c r="F724" s="7" t="s">
        <v>22796</v>
      </c>
    </row>
    <row r="725" customFormat="false" ht="15" hidden="false" customHeight="false" outlineLevel="0" collapsed="false">
      <c r="B725" s="7" t="s">
        <v>23542</v>
      </c>
      <c r="C725" s="39" t="n">
        <v>45972</v>
      </c>
      <c r="D725" s="7" t="s">
        <v>22876</v>
      </c>
      <c r="E725" s="41" t="n">
        <v>79.82</v>
      </c>
      <c r="F725" s="7" t="s">
        <v>22796</v>
      </c>
    </row>
    <row r="726" customFormat="false" ht="15" hidden="false" customHeight="false" outlineLevel="0" collapsed="false">
      <c r="B726" s="7" t="s">
        <v>23543</v>
      </c>
      <c r="C726" s="39" t="n">
        <v>45982</v>
      </c>
      <c r="D726" s="7" t="s">
        <v>22876</v>
      </c>
      <c r="E726" s="41" t="n">
        <v>82.31</v>
      </c>
      <c r="F726" s="7" t="s">
        <v>22796</v>
      </c>
    </row>
    <row r="727" customFormat="false" ht="15" hidden="false" customHeight="false" outlineLevel="0" collapsed="false">
      <c r="B727" s="7" t="s">
        <v>23544</v>
      </c>
      <c r="C727" s="39" t="n">
        <v>45971</v>
      </c>
      <c r="D727" s="7" t="s">
        <v>142</v>
      </c>
      <c r="E727" s="41" t="n">
        <v>72.07</v>
      </c>
      <c r="F727" s="7" t="s">
        <v>22796</v>
      </c>
    </row>
    <row r="728" customFormat="false" ht="15" hidden="false" customHeight="false" outlineLevel="0" collapsed="false">
      <c r="B728" s="7" t="s">
        <v>23545</v>
      </c>
      <c r="C728" s="39" t="n">
        <v>45976</v>
      </c>
      <c r="D728" s="7" t="s">
        <v>142</v>
      </c>
      <c r="E728" s="41" t="n">
        <v>30.28</v>
      </c>
      <c r="F728" s="7" t="s">
        <v>22796</v>
      </c>
    </row>
    <row r="729" customFormat="false" ht="15" hidden="false" customHeight="false" outlineLevel="0" collapsed="false">
      <c r="B729" s="7" t="s">
        <v>23546</v>
      </c>
      <c r="C729" s="39" t="n">
        <v>45981</v>
      </c>
      <c r="D729" s="7" t="s">
        <v>142</v>
      </c>
      <c r="E729" s="41" t="n">
        <v>75.71</v>
      </c>
      <c r="F729" s="7" t="s">
        <v>22796</v>
      </c>
    </row>
    <row r="730" customFormat="false" ht="15" hidden="false" customHeight="false" outlineLevel="0" collapsed="false">
      <c r="B730" s="7" t="s">
        <v>23547</v>
      </c>
      <c r="C730" s="39" t="n">
        <v>45968</v>
      </c>
      <c r="D730" s="7" t="s">
        <v>22882</v>
      </c>
      <c r="E730" s="41" t="n">
        <v>14.81</v>
      </c>
      <c r="F730" s="7" t="s">
        <v>22796</v>
      </c>
    </row>
    <row r="731" customFormat="false" ht="15" hidden="false" customHeight="false" outlineLevel="0" collapsed="false">
      <c r="B731" s="7" t="s">
        <v>23548</v>
      </c>
      <c r="C731" s="39" t="n">
        <v>45990</v>
      </c>
      <c r="D731" s="7" t="s">
        <v>22882</v>
      </c>
      <c r="E731" s="41" t="n">
        <v>32.24</v>
      </c>
      <c r="F731" s="7" t="s">
        <v>22796</v>
      </c>
    </row>
    <row r="732" customFormat="false" ht="15" hidden="false" customHeight="false" outlineLevel="0" collapsed="false">
      <c r="B732" s="7" t="s">
        <v>23549</v>
      </c>
      <c r="C732" s="39" t="n">
        <v>45982</v>
      </c>
      <c r="D732" s="7" t="s">
        <v>143</v>
      </c>
      <c r="E732" s="41" t="n">
        <v>62.95</v>
      </c>
      <c r="F732" s="7" t="s">
        <v>22796</v>
      </c>
    </row>
    <row r="733" customFormat="false" ht="15" hidden="false" customHeight="false" outlineLevel="0" collapsed="false">
      <c r="B733" s="7" t="s">
        <v>23550</v>
      </c>
      <c r="C733" s="39" t="n">
        <v>45989</v>
      </c>
      <c r="D733" s="7" t="s">
        <v>143</v>
      </c>
      <c r="E733" s="41" t="n">
        <v>138.36</v>
      </c>
      <c r="F733" s="7" t="s">
        <v>22796</v>
      </c>
    </row>
    <row r="734" customFormat="false" ht="15" hidden="false" customHeight="false" outlineLevel="0" collapsed="false">
      <c r="B734" s="7" t="s">
        <v>23551</v>
      </c>
      <c r="C734" s="39" t="n">
        <v>45992</v>
      </c>
      <c r="D734" s="7" t="s">
        <v>124</v>
      </c>
      <c r="E734" s="41" t="n">
        <v>2247.68</v>
      </c>
      <c r="F734" s="7" t="s">
        <v>22796</v>
      </c>
    </row>
    <row r="735" customFormat="false" ht="15" hidden="false" customHeight="false" outlineLevel="0" collapsed="false">
      <c r="B735" s="7" t="s">
        <v>23552</v>
      </c>
      <c r="C735" s="39" t="n">
        <v>46008</v>
      </c>
      <c r="D735" s="7" t="s">
        <v>22798</v>
      </c>
      <c r="E735" s="41" t="n">
        <v>75.78</v>
      </c>
      <c r="F735" s="7" t="s">
        <v>22796</v>
      </c>
    </row>
    <row r="736" customFormat="false" ht="15" hidden="false" customHeight="false" outlineLevel="0" collapsed="false">
      <c r="B736" s="7" t="s">
        <v>23553</v>
      </c>
      <c r="C736" s="39" t="n">
        <v>46015</v>
      </c>
      <c r="D736" s="7" t="s">
        <v>22798</v>
      </c>
      <c r="E736" s="41" t="n">
        <v>127.21</v>
      </c>
      <c r="F736" s="7" t="s">
        <v>22796</v>
      </c>
    </row>
    <row r="737" customFormat="false" ht="15" hidden="false" customHeight="false" outlineLevel="0" collapsed="false">
      <c r="B737" s="7" t="s">
        <v>23554</v>
      </c>
      <c r="C737" s="39" t="n">
        <v>45996</v>
      </c>
      <c r="D737" s="7" t="s">
        <v>22802</v>
      </c>
      <c r="E737" s="41" t="n">
        <v>25.96</v>
      </c>
      <c r="F737" s="7" t="s">
        <v>22796</v>
      </c>
    </row>
    <row r="738" customFormat="false" ht="15" hidden="false" customHeight="false" outlineLevel="0" collapsed="false">
      <c r="B738" s="7" t="s">
        <v>23555</v>
      </c>
      <c r="C738" s="39" t="n">
        <v>46014</v>
      </c>
      <c r="D738" s="7" t="s">
        <v>22802</v>
      </c>
      <c r="E738" s="41" t="n">
        <v>17.67</v>
      </c>
      <c r="F738" s="7" t="s">
        <v>22796</v>
      </c>
    </row>
    <row r="739" customFormat="false" ht="15" hidden="false" customHeight="false" outlineLevel="0" collapsed="false">
      <c r="B739" s="7" t="s">
        <v>23556</v>
      </c>
      <c r="C739" s="39" t="n">
        <v>46018</v>
      </c>
      <c r="D739" s="7" t="s">
        <v>22802</v>
      </c>
      <c r="E739" s="41" t="n">
        <v>21.63</v>
      </c>
      <c r="F739" s="7" t="s">
        <v>22796</v>
      </c>
    </row>
    <row r="740" customFormat="false" ht="15" hidden="false" customHeight="false" outlineLevel="0" collapsed="false">
      <c r="B740" s="7" t="s">
        <v>23557</v>
      </c>
      <c r="C740" s="39" t="n">
        <v>45995</v>
      </c>
      <c r="D740" s="7" t="s">
        <v>22807</v>
      </c>
      <c r="E740" s="41" t="n">
        <v>28.76</v>
      </c>
      <c r="F740" s="7" t="s">
        <v>22796</v>
      </c>
    </row>
    <row r="741" customFormat="false" ht="15" hidden="false" customHeight="false" outlineLevel="0" collapsed="false">
      <c r="B741" s="7" t="s">
        <v>23558</v>
      </c>
      <c r="C741" s="39" t="n">
        <v>46000</v>
      </c>
      <c r="D741" s="7" t="s">
        <v>22807</v>
      </c>
      <c r="E741" s="41" t="n">
        <v>24.93</v>
      </c>
      <c r="F741" s="7" t="s">
        <v>22796</v>
      </c>
    </row>
    <row r="742" customFormat="false" ht="15" hidden="false" customHeight="false" outlineLevel="0" collapsed="false">
      <c r="B742" s="7" t="s">
        <v>23559</v>
      </c>
      <c r="C742" s="39" t="n">
        <v>46013</v>
      </c>
      <c r="D742" s="7" t="s">
        <v>22807</v>
      </c>
      <c r="E742" s="41" t="n">
        <v>11.43</v>
      </c>
      <c r="F742" s="7" t="s">
        <v>22796</v>
      </c>
    </row>
    <row r="743" customFormat="false" ht="15" hidden="false" customHeight="false" outlineLevel="0" collapsed="false">
      <c r="B743" s="7" t="s">
        <v>23560</v>
      </c>
      <c r="C743" s="39" t="n">
        <v>46019</v>
      </c>
      <c r="D743" s="7" t="s">
        <v>22807</v>
      </c>
      <c r="E743" s="41" t="n">
        <v>24.93</v>
      </c>
      <c r="F743" s="7" t="s">
        <v>22796</v>
      </c>
    </row>
    <row r="744" customFormat="false" ht="15" hidden="false" customHeight="false" outlineLevel="0" collapsed="false">
      <c r="B744" s="7" t="s">
        <v>23561</v>
      </c>
      <c r="C744" s="39" t="n">
        <v>46002</v>
      </c>
      <c r="D744" s="7" t="s">
        <v>22812</v>
      </c>
      <c r="E744" s="41" t="n">
        <v>1685.4</v>
      </c>
      <c r="F744" s="7" t="s">
        <v>22813</v>
      </c>
    </row>
    <row r="745" customFormat="false" ht="15" hidden="false" customHeight="false" outlineLevel="0" collapsed="false">
      <c r="B745" s="7" t="s">
        <v>23562</v>
      </c>
      <c r="C745" s="39" t="n">
        <v>46016</v>
      </c>
      <c r="D745" s="7" t="s">
        <v>22812</v>
      </c>
      <c r="E745" s="41" t="n">
        <v>1685.41</v>
      </c>
      <c r="F745" s="7" t="s">
        <v>22813</v>
      </c>
    </row>
    <row r="746" customFormat="false" ht="15" hidden="false" customHeight="false" outlineLevel="0" collapsed="false">
      <c r="B746" s="7" t="s">
        <v>23563</v>
      </c>
      <c r="C746" s="39" t="n">
        <v>46002</v>
      </c>
      <c r="D746" s="7" t="s">
        <v>22816</v>
      </c>
      <c r="E746" s="41" t="n">
        <v>1329.02</v>
      </c>
      <c r="F746" s="7" t="s">
        <v>22813</v>
      </c>
    </row>
    <row r="747" customFormat="false" ht="15" hidden="false" customHeight="false" outlineLevel="0" collapsed="false">
      <c r="B747" s="7" t="s">
        <v>23564</v>
      </c>
      <c r="C747" s="39" t="n">
        <v>46016</v>
      </c>
      <c r="D747" s="7" t="s">
        <v>22816</v>
      </c>
      <c r="E747" s="41" t="n">
        <v>1329.01</v>
      </c>
      <c r="F747" s="7" t="s">
        <v>22813</v>
      </c>
    </row>
    <row r="748" customFormat="false" ht="15" hidden="false" customHeight="false" outlineLevel="0" collapsed="false">
      <c r="B748" s="7" t="s">
        <v>23565</v>
      </c>
      <c r="C748" s="39" t="n">
        <v>46002</v>
      </c>
      <c r="D748" s="7" t="s">
        <v>22819</v>
      </c>
      <c r="E748" s="41" t="n">
        <v>731.55</v>
      </c>
      <c r="F748" s="7" t="s">
        <v>22813</v>
      </c>
    </row>
    <row r="749" customFormat="false" ht="15" hidden="false" customHeight="false" outlineLevel="0" collapsed="false">
      <c r="B749" s="7" t="s">
        <v>23566</v>
      </c>
      <c r="C749" s="39" t="n">
        <v>46016</v>
      </c>
      <c r="D749" s="7" t="s">
        <v>22819</v>
      </c>
      <c r="E749" s="41" t="n">
        <v>731.56</v>
      </c>
      <c r="F749" s="7" t="s">
        <v>22813</v>
      </c>
    </row>
    <row r="750" customFormat="false" ht="15" hidden="false" customHeight="false" outlineLevel="0" collapsed="false">
      <c r="B750" s="7" t="s">
        <v>23567</v>
      </c>
      <c r="C750" s="39" t="n">
        <v>46002</v>
      </c>
      <c r="D750" s="7" t="s">
        <v>22822</v>
      </c>
      <c r="E750" s="41" t="n">
        <v>2629.97</v>
      </c>
      <c r="F750" s="7" t="s">
        <v>22813</v>
      </c>
    </row>
    <row r="751" customFormat="false" ht="15" hidden="false" customHeight="false" outlineLevel="0" collapsed="false">
      <c r="B751" s="7" t="s">
        <v>23568</v>
      </c>
      <c r="C751" s="39" t="n">
        <v>46016</v>
      </c>
      <c r="D751" s="7" t="s">
        <v>22822</v>
      </c>
      <c r="E751" s="41" t="n">
        <v>2629.98</v>
      </c>
      <c r="F751" s="7" t="s">
        <v>22813</v>
      </c>
    </row>
    <row r="752" customFormat="false" ht="15" hidden="false" customHeight="false" outlineLevel="0" collapsed="false">
      <c r="B752" s="7" t="s">
        <v>23569</v>
      </c>
      <c r="C752" s="39" t="n">
        <v>45992</v>
      </c>
      <c r="D752" s="7" t="s">
        <v>22825</v>
      </c>
      <c r="E752" s="41" t="n">
        <v>643.26</v>
      </c>
      <c r="F752" s="7" t="s">
        <v>22796</v>
      </c>
    </row>
    <row r="753" customFormat="false" ht="15" hidden="false" customHeight="false" outlineLevel="0" collapsed="false">
      <c r="B753" s="7" t="s">
        <v>23570</v>
      </c>
      <c r="C753" s="39" t="n">
        <v>45992</v>
      </c>
      <c r="D753" s="7" t="s">
        <v>22827</v>
      </c>
      <c r="E753" s="41" t="n">
        <v>126.09</v>
      </c>
      <c r="F753" s="7" t="s">
        <v>22796</v>
      </c>
    </row>
    <row r="754" customFormat="false" ht="15" hidden="false" customHeight="false" outlineLevel="0" collapsed="false">
      <c r="B754" s="7" t="s">
        <v>23571</v>
      </c>
      <c r="C754" s="39" t="n">
        <v>45992</v>
      </c>
      <c r="D754" s="7" t="s">
        <v>22829</v>
      </c>
      <c r="E754" s="41" t="n">
        <v>90.5</v>
      </c>
      <c r="F754" s="7" t="s">
        <v>22796</v>
      </c>
    </row>
    <row r="755" customFormat="false" ht="15" hidden="false" customHeight="false" outlineLevel="0" collapsed="false">
      <c r="B755" s="7" t="s">
        <v>23572</v>
      </c>
      <c r="C755" s="39" t="n">
        <v>45992</v>
      </c>
      <c r="D755" s="7" t="s">
        <v>22831</v>
      </c>
      <c r="E755" s="41" t="n">
        <v>91.75</v>
      </c>
      <c r="F755" s="7" t="s">
        <v>22796</v>
      </c>
    </row>
    <row r="756" customFormat="false" ht="15" hidden="false" customHeight="false" outlineLevel="0" collapsed="false">
      <c r="B756" s="7" t="s">
        <v>23573</v>
      </c>
      <c r="C756" s="39" t="n">
        <v>46002</v>
      </c>
      <c r="D756" s="7" t="s">
        <v>132</v>
      </c>
      <c r="E756" s="41" t="n">
        <v>198.78</v>
      </c>
      <c r="F756" s="7" t="s">
        <v>22813</v>
      </c>
    </row>
    <row r="757" customFormat="false" ht="15" hidden="false" customHeight="false" outlineLevel="0" collapsed="false">
      <c r="B757" s="7" t="s">
        <v>23574</v>
      </c>
      <c r="C757" s="39" t="n">
        <v>46016</v>
      </c>
      <c r="D757" s="7" t="s">
        <v>132</v>
      </c>
      <c r="E757" s="41" t="n">
        <v>198.78</v>
      </c>
      <c r="F757" s="7" t="s">
        <v>22813</v>
      </c>
    </row>
    <row r="758" customFormat="false" ht="15" hidden="false" customHeight="false" outlineLevel="0" collapsed="false">
      <c r="B758" s="7" t="s">
        <v>23575</v>
      </c>
      <c r="C758" s="39" t="n">
        <v>45992</v>
      </c>
      <c r="D758" s="7" t="s">
        <v>22835</v>
      </c>
      <c r="E758" s="41" t="n">
        <v>950</v>
      </c>
      <c r="F758" s="7" t="s">
        <v>22796</v>
      </c>
    </row>
    <row r="759" customFormat="false" ht="15" hidden="false" customHeight="false" outlineLevel="0" collapsed="false">
      <c r="B759" s="7" t="s">
        <v>23576</v>
      </c>
      <c r="C759" s="39" t="n">
        <v>45992</v>
      </c>
      <c r="D759" s="7" t="s">
        <v>22837</v>
      </c>
      <c r="E759" s="41" t="n">
        <v>406.78</v>
      </c>
      <c r="F759" s="7" t="s">
        <v>22796</v>
      </c>
    </row>
    <row r="760" customFormat="false" ht="15" hidden="false" customHeight="false" outlineLevel="0" collapsed="false">
      <c r="B760" s="7" t="s">
        <v>23577</v>
      </c>
      <c r="C760" s="39" t="n">
        <v>45992</v>
      </c>
      <c r="D760" s="7" t="s">
        <v>22839</v>
      </c>
      <c r="E760" s="41" t="n">
        <v>146.36</v>
      </c>
      <c r="F760" s="7" t="s">
        <v>22796</v>
      </c>
    </row>
    <row r="761" customFormat="false" ht="15" hidden="false" customHeight="false" outlineLevel="0" collapsed="false">
      <c r="B761" s="7" t="s">
        <v>23578</v>
      </c>
      <c r="C761" s="39" t="n">
        <v>45996</v>
      </c>
      <c r="D761" s="7" t="s">
        <v>22841</v>
      </c>
      <c r="E761" s="41" t="n">
        <v>130.44</v>
      </c>
      <c r="F761" s="7" t="s">
        <v>22796</v>
      </c>
    </row>
    <row r="762" customFormat="false" ht="15" hidden="false" customHeight="false" outlineLevel="0" collapsed="false">
      <c r="B762" s="7" t="s">
        <v>23579</v>
      </c>
      <c r="C762" s="39" t="n">
        <v>46002</v>
      </c>
      <c r="D762" s="7" t="s">
        <v>22841</v>
      </c>
      <c r="E762" s="41" t="n">
        <v>66.58</v>
      </c>
      <c r="F762" s="7" t="s">
        <v>22796</v>
      </c>
    </row>
    <row r="763" customFormat="false" ht="15" hidden="false" customHeight="false" outlineLevel="0" collapsed="false">
      <c r="B763" s="7" t="s">
        <v>23580</v>
      </c>
      <c r="C763" s="39" t="n">
        <v>46005</v>
      </c>
      <c r="D763" s="7" t="s">
        <v>22841</v>
      </c>
      <c r="E763" s="41" t="n">
        <v>19.14</v>
      </c>
      <c r="F763" s="7" t="s">
        <v>22796</v>
      </c>
    </row>
    <row r="764" customFormat="false" ht="15" hidden="false" customHeight="false" outlineLevel="0" collapsed="false">
      <c r="B764" s="7" t="s">
        <v>23581</v>
      </c>
      <c r="C764" s="39" t="n">
        <v>46008</v>
      </c>
      <c r="D764" s="7" t="s">
        <v>22841</v>
      </c>
      <c r="E764" s="41" t="n">
        <v>49.18</v>
      </c>
      <c r="F764" s="7" t="s">
        <v>22796</v>
      </c>
    </row>
    <row r="765" customFormat="false" ht="15" hidden="false" customHeight="false" outlineLevel="0" collapsed="false">
      <c r="B765" s="7" t="s">
        <v>23582</v>
      </c>
      <c r="C765" s="39" t="n">
        <v>45993</v>
      </c>
      <c r="D765" s="7" t="s">
        <v>22845</v>
      </c>
      <c r="E765" s="41" t="n">
        <v>71.88</v>
      </c>
      <c r="F765" s="7" t="s">
        <v>22796</v>
      </c>
    </row>
    <row r="766" customFormat="false" ht="15" hidden="false" customHeight="false" outlineLevel="0" collapsed="false">
      <c r="B766" s="7" t="s">
        <v>23583</v>
      </c>
      <c r="C766" s="39" t="n">
        <v>45995</v>
      </c>
      <c r="D766" s="7" t="s">
        <v>22845</v>
      </c>
      <c r="E766" s="41" t="n">
        <v>125.41</v>
      </c>
      <c r="F766" s="7" t="s">
        <v>22796</v>
      </c>
    </row>
    <row r="767" customFormat="false" ht="15" hidden="false" customHeight="false" outlineLevel="0" collapsed="false">
      <c r="B767" s="7" t="s">
        <v>23584</v>
      </c>
      <c r="C767" s="39" t="n">
        <v>46011</v>
      </c>
      <c r="D767" s="7" t="s">
        <v>22845</v>
      </c>
      <c r="E767" s="41" t="n">
        <v>137.51</v>
      </c>
      <c r="F767" s="7" t="s">
        <v>22796</v>
      </c>
    </row>
    <row r="768" customFormat="false" ht="15" hidden="false" customHeight="false" outlineLevel="0" collapsed="false">
      <c r="B768" s="7" t="s">
        <v>23585</v>
      </c>
      <c r="C768" s="39" t="n">
        <v>45999</v>
      </c>
      <c r="D768" s="7" t="s">
        <v>22848</v>
      </c>
      <c r="E768" s="41" t="n">
        <v>104.82</v>
      </c>
      <c r="F768" s="7" t="s">
        <v>22796</v>
      </c>
    </row>
    <row r="769" customFormat="false" ht="15" hidden="false" customHeight="false" outlineLevel="0" collapsed="false">
      <c r="B769" s="7" t="s">
        <v>23586</v>
      </c>
      <c r="C769" s="39" t="n">
        <v>46014</v>
      </c>
      <c r="D769" s="7" t="s">
        <v>22848</v>
      </c>
      <c r="E769" s="41" t="n">
        <v>40.55</v>
      </c>
      <c r="F769" s="7" t="s">
        <v>22796</v>
      </c>
    </row>
    <row r="770" customFormat="false" ht="15" hidden="false" customHeight="false" outlineLevel="0" collapsed="false">
      <c r="B770" s="7" t="s">
        <v>23587</v>
      </c>
      <c r="C770" s="39" t="n">
        <v>46016</v>
      </c>
      <c r="D770" s="7" t="s">
        <v>22848</v>
      </c>
      <c r="E770" s="41" t="n">
        <v>121.09</v>
      </c>
      <c r="F770" s="7" t="s">
        <v>22796</v>
      </c>
    </row>
    <row r="771" customFormat="false" ht="15" hidden="false" customHeight="false" outlineLevel="0" collapsed="false">
      <c r="B771" s="7" t="s">
        <v>23588</v>
      </c>
      <c r="C771" s="39" t="n">
        <v>45999</v>
      </c>
      <c r="D771" s="7" t="s">
        <v>136</v>
      </c>
      <c r="E771" s="41" t="n">
        <v>35.74</v>
      </c>
      <c r="F771" s="7" t="s">
        <v>22796</v>
      </c>
    </row>
    <row r="772" customFormat="false" ht="15" hidden="false" customHeight="false" outlineLevel="0" collapsed="false">
      <c r="B772" s="7" t="s">
        <v>23589</v>
      </c>
      <c r="C772" s="39" t="n">
        <v>46017</v>
      </c>
      <c r="D772" s="7" t="s">
        <v>136</v>
      </c>
      <c r="E772" s="41" t="n">
        <v>105.65</v>
      </c>
      <c r="F772" s="7" t="s">
        <v>22796</v>
      </c>
    </row>
    <row r="773" customFormat="false" ht="15" hidden="false" customHeight="false" outlineLevel="0" collapsed="false">
      <c r="B773" s="7" t="s">
        <v>23590</v>
      </c>
      <c r="C773" s="39" t="n">
        <v>45992</v>
      </c>
      <c r="D773" s="7" t="s">
        <v>22855</v>
      </c>
      <c r="E773" s="41" t="n">
        <v>157.22</v>
      </c>
      <c r="F773" s="7" t="s">
        <v>22796</v>
      </c>
    </row>
    <row r="774" customFormat="false" ht="15" hidden="false" customHeight="false" outlineLevel="0" collapsed="false">
      <c r="B774" s="7" t="s">
        <v>23591</v>
      </c>
      <c r="C774" s="39" t="n">
        <v>45992</v>
      </c>
      <c r="D774" s="7" t="s">
        <v>22857</v>
      </c>
      <c r="E774" s="41" t="n">
        <v>483.36</v>
      </c>
      <c r="F774" s="7" t="s">
        <v>22796</v>
      </c>
    </row>
    <row r="775" customFormat="false" ht="15" hidden="false" customHeight="false" outlineLevel="0" collapsed="false">
      <c r="B775" s="7" t="s">
        <v>23592</v>
      </c>
      <c r="C775" s="39" t="n">
        <v>46003</v>
      </c>
      <c r="D775" s="7" t="s">
        <v>22859</v>
      </c>
      <c r="E775" s="41" t="n">
        <v>148.64</v>
      </c>
      <c r="F775" s="7" t="s">
        <v>22796</v>
      </c>
    </row>
    <row r="776" customFormat="false" ht="15" hidden="false" customHeight="false" outlineLevel="0" collapsed="false">
      <c r="B776" s="7" t="s">
        <v>23593</v>
      </c>
      <c r="C776" s="39" t="n">
        <v>46007</v>
      </c>
      <c r="D776" s="7" t="s">
        <v>22859</v>
      </c>
      <c r="E776" s="41" t="n">
        <v>159.12</v>
      </c>
      <c r="F776" s="7" t="s">
        <v>22796</v>
      </c>
    </row>
    <row r="777" customFormat="false" ht="15" hidden="false" customHeight="false" outlineLevel="0" collapsed="false">
      <c r="B777" s="7" t="s">
        <v>23594</v>
      </c>
      <c r="C777" s="39" t="n">
        <v>46012</v>
      </c>
      <c r="D777" s="7" t="s">
        <v>22859</v>
      </c>
      <c r="E777" s="41" t="n">
        <v>40.31</v>
      </c>
      <c r="F777" s="7" t="s">
        <v>22796</v>
      </c>
    </row>
    <row r="778" customFormat="false" ht="15" hidden="false" customHeight="false" outlineLevel="0" collapsed="false">
      <c r="B778" s="7" t="s">
        <v>23595</v>
      </c>
      <c r="C778" s="39" t="n">
        <v>46015</v>
      </c>
      <c r="D778" s="7" t="s">
        <v>22859</v>
      </c>
      <c r="E778" s="41" t="n">
        <v>130.38</v>
      </c>
      <c r="F778" s="7" t="s">
        <v>22796</v>
      </c>
    </row>
    <row r="779" customFormat="false" ht="15" hidden="false" customHeight="false" outlineLevel="0" collapsed="false">
      <c r="B779" s="7" t="s">
        <v>23596</v>
      </c>
      <c r="C779" s="39" t="n">
        <v>45992</v>
      </c>
      <c r="D779" s="7" t="s">
        <v>22862</v>
      </c>
      <c r="E779" s="41" t="n">
        <v>54.97</v>
      </c>
      <c r="F779" s="7" t="s">
        <v>22796</v>
      </c>
    </row>
    <row r="780" customFormat="false" ht="15" hidden="false" customHeight="false" outlineLevel="0" collapsed="false">
      <c r="B780" s="7" t="s">
        <v>23597</v>
      </c>
      <c r="C780" s="39" t="n">
        <v>45996</v>
      </c>
      <c r="D780" s="7" t="s">
        <v>22862</v>
      </c>
      <c r="E780" s="41" t="n">
        <v>41.13</v>
      </c>
      <c r="F780" s="7" t="s">
        <v>22796</v>
      </c>
    </row>
    <row r="781" customFormat="false" ht="15" hidden="false" customHeight="false" outlineLevel="0" collapsed="false">
      <c r="B781" s="7" t="s">
        <v>23598</v>
      </c>
      <c r="C781" s="39" t="n">
        <v>46001</v>
      </c>
      <c r="D781" s="7" t="s">
        <v>22862</v>
      </c>
      <c r="E781" s="41" t="n">
        <v>20.76</v>
      </c>
      <c r="F781" s="7" t="s">
        <v>22796</v>
      </c>
    </row>
    <row r="782" customFormat="false" ht="15" hidden="false" customHeight="false" outlineLevel="0" collapsed="false">
      <c r="B782" s="7" t="s">
        <v>23599</v>
      </c>
      <c r="C782" s="39" t="n">
        <v>46019</v>
      </c>
      <c r="D782" s="7" t="s">
        <v>22862</v>
      </c>
      <c r="E782" s="41" t="n">
        <v>36.76</v>
      </c>
      <c r="F782" s="7" t="s">
        <v>22796</v>
      </c>
    </row>
    <row r="783" customFormat="false" ht="15" hidden="false" customHeight="false" outlineLevel="0" collapsed="false">
      <c r="B783" s="7" t="s">
        <v>23600</v>
      </c>
      <c r="C783" s="39" t="n">
        <v>45997</v>
      </c>
      <c r="D783" s="7" t="s">
        <v>22866</v>
      </c>
      <c r="E783" s="41" t="n">
        <v>192.55</v>
      </c>
      <c r="F783" s="7" t="s">
        <v>22796</v>
      </c>
    </row>
    <row r="784" customFormat="false" ht="15" hidden="false" customHeight="false" outlineLevel="0" collapsed="false">
      <c r="B784" s="7" t="s">
        <v>23601</v>
      </c>
      <c r="C784" s="39" t="n">
        <v>46004</v>
      </c>
      <c r="D784" s="7" t="s">
        <v>22866</v>
      </c>
      <c r="E784" s="41" t="n">
        <v>204.7</v>
      </c>
      <c r="F784" s="7" t="s">
        <v>22796</v>
      </c>
    </row>
    <row r="785" customFormat="false" ht="15" hidden="false" customHeight="false" outlineLevel="0" collapsed="false">
      <c r="B785" s="7" t="s">
        <v>23602</v>
      </c>
      <c r="C785" s="39" t="n">
        <v>46008</v>
      </c>
      <c r="D785" s="7" t="s">
        <v>22866</v>
      </c>
      <c r="E785" s="41" t="n">
        <v>73.45</v>
      </c>
      <c r="F785" s="7" t="s">
        <v>22796</v>
      </c>
    </row>
    <row r="786" customFormat="false" ht="15" hidden="false" customHeight="false" outlineLevel="0" collapsed="false">
      <c r="B786" s="7" t="s">
        <v>23603</v>
      </c>
      <c r="C786" s="39" t="n">
        <v>46010</v>
      </c>
      <c r="D786" s="7" t="s">
        <v>22866</v>
      </c>
      <c r="E786" s="41" t="n">
        <v>170.89</v>
      </c>
      <c r="F786" s="7" t="s">
        <v>22796</v>
      </c>
    </row>
    <row r="787" customFormat="false" ht="15" hidden="false" customHeight="false" outlineLevel="0" collapsed="false">
      <c r="B787" s="7" t="s">
        <v>23604</v>
      </c>
      <c r="C787" s="39" t="n">
        <v>46013</v>
      </c>
      <c r="D787" s="7" t="s">
        <v>22870</v>
      </c>
      <c r="E787" s="41" t="n">
        <v>167.69</v>
      </c>
      <c r="F787" s="7" t="s">
        <v>22796</v>
      </c>
    </row>
    <row r="788" customFormat="false" ht="15" hidden="false" customHeight="false" outlineLevel="0" collapsed="false">
      <c r="B788" s="7" t="s">
        <v>23605</v>
      </c>
      <c r="C788" s="39" t="n">
        <v>46021</v>
      </c>
      <c r="D788" s="7" t="s">
        <v>22870</v>
      </c>
      <c r="E788" s="41" t="n">
        <v>187.8</v>
      </c>
      <c r="F788" s="7" t="s">
        <v>22796</v>
      </c>
    </row>
    <row r="789" customFormat="false" ht="15" hidden="false" customHeight="false" outlineLevel="0" collapsed="false">
      <c r="B789" s="7" t="s">
        <v>23606</v>
      </c>
      <c r="C789" s="39" t="n">
        <v>45992</v>
      </c>
      <c r="D789" s="7" t="s">
        <v>22874</v>
      </c>
      <c r="E789" s="41" t="n">
        <v>421.68</v>
      </c>
      <c r="F789" s="7" t="s">
        <v>22796</v>
      </c>
    </row>
    <row r="790" customFormat="false" ht="15" hidden="false" customHeight="false" outlineLevel="0" collapsed="false">
      <c r="B790" s="7" t="s">
        <v>23607</v>
      </c>
      <c r="C790" s="39" t="n">
        <v>46004</v>
      </c>
      <c r="D790" s="7" t="s">
        <v>22876</v>
      </c>
      <c r="E790" s="41" t="n">
        <v>160.69</v>
      </c>
      <c r="F790" s="7" t="s">
        <v>22796</v>
      </c>
    </row>
    <row r="791" customFormat="false" ht="15" hidden="false" customHeight="false" outlineLevel="0" collapsed="false">
      <c r="B791" s="7" t="s">
        <v>23608</v>
      </c>
      <c r="C791" s="39" t="n">
        <v>46007</v>
      </c>
      <c r="D791" s="7" t="s">
        <v>22876</v>
      </c>
      <c r="E791" s="41" t="n">
        <v>70.51</v>
      </c>
      <c r="F791" s="7" t="s">
        <v>22796</v>
      </c>
    </row>
    <row r="792" customFormat="false" ht="15" hidden="false" customHeight="false" outlineLevel="0" collapsed="false">
      <c r="B792" s="7" t="s">
        <v>23609</v>
      </c>
      <c r="C792" s="39" t="n">
        <v>46013</v>
      </c>
      <c r="D792" s="7" t="s">
        <v>22876</v>
      </c>
      <c r="E792" s="41" t="n">
        <v>148.07</v>
      </c>
      <c r="F792" s="7" t="s">
        <v>22796</v>
      </c>
    </row>
    <row r="793" customFormat="false" ht="15" hidden="false" customHeight="false" outlineLevel="0" collapsed="false">
      <c r="B793" s="7" t="s">
        <v>23610</v>
      </c>
      <c r="C793" s="39" t="n">
        <v>45994</v>
      </c>
      <c r="D793" s="7" t="s">
        <v>142</v>
      </c>
      <c r="E793" s="41" t="n">
        <v>94.79</v>
      </c>
      <c r="F793" s="7" t="s">
        <v>22796</v>
      </c>
    </row>
    <row r="794" customFormat="false" ht="15" hidden="false" customHeight="false" outlineLevel="0" collapsed="false">
      <c r="B794" s="7" t="s">
        <v>23611</v>
      </c>
      <c r="C794" s="39" t="n">
        <v>46002</v>
      </c>
      <c r="D794" s="7" t="s">
        <v>142</v>
      </c>
      <c r="E794" s="41" t="n">
        <v>34.88</v>
      </c>
      <c r="F794" s="7" t="s">
        <v>22796</v>
      </c>
    </row>
    <row r="795" customFormat="false" ht="15" hidden="false" customHeight="false" outlineLevel="0" collapsed="false">
      <c r="B795" s="7" t="s">
        <v>23612</v>
      </c>
      <c r="C795" s="39" t="n">
        <v>46005</v>
      </c>
      <c r="D795" s="7" t="s">
        <v>142</v>
      </c>
      <c r="E795" s="41" t="n">
        <v>24.02</v>
      </c>
      <c r="F795" s="7" t="s">
        <v>22796</v>
      </c>
    </row>
    <row r="796" customFormat="false" ht="15" hidden="false" customHeight="false" outlineLevel="0" collapsed="false">
      <c r="B796" s="7" t="s">
        <v>23613</v>
      </c>
      <c r="C796" s="39" t="n">
        <v>46021</v>
      </c>
      <c r="D796" s="7" t="s">
        <v>142</v>
      </c>
      <c r="E796" s="41" t="n">
        <v>36.57</v>
      </c>
      <c r="F796" s="7" t="s">
        <v>22796</v>
      </c>
    </row>
    <row r="797" customFormat="false" ht="15" hidden="false" customHeight="false" outlineLevel="0" collapsed="false">
      <c r="B797" s="7" t="s">
        <v>23614</v>
      </c>
      <c r="C797" s="39" t="n">
        <v>46006</v>
      </c>
      <c r="D797" s="7" t="s">
        <v>22882</v>
      </c>
      <c r="E797" s="41" t="n">
        <v>13.08</v>
      </c>
      <c r="F797" s="7" t="s">
        <v>22796</v>
      </c>
    </row>
    <row r="798" customFormat="false" ht="15" hidden="false" customHeight="false" outlineLevel="0" collapsed="false">
      <c r="B798" s="7" t="s">
        <v>23615</v>
      </c>
      <c r="C798" s="39" t="n">
        <v>46009</v>
      </c>
      <c r="D798" s="7" t="s">
        <v>22882</v>
      </c>
      <c r="E798" s="41" t="n">
        <v>15.04</v>
      </c>
      <c r="F798" s="7" t="s">
        <v>22796</v>
      </c>
    </row>
    <row r="799" customFormat="false" ht="15" hidden="false" customHeight="false" outlineLevel="0" collapsed="false">
      <c r="B799" s="7" t="s">
        <v>23616</v>
      </c>
      <c r="C799" s="39" t="n">
        <v>46010</v>
      </c>
      <c r="D799" s="7" t="s">
        <v>22882</v>
      </c>
      <c r="E799" s="41" t="n">
        <v>5.4</v>
      </c>
      <c r="F799" s="7" t="s">
        <v>22796</v>
      </c>
    </row>
    <row r="800" customFormat="false" ht="15" hidden="false" customHeight="false" outlineLevel="0" collapsed="false">
      <c r="B800" s="7" t="s">
        <v>23617</v>
      </c>
      <c r="C800" s="39" t="n">
        <v>46022</v>
      </c>
      <c r="D800" s="7" t="s">
        <v>22882</v>
      </c>
      <c r="E800" s="41" t="n">
        <v>13.88</v>
      </c>
      <c r="F800" s="7" t="s">
        <v>22796</v>
      </c>
    </row>
    <row r="801" customFormat="false" ht="15" hidden="false" customHeight="false" outlineLevel="0" collapsed="false">
      <c r="B801" s="7" t="s">
        <v>23618</v>
      </c>
      <c r="C801" s="39" t="n">
        <v>46000</v>
      </c>
      <c r="D801" s="7" t="s">
        <v>143</v>
      </c>
      <c r="E801" s="41" t="n">
        <v>65.34</v>
      </c>
      <c r="F801" s="7" t="s">
        <v>22796</v>
      </c>
    </row>
    <row r="802" customFormat="false" ht="15" hidden="false" customHeight="false" outlineLevel="0" collapsed="false">
      <c r="B802" s="7" t="s">
        <v>23619</v>
      </c>
      <c r="C802" s="39" t="n">
        <v>46022</v>
      </c>
      <c r="D802" s="7" t="s">
        <v>143</v>
      </c>
      <c r="E802" s="41" t="n">
        <v>139.44</v>
      </c>
      <c r="F802" s="7" t="s">
        <v>22796</v>
      </c>
    </row>
    <row r="803" customFormat="false" ht="15" hidden="false" customHeight="false" outlineLevel="0" collapsed="false">
      <c r="B803" s="7" t="s">
        <v>23620</v>
      </c>
      <c r="C803" s="39" t="n">
        <v>45688</v>
      </c>
      <c r="D803" s="7" t="s">
        <v>23621</v>
      </c>
      <c r="E803" s="41" t="n">
        <v>0</v>
      </c>
      <c r="F803" s="7" t="s">
        <v>23622</v>
      </c>
    </row>
    <row r="804" customFormat="false" ht="15" hidden="false" customHeight="false" outlineLevel="0" collapsed="false">
      <c r="B804" s="7" t="s">
        <v>23623</v>
      </c>
      <c r="C804" s="39" t="n">
        <v>45716</v>
      </c>
      <c r="D804" s="7" t="s">
        <v>23621</v>
      </c>
      <c r="E804" s="41" t="n">
        <v>0</v>
      </c>
      <c r="F804" s="7" t="s">
        <v>23622</v>
      </c>
    </row>
    <row r="805" customFormat="false" ht="15" hidden="false" customHeight="false" outlineLevel="0" collapsed="false">
      <c r="B805" s="7" t="s">
        <v>23624</v>
      </c>
      <c r="C805" s="39" t="n">
        <v>45747</v>
      </c>
      <c r="D805" s="7" t="s">
        <v>23621</v>
      </c>
      <c r="E805" s="41" t="n">
        <v>0</v>
      </c>
      <c r="F805" s="7" t="s">
        <v>23622</v>
      </c>
    </row>
    <row r="806" customFormat="false" ht="15" hidden="false" customHeight="false" outlineLevel="0" collapsed="false">
      <c r="B806" s="7" t="s">
        <v>23625</v>
      </c>
      <c r="C806" s="39" t="n">
        <v>45777</v>
      </c>
      <c r="D806" s="7" t="s">
        <v>23621</v>
      </c>
      <c r="E806" s="41" t="n">
        <v>0</v>
      </c>
      <c r="F806" s="7" t="s">
        <v>23622</v>
      </c>
    </row>
    <row r="807" customFormat="false" ht="15" hidden="false" customHeight="false" outlineLevel="0" collapsed="false">
      <c r="B807" s="7" t="s">
        <v>23626</v>
      </c>
      <c r="C807" s="39" t="n">
        <v>45808</v>
      </c>
      <c r="D807" s="7" t="s">
        <v>23621</v>
      </c>
      <c r="E807" s="41" t="n">
        <v>0</v>
      </c>
      <c r="F807" s="7" t="s">
        <v>23622</v>
      </c>
    </row>
    <row r="808" customFormat="false" ht="15" hidden="false" customHeight="false" outlineLevel="0" collapsed="false">
      <c r="B808" s="7" t="s">
        <v>23627</v>
      </c>
      <c r="C808" s="39" t="n">
        <v>45838</v>
      </c>
      <c r="D808" s="7" t="s">
        <v>23621</v>
      </c>
      <c r="E808" s="41" t="n">
        <v>0</v>
      </c>
      <c r="F808" s="7" t="s">
        <v>23622</v>
      </c>
    </row>
    <row r="809" customFormat="false" ht="15" hidden="false" customHeight="false" outlineLevel="0" collapsed="false">
      <c r="B809" s="7" t="s">
        <v>23628</v>
      </c>
      <c r="C809" s="39" t="n">
        <v>45869</v>
      </c>
      <c r="D809" s="7" t="s">
        <v>23621</v>
      </c>
      <c r="E809" s="41" t="n">
        <v>0</v>
      </c>
      <c r="F809" s="7" t="s">
        <v>23622</v>
      </c>
    </row>
    <row r="810" customFormat="false" ht="15" hidden="false" customHeight="false" outlineLevel="0" collapsed="false">
      <c r="B810" s="7" t="s">
        <v>23629</v>
      </c>
      <c r="C810" s="39" t="n">
        <v>45900</v>
      </c>
      <c r="D810" s="7" t="s">
        <v>23621</v>
      </c>
      <c r="E810" s="41" t="n">
        <v>0</v>
      </c>
      <c r="F810" s="7" t="s">
        <v>23622</v>
      </c>
    </row>
    <row r="811" customFormat="false" ht="15" hidden="false" customHeight="false" outlineLevel="0" collapsed="false">
      <c r="B811" s="7" t="s">
        <v>23630</v>
      </c>
      <c r="C811" s="39" t="n">
        <v>45930</v>
      </c>
      <c r="D811" s="7" t="s">
        <v>23621</v>
      </c>
      <c r="E811" s="41" t="n">
        <v>0</v>
      </c>
      <c r="F811" s="7" t="s">
        <v>23622</v>
      </c>
    </row>
    <row r="812" customFormat="false" ht="15" hidden="false" customHeight="false" outlineLevel="0" collapsed="false">
      <c r="B812" s="7" t="s">
        <v>23631</v>
      </c>
      <c r="C812" s="39" t="n">
        <v>45961</v>
      </c>
      <c r="D812" s="7" t="s">
        <v>23621</v>
      </c>
      <c r="E812" s="41" t="n">
        <v>0</v>
      </c>
      <c r="F812" s="7" t="s">
        <v>23622</v>
      </c>
    </row>
    <row r="813" customFormat="false" ht="15" hidden="false" customHeight="false" outlineLevel="0" collapsed="false">
      <c r="B813" s="7" t="s">
        <v>23632</v>
      </c>
      <c r="C813" s="39" t="n">
        <v>45991</v>
      </c>
      <c r="D813" s="7" t="s">
        <v>23621</v>
      </c>
      <c r="E813" s="41" t="n">
        <v>0</v>
      </c>
      <c r="F813" s="7" t="s">
        <v>23622</v>
      </c>
    </row>
    <row r="814" customFormat="false" ht="15" hidden="false" customHeight="false" outlineLevel="0" collapsed="false">
      <c r="B814" s="7" t="s">
        <v>23633</v>
      </c>
      <c r="C814" s="39" t="n">
        <v>46022</v>
      </c>
      <c r="D814" s="7" t="s">
        <v>23621</v>
      </c>
      <c r="E814" s="41" t="n">
        <v>0</v>
      </c>
      <c r="F814" s="7" t="s">
        <v>23622</v>
      </c>
    </row>
    <row r="815" customFormat="false" ht="15" hidden="false" customHeight="false" outlineLevel="0" collapsed="false">
      <c r="B815" s="7" t="s">
        <v>23634</v>
      </c>
      <c r="C815" s="39" t="n">
        <v>45688</v>
      </c>
      <c r="D815" s="7" t="s">
        <v>144</v>
      </c>
      <c r="E815" s="41" t="n">
        <v>1123.42</v>
      </c>
      <c r="F815" s="7" t="s">
        <v>23622</v>
      </c>
    </row>
    <row r="816" customFormat="false" ht="15" hidden="false" customHeight="false" outlineLevel="0" collapsed="false">
      <c r="B816" s="7" t="s">
        <v>23635</v>
      </c>
      <c r="C816" s="39" t="n">
        <v>45716</v>
      </c>
      <c r="D816" s="7" t="s">
        <v>144</v>
      </c>
      <c r="E816" s="41" t="n">
        <v>1201.2</v>
      </c>
      <c r="F816" s="7" t="s">
        <v>23622</v>
      </c>
    </row>
    <row r="817" customFormat="false" ht="15" hidden="false" customHeight="false" outlineLevel="0" collapsed="false">
      <c r="B817" s="7" t="s">
        <v>23636</v>
      </c>
      <c r="C817" s="39" t="n">
        <v>45747</v>
      </c>
      <c r="D817" s="7" t="s">
        <v>144</v>
      </c>
      <c r="E817" s="41" t="n">
        <v>1301.2</v>
      </c>
      <c r="F817" s="7" t="s">
        <v>23622</v>
      </c>
    </row>
    <row r="818" customFormat="false" ht="15" hidden="false" customHeight="false" outlineLevel="0" collapsed="false">
      <c r="B818" s="7" t="s">
        <v>23637</v>
      </c>
      <c r="C818" s="39" t="n">
        <v>45777</v>
      </c>
      <c r="D818" s="7" t="s">
        <v>144</v>
      </c>
      <c r="E818" s="41" t="n">
        <v>1332.03</v>
      </c>
      <c r="F818" s="7" t="s">
        <v>23622</v>
      </c>
    </row>
    <row r="819" customFormat="false" ht="15" hidden="false" customHeight="false" outlineLevel="0" collapsed="false">
      <c r="B819" s="7" t="s">
        <v>23638</v>
      </c>
      <c r="C819" s="39" t="n">
        <v>45808</v>
      </c>
      <c r="D819" s="7" t="s">
        <v>144</v>
      </c>
      <c r="E819" s="41" t="n">
        <v>1382.03</v>
      </c>
      <c r="F819" s="7" t="s">
        <v>23622</v>
      </c>
    </row>
    <row r="820" customFormat="false" ht="15" hidden="false" customHeight="false" outlineLevel="0" collapsed="false">
      <c r="B820" s="7" t="s">
        <v>23639</v>
      </c>
      <c r="C820" s="39" t="n">
        <v>45838</v>
      </c>
      <c r="D820" s="7" t="s">
        <v>144</v>
      </c>
      <c r="E820" s="41" t="n">
        <v>1382.03</v>
      </c>
      <c r="F820" s="7" t="s">
        <v>23622</v>
      </c>
    </row>
    <row r="821" customFormat="false" ht="15" hidden="false" customHeight="false" outlineLevel="0" collapsed="false">
      <c r="B821" s="7" t="s">
        <v>23640</v>
      </c>
      <c r="C821" s="39" t="n">
        <v>45869</v>
      </c>
      <c r="D821" s="7" t="s">
        <v>144</v>
      </c>
      <c r="E821" s="41" t="n">
        <v>1382.03</v>
      </c>
      <c r="F821" s="7" t="s">
        <v>23622</v>
      </c>
    </row>
    <row r="822" customFormat="false" ht="15" hidden="false" customHeight="false" outlineLevel="0" collapsed="false">
      <c r="B822" s="7" t="s">
        <v>23641</v>
      </c>
      <c r="C822" s="39" t="n">
        <v>45900</v>
      </c>
      <c r="D822" s="7" t="s">
        <v>144</v>
      </c>
      <c r="E822" s="41" t="n">
        <v>1765.36</v>
      </c>
      <c r="F822" s="7" t="s">
        <v>23622</v>
      </c>
    </row>
    <row r="823" customFormat="false" ht="15" hidden="false" customHeight="false" outlineLevel="0" collapsed="false">
      <c r="B823" s="7" t="s">
        <v>23642</v>
      </c>
      <c r="C823" s="39" t="n">
        <v>45930</v>
      </c>
      <c r="D823" s="7" t="s">
        <v>144</v>
      </c>
      <c r="E823" s="41" t="n">
        <v>1765.36</v>
      </c>
      <c r="F823" s="7" t="s">
        <v>23622</v>
      </c>
    </row>
    <row r="824" customFormat="false" ht="15" hidden="false" customHeight="false" outlineLevel="0" collapsed="false">
      <c r="B824" s="7" t="s">
        <v>23643</v>
      </c>
      <c r="C824" s="39" t="n">
        <v>45961</v>
      </c>
      <c r="D824" s="7" t="s">
        <v>144</v>
      </c>
      <c r="E824" s="41" t="n">
        <v>2065.36</v>
      </c>
      <c r="F824" s="7" t="s">
        <v>23622</v>
      </c>
    </row>
    <row r="825" customFormat="false" ht="15" hidden="false" customHeight="false" outlineLevel="0" collapsed="false">
      <c r="B825" s="7" t="s">
        <v>23644</v>
      </c>
      <c r="C825" s="39" t="n">
        <v>45991</v>
      </c>
      <c r="D825" s="7" t="s">
        <v>144</v>
      </c>
      <c r="E825" s="41" t="n">
        <v>2065.36</v>
      </c>
      <c r="F825" s="7" t="s">
        <v>23622</v>
      </c>
    </row>
    <row r="826" customFormat="false" ht="15" hidden="false" customHeight="false" outlineLevel="0" collapsed="false">
      <c r="B826" s="7" t="s">
        <v>23645</v>
      </c>
      <c r="C826" s="39" t="n">
        <v>46022</v>
      </c>
      <c r="D826" s="7" t="s">
        <v>144</v>
      </c>
      <c r="E826" s="41" t="n">
        <v>2065.36</v>
      </c>
      <c r="F826" s="7" t="s">
        <v>23622</v>
      </c>
    </row>
    <row r="827" customFormat="false" ht="15" hidden="false" customHeight="false" outlineLevel="0" collapsed="false">
      <c r="B827" s="7" t="s">
        <v>23646</v>
      </c>
      <c r="C827" s="39" t="n">
        <v>45688</v>
      </c>
      <c r="D827" s="7" t="s">
        <v>146</v>
      </c>
      <c r="E827" s="41" t="n">
        <v>0</v>
      </c>
      <c r="F827" s="7" t="s">
        <v>23622</v>
      </c>
    </row>
    <row r="828" customFormat="false" ht="15" hidden="false" customHeight="false" outlineLevel="0" collapsed="false">
      <c r="B828" s="7" t="s">
        <v>23647</v>
      </c>
      <c r="C828" s="39" t="n">
        <v>45716</v>
      </c>
      <c r="D828" s="7" t="s">
        <v>146</v>
      </c>
      <c r="E828" s="41" t="n">
        <v>0</v>
      </c>
      <c r="F828" s="7" t="s">
        <v>23622</v>
      </c>
    </row>
    <row r="829" customFormat="false" ht="15" hidden="false" customHeight="false" outlineLevel="0" collapsed="false">
      <c r="B829" s="7" t="s">
        <v>23648</v>
      </c>
      <c r="C829" s="39" t="n">
        <v>45747</v>
      </c>
      <c r="D829" s="7" t="s">
        <v>146</v>
      </c>
      <c r="E829" s="41" t="n">
        <v>0</v>
      </c>
      <c r="F829" s="7" t="s">
        <v>23622</v>
      </c>
    </row>
    <row r="830" customFormat="false" ht="15" hidden="false" customHeight="false" outlineLevel="0" collapsed="false">
      <c r="B830" s="7" t="s">
        <v>23649</v>
      </c>
      <c r="C830" s="39" t="n">
        <v>45777</v>
      </c>
      <c r="D830" s="7" t="s">
        <v>146</v>
      </c>
      <c r="E830" s="41" t="n">
        <v>0</v>
      </c>
      <c r="F830" s="7" t="s">
        <v>23622</v>
      </c>
    </row>
    <row r="831" customFormat="false" ht="15" hidden="false" customHeight="false" outlineLevel="0" collapsed="false">
      <c r="B831" s="7" t="s">
        <v>23650</v>
      </c>
      <c r="C831" s="39" t="n">
        <v>45808</v>
      </c>
      <c r="D831" s="7" t="s">
        <v>146</v>
      </c>
      <c r="E831" s="41" t="n">
        <v>0</v>
      </c>
      <c r="F831" s="7" t="s">
        <v>23622</v>
      </c>
    </row>
    <row r="832" customFormat="false" ht="15" hidden="false" customHeight="false" outlineLevel="0" collapsed="false">
      <c r="B832" s="7" t="s">
        <v>23651</v>
      </c>
      <c r="C832" s="39" t="n">
        <v>45838</v>
      </c>
      <c r="D832" s="7" t="s">
        <v>146</v>
      </c>
      <c r="E832" s="41" t="n">
        <v>0</v>
      </c>
      <c r="F832" s="7" t="s">
        <v>23622</v>
      </c>
    </row>
    <row r="833" customFormat="false" ht="15" hidden="false" customHeight="false" outlineLevel="0" collapsed="false">
      <c r="B833" s="7" t="s">
        <v>23652</v>
      </c>
      <c r="C833" s="39" t="n">
        <v>45869</v>
      </c>
      <c r="D833" s="7" t="s">
        <v>146</v>
      </c>
      <c r="E833" s="41" t="n">
        <v>0</v>
      </c>
      <c r="F833" s="7" t="s">
        <v>23622</v>
      </c>
    </row>
    <row r="834" customFormat="false" ht="15" hidden="false" customHeight="false" outlineLevel="0" collapsed="false">
      <c r="B834" s="7" t="s">
        <v>23653</v>
      </c>
      <c r="C834" s="39" t="n">
        <v>45900</v>
      </c>
      <c r="D834" s="7" t="s">
        <v>146</v>
      </c>
      <c r="E834" s="41" t="n">
        <v>0</v>
      </c>
      <c r="F834" s="7" t="s">
        <v>23622</v>
      </c>
    </row>
    <row r="835" customFormat="false" ht="15" hidden="false" customHeight="false" outlineLevel="0" collapsed="false">
      <c r="B835" s="7" t="s">
        <v>23654</v>
      </c>
      <c r="C835" s="39" t="n">
        <v>45930</v>
      </c>
      <c r="D835" s="7" t="s">
        <v>146</v>
      </c>
      <c r="E835" s="41" t="n">
        <v>0</v>
      </c>
      <c r="F835" s="7" t="s">
        <v>23622</v>
      </c>
    </row>
    <row r="836" customFormat="false" ht="15" hidden="false" customHeight="false" outlineLevel="0" collapsed="false">
      <c r="B836" s="7" t="s">
        <v>23655</v>
      </c>
      <c r="C836" s="39" t="n">
        <v>45961</v>
      </c>
      <c r="D836" s="7" t="s">
        <v>146</v>
      </c>
      <c r="E836" s="41" t="n">
        <v>0</v>
      </c>
      <c r="F836" s="7" t="s">
        <v>23622</v>
      </c>
    </row>
    <row r="837" customFormat="false" ht="15" hidden="false" customHeight="false" outlineLevel="0" collapsed="false">
      <c r="B837" s="7" t="s">
        <v>23656</v>
      </c>
      <c r="C837" s="39" t="n">
        <v>45991</v>
      </c>
      <c r="D837" s="7" t="s">
        <v>146</v>
      </c>
      <c r="E837" s="41" t="n">
        <v>0</v>
      </c>
      <c r="F837" s="7" t="s">
        <v>23622</v>
      </c>
    </row>
    <row r="838" customFormat="false" ht="15" hidden="false" customHeight="false" outlineLevel="0" collapsed="false">
      <c r="B838" s="7" t="s">
        <v>23657</v>
      </c>
      <c r="C838" s="39" t="n">
        <v>46022</v>
      </c>
      <c r="D838" s="7" t="s">
        <v>146</v>
      </c>
      <c r="E838" s="41" t="n">
        <v>0</v>
      </c>
      <c r="F838" s="7" t="s">
        <v>23622</v>
      </c>
    </row>
    <row r="840" customFormat="false" ht="15" hidden="false" customHeight="false" outlineLevel="0" collapsed="false">
      <c r="B840" s="36" t="s">
        <v>23658</v>
      </c>
      <c r="E840" s="37" t="n">
        <f aca="false">SUM(E6:E838)</f>
        <v>286716.65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6B"/>
    <pageSetUpPr fitToPage="false"/>
  </sheetPr>
  <dimension ref="B2:O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15" min="3" style="0" width="12"/>
  </cols>
  <sheetData>
    <row r="2" customFormat="false" ht="17.35" hidden="false" customHeight="false" outlineLevel="0" collapsed="false">
      <c r="B2" s="1" t="s">
        <v>23659</v>
      </c>
    </row>
    <row r="3" customFormat="false" ht="15" hidden="false" customHeight="false" outlineLevel="0" collapsed="false">
      <c r="B3" s="2" t="s">
        <v>23660</v>
      </c>
    </row>
    <row r="5" customFormat="false" ht="15" hidden="false" customHeight="false" outlineLevel="0" collapsed="false">
      <c r="B5" s="45"/>
      <c r="C5" s="11" t="s">
        <v>469</v>
      </c>
      <c r="D5" s="11" t="s">
        <v>470</v>
      </c>
      <c r="E5" s="11" t="s">
        <v>471</v>
      </c>
      <c r="F5" s="11" t="s">
        <v>472</v>
      </c>
      <c r="G5" s="11" t="s">
        <v>473</v>
      </c>
      <c r="H5" s="11" t="s">
        <v>474</v>
      </c>
      <c r="I5" s="11" t="s">
        <v>475</v>
      </c>
      <c r="J5" s="11" t="s">
        <v>476</v>
      </c>
      <c r="K5" s="11" t="s">
        <v>477</v>
      </c>
      <c r="L5" s="11" t="s">
        <v>478</v>
      </c>
      <c r="M5" s="11" t="s">
        <v>479</v>
      </c>
      <c r="N5" s="11" t="s">
        <v>480</v>
      </c>
      <c r="O5" s="11" t="s">
        <v>14624</v>
      </c>
    </row>
    <row r="6" customFormat="false" ht="15" hidden="false" customHeight="false" outlineLevel="0" collapsed="false">
      <c r="B6" s="13" t="s">
        <v>22819</v>
      </c>
      <c r="C6" s="34" t="n">
        <f aca="false">SUMIFS('Daily Overhead Register'!$E$6:$E$838,'Daily Overhead Register'!$C$6:$C$838,"&gt;="&amp;DATE(2025,1,1),'Daily Overhead Register'!$C$6:$C$838,"&lt;"&amp;DATE(2025,2,1),'Daily Overhead Register'!$D$6:$D$838,"Admin Salaries - Billing Clerk")</f>
        <v>1341.23</v>
      </c>
      <c r="D6" s="34" t="n">
        <f aca="false">SUMIFS('Daily Overhead Register'!$E$6:$E$838,'Daily Overhead Register'!$C$6:$C$838,"&gt;="&amp;DATE(2025,2,1),'Daily Overhead Register'!$C$6:$C$838,"&lt;"&amp;DATE(2025,3,1),'Daily Overhead Register'!$D$6:$D$838,"Admin Salaries - Billing Clerk")</f>
        <v>1334.81</v>
      </c>
      <c r="E6" s="34" t="n">
        <f aca="false">SUMIFS('Daily Overhead Register'!$E$6:$E$838,'Daily Overhead Register'!$C$6:$C$838,"&gt;="&amp;DATE(2025,3,1),'Daily Overhead Register'!$C$6:$C$838,"&lt;"&amp;DATE(2025,4,1),'Daily Overhead Register'!$D$6:$D$838,"Admin Salaries - Billing Clerk")</f>
        <v>1357.85</v>
      </c>
      <c r="F6" s="34" t="n">
        <f aca="false">SUMIFS('Daily Overhead Register'!$E$6:$E$838,'Daily Overhead Register'!$C$6:$C$838,"&gt;="&amp;DATE(2025,4,1),'Daily Overhead Register'!$C$6:$C$838,"&lt;"&amp;DATE(2025,5,1),'Daily Overhead Register'!$D$6:$D$838,"Admin Salaries - Billing Clerk")</f>
        <v>1328.57</v>
      </c>
      <c r="G6" s="34" t="n">
        <f aca="false">SUMIFS('Daily Overhead Register'!$E$6:$E$838,'Daily Overhead Register'!$C$6:$C$838,"&gt;="&amp;DATE(2025,5,1),'Daily Overhead Register'!$C$6:$C$838,"&lt;"&amp;DATE(2025,6,1),'Daily Overhead Register'!$D$6:$D$838,"Admin Salaries - Billing Clerk")</f>
        <v>1433.04</v>
      </c>
      <c r="H6" s="34" t="n">
        <f aca="false">SUMIFS('Daily Overhead Register'!$E$6:$E$838,'Daily Overhead Register'!$C$6:$C$838,"&gt;="&amp;DATE(2025,6,1),'Daily Overhead Register'!$C$6:$C$838,"&lt;"&amp;DATE(2025,7,1),'Daily Overhead Register'!$D$6:$D$838,"Admin Salaries - Billing Clerk")</f>
        <v>1325.19</v>
      </c>
      <c r="I6" s="34" t="n">
        <f aca="false">SUMIFS('Daily Overhead Register'!$E$6:$E$838,'Daily Overhead Register'!$C$6:$C$838,"&gt;="&amp;DATE(2025,7,1),'Daily Overhead Register'!$C$6:$C$838,"&lt;"&amp;DATE(2025,8,1),'Daily Overhead Register'!$D$6:$D$838,"Admin Salaries - Billing Clerk")</f>
        <v>1354.34</v>
      </c>
      <c r="J6" s="34" t="n">
        <f aca="false">SUMIFS('Daily Overhead Register'!$E$6:$E$838,'Daily Overhead Register'!$C$6:$C$838,"&gt;="&amp;DATE(2025,8,1),'Daily Overhead Register'!$C$6:$C$838,"&lt;"&amp;DATE(2025,9,1),'Daily Overhead Register'!$D$6:$D$838,"Admin Salaries - Billing Clerk")</f>
        <v>1359.16</v>
      </c>
      <c r="K6" s="34" t="n">
        <f aca="false">SUMIFS('Daily Overhead Register'!$E$6:$E$838,'Daily Overhead Register'!$C$6:$C$838,"&gt;="&amp;DATE(2025,9,1),'Daily Overhead Register'!$C$6:$C$838,"&lt;"&amp;DATE(2025,10,1),'Daily Overhead Register'!$D$6:$D$838,"Admin Salaries - Billing Clerk")</f>
        <v>1420.82</v>
      </c>
      <c r="L6" s="34" t="n">
        <f aca="false">SUMIFS('Daily Overhead Register'!$E$6:$E$838,'Daily Overhead Register'!$C$6:$C$838,"&gt;="&amp;DATE(2025,10,1),'Daily Overhead Register'!$C$6:$C$838,"&lt;"&amp;DATE(2025,11,1),'Daily Overhead Register'!$D$6:$D$838,"Admin Salaries - Billing Clerk")</f>
        <v>1402.68</v>
      </c>
      <c r="M6" s="34" t="n">
        <f aca="false">SUMIFS('Daily Overhead Register'!$E$6:$E$838,'Daily Overhead Register'!$C$6:$C$838,"&gt;="&amp;DATE(2025,11,1),'Daily Overhead Register'!$C$6:$C$838,"&lt;"&amp;DATE(2025,12,1),'Daily Overhead Register'!$D$6:$D$838,"Admin Salaries - Billing Clerk")</f>
        <v>1386.91</v>
      </c>
      <c r="N6" s="34" t="n">
        <f aca="false">SUMIFS('Daily Overhead Register'!$E$6:$E$838,'Daily Overhead Register'!$C$6:$C$838,"&gt;="&amp;DATE(2025,12,1),'Daily Overhead Register'!$C$6:$C$838,"&lt;"&amp;DATE(2026,1,1),'Daily Overhead Register'!$D$6:$D$838,"Admin Salaries - Billing Clerk")</f>
        <v>1463.11</v>
      </c>
      <c r="O6" s="35" t="n">
        <f aca="false">SUM(C6:N6)</f>
        <v>16507.71</v>
      </c>
    </row>
    <row r="7" customFormat="false" ht="15" hidden="false" customHeight="false" outlineLevel="0" collapsed="false">
      <c r="B7" s="13" t="s">
        <v>22812</v>
      </c>
      <c r="C7" s="34" t="n">
        <f aca="false">SUMIFS('Daily Overhead Register'!$E$6:$E$838,'Daily Overhead Register'!$C$6:$C$838,"&gt;="&amp;DATE(2025,1,1),'Daily Overhead Register'!$C$6:$C$838,"&lt;"&amp;DATE(2025,2,1),'Daily Overhead Register'!$D$6:$D$838,"Admin Salaries - Office Manager")</f>
        <v>3079.96</v>
      </c>
      <c r="D7" s="34" t="n">
        <f aca="false">SUMIFS('Daily Overhead Register'!$E$6:$E$838,'Daily Overhead Register'!$C$6:$C$838,"&gt;="&amp;DATE(2025,2,1),'Daily Overhead Register'!$C$6:$C$838,"&lt;"&amp;DATE(2025,3,1),'Daily Overhead Register'!$D$6:$D$838,"Admin Salaries - Office Manager")</f>
        <v>3035.19</v>
      </c>
      <c r="E7" s="34" t="n">
        <f aca="false">SUMIFS('Daily Overhead Register'!$E$6:$E$838,'Daily Overhead Register'!$C$6:$C$838,"&gt;="&amp;DATE(2025,3,1),'Daily Overhead Register'!$C$6:$C$838,"&lt;"&amp;DATE(2025,4,1),'Daily Overhead Register'!$D$6:$D$838,"Admin Salaries - Office Manager")</f>
        <v>3404.89</v>
      </c>
      <c r="F7" s="34" t="n">
        <f aca="false">SUMIFS('Daily Overhead Register'!$E$6:$E$838,'Daily Overhead Register'!$C$6:$C$838,"&gt;="&amp;DATE(2025,4,1),'Daily Overhead Register'!$C$6:$C$838,"&lt;"&amp;DATE(2025,5,1),'Daily Overhead Register'!$D$6:$D$838,"Admin Salaries - Office Manager")</f>
        <v>3397.47</v>
      </c>
      <c r="G7" s="34" t="n">
        <f aca="false">SUMIFS('Daily Overhead Register'!$E$6:$E$838,'Daily Overhead Register'!$C$6:$C$838,"&gt;="&amp;DATE(2025,5,1),'Daily Overhead Register'!$C$6:$C$838,"&lt;"&amp;DATE(2025,6,1),'Daily Overhead Register'!$D$6:$D$838,"Admin Salaries - Office Manager")</f>
        <v>3142.1</v>
      </c>
      <c r="H7" s="34" t="n">
        <f aca="false">SUMIFS('Daily Overhead Register'!$E$6:$E$838,'Daily Overhead Register'!$C$6:$C$838,"&gt;="&amp;DATE(2025,6,1),'Daily Overhead Register'!$C$6:$C$838,"&lt;"&amp;DATE(2025,7,1),'Daily Overhead Register'!$D$6:$D$838,"Admin Salaries - Office Manager")</f>
        <v>3384.83</v>
      </c>
      <c r="I7" s="34" t="n">
        <f aca="false">SUMIFS('Daily Overhead Register'!$E$6:$E$838,'Daily Overhead Register'!$C$6:$C$838,"&gt;="&amp;DATE(2025,7,1),'Daily Overhead Register'!$C$6:$C$838,"&lt;"&amp;DATE(2025,8,1),'Daily Overhead Register'!$D$6:$D$838,"Admin Salaries - Office Manager")</f>
        <v>3279.87</v>
      </c>
      <c r="J7" s="34" t="n">
        <f aca="false">SUMIFS('Daily Overhead Register'!$E$6:$E$838,'Daily Overhead Register'!$C$6:$C$838,"&gt;="&amp;DATE(2025,8,1),'Daily Overhead Register'!$C$6:$C$838,"&lt;"&amp;DATE(2025,9,1),'Daily Overhead Register'!$D$6:$D$838,"Admin Salaries - Office Manager")</f>
        <v>3408.28</v>
      </c>
      <c r="K7" s="34" t="n">
        <f aca="false">SUMIFS('Daily Overhead Register'!$E$6:$E$838,'Daily Overhead Register'!$C$6:$C$838,"&gt;="&amp;DATE(2025,9,1),'Daily Overhead Register'!$C$6:$C$838,"&lt;"&amp;DATE(2025,10,1),'Daily Overhead Register'!$D$6:$D$838,"Admin Salaries - Office Manager")</f>
        <v>3346.63</v>
      </c>
      <c r="L7" s="34" t="n">
        <f aca="false">SUMIFS('Daily Overhead Register'!$E$6:$E$838,'Daily Overhead Register'!$C$6:$C$838,"&gt;="&amp;DATE(2025,10,1),'Daily Overhead Register'!$C$6:$C$838,"&lt;"&amp;DATE(2025,11,1),'Daily Overhead Register'!$D$6:$D$838,"Admin Salaries - Office Manager")</f>
        <v>3058.34</v>
      </c>
      <c r="M7" s="34" t="n">
        <f aca="false">SUMIFS('Daily Overhead Register'!$E$6:$E$838,'Daily Overhead Register'!$C$6:$C$838,"&gt;="&amp;DATE(2025,11,1),'Daily Overhead Register'!$C$6:$C$838,"&lt;"&amp;DATE(2025,12,1),'Daily Overhead Register'!$D$6:$D$838,"Admin Salaries - Office Manager")</f>
        <v>3013.11</v>
      </c>
      <c r="N7" s="34" t="n">
        <f aca="false">SUMIFS('Daily Overhead Register'!$E$6:$E$838,'Daily Overhead Register'!$C$6:$C$838,"&gt;="&amp;DATE(2025,12,1),'Daily Overhead Register'!$C$6:$C$838,"&lt;"&amp;DATE(2026,1,1),'Daily Overhead Register'!$D$6:$D$838,"Admin Salaries - Office Manager")</f>
        <v>3370.81</v>
      </c>
      <c r="O7" s="35" t="n">
        <f aca="false">SUM(C7:N7)</f>
        <v>38921.48</v>
      </c>
    </row>
    <row r="8" customFormat="false" ht="15" hidden="false" customHeight="false" outlineLevel="0" collapsed="false">
      <c r="B8" s="13" t="s">
        <v>22816</v>
      </c>
      <c r="C8" s="34" t="n">
        <f aca="false">SUMIFS('Daily Overhead Register'!$E$6:$E$838,'Daily Overhead Register'!$C$6:$C$838,"&gt;="&amp;DATE(2025,1,1),'Daily Overhead Register'!$C$6:$C$838,"&lt;"&amp;DATE(2025,2,1),'Daily Overhead Register'!$D$6:$D$838,"Admin Salaries - Scheduler/Coordinator")</f>
        <v>2747.76</v>
      </c>
      <c r="D8" s="34" t="n">
        <f aca="false">SUMIFS('Daily Overhead Register'!$E$6:$E$838,'Daily Overhead Register'!$C$6:$C$838,"&gt;="&amp;DATE(2025,2,1),'Daily Overhead Register'!$C$6:$C$838,"&lt;"&amp;DATE(2025,3,1),'Daily Overhead Register'!$D$6:$D$838,"Admin Salaries - Scheduler/Coordinator")</f>
        <v>2626.51</v>
      </c>
      <c r="E8" s="34" t="n">
        <f aca="false">SUMIFS('Daily Overhead Register'!$E$6:$E$838,'Daily Overhead Register'!$C$6:$C$838,"&gt;="&amp;DATE(2025,3,1),'Daily Overhead Register'!$C$6:$C$838,"&lt;"&amp;DATE(2025,4,1),'Daily Overhead Register'!$D$6:$D$838,"Admin Salaries - Scheduler/Coordinator")</f>
        <v>2731.09</v>
      </c>
      <c r="F8" s="34" t="n">
        <f aca="false">SUMIFS('Daily Overhead Register'!$E$6:$E$838,'Daily Overhead Register'!$C$6:$C$838,"&gt;="&amp;DATE(2025,4,1),'Daily Overhead Register'!$C$6:$C$838,"&lt;"&amp;DATE(2025,5,1),'Daily Overhead Register'!$D$6:$D$838,"Admin Salaries - Scheduler/Coordinator")</f>
        <v>2457.84</v>
      </c>
      <c r="G8" s="34" t="n">
        <f aca="false">SUMIFS('Daily Overhead Register'!$E$6:$E$838,'Daily Overhead Register'!$C$6:$C$838,"&gt;="&amp;DATE(2025,5,1),'Daily Overhead Register'!$C$6:$C$838,"&lt;"&amp;DATE(2025,6,1),'Daily Overhead Register'!$D$6:$D$838,"Admin Salaries - Scheduler/Coordinator")</f>
        <v>2704.65</v>
      </c>
      <c r="H8" s="34" t="n">
        <f aca="false">SUMIFS('Daily Overhead Register'!$E$6:$E$838,'Daily Overhead Register'!$C$6:$C$838,"&gt;="&amp;DATE(2025,6,1),'Daily Overhead Register'!$C$6:$C$838,"&lt;"&amp;DATE(2025,7,1),'Daily Overhead Register'!$D$6:$D$838,"Admin Salaries - Scheduler/Coordinator")</f>
        <v>2666.46</v>
      </c>
      <c r="I8" s="34" t="n">
        <f aca="false">SUMIFS('Daily Overhead Register'!$E$6:$E$838,'Daily Overhead Register'!$C$6:$C$838,"&gt;="&amp;DATE(2025,7,1),'Daily Overhead Register'!$C$6:$C$838,"&lt;"&amp;DATE(2025,8,1),'Daily Overhead Register'!$D$6:$D$838,"Admin Salaries - Scheduler/Coordinator")</f>
        <v>2797.96</v>
      </c>
      <c r="J8" s="34" t="n">
        <f aca="false">SUMIFS('Daily Overhead Register'!$E$6:$E$838,'Daily Overhead Register'!$C$6:$C$838,"&gt;="&amp;DATE(2025,8,1),'Daily Overhead Register'!$C$6:$C$838,"&lt;"&amp;DATE(2025,9,1),'Daily Overhead Register'!$D$6:$D$838,"Admin Salaries - Scheduler/Coordinator")</f>
        <v>2672.61</v>
      </c>
      <c r="K8" s="34" t="n">
        <f aca="false">SUMIFS('Daily Overhead Register'!$E$6:$E$838,'Daily Overhead Register'!$C$6:$C$838,"&gt;="&amp;DATE(2025,9,1),'Daily Overhead Register'!$C$6:$C$838,"&lt;"&amp;DATE(2025,10,1),'Daily Overhead Register'!$D$6:$D$838,"Admin Salaries - Scheduler/Coordinator")</f>
        <v>2804.33</v>
      </c>
      <c r="L8" s="34" t="n">
        <f aca="false">SUMIFS('Daily Overhead Register'!$E$6:$E$838,'Daily Overhead Register'!$C$6:$C$838,"&gt;="&amp;DATE(2025,10,1),'Daily Overhead Register'!$C$6:$C$838,"&lt;"&amp;DATE(2025,11,1),'Daily Overhead Register'!$D$6:$D$838,"Admin Salaries - Scheduler/Coordinator")</f>
        <v>2479.52</v>
      </c>
      <c r="M8" s="34" t="n">
        <f aca="false">SUMIFS('Daily Overhead Register'!$E$6:$E$838,'Daily Overhead Register'!$C$6:$C$838,"&gt;="&amp;DATE(2025,11,1),'Daily Overhead Register'!$C$6:$C$838,"&lt;"&amp;DATE(2025,12,1),'Daily Overhead Register'!$D$6:$D$838,"Admin Salaries - Scheduler/Coordinator")</f>
        <v>2774.36</v>
      </c>
      <c r="N8" s="34" t="n">
        <f aca="false">SUMIFS('Daily Overhead Register'!$E$6:$E$838,'Daily Overhead Register'!$C$6:$C$838,"&gt;="&amp;DATE(2025,12,1),'Daily Overhead Register'!$C$6:$C$838,"&lt;"&amp;DATE(2026,1,1),'Daily Overhead Register'!$D$6:$D$838,"Admin Salaries - Scheduler/Coordinator")</f>
        <v>2658.03</v>
      </c>
      <c r="O8" s="35" t="n">
        <f aca="false">SUM(C8:N8)</f>
        <v>32121.12</v>
      </c>
    </row>
    <row r="9" customFormat="false" ht="15" hidden="false" customHeight="false" outlineLevel="0" collapsed="false">
      <c r="B9" s="13" t="s">
        <v>22841</v>
      </c>
      <c r="C9" s="34" t="n">
        <f aca="false">SUMIFS('Daily Overhead Register'!$E$6:$E$838,'Daily Overhead Register'!$C$6:$C$838,"&gt;="&amp;DATE(2025,1,1),'Daily Overhead Register'!$C$6:$C$838,"&lt;"&amp;DATE(2025,2,1),'Daily Overhead Register'!$D$6:$D$838,"Background Checks and Licensing")</f>
        <v>250.43</v>
      </c>
      <c r="D9" s="34" t="n">
        <f aca="false">SUMIFS('Daily Overhead Register'!$E$6:$E$838,'Daily Overhead Register'!$C$6:$C$838,"&gt;="&amp;DATE(2025,2,1),'Daily Overhead Register'!$C$6:$C$838,"&lt;"&amp;DATE(2025,3,1),'Daily Overhead Register'!$D$6:$D$838,"Background Checks and Licensing")</f>
        <v>252.39</v>
      </c>
      <c r="E9" s="34" t="n">
        <f aca="false">SUMIFS('Daily Overhead Register'!$E$6:$E$838,'Daily Overhead Register'!$C$6:$C$838,"&gt;="&amp;DATE(2025,3,1),'Daily Overhead Register'!$C$6:$C$838,"&lt;"&amp;DATE(2025,4,1),'Daily Overhead Register'!$D$6:$D$838,"Background Checks and Licensing")</f>
        <v>251.18</v>
      </c>
      <c r="F9" s="34" t="n">
        <f aca="false">SUMIFS('Daily Overhead Register'!$E$6:$E$838,'Daily Overhead Register'!$C$6:$C$838,"&gt;="&amp;DATE(2025,4,1),'Daily Overhead Register'!$C$6:$C$838,"&lt;"&amp;DATE(2025,5,1),'Daily Overhead Register'!$D$6:$D$838,"Background Checks and Licensing")</f>
        <v>258.02</v>
      </c>
      <c r="G9" s="34" t="n">
        <f aca="false">SUMIFS('Daily Overhead Register'!$E$6:$E$838,'Daily Overhead Register'!$C$6:$C$838,"&gt;="&amp;DATE(2025,5,1),'Daily Overhead Register'!$C$6:$C$838,"&lt;"&amp;DATE(2025,6,1),'Daily Overhead Register'!$D$6:$D$838,"Background Checks and Licensing")</f>
        <v>261.91</v>
      </c>
      <c r="H9" s="34" t="n">
        <f aca="false">SUMIFS('Daily Overhead Register'!$E$6:$E$838,'Daily Overhead Register'!$C$6:$C$838,"&gt;="&amp;DATE(2025,6,1),'Daily Overhead Register'!$C$6:$C$838,"&lt;"&amp;DATE(2025,7,1),'Daily Overhead Register'!$D$6:$D$838,"Background Checks and Licensing")</f>
        <v>247.58</v>
      </c>
      <c r="I9" s="34" t="n">
        <f aca="false">SUMIFS('Daily Overhead Register'!$E$6:$E$838,'Daily Overhead Register'!$C$6:$C$838,"&gt;="&amp;DATE(2025,7,1),'Daily Overhead Register'!$C$6:$C$838,"&lt;"&amp;DATE(2025,8,1),'Daily Overhead Register'!$D$6:$D$838,"Background Checks and Licensing")</f>
        <v>258.84</v>
      </c>
      <c r="J9" s="34" t="n">
        <f aca="false">SUMIFS('Daily Overhead Register'!$E$6:$E$838,'Daily Overhead Register'!$C$6:$C$838,"&gt;="&amp;DATE(2025,8,1),'Daily Overhead Register'!$C$6:$C$838,"&lt;"&amp;DATE(2025,9,1),'Daily Overhead Register'!$D$6:$D$838,"Background Checks and Licensing")</f>
        <v>262.08</v>
      </c>
      <c r="K9" s="34" t="n">
        <f aca="false">SUMIFS('Daily Overhead Register'!$E$6:$E$838,'Daily Overhead Register'!$C$6:$C$838,"&gt;="&amp;DATE(2025,9,1),'Daily Overhead Register'!$C$6:$C$838,"&lt;"&amp;DATE(2025,10,1),'Daily Overhead Register'!$D$6:$D$838,"Background Checks and Licensing")</f>
        <v>256.61</v>
      </c>
      <c r="L9" s="34" t="n">
        <f aca="false">SUMIFS('Daily Overhead Register'!$E$6:$E$838,'Daily Overhead Register'!$C$6:$C$838,"&gt;="&amp;DATE(2025,10,1),'Daily Overhead Register'!$C$6:$C$838,"&lt;"&amp;DATE(2025,11,1),'Daily Overhead Register'!$D$6:$D$838,"Background Checks and Licensing")</f>
        <v>262.45</v>
      </c>
      <c r="M9" s="34" t="n">
        <f aca="false">SUMIFS('Daily Overhead Register'!$E$6:$E$838,'Daily Overhead Register'!$C$6:$C$838,"&gt;="&amp;DATE(2025,11,1),'Daily Overhead Register'!$C$6:$C$838,"&lt;"&amp;DATE(2025,12,1),'Daily Overhead Register'!$D$6:$D$838,"Background Checks and Licensing")</f>
        <v>250.42</v>
      </c>
      <c r="N9" s="34" t="n">
        <f aca="false">SUMIFS('Daily Overhead Register'!$E$6:$E$838,'Daily Overhead Register'!$C$6:$C$838,"&gt;="&amp;DATE(2025,12,1),'Daily Overhead Register'!$C$6:$C$838,"&lt;"&amp;DATE(2026,1,1),'Daily Overhead Register'!$D$6:$D$838,"Background Checks and Licensing")</f>
        <v>265.34</v>
      </c>
      <c r="O9" s="35" t="n">
        <f aca="false">SUM(C9:N9)</f>
        <v>3077.25</v>
      </c>
    </row>
    <row r="10" customFormat="false" ht="15" hidden="false" customHeight="false" outlineLevel="0" collapsed="false">
      <c r="B10" s="13" t="s">
        <v>23621</v>
      </c>
      <c r="C10" s="34" t="n">
        <f aca="false">SUMIFS('Daily Overhead Register'!$E$6:$E$838,'Daily Overhead Register'!$C$6:$C$838,"&gt;="&amp;DATE(2025,1,1),'Daily Overhead Register'!$C$6:$C$838,"&lt;"&amp;DATE(2025,2,1),'Daily Overhead Register'!$D$6:$D$838,"Bad Debt / Claim Denials Write-off")</f>
        <v>0</v>
      </c>
      <c r="D10" s="34" t="n">
        <f aca="false">SUMIFS('Daily Overhead Register'!$E$6:$E$838,'Daily Overhead Register'!$C$6:$C$838,"&gt;="&amp;DATE(2025,2,1),'Daily Overhead Register'!$C$6:$C$838,"&lt;"&amp;DATE(2025,3,1),'Daily Overhead Register'!$D$6:$D$838,"Bad Debt / Claim Denials Write-off")</f>
        <v>0</v>
      </c>
      <c r="E10" s="34" t="n">
        <f aca="false">SUMIFS('Daily Overhead Register'!$E$6:$E$838,'Daily Overhead Register'!$C$6:$C$838,"&gt;="&amp;DATE(2025,3,1),'Daily Overhead Register'!$C$6:$C$838,"&lt;"&amp;DATE(2025,4,1),'Daily Overhead Register'!$D$6:$D$838,"Bad Debt / Claim Denials Write-off")</f>
        <v>0</v>
      </c>
      <c r="F10" s="34" t="n">
        <f aca="false">SUMIFS('Daily Overhead Register'!$E$6:$E$838,'Daily Overhead Register'!$C$6:$C$838,"&gt;="&amp;DATE(2025,4,1),'Daily Overhead Register'!$C$6:$C$838,"&lt;"&amp;DATE(2025,5,1),'Daily Overhead Register'!$D$6:$D$838,"Bad Debt / Claim Denials Write-off")</f>
        <v>0</v>
      </c>
      <c r="G10" s="34" t="n">
        <f aca="false">SUMIFS('Daily Overhead Register'!$E$6:$E$838,'Daily Overhead Register'!$C$6:$C$838,"&gt;="&amp;DATE(2025,5,1),'Daily Overhead Register'!$C$6:$C$838,"&lt;"&amp;DATE(2025,6,1),'Daily Overhead Register'!$D$6:$D$838,"Bad Debt / Claim Denials Write-off")</f>
        <v>0</v>
      </c>
      <c r="H10" s="34" t="n">
        <f aca="false">SUMIFS('Daily Overhead Register'!$E$6:$E$838,'Daily Overhead Register'!$C$6:$C$838,"&gt;="&amp;DATE(2025,6,1),'Daily Overhead Register'!$C$6:$C$838,"&lt;"&amp;DATE(2025,7,1),'Daily Overhead Register'!$D$6:$D$838,"Bad Debt / Claim Denials Write-off")</f>
        <v>0</v>
      </c>
      <c r="I10" s="34" t="n">
        <f aca="false">SUMIFS('Daily Overhead Register'!$E$6:$E$838,'Daily Overhead Register'!$C$6:$C$838,"&gt;="&amp;DATE(2025,7,1),'Daily Overhead Register'!$C$6:$C$838,"&lt;"&amp;DATE(2025,8,1),'Daily Overhead Register'!$D$6:$D$838,"Bad Debt / Claim Denials Write-off")</f>
        <v>0</v>
      </c>
      <c r="J10" s="34" t="n">
        <f aca="false">SUMIFS('Daily Overhead Register'!$E$6:$E$838,'Daily Overhead Register'!$C$6:$C$838,"&gt;="&amp;DATE(2025,8,1),'Daily Overhead Register'!$C$6:$C$838,"&lt;"&amp;DATE(2025,9,1),'Daily Overhead Register'!$D$6:$D$838,"Bad Debt / Claim Denials Write-off")</f>
        <v>0</v>
      </c>
      <c r="K10" s="34" t="n">
        <f aca="false">SUMIFS('Daily Overhead Register'!$E$6:$E$838,'Daily Overhead Register'!$C$6:$C$838,"&gt;="&amp;DATE(2025,9,1),'Daily Overhead Register'!$C$6:$C$838,"&lt;"&amp;DATE(2025,10,1),'Daily Overhead Register'!$D$6:$D$838,"Bad Debt / Claim Denials Write-off")</f>
        <v>0</v>
      </c>
      <c r="L10" s="34" t="n">
        <f aca="false">SUMIFS('Daily Overhead Register'!$E$6:$E$838,'Daily Overhead Register'!$C$6:$C$838,"&gt;="&amp;DATE(2025,10,1),'Daily Overhead Register'!$C$6:$C$838,"&lt;"&amp;DATE(2025,11,1),'Daily Overhead Register'!$D$6:$D$838,"Bad Debt / Claim Denials Write-off")</f>
        <v>0</v>
      </c>
      <c r="M10" s="34" t="n">
        <f aca="false">SUMIFS('Daily Overhead Register'!$E$6:$E$838,'Daily Overhead Register'!$C$6:$C$838,"&gt;="&amp;DATE(2025,11,1),'Daily Overhead Register'!$C$6:$C$838,"&lt;"&amp;DATE(2025,12,1),'Daily Overhead Register'!$D$6:$D$838,"Bad Debt / Claim Denials Write-off")</f>
        <v>0</v>
      </c>
      <c r="N10" s="34" t="n">
        <f aca="false">SUMIFS('Daily Overhead Register'!$E$6:$E$838,'Daily Overhead Register'!$C$6:$C$838,"&gt;="&amp;DATE(2025,12,1),'Daily Overhead Register'!$C$6:$C$838,"&lt;"&amp;DATE(2026,1,1),'Daily Overhead Register'!$D$6:$D$838,"Bad Debt / Claim Denials Write-off")</f>
        <v>0</v>
      </c>
      <c r="O10" s="35" t="n">
        <f aca="false">SUM(C10:N10)</f>
        <v>0</v>
      </c>
    </row>
    <row r="11" customFormat="false" ht="15" hidden="false" customHeight="false" outlineLevel="0" collapsed="false">
      <c r="B11" s="13" t="s">
        <v>22862</v>
      </c>
      <c r="C11" s="34" t="n">
        <f aca="false">SUMIFS('Daily Overhead Register'!$E$6:$E$838,'Daily Overhead Register'!$C$6:$C$838,"&gt;="&amp;DATE(2025,1,1),'Daily Overhead Register'!$C$6:$C$838,"&lt;"&amp;DATE(2025,2,1),'Daily Overhead Register'!$D$6:$D$838,"Bank and Merchant Fees")</f>
        <v>156.3</v>
      </c>
      <c r="D11" s="34" t="n">
        <f aca="false">SUMIFS('Daily Overhead Register'!$E$6:$E$838,'Daily Overhead Register'!$C$6:$C$838,"&gt;="&amp;DATE(2025,2,1),'Daily Overhead Register'!$C$6:$C$838,"&lt;"&amp;DATE(2025,3,1),'Daily Overhead Register'!$D$6:$D$838,"Bank and Merchant Fees")</f>
        <v>161.38</v>
      </c>
      <c r="E11" s="34" t="n">
        <f aca="false">SUMIFS('Daily Overhead Register'!$E$6:$E$838,'Daily Overhead Register'!$C$6:$C$838,"&gt;="&amp;DATE(2025,3,1),'Daily Overhead Register'!$C$6:$C$838,"&lt;"&amp;DATE(2025,4,1),'Daily Overhead Register'!$D$6:$D$838,"Bank and Merchant Fees")</f>
        <v>142.86</v>
      </c>
      <c r="F11" s="34" t="n">
        <f aca="false">SUMIFS('Daily Overhead Register'!$E$6:$E$838,'Daily Overhead Register'!$C$6:$C$838,"&gt;="&amp;DATE(2025,4,1),'Daily Overhead Register'!$C$6:$C$838,"&lt;"&amp;DATE(2025,5,1),'Daily Overhead Register'!$D$6:$D$838,"Bank and Merchant Fees")</f>
        <v>159.81</v>
      </c>
      <c r="G11" s="34" t="n">
        <f aca="false">SUMIFS('Daily Overhead Register'!$E$6:$E$838,'Daily Overhead Register'!$C$6:$C$838,"&gt;="&amp;DATE(2025,5,1),'Daily Overhead Register'!$C$6:$C$838,"&lt;"&amp;DATE(2025,6,1),'Daily Overhead Register'!$D$6:$D$838,"Bank and Merchant Fees")</f>
        <v>152.57</v>
      </c>
      <c r="H11" s="34" t="n">
        <f aca="false">SUMIFS('Daily Overhead Register'!$E$6:$E$838,'Daily Overhead Register'!$C$6:$C$838,"&gt;="&amp;DATE(2025,6,1),'Daily Overhead Register'!$C$6:$C$838,"&lt;"&amp;DATE(2025,7,1),'Daily Overhead Register'!$D$6:$D$838,"Bank and Merchant Fees")</f>
        <v>149.04</v>
      </c>
      <c r="I11" s="34" t="n">
        <f aca="false">SUMIFS('Daily Overhead Register'!$E$6:$E$838,'Daily Overhead Register'!$C$6:$C$838,"&gt;="&amp;DATE(2025,7,1),'Daily Overhead Register'!$C$6:$C$838,"&lt;"&amp;DATE(2025,8,1),'Daily Overhead Register'!$D$6:$D$838,"Bank and Merchant Fees")</f>
        <v>161.08</v>
      </c>
      <c r="J11" s="34" t="n">
        <f aca="false">SUMIFS('Daily Overhead Register'!$E$6:$E$838,'Daily Overhead Register'!$C$6:$C$838,"&gt;="&amp;DATE(2025,8,1),'Daily Overhead Register'!$C$6:$C$838,"&lt;"&amp;DATE(2025,9,1),'Daily Overhead Register'!$D$6:$D$838,"Bank and Merchant Fees")</f>
        <v>151.77</v>
      </c>
      <c r="K11" s="34" t="n">
        <f aca="false">SUMIFS('Daily Overhead Register'!$E$6:$E$838,'Daily Overhead Register'!$C$6:$C$838,"&gt;="&amp;DATE(2025,9,1),'Daily Overhead Register'!$C$6:$C$838,"&lt;"&amp;DATE(2025,10,1),'Daily Overhead Register'!$D$6:$D$838,"Bank and Merchant Fees")</f>
        <v>142.78</v>
      </c>
      <c r="L11" s="34" t="n">
        <f aca="false">SUMIFS('Daily Overhead Register'!$E$6:$E$838,'Daily Overhead Register'!$C$6:$C$838,"&gt;="&amp;DATE(2025,10,1),'Daily Overhead Register'!$C$6:$C$838,"&lt;"&amp;DATE(2025,11,1),'Daily Overhead Register'!$D$6:$D$838,"Bank and Merchant Fees")</f>
        <v>149.08</v>
      </c>
      <c r="M11" s="34" t="n">
        <f aca="false">SUMIFS('Daily Overhead Register'!$E$6:$E$838,'Daily Overhead Register'!$C$6:$C$838,"&gt;="&amp;DATE(2025,11,1),'Daily Overhead Register'!$C$6:$C$838,"&lt;"&amp;DATE(2025,12,1),'Daily Overhead Register'!$D$6:$D$838,"Bank and Merchant Fees")</f>
        <v>155.09</v>
      </c>
      <c r="N11" s="34" t="n">
        <f aca="false">SUMIFS('Daily Overhead Register'!$E$6:$E$838,'Daily Overhead Register'!$C$6:$C$838,"&gt;="&amp;DATE(2025,12,1),'Daily Overhead Register'!$C$6:$C$838,"&lt;"&amp;DATE(2026,1,1),'Daily Overhead Register'!$D$6:$D$838,"Bank and Merchant Fees")</f>
        <v>153.62</v>
      </c>
      <c r="O11" s="35" t="n">
        <f aca="false">SUM(C11:N11)</f>
        <v>1835.38</v>
      </c>
    </row>
    <row r="12" customFormat="false" ht="15" hidden="false" customHeight="false" outlineLevel="0" collapsed="false">
      <c r="B12" s="13" t="s">
        <v>142</v>
      </c>
      <c r="C12" s="34" t="n">
        <f aca="false">SUMIFS('Daily Overhead Register'!$E$6:$E$838,'Daily Overhead Register'!$C$6:$C$838,"&gt;="&amp;DATE(2025,1,1),'Daily Overhead Register'!$C$6:$C$838,"&lt;"&amp;DATE(2025,2,1),'Daily Overhead Register'!$D$6:$D$838,"Continuing Education / Training")</f>
        <v>188.68</v>
      </c>
      <c r="D12" s="34" t="n">
        <f aca="false">SUMIFS('Daily Overhead Register'!$E$6:$E$838,'Daily Overhead Register'!$C$6:$C$838,"&gt;="&amp;DATE(2025,2,1),'Daily Overhead Register'!$C$6:$C$838,"&lt;"&amp;DATE(2025,3,1),'Daily Overhead Register'!$D$6:$D$838,"Continuing Education / Training")</f>
        <v>185.27</v>
      </c>
      <c r="E12" s="34" t="n">
        <f aca="false">SUMIFS('Daily Overhead Register'!$E$6:$E$838,'Daily Overhead Register'!$C$6:$C$838,"&gt;="&amp;DATE(2025,3,1),'Daily Overhead Register'!$C$6:$C$838,"&lt;"&amp;DATE(2025,4,1),'Daily Overhead Register'!$D$6:$D$838,"Continuing Education / Training")</f>
        <v>187.13</v>
      </c>
      <c r="F12" s="34" t="n">
        <f aca="false">SUMIFS('Daily Overhead Register'!$E$6:$E$838,'Daily Overhead Register'!$C$6:$C$838,"&gt;="&amp;DATE(2025,4,1),'Daily Overhead Register'!$C$6:$C$838,"&lt;"&amp;DATE(2025,5,1),'Daily Overhead Register'!$D$6:$D$838,"Continuing Education / Training")</f>
        <v>173.46</v>
      </c>
      <c r="G12" s="34" t="n">
        <f aca="false">SUMIFS('Daily Overhead Register'!$E$6:$E$838,'Daily Overhead Register'!$C$6:$C$838,"&gt;="&amp;DATE(2025,5,1),'Daily Overhead Register'!$C$6:$C$838,"&lt;"&amp;DATE(2025,6,1),'Daily Overhead Register'!$D$6:$D$838,"Continuing Education / Training")</f>
        <v>190.72</v>
      </c>
      <c r="H12" s="34" t="n">
        <f aca="false">SUMIFS('Daily Overhead Register'!$E$6:$E$838,'Daily Overhead Register'!$C$6:$C$838,"&gt;="&amp;DATE(2025,6,1),'Daily Overhead Register'!$C$6:$C$838,"&lt;"&amp;DATE(2025,7,1),'Daily Overhead Register'!$D$6:$D$838,"Continuing Education / Training")</f>
        <v>191.55</v>
      </c>
      <c r="I12" s="34" t="n">
        <f aca="false">SUMIFS('Daily Overhead Register'!$E$6:$E$838,'Daily Overhead Register'!$C$6:$C$838,"&gt;="&amp;DATE(2025,7,1),'Daily Overhead Register'!$C$6:$C$838,"&lt;"&amp;DATE(2025,8,1),'Daily Overhead Register'!$D$6:$D$838,"Continuing Education / Training")</f>
        <v>177.14</v>
      </c>
      <c r="J12" s="34" t="n">
        <f aca="false">SUMIFS('Daily Overhead Register'!$E$6:$E$838,'Daily Overhead Register'!$C$6:$C$838,"&gt;="&amp;DATE(2025,8,1),'Daily Overhead Register'!$C$6:$C$838,"&lt;"&amp;DATE(2025,9,1),'Daily Overhead Register'!$D$6:$D$838,"Continuing Education / Training")</f>
        <v>189.47</v>
      </c>
      <c r="K12" s="34" t="n">
        <f aca="false">SUMIFS('Daily Overhead Register'!$E$6:$E$838,'Daily Overhead Register'!$C$6:$C$838,"&gt;="&amp;DATE(2025,9,1),'Daily Overhead Register'!$C$6:$C$838,"&lt;"&amp;DATE(2025,10,1),'Daily Overhead Register'!$D$6:$D$838,"Continuing Education / Training")</f>
        <v>191.39</v>
      </c>
      <c r="L12" s="34" t="n">
        <f aca="false">SUMIFS('Daily Overhead Register'!$E$6:$E$838,'Daily Overhead Register'!$C$6:$C$838,"&gt;="&amp;DATE(2025,10,1),'Daily Overhead Register'!$C$6:$C$838,"&lt;"&amp;DATE(2025,11,1),'Daily Overhead Register'!$D$6:$D$838,"Continuing Education / Training")</f>
        <v>179.86</v>
      </c>
      <c r="M12" s="34" t="n">
        <f aca="false">SUMIFS('Daily Overhead Register'!$E$6:$E$838,'Daily Overhead Register'!$C$6:$C$838,"&gt;="&amp;DATE(2025,11,1),'Daily Overhead Register'!$C$6:$C$838,"&lt;"&amp;DATE(2025,12,1),'Daily Overhead Register'!$D$6:$D$838,"Continuing Education / Training")</f>
        <v>178.06</v>
      </c>
      <c r="N12" s="34" t="n">
        <f aca="false">SUMIFS('Daily Overhead Register'!$E$6:$E$838,'Daily Overhead Register'!$C$6:$C$838,"&gt;="&amp;DATE(2025,12,1),'Daily Overhead Register'!$C$6:$C$838,"&lt;"&amp;DATE(2026,1,1),'Daily Overhead Register'!$D$6:$D$838,"Continuing Education / Training")</f>
        <v>190.26</v>
      </c>
      <c r="O12" s="35" t="n">
        <f aca="false">SUM(C12:N12)</f>
        <v>2222.99</v>
      </c>
    </row>
    <row r="13" customFormat="false" ht="15" hidden="false" customHeight="false" outlineLevel="0" collapsed="false">
      <c r="B13" s="13" t="s">
        <v>144</v>
      </c>
      <c r="C13" s="34" t="n">
        <f aca="false">SUMIFS('Daily Overhead Register'!$E$6:$E$838,'Daily Overhead Register'!$C$6:$C$838,"&gt;="&amp;DATE(2025,1,1),'Daily Overhead Register'!$C$6:$C$838,"&lt;"&amp;DATE(2025,2,1),'Daily Overhead Register'!$D$6:$D$838,"Depreciation Expense")</f>
        <v>1123.42</v>
      </c>
      <c r="D13" s="34" t="n">
        <f aca="false">SUMIFS('Daily Overhead Register'!$E$6:$E$838,'Daily Overhead Register'!$C$6:$C$838,"&gt;="&amp;DATE(2025,2,1),'Daily Overhead Register'!$C$6:$C$838,"&lt;"&amp;DATE(2025,3,1),'Daily Overhead Register'!$D$6:$D$838,"Depreciation Expense")</f>
        <v>1201.2</v>
      </c>
      <c r="E13" s="34" t="n">
        <f aca="false">SUMIFS('Daily Overhead Register'!$E$6:$E$838,'Daily Overhead Register'!$C$6:$C$838,"&gt;="&amp;DATE(2025,3,1),'Daily Overhead Register'!$C$6:$C$838,"&lt;"&amp;DATE(2025,4,1),'Daily Overhead Register'!$D$6:$D$838,"Depreciation Expense")</f>
        <v>1301.2</v>
      </c>
      <c r="F13" s="34" t="n">
        <f aca="false">SUMIFS('Daily Overhead Register'!$E$6:$E$838,'Daily Overhead Register'!$C$6:$C$838,"&gt;="&amp;DATE(2025,4,1),'Daily Overhead Register'!$C$6:$C$838,"&lt;"&amp;DATE(2025,5,1),'Daily Overhead Register'!$D$6:$D$838,"Depreciation Expense")</f>
        <v>1332.03</v>
      </c>
      <c r="G13" s="34" t="n">
        <f aca="false">SUMIFS('Daily Overhead Register'!$E$6:$E$838,'Daily Overhead Register'!$C$6:$C$838,"&gt;="&amp;DATE(2025,5,1),'Daily Overhead Register'!$C$6:$C$838,"&lt;"&amp;DATE(2025,6,1),'Daily Overhead Register'!$D$6:$D$838,"Depreciation Expense")</f>
        <v>1382.03</v>
      </c>
      <c r="H13" s="34" t="n">
        <f aca="false">SUMIFS('Daily Overhead Register'!$E$6:$E$838,'Daily Overhead Register'!$C$6:$C$838,"&gt;="&amp;DATE(2025,6,1),'Daily Overhead Register'!$C$6:$C$838,"&lt;"&amp;DATE(2025,7,1),'Daily Overhead Register'!$D$6:$D$838,"Depreciation Expense")</f>
        <v>1382.03</v>
      </c>
      <c r="I13" s="34" t="n">
        <f aca="false">SUMIFS('Daily Overhead Register'!$E$6:$E$838,'Daily Overhead Register'!$C$6:$C$838,"&gt;="&amp;DATE(2025,7,1),'Daily Overhead Register'!$C$6:$C$838,"&lt;"&amp;DATE(2025,8,1),'Daily Overhead Register'!$D$6:$D$838,"Depreciation Expense")</f>
        <v>1382.03</v>
      </c>
      <c r="J13" s="34" t="n">
        <f aca="false">SUMIFS('Daily Overhead Register'!$E$6:$E$838,'Daily Overhead Register'!$C$6:$C$838,"&gt;="&amp;DATE(2025,8,1),'Daily Overhead Register'!$C$6:$C$838,"&lt;"&amp;DATE(2025,9,1),'Daily Overhead Register'!$D$6:$D$838,"Depreciation Expense")</f>
        <v>1765.36</v>
      </c>
      <c r="K13" s="34" t="n">
        <f aca="false">SUMIFS('Daily Overhead Register'!$E$6:$E$838,'Daily Overhead Register'!$C$6:$C$838,"&gt;="&amp;DATE(2025,9,1),'Daily Overhead Register'!$C$6:$C$838,"&lt;"&amp;DATE(2025,10,1),'Daily Overhead Register'!$D$6:$D$838,"Depreciation Expense")</f>
        <v>1765.36</v>
      </c>
      <c r="L13" s="34" t="n">
        <f aca="false">SUMIFS('Daily Overhead Register'!$E$6:$E$838,'Daily Overhead Register'!$C$6:$C$838,"&gt;="&amp;DATE(2025,10,1),'Daily Overhead Register'!$C$6:$C$838,"&lt;"&amp;DATE(2025,11,1),'Daily Overhead Register'!$D$6:$D$838,"Depreciation Expense")</f>
        <v>2065.36</v>
      </c>
      <c r="M13" s="34" t="n">
        <f aca="false">SUMIFS('Daily Overhead Register'!$E$6:$E$838,'Daily Overhead Register'!$C$6:$C$838,"&gt;="&amp;DATE(2025,11,1),'Daily Overhead Register'!$C$6:$C$838,"&lt;"&amp;DATE(2025,12,1),'Daily Overhead Register'!$D$6:$D$838,"Depreciation Expense")</f>
        <v>2065.36</v>
      </c>
      <c r="N13" s="34" t="n">
        <f aca="false">SUMIFS('Daily Overhead Register'!$E$6:$E$838,'Daily Overhead Register'!$C$6:$C$838,"&gt;="&amp;DATE(2025,12,1),'Daily Overhead Register'!$C$6:$C$838,"&lt;"&amp;DATE(2026,1,1),'Daily Overhead Register'!$D$6:$D$838,"Depreciation Expense")</f>
        <v>2065.36</v>
      </c>
      <c r="O13" s="35" t="n">
        <f aca="false">SUM(C13:N13)</f>
        <v>18830.74</v>
      </c>
    </row>
    <row r="14" customFormat="false" ht="15" hidden="false" customHeight="false" outlineLevel="0" collapsed="false">
      <c r="B14" s="13" t="s">
        <v>22839</v>
      </c>
      <c r="C14" s="34" t="n">
        <f aca="false">SUMIFS('Daily Overhead Register'!$E$6:$E$838,'Daily Overhead Register'!$C$6:$C$838,"&gt;="&amp;DATE(2025,1,1),'Daily Overhead Register'!$C$6:$C$838,"&lt;"&amp;DATE(2025,2,1),'Daily Overhead Register'!$D$6:$D$838,"Insurance - Bonding")</f>
        <v>137.55</v>
      </c>
      <c r="D14" s="34" t="n">
        <f aca="false">SUMIFS('Daily Overhead Register'!$E$6:$E$838,'Daily Overhead Register'!$C$6:$C$838,"&gt;="&amp;DATE(2025,2,1),'Daily Overhead Register'!$C$6:$C$838,"&lt;"&amp;DATE(2025,3,1),'Daily Overhead Register'!$D$6:$D$838,"Insurance - Bonding")</f>
        <v>143.31</v>
      </c>
      <c r="E14" s="34" t="n">
        <f aca="false">SUMIFS('Daily Overhead Register'!$E$6:$E$838,'Daily Overhead Register'!$C$6:$C$838,"&gt;="&amp;DATE(2025,3,1),'Daily Overhead Register'!$C$6:$C$838,"&lt;"&amp;DATE(2025,4,1),'Daily Overhead Register'!$D$6:$D$838,"Insurance - Bonding")</f>
        <v>154.85</v>
      </c>
      <c r="F14" s="34" t="n">
        <f aca="false">SUMIFS('Daily Overhead Register'!$E$6:$E$838,'Daily Overhead Register'!$C$6:$C$838,"&gt;="&amp;DATE(2025,4,1),'Daily Overhead Register'!$C$6:$C$838,"&lt;"&amp;DATE(2025,5,1),'Daily Overhead Register'!$D$6:$D$838,"Insurance - Bonding")</f>
        <v>148.04</v>
      </c>
      <c r="G14" s="34" t="n">
        <f aca="false">SUMIFS('Daily Overhead Register'!$E$6:$E$838,'Daily Overhead Register'!$C$6:$C$838,"&gt;="&amp;DATE(2025,5,1),'Daily Overhead Register'!$C$6:$C$838,"&lt;"&amp;DATE(2025,6,1),'Daily Overhead Register'!$D$6:$D$838,"Insurance - Bonding")</f>
        <v>149.9</v>
      </c>
      <c r="H14" s="34" t="n">
        <f aca="false">SUMIFS('Daily Overhead Register'!$E$6:$E$838,'Daily Overhead Register'!$C$6:$C$838,"&gt;="&amp;DATE(2025,6,1),'Daily Overhead Register'!$C$6:$C$838,"&lt;"&amp;DATE(2025,7,1),'Daily Overhead Register'!$D$6:$D$838,"Insurance - Bonding")</f>
        <v>146.7</v>
      </c>
      <c r="I14" s="34" t="n">
        <f aca="false">SUMIFS('Daily Overhead Register'!$E$6:$E$838,'Daily Overhead Register'!$C$6:$C$838,"&gt;="&amp;DATE(2025,7,1),'Daily Overhead Register'!$C$6:$C$838,"&lt;"&amp;DATE(2025,8,1),'Daily Overhead Register'!$D$6:$D$838,"Insurance - Bonding")</f>
        <v>140.63</v>
      </c>
      <c r="J14" s="34" t="n">
        <f aca="false">SUMIFS('Daily Overhead Register'!$E$6:$E$838,'Daily Overhead Register'!$C$6:$C$838,"&gt;="&amp;DATE(2025,8,1),'Daily Overhead Register'!$C$6:$C$838,"&lt;"&amp;DATE(2025,9,1),'Daily Overhead Register'!$D$6:$D$838,"Insurance - Bonding")</f>
        <v>154.52</v>
      </c>
      <c r="K14" s="34" t="n">
        <f aca="false">SUMIFS('Daily Overhead Register'!$E$6:$E$838,'Daily Overhead Register'!$C$6:$C$838,"&gt;="&amp;DATE(2025,9,1),'Daily Overhead Register'!$C$6:$C$838,"&lt;"&amp;DATE(2025,10,1),'Daily Overhead Register'!$D$6:$D$838,"Insurance - Bonding")</f>
        <v>153.34</v>
      </c>
      <c r="L14" s="34" t="n">
        <f aca="false">SUMIFS('Daily Overhead Register'!$E$6:$E$838,'Daily Overhead Register'!$C$6:$C$838,"&gt;="&amp;DATE(2025,10,1),'Daily Overhead Register'!$C$6:$C$838,"&lt;"&amp;DATE(2025,11,1),'Daily Overhead Register'!$D$6:$D$838,"Insurance - Bonding")</f>
        <v>143.69</v>
      </c>
      <c r="M14" s="34" t="n">
        <f aca="false">SUMIFS('Daily Overhead Register'!$E$6:$E$838,'Daily Overhead Register'!$C$6:$C$838,"&gt;="&amp;DATE(2025,11,1),'Daily Overhead Register'!$C$6:$C$838,"&lt;"&amp;DATE(2025,12,1),'Daily Overhead Register'!$D$6:$D$838,"Insurance - Bonding")</f>
        <v>149.19</v>
      </c>
      <c r="N14" s="34" t="n">
        <f aca="false">SUMIFS('Daily Overhead Register'!$E$6:$E$838,'Daily Overhead Register'!$C$6:$C$838,"&gt;="&amp;DATE(2025,12,1),'Daily Overhead Register'!$C$6:$C$838,"&lt;"&amp;DATE(2026,1,1),'Daily Overhead Register'!$D$6:$D$838,"Insurance - Bonding")</f>
        <v>146.36</v>
      </c>
      <c r="O14" s="35" t="n">
        <f aca="false">SUM(C14:N14)</f>
        <v>1768.08</v>
      </c>
    </row>
    <row r="15" customFormat="false" ht="15" hidden="false" customHeight="false" outlineLevel="0" collapsed="false">
      <c r="B15" s="13" t="s">
        <v>22835</v>
      </c>
      <c r="C15" s="34" t="n">
        <f aca="false">SUMIFS('Daily Overhead Register'!$E$6:$E$838,'Daily Overhead Register'!$C$6:$C$838,"&gt;="&amp;DATE(2025,1,1),'Daily Overhead Register'!$C$6:$C$838,"&lt;"&amp;DATE(2025,2,1),'Daily Overhead Register'!$D$6:$D$838,"Insurance - General Liability (Monthly Amortization)")</f>
        <v>950</v>
      </c>
      <c r="D15" s="34" t="n">
        <f aca="false">SUMIFS('Daily Overhead Register'!$E$6:$E$838,'Daily Overhead Register'!$C$6:$C$838,"&gt;="&amp;DATE(2025,2,1),'Daily Overhead Register'!$C$6:$C$838,"&lt;"&amp;DATE(2025,3,1),'Daily Overhead Register'!$D$6:$D$838,"Insurance - General Liability (Monthly Amortization)")</f>
        <v>950</v>
      </c>
      <c r="E15" s="34" t="n">
        <f aca="false">SUMIFS('Daily Overhead Register'!$E$6:$E$838,'Daily Overhead Register'!$C$6:$C$838,"&gt;="&amp;DATE(2025,3,1),'Daily Overhead Register'!$C$6:$C$838,"&lt;"&amp;DATE(2025,4,1),'Daily Overhead Register'!$D$6:$D$838,"Insurance - General Liability (Monthly Amortization)")</f>
        <v>950</v>
      </c>
      <c r="F15" s="34" t="n">
        <f aca="false">SUMIFS('Daily Overhead Register'!$E$6:$E$838,'Daily Overhead Register'!$C$6:$C$838,"&gt;="&amp;DATE(2025,4,1),'Daily Overhead Register'!$C$6:$C$838,"&lt;"&amp;DATE(2025,5,1),'Daily Overhead Register'!$D$6:$D$838,"Insurance - General Liability (Monthly Amortization)")</f>
        <v>950</v>
      </c>
      <c r="G15" s="34" t="n">
        <f aca="false">SUMIFS('Daily Overhead Register'!$E$6:$E$838,'Daily Overhead Register'!$C$6:$C$838,"&gt;="&amp;DATE(2025,5,1),'Daily Overhead Register'!$C$6:$C$838,"&lt;"&amp;DATE(2025,6,1),'Daily Overhead Register'!$D$6:$D$838,"Insurance - General Liability (Monthly Amortization)")</f>
        <v>950</v>
      </c>
      <c r="H15" s="34" t="n">
        <f aca="false">SUMIFS('Daily Overhead Register'!$E$6:$E$838,'Daily Overhead Register'!$C$6:$C$838,"&gt;="&amp;DATE(2025,6,1),'Daily Overhead Register'!$C$6:$C$838,"&lt;"&amp;DATE(2025,7,1),'Daily Overhead Register'!$D$6:$D$838,"Insurance - General Liability (Monthly Amortization)")</f>
        <v>950</v>
      </c>
      <c r="I15" s="34" t="n">
        <f aca="false">SUMIFS('Daily Overhead Register'!$E$6:$E$838,'Daily Overhead Register'!$C$6:$C$838,"&gt;="&amp;DATE(2025,7,1),'Daily Overhead Register'!$C$6:$C$838,"&lt;"&amp;DATE(2025,8,1),'Daily Overhead Register'!$D$6:$D$838,"Insurance - General Liability (Monthly Amortization)")</f>
        <v>950</v>
      </c>
      <c r="J15" s="34" t="n">
        <f aca="false">SUMIFS('Daily Overhead Register'!$E$6:$E$838,'Daily Overhead Register'!$C$6:$C$838,"&gt;="&amp;DATE(2025,8,1),'Daily Overhead Register'!$C$6:$C$838,"&lt;"&amp;DATE(2025,9,1),'Daily Overhead Register'!$D$6:$D$838,"Insurance - General Liability (Monthly Amortization)")</f>
        <v>950</v>
      </c>
      <c r="K15" s="34" t="n">
        <f aca="false">SUMIFS('Daily Overhead Register'!$E$6:$E$838,'Daily Overhead Register'!$C$6:$C$838,"&gt;="&amp;DATE(2025,9,1),'Daily Overhead Register'!$C$6:$C$838,"&lt;"&amp;DATE(2025,10,1),'Daily Overhead Register'!$D$6:$D$838,"Insurance - General Liability (Monthly Amortization)")</f>
        <v>950</v>
      </c>
      <c r="L15" s="34" t="n">
        <f aca="false">SUMIFS('Daily Overhead Register'!$E$6:$E$838,'Daily Overhead Register'!$C$6:$C$838,"&gt;="&amp;DATE(2025,10,1),'Daily Overhead Register'!$C$6:$C$838,"&lt;"&amp;DATE(2025,11,1),'Daily Overhead Register'!$D$6:$D$838,"Insurance - General Liability (Monthly Amortization)")</f>
        <v>950</v>
      </c>
      <c r="M15" s="34" t="n">
        <f aca="false">SUMIFS('Daily Overhead Register'!$E$6:$E$838,'Daily Overhead Register'!$C$6:$C$838,"&gt;="&amp;DATE(2025,11,1),'Daily Overhead Register'!$C$6:$C$838,"&lt;"&amp;DATE(2025,12,1),'Daily Overhead Register'!$D$6:$D$838,"Insurance - General Liability (Monthly Amortization)")</f>
        <v>950</v>
      </c>
      <c r="N15" s="34" t="n">
        <f aca="false">SUMIFS('Daily Overhead Register'!$E$6:$E$838,'Daily Overhead Register'!$C$6:$C$838,"&gt;="&amp;DATE(2025,12,1),'Daily Overhead Register'!$C$6:$C$838,"&lt;"&amp;DATE(2026,1,1),'Daily Overhead Register'!$D$6:$D$838,"Insurance - General Liability (Monthly Amortization)")</f>
        <v>950</v>
      </c>
      <c r="O15" s="35" t="n">
        <f aca="false">SUM(C15:N15)</f>
        <v>11400</v>
      </c>
    </row>
    <row r="16" customFormat="false" ht="15" hidden="false" customHeight="false" outlineLevel="0" collapsed="false">
      <c r="B16" s="13" t="s">
        <v>22837</v>
      </c>
      <c r="C16" s="34" t="n">
        <f aca="false">SUMIFS('Daily Overhead Register'!$E$6:$E$838,'Daily Overhead Register'!$C$6:$C$838,"&gt;="&amp;DATE(2025,1,1),'Daily Overhead Register'!$C$6:$C$838,"&lt;"&amp;DATE(2025,2,1),'Daily Overhead Register'!$D$6:$D$838,"Insurance - Professional Liability/Malpractice")</f>
        <v>367.13</v>
      </c>
      <c r="D16" s="34" t="n">
        <f aca="false">SUMIFS('Daily Overhead Register'!$E$6:$E$838,'Daily Overhead Register'!$C$6:$C$838,"&gt;="&amp;DATE(2025,2,1),'Daily Overhead Register'!$C$6:$C$838,"&lt;"&amp;DATE(2025,3,1),'Daily Overhead Register'!$D$6:$D$838,"Insurance - Professional Liability/Malpractice")</f>
        <v>363.13</v>
      </c>
      <c r="E16" s="34" t="n">
        <f aca="false">SUMIFS('Daily Overhead Register'!$E$6:$E$838,'Daily Overhead Register'!$C$6:$C$838,"&gt;="&amp;DATE(2025,3,1),'Daily Overhead Register'!$C$6:$C$838,"&lt;"&amp;DATE(2025,4,1),'Daily Overhead Register'!$D$6:$D$838,"Insurance - Professional Liability/Malpractice")</f>
        <v>383.79</v>
      </c>
      <c r="F16" s="34" t="n">
        <f aca="false">SUMIFS('Daily Overhead Register'!$E$6:$E$838,'Daily Overhead Register'!$C$6:$C$838,"&gt;="&amp;DATE(2025,4,1),'Daily Overhead Register'!$C$6:$C$838,"&lt;"&amp;DATE(2025,5,1),'Daily Overhead Register'!$D$6:$D$838,"Insurance - Professional Liability/Malpractice")</f>
        <v>394.46</v>
      </c>
      <c r="G16" s="34" t="n">
        <f aca="false">SUMIFS('Daily Overhead Register'!$E$6:$E$838,'Daily Overhead Register'!$C$6:$C$838,"&gt;="&amp;DATE(2025,5,1),'Daily Overhead Register'!$C$6:$C$838,"&lt;"&amp;DATE(2025,6,1),'Daily Overhead Register'!$D$6:$D$838,"Insurance - Professional Liability/Malpractice")</f>
        <v>400.85</v>
      </c>
      <c r="H16" s="34" t="n">
        <f aca="false">SUMIFS('Daily Overhead Register'!$E$6:$E$838,'Daily Overhead Register'!$C$6:$C$838,"&gt;="&amp;DATE(2025,6,1),'Daily Overhead Register'!$C$6:$C$838,"&lt;"&amp;DATE(2025,7,1),'Daily Overhead Register'!$D$6:$D$838,"Insurance - Professional Liability/Malpractice")</f>
        <v>396.07</v>
      </c>
      <c r="I16" s="34" t="n">
        <f aca="false">SUMIFS('Daily Overhead Register'!$E$6:$E$838,'Daily Overhead Register'!$C$6:$C$838,"&gt;="&amp;DATE(2025,7,1),'Daily Overhead Register'!$C$6:$C$838,"&lt;"&amp;DATE(2025,8,1),'Daily Overhead Register'!$D$6:$D$838,"Insurance - Professional Liability/Malpractice")</f>
        <v>410.3</v>
      </c>
      <c r="J16" s="34" t="n">
        <f aca="false">SUMIFS('Daily Overhead Register'!$E$6:$E$838,'Daily Overhead Register'!$C$6:$C$838,"&gt;="&amp;DATE(2025,8,1),'Daily Overhead Register'!$C$6:$C$838,"&lt;"&amp;DATE(2025,9,1),'Daily Overhead Register'!$D$6:$D$838,"Insurance - Professional Liability/Malpractice")</f>
        <v>395.01</v>
      </c>
      <c r="K16" s="34" t="n">
        <f aca="false">SUMIFS('Daily Overhead Register'!$E$6:$E$838,'Daily Overhead Register'!$C$6:$C$838,"&gt;="&amp;DATE(2025,9,1),'Daily Overhead Register'!$C$6:$C$838,"&lt;"&amp;DATE(2025,10,1),'Daily Overhead Register'!$D$6:$D$838,"Insurance - Professional Liability/Malpractice")</f>
        <v>387.78</v>
      </c>
      <c r="L16" s="34" t="n">
        <f aca="false">SUMIFS('Daily Overhead Register'!$E$6:$E$838,'Daily Overhead Register'!$C$6:$C$838,"&gt;="&amp;DATE(2025,10,1),'Daily Overhead Register'!$C$6:$C$838,"&lt;"&amp;DATE(2025,11,1),'Daily Overhead Register'!$D$6:$D$838,"Insurance - Professional Liability/Malpractice")</f>
        <v>404.58</v>
      </c>
      <c r="M16" s="34" t="n">
        <f aca="false">SUMIFS('Daily Overhead Register'!$E$6:$E$838,'Daily Overhead Register'!$C$6:$C$838,"&gt;="&amp;DATE(2025,11,1),'Daily Overhead Register'!$C$6:$C$838,"&lt;"&amp;DATE(2025,12,1),'Daily Overhead Register'!$D$6:$D$838,"Insurance - Professional Liability/Malpractice")</f>
        <v>377.86</v>
      </c>
      <c r="N16" s="34" t="n">
        <f aca="false">SUMIFS('Daily Overhead Register'!$E$6:$E$838,'Daily Overhead Register'!$C$6:$C$838,"&gt;="&amp;DATE(2025,12,1),'Daily Overhead Register'!$C$6:$C$838,"&lt;"&amp;DATE(2026,1,1),'Daily Overhead Register'!$D$6:$D$838,"Insurance - Professional Liability/Malpractice")</f>
        <v>406.78</v>
      </c>
      <c r="O16" s="35" t="n">
        <f aca="false">SUM(C16:N16)</f>
        <v>4687.74</v>
      </c>
    </row>
    <row r="17" customFormat="false" ht="15" hidden="false" customHeight="false" outlineLevel="0" collapsed="false">
      <c r="B17" s="13" t="s">
        <v>22859</v>
      </c>
      <c r="C17" s="34" t="n">
        <f aca="false">SUMIFS('Daily Overhead Register'!$E$6:$E$838,'Daily Overhead Register'!$C$6:$C$838,"&gt;="&amp;DATE(2025,1,1),'Daily Overhead Register'!$C$6:$C$838,"&lt;"&amp;DATE(2025,2,1),'Daily Overhead Register'!$D$6:$D$838,"Legal and Professional Fees")</f>
        <v>485.58</v>
      </c>
      <c r="D17" s="34" t="n">
        <f aca="false">SUMIFS('Daily Overhead Register'!$E$6:$E$838,'Daily Overhead Register'!$C$6:$C$838,"&gt;="&amp;DATE(2025,2,1),'Daily Overhead Register'!$C$6:$C$838,"&lt;"&amp;DATE(2025,3,1),'Daily Overhead Register'!$D$6:$D$838,"Legal and Professional Fees")</f>
        <v>427.63</v>
      </c>
      <c r="E17" s="34" t="n">
        <f aca="false">SUMIFS('Daily Overhead Register'!$E$6:$E$838,'Daily Overhead Register'!$C$6:$C$838,"&gt;="&amp;DATE(2025,3,1),'Daily Overhead Register'!$C$6:$C$838,"&lt;"&amp;DATE(2025,4,1),'Daily Overhead Register'!$D$6:$D$838,"Legal and Professional Fees")</f>
        <v>453.21</v>
      </c>
      <c r="F17" s="34" t="n">
        <f aca="false">SUMIFS('Daily Overhead Register'!$E$6:$E$838,'Daily Overhead Register'!$C$6:$C$838,"&gt;="&amp;DATE(2025,4,1),'Daily Overhead Register'!$C$6:$C$838,"&lt;"&amp;DATE(2025,5,1),'Daily Overhead Register'!$D$6:$D$838,"Legal and Professional Fees")</f>
        <v>458.9</v>
      </c>
      <c r="G17" s="34" t="n">
        <f aca="false">SUMIFS('Daily Overhead Register'!$E$6:$E$838,'Daily Overhead Register'!$C$6:$C$838,"&gt;="&amp;DATE(2025,5,1),'Daily Overhead Register'!$C$6:$C$838,"&lt;"&amp;DATE(2025,6,1),'Daily Overhead Register'!$D$6:$D$838,"Legal and Professional Fees")</f>
        <v>423.83</v>
      </c>
      <c r="H17" s="34" t="n">
        <f aca="false">SUMIFS('Daily Overhead Register'!$E$6:$E$838,'Daily Overhead Register'!$C$6:$C$838,"&gt;="&amp;DATE(2025,6,1),'Daily Overhead Register'!$C$6:$C$838,"&lt;"&amp;DATE(2025,7,1),'Daily Overhead Register'!$D$6:$D$838,"Legal and Professional Fees")</f>
        <v>451.01</v>
      </c>
      <c r="I17" s="34" t="n">
        <f aca="false">SUMIFS('Daily Overhead Register'!$E$6:$E$838,'Daily Overhead Register'!$C$6:$C$838,"&gt;="&amp;DATE(2025,7,1),'Daily Overhead Register'!$C$6:$C$838,"&lt;"&amp;DATE(2025,8,1),'Daily Overhead Register'!$D$6:$D$838,"Legal and Professional Fees")</f>
        <v>469.65</v>
      </c>
      <c r="J17" s="34" t="n">
        <f aca="false">SUMIFS('Daily Overhead Register'!$E$6:$E$838,'Daily Overhead Register'!$C$6:$C$838,"&gt;="&amp;DATE(2025,8,1),'Daily Overhead Register'!$C$6:$C$838,"&lt;"&amp;DATE(2025,9,1),'Daily Overhead Register'!$D$6:$D$838,"Legal and Professional Fees")</f>
        <v>423.78</v>
      </c>
      <c r="K17" s="34" t="n">
        <f aca="false">SUMIFS('Daily Overhead Register'!$E$6:$E$838,'Daily Overhead Register'!$C$6:$C$838,"&gt;="&amp;DATE(2025,9,1),'Daily Overhead Register'!$C$6:$C$838,"&lt;"&amp;DATE(2025,10,1),'Daily Overhead Register'!$D$6:$D$838,"Legal and Professional Fees")</f>
        <v>450.73</v>
      </c>
      <c r="L17" s="34" t="n">
        <f aca="false">SUMIFS('Daily Overhead Register'!$E$6:$E$838,'Daily Overhead Register'!$C$6:$C$838,"&gt;="&amp;DATE(2025,10,1),'Daily Overhead Register'!$C$6:$C$838,"&lt;"&amp;DATE(2025,11,1),'Daily Overhead Register'!$D$6:$D$838,"Legal and Professional Fees")</f>
        <v>431.85</v>
      </c>
      <c r="M17" s="34" t="n">
        <f aca="false">SUMIFS('Daily Overhead Register'!$E$6:$E$838,'Daily Overhead Register'!$C$6:$C$838,"&gt;="&amp;DATE(2025,11,1),'Daily Overhead Register'!$C$6:$C$838,"&lt;"&amp;DATE(2025,12,1),'Daily Overhead Register'!$D$6:$D$838,"Legal and Professional Fees")</f>
        <v>454.18</v>
      </c>
      <c r="N17" s="34" t="n">
        <f aca="false">SUMIFS('Daily Overhead Register'!$E$6:$E$838,'Daily Overhead Register'!$C$6:$C$838,"&gt;="&amp;DATE(2025,12,1),'Daily Overhead Register'!$C$6:$C$838,"&lt;"&amp;DATE(2026,1,1),'Daily Overhead Register'!$D$6:$D$838,"Legal and Professional Fees")</f>
        <v>478.45</v>
      </c>
      <c r="O17" s="35" t="n">
        <f aca="false">SUM(C17:N17)</f>
        <v>5408.8</v>
      </c>
    </row>
    <row r="18" customFormat="false" ht="15" hidden="false" customHeight="false" outlineLevel="0" collapsed="false">
      <c r="B18" s="13" t="s">
        <v>146</v>
      </c>
      <c r="C18" s="34" t="n">
        <f aca="false">SUMIFS('Daily Overhead Register'!$E$6:$E$838,'Daily Overhead Register'!$C$6:$C$838,"&gt;="&amp;DATE(2025,1,1),'Daily Overhead Register'!$C$6:$C$838,"&lt;"&amp;DATE(2025,2,1),'Daily Overhead Register'!$D$6:$D$838,"Line of Credit Interest")</f>
        <v>0</v>
      </c>
      <c r="D18" s="34" t="n">
        <f aca="false">SUMIFS('Daily Overhead Register'!$E$6:$E$838,'Daily Overhead Register'!$C$6:$C$838,"&gt;="&amp;DATE(2025,2,1),'Daily Overhead Register'!$C$6:$C$838,"&lt;"&amp;DATE(2025,3,1),'Daily Overhead Register'!$D$6:$D$838,"Line of Credit Interest")</f>
        <v>0</v>
      </c>
      <c r="E18" s="34" t="n">
        <f aca="false">SUMIFS('Daily Overhead Register'!$E$6:$E$838,'Daily Overhead Register'!$C$6:$C$838,"&gt;="&amp;DATE(2025,3,1),'Daily Overhead Register'!$C$6:$C$838,"&lt;"&amp;DATE(2025,4,1),'Daily Overhead Register'!$D$6:$D$838,"Line of Credit Interest")</f>
        <v>0</v>
      </c>
      <c r="F18" s="34" t="n">
        <f aca="false">SUMIFS('Daily Overhead Register'!$E$6:$E$838,'Daily Overhead Register'!$C$6:$C$838,"&gt;="&amp;DATE(2025,4,1),'Daily Overhead Register'!$C$6:$C$838,"&lt;"&amp;DATE(2025,5,1),'Daily Overhead Register'!$D$6:$D$838,"Line of Credit Interest")</f>
        <v>0</v>
      </c>
      <c r="G18" s="34" t="n">
        <f aca="false">SUMIFS('Daily Overhead Register'!$E$6:$E$838,'Daily Overhead Register'!$C$6:$C$838,"&gt;="&amp;DATE(2025,5,1),'Daily Overhead Register'!$C$6:$C$838,"&lt;"&amp;DATE(2025,6,1),'Daily Overhead Register'!$D$6:$D$838,"Line of Credit Interest")</f>
        <v>0</v>
      </c>
      <c r="H18" s="34" t="n">
        <f aca="false">SUMIFS('Daily Overhead Register'!$E$6:$E$838,'Daily Overhead Register'!$C$6:$C$838,"&gt;="&amp;DATE(2025,6,1),'Daily Overhead Register'!$C$6:$C$838,"&lt;"&amp;DATE(2025,7,1),'Daily Overhead Register'!$D$6:$D$838,"Line of Credit Interest")</f>
        <v>0</v>
      </c>
      <c r="I18" s="34" t="n">
        <f aca="false">SUMIFS('Daily Overhead Register'!$E$6:$E$838,'Daily Overhead Register'!$C$6:$C$838,"&gt;="&amp;DATE(2025,7,1),'Daily Overhead Register'!$C$6:$C$838,"&lt;"&amp;DATE(2025,8,1),'Daily Overhead Register'!$D$6:$D$838,"Line of Credit Interest")</f>
        <v>0</v>
      </c>
      <c r="J18" s="34" t="n">
        <f aca="false">SUMIFS('Daily Overhead Register'!$E$6:$E$838,'Daily Overhead Register'!$C$6:$C$838,"&gt;="&amp;DATE(2025,8,1),'Daily Overhead Register'!$C$6:$C$838,"&lt;"&amp;DATE(2025,9,1),'Daily Overhead Register'!$D$6:$D$838,"Line of Credit Interest")</f>
        <v>0</v>
      </c>
      <c r="K18" s="34" t="n">
        <f aca="false">SUMIFS('Daily Overhead Register'!$E$6:$E$838,'Daily Overhead Register'!$C$6:$C$838,"&gt;="&amp;DATE(2025,9,1),'Daily Overhead Register'!$C$6:$C$838,"&lt;"&amp;DATE(2025,10,1),'Daily Overhead Register'!$D$6:$D$838,"Line of Credit Interest")</f>
        <v>0</v>
      </c>
      <c r="L18" s="34" t="n">
        <f aca="false">SUMIFS('Daily Overhead Register'!$E$6:$E$838,'Daily Overhead Register'!$C$6:$C$838,"&gt;="&amp;DATE(2025,10,1),'Daily Overhead Register'!$C$6:$C$838,"&lt;"&amp;DATE(2025,11,1),'Daily Overhead Register'!$D$6:$D$838,"Line of Credit Interest")</f>
        <v>0</v>
      </c>
      <c r="M18" s="34" t="n">
        <f aca="false">SUMIFS('Daily Overhead Register'!$E$6:$E$838,'Daily Overhead Register'!$C$6:$C$838,"&gt;="&amp;DATE(2025,11,1),'Daily Overhead Register'!$C$6:$C$838,"&lt;"&amp;DATE(2025,12,1),'Daily Overhead Register'!$D$6:$D$838,"Line of Credit Interest")</f>
        <v>0</v>
      </c>
      <c r="N18" s="34" t="n">
        <f aca="false">SUMIFS('Daily Overhead Register'!$E$6:$E$838,'Daily Overhead Register'!$C$6:$C$838,"&gt;="&amp;DATE(2025,12,1),'Daily Overhead Register'!$C$6:$C$838,"&lt;"&amp;DATE(2026,1,1),'Daily Overhead Register'!$D$6:$D$838,"Line of Credit Interest")</f>
        <v>0</v>
      </c>
      <c r="O18" s="35" t="n">
        <f aca="false">SUM(C18:N18)</f>
        <v>0</v>
      </c>
    </row>
    <row r="19" customFormat="false" ht="15" hidden="false" customHeight="false" outlineLevel="0" collapsed="false">
      <c r="B19" s="13" t="s">
        <v>22845</v>
      </c>
      <c r="C19" s="34" t="n">
        <f aca="false">SUMIFS('Daily Overhead Register'!$E$6:$E$838,'Daily Overhead Register'!$C$6:$C$838,"&gt;="&amp;DATE(2025,1,1),'Daily Overhead Register'!$C$6:$C$838,"&lt;"&amp;DATE(2025,2,1),'Daily Overhead Register'!$D$6:$D$838,"Marketing - Digital Ads")</f>
        <v>368.87</v>
      </c>
      <c r="D19" s="34" t="n">
        <f aca="false">SUMIFS('Daily Overhead Register'!$E$6:$E$838,'Daily Overhead Register'!$C$6:$C$838,"&gt;="&amp;DATE(2025,2,1),'Daily Overhead Register'!$C$6:$C$838,"&lt;"&amp;DATE(2025,3,1),'Daily Overhead Register'!$D$6:$D$838,"Marketing - Digital Ads")</f>
        <v>359.5</v>
      </c>
      <c r="E19" s="34" t="n">
        <f aca="false">SUMIFS('Daily Overhead Register'!$E$6:$E$838,'Daily Overhead Register'!$C$6:$C$838,"&gt;="&amp;DATE(2025,3,1),'Daily Overhead Register'!$C$6:$C$838,"&lt;"&amp;DATE(2025,4,1),'Daily Overhead Register'!$D$6:$D$838,"Marketing - Digital Ads")</f>
        <v>335.55</v>
      </c>
      <c r="F19" s="34" t="n">
        <f aca="false">SUMIFS('Daily Overhead Register'!$E$6:$E$838,'Daily Overhead Register'!$C$6:$C$838,"&gt;="&amp;DATE(2025,4,1),'Daily Overhead Register'!$C$6:$C$838,"&lt;"&amp;DATE(2025,5,1),'Daily Overhead Register'!$D$6:$D$838,"Marketing - Digital Ads")</f>
        <v>329.98</v>
      </c>
      <c r="G19" s="34" t="n">
        <f aca="false">SUMIFS('Daily Overhead Register'!$E$6:$E$838,'Daily Overhead Register'!$C$6:$C$838,"&gt;="&amp;DATE(2025,5,1),'Daily Overhead Register'!$C$6:$C$838,"&lt;"&amp;DATE(2025,6,1),'Daily Overhead Register'!$D$6:$D$838,"Marketing - Digital Ads")</f>
        <v>352.8</v>
      </c>
      <c r="H19" s="34" t="n">
        <f aca="false">SUMIFS('Daily Overhead Register'!$E$6:$E$838,'Daily Overhead Register'!$C$6:$C$838,"&gt;="&amp;DATE(2025,6,1),'Daily Overhead Register'!$C$6:$C$838,"&lt;"&amp;DATE(2025,7,1),'Daily Overhead Register'!$D$6:$D$838,"Marketing - Digital Ads")</f>
        <v>329.82</v>
      </c>
      <c r="I19" s="34" t="n">
        <f aca="false">SUMIFS('Daily Overhead Register'!$E$6:$E$838,'Daily Overhead Register'!$C$6:$C$838,"&gt;="&amp;DATE(2025,7,1),'Daily Overhead Register'!$C$6:$C$838,"&lt;"&amp;DATE(2025,8,1),'Daily Overhead Register'!$D$6:$D$838,"Marketing - Digital Ads")</f>
        <v>350.01</v>
      </c>
      <c r="J19" s="34" t="n">
        <f aca="false">SUMIFS('Daily Overhead Register'!$E$6:$E$838,'Daily Overhead Register'!$C$6:$C$838,"&gt;="&amp;DATE(2025,8,1),'Daily Overhead Register'!$C$6:$C$838,"&lt;"&amp;DATE(2025,9,1),'Daily Overhead Register'!$D$6:$D$838,"Marketing - Digital Ads")</f>
        <v>344.6</v>
      </c>
      <c r="K19" s="34" t="n">
        <f aca="false">SUMIFS('Daily Overhead Register'!$E$6:$E$838,'Daily Overhead Register'!$C$6:$C$838,"&gt;="&amp;DATE(2025,9,1),'Daily Overhead Register'!$C$6:$C$838,"&lt;"&amp;DATE(2025,10,1),'Daily Overhead Register'!$D$6:$D$838,"Marketing - Digital Ads")</f>
        <v>329.11</v>
      </c>
      <c r="L19" s="34" t="n">
        <f aca="false">SUMIFS('Daily Overhead Register'!$E$6:$E$838,'Daily Overhead Register'!$C$6:$C$838,"&gt;="&amp;DATE(2025,10,1),'Daily Overhead Register'!$C$6:$C$838,"&lt;"&amp;DATE(2025,11,1),'Daily Overhead Register'!$D$6:$D$838,"Marketing - Digital Ads")</f>
        <v>359.63</v>
      </c>
      <c r="M19" s="34" t="n">
        <f aca="false">SUMIFS('Daily Overhead Register'!$E$6:$E$838,'Daily Overhead Register'!$C$6:$C$838,"&gt;="&amp;DATE(2025,11,1),'Daily Overhead Register'!$C$6:$C$838,"&lt;"&amp;DATE(2025,12,1),'Daily Overhead Register'!$D$6:$D$838,"Marketing - Digital Ads")</f>
        <v>341</v>
      </c>
      <c r="N19" s="34" t="n">
        <f aca="false">SUMIFS('Daily Overhead Register'!$E$6:$E$838,'Daily Overhead Register'!$C$6:$C$838,"&gt;="&amp;DATE(2025,12,1),'Daily Overhead Register'!$C$6:$C$838,"&lt;"&amp;DATE(2026,1,1),'Daily Overhead Register'!$D$6:$D$838,"Marketing - Digital Ads")</f>
        <v>334.8</v>
      </c>
      <c r="O19" s="35" t="n">
        <f aca="false">SUM(C19:N19)</f>
        <v>4135.67</v>
      </c>
    </row>
    <row r="20" customFormat="false" ht="15" hidden="false" customHeight="false" outlineLevel="0" collapsed="false">
      <c r="B20" s="13" t="s">
        <v>22848</v>
      </c>
      <c r="C20" s="34" t="n">
        <f aca="false">SUMIFS('Daily Overhead Register'!$E$6:$E$838,'Daily Overhead Register'!$C$6:$C$838,"&gt;="&amp;DATE(2025,1,1),'Daily Overhead Register'!$C$6:$C$838,"&lt;"&amp;DATE(2025,2,1),'Daily Overhead Register'!$D$6:$D$838,"Marketing - Referral Development/Events")</f>
        <v>262.54</v>
      </c>
      <c r="D20" s="34" t="n">
        <f aca="false">SUMIFS('Daily Overhead Register'!$E$6:$E$838,'Daily Overhead Register'!$C$6:$C$838,"&gt;="&amp;DATE(2025,2,1),'Daily Overhead Register'!$C$6:$C$838,"&lt;"&amp;DATE(2025,3,1),'Daily Overhead Register'!$D$6:$D$838,"Marketing - Referral Development/Events")</f>
        <v>246.49</v>
      </c>
      <c r="E20" s="34" t="n">
        <f aca="false">SUMIFS('Daily Overhead Register'!$E$6:$E$838,'Daily Overhead Register'!$C$6:$C$838,"&gt;="&amp;DATE(2025,3,1),'Daily Overhead Register'!$C$6:$C$838,"&lt;"&amp;DATE(2025,4,1),'Daily Overhead Register'!$D$6:$D$838,"Marketing - Referral Development/Events")</f>
        <v>236.79</v>
      </c>
      <c r="F20" s="34" t="n">
        <f aca="false">SUMIFS('Daily Overhead Register'!$E$6:$E$838,'Daily Overhead Register'!$C$6:$C$838,"&gt;="&amp;DATE(2025,4,1),'Daily Overhead Register'!$C$6:$C$838,"&lt;"&amp;DATE(2025,5,1),'Daily Overhead Register'!$D$6:$D$838,"Marketing - Referral Development/Events")</f>
        <v>245.74</v>
      </c>
      <c r="G20" s="34" t="n">
        <f aca="false">SUMIFS('Daily Overhead Register'!$E$6:$E$838,'Daily Overhead Register'!$C$6:$C$838,"&gt;="&amp;DATE(2025,5,1),'Daily Overhead Register'!$C$6:$C$838,"&lt;"&amp;DATE(2025,6,1),'Daily Overhead Register'!$D$6:$D$838,"Marketing - Referral Development/Events")</f>
        <v>251.01</v>
      </c>
      <c r="H20" s="34" t="n">
        <f aca="false">SUMIFS('Daily Overhead Register'!$E$6:$E$838,'Daily Overhead Register'!$C$6:$C$838,"&gt;="&amp;DATE(2025,6,1),'Daily Overhead Register'!$C$6:$C$838,"&lt;"&amp;DATE(2025,7,1),'Daily Overhead Register'!$D$6:$D$838,"Marketing - Referral Development/Events")</f>
        <v>254.12</v>
      </c>
      <c r="I20" s="34" t="n">
        <f aca="false">SUMIFS('Daily Overhead Register'!$E$6:$E$838,'Daily Overhead Register'!$C$6:$C$838,"&gt;="&amp;DATE(2025,7,1),'Daily Overhead Register'!$C$6:$C$838,"&lt;"&amp;DATE(2025,8,1),'Daily Overhead Register'!$D$6:$D$838,"Marketing - Referral Development/Events")</f>
        <v>241.85</v>
      </c>
      <c r="J20" s="34" t="n">
        <f aca="false">SUMIFS('Daily Overhead Register'!$E$6:$E$838,'Daily Overhead Register'!$C$6:$C$838,"&gt;="&amp;DATE(2025,8,1),'Daily Overhead Register'!$C$6:$C$838,"&lt;"&amp;DATE(2025,9,1),'Daily Overhead Register'!$D$6:$D$838,"Marketing - Referral Development/Events")</f>
        <v>259.61</v>
      </c>
      <c r="K20" s="34" t="n">
        <f aca="false">SUMIFS('Daily Overhead Register'!$E$6:$E$838,'Daily Overhead Register'!$C$6:$C$838,"&gt;="&amp;DATE(2025,9,1),'Daily Overhead Register'!$C$6:$C$838,"&lt;"&amp;DATE(2025,10,1),'Daily Overhead Register'!$D$6:$D$838,"Marketing - Referral Development/Events")</f>
        <v>259.54</v>
      </c>
      <c r="L20" s="34" t="n">
        <f aca="false">SUMIFS('Daily Overhead Register'!$E$6:$E$838,'Daily Overhead Register'!$C$6:$C$838,"&gt;="&amp;DATE(2025,10,1),'Daily Overhead Register'!$C$6:$C$838,"&lt;"&amp;DATE(2025,11,1),'Daily Overhead Register'!$D$6:$D$838,"Marketing - Referral Development/Events")</f>
        <v>237.47</v>
      </c>
      <c r="M20" s="34" t="n">
        <f aca="false">SUMIFS('Daily Overhead Register'!$E$6:$E$838,'Daily Overhead Register'!$C$6:$C$838,"&gt;="&amp;DATE(2025,11,1),'Daily Overhead Register'!$C$6:$C$838,"&lt;"&amp;DATE(2025,12,1),'Daily Overhead Register'!$D$6:$D$838,"Marketing - Referral Development/Events")</f>
        <v>242.16</v>
      </c>
      <c r="N20" s="34" t="n">
        <f aca="false">SUMIFS('Daily Overhead Register'!$E$6:$E$838,'Daily Overhead Register'!$C$6:$C$838,"&gt;="&amp;DATE(2025,12,1),'Daily Overhead Register'!$C$6:$C$838,"&lt;"&amp;DATE(2026,1,1),'Daily Overhead Register'!$D$6:$D$838,"Marketing - Referral Development/Events")</f>
        <v>266.46</v>
      </c>
      <c r="O20" s="35" t="n">
        <f aca="false">SUM(C20:N20)</f>
        <v>3003.78</v>
      </c>
    </row>
    <row r="21" customFormat="false" ht="15" hidden="false" customHeight="false" outlineLevel="0" collapsed="false">
      <c r="B21" s="13" t="s">
        <v>143</v>
      </c>
      <c r="C21" s="34" t="n">
        <f aca="false">SUMIFS('Daily Overhead Register'!$E$6:$E$838,'Daily Overhead Register'!$C$6:$C$838,"&gt;="&amp;DATE(2025,1,1),'Daily Overhead Register'!$C$6:$C$838,"&lt;"&amp;DATE(2025,2,1),'Daily Overhead Register'!$D$6:$D$838,"Misc / Other Admin")</f>
        <v>197.69</v>
      </c>
      <c r="D21" s="34" t="n">
        <f aca="false">SUMIFS('Daily Overhead Register'!$E$6:$E$838,'Daily Overhead Register'!$C$6:$C$838,"&gt;="&amp;DATE(2025,2,1),'Daily Overhead Register'!$C$6:$C$838,"&lt;"&amp;DATE(2025,3,1),'Daily Overhead Register'!$D$6:$D$838,"Misc / Other Admin")</f>
        <v>190.89</v>
      </c>
      <c r="E21" s="34" t="n">
        <f aca="false">SUMIFS('Daily Overhead Register'!$E$6:$E$838,'Daily Overhead Register'!$C$6:$C$838,"&gt;="&amp;DATE(2025,3,1),'Daily Overhead Register'!$C$6:$C$838,"&lt;"&amp;DATE(2025,4,1),'Daily Overhead Register'!$D$6:$D$838,"Misc / Other Admin")</f>
        <v>179.05</v>
      </c>
      <c r="F21" s="34" t="n">
        <f aca="false">SUMIFS('Daily Overhead Register'!$E$6:$E$838,'Daily Overhead Register'!$C$6:$C$838,"&gt;="&amp;DATE(2025,4,1),'Daily Overhead Register'!$C$6:$C$838,"&lt;"&amp;DATE(2025,5,1),'Daily Overhead Register'!$D$6:$D$838,"Misc / Other Admin")</f>
        <v>186.67</v>
      </c>
      <c r="G21" s="34" t="n">
        <f aca="false">SUMIFS('Daily Overhead Register'!$E$6:$E$838,'Daily Overhead Register'!$C$6:$C$838,"&gt;="&amp;DATE(2025,5,1),'Daily Overhead Register'!$C$6:$C$838,"&lt;"&amp;DATE(2025,6,1),'Daily Overhead Register'!$D$6:$D$838,"Misc / Other Admin")</f>
        <v>189.95</v>
      </c>
      <c r="H21" s="34" t="n">
        <f aca="false">SUMIFS('Daily Overhead Register'!$E$6:$E$838,'Daily Overhead Register'!$C$6:$C$838,"&gt;="&amp;DATE(2025,6,1),'Daily Overhead Register'!$C$6:$C$838,"&lt;"&amp;DATE(2025,7,1),'Daily Overhead Register'!$D$6:$D$838,"Misc / Other Admin")</f>
        <v>203.47</v>
      </c>
      <c r="I21" s="34" t="n">
        <f aca="false">SUMIFS('Daily Overhead Register'!$E$6:$E$838,'Daily Overhead Register'!$C$6:$C$838,"&gt;="&amp;DATE(2025,7,1),'Daily Overhead Register'!$C$6:$C$838,"&lt;"&amp;DATE(2025,8,1),'Daily Overhead Register'!$D$6:$D$838,"Misc / Other Admin")</f>
        <v>182.14</v>
      </c>
      <c r="J21" s="34" t="n">
        <f aca="false">SUMIFS('Daily Overhead Register'!$E$6:$E$838,'Daily Overhead Register'!$C$6:$C$838,"&gt;="&amp;DATE(2025,8,1),'Daily Overhead Register'!$C$6:$C$838,"&lt;"&amp;DATE(2025,9,1),'Daily Overhead Register'!$D$6:$D$838,"Misc / Other Admin")</f>
        <v>194.37</v>
      </c>
      <c r="K21" s="34" t="n">
        <f aca="false">SUMIFS('Daily Overhead Register'!$E$6:$E$838,'Daily Overhead Register'!$C$6:$C$838,"&gt;="&amp;DATE(2025,9,1),'Daily Overhead Register'!$C$6:$C$838,"&lt;"&amp;DATE(2025,10,1),'Daily Overhead Register'!$D$6:$D$838,"Misc / Other Admin")</f>
        <v>198.05</v>
      </c>
      <c r="L21" s="34" t="n">
        <f aca="false">SUMIFS('Daily Overhead Register'!$E$6:$E$838,'Daily Overhead Register'!$C$6:$C$838,"&gt;="&amp;DATE(2025,10,1),'Daily Overhead Register'!$C$6:$C$838,"&lt;"&amp;DATE(2025,11,1),'Daily Overhead Register'!$D$6:$D$838,"Misc / Other Admin")</f>
        <v>194.18</v>
      </c>
      <c r="M21" s="34" t="n">
        <f aca="false">SUMIFS('Daily Overhead Register'!$E$6:$E$838,'Daily Overhead Register'!$C$6:$C$838,"&gt;="&amp;DATE(2025,11,1),'Daily Overhead Register'!$C$6:$C$838,"&lt;"&amp;DATE(2025,12,1),'Daily Overhead Register'!$D$6:$D$838,"Misc / Other Admin")</f>
        <v>201.31</v>
      </c>
      <c r="N21" s="34" t="n">
        <f aca="false">SUMIFS('Daily Overhead Register'!$E$6:$E$838,'Daily Overhead Register'!$C$6:$C$838,"&gt;="&amp;DATE(2025,12,1),'Daily Overhead Register'!$C$6:$C$838,"&lt;"&amp;DATE(2026,1,1),'Daily Overhead Register'!$D$6:$D$838,"Misc / Other Admin")</f>
        <v>204.78</v>
      </c>
      <c r="O21" s="35" t="n">
        <f aca="false">SUM(C21:N21)</f>
        <v>2322.55</v>
      </c>
    </row>
    <row r="22" customFormat="false" ht="15" hidden="false" customHeight="false" outlineLevel="0" collapsed="false">
      <c r="B22" s="13" t="s">
        <v>124</v>
      </c>
      <c r="C22" s="34" t="n">
        <f aca="false">SUMIFS('Daily Overhead Register'!$E$6:$E$838,'Daily Overhead Register'!$C$6:$C$838,"&gt;="&amp;DATE(2025,1,1),'Daily Overhead Register'!$C$6:$C$838,"&lt;"&amp;DATE(2025,2,1),'Daily Overhead Register'!$D$6:$D$838,"Office Rent")</f>
        <v>2079.87</v>
      </c>
      <c r="D22" s="34" t="n">
        <f aca="false">SUMIFS('Daily Overhead Register'!$E$6:$E$838,'Daily Overhead Register'!$C$6:$C$838,"&gt;="&amp;DATE(2025,2,1),'Daily Overhead Register'!$C$6:$C$838,"&lt;"&amp;DATE(2025,3,1),'Daily Overhead Register'!$D$6:$D$838,"Office Rent")</f>
        <v>2314.54</v>
      </c>
      <c r="E22" s="34" t="n">
        <f aca="false">SUMIFS('Daily Overhead Register'!$E$6:$E$838,'Daily Overhead Register'!$C$6:$C$838,"&gt;="&amp;DATE(2025,3,1),'Daily Overhead Register'!$C$6:$C$838,"&lt;"&amp;DATE(2025,4,1),'Daily Overhead Register'!$D$6:$D$838,"Office Rent")</f>
        <v>2110.92</v>
      </c>
      <c r="F22" s="34" t="n">
        <f aca="false">SUMIFS('Daily Overhead Register'!$E$6:$E$838,'Daily Overhead Register'!$C$6:$C$838,"&gt;="&amp;DATE(2025,4,1),'Daily Overhead Register'!$C$6:$C$838,"&lt;"&amp;DATE(2025,5,1),'Daily Overhead Register'!$D$6:$D$838,"Office Rent")</f>
        <v>2102.6</v>
      </c>
      <c r="G22" s="34" t="n">
        <f aca="false">SUMIFS('Daily Overhead Register'!$E$6:$E$838,'Daily Overhead Register'!$C$6:$C$838,"&gt;="&amp;DATE(2025,5,1),'Daily Overhead Register'!$C$6:$C$838,"&lt;"&amp;DATE(2025,6,1),'Daily Overhead Register'!$D$6:$D$838,"Office Rent")</f>
        <v>2086.67</v>
      </c>
      <c r="H22" s="34" t="n">
        <f aca="false">SUMIFS('Daily Overhead Register'!$E$6:$E$838,'Daily Overhead Register'!$C$6:$C$838,"&gt;="&amp;DATE(2025,6,1),'Daily Overhead Register'!$C$6:$C$838,"&lt;"&amp;DATE(2025,7,1),'Daily Overhead Register'!$D$6:$D$838,"Office Rent")</f>
        <v>2076.62</v>
      </c>
      <c r="I22" s="34" t="n">
        <f aca="false">SUMIFS('Daily Overhead Register'!$E$6:$E$838,'Daily Overhead Register'!$C$6:$C$838,"&gt;="&amp;DATE(2025,7,1),'Daily Overhead Register'!$C$6:$C$838,"&lt;"&amp;DATE(2025,8,1),'Daily Overhead Register'!$D$6:$D$838,"Office Rent")</f>
        <v>2322.11</v>
      </c>
      <c r="J22" s="34" t="n">
        <f aca="false">SUMIFS('Daily Overhead Register'!$E$6:$E$838,'Daily Overhead Register'!$C$6:$C$838,"&gt;="&amp;DATE(2025,8,1),'Daily Overhead Register'!$C$6:$C$838,"&lt;"&amp;DATE(2025,9,1),'Daily Overhead Register'!$D$6:$D$838,"Office Rent")</f>
        <v>2077.41</v>
      </c>
      <c r="K22" s="34" t="n">
        <f aca="false">SUMIFS('Daily Overhead Register'!$E$6:$E$838,'Daily Overhead Register'!$C$6:$C$838,"&gt;="&amp;DATE(2025,9,1),'Daily Overhead Register'!$C$6:$C$838,"&lt;"&amp;DATE(2025,10,1),'Daily Overhead Register'!$D$6:$D$838,"Office Rent")</f>
        <v>2101.34</v>
      </c>
      <c r="L22" s="34" t="n">
        <f aca="false">SUMIFS('Daily Overhead Register'!$E$6:$E$838,'Daily Overhead Register'!$C$6:$C$838,"&gt;="&amp;DATE(2025,10,1),'Daily Overhead Register'!$C$6:$C$838,"&lt;"&amp;DATE(2025,11,1),'Daily Overhead Register'!$D$6:$D$838,"Office Rent")</f>
        <v>2109.47</v>
      </c>
      <c r="M22" s="34" t="n">
        <f aca="false">SUMIFS('Daily Overhead Register'!$E$6:$E$838,'Daily Overhead Register'!$C$6:$C$838,"&gt;="&amp;DATE(2025,11,1),'Daily Overhead Register'!$C$6:$C$838,"&lt;"&amp;DATE(2025,12,1),'Daily Overhead Register'!$D$6:$D$838,"Office Rent")</f>
        <v>2219.97</v>
      </c>
      <c r="N22" s="34" t="n">
        <f aca="false">SUMIFS('Daily Overhead Register'!$E$6:$E$838,'Daily Overhead Register'!$C$6:$C$838,"&gt;="&amp;DATE(2025,12,1),'Daily Overhead Register'!$C$6:$C$838,"&lt;"&amp;DATE(2026,1,1),'Daily Overhead Register'!$D$6:$D$838,"Office Rent")</f>
        <v>2247.68</v>
      </c>
      <c r="O22" s="35" t="n">
        <f aca="false">SUM(C22:N22)</f>
        <v>25849.2</v>
      </c>
    </row>
    <row r="23" customFormat="false" ht="15" hidden="false" customHeight="false" outlineLevel="0" collapsed="false">
      <c r="B23" s="13" t="s">
        <v>136</v>
      </c>
      <c r="C23" s="34" t="n">
        <f aca="false">SUMIFS('Daily Overhead Register'!$E$6:$E$838,'Daily Overhead Register'!$C$6:$C$838,"&gt;="&amp;DATE(2025,1,1),'Daily Overhead Register'!$C$6:$C$838,"&lt;"&amp;DATE(2025,2,1),'Daily Overhead Register'!$D$6:$D$838,"Office Supplies")</f>
        <v>158.82</v>
      </c>
      <c r="D23" s="34" t="n">
        <f aca="false">SUMIFS('Daily Overhead Register'!$E$6:$E$838,'Daily Overhead Register'!$C$6:$C$838,"&gt;="&amp;DATE(2025,2,1),'Daily Overhead Register'!$C$6:$C$838,"&lt;"&amp;DATE(2025,3,1),'Daily Overhead Register'!$D$6:$D$838,"Office Supplies")</f>
        <v>145.97</v>
      </c>
      <c r="E23" s="34" t="n">
        <f aca="false">SUMIFS('Daily Overhead Register'!$E$6:$E$838,'Daily Overhead Register'!$C$6:$C$838,"&gt;="&amp;DATE(2025,3,1),'Daily Overhead Register'!$C$6:$C$838,"&lt;"&amp;DATE(2025,4,1),'Daily Overhead Register'!$D$6:$D$838,"Office Supplies")</f>
        <v>156.07</v>
      </c>
      <c r="F23" s="34" t="n">
        <f aca="false">SUMIFS('Daily Overhead Register'!$E$6:$E$838,'Daily Overhead Register'!$C$6:$C$838,"&gt;="&amp;DATE(2025,4,1),'Daily Overhead Register'!$C$6:$C$838,"&lt;"&amp;DATE(2025,5,1),'Daily Overhead Register'!$D$6:$D$838,"Office Supplies")</f>
        <v>146.69</v>
      </c>
      <c r="G23" s="34" t="n">
        <f aca="false">SUMIFS('Daily Overhead Register'!$E$6:$E$838,'Daily Overhead Register'!$C$6:$C$838,"&gt;="&amp;DATE(2025,5,1),'Daily Overhead Register'!$C$6:$C$838,"&lt;"&amp;DATE(2025,6,1),'Daily Overhead Register'!$D$6:$D$838,"Office Supplies")</f>
        <v>158.21</v>
      </c>
      <c r="H23" s="34" t="n">
        <f aca="false">SUMIFS('Daily Overhead Register'!$E$6:$E$838,'Daily Overhead Register'!$C$6:$C$838,"&gt;="&amp;DATE(2025,6,1),'Daily Overhead Register'!$C$6:$C$838,"&lt;"&amp;DATE(2025,7,1),'Daily Overhead Register'!$D$6:$D$838,"Office Supplies")</f>
        <v>141.96</v>
      </c>
      <c r="I23" s="34" t="n">
        <f aca="false">SUMIFS('Daily Overhead Register'!$E$6:$E$838,'Daily Overhead Register'!$C$6:$C$838,"&gt;="&amp;DATE(2025,7,1),'Daily Overhead Register'!$C$6:$C$838,"&lt;"&amp;DATE(2025,8,1),'Daily Overhead Register'!$D$6:$D$838,"Office Supplies")</f>
        <v>157.21</v>
      </c>
      <c r="J23" s="34" t="n">
        <f aca="false">SUMIFS('Daily Overhead Register'!$E$6:$E$838,'Daily Overhead Register'!$C$6:$C$838,"&gt;="&amp;DATE(2025,8,1),'Daily Overhead Register'!$C$6:$C$838,"&lt;"&amp;DATE(2025,9,1),'Daily Overhead Register'!$D$6:$D$838,"Office Supplies")</f>
        <v>158.61</v>
      </c>
      <c r="K23" s="34" t="n">
        <f aca="false">SUMIFS('Daily Overhead Register'!$E$6:$E$838,'Daily Overhead Register'!$C$6:$C$838,"&gt;="&amp;DATE(2025,9,1),'Daily Overhead Register'!$C$6:$C$838,"&lt;"&amp;DATE(2025,10,1),'Daily Overhead Register'!$D$6:$D$838,"Office Supplies")</f>
        <v>141.48</v>
      </c>
      <c r="L23" s="34" t="n">
        <f aca="false">SUMIFS('Daily Overhead Register'!$E$6:$E$838,'Daily Overhead Register'!$C$6:$C$838,"&gt;="&amp;DATE(2025,10,1),'Daily Overhead Register'!$C$6:$C$838,"&lt;"&amp;DATE(2025,11,1),'Daily Overhead Register'!$D$6:$D$838,"Office Supplies")</f>
        <v>159.44</v>
      </c>
      <c r="M23" s="34" t="n">
        <f aca="false">SUMIFS('Daily Overhead Register'!$E$6:$E$838,'Daily Overhead Register'!$C$6:$C$838,"&gt;="&amp;DATE(2025,11,1),'Daily Overhead Register'!$C$6:$C$838,"&lt;"&amp;DATE(2025,12,1),'Daily Overhead Register'!$D$6:$D$838,"Office Supplies")</f>
        <v>141.49</v>
      </c>
      <c r="N23" s="34" t="n">
        <f aca="false">SUMIFS('Daily Overhead Register'!$E$6:$E$838,'Daily Overhead Register'!$C$6:$C$838,"&gt;="&amp;DATE(2025,12,1),'Daily Overhead Register'!$C$6:$C$838,"&lt;"&amp;DATE(2026,1,1),'Daily Overhead Register'!$D$6:$D$838,"Office Supplies")</f>
        <v>141.39</v>
      </c>
      <c r="O23" s="35" t="n">
        <f aca="false">SUM(C23:N23)</f>
        <v>1807.34</v>
      </c>
    </row>
    <row r="24" customFormat="false" ht="15" hidden="false" customHeight="false" outlineLevel="0" collapsed="false">
      <c r="B24" s="13" t="s">
        <v>22798</v>
      </c>
      <c r="C24" s="34" t="n">
        <f aca="false">SUMIFS('Daily Overhead Register'!$E$6:$E$838,'Daily Overhead Register'!$C$6:$C$838,"&gt;="&amp;DATE(2025,1,1),'Daily Overhead Register'!$C$6:$C$838,"&lt;"&amp;DATE(2025,2,1),'Daily Overhead Register'!$D$6:$D$838,"Office Utilities - Electric")</f>
        <v>217.87</v>
      </c>
      <c r="D24" s="34" t="n">
        <f aca="false">SUMIFS('Daily Overhead Register'!$E$6:$E$838,'Daily Overhead Register'!$C$6:$C$838,"&gt;="&amp;DATE(2025,2,1),'Daily Overhead Register'!$C$6:$C$838,"&lt;"&amp;DATE(2025,3,1),'Daily Overhead Register'!$D$6:$D$838,"Office Utilities - Electric")</f>
        <v>209.1</v>
      </c>
      <c r="E24" s="34" t="n">
        <f aca="false">SUMIFS('Daily Overhead Register'!$E$6:$E$838,'Daily Overhead Register'!$C$6:$C$838,"&gt;="&amp;DATE(2025,3,1),'Daily Overhead Register'!$C$6:$C$838,"&lt;"&amp;DATE(2025,4,1),'Daily Overhead Register'!$D$6:$D$838,"Office Utilities - Electric")</f>
        <v>221.05</v>
      </c>
      <c r="F24" s="34" t="n">
        <f aca="false">SUMIFS('Daily Overhead Register'!$E$6:$E$838,'Daily Overhead Register'!$C$6:$C$838,"&gt;="&amp;DATE(2025,4,1),'Daily Overhead Register'!$C$6:$C$838,"&lt;"&amp;DATE(2025,5,1),'Daily Overhead Register'!$D$6:$D$838,"Office Utilities - Electric")</f>
        <v>210.45</v>
      </c>
      <c r="G24" s="34" t="n">
        <f aca="false">SUMIFS('Daily Overhead Register'!$E$6:$E$838,'Daily Overhead Register'!$C$6:$C$838,"&gt;="&amp;DATE(2025,5,1),'Daily Overhead Register'!$C$6:$C$838,"&lt;"&amp;DATE(2025,6,1),'Daily Overhead Register'!$D$6:$D$838,"Office Utilities - Electric")</f>
        <v>218.31</v>
      </c>
      <c r="H24" s="34" t="n">
        <f aca="false">SUMIFS('Daily Overhead Register'!$E$6:$E$838,'Daily Overhead Register'!$C$6:$C$838,"&gt;="&amp;DATE(2025,6,1),'Daily Overhead Register'!$C$6:$C$838,"&lt;"&amp;DATE(2025,7,1),'Daily Overhead Register'!$D$6:$D$838,"Office Utilities - Electric")</f>
        <v>200.23</v>
      </c>
      <c r="I24" s="34" t="n">
        <f aca="false">SUMIFS('Daily Overhead Register'!$E$6:$E$838,'Daily Overhead Register'!$C$6:$C$838,"&gt;="&amp;DATE(2025,7,1),'Daily Overhead Register'!$C$6:$C$838,"&lt;"&amp;DATE(2025,8,1),'Daily Overhead Register'!$D$6:$D$838,"Office Utilities - Electric")</f>
        <v>197.44</v>
      </c>
      <c r="J24" s="34" t="n">
        <f aca="false">SUMIFS('Daily Overhead Register'!$E$6:$E$838,'Daily Overhead Register'!$C$6:$C$838,"&gt;="&amp;DATE(2025,8,1),'Daily Overhead Register'!$C$6:$C$838,"&lt;"&amp;DATE(2025,9,1),'Daily Overhead Register'!$D$6:$D$838,"Office Utilities - Electric")</f>
        <v>210.52</v>
      </c>
      <c r="K24" s="34" t="n">
        <f aca="false">SUMIFS('Daily Overhead Register'!$E$6:$E$838,'Daily Overhead Register'!$C$6:$C$838,"&gt;="&amp;DATE(2025,9,1),'Daily Overhead Register'!$C$6:$C$838,"&lt;"&amp;DATE(2025,10,1),'Daily Overhead Register'!$D$6:$D$838,"Office Utilities - Electric")</f>
        <v>221.52</v>
      </c>
      <c r="L24" s="34" t="n">
        <f aca="false">SUMIFS('Daily Overhead Register'!$E$6:$E$838,'Daily Overhead Register'!$C$6:$C$838,"&gt;="&amp;DATE(2025,10,1),'Daily Overhead Register'!$C$6:$C$838,"&lt;"&amp;DATE(2025,11,1),'Daily Overhead Register'!$D$6:$D$838,"Office Utilities - Electric")</f>
        <v>221.14</v>
      </c>
      <c r="M24" s="34" t="n">
        <f aca="false">SUMIFS('Daily Overhead Register'!$E$6:$E$838,'Daily Overhead Register'!$C$6:$C$838,"&gt;="&amp;DATE(2025,11,1),'Daily Overhead Register'!$C$6:$C$838,"&lt;"&amp;DATE(2025,12,1),'Daily Overhead Register'!$D$6:$D$838,"Office Utilities - Electric")</f>
        <v>213.6</v>
      </c>
      <c r="N24" s="34" t="n">
        <f aca="false">SUMIFS('Daily Overhead Register'!$E$6:$E$838,'Daily Overhead Register'!$C$6:$C$838,"&gt;="&amp;DATE(2025,12,1),'Daily Overhead Register'!$C$6:$C$838,"&lt;"&amp;DATE(2026,1,1),'Daily Overhead Register'!$D$6:$D$838,"Office Utilities - Electric")</f>
        <v>202.99</v>
      </c>
      <c r="O24" s="35" t="n">
        <f aca="false">SUM(C24:N24)</f>
        <v>2544.22</v>
      </c>
    </row>
    <row r="25" customFormat="false" ht="15" hidden="false" customHeight="false" outlineLevel="0" collapsed="false">
      <c r="B25" s="13" t="s">
        <v>22807</v>
      </c>
      <c r="C25" s="34" t="n">
        <f aca="false">SUMIFS('Daily Overhead Register'!$E$6:$E$838,'Daily Overhead Register'!$C$6:$C$838,"&gt;="&amp;DATE(2025,1,1),'Daily Overhead Register'!$C$6:$C$838,"&lt;"&amp;DATE(2025,2,1),'Daily Overhead Register'!$D$6:$D$838,"Office Utilities - Gas/Heat")</f>
        <v>101.09</v>
      </c>
      <c r="D25" s="34" t="n">
        <f aca="false">SUMIFS('Daily Overhead Register'!$E$6:$E$838,'Daily Overhead Register'!$C$6:$C$838,"&gt;="&amp;DATE(2025,2,1),'Daily Overhead Register'!$C$6:$C$838,"&lt;"&amp;DATE(2025,3,1),'Daily Overhead Register'!$D$6:$D$838,"Office Utilities - Gas/Heat")</f>
        <v>92.25</v>
      </c>
      <c r="E25" s="34" t="n">
        <f aca="false">SUMIFS('Daily Overhead Register'!$E$6:$E$838,'Daily Overhead Register'!$C$6:$C$838,"&gt;="&amp;DATE(2025,3,1),'Daily Overhead Register'!$C$6:$C$838,"&lt;"&amp;DATE(2025,4,1),'Daily Overhead Register'!$D$6:$D$838,"Office Utilities - Gas/Heat")</f>
        <v>94.28</v>
      </c>
      <c r="F25" s="34" t="n">
        <f aca="false">SUMIFS('Daily Overhead Register'!$E$6:$E$838,'Daily Overhead Register'!$C$6:$C$838,"&gt;="&amp;DATE(2025,4,1),'Daily Overhead Register'!$C$6:$C$838,"&lt;"&amp;DATE(2025,5,1),'Daily Overhead Register'!$D$6:$D$838,"Office Utilities - Gas/Heat")</f>
        <v>94.51</v>
      </c>
      <c r="G25" s="34" t="n">
        <f aca="false">SUMIFS('Daily Overhead Register'!$E$6:$E$838,'Daily Overhead Register'!$C$6:$C$838,"&gt;="&amp;DATE(2025,5,1),'Daily Overhead Register'!$C$6:$C$838,"&lt;"&amp;DATE(2025,6,1),'Daily Overhead Register'!$D$6:$D$838,"Office Utilities - Gas/Heat")</f>
        <v>96.93</v>
      </c>
      <c r="H25" s="34" t="n">
        <f aca="false">SUMIFS('Daily Overhead Register'!$E$6:$E$838,'Daily Overhead Register'!$C$6:$C$838,"&gt;="&amp;DATE(2025,6,1),'Daily Overhead Register'!$C$6:$C$838,"&lt;"&amp;DATE(2025,7,1),'Daily Overhead Register'!$D$6:$D$838,"Office Utilities - Gas/Heat")</f>
        <v>100.04</v>
      </c>
      <c r="I25" s="34" t="n">
        <f aca="false">SUMIFS('Daily Overhead Register'!$E$6:$E$838,'Daily Overhead Register'!$C$6:$C$838,"&gt;="&amp;DATE(2025,7,1),'Daily Overhead Register'!$C$6:$C$838,"&lt;"&amp;DATE(2025,8,1),'Daily Overhead Register'!$D$6:$D$838,"Office Utilities - Gas/Heat")</f>
        <v>94.79</v>
      </c>
      <c r="J25" s="34" t="n">
        <f aca="false">SUMIFS('Daily Overhead Register'!$E$6:$E$838,'Daily Overhead Register'!$C$6:$C$838,"&gt;="&amp;DATE(2025,8,1),'Daily Overhead Register'!$C$6:$C$838,"&lt;"&amp;DATE(2025,9,1),'Daily Overhead Register'!$D$6:$D$838,"Office Utilities - Gas/Heat")</f>
        <v>89.57</v>
      </c>
      <c r="K25" s="34" t="n">
        <f aca="false">SUMIFS('Daily Overhead Register'!$E$6:$E$838,'Daily Overhead Register'!$C$6:$C$838,"&gt;="&amp;DATE(2025,9,1),'Daily Overhead Register'!$C$6:$C$838,"&lt;"&amp;DATE(2025,10,1),'Daily Overhead Register'!$D$6:$D$838,"Office Utilities - Gas/Heat")</f>
        <v>93.7</v>
      </c>
      <c r="L25" s="34" t="n">
        <f aca="false">SUMIFS('Daily Overhead Register'!$E$6:$E$838,'Daily Overhead Register'!$C$6:$C$838,"&gt;="&amp;DATE(2025,10,1),'Daily Overhead Register'!$C$6:$C$838,"&lt;"&amp;DATE(2025,11,1),'Daily Overhead Register'!$D$6:$D$838,"Office Utilities - Gas/Heat")</f>
        <v>95.68</v>
      </c>
      <c r="M25" s="34" t="n">
        <f aca="false">SUMIFS('Daily Overhead Register'!$E$6:$E$838,'Daily Overhead Register'!$C$6:$C$838,"&gt;="&amp;DATE(2025,11,1),'Daily Overhead Register'!$C$6:$C$838,"&lt;"&amp;DATE(2025,12,1),'Daily Overhead Register'!$D$6:$D$838,"Office Utilities - Gas/Heat")</f>
        <v>100.15</v>
      </c>
      <c r="N25" s="34" t="n">
        <f aca="false">SUMIFS('Daily Overhead Register'!$E$6:$E$838,'Daily Overhead Register'!$C$6:$C$838,"&gt;="&amp;DATE(2025,12,1),'Daily Overhead Register'!$C$6:$C$838,"&lt;"&amp;DATE(2026,1,1),'Daily Overhead Register'!$D$6:$D$838,"Office Utilities - Gas/Heat")</f>
        <v>90.05</v>
      </c>
      <c r="O25" s="35" t="n">
        <f aca="false">SUM(C25:N25)</f>
        <v>1143.04</v>
      </c>
    </row>
    <row r="26" customFormat="false" ht="15" hidden="false" customHeight="false" outlineLevel="0" collapsed="false">
      <c r="B26" s="13" t="s">
        <v>22802</v>
      </c>
      <c r="C26" s="34" t="n">
        <f aca="false">SUMIFS('Daily Overhead Register'!$E$6:$E$838,'Daily Overhead Register'!$C$6:$C$838,"&gt;="&amp;DATE(2025,1,1),'Daily Overhead Register'!$C$6:$C$838,"&lt;"&amp;DATE(2025,2,1),'Daily Overhead Register'!$D$6:$D$838,"Office Utilities - Water/Sewer")</f>
        <v>65.22</v>
      </c>
      <c r="D26" s="34" t="n">
        <f aca="false">SUMIFS('Daily Overhead Register'!$E$6:$E$838,'Daily Overhead Register'!$C$6:$C$838,"&gt;="&amp;DATE(2025,2,1),'Daily Overhead Register'!$C$6:$C$838,"&lt;"&amp;DATE(2025,3,1),'Daily Overhead Register'!$D$6:$D$838,"Office Utilities - Water/Sewer")</f>
        <v>68.63</v>
      </c>
      <c r="E26" s="34" t="n">
        <f aca="false">SUMIFS('Daily Overhead Register'!$E$6:$E$838,'Daily Overhead Register'!$C$6:$C$838,"&gt;="&amp;DATE(2025,3,1),'Daily Overhead Register'!$C$6:$C$838,"&lt;"&amp;DATE(2025,4,1),'Daily Overhead Register'!$D$6:$D$838,"Office Utilities - Water/Sewer")</f>
        <v>65.17</v>
      </c>
      <c r="F26" s="34" t="n">
        <f aca="false">SUMIFS('Daily Overhead Register'!$E$6:$E$838,'Daily Overhead Register'!$C$6:$C$838,"&gt;="&amp;DATE(2025,4,1),'Daily Overhead Register'!$C$6:$C$838,"&lt;"&amp;DATE(2025,5,1),'Daily Overhead Register'!$D$6:$D$838,"Office Utilities - Water/Sewer")</f>
        <v>65.87</v>
      </c>
      <c r="G26" s="34" t="n">
        <f aca="false">SUMIFS('Daily Overhead Register'!$E$6:$E$838,'Daily Overhead Register'!$C$6:$C$838,"&gt;="&amp;DATE(2025,5,1),'Daily Overhead Register'!$C$6:$C$838,"&lt;"&amp;DATE(2025,6,1),'Daily Overhead Register'!$D$6:$D$838,"Office Utilities - Water/Sewer")</f>
        <v>62.44</v>
      </c>
      <c r="H26" s="34" t="n">
        <f aca="false">SUMIFS('Daily Overhead Register'!$E$6:$E$838,'Daily Overhead Register'!$C$6:$C$838,"&gt;="&amp;DATE(2025,6,1),'Daily Overhead Register'!$C$6:$C$838,"&lt;"&amp;DATE(2025,7,1),'Daily Overhead Register'!$D$6:$D$838,"Office Utilities - Water/Sewer")</f>
        <v>64.93</v>
      </c>
      <c r="I26" s="34" t="n">
        <f aca="false">SUMIFS('Daily Overhead Register'!$E$6:$E$838,'Daily Overhead Register'!$C$6:$C$838,"&gt;="&amp;DATE(2025,7,1),'Daily Overhead Register'!$C$6:$C$838,"&lt;"&amp;DATE(2025,8,1),'Daily Overhead Register'!$D$6:$D$838,"Office Utilities - Water/Sewer")</f>
        <v>63.5</v>
      </c>
      <c r="J26" s="34" t="n">
        <f aca="false">SUMIFS('Daily Overhead Register'!$E$6:$E$838,'Daily Overhead Register'!$C$6:$C$838,"&gt;="&amp;DATE(2025,8,1),'Daily Overhead Register'!$C$6:$C$838,"&lt;"&amp;DATE(2025,9,1),'Daily Overhead Register'!$D$6:$D$838,"Office Utilities - Water/Sewer")</f>
        <v>67.94</v>
      </c>
      <c r="K26" s="34" t="n">
        <f aca="false">SUMIFS('Daily Overhead Register'!$E$6:$E$838,'Daily Overhead Register'!$C$6:$C$838,"&gt;="&amp;DATE(2025,9,1),'Daily Overhead Register'!$C$6:$C$838,"&lt;"&amp;DATE(2025,10,1),'Daily Overhead Register'!$D$6:$D$838,"Office Utilities - Water/Sewer")</f>
        <v>61.41</v>
      </c>
      <c r="L26" s="34" t="n">
        <f aca="false">SUMIFS('Daily Overhead Register'!$E$6:$E$838,'Daily Overhead Register'!$C$6:$C$838,"&gt;="&amp;DATE(2025,10,1),'Daily Overhead Register'!$C$6:$C$838,"&lt;"&amp;DATE(2025,11,1),'Daily Overhead Register'!$D$6:$D$838,"Office Utilities - Water/Sewer")</f>
        <v>66.75</v>
      </c>
      <c r="M26" s="34" t="n">
        <f aca="false">SUMIFS('Daily Overhead Register'!$E$6:$E$838,'Daily Overhead Register'!$C$6:$C$838,"&gt;="&amp;DATE(2025,11,1),'Daily Overhead Register'!$C$6:$C$838,"&lt;"&amp;DATE(2025,12,1),'Daily Overhead Register'!$D$6:$D$838,"Office Utilities - Water/Sewer")</f>
        <v>69.5</v>
      </c>
      <c r="N26" s="34" t="n">
        <f aca="false">SUMIFS('Daily Overhead Register'!$E$6:$E$838,'Daily Overhead Register'!$C$6:$C$838,"&gt;="&amp;DATE(2025,12,1),'Daily Overhead Register'!$C$6:$C$838,"&lt;"&amp;DATE(2026,1,1),'Daily Overhead Register'!$D$6:$D$838,"Office Utilities - Water/Sewer")</f>
        <v>65.26</v>
      </c>
      <c r="O26" s="35" t="n">
        <f aca="false">SUM(C26:N26)</f>
        <v>786.62</v>
      </c>
    </row>
    <row r="27" customFormat="false" ht="15" hidden="false" customHeight="false" outlineLevel="0" collapsed="false">
      <c r="B27" s="13" t="s">
        <v>22822</v>
      </c>
      <c r="C27" s="34" t="n">
        <f aca="false">SUMIFS('Daily Overhead Register'!$E$6:$E$838,'Daily Overhead Register'!$C$6:$C$838,"&gt;="&amp;DATE(2025,1,1),'Daily Overhead Register'!$C$6:$C$838,"&lt;"&amp;DATE(2025,2,1),'Daily Overhead Register'!$D$6:$D$838,"Owner/Executive Compensation")</f>
        <v>5169.63</v>
      </c>
      <c r="D27" s="34" t="n">
        <f aca="false">SUMIFS('Daily Overhead Register'!$E$6:$E$838,'Daily Overhead Register'!$C$6:$C$838,"&gt;="&amp;DATE(2025,2,1),'Daily Overhead Register'!$C$6:$C$838,"&lt;"&amp;DATE(2025,3,1),'Daily Overhead Register'!$D$6:$D$838,"Owner/Executive Compensation")</f>
        <v>4905.29</v>
      </c>
      <c r="E27" s="34" t="n">
        <f aca="false">SUMIFS('Daily Overhead Register'!$E$6:$E$838,'Daily Overhead Register'!$C$6:$C$838,"&gt;="&amp;DATE(2025,3,1),'Daily Overhead Register'!$C$6:$C$838,"&lt;"&amp;DATE(2025,4,1),'Daily Overhead Register'!$D$6:$D$838,"Owner/Executive Compensation")</f>
        <v>5018</v>
      </c>
      <c r="F27" s="34" t="n">
        <f aca="false">SUMIFS('Daily Overhead Register'!$E$6:$E$838,'Daily Overhead Register'!$C$6:$C$838,"&gt;="&amp;DATE(2025,4,1),'Daily Overhead Register'!$C$6:$C$838,"&lt;"&amp;DATE(2025,5,1),'Daily Overhead Register'!$D$6:$D$838,"Owner/Executive Compensation")</f>
        <v>5423.54</v>
      </c>
      <c r="G27" s="34" t="n">
        <f aca="false">SUMIFS('Daily Overhead Register'!$E$6:$E$838,'Daily Overhead Register'!$C$6:$C$838,"&gt;="&amp;DATE(2025,5,1),'Daily Overhead Register'!$C$6:$C$838,"&lt;"&amp;DATE(2025,6,1),'Daily Overhead Register'!$D$6:$D$838,"Owner/Executive Compensation")</f>
        <v>5271.48</v>
      </c>
      <c r="H27" s="34" t="n">
        <f aca="false">SUMIFS('Daily Overhead Register'!$E$6:$E$838,'Daily Overhead Register'!$C$6:$C$838,"&gt;="&amp;DATE(2025,6,1),'Daily Overhead Register'!$C$6:$C$838,"&lt;"&amp;DATE(2025,7,1),'Daily Overhead Register'!$D$6:$D$838,"Owner/Executive Compensation")</f>
        <v>4956.46</v>
      </c>
      <c r="I27" s="34" t="n">
        <f aca="false">SUMIFS('Daily Overhead Register'!$E$6:$E$838,'Daily Overhead Register'!$C$6:$C$838,"&gt;="&amp;DATE(2025,7,1),'Daily Overhead Register'!$C$6:$C$838,"&lt;"&amp;DATE(2025,8,1),'Daily Overhead Register'!$D$6:$D$838,"Owner/Executive Compensation")</f>
        <v>5080.14</v>
      </c>
      <c r="J27" s="34" t="n">
        <f aca="false">SUMIFS('Daily Overhead Register'!$E$6:$E$838,'Daily Overhead Register'!$C$6:$C$838,"&gt;="&amp;DATE(2025,8,1),'Daily Overhead Register'!$C$6:$C$838,"&lt;"&amp;DATE(2025,9,1),'Daily Overhead Register'!$D$6:$D$838,"Owner/Executive Compensation")</f>
        <v>4945.59</v>
      </c>
      <c r="K27" s="34" t="n">
        <f aca="false">SUMIFS('Daily Overhead Register'!$E$6:$E$838,'Daily Overhead Register'!$C$6:$C$838,"&gt;="&amp;DATE(2025,9,1),'Daily Overhead Register'!$C$6:$C$838,"&lt;"&amp;DATE(2025,10,1),'Daily Overhead Register'!$D$6:$D$838,"Owner/Executive Compensation")</f>
        <v>5126.16</v>
      </c>
      <c r="L27" s="34" t="n">
        <f aca="false">SUMIFS('Daily Overhead Register'!$E$6:$E$838,'Daily Overhead Register'!$C$6:$C$838,"&gt;="&amp;DATE(2025,10,1),'Daily Overhead Register'!$C$6:$C$838,"&lt;"&amp;DATE(2025,11,1),'Daily Overhead Register'!$D$6:$D$838,"Owner/Executive Compensation")</f>
        <v>5526.89</v>
      </c>
      <c r="M27" s="34" t="n">
        <f aca="false">SUMIFS('Daily Overhead Register'!$E$6:$E$838,'Daily Overhead Register'!$C$6:$C$838,"&gt;="&amp;DATE(2025,11,1),'Daily Overhead Register'!$C$6:$C$838,"&lt;"&amp;DATE(2025,12,1),'Daily Overhead Register'!$D$6:$D$838,"Owner/Executive Compensation")</f>
        <v>5443.76</v>
      </c>
      <c r="N27" s="34" t="n">
        <f aca="false">SUMIFS('Daily Overhead Register'!$E$6:$E$838,'Daily Overhead Register'!$C$6:$C$838,"&gt;="&amp;DATE(2025,12,1),'Daily Overhead Register'!$C$6:$C$838,"&lt;"&amp;DATE(2026,1,1),'Daily Overhead Register'!$D$6:$D$838,"Owner/Executive Compensation")</f>
        <v>5259.95</v>
      </c>
      <c r="O27" s="35" t="n">
        <f aca="false">SUM(C27:N27)</f>
        <v>62126.89</v>
      </c>
    </row>
    <row r="28" customFormat="false" ht="15" hidden="false" customHeight="false" outlineLevel="0" collapsed="false">
      <c r="B28" s="13" t="s">
        <v>132</v>
      </c>
      <c r="C28" s="34" t="n">
        <f aca="false">SUMIFS('Daily Overhead Register'!$E$6:$E$838,'Daily Overhead Register'!$C$6:$C$838,"&gt;="&amp;DATE(2025,1,1),'Daily Overhead Register'!$C$6:$C$838,"&lt;"&amp;DATE(2025,2,1),'Daily Overhead Register'!$D$6:$D$838,"Payroll Processing Fees")</f>
        <v>428.86</v>
      </c>
      <c r="D28" s="34" t="n">
        <f aca="false">SUMIFS('Daily Overhead Register'!$E$6:$E$838,'Daily Overhead Register'!$C$6:$C$838,"&gt;="&amp;DATE(2025,2,1),'Daily Overhead Register'!$C$6:$C$838,"&lt;"&amp;DATE(2025,3,1),'Daily Overhead Register'!$D$6:$D$838,"Payroll Processing Fees")</f>
        <v>424.52</v>
      </c>
      <c r="E28" s="34" t="n">
        <f aca="false">SUMIFS('Daily Overhead Register'!$E$6:$E$838,'Daily Overhead Register'!$C$6:$C$838,"&gt;="&amp;DATE(2025,3,1),'Daily Overhead Register'!$C$6:$C$838,"&lt;"&amp;DATE(2025,4,1),'Daily Overhead Register'!$D$6:$D$838,"Payroll Processing Fees")</f>
        <v>410.14</v>
      </c>
      <c r="F28" s="34" t="n">
        <f aca="false">SUMIFS('Daily Overhead Register'!$E$6:$E$838,'Daily Overhead Register'!$C$6:$C$838,"&gt;="&amp;DATE(2025,4,1),'Daily Overhead Register'!$C$6:$C$838,"&lt;"&amp;DATE(2025,5,1),'Daily Overhead Register'!$D$6:$D$838,"Payroll Processing Fees")</f>
        <v>396.12</v>
      </c>
      <c r="G28" s="34" t="n">
        <f aca="false">SUMIFS('Daily Overhead Register'!$E$6:$E$838,'Daily Overhead Register'!$C$6:$C$838,"&gt;="&amp;DATE(2025,5,1),'Daily Overhead Register'!$C$6:$C$838,"&lt;"&amp;DATE(2025,6,1),'Daily Overhead Register'!$D$6:$D$838,"Payroll Processing Fees")</f>
        <v>434.45</v>
      </c>
      <c r="H28" s="34" t="n">
        <f aca="false">SUMIFS('Daily Overhead Register'!$E$6:$E$838,'Daily Overhead Register'!$C$6:$C$838,"&gt;="&amp;DATE(2025,6,1),'Daily Overhead Register'!$C$6:$C$838,"&lt;"&amp;DATE(2025,7,1),'Daily Overhead Register'!$D$6:$D$838,"Payroll Processing Fees")</f>
        <v>438.33</v>
      </c>
      <c r="I28" s="34" t="n">
        <f aca="false">SUMIFS('Daily Overhead Register'!$E$6:$E$838,'Daily Overhead Register'!$C$6:$C$838,"&gt;="&amp;DATE(2025,7,1),'Daily Overhead Register'!$C$6:$C$838,"&lt;"&amp;DATE(2025,8,1),'Daily Overhead Register'!$D$6:$D$838,"Payroll Processing Fees")</f>
        <v>442.24</v>
      </c>
      <c r="J28" s="34" t="n">
        <f aca="false">SUMIFS('Daily Overhead Register'!$E$6:$E$838,'Daily Overhead Register'!$C$6:$C$838,"&gt;="&amp;DATE(2025,8,1),'Daily Overhead Register'!$C$6:$C$838,"&lt;"&amp;DATE(2025,9,1),'Daily Overhead Register'!$D$6:$D$838,"Payroll Processing Fees")</f>
        <v>442.43</v>
      </c>
      <c r="K28" s="34" t="n">
        <f aca="false">SUMIFS('Daily Overhead Register'!$E$6:$E$838,'Daily Overhead Register'!$C$6:$C$838,"&gt;="&amp;DATE(2025,9,1),'Daily Overhead Register'!$C$6:$C$838,"&lt;"&amp;DATE(2025,10,1),'Daily Overhead Register'!$D$6:$D$838,"Payroll Processing Fees")</f>
        <v>402.44</v>
      </c>
      <c r="L28" s="34" t="n">
        <f aca="false">SUMIFS('Daily Overhead Register'!$E$6:$E$838,'Daily Overhead Register'!$C$6:$C$838,"&gt;="&amp;DATE(2025,10,1),'Daily Overhead Register'!$C$6:$C$838,"&lt;"&amp;DATE(2025,11,1),'Daily Overhead Register'!$D$6:$D$838,"Payroll Processing Fees")</f>
        <v>438.28</v>
      </c>
      <c r="M28" s="34" t="n">
        <f aca="false">SUMIFS('Daily Overhead Register'!$E$6:$E$838,'Daily Overhead Register'!$C$6:$C$838,"&gt;="&amp;DATE(2025,11,1),'Daily Overhead Register'!$C$6:$C$838,"&lt;"&amp;DATE(2025,12,1),'Daily Overhead Register'!$D$6:$D$838,"Payroll Processing Fees")</f>
        <v>409.81</v>
      </c>
      <c r="N28" s="34" t="n">
        <f aca="false">SUMIFS('Daily Overhead Register'!$E$6:$E$838,'Daily Overhead Register'!$C$6:$C$838,"&gt;="&amp;DATE(2025,12,1),'Daily Overhead Register'!$C$6:$C$838,"&lt;"&amp;DATE(2026,1,1),'Daily Overhead Register'!$D$6:$D$838,"Payroll Processing Fees")</f>
        <v>397.56</v>
      </c>
      <c r="O28" s="35" t="n">
        <f aca="false">SUM(C28:N28)</f>
        <v>5065.18</v>
      </c>
    </row>
    <row r="29" customFormat="false" ht="15" hidden="false" customHeight="false" outlineLevel="0" collapsed="false">
      <c r="B29" s="13" t="s">
        <v>22882</v>
      </c>
      <c r="C29" s="34" t="n">
        <f aca="false">SUMIFS('Daily Overhead Register'!$E$6:$E$838,'Daily Overhead Register'!$C$6:$C$838,"&gt;="&amp;DATE(2025,1,1),'Daily Overhead Register'!$C$6:$C$838,"&lt;"&amp;DATE(2025,2,1),'Daily Overhead Register'!$D$6:$D$838,"Postage and Shipping")</f>
        <v>46.73</v>
      </c>
      <c r="D29" s="34" t="n">
        <f aca="false">SUMIFS('Daily Overhead Register'!$E$6:$E$838,'Daily Overhead Register'!$C$6:$C$838,"&gt;="&amp;DATE(2025,2,1),'Daily Overhead Register'!$C$6:$C$838,"&lt;"&amp;DATE(2025,3,1),'Daily Overhead Register'!$D$6:$D$838,"Postage and Shipping")</f>
        <v>48.51</v>
      </c>
      <c r="E29" s="34" t="n">
        <f aca="false">SUMIFS('Daily Overhead Register'!$E$6:$E$838,'Daily Overhead Register'!$C$6:$C$838,"&gt;="&amp;DATE(2025,3,1),'Daily Overhead Register'!$C$6:$C$838,"&lt;"&amp;DATE(2025,4,1),'Daily Overhead Register'!$D$6:$D$838,"Postage and Shipping")</f>
        <v>45.19</v>
      </c>
      <c r="F29" s="34" t="n">
        <f aca="false">SUMIFS('Daily Overhead Register'!$E$6:$E$838,'Daily Overhead Register'!$C$6:$C$838,"&gt;="&amp;DATE(2025,4,1),'Daily Overhead Register'!$C$6:$C$838,"&lt;"&amp;DATE(2025,5,1),'Daily Overhead Register'!$D$6:$D$838,"Postage and Shipping")</f>
        <v>45.56</v>
      </c>
      <c r="G29" s="34" t="n">
        <f aca="false">SUMIFS('Daily Overhead Register'!$E$6:$E$838,'Daily Overhead Register'!$C$6:$C$838,"&gt;="&amp;DATE(2025,5,1),'Daily Overhead Register'!$C$6:$C$838,"&lt;"&amp;DATE(2025,6,1),'Daily Overhead Register'!$D$6:$D$838,"Postage and Shipping")</f>
        <v>43.8</v>
      </c>
      <c r="H29" s="34" t="n">
        <f aca="false">SUMIFS('Daily Overhead Register'!$E$6:$E$838,'Daily Overhead Register'!$C$6:$C$838,"&gt;="&amp;DATE(2025,6,1),'Daily Overhead Register'!$C$6:$C$838,"&lt;"&amp;DATE(2025,7,1),'Daily Overhead Register'!$D$6:$D$838,"Postage and Shipping")</f>
        <v>43.83</v>
      </c>
      <c r="I29" s="34" t="n">
        <f aca="false">SUMIFS('Daily Overhead Register'!$E$6:$E$838,'Daily Overhead Register'!$C$6:$C$838,"&gt;="&amp;DATE(2025,7,1),'Daily Overhead Register'!$C$6:$C$838,"&lt;"&amp;DATE(2025,8,1),'Daily Overhead Register'!$D$6:$D$838,"Postage and Shipping")</f>
        <v>42.99</v>
      </c>
      <c r="J29" s="34" t="n">
        <f aca="false">SUMIFS('Daily Overhead Register'!$E$6:$E$838,'Daily Overhead Register'!$C$6:$C$838,"&gt;="&amp;DATE(2025,8,1),'Daily Overhead Register'!$C$6:$C$838,"&lt;"&amp;DATE(2025,9,1),'Daily Overhead Register'!$D$6:$D$838,"Postage and Shipping")</f>
        <v>46.49</v>
      </c>
      <c r="K29" s="34" t="n">
        <f aca="false">SUMIFS('Daily Overhead Register'!$E$6:$E$838,'Daily Overhead Register'!$C$6:$C$838,"&gt;="&amp;DATE(2025,9,1),'Daily Overhead Register'!$C$6:$C$838,"&lt;"&amp;DATE(2025,10,1),'Daily Overhead Register'!$D$6:$D$838,"Postage and Shipping")</f>
        <v>46.48</v>
      </c>
      <c r="L29" s="34" t="n">
        <f aca="false">SUMIFS('Daily Overhead Register'!$E$6:$E$838,'Daily Overhead Register'!$C$6:$C$838,"&gt;="&amp;DATE(2025,10,1),'Daily Overhead Register'!$C$6:$C$838,"&lt;"&amp;DATE(2025,11,1),'Daily Overhead Register'!$D$6:$D$838,"Postage and Shipping")</f>
        <v>47.84</v>
      </c>
      <c r="M29" s="34" t="n">
        <f aca="false">SUMIFS('Daily Overhead Register'!$E$6:$E$838,'Daily Overhead Register'!$C$6:$C$838,"&gt;="&amp;DATE(2025,11,1),'Daily Overhead Register'!$C$6:$C$838,"&lt;"&amp;DATE(2025,12,1),'Daily Overhead Register'!$D$6:$D$838,"Postage and Shipping")</f>
        <v>47.05</v>
      </c>
      <c r="N29" s="34" t="n">
        <f aca="false">SUMIFS('Daily Overhead Register'!$E$6:$E$838,'Daily Overhead Register'!$C$6:$C$838,"&gt;="&amp;DATE(2025,12,1),'Daily Overhead Register'!$C$6:$C$838,"&lt;"&amp;DATE(2026,1,1),'Daily Overhead Register'!$D$6:$D$838,"Postage and Shipping")</f>
        <v>47.4</v>
      </c>
      <c r="O29" s="35" t="n">
        <f aca="false">SUM(C29:N29)</f>
        <v>551.87</v>
      </c>
    </row>
    <row r="30" customFormat="false" ht="15" hidden="false" customHeight="false" outlineLevel="0" collapsed="false">
      <c r="B30" s="13" t="s">
        <v>22827</v>
      </c>
      <c r="C30" s="34" t="n">
        <f aca="false">SUMIFS('Daily Overhead Register'!$E$6:$E$838,'Daily Overhead Register'!$C$6:$C$838,"&gt;="&amp;DATE(2025,1,1),'Daily Overhead Register'!$C$6:$C$838,"&lt;"&amp;DATE(2025,2,1),'Daily Overhead Register'!$D$6:$D$838,"Software - Accounting (QBO)")</f>
        <v>117.37</v>
      </c>
      <c r="D30" s="34" t="n">
        <f aca="false">SUMIFS('Daily Overhead Register'!$E$6:$E$838,'Daily Overhead Register'!$C$6:$C$838,"&gt;="&amp;DATE(2025,2,1),'Daily Overhead Register'!$C$6:$C$838,"&lt;"&amp;DATE(2025,3,1),'Daily Overhead Register'!$D$6:$D$838,"Software - Accounting (QBO)")</f>
        <v>127.03</v>
      </c>
      <c r="E30" s="34" t="n">
        <f aca="false">SUMIFS('Daily Overhead Register'!$E$6:$E$838,'Daily Overhead Register'!$C$6:$C$838,"&gt;="&amp;DATE(2025,3,1),'Daily Overhead Register'!$C$6:$C$838,"&lt;"&amp;DATE(2025,4,1),'Daily Overhead Register'!$D$6:$D$838,"Software - Accounting (QBO)")</f>
        <v>122.69</v>
      </c>
      <c r="F30" s="34" t="n">
        <f aca="false">SUMIFS('Daily Overhead Register'!$E$6:$E$838,'Daily Overhead Register'!$C$6:$C$838,"&gt;="&amp;DATE(2025,4,1),'Daily Overhead Register'!$C$6:$C$838,"&lt;"&amp;DATE(2025,5,1),'Daily Overhead Register'!$D$6:$D$838,"Software - Accounting (QBO)")</f>
        <v>122.13</v>
      </c>
      <c r="G30" s="34" t="n">
        <f aca="false">SUMIFS('Daily Overhead Register'!$E$6:$E$838,'Daily Overhead Register'!$C$6:$C$838,"&gt;="&amp;DATE(2025,5,1),'Daily Overhead Register'!$C$6:$C$838,"&lt;"&amp;DATE(2025,6,1),'Daily Overhead Register'!$D$6:$D$838,"Software - Accounting (QBO)")</f>
        <v>125.46</v>
      </c>
      <c r="H30" s="34" t="n">
        <f aca="false">SUMIFS('Daily Overhead Register'!$E$6:$E$838,'Daily Overhead Register'!$C$6:$C$838,"&gt;="&amp;DATE(2025,6,1),'Daily Overhead Register'!$C$6:$C$838,"&lt;"&amp;DATE(2025,7,1),'Daily Overhead Register'!$D$6:$D$838,"Software - Accounting (QBO)")</f>
        <v>120.02</v>
      </c>
      <c r="I30" s="34" t="n">
        <f aca="false">SUMIFS('Daily Overhead Register'!$E$6:$E$838,'Daily Overhead Register'!$C$6:$C$838,"&gt;="&amp;DATE(2025,7,1),'Daily Overhead Register'!$C$6:$C$838,"&lt;"&amp;DATE(2025,8,1),'Daily Overhead Register'!$D$6:$D$838,"Software - Accounting (QBO)")</f>
        <v>117.5</v>
      </c>
      <c r="J30" s="34" t="n">
        <f aca="false">SUMIFS('Daily Overhead Register'!$E$6:$E$838,'Daily Overhead Register'!$C$6:$C$838,"&gt;="&amp;DATE(2025,8,1),'Daily Overhead Register'!$C$6:$C$838,"&lt;"&amp;DATE(2025,9,1),'Daily Overhead Register'!$D$6:$D$838,"Software - Accounting (QBO)")</f>
        <v>118.66</v>
      </c>
      <c r="K30" s="34" t="n">
        <f aca="false">SUMIFS('Daily Overhead Register'!$E$6:$E$838,'Daily Overhead Register'!$C$6:$C$838,"&gt;="&amp;DATE(2025,9,1),'Daily Overhead Register'!$C$6:$C$838,"&lt;"&amp;DATE(2025,10,1),'Daily Overhead Register'!$D$6:$D$838,"Software - Accounting (QBO)")</f>
        <v>129.07</v>
      </c>
      <c r="L30" s="34" t="n">
        <f aca="false">SUMIFS('Daily Overhead Register'!$E$6:$E$838,'Daily Overhead Register'!$C$6:$C$838,"&gt;="&amp;DATE(2025,10,1),'Daily Overhead Register'!$C$6:$C$838,"&lt;"&amp;DATE(2025,11,1),'Daily Overhead Register'!$D$6:$D$838,"Software - Accounting (QBO)")</f>
        <v>121.12</v>
      </c>
      <c r="M30" s="34" t="n">
        <f aca="false">SUMIFS('Daily Overhead Register'!$E$6:$E$838,'Daily Overhead Register'!$C$6:$C$838,"&gt;="&amp;DATE(2025,11,1),'Daily Overhead Register'!$C$6:$C$838,"&lt;"&amp;DATE(2025,12,1),'Daily Overhead Register'!$D$6:$D$838,"Software - Accounting (QBO)")</f>
        <v>125.71</v>
      </c>
      <c r="N30" s="34" t="n">
        <f aca="false">SUMIFS('Daily Overhead Register'!$E$6:$E$838,'Daily Overhead Register'!$C$6:$C$838,"&gt;="&amp;DATE(2025,12,1),'Daily Overhead Register'!$C$6:$C$838,"&lt;"&amp;DATE(2026,1,1),'Daily Overhead Register'!$D$6:$D$838,"Software - Accounting (QBO)")</f>
        <v>126.09</v>
      </c>
      <c r="O30" s="35" t="n">
        <f aca="false">SUM(C30:N30)</f>
        <v>1472.85</v>
      </c>
    </row>
    <row r="31" customFormat="false" ht="15" hidden="false" customHeight="false" outlineLevel="0" collapsed="false">
      <c r="B31" s="13" t="s">
        <v>22829</v>
      </c>
      <c r="C31" s="34" t="n">
        <f aca="false">SUMIFS('Daily Overhead Register'!$E$6:$E$838,'Daily Overhead Register'!$C$6:$C$838,"&gt;="&amp;DATE(2025,1,1),'Daily Overhead Register'!$C$6:$C$838,"&lt;"&amp;DATE(2025,2,1),'Daily Overhead Register'!$D$6:$D$838,"Software - Email/Office 365")</f>
        <v>82.06</v>
      </c>
      <c r="D31" s="34" t="n">
        <f aca="false">SUMIFS('Daily Overhead Register'!$E$6:$E$838,'Daily Overhead Register'!$C$6:$C$838,"&gt;="&amp;DATE(2025,2,1),'Daily Overhead Register'!$C$6:$C$838,"&lt;"&amp;DATE(2025,3,1),'Daily Overhead Register'!$D$6:$D$838,"Software - Email/Office 365")</f>
        <v>90.47</v>
      </c>
      <c r="E31" s="34" t="n">
        <f aca="false">SUMIFS('Daily Overhead Register'!$E$6:$E$838,'Daily Overhead Register'!$C$6:$C$838,"&gt;="&amp;DATE(2025,3,1),'Daily Overhead Register'!$C$6:$C$838,"&lt;"&amp;DATE(2025,4,1),'Daily Overhead Register'!$D$6:$D$838,"Software - Email/Office 365")</f>
        <v>88.42</v>
      </c>
      <c r="F31" s="34" t="n">
        <f aca="false">SUMIFS('Daily Overhead Register'!$E$6:$E$838,'Daily Overhead Register'!$C$6:$C$838,"&gt;="&amp;DATE(2025,4,1),'Daily Overhead Register'!$C$6:$C$838,"&lt;"&amp;DATE(2025,5,1),'Daily Overhead Register'!$D$6:$D$838,"Software - Email/Office 365")</f>
        <v>85.02</v>
      </c>
      <c r="G31" s="34" t="n">
        <f aca="false">SUMIFS('Daily Overhead Register'!$E$6:$E$838,'Daily Overhead Register'!$C$6:$C$838,"&gt;="&amp;DATE(2025,5,1),'Daily Overhead Register'!$C$6:$C$838,"&lt;"&amp;DATE(2025,6,1),'Daily Overhead Register'!$D$6:$D$838,"Software - Email/Office 365")</f>
        <v>80.72</v>
      </c>
      <c r="H31" s="34" t="n">
        <f aca="false">SUMIFS('Daily Overhead Register'!$E$6:$E$838,'Daily Overhead Register'!$C$6:$C$838,"&gt;="&amp;DATE(2025,6,1),'Daily Overhead Register'!$C$6:$C$838,"&lt;"&amp;DATE(2025,7,1),'Daily Overhead Register'!$D$6:$D$838,"Software - Email/Office 365")</f>
        <v>89.44</v>
      </c>
      <c r="I31" s="34" t="n">
        <f aca="false">SUMIFS('Daily Overhead Register'!$E$6:$E$838,'Daily Overhead Register'!$C$6:$C$838,"&gt;="&amp;DATE(2025,7,1),'Daily Overhead Register'!$C$6:$C$838,"&lt;"&amp;DATE(2025,8,1),'Daily Overhead Register'!$D$6:$D$838,"Software - Email/Office 365")</f>
        <v>85.8</v>
      </c>
      <c r="J31" s="34" t="n">
        <f aca="false">SUMIFS('Daily Overhead Register'!$E$6:$E$838,'Daily Overhead Register'!$C$6:$C$838,"&gt;="&amp;DATE(2025,8,1),'Daily Overhead Register'!$C$6:$C$838,"&lt;"&amp;DATE(2025,9,1),'Daily Overhead Register'!$D$6:$D$838,"Software - Email/Office 365")</f>
        <v>90.36</v>
      </c>
      <c r="K31" s="34" t="n">
        <f aca="false">SUMIFS('Daily Overhead Register'!$E$6:$E$838,'Daily Overhead Register'!$C$6:$C$838,"&gt;="&amp;DATE(2025,9,1),'Daily Overhead Register'!$C$6:$C$838,"&lt;"&amp;DATE(2025,10,1),'Daily Overhead Register'!$D$6:$D$838,"Software - Email/Office 365")</f>
        <v>80.25</v>
      </c>
      <c r="L31" s="34" t="n">
        <f aca="false">SUMIFS('Daily Overhead Register'!$E$6:$E$838,'Daily Overhead Register'!$C$6:$C$838,"&gt;="&amp;DATE(2025,10,1),'Daily Overhead Register'!$C$6:$C$838,"&lt;"&amp;DATE(2025,11,1),'Daily Overhead Register'!$D$6:$D$838,"Software - Email/Office 365")</f>
        <v>88.77</v>
      </c>
      <c r="M31" s="34" t="n">
        <f aca="false">SUMIFS('Daily Overhead Register'!$E$6:$E$838,'Daily Overhead Register'!$C$6:$C$838,"&gt;="&amp;DATE(2025,11,1),'Daily Overhead Register'!$C$6:$C$838,"&lt;"&amp;DATE(2025,12,1),'Daily Overhead Register'!$D$6:$D$838,"Software - Email/Office 365")</f>
        <v>83.27</v>
      </c>
      <c r="N31" s="34" t="n">
        <f aca="false">SUMIFS('Daily Overhead Register'!$E$6:$E$838,'Daily Overhead Register'!$C$6:$C$838,"&gt;="&amp;DATE(2025,12,1),'Daily Overhead Register'!$C$6:$C$838,"&lt;"&amp;DATE(2026,1,1),'Daily Overhead Register'!$D$6:$D$838,"Software - Email/Office 365")</f>
        <v>90.5</v>
      </c>
      <c r="O31" s="35" t="n">
        <f aca="false">SUM(C31:N31)</f>
        <v>1035.08</v>
      </c>
    </row>
    <row r="32" customFormat="false" ht="15" hidden="false" customHeight="false" outlineLevel="0" collapsed="false">
      <c r="B32" s="13" t="s">
        <v>22825</v>
      </c>
      <c r="C32" s="34" t="n">
        <f aca="false">SUMIFS('Daily Overhead Register'!$E$6:$E$838,'Daily Overhead Register'!$C$6:$C$838,"&gt;="&amp;DATE(2025,1,1),'Daily Overhead Register'!$C$6:$C$838,"&lt;"&amp;DATE(2025,2,1),'Daily Overhead Register'!$D$6:$D$838,"Software - Scheduling/EVV Platform")</f>
        <v>700.02</v>
      </c>
      <c r="D32" s="34" t="n">
        <f aca="false">SUMIFS('Daily Overhead Register'!$E$6:$E$838,'Daily Overhead Register'!$C$6:$C$838,"&gt;="&amp;DATE(2025,2,1),'Daily Overhead Register'!$C$6:$C$838,"&lt;"&amp;DATE(2025,3,1),'Daily Overhead Register'!$D$6:$D$838,"Software - Scheduling/EVV Platform")</f>
        <v>689.34</v>
      </c>
      <c r="E32" s="34" t="n">
        <f aca="false">SUMIFS('Daily Overhead Register'!$E$6:$E$838,'Daily Overhead Register'!$C$6:$C$838,"&gt;="&amp;DATE(2025,3,1),'Daily Overhead Register'!$C$6:$C$838,"&lt;"&amp;DATE(2025,4,1),'Daily Overhead Register'!$D$6:$D$838,"Software - Scheduling/EVV Platform")</f>
        <v>696.39</v>
      </c>
      <c r="F32" s="34" t="n">
        <f aca="false">SUMIFS('Daily Overhead Register'!$E$6:$E$838,'Daily Overhead Register'!$C$6:$C$838,"&gt;="&amp;DATE(2025,4,1),'Daily Overhead Register'!$C$6:$C$838,"&lt;"&amp;DATE(2025,5,1),'Daily Overhead Register'!$D$6:$D$838,"Software - Scheduling/EVV Platform")</f>
        <v>620.36</v>
      </c>
      <c r="G32" s="34" t="n">
        <f aca="false">SUMIFS('Daily Overhead Register'!$E$6:$E$838,'Daily Overhead Register'!$C$6:$C$838,"&gt;="&amp;DATE(2025,5,1),'Daily Overhead Register'!$C$6:$C$838,"&lt;"&amp;DATE(2025,6,1),'Daily Overhead Register'!$D$6:$D$838,"Software - Scheduling/EVV Platform")</f>
        <v>669.26</v>
      </c>
      <c r="H32" s="34" t="n">
        <f aca="false">SUMIFS('Daily Overhead Register'!$E$6:$E$838,'Daily Overhead Register'!$C$6:$C$838,"&gt;="&amp;DATE(2025,6,1),'Daily Overhead Register'!$C$6:$C$838,"&lt;"&amp;DATE(2025,7,1),'Daily Overhead Register'!$D$6:$D$838,"Software - Scheduling/EVV Platform")</f>
        <v>637.74</v>
      </c>
      <c r="I32" s="34" t="n">
        <f aca="false">SUMIFS('Daily Overhead Register'!$E$6:$E$838,'Daily Overhead Register'!$C$6:$C$838,"&gt;="&amp;DATE(2025,7,1),'Daily Overhead Register'!$C$6:$C$838,"&lt;"&amp;DATE(2025,8,1),'Daily Overhead Register'!$D$6:$D$838,"Software - Scheduling/EVV Platform")</f>
        <v>641.56</v>
      </c>
      <c r="J32" s="34" t="n">
        <f aca="false">SUMIFS('Daily Overhead Register'!$E$6:$E$838,'Daily Overhead Register'!$C$6:$C$838,"&gt;="&amp;DATE(2025,8,1),'Daily Overhead Register'!$C$6:$C$838,"&lt;"&amp;DATE(2025,9,1),'Daily Overhead Register'!$D$6:$D$838,"Software - Scheduling/EVV Platform")</f>
        <v>690.78</v>
      </c>
      <c r="K32" s="34" t="n">
        <f aca="false">SUMIFS('Daily Overhead Register'!$E$6:$E$838,'Daily Overhead Register'!$C$6:$C$838,"&gt;="&amp;DATE(2025,9,1),'Daily Overhead Register'!$C$6:$C$838,"&lt;"&amp;DATE(2025,10,1),'Daily Overhead Register'!$D$6:$D$838,"Software - Scheduling/EVV Platform")</f>
        <v>673.49</v>
      </c>
      <c r="L32" s="34" t="n">
        <f aca="false">SUMIFS('Daily Overhead Register'!$E$6:$E$838,'Daily Overhead Register'!$C$6:$C$838,"&gt;="&amp;DATE(2025,10,1),'Daily Overhead Register'!$C$6:$C$838,"&lt;"&amp;DATE(2025,11,1),'Daily Overhead Register'!$D$6:$D$838,"Software - Scheduling/EVV Platform")</f>
        <v>686.12</v>
      </c>
      <c r="M32" s="34" t="n">
        <f aca="false">SUMIFS('Daily Overhead Register'!$E$6:$E$838,'Daily Overhead Register'!$C$6:$C$838,"&gt;="&amp;DATE(2025,11,1),'Daily Overhead Register'!$C$6:$C$838,"&lt;"&amp;DATE(2025,12,1),'Daily Overhead Register'!$D$6:$D$838,"Software - Scheduling/EVV Platform")</f>
        <v>627.48</v>
      </c>
      <c r="N32" s="34" t="n">
        <f aca="false">SUMIFS('Daily Overhead Register'!$E$6:$E$838,'Daily Overhead Register'!$C$6:$C$838,"&gt;="&amp;DATE(2025,12,1),'Daily Overhead Register'!$C$6:$C$838,"&lt;"&amp;DATE(2026,1,1),'Daily Overhead Register'!$D$6:$D$838,"Software - Scheduling/EVV Platform")</f>
        <v>643.26</v>
      </c>
      <c r="O32" s="35" t="n">
        <f aca="false">SUM(C32:N32)</f>
        <v>7975.8</v>
      </c>
    </row>
    <row r="33" customFormat="false" ht="15" hidden="false" customHeight="false" outlineLevel="0" collapsed="false">
      <c r="B33" s="13" t="s">
        <v>22831</v>
      </c>
      <c r="C33" s="34" t="n">
        <f aca="false">SUMIFS('Daily Overhead Register'!$E$6:$E$838,'Daily Overhead Register'!$C$6:$C$838,"&gt;="&amp;DATE(2025,1,1),'Daily Overhead Register'!$C$6:$C$838,"&lt;"&amp;DATE(2025,2,1),'Daily Overhead Register'!$D$6:$D$838,"Software - Timekeeping App")</f>
        <v>90.14</v>
      </c>
      <c r="D33" s="34" t="n">
        <f aca="false">SUMIFS('Daily Overhead Register'!$E$6:$E$838,'Daily Overhead Register'!$C$6:$C$838,"&gt;="&amp;DATE(2025,2,1),'Daily Overhead Register'!$C$6:$C$838,"&lt;"&amp;DATE(2025,3,1),'Daily Overhead Register'!$D$6:$D$838,"Software - Timekeeping App")</f>
        <v>96</v>
      </c>
      <c r="E33" s="34" t="n">
        <f aca="false">SUMIFS('Daily Overhead Register'!$E$6:$E$838,'Daily Overhead Register'!$C$6:$C$838,"&gt;="&amp;DATE(2025,3,1),'Daily Overhead Register'!$C$6:$C$838,"&lt;"&amp;DATE(2025,4,1),'Daily Overhead Register'!$D$6:$D$838,"Software - Timekeeping App")</f>
        <v>101.36</v>
      </c>
      <c r="F33" s="34" t="n">
        <f aca="false">SUMIFS('Daily Overhead Register'!$E$6:$E$838,'Daily Overhead Register'!$C$6:$C$838,"&gt;="&amp;DATE(2025,4,1),'Daily Overhead Register'!$C$6:$C$838,"&lt;"&amp;DATE(2025,5,1),'Daily Overhead Register'!$D$6:$D$838,"Software - Timekeeping App")</f>
        <v>96.08</v>
      </c>
      <c r="G33" s="34" t="n">
        <f aca="false">SUMIFS('Daily Overhead Register'!$E$6:$E$838,'Daily Overhead Register'!$C$6:$C$838,"&gt;="&amp;DATE(2025,5,1),'Daily Overhead Register'!$C$6:$C$838,"&lt;"&amp;DATE(2025,6,1),'Daily Overhead Register'!$D$6:$D$838,"Software - Timekeeping App")</f>
        <v>97.49</v>
      </c>
      <c r="H33" s="34" t="n">
        <f aca="false">SUMIFS('Daily Overhead Register'!$E$6:$E$838,'Daily Overhead Register'!$C$6:$C$838,"&gt;="&amp;DATE(2025,6,1),'Daily Overhead Register'!$C$6:$C$838,"&lt;"&amp;DATE(2025,7,1),'Daily Overhead Register'!$D$6:$D$838,"Software - Timekeeping App")</f>
        <v>99.95</v>
      </c>
      <c r="I33" s="34" t="n">
        <f aca="false">SUMIFS('Daily Overhead Register'!$E$6:$E$838,'Daily Overhead Register'!$C$6:$C$838,"&gt;="&amp;DATE(2025,7,1),'Daily Overhead Register'!$C$6:$C$838,"&lt;"&amp;DATE(2025,8,1),'Daily Overhead Register'!$D$6:$D$838,"Software - Timekeeping App")</f>
        <v>89.59</v>
      </c>
      <c r="J33" s="34" t="n">
        <f aca="false">SUMIFS('Daily Overhead Register'!$E$6:$E$838,'Daily Overhead Register'!$C$6:$C$838,"&gt;="&amp;DATE(2025,8,1),'Daily Overhead Register'!$C$6:$C$838,"&lt;"&amp;DATE(2025,9,1),'Daily Overhead Register'!$D$6:$D$838,"Software - Timekeeping App")</f>
        <v>98.36</v>
      </c>
      <c r="K33" s="34" t="n">
        <f aca="false">SUMIFS('Daily Overhead Register'!$E$6:$E$838,'Daily Overhead Register'!$C$6:$C$838,"&gt;="&amp;DATE(2025,9,1),'Daily Overhead Register'!$C$6:$C$838,"&lt;"&amp;DATE(2025,10,1),'Daily Overhead Register'!$D$6:$D$838,"Software - Timekeeping App")</f>
        <v>91.93</v>
      </c>
      <c r="L33" s="34" t="n">
        <f aca="false">SUMIFS('Daily Overhead Register'!$E$6:$E$838,'Daily Overhead Register'!$C$6:$C$838,"&gt;="&amp;DATE(2025,10,1),'Daily Overhead Register'!$C$6:$C$838,"&lt;"&amp;DATE(2025,11,1),'Daily Overhead Register'!$D$6:$D$838,"Software - Timekeeping App")</f>
        <v>98.35</v>
      </c>
      <c r="M33" s="34" t="n">
        <f aca="false">SUMIFS('Daily Overhead Register'!$E$6:$E$838,'Daily Overhead Register'!$C$6:$C$838,"&gt;="&amp;DATE(2025,11,1),'Daily Overhead Register'!$C$6:$C$838,"&lt;"&amp;DATE(2025,12,1),'Daily Overhead Register'!$D$6:$D$838,"Software - Timekeeping App")</f>
        <v>96.82</v>
      </c>
      <c r="N33" s="34" t="n">
        <f aca="false">SUMIFS('Daily Overhead Register'!$E$6:$E$838,'Daily Overhead Register'!$C$6:$C$838,"&gt;="&amp;DATE(2025,12,1),'Daily Overhead Register'!$C$6:$C$838,"&lt;"&amp;DATE(2026,1,1),'Daily Overhead Register'!$D$6:$D$838,"Software - Timekeeping App")</f>
        <v>91.75</v>
      </c>
      <c r="O33" s="35" t="n">
        <f aca="false">SUM(C33:N33)</f>
        <v>1147.82</v>
      </c>
    </row>
    <row r="34" customFormat="false" ht="15" hidden="false" customHeight="false" outlineLevel="0" collapsed="false">
      <c r="B34" s="13" t="s">
        <v>22857</v>
      </c>
      <c r="C34" s="34" t="n">
        <f aca="false">SUMIFS('Daily Overhead Register'!$E$6:$E$838,'Daily Overhead Register'!$C$6:$C$838,"&gt;="&amp;DATE(2025,1,1),'Daily Overhead Register'!$C$6:$C$838,"&lt;"&amp;DATE(2025,2,1),'Daily Overhead Register'!$D$6:$D$838,"Telephone - Field Staff Cell Plans")</f>
        <v>455.93</v>
      </c>
      <c r="D34" s="34" t="n">
        <f aca="false">SUMIFS('Daily Overhead Register'!$E$6:$E$838,'Daily Overhead Register'!$C$6:$C$838,"&gt;="&amp;DATE(2025,2,1),'Daily Overhead Register'!$C$6:$C$838,"&lt;"&amp;DATE(2025,3,1),'Daily Overhead Register'!$D$6:$D$838,"Telephone - Field Staff Cell Plans")</f>
        <v>494.71</v>
      </c>
      <c r="E34" s="34" t="n">
        <f aca="false">SUMIFS('Daily Overhead Register'!$E$6:$E$838,'Daily Overhead Register'!$C$6:$C$838,"&gt;="&amp;DATE(2025,3,1),'Daily Overhead Register'!$C$6:$C$838,"&lt;"&amp;DATE(2025,4,1),'Daily Overhead Register'!$D$6:$D$838,"Telephone - Field Staff Cell Plans")</f>
        <v>487.75</v>
      </c>
      <c r="F34" s="34" t="n">
        <f aca="false">SUMIFS('Daily Overhead Register'!$E$6:$E$838,'Daily Overhead Register'!$C$6:$C$838,"&gt;="&amp;DATE(2025,4,1),'Daily Overhead Register'!$C$6:$C$838,"&lt;"&amp;DATE(2025,5,1),'Daily Overhead Register'!$D$6:$D$838,"Telephone - Field Staff Cell Plans")</f>
        <v>473.42</v>
      </c>
      <c r="G34" s="34" t="n">
        <f aca="false">SUMIFS('Daily Overhead Register'!$E$6:$E$838,'Daily Overhead Register'!$C$6:$C$838,"&gt;="&amp;DATE(2025,5,1),'Daily Overhead Register'!$C$6:$C$838,"&lt;"&amp;DATE(2025,6,1),'Daily Overhead Register'!$D$6:$D$838,"Telephone - Field Staff Cell Plans")</f>
        <v>498.56</v>
      </c>
      <c r="H34" s="34" t="n">
        <f aca="false">SUMIFS('Daily Overhead Register'!$E$6:$E$838,'Daily Overhead Register'!$C$6:$C$838,"&gt;="&amp;DATE(2025,6,1),'Daily Overhead Register'!$C$6:$C$838,"&lt;"&amp;DATE(2025,7,1),'Daily Overhead Register'!$D$6:$D$838,"Telephone - Field Staff Cell Plans")</f>
        <v>493.99</v>
      </c>
      <c r="I34" s="34" t="n">
        <f aca="false">SUMIFS('Daily Overhead Register'!$E$6:$E$838,'Daily Overhead Register'!$C$6:$C$838,"&gt;="&amp;DATE(2025,7,1),'Daily Overhead Register'!$C$6:$C$838,"&lt;"&amp;DATE(2025,8,1),'Daily Overhead Register'!$D$6:$D$838,"Telephone - Field Staff Cell Plans")</f>
        <v>476.63</v>
      </c>
      <c r="J34" s="34" t="n">
        <f aca="false">SUMIFS('Daily Overhead Register'!$E$6:$E$838,'Daily Overhead Register'!$C$6:$C$838,"&gt;="&amp;DATE(2025,8,1),'Daily Overhead Register'!$C$6:$C$838,"&lt;"&amp;DATE(2025,9,1),'Daily Overhead Register'!$D$6:$D$838,"Telephone - Field Staff Cell Plans")</f>
        <v>458.04</v>
      </c>
      <c r="K34" s="34" t="n">
        <f aca="false">SUMIFS('Daily Overhead Register'!$E$6:$E$838,'Daily Overhead Register'!$C$6:$C$838,"&gt;="&amp;DATE(2025,9,1),'Daily Overhead Register'!$C$6:$C$838,"&lt;"&amp;DATE(2025,10,1),'Daily Overhead Register'!$D$6:$D$838,"Telephone - Field Staff Cell Plans")</f>
        <v>464.9</v>
      </c>
      <c r="L34" s="34" t="n">
        <f aca="false">SUMIFS('Daily Overhead Register'!$E$6:$E$838,'Daily Overhead Register'!$C$6:$C$838,"&gt;="&amp;DATE(2025,10,1),'Daily Overhead Register'!$C$6:$C$838,"&lt;"&amp;DATE(2025,11,1),'Daily Overhead Register'!$D$6:$D$838,"Telephone - Field Staff Cell Plans")</f>
        <v>502.54</v>
      </c>
      <c r="M34" s="34" t="n">
        <f aca="false">SUMIFS('Daily Overhead Register'!$E$6:$E$838,'Daily Overhead Register'!$C$6:$C$838,"&gt;="&amp;DATE(2025,11,1),'Daily Overhead Register'!$C$6:$C$838,"&lt;"&amp;DATE(2025,12,1),'Daily Overhead Register'!$D$6:$D$838,"Telephone - Field Staff Cell Plans")</f>
        <v>514.19</v>
      </c>
      <c r="N34" s="34" t="n">
        <f aca="false">SUMIFS('Daily Overhead Register'!$E$6:$E$838,'Daily Overhead Register'!$C$6:$C$838,"&gt;="&amp;DATE(2025,12,1),'Daily Overhead Register'!$C$6:$C$838,"&lt;"&amp;DATE(2026,1,1),'Daily Overhead Register'!$D$6:$D$838,"Telephone - Field Staff Cell Plans")</f>
        <v>483.36</v>
      </c>
      <c r="O34" s="35" t="n">
        <f aca="false">SUM(C34:N34)</f>
        <v>5804.02</v>
      </c>
    </row>
    <row r="35" customFormat="false" ht="15" hidden="false" customHeight="false" outlineLevel="0" collapsed="false">
      <c r="B35" s="13" t="s">
        <v>22855</v>
      </c>
      <c r="C35" s="34" t="n">
        <f aca="false">SUMIFS('Daily Overhead Register'!$E$6:$E$838,'Daily Overhead Register'!$C$6:$C$838,"&gt;="&amp;DATE(2025,1,1),'Daily Overhead Register'!$C$6:$C$838,"&lt;"&amp;DATE(2025,2,1),'Daily Overhead Register'!$D$6:$D$838,"Telephone - Office Landline/Internet")</f>
        <v>170.62</v>
      </c>
      <c r="D35" s="34" t="n">
        <f aca="false">SUMIFS('Daily Overhead Register'!$E$6:$E$838,'Daily Overhead Register'!$C$6:$C$838,"&gt;="&amp;DATE(2025,2,1),'Daily Overhead Register'!$C$6:$C$838,"&lt;"&amp;DATE(2025,3,1),'Daily Overhead Register'!$D$6:$D$838,"Telephone - Office Landline/Internet")</f>
        <v>161.41</v>
      </c>
      <c r="E35" s="34" t="n">
        <f aca="false">SUMIFS('Daily Overhead Register'!$E$6:$E$838,'Daily Overhead Register'!$C$6:$C$838,"&gt;="&amp;DATE(2025,3,1),'Daily Overhead Register'!$C$6:$C$838,"&lt;"&amp;DATE(2025,4,1),'Daily Overhead Register'!$D$6:$D$838,"Telephone - Office Landline/Internet")</f>
        <v>170.83</v>
      </c>
      <c r="F35" s="34" t="n">
        <f aca="false">SUMIFS('Daily Overhead Register'!$E$6:$E$838,'Daily Overhead Register'!$C$6:$C$838,"&gt;="&amp;DATE(2025,4,1),'Daily Overhead Register'!$C$6:$C$838,"&lt;"&amp;DATE(2025,5,1),'Daily Overhead Register'!$D$6:$D$838,"Telephone - Office Landline/Internet")</f>
        <v>157.96</v>
      </c>
      <c r="G35" s="34" t="n">
        <f aca="false">SUMIFS('Daily Overhead Register'!$E$6:$E$838,'Daily Overhead Register'!$C$6:$C$838,"&gt;="&amp;DATE(2025,5,1),'Daily Overhead Register'!$C$6:$C$838,"&lt;"&amp;DATE(2025,6,1),'Daily Overhead Register'!$D$6:$D$838,"Telephone - Office Landline/Internet")</f>
        <v>176.93</v>
      </c>
      <c r="H35" s="34" t="n">
        <f aca="false">SUMIFS('Daily Overhead Register'!$E$6:$E$838,'Daily Overhead Register'!$C$6:$C$838,"&gt;="&amp;DATE(2025,6,1),'Daily Overhead Register'!$C$6:$C$838,"&lt;"&amp;DATE(2025,7,1),'Daily Overhead Register'!$D$6:$D$838,"Telephone - Office Landline/Internet")</f>
        <v>168.02</v>
      </c>
      <c r="I35" s="34" t="n">
        <f aca="false">SUMIFS('Daily Overhead Register'!$E$6:$E$838,'Daily Overhead Register'!$C$6:$C$838,"&gt;="&amp;DATE(2025,7,1),'Daily Overhead Register'!$C$6:$C$838,"&lt;"&amp;DATE(2025,8,1),'Daily Overhead Register'!$D$6:$D$838,"Telephone - Office Landline/Internet")</f>
        <v>175.88</v>
      </c>
      <c r="J35" s="34" t="n">
        <f aca="false">SUMIFS('Daily Overhead Register'!$E$6:$E$838,'Daily Overhead Register'!$C$6:$C$838,"&gt;="&amp;DATE(2025,8,1),'Daily Overhead Register'!$C$6:$C$838,"&lt;"&amp;DATE(2025,9,1),'Daily Overhead Register'!$D$6:$D$838,"Telephone - Office Landline/Internet")</f>
        <v>174.42</v>
      </c>
      <c r="K35" s="34" t="n">
        <f aca="false">SUMIFS('Daily Overhead Register'!$E$6:$E$838,'Daily Overhead Register'!$C$6:$C$838,"&gt;="&amp;DATE(2025,9,1),'Daily Overhead Register'!$C$6:$C$838,"&lt;"&amp;DATE(2025,10,1),'Daily Overhead Register'!$D$6:$D$838,"Telephone - Office Landline/Internet")</f>
        <v>156.91</v>
      </c>
      <c r="L35" s="34" t="n">
        <f aca="false">SUMIFS('Daily Overhead Register'!$E$6:$E$838,'Daily Overhead Register'!$C$6:$C$838,"&gt;="&amp;DATE(2025,10,1),'Daily Overhead Register'!$C$6:$C$838,"&lt;"&amp;DATE(2025,11,1),'Daily Overhead Register'!$D$6:$D$838,"Telephone - Office Landline/Internet")</f>
        <v>175.5</v>
      </c>
      <c r="M35" s="34" t="n">
        <f aca="false">SUMIFS('Daily Overhead Register'!$E$6:$E$838,'Daily Overhead Register'!$C$6:$C$838,"&gt;="&amp;DATE(2025,11,1),'Daily Overhead Register'!$C$6:$C$838,"&lt;"&amp;DATE(2025,12,1),'Daily Overhead Register'!$D$6:$D$838,"Telephone - Office Landline/Internet")</f>
        <v>176.73</v>
      </c>
      <c r="N35" s="34" t="n">
        <f aca="false">SUMIFS('Daily Overhead Register'!$E$6:$E$838,'Daily Overhead Register'!$C$6:$C$838,"&gt;="&amp;DATE(2025,12,1),'Daily Overhead Register'!$C$6:$C$838,"&lt;"&amp;DATE(2026,1,1),'Daily Overhead Register'!$D$6:$D$838,"Telephone - Office Landline/Internet")</f>
        <v>157.22</v>
      </c>
      <c r="O35" s="35" t="n">
        <f aca="false">SUM(C35:N35)</f>
        <v>2022.43</v>
      </c>
    </row>
    <row r="36" customFormat="false" ht="15" hidden="false" customHeight="false" outlineLevel="0" collapsed="false">
      <c r="B36" s="13" t="s">
        <v>22876</v>
      </c>
      <c r="C36" s="34" t="n">
        <f aca="false">SUMIFS('Daily Overhead Register'!$E$6:$E$838,'Daily Overhead Register'!$C$6:$C$838,"&gt;="&amp;DATE(2025,1,1),'Daily Overhead Register'!$C$6:$C$838,"&lt;"&amp;DATE(2025,2,1),'Daily Overhead Register'!$D$6:$D$838,"Uniforms and Caregiver Supplies")</f>
        <v>362.83</v>
      </c>
      <c r="D36" s="34" t="n">
        <f aca="false">SUMIFS('Daily Overhead Register'!$E$6:$E$838,'Daily Overhead Register'!$C$6:$C$838,"&gt;="&amp;DATE(2025,2,1),'Daily Overhead Register'!$C$6:$C$838,"&lt;"&amp;DATE(2025,3,1),'Daily Overhead Register'!$D$6:$D$838,"Uniforms and Caregiver Supplies")</f>
        <v>389.46</v>
      </c>
      <c r="E36" s="34" t="n">
        <f aca="false">SUMIFS('Daily Overhead Register'!$E$6:$E$838,'Daily Overhead Register'!$C$6:$C$838,"&gt;="&amp;DATE(2025,3,1),'Daily Overhead Register'!$C$6:$C$838,"&lt;"&amp;DATE(2025,4,1),'Daily Overhead Register'!$D$6:$D$838,"Uniforms and Caregiver Supplies")</f>
        <v>361.04</v>
      </c>
      <c r="F36" s="34" t="n">
        <f aca="false">SUMIFS('Daily Overhead Register'!$E$6:$E$838,'Daily Overhead Register'!$C$6:$C$838,"&gt;="&amp;DATE(2025,4,1),'Daily Overhead Register'!$C$6:$C$838,"&lt;"&amp;DATE(2025,5,1),'Daily Overhead Register'!$D$6:$D$838,"Uniforms and Caregiver Supplies")</f>
        <v>398.75</v>
      </c>
      <c r="G36" s="34" t="n">
        <f aca="false">SUMIFS('Daily Overhead Register'!$E$6:$E$838,'Daily Overhead Register'!$C$6:$C$838,"&gt;="&amp;DATE(2025,5,1),'Daily Overhead Register'!$C$6:$C$838,"&lt;"&amp;DATE(2025,6,1),'Daily Overhead Register'!$D$6:$D$838,"Uniforms and Caregiver Supplies")</f>
        <v>357.74</v>
      </c>
      <c r="H36" s="34" t="n">
        <f aca="false">SUMIFS('Daily Overhead Register'!$E$6:$E$838,'Daily Overhead Register'!$C$6:$C$838,"&gt;="&amp;DATE(2025,6,1),'Daily Overhead Register'!$C$6:$C$838,"&lt;"&amp;DATE(2025,7,1),'Daily Overhead Register'!$D$6:$D$838,"Uniforms and Caregiver Supplies")</f>
        <v>358.5</v>
      </c>
      <c r="I36" s="34" t="n">
        <f aca="false">SUMIFS('Daily Overhead Register'!$E$6:$E$838,'Daily Overhead Register'!$C$6:$C$838,"&gt;="&amp;DATE(2025,7,1),'Daily Overhead Register'!$C$6:$C$838,"&lt;"&amp;DATE(2025,8,1),'Daily Overhead Register'!$D$6:$D$838,"Uniforms and Caregiver Supplies")</f>
        <v>357.79</v>
      </c>
      <c r="J36" s="34" t="n">
        <f aca="false">SUMIFS('Daily Overhead Register'!$E$6:$E$838,'Daily Overhead Register'!$C$6:$C$838,"&gt;="&amp;DATE(2025,8,1),'Daily Overhead Register'!$C$6:$C$838,"&lt;"&amp;DATE(2025,9,1),'Daily Overhead Register'!$D$6:$D$838,"Uniforms and Caregiver Supplies")</f>
        <v>372.52</v>
      </c>
      <c r="K36" s="34" t="n">
        <f aca="false">SUMIFS('Daily Overhead Register'!$E$6:$E$838,'Daily Overhead Register'!$C$6:$C$838,"&gt;="&amp;DATE(2025,9,1),'Daily Overhead Register'!$C$6:$C$838,"&lt;"&amp;DATE(2025,10,1),'Daily Overhead Register'!$D$6:$D$838,"Uniforms and Caregiver Supplies")</f>
        <v>403.53</v>
      </c>
      <c r="L36" s="34" t="n">
        <f aca="false">SUMIFS('Daily Overhead Register'!$E$6:$E$838,'Daily Overhead Register'!$C$6:$C$838,"&gt;="&amp;DATE(2025,10,1),'Daily Overhead Register'!$C$6:$C$838,"&lt;"&amp;DATE(2025,11,1),'Daily Overhead Register'!$D$6:$D$838,"Uniforms and Caregiver Supplies")</f>
        <v>367.78</v>
      </c>
      <c r="M36" s="34" t="n">
        <f aca="false">SUMIFS('Daily Overhead Register'!$E$6:$E$838,'Daily Overhead Register'!$C$6:$C$838,"&gt;="&amp;DATE(2025,11,1),'Daily Overhead Register'!$C$6:$C$838,"&lt;"&amp;DATE(2025,12,1),'Daily Overhead Register'!$D$6:$D$838,"Uniforms and Caregiver Supplies")</f>
        <v>368.55</v>
      </c>
      <c r="N36" s="34" t="n">
        <f aca="false">SUMIFS('Daily Overhead Register'!$E$6:$E$838,'Daily Overhead Register'!$C$6:$C$838,"&gt;="&amp;DATE(2025,12,1),'Daily Overhead Register'!$C$6:$C$838,"&lt;"&amp;DATE(2026,1,1),'Daily Overhead Register'!$D$6:$D$838,"Uniforms and Caregiver Supplies")</f>
        <v>379.27</v>
      </c>
      <c r="O36" s="35" t="n">
        <f aca="false">SUM(C36:N36)</f>
        <v>4477.76</v>
      </c>
    </row>
    <row r="37" customFormat="false" ht="15" hidden="false" customHeight="false" outlineLevel="0" collapsed="false">
      <c r="B37" s="13" t="s">
        <v>22866</v>
      </c>
      <c r="C37" s="34" t="n">
        <f aca="false">SUMIFS('Daily Overhead Register'!$E$6:$E$838,'Daily Overhead Register'!$C$6:$C$838,"&gt;="&amp;DATE(2025,1,1),'Daily Overhead Register'!$C$6:$C$838,"&lt;"&amp;DATE(2025,2,1),'Daily Overhead Register'!$D$6:$D$838,"Vehicle Fuel")</f>
        <v>649.95</v>
      </c>
      <c r="D37" s="34" t="n">
        <f aca="false">SUMIFS('Daily Overhead Register'!$E$6:$E$838,'Daily Overhead Register'!$C$6:$C$838,"&gt;="&amp;DATE(2025,2,1),'Daily Overhead Register'!$C$6:$C$838,"&lt;"&amp;DATE(2025,3,1),'Daily Overhead Register'!$D$6:$D$838,"Vehicle Fuel")</f>
        <v>667.62</v>
      </c>
      <c r="E37" s="34" t="n">
        <f aca="false">SUMIFS('Daily Overhead Register'!$E$6:$E$838,'Daily Overhead Register'!$C$6:$C$838,"&gt;="&amp;DATE(2025,3,1),'Daily Overhead Register'!$C$6:$C$838,"&lt;"&amp;DATE(2025,4,1),'Daily Overhead Register'!$D$6:$D$838,"Vehicle Fuel")</f>
        <v>593.46</v>
      </c>
      <c r="F37" s="34" t="n">
        <f aca="false">SUMIFS('Daily Overhead Register'!$E$6:$E$838,'Daily Overhead Register'!$C$6:$C$838,"&gt;="&amp;DATE(2025,4,1),'Daily Overhead Register'!$C$6:$C$838,"&lt;"&amp;DATE(2025,5,1),'Daily Overhead Register'!$D$6:$D$838,"Vehicle Fuel")</f>
        <v>637.12</v>
      </c>
      <c r="G37" s="34" t="n">
        <f aca="false">SUMIFS('Daily Overhead Register'!$E$6:$E$838,'Daily Overhead Register'!$C$6:$C$838,"&gt;="&amp;DATE(2025,5,1),'Daily Overhead Register'!$C$6:$C$838,"&lt;"&amp;DATE(2025,6,1),'Daily Overhead Register'!$D$6:$D$838,"Vehicle Fuel")</f>
        <v>607.74</v>
      </c>
      <c r="H37" s="34" t="n">
        <f aca="false">SUMIFS('Daily Overhead Register'!$E$6:$E$838,'Daily Overhead Register'!$C$6:$C$838,"&gt;="&amp;DATE(2025,6,1),'Daily Overhead Register'!$C$6:$C$838,"&lt;"&amp;DATE(2025,7,1),'Daily Overhead Register'!$D$6:$D$838,"Vehicle Fuel")</f>
        <v>669.56</v>
      </c>
      <c r="I37" s="34" t="n">
        <f aca="false">SUMIFS('Daily Overhead Register'!$E$6:$E$838,'Daily Overhead Register'!$C$6:$C$838,"&gt;="&amp;DATE(2025,7,1),'Daily Overhead Register'!$C$6:$C$838,"&lt;"&amp;DATE(2025,8,1),'Daily Overhead Register'!$D$6:$D$838,"Vehicle Fuel")</f>
        <v>593.42</v>
      </c>
      <c r="J37" s="34" t="n">
        <f aca="false">SUMIFS('Daily Overhead Register'!$E$6:$E$838,'Daily Overhead Register'!$C$6:$C$838,"&gt;="&amp;DATE(2025,8,1),'Daily Overhead Register'!$C$6:$C$838,"&lt;"&amp;DATE(2025,9,1),'Daily Overhead Register'!$D$6:$D$838,"Vehicle Fuel")</f>
        <v>633.85</v>
      </c>
      <c r="K37" s="34" t="n">
        <f aca="false">SUMIFS('Daily Overhead Register'!$E$6:$E$838,'Daily Overhead Register'!$C$6:$C$838,"&gt;="&amp;DATE(2025,9,1),'Daily Overhead Register'!$C$6:$C$838,"&lt;"&amp;DATE(2025,10,1),'Daily Overhead Register'!$D$6:$D$838,"Vehicle Fuel")</f>
        <v>621.35</v>
      </c>
      <c r="L37" s="34" t="n">
        <f aca="false">SUMIFS('Daily Overhead Register'!$E$6:$E$838,'Daily Overhead Register'!$C$6:$C$838,"&gt;="&amp;DATE(2025,10,1),'Daily Overhead Register'!$C$6:$C$838,"&lt;"&amp;DATE(2025,11,1),'Daily Overhead Register'!$D$6:$D$838,"Vehicle Fuel")</f>
        <v>656.4</v>
      </c>
      <c r="M37" s="34" t="n">
        <f aca="false">SUMIFS('Daily Overhead Register'!$E$6:$E$838,'Daily Overhead Register'!$C$6:$C$838,"&gt;="&amp;DATE(2025,11,1),'Daily Overhead Register'!$C$6:$C$838,"&lt;"&amp;DATE(2025,12,1),'Daily Overhead Register'!$D$6:$D$838,"Vehicle Fuel")</f>
        <v>614.28</v>
      </c>
      <c r="N37" s="34" t="n">
        <f aca="false">SUMIFS('Daily Overhead Register'!$E$6:$E$838,'Daily Overhead Register'!$C$6:$C$838,"&gt;="&amp;DATE(2025,12,1),'Daily Overhead Register'!$C$6:$C$838,"&lt;"&amp;DATE(2026,1,1),'Daily Overhead Register'!$D$6:$D$838,"Vehicle Fuel")</f>
        <v>641.59</v>
      </c>
      <c r="O37" s="35" t="n">
        <f aca="false">SUM(C37:N37)</f>
        <v>7586.34</v>
      </c>
    </row>
    <row r="38" customFormat="false" ht="15" hidden="false" customHeight="false" outlineLevel="0" collapsed="false">
      <c r="B38" s="13" t="s">
        <v>22874</v>
      </c>
      <c r="C38" s="34" t="n">
        <f aca="false">SUMIFS('Daily Overhead Register'!$E$6:$E$838,'Daily Overhead Register'!$C$6:$C$838,"&gt;="&amp;DATE(2025,1,1),'Daily Overhead Register'!$C$6:$C$838,"&lt;"&amp;DATE(2025,2,1),'Daily Overhead Register'!$D$6:$D$838,"Vehicle Insurance")</f>
        <v>393.81</v>
      </c>
      <c r="D38" s="34" t="n">
        <f aca="false">SUMIFS('Daily Overhead Register'!$E$6:$E$838,'Daily Overhead Register'!$C$6:$C$838,"&gt;="&amp;DATE(2025,2,1),'Daily Overhead Register'!$C$6:$C$838,"&lt;"&amp;DATE(2025,3,1),'Daily Overhead Register'!$D$6:$D$838,"Vehicle Insurance")</f>
        <v>432.44</v>
      </c>
      <c r="E38" s="34" t="n">
        <f aca="false">SUMIFS('Daily Overhead Register'!$E$6:$E$838,'Daily Overhead Register'!$C$6:$C$838,"&gt;="&amp;DATE(2025,3,1),'Daily Overhead Register'!$C$6:$C$838,"&lt;"&amp;DATE(2025,4,1),'Daily Overhead Register'!$D$6:$D$838,"Vehicle Insurance")</f>
        <v>402.86</v>
      </c>
      <c r="F38" s="34" t="n">
        <f aca="false">SUMIFS('Daily Overhead Register'!$E$6:$E$838,'Daily Overhead Register'!$C$6:$C$838,"&gt;="&amp;DATE(2025,4,1),'Daily Overhead Register'!$C$6:$C$838,"&lt;"&amp;DATE(2025,5,1),'Daily Overhead Register'!$D$6:$D$838,"Vehicle Insurance")</f>
        <v>433.39</v>
      </c>
      <c r="G38" s="34" t="n">
        <f aca="false">SUMIFS('Daily Overhead Register'!$E$6:$E$838,'Daily Overhead Register'!$C$6:$C$838,"&gt;="&amp;DATE(2025,5,1),'Daily Overhead Register'!$C$6:$C$838,"&lt;"&amp;DATE(2025,6,1),'Daily Overhead Register'!$D$6:$D$838,"Vehicle Insurance")</f>
        <v>397.51</v>
      </c>
      <c r="H38" s="34" t="n">
        <f aca="false">SUMIFS('Daily Overhead Register'!$E$6:$E$838,'Daily Overhead Register'!$C$6:$C$838,"&gt;="&amp;DATE(2025,6,1),'Daily Overhead Register'!$C$6:$C$838,"&lt;"&amp;DATE(2025,7,1),'Daily Overhead Register'!$D$6:$D$838,"Vehicle Insurance")</f>
        <v>410.44</v>
      </c>
      <c r="I38" s="34" t="n">
        <f aca="false">SUMIFS('Daily Overhead Register'!$E$6:$E$838,'Daily Overhead Register'!$C$6:$C$838,"&gt;="&amp;DATE(2025,7,1),'Daily Overhead Register'!$C$6:$C$838,"&lt;"&amp;DATE(2025,8,1),'Daily Overhead Register'!$D$6:$D$838,"Vehicle Insurance")</f>
        <v>411.97</v>
      </c>
      <c r="J38" s="34" t="n">
        <f aca="false">SUMIFS('Daily Overhead Register'!$E$6:$E$838,'Daily Overhead Register'!$C$6:$C$838,"&gt;="&amp;DATE(2025,8,1),'Daily Overhead Register'!$C$6:$C$838,"&lt;"&amp;DATE(2025,9,1),'Daily Overhead Register'!$D$6:$D$838,"Vehicle Insurance")</f>
        <v>394.63</v>
      </c>
      <c r="K38" s="34" t="n">
        <f aca="false">SUMIFS('Daily Overhead Register'!$E$6:$E$838,'Daily Overhead Register'!$C$6:$C$838,"&gt;="&amp;DATE(2025,9,1),'Daily Overhead Register'!$C$6:$C$838,"&lt;"&amp;DATE(2025,10,1),'Daily Overhead Register'!$D$6:$D$838,"Vehicle Insurance")</f>
        <v>399.18</v>
      </c>
      <c r="L38" s="34" t="n">
        <f aca="false">SUMIFS('Daily Overhead Register'!$E$6:$E$838,'Daily Overhead Register'!$C$6:$C$838,"&gt;="&amp;DATE(2025,10,1),'Daily Overhead Register'!$C$6:$C$838,"&lt;"&amp;DATE(2025,11,1),'Daily Overhead Register'!$D$6:$D$838,"Vehicle Insurance")</f>
        <v>431.41</v>
      </c>
      <c r="M38" s="34" t="n">
        <f aca="false">SUMIFS('Daily Overhead Register'!$E$6:$E$838,'Daily Overhead Register'!$C$6:$C$838,"&gt;="&amp;DATE(2025,11,1),'Daily Overhead Register'!$C$6:$C$838,"&lt;"&amp;DATE(2025,12,1),'Daily Overhead Register'!$D$6:$D$838,"Vehicle Insurance")</f>
        <v>404.34</v>
      </c>
      <c r="N38" s="34" t="n">
        <f aca="false">SUMIFS('Daily Overhead Register'!$E$6:$E$838,'Daily Overhead Register'!$C$6:$C$838,"&gt;="&amp;DATE(2025,12,1),'Daily Overhead Register'!$C$6:$C$838,"&lt;"&amp;DATE(2026,1,1),'Daily Overhead Register'!$D$6:$D$838,"Vehicle Insurance")</f>
        <v>421.68</v>
      </c>
      <c r="O38" s="35" t="n">
        <f aca="false">SUM(C38:N38)</f>
        <v>4933.66</v>
      </c>
    </row>
    <row r="39" customFormat="false" ht="15" hidden="false" customHeight="false" outlineLevel="0" collapsed="false">
      <c r="B39" s="13" t="s">
        <v>22870</v>
      </c>
      <c r="C39" s="34" t="n">
        <f aca="false">SUMIFS('Daily Overhead Register'!$E$6:$E$838,'Daily Overhead Register'!$C$6:$C$838,"&gt;="&amp;DATE(2025,1,1),'Daily Overhead Register'!$C$6:$C$838,"&lt;"&amp;DATE(2025,2,1),'Daily Overhead Register'!$D$6:$D$838,"Vehicle Maintenance and Repairs")</f>
        <v>346.93</v>
      </c>
      <c r="D39" s="34" t="n">
        <f aca="false">SUMIFS('Daily Overhead Register'!$E$6:$E$838,'Daily Overhead Register'!$C$6:$C$838,"&gt;="&amp;DATE(2025,2,1),'Daily Overhead Register'!$C$6:$C$838,"&lt;"&amp;DATE(2025,3,1),'Daily Overhead Register'!$D$6:$D$838,"Vehicle Maintenance and Repairs")</f>
        <v>339.96</v>
      </c>
      <c r="E39" s="34" t="n">
        <f aca="false">SUMIFS('Daily Overhead Register'!$E$6:$E$838,'Daily Overhead Register'!$C$6:$C$838,"&gt;="&amp;DATE(2025,3,1),'Daily Overhead Register'!$C$6:$C$838,"&lt;"&amp;DATE(2025,4,1),'Daily Overhead Register'!$D$6:$D$838,"Vehicle Maintenance and Repairs")</f>
        <v>348.83</v>
      </c>
      <c r="F39" s="34" t="n">
        <f aca="false">SUMIFS('Daily Overhead Register'!$E$6:$E$838,'Daily Overhead Register'!$C$6:$C$838,"&gt;="&amp;DATE(2025,4,1),'Daily Overhead Register'!$C$6:$C$838,"&lt;"&amp;DATE(2025,5,1),'Daily Overhead Register'!$D$6:$D$838,"Vehicle Maintenance and Repairs")</f>
        <v>364.89</v>
      </c>
      <c r="G39" s="34" t="n">
        <f aca="false">SUMIFS('Daily Overhead Register'!$E$6:$E$838,'Daily Overhead Register'!$C$6:$C$838,"&gt;="&amp;DATE(2025,5,1),'Daily Overhead Register'!$C$6:$C$838,"&lt;"&amp;DATE(2025,6,1),'Daily Overhead Register'!$D$6:$D$838,"Vehicle Maintenance and Repairs")</f>
        <v>325.51</v>
      </c>
      <c r="H39" s="34" t="n">
        <f aca="false">SUMIFS('Daily Overhead Register'!$E$6:$E$838,'Daily Overhead Register'!$C$6:$C$838,"&gt;="&amp;DATE(2025,6,1),'Daily Overhead Register'!$C$6:$C$838,"&lt;"&amp;DATE(2025,7,1),'Daily Overhead Register'!$D$6:$D$838,"Vehicle Maintenance and Repairs")</f>
        <v>341.62</v>
      </c>
      <c r="I39" s="34" t="n">
        <f aca="false">SUMIFS('Daily Overhead Register'!$E$6:$E$838,'Daily Overhead Register'!$C$6:$C$838,"&gt;="&amp;DATE(2025,7,1),'Daily Overhead Register'!$C$6:$C$838,"&lt;"&amp;DATE(2025,8,1),'Daily Overhead Register'!$D$6:$D$838,"Vehicle Maintenance and Repairs")</f>
        <v>336.71</v>
      </c>
      <c r="J39" s="34" t="n">
        <f aca="false">SUMIFS('Daily Overhead Register'!$E$6:$E$838,'Daily Overhead Register'!$C$6:$C$838,"&gt;="&amp;DATE(2025,8,1),'Daily Overhead Register'!$C$6:$C$838,"&lt;"&amp;DATE(2025,9,1),'Daily Overhead Register'!$D$6:$D$838,"Vehicle Maintenance and Repairs")</f>
        <v>331.02</v>
      </c>
      <c r="K39" s="34" t="n">
        <f aca="false">SUMIFS('Daily Overhead Register'!$E$6:$E$838,'Daily Overhead Register'!$C$6:$C$838,"&gt;="&amp;DATE(2025,9,1),'Daily Overhead Register'!$C$6:$C$838,"&lt;"&amp;DATE(2025,10,1),'Daily Overhead Register'!$D$6:$D$838,"Vehicle Maintenance and Repairs")</f>
        <v>332.34</v>
      </c>
      <c r="L39" s="34" t="n">
        <f aca="false">SUMIFS('Daily Overhead Register'!$E$6:$E$838,'Daily Overhead Register'!$C$6:$C$838,"&gt;="&amp;DATE(2025,10,1),'Daily Overhead Register'!$C$6:$C$838,"&lt;"&amp;DATE(2025,11,1),'Daily Overhead Register'!$D$6:$D$838,"Vehicle Maintenance and Repairs")</f>
        <v>362</v>
      </c>
      <c r="M39" s="34" t="n">
        <f aca="false">SUMIFS('Daily Overhead Register'!$E$6:$E$838,'Daily Overhead Register'!$C$6:$C$838,"&gt;="&amp;DATE(2025,11,1),'Daily Overhead Register'!$C$6:$C$838,"&lt;"&amp;DATE(2025,12,1),'Daily Overhead Register'!$D$6:$D$838,"Vehicle Maintenance and Repairs")</f>
        <v>357.94</v>
      </c>
      <c r="N39" s="34" t="n">
        <f aca="false">SUMIFS('Daily Overhead Register'!$E$6:$E$838,'Daily Overhead Register'!$C$6:$C$838,"&gt;="&amp;DATE(2025,12,1),'Daily Overhead Register'!$C$6:$C$838,"&lt;"&amp;DATE(2026,1,1),'Daily Overhead Register'!$D$6:$D$838,"Vehicle Maintenance and Repairs")</f>
        <v>355.49</v>
      </c>
      <c r="O39" s="35" t="n">
        <f aca="false">SUM(C39:N39)</f>
        <v>4143.24</v>
      </c>
    </row>
    <row r="40" customFormat="false" ht="15" hidden="false" customHeight="false" outlineLevel="0" collapsed="false">
      <c r="B40" s="46" t="s">
        <v>23661</v>
      </c>
      <c r="C40" s="47" t="n">
        <f aca="false">SUM(C6:C39)</f>
        <v>23294.89</v>
      </c>
      <c r="D40" s="47" t="n">
        <f aca="false">SUM(D6:D39)</f>
        <v>23174.95</v>
      </c>
      <c r="E40" s="47" t="n">
        <f aca="false">SUM(E6:E39)</f>
        <v>23563.89</v>
      </c>
      <c r="F40" s="47" t="n">
        <f aca="false">SUM(F6:F39)</f>
        <v>23695.45</v>
      </c>
      <c r="G40" s="47" t="n">
        <f aca="false">SUM(G6:G39)</f>
        <v>23694.57</v>
      </c>
      <c r="H40" s="47" t="n">
        <f aca="false">SUM(H6:H39)</f>
        <v>23489.55</v>
      </c>
      <c r="I40" s="47" t="n">
        <f aca="false">SUM(I6:I39)</f>
        <v>23843.11</v>
      </c>
      <c r="J40" s="47" t="n">
        <f aca="false">SUM(J6:J39)</f>
        <v>23931.82</v>
      </c>
      <c r="K40" s="47" t="n">
        <f aca="false">SUM(K6:K39)</f>
        <v>24203.95</v>
      </c>
      <c r="L40" s="47" t="n">
        <f aca="false">SUM(L6:L39)</f>
        <v>24474.17</v>
      </c>
      <c r="M40" s="47" t="n">
        <f aca="false">SUM(M6:M39)</f>
        <v>24553.65</v>
      </c>
      <c r="N40" s="47" t="n">
        <f aca="false">SUM(N6:N39)</f>
        <v>24796.65</v>
      </c>
      <c r="O40" s="47" t="n">
        <f aca="false">SUM(C40:N40)</f>
        <v>286716.65</v>
      </c>
    </row>
    <row r="41" customFormat="false" ht="15" hidden="false" customHeight="false" outlineLevel="0" collapsed="false">
      <c r="B41" s="50" t="s">
        <v>23662</v>
      </c>
      <c r="C41" s="51" t="n">
        <f aca="false">C40-C13</f>
        <v>22171.47</v>
      </c>
      <c r="D41" s="51" t="n">
        <f aca="false">D40-D13</f>
        <v>21973.75</v>
      </c>
      <c r="E41" s="51" t="n">
        <f aca="false">E40-E13</f>
        <v>22262.69</v>
      </c>
      <c r="F41" s="51" t="n">
        <f aca="false">F40-F13</f>
        <v>22363.42</v>
      </c>
      <c r="G41" s="51" t="n">
        <f aca="false">G40-G13</f>
        <v>22312.54</v>
      </c>
      <c r="H41" s="51" t="n">
        <f aca="false">H40-H13</f>
        <v>22107.52</v>
      </c>
      <c r="I41" s="51" t="n">
        <f aca="false">I40-I13</f>
        <v>22461.08</v>
      </c>
      <c r="J41" s="51" t="n">
        <f aca="false">J40-J13</f>
        <v>22166.46</v>
      </c>
      <c r="K41" s="51" t="n">
        <f aca="false">K40-K13</f>
        <v>22438.59</v>
      </c>
      <c r="L41" s="51" t="n">
        <f aca="false">L40-L13</f>
        <v>22408.81</v>
      </c>
      <c r="M41" s="51" t="n">
        <f aca="false">M40-M13</f>
        <v>22488.29</v>
      </c>
      <c r="N41" s="51" t="n">
        <f aca="false">N40-N13</f>
        <v>22731.29</v>
      </c>
      <c r="O41" s="51" t="n">
        <f aca="false">SUM(C41:N41)</f>
        <v>267885.91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703C"/>
    <pageSetUpPr fitToPage="false"/>
  </sheetPr>
  <dimension ref="B2:N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15" min="3" style="0" width="13"/>
  </cols>
  <sheetData>
    <row r="2" customFormat="false" ht="17.35" hidden="false" customHeight="false" outlineLevel="0" collapsed="false">
      <c r="B2" s="1" t="s">
        <v>23663</v>
      </c>
    </row>
    <row r="3" customFormat="false" ht="15" hidden="false" customHeight="false" outlineLevel="0" collapsed="false">
      <c r="B3" s="2" t="s">
        <v>23664</v>
      </c>
    </row>
    <row r="5" customFormat="false" ht="15" hidden="false" customHeight="false" outlineLevel="0" collapsed="false">
      <c r="B5" s="45"/>
      <c r="C5" s="11" t="s">
        <v>469</v>
      </c>
      <c r="D5" s="11" t="s">
        <v>470</v>
      </c>
      <c r="E5" s="11" t="s">
        <v>471</v>
      </c>
      <c r="F5" s="11" t="s">
        <v>472</v>
      </c>
      <c r="G5" s="11" t="s">
        <v>473</v>
      </c>
      <c r="H5" s="11" t="s">
        <v>474</v>
      </c>
      <c r="I5" s="11" t="s">
        <v>475</v>
      </c>
      <c r="J5" s="11" t="s">
        <v>476</v>
      </c>
      <c r="K5" s="11" t="s">
        <v>477</v>
      </c>
      <c r="L5" s="11" t="s">
        <v>478</v>
      </c>
      <c r="M5" s="11" t="s">
        <v>479</v>
      </c>
      <c r="N5" s="11" t="s">
        <v>480</v>
      </c>
    </row>
    <row r="6" customFormat="false" ht="15" hidden="false" customHeight="false" outlineLevel="0" collapsed="false">
      <c r="B6" s="13" t="s">
        <v>23665</v>
      </c>
      <c r="C6" s="32" t="n">
        <v>0</v>
      </c>
      <c r="D6" s="34" t="n">
        <f aca="false">C10</f>
        <v>18409.06</v>
      </c>
      <c r="E6" s="34" t="n">
        <f aca="false">D10</f>
        <v>42156.3</v>
      </c>
      <c r="F6" s="34" t="n">
        <f aca="false">E10</f>
        <v>52766.36</v>
      </c>
      <c r="G6" s="34" t="n">
        <f aca="false">F10</f>
        <v>52766.36</v>
      </c>
      <c r="H6" s="34" t="n">
        <f aca="false">G10</f>
        <v>52766.36</v>
      </c>
      <c r="I6" s="34" t="n">
        <f aca="false">H10</f>
        <v>52766.36</v>
      </c>
      <c r="J6" s="34" t="n">
        <f aca="false">I10</f>
        <v>52766.36</v>
      </c>
      <c r="K6" s="34" t="n">
        <f aca="false">J10</f>
        <v>67155.23</v>
      </c>
      <c r="L6" s="34" t="n">
        <f aca="false">K10</f>
        <v>69605.77</v>
      </c>
      <c r="M6" s="34" t="n">
        <f aca="false">L10</f>
        <v>85797.77</v>
      </c>
      <c r="N6" s="34" t="n">
        <f aca="false">M10</f>
        <v>85797.77</v>
      </c>
    </row>
    <row r="7" customFormat="false" ht="15" hidden="false" customHeight="false" outlineLevel="0" collapsed="false">
      <c r="B7" s="13" t="s">
        <v>23666</v>
      </c>
      <c r="C7" s="32" t="n">
        <v>18409.06</v>
      </c>
      <c r="D7" s="32" t="n">
        <v>23747.24</v>
      </c>
      <c r="E7" s="32" t="n">
        <v>10610.06</v>
      </c>
      <c r="F7" s="32" t="n">
        <v>0</v>
      </c>
      <c r="G7" s="32" t="n">
        <v>0</v>
      </c>
      <c r="H7" s="32" t="n">
        <v>0</v>
      </c>
      <c r="I7" s="32" t="n">
        <v>0</v>
      </c>
      <c r="J7" s="32" t="n">
        <v>14388.87</v>
      </c>
      <c r="K7" s="32" t="n">
        <v>2450.54</v>
      </c>
      <c r="L7" s="32" t="n">
        <v>16192</v>
      </c>
      <c r="M7" s="32" t="n">
        <v>0</v>
      </c>
      <c r="N7" s="32" t="n">
        <v>0</v>
      </c>
    </row>
    <row r="8" customFormat="false" ht="15" hidden="false" customHeight="false" outlineLevel="0" collapsed="false">
      <c r="B8" s="13" t="s">
        <v>23667</v>
      </c>
      <c r="C8" s="32" t="n">
        <v>0</v>
      </c>
      <c r="D8" s="32" t="n">
        <v>0</v>
      </c>
      <c r="E8" s="32" t="n">
        <v>0</v>
      </c>
      <c r="F8" s="32" t="n">
        <v>0</v>
      </c>
      <c r="G8" s="32" t="n">
        <v>0</v>
      </c>
      <c r="H8" s="32" t="n">
        <v>0</v>
      </c>
      <c r="I8" s="32" t="n">
        <v>0</v>
      </c>
      <c r="J8" s="32" t="n">
        <v>0</v>
      </c>
      <c r="K8" s="32" t="n">
        <v>0</v>
      </c>
      <c r="L8" s="32" t="n">
        <v>0</v>
      </c>
      <c r="M8" s="32" t="n">
        <v>0</v>
      </c>
      <c r="N8" s="32" t="n">
        <v>-9303.75</v>
      </c>
    </row>
    <row r="9" customFormat="false" ht="15" hidden="false" customHeight="false" outlineLevel="0" collapsed="false">
      <c r="B9" s="13" t="s">
        <v>23668</v>
      </c>
      <c r="C9" s="32" t="n">
        <v>0</v>
      </c>
      <c r="D9" s="32" t="n">
        <v>141.9</v>
      </c>
      <c r="E9" s="32" t="n">
        <v>324.95</v>
      </c>
      <c r="F9" s="32" t="n">
        <v>406.74</v>
      </c>
      <c r="G9" s="32" t="n">
        <v>406.74</v>
      </c>
      <c r="H9" s="32" t="n">
        <v>406.74</v>
      </c>
      <c r="I9" s="32" t="n">
        <v>406.74</v>
      </c>
      <c r="J9" s="32" t="n">
        <v>406.74</v>
      </c>
      <c r="K9" s="32" t="n">
        <v>517.65</v>
      </c>
      <c r="L9" s="32" t="n">
        <v>536.54</v>
      </c>
      <c r="M9" s="32" t="n">
        <v>661.36</v>
      </c>
      <c r="N9" s="32" t="n">
        <v>661.36</v>
      </c>
    </row>
    <row r="10" customFormat="false" ht="15" hidden="false" customHeight="false" outlineLevel="0" collapsed="false">
      <c r="B10" s="46" t="s">
        <v>23669</v>
      </c>
      <c r="C10" s="47" t="n">
        <f aca="false">C6+C7+C8</f>
        <v>18409.06</v>
      </c>
      <c r="D10" s="47" t="n">
        <f aca="false">D6+D7+D8</f>
        <v>42156.3</v>
      </c>
      <c r="E10" s="47" t="n">
        <f aca="false">E6+E7+E8</f>
        <v>52766.36</v>
      </c>
      <c r="F10" s="47" t="n">
        <f aca="false">F6+F7+F8</f>
        <v>52766.36</v>
      </c>
      <c r="G10" s="47" t="n">
        <f aca="false">G6+G7+G8</f>
        <v>52766.36</v>
      </c>
      <c r="H10" s="47" t="n">
        <f aca="false">H6+H7+H8</f>
        <v>52766.36</v>
      </c>
      <c r="I10" s="47" t="n">
        <f aca="false">I6+I7+I8</f>
        <v>52766.36</v>
      </c>
      <c r="J10" s="47" t="n">
        <f aca="false">J6+J7+J8</f>
        <v>67155.23</v>
      </c>
      <c r="K10" s="47" t="n">
        <f aca="false">K6+K7+K8</f>
        <v>69605.77</v>
      </c>
      <c r="L10" s="47" t="n">
        <f aca="false">L6+L7+L8</f>
        <v>85797.77</v>
      </c>
      <c r="M10" s="47" t="n">
        <f aca="false">M6+M7+M8</f>
        <v>85797.77</v>
      </c>
      <c r="N10" s="47" t="n">
        <f aca="false">N6+N7+N8</f>
        <v>76494.02</v>
      </c>
    </row>
    <row r="11" customFormat="false" ht="15" hidden="false" customHeight="false" outlineLevel="0" collapsed="false">
      <c r="B11" s="50" t="s">
        <v>23670</v>
      </c>
      <c r="C11" s="52" t="n">
        <f aca="false">C10/'Chart of Accounts'!$E$71</f>
        <v>0.105194628571429</v>
      </c>
      <c r="D11" s="52" t="n">
        <f aca="false">D10/'Chart of Accounts'!$E$71</f>
        <v>0.240893142857143</v>
      </c>
      <c r="E11" s="52" t="n">
        <f aca="false">E10/'Chart of Accounts'!$E$71</f>
        <v>0.301522057142857</v>
      </c>
      <c r="F11" s="52" t="n">
        <f aca="false">F10/'Chart of Accounts'!$E$71</f>
        <v>0.301522057142857</v>
      </c>
      <c r="G11" s="52" t="n">
        <f aca="false">G10/'Chart of Accounts'!$E$71</f>
        <v>0.301522057142857</v>
      </c>
      <c r="H11" s="52" t="n">
        <f aca="false">H10/'Chart of Accounts'!$E$71</f>
        <v>0.301522057142857</v>
      </c>
      <c r="I11" s="52" t="n">
        <f aca="false">I10/'Chart of Accounts'!$E$71</f>
        <v>0.301522057142857</v>
      </c>
      <c r="J11" s="52" t="n">
        <f aca="false">J10/'Chart of Accounts'!$E$71</f>
        <v>0.383744171428571</v>
      </c>
      <c r="K11" s="52" t="n">
        <f aca="false">K10/'Chart of Accounts'!$E$71</f>
        <v>0.397747257142857</v>
      </c>
      <c r="L11" s="52" t="n">
        <f aca="false">L10/'Chart of Accounts'!$E$71</f>
        <v>0.490272971428571</v>
      </c>
      <c r="M11" s="52" t="n">
        <f aca="false">M10/'Chart of Accounts'!$E$71</f>
        <v>0.490272971428571</v>
      </c>
      <c r="N11" s="52" t="n">
        <f aca="false">N10/'Chart of Accounts'!$E$71</f>
        <v>0.437108685714286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30"/>
    <col collapsed="false" customWidth="true" hidden="false" outlineLevel="0" max="4" min="4" style="0" width="16"/>
    <col collapsed="false" customWidth="true" hidden="false" outlineLevel="0" max="5" min="5" style="0" width="13"/>
  </cols>
  <sheetData>
    <row r="2" customFormat="false" ht="17.35" hidden="false" customHeight="false" outlineLevel="0" collapsed="false">
      <c r="B2" s="1" t="s">
        <v>23671</v>
      </c>
    </row>
    <row r="3" customFormat="false" ht="15" hidden="false" customHeight="false" outlineLevel="0" collapsed="false">
      <c r="B3" s="2" t="s">
        <v>23672</v>
      </c>
    </row>
    <row r="5" customFormat="false" ht="15" hidden="false" customHeight="false" outlineLevel="0" collapsed="false">
      <c r="B5" s="11" t="s">
        <v>23673</v>
      </c>
      <c r="C5" s="11" t="s">
        <v>23674</v>
      </c>
      <c r="D5" s="11" t="s">
        <v>23675</v>
      </c>
    </row>
    <row r="6" customFormat="false" ht="15" hidden="false" customHeight="false" outlineLevel="0" collapsed="false">
      <c r="B6" s="13" t="s">
        <v>124</v>
      </c>
      <c r="C6" s="13" t="s">
        <v>23676</v>
      </c>
      <c r="D6" s="25" t="s">
        <v>23677</v>
      </c>
    </row>
    <row r="7" customFormat="false" ht="15" hidden="false" customHeight="false" outlineLevel="0" collapsed="false">
      <c r="B7" s="13" t="s">
        <v>22798</v>
      </c>
      <c r="C7" s="13" t="s">
        <v>23678</v>
      </c>
      <c r="D7" s="25" t="s">
        <v>23679</v>
      </c>
    </row>
    <row r="8" customFormat="false" ht="15" hidden="false" customHeight="false" outlineLevel="0" collapsed="false">
      <c r="B8" s="13" t="s">
        <v>22802</v>
      </c>
      <c r="C8" s="13" t="s">
        <v>23680</v>
      </c>
      <c r="D8" s="25" t="s">
        <v>23679</v>
      </c>
    </row>
    <row r="9" customFormat="false" ht="15" hidden="false" customHeight="false" outlineLevel="0" collapsed="false">
      <c r="B9" s="13" t="s">
        <v>22807</v>
      </c>
      <c r="C9" s="13" t="s">
        <v>23681</v>
      </c>
      <c r="D9" s="25" t="s">
        <v>23679</v>
      </c>
    </row>
    <row r="10" customFormat="false" ht="15" hidden="false" customHeight="false" outlineLevel="0" collapsed="false">
      <c r="B10" s="13" t="s">
        <v>22825</v>
      </c>
      <c r="C10" s="13" t="s">
        <v>23682</v>
      </c>
      <c r="D10" s="25" t="s">
        <v>23683</v>
      </c>
    </row>
    <row r="11" customFormat="false" ht="15" hidden="false" customHeight="false" outlineLevel="0" collapsed="false">
      <c r="B11" s="13" t="s">
        <v>22827</v>
      </c>
      <c r="C11" s="13" t="s">
        <v>23684</v>
      </c>
      <c r="D11" s="25" t="s">
        <v>23683</v>
      </c>
    </row>
    <row r="12" customFormat="false" ht="15" hidden="false" customHeight="false" outlineLevel="0" collapsed="false">
      <c r="B12" s="13" t="s">
        <v>22829</v>
      </c>
      <c r="C12" s="13" t="s">
        <v>23685</v>
      </c>
      <c r="D12" s="25" t="s">
        <v>23683</v>
      </c>
    </row>
    <row r="13" customFormat="false" ht="15" hidden="false" customHeight="false" outlineLevel="0" collapsed="false">
      <c r="B13" s="13" t="s">
        <v>22831</v>
      </c>
      <c r="C13" s="13" t="s">
        <v>23686</v>
      </c>
      <c r="D13" s="25" t="s">
        <v>23683</v>
      </c>
    </row>
    <row r="14" customFormat="false" ht="15" hidden="false" customHeight="false" outlineLevel="0" collapsed="false">
      <c r="B14" s="13" t="s">
        <v>132</v>
      </c>
      <c r="C14" s="13" t="s">
        <v>23687</v>
      </c>
      <c r="D14" s="25" t="s">
        <v>23683</v>
      </c>
    </row>
    <row r="15" customFormat="false" ht="15" hidden="false" customHeight="false" outlineLevel="0" collapsed="false">
      <c r="B15" s="13" t="s">
        <v>22835</v>
      </c>
      <c r="C15" s="13" t="s">
        <v>23688</v>
      </c>
      <c r="D15" s="25" t="s">
        <v>23622</v>
      </c>
    </row>
    <row r="16" customFormat="false" ht="15" hidden="false" customHeight="false" outlineLevel="0" collapsed="false">
      <c r="B16" s="13" t="s">
        <v>22837</v>
      </c>
      <c r="C16" s="13" t="s">
        <v>23689</v>
      </c>
      <c r="D16" s="25" t="s">
        <v>23690</v>
      </c>
    </row>
    <row r="17" customFormat="false" ht="15" hidden="false" customHeight="false" outlineLevel="0" collapsed="false">
      <c r="B17" s="13" t="s">
        <v>22839</v>
      </c>
      <c r="C17" s="13" t="s">
        <v>23691</v>
      </c>
      <c r="D17" s="25" t="s">
        <v>23690</v>
      </c>
    </row>
    <row r="18" customFormat="false" ht="15" hidden="false" customHeight="false" outlineLevel="0" collapsed="false">
      <c r="B18" s="13" t="s">
        <v>22841</v>
      </c>
      <c r="C18" s="13" t="s">
        <v>23692</v>
      </c>
      <c r="D18" s="25" t="s">
        <v>23693</v>
      </c>
    </row>
    <row r="19" customFormat="false" ht="15" hidden="false" customHeight="false" outlineLevel="0" collapsed="false">
      <c r="B19" s="13" t="s">
        <v>22845</v>
      </c>
      <c r="C19" s="13" t="s">
        <v>23694</v>
      </c>
      <c r="D19" s="25" t="s">
        <v>23683</v>
      </c>
    </row>
    <row r="20" customFormat="false" ht="15" hidden="false" customHeight="false" outlineLevel="0" collapsed="false">
      <c r="B20" s="13" t="s">
        <v>22848</v>
      </c>
      <c r="C20" s="13" t="s">
        <v>23695</v>
      </c>
      <c r="D20" s="25" t="s">
        <v>23690</v>
      </c>
    </row>
    <row r="21" customFormat="false" ht="15" hidden="false" customHeight="false" outlineLevel="0" collapsed="false">
      <c r="B21" s="13" t="s">
        <v>136</v>
      </c>
      <c r="C21" s="13" t="s">
        <v>23696</v>
      </c>
      <c r="D21" s="25" t="s">
        <v>23693</v>
      </c>
    </row>
    <row r="22" customFormat="false" ht="15" hidden="false" customHeight="false" outlineLevel="0" collapsed="false">
      <c r="B22" s="13" t="s">
        <v>22855</v>
      </c>
      <c r="C22" s="13" t="s">
        <v>23697</v>
      </c>
      <c r="D22" s="25" t="s">
        <v>23679</v>
      </c>
    </row>
    <row r="23" customFormat="false" ht="15" hidden="false" customHeight="false" outlineLevel="0" collapsed="false">
      <c r="B23" s="13" t="s">
        <v>22857</v>
      </c>
      <c r="C23" s="13" t="s">
        <v>23698</v>
      </c>
      <c r="D23" s="25" t="s">
        <v>23679</v>
      </c>
    </row>
    <row r="24" customFormat="false" ht="15" hidden="false" customHeight="false" outlineLevel="0" collapsed="false">
      <c r="B24" s="13" t="s">
        <v>22859</v>
      </c>
      <c r="C24" s="13" t="s">
        <v>23699</v>
      </c>
      <c r="D24" s="25" t="s">
        <v>23690</v>
      </c>
    </row>
    <row r="25" customFormat="false" ht="15" hidden="false" customHeight="false" outlineLevel="0" collapsed="false">
      <c r="B25" s="13" t="s">
        <v>22862</v>
      </c>
      <c r="C25" s="13" t="s">
        <v>23700</v>
      </c>
      <c r="D25" s="25" t="s">
        <v>23701</v>
      </c>
    </row>
    <row r="26" customFormat="false" ht="15" hidden="false" customHeight="false" outlineLevel="0" collapsed="false">
      <c r="B26" s="13" t="s">
        <v>22866</v>
      </c>
      <c r="C26" s="13" t="s">
        <v>23702</v>
      </c>
      <c r="D26" s="25" t="s">
        <v>23693</v>
      </c>
    </row>
    <row r="27" customFormat="false" ht="15" hidden="false" customHeight="false" outlineLevel="0" collapsed="false">
      <c r="B27" s="13" t="s">
        <v>22870</v>
      </c>
      <c r="C27" s="13" t="s">
        <v>23703</v>
      </c>
      <c r="D27" s="25" t="s">
        <v>23690</v>
      </c>
    </row>
    <row r="28" customFormat="false" ht="15" hidden="false" customHeight="false" outlineLevel="0" collapsed="false">
      <c r="B28" s="13" t="s">
        <v>22874</v>
      </c>
      <c r="C28" s="13" t="s">
        <v>23704</v>
      </c>
      <c r="D28" s="25" t="s">
        <v>23690</v>
      </c>
    </row>
    <row r="29" customFormat="false" ht="15" hidden="false" customHeight="false" outlineLevel="0" collapsed="false">
      <c r="B29" s="13" t="s">
        <v>22876</v>
      </c>
      <c r="C29" s="13" t="s">
        <v>23705</v>
      </c>
      <c r="D29" s="25" t="s">
        <v>23690</v>
      </c>
    </row>
    <row r="30" customFormat="false" ht="15" hidden="false" customHeight="false" outlineLevel="0" collapsed="false">
      <c r="B30" s="13" t="s">
        <v>142</v>
      </c>
      <c r="C30" s="13" t="s">
        <v>23706</v>
      </c>
      <c r="D30" s="25" t="s">
        <v>23690</v>
      </c>
    </row>
    <row r="31" customFormat="false" ht="15" hidden="false" customHeight="false" outlineLevel="0" collapsed="false">
      <c r="B31" s="13" t="s">
        <v>22882</v>
      </c>
      <c r="C31" s="13" t="s">
        <v>23707</v>
      </c>
      <c r="D31" s="25" t="s">
        <v>23677</v>
      </c>
    </row>
    <row r="32" customFormat="false" ht="15" hidden="false" customHeight="false" outlineLevel="0" collapsed="false">
      <c r="B32" s="13" t="s">
        <v>143</v>
      </c>
      <c r="C32" s="13" t="s">
        <v>23708</v>
      </c>
      <c r="D32" s="25" t="s">
        <v>23693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6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
    <col collapsed="false" customWidth="true" hidden="false" outlineLevel="0" max="3" min="3" style="0" width="30"/>
    <col collapsed="false" customWidth="true" hidden="false" outlineLevel="0" max="4" min="4" style="0" width="26"/>
    <col collapsed="false" customWidth="true" hidden="false" outlineLevel="0" max="7" min="5" style="0" width="12"/>
    <col collapsed="false" customWidth="true" hidden="false" outlineLevel="0" max="8" min="8" style="0" width="13"/>
    <col collapsed="false" customWidth="true" hidden="false" outlineLevel="0" max="9" min="9" style="0" width="12"/>
    <col collapsed="false" customWidth="true" hidden="false" outlineLevel="0" max="10" min="10" style="0" width="11"/>
  </cols>
  <sheetData>
    <row r="2" customFormat="false" ht="17.35" hidden="false" customHeight="false" outlineLevel="0" collapsed="false">
      <c r="B2" s="1" t="s">
        <v>23709</v>
      </c>
    </row>
    <row r="3" customFormat="false" ht="15" hidden="false" customHeight="false" outlineLevel="0" collapsed="false">
      <c r="B3" s="2" t="s">
        <v>23710</v>
      </c>
    </row>
    <row r="5" customFormat="false" ht="23.85" hidden="false" customHeight="false" outlineLevel="0" collapsed="false">
      <c r="B5" s="11" t="s">
        <v>23711</v>
      </c>
      <c r="C5" s="11" t="s">
        <v>23674</v>
      </c>
      <c r="D5" s="11" t="s">
        <v>430</v>
      </c>
      <c r="E5" s="11" t="s">
        <v>23712</v>
      </c>
      <c r="F5" s="11" t="s">
        <v>23713</v>
      </c>
      <c r="G5" s="11" t="s">
        <v>485</v>
      </c>
      <c r="H5" s="11" t="s">
        <v>14648</v>
      </c>
      <c r="I5" s="11" t="s">
        <v>176</v>
      </c>
      <c r="J5" s="11" t="s">
        <v>22794</v>
      </c>
    </row>
    <row r="6" customFormat="false" ht="15" hidden="false" customHeight="false" outlineLevel="0" collapsed="false">
      <c r="B6" s="7" t="s">
        <v>23714</v>
      </c>
      <c r="C6" s="7" t="s">
        <v>23676</v>
      </c>
      <c r="D6" s="7" t="s">
        <v>124</v>
      </c>
      <c r="E6" s="39" t="n">
        <v>45658</v>
      </c>
      <c r="F6" s="39" t="n">
        <v>45658</v>
      </c>
      <c r="G6" s="41" t="n">
        <v>2079.87</v>
      </c>
      <c r="H6" s="39" t="n">
        <v>45658</v>
      </c>
      <c r="I6" s="7" t="s">
        <v>14651</v>
      </c>
      <c r="J6" s="7" t="s">
        <v>22796</v>
      </c>
    </row>
    <row r="7" customFormat="false" ht="15" hidden="false" customHeight="false" outlineLevel="0" collapsed="false">
      <c r="B7" s="7" t="s">
        <v>23715</v>
      </c>
      <c r="C7" s="7" t="s">
        <v>23678</v>
      </c>
      <c r="D7" s="7" t="s">
        <v>22798</v>
      </c>
      <c r="E7" s="39" t="n">
        <v>45669</v>
      </c>
      <c r="F7" s="39" t="n">
        <v>45690</v>
      </c>
      <c r="G7" s="41" t="n">
        <v>87.47</v>
      </c>
      <c r="H7" s="39" t="n">
        <v>45692</v>
      </c>
      <c r="I7" s="7" t="s">
        <v>14651</v>
      </c>
      <c r="J7" s="7" t="s">
        <v>22796</v>
      </c>
    </row>
    <row r="8" customFormat="false" ht="15" hidden="false" customHeight="false" outlineLevel="0" collapsed="false">
      <c r="B8" s="7" t="s">
        <v>23716</v>
      </c>
      <c r="C8" s="7" t="s">
        <v>23678</v>
      </c>
      <c r="D8" s="7" t="s">
        <v>22798</v>
      </c>
      <c r="E8" s="39" t="n">
        <v>45672</v>
      </c>
      <c r="F8" s="39" t="n">
        <v>45693</v>
      </c>
      <c r="G8" s="41" t="n">
        <v>57.1</v>
      </c>
      <c r="H8" s="39" t="n">
        <v>45687</v>
      </c>
      <c r="I8" s="7" t="s">
        <v>14651</v>
      </c>
      <c r="J8" s="7" t="s">
        <v>22796</v>
      </c>
    </row>
    <row r="9" customFormat="false" ht="15" hidden="false" customHeight="false" outlineLevel="0" collapsed="false">
      <c r="B9" s="7" t="s">
        <v>23717</v>
      </c>
      <c r="C9" s="7" t="s">
        <v>23678</v>
      </c>
      <c r="D9" s="7" t="s">
        <v>22798</v>
      </c>
      <c r="E9" s="39" t="n">
        <v>45688</v>
      </c>
      <c r="F9" s="39" t="n">
        <v>45709</v>
      </c>
      <c r="G9" s="41" t="n">
        <v>73.3</v>
      </c>
      <c r="H9" s="39" t="n">
        <v>45708</v>
      </c>
      <c r="I9" s="7" t="s">
        <v>14651</v>
      </c>
      <c r="J9" s="7" t="s">
        <v>22796</v>
      </c>
    </row>
    <row r="10" customFormat="false" ht="15" hidden="false" customHeight="false" outlineLevel="0" collapsed="false">
      <c r="B10" s="7" t="s">
        <v>23718</v>
      </c>
      <c r="C10" s="7" t="s">
        <v>23680</v>
      </c>
      <c r="D10" s="7" t="s">
        <v>22802</v>
      </c>
      <c r="E10" s="39" t="n">
        <v>45658</v>
      </c>
      <c r="F10" s="39" t="n">
        <v>45679</v>
      </c>
      <c r="G10" s="41" t="n">
        <v>24.33</v>
      </c>
      <c r="H10" s="39" t="n">
        <v>45678</v>
      </c>
      <c r="I10" s="7" t="s">
        <v>14651</v>
      </c>
      <c r="J10" s="7" t="s">
        <v>22796</v>
      </c>
    </row>
    <row r="11" customFormat="false" ht="15" hidden="false" customHeight="false" outlineLevel="0" collapsed="false">
      <c r="B11" s="7" t="s">
        <v>23719</v>
      </c>
      <c r="C11" s="7" t="s">
        <v>23680</v>
      </c>
      <c r="D11" s="7" t="s">
        <v>22802</v>
      </c>
      <c r="E11" s="39" t="n">
        <v>45671</v>
      </c>
      <c r="F11" s="39" t="n">
        <v>45692</v>
      </c>
      <c r="G11" s="41" t="n">
        <v>15.84</v>
      </c>
      <c r="H11" s="39" t="n">
        <v>45690</v>
      </c>
      <c r="I11" s="7" t="s">
        <v>14651</v>
      </c>
      <c r="J11" s="7" t="s">
        <v>22796</v>
      </c>
    </row>
    <row r="12" customFormat="false" ht="15" hidden="false" customHeight="false" outlineLevel="0" collapsed="false">
      <c r="B12" s="7" t="s">
        <v>23720</v>
      </c>
      <c r="C12" s="7" t="s">
        <v>23680</v>
      </c>
      <c r="D12" s="7" t="s">
        <v>22802</v>
      </c>
      <c r="E12" s="39" t="n">
        <v>45674</v>
      </c>
      <c r="F12" s="39" t="n">
        <v>45695</v>
      </c>
      <c r="G12" s="41" t="n">
        <v>12.13</v>
      </c>
      <c r="H12" s="39" t="n">
        <v>45697</v>
      </c>
      <c r="I12" s="7" t="s">
        <v>14651</v>
      </c>
      <c r="J12" s="7" t="s">
        <v>22796</v>
      </c>
    </row>
    <row r="13" customFormat="false" ht="15" hidden="false" customHeight="false" outlineLevel="0" collapsed="false">
      <c r="B13" s="7" t="s">
        <v>23721</v>
      </c>
      <c r="C13" s="7" t="s">
        <v>23680</v>
      </c>
      <c r="D13" s="7" t="s">
        <v>22802</v>
      </c>
      <c r="E13" s="39" t="n">
        <v>45677</v>
      </c>
      <c r="F13" s="39" t="n">
        <v>45698</v>
      </c>
      <c r="G13" s="41" t="n">
        <v>12.92</v>
      </c>
      <c r="H13" s="39" t="n">
        <v>45686</v>
      </c>
      <c r="I13" s="7" t="s">
        <v>14651</v>
      </c>
      <c r="J13" s="7" t="s">
        <v>22796</v>
      </c>
    </row>
    <row r="14" customFormat="false" ht="15" hidden="false" customHeight="false" outlineLevel="0" collapsed="false">
      <c r="B14" s="7" t="s">
        <v>23722</v>
      </c>
      <c r="C14" s="7" t="s">
        <v>23681</v>
      </c>
      <c r="D14" s="7" t="s">
        <v>22807</v>
      </c>
      <c r="E14" s="39" t="n">
        <v>45659</v>
      </c>
      <c r="F14" s="39" t="n">
        <v>45680</v>
      </c>
      <c r="G14" s="41" t="n">
        <v>23.47</v>
      </c>
      <c r="H14" s="39" t="n">
        <v>45665</v>
      </c>
      <c r="I14" s="7" t="s">
        <v>14651</v>
      </c>
      <c r="J14" s="7" t="s">
        <v>22796</v>
      </c>
    </row>
    <row r="15" customFormat="false" ht="15" hidden="false" customHeight="false" outlineLevel="0" collapsed="false">
      <c r="B15" s="7" t="s">
        <v>23723</v>
      </c>
      <c r="C15" s="7" t="s">
        <v>23681</v>
      </c>
      <c r="D15" s="7" t="s">
        <v>22807</v>
      </c>
      <c r="E15" s="39" t="n">
        <v>45663</v>
      </c>
      <c r="F15" s="39" t="n">
        <v>45684</v>
      </c>
      <c r="G15" s="41" t="n">
        <v>18.42</v>
      </c>
      <c r="H15" s="39" t="n">
        <v>45671</v>
      </c>
      <c r="I15" s="7" t="s">
        <v>14651</v>
      </c>
      <c r="J15" s="7" t="s">
        <v>22796</v>
      </c>
    </row>
    <row r="16" customFormat="false" ht="15" hidden="false" customHeight="false" outlineLevel="0" collapsed="false">
      <c r="B16" s="7" t="s">
        <v>23724</v>
      </c>
      <c r="C16" s="7" t="s">
        <v>23681</v>
      </c>
      <c r="D16" s="7" t="s">
        <v>22807</v>
      </c>
      <c r="E16" s="39" t="n">
        <v>45670</v>
      </c>
      <c r="F16" s="39" t="n">
        <v>45691</v>
      </c>
      <c r="G16" s="41" t="n">
        <v>14.57</v>
      </c>
      <c r="H16" s="39" t="n">
        <v>45691</v>
      </c>
      <c r="I16" s="7" t="s">
        <v>14651</v>
      </c>
      <c r="J16" s="7" t="s">
        <v>22796</v>
      </c>
    </row>
    <row r="17" customFormat="false" ht="15" hidden="false" customHeight="false" outlineLevel="0" collapsed="false">
      <c r="B17" s="7" t="s">
        <v>23725</v>
      </c>
      <c r="C17" s="7" t="s">
        <v>23681</v>
      </c>
      <c r="D17" s="7" t="s">
        <v>22807</v>
      </c>
      <c r="E17" s="39" t="n">
        <v>45685</v>
      </c>
      <c r="F17" s="39" t="n">
        <v>45706</v>
      </c>
      <c r="G17" s="41" t="n">
        <v>44.63</v>
      </c>
      <c r="H17" s="39" t="n">
        <v>45720</v>
      </c>
      <c r="I17" s="7" t="s">
        <v>14651</v>
      </c>
      <c r="J17" s="7" t="s">
        <v>22796</v>
      </c>
    </row>
    <row r="18" customFormat="false" ht="15" hidden="false" customHeight="false" outlineLevel="0" collapsed="false">
      <c r="B18" s="7" t="s">
        <v>23726</v>
      </c>
      <c r="C18" s="7" t="s">
        <v>23682</v>
      </c>
      <c r="D18" s="7" t="s">
        <v>22825</v>
      </c>
      <c r="E18" s="39" t="n">
        <v>45658</v>
      </c>
      <c r="F18" s="39" t="n">
        <v>45658</v>
      </c>
      <c r="G18" s="41" t="n">
        <v>700.02</v>
      </c>
      <c r="H18" s="39" t="n">
        <v>45658</v>
      </c>
      <c r="I18" s="7" t="s">
        <v>14651</v>
      </c>
      <c r="J18" s="7" t="s">
        <v>22796</v>
      </c>
    </row>
    <row r="19" customFormat="false" ht="15" hidden="false" customHeight="false" outlineLevel="0" collapsed="false">
      <c r="B19" s="7" t="s">
        <v>23727</v>
      </c>
      <c r="C19" s="7" t="s">
        <v>23684</v>
      </c>
      <c r="D19" s="7" t="s">
        <v>22827</v>
      </c>
      <c r="E19" s="39" t="n">
        <v>45658</v>
      </c>
      <c r="F19" s="39" t="n">
        <v>45658</v>
      </c>
      <c r="G19" s="41" t="n">
        <v>117.37</v>
      </c>
      <c r="H19" s="39" t="n">
        <v>45658</v>
      </c>
      <c r="I19" s="7" t="s">
        <v>14651</v>
      </c>
      <c r="J19" s="7" t="s">
        <v>22796</v>
      </c>
    </row>
    <row r="20" customFormat="false" ht="15" hidden="false" customHeight="false" outlineLevel="0" collapsed="false">
      <c r="B20" s="7" t="s">
        <v>23728</v>
      </c>
      <c r="C20" s="7" t="s">
        <v>23685</v>
      </c>
      <c r="D20" s="7" t="s">
        <v>22829</v>
      </c>
      <c r="E20" s="39" t="n">
        <v>45658</v>
      </c>
      <c r="F20" s="39" t="n">
        <v>45658</v>
      </c>
      <c r="G20" s="41" t="n">
        <v>82.06</v>
      </c>
      <c r="H20" s="39" t="n">
        <v>45658</v>
      </c>
      <c r="I20" s="7" t="s">
        <v>14651</v>
      </c>
      <c r="J20" s="7" t="s">
        <v>22796</v>
      </c>
    </row>
    <row r="21" customFormat="false" ht="15" hidden="false" customHeight="false" outlineLevel="0" collapsed="false">
      <c r="B21" s="7" t="s">
        <v>23729</v>
      </c>
      <c r="C21" s="7" t="s">
        <v>23686</v>
      </c>
      <c r="D21" s="7" t="s">
        <v>22831</v>
      </c>
      <c r="E21" s="39" t="n">
        <v>45658</v>
      </c>
      <c r="F21" s="39" t="n">
        <v>45658</v>
      </c>
      <c r="G21" s="41" t="n">
        <v>90.14</v>
      </c>
      <c r="H21" s="39" t="n">
        <v>45658</v>
      </c>
      <c r="I21" s="7" t="s">
        <v>14651</v>
      </c>
      <c r="J21" s="7" t="s">
        <v>22796</v>
      </c>
    </row>
    <row r="22" customFormat="false" ht="15" hidden="false" customHeight="false" outlineLevel="0" collapsed="false">
      <c r="B22" s="7" t="s">
        <v>23730</v>
      </c>
      <c r="C22" s="7" t="s">
        <v>23687</v>
      </c>
      <c r="D22" s="7" t="s">
        <v>132</v>
      </c>
      <c r="E22" s="39" t="n">
        <v>45666</v>
      </c>
      <c r="F22" s="39" t="n">
        <v>45666</v>
      </c>
      <c r="G22" s="41" t="n">
        <v>214.43</v>
      </c>
      <c r="H22" s="39" t="n">
        <v>45666</v>
      </c>
      <c r="I22" s="7" t="s">
        <v>14651</v>
      </c>
      <c r="J22" s="7" t="s">
        <v>22813</v>
      </c>
    </row>
    <row r="23" customFormat="false" ht="15" hidden="false" customHeight="false" outlineLevel="0" collapsed="false">
      <c r="B23" s="7" t="s">
        <v>23731</v>
      </c>
      <c r="C23" s="7" t="s">
        <v>23687</v>
      </c>
      <c r="D23" s="7" t="s">
        <v>132</v>
      </c>
      <c r="E23" s="39" t="n">
        <v>45680</v>
      </c>
      <c r="F23" s="39" t="n">
        <v>45680</v>
      </c>
      <c r="G23" s="41" t="n">
        <v>214.43</v>
      </c>
      <c r="H23" s="39" t="n">
        <v>45680</v>
      </c>
      <c r="I23" s="7" t="s">
        <v>14651</v>
      </c>
      <c r="J23" s="7" t="s">
        <v>22813</v>
      </c>
    </row>
    <row r="24" customFormat="false" ht="15" hidden="false" customHeight="false" outlineLevel="0" collapsed="false">
      <c r="B24" s="7" t="s">
        <v>23732</v>
      </c>
      <c r="C24" s="7" t="s">
        <v>23689</v>
      </c>
      <c r="D24" s="7" t="s">
        <v>22837</v>
      </c>
      <c r="E24" s="39" t="n">
        <v>45658</v>
      </c>
      <c r="F24" s="39" t="n">
        <v>45688</v>
      </c>
      <c r="G24" s="41" t="n">
        <v>367.13</v>
      </c>
      <c r="H24" s="39" t="n">
        <v>45690</v>
      </c>
      <c r="I24" s="7" t="s">
        <v>14651</v>
      </c>
      <c r="J24" s="7" t="s">
        <v>22796</v>
      </c>
    </row>
    <row r="25" customFormat="false" ht="15" hidden="false" customHeight="false" outlineLevel="0" collapsed="false">
      <c r="B25" s="7" t="s">
        <v>23733</v>
      </c>
      <c r="C25" s="7" t="s">
        <v>23691</v>
      </c>
      <c r="D25" s="7" t="s">
        <v>22839</v>
      </c>
      <c r="E25" s="39" t="n">
        <v>45658</v>
      </c>
      <c r="F25" s="39" t="n">
        <v>45688</v>
      </c>
      <c r="G25" s="41" t="n">
        <v>137.55</v>
      </c>
      <c r="H25" s="39" t="n">
        <v>45686</v>
      </c>
      <c r="I25" s="7" t="s">
        <v>14651</v>
      </c>
      <c r="J25" s="7" t="s">
        <v>22796</v>
      </c>
    </row>
    <row r="26" customFormat="false" ht="15" hidden="false" customHeight="false" outlineLevel="0" collapsed="false">
      <c r="B26" s="7" t="s">
        <v>23734</v>
      </c>
      <c r="C26" s="7" t="s">
        <v>23692</v>
      </c>
      <c r="D26" s="7" t="s">
        <v>22841</v>
      </c>
      <c r="E26" s="39" t="n">
        <v>45660</v>
      </c>
      <c r="F26" s="39" t="n">
        <v>45675</v>
      </c>
      <c r="G26" s="41" t="n">
        <v>96.93</v>
      </c>
      <c r="H26" s="39" t="n">
        <v>45675</v>
      </c>
      <c r="I26" s="7" t="s">
        <v>14651</v>
      </c>
      <c r="J26" s="7" t="s">
        <v>22796</v>
      </c>
    </row>
    <row r="27" customFormat="false" ht="15" hidden="false" customHeight="false" outlineLevel="0" collapsed="false">
      <c r="B27" s="7" t="s">
        <v>23735</v>
      </c>
      <c r="C27" s="7" t="s">
        <v>23692</v>
      </c>
      <c r="D27" s="7" t="s">
        <v>22841</v>
      </c>
      <c r="E27" s="39" t="n">
        <v>45674</v>
      </c>
      <c r="F27" s="39" t="n">
        <v>45689</v>
      </c>
      <c r="G27" s="41" t="n">
        <v>76.21</v>
      </c>
      <c r="H27" s="39" t="n">
        <v>45689</v>
      </c>
      <c r="I27" s="7" t="s">
        <v>14651</v>
      </c>
      <c r="J27" s="7" t="s">
        <v>22796</v>
      </c>
    </row>
    <row r="28" customFormat="false" ht="15" hidden="false" customHeight="false" outlineLevel="0" collapsed="false">
      <c r="B28" s="7" t="s">
        <v>23736</v>
      </c>
      <c r="C28" s="7" t="s">
        <v>23692</v>
      </c>
      <c r="D28" s="7" t="s">
        <v>22841</v>
      </c>
      <c r="E28" s="39" t="n">
        <v>45686</v>
      </c>
      <c r="F28" s="39" t="n">
        <v>45701</v>
      </c>
      <c r="G28" s="41" t="n">
        <v>77.29</v>
      </c>
      <c r="H28" s="39" t="n">
        <v>45702</v>
      </c>
      <c r="I28" s="7" t="s">
        <v>14651</v>
      </c>
      <c r="J28" s="7" t="s">
        <v>22796</v>
      </c>
    </row>
    <row r="29" customFormat="false" ht="15" hidden="false" customHeight="false" outlineLevel="0" collapsed="false">
      <c r="B29" s="7" t="s">
        <v>23737</v>
      </c>
      <c r="C29" s="7" t="s">
        <v>23694</v>
      </c>
      <c r="D29" s="7" t="s">
        <v>22845</v>
      </c>
      <c r="E29" s="39" t="n">
        <v>45661</v>
      </c>
      <c r="F29" s="39" t="n">
        <v>45661</v>
      </c>
      <c r="G29" s="41" t="n">
        <v>142.69</v>
      </c>
      <c r="H29" s="39" t="n">
        <v>45661</v>
      </c>
      <c r="I29" s="7" t="s">
        <v>14651</v>
      </c>
      <c r="J29" s="7" t="s">
        <v>22796</v>
      </c>
    </row>
    <row r="30" customFormat="false" ht="15" hidden="false" customHeight="false" outlineLevel="0" collapsed="false">
      <c r="B30" s="7" t="s">
        <v>23738</v>
      </c>
      <c r="C30" s="7" t="s">
        <v>23694</v>
      </c>
      <c r="D30" s="7" t="s">
        <v>22845</v>
      </c>
      <c r="E30" s="39" t="n">
        <v>45685</v>
      </c>
      <c r="F30" s="39" t="n">
        <v>45685</v>
      </c>
      <c r="G30" s="41" t="n">
        <v>226.18</v>
      </c>
      <c r="H30" s="39" t="n">
        <v>45685</v>
      </c>
      <c r="I30" s="7" t="s">
        <v>14651</v>
      </c>
      <c r="J30" s="7" t="s">
        <v>22796</v>
      </c>
    </row>
    <row r="31" customFormat="false" ht="15" hidden="false" customHeight="false" outlineLevel="0" collapsed="false">
      <c r="B31" s="7" t="s">
        <v>23739</v>
      </c>
      <c r="C31" s="7" t="s">
        <v>23695</v>
      </c>
      <c r="D31" s="7" t="s">
        <v>22848</v>
      </c>
      <c r="E31" s="39" t="n">
        <v>45668</v>
      </c>
      <c r="F31" s="39" t="n">
        <v>45698</v>
      </c>
      <c r="G31" s="41" t="n">
        <v>107.73</v>
      </c>
      <c r="H31" s="39" t="n">
        <v>45699</v>
      </c>
      <c r="I31" s="7" t="s">
        <v>14651</v>
      </c>
      <c r="J31" s="7" t="s">
        <v>22796</v>
      </c>
    </row>
    <row r="32" customFormat="false" ht="15" hidden="false" customHeight="false" outlineLevel="0" collapsed="false">
      <c r="B32" s="7" t="s">
        <v>23740</v>
      </c>
      <c r="C32" s="7" t="s">
        <v>23695</v>
      </c>
      <c r="D32" s="7" t="s">
        <v>22848</v>
      </c>
      <c r="E32" s="39" t="n">
        <v>45674</v>
      </c>
      <c r="F32" s="39" t="n">
        <v>45704</v>
      </c>
      <c r="G32" s="41" t="n">
        <v>38.71</v>
      </c>
      <c r="H32" s="39" t="n">
        <v>45712</v>
      </c>
      <c r="I32" s="7" t="s">
        <v>14651</v>
      </c>
      <c r="J32" s="7" t="s">
        <v>22796</v>
      </c>
    </row>
    <row r="33" customFormat="false" ht="15" hidden="false" customHeight="false" outlineLevel="0" collapsed="false">
      <c r="B33" s="7" t="s">
        <v>23741</v>
      </c>
      <c r="C33" s="7" t="s">
        <v>23695</v>
      </c>
      <c r="D33" s="7" t="s">
        <v>22848</v>
      </c>
      <c r="E33" s="39" t="n">
        <v>45679</v>
      </c>
      <c r="F33" s="39" t="n">
        <v>45709</v>
      </c>
      <c r="G33" s="41" t="n">
        <v>116.1</v>
      </c>
      <c r="H33" s="39" t="n">
        <v>45708</v>
      </c>
      <c r="I33" s="7" t="s">
        <v>14651</v>
      </c>
      <c r="J33" s="7" t="s">
        <v>22796</v>
      </c>
    </row>
    <row r="34" customFormat="false" ht="15" hidden="false" customHeight="false" outlineLevel="0" collapsed="false">
      <c r="B34" s="7" t="s">
        <v>23742</v>
      </c>
      <c r="C34" s="7" t="s">
        <v>23696</v>
      </c>
      <c r="D34" s="7" t="s">
        <v>136</v>
      </c>
      <c r="E34" s="39" t="n">
        <v>45659</v>
      </c>
      <c r="F34" s="39" t="n">
        <v>45674</v>
      </c>
      <c r="G34" s="41" t="n">
        <v>44.54</v>
      </c>
      <c r="H34" s="39" t="n">
        <v>45671</v>
      </c>
      <c r="I34" s="7" t="s">
        <v>14651</v>
      </c>
      <c r="J34" s="7" t="s">
        <v>22796</v>
      </c>
    </row>
    <row r="35" customFormat="false" ht="15" hidden="false" customHeight="false" outlineLevel="0" collapsed="false">
      <c r="B35" s="7" t="s">
        <v>23743</v>
      </c>
      <c r="C35" s="7" t="s">
        <v>23696</v>
      </c>
      <c r="D35" s="7" t="s">
        <v>136</v>
      </c>
      <c r="E35" s="39" t="n">
        <v>45676</v>
      </c>
      <c r="F35" s="39" t="n">
        <v>45691</v>
      </c>
      <c r="G35" s="41" t="n">
        <v>47.82</v>
      </c>
      <c r="H35" s="39" t="n">
        <v>45678</v>
      </c>
      <c r="I35" s="7" t="s">
        <v>14651</v>
      </c>
      <c r="J35" s="7" t="s">
        <v>22796</v>
      </c>
    </row>
    <row r="36" customFormat="false" ht="15" hidden="false" customHeight="false" outlineLevel="0" collapsed="false">
      <c r="B36" s="7" t="s">
        <v>23744</v>
      </c>
      <c r="C36" s="7" t="s">
        <v>23696</v>
      </c>
      <c r="D36" s="7" t="s">
        <v>136</v>
      </c>
      <c r="E36" s="39" t="n">
        <v>45686</v>
      </c>
      <c r="F36" s="39" t="n">
        <v>45701</v>
      </c>
      <c r="G36" s="41" t="n">
        <v>66.46</v>
      </c>
      <c r="H36" s="39" t="n">
        <v>45699</v>
      </c>
      <c r="I36" s="7" t="s">
        <v>14651</v>
      </c>
      <c r="J36" s="7" t="s">
        <v>22796</v>
      </c>
    </row>
    <row r="37" customFormat="false" ht="15" hidden="false" customHeight="false" outlineLevel="0" collapsed="false">
      <c r="B37" s="7" t="s">
        <v>23745</v>
      </c>
      <c r="C37" s="7" t="s">
        <v>23697</v>
      </c>
      <c r="D37" s="7" t="s">
        <v>22855</v>
      </c>
      <c r="E37" s="39" t="n">
        <v>45658</v>
      </c>
      <c r="F37" s="39" t="n">
        <v>45679</v>
      </c>
      <c r="G37" s="41" t="n">
        <v>170.62</v>
      </c>
      <c r="H37" s="39" t="n">
        <v>45666</v>
      </c>
      <c r="I37" s="7" t="s">
        <v>14651</v>
      </c>
      <c r="J37" s="7" t="s">
        <v>22796</v>
      </c>
    </row>
    <row r="38" customFormat="false" ht="15" hidden="false" customHeight="false" outlineLevel="0" collapsed="false">
      <c r="B38" s="7" t="s">
        <v>23746</v>
      </c>
      <c r="C38" s="7" t="s">
        <v>23698</v>
      </c>
      <c r="D38" s="7" t="s">
        <v>22857</v>
      </c>
      <c r="E38" s="39" t="n">
        <v>45658</v>
      </c>
      <c r="F38" s="39" t="n">
        <v>45679</v>
      </c>
      <c r="G38" s="41" t="n">
        <v>455.93</v>
      </c>
      <c r="H38" s="39" t="n">
        <v>45680</v>
      </c>
      <c r="I38" s="7" t="s">
        <v>14651</v>
      </c>
      <c r="J38" s="7" t="s">
        <v>22796</v>
      </c>
    </row>
    <row r="39" customFormat="false" ht="15" hidden="false" customHeight="false" outlineLevel="0" collapsed="false">
      <c r="B39" s="7" t="s">
        <v>23747</v>
      </c>
      <c r="C39" s="7" t="s">
        <v>23699</v>
      </c>
      <c r="D39" s="7" t="s">
        <v>22859</v>
      </c>
      <c r="E39" s="39" t="n">
        <v>45667</v>
      </c>
      <c r="F39" s="39" t="n">
        <v>45697</v>
      </c>
      <c r="G39" s="41" t="n">
        <v>228.13</v>
      </c>
      <c r="H39" s="39" t="n">
        <v>45676</v>
      </c>
      <c r="I39" s="7" t="s">
        <v>14651</v>
      </c>
      <c r="J39" s="7" t="s">
        <v>22796</v>
      </c>
    </row>
    <row r="40" customFormat="false" ht="15" hidden="false" customHeight="false" outlineLevel="0" collapsed="false">
      <c r="B40" s="7" t="s">
        <v>23748</v>
      </c>
      <c r="C40" s="7" t="s">
        <v>23699</v>
      </c>
      <c r="D40" s="7" t="s">
        <v>22859</v>
      </c>
      <c r="E40" s="39" t="n">
        <v>45673</v>
      </c>
      <c r="F40" s="39" t="n">
        <v>45703</v>
      </c>
      <c r="G40" s="41" t="n">
        <v>257.45</v>
      </c>
      <c r="H40" s="39" t="n">
        <v>45710</v>
      </c>
      <c r="I40" s="7" t="s">
        <v>14651</v>
      </c>
      <c r="J40" s="7" t="s">
        <v>22796</v>
      </c>
    </row>
    <row r="41" customFormat="false" ht="15" hidden="false" customHeight="false" outlineLevel="0" collapsed="false">
      <c r="B41" s="7" t="s">
        <v>23749</v>
      </c>
      <c r="C41" s="7" t="s">
        <v>23700</v>
      </c>
      <c r="D41" s="7" t="s">
        <v>22862</v>
      </c>
      <c r="E41" s="39" t="n">
        <v>45659</v>
      </c>
      <c r="F41" s="39" t="n">
        <v>45659</v>
      </c>
      <c r="G41" s="41" t="n">
        <v>53.44</v>
      </c>
      <c r="H41" s="39" t="n">
        <v>45659</v>
      </c>
      <c r="I41" s="7" t="s">
        <v>14651</v>
      </c>
      <c r="J41" s="7" t="s">
        <v>22796</v>
      </c>
    </row>
    <row r="42" customFormat="false" ht="15" hidden="false" customHeight="false" outlineLevel="0" collapsed="false">
      <c r="B42" s="7" t="s">
        <v>23750</v>
      </c>
      <c r="C42" s="7" t="s">
        <v>23700</v>
      </c>
      <c r="D42" s="7" t="s">
        <v>22862</v>
      </c>
      <c r="E42" s="39" t="n">
        <v>45671</v>
      </c>
      <c r="F42" s="39" t="n">
        <v>45671</v>
      </c>
      <c r="G42" s="41" t="n">
        <v>33.38</v>
      </c>
      <c r="H42" s="39" t="n">
        <v>45671</v>
      </c>
      <c r="I42" s="7" t="s">
        <v>14651</v>
      </c>
      <c r="J42" s="7" t="s">
        <v>22796</v>
      </c>
    </row>
    <row r="43" customFormat="false" ht="15" hidden="false" customHeight="false" outlineLevel="0" collapsed="false">
      <c r="B43" s="7" t="s">
        <v>23751</v>
      </c>
      <c r="C43" s="7" t="s">
        <v>23700</v>
      </c>
      <c r="D43" s="7" t="s">
        <v>22862</v>
      </c>
      <c r="E43" s="39" t="n">
        <v>45680</v>
      </c>
      <c r="F43" s="39" t="n">
        <v>45680</v>
      </c>
      <c r="G43" s="41" t="n">
        <v>69.48</v>
      </c>
      <c r="H43" s="39" t="n">
        <v>45680</v>
      </c>
      <c r="I43" s="7" t="s">
        <v>14651</v>
      </c>
      <c r="J43" s="7" t="s">
        <v>22796</v>
      </c>
    </row>
    <row r="44" customFormat="false" ht="15" hidden="false" customHeight="false" outlineLevel="0" collapsed="false">
      <c r="B44" s="7" t="s">
        <v>23752</v>
      </c>
      <c r="C44" s="7" t="s">
        <v>23702</v>
      </c>
      <c r="D44" s="7" t="s">
        <v>22866</v>
      </c>
      <c r="E44" s="39" t="n">
        <v>45660</v>
      </c>
      <c r="F44" s="39" t="n">
        <v>45675</v>
      </c>
      <c r="G44" s="41" t="n">
        <v>300.31</v>
      </c>
      <c r="H44" s="39" t="n">
        <v>45676</v>
      </c>
      <c r="I44" s="7" t="s">
        <v>14651</v>
      </c>
      <c r="J44" s="7" t="s">
        <v>22796</v>
      </c>
    </row>
    <row r="45" customFormat="false" ht="15" hidden="false" customHeight="false" outlineLevel="0" collapsed="false">
      <c r="B45" s="7" t="s">
        <v>23753</v>
      </c>
      <c r="C45" s="7" t="s">
        <v>23702</v>
      </c>
      <c r="D45" s="7" t="s">
        <v>22866</v>
      </c>
      <c r="E45" s="39" t="n">
        <v>45662</v>
      </c>
      <c r="F45" s="39" t="n">
        <v>45677</v>
      </c>
      <c r="G45" s="41" t="n">
        <v>146.62</v>
      </c>
      <c r="H45" s="39" t="n">
        <v>45692</v>
      </c>
      <c r="I45" s="7" t="s">
        <v>14651</v>
      </c>
      <c r="J45" s="7" t="s">
        <v>22796</v>
      </c>
    </row>
    <row r="46" customFormat="false" ht="15" hidden="false" customHeight="false" outlineLevel="0" collapsed="false">
      <c r="B46" s="7" t="s">
        <v>23754</v>
      </c>
      <c r="C46" s="7" t="s">
        <v>23702</v>
      </c>
      <c r="D46" s="7" t="s">
        <v>22866</v>
      </c>
      <c r="E46" s="39" t="n">
        <v>45678</v>
      </c>
      <c r="F46" s="39" t="n">
        <v>45693</v>
      </c>
      <c r="G46" s="41" t="n">
        <v>203.02</v>
      </c>
      <c r="H46" s="39" t="n">
        <v>45707</v>
      </c>
      <c r="I46" s="7" t="s">
        <v>14651</v>
      </c>
      <c r="J46" s="7" t="s">
        <v>22796</v>
      </c>
    </row>
    <row r="47" customFormat="false" ht="15" hidden="false" customHeight="false" outlineLevel="0" collapsed="false">
      <c r="B47" s="7" t="s">
        <v>23755</v>
      </c>
      <c r="C47" s="7" t="s">
        <v>23703</v>
      </c>
      <c r="D47" s="7" t="s">
        <v>22870</v>
      </c>
      <c r="E47" s="39" t="n">
        <v>45661</v>
      </c>
      <c r="F47" s="39" t="n">
        <v>45691</v>
      </c>
      <c r="G47" s="41" t="n">
        <v>113.59</v>
      </c>
      <c r="H47" s="39" t="n">
        <v>45696</v>
      </c>
      <c r="I47" s="7" t="s">
        <v>14651</v>
      </c>
      <c r="J47" s="7" t="s">
        <v>22796</v>
      </c>
    </row>
    <row r="48" customFormat="false" ht="15" hidden="false" customHeight="false" outlineLevel="0" collapsed="false">
      <c r="B48" s="7" t="s">
        <v>23756</v>
      </c>
      <c r="C48" s="7" t="s">
        <v>23703</v>
      </c>
      <c r="D48" s="7" t="s">
        <v>22870</v>
      </c>
      <c r="E48" s="39" t="n">
        <v>45675</v>
      </c>
      <c r="F48" s="39" t="n">
        <v>45705</v>
      </c>
      <c r="G48" s="41" t="n">
        <v>87.77</v>
      </c>
      <c r="H48" s="39" t="n">
        <v>45703</v>
      </c>
      <c r="I48" s="7" t="s">
        <v>14651</v>
      </c>
      <c r="J48" s="7" t="s">
        <v>22796</v>
      </c>
    </row>
    <row r="49" customFormat="false" ht="15" hidden="false" customHeight="false" outlineLevel="0" collapsed="false">
      <c r="B49" s="7" t="s">
        <v>23757</v>
      </c>
      <c r="C49" s="7" t="s">
        <v>23703</v>
      </c>
      <c r="D49" s="7" t="s">
        <v>22870</v>
      </c>
      <c r="E49" s="39" t="n">
        <v>45680</v>
      </c>
      <c r="F49" s="39" t="n">
        <v>45710</v>
      </c>
      <c r="G49" s="41" t="n">
        <v>145.57</v>
      </c>
      <c r="H49" s="39" t="n">
        <v>45708</v>
      </c>
      <c r="I49" s="7" t="s">
        <v>14651</v>
      </c>
      <c r="J49" s="7" t="s">
        <v>22796</v>
      </c>
    </row>
    <row r="50" customFormat="false" ht="15" hidden="false" customHeight="false" outlineLevel="0" collapsed="false">
      <c r="B50" s="7" t="s">
        <v>23758</v>
      </c>
      <c r="C50" s="7" t="s">
        <v>23704</v>
      </c>
      <c r="D50" s="7" t="s">
        <v>22874</v>
      </c>
      <c r="E50" s="39" t="n">
        <v>45658</v>
      </c>
      <c r="F50" s="39" t="n">
        <v>45688</v>
      </c>
      <c r="G50" s="41" t="n">
        <v>393.81</v>
      </c>
      <c r="H50" s="39" t="n">
        <v>45666</v>
      </c>
      <c r="I50" s="7" t="s">
        <v>14651</v>
      </c>
      <c r="J50" s="7" t="s">
        <v>22796</v>
      </c>
    </row>
    <row r="51" customFormat="false" ht="15" hidden="false" customHeight="false" outlineLevel="0" collapsed="false">
      <c r="B51" s="7" t="s">
        <v>23759</v>
      </c>
      <c r="C51" s="7" t="s">
        <v>23705</v>
      </c>
      <c r="D51" s="7" t="s">
        <v>22876</v>
      </c>
      <c r="E51" s="39" t="n">
        <v>45662</v>
      </c>
      <c r="F51" s="39" t="n">
        <v>45692</v>
      </c>
      <c r="G51" s="41" t="n">
        <v>74.42</v>
      </c>
      <c r="H51" s="39" t="n">
        <v>45672</v>
      </c>
      <c r="I51" s="7" t="s">
        <v>14651</v>
      </c>
      <c r="J51" s="7" t="s">
        <v>22796</v>
      </c>
    </row>
    <row r="52" customFormat="false" ht="15" hidden="false" customHeight="false" outlineLevel="0" collapsed="false">
      <c r="B52" s="7" t="s">
        <v>23760</v>
      </c>
      <c r="C52" s="7" t="s">
        <v>23705</v>
      </c>
      <c r="D52" s="7" t="s">
        <v>22876</v>
      </c>
      <c r="E52" s="39" t="n">
        <v>45681</v>
      </c>
      <c r="F52" s="39" t="n">
        <v>45711</v>
      </c>
      <c r="G52" s="41" t="n">
        <v>288.41</v>
      </c>
      <c r="H52" s="39" t="n">
        <v>45711</v>
      </c>
      <c r="I52" s="7" t="s">
        <v>14651</v>
      </c>
      <c r="J52" s="7" t="s">
        <v>22796</v>
      </c>
    </row>
    <row r="53" customFormat="false" ht="15" hidden="false" customHeight="false" outlineLevel="0" collapsed="false">
      <c r="B53" s="7" t="s">
        <v>23761</v>
      </c>
      <c r="C53" s="7" t="s">
        <v>23706</v>
      </c>
      <c r="D53" s="7" t="s">
        <v>142</v>
      </c>
      <c r="E53" s="39" t="n">
        <v>45661</v>
      </c>
      <c r="F53" s="39" t="n">
        <v>45691</v>
      </c>
      <c r="G53" s="41" t="n">
        <v>65.93</v>
      </c>
      <c r="H53" s="39" t="n">
        <v>45676</v>
      </c>
      <c r="I53" s="7" t="s">
        <v>14651</v>
      </c>
      <c r="J53" s="7" t="s">
        <v>22796</v>
      </c>
    </row>
    <row r="54" customFormat="false" ht="15" hidden="false" customHeight="false" outlineLevel="0" collapsed="false">
      <c r="B54" s="7" t="s">
        <v>23762</v>
      </c>
      <c r="C54" s="7" t="s">
        <v>23706</v>
      </c>
      <c r="D54" s="7" t="s">
        <v>142</v>
      </c>
      <c r="E54" s="39" t="n">
        <v>45675</v>
      </c>
      <c r="F54" s="39" t="n">
        <v>45705</v>
      </c>
      <c r="G54" s="41" t="n">
        <v>59.07</v>
      </c>
      <c r="H54" s="39" t="n">
        <v>45705</v>
      </c>
      <c r="I54" s="7" t="s">
        <v>14651</v>
      </c>
      <c r="J54" s="7" t="s">
        <v>22796</v>
      </c>
    </row>
    <row r="55" customFormat="false" ht="15" hidden="false" customHeight="false" outlineLevel="0" collapsed="false">
      <c r="B55" s="7" t="s">
        <v>23763</v>
      </c>
      <c r="C55" s="7" t="s">
        <v>23706</v>
      </c>
      <c r="D55" s="7" t="s">
        <v>142</v>
      </c>
      <c r="E55" s="39" t="n">
        <v>45680</v>
      </c>
      <c r="F55" s="39" t="n">
        <v>45710</v>
      </c>
      <c r="G55" s="41" t="n">
        <v>63.68</v>
      </c>
      <c r="H55" s="39" t="n">
        <v>45709</v>
      </c>
      <c r="I55" s="7" t="s">
        <v>14651</v>
      </c>
      <c r="J55" s="7" t="s">
        <v>22796</v>
      </c>
    </row>
    <row r="56" customFormat="false" ht="15" hidden="false" customHeight="false" outlineLevel="0" collapsed="false">
      <c r="B56" s="7" t="s">
        <v>23764</v>
      </c>
      <c r="C56" s="7" t="s">
        <v>23707</v>
      </c>
      <c r="D56" s="7" t="s">
        <v>22882</v>
      </c>
      <c r="E56" s="39" t="n">
        <v>45670</v>
      </c>
      <c r="F56" s="39" t="n">
        <v>45670</v>
      </c>
      <c r="G56" s="41" t="n">
        <v>10.57</v>
      </c>
      <c r="H56" s="39" t="n">
        <v>45670</v>
      </c>
      <c r="I56" s="7" t="s">
        <v>14651</v>
      </c>
      <c r="J56" s="7" t="s">
        <v>22796</v>
      </c>
    </row>
    <row r="57" customFormat="false" ht="15" hidden="false" customHeight="false" outlineLevel="0" collapsed="false">
      <c r="B57" s="7" t="s">
        <v>23765</v>
      </c>
      <c r="C57" s="7" t="s">
        <v>23707</v>
      </c>
      <c r="D57" s="7" t="s">
        <v>22882</v>
      </c>
      <c r="E57" s="39" t="n">
        <v>45685</v>
      </c>
      <c r="F57" s="39" t="n">
        <v>45685</v>
      </c>
      <c r="G57" s="41" t="n">
        <v>7.59</v>
      </c>
      <c r="H57" s="39" t="n">
        <v>45685</v>
      </c>
      <c r="I57" s="7" t="s">
        <v>14651</v>
      </c>
      <c r="J57" s="7" t="s">
        <v>22796</v>
      </c>
    </row>
    <row r="58" customFormat="false" ht="15" hidden="false" customHeight="false" outlineLevel="0" collapsed="false">
      <c r="B58" s="7" t="s">
        <v>23766</v>
      </c>
      <c r="C58" s="7" t="s">
        <v>23707</v>
      </c>
      <c r="D58" s="7" t="s">
        <v>22882</v>
      </c>
      <c r="E58" s="39" t="n">
        <v>45688</v>
      </c>
      <c r="F58" s="39" t="n">
        <v>45688</v>
      </c>
      <c r="G58" s="41" t="n">
        <v>28.57</v>
      </c>
      <c r="H58" s="39" t="n">
        <v>45688</v>
      </c>
      <c r="I58" s="7" t="s">
        <v>14651</v>
      </c>
      <c r="J58" s="7" t="s">
        <v>22796</v>
      </c>
    </row>
    <row r="59" customFormat="false" ht="15" hidden="false" customHeight="false" outlineLevel="0" collapsed="false">
      <c r="B59" s="7" t="s">
        <v>23767</v>
      </c>
      <c r="C59" s="7" t="s">
        <v>23708</v>
      </c>
      <c r="D59" s="7" t="s">
        <v>143</v>
      </c>
      <c r="E59" s="39" t="n">
        <v>45664</v>
      </c>
      <c r="F59" s="39" t="n">
        <v>45679</v>
      </c>
      <c r="G59" s="41" t="n">
        <v>63.47</v>
      </c>
      <c r="H59" s="39" t="n">
        <v>45676</v>
      </c>
      <c r="I59" s="7" t="s">
        <v>14651</v>
      </c>
      <c r="J59" s="7" t="s">
        <v>22796</v>
      </c>
    </row>
    <row r="60" customFormat="false" ht="15" hidden="false" customHeight="false" outlineLevel="0" collapsed="false">
      <c r="B60" s="7" t="s">
        <v>23768</v>
      </c>
      <c r="C60" s="7" t="s">
        <v>23708</v>
      </c>
      <c r="D60" s="7" t="s">
        <v>143</v>
      </c>
      <c r="E60" s="39" t="n">
        <v>45676</v>
      </c>
      <c r="F60" s="39" t="n">
        <v>45691</v>
      </c>
      <c r="G60" s="41" t="n">
        <v>50.77</v>
      </c>
      <c r="H60" s="39" t="n">
        <v>45696</v>
      </c>
      <c r="I60" s="7" t="s">
        <v>14651</v>
      </c>
      <c r="J60" s="7" t="s">
        <v>22796</v>
      </c>
    </row>
    <row r="61" customFormat="false" ht="15" hidden="false" customHeight="false" outlineLevel="0" collapsed="false">
      <c r="B61" s="7" t="s">
        <v>23769</v>
      </c>
      <c r="C61" s="7" t="s">
        <v>23708</v>
      </c>
      <c r="D61" s="7" t="s">
        <v>143</v>
      </c>
      <c r="E61" s="39" t="n">
        <v>45679</v>
      </c>
      <c r="F61" s="39" t="n">
        <v>45694</v>
      </c>
      <c r="G61" s="41" t="n">
        <v>26.92</v>
      </c>
      <c r="H61" s="39" t="n">
        <v>45684</v>
      </c>
      <c r="I61" s="7" t="s">
        <v>14651</v>
      </c>
      <c r="J61" s="7" t="s">
        <v>22796</v>
      </c>
    </row>
    <row r="62" customFormat="false" ht="15" hidden="false" customHeight="false" outlineLevel="0" collapsed="false">
      <c r="B62" s="7" t="s">
        <v>23770</v>
      </c>
      <c r="C62" s="7" t="s">
        <v>23708</v>
      </c>
      <c r="D62" s="7" t="s">
        <v>143</v>
      </c>
      <c r="E62" s="39" t="n">
        <v>45687</v>
      </c>
      <c r="F62" s="39" t="n">
        <v>45702</v>
      </c>
      <c r="G62" s="41" t="n">
        <v>56.53</v>
      </c>
      <c r="H62" s="39" t="n">
        <v>45701</v>
      </c>
      <c r="I62" s="7" t="s">
        <v>14651</v>
      </c>
      <c r="J62" s="7" t="s">
        <v>22796</v>
      </c>
    </row>
    <row r="63" customFormat="false" ht="15" hidden="false" customHeight="false" outlineLevel="0" collapsed="false">
      <c r="B63" s="7" t="s">
        <v>23771</v>
      </c>
      <c r="C63" s="7" t="s">
        <v>23676</v>
      </c>
      <c r="D63" s="7" t="s">
        <v>124</v>
      </c>
      <c r="E63" s="39" t="n">
        <v>45689</v>
      </c>
      <c r="F63" s="39" t="n">
        <v>45689</v>
      </c>
      <c r="G63" s="41" t="n">
        <v>2314.54</v>
      </c>
      <c r="H63" s="39" t="n">
        <v>45689</v>
      </c>
      <c r="I63" s="7" t="s">
        <v>14651</v>
      </c>
      <c r="J63" s="7" t="s">
        <v>22796</v>
      </c>
    </row>
    <row r="64" customFormat="false" ht="15" hidden="false" customHeight="false" outlineLevel="0" collapsed="false">
      <c r="B64" s="7" t="s">
        <v>23772</v>
      </c>
      <c r="C64" s="7" t="s">
        <v>23678</v>
      </c>
      <c r="D64" s="7" t="s">
        <v>22798</v>
      </c>
      <c r="E64" s="39" t="n">
        <v>45694</v>
      </c>
      <c r="F64" s="39" t="n">
        <v>45715</v>
      </c>
      <c r="G64" s="41" t="n">
        <v>52.98</v>
      </c>
      <c r="H64" s="39" t="n">
        <v>45720</v>
      </c>
      <c r="I64" s="7" t="s">
        <v>14651</v>
      </c>
      <c r="J64" s="7" t="s">
        <v>22796</v>
      </c>
    </row>
    <row r="65" customFormat="false" ht="15" hidden="false" customHeight="false" outlineLevel="0" collapsed="false">
      <c r="B65" s="7" t="s">
        <v>23773</v>
      </c>
      <c r="C65" s="7" t="s">
        <v>23678</v>
      </c>
      <c r="D65" s="7" t="s">
        <v>22798</v>
      </c>
      <c r="E65" s="39" t="n">
        <v>45706</v>
      </c>
      <c r="F65" s="39" t="n">
        <v>45727</v>
      </c>
      <c r="G65" s="41" t="n">
        <v>156.12</v>
      </c>
      <c r="H65" s="39" t="n">
        <v>45715</v>
      </c>
      <c r="I65" s="7" t="s">
        <v>14651</v>
      </c>
      <c r="J65" s="7" t="s">
        <v>22796</v>
      </c>
    </row>
    <row r="66" customFormat="false" ht="15" hidden="false" customHeight="false" outlineLevel="0" collapsed="false">
      <c r="B66" s="7" t="s">
        <v>23774</v>
      </c>
      <c r="C66" s="7" t="s">
        <v>23680</v>
      </c>
      <c r="D66" s="7" t="s">
        <v>22802</v>
      </c>
      <c r="E66" s="39" t="n">
        <v>45696</v>
      </c>
      <c r="F66" s="39" t="n">
        <v>45717</v>
      </c>
      <c r="G66" s="41" t="n">
        <v>33.47</v>
      </c>
      <c r="H66" s="39" t="n">
        <v>45723</v>
      </c>
      <c r="I66" s="7" t="s">
        <v>14651</v>
      </c>
      <c r="J66" s="7" t="s">
        <v>22796</v>
      </c>
    </row>
    <row r="67" customFormat="false" ht="15" hidden="false" customHeight="false" outlineLevel="0" collapsed="false">
      <c r="B67" s="7" t="s">
        <v>23775</v>
      </c>
      <c r="C67" s="7" t="s">
        <v>23680</v>
      </c>
      <c r="D67" s="7" t="s">
        <v>22802</v>
      </c>
      <c r="E67" s="39" t="n">
        <v>45710</v>
      </c>
      <c r="F67" s="39" t="n">
        <v>45731</v>
      </c>
      <c r="G67" s="41" t="n">
        <v>35.16</v>
      </c>
      <c r="H67" s="39" t="n">
        <v>45729</v>
      </c>
      <c r="I67" s="7" t="s">
        <v>14651</v>
      </c>
      <c r="J67" s="7" t="s">
        <v>22796</v>
      </c>
    </row>
    <row r="68" customFormat="false" ht="15" hidden="false" customHeight="false" outlineLevel="0" collapsed="false">
      <c r="B68" s="7" t="s">
        <v>23776</v>
      </c>
      <c r="C68" s="7" t="s">
        <v>23681</v>
      </c>
      <c r="D68" s="7" t="s">
        <v>22807</v>
      </c>
      <c r="E68" s="39" t="n">
        <v>45695</v>
      </c>
      <c r="F68" s="39" t="n">
        <v>45716</v>
      </c>
      <c r="G68" s="41" t="n">
        <v>41.22</v>
      </c>
      <c r="H68" s="39" t="n">
        <v>45715</v>
      </c>
      <c r="I68" s="7" t="s">
        <v>14651</v>
      </c>
      <c r="J68" s="7" t="s">
        <v>22796</v>
      </c>
    </row>
    <row r="69" customFormat="false" ht="15" hidden="false" customHeight="false" outlineLevel="0" collapsed="false">
      <c r="B69" s="7" t="s">
        <v>23777</v>
      </c>
      <c r="C69" s="7" t="s">
        <v>23681</v>
      </c>
      <c r="D69" s="7" t="s">
        <v>22807</v>
      </c>
      <c r="E69" s="39" t="n">
        <v>45701</v>
      </c>
      <c r="F69" s="39" t="n">
        <v>45722</v>
      </c>
      <c r="G69" s="41" t="n">
        <v>16.16</v>
      </c>
      <c r="H69" s="39" t="n">
        <v>45713</v>
      </c>
      <c r="I69" s="7" t="s">
        <v>14651</v>
      </c>
      <c r="J69" s="7" t="s">
        <v>22796</v>
      </c>
    </row>
    <row r="70" customFormat="false" ht="15" hidden="false" customHeight="false" outlineLevel="0" collapsed="false">
      <c r="B70" s="7" t="s">
        <v>23778</v>
      </c>
      <c r="C70" s="7" t="s">
        <v>23681</v>
      </c>
      <c r="D70" s="7" t="s">
        <v>22807</v>
      </c>
      <c r="E70" s="39" t="n">
        <v>45713</v>
      </c>
      <c r="F70" s="39" t="n">
        <v>45734</v>
      </c>
      <c r="G70" s="41" t="n">
        <v>34.87</v>
      </c>
      <c r="H70" s="39" t="n">
        <v>45739</v>
      </c>
      <c r="I70" s="7" t="s">
        <v>14651</v>
      </c>
      <c r="J70" s="7" t="s">
        <v>22796</v>
      </c>
    </row>
    <row r="71" customFormat="false" ht="15" hidden="false" customHeight="false" outlineLevel="0" collapsed="false">
      <c r="B71" s="7" t="s">
        <v>23779</v>
      </c>
      <c r="C71" s="7" t="s">
        <v>23682</v>
      </c>
      <c r="D71" s="7" t="s">
        <v>22825</v>
      </c>
      <c r="E71" s="39" t="n">
        <v>45689</v>
      </c>
      <c r="F71" s="39" t="n">
        <v>45689</v>
      </c>
      <c r="G71" s="41" t="n">
        <v>689.34</v>
      </c>
      <c r="H71" s="39" t="n">
        <v>45689</v>
      </c>
      <c r="I71" s="7" t="s">
        <v>14651</v>
      </c>
      <c r="J71" s="7" t="s">
        <v>22796</v>
      </c>
    </row>
    <row r="72" customFormat="false" ht="15" hidden="false" customHeight="false" outlineLevel="0" collapsed="false">
      <c r="B72" s="7" t="s">
        <v>23780</v>
      </c>
      <c r="C72" s="7" t="s">
        <v>23684</v>
      </c>
      <c r="D72" s="7" t="s">
        <v>22827</v>
      </c>
      <c r="E72" s="39" t="n">
        <v>45689</v>
      </c>
      <c r="F72" s="39" t="n">
        <v>45689</v>
      </c>
      <c r="G72" s="41" t="n">
        <v>127.03</v>
      </c>
      <c r="H72" s="39" t="n">
        <v>45689</v>
      </c>
      <c r="I72" s="7" t="s">
        <v>14651</v>
      </c>
      <c r="J72" s="7" t="s">
        <v>22796</v>
      </c>
    </row>
    <row r="73" customFormat="false" ht="15" hidden="false" customHeight="false" outlineLevel="0" collapsed="false">
      <c r="B73" s="7" t="s">
        <v>23781</v>
      </c>
      <c r="C73" s="7" t="s">
        <v>23685</v>
      </c>
      <c r="D73" s="7" t="s">
        <v>22829</v>
      </c>
      <c r="E73" s="39" t="n">
        <v>45689</v>
      </c>
      <c r="F73" s="39" t="n">
        <v>45689</v>
      </c>
      <c r="G73" s="41" t="n">
        <v>90.47</v>
      </c>
      <c r="H73" s="39" t="n">
        <v>45689</v>
      </c>
      <c r="I73" s="7" t="s">
        <v>14651</v>
      </c>
      <c r="J73" s="7" t="s">
        <v>22796</v>
      </c>
    </row>
    <row r="74" customFormat="false" ht="15" hidden="false" customHeight="false" outlineLevel="0" collapsed="false">
      <c r="B74" s="7" t="s">
        <v>23782</v>
      </c>
      <c r="C74" s="7" t="s">
        <v>23686</v>
      </c>
      <c r="D74" s="7" t="s">
        <v>22831</v>
      </c>
      <c r="E74" s="39" t="n">
        <v>45689</v>
      </c>
      <c r="F74" s="39" t="n">
        <v>45689</v>
      </c>
      <c r="G74" s="41" t="n">
        <v>96</v>
      </c>
      <c r="H74" s="39" t="n">
        <v>45689</v>
      </c>
      <c r="I74" s="7" t="s">
        <v>14651</v>
      </c>
      <c r="J74" s="7" t="s">
        <v>22796</v>
      </c>
    </row>
    <row r="75" customFormat="false" ht="15" hidden="false" customHeight="false" outlineLevel="0" collapsed="false">
      <c r="B75" s="7" t="s">
        <v>23783</v>
      </c>
      <c r="C75" s="7" t="s">
        <v>23687</v>
      </c>
      <c r="D75" s="7" t="s">
        <v>132</v>
      </c>
      <c r="E75" s="39" t="n">
        <v>45694</v>
      </c>
      <c r="F75" s="39" t="n">
        <v>45694</v>
      </c>
      <c r="G75" s="41" t="n">
        <v>212.26</v>
      </c>
      <c r="H75" s="39" t="n">
        <v>45694</v>
      </c>
      <c r="I75" s="7" t="s">
        <v>14651</v>
      </c>
      <c r="J75" s="7" t="s">
        <v>22813</v>
      </c>
    </row>
    <row r="76" customFormat="false" ht="15" hidden="false" customHeight="false" outlineLevel="0" collapsed="false">
      <c r="B76" s="7" t="s">
        <v>23784</v>
      </c>
      <c r="C76" s="7" t="s">
        <v>23687</v>
      </c>
      <c r="D76" s="7" t="s">
        <v>132</v>
      </c>
      <c r="E76" s="39" t="n">
        <v>45708</v>
      </c>
      <c r="F76" s="39" t="n">
        <v>45708</v>
      </c>
      <c r="G76" s="41" t="n">
        <v>212.26</v>
      </c>
      <c r="H76" s="39" t="n">
        <v>45708</v>
      </c>
      <c r="I76" s="7" t="s">
        <v>14651</v>
      </c>
      <c r="J76" s="7" t="s">
        <v>22813</v>
      </c>
    </row>
    <row r="77" customFormat="false" ht="15" hidden="false" customHeight="false" outlineLevel="0" collapsed="false">
      <c r="B77" s="7" t="s">
        <v>23785</v>
      </c>
      <c r="C77" s="7" t="s">
        <v>23689</v>
      </c>
      <c r="D77" s="7" t="s">
        <v>22837</v>
      </c>
      <c r="E77" s="39" t="n">
        <v>45689</v>
      </c>
      <c r="F77" s="39" t="n">
        <v>45719</v>
      </c>
      <c r="G77" s="41" t="n">
        <v>363.13</v>
      </c>
      <c r="H77" s="39" t="n">
        <v>45719</v>
      </c>
      <c r="I77" s="7" t="s">
        <v>14651</v>
      </c>
      <c r="J77" s="7" t="s">
        <v>22796</v>
      </c>
    </row>
    <row r="78" customFormat="false" ht="15" hidden="false" customHeight="false" outlineLevel="0" collapsed="false">
      <c r="B78" s="7" t="s">
        <v>23786</v>
      </c>
      <c r="C78" s="7" t="s">
        <v>23691</v>
      </c>
      <c r="D78" s="7" t="s">
        <v>22839</v>
      </c>
      <c r="E78" s="39" t="n">
        <v>45689</v>
      </c>
      <c r="F78" s="39" t="n">
        <v>45719</v>
      </c>
      <c r="G78" s="41" t="n">
        <v>143.31</v>
      </c>
      <c r="H78" s="39" t="n">
        <v>45732</v>
      </c>
      <c r="I78" s="7" t="s">
        <v>14651</v>
      </c>
      <c r="J78" s="7" t="s">
        <v>22796</v>
      </c>
    </row>
    <row r="79" customFormat="false" ht="15" hidden="false" customHeight="false" outlineLevel="0" collapsed="false">
      <c r="B79" s="7" t="s">
        <v>23787</v>
      </c>
      <c r="C79" s="7" t="s">
        <v>23692</v>
      </c>
      <c r="D79" s="7" t="s">
        <v>22841</v>
      </c>
      <c r="E79" s="39" t="n">
        <v>45693</v>
      </c>
      <c r="F79" s="39" t="n">
        <v>45708</v>
      </c>
      <c r="G79" s="41" t="n">
        <v>50.94</v>
      </c>
      <c r="H79" s="39" t="n">
        <v>45696</v>
      </c>
      <c r="I79" s="7" t="s">
        <v>14651</v>
      </c>
      <c r="J79" s="7" t="s">
        <v>22796</v>
      </c>
    </row>
    <row r="80" customFormat="false" ht="15" hidden="false" customHeight="false" outlineLevel="0" collapsed="false">
      <c r="B80" s="7" t="s">
        <v>23788</v>
      </c>
      <c r="C80" s="7" t="s">
        <v>23692</v>
      </c>
      <c r="D80" s="7" t="s">
        <v>22841</v>
      </c>
      <c r="E80" s="39" t="n">
        <v>45696</v>
      </c>
      <c r="F80" s="39" t="n">
        <v>45711</v>
      </c>
      <c r="G80" s="41" t="n">
        <v>82.55</v>
      </c>
      <c r="H80" s="39" t="n">
        <v>45712</v>
      </c>
      <c r="I80" s="7" t="s">
        <v>14651</v>
      </c>
      <c r="J80" s="7" t="s">
        <v>22796</v>
      </c>
    </row>
    <row r="81" customFormat="false" ht="15" hidden="false" customHeight="false" outlineLevel="0" collapsed="false">
      <c r="B81" s="7" t="s">
        <v>23789</v>
      </c>
      <c r="C81" s="7" t="s">
        <v>23692</v>
      </c>
      <c r="D81" s="7" t="s">
        <v>22841</v>
      </c>
      <c r="E81" s="39" t="n">
        <v>45701</v>
      </c>
      <c r="F81" s="39" t="n">
        <v>45716</v>
      </c>
      <c r="G81" s="41" t="n">
        <v>28.22</v>
      </c>
      <c r="H81" s="39" t="n">
        <v>45717</v>
      </c>
      <c r="I81" s="7" t="s">
        <v>14651</v>
      </c>
      <c r="J81" s="7" t="s">
        <v>22796</v>
      </c>
    </row>
    <row r="82" customFormat="false" ht="15" hidden="false" customHeight="false" outlineLevel="0" collapsed="false">
      <c r="B82" s="7" t="s">
        <v>23790</v>
      </c>
      <c r="C82" s="7" t="s">
        <v>23692</v>
      </c>
      <c r="D82" s="7" t="s">
        <v>22841</v>
      </c>
      <c r="E82" s="39" t="n">
        <v>45713</v>
      </c>
      <c r="F82" s="39" t="n">
        <v>45728</v>
      </c>
      <c r="G82" s="41" t="n">
        <v>90.68</v>
      </c>
      <c r="H82" s="39" t="n">
        <v>45729</v>
      </c>
      <c r="I82" s="7" t="s">
        <v>14651</v>
      </c>
      <c r="J82" s="7" t="s">
        <v>22796</v>
      </c>
    </row>
    <row r="83" customFormat="false" ht="15" hidden="false" customHeight="false" outlineLevel="0" collapsed="false">
      <c r="B83" s="7" t="s">
        <v>23791</v>
      </c>
      <c r="C83" s="7" t="s">
        <v>23694</v>
      </c>
      <c r="D83" s="7" t="s">
        <v>22845</v>
      </c>
      <c r="E83" s="39" t="n">
        <v>45692</v>
      </c>
      <c r="F83" s="39" t="n">
        <v>45692</v>
      </c>
      <c r="G83" s="41" t="n">
        <v>73.49</v>
      </c>
      <c r="H83" s="39" t="n">
        <v>45692</v>
      </c>
      <c r="I83" s="7" t="s">
        <v>14651</v>
      </c>
      <c r="J83" s="7" t="s">
        <v>22796</v>
      </c>
    </row>
    <row r="84" customFormat="false" ht="15" hidden="false" customHeight="false" outlineLevel="0" collapsed="false">
      <c r="B84" s="7" t="s">
        <v>23792</v>
      </c>
      <c r="C84" s="7" t="s">
        <v>23694</v>
      </c>
      <c r="D84" s="7" t="s">
        <v>22845</v>
      </c>
      <c r="E84" s="39" t="n">
        <v>45701</v>
      </c>
      <c r="F84" s="39" t="n">
        <v>45701</v>
      </c>
      <c r="G84" s="41" t="n">
        <v>89.48</v>
      </c>
      <c r="H84" s="39" t="n">
        <v>45701</v>
      </c>
      <c r="I84" s="7" t="s">
        <v>14651</v>
      </c>
      <c r="J84" s="7" t="s">
        <v>22796</v>
      </c>
    </row>
    <row r="85" customFormat="false" ht="15" hidden="false" customHeight="false" outlineLevel="0" collapsed="false">
      <c r="B85" s="7" t="s">
        <v>23793</v>
      </c>
      <c r="C85" s="7" t="s">
        <v>23694</v>
      </c>
      <c r="D85" s="7" t="s">
        <v>22845</v>
      </c>
      <c r="E85" s="39" t="n">
        <v>45702</v>
      </c>
      <c r="F85" s="39" t="n">
        <v>45702</v>
      </c>
      <c r="G85" s="41" t="n">
        <v>196.53</v>
      </c>
      <c r="H85" s="39" t="n">
        <v>45702</v>
      </c>
      <c r="I85" s="7" t="s">
        <v>14651</v>
      </c>
      <c r="J85" s="7" t="s">
        <v>22796</v>
      </c>
    </row>
    <row r="86" customFormat="false" ht="15" hidden="false" customHeight="false" outlineLevel="0" collapsed="false">
      <c r="B86" s="7" t="s">
        <v>23794</v>
      </c>
      <c r="C86" s="7" t="s">
        <v>23695</v>
      </c>
      <c r="D86" s="7" t="s">
        <v>22848</v>
      </c>
      <c r="E86" s="39" t="n">
        <v>45693</v>
      </c>
      <c r="F86" s="39" t="n">
        <v>45723</v>
      </c>
      <c r="G86" s="41" t="n">
        <v>60.49</v>
      </c>
      <c r="H86" s="39" t="n">
        <v>45724</v>
      </c>
      <c r="I86" s="7" t="s">
        <v>14651</v>
      </c>
      <c r="J86" s="7" t="s">
        <v>22796</v>
      </c>
    </row>
    <row r="87" customFormat="false" ht="15" hidden="false" customHeight="false" outlineLevel="0" collapsed="false">
      <c r="B87" s="7" t="s">
        <v>23795</v>
      </c>
      <c r="C87" s="7" t="s">
        <v>23695</v>
      </c>
      <c r="D87" s="7" t="s">
        <v>22848</v>
      </c>
      <c r="E87" s="39" t="n">
        <v>45706</v>
      </c>
      <c r="F87" s="39" t="n">
        <v>45736</v>
      </c>
      <c r="G87" s="41" t="n">
        <v>50.73</v>
      </c>
      <c r="H87" s="39" t="n">
        <v>45736</v>
      </c>
      <c r="I87" s="7" t="s">
        <v>14651</v>
      </c>
      <c r="J87" s="7" t="s">
        <v>22796</v>
      </c>
    </row>
    <row r="88" customFormat="false" ht="15" hidden="false" customHeight="false" outlineLevel="0" collapsed="false">
      <c r="B88" s="7" t="s">
        <v>23796</v>
      </c>
      <c r="C88" s="7" t="s">
        <v>23695</v>
      </c>
      <c r="D88" s="7" t="s">
        <v>22848</v>
      </c>
      <c r="E88" s="39" t="n">
        <v>45707</v>
      </c>
      <c r="F88" s="39" t="n">
        <v>45737</v>
      </c>
      <c r="G88" s="41" t="n">
        <v>135.27</v>
      </c>
      <c r="H88" s="39" t="n">
        <v>45736</v>
      </c>
      <c r="I88" s="7" t="s">
        <v>14651</v>
      </c>
      <c r="J88" s="7" t="s">
        <v>22796</v>
      </c>
    </row>
    <row r="89" customFormat="false" ht="15" hidden="false" customHeight="false" outlineLevel="0" collapsed="false">
      <c r="B89" s="7" t="s">
        <v>23797</v>
      </c>
      <c r="C89" s="7" t="s">
        <v>23696</v>
      </c>
      <c r="D89" s="7" t="s">
        <v>136</v>
      </c>
      <c r="E89" s="39" t="n">
        <v>45697</v>
      </c>
      <c r="F89" s="39" t="n">
        <v>45712</v>
      </c>
      <c r="G89" s="41" t="n">
        <v>59.82</v>
      </c>
      <c r="H89" s="39" t="n">
        <v>45708</v>
      </c>
      <c r="I89" s="7" t="s">
        <v>14651</v>
      </c>
      <c r="J89" s="7" t="s">
        <v>22796</v>
      </c>
    </row>
    <row r="90" customFormat="false" ht="15" hidden="false" customHeight="false" outlineLevel="0" collapsed="false">
      <c r="B90" s="7" t="s">
        <v>23798</v>
      </c>
      <c r="C90" s="7" t="s">
        <v>23696</v>
      </c>
      <c r="D90" s="7" t="s">
        <v>136</v>
      </c>
      <c r="E90" s="39" t="n">
        <v>45704</v>
      </c>
      <c r="F90" s="39" t="n">
        <v>45719</v>
      </c>
      <c r="G90" s="41" t="n">
        <v>86.15</v>
      </c>
      <c r="H90" s="39" t="n">
        <v>45730</v>
      </c>
      <c r="I90" s="7" t="s">
        <v>14651</v>
      </c>
      <c r="J90" s="7" t="s">
        <v>22796</v>
      </c>
    </row>
    <row r="91" customFormat="false" ht="15" hidden="false" customHeight="false" outlineLevel="0" collapsed="false">
      <c r="B91" s="7" t="s">
        <v>23799</v>
      </c>
      <c r="C91" s="7" t="s">
        <v>23697</v>
      </c>
      <c r="D91" s="7" t="s">
        <v>22855</v>
      </c>
      <c r="E91" s="39" t="n">
        <v>45689</v>
      </c>
      <c r="F91" s="39" t="n">
        <v>45710</v>
      </c>
      <c r="G91" s="41" t="n">
        <v>161.41</v>
      </c>
      <c r="H91" s="39" t="n">
        <v>45693</v>
      </c>
      <c r="I91" s="7" t="s">
        <v>14651</v>
      </c>
      <c r="J91" s="7" t="s">
        <v>22796</v>
      </c>
    </row>
    <row r="92" customFormat="false" ht="15" hidden="false" customHeight="false" outlineLevel="0" collapsed="false">
      <c r="B92" s="7" t="s">
        <v>23800</v>
      </c>
      <c r="C92" s="7" t="s">
        <v>23698</v>
      </c>
      <c r="D92" s="7" t="s">
        <v>22857</v>
      </c>
      <c r="E92" s="39" t="n">
        <v>45689</v>
      </c>
      <c r="F92" s="39" t="n">
        <v>45710</v>
      </c>
      <c r="G92" s="41" t="n">
        <v>494.71</v>
      </c>
      <c r="H92" s="39" t="n">
        <v>45712</v>
      </c>
      <c r="I92" s="7" t="s">
        <v>14651</v>
      </c>
      <c r="J92" s="7" t="s">
        <v>22796</v>
      </c>
    </row>
    <row r="93" customFormat="false" ht="15" hidden="false" customHeight="false" outlineLevel="0" collapsed="false">
      <c r="B93" s="7" t="s">
        <v>23801</v>
      </c>
      <c r="C93" s="7" t="s">
        <v>23699</v>
      </c>
      <c r="D93" s="7" t="s">
        <v>22859</v>
      </c>
      <c r="E93" s="39" t="n">
        <v>45693</v>
      </c>
      <c r="F93" s="39" t="n">
        <v>45723</v>
      </c>
      <c r="G93" s="41" t="n">
        <v>86.81</v>
      </c>
      <c r="H93" s="39" t="n">
        <v>45712</v>
      </c>
      <c r="I93" s="7" t="s">
        <v>14651</v>
      </c>
      <c r="J93" s="7" t="s">
        <v>22796</v>
      </c>
    </row>
    <row r="94" customFormat="false" ht="15" hidden="false" customHeight="false" outlineLevel="0" collapsed="false">
      <c r="B94" s="7" t="s">
        <v>23802</v>
      </c>
      <c r="C94" s="7" t="s">
        <v>23699</v>
      </c>
      <c r="D94" s="7" t="s">
        <v>22859</v>
      </c>
      <c r="E94" s="39" t="n">
        <v>45696</v>
      </c>
      <c r="F94" s="39" t="n">
        <v>45726</v>
      </c>
      <c r="G94" s="41" t="n">
        <v>89.38</v>
      </c>
      <c r="H94" s="39" t="n">
        <v>45707</v>
      </c>
      <c r="I94" s="7" t="s">
        <v>14651</v>
      </c>
      <c r="J94" s="7" t="s">
        <v>22796</v>
      </c>
    </row>
    <row r="95" customFormat="false" ht="15" hidden="false" customHeight="false" outlineLevel="0" collapsed="false">
      <c r="B95" s="7" t="s">
        <v>23803</v>
      </c>
      <c r="C95" s="7" t="s">
        <v>23699</v>
      </c>
      <c r="D95" s="7" t="s">
        <v>22859</v>
      </c>
      <c r="E95" s="39" t="n">
        <v>45699</v>
      </c>
      <c r="F95" s="39" t="n">
        <v>45729</v>
      </c>
      <c r="G95" s="41" t="n">
        <v>251.44</v>
      </c>
      <c r="H95" s="39" t="n">
        <v>45737</v>
      </c>
      <c r="I95" s="7" t="s">
        <v>14651</v>
      </c>
      <c r="J95" s="7" t="s">
        <v>22796</v>
      </c>
    </row>
    <row r="96" customFormat="false" ht="15" hidden="false" customHeight="false" outlineLevel="0" collapsed="false">
      <c r="B96" s="7" t="s">
        <v>23804</v>
      </c>
      <c r="C96" s="7" t="s">
        <v>23700</v>
      </c>
      <c r="D96" s="7" t="s">
        <v>22862</v>
      </c>
      <c r="E96" s="39" t="n">
        <v>45698</v>
      </c>
      <c r="F96" s="39" t="n">
        <v>45698</v>
      </c>
      <c r="G96" s="41" t="n">
        <v>53.79</v>
      </c>
      <c r="H96" s="39" t="n">
        <v>45698</v>
      </c>
      <c r="I96" s="7" t="s">
        <v>14651</v>
      </c>
      <c r="J96" s="7" t="s">
        <v>22796</v>
      </c>
    </row>
    <row r="97" customFormat="false" ht="15" hidden="false" customHeight="false" outlineLevel="0" collapsed="false">
      <c r="B97" s="7" t="s">
        <v>23805</v>
      </c>
      <c r="C97" s="7" t="s">
        <v>23700</v>
      </c>
      <c r="D97" s="7" t="s">
        <v>22862</v>
      </c>
      <c r="E97" s="39" t="n">
        <v>45707</v>
      </c>
      <c r="F97" s="39" t="n">
        <v>45707</v>
      </c>
      <c r="G97" s="41" t="n">
        <v>44.84</v>
      </c>
      <c r="H97" s="39" t="n">
        <v>45707</v>
      </c>
      <c r="I97" s="7" t="s">
        <v>14651</v>
      </c>
      <c r="J97" s="7" t="s">
        <v>22796</v>
      </c>
    </row>
    <row r="98" customFormat="false" ht="15" hidden="false" customHeight="false" outlineLevel="0" collapsed="false">
      <c r="B98" s="7" t="s">
        <v>23806</v>
      </c>
      <c r="C98" s="7" t="s">
        <v>23700</v>
      </c>
      <c r="D98" s="7" t="s">
        <v>22862</v>
      </c>
      <c r="E98" s="39" t="n">
        <v>45710</v>
      </c>
      <c r="F98" s="39" t="n">
        <v>45710</v>
      </c>
      <c r="G98" s="41" t="n">
        <v>62.75</v>
      </c>
      <c r="H98" s="39" t="n">
        <v>45710</v>
      </c>
      <c r="I98" s="7" t="s">
        <v>14651</v>
      </c>
      <c r="J98" s="7" t="s">
        <v>22796</v>
      </c>
    </row>
    <row r="99" customFormat="false" ht="15" hidden="false" customHeight="false" outlineLevel="0" collapsed="false">
      <c r="B99" s="7" t="s">
        <v>23807</v>
      </c>
      <c r="C99" s="7" t="s">
        <v>23702</v>
      </c>
      <c r="D99" s="7" t="s">
        <v>22866</v>
      </c>
      <c r="E99" s="39" t="n">
        <v>45706</v>
      </c>
      <c r="F99" s="39" t="n">
        <v>45721</v>
      </c>
      <c r="G99" s="41" t="n">
        <v>231.03</v>
      </c>
      <c r="H99" s="39" t="n">
        <v>45720</v>
      </c>
      <c r="I99" s="7" t="s">
        <v>14651</v>
      </c>
      <c r="J99" s="7" t="s">
        <v>22796</v>
      </c>
    </row>
    <row r="100" customFormat="false" ht="15" hidden="false" customHeight="false" outlineLevel="0" collapsed="false">
      <c r="B100" s="7" t="s">
        <v>23808</v>
      </c>
      <c r="C100" s="7" t="s">
        <v>23702</v>
      </c>
      <c r="D100" s="7" t="s">
        <v>22866</v>
      </c>
      <c r="E100" s="39" t="n">
        <v>45712</v>
      </c>
      <c r="F100" s="39" t="n">
        <v>45727</v>
      </c>
      <c r="G100" s="41" t="n">
        <v>159.26</v>
      </c>
      <c r="H100" s="39" t="n">
        <v>45723</v>
      </c>
      <c r="I100" s="7" t="s">
        <v>14651</v>
      </c>
      <c r="J100" s="7" t="s">
        <v>22796</v>
      </c>
    </row>
    <row r="101" customFormat="false" ht="15" hidden="false" customHeight="false" outlineLevel="0" collapsed="false">
      <c r="B101" s="7" t="s">
        <v>23809</v>
      </c>
      <c r="C101" s="7" t="s">
        <v>23702</v>
      </c>
      <c r="D101" s="7" t="s">
        <v>22866</v>
      </c>
      <c r="E101" s="39" t="n">
        <v>45713</v>
      </c>
      <c r="F101" s="39" t="n">
        <v>45728</v>
      </c>
      <c r="G101" s="41" t="n">
        <v>277.33</v>
      </c>
      <c r="H101" s="39" t="n">
        <v>45729</v>
      </c>
      <c r="I101" s="7" t="s">
        <v>14651</v>
      </c>
      <c r="J101" s="7" t="s">
        <v>22796</v>
      </c>
    </row>
    <row r="102" customFormat="false" ht="15" hidden="false" customHeight="false" outlineLevel="0" collapsed="false">
      <c r="B102" s="7" t="s">
        <v>23810</v>
      </c>
      <c r="C102" s="7" t="s">
        <v>23703</v>
      </c>
      <c r="D102" s="7" t="s">
        <v>22870</v>
      </c>
      <c r="E102" s="39" t="n">
        <v>45691</v>
      </c>
      <c r="F102" s="39" t="n">
        <v>45721</v>
      </c>
      <c r="G102" s="41" t="n">
        <v>89.79</v>
      </c>
      <c r="H102" s="39" t="n">
        <v>45704</v>
      </c>
      <c r="I102" s="7" t="s">
        <v>14651</v>
      </c>
      <c r="J102" s="7" t="s">
        <v>22796</v>
      </c>
    </row>
    <row r="103" customFormat="false" ht="15" hidden="false" customHeight="false" outlineLevel="0" collapsed="false">
      <c r="B103" s="7" t="s">
        <v>23811</v>
      </c>
      <c r="C103" s="7" t="s">
        <v>23703</v>
      </c>
      <c r="D103" s="7" t="s">
        <v>22870</v>
      </c>
      <c r="E103" s="39" t="n">
        <v>45705</v>
      </c>
      <c r="F103" s="39" t="n">
        <v>45735</v>
      </c>
      <c r="G103" s="41" t="n">
        <v>119.89</v>
      </c>
      <c r="H103" s="39" t="n">
        <v>45734</v>
      </c>
      <c r="I103" s="7" t="s">
        <v>14651</v>
      </c>
      <c r="J103" s="7" t="s">
        <v>22796</v>
      </c>
    </row>
    <row r="104" customFormat="false" ht="15" hidden="false" customHeight="false" outlineLevel="0" collapsed="false">
      <c r="B104" s="7" t="s">
        <v>23812</v>
      </c>
      <c r="C104" s="7" t="s">
        <v>23703</v>
      </c>
      <c r="D104" s="7" t="s">
        <v>22870</v>
      </c>
      <c r="E104" s="39" t="n">
        <v>45707</v>
      </c>
      <c r="F104" s="39" t="n">
        <v>45737</v>
      </c>
      <c r="G104" s="41" t="n">
        <v>51.04</v>
      </c>
      <c r="H104" s="39" t="n">
        <v>45747</v>
      </c>
      <c r="I104" s="7" t="s">
        <v>14651</v>
      </c>
      <c r="J104" s="7" t="s">
        <v>22796</v>
      </c>
    </row>
    <row r="105" customFormat="false" ht="15" hidden="false" customHeight="false" outlineLevel="0" collapsed="false">
      <c r="B105" s="7" t="s">
        <v>23813</v>
      </c>
      <c r="C105" s="7" t="s">
        <v>23703</v>
      </c>
      <c r="D105" s="7" t="s">
        <v>22870</v>
      </c>
      <c r="E105" s="39" t="n">
        <v>45715</v>
      </c>
      <c r="F105" s="39" t="n">
        <v>45745</v>
      </c>
      <c r="G105" s="41" t="n">
        <v>79.24</v>
      </c>
      <c r="H105" s="39" t="n">
        <v>45745</v>
      </c>
      <c r="I105" s="7" t="s">
        <v>14651</v>
      </c>
      <c r="J105" s="7" t="s">
        <v>22796</v>
      </c>
    </row>
    <row r="106" customFormat="false" ht="15" hidden="false" customHeight="false" outlineLevel="0" collapsed="false">
      <c r="B106" s="7" t="s">
        <v>23814</v>
      </c>
      <c r="C106" s="7" t="s">
        <v>23704</v>
      </c>
      <c r="D106" s="7" t="s">
        <v>22874</v>
      </c>
      <c r="E106" s="39" t="n">
        <v>45689</v>
      </c>
      <c r="F106" s="39" t="n">
        <v>45719</v>
      </c>
      <c r="G106" s="41" t="n">
        <v>432.44</v>
      </c>
      <c r="H106" s="39" t="n">
        <v>45731</v>
      </c>
      <c r="I106" s="7" t="s">
        <v>14651</v>
      </c>
      <c r="J106" s="7" t="s">
        <v>22796</v>
      </c>
    </row>
    <row r="107" customFormat="false" ht="15" hidden="false" customHeight="false" outlineLevel="0" collapsed="false">
      <c r="B107" s="7" t="s">
        <v>23815</v>
      </c>
      <c r="C107" s="7" t="s">
        <v>23705</v>
      </c>
      <c r="D107" s="7" t="s">
        <v>22876</v>
      </c>
      <c r="E107" s="39" t="n">
        <v>45692</v>
      </c>
      <c r="F107" s="39" t="n">
        <v>45722</v>
      </c>
      <c r="G107" s="41" t="n">
        <v>171.24</v>
      </c>
      <c r="H107" s="39" t="n">
        <v>45720</v>
      </c>
      <c r="I107" s="7" t="s">
        <v>14651</v>
      </c>
      <c r="J107" s="7" t="s">
        <v>22796</v>
      </c>
    </row>
    <row r="108" customFormat="false" ht="15" hidden="false" customHeight="false" outlineLevel="0" collapsed="false">
      <c r="B108" s="7" t="s">
        <v>23816</v>
      </c>
      <c r="C108" s="7" t="s">
        <v>23705</v>
      </c>
      <c r="D108" s="7" t="s">
        <v>22876</v>
      </c>
      <c r="E108" s="39" t="n">
        <v>45709</v>
      </c>
      <c r="F108" s="39" t="n">
        <v>45739</v>
      </c>
      <c r="G108" s="41" t="n">
        <v>218.22</v>
      </c>
      <c r="H108" s="39" t="n">
        <v>45740</v>
      </c>
      <c r="I108" s="7" t="s">
        <v>14651</v>
      </c>
      <c r="J108" s="7" t="s">
        <v>22796</v>
      </c>
    </row>
    <row r="109" customFormat="false" ht="15" hidden="false" customHeight="false" outlineLevel="0" collapsed="false">
      <c r="B109" s="7" t="s">
        <v>23817</v>
      </c>
      <c r="C109" s="7" t="s">
        <v>23706</v>
      </c>
      <c r="D109" s="7" t="s">
        <v>142</v>
      </c>
      <c r="E109" s="39" t="n">
        <v>45709</v>
      </c>
      <c r="F109" s="39" t="n">
        <v>45739</v>
      </c>
      <c r="G109" s="41" t="n">
        <v>49.91</v>
      </c>
      <c r="H109" s="39" t="n">
        <v>45754</v>
      </c>
      <c r="I109" s="7" t="s">
        <v>14651</v>
      </c>
      <c r="J109" s="7" t="s">
        <v>22796</v>
      </c>
    </row>
    <row r="110" customFormat="false" ht="15" hidden="false" customHeight="false" outlineLevel="0" collapsed="false">
      <c r="B110" s="7" t="s">
        <v>23818</v>
      </c>
      <c r="C110" s="7" t="s">
        <v>23706</v>
      </c>
      <c r="D110" s="7" t="s">
        <v>142</v>
      </c>
      <c r="E110" s="39" t="n">
        <v>45713</v>
      </c>
      <c r="F110" s="39" t="n">
        <v>45743</v>
      </c>
      <c r="G110" s="41" t="n">
        <v>135.36</v>
      </c>
      <c r="H110" s="39" t="n">
        <v>45728</v>
      </c>
      <c r="I110" s="7" t="s">
        <v>14651</v>
      </c>
      <c r="J110" s="7" t="s">
        <v>22796</v>
      </c>
    </row>
    <row r="111" customFormat="false" ht="15" hidden="false" customHeight="false" outlineLevel="0" collapsed="false">
      <c r="B111" s="7" t="s">
        <v>23819</v>
      </c>
      <c r="C111" s="7" t="s">
        <v>23707</v>
      </c>
      <c r="D111" s="7" t="s">
        <v>22882</v>
      </c>
      <c r="E111" s="39" t="n">
        <v>45694</v>
      </c>
      <c r="F111" s="39" t="n">
        <v>45694</v>
      </c>
      <c r="G111" s="41" t="n">
        <v>16.78</v>
      </c>
      <c r="H111" s="39" t="n">
        <v>45694</v>
      </c>
      <c r="I111" s="7" t="s">
        <v>14651</v>
      </c>
      <c r="J111" s="7" t="s">
        <v>22796</v>
      </c>
    </row>
    <row r="112" customFormat="false" ht="15" hidden="false" customHeight="false" outlineLevel="0" collapsed="false">
      <c r="B112" s="7" t="s">
        <v>23820</v>
      </c>
      <c r="C112" s="7" t="s">
        <v>23707</v>
      </c>
      <c r="D112" s="7" t="s">
        <v>22882</v>
      </c>
      <c r="E112" s="39" t="n">
        <v>45697</v>
      </c>
      <c r="F112" s="39" t="n">
        <v>45697</v>
      </c>
      <c r="G112" s="41" t="n">
        <v>31.73</v>
      </c>
      <c r="H112" s="39" t="n">
        <v>45697</v>
      </c>
      <c r="I112" s="7" t="s">
        <v>14651</v>
      </c>
      <c r="J112" s="7" t="s">
        <v>22796</v>
      </c>
    </row>
    <row r="113" customFormat="false" ht="15" hidden="false" customHeight="false" outlineLevel="0" collapsed="false">
      <c r="B113" s="7" t="s">
        <v>23821</v>
      </c>
      <c r="C113" s="7" t="s">
        <v>23708</v>
      </c>
      <c r="D113" s="7" t="s">
        <v>143</v>
      </c>
      <c r="E113" s="39" t="n">
        <v>45691</v>
      </c>
      <c r="F113" s="39" t="n">
        <v>45706</v>
      </c>
      <c r="G113" s="41" t="n">
        <v>63.54</v>
      </c>
      <c r="H113" s="39" t="n">
        <v>45708</v>
      </c>
      <c r="I113" s="7" t="s">
        <v>14651</v>
      </c>
      <c r="J113" s="7" t="s">
        <v>22796</v>
      </c>
    </row>
    <row r="114" customFormat="false" ht="15" hidden="false" customHeight="false" outlineLevel="0" collapsed="false">
      <c r="B114" s="7" t="s">
        <v>23822</v>
      </c>
      <c r="C114" s="7" t="s">
        <v>23708</v>
      </c>
      <c r="D114" s="7" t="s">
        <v>143</v>
      </c>
      <c r="E114" s="39" t="n">
        <v>45699</v>
      </c>
      <c r="F114" s="39" t="n">
        <v>45714</v>
      </c>
      <c r="G114" s="41" t="n">
        <v>35.66</v>
      </c>
      <c r="H114" s="39" t="n">
        <v>45713</v>
      </c>
      <c r="I114" s="7" t="s">
        <v>14651</v>
      </c>
      <c r="J114" s="7" t="s">
        <v>22796</v>
      </c>
    </row>
    <row r="115" customFormat="false" ht="15" hidden="false" customHeight="false" outlineLevel="0" collapsed="false">
      <c r="B115" s="7" t="s">
        <v>23823</v>
      </c>
      <c r="C115" s="7" t="s">
        <v>23708</v>
      </c>
      <c r="D115" s="7" t="s">
        <v>143</v>
      </c>
      <c r="E115" s="39" t="n">
        <v>45703</v>
      </c>
      <c r="F115" s="39" t="n">
        <v>45718</v>
      </c>
      <c r="G115" s="41" t="n">
        <v>91.69</v>
      </c>
      <c r="H115" s="39" t="n">
        <v>45717</v>
      </c>
      <c r="I115" s="7" t="s">
        <v>14651</v>
      </c>
      <c r="J115" s="7" t="s">
        <v>22796</v>
      </c>
    </row>
    <row r="116" customFormat="false" ht="15" hidden="false" customHeight="false" outlineLevel="0" collapsed="false">
      <c r="B116" s="7" t="s">
        <v>23824</v>
      </c>
      <c r="C116" s="7" t="s">
        <v>23676</v>
      </c>
      <c r="D116" s="7" t="s">
        <v>124</v>
      </c>
      <c r="E116" s="39" t="n">
        <v>45717</v>
      </c>
      <c r="F116" s="39" t="n">
        <v>45717</v>
      </c>
      <c r="G116" s="41" t="n">
        <v>2110.92</v>
      </c>
      <c r="H116" s="39" t="n">
        <v>45717</v>
      </c>
      <c r="I116" s="7" t="s">
        <v>14651</v>
      </c>
      <c r="J116" s="7" t="s">
        <v>22796</v>
      </c>
    </row>
    <row r="117" customFormat="false" ht="15" hidden="false" customHeight="false" outlineLevel="0" collapsed="false">
      <c r="B117" s="7" t="s">
        <v>23825</v>
      </c>
      <c r="C117" s="7" t="s">
        <v>23678</v>
      </c>
      <c r="D117" s="7" t="s">
        <v>22798</v>
      </c>
      <c r="E117" s="39" t="n">
        <v>45720</v>
      </c>
      <c r="F117" s="39" t="n">
        <v>45741</v>
      </c>
      <c r="G117" s="41" t="n">
        <v>96.16</v>
      </c>
      <c r="H117" s="39" t="n">
        <v>45738</v>
      </c>
      <c r="I117" s="7" t="s">
        <v>14651</v>
      </c>
      <c r="J117" s="7" t="s">
        <v>22796</v>
      </c>
    </row>
    <row r="118" customFormat="false" ht="15" hidden="false" customHeight="false" outlineLevel="0" collapsed="false">
      <c r="B118" s="7" t="s">
        <v>23826</v>
      </c>
      <c r="C118" s="7" t="s">
        <v>23678</v>
      </c>
      <c r="D118" s="7" t="s">
        <v>22798</v>
      </c>
      <c r="E118" s="39" t="n">
        <v>45727</v>
      </c>
      <c r="F118" s="39" t="n">
        <v>45748</v>
      </c>
      <c r="G118" s="41" t="n">
        <v>51.14</v>
      </c>
      <c r="H118" s="39" t="n">
        <v>45746</v>
      </c>
      <c r="I118" s="7" t="s">
        <v>14651</v>
      </c>
      <c r="J118" s="7" t="s">
        <v>22796</v>
      </c>
    </row>
    <row r="119" customFormat="false" ht="15" hidden="false" customHeight="false" outlineLevel="0" collapsed="false">
      <c r="B119" s="7" t="s">
        <v>23827</v>
      </c>
      <c r="C119" s="7" t="s">
        <v>23678</v>
      </c>
      <c r="D119" s="7" t="s">
        <v>22798</v>
      </c>
      <c r="E119" s="39" t="n">
        <v>45728</v>
      </c>
      <c r="F119" s="39" t="n">
        <v>45749</v>
      </c>
      <c r="G119" s="41" t="n">
        <v>73.75</v>
      </c>
      <c r="H119" s="39" t="n">
        <v>45748</v>
      </c>
      <c r="I119" s="7" t="s">
        <v>14651</v>
      </c>
      <c r="J119" s="7" t="s">
        <v>22796</v>
      </c>
    </row>
    <row r="120" customFormat="false" ht="15" hidden="false" customHeight="false" outlineLevel="0" collapsed="false">
      <c r="B120" s="7" t="s">
        <v>23828</v>
      </c>
      <c r="C120" s="7" t="s">
        <v>23680</v>
      </c>
      <c r="D120" s="7" t="s">
        <v>22802</v>
      </c>
      <c r="E120" s="39" t="n">
        <v>45723</v>
      </c>
      <c r="F120" s="39" t="n">
        <v>45744</v>
      </c>
      <c r="G120" s="41" t="n">
        <v>17.66</v>
      </c>
      <c r="H120" s="39" t="n">
        <v>45736</v>
      </c>
      <c r="I120" s="7" t="s">
        <v>14651</v>
      </c>
      <c r="J120" s="7" t="s">
        <v>22796</v>
      </c>
    </row>
    <row r="121" customFormat="false" ht="15" hidden="false" customHeight="false" outlineLevel="0" collapsed="false">
      <c r="B121" s="7" t="s">
        <v>23829</v>
      </c>
      <c r="C121" s="7" t="s">
        <v>23680</v>
      </c>
      <c r="D121" s="7" t="s">
        <v>22802</v>
      </c>
      <c r="E121" s="39" t="n">
        <v>45742</v>
      </c>
      <c r="F121" s="39" t="n">
        <v>45763</v>
      </c>
      <c r="G121" s="41" t="n">
        <v>16.1</v>
      </c>
      <c r="H121" s="39" t="n">
        <v>45761</v>
      </c>
      <c r="I121" s="7" t="s">
        <v>14651</v>
      </c>
      <c r="J121" s="7" t="s">
        <v>22796</v>
      </c>
    </row>
    <row r="122" customFormat="false" ht="15" hidden="false" customHeight="false" outlineLevel="0" collapsed="false">
      <c r="B122" s="7" t="s">
        <v>23830</v>
      </c>
      <c r="C122" s="7" t="s">
        <v>23680</v>
      </c>
      <c r="D122" s="7" t="s">
        <v>22802</v>
      </c>
      <c r="E122" s="39" t="n">
        <v>45743</v>
      </c>
      <c r="F122" s="39" t="n">
        <v>45764</v>
      </c>
      <c r="G122" s="41" t="n">
        <v>31.41</v>
      </c>
      <c r="H122" s="39" t="n">
        <v>45762</v>
      </c>
      <c r="I122" s="7" t="s">
        <v>14651</v>
      </c>
      <c r="J122" s="7" t="s">
        <v>22796</v>
      </c>
    </row>
    <row r="123" customFormat="false" ht="15" hidden="false" customHeight="false" outlineLevel="0" collapsed="false">
      <c r="B123" s="7" t="s">
        <v>23831</v>
      </c>
      <c r="C123" s="7" t="s">
        <v>23681</v>
      </c>
      <c r="D123" s="7" t="s">
        <v>22807</v>
      </c>
      <c r="E123" s="39" t="n">
        <v>45724</v>
      </c>
      <c r="F123" s="39" t="n">
        <v>45745</v>
      </c>
      <c r="G123" s="41" t="n">
        <v>33.77</v>
      </c>
      <c r="H123" s="39" t="n">
        <v>45747</v>
      </c>
      <c r="I123" s="7" t="s">
        <v>14651</v>
      </c>
      <c r="J123" s="7" t="s">
        <v>22796</v>
      </c>
    </row>
    <row r="124" customFormat="false" ht="15" hidden="false" customHeight="false" outlineLevel="0" collapsed="false">
      <c r="B124" s="7" t="s">
        <v>23832</v>
      </c>
      <c r="C124" s="7" t="s">
        <v>23681</v>
      </c>
      <c r="D124" s="7" t="s">
        <v>22807</v>
      </c>
      <c r="E124" s="39" t="n">
        <v>45726</v>
      </c>
      <c r="F124" s="39" t="n">
        <v>45747</v>
      </c>
      <c r="G124" s="41" t="n">
        <v>12.98</v>
      </c>
      <c r="H124" s="39" t="n">
        <v>45747</v>
      </c>
      <c r="I124" s="7" t="s">
        <v>14651</v>
      </c>
      <c r="J124" s="7" t="s">
        <v>22796</v>
      </c>
    </row>
    <row r="125" customFormat="false" ht="15" hidden="false" customHeight="false" outlineLevel="0" collapsed="false">
      <c r="B125" s="7" t="s">
        <v>23833</v>
      </c>
      <c r="C125" s="7" t="s">
        <v>23681</v>
      </c>
      <c r="D125" s="7" t="s">
        <v>22807</v>
      </c>
      <c r="E125" s="39" t="n">
        <v>45735</v>
      </c>
      <c r="F125" s="39" t="n">
        <v>45756</v>
      </c>
      <c r="G125" s="41" t="n">
        <v>12.09</v>
      </c>
      <c r="H125" s="39" t="n">
        <v>45756</v>
      </c>
      <c r="I125" s="7" t="s">
        <v>14651</v>
      </c>
      <c r="J125" s="7" t="s">
        <v>22796</v>
      </c>
    </row>
    <row r="126" customFormat="false" ht="15" hidden="false" customHeight="false" outlineLevel="0" collapsed="false">
      <c r="B126" s="7" t="s">
        <v>23834</v>
      </c>
      <c r="C126" s="7" t="s">
        <v>23681</v>
      </c>
      <c r="D126" s="7" t="s">
        <v>22807</v>
      </c>
      <c r="E126" s="39" t="n">
        <v>45743</v>
      </c>
      <c r="F126" s="39" t="n">
        <v>45764</v>
      </c>
      <c r="G126" s="41" t="n">
        <v>35.44</v>
      </c>
      <c r="H126" s="39" t="n">
        <v>45779</v>
      </c>
      <c r="I126" s="7" t="s">
        <v>14651</v>
      </c>
      <c r="J126" s="7" t="s">
        <v>22796</v>
      </c>
    </row>
    <row r="127" customFormat="false" ht="15" hidden="false" customHeight="false" outlineLevel="0" collapsed="false">
      <c r="B127" s="7" t="s">
        <v>23835</v>
      </c>
      <c r="C127" s="7" t="s">
        <v>23682</v>
      </c>
      <c r="D127" s="7" t="s">
        <v>22825</v>
      </c>
      <c r="E127" s="39" t="n">
        <v>45717</v>
      </c>
      <c r="F127" s="39" t="n">
        <v>45717</v>
      </c>
      <c r="G127" s="41" t="n">
        <v>696.39</v>
      </c>
      <c r="H127" s="39" t="n">
        <v>45717</v>
      </c>
      <c r="I127" s="7" t="s">
        <v>14651</v>
      </c>
      <c r="J127" s="7" t="s">
        <v>22796</v>
      </c>
    </row>
    <row r="128" customFormat="false" ht="15" hidden="false" customHeight="false" outlineLevel="0" collapsed="false">
      <c r="B128" s="7" t="s">
        <v>23836</v>
      </c>
      <c r="C128" s="7" t="s">
        <v>23684</v>
      </c>
      <c r="D128" s="7" t="s">
        <v>22827</v>
      </c>
      <c r="E128" s="39" t="n">
        <v>45717</v>
      </c>
      <c r="F128" s="39" t="n">
        <v>45717</v>
      </c>
      <c r="G128" s="41" t="n">
        <v>122.69</v>
      </c>
      <c r="H128" s="39" t="n">
        <v>45717</v>
      </c>
      <c r="I128" s="7" t="s">
        <v>14651</v>
      </c>
      <c r="J128" s="7" t="s">
        <v>22796</v>
      </c>
    </row>
    <row r="129" customFormat="false" ht="15" hidden="false" customHeight="false" outlineLevel="0" collapsed="false">
      <c r="B129" s="7" t="s">
        <v>23837</v>
      </c>
      <c r="C129" s="7" t="s">
        <v>23685</v>
      </c>
      <c r="D129" s="7" t="s">
        <v>22829</v>
      </c>
      <c r="E129" s="39" t="n">
        <v>45717</v>
      </c>
      <c r="F129" s="39" t="n">
        <v>45717</v>
      </c>
      <c r="G129" s="41" t="n">
        <v>88.42</v>
      </c>
      <c r="H129" s="39" t="n">
        <v>45717</v>
      </c>
      <c r="I129" s="7" t="s">
        <v>14651</v>
      </c>
      <c r="J129" s="7" t="s">
        <v>22796</v>
      </c>
    </row>
    <row r="130" customFormat="false" ht="15" hidden="false" customHeight="false" outlineLevel="0" collapsed="false">
      <c r="B130" s="7" t="s">
        <v>23838</v>
      </c>
      <c r="C130" s="7" t="s">
        <v>23686</v>
      </c>
      <c r="D130" s="7" t="s">
        <v>22831</v>
      </c>
      <c r="E130" s="39" t="n">
        <v>45717</v>
      </c>
      <c r="F130" s="39" t="n">
        <v>45717</v>
      </c>
      <c r="G130" s="41" t="n">
        <v>101.36</v>
      </c>
      <c r="H130" s="39" t="n">
        <v>45717</v>
      </c>
      <c r="I130" s="7" t="s">
        <v>14651</v>
      </c>
      <c r="J130" s="7" t="s">
        <v>22796</v>
      </c>
    </row>
    <row r="131" customFormat="false" ht="15" hidden="false" customHeight="false" outlineLevel="0" collapsed="false">
      <c r="B131" s="7" t="s">
        <v>23839</v>
      </c>
      <c r="C131" s="7" t="s">
        <v>23687</v>
      </c>
      <c r="D131" s="7" t="s">
        <v>132</v>
      </c>
      <c r="E131" s="39" t="n">
        <v>45722</v>
      </c>
      <c r="F131" s="39" t="n">
        <v>45722</v>
      </c>
      <c r="G131" s="41" t="n">
        <v>205.07</v>
      </c>
      <c r="H131" s="39" t="n">
        <v>45722</v>
      </c>
      <c r="I131" s="7" t="s">
        <v>14651</v>
      </c>
      <c r="J131" s="7" t="s">
        <v>22813</v>
      </c>
    </row>
    <row r="132" customFormat="false" ht="15" hidden="false" customHeight="false" outlineLevel="0" collapsed="false">
      <c r="B132" s="7" t="s">
        <v>23840</v>
      </c>
      <c r="C132" s="7" t="s">
        <v>23687</v>
      </c>
      <c r="D132" s="7" t="s">
        <v>132</v>
      </c>
      <c r="E132" s="39" t="n">
        <v>45736</v>
      </c>
      <c r="F132" s="39" t="n">
        <v>45736</v>
      </c>
      <c r="G132" s="41" t="n">
        <v>205.07</v>
      </c>
      <c r="H132" s="39" t="n">
        <v>45736</v>
      </c>
      <c r="I132" s="7" t="s">
        <v>14651</v>
      </c>
      <c r="J132" s="7" t="s">
        <v>22813</v>
      </c>
    </row>
    <row r="133" customFormat="false" ht="15" hidden="false" customHeight="false" outlineLevel="0" collapsed="false">
      <c r="B133" s="7" t="s">
        <v>23841</v>
      </c>
      <c r="C133" s="7" t="s">
        <v>23689</v>
      </c>
      <c r="D133" s="7" t="s">
        <v>22837</v>
      </c>
      <c r="E133" s="39" t="n">
        <v>45717</v>
      </c>
      <c r="F133" s="39" t="n">
        <v>45747</v>
      </c>
      <c r="G133" s="41" t="n">
        <v>383.79</v>
      </c>
      <c r="H133" s="39" t="n">
        <v>45749</v>
      </c>
      <c r="I133" s="7" t="s">
        <v>14651</v>
      </c>
      <c r="J133" s="7" t="s">
        <v>22796</v>
      </c>
    </row>
    <row r="134" customFormat="false" ht="15" hidden="false" customHeight="false" outlineLevel="0" collapsed="false">
      <c r="B134" s="7" t="s">
        <v>23842</v>
      </c>
      <c r="C134" s="7" t="s">
        <v>23691</v>
      </c>
      <c r="D134" s="7" t="s">
        <v>22839</v>
      </c>
      <c r="E134" s="39" t="n">
        <v>45717</v>
      </c>
      <c r="F134" s="39" t="n">
        <v>45747</v>
      </c>
      <c r="G134" s="41" t="n">
        <v>154.85</v>
      </c>
      <c r="H134" s="39" t="n">
        <v>45734</v>
      </c>
      <c r="I134" s="7" t="s">
        <v>14651</v>
      </c>
      <c r="J134" s="7" t="s">
        <v>22796</v>
      </c>
    </row>
    <row r="135" customFormat="false" ht="15" hidden="false" customHeight="false" outlineLevel="0" collapsed="false">
      <c r="B135" s="7" t="s">
        <v>23843</v>
      </c>
      <c r="C135" s="7" t="s">
        <v>23692</v>
      </c>
      <c r="D135" s="7" t="s">
        <v>22841</v>
      </c>
      <c r="E135" s="39" t="n">
        <v>45720</v>
      </c>
      <c r="F135" s="39" t="n">
        <v>45735</v>
      </c>
      <c r="G135" s="41" t="n">
        <v>113.65</v>
      </c>
      <c r="H135" s="39" t="n">
        <v>45735</v>
      </c>
      <c r="I135" s="7" t="s">
        <v>14651</v>
      </c>
      <c r="J135" s="7" t="s">
        <v>22796</v>
      </c>
    </row>
    <row r="136" customFormat="false" ht="15" hidden="false" customHeight="false" outlineLevel="0" collapsed="false">
      <c r="B136" s="7" t="s">
        <v>23844</v>
      </c>
      <c r="C136" s="7" t="s">
        <v>23692</v>
      </c>
      <c r="D136" s="7" t="s">
        <v>22841</v>
      </c>
      <c r="E136" s="39" t="n">
        <v>45743</v>
      </c>
      <c r="F136" s="39" t="n">
        <v>45758</v>
      </c>
      <c r="G136" s="41" t="n">
        <v>48.77</v>
      </c>
      <c r="H136" s="39" t="n">
        <v>45772</v>
      </c>
      <c r="I136" s="7" t="s">
        <v>14651</v>
      </c>
      <c r="J136" s="7" t="s">
        <v>22796</v>
      </c>
    </row>
    <row r="137" customFormat="false" ht="15" hidden="false" customHeight="false" outlineLevel="0" collapsed="false">
      <c r="B137" s="7" t="s">
        <v>23845</v>
      </c>
      <c r="C137" s="7" t="s">
        <v>23692</v>
      </c>
      <c r="D137" s="7" t="s">
        <v>22841</v>
      </c>
      <c r="E137" s="39" t="n">
        <v>45745</v>
      </c>
      <c r="F137" s="39" t="n">
        <v>45760</v>
      </c>
      <c r="G137" s="41" t="n">
        <v>88.76</v>
      </c>
      <c r="H137" s="39" t="n">
        <v>45765</v>
      </c>
      <c r="I137" s="7" t="s">
        <v>14651</v>
      </c>
      <c r="J137" s="7" t="s">
        <v>22796</v>
      </c>
    </row>
    <row r="138" customFormat="false" ht="15" hidden="false" customHeight="false" outlineLevel="0" collapsed="false">
      <c r="B138" s="7" t="s">
        <v>23846</v>
      </c>
      <c r="C138" s="7" t="s">
        <v>23694</v>
      </c>
      <c r="D138" s="7" t="s">
        <v>22845</v>
      </c>
      <c r="E138" s="39" t="n">
        <v>45725</v>
      </c>
      <c r="F138" s="39" t="n">
        <v>45725</v>
      </c>
      <c r="G138" s="41" t="n">
        <v>76.74</v>
      </c>
      <c r="H138" s="39" t="n">
        <v>45725</v>
      </c>
      <c r="I138" s="7" t="s">
        <v>14651</v>
      </c>
      <c r="J138" s="7" t="s">
        <v>22796</v>
      </c>
    </row>
    <row r="139" customFormat="false" ht="15" hidden="false" customHeight="false" outlineLevel="0" collapsed="false">
      <c r="B139" s="7" t="s">
        <v>23847</v>
      </c>
      <c r="C139" s="7" t="s">
        <v>23694</v>
      </c>
      <c r="D139" s="7" t="s">
        <v>22845</v>
      </c>
      <c r="E139" s="39" t="n">
        <v>45726</v>
      </c>
      <c r="F139" s="39" t="n">
        <v>45726</v>
      </c>
      <c r="G139" s="41" t="n">
        <v>96.08</v>
      </c>
      <c r="H139" s="39" t="n">
        <v>45726</v>
      </c>
      <c r="I139" s="7" t="s">
        <v>14651</v>
      </c>
      <c r="J139" s="7" t="s">
        <v>22796</v>
      </c>
    </row>
    <row r="140" customFormat="false" ht="15" hidden="false" customHeight="false" outlineLevel="0" collapsed="false">
      <c r="B140" s="7" t="s">
        <v>23848</v>
      </c>
      <c r="C140" s="7" t="s">
        <v>23694</v>
      </c>
      <c r="D140" s="7" t="s">
        <v>22845</v>
      </c>
      <c r="E140" s="39" t="n">
        <v>45733</v>
      </c>
      <c r="F140" s="39" t="n">
        <v>45733</v>
      </c>
      <c r="G140" s="41" t="n">
        <v>57.83</v>
      </c>
      <c r="H140" s="39" t="n">
        <v>45733</v>
      </c>
      <c r="I140" s="7" t="s">
        <v>14651</v>
      </c>
      <c r="J140" s="7" t="s">
        <v>22796</v>
      </c>
    </row>
    <row r="141" customFormat="false" ht="15" hidden="false" customHeight="false" outlineLevel="0" collapsed="false">
      <c r="B141" s="7" t="s">
        <v>23849</v>
      </c>
      <c r="C141" s="7" t="s">
        <v>23694</v>
      </c>
      <c r="D141" s="7" t="s">
        <v>22845</v>
      </c>
      <c r="E141" s="39" t="n">
        <v>45741</v>
      </c>
      <c r="F141" s="39" t="n">
        <v>45741</v>
      </c>
      <c r="G141" s="41" t="n">
        <v>104.9</v>
      </c>
      <c r="H141" s="39" t="n">
        <v>45741</v>
      </c>
      <c r="I141" s="7" t="s">
        <v>14651</v>
      </c>
      <c r="J141" s="7" t="s">
        <v>22796</v>
      </c>
    </row>
    <row r="142" customFormat="false" ht="15" hidden="false" customHeight="false" outlineLevel="0" collapsed="false">
      <c r="B142" s="7" t="s">
        <v>23850</v>
      </c>
      <c r="C142" s="7" t="s">
        <v>23695</v>
      </c>
      <c r="D142" s="7" t="s">
        <v>22848</v>
      </c>
      <c r="E142" s="39" t="n">
        <v>45731</v>
      </c>
      <c r="F142" s="39" t="n">
        <v>45761</v>
      </c>
      <c r="G142" s="41" t="n">
        <v>85.91</v>
      </c>
      <c r="H142" s="39" t="n">
        <v>45760</v>
      </c>
      <c r="I142" s="7" t="s">
        <v>14651</v>
      </c>
      <c r="J142" s="7" t="s">
        <v>22796</v>
      </c>
    </row>
    <row r="143" customFormat="false" ht="15" hidden="false" customHeight="false" outlineLevel="0" collapsed="false">
      <c r="B143" s="7" t="s">
        <v>23851</v>
      </c>
      <c r="C143" s="7" t="s">
        <v>23695</v>
      </c>
      <c r="D143" s="7" t="s">
        <v>22848</v>
      </c>
      <c r="E143" s="39" t="n">
        <v>45732</v>
      </c>
      <c r="F143" s="39" t="n">
        <v>45762</v>
      </c>
      <c r="G143" s="41" t="n">
        <v>73.34</v>
      </c>
      <c r="H143" s="39" t="n">
        <v>45760</v>
      </c>
      <c r="I143" s="7" t="s">
        <v>14651</v>
      </c>
      <c r="J143" s="7" t="s">
        <v>22796</v>
      </c>
    </row>
    <row r="144" customFormat="false" ht="15" hidden="false" customHeight="false" outlineLevel="0" collapsed="false">
      <c r="B144" s="7" t="s">
        <v>23852</v>
      </c>
      <c r="C144" s="7" t="s">
        <v>23695</v>
      </c>
      <c r="D144" s="7" t="s">
        <v>22848</v>
      </c>
      <c r="E144" s="39" t="n">
        <v>45734</v>
      </c>
      <c r="F144" s="39" t="n">
        <v>45764</v>
      </c>
      <c r="G144" s="41" t="n">
        <v>15.72</v>
      </c>
      <c r="H144" s="39" t="n">
        <v>45763</v>
      </c>
      <c r="I144" s="7" t="s">
        <v>14651</v>
      </c>
      <c r="J144" s="7" t="s">
        <v>22796</v>
      </c>
    </row>
    <row r="145" customFormat="false" ht="15" hidden="false" customHeight="false" outlineLevel="0" collapsed="false">
      <c r="B145" s="7" t="s">
        <v>23853</v>
      </c>
      <c r="C145" s="7" t="s">
        <v>23695</v>
      </c>
      <c r="D145" s="7" t="s">
        <v>22848</v>
      </c>
      <c r="E145" s="39" t="n">
        <v>45737</v>
      </c>
      <c r="F145" s="39" t="n">
        <v>45767</v>
      </c>
      <c r="G145" s="41" t="n">
        <v>61.82</v>
      </c>
      <c r="H145" s="39" t="n">
        <v>45739</v>
      </c>
      <c r="I145" s="7" t="s">
        <v>14651</v>
      </c>
      <c r="J145" s="7" t="s">
        <v>22796</v>
      </c>
    </row>
    <row r="146" customFormat="false" ht="15" hidden="false" customHeight="false" outlineLevel="0" collapsed="false">
      <c r="B146" s="7" t="s">
        <v>23854</v>
      </c>
      <c r="C146" s="7" t="s">
        <v>23696</v>
      </c>
      <c r="D146" s="7" t="s">
        <v>136</v>
      </c>
      <c r="E146" s="39" t="n">
        <v>45719</v>
      </c>
      <c r="F146" s="39" t="n">
        <v>45734</v>
      </c>
      <c r="G146" s="41" t="n">
        <v>62.44</v>
      </c>
      <c r="H146" s="39" t="n">
        <v>45735</v>
      </c>
      <c r="I146" s="7" t="s">
        <v>14651</v>
      </c>
      <c r="J146" s="7" t="s">
        <v>22796</v>
      </c>
    </row>
    <row r="147" customFormat="false" ht="15" hidden="false" customHeight="false" outlineLevel="0" collapsed="false">
      <c r="B147" s="7" t="s">
        <v>23855</v>
      </c>
      <c r="C147" s="7" t="s">
        <v>23696</v>
      </c>
      <c r="D147" s="7" t="s">
        <v>136</v>
      </c>
      <c r="E147" s="39" t="n">
        <v>45720</v>
      </c>
      <c r="F147" s="39" t="n">
        <v>45735</v>
      </c>
      <c r="G147" s="41" t="n">
        <v>24.5</v>
      </c>
      <c r="H147" s="39" t="n">
        <v>45728</v>
      </c>
      <c r="I147" s="7" t="s">
        <v>14651</v>
      </c>
      <c r="J147" s="7" t="s">
        <v>22796</v>
      </c>
    </row>
    <row r="148" customFormat="false" ht="15" hidden="false" customHeight="false" outlineLevel="0" collapsed="false">
      <c r="B148" s="7" t="s">
        <v>23856</v>
      </c>
      <c r="C148" s="7" t="s">
        <v>23696</v>
      </c>
      <c r="D148" s="7" t="s">
        <v>136</v>
      </c>
      <c r="E148" s="39" t="n">
        <v>45726</v>
      </c>
      <c r="F148" s="39" t="n">
        <v>45741</v>
      </c>
      <c r="G148" s="41" t="n">
        <v>28.32</v>
      </c>
      <c r="H148" s="39" t="n">
        <v>45751</v>
      </c>
      <c r="I148" s="7" t="s">
        <v>14651</v>
      </c>
      <c r="J148" s="7" t="s">
        <v>22796</v>
      </c>
    </row>
    <row r="149" customFormat="false" ht="15" hidden="false" customHeight="false" outlineLevel="0" collapsed="false">
      <c r="B149" s="7" t="s">
        <v>23857</v>
      </c>
      <c r="C149" s="7" t="s">
        <v>23696</v>
      </c>
      <c r="D149" s="7" t="s">
        <v>136</v>
      </c>
      <c r="E149" s="39" t="n">
        <v>45743</v>
      </c>
      <c r="F149" s="39" t="n">
        <v>45758</v>
      </c>
      <c r="G149" s="41" t="n">
        <v>40.81</v>
      </c>
      <c r="H149" s="39" t="n">
        <v>45758</v>
      </c>
      <c r="I149" s="7" t="s">
        <v>14651</v>
      </c>
      <c r="J149" s="7" t="s">
        <v>22796</v>
      </c>
    </row>
    <row r="150" customFormat="false" ht="15" hidden="false" customHeight="false" outlineLevel="0" collapsed="false">
      <c r="B150" s="7" t="s">
        <v>23858</v>
      </c>
      <c r="C150" s="7" t="s">
        <v>23697</v>
      </c>
      <c r="D150" s="7" t="s">
        <v>22855</v>
      </c>
      <c r="E150" s="39" t="n">
        <v>45717</v>
      </c>
      <c r="F150" s="39" t="n">
        <v>45738</v>
      </c>
      <c r="G150" s="41" t="n">
        <v>170.83</v>
      </c>
      <c r="H150" s="39" t="n">
        <v>45747</v>
      </c>
      <c r="I150" s="7" t="s">
        <v>14651</v>
      </c>
      <c r="J150" s="7" t="s">
        <v>22796</v>
      </c>
    </row>
    <row r="151" customFormat="false" ht="15" hidden="false" customHeight="false" outlineLevel="0" collapsed="false">
      <c r="B151" s="7" t="s">
        <v>23859</v>
      </c>
      <c r="C151" s="7" t="s">
        <v>23698</v>
      </c>
      <c r="D151" s="7" t="s">
        <v>22857</v>
      </c>
      <c r="E151" s="39" t="n">
        <v>45717</v>
      </c>
      <c r="F151" s="39" t="n">
        <v>45738</v>
      </c>
      <c r="G151" s="41" t="n">
        <v>487.75</v>
      </c>
      <c r="H151" s="39" t="n">
        <v>45739</v>
      </c>
      <c r="I151" s="7" t="s">
        <v>14651</v>
      </c>
      <c r="J151" s="7" t="s">
        <v>22796</v>
      </c>
    </row>
    <row r="152" customFormat="false" ht="15" hidden="false" customHeight="false" outlineLevel="0" collapsed="false">
      <c r="B152" s="7" t="s">
        <v>23860</v>
      </c>
      <c r="C152" s="7" t="s">
        <v>23699</v>
      </c>
      <c r="D152" s="7" t="s">
        <v>22859</v>
      </c>
      <c r="E152" s="39" t="n">
        <v>45717</v>
      </c>
      <c r="F152" s="39" t="n">
        <v>45747</v>
      </c>
      <c r="G152" s="41" t="n">
        <v>126.68</v>
      </c>
      <c r="H152" s="39" t="n">
        <v>45739</v>
      </c>
      <c r="I152" s="7" t="s">
        <v>14651</v>
      </c>
      <c r="J152" s="7" t="s">
        <v>22796</v>
      </c>
    </row>
    <row r="153" customFormat="false" ht="15" hidden="false" customHeight="false" outlineLevel="0" collapsed="false">
      <c r="B153" s="7" t="s">
        <v>23861</v>
      </c>
      <c r="C153" s="7" t="s">
        <v>23699</v>
      </c>
      <c r="D153" s="7" t="s">
        <v>22859</v>
      </c>
      <c r="E153" s="39" t="n">
        <v>45719</v>
      </c>
      <c r="F153" s="39" t="n">
        <v>45749</v>
      </c>
      <c r="G153" s="41" t="n">
        <v>155.6</v>
      </c>
      <c r="H153" s="39" t="n">
        <v>45741</v>
      </c>
      <c r="I153" s="7" t="s">
        <v>14651</v>
      </c>
      <c r="J153" s="7" t="s">
        <v>22796</v>
      </c>
    </row>
    <row r="154" customFormat="false" ht="15" hidden="false" customHeight="false" outlineLevel="0" collapsed="false">
      <c r="B154" s="7" t="s">
        <v>23862</v>
      </c>
      <c r="C154" s="7" t="s">
        <v>23699</v>
      </c>
      <c r="D154" s="7" t="s">
        <v>22859</v>
      </c>
      <c r="E154" s="39" t="n">
        <v>45728</v>
      </c>
      <c r="F154" s="39" t="n">
        <v>45758</v>
      </c>
      <c r="G154" s="41" t="n">
        <v>170.93</v>
      </c>
      <c r="H154" s="39" t="n">
        <v>45758</v>
      </c>
      <c r="I154" s="7" t="s">
        <v>14651</v>
      </c>
      <c r="J154" s="7" t="s">
        <v>22796</v>
      </c>
    </row>
    <row r="155" customFormat="false" ht="15" hidden="false" customHeight="false" outlineLevel="0" collapsed="false">
      <c r="B155" s="7" t="s">
        <v>23863</v>
      </c>
      <c r="C155" s="7" t="s">
        <v>23700</v>
      </c>
      <c r="D155" s="7" t="s">
        <v>22862</v>
      </c>
      <c r="E155" s="39" t="n">
        <v>45717</v>
      </c>
      <c r="F155" s="39" t="n">
        <v>45717</v>
      </c>
      <c r="G155" s="41" t="n">
        <v>43.85</v>
      </c>
      <c r="H155" s="39" t="n">
        <v>45717</v>
      </c>
      <c r="I155" s="7" t="s">
        <v>14651</v>
      </c>
      <c r="J155" s="7" t="s">
        <v>22796</v>
      </c>
    </row>
    <row r="156" customFormat="false" ht="15" hidden="false" customHeight="false" outlineLevel="0" collapsed="false">
      <c r="B156" s="7" t="s">
        <v>23864</v>
      </c>
      <c r="C156" s="7" t="s">
        <v>23700</v>
      </c>
      <c r="D156" s="7" t="s">
        <v>22862</v>
      </c>
      <c r="E156" s="39" t="n">
        <v>45722</v>
      </c>
      <c r="F156" s="39" t="n">
        <v>45722</v>
      </c>
      <c r="G156" s="41" t="n">
        <v>29.46</v>
      </c>
      <c r="H156" s="39" t="n">
        <v>45722</v>
      </c>
      <c r="I156" s="7" t="s">
        <v>14651</v>
      </c>
      <c r="J156" s="7" t="s">
        <v>22796</v>
      </c>
    </row>
    <row r="157" customFormat="false" ht="15" hidden="false" customHeight="false" outlineLevel="0" collapsed="false">
      <c r="B157" s="7" t="s">
        <v>23865</v>
      </c>
      <c r="C157" s="7" t="s">
        <v>23700</v>
      </c>
      <c r="D157" s="7" t="s">
        <v>22862</v>
      </c>
      <c r="E157" s="39" t="n">
        <v>45737</v>
      </c>
      <c r="F157" s="39" t="n">
        <v>45737</v>
      </c>
      <c r="G157" s="41" t="n">
        <v>69.55</v>
      </c>
      <c r="H157" s="39" t="n">
        <v>45737</v>
      </c>
      <c r="I157" s="7" t="s">
        <v>14651</v>
      </c>
      <c r="J157" s="7" t="s">
        <v>22796</v>
      </c>
    </row>
    <row r="158" customFormat="false" ht="15" hidden="false" customHeight="false" outlineLevel="0" collapsed="false">
      <c r="B158" s="7" t="s">
        <v>23866</v>
      </c>
      <c r="C158" s="7" t="s">
        <v>23702</v>
      </c>
      <c r="D158" s="7" t="s">
        <v>22866</v>
      </c>
      <c r="E158" s="39" t="n">
        <v>45717</v>
      </c>
      <c r="F158" s="39" t="n">
        <v>45732</v>
      </c>
      <c r="G158" s="41" t="n">
        <v>133.53</v>
      </c>
      <c r="H158" s="39" t="n">
        <v>45733</v>
      </c>
      <c r="I158" s="7" t="s">
        <v>14651</v>
      </c>
      <c r="J158" s="7" t="s">
        <v>22796</v>
      </c>
    </row>
    <row r="159" customFormat="false" ht="15" hidden="false" customHeight="false" outlineLevel="0" collapsed="false">
      <c r="B159" s="7" t="s">
        <v>23867</v>
      </c>
      <c r="C159" s="7" t="s">
        <v>23702</v>
      </c>
      <c r="D159" s="7" t="s">
        <v>22866</v>
      </c>
      <c r="E159" s="39" t="n">
        <v>45718</v>
      </c>
      <c r="F159" s="39" t="n">
        <v>45733</v>
      </c>
      <c r="G159" s="41" t="n">
        <v>215.38</v>
      </c>
      <c r="H159" s="39" t="n">
        <v>45733</v>
      </c>
      <c r="I159" s="7" t="s">
        <v>14651</v>
      </c>
      <c r="J159" s="7" t="s">
        <v>22796</v>
      </c>
    </row>
    <row r="160" customFormat="false" ht="15" hidden="false" customHeight="false" outlineLevel="0" collapsed="false">
      <c r="B160" s="7" t="s">
        <v>23868</v>
      </c>
      <c r="C160" s="7" t="s">
        <v>23702</v>
      </c>
      <c r="D160" s="7" t="s">
        <v>22866</v>
      </c>
      <c r="E160" s="39" t="n">
        <v>45737</v>
      </c>
      <c r="F160" s="39" t="n">
        <v>45752</v>
      </c>
      <c r="G160" s="41" t="n">
        <v>117.02</v>
      </c>
      <c r="H160" s="39" t="n">
        <v>45742</v>
      </c>
      <c r="I160" s="7" t="s">
        <v>14651</v>
      </c>
      <c r="J160" s="7" t="s">
        <v>22796</v>
      </c>
    </row>
    <row r="161" customFormat="false" ht="15" hidden="false" customHeight="false" outlineLevel="0" collapsed="false">
      <c r="B161" s="7" t="s">
        <v>23869</v>
      </c>
      <c r="C161" s="7" t="s">
        <v>23702</v>
      </c>
      <c r="D161" s="7" t="s">
        <v>22866</v>
      </c>
      <c r="E161" s="39" t="n">
        <v>45739</v>
      </c>
      <c r="F161" s="39" t="n">
        <v>45754</v>
      </c>
      <c r="G161" s="41" t="n">
        <v>127.53</v>
      </c>
      <c r="H161" s="39" t="n">
        <v>45755</v>
      </c>
      <c r="I161" s="7" t="s">
        <v>14651</v>
      </c>
      <c r="J161" s="7" t="s">
        <v>22796</v>
      </c>
    </row>
    <row r="162" customFormat="false" ht="15" hidden="false" customHeight="false" outlineLevel="0" collapsed="false">
      <c r="B162" s="7" t="s">
        <v>23870</v>
      </c>
      <c r="C162" s="7" t="s">
        <v>23703</v>
      </c>
      <c r="D162" s="7" t="s">
        <v>22870</v>
      </c>
      <c r="E162" s="39" t="n">
        <v>45718</v>
      </c>
      <c r="F162" s="39" t="n">
        <v>45748</v>
      </c>
      <c r="G162" s="41" t="n">
        <v>73.88</v>
      </c>
      <c r="H162" s="39" t="n">
        <v>45746</v>
      </c>
      <c r="I162" s="7" t="s">
        <v>14651</v>
      </c>
      <c r="J162" s="7" t="s">
        <v>22796</v>
      </c>
    </row>
    <row r="163" customFormat="false" ht="15" hidden="false" customHeight="false" outlineLevel="0" collapsed="false">
      <c r="B163" s="7" t="s">
        <v>23871</v>
      </c>
      <c r="C163" s="7" t="s">
        <v>23703</v>
      </c>
      <c r="D163" s="7" t="s">
        <v>22870</v>
      </c>
      <c r="E163" s="39" t="n">
        <v>45729</v>
      </c>
      <c r="F163" s="39" t="n">
        <v>45759</v>
      </c>
      <c r="G163" s="41" t="n">
        <v>64.14</v>
      </c>
      <c r="H163" s="39" t="n">
        <v>45768</v>
      </c>
      <c r="I163" s="7" t="s">
        <v>14651</v>
      </c>
      <c r="J163" s="7" t="s">
        <v>22796</v>
      </c>
    </row>
    <row r="164" customFormat="false" ht="15" hidden="false" customHeight="false" outlineLevel="0" collapsed="false">
      <c r="B164" s="7" t="s">
        <v>23872</v>
      </c>
      <c r="C164" s="7" t="s">
        <v>23703</v>
      </c>
      <c r="D164" s="7" t="s">
        <v>22870</v>
      </c>
      <c r="E164" s="39" t="n">
        <v>45741</v>
      </c>
      <c r="F164" s="39" t="n">
        <v>45771</v>
      </c>
      <c r="G164" s="41" t="n">
        <v>210.81</v>
      </c>
      <c r="H164" s="39" t="n">
        <v>45760</v>
      </c>
      <c r="I164" s="7" t="s">
        <v>14651</v>
      </c>
      <c r="J164" s="7" t="s">
        <v>22796</v>
      </c>
    </row>
    <row r="165" customFormat="false" ht="15" hidden="false" customHeight="false" outlineLevel="0" collapsed="false">
      <c r="B165" s="7" t="s">
        <v>23873</v>
      </c>
      <c r="C165" s="7" t="s">
        <v>23704</v>
      </c>
      <c r="D165" s="7" t="s">
        <v>22874</v>
      </c>
      <c r="E165" s="39" t="n">
        <v>45717</v>
      </c>
      <c r="F165" s="39" t="n">
        <v>45747</v>
      </c>
      <c r="G165" s="41" t="n">
        <v>402.86</v>
      </c>
      <c r="H165" s="39" t="n">
        <v>45759</v>
      </c>
      <c r="I165" s="7" t="s">
        <v>14651</v>
      </c>
      <c r="J165" s="7" t="s">
        <v>22796</v>
      </c>
    </row>
    <row r="166" customFormat="false" ht="15" hidden="false" customHeight="false" outlineLevel="0" collapsed="false">
      <c r="B166" s="7" t="s">
        <v>23874</v>
      </c>
      <c r="C166" s="7" t="s">
        <v>23705</v>
      </c>
      <c r="D166" s="7" t="s">
        <v>22876</v>
      </c>
      <c r="E166" s="39" t="n">
        <v>45725</v>
      </c>
      <c r="F166" s="39" t="n">
        <v>45755</v>
      </c>
      <c r="G166" s="41" t="n">
        <v>92.38</v>
      </c>
      <c r="H166" s="39" t="n">
        <v>45762</v>
      </c>
      <c r="I166" s="7" t="s">
        <v>14651</v>
      </c>
      <c r="J166" s="7" t="s">
        <v>22796</v>
      </c>
    </row>
    <row r="167" customFormat="false" ht="15" hidden="false" customHeight="false" outlineLevel="0" collapsed="false">
      <c r="B167" s="7" t="s">
        <v>23875</v>
      </c>
      <c r="C167" s="7" t="s">
        <v>23705</v>
      </c>
      <c r="D167" s="7" t="s">
        <v>22876</v>
      </c>
      <c r="E167" s="39" t="n">
        <v>45729</v>
      </c>
      <c r="F167" s="39" t="n">
        <v>45759</v>
      </c>
      <c r="G167" s="41" t="n">
        <v>67.29</v>
      </c>
      <c r="H167" s="39" t="n">
        <v>45759</v>
      </c>
      <c r="I167" s="7" t="s">
        <v>14651</v>
      </c>
      <c r="J167" s="7" t="s">
        <v>22796</v>
      </c>
    </row>
    <row r="168" customFormat="false" ht="15" hidden="false" customHeight="false" outlineLevel="0" collapsed="false">
      <c r="B168" s="7" t="s">
        <v>23876</v>
      </c>
      <c r="C168" s="7" t="s">
        <v>23705</v>
      </c>
      <c r="D168" s="7" t="s">
        <v>22876</v>
      </c>
      <c r="E168" s="39" t="n">
        <v>45736</v>
      </c>
      <c r="F168" s="39" t="n">
        <v>45766</v>
      </c>
      <c r="G168" s="41" t="n">
        <v>201.37</v>
      </c>
      <c r="H168" s="39" t="n">
        <v>45767</v>
      </c>
      <c r="I168" s="7" t="s">
        <v>14651</v>
      </c>
      <c r="J168" s="7" t="s">
        <v>22796</v>
      </c>
    </row>
    <row r="169" customFormat="false" ht="15" hidden="false" customHeight="false" outlineLevel="0" collapsed="false">
      <c r="B169" s="7" t="s">
        <v>23877</v>
      </c>
      <c r="C169" s="7" t="s">
        <v>23706</v>
      </c>
      <c r="D169" s="7" t="s">
        <v>142</v>
      </c>
      <c r="E169" s="39" t="n">
        <v>45730</v>
      </c>
      <c r="F169" s="39" t="n">
        <v>45760</v>
      </c>
      <c r="G169" s="41" t="n">
        <v>72.67</v>
      </c>
      <c r="H169" s="39" t="n">
        <v>45760</v>
      </c>
      <c r="I169" s="7" t="s">
        <v>14651</v>
      </c>
      <c r="J169" s="7" t="s">
        <v>22796</v>
      </c>
    </row>
    <row r="170" customFormat="false" ht="15" hidden="false" customHeight="false" outlineLevel="0" collapsed="false">
      <c r="B170" s="7" t="s">
        <v>23878</v>
      </c>
      <c r="C170" s="7" t="s">
        <v>23706</v>
      </c>
      <c r="D170" s="7" t="s">
        <v>142</v>
      </c>
      <c r="E170" s="39" t="n">
        <v>45735</v>
      </c>
      <c r="F170" s="39" t="n">
        <v>45765</v>
      </c>
      <c r="G170" s="41" t="n">
        <v>52.07</v>
      </c>
      <c r="H170" s="39" t="n">
        <v>45766</v>
      </c>
      <c r="I170" s="7" t="s">
        <v>14651</v>
      </c>
      <c r="J170" s="7" t="s">
        <v>22796</v>
      </c>
    </row>
    <row r="171" customFormat="false" ht="15" hidden="false" customHeight="false" outlineLevel="0" collapsed="false">
      <c r="B171" s="7" t="s">
        <v>23879</v>
      </c>
      <c r="C171" s="7" t="s">
        <v>23706</v>
      </c>
      <c r="D171" s="7" t="s">
        <v>142</v>
      </c>
      <c r="E171" s="39" t="n">
        <v>45742</v>
      </c>
      <c r="F171" s="39" t="n">
        <v>45772</v>
      </c>
      <c r="G171" s="41" t="n">
        <v>24.9</v>
      </c>
      <c r="H171" s="39" t="n">
        <v>45771</v>
      </c>
      <c r="I171" s="7" t="s">
        <v>14651</v>
      </c>
      <c r="J171" s="7" t="s">
        <v>22796</v>
      </c>
    </row>
    <row r="172" customFormat="false" ht="15" hidden="false" customHeight="false" outlineLevel="0" collapsed="false">
      <c r="B172" s="7" t="s">
        <v>23880</v>
      </c>
      <c r="C172" s="7" t="s">
        <v>23706</v>
      </c>
      <c r="D172" s="7" t="s">
        <v>142</v>
      </c>
      <c r="E172" s="39" t="n">
        <v>45747</v>
      </c>
      <c r="F172" s="39" t="n">
        <v>45777</v>
      </c>
      <c r="G172" s="41" t="n">
        <v>37.49</v>
      </c>
      <c r="H172" s="39" t="n">
        <v>45786</v>
      </c>
      <c r="I172" s="7" t="s">
        <v>14651</v>
      </c>
      <c r="J172" s="7" t="s">
        <v>22796</v>
      </c>
    </row>
    <row r="173" customFormat="false" ht="15" hidden="false" customHeight="false" outlineLevel="0" collapsed="false">
      <c r="B173" s="7" t="s">
        <v>23881</v>
      </c>
      <c r="C173" s="7" t="s">
        <v>23707</v>
      </c>
      <c r="D173" s="7" t="s">
        <v>22882</v>
      </c>
      <c r="E173" s="39" t="n">
        <v>45730</v>
      </c>
      <c r="F173" s="39" t="n">
        <v>45730</v>
      </c>
      <c r="G173" s="41" t="n">
        <v>20.33</v>
      </c>
      <c r="H173" s="39" t="n">
        <v>45730</v>
      </c>
      <c r="I173" s="7" t="s">
        <v>14651</v>
      </c>
      <c r="J173" s="7" t="s">
        <v>22796</v>
      </c>
    </row>
    <row r="174" customFormat="false" ht="15" hidden="false" customHeight="false" outlineLevel="0" collapsed="false">
      <c r="B174" s="7" t="s">
        <v>23882</v>
      </c>
      <c r="C174" s="7" t="s">
        <v>23707</v>
      </c>
      <c r="D174" s="7" t="s">
        <v>22882</v>
      </c>
      <c r="E174" s="39" t="n">
        <v>45731</v>
      </c>
      <c r="F174" s="39" t="n">
        <v>45731</v>
      </c>
      <c r="G174" s="41" t="n">
        <v>8.59</v>
      </c>
      <c r="H174" s="39" t="n">
        <v>45731</v>
      </c>
      <c r="I174" s="7" t="s">
        <v>14651</v>
      </c>
      <c r="J174" s="7" t="s">
        <v>22796</v>
      </c>
    </row>
    <row r="175" customFormat="false" ht="15" hidden="false" customHeight="false" outlineLevel="0" collapsed="false">
      <c r="B175" s="7" t="s">
        <v>23883</v>
      </c>
      <c r="C175" s="7" t="s">
        <v>23707</v>
      </c>
      <c r="D175" s="7" t="s">
        <v>22882</v>
      </c>
      <c r="E175" s="39" t="n">
        <v>45737</v>
      </c>
      <c r="F175" s="39" t="n">
        <v>45737</v>
      </c>
      <c r="G175" s="41" t="n">
        <v>16.27</v>
      </c>
      <c r="H175" s="39" t="n">
        <v>45737</v>
      </c>
      <c r="I175" s="7" t="s">
        <v>14651</v>
      </c>
      <c r="J175" s="7" t="s">
        <v>22796</v>
      </c>
    </row>
    <row r="176" customFormat="false" ht="15" hidden="false" customHeight="false" outlineLevel="0" collapsed="false">
      <c r="B176" s="7" t="s">
        <v>23884</v>
      </c>
      <c r="C176" s="7" t="s">
        <v>23708</v>
      </c>
      <c r="D176" s="7" t="s">
        <v>143</v>
      </c>
      <c r="E176" s="39" t="n">
        <v>45718</v>
      </c>
      <c r="F176" s="39" t="n">
        <v>45733</v>
      </c>
      <c r="G176" s="41" t="n">
        <v>66.89</v>
      </c>
      <c r="H176" s="39" t="n">
        <v>45732</v>
      </c>
      <c r="I176" s="7" t="s">
        <v>14651</v>
      </c>
      <c r="J176" s="7" t="s">
        <v>22796</v>
      </c>
    </row>
    <row r="177" customFormat="false" ht="15" hidden="false" customHeight="false" outlineLevel="0" collapsed="false">
      <c r="B177" s="7" t="s">
        <v>23885</v>
      </c>
      <c r="C177" s="7" t="s">
        <v>23708</v>
      </c>
      <c r="D177" s="7" t="s">
        <v>143</v>
      </c>
      <c r="E177" s="39" t="n">
        <v>45731</v>
      </c>
      <c r="F177" s="39" t="n">
        <v>45746</v>
      </c>
      <c r="G177" s="41" t="n">
        <v>48.28</v>
      </c>
      <c r="H177" s="39" t="n">
        <v>45738</v>
      </c>
      <c r="I177" s="7" t="s">
        <v>14651</v>
      </c>
      <c r="J177" s="7" t="s">
        <v>22796</v>
      </c>
    </row>
    <row r="178" customFormat="false" ht="15" hidden="false" customHeight="false" outlineLevel="0" collapsed="false">
      <c r="B178" s="7" t="s">
        <v>23886</v>
      </c>
      <c r="C178" s="7" t="s">
        <v>23708</v>
      </c>
      <c r="D178" s="7" t="s">
        <v>143</v>
      </c>
      <c r="E178" s="39" t="n">
        <v>45745</v>
      </c>
      <c r="F178" s="39" t="n">
        <v>45760</v>
      </c>
      <c r="G178" s="41" t="n">
        <v>63.88</v>
      </c>
      <c r="H178" s="39" t="n">
        <v>45747</v>
      </c>
      <c r="I178" s="7" t="s">
        <v>14651</v>
      </c>
      <c r="J178" s="7" t="s">
        <v>22796</v>
      </c>
    </row>
    <row r="179" customFormat="false" ht="15" hidden="false" customHeight="false" outlineLevel="0" collapsed="false">
      <c r="B179" s="7" t="s">
        <v>23887</v>
      </c>
      <c r="C179" s="7" t="s">
        <v>23676</v>
      </c>
      <c r="D179" s="7" t="s">
        <v>124</v>
      </c>
      <c r="E179" s="39" t="n">
        <v>45748</v>
      </c>
      <c r="F179" s="39" t="n">
        <v>45748</v>
      </c>
      <c r="G179" s="41" t="n">
        <v>2102.6</v>
      </c>
      <c r="H179" s="39" t="n">
        <v>45748</v>
      </c>
      <c r="I179" s="7" t="s">
        <v>14651</v>
      </c>
      <c r="J179" s="7" t="s">
        <v>22796</v>
      </c>
    </row>
    <row r="180" customFormat="false" ht="15" hidden="false" customHeight="false" outlineLevel="0" collapsed="false">
      <c r="B180" s="7" t="s">
        <v>23888</v>
      </c>
      <c r="C180" s="7" t="s">
        <v>23678</v>
      </c>
      <c r="D180" s="7" t="s">
        <v>22798</v>
      </c>
      <c r="E180" s="39" t="n">
        <v>45748</v>
      </c>
      <c r="F180" s="39" t="n">
        <v>45769</v>
      </c>
      <c r="G180" s="41" t="n">
        <v>57.96</v>
      </c>
      <c r="H180" s="39" t="n">
        <v>45779</v>
      </c>
      <c r="I180" s="7" t="s">
        <v>14651</v>
      </c>
      <c r="J180" s="7" t="s">
        <v>22796</v>
      </c>
    </row>
    <row r="181" customFormat="false" ht="15" hidden="false" customHeight="false" outlineLevel="0" collapsed="false">
      <c r="B181" s="7" t="s">
        <v>23889</v>
      </c>
      <c r="C181" s="7" t="s">
        <v>23678</v>
      </c>
      <c r="D181" s="7" t="s">
        <v>22798</v>
      </c>
      <c r="E181" s="39" t="n">
        <v>45751</v>
      </c>
      <c r="F181" s="39" t="n">
        <v>45772</v>
      </c>
      <c r="G181" s="41" t="n">
        <v>62.13</v>
      </c>
      <c r="H181" s="39" t="n">
        <v>45770</v>
      </c>
      <c r="I181" s="7" t="s">
        <v>14651</v>
      </c>
      <c r="J181" s="7" t="s">
        <v>22796</v>
      </c>
    </row>
    <row r="182" customFormat="false" ht="15" hidden="false" customHeight="false" outlineLevel="0" collapsed="false">
      <c r="B182" s="7" t="s">
        <v>23890</v>
      </c>
      <c r="C182" s="7" t="s">
        <v>23678</v>
      </c>
      <c r="D182" s="7" t="s">
        <v>22798</v>
      </c>
      <c r="E182" s="39" t="n">
        <v>45768</v>
      </c>
      <c r="F182" s="39" t="n">
        <v>45789</v>
      </c>
      <c r="G182" s="41" t="n">
        <v>31.7</v>
      </c>
      <c r="H182" s="39" t="n">
        <v>45785</v>
      </c>
      <c r="I182" s="7" t="s">
        <v>14651</v>
      </c>
      <c r="J182" s="7" t="s">
        <v>22796</v>
      </c>
    </row>
    <row r="183" customFormat="false" ht="15" hidden="false" customHeight="false" outlineLevel="0" collapsed="false">
      <c r="B183" s="7" t="s">
        <v>23891</v>
      </c>
      <c r="C183" s="7" t="s">
        <v>23678</v>
      </c>
      <c r="D183" s="7" t="s">
        <v>22798</v>
      </c>
      <c r="E183" s="39" t="n">
        <v>45774</v>
      </c>
      <c r="F183" s="39" t="n">
        <v>45795</v>
      </c>
      <c r="G183" s="41" t="n">
        <v>58.66</v>
      </c>
      <c r="H183" s="39" t="n">
        <v>45794</v>
      </c>
      <c r="I183" s="7" t="s">
        <v>14651</v>
      </c>
      <c r="J183" s="7" t="s">
        <v>22796</v>
      </c>
    </row>
    <row r="184" customFormat="false" ht="15" hidden="false" customHeight="false" outlineLevel="0" collapsed="false">
      <c r="B184" s="7" t="s">
        <v>23892</v>
      </c>
      <c r="C184" s="7" t="s">
        <v>23680</v>
      </c>
      <c r="D184" s="7" t="s">
        <v>22802</v>
      </c>
      <c r="E184" s="39" t="n">
        <v>45748</v>
      </c>
      <c r="F184" s="39" t="n">
        <v>45769</v>
      </c>
      <c r="G184" s="41" t="n">
        <v>17.95</v>
      </c>
      <c r="H184" s="39" t="n">
        <v>45756</v>
      </c>
      <c r="I184" s="7" t="s">
        <v>14651</v>
      </c>
      <c r="J184" s="7" t="s">
        <v>22796</v>
      </c>
    </row>
    <row r="185" customFormat="false" ht="15" hidden="false" customHeight="false" outlineLevel="0" collapsed="false">
      <c r="B185" s="7" t="s">
        <v>23893</v>
      </c>
      <c r="C185" s="7" t="s">
        <v>23680</v>
      </c>
      <c r="D185" s="7" t="s">
        <v>22802</v>
      </c>
      <c r="E185" s="39" t="n">
        <v>45763</v>
      </c>
      <c r="F185" s="39" t="n">
        <v>45784</v>
      </c>
      <c r="G185" s="41" t="n">
        <v>14.85</v>
      </c>
      <c r="H185" s="39" t="n">
        <v>45789</v>
      </c>
      <c r="I185" s="7" t="s">
        <v>14651</v>
      </c>
      <c r="J185" s="7" t="s">
        <v>22796</v>
      </c>
    </row>
    <row r="186" customFormat="false" ht="15" hidden="false" customHeight="false" outlineLevel="0" collapsed="false">
      <c r="B186" s="7" t="s">
        <v>23894</v>
      </c>
      <c r="C186" s="7" t="s">
        <v>23680</v>
      </c>
      <c r="D186" s="7" t="s">
        <v>22802</v>
      </c>
      <c r="E186" s="39" t="n">
        <v>45772</v>
      </c>
      <c r="F186" s="39" t="n">
        <v>45793</v>
      </c>
      <c r="G186" s="41" t="n">
        <v>33.07</v>
      </c>
      <c r="H186" s="39" t="n">
        <v>45800</v>
      </c>
      <c r="I186" s="7" t="s">
        <v>14651</v>
      </c>
      <c r="J186" s="7" t="s">
        <v>22796</v>
      </c>
    </row>
    <row r="187" customFormat="false" ht="15" hidden="false" customHeight="false" outlineLevel="0" collapsed="false">
      <c r="B187" s="7" t="s">
        <v>23895</v>
      </c>
      <c r="C187" s="7" t="s">
        <v>23681</v>
      </c>
      <c r="D187" s="7" t="s">
        <v>22807</v>
      </c>
      <c r="E187" s="39" t="n">
        <v>45748</v>
      </c>
      <c r="F187" s="39" t="n">
        <v>45769</v>
      </c>
      <c r="G187" s="41" t="n">
        <v>35.89</v>
      </c>
      <c r="H187" s="39" t="n">
        <v>45770</v>
      </c>
      <c r="I187" s="7" t="s">
        <v>14651</v>
      </c>
      <c r="J187" s="7" t="s">
        <v>22796</v>
      </c>
    </row>
    <row r="188" customFormat="false" ht="15" hidden="false" customHeight="false" outlineLevel="0" collapsed="false">
      <c r="B188" s="7" t="s">
        <v>23896</v>
      </c>
      <c r="C188" s="7" t="s">
        <v>23681</v>
      </c>
      <c r="D188" s="7" t="s">
        <v>22807</v>
      </c>
      <c r="E188" s="39" t="n">
        <v>45764</v>
      </c>
      <c r="F188" s="39" t="n">
        <v>45785</v>
      </c>
      <c r="G188" s="41" t="n">
        <v>23.25</v>
      </c>
      <c r="H188" s="39" t="n">
        <v>45783</v>
      </c>
      <c r="I188" s="7" t="s">
        <v>14651</v>
      </c>
      <c r="J188" s="7" t="s">
        <v>22796</v>
      </c>
    </row>
    <row r="189" customFormat="false" ht="15" hidden="false" customHeight="false" outlineLevel="0" collapsed="false">
      <c r="B189" s="7" t="s">
        <v>23897</v>
      </c>
      <c r="C189" s="7" t="s">
        <v>23681</v>
      </c>
      <c r="D189" s="7" t="s">
        <v>22807</v>
      </c>
      <c r="E189" s="39" t="n">
        <v>45777</v>
      </c>
      <c r="F189" s="39" t="n">
        <v>45798</v>
      </c>
      <c r="G189" s="41" t="n">
        <v>35.37</v>
      </c>
      <c r="H189" s="39" t="n">
        <v>45796</v>
      </c>
      <c r="I189" s="7" t="s">
        <v>14651</v>
      </c>
      <c r="J189" s="7" t="s">
        <v>22796</v>
      </c>
    </row>
    <row r="190" customFormat="false" ht="15" hidden="false" customHeight="false" outlineLevel="0" collapsed="false">
      <c r="B190" s="7" t="s">
        <v>23898</v>
      </c>
      <c r="C190" s="7" t="s">
        <v>23682</v>
      </c>
      <c r="D190" s="7" t="s">
        <v>22825</v>
      </c>
      <c r="E190" s="39" t="n">
        <v>45748</v>
      </c>
      <c r="F190" s="39" t="n">
        <v>45748</v>
      </c>
      <c r="G190" s="41" t="n">
        <v>620.36</v>
      </c>
      <c r="H190" s="39" t="n">
        <v>45748</v>
      </c>
      <c r="I190" s="7" t="s">
        <v>14651</v>
      </c>
      <c r="J190" s="7" t="s">
        <v>22796</v>
      </c>
    </row>
    <row r="191" customFormat="false" ht="15" hidden="false" customHeight="false" outlineLevel="0" collapsed="false">
      <c r="B191" s="7" t="s">
        <v>23899</v>
      </c>
      <c r="C191" s="7" t="s">
        <v>23684</v>
      </c>
      <c r="D191" s="7" t="s">
        <v>22827</v>
      </c>
      <c r="E191" s="39" t="n">
        <v>45748</v>
      </c>
      <c r="F191" s="39" t="n">
        <v>45748</v>
      </c>
      <c r="G191" s="41" t="n">
        <v>122.13</v>
      </c>
      <c r="H191" s="39" t="n">
        <v>45748</v>
      </c>
      <c r="I191" s="7" t="s">
        <v>14651</v>
      </c>
      <c r="J191" s="7" t="s">
        <v>22796</v>
      </c>
    </row>
    <row r="192" customFormat="false" ht="15" hidden="false" customHeight="false" outlineLevel="0" collapsed="false">
      <c r="B192" s="7" t="s">
        <v>23900</v>
      </c>
      <c r="C192" s="7" t="s">
        <v>23685</v>
      </c>
      <c r="D192" s="7" t="s">
        <v>22829</v>
      </c>
      <c r="E192" s="39" t="n">
        <v>45748</v>
      </c>
      <c r="F192" s="39" t="n">
        <v>45748</v>
      </c>
      <c r="G192" s="41" t="n">
        <v>85.02</v>
      </c>
      <c r="H192" s="39" t="n">
        <v>45748</v>
      </c>
      <c r="I192" s="7" t="s">
        <v>14651</v>
      </c>
      <c r="J192" s="7" t="s">
        <v>22796</v>
      </c>
    </row>
    <row r="193" customFormat="false" ht="15" hidden="false" customHeight="false" outlineLevel="0" collapsed="false">
      <c r="B193" s="7" t="s">
        <v>23901</v>
      </c>
      <c r="C193" s="7" t="s">
        <v>23686</v>
      </c>
      <c r="D193" s="7" t="s">
        <v>22831</v>
      </c>
      <c r="E193" s="39" t="n">
        <v>45748</v>
      </c>
      <c r="F193" s="39" t="n">
        <v>45748</v>
      </c>
      <c r="G193" s="41" t="n">
        <v>96.08</v>
      </c>
      <c r="H193" s="39" t="n">
        <v>45748</v>
      </c>
      <c r="I193" s="7" t="s">
        <v>14651</v>
      </c>
      <c r="J193" s="7" t="s">
        <v>22796</v>
      </c>
    </row>
    <row r="194" customFormat="false" ht="15" hidden="false" customHeight="false" outlineLevel="0" collapsed="false">
      <c r="B194" s="7" t="s">
        <v>23902</v>
      </c>
      <c r="C194" s="7" t="s">
        <v>23687</v>
      </c>
      <c r="D194" s="7" t="s">
        <v>132</v>
      </c>
      <c r="E194" s="39" t="n">
        <v>45750</v>
      </c>
      <c r="F194" s="39" t="n">
        <v>45750</v>
      </c>
      <c r="G194" s="41" t="n">
        <v>198.06</v>
      </c>
      <c r="H194" s="39" t="n">
        <v>45750</v>
      </c>
      <c r="I194" s="7" t="s">
        <v>14651</v>
      </c>
      <c r="J194" s="7" t="s">
        <v>22813</v>
      </c>
    </row>
    <row r="195" customFormat="false" ht="15" hidden="false" customHeight="false" outlineLevel="0" collapsed="false">
      <c r="B195" s="7" t="s">
        <v>23903</v>
      </c>
      <c r="C195" s="7" t="s">
        <v>23687</v>
      </c>
      <c r="D195" s="7" t="s">
        <v>132</v>
      </c>
      <c r="E195" s="39" t="n">
        <v>45764</v>
      </c>
      <c r="F195" s="39" t="n">
        <v>45764</v>
      </c>
      <c r="G195" s="41" t="n">
        <v>198.06</v>
      </c>
      <c r="H195" s="39" t="n">
        <v>45764</v>
      </c>
      <c r="I195" s="7" t="s">
        <v>14651</v>
      </c>
      <c r="J195" s="7" t="s">
        <v>22813</v>
      </c>
    </row>
    <row r="196" customFormat="false" ht="15" hidden="false" customHeight="false" outlineLevel="0" collapsed="false">
      <c r="B196" s="7" t="s">
        <v>23904</v>
      </c>
      <c r="C196" s="7" t="s">
        <v>23689</v>
      </c>
      <c r="D196" s="7" t="s">
        <v>22837</v>
      </c>
      <c r="E196" s="39" t="n">
        <v>45748</v>
      </c>
      <c r="F196" s="39" t="n">
        <v>45778</v>
      </c>
      <c r="G196" s="41" t="n">
        <v>394.46</v>
      </c>
      <c r="H196" s="39" t="n">
        <v>45778</v>
      </c>
      <c r="I196" s="7" t="s">
        <v>14651</v>
      </c>
      <c r="J196" s="7" t="s">
        <v>22796</v>
      </c>
    </row>
    <row r="197" customFormat="false" ht="15" hidden="false" customHeight="false" outlineLevel="0" collapsed="false">
      <c r="B197" s="7" t="s">
        <v>23905</v>
      </c>
      <c r="C197" s="7" t="s">
        <v>23691</v>
      </c>
      <c r="D197" s="7" t="s">
        <v>22839</v>
      </c>
      <c r="E197" s="39" t="n">
        <v>45748</v>
      </c>
      <c r="F197" s="39" t="n">
        <v>45778</v>
      </c>
      <c r="G197" s="41" t="n">
        <v>148.04</v>
      </c>
      <c r="H197" s="39" t="n">
        <v>45777</v>
      </c>
      <c r="I197" s="7" t="s">
        <v>14651</v>
      </c>
      <c r="J197" s="7" t="s">
        <v>22796</v>
      </c>
    </row>
    <row r="198" customFormat="false" ht="15" hidden="false" customHeight="false" outlineLevel="0" collapsed="false">
      <c r="B198" s="7" t="s">
        <v>23906</v>
      </c>
      <c r="C198" s="7" t="s">
        <v>23692</v>
      </c>
      <c r="D198" s="7" t="s">
        <v>22841</v>
      </c>
      <c r="E198" s="39" t="n">
        <v>45748</v>
      </c>
      <c r="F198" s="39" t="n">
        <v>45763</v>
      </c>
      <c r="G198" s="41" t="n">
        <v>108.22</v>
      </c>
      <c r="H198" s="39" t="n">
        <v>45763</v>
      </c>
      <c r="I198" s="7" t="s">
        <v>14651</v>
      </c>
      <c r="J198" s="7" t="s">
        <v>22796</v>
      </c>
    </row>
    <row r="199" customFormat="false" ht="15" hidden="false" customHeight="false" outlineLevel="0" collapsed="false">
      <c r="B199" s="7" t="s">
        <v>23907</v>
      </c>
      <c r="C199" s="7" t="s">
        <v>23692</v>
      </c>
      <c r="D199" s="7" t="s">
        <v>22841</v>
      </c>
      <c r="E199" s="39" t="n">
        <v>45762</v>
      </c>
      <c r="F199" s="39" t="n">
        <v>45777</v>
      </c>
      <c r="G199" s="41" t="n">
        <v>31.25</v>
      </c>
      <c r="H199" s="39" t="n">
        <v>45775</v>
      </c>
      <c r="I199" s="7" t="s">
        <v>14651</v>
      </c>
      <c r="J199" s="7" t="s">
        <v>22796</v>
      </c>
    </row>
    <row r="200" customFormat="false" ht="15" hidden="false" customHeight="false" outlineLevel="0" collapsed="false">
      <c r="B200" s="7" t="s">
        <v>23908</v>
      </c>
      <c r="C200" s="7" t="s">
        <v>23692</v>
      </c>
      <c r="D200" s="7" t="s">
        <v>22841</v>
      </c>
      <c r="E200" s="39" t="n">
        <v>45765</v>
      </c>
      <c r="F200" s="39" t="n">
        <v>45780</v>
      </c>
      <c r="G200" s="41" t="n">
        <v>24.08</v>
      </c>
      <c r="H200" s="39" t="n">
        <v>45782</v>
      </c>
      <c r="I200" s="7" t="s">
        <v>14651</v>
      </c>
      <c r="J200" s="7" t="s">
        <v>22796</v>
      </c>
    </row>
    <row r="201" customFormat="false" ht="15" hidden="false" customHeight="false" outlineLevel="0" collapsed="false">
      <c r="B201" s="7" t="s">
        <v>23909</v>
      </c>
      <c r="C201" s="7" t="s">
        <v>23692</v>
      </c>
      <c r="D201" s="7" t="s">
        <v>22841</v>
      </c>
      <c r="E201" s="39" t="n">
        <v>45771</v>
      </c>
      <c r="F201" s="39" t="n">
        <v>45786</v>
      </c>
      <c r="G201" s="41" t="n">
        <v>94.47</v>
      </c>
      <c r="H201" s="39" t="n">
        <v>45775</v>
      </c>
      <c r="I201" s="7" t="s">
        <v>14651</v>
      </c>
      <c r="J201" s="7" t="s">
        <v>22796</v>
      </c>
    </row>
    <row r="202" customFormat="false" ht="15" hidden="false" customHeight="false" outlineLevel="0" collapsed="false">
      <c r="B202" s="7" t="s">
        <v>23910</v>
      </c>
      <c r="C202" s="7" t="s">
        <v>23694</v>
      </c>
      <c r="D202" s="7" t="s">
        <v>22845</v>
      </c>
      <c r="E202" s="39" t="n">
        <v>45756</v>
      </c>
      <c r="F202" s="39" t="n">
        <v>45756</v>
      </c>
      <c r="G202" s="41" t="n">
        <v>95.54</v>
      </c>
      <c r="H202" s="39" t="n">
        <v>45756</v>
      </c>
      <c r="I202" s="7" t="s">
        <v>14651</v>
      </c>
      <c r="J202" s="7" t="s">
        <v>22796</v>
      </c>
    </row>
    <row r="203" customFormat="false" ht="15" hidden="false" customHeight="false" outlineLevel="0" collapsed="false">
      <c r="B203" s="7" t="s">
        <v>23911</v>
      </c>
      <c r="C203" s="7" t="s">
        <v>23694</v>
      </c>
      <c r="D203" s="7" t="s">
        <v>22845</v>
      </c>
      <c r="E203" s="39" t="n">
        <v>45765</v>
      </c>
      <c r="F203" s="39" t="n">
        <v>45765</v>
      </c>
      <c r="G203" s="41" t="n">
        <v>71.96</v>
      </c>
      <c r="H203" s="39" t="n">
        <v>45765</v>
      </c>
      <c r="I203" s="7" t="s">
        <v>14651</v>
      </c>
      <c r="J203" s="7" t="s">
        <v>22796</v>
      </c>
    </row>
    <row r="204" customFormat="false" ht="15" hidden="false" customHeight="false" outlineLevel="0" collapsed="false">
      <c r="B204" s="7" t="s">
        <v>23912</v>
      </c>
      <c r="C204" s="7" t="s">
        <v>23694</v>
      </c>
      <c r="D204" s="7" t="s">
        <v>22845</v>
      </c>
      <c r="E204" s="39" t="n">
        <v>45775</v>
      </c>
      <c r="F204" s="39" t="n">
        <v>45775</v>
      </c>
      <c r="G204" s="41" t="n">
        <v>162.48</v>
      </c>
      <c r="H204" s="39" t="n">
        <v>45775</v>
      </c>
      <c r="I204" s="7" t="s">
        <v>14651</v>
      </c>
      <c r="J204" s="7" t="s">
        <v>22796</v>
      </c>
    </row>
    <row r="205" customFormat="false" ht="15" hidden="false" customHeight="false" outlineLevel="0" collapsed="false">
      <c r="B205" s="7" t="s">
        <v>23913</v>
      </c>
      <c r="C205" s="7" t="s">
        <v>23695</v>
      </c>
      <c r="D205" s="7" t="s">
        <v>22848</v>
      </c>
      <c r="E205" s="39" t="n">
        <v>45760</v>
      </c>
      <c r="F205" s="39" t="n">
        <v>45790</v>
      </c>
      <c r="G205" s="41" t="n">
        <v>71.46</v>
      </c>
      <c r="H205" s="39" t="n">
        <v>45791</v>
      </c>
      <c r="I205" s="7" t="s">
        <v>14651</v>
      </c>
      <c r="J205" s="7" t="s">
        <v>22796</v>
      </c>
    </row>
    <row r="206" customFormat="false" ht="15" hidden="false" customHeight="false" outlineLevel="0" collapsed="false">
      <c r="B206" s="7" t="s">
        <v>23914</v>
      </c>
      <c r="C206" s="7" t="s">
        <v>23695</v>
      </c>
      <c r="D206" s="7" t="s">
        <v>22848</v>
      </c>
      <c r="E206" s="39" t="n">
        <v>45768</v>
      </c>
      <c r="F206" s="39" t="n">
        <v>45798</v>
      </c>
      <c r="G206" s="41" t="n">
        <v>174.28</v>
      </c>
      <c r="H206" s="39" t="n">
        <v>45800</v>
      </c>
      <c r="I206" s="7" t="s">
        <v>14651</v>
      </c>
      <c r="J206" s="7" t="s">
        <v>22796</v>
      </c>
    </row>
    <row r="207" customFormat="false" ht="15" hidden="false" customHeight="false" outlineLevel="0" collapsed="false">
      <c r="B207" s="7" t="s">
        <v>23915</v>
      </c>
      <c r="C207" s="7" t="s">
        <v>23696</v>
      </c>
      <c r="D207" s="7" t="s">
        <v>136</v>
      </c>
      <c r="E207" s="39" t="n">
        <v>45749</v>
      </c>
      <c r="F207" s="39" t="n">
        <v>45764</v>
      </c>
      <c r="G207" s="41" t="n">
        <v>64.26</v>
      </c>
      <c r="H207" s="39" t="n">
        <v>45763</v>
      </c>
      <c r="I207" s="7" t="s">
        <v>14651</v>
      </c>
      <c r="J207" s="7" t="s">
        <v>22796</v>
      </c>
    </row>
    <row r="208" customFormat="false" ht="15" hidden="false" customHeight="false" outlineLevel="0" collapsed="false">
      <c r="B208" s="7" t="s">
        <v>23916</v>
      </c>
      <c r="C208" s="7" t="s">
        <v>23696</v>
      </c>
      <c r="D208" s="7" t="s">
        <v>136</v>
      </c>
      <c r="E208" s="39" t="n">
        <v>45750</v>
      </c>
      <c r="F208" s="39" t="n">
        <v>45765</v>
      </c>
      <c r="G208" s="41" t="n">
        <v>21.84</v>
      </c>
      <c r="H208" s="39" t="n">
        <v>45778</v>
      </c>
      <c r="I208" s="7" t="s">
        <v>14651</v>
      </c>
      <c r="J208" s="7" t="s">
        <v>22796</v>
      </c>
    </row>
    <row r="209" customFormat="false" ht="15" hidden="false" customHeight="false" outlineLevel="0" collapsed="false">
      <c r="B209" s="7" t="s">
        <v>23917</v>
      </c>
      <c r="C209" s="7" t="s">
        <v>23696</v>
      </c>
      <c r="D209" s="7" t="s">
        <v>136</v>
      </c>
      <c r="E209" s="39" t="n">
        <v>45759</v>
      </c>
      <c r="F209" s="39" t="n">
        <v>45774</v>
      </c>
      <c r="G209" s="41" t="n">
        <v>60.59</v>
      </c>
      <c r="H209" s="39" t="n">
        <v>45772</v>
      </c>
      <c r="I209" s="7" t="s">
        <v>14651</v>
      </c>
      <c r="J209" s="7" t="s">
        <v>22796</v>
      </c>
    </row>
    <row r="210" customFormat="false" ht="15" hidden="false" customHeight="false" outlineLevel="0" collapsed="false">
      <c r="B210" s="7" t="s">
        <v>23918</v>
      </c>
      <c r="C210" s="7" t="s">
        <v>23697</v>
      </c>
      <c r="D210" s="7" t="s">
        <v>22855</v>
      </c>
      <c r="E210" s="39" t="n">
        <v>45748</v>
      </c>
      <c r="F210" s="39" t="n">
        <v>45769</v>
      </c>
      <c r="G210" s="41" t="n">
        <v>157.96</v>
      </c>
      <c r="H210" s="39" t="n">
        <v>45767</v>
      </c>
      <c r="I210" s="7" t="s">
        <v>14651</v>
      </c>
      <c r="J210" s="7" t="s">
        <v>22796</v>
      </c>
    </row>
    <row r="211" customFormat="false" ht="15" hidden="false" customHeight="false" outlineLevel="0" collapsed="false">
      <c r="B211" s="7" t="s">
        <v>23919</v>
      </c>
      <c r="C211" s="7" t="s">
        <v>23698</v>
      </c>
      <c r="D211" s="7" t="s">
        <v>22857</v>
      </c>
      <c r="E211" s="39" t="n">
        <v>45748</v>
      </c>
      <c r="F211" s="39" t="n">
        <v>45769</v>
      </c>
      <c r="G211" s="41" t="n">
        <v>473.42</v>
      </c>
      <c r="H211" s="39" t="n">
        <v>45782</v>
      </c>
      <c r="I211" s="7" t="s">
        <v>14651</v>
      </c>
      <c r="J211" s="7" t="s">
        <v>22796</v>
      </c>
    </row>
    <row r="212" customFormat="false" ht="15" hidden="false" customHeight="false" outlineLevel="0" collapsed="false">
      <c r="B212" s="7" t="s">
        <v>23920</v>
      </c>
      <c r="C212" s="7" t="s">
        <v>23699</v>
      </c>
      <c r="D212" s="7" t="s">
        <v>22859</v>
      </c>
      <c r="E212" s="39" t="n">
        <v>45751</v>
      </c>
      <c r="F212" s="39" t="n">
        <v>45781</v>
      </c>
      <c r="G212" s="41" t="n">
        <v>140.97</v>
      </c>
      <c r="H212" s="39" t="n">
        <v>45775</v>
      </c>
      <c r="I212" s="7" t="s">
        <v>14651</v>
      </c>
      <c r="J212" s="7" t="s">
        <v>22796</v>
      </c>
    </row>
    <row r="213" customFormat="false" ht="15" hidden="false" customHeight="false" outlineLevel="0" collapsed="false">
      <c r="B213" s="7" t="s">
        <v>23921</v>
      </c>
      <c r="C213" s="7" t="s">
        <v>23699</v>
      </c>
      <c r="D213" s="7" t="s">
        <v>22859</v>
      </c>
      <c r="E213" s="39" t="n">
        <v>45763</v>
      </c>
      <c r="F213" s="39" t="n">
        <v>45793</v>
      </c>
      <c r="G213" s="41" t="n">
        <v>155.22</v>
      </c>
      <c r="H213" s="39" t="n">
        <v>45807</v>
      </c>
      <c r="I213" s="7" t="s">
        <v>14651</v>
      </c>
      <c r="J213" s="7" t="s">
        <v>22796</v>
      </c>
    </row>
    <row r="214" customFormat="false" ht="15" hidden="false" customHeight="false" outlineLevel="0" collapsed="false">
      <c r="B214" s="7" t="s">
        <v>23922</v>
      </c>
      <c r="C214" s="7" t="s">
        <v>23699</v>
      </c>
      <c r="D214" s="7" t="s">
        <v>22859</v>
      </c>
      <c r="E214" s="39" t="n">
        <v>45777</v>
      </c>
      <c r="F214" s="39" t="n">
        <v>45807</v>
      </c>
      <c r="G214" s="41" t="n">
        <v>162.71</v>
      </c>
      <c r="H214" s="39" t="n">
        <v>45784</v>
      </c>
      <c r="I214" s="7" t="s">
        <v>14651</v>
      </c>
      <c r="J214" s="7" t="s">
        <v>22796</v>
      </c>
    </row>
    <row r="215" customFormat="false" ht="15" hidden="false" customHeight="false" outlineLevel="0" collapsed="false">
      <c r="B215" s="7" t="s">
        <v>23923</v>
      </c>
      <c r="C215" s="7" t="s">
        <v>23700</v>
      </c>
      <c r="D215" s="7" t="s">
        <v>22862</v>
      </c>
      <c r="E215" s="39" t="n">
        <v>45753</v>
      </c>
      <c r="F215" s="39" t="n">
        <v>45753</v>
      </c>
      <c r="G215" s="41" t="n">
        <v>64.14</v>
      </c>
      <c r="H215" s="39" t="n">
        <v>45753</v>
      </c>
      <c r="I215" s="7" t="s">
        <v>14651</v>
      </c>
      <c r="J215" s="7" t="s">
        <v>22796</v>
      </c>
    </row>
    <row r="216" customFormat="false" ht="15" hidden="false" customHeight="false" outlineLevel="0" collapsed="false">
      <c r="B216" s="7" t="s">
        <v>23924</v>
      </c>
      <c r="C216" s="7" t="s">
        <v>23700</v>
      </c>
      <c r="D216" s="7" t="s">
        <v>22862</v>
      </c>
      <c r="E216" s="39" t="n">
        <v>45755</v>
      </c>
      <c r="F216" s="39" t="n">
        <v>45755</v>
      </c>
      <c r="G216" s="41" t="n">
        <v>39.84</v>
      </c>
      <c r="H216" s="39" t="n">
        <v>45755</v>
      </c>
      <c r="I216" s="7" t="s">
        <v>14651</v>
      </c>
      <c r="J216" s="7" t="s">
        <v>22796</v>
      </c>
    </row>
    <row r="217" customFormat="false" ht="15" hidden="false" customHeight="false" outlineLevel="0" collapsed="false">
      <c r="B217" s="7" t="s">
        <v>23925</v>
      </c>
      <c r="C217" s="7" t="s">
        <v>23700</v>
      </c>
      <c r="D217" s="7" t="s">
        <v>22862</v>
      </c>
      <c r="E217" s="39" t="n">
        <v>45761</v>
      </c>
      <c r="F217" s="39" t="n">
        <v>45761</v>
      </c>
      <c r="G217" s="41" t="n">
        <v>15.5</v>
      </c>
      <c r="H217" s="39" t="n">
        <v>45761</v>
      </c>
      <c r="I217" s="7" t="s">
        <v>14651</v>
      </c>
      <c r="J217" s="7" t="s">
        <v>22796</v>
      </c>
    </row>
    <row r="218" customFormat="false" ht="15" hidden="false" customHeight="false" outlineLevel="0" collapsed="false">
      <c r="B218" s="7" t="s">
        <v>23926</v>
      </c>
      <c r="C218" s="7" t="s">
        <v>23700</v>
      </c>
      <c r="D218" s="7" t="s">
        <v>22862</v>
      </c>
      <c r="E218" s="39" t="n">
        <v>45763</v>
      </c>
      <c r="F218" s="39" t="n">
        <v>45763</v>
      </c>
      <c r="G218" s="41" t="n">
        <v>40.33</v>
      </c>
      <c r="H218" s="39" t="n">
        <v>45763</v>
      </c>
      <c r="I218" s="7" t="s">
        <v>14651</v>
      </c>
      <c r="J218" s="7" t="s">
        <v>22796</v>
      </c>
    </row>
    <row r="219" customFormat="false" ht="15" hidden="false" customHeight="false" outlineLevel="0" collapsed="false">
      <c r="B219" s="7" t="s">
        <v>23927</v>
      </c>
      <c r="C219" s="7" t="s">
        <v>23702</v>
      </c>
      <c r="D219" s="7" t="s">
        <v>22866</v>
      </c>
      <c r="E219" s="39" t="n">
        <v>45757</v>
      </c>
      <c r="F219" s="39" t="n">
        <v>45772</v>
      </c>
      <c r="G219" s="41" t="n">
        <v>148.13</v>
      </c>
      <c r="H219" s="39" t="n">
        <v>45761</v>
      </c>
      <c r="I219" s="7" t="s">
        <v>14651</v>
      </c>
      <c r="J219" s="7" t="s">
        <v>22796</v>
      </c>
    </row>
    <row r="220" customFormat="false" ht="15" hidden="false" customHeight="false" outlineLevel="0" collapsed="false">
      <c r="B220" s="7" t="s">
        <v>23928</v>
      </c>
      <c r="C220" s="7" t="s">
        <v>23702</v>
      </c>
      <c r="D220" s="7" t="s">
        <v>22866</v>
      </c>
      <c r="E220" s="39" t="n">
        <v>45758</v>
      </c>
      <c r="F220" s="39" t="n">
        <v>45773</v>
      </c>
      <c r="G220" s="41" t="n">
        <v>488.99</v>
      </c>
      <c r="H220" s="39" t="n">
        <v>45771</v>
      </c>
      <c r="I220" s="7" t="s">
        <v>14651</v>
      </c>
      <c r="J220" s="7" t="s">
        <v>22796</v>
      </c>
    </row>
    <row r="221" customFormat="false" ht="15" hidden="false" customHeight="false" outlineLevel="0" collapsed="false">
      <c r="B221" s="7" t="s">
        <v>23929</v>
      </c>
      <c r="C221" s="7" t="s">
        <v>23703</v>
      </c>
      <c r="D221" s="7" t="s">
        <v>22870</v>
      </c>
      <c r="E221" s="39" t="n">
        <v>45763</v>
      </c>
      <c r="F221" s="39" t="n">
        <v>45793</v>
      </c>
      <c r="G221" s="41" t="n">
        <v>153.15</v>
      </c>
      <c r="H221" s="39" t="n">
        <v>45795</v>
      </c>
      <c r="I221" s="7" t="s">
        <v>14651</v>
      </c>
      <c r="J221" s="7" t="s">
        <v>22796</v>
      </c>
    </row>
    <row r="222" customFormat="false" ht="15" hidden="false" customHeight="false" outlineLevel="0" collapsed="false">
      <c r="B222" s="7" t="s">
        <v>23930</v>
      </c>
      <c r="C222" s="7" t="s">
        <v>23703</v>
      </c>
      <c r="D222" s="7" t="s">
        <v>22870</v>
      </c>
      <c r="E222" s="39" t="n">
        <v>45765</v>
      </c>
      <c r="F222" s="39" t="n">
        <v>45795</v>
      </c>
      <c r="G222" s="41" t="n">
        <v>91.71</v>
      </c>
      <c r="H222" s="39" t="n">
        <v>45794</v>
      </c>
      <c r="I222" s="7" t="s">
        <v>14651</v>
      </c>
      <c r="J222" s="7" t="s">
        <v>22796</v>
      </c>
    </row>
    <row r="223" customFormat="false" ht="15" hidden="false" customHeight="false" outlineLevel="0" collapsed="false">
      <c r="B223" s="7" t="s">
        <v>23931</v>
      </c>
      <c r="C223" s="7" t="s">
        <v>23703</v>
      </c>
      <c r="D223" s="7" t="s">
        <v>22870</v>
      </c>
      <c r="E223" s="39" t="n">
        <v>45772</v>
      </c>
      <c r="F223" s="39" t="n">
        <v>45802</v>
      </c>
      <c r="G223" s="41" t="n">
        <v>47.81</v>
      </c>
      <c r="H223" s="39" t="n">
        <v>45815</v>
      </c>
      <c r="I223" s="7" t="s">
        <v>14651</v>
      </c>
      <c r="J223" s="7" t="s">
        <v>22796</v>
      </c>
    </row>
    <row r="224" customFormat="false" ht="15" hidden="false" customHeight="false" outlineLevel="0" collapsed="false">
      <c r="B224" s="7" t="s">
        <v>23932</v>
      </c>
      <c r="C224" s="7" t="s">
        <v>23703</v>
      </c>
      <c r="D224" s="7" t="s">
        <v>22870</v>
      </c>
      <c r="E224" s="39" t="n">
        <v>45776</v>
      </c>
      <c r="F224" s="39" t="n">
        <v>45806</v>
      </c>
      <c r="G224" s="41" t="n">
        <v>72.22</v>
      </c>
      <c r="H224" s="39" t="n">
        <v>45808</v>
      </c>
      <c r="I224" s="7" t="s">
        <v>14651</v>
      </c>
      <c r="J224" s="7" t="s">
        <v>22796</v>
      </c>
    </row>
    <row r="225" customFormat="false" ht="15" hidden="false" customHeight="false" outlineLevel="0" collapsed="false">
      <c r="B225" s="7" t="s">
        <v>23933</v>
      </c>
      <c r="C225" s="7" t="s">
        <v>23704</v>
      </c>
      <c r="D225" s="7" t="s">
        <v>22874</v>
      </c>
      <c r="E225" s="39" t="n">
        <v>45748</v>
      </c>
      <c r="F225" s="39" t="n">
        <v>45778</v>
      </c>
      <c r="G225" s="41" t="n">
        <v>433.39</v>
      </c>
      <c r="H225" s="39" t="n">
        <v>45771</v>
      </c>
      <c r="I225" s="7" t="s">
        <v>14651</v>
      </c>
      <c r="J225" s="7" t="s">
        <v>22796</v>
      </c>
    </row>
    <row r="226" customFormat="false" ht="15" hidden="false" customHeight="false" outlineLevel="0" collapsed="false">
      <c r="B226" s="7" t="s">
        <v>23934</v>
      </c>
      <c r="C226" s="7" t="s">
        <v>23705</v>
      </c>
      <c r="D226" s="7" t="s">
        <v>22876</v>
      </c>
      <c r="E226" s="39" t="n">
        <v>45748</v>
      </c>
      <c r="F226" s="39" t="n">
        <v>45778</v>
      </c>
      <c r="G226" s="41" t="n">
        <v>171.36</v>
      </c>
      <c r="H226" s="39" t="n">
        <v>45778</v>
      </c>
      <c r="I226" s="7" t="s">
        <v>14651</v>
      </c>
      <c r="J226" s="7" t="s">
        <v>22796</v>
      </c>
    </row>
    <row r="227" customFormat="false" ht="15" hidden="false" customHeight="false" outlineLevel="0" collapsed="false">
      <c r="B227" s="7" t="s">
        <v>23935</v>
      </c>
      <c r="C227" s="7" t="s">
        <v>23705</v>
      </c>
      <c r="D227" s="7" t="s">
        <v>22876</v>
      </c>
      <c r="E227" s="39" t="n">
        <v>45768</v>
      </c>
      <c r="F227" s="39" t="n">
        <v>45798</v>
      </c>
      <c r="G227" s="41" t="n">
        <v>227.39</v>
      </c>
      <c r="H227" s="39" t="n">
        <v>45807</v>
      </c>
      <c r="I227" s="7" t="s">
        <v>14651</v>
      </c>
      <c r="J227" s="7" t="s">
        <v>22796</v>
      </c>
    </row>
    <row r="228" customFormat="false" ht="15" hidden="false" customHeight="false" outlineLevel="0" collapsed="false">
      <c r="B228" s="7" t="s">
        <v>23936</v>
      </c>
      <c r="C228" s="7" t="s">
        <v>23706</v>
      </c>
      <c r="D228" s="7" t="s">
        <v>142</v>
      </c>
      <c r="E228" s="39" t="n">
        <v>45759</v>
      </c>
      <c r="F228" s="39" t="n">
        <v>45789</v>
      </c>
      <c r="G228" s="41" t="n">
        <v>67.16</v>
      </c>
      <c r="H228" s="39" t="n">
        <v>45791</v>
      </c>
      <c r="I228" s="7" t="s">
        <v>14651</v>
      </c>
      <c r="J228" s="7" t="s">
        <v>22796</v>
      </c>
    </row>
    <row r="229" customFormat="false" ht="15" hidden="false" customHeight="false" outlineLevel="0" collapsed="false">
      <c r="B229" s="7" t="s">
        <v>23937</v>
      </c>
      <c r="C229" s="7" t="s">
        <v>23706</v>
      </c>
      <c r="D229" s="7" t="s">
        <v>142</v>
      </c>
      <c r="E229" s="39" t="n">
        <v>45771</v>
      </c>
      <c r="F229" s="39" t="n">
        <v>45801</v>
      </c>
      <c r="G229" s="41" t="n">
        <v>31.46</v>
      </c>
      <c r="H229" s="39" t="n">
        <v>45803</v>
      </c>
      <c r="I229" s="7" t="s">
        <v>14651</v>
      </c>
      <c r="J229" s="7" t="s">
        <v>22796</v>
      </c>
    </row>
    <row r="230" customFormat="false" ht="15" hidden="false" customHeight="false" outlineLevel="0" collapsed="false">
      <c r="B230" s="7" t="s">
        <v>23938</v>
      </c>
      <c r="C230" s="7" t="s">
        <v>23706</v>
      </c>
      <c r="D230" s="7" t="s">
        <v>142</v>
      </c>
      <c r="E230" s="39" t="n">
        <v>45775</v>
      </c>
      <c r="F230" s="39" t="n">
        <v>45805</v>
      </c>
      <c r="G230" s="41" t="n">
        <v>74.84</v>
      </c>
      <c r="H230" s="39" t="n">
        <v>45807</v>
      </c>
      <c r="I230" s="7" t="s">
        <v>14651</v>
      </c>
      <c r="J230" s="7" t="s">
        <v>22796</v>
      </c>
    </row>
    <row r="231" customFormat="false" ht="15" hidden="false" customHeight="false" outlineLevel="0" collapsed="false">
      <c r="B231" s="7" t="s">
        <v>23939</v>
      </c>
      <c r="C231" s="7" t="s">
        <v>23707</v>
      </c>
      <c r="D231" s="7" t="s">
        <v>22882</v>
      </c>
      <c r="E231" s="39" t="n">
        <v>45748</v>
      </c>
      <c r="F231" s="39" t="n">
        <v>45748</v>
      </c>
      <c r="G231" s="41" t="n">
        <v>12.81</v>
      </c>
      <c r="H231" s="39" t="n">
        <v>45748</v>
      </c>
      <c r="I231" s="7" t="s">
        <v>14651</v>
      </c>
      <c r="J231" s="7" t="s">
        <v>22796</v>
      </c>
    </row>
    <row r="232" customFormat="false" ht="15" hidden="false" customHeight="false" outlineLevel="0" collapsed="false">
      <c r="B232" s="7" t="s">
        <v>23940</v>
      </c>
      <c r="C232" s="7" t="s">
        <v>23707</v>
      </c>
      <c r="D232" s="7" t="s">
        <v>22882</v>
      </c>
      <c r="E232" s="39" t="n">
        <v>45761</v>
      </c>
      <c r="F232" s="39" t="n">
        <v>45761</v>
      </c>
      <c r="G232" s="41" t="n">
        <v>12.77</v>
      </c>
      <c r="H232" s="39" t="n">
        <v>45761</v>
      </c>
      <c r="I232" s="7" t="s">
        <v>14651</v>
      </c>
      <c r="J232" s="7" t="s">
        <v>22796</v>
      </c>
    </row>
    <row r="233" customFormat="false" ht="15" hidden="false" customHeight="false" outlineLevel="0" collapsed="false">
      <c r="B233" s="7" t="s">
        <v>23941</v>
      </c>
      <c r="C233" s="7" t="s">
        <v>23707</v>
      </c>
      <c r="D233" s="7" t="s">
        <v>22882</v>
      </c>
      <c r="E233" s="39" t="n">
        <v>45766</v>
      </c>
      <c r="F233" s="39" t="n">
        <v>45766</v>
      </c>
      <c r="G233" s="41" t="n">
        <v>7.33</v>
      </c>
      <c r="H233" s="39" t="n">
        <v>45766</v>
      </c>
      <c r="I233" s="7" t="s">
        <v>14651</v>
      </c>
      <c r="J233" s="7" t="s">
        <v>22796</v>
      </c>
    </row>
    <row r="234" customFormat="false" ht="15" hidden="false" customHeight="false" outlineLevel="0" collapsed="false">
      <c r="B234" s="7" t="s">
        <v>23942</v>
      </c>
      <c r="C234" s="7" t="s">
        <v>23707</v>
      </c>
      <c r="D234" s="7" t="s">
        <v>22882</v>
      </c>
      <c r="E234" s="39" t="n">
        <v>45777</v>
      </c>
      <c r="F234" s="39" t="n">
        <v>45777</v>
      </c>
      <c r="G234" s="41" t="n">
        <v>12.65</v>
      </c>
      <c r="H234" s="39" t="n">
        <v>45777</v>
      </c>
      <c r="I234" s="7" t="s">
        <v>14651</v>
      </c>
      <c r="J234" s="7" t="s">
        <v>22796</v>
      </c>
    </row>
    <row r="235" customFormat="false" ht="15" hidden="false" customHeight="false" outlineLevel="0" collapsed="false">
      <c r="B235" s="7" t="s">
        <v>23943</v>
      </c>
      <c r="C235" s="7" t="s">
        <v>23708</v>
      </c>
      <c r="D235" s="7" t="s">
        <v>143</v>
      </c>
      <c r="E235" s="39" t="n">
        <v>45764</v>
      </c>
      <c r="F235" s="39" t="n">
        <v>45779</v>
      </c>
      <c r="G235" s="41" t="n">
        <v>86.26</v>
      </c>
      <c r="H235" s="39" t="n">
        <v>45778</v>
      </c>
      <c r="I235" s="7" t="s">
        <v>14651</v>
      </c>
      <c r="J235" s="7" t="s">
        <v>22796</v>
      </c>
    </row>
    <row r="236" customFormat="false" ht="15" hidden="false" customHeight="false" outlineLevel="0" collapsed="false">
      <c r="B236" s="7" t="s">
        <v>23944</v>
      </c>
      <c r="C236" s="7" t="s">
        <v>23708</v>
      </c>
      <c r="D236" s="7" t="s">
        <v>143</v>
      </c>
      <c r="E236" s="39" t="n">
        <v>45766</v>
      </c>
      <c r="F236" s="39" t="n">
        <v>45781</v>
      </c>
      <c r="G236" s="41" t="n">
        <v>100.41</v>
      </c>
      <c r="H236" s="39" t="n">
        <v>45782</v>
      </c>
      <c r="I236" s="7" t="s">
        <v>14651</v>
      </c>
      <c r="J236" s="7" t="s">
        <v>22796</v>
      </c>
    </row>
    <row r="237" customFormat="false" ht="15" hidden="false" customHeight="false" outlineLevel="0" collapsed="false">
      <c r="B237" s="7" t="s">
        <v>23945</v>
      </c>
      <c r="C237" s="7" t="s">
        <v>23676</v>
      </c>
      <c r="D237" s="7" t="s">
        <v>124</v>
      </c>
      <c r="E237" s="39" t="n">
        <v>45778</v>
      </c>
      <c r="F237" s="39" t="n">
        <v>45778</v>
      </c>
      <c r="G237" s="41" t="n">
        <v>2086.67</v>
      </c>
      <c r="H237" s="39" t="n">
        <v>45778</v>
      </c>
      <c r="I237" s="7" t="s">
        <v>14651</v>
      </c>
      <c r="J237" s="7" t="s">
        <v>22796</v>
      </c>
    </row>
    <row r="238" customFormat="false" ht="15" hidden="false" customHeight="false" outlineLevel="0" collapsed="false">
      <c r="B238" s="7" t="s">
        <v>23946</v>
      </c>
      <c r="C238" s="7" t="s">
        <v>23678</v>
      </c>
      <c r="D238" s="7" t="s">
        <v>22798</v>
      </c>
      <c r="E238" s="39" t="n">
        <v>45781</v>
      </c>
      <c r="F238" s="39" t="n">
        <v>45802</v>
      </c>
      <c r="G238" s="41" t="n">
        <v>106.54</v>
      </c>
      <c r="H238" s="39" t="n">
        <v>45800</v>
      </c>
      <c r="I238" s="7" t="s">
        <v>14651</v>
      </c>
      <c r="J238" s="7" t="s">
        <v>22796</v>
      </c>
    </row>
    <row r="239" customFormat="false" ht="15" hidden="false" customHeight="false" outlineLevel="0" collapsed="false">
      <c r="B239" s="7" t="s">
        <v>23947</v>
      </c>
      <c r="C239" s="7" t="s">
        <v>23678</v>
      </c>
      <c r="D239" s="7" t="s">
        <v>22798</v>
      </c>
      <c r="E239" s="39" t="n">
        <v>45792</v>
      </c>
      <c r="F239" s="39" t="n">
        <v>45813</v>
      </c>
      <c r="G239" s="41" t="n">
        <v>33.63</v>
      </c>
      <c r="H239" s="39" t="n">
        <v>45812</v>
      </c>
      <c r="I239" s="7" t="s">
        <v>14651</v>
      </c>
      <c r="J239" s="7" t="s">
        <v>22796</v>
      </c>
    </row>
    <row r="240" customFormat="false" ht="15" hidden="false" customHeight="false" outlineLevel="0" collapsed="false">
      <c r="B240" s="7" t="s">
        <v>23948</v>
      </c>
      <c r="C240" s="7" t="s">
        <v>23678</v>
      </c>
      <c r="D240" s="7" t="s">
        <v>22798</v>
      </c>
      <c r="E240" s="39" t="n">
        <v>45806</v>
      </c>
      <c r="F240" s="39" t="n">
        <v>45827</v>
      </c>
      <c r="G240" s="41" t="n">
        <v>78.14</v>
      </c>
      <c r="H240" s="39" t="n">
        <v>45829</v>
      </c>
      <c r="I240" s="7" t="s">
        <v>14651</v>
      </c>
      <c r="J240" s="7" t="s">
        <v>22796</v>
      </c>
    </row>
    <row r="241" customFormat="false" ht="15" hidden="false" customHeight="false" outlineLevel="0" collapsed="false">
      <c r="B241" s="7" t="s">
        <v>23949</v>
      </c>
      <c r="C241" s="7" t="s">
        <v>23680</v>
      </c>
      <c r="D241" s="7" t="s">
        <v>22802</v>
      </c>
      <c r="E241" s="39" t="n">
        <v>45778</v>
      </c>
      <c r="F241" s="39" t="n">
        <v>45799</v>
      </c>
      <c r="G241" s="41" t="n">
        <v>14.2</v>
      </c>
      <c r="H241" s="39" t="n">
        <v>45799</v>
      </c>
      <c r="I241" s="7" t="s">
        <v>14651</v>
      </c>
      <c r="J241" s="7" t="s">
        <v>22796</v>
      </c>
    </row>
    <row r="242" customFormat="false" ht="15" hidden="false" customHeight="false" outlineLevel="0" collapsed="false">
      <c r="B242" s="7" t="s">
        <v>23950</v>
      </c>
      <c r="C242" s="7" t="s">
        <v>23680</v>
      </c>
      <c r="D242" s="7" t="s">
        <v>22802</v>
      </c>
      <c r="E242" s="39" t="n">
        <v>45799</v>
      </c>
      <c r="F242" s="39" t="n">
        <v>45820</v>
      </c>
      <c r="G242" s="41" t="n">
        <v>13.45</v>
      </c>
      <c r="H242" s="39" t="n">
        <v>45820</v>
      </c>
      <c r="I242" s="7" t="s">
        <v>14651</v>
      </c>
      <c r="J242" s="7" t="s">
        <v>22796</v>
      </c>
    </row>
    <row r="243" customFormat="false" ht="15" hidden="false" customHeight="false" outlineLevel="0" collapsed="false">
      <c r="B243" s="7" t="s">
        <v>23951</v>
      </c>
      <c r="C243" s="7" t="s">
        <v>23680</v>
      </c>
      <c r="D243" s="7" t="s">
        <v>22802</v>
      </c>
      <c r="E243" s="39" t="n">
        <v>45803</v>
      </c>
      <c r="F243" s="39" t="n">
        <v>45824</v>
      </c>
      <c r="G243" s="41" t="n">
        <v>34.79</v>
      </c>
      <c r="H243" s="39" t="n">
        <v>45835</v>
      </c>
      <c r="I243" s="7" t="s">
        <v>14651</v>
      </c>
      <c r="J243" s="7" t="s">
        <v>22796</v>
      </c>
    </row>
    <row r="244" customFormat="false" ht="15" hidden="false" customHeight="false" outlineLevel="0" collapsed="false">
      <c r="B244" s="7" t="s">
        <v>23952</v>
      </c>
      <c r="C244" s="7" t="s">
        <v>23681</v>
      </c>
      <c r="D244" s="7" t="s">
        <v>22807</v>
      </c>
      <c r="E244" s="39" t="n">
        <v>45783</v>
      </c>
      <c r="F244" s="39" t="n">
        <v>45804</v>
      </c>
      <c r="G244" s="41" t="n">
        <v>22.07</v>
      </c>
      <c r="H244" s="39" t="n">
        <v>45806</v>
      </c>
      <c r="I244" s="7" t="s">
        <v>14651</v>
      </c>
      <c r="J244" s="7" t="s">
        <v>22796</v>
      </c>
    </row>
    <row r="245" customFormat="false" ht="15" hidden="false" customHeight="false" outlineLevel="0" collapsed="false">
      <c r="B245" s="7" t="s">
        <v>23953</v>
      </c>
      <c r="C245" s="7" t="s">
        <v>23681</v>
      </c>
      <c r="D245" s="7" t="s">
        <v>22807</v>
      </c>
      <c r="E245" s="39" t="n">
        <v>45807</v>
      </c>
      <c r="F245" s="39" t="n">
        <v>45828</v>
      </c>
      <c r="G245" s="41" t="n">
        <v>74.86</v>
      </c>
      <c r="H245" s="39" t="n">
        <v>45830</v>
      </c>
      <c r="I245" s="7" t="s">
        <v>14651</v>
      </c>
      <c r="J245" s="7" t="s">
        <v>22796</v>
      </c>
    </row>
    <row r="246" customFormat="false" ht="15" hidden="false" customHeight="false" outlineLevel="0" collapsed="false">
      <c r="B246" s="7" t="s">
        <v>23954</v>
      </c>
      <c r="C246" s="7" t="s">
        <v>23682</v>
      </c>
      <c r="D246" s="7" t="s">
        <v>22825</v>
      </c>
      <c r="E246" s="39" t="n">
        <v>45778</v>
      </c>
      <c r="F246" s="39" t="n">
        <v>45778</v>
      </c>
      <c r="G246" s="41" t="n">
        <v>669.26</v>
      </c>
      <c r="H246" s="39" t="n">
        <v>45778</v>
      </c>
      <c r="I246" s="7" t="s">
        <v>14651</v>
      </c>
      <c r="J246" s="7" t="s">
        <v>22796</v>
      </c>
    </row>
    <row r="247" customFormat="false" ht="15" hidden="false" customHeight="false" outlineLevel="0" collapsed="false">
      <c r="B247" s="7" t="s">
        <v>23955</v>
      </c>
      <c r="C247" s="7" t="s">
        <v>23684</v>
      </c>
      <c r="D247" s="7" t="s">
        <v>22827</v>
      </c>
      <c r="E247" s="39" t="n">
        <v>45778</v>
      </c>
      <c r="F247" s="39" t="n">
        <v>45778</v>
      </c>
      <c r="G247" s="41" t="n">
        <v>125.46</v>
      </c>
      <c r="H247" s="39" t="n">
        <v>45778</v>
      </c>
      <c r="I247" s="7" t="s">
        <v>14651</v>
      </c>
      <c r="J247" s="7" t="s">
        <v>22796</v>
      </c>
    </row>
    <row r="248" customFormat="false" ht="15" hidden="false" customHeight="false" outlineLevel="0" collapsed="false">
      <c r="B248" s="7" t="s">
        <v>23956</v>
      </c>
      <c r="C248" s="7" t="s">
        <v>23685</v>
      </c>
      <c r="D248" s="7" t="s">
        <v>22829</v>
      </c>
      <c r="E248" s="39" t="n">
        <v>45778</v>
      </c>
      <c r="F248" s="39" t="n">
        <v>45778</v>
      </c>
      <c r="G248" s="41" t="n">
        <v>80.72</v>
      </c>
      <c r="H248" s="39" t="n">
        <v>45778</v>
      </c>
      <c r="I248" s="7" t="s">
        <v>14651</v>
      </c>
      <c r="J248" s="7" t="s">
        <v>22796</v>
      </c>
    </row>
    <row r="249" customFormat="false" ht="15" hidden="false" customHeight="false" outlineLevel="0" collapsed="false">
      <c r="B249" s="7" t="s">
        <v>23957</v>
      </c>
      <c r="C249" s="7" t="s">
        <v>23686</v>
      </c>
      <c r="D249" s="7" t="s">
        <v>22831</v>
      </c>
      <c r="E249" s="39" t="n">
        <v>45778</v>
      </c>
      <c r="F249" s="39" t="n">
        <v>45778</v>
      </c>
      <c r="G249" s="41" t="n">
        <v>97.49</v>
      </c>
      <c r="H249" s="39" t="n">
        <v>45778</v>
      </c>
      <c r="I249" s="7" t="s">
        <v>14651</v>
      </c>
      <c r="J249" s="7" t="s">
        <v>22796</v>
      </c>
    </row>
    <row r="250" customFormat="false" ht="15" hidden="false" customHeight="false" outlineLevel="0" collapsed="false">
      <c r="B250" s="7" t="s">
        <v>23958</v>
      </c>
      <c r="C250" s="7" t="s">
        <v>23687</v>
      </c>
      <c r="D250" s="7" t="s">
        <v>132</v>
      </c>
      <c r="E250" s="39" t="n">
        <v>45778</v>
      </c>
      <c r="F250" s="39" t="n">
        <v>45778</v>
      </c>
      <c r="G250" s="41" t="n">
        <v>144.82</v>
      </c>
      <c r="H250" s="39" t="n">
        <v>45778</v>
      </c>
      <c r="I250" s="7" t="s">
        <v>14651</v>
      </c>
      <c r="J250" s="7" t="s">
        <v>22813</v>
      </c>
    </row>
    <row r="251" customFormat="false" ht="15" hidden="false" customHeight="false" outlineLevel="0" collapsed="false">
      <c r="B251" s="7" t="s">
        <v>23959</v>
      </c>
      <c r="C251" s="7" t="s">
        <v>23687</v>
      </c>
      <c r="D251" s="7" t="s">
        <v>132</v>
      </c>
      <c r="E251" s="39" t="n">
        <v>45792</v>
      </c>
      <c r="F251" s="39" t="n">
        <v>45792</v>
      </c>
      <c r="G251" s="41" t="n">
        <v>144.82</v>
      </c>
      <c r="H251" s="39" t="n">
        <v>45792</v>
      </c>
      <c r="I251" s="7" t="s">
        <v>14651</v>
      </c>
      <c r="J251" s="7" t="s">
        <v>22813</v>
      </c>
    </row>
    <row r="252" customFormat="false" ht="15" hidden="false" customHeight="false" outlineLevel="0" collapsed="false">
      <c r="B252" s="7" t="s">
        <v>23960</v>
      </c>
      <c r="C252" s="7" t="s">
        <v>23687</v>
      </c>
      <c r="D252" s="7" t="s">
        <v>132</v>
      </c>
      <c r="E252" s="39" t="n">
        <v>45806</v>
      </c>
      <c r="F252" s="39" t="n">
        <v>45806</v>
      </c>
      <c r="G252" s="41" t="n">
        <v>144.81</v>
      </c>
      <c r="H252" s="39" t="n">
        <v>45806</v>
      </c>
      <c r="I252" s="7" t="s">
        <v>14651</v>
      </c>
      <c r="J252" s="7" t="s">
        <v>22813</v>
      </c>
    </row>
    <row r="253" customFormat="false" ht="15" hidden="false" customHeight="false" outlineLevel="0" collapsed="false">
      <c r="B253" s="7" t="s">
        <v>23961</v>
      </c>
      <c r="C253" s="7" t="s">
        <v>23689</v>
      </c>
      <c r="D253" s="7" t="s">
        <v>22837</v>
      </c>
      <c r="E253" s="39" t="n">
        <v>45778</v>
      </c>
      <c r="F253" s="39" t="n">
        <v>45808</v>
      </c>
      <c r="G253" s="41" t="n">
        <v>400.85</v>
      </c>
      <c r="H253" s="39" t="n">
        <v>45806</v>
      </c>
      <c r="I253" s="7" t="s">
        <v>14651</v>
      </c>
      <c r="J253" s="7" t="s">
        <v>22796</v>
      </c>
    </row>
    <row r="254" customFormat="false" ht="15" hidden="false" customHeight="false" outlineLevel="0" collapsed="false">
      <c r="B254" s="7" t="s">
        <v>23962</v>
      </c>
      <c r="C254" s="7" t="s">
        <v>23691</v>
      </c>
      <c r="D254" s="7" t="s">
        <v>22839</v>
      </c>
      <c r="E254" s="39" t="n">
        <v>45778</v>
      </c>
      <c r="F254" s="39" t="n">
        <v>45808</v>
      </c>
      <c r="G254" s="41" t="n">
        <v>149.9</v>
      </c>
      <c r="H254" s="39" t="n">
        <v>45809</v>
      </c>
      <c r="I254" s="7" t="s">
        <v>14651</v>
      </c>
      <c r="J254" s="7" t="s">
        <v>22796</v>
      </c>
    </row>
    <row r="255" customFormat="false" ht="15" hidden="false" customHeight="false" outlineLevel="0" collapsed="false">
      <c r="B255" s="7" t="s">
        <v>23963</v>
      </c>
      <c r="C255" s="7" t="s">
        <v>23692</v>
      </c>
      <c r="D255" s="7" t="s">
        <v>22841</v>
      </c>
      <c r="E255" s="39" t="n">
        <v>45781</v>
      </c>
      <c r="F255" s="39" t="n">
        <v>45796</v>
      </c>
      <c r="G255" s="41" t="n">
        <v>64.48</v>
      </c>
      <c r="H255" s="39" t="n">
        <v>45783</v>
      </c>
      <c r="I255" s="7" t="s">
        <v>14651</v>
      </c>
      <c r="J255" s="7" t="s">
        <v>22796</v>
      </c>
    </row>
    <row r="256" customFormat="false" ht="15" hidden="false" customHeight="false" outlineLevel="0" collapsed="false">
      <c r="B256" s="7" t="s">
        <v>23964</v>
      </c>
      <c r="C256" s="7" t="s">
        <v>23692</v>
      </c>
      <c r="D256" s="7" t="s">
        <v>22841</v>
      </c>
      <c r="E256" s="39" t="n">
        <v>45802</v>
      </c>
      <c r="F256" s="39" t="n">
        <v>45817</v>
      </c>
      <c r="G256" s="41" t="n">
        <v>197.43</v>
      </c>
      <c r="H256" s="39" t="n">
        <v>45817</v>
      </c>
      <c r="I256" s="7" t="s">
        <v>14651</v>
      </c>
      <c r="J256" s="7" t="s">
        <v>22796</v>
      </c>
    </row>
    <row r="257" customFormat="false" ht="15" hidden="false" customHeight="false" outlineLevel="0" collapsed="false">
      <c r="B257" s="7" t="s">
        <v>23965</v>
      </c>
      <c r="C257" s="7" t="s">
        <v>23694</v>
      </c>
      <c r="D257" s="7" t="s">
        <v>22845</v>
      </c>
      <c r="E257" s="39" t="n">
        <v>45779</v>
      </c>
      <c r="F257" s="39" t="n">
        <v>45779</v>
      </c>
      <c r="G257" s="41" t="n">
        <v>112.34</v>
      </c>
      <c r="H257" s="39" t="n">
        <v>45779</v>
      </c>
      <c r="I257" s="7" t="s">
        <v>14651</v>
      </c>
      <c r="J257" s="7" t="s">
        <v>22796</v>
      </c>
    </row>
    <row r="258" customFormat="false" ht="15" hidden="false" customHeight="false" outlineLevel="0" collapsed="false">
      <c r="B258" s="7" t="s">
        <v>23966</v>
      </c>
      <c r="C258" s="7" t="s">
        <v>23694</v>
      </c>
      <c r="D258" s="7" t="s">
        <v>22845</v>
      </c>
      <c r="E258" s="39" t="n">
        <v>45786</v>
      </c>
      <c r="F258" s="39" t="n">
        <v>45786</v>
      </c>
      <c r="G258" s="41" t="n">
        <v>93.25</v>
      </c>
      <c r="H258" s="39" t="n">
        <v>45786</v>
      </c>
      <c r="I258" s="7" t="s">
        <v>14651</v>
      </c>
      <c r="J258" s="7" t="s">
        <v>22796</v>
      </c>
    </row>
    <row r="259" customFormat="false" ht="15" hidden="false" customHeight="false" outlineLevel="0" collapsed="false">
      <c r="B259" s="7" t="s">
        <v>23967</v>
      </c>
      <c r="C259" s="7" t="s">
        <v>23694</v>
      </c>
      <c r="D259" s="7" t="s">
        <v>22845</v>
      </c>
      <c r="E259" s="39" t="n">
        <v>45789</v>
      </c>
      <c r="F259" s="39" t="n">
        <v>45789</v>
      </c>
      <c r="G259" s="41" t="n">
        <v>147.21</v>
      </c>
      <c r="H259" s="39" t="n">
        <v>45789</v>
      </c>
      <c r="I259" s="7" t="s">
        <v>14651</v>
      </c>
      <c r="J259" s="7" t="s">
        <v>22796</v>
      </c>
    </row>
    <row r="260" customFormat="false" ht="15" hidden="false" customHeight="false" outlineLevel="0" collapsed="false">
      <c r="B260" s="7" t="s">
        <v>23968</v>
      </c>
      <c r="C260" s="7" t="s">
        <v>23695</v>
      </c>
      <c r="D260" s="7" t="s">
        <v>22848</v>
      </c>
      <c r="E260" s="39" t="n">
        <v>45788</v>
      </c>
      <c r="F260" s="39" t="n">
        <v>45818</v>
      </c>
      <c r="G260" s="41" t="n">
        <v>102.72</v>
      </c>
      <c r="H260" s="39" t="n">
        <v>45818</v>
      </c>
      <c r="I260" s="7" t="s">
        <v>14651</v>
      </c>
      <c r="J260" s="7" t="s">
        <v>22796</v>
      </c>
    </row>
    <row r="261" customFormat="false" ht="15" hidden="false" customHeight="false" outlineLevel="0" collapsed="false">
      <c r="B261" s="7" t="s">
        <v>23969</v>
      </c>
      <c r="C261" s="7" t="s">
        <v>23695</v>
      </c>
      <c r="D261" s="7" t="s">
        <v>22848</v>
      </c>
      <c r="E261" s="39" t="n">
        <v>45804</v>
      </c>
      <c r="F261" s="39" t="n">
        <v>45834</v>
      </c>
      <c r="G261" s="41" t="n">
        <v>30.52</v>
      </c>
      <c r="H261" s="39" t="n">
        <v>45815</v>
      </c>
      <c r="I261" s="7" t="s">
        <v>14651</v>
      </c>
      <c r="J261" s="7" t="s">
        <v>22796</v>
      </c>
    </row>
    <row r="262" customFormat="false" ht="15" hidden="false" customHeight="false" outlineLevel="0" collapsed="false">
      <c r="B262" s="7" t="s">
        <v>23970</v>
      </c>
      <c r="C262" s="7" t="s">
        <v>23695</v>
      </c>
      <c r="D262" s="7" t="s">
        <v>22848</v>
      </c>
      <c r="E262" s="39" t="n">
        <v>45807</v>
      </c>
      <c r="F262" s="39" t="n">
        <v>45837</v>
      </c>
      <c r="G262" s="41" t="n">
        <v>117.77</v>
      </c>
      <c r="H262" s="39" t="n">
        <v>45849</v>
      </c>
      <c r="I262" s="7" t="s">
        <v>14651</v>
      </c>
      <c r="J262" s="7" t="s">
        <v>22796</v>
      </c>
    </row>
    <row r="263" customFormat="false" ht="15" hidden="false" customHeight="false" outlineLevel="0" collapsed="false">
      <c r="B263" s="7" t="s">
        <v>23971</v>
      </c>
      <c r="C263" s="7" t="s">
        <v>23696</v>
      </c>
      <c r="D263" s="7" t="s">
        <v>136</v>
      </c>
      <c r="E263" s="39" t="n">
        <v>45788</v>
      </c>
      <c r="F263" s="39" t="n">
        <v>45803</v>
      </c>
      <c r="G263" s="41" t="n">
        <v>36.03</v>
      </c>
      <c r="H263" s="39" t="n">
        <v>45801</v>
      </c>
      <c r="I263" s="7" t="s">
        <v>14651</v>
      </c>
      <c r="J263" s="7" t="s">
        <v>22796</v>
      </c>
    </row>
    <row r="264" customFormat="false" ht="15" hidden="false" customHeight="false" outlineLevel="0" collapsed="false">
      <c r="B264" s="7" t="s">
        <v>23972</v>
      </c>
      <c r="C264" s="7" t="s">
        <v>23696</v>
      </c>
      <c r="D264" s="7" t="s">
        <v>136</v>
      </c>
      <c r="E264" s="39" t="n">
        <v>45798</v>
      </c>
      <c r="F264" s="39" t="n">
        <v>45813</v>
      </c>
      <c r="G264" s="41" t="n">
        <v>44.48</v>
      </c>
      <c r="H264" s="39" t="n">
        <v>45825</v>
      </c>
      <c r="I264" s="7" t="s">
        <v>14651</v>
      </c>
      <c r="J264" s="7" t="s">
        <v>22796</v>
      </c>
    </row>
    <row r="265" customFormat="false" ht="15" hidden="false" customHeight="false" outlineLevel="0" collapsed="false">
      <c r="B265" s="7" t="s">
        <v>23973</v>
      </c>
      <c r="C265" s="7" t="s">
        <v>23696</v>
      </c>
      <c r="D265" s="7" t="s">
        <v>136</v>
      </c>
      <c r="E265" s="39" t="n">
        <v>45806</v>
      </c>
      <c r="F265" s="39" t="n">
        <v>45821</v>
      </c>
      <c r="G265" s="41" t="n">
        <v>77.7</v>
      </c>
      <c r="H265" s="39" t="n">
        <v>45823</v>
      </c>
      <c r="I265" s="7" t="s">
        <v>14651</v>
      </c>
      <c r="J265" s="7" t="s">
        <v>22796</v>
      </c>
    </row>
    <row r="266" customFormat="false" ht="15" hidden="false" customHeight="false" outlineLevel="0" collapsed="false">
      <c r="B266" s="7" t="s">
        <v>23974</v>
      </c>
      <c r="C266" s="7" t="s">
        <v>23697</v>
      </c>
      <c r="D266" s="7" t="s">
        <v>22855</v>
      </c>
      <c r="E266" s="39" t="n">
        <v>45778</v>
      </c>
      <c r="F266" s="39" t="n">
        <v>45799</v>
      </c>
      <c r="G266" s="41" t="n">
        <v>176.93</v>
      </c>
      <c r="H266" s="39" t="n">
        <v>45814</v>
      </c>
      <c r="I266" s="7" t="s">
        <v>14651</v>
      </c>
      <c r="J266" s="7" t="s">
        <v>22796</v>
      </c>
    </row>
    <row r="267" customFormat="false" ht="15" hidden="false" customHeight="false" outlineLevel="0" collapsed="false">
      <c r="B267" s="7" t="s">
        <v>23975</v>
      </c>
      <c r="C267" s="7" t="s">
        <v>23698</v>
      </c>
      <c r="D267" s="7" t="s">
        <v>22857</v>
      </c>
      <c r="E267" s="39" t="n">
        <v>45778</v>
      </c>
      <c r="F267" s="39" t="n">
        <v>45799</v>
      </c>
      <c r="G267" s="41" t="n">
        <v>498.56</v>
      </c>
      <c r="H267" s="39" t="n">
        <v>45798</v>
      </c>
      <c r="I267" s="7" t="s">
        <v>14651</v>
      </c>
      <c r="J267" s="7" t="s">
        <v>22796</v>
      </c>
    </row>
    <row r="268" customFormat="false" ht="15" hidden="false" customHeight="false" outlineLevel="0" collapsed="false">
      <c r="B268" s="7" t="s">
        <v>23976</v>
      </c>
      <c r="C268" s="7" t="s">
        <v>23699</v>
      </c>
      <c r="D268" s="7" t="s">
        <v>22859</v>
      </c>
      <c r="E268" s="39" t="n">
        <v>45787</v>
      </c>
      <c r="F268" s="39" t="n">
        <v>45817</v>
      </c>
      <c r="G268" s="41" t="n">
        <v>105.21</v>
      </c>
      <c r="H268" s="39" t="n">
        <v>45815</v>
      </c>
      <c r="I268" s="7" t="s">
        <v>14651</v>
      </c>
      <c r="J268" s="7" t="s">
        <v>22796</v>
      </c>
    </row>
    <row r="269" customFormat="false" ht="15" hidden="false" customHeight="false" outlineLevel="0" collapsed="false">
      <c r="B269" s="7" t="s">
        <v>23977</v>
      </c>
      <c r="C269" s="7" t="s">
        <v>23699</v>
      </c>
      <c r="D269" s="7" t="s">
        <v>22859</v>
      </c>
      <c r="E269" s="39" t="n">
        <v>45794</v>
      </c>
      <c r="F269" s="39" t="n">
        <v>45824</v>
      </c>
      <c r="G269" s="41" t="n">
        <v>82.72</v>
      </c>
      <c r="H269" s="39" t="n">
        <v>45825</v>
      </c>
      <c r="I269" s="7" t="s">
        <v>14651</v>
      </c>
      <c r="J269" s="7" t="s">
        <v>22796</v>
      </c>
    </row>
    <row r="270" customFormat="false" ht="15" hidden="false" customHeight="false" outlineLevel="0" collapsed="false">
      <c r="B270" s="7" t="s">
        <v>23978</v>
      </c>
      <c r="C270" s="7" t="s">
        <v>23699</v>
      </c>
      <c r="D270" s="7" t="s">
        <v>22859</v>
      </c>
      <c r="E270" s="39" t="n">
        <v>45807</v>
      </c>
      <c r="F270" s="39" t="n">
        <v>45837</v>
      </c>
      <c r="G270" s="41" t="n">
        <v>235.9</v>
      </c>
      <c r="H270" s="39" t="n">
        <v>45850</v>
      </c>
      <c r="I270" s="7" t="s">
        <v>14651</v>
      </c>
      <c r="J270" s="7" t="s">
        <v>22796</v>
      </c>
    </row>
    <row r="271" customFormat="false" ht="15" hidden="false" customHeight="false" outlineLevel="0" collapsed="false">
      <c r="B271" s="7" t="s">
        <v>23979</v>
      </c>
      <c r="C271" s="7" t="s">
        <v>23700</v>
      </c>
      <c r="D271" s="7" t="s">
        <v>22862</v>
      </c>
      <c r="E271" s="39" t="n">
        <v>45785</v>
      </c>
      <c r="F271" s="39" t="n">
        <v>45785</v>
      </c>
      <c r="G271" s="41" t="n">
        <v>41.44</v>
      </c>
      <c r="H271" s="39" t="n">
        <v>45785</v>
      </c>
      <c r="I271" s="7" t="s">
        <v>14651</v>
      </c>
      <c r="J271" s="7" t="s">
        <v>22796</v>
      </c>
    </row>
    <row r="272" customFormat="false" ht="15" hidden="false" customHeight="false" outlineLevel="0" collapsed="false">
      <c r="B272" s="7" t="s">
        <v>23980</v>
      </c>
      <c r="C272" s="7" t="s">
        <v>23700</v>
      </c>
      <c r="D272" s="7" t="s">
        <v>22862</v>
      </c>
      <c r="E272" s="39" t="n">
        <v>45788</v>
      </c>
      <c r="F272" s="39" t="n">
        <v>45788</v>
      </c>
      <c r="G272" s="41" t="n">
        <v>29.9</v>
      </c>
      <c r="H272" s="39" t="n">
        <v>45788</v>
      </c>
      <c r="I272" s="7" t="s">
        <v>14651</v>
      </c>
      <c r="J272" s="7" t="s">
        <v>22796</v>
      </c>
    </row>
    <row r="273" customFormat="false" ht="15" hidden="false" customHeight="false" outlineLevel="0" collapsed="false">
      <c r="B273" s="7" t="s">
        <v>23981</v>
      </c>
      <c r="C273" s="7" t="s">
        <v>23700</v>
      </c>
      <c r="D273" s="7" t="s">
        <v>22862</v>
      </c>
      <c r="E273" s="39" t="n">
        <v>45798</v>
      </c>
      <c r="F273" s="39" t="n">
        <v>45798</v>
      </c>
      <c r="G273" s="41" t="n">
        <v>37.89</v>
      </c>
      <c r="H273" s="39" t="n">
        <v>45798</v>
      </c>
      <c r="I273" s="7" t="s">
        <v>14651</v>
      </c>
      <c r="J273" s="7" t="s">
        <v>22796</v>
      </c>
    </row>
    <row r="274" customFormat="false" ht="15" hidden="false" customHeight="false" outlineLevel="0" collapsed="false">
      <c r="B274" s="7" t="s">
        <v>23982</v>
      </c>
      <c r="C274" s="7" t="s">
        <v>23700</v>
      </c>
      <c r="D274" s="7" t="s">
        <v>22862</v>
      </c>
      <c r="E274" s="39" t="n">
        <v>45806</v>
      </c>
      <c r="F274" s="39" t="n">
        <v>45806</v>
      </c>
      <c r="G274" s="41" t="n">
        <v>43.34</v>
      </c>
      <c r="H274" s="39" t="n">
        <v>45806</v>
      </c>
      <c r="I274" s="7" t="s">
        <v>14651</v>
      </c>
      <c r="J274" s="7" t="s">
        <v>22796</v>
      </c>
    </row>
    <row r="275" customFormat="false" ht="15" hidden="false" customHeight="false" outlineLevel="0" collapsed="false">
      <c r="B275" s="7" t="s">
        <v>23983</v>
      </c>
      <c r="C275" s="7" t="s">
        <v>23702</v>
      </c>
      <c r="D275" s="7" t="s">
        <v>22866</v>
      </c>
      <c r="E275" s="39" t="n">
        <v>45793</v>
      </c>
      <c r="F275" s="39" t="n">
        <v>45808</v>
      </c>
      <c r="G275" s="41" t="n">
        <v>248.51</v>
      </c>
      <c r="H275" s="39" t="n">
        <v>45822</v>
      </c>
      <c r="I275" s="7" t="s">
        <v>14651</v>
      </c>
      <c r="J275" s="7" t="s">
        <v>22796</v>
      </c>
    </row>
    <row r="276" customFormat="false" ht="15" hidden="false" customHeight="false" outlineLevel="0" collapsed="false">
      <c r="B276" s="7" t="s">
        <v>23984</v>
      </c>
      <c r="C276" s="7" t="s">
        <v>23702</v>
      </c>
      <c r="D276" s="7" t="s">
        <v>22866</v>
      </c>
      <c r="E276" s="39" t="n">
        <v>45806</v>
      </c>
      <c r="F276" s="39" t="n">
        <v>45821</v>
      </c>
      <c r="G276" s="41" t="n">
        <v>359.23</v>
      </c>
      <c r="H276" s="39" t="n">
        <v>45820</v>
      </c>
      <c r="I276" s="7" t="s">
        <v>14651</v>
      </c>
      <c r="J276" s="7" t="s">
        <v>22796</v>
      </c>
    </row>
    <row r="277" customFormat="false" ht="15" hidden="false" customHeight="false" outlineLevel="0" collapsed="false">
      <c r="B277" s="7" t="s">
        <v>23985</v>
      </c>
      <c r="C277" s="7" t="s">
        <v>23703</v>
      </c>
      <c r="D277" s="7" t="s">
        <v>22870</v>
      </c>
      <c r="E277" s="39" t="n">
        <v>45778</v>
      </c>
      <c r="F277" s="39" t="n">
        <v>45808</v>
      </c>
      <c r="G277" s="41" t="n">
        <v>161.76</v>
      </c>
      <c r="H277" s="39" t="n">
        <v>45799</v>
      </c>
      <c r="I277" s="7" t="s">
        <v>14651</v>
      </c>
      <c r="J277" s="7" t="s">
        <v>22796</v>
      </c>
    </row>
    <row r="278" customFormat="false" ht="15" hidden="false" customHeight="false" outlineLevel="0" collapsed="false">
      <c r="B278" s="7" t="s">
        <v>23986</v>
      </c>
      <c r="C278" s="7" t="s">
        <v>23703</v>
      </c>
      <c r="D278" s="7" t="s">
        <v>22870</v>
      </c>
      <c r="E278" s="39" t="n">
        <v>45787</v>
      </c>
      <c r="F278" s="39" t="n">
        <v>45817</v>
      </c>
      <c r="G278" s="41" t="n">
        <v>163.75</v>
      </c>
      <c r="H278" s="39" t="n">
        <v>45817</v>
      </c>
      <c r="I278" s="7" t="s">
        <v>14651</v>
      </c>
      <c r="J278" s="7" t="s">
        <v>22796</v>
      </c>
    </row>
    <row r="279" customFormat="false" ht="15" hidden="false" customHeight="false" outlineLevel="0" collapsed="false">
      <c r="B279" s="7" t="s">
        <v>23987</v>
      </c>
      <c r="C279" s="7" t="s">
        <v>23704</v>
      </c>
      <c r="D279" s="7" t="s">
        <v>22874</v>
      </c>
      <c r="E279" s="39" t="n">
        <v>45778</v>
      </c>
      <c r="F279" s="39" t="n">
        <v>45808</v>
      </c>
      <c r="G279" s="41" t="n">
        <v>397.51</v>
      </c>
      <c r="H279" s="39" t="n">
        <v>45801</v>
      </c>
      <c r="I279" s="7" t="s">
        <v>14651</v>
      </c>
      <c r="J279" s="7" t="s">
        <v>22796</v>
      </c>
    </row>
    <row r="280" customFormat="false" ht="15" hidden="false" customHeight="false" outlineLevel="0" collapsed="false">
      <c r="B280" s="7" t="s">
        <v>23988</v>
      </c>
      <c r="C280" s="7" t="s">
        <v>23705</v>
      </c>
      <c r="D280" s="7" t="s">
        <v>22876</v>
      </c>
      <c r="E280" s="39" t="n">
        <v>45796</v>
      </c>
      <c r="F280" s="39" t="n">
        <v>45826</v>
      </c>
      <c r="G280" s="41" t="n">
        <v>105.53</v>
      </c>
      <c r="H280" s="39" t="n">
        <v>45837</v>
      </c>
      <c r="I280" s="7" t="s">
        <v>14651</v>
      </c>
      <c r="J280" s="7" t="s">
        <v>22796</v>
      </c>
    </row>
    <row r="281" customFormat="false" ht="15" hidden="false" customHeight="false" outlineLevel="0" collapsed="false">
      <c r="B281" s="7" t="s">
        <v>23989</v>
      </c>
      <c r="C281" s="7" t="s">
        <v>23705</v>
      </c>
      <c r="D281" s="7" t="s">
        <v>22876</v>
      </c>
      <c r="E281" s="39" t="n">
        <v>45801</v>
      </c>
      <c r="F281" s="39" t="n">
        <v>45831</v>
      </c>
      <c r="G281" s="41" t="n">
        <v>252.21</v>
      </c>
      <c r="H281" s="39" t="n">
        <v>45833</v>
      </c>
      <c r="I281" s="7" t="s">
        <v>14651</v>
      </c>
      <c r="J281" s="7" t="s">
        <v>22796</v>
      </c>
    </row>
    <row r="282" customFormat="false" ht="15" hidden="false" customHeight="false" outlineLevel="0" collapsed="false">
      <c r="B282" s="7" t="s">
        <v>23990</v>
      </c>
      <c r="C282" s="7" t="s">
        <v>23706</v>
      </c>
      <c r="D282" s="7" t="s">
        <v>142</v>
      </c>
      <c r="E282" s="39" t="n">
        <v>45790</v>
      </c>
      <c r="F282" s="39" t="n">
        <v>45820</v>
      </c>
      <c r="G282" s="41" t="n">
        <v>85.93</v>
      </c>
      <c r="H282" s="39" t="n">
        <v>45806</v>
      </c>
      <c r="I282" s="7" t="s">
        <v>14651</v>
      </c>
      <c r="J282" s="7" t="s">
        <v>22796</v>
      </c>
    </row>
    <row r="283" customFormat="false" ht="15" hidden="false" customHeight="false" outlineLevel="0" collapsed="false">
      <c r="B283" s="7" t="s">
        <v>23991</v>
      </c>
      <c r="C283" s="7" t="s">
        <v>23706</v>
      </c>
      <c r="D283" s="7" t="s">
        <v>142</v>
      </c>
      <c r="E283" s="39" t="n">
        <v>45793</v>
      </c>
      <c r="F283" s="39" t="n">
        <v>45823</v>
      </c>
      <c r="G283" s="41" t="n">
        <v>104.79</v>
      </c>
      <c r="H283" s="39" t="n">
        <v>45823</v>
      </c>
      <c r="I283" s="7" t="s">
        <v>14651</v>
      </c>
      <c r="J283" s="7" t="s">
        <v>22796</v>
      </c>
    </row>
    <row r="284" customFormat="false" ht="15" hidden="false" customHeight="false" outlineLevel="0" collapsed="false">
      <c r="B284" s="7" t="s">
        <v>23992</v>
      </c>
      <c r="C284" s="7" t="s">
        <v>23707</v>
      </c>
      <c r="D284" s="7" t="s">
        <v>22882</v>
      </c>
      <c r="E284" s="39" t="n">
        <v>45779</v>
      </c>
      <c r="F284" s="39" t="n">
        <v>45779</v>
      </c>
      <c r="G284" s="41" t="n">
        <v>17.9</v>
      </c>
      <c r="H284" s="39" t="n">
        <v>45779</v>
      </c>
      <c r="I284" s="7" t="s">
        <v>14651</v>
      </c>
      <c r="J284" s="7" t="s">
        <v>22796</v>
      </c>
    </row>
    <row r="285" customFormat="false" ht="15" hidden="false" customHeight="false" outlineLevel="0" collapsed="false">
      <c r="B285" s="7" t="s">
        <v>23993</v>
      </c>
      <c r="C285" s="7" t="s">
        <v>23707</v>
      </c>
      <c r="D285" s="7" t="s">
        <v>22882</v>
      </c>
      <c r="E285" s="39" t="n">
        <v>45807</v>
      </c>
      <c r="F285" s="39" t="n">
        <v>45807</v>
      </c>
      <c r="G285" s="41" t="n">
        <v>11.11</v>
      </c>
      <c r="H285" s="39" t="n">
        <v>45807</v>
      </c>
      <c r="I285" s="7" t="s">
        <v>14651</v>
      </c>
      <c r="J285" s="7" t="s">
        <v>22796</v>
      </c>
    </row>
    <row r="286" customFormat="false" ht="15" hidden="false" customHeight="false" outlineLevel="0" collapsed="false">
      <c r="B286" s="7" t="s">
        <v>23994</v>
      </c>
      <c r="C286" s="7" t="s">
        <v>23707</v>
      </c>
      <c r="D286" s="7" t="s">
        <v>22882</v>
      </c>
      <c r="E286" s="39" t="n">
        <v>45808</v>
      </c>
      <c r="F286" s="39" t="n">
        <v>45808</v>
      </c>
      <c r="G286" s="41" t="n">
        <v>14.79</v>
      </c>
      <c r="H286" s="39" t="n">
        <v>45808</v>
      </c>
      <c r="I286" s="7" t="s">
        <v>14651</v>
      </c>
      <c r="J286" s="7" t="s">
        <v>22796</v>
      </c>
    </row>
    <row r="287" customFormat="false" ht="15" hidden="false" customHeight="false" outlineLevel="0" collapsed="false">
      <c r="B287" s="7" t="s">
        <v>23995</v>
      </c>
      <c r="C287" s="7" t="s">
        <v>23708</v>
      </c>
      <c r="D287" s="7" t="s">
        <v>143</v>
      </c>
      <c r="E287" s="39" t="n">
        <v>45780</v>
      </c>
      <c r="F287" s="39" t="n">
        <v>45795</v>
      </c>
      <c r="G287" s="41" t="n">
        <v>44.8</v>
      </c>
      <c r="H287" s="39" t="n">
        <v>45793</v>
      </c>
      <c r="I287" s="7" t="s">
        <v>14651</v>
      </c>
      <c r="J287" s="7" t="s">
        <v>22796</v>
      </c>
    </row>
    <row r="288" customFormat="false" ht="15" hidden="false" customHeight="false" outlineLevel="0" collapsed="false">
      <c r="B288" s="7" t="s">
        <v>23996</v>
      </c>
      <c r="C288" s="7" t="s">
        <v>23708</v>
      </c>
      <c r="D288" s="7" t="s">
        <v>143</v>
      </c>
      <c r="E288" s="39" t="n">
        <v>45785</v>
      </c>
      <c r="F288" s="39" t="n">
        <v>45800</v>
      </c>
      <c r="G288" s="41" t="n">
        <v>41.04</v>
      </c>
      <c r="H288" s="39" t="n">
        <v>45789</v>
      </c>
      <c r="I288" s="7" t="s">
        <v>14651</v>
      </c>
      <c r="J288" s="7" t="s">
        <v>22796</v>
      </c>
    </row>
    <row r="289" customFormat="false" ht="15" hidden="false" customHeight="false" outlineLevel="0" collapsed="false">
      <c r="B289" s="7" t="s">
        <v>23997</v>
      </c>
      <c r="C289" s="7" t="s">
        <v>23708</v>
      </c>
      <c r="D289" s="7" t="s">
        <v>143</v>
      </c>
      <c r="E289" s="39" t="n">
        <v>45794</v>
      </c>
      <c r="F289" s="39" t="n">
        <v>45809</v>
      </c>
      <c r="G289" s="41" t="n">
        <v>104.11</v>
      </c>
      <c r="H289" s="39" t="n">
        <v>45807</v>
      </c>
      <c r="I289" s="7" t="s">
        <v>14651</v>
      </c>
      <c r="J289" s="7" t="s">
        <v>22796</v>
      </c>
    </row>
    <row r="290" customFormat="false" ht="15" hidden="false" customHeight="false" outlineLevel="0" collapsed="false">
      <c r="B290" s="7" t="s">
        <v>23998</v>
      </c>
      <c r="C290" s="7" t="s">
        <v>23676</v>
      </c>
      <c r="D290" s="7" t="s">
        <v>124</v>
      </c>
      <c r="E290" s="39" t="n">
        <v>45809</v>
      </c>
      <c r="F290" s="39" t="n">
        <v>45809</v>
      </c>
      <c r="G290" s="41" t="n">
        <v>2076.62</v>
      </c>
      <c r="H290" s="39" t="n">
        <v>45809</v>
      </c>
      <c r="I290" s="7" t="s">
        <v>14651</v>
      </c>
      <c r="J290" s="7" t="s">
        <v>22796</v>
      </c>
    </row>
    <row r="291" customFormat="false" ht="15" hidden="false" customHeight="false" outlineLevel="0" collapsed="false">
      <c r="B291" s="7" t="s">
        <v>23999</v>
      </c>
      <c r="C291" s="7" t="s">
        <v>23678</v>
      </c>
      <c r="D291" s="7" t="s">
        <v>22798</v>
      </c>
      <c r="E291" s="39" t="n">
        <v>45819</v>
      </c>
      <c r="F291" s="39" t="n">
        <v>45840</v>
      </c>
      <c r="G291" s="41" t="n">
        <v>87.31</v>
      </c>
      <c r="H291" s="39" t="n">
        <v>45820</v>
      </c>
      <c r="I291" s="7" t="s">
        <v>14651</v>
      </c>
      <c r="J291" s="7" t="s">
        <v>22796</v>
      </c>
    </row>
    <row r="292" customFormat="false" ht="15" hidden="false" customHeight="false" outlineLevel="0" collapsed="false">
      <c r="B292" s="7" t="s">
        <v>24000</v>
      </c>
      <c r="C292" s="7" t="s">
        <v>23678</v>
      </c>
      <c r="D292" s="7" t="s">
        <v>22798</v>
      </c>
      <c r="E292" s="39" t="n">
        <v>45831</v>
      </c>
      <c r="F292" s="39" t="n">
        <v>45852</v>
      </c>
      <c r="G292" s="41" t="n">
        <v>39</v>
      </c>
      <c r="H292" s="39" t="n">
        <v>45834</v>
      </c>
      <c r="I292" s="7" t="s">
        <v>14651</v>
      </c>
      <c r="J292" s="7" t="s">
        <v>22796</v>
      </c>
    </row>
    <row r="293" customFormat="false" ht="15" hidden="false" customHeight="false" outlineLevel="0" collapsed="false">
      <c r="B293" s="7" t="s">
        <v>24001</v>
      </c>
      <c r="C293" s="7" t="s">
        <v>23678</v>
      </c>
      <c r="D293" s="7" t="s">
        <v>22798</v>
      </c>
      <c r="E293" s="39" t="n">
        <v>45837</v>
      </c>
      <c r="F293" s="39" t="n">
        <v>45858</v>
      </c>
      <c r="G293" s="41" t="n">
        <v>73.92</v>
      </c>
      <c r="H293" s="39" t="n">
        <v>45857</v>
      </c>
      <c r="I293" s="7" t="s">
        <v>14651</v>
      </c>
      <c r="J293" s="7" t="s">
        <v>22796</v>
      </c>
    </row>
    <row r="294" customFormat="false" ht="15" hidden="false" customHeight="false" outlineLevel="0" collapsed="false">
      <c r="B294" s="7" t="s">
        <v>24002</v>
      </c>
      <c r="C294" s="7" t="s">
        <v>23680</v>
      </c>
      <c r="D294" s="7" t="s">
        <v>22802</v>
      </c>
      <c r="E294" s="39" t="n">
        <v>45811</v>
      </c>
      <c r="F294" s="39" t="n">
        <v>45832</v>
      </c>
      <c r="G294" s="41" t="n">
        <v>21.47</v>
      </c>
      <c r="H294" s="39" t="n">
        <v>45831</v>
      </c>
      <c r="I294" s="7" t="s">
        <v>14651</v>
      </c>
      <c r="J294" s="7" t="s">
        <v>22796</v>
      </c>
    </row>
    <row r="295" customFormat="false" ht="15" hidden="false" customHeight="false" outlineLevel="0" collapsed="false">
      <c r="B295" s="7" t="s">
        <v>24003</v>
      </c>
      <c r="C295" s="7" t="s">
        <v>23680</v>
      </c>
      <c r="D295" s="7" t="s">
        <v>22802</v>
      </c>
      <c r="E295" s="39" t="n">
        <v>45820</v>
      </c>
      <c r="F295" s="39" t="n">
        <v>45841</v>
      </c>
      <c r="G295" s="41" t="n">
        <v>12.76</v>
      </c>
      <c r="H295" s="39" t="n">
        <v>45842</v>
      </c>
      <c r="I295" s="7" t="s">
        <v>14651</v>
      </c>
      <c r="J295" s="7" t="s">
        <v>22796</v>
      </c>
    </row>
    <row r="296" customFormat="false" ht="15" hidden="false" customHeight="false" outlineLevel="0" collapsed="false">
      <c r="B296" s="7" t="s">
        <v>24004</v>
      </c>
      <c r="C296" s="7" t="s">
        <v>23680</v>
      </c>
      <c r="D296" s="7" t="s">
        <v>22802</v>
      </c>
      <c r="E296" s="39" t="n">
        <v>45830</v>
      </c>
      <c r="F296" s="39" t="n">
        <v>45851</v>
      </c>
      <c r="G296" s="41" t="n">
        <v>30.7</v>
      </c>
      <c r="H296" s="39" t="n">
        <v>45851</v>
      </c>
      <c r="I296" s="7" t="s">
        <v>14651</v>
      </c>
      <c r="J296" s="7" t="s">
        <v>22796</v>
      </c>
    </row>
    <row r="297" customFormat="false" ht="15" hidden="false" customHeight="false" outlineLevel="0" collapsed="false">
      <c r="B297" s="7" t="s">
        <v>24005</v>
      </c>
      <c r="C297" s="7" t="s">
        <v>23681</v>
      </c>
      <c r="D297" s="7" t="s">
        <v>22807</v>
      </c>
      <c r="E297" s="39" t="n">
        <v>45822</v>
      </c>
      <c r="F297" s="39" t="n">
        <v>45843</v>
      </c>
      <c r="G297" s="41" t="n">
        <v>37.07</v>
      </c>
      <c r="H297" s="39" t="n">
        <v>45841</v>
      </c>
      <c r="I297" s="7" t="s">
        <v>14651</v>
      </c>
      <c r="J297" s="7" t="s">
        <v>22796</v>
      </c>
    </row>
    <row r="298" customFormat="false" ht="15" hidden="false" customHeight="false" outlineLevel="0" collapsed="false">
      <c r="B298" s="7" t="s">
        <v>24006</v>
      </c>
      <c r="C298" s="7" t="s">
        <v>23681</v>
      </c>
      <c r="D298" s="7" t="s">
        <v>22807</v>
      </c>
      <c r="E298" s="39" t="n">
        <v>45824</v>
      </c>
      <c r="F298" s="39" t="n">
        <v>45845</v>
      </c>
      <c r="G298" s="41" t="n">
        <v>14.26</v>
      </c>
      <c r="H298" s="39" t="n">
        <v>45845</v>
      </c>
      <c r="I298" s="7" t="s">
        <v>14651</v>
      </c>
      <c r="J298" s="7" t="s">
        <v>22796</v>
      </c>
    </row>
    <row r="299" customFormat="false" ht="15" hidden="false" customHeight="false" outlineLevel="0" collapsed="false">
      <c r="B299" s="7" t="s">
        <v>24007</v>
      </c>
      <c r="C299" s="7" t="s">
        <v>23681</v>
      </c>
      <c r="D299" s="7" t="s">
        <v>22807</v>
      </c>
      <c r="E299" s="39" t="n">
        <v>45828</v>
      </c>
      <c r="F299" s="39" t="n">
        <v>45849</v>
      </c>
      <c r="G299" s="41" t="n">
        <v>48.71</v>
      </c>
      <c r="H299" s="39" t="n">
        <v>45847</v>
      </c>
      <c r="I299" s="7" t="s">
        <v>14651</v>
      </c>
      <c r="J299" s="7" t="s">
        <v>22796</v>
      </c>
    </row>
    <row r="300" customFormat="false" ht="15" hidden="false" customHeight="false" outlineLevel="0" collapsed="false">
      <c r="B300" s="7" t="s">
        <v>24008</v>
      </c>
      <c r="C300" s="7" t="s">
        <v>23682</v>
      </c>
      <c r="D300" s="7" t="s">
        <v>22825</v>
      </c>
      <c r="E300" s="39" t="n">
        <v>45809</v>
      </c>
      <c r="F300" s="39" t="n">
        <v>45809</v>
      </c>
      <c r="G300" s="41" t="n">
        <v>637.74</v>
      </c>
      <c r="H300" s="39" t="n">
        <v>45809</v>
      </c>
      <c r="I300" s="7" t="s">
        <v>14651</v>
      </c>
      <c r="J300" s="7" t="s">
        <v>22796</v>
      </c>
    </row>
    <row r="301" customFormat="false" ht="15" hidden="false" customHeight="false" outlineLevel="0" collapsed="false">
      <c r="B301" s="7" t="s">
        <v>24009</v>
      </c>
      <c r="C301" s="7" t="s">
        <v>23684</v>
      </c>
      <c r="D301" s="7" t="s">
        <v>22827</v>
      </c>
      <c r="E301" s="39" t="n">
        <v>45809</v>
      </c>
      <c r="F301" s="39" t="n">
        <v>45809</v>
      </c>
      <c r="G301" s="41" t="n">
        <v>120.02</v>
      </c>
      <c r="H301" s="39" t="n">
        <v>45809</v>
      </c>
      <c r="I301" s="7" t="s">
        <v>14651</v>
      </c>
      <c r="J301" s="7" t="s">
        <v>22796</v>
      </c>
    </row>
    <row r="302" customFormat="false" ht="15" hidden="false" customHeight="false" outlineLevel="0" collapsed="false">
      <c r="B302" s="7" t="s">
        <v>24010</v>
      </c>
      <c r="C302" s="7" t="s">
        <v>23685</v>
      </c>
      <c r="D302" s="7" t="s">
        <v>22829</v>
      </c>
      <c r="E302" s="39" t="n">
        <v>45809</v>
      </c>
      <c r="F302" s="39" t="n">
        <v>45809</v>
      </c>
      <c r="G302" s="41" t="n">
        <v>89.44</v>
      </c>
      <c r="H302" s="39" t="n">
        <v>45809</v>
      </c>
      <c r="I302" s="7" t="s">
        <v>14651</v>
      </c>
      <c r="J302" s="7" t="s">
        <v>22796</v>
      </c>
    </row>
    <row r="303" customFormat="false" ht="15" hidden="false" customHeight="false" outlineLevel="0" collapsed="false">
      <c r="B303" s="7" t="s">
        <v>24011</v>
      </c>
      <c r="C303" s="7" t="s">
        <v>23686</v>
      </c>
      <c r="D303" s="7" t="s">
        <v>22831</v>
      </c>
      <c r="E303" s="39" t="n">
        <v>45809</v>
      </c>
      <c r="F303" s="39" t="n">
        <v>45809</v>
      </c>
      <c r="G303" s="41" t="n">
        <v>99.95</v>
      </c>
      <c r="H303" s="39" t="n">
        <v>45809</v>
      </c>
      <c r="I303" s="7" t="s">
        <v>14651</v>
      </c>
      <c r="J303" s="7" t="s">
        <v>22796</v>
      </c>
    </row>
    <row r="304" customFormat="false" ht="15" hidden="false" customHeight="false" outlineLevel="0" collapsed="false">
      <c r="B304" s="7" t="s">
        <v>24012</v>
      </c>
      <c r="C304" s="7" t="s">
        <v>23687</v>
      </c>
      <c r="D304" s="7" t="s">
        <v>132</v>
      </c>
      <c r="E304" s="39" t="n">
        <v>45820</v>
      </c>
      <c r="F304" s="39" t="n">
        <v>45820</v>
      </c>
      <c r="G304" s="41" t="n">
        <v>219.16</v>
      </c>
      <c r="H304" s="39" t="n">
        <v>45820</v>
      </c>
      <c r="I304" s="7" t="s">
        <v>14651</v>
      </c>
      <c r="J304" s="7" t="s">
        <v>22813</v>
      </c>
    </row>
    <row r="305" customFormat="false" ht="15" hidden="false" customHeight="false" outlineLevel="0" collapsed="false">
      <c r="B305" s="7" t="s">
        <v>24013</v>
      </c>
      <c r="C305" s="7" t="s">
        <v>23687</v>
      </c>
      <c r="D305" s="7" t="s">
        <v>132</v>
      </c>
      <c r="E305" s="39" t="n">
        <v>45834</v>
      </c>
      <c r="F305" s="39" t="n">
        <v>45834</v>
      </c>
      <c r="G305" s="41" t="n">
        <v>219.17</v>
      </c>
      <c r="H305" s="39" t="n">
        <v>45834</v>
      </c>
      <c r="I305" s="7" t="s">
        <v>14651</v>
      </c>
      <c r="J305" s="7" t="s">
        <v>22813</v>
      </c>
    </row>
    <row r="306" customFormat="false" ht="15" hidden="false" customHeight="false" outlineLevel="0" collapsed="false">
      <c r="B306" s="7" t="s">
        <v>24014</v>
      </c>
      <c r="C306" s="7" t="s">
        <v>23689</v>
      </c>
      <c r="D306" s="7" t="s">
        <v>22837</v>
      </c>
      <c r="E306" s="39" t="n">
        <v>45809</v>
      </c>
      <c r="F306" s="39" t="n">
        <v>45839</v>
      </c>
      <c r="G306" s="41" t="n">
        <v>396.07</v>
      </c>
      <c r="H306" s="39" t="n">
        <v>45822</v>
      </c>
      <c r="I306" s="7" t="s">
        <v>14651</v>
      </c>
      <c r="J306" s="7" t="s">
        <v>22796</v>
      </c>
    </row>
    <row r="307" customFormat="false" ht="15" hidden="false" customHeight="false" outlineLevel="0" collapsed="false">
      <c r="B307" s="7" t="s">
        <v>24015</v>
      </c>
      <c r="C307" s="7" t="s">
        <v>23691</v>
      </c>
      <c r="D307" s="7" t="s">
        <v>22839</v>
      </c>
      <c r="E307" s="39" t="n">
        <v>45809</v>
      </c>
      <c r="F307" s="39" t="n">
        <v>45839</v>
      </c>
      <c r="G307" s="41" t="n">
        <v>146.7</v>
      </c>
      <c r="H307" s="39" t="n">
        <v>45828</v>
      </c>
      <c r="I307" s="7" t="s">
        <v>14651</v>
      </c>
      <c r="J307" s="7" t="s">
        <v>22796</v>
      </c>
    </row>
    <row r="308" customFormat="false" ht="15" hidden="false" customHeight="false" outlineLevel="0" collapsed="false">
      <c r="B308" s="7" t="s">
        <v>24016</v>
      </c>
      <c r="C308" s="7" t="s">
        <v>23692</v>
      </c>
      <c r="D308" s="7" t="s">
        <v>22841</v>
      </c>
      <c r="E308" s="39" t="n">
        <v>45814</v>
      </c>
      <c r="F308" s="39" t="n">
        <v>45829</v>
      </c>
      <c r="G308" s="41" t="n">
        <v>51.44</v>
      </c>
      <c r="H308" s="39" t="n">
        <v>45838</v>
      </c>
      <c r="I308" s="7" t="s">
        <v>14651</v>
      </c>
      <c r="J308" s="7" t="s">
        <v>22796</v>
      </c>
    </row>
    <row r="309" customFormat="false" ht="15" hidden="false" customHeight="false" outlineLevel="0" collapsed="false">
      <c r="B309" s="7" t="s">
        <v>24017</v>
      </c>
      <c r="C309" s="7" t="s">
        <v>23692</v>
      </c>
      <c r="D309" s="7" t="s">
        <v>22841</v>
      </c>
      <c r="E309" s="39" t="n">
        <v>45832</v>
      </c>
      <c r="F309" s="39" t="n">
        <v>45847</v>
      </c>
      <c r="G309" s="41" t="n">
        <v>53.44</v>
      </c>
      <c r="H309" s="39" t="n">
        <v>45846</v>
      </c>
      <c r="I309" s="7" t="s">
        <v>14651</v>
      </c>
      <c r="J309" s="7" t="s">
        <v>22796</v>
      </c>
    </row>
    <row r="310" customFormat="false" ht="15" hidden="false" customHeight="false" outlineLevel="0" collapsed="false">
      <c r="B310" s="7" t="s">
        <v>24018</v>
      </c>
      <c r="C310" s="7" t="s">
        <v>23692</v>
      </c>
      <c r="D310" s="7" t="s">
        <v>22841</v>
      </c>
      <c r="E310" s="39" t="n">
        <v>45838</v>
      </c>
      <c r="F310" s="39" t="n">
        <v>45853</v>
      </c>
      <c r="G310" s="41" t="n">
        <v>142.7</v>
      </c>
      <c r="H310" s="39" t="n">
        <v>45854</v>
      </c>
      <c r="I310" s="7" t="s">
        <v>14651</v>
      </c>
      <c r="J310" s="7" t="s">
        <v>22796</v>
      </c>
    </row>
    <row r="311" customFormat="false" ht="15" hidden="false" customHeight="false" outlineLevel="0" collapsed="false">
      <c r="B311" s="7" t="s">
        <v>24019</v>
      </c>
      <c r="C311" s="7" t="s">
        <v>23694</v>
      </c>
      <c r="D311" s="7" t="s">
        <v>22845</v>
      </c>
      <c r="E311" s="39" t="n">
        <v>45814</v>
      </c>
      <c r="F311" s="39" t="n">
        <v>45814</v>
      </c>
      <c r="G311" s="41" t="n">
        <v>113.37</v>
      </c>
      <c r="H311" s="39" t="n">
        <v>45814</v>
      </c>
      <c r="I311" s="7" t="s">
        <v>14651</v>
      </c>
      <c r="J311" s="7" t="s">
        <v>22796</v>
      </c>
    </row>
    <row r="312" customFormat="false" ht="15" hidden="false" customHeight="false" outlineLevel="0" collapsed="false">
      <c r="B312" s="7" t="s">
        <v>24020</v>
      </c>
      <c r="C312" s="7" t="s">
        <v>23694</v>
      </c>
      <c r="D312" s="7" t="s">
        <v>22845</v>
      </c>
      <c r="E312" s="39" t="n">
        <v>45819</v>
      </c>
      <c r="F312" s="39" t="n">
        <v>45819</v>
      </c>
      <c r="G312" s="41" t="n">
        <v>54.75</v>
      </c>
      <c r="H312" s="39" t="n">
        <v>45819</v>
      </c>
      <c r="I312" s="7" t="s">
        <v>14651</v>
      </c>
      <c r="J312" s="7" t="s">
        <v>22796</v>
      </c>
    </row>
    <row r="313" customFormat="false" ht="15" hidden="false" customHeight="false" outlineLevel="0" collapsed="false">
      <c r="B313" s="7" t="s">
        <v>24021</v>
      </c>
      <c r="C313" s="7" t="s">
        <v>23694</v>
      </c>
      <c r="D313" s="7" t="s">
        <v>22845</v>
      </c>
      <c r="E313" s="39" t="n">
        <v>45821</v>
      </c>
      <c r="F313" s="39" t="n">
        <v>45821</v>
      </c>
      <c r="G313" s="41" t="n">
        <v>161.7</v>
      </c>
      <c r="H313" s="39" t="n">
        <v>45821</v>
      </c>
      <c r="I313" s="7" t="s">
        <v>14651</v>
      </c>
      <c r="J313" s="7" t="s">
        <v>22796</v>
      </c>
    </row>
    <row r="314" customFormat="false" ht="15" hidden="false" customHeight="false" outlineLevel="0" collapsed="false">
      <c r="B314" s="7" t="s">
        <v>24022</v>
      </c>
      <c r="C314" s="7" t="s">
        <v>23695</v>
      </c>
      <c r="D314" s="7" t="s">
        <v>22848</v>
      </c>
      <c r="E314" s="39" t="n">
        <v>45823</v>
      </c>
      <c r="F314" s="39" t="n">
        <v>45853</v>
      </c>
      <c r="G314" s="41" t="n">
        <v>99.97</v>
      </c>
      <c r="H314" s="39" t="n">
        <v>45855</v>
      </c>
      <c r="I314" s="7" t="s">
        <v>14651</v>
      </c>
      <c r="J314" s="7" t="s">
        <v>22796</v>
      </c>
    </row>
    <row r="315" customFormat="false" ht="15" hidden="false" customHeight="false" outlineLevel="0" collapsed="false">
      <c r="B315" s="7" t="s">
        <v>24023</v>
      </c>
      <c r="C315" s="7" t="s">
        <v>23695</v>
      </c>
      <c r="D315" s="7" t="s">
        <v>22848</v>
      </c>
      <c r="E315" s="39" t="n">
        <v>45834</v>
      </c>
      <c r="F315" s="39" t="n">
        <v>45864</v>
      </c>
      <c r="G315" s="41" t="n">
        <v>154.15</v>
      </c>
      <c r="H315" s="39" t="n">
        <v>45864</v>
      </c>
      <c r="I315" s="7" t="s">
        <v>14651</v>
      </c>
      <c r="J315" s="7" t="s">
        <v>22796</v>
      </c>
    </row>
    <row r="316" customFormat="false" ht="15" hidden="false" customHeight="false" outlineLevel="0" collapsed="false">
      <c r="B316" s="7" t="s">
        <v>24024</v>
      </c>
      <c r="C316" s="7" t="s">
        <v>23696</v>
      </c>
      <c r="D316" s="7" t="s">
        <v>136</v>
      </c>
      <c r="E316" s="39" t="n">
        <v>45831</v>
      </c>
      <c r="F316" s="39" t="n">
        <v>45846</v>
      </c>
      <c r="G316" s="41" t="n">
        <v>56.69</v>
      </c>
      <c r="H316" s="39" t="n">
        <v>45845</v>
      </c>
      <c r="I316" s="7" t="s">
        <v>14651</v>
      </c>
      <c r="J316" s="7" t="s">
        <v>22796</v>
      </c>
    </row>
    <row r="317" customFormat="false" ht="15" hidden="false" customHeight="false" outlineLevel="0" collapsed="false">
      <c r="B317" s="7" t="s">
        <v>24025</v>
      </c>
      <c r="C317" s="7" t="s">
        <v>23696</v>
      </c>
      <c r="D317" s="7" t="s">
        <v>136</v>
      </c>
      <c r="E317" s="39" t="n">
        <v>45837</v>
      </c>
      <c r="F317" s="39" t="n">
        <v>45852</v>
      </c>
      <c r="G317" s="41" t="n">
        <v>85.27</v>
      </c>
      <c r="H317" s="39" t="n">
        <v>45853</v>
      </c>
      <c r="I317" s="7" t="s">
        <v>14651</v>
      </c>
      <c r="J317" s="7" t="s">
        <v>22796</v>
      </c>
    </row>
    <row r="318" customFormat="false" ht="15" hidden="false" customHeight="false" outlineLevel="0" collapsed="false">
      <c r="B318" s="7" t="s">
        <v>24026</v>
      </c>
      <c r="C318" s="7" t="s">
        <v>23697</v>
      </c>
      <c r="D318" s="7" t="s">
        <v>22855</v>
      </c>
      <c r="E318" s="39" t="n">
        <v>45809</v>
      </c>
      <c r="F318" s="39" t="n">
        <v>45830</v>
      </c>
      <c r="G318" s="41" t="n">
        <v>168.02</v>
      </c>
      <c r="H318" s="39" t="n">
        <v>45832</v>
      </c>
      <c r="I318" s="7" t="s">
        <v>14651</v>
      </c>
      <c r="J318" s="7" t="s">
        <v>22796</v>
      </c>
    </row>
    <row r="319" customFormat="false" ht="15" hidden="false" customHeight="false" outlineLevel="0" collapsed="false">
      <c r="B319" s="7" t="s">
        <v>24027</v>
      </c>
      <c r="C319" s="7" t="s">
        <v>23698</v>
      </c>
      <c r="D319" s="7" t="s">
        <v>22857</v>
      </c>
      <c r="E319" s="39" t="n">
        <v>45809</v>
      </c>
      <c r="F319" s="39" t="n">
        <v>45830</v>
      </c>
      <c r="G319" s="41" t="n">
        <v>493.99</v>
      </c>
      <c r="H319" s="39" t="n">
        <v>45821</v>
      </c>
      <c r="I319" s="7" t="s">
        <v>14651</v>
      </c>
      <c r="J319" s="7" t="s">
        <v>22796</v>
      </c>
    </row>
    <row r="320" customFormat="false" ht="15" hidden="false" customHeight="false" outlineLevel="0" collapsed="false">
      <c r="B320" s="7" t="s">
        <v>24028</v>
      </c>
      <c r="C320" s="7" t="s">
        <v>23699</v>
      </c>
      <c r="D320" s="7" t="s">
        <v>22859</v>
      </c>
      <c r="E320" s="39" t="n">
        <v>45819</v>
      </c>
      <c r="F320" s="39" t="n">
        <v>45849</v>
      </c>
      <c r="G320" s="41" t="n">
        <v>120.9</v>
      </c>
      <c r="H320" s="39" t="n">
        <v>45849</v>
      </c>
      <c r="I320" s="7" t="s">
        <v>14651</v>
      </c>
      <c r="J320" s="7" t="s">
        <v>22796</v>
      </c>
    </row>
    <row r="321" customFormat="false" ht="15" hidden="false" customHeight="false" outlineLevel="0" collapsed="false">
      <c r="B321" s="7" t="s">
        <v>24029</v>
      </c>
      <c r="C321" s="7" t="s">
        <v>23699</v>
      </c>
      <c r="D321" s="7" t="s">
        <v>22859</v>
      </c>
      <c r="E321" s="39" t="n">
        <v>45834</v>
      </c>
      <c r="F321" s="39" t="n">
        <v>45864</v>
      </c>
      <c r="G321" s="41" t="n">
        <v>152.56</v>
      </c>
      <c r="H321" s="39" t="n">
        <v>45862</v>
      </c>
      <c r="I321" s="7" t="s">
        <v>14651</v>
      </c>
      <c r="J321" s="7" t="s">
        <v>22796</v>
      </c>
    </row>
    <row r="322" customFormat="false" ht="15" hidden="false" customHeight="false" outlineLevel="0" collapsed="false">
      <c r="B322" s="7" t="s">
        <v>24030</v>
      </c>
      <c r="C322" s="7" t="s">
        <v>23699</v>
      </c>
      <c r="D322" s="7" t="s">
        <v>22859</v>
      </c>
      <c r="E322" s="39" t="n">
        <v>45837</v>
      </c>
      <c r="F322" s="39" t="n">
        <v>45867</v>
      </c>
      <c r="G322" s="41" t="n">
        <v>177.55</v>
      </c>
      <c r="H322" s="39" t="n">
        <v>45869</v>
      </c>
      <c r="I322" s="7" t="s">
        <v>14651</v>
      </c>
      <c r="J322" s="7" t="s">
        <v>22796</v>
      </c>
    </row>
    <row r="323" customFormat="false" ht="15" hidden="false" customHeight="false" outlineLevel="0" collapsed="false">
      <c r="B323" s="7" t="s">
        <v>24031</v>
      </c>
      <c r="C323" s="7" t="s">
        <v>23700</v>
      </c>
      <c r="D323" s="7" t="s">
        <v>22862</v>
      </c>
      <c r="E323" s="39" t="n">
        <v>45825</v>
      </c>
      <c r="F323" s="39" t="n">
        <v>45825</v>
      </c>
      <c r="G323" s="41" t="n">
        <v>57</v>
      </c>
      <c r="H323" s="39" t="n">
        <v>45825</v>
      </c>
      <c r="I323" s="7" t="s">
        <v>14651</v>
      </c>
      <c r="J323" s="7" t="s">
        <v>22796</v>
      </c>
    </row>
    <row r="324" customFormat="false" ht="15" hidden="false" customHeight="false" outlineLevel="0" collapsed="false">
      <c r="B324" s="7" t="s">
        <v>24032</v>
      </c>
      <c r="C324" s="7" t="s">
        <v>23700</v>
      </c>
      <c r="D324" s="7" t="s">
        <v>22862</v>
      </c>
      <c r="E324" s="39" t="n">
        <v>45832</v>
      </c>
      <c r="F324" s="39" t="n">
        <v>45832</v>
      </c>
      <c r="G324" s="41" t="n">
        <v>21.2</v>
      </c>
      <c r="H324" s="39" t="n">
        <v>45832</v>
      </c>
      <c r="I324" s="7" t="s">
        <v>14651</v>
      </c>
      <c r="J324" s="7" t="s">
        <v>22796</v>
      </c>
    </row>
    <row r="325" customFormat="false" ht="15" hidden="false" customHeight="false" outlineLevel="0" collapsed="false">
      <c r="B325" s="7" t="s">
        <v>24033</v>
      </c>
      <c r="C325" s="7" t="s">
        <v>23700</v>
      </c>
      <c r="D325" s="7" t="s">
        <v>22862</v>
      </c>
      <c r="E325" s="39" t="n">
        <v>45836</v>
      </c>
      <c r="F325" s="39" t="n">
        <v>45836</v>
      </c>
      <c r="G325" s="41" t="n">
        <v>70.84</v>
      </c>
      <c r="H325" s="39" t="n">
        <v>45836</v>
      </c>
      <c r="I325" s="7" t="s">
        <v>14651</v>
      </c>
      <c r="J325" s="7" t="s">
        <v>22796</v>
      </c>
    </row>
    <row r="326" customFormat="false" ht="15" hidden="false" customHeight="false" outlineLevel="0" collapsed="false">
      <c r="B326" s="7" t="s">
        <v>24034</v>
      </c>
      <c r="C326" s="7" t="s">
        <v>23702</v>
      </c>
      <c r="D326" s="7" t="s">
        <v>22866</v>
      </c>
      <c r="E326" s="39" t="n">
        <v>45820</v>
      </c>
      <c r="F326" s="39" t="n">
        <v>45835</v>
      </c>
      <c r="G326" s="41" t="n">
        <v>160.14</v>
      </c>
      <c r="H326" s="39" t="n">
        <v>45837</v>
      </c>
      <c r="I326" s="7" t="s">
        <v>14651</v>
      </c>
      <c r="J326" s="7" t="s">
        <v>22796</v>
      </c>
    </row>
    <row r="327" customFormat="false" ht="15" hidden="false" customHeight="false" outlineLevel="0" collapsed="false">
      <c r="B327" s="7" t="s">
        <v>24035</v>
      </c>
      <c r="C327" s="7" t="s">
        <v>23702</v>
      </c>
      <c r="D327" s="7" t="s">
        <v>22866</v>
      </c>
      <c r="E327" s="39" t="n">
        <v>45829</v>
      </c>
      <c r="F327" s="39" t="n">
        <v>45844</v>
      </c>
      <c r="G327" s="41" t="n">
        <v>183.7</v>
      </c>
      <c r="H327" s="39" t="n">
        <v>45846</v>
      </c>
      <c r="I327" s="7" t="s">
        <v>14651</v>
      </c>
      <c r="J327" s="7" t="s">
        <v>22796</v>
      </c>
    </row>
    <row r="328" customFormat="false" ht="15" hidden="false" customHeight="false" outlineLevel="0" collapsed="false">
      <c r="B328" s="7" t="s">
        <v>24036</v>
      </c>
      <c r="C328" s="7" t="s">
        <v>23702</v>
      </c>
      <c r="D328" s="7" t="s">
        <v>22866</v>
      </c>
      <c r="E328" s="39" t="n">
        <v>45838</v>
      </c>
      <c r="F328" s="39" t="n">
        <v>45853</v>
      </c>
      <c r="G328" s="41" t="n">
        <v>325.72</v>
      </c>
      <c r="H328" s="39" t="n">
        <v>45841</v>
      </c>
      <c r="I328" s="7" t="s">
        <v>14651</v>
      </c>
      <c r="J328" s="7" t="s">
        <v>22796</v>
      </c>
    </row>
    <row r="329" customFormat="false" ht="15" hidden="false" customHeight="false" outlineLevel="0" collapsed="false">
      <c r="B329" s="7" t="s">
        <v>24037</v>
      </c>
      <c r="C329" s="7" t="s">
        <v>23703</v>
      </c>
      <c r="D329" s="7" t="s">
        <v>22870</v>
      </c>
      <c r="E329" s="39" t="n">
        <v>45809</v>
      </c>
      <c r="F329" s="39" t="n">
        <v>45839</v>
      </c>
      <c r="G329" s="41" t="n">
        <v>170.11</v>
      </c>
      <c r="H329" s="39" t="n">
        <v>45848</v>
      </c>
      <c r="I329" s="7" t="s">
        <v>14651</v>
      </c>
      <c r="J329" s="7" t="s">
        <v>22796</v>
      </c>
    </row>
    <row r="330" customFormat="false" ht="15" hidden="false" customHeight="false" outlineLevel="0" collapsed="false">
      <c r="B330" s="7" t="s">
        <v>24038</v>
      </c>
      <c r="C330" s="7" t="s">
        <v>23703</v>
      </c>
      <c r="D330" s="7" t="s">
        <v>22870</v>
      </c>
      <c r="E330" s="39" t="n">
        <v>45825</v>
      </c>
      <c r="F330" s="39" t="n">
        <v>45855</v>
      </c>
      <c r="G330" s="41" t="n">
        <v>42.51</v>
      </c>
      <c r="H330" s="39" t="n">
        <v>45857</v>
      </c>
      <c r="I330" s="7" t="s">
        <v>14651</v>
      </c>
      <c r="J330" s="7" t="s">
        <v>22796</v>
      </c>
    </row>
    <row r="331" customFormat="false" ht="15" hidden="false" customHeight="false" outlineLevel="0" collapsed="false">
      <c r="B331" s="7" t="s">
        <v>24039</v>
      </c>
      <c r="C331" s="7" t="s">
        <v>23703</v>
      </c>
      <c r="D331" s="7" t="s">
        <v>22870</v>
      </c>
      <c r="E331" s="39" t="n">
        <v>45828</v>
      </c>
      <c r="F331" s="39" t="n">
        <v>45858</v>
      </c>
      <c r="G331" s="41" t="n">
        <v>26.87</v>
      </c>
      <c r="H331" s="39" t="n">
        <v>45864</v>
      </c>
      <c r="I331" s="7" t="s">
        <v>14651</v>
      </c>
      <c r="J331" s="7" t="s">
        <v>22796</v>
      </c>
    </row>
    <row r="332" customFormat="false" ht="15" hidden="false" customHeight="false" outlineLevel="0" collapsed="false">
      <c r="B332" s="7" t="s">
        <v>24040</v>
      </c>
      <c r="C332" s="7" t="s">
        <v>23703</v>
      </c>
      <c r="D332" s="7" t="s">
        <v>22870</v>
      </c>
      <c r="E332" s="39" t="n">
        <v>45835</v>
      </c>
      <c r="F332" s="39" t="n">
        <v>45865</v>
      </c>
      <c r="G332" s="41" t="n">
        <v>102.13</v>
      </c>
      <c r="H332" s="39" t="n">
        <v>45864</v>
      </c>
      <c r="I332" s="7" t="s">
        <v>14651</v>
      </c>
      <c r="J332" s="7" t="s">
        <v>22796</v>
      </c>
    </row>
    <row r="333" customFormat="false" ht="15" hidden="false" customHeight="false" outlineLevel="0" collapsed="false">
      <c r="B333" s="7" t="s">
        <v>24041</v>
      </c>
      <c r="C333" s="7" t="s">
        <v>23704</v>
      </c>
      <c r="D333" s="7" t="s">
        <v>22874</v>
      </c>
      <c r="E333" s="39" t="n">
        <v>45809</v>
      </c>
      <c r="F333" s="39" t="n">
        <v>45839</v>
      </c>
      <c r="G333" s="41" t="n">
        <v>410.44</v>
      </c>
      <c r="H333" s="39" t="n">
        <v>45815</v>
      </c>
      <c r="I333" s="7" t="s">
        <v>14651</v>
      </c>
      <c r="J333" s="7" t="s">
        <v>22796</v>
      </c>
    </row>
    <row r="334" customFormat="false" ht="15" hidden="false" customHeight="false" outlineLevel="0" collapsed="false">
      <c r="B334" s="7" t="s">
        <v>24042</v>
      </c>
      <c r="C334" s="7" t="s">
        <v>23705</v>
      </c>
      <c r="D334" s="7" t="s">
        <v>22876</v>
      </c>
      <c r="E334" s="39" t="n">
        <v>45812</v>
      </c>
      <c r="F334" s="39" t="n">
        <v>45842</v>
      </c>
      <c r="G334" s="41" t="n">
        <v>89.23</v>
      </c>
      <c r="H334" s="39" t="n">
        <v>45842</v>
      </c>
      <c r="I334" s="7" t="s">
        <v>14651</v>
      </c>
      <c r="J334" s="7" t="s">
        <v>22796</v>
      </c>
    </row>
    <row r="335" customFormat="false" ht="15" hidden="false" customHeight="false" outlineLevel="0" collapsed="false">
      <c r="B335" s="7" t="s">
        <v>24043</v>
      </c>
      <c r="C335" s="7" t="s">
        <v>23705</v>
      </c>
      <c r="D335" s="7" t="s">
        <v>22876</v>
      </c>
      <c r="E335" s="39" t="n">
        <v>45830</v>
      </c>
      <c r="F335" s="39" t="n">
        <v>45860</v>
      </c>
      <c r="G335" s="41" t="n">
        <v>56.44</v>
      </c>
      <c r="H335" s="39" t="n">
        <v>45858</v>
      </c>
      <c r="I335" s="7" t="s">
        <v>14651</v>
      </c>
      <c r="J335" s="7" t="s">
        <v>22796</v>
      </c>
    </row>
    <row r="336" customFormat="false" ht="15" hidden="false" customHeight="false" outlineLevel="0" collapsed="false">
      <c r="B336" s="7" t="s">
        <v>24044</v>
      </c>
      <c r="C336" s="7" t="s">
        <v>23705</v>
      </c>
      <c r="D336" s="7" t="s">
        <v>22876</v>
      </c>
      <c r="E336" s="39" t="n">
        <v>45838</v>
      </c>
      <c r="F336" s="39" t="n">
        <v>45868</v>
      </c>
      <c r="G336" s="41" t="n">
        <v>212.83</v>
      </c>
      <c r="H336" s="39" t="n">
        <v>45866</v>
      </c>
      <c r="I336" s="7" t="s">
        <v>14651</v>
      </c>
      <c r="J336" s="7" t="s">
        <v>22796</v>
      </c>
    </row>
    <row r="337" customFormat="false" ht="15" hidden="false" customHeight="false" outlineLevel="0" collapsed="false">
      <c r="B337" s="7" t="s">
        <v>24045</v>
      </c>
      <c r="C337" s="7" t="s">
        <v>23706</v>
      </c>
      <c r="D337" s="7" t="s">
        <v>142</v>
      </c>
      <c r="E337" s="39" t="n">
        <v>45813</v>
      </c>
      <c r="F337" s="39" t="n">
        <v>45843</v>
      </c>
      <c r="G337" s="41" t="n">
        <v>73.93</v>
      </c>
      <c r="H337" s="39" t="n">
        <v>45841</v>
      </c>
      <c r="I337" s="7" t="s">
        <v>14651</v>
      </c>
      <c r="J337" s="7" t="s">
        <v>22796</v>
      </c>
    </row>
    <row r="338" customFormat="false" ht="15" hidden="false" customHeight="false" outlineLevel="0" collapsed="false">
      <c r="B338" s="7" t="s">
        <v>24046</v>
      </c>
      <c r="C338" s="7" t="s">
        <v>23706</v>
      </c>
      <c r="D338" s="7" t="s">
        <v>142</v>
      </c>
      <c r="E338" s="39" t="n">
        <v>45823</v>
      </c>
      <c r="F338" s="39" t="n">
        <v>45853</v>
      </c>
      <c r="G338" s="41" t="n">
        <v>42.01</v>
      </c>
      <c r="H338" s="39" t="n">
        <v>45852</v>
      </c>
      <c r="I338" s="7" t="s">
        <v>14651</v>
      </c>
      <c r="J338" s="7" t="s">
        <v>22796</v>
      </c>
    </row>
    <row r="339" customFormat="false" ht="15" hidden="false" customHeight="false" outlineLevel="0" collapsed="false">
      <c r="B339" s="7" t="s">
        <v>24047</v>
      </c>
      <c r="C339" s="7" t="s">
        <v>23706</v>
      </c>
      <c r="D339" s="7" t="s">
        <v>142</v>
      </c>
      <c r="E339" s="39" t="n">
        <v>45825</v>
      </c>
      <c r="F339" s="39" t="n">
        <v>45855</v>
      </c>
      <c r="G339" s="41" t="n">
        <v>17.19</v>
      </c>
      <c r="H339" s="39" t="n">
        <v>45853</v>
      </c>
      <c r="I339" s="7" t="s">
        <v>14651</v>
      </c>
      <c r="J339" s="7" t="s">
        <v>22796</v>
      </c>
    </row>
    <row r="340" customFormat="false" ht="15" hidden="false" customHeight="false" outlineLevel="0" collapsed="false">
      <c r="B340" s="7" t="s">
        <v>24048</v>
      </c>
      <c r="C340" s="7" t="s">
        <v>23706</v>
      </c>
      <c r="D340" s="7" t="s">
        <v>142</v>
      </c>
      <c r="E340" s="39" t="n">
        <v>45838</v>
      </c>
      <c r="F340" s="39" t="n">
        <v>45868</v>
      </c>
      <c r="G340" s="41" t="n">
        <v>58.42</v>
      </c>
      <c r="H340" s="39" t="n">
        <v>45866</v>
      </c>
      <c r="I340" s="7" t="s">
        <v>14651</v>
      </c>
      <c r="J340" s="7" t="s">
        <v>22796</v>
      </c>
    </row>
    <row r="341" customFormat="false" ht="15" hidden="false" customHeight="false" outlineLevel="0" collapsed="false">
      <c r="B341" s="7" t="s">
        <v>24049</v>
      </c>
      <c r="C341" s="7" t="s">
        <v>23707</v>
      </c>
      <c r="D341" s="7" t="s">
        <v>22882</v>
      </c>
      <c r="E341" s="39" t="n">
        <v>45811</v>
      </c>
      <c r="F341" s="39" t="n">
        <v>45811</v>
      </c>
      <c r="G341" s="41" t="n">
        <v>20.81</v>
      </c>
      <c r="H341" s="39" t="n">
        <v>45811</v>
      </c>
      <c r="I341" s="7" t="s">
        <v>14651</v>
      </c>
      <c r="J341" s="7" t="s">
        <v>22796</v>
      </c>
    </row>
    <row r="342" customFormat="false" ht="15" hidden="false" customHeight="false" outlineLevel="0" collapsed="false">
      <c r="B342" s="7" t="s">
        <v>24050</v>
      </c>
      <c r="C342" s="7" t="s">
        <v>23707</v>
      </c>
      <c r="D342" s="7" t="s">
        <v>22882</v>
      </c>
      <c r="E342" s="39" t="n">
        <v>45814</v>
      </c>
      <c r="F342" s="39" t="n">
        <v>45814</v>
      </c>
      <c r="G342" s="41" t="n">
        <v>6.43</v>
      </c>
      <c r="H342" s="39" t="n">
        <v>45814</v>
      </c>
      <c r="I342" s="7" t="s">
        <v>14651</v>
      </c>
      <c r="J342" s="7" t="s">
        <v>22796</v>
      </c>
    </row>
    <row r="343" customFormat="false" ht="15" hidden="false" customHeight="false" outlineLevel="0" collapsed="false">
      <c r="B343" s="7" t="s">
        <v>24051</v>
      </c>
      <c r="C343" s="7" t="s">
        <v>23707</v>
      </c>
      <c r="D343" s="7" t="s">
        <v>22882</v>
      </c>
      <c r="E343" s="39" t="n">
        <v>45835</v>
      </c>
      <c r="F343" s="39" t="n">
        <v>45835</v>
      </c>
      <c r="G343" s="41" t="n">
        <v>16.59</v>
      </c>
      <c r="H343" s="39" t="n">
        <v>45835</v>
      </c>
      <c r="I343" s="7" t="s">
        <v>14651</v>
      </c>
      <c r="J343" s="7" t="s">
        <v>22796</v>
      </c>
    </row>
    <row r="344" customFormat="false" ht="15" hidden="false" customHeight="false" outlineLevel="0" collapsed="false">
      <c r="B344" s="7" t="s">
        <v>24052</v>
      </c>
      <c r="C344" s="7" t="s">
        <v>23708</v>
      </c>
      <c r="D344" s="7" t="s">
        <v>143</v>
      </c>
      <c r="E344" s="39" t="n">
        <v>45809</v>
      </c>
      <c r="F344" s="39" t="n">
        <v>45824</v>
      </c>
      <c r="G344" s="41" t="n">
        <v>63.3</v>
      </c>
      <c r="H344" s="39" t="n">
        <v>45818</v>
      </c>
      <c r="I344" s="7" t="s">
        <v>14651</v>
      </c>
      <c r="J344" s="7" t="s">
        <v>22796</v>
      </c>
    </row>
    <row r="345" customFormat="false" ht="15" hidden="false" customHeight="false" outlineLevel="0" collapsed="false">
      <c r="B345" s="7" t="s">
        <v>24053</v>
      </c>
      <c r="C345" s="7" t="s">
        <v>23708</v>
      </c>
      <c r="D345" s="7" t="s">
        <v>143</v>
      </c>
      <c r="E345" s="39" t="n">
        <v>45823</v>
      </c>
      <c r="F345" s="39" t="n">
        <v>45838</v>
      </c>
      <c r="G345" s="41" t="n">
        <v>42.78</v>
      </c>
      <c r="H345" s="39" t="n">
        <v>45836</v>
      </c>
      <c r="I345" s="7" t="s">
        <v>14651</v>
      </c>
      <c r="J345" s="7" t="s">
        <v>22796</v>
      </c>
    </row>
    <row r="346" customFormat="false" ht="15" hidden="false" customHeight="false" outlineLevel="0" collapsed="false">
      <c r="B346" s="7" t="s">
        <v>24054</v>
      </c>
      <c r="C346" s="7" t="s">
        <v>23708</v>
      </c>
      <c r="D346" s="7" t="s">
        <v>143</v>
      </c>
      <c r="E346" s="39" t="n">
        <v>45825</v>
      </c>
      <c r="F346" s="39" t="n">
        <v>45840</v>
      </c>
      <c r="G346" s="41" t="n">
        <v>97.39</v>
      </c>
      <c r="H346" s="39" t="n">
        <v>45853</v>
      </c>
      <c r="I346" s="7" t="s">
        <v>14651</v>
      </c>
      <c r="J346" s="7" t="s">
        <v>22796</v>
      </c>
    </row>
    <row r="347" customFormat="false" ht="15" hidden="false" customHeight="false" outlineLevel="0" collapsed="false">
      <c r="B347" s="7" t="s">
        <v>24055</v>
      </c>
      <c r="C347" s="7" t="s">
        <v>23676</v>
      </c>
      <c r="D347" s="7" t="s">
        <v>124</v>
      </c>
      <c r="E347" s="39" t="n">
        <v>45839</v>
      </c>
      <c r="F347" s="39" t="n">
        <v>45839</v>
      </c>
      <c r="G347" s="41" t="n">
        <v>2322.11</v>
      </c>
      <c r="H347" s="39" t="n">
        <v>45839</v>
      </c>
      <c r="I347" s="7" t="s">
        <v>14651</v>
      </c>
      <c r="J347" s="7" t="s">
        <v>22796</v>
      </c>
    </row>
    <row r="348" customFormat="false" ht="15" hidden="false" customHeight="false" outlineLevel="0" collapsed="false">
      <c r="B348" s="7" t="s">
        <v>24056</v>
      </c>
      <c r="C348" s="7" t="s">
        <v>23678</v>
      </c>
      <c r="D348" s="7" t="s">
        <v>22798</v>
      </c>
      <c r="E348" s="39" t="n">
        <v>45841</v>
      </c>
      <c r="F348" s="39" t="n">
        <v>45862</v>
      </c>
      <c r="G348" s="41" t="n">
        <v>97.59</v>
      </c>
      <c r="H348" s="39" t="n">
        <v>45860</v>
      </c>
      <c r="I348" s="7" t="s">
        <v>14651</v>
      </c>
      <c r="J348" s="7" t="s">
        <v>22796</v>
      </c>
    </row>
    <row r="349" customFormat="false" ht="15" hidden="false" customHeight="false" outlineLevel="0" collapsed="false">
      <c r="B349" s="7" t="s">
        <v>24057</v>
      </c>
      <c r="C349" s="7" t="s">
        <v>23678</v>
      </c>
      <c r="D349" s="7" t="s">
        <v>22798</v>
      </c>
      <c r="E349" s="39" t="n">
        <v>45861</v>
      </c>
      <c r="F349" s="39" t="n">
        <v>45882</v>
      </c>
      <c r="G349" s="41" t="n">
        <v>37.5</v>
      </c>
      <c r="H349" s="39" t="n">
        <v>45880</v>
      </c>
      <c r="I349" s="7" t="s">
        <v>14651</v>
      </c>
      <c r="J349" s="7" t="s">
        <v>22796</v>
      </c>
    </row>
    <row r="350" customFormat="false" ht="15" hidden="false" customHeight="false" outlineLevel="0" collapsed="false">
      <c r="B350" s="7" t="s">
        <v>24058</v>
      </c>
      <c r="C350" s="7" t="s">
        <v>23678</v>
      </c>
      <c r="D350" s="7" t="s">
        <v>22798</v>
      </c>
      <c r="E350" s="39" t="n">
        <v>45869</v>
      </c>
      <c r="F350" s="39" t="n">
        <v>45890</v>
      </c>
      <c r="G350" s="41" t="n">
        <v>62.35</v>
      </c>
      <c r="H350" s="39" t="n">
        <v>45891</v>
      </c>
      <c r="I350" s="7" t="s">
        <v>14651</v>
      </c>
      <c r="J350" s="7" t="s">
        <v>22796</v>
      </c>
    </row>
    <row r="351" customFormat="false" ht="15" hidden="false" customHeight="false" outlineLevel="0" collapsed="false">
      <c r="B351" s="7" t="s">
        <v>24059</v>
      </c>
      <c r="C351" s="7" t="s">
        <v>23680</v>
      </c>
      <c r="D351" s="7" t="s">
        <v>22802</v>
      </c>
      <c r="E351" s="39" t="n">
        <v>45860</v>
      </c>
      <c r="F351" s="39" t="n">
        <v>45881</v>
      </c>
      <c r="G351" s="41" t="n">
        <v>18.01</v>
      </c>
      <c r="H351" s="39" t="n">
        <v>45889</v>
      </c>
      <c r="I351" s="7" t="s">
        <v>14651</v>
      </c>
      <c r="J351" s="7" t="s">
        <v>22796</v>
      </c>
    </row>
    <row r="352" customFormat="false" ht="15" hidden="false" customHeight="false" outlineLevel="0" collapsed="false">
      <c r="B352" s="7" t="s">
        <v>24060</v>
      </c>
      <c r="C352" s="7" t="s">
        <v>23680</v>
      </c>
      <c r="D352" s="7" t="s">
        <v>22802</v>
      </c>
      <c r="E352" s="39" t="n">
        <v>45866</v>
      </c>
      <c r="F352" s="39" t="n">
        <v>45887</v>
      </c>
      <c r="G352" s="41" t="n">
        <v>45.49</v>
      </c>
      <c r="H352" s="39" t="n">
        <v>45886</v>
      </c>
      <c r="I352" s="7" t="s">
        <v>14651</v>
      </c>
      <c r="J352" s="7" t="s">
        <v>22796</v>
      </c>
    </row>
    <row r="353" customFormat="false" ht="15" hidden="false" customHeight="false" outlineLevel="0" collapsed="false">
      <c r="B353" s="7" t="s">
        <v>24061</v>
      </c>
      <c r="C353" s="7" t="s">
        <v>23681</v>
      </c>
      <c r="D353" s="7" t="s">
        <v>22807</v>
      </c>
      <c r="E353" s="39" t="n">
        <v>45839</v>
      </c>
      <c r="F353" s="39" t="n">
        <v>45860</v>
      </c>
      <c r="G353" s="41" t="n">
        <v>44.38</v>
      </c>
      <c r="H353" s="39" t="n">
        <v>45875</v>
      </c>
      <c r="I353" s="7" t="s">
        <v>14651</v>
      </c>
      <c r="J353" s="7" t="s">
        <v>22796</v>
      </c>
    </row>
    <row r="354" customFormat="false" ht="15" hidden="false" customHeight="false" outlineLevel="0" collapsed="false">
      <c r="B354" s="7" t="s">
        <v>24062</v>
      </c>
      <c r="C354" s="7" t="s">
        <v>23681</v>
      </c>
      <c r="D354" s="7" t="s">
        <v>22807</v>
      </c>
      <c r="E354" s="39" t="n">
        <v>45842</v>
      </c>
      <c r="F354" s="39" t="n">
        <v>45863</v>
      </c>
      <c r="G354" s="41" t="n">
        <v>15.22</v>
      </c>
      <c r="H354" s="39" t="n">
        <v>45861</v>
      </c>
      <c r="I354" s="7" t="s">
        <v>14651</v>
      </c>
      <c r="J354" s="7" t="s">
        <v>22796</v>
      </c>
    </row>
    <row r="355" customFormat="false" ht="15" hidden="false" customHeight="false" outlineLevel="0" collapsed="false">
      <c r="B355" s="7" t="s">
        <v>24063</v>
      </c>
      <c r="C355" s="7" t="s">
        <v>23681</v>
      </c>
      <c r="D355" s="7" t="s">
        <v>22807</v>
      </c>
      <c r="E355" s="39" t="n">
        <v>45867</v>
      </c>
      <c r="F355" s="39" t="n">
        <v>45888</v>
      </c>
      <c r="G355" s="41" t="n">
        <v>35.19</v>
      </c>
      <c r="H355" s="39" t="n">
        <v>45887</v>
      </c>
      <c r="I355" s="7" t="s">
        <v>14651</v>
      </c>
      <c r="J355" s="7" t="s">
        <v>22796</v>
      </c>
    </row>
    <row r="356" customFormat="false" ht="15" hidden="false" customHeight="false" outlineLevel="0" collapsed="false">
      <c r="B356" s="7" t="s">
        <v>24064</v>
      </c>
      <c r="C356" s="7" t="s">
        <v>23682</v>
      </c>
      <c r="D356" s="7" t="s">
        <v>22825</v>
      </c>
      <c r="E356" s="39" t="n">
        <v>45839</v>
      </c>
      <c r="F356" s="39" t="n">
        <v>45839</v>
      </c>
      <c r="G356" s="41" t="n">
        <v>641.56</v>
      </c>
      <c r="H356" s="39" t="n">
        <v>45839</v>
      </c>
      <c r="I356" s="7" t="s">
        <v>14651</v>
      </c>
      <c r="J356" s="7" t="s">
        <v>22796</v>
      </c>
    </row>
    <row r="357" customFormat="false" ht="15" hidden="false" customHeight="false" outlineLevel="0" collapsed="false">
      <c r="B357" s="7" t="s">
        <v>24065</v>
      </c>
      <c r="C357" s="7" t="s">
        <v>23684</v>
      </c>
      <c r="D357" s="7" t="s">
        <v>22827</v>
      </c>
      <c r="E357" s="39" t="n">
        <v>45839</v>
      </c>
      <c r="F357" s="39" t="n">
        <v>45839</v>
      </c>
      <c r="G357" s="41" t="n">
        <v>117.5</v>
      </c>
      <c r="H357" s="39" t="n">
        <v>45839</v>
      </c>
      <c r="I357" s="7" t="s">
        <v>14651</v>
      </c>
      <c r="J357" s="7" t="s">
        <v>22796</v>
      </c>
    </row>
    <row r="358" customFormat="false" ht="15" hidden="false" customHeight="false" outlineLevel="0" collapsed="false">
      <c r="B358" s="7" t="s">
        <v>24066</v>
      </c>
      <c r="C358" s="7" t="s">
        <v>23685</v>
      </c>
      <c r="D358" s="7" t="s">
        <v>22829</v>
      </c>
      <c r="E358" s="39" t="n">
        <v>45839</v>
      </c>
      <c r="F358" s="39" t="n">
        <v>45839</v>
      </c>
      <c r="G358" s="41" t="n">
        <v>85.8</v>
      </c>
      <c r="H358" s="39" t="n">
        <v>45839</v>
      </c>
      <c r="I358" s="7" t="s">
        <v>14651</v>
      </c>
      <c r="J358" s="7" t="s">
        <v>22796</v>
      </c>
    </row>
    <row r="359" customFormat="false" ht="15" hidden="false" customHeight="false" outlineLevel="0" collapsed="false">
      <c r="B359" s="7" t="s">
        <v>24067</v>
      </c>
      <c r="C359" s="7" t="s">
        <v>23686</v>
      </c>
      <c r="D359" s="7" t="s">
        <v>22831</v>
      </c>
      <c r="E359" s="39" t="n">
        <v>45839</v>
      </c>
      <c r="F359" s="39" t="n">
        <v>45839</v>
      </c>
      <c r="G359" s="41" t="n">
        <v>89.59</v>
      </c>
      <c r="H359" s="39" t="n">
        <v>45839</v>
      </c>
      <c r="I359" s="7" t="s">
        <v>14651</v>
      </c>
      <c r="J359" s="7" t="s">
        <v>22796</v>
      </c>
    </row>
    <row r="360" customFormat="false" ht="15" hidden="false" customHeight="false" outlineLevel="0" collapsed="false">
      <c r="B360" s="7" t="s">
        <v>24068</v>
      </c>
      <c r="C360" s="7" t="s">
        <v>23687</v>
      </c>
      <c r="D360" s="7" t="s">
        <v>132</v>
      </c>
      <c r="E360" s="39" t="n">
        <v>45848</v>
      </c>
      <c r="F360" s="39" t="n">
        <v>45848</v>
      </c>
      <c r="G360" s="41" t="n">
        <v>221.12</v>
      </c>
      <c r="H360" s="39" t="n">
        <v>45848</v>
      </c>
      <c r="I360" s="7" t="s">
        <v>14651</v>
      </c>
      <c r="J360" s="7" t="s">
        <v>22813</v>
      </c>
    </row>
    <row r="361" customFormat="false" ht="15" hidden="false" customHeight="false" outlineLevel="0" collapsed="false">
      <c r="B361" s="7" t="s">
        <v>24069</v>
      </c>
      <c r="C361" s="7" t="s">
        <v>23687</v>
      </c>
      <c r="D361" s="7" t="s">
        <v>132</v>
      </c>
      <c r="E361" s="39" t="n">
        <v>45862</v>
      </c>
      <c r="F361" s="39" t="n">
        <v>45862</v>
      </c>
      <c r="G361" s="41" t="n">
        <v>221.12</v>
      </c>
      <c r="H361" s="39" t="n">
        <v>45862</v>
      </c>
      <c r="I361" s="7" t="s">
        <v>14651</v>
      </c>
      <c r="J361" s="7" t="s">
        <v>22813</v>
      </c>
    </row>
    <row r="362" customFormat="false" ht="15" hidden="false" customHeight="false" outlineLevel="0" collapsed="false">
      <c r="B362" s="7" t="s">
        <v>24070</v>
      </c>
      <c r="C362" s="7" t="s">
        <v>23689</v>
      </c>
      <c r="D362" s="7" t="s">
        <v>22837</v>
      </c>
      <c r="E362" s="39" t="n">
        <v>45839</v>
      </c>
      <c r="F362" s="39" t="n">
        <v>45869</v>
      </c>
      <c r="G362" s="41" t="n">
        <v>410.3</v>
      </c>
      <c r="H362" s="39" t="n">
        <v>45879</v>
      </c>
      <c r="I362" s="7" t="s">
        <v>14651</v>
      </c>
      <c r="J362" s="7" t="s">
        <v>22796</v>
      </c>
    </row>
    <row r="363" customFormat="false" ht="15" hidden="false" customHeight="false" outlineLevel="0" collapsed="false">
      <c r="B363" s="7" t="s">
        <v>24071</v>
      </c>
      <c r="C363" s="7" t="s">
        <v>23691</v>
      </c>
      <c r="D363" s="7" t="s">
        <v>22839</v>
      </c>
      <c r="E363" s="39" t="n">
        <v>45839</v>
      </c>
      <c r="F363" s="39" t="n">
        <v>45869</v>
      </c>
      <c r="G363" s="41" t="n">
        <v>140.63</v>
      </c>
      <c r="H363" s="39" t="n">
        <v>45870</v>
      </c>
      <c r="I363" s="7" t="s">
        <v>14651</v>
      </c>
      <c r="J363" s="7" t="s">
        <v>22796</v>
      </c>
    </row>
    <row r="364" customFormat="false" ht="15" hidden="false" customHeight="false" outlineLevel="0" collapsed="false">
      <c r="B364" s="7" t="s">
        <v>24072</v>
      </c>
      <c r="C364" s="7" t="s">
        <v>23692</v>
      </c>
      <c r="D364" s="7" t="s">
        <v>22841</v>
      </c>
      <c r="E364" s="39" t="n">
        <v>45852</v>
      </c>
      <c r="F364" s="39" t="n">
        <v>45867</v>
      </c>
      <c r="G364" s="41" t="n">
        <v>54.35</v>
      </c>
      <c r="H364" s="39" t="n">
        <v>45856</v>
      </c>
      <c r="I364" s="7" t="s">
        <v>14651</v>
      </c>
      <c r="J364" s="7" t="s">
        <v>22796</v>
      </c>
    </row>
    <row r="365" customFormat="false" ht="15" hidden="false" customHeight="false" outlineLevel="0" collapsed="false">
      <c r="B365" s="7" t="s">
        <v>24073</v>
      </c>
      <c r="C365" s="7" t="s">
        <v>23692</v>
      </c>
      <c r="D365" s="7" t="s">
        <v>22841</v>
      </c>
      <c r="E365" s="39" t="n">
        <v>45858</v>
      </c>
      <c r="F365" s="39" t="n">
        <v>45873</v>
      </c>
      <c r="G365" s="41" t="n">
        <v>59.89</v>
      </c>
      <c r="H365" s="39" t="n">
        <v>45874</v>
      </c>
      <c r="I365" s="7" t="s">
        <v>14651</v>
      </c>
      <c r="J365" s="7" t="s">
        <v>22796</v>
      </c>
    </row>
    <row r="366" customFormat="false" ht="15" hidden="false" customHeight="false" outlineLevel="0" collapsed="false">
      <c r="B366" s="7" t="s">
        <v>24074</v>
      </c>
      <c r="C366" s="7" t="s">
        <v>23692</v>
      </c>
      <c r="D366" s="7" t="s">
        <v>22841</v>
      </c>
      <c r="E366" s="39" t="n">
        <v>45861</v>
      </c>
      <c r="F366" s="39" t="n">
        <v>45876</v>
      </c>
      <c r="G366" s="41" t="n">
        <v>48.49</v>
      </c>
      <c r="H366" s="39" t="n">
        <v>45878</v>
      </c>
      <c r="I366" s="7" t="s">
        <v>14651</v>
      </c>
      <c r="J366" s="7" t="s">
        <v>22796</v>
      </c>
    </row>
    <row r="367" customFormat="false" ht="15" hidden="false" customHeight="false" outlineLevel="0" collapsed="false">
      <c r="B367" s="7" t="s">
        <v>24075</v>
      </c>
      <c r="C367" s="7" t="s">
        <v>23692</v>
      </c>
      <c r="D367" s="7" t="s">
        <v>22841</v>
      </c>
      <c r="E367" s="39" t="n">
        <v>45862</v>
      </c>
      <c r="F367" s="39" t="n">
        <v>45877</v>
      </c>
      <c r="G367" s="41" t="n">
        <v>96.11</v>
      </c>
      <c r="H367" s="39" t="n">
        <v>45876</v>
      </c>
      <c r="I367" s="7" t="s">
        <v>14651</v>
      </c>
      <c r="J367" s="7" t="s">
        <v>22796</v>
      </c>
    </row>
    <row r="368" customFormat="false" ht="15" hidden="false" customHeight="false" outlineLevel="0" collapsed="false">
      <c r="B368" s="7" t="s">
        <v>24076</v>
      </c>
      <c r="C368" s="7" t="s">
        <v>23694</v>
      </c>
      <c r="D368" s="7" t="s">
        <v>22845</v>
      </c>
      <c r="E368" s="39" t="n">
        <v>45840</v>
      </c>
      <c r="F368" s="39" t="n">
        <v>45840</v>
      </c>
      <c r="G368" s="41" t="n">
        <v>113.5</v>
      </c>
      <c r="H368" s="39" t="n">
        <v>45840</v>
      </c>
      <c r="I368" s="7" t="s">
        <v>14651</v>
      </c>
      <c r="J368" s="7" t="s">
        <v>22796</v>
      </c>
    </row>
    <row r="369" customFormat="false" ht="15" hidden="false" customHeight="false" outlineLevel="0" collapsed="false">
      <c r="B369" s="7" t="s">
        <v>24077</v>
      </c>
      <c r="C369" s="7" t="s">
        <v>23694</v>
      </c>
      <c r="D369" s="7" t="s">
        <v>22845</v>
      </c>
      <c r="E369" s="39" t="n">
        <v>45853</v>
      </c>
      <c r="F369" s="39" t="n">
        <v>45853</v>
      </c>
      <c r="G369" s="41" t="n">
        <v>236.51</v>
      </c>
      <c r="H369" s="39" t="n">
        <v>45853</v>
      </c>
      <c r="I369" s="7" t="s">
        <v>14651</v>
      </c>
      <c r="J369" s="7" t="s">
        <v>22796</v>
      </c>
    </row>
    <row r="370" customFormat="false" ht="15" hidden="false" customHeight="false" outlineLevel="0" collapsed="false">
      <c r="B370" s="7" t="s">
        <v>24078</v>
      </c>
      <c r="C370" s="7" t="s">
        <v>23695</v>
      </c>
      <c r="D370" s="7" t="s">
        <v>22848</v>
      </c>
      <c r="E370" s="39" t="n">
        <v>45851</v>
      </c>
      <c r="F370" s="39" t="n">
        <v>45881</v>
      </c>
      <c r="G370" s="41" t="n">
        <v>57.12</v>
      </c>
      <c r="H370" s="39" t="n">
        <v>45881</v>
      </c>
      <c r="I370" s="7" t="s">
        <v>14651</v>
      </c>
      <c r="J370" s="7" t="s">
        <v>22796</v>
      </c>
    </row>
    <row r="371" customFormat="false" ht="15" hidden="false" customHeight="false" outlineLevel="0" collapsed="false">
      <c r="B371" s="7" t="s">
        <v>24079</v>
      </c>
      <c r="C371" s="7" t="s">
        <v>23695</v>
      </c>
      <c r="D371" s="7" t="s">
        <v>22848</v>
      </c>
      <c r="E371" s="39" t="n">
        <v>45852</v>
      </c>
      <c r="F371" s="39" t="n">
        <v>45882</v>
      </c>
      <c r="G371" s="41" t="n">
        <v>45.21</v>
      </c>
      <c r="H371" s="39" t="n">
        <v>45873</v>
      </c>
      <c r="I371" s="7" t="s">
        <v>14651</v>
      </c>
      <c r="J371" s="7" t="s">
        <v>22796</v>
      </c>
    </row>
    <row r="372" customFormat="false" ht="15" hidden="false" customHeight="false" outlineLevel="0" collapsed="false">
      <c r="B372" s="7" t="s">
        <v>24080</v>
      </c>
      <c r="C372" s="7" t="s">
        <v>23695</v>
      </c>
      <c r="D372" s="7" t="s">
        <v>22848</v>
      </c>
      <c r="E372" s="39" t="n">
        <v>45865</v>
      </c>
      <c r="F372" s="39" t="n">
        <v>45895</v>
      </c>
      <c r="G372" s="41" t="n">
        <v>139.52</v>
      </c>
      <c r="H372" s="39" t="n">
        <v>45893</v>
      </c>
      <c r="I372" s="7" t="s">
        <v>14651</v>
      </c>
      <c r="J372" s="7" t="s">
        <v>22796</v>
      </c>
    </row>
    <row r="373" customFormat="false" ht="15" hidden="false" customHeight="false" outlineLevel="0" collapsed="false">
      <c r="B373" s="7" t="s">
        <v>24081</v>
      </c>
      <c r="C373" s="7" t="s">
        <v>23696</v>
      </c>
      <c r="D373" s="7" t="s">
        <v>136</v>
      </c>
      <c r="E373" s="39" t="n">
        <v>45844</v>
      </c>
      <c r="F373" s="39" t="n">
        <v>45859</v>
      </c>
      <c r="G373" s="41" t="n">
        <v>32.59</v>
      </c>
      <c r="H373" s="39" t="n">
        <v>45850</v>
      </c>
      <c r="I373" s="7" t="s">
        <v>14651</v>
      </c>
      <c r="J373" s="7" t="s">
        <v>22796</v>
      </c>
    </row>
    <row r="374" customFormat="false" ht="15" hidden="false" customHeight="false" outlineLevel="0" collapsed="false">
      <c r="B374" s="7" t="s">
        <v>24082</v>
      </c>
      <c r="C374" s="7" t="s">
        <v>23696</v>
      </c>
      <c r="D374" s="7" t="s">
        <v>136</v>
      </c>
      <c r="E374" s="39" t="n">
        <v>45845</v>
      </c>
      <c r="F374" s="39" t="n">
        <v>45860</v>
      </c>
      <c r="G374" s="41" t="n">
        <v>27.81</v>
      </c>
      <c r="H374" s="39" t="n">
        <v>45861</v>
      </c>
      <c r="I374" s="7" t="s">
        <v>14651</v>
      </c>
      <c r="J374" s="7" t="s">
        <v>22796</v>
      </c>
    </row>
    <row r="375" customFormat="false" ht="15" hidden="false" customHeight="false" outlineLevel="0" collapsed="false">
      <c r="B375" s="7" t="s">
        <v>24083</v>
      </c>
      <c r="C375" s="7" t="s">
        <v>23696</v>
      </c>
      <c r="D375" s="7" t="s">
        <v>136</v>
      </c>
      <c r="E375" s="39" t="n">
        <v>45851</v>
      </c>
      <c r="F375" s="39" t="n">
        <v>45866</v>
      </c>
      <c r="G375" s="41" t="n">
        <v>96.81</v>
      </c>
      <c r="H375" s="39" t="n">
        <v>45863</v>
      </c>
      <c r="I375" s="7" t="s">
        <v>14651</v>
      </c>
      <c r="J375" s="7" t="s">
        <v>22796</v>
      </c>
    </row>
    <row r="376" customFormat="false" ht="15" hidden="false" customHeight="false" outlineLevel="0" collapsed="false">
      <c r="B376" s="7" t="s">
        <v>24084</v>
      </c>
      <c r="C376" s="7" t="s">
        <v>23697</v>
      </c>
      <c r="D376" s="7" t="s">
        <v>22855</v>
      </c>
      <c r="E376" s="39" t="n">
        <v>45839</v>
      </c>
      <c r="F376" s="39" t="n">
        <v>45860</v>
      </c>
      <c r="G376" s="41" t="n">
        <v>175.88</v>
      </c>
      <c r="H376" s="39" t="n">
        <v>45858</v>
      </c>
      <c r="I376" s="7" t="s">
        <v>14651</v>
      </c>
      <c r="J376" s="7" t="s">
        <v>22796</v>
      </c>
    </row>
    <row r="377" customFormat="false" ht="15" hidden="false" customHeight="false" outlineLevel="0" collapsed="false">
      <c r="B377" s="7" t="s">
        <v>24085</v>
      </c>
      <c r="C377" s="7" t="s">
        <v>23698</v>
      </c>
      <c r="D377" s="7" t="s">
        <v>22857</v>
      </c>
      <c r="E377" s="39" t="n">
        <v>45839</v>
      </c>
      <c r="F377" s="39" t="n">
        <v>45860</v>
      </c>
      <c r="G377" s="41" t="n">
        <v>476.63</v>
      </c>
      <c r="H377" s="39" t="n">
        <v>45875</v>
      </c>
      <c r="I377" s="7" t="s">
        <v>14651</v>
      </c>
      <c r="J377" s="7" t="s">
        <v>22796</v>
      </c>
    </row>
    <row r="378" customFormat="false" ht="15" hidden="false" customHeight="false" outlineLevel="0" collapsed="false">
      <c r="B378" s="7" t="s">
        <v>24086</v>
      </c>
      <c r="C378" s="7" t="s">
        <v>23699</v>
      </c>
      <c r="D378" s="7" t="s">
        <v>22859</v>
      </c>
      <c r="E378" s="39" t="n">
        <v>45853</v>
      </c>
      <c r="F378" s="39" t="n">
        <v>45883</v>
      </c>
      <c r="G378" s="41" t="n">
        <v>200.13</v>
      </c>
      <c r="H378" s="39" t="n">
        <v>45855</v>
      </c>
      <c r="I378" s="7" t="s">
        <v>14651</v>
      </c>
      <c r="J378" s="7" t="s">
        <v>22796</v>
      </c>
    </row>
    <row r="379" customFormat="false" ht="15" hidden="false" customHeight="false" outlineLevel="0" collapsed="false">
      <c r="B379" s="7" t="s">
        <v>24087</v>
      </c>
      <c r="C379" s="7" t="s">
        <v>23699</v>
      </c>
      <c r="D379" s="7" t="s">
        <v>22859</v>
      </c>
      <c r="E379" s="39" t="n">
        <v>45862</v>
      </c>
      <c r="F379" s="39" t="n">
        <v>45892</v>
      </c>
      <c r="G379" s="41" t="n">
        <v>269.52</v>
      </c>
      <c r="H379" s="39" t="n">
        <v>45890</v>
      </c>
      <c r="I379" s="7" t="s">
        <v>14651</v>
      </c>
      <c r="J379" s="7" t="s">
        <v>22796</v>
      </c>
    </row>
    <row r="380" customFormat="false" ht="15" hidden="false" customHeight="false" outlineLevel="0" collapsed="false">
      <c r="B380" s="7" t="s">
        <v>24088</v>
      </c>
      <c r="C380" s="7" t="s">
        <v>23700</v>
      </c>
      <c r="D380" s="7" t="s">
        <v>22862</v>
      </c>
      <c r="E380" s="39" t="n">
        <v>45843</v>
      </c>
      <c r="F380" s="39" t="n">
        <v>45843</v>
      </c>
      <c r="G380" s="41" t="n">
        <v>67.8</v>
      </c>
      <c r="H380" s="39" t="n">
        <v>45843</v>
      </c>
      <c r="I380" s="7" t="s">
        <v>14651</v>
      </c>
      <c r="J380" s="7" t="s">
        <v>22796</v>
      </c>
    </row>
    <row r="381" customFormat="false" ht="15" hidden="false" customHeight="false" outlineLevel="0" collapsed="false">
      <c r="B381" s="7" t="s">
        <v>24089</v>
      </c>
      <c r="C381" s="7" t="s">
        <v>23700</v>
      </c>
      <c r="D381" s="7" t="s">
        <v>22862</v>
      </c>
      <c r="E381" s="39" t="n">
        <v>45860</v>
      </c>
      <c r="F381" s="39" t="n">
        <v>45860</v>
      </c>
      <c r="G381" s="41" t="n">
        <v>25.1</v>
      </c>
      <c r="H381" s="39" t="n">
        <v>45860</v>
      </c>
      <c r="I381" s="7" t="s">
        <v>14651</v>
      </c>
      <c r="J381" s="7" t="s">
        <v>22796</v>
      </c>
    </row>
    <row r="382" customFormat="false" ht="15" hidden="false" customHeight="false" outlineLevel="0" collapsed="false">
      <c r="B382" s="7" t="s">
        <v>24090</v>
      </c>
      <c r="C382" s="7" t="s">
        <v>23700</v>
      </c>
      <c r="D382" s="7" t="s">
        <v>22862</v>
      </c>
      <c r="E382" s="39" t="n">
        <v>45867</v>
      </c>
      <c r="F382" s="39" t="n">
        <v>45867</v>
      </c>
      <c r="G382" s="41" t="n">
        <v>68.18</v>
      </c>
      <c r="H382" s="39" t="n">
        <v>45867</v>
      </c>
      <c r="I382" s="7" t="s">
        <v>14651</v>
      </c>
      <c r="J382" s="7" t="s">
        <v>22796</v>
      </c>
    </row>
    <row r="383" customFormat="false" ht="15" hidden="false" customHeight="false" outlineLevel="0" collapsed="false">
      <c r="B383" s="7" t="s">
        <v>24091</v>
      </c>
      <c r="C383" s="7" t="s">
        <v>23702</v>
      </c>
      <c r="D383" s="7" t="s">
        <v>22866</v>
      </c>
      <c r="E383" s="39" t="n">
        <v>45840</v>
      </c>
      <c r="F383" s="39" t="n">
        <v>45855</v>
      </c>
      <c r="G383" s="41" t="n">
        <v>186.29</v>
      </c>
      <c r="H383" s="39" t="n">
        <v>45849</v>
      </c>
      <c r="I383" s="7" t="s">
        <v>14651</v>
      </c>
      <c r="J383" s="7" t="s">
        <v>22796</v>
      </c>
    </row>
    <row r="384" customFormat="false" ht="15" hidden="false" customHeight="false" outlineLevel="0" collapsed="false">
      <c r="B384" s="7" t="s">
        <v>24092</v>
      </c>
      <c r="C384" s="7" t="s">
        <v>23702</v>
      </c>
      <c r="D384" s="7" t="s">
        <v>22866</v>
      </c>
      <c r="E384" s="39" t="n">
        <v>45848</v>
      </c>
      <c r="F384" s="39" t="n">
        <v>45863</v>
      </c>
      <c r="G384" s="41" t="n">
        <v>407.13</v>
      </c>
      <c r="H384" s="39" t="n">
        <v>45865</v>
      </c>
      <c r="I384" s="7" t="s">
        <v>14651</v>
      </c>
      <c r="J384" s="7" t="s">
        <v>22796</v>
      </c>
    </row>
    <row r="385" customFormat="false" ht="15" hidden="false" customHeight="false" outlineLevel="0" collapsed="false">
      <c r="B385" s="7" t="s">
        <v>24093</v>
      </c>
      <c r="C385" s="7" t="s">
        <v>23703</v>
      </c>
      <c r="D385" s="7" t="s">
        <v>22870</v>
      </c>
      <c r="E385" s="39" t="n">
        <v>45847</v>
      </c>
      <c r="F385" s="39" t="n">
        <v>45877</v>
      </c>
      <c r="G385" s="41" t="n">
        <v>132.99</v>
      </c>
      <c r="H385" s="39" t="n">
        <v>45853</v>
      </c>
      <c r="I385" s="7" t="s">
        <v>14651</v>
      </c>
      <c r="J385" s="7" t="s">
        <v>22796</v>
      </c>
    </row>
    <row r="386" customFormat="false" ht="15" hidden="false" customHeight="false" outlineLevel="0" collapsed="false">
      <c r="B386" s="7" t="s">
        <v>24094</v>
      </c>
      <c r="C386" s="7" t="s">
        <v>23703</v>
      </c>
      <c r="D386" s="7" t="s">
        <v>22870</v>
      </c>
      <c r="E386" s="39" t="n">
        <v>45859</v>
      </c>
      <c r="F386" s="39" t="n">
        <v>45889</v>
      </c>
      <c r="G386" s="41" t="n">
        <v>55.08</v>
      </c>
      <c r="H386" s="39" t="n">
        <v>45898</v>
      </c>
      <c r="I386" s="7" t="s">
        <v>14651</v>
      </c>
      <c r="J386" s="7" t="s">
        <v>22796</v>
      </c>
    </row>
    <row r="387" customFormat="false" ht="15" hidden="false" customHeight="false" outlineLevel="0" collapsed="false">
      <c r="B387" s="7" t="s">
        <v>24095</v>
      </c>
      <c r="C387" s="7" t="s">
        <v>23703</v>
      </c>
      <c r="D387" s="7" t="s">
        <v>22870</v>
      </c>
      <c r="E387" s="39" t="n">
        <v>45869</v>
      </c>
      <c r="F387" s="39" t="n">
        <v>45899</v>
      </c>
      <c r="G387" s="41" t="n">
        <v>148.64</v>
      </c>
      <c r="H387" s="39" t="n">
        <v>45900</v>
      </c>
      <c r="I387" s="7" t="s">
        <v>14651</v>
      </c>
      <c r="J387" s="7" t="s">
        <v>22796</v>
      </c>
    </row>
    <row r="388" customFormat="false" ht="15" hidden="false" customHeight="false" outlineLevel="0" collapsed="false">
      <c r="B388" s="7" t="s">
        <v>24096</v>
      </c>
      <c r="C388" s="7" t="s">
        <v>23704</v>
      </c>
      <c r="D388" s="7" t="s">
        <v>22874</v>
      </c>
      <c r="E388" s="39" t="n">
        <v>45839</v>
      </c>
      <c r="F388" s="39" t="n">
        <v>45869</v>
      </c>
      <c r="G388" s="41" t="n">
        <v>411.97</v>
      </c>
      <c r="H388" s="39" t="n">
        <v>45875</v>
      </c>
      <c r="I388" s="7" t="s">
        <v>14651</v>
      </c>
      <c r="J388" s="7" t="s">
        <v>22796</v>
      </c>
    </row>
    <row r="389" customFormat="false" ht="15" hidden="false" customHeight="false" outlineLevel="0" collapsed="false">
      <c r="B389" s="7" t="s">
        <v>24097</v>
      </c>
      <c r="C389" s="7" t="s">
        <v>23705</v>
      </c>
      <c r="D389" s="7" t="s">
        <v>22876</v>
      </c>
      <c r="E389" s="39" t="n">
        <v>45839</v>
      </c>
      <c r="F389" s="39" t="n">
        <v>45869</v>
      </c>
      <c r="G389" s="41" t="n">
        <v>134.24</v>
      </c>
      <c r="H389" s="39" t="n">
        <v>45846</v>
      </c>
      <c r="I389" s="7" t="s">
        <v>14651</v>
      </c>
      <c r="J389" s="7" t="s">
        <v>22796</v>
      </c>
    </row>
    <row r="390" customFormat="false" ht="15" hidden="false" customHeight="false" outlineLevel="0" collapsed="false">
      <c r="B390" s="7" t="s">
        <v>24098</v>
      </c>
      <c r="C390" s="7" t="s">
        <v>23705</v>
      </c>
      <c r="D390" s="7" t="s">
        <v>22876</v>
      </c>
      <c r="E390" s="39" t="n">
        <v>45842</v>
      </c>
      <c r="F390" s="39" t="n">
        <v>45872</v>
      </c>
      <c r="G390" s="41" t="n">
        <v>109.74</v>
      </c>
      <c r="H390" s="39" t="n">
        <v>45872</v>
      </c>
      <c r="I390" s="7" t="s">
        <v>14651</v>
      </c>
      <c r="J390" s="7" t="s">
        <v>22796</v>
      </c>
    </row>
    <row r="391" customFormat="false" ht="15" hidden="false" customHeight="false" outlineLevel="0" collapsed="false">
      <c r="B391" s="7" t="s">
        <v>24099</v>
      </c>
      <c r="C391" s="7" t="s">
        <v>23705</v>
      </c>
      <c r="D391" s="7" t="s">
        <v>22876</v>
      </c>
      <c r="E391" s="39" t="n">
        <v>45845</v>
      </c>
      <c r="F391" s="39" t="n">
        <v>45875</v>
      </c>
      <c r="G391" s="41" t="n">
        <v>52.06</v>
      </c>
      <c r="H391" s="39" t="n">
        <v>45882</v>
      </c>
      <c r="I391" s="7" t="s">
        <v>14651</v>
      </c>
      <c r="J391" s="7" t="s">
        <v>22796</v>
      </c>
    </row>
    <row r="392" customFormat="false" ht="15" hidden="false" customHeight="false" outlineLevel="0" collapsed="false">
      <c r="B392" s="7" t="s">
        <v>24100</v>
      </c>
      <c r="C392" s="7" t="s">
        <v>23705</v>
      </c>
      <c r="D392" s="7" t="s">
        <v>22876</v>
      </c>
      <c r="E392" s="39" t="n">
        <v>45849</v>
      </c>
      <c r="F392" s="39" t="n">
        <v>45879</v>
      </c>
      <c r="G392" s="41" t="n">
        <v>61.75</v>
      </c>
      <c r="H392" s="39" t="n">
        <v>45880</v>
      </c>
      <c r="I392" s="7" t="s">
        <v>14651</v>
      </c>
      <c r="J392" s="7" t="s">
        <v>22796</v>
      </c>
    </row>
    <row r="393" customFormat="false" ht="15" hidden="false" customHeight="false" outlineLevel="0" collapsed="false">
      <c r="B393" s="7" t="s">
        <v>24101</v>
      </c>
      <c r="C393" s="7" t="s">
        <v>23706</v>
      </c>
      <c r="D393" s="7" t="s">
        <v>142</v>
      </c>
      <c r="E393" s="39" t="n">
        <v>45839</v>
      </c>
      <c r="F393" s="39" t="n">
        <v>45869</v>
      </c>
      <c r="G393" s="41" t="n">
        <v>62.05</v>
      </c>
      <c r="H393" s="39" t="n">
        <v>45864</v>
      </c>
      <c r="I393" s="7" t="s">
        <v>14651</v>
      </c>
      <c r="J393" s="7" t="s">
        <v>22796</v>
      </c>
    </row>
    <row r="394" customFormat="false" ht="15" hidden="false" customHeight="false" outlineLevel="0" collapsed="false">
      <c r="B394" s="7" t="s">
        <v>24102</v>
      </c>
      <c r="C394" s="7" t="s">
        <v>23706</v>
      </c>
      <c r="D394" s="7" t="s">
        <v>142</v>
      </c>
      <c r="E394" s="39" t="n">
        <v>45855</v>
      </c>
      <c r="F394" s="39" t="n">
        <v>45885</v>
      </c>
      <c r="G394" s="41" t="n">
        <v>47.52</v>
      </c>
      <c r="H394" s="39" t="n">
        <v>45885</v>
      </c>
      <c r="I394" s="7" t="s">
        <v>14651</v>
      </c>
      <c r="J394" s="7" t="s">
        <v>22796</v>
      </c>
    </row>
    <row r="395" customFormat="false" ht="15" hidden="false" customHeight="false" outlineLevel="0" collapsed="false">
      <c r="B395" s="7" t="s">
        <v>24103</v>
      </c>
      <c r="C395" s="7" t="s">
        <v>23706</v>
      </c>
      <c r="D395" s="7" t="s">
        <v>142</v>
      </c>
      <c r="E395" s="39" t="n">
        <v>45866</v>
      </c>
      <c r="F395" s="39" t="n">
        <v>45896</v>
      </c>
      <c r="G395" s="41" t="n">
        <v>67.57</v>
      </c>
      <c r="H395" s="39" t="n">
        <v>45894</v>
      </c>
      <c r="I395" s="7" t="s">
        <v>14651</v>
      </c>
      <c r="J395" s="7" t="s">
        <v>22796</v>
      </c>
    </row>
    <row r="396" customFormat="false" ht="15" hidden="false" customHeight="false" outlineLevel="0" collapsed="false">
      <c r="B396" s="7" t="s">
        <v>24104</v>
      </c>
      <c r="C396" s="7" t="s">
        <v>23707</v>
      </c>
      <c r="D396" s="7" t="s">
        <v>22882</v>
      </c>
      <c r="E396" s="39" t="n">
        <v>45848</v>
      </c>
      <c r="F396" s="39" t="n">
        <v>45848</v>
      </c>
      <c r="G396" s="41" t="n">
        <v>21.26</v>
      </c>
      <c r="H396" s="39" t="n">
        <v>45848</v>
      </c>
      <c r="I396" s="7" t="s">
        <v>14651</v>
      </c>
      <c r="J396" s="7" t="s">
        <v>22796</v>
      </c>
    </row>
    <row r="397" customFormat="false" ht="15" hidden="false" customHeight="false" outlineLevel="0" collapsed="false">
      <c r="B397" s="7" t="s">
        <v>24105</v>
      </c>
      <c r="C397" s="7" t="s">
        <v>23707</v>
      </c>
      <c r="D397" s="7" t="s">
        <v>22882</v>
      </c>
      <c r="E397" s="39" t="n">
        <v>45854</v>
      </c>
      <c r="F397" s="39" t="n">
        <v>45854</v>
      </c>
      <c r="G397" s="41" t="n">
        <v>10.33</v>
      </c>
      <c r="H397" s="39" t="n">
        <v>45854</v>
      </c>
      <c r="I397" s="7" t="s">
        <v>14651</v>
      </c>
      <c r="J397" s="7" t="s">
        <v>22796</v>
      </c>
    </row>
    <row r="398" customFormat="false" ht="15" hidden="false" customHeight="false" outlineLevel="0" collapsed="false">
      <c r="B398" s="7" t="s">
        <v>24106</v>
      </c>
      <c r="C398" s="7" t="s">
        <v>23707</v>
      </c>
      <c r="D398" s="7" t="s">
        <v>22882</v>
      </c>
      <c r="E398" s="39" t="n">
        <v>45858</v>
      </c>
      <c r="F398" s="39" t="n">
        <v>45858</v>
      </c>
      <c r="G398" s="41" t="n">
        <v>3.3</v>
      </c>
      <c r="H398" s="39" t="n">
        <v>45858</v>
      </c>
      <c r="I398" s="7" t="s">
        <v>14651</v>
      </c>
      <c r="J398" s="7" t="s">
        <v>22796</v>
      </c>
    </row>
    <row r="399" customFormat="false" ht="15" hidden="false" customHeight="false" outlineLevel="0" collapsed="false">
      <c r="B399" s="7" t="s">
        <v>24107</v>
      </c>
      <c r="C399" s="7" t="s">
        <v>23707</v>
      </c>
      <c r="D399" s="7" t="s">
        <v>22882</v>
      </c>
      <c r="E399" s="39" t="n">
        <v>45861</v>
      </c>
      <c r="F399" s="39" t="n">
        <v>45861</v>
      </c>
      <c r="G399" s="41" t="n">
        <v>8.1</v>
      </c>
      <c r="H399" s="39" t="n">
        <v>45861</v>
      </c>
      <c r="I399" s="7" t="s">
        <v>14651</v>
      </c>
      <c r="J399" s="7" t="s">
        <v>22796</v>
      </c>
    </row>
    <row r="400" customFormat="false" ht="15" hidden="false" customHeight="false" outlineLevel="0" collapsed="false">
      <c r="B400" s="7" t="s">
        <v>24108</v>
      </c>
      <c r="C400" s="7" t="s">
        <v>23708</v>
      </c>
      <c r="D400" s="7" t="s">
        <v>143</v>
      </c>
      <c r="E400" s="39" t="n">
        <v>45850</v>
      </c>
      <c r="F400" s="39" t="n">
        <v>45865</v>
      </c>
      <c r="G400" s="41" t="n">
        <v>79.64</v>
      </c>
      <c r="H400" s="39" t="n">
        <v>45872</v>
      </c>
      <c r="I400" s="7" t="s">
        <v>14651</v>
      </c>
      <c r="J400" s="7" t="s">
        <v>22796</v>
      </c>
    </row>
    <row r="401" customFormat="false" ht="15" hidden="false" customHeight="false" outlineLevel="0" collapsed="false">
      <c r="B401" s="7" t="s">
        <v>24109</v>
      </c>
      <c r="C401" s="7" t="s">
        <v>23708</v>
      </c>
      <c r="D401" s="7" t="s">
        <v>143</v>
      </c>
      <c r="E401" s="39" t="n">
        <v>45854</v>
      </c>
      <c r="F401" s="39" t="n">
        <v>45869</v>
      </c>
      <c r="G401" s="41" t="n">
        <v>24.07</v>
      </c>
      <c r="H401" s="39" t="n">
        <v>45882</v>
      </c>
      <c r="I401" s="7" t="s">
        <v>14651</v>
      </c>
      <c r="J401" s="7" t="s">
        <v>22796</v>
      </c>
    </row>
    <row r="402" customFormat="false" ht="15" hidden="false" customHeight="false" outlineLevel="0" collapsed="false">
      <c r="B402" s="7" t="s">
        <v>24110</v>
      </c>
      <c r="C402" s="7" t="s">
        <v>23708</v>
      </c>
      <c r="D402" s="7" t="s">
        <v>143</v>
      </c>
      <c r="E402" s="39" t="n">
        <v>45867</v>
      </c>
      <c r="F402" s="39" t="n">
        <v>45882</v>
      </c>
      <c r="G402" s="41" t="n">
        <v>78.43</v>
      </c>
      <c r="H402" s="39" t="n">
        <v>45893</v>
      </c>
      <c r="I402" s="7" t="s">
        <v>14651</v>
      </c>
      <c r="J402" s="7" t="s">
        <v>22796</v>
      </c>
    </row>
    <row r="403" customFormat="false" ht="15" hidden="false" customHeight="false" outlineLevel="0" collapsed="false">
      <c r="B403" s="7" t="s">
        <v>24111</v>
      </c>
      <c r="C403" s="7" t="s">
        <v>23676</v>
      </c>
      <c r="D403" s="7" t="s">
        <v>124</v>
      </c>
      <c r="E403" s="39" t="n">
        <v>45870</v>
      </c>
      <c r="F403" s="39" t="n">
        <v>45870</v>
      </c>
      <c r="G403" s="41" t="n">
        <v>2077.41</v>
      </c>
      <c r="H403" s="39" t="n">
        <v>45870</v>
      </c>
      <c r="I403" s="7" t="s">
        <v>14651</v>
      </c>
      <c r="J403" s="7" t="s">
        <v>22796</v>
      </c>
    </row>
    <row r="404" customFormat="false" ht="15" hidden="false" customHeight="false" outlineLevel="0" collapsed="false">
      <c r="B404" s="7" t="s">
        <v>24112</v>
      </c>
      <c r="C404" s="7" t="s">
        <v>23678</v>
      </c>
      <c r="D404" s="7" t="s">
        <v>22798</v>
      </c>
      <c r="E404" s="39" t="n">
        <v>45878</v>
      </c>
      <c r="F404" s="39" t="n">
        <v>45899</v>
      </c>
      <c r="G404" s="41" t="n">
        <v>73.71</v>
      </c>
      <c r="H404" s="39" t="n">
        <v>45910</v>
      </c>
      <c r="I404" s="7" t="s">
        <v>14651</v>
      </c>
      <c r="J404" s="7" t="s">
        <v>22796</v>
      </c>
    </row>
    <row r="405" customFormat="false" ht="15" hidden="false" customHeight="false" outlineLevel="0" collapsed="false">
      <c r="B405" s="7" t="s">
        <v>24113</v>
      </c>
      <c r="C405" s="7" t="s">
        <v>23678</v>
      </c>
      <c r="D405" s="7" t="s">
        <v>22798</v>
      </c>
      <c r="E405" s="39" t="n">
        <v>45884</v>
      </c>
      <c r="F405" s="39" t="n">
        <v>45905</v>
      </c>
      <c r="G405" s="41" t="n">
        <v>57.97</v>
      </c>
      <c r="H405" s="39" t="n">
        <v>45905</v>
      </c>
      <c r="I405" s="7" t="s">
        <v>14651</v>
      </c>
      <c r="J405" s="7" t="s">
        <v>22796</v>
      </c>
    </row>
    <row r="406" customFormat="false" ht="15" hidden="false" customHeight="false" outlineLevel="0" collapsed="false">
      <c r="B406" s="7" t="s">
        <v>24114</v>
      </c>
      <c r="C406" s="7" t="s">
        <v>23678</v>
      </c>
      <c r="D406" s="7" t="s">
        <v>22798</v>
      </c>
      <c r="E406" s="39" t="n">
        <v>45885</v>
      </c>
      <c r="F406" s="39" t="n">
        <v>45906</v>
      </c>
      <c r="G406" s="41" t="n">
        <v>78.84</v>
      </c>
      <c r="H406" s="39" t="n">
        <v>45920</v>
      </c>
      <c r="I406" s="7" t="s">
        <v>14651</v>
      </c>
      <c r="J406" s="7" t="s">
        <v>22796</v>
      </c>
    </row>
    <row r="407" customFormat="false" ht="15" hidden="false" customHeight="false" outlineLevel="0" collapsed="false">
      <c r="B407" s="7" t="s">
        <v>24115</v>
      </c>
      <c r="C407" s="7" t="s">
        <v>23680</v>
      </c>
      <c r="D407" s="7" t="s">
        <v>22802</v>
      </c>
      <c r="E407" s="39" t="n">
        <v>45871</v>
      </c>
      <c r="F407" s="39" t="n">
        <v>45892</v>
      </c>
      <c r="G407" s="41" t="n">
        <v>23.99</v>
      </c>
      <c r="H407" s="39" t="n">
        <v>45891</v>
      </c>
      <c r="I407" s="7" t="s">
        <v>14651</v>
      </c>
      <c r="J407" s="7" t="s">
        <v>22796</v>
      </c>
    </row>
    <row r="408" customFormat="false" ht="15" hidden="false" customHeight="false" outlineLevel="0" collapsed="false">
      <c r="B408" s="7" t="s">
        <v>24116</v>
      </c>
      <c r="C408" s="7" t="s">
        <v>23680</v>
      </c>
      <c r="D408" s="7" t="s">
        <v>22802</v>
      </c>
      <c r="E408" s="39" t="n">
        <v>45879</v>
      </c>
      <c r="F408" s="39" t="n">
        <v>45900</v>
      </c>
      <c r="G408" s="41" t="n">
        <v>19.85</v>
      </c>
      <c r="H408" s="39" t="n">
        <v>45900</v>
      </c>
      <c r="I408" s="7" t="s">
        <v>14651</v>
      </c>
      <c r="J408" s="7" t="s">
        <v>22796</v>
      </c>
    </row>
    <row r="409" customFormat="false" ht="15" hidden="false" customHeight="false" outlineLevel="0" collapsed="false">
      <c r="B409" s="7" t="s">
        <v>24117</v>
      </c>
      <c r="C409" s="7" t="s">
        <v>23680</v>
      </c>
      <c r="D409" s="7" t="s">
        <v>22802</v>
      </c>
      <c r="E409" s="39" t="n">
        <v>45883</v>
      </c>
      <c r="F409" s="39" t="n">
        <v>45904</v>
      </c>
      <c r="G409" s="41" t="n">
        <v>10.11</v>
      </c>
      <c r="H409" s="39" t="n">
        <v>45906</v>
      </c>
      <c r="I409" s="7" t="s">
        <v>14651</v>
      </c>
      <c r="J409" s="7" t="s">
        <v>22796</v>
      </c>
    </row>
    <row r="410" customFormat="false" ht="15" hidden="false" customHeight="false" outlineLevel="0" collapsed="false">
      <c r="B410" s="7" t="s">
        <v>24118</v>
      </c>
      <c r="C410" s="7" t="s">
        <v>23680</v>
      </c>
      <c r="D410" s="7" t="s">
        <v>22802</v>
      </c>
      <c r="E410" s="39" t="n">
        <v>45890</v>
      </c>
      <c r="F410" s="39" t="n">
        <v>45911</v>
      </c>
      <c r="G410" s="41" t="n">
        <v>13.99</v>
      </c>
      <c r="H410" s="39" t="n">
        <v>45902</v>
      </c>
      <c r="I410" s="7" t="s">
        <v>14651</v>
      </c>
      <c r="J410" s="7" t="s">
        <v>22796</v>
      </c>
    </row>
    <row r="411" customFormat="false" ht="15" hidden="false" customHeight="false" outlineLevel="0" collapsed="false">
      <c r="B411" s="7" t="s">
        <v>24119</v>
      </c>
      <c r="C411" s="7" t="s">
        <v>23681</v>
      </c>
      <c r="D411" s="7" t="s">
        <v>22807</v>
      </c>
      <c r="E411" s="39" t="n">
        <v>45871</v>
      </c>
      <c r="F411" s="39" t="n">
        <v>45892</v>
      </c>
      <c r="G411" s="41" t="n">
        <v>20.59</v>
      </c>
      <c r="H411" s="39" t="n">
        <v>45891</v>
      </c>
      <c r="I411" s="7" t="s">
        <v>14651</v>
      </c>
      <c r="J411" s="7" t="s">
        <v>22796</v>
      </c>
    </row>
    <row r="412" customFormat="false" ht="15" hidden="false" customHeight="false" outlineLevel="0" collapsed="false">
      <c r="B412" s="7" t="s">
        <v>24120</v>
      </c>
      <c r="C412" s="7" t="s">
        <v>23681</v>
      </c>
      <c r="D412" s="7" t="s">
        <v>22807</v>
      </c>
      <c r="E412" s="39" t="n">
        <v>45888</v>
      </c>
      <c r="F412" s="39" t="n">
        <v>45909</v>
      </c>
      <c r="G412" s="41" t="n">
        <v>17.37</v>
      </c>
      <c r="H412" s="39" t="n">
        <v>45907</v>
      </c>
      <c r="I412" s="7" t="s">
        <v>14651</v>
      </c>
      <c r="J412" s="7" t="s">
        <v>22796</v>
      </c>
    </row>
    <row r="413" customFormat="false" ht="15" hidden="false" customHeight="false" outlineLevel="0" collapsed="false">
      <c r="B413" s="7" t="s">
        <v>24121</v>
      </c>
      <c r="C413" s="7" t="s">
        <v>23681</v>
      </c>
      <c r="D413" s="7" t="s">
        <v>22807</v>
      </c>
      <c r="E413" s="39" t="n">
        <v>45896</v>
      </c>
      <c r="F413" s="39" t="n">
        <v>45917</v>
      </c>
      <c r="G413" s="41" t="n">
        <v>18.02</v>
      </c>
      <c r="H413" s="39" t="n">
        <v>45909</v>
      </c>
      <c r="I413" s="7" t="s">
        <v>14651</v>
      </c>
      <c r="J413" s="7" t="s">
        <v>22796</v>
      </c>
    </row>
    <row r="414" customFormat="false" ht="15" hidden="false" customHeight="false" outlineLevel="0" collapsed="false">
      <c r="B414" s="7" t="s">
        <v>24122</v>
      </c>
      <c r="C414" s="7" t="s">
        <v>23681</v>
      </c>
      <c r="D414" s="7" t="s">
        <v>22807</v>
      </c>
      <c r="E414" s="39" t="n">
        <v>45898</v>
      </c>
      <c r="F414" s="39" t="n">
        <v>45919</v>
      </c>
      <c r="G414" s="41" t="n">
        <v>33.59</v>
      </c>
      <c r="H414" s="39" t="n">
        <v>45920</v>
      </c>
      <c r="I414" s="7" t="s">
        <v>14651</v>
      </c>
      <c r="J414" s="7" t="s">
        <v>22796</v>
      </c>
    </row>
    <row r="415" customFormat="false" ht="15" hidden="false" customHeight="false" outlineLevel="0" collapsed="false">
      <c r="B415" s="7" t="s">
        <v>24123</v>
      </c>
      <c r="C415" s="7" t="s">
        <v>23682</v>
      </c>
      <c r="D415" s="7" t="s">
        <v>22825</v>
      </c>
      <c r="E415" s="39" t="n">
        <v>45870</v>
      </c>
      <c r="F415" s="39" t="n">
        <v>45870</v>
      </c>
      <c r="G415" s="41" t="n">
        <v>690.78</v>
      </c>
      <c r="H415" s="39" t="n">
        <v>45870</v>
      </c>
      <c r="I415" s="7" t="s">
        <v>14651</v>
      </c>
      <c r="J415" s="7" t="s">
        <v>22796</v>
      </c>
    </row>
    <row r="416" customFormat="false" ht="15" hidden="false" customHeight="false" outlineLevel="0" collapsed="false">
      <c r="B416" s="7" t="s">
        <v>24124</v>
      </c>
      <c r="C416" s="7" t="s">
        <v>23684</v>
      </c>
      <c r="D416" s="7" t="s">
        <v>22827</v>
      </c>
      <c r="E416" s="39" t="n">
        <v>45870</v>
      </c>
      <c r="F416" s="39" t="n">
        <v>45870</v>
      </c>
      <c r="G416" s="41" t="n">
        <v>118.66</v>
      </c>
      <c r="H416" s="39" t="n">
        <v>45870</v>
      </c>
      <c r="I416" s="7" t="s">
        <v>14651</v>
      </c>
      <c r="J416" s="7" t="s">
        <v>22796</v>
      </c>
    </row>
    <row r="417" customFormat="false" ht="15" hidden="false" customHeight="false" outlineLevel="0" collapsed="false">
      <c r="B417" s="7" t="s">
        <v>24125</v>
      </c>
      <c r="C417" s="7" t="s">
        <v>23685</v>
      </c>
      <c r="D417" s="7" t="s">
        <v>22829</v>
      </c>
      <c r="E417" s="39" t="n">
        <v>45870</v>
      </c>
      <c r="F417" s="39" t="n">
        <v>45870</v>
      </c>
      <c r="G417" s="41" t="n">
        <v>90.36</v>
      </c>
      <c r="H417" s="39" t="n">
        <v>45870</v>
      </c>
      <c r="I417" s="7" t="s">
        <v>14651</v>
      </c>
      <c r="J417" s="7" t="s">
        <v>22796</v>
      </c>
    </row>
    <row r="418" customFormat="false" ht="15" hidden="false" customHeight="false" outlineLevel="0" collapsed="false">
      <c r="B418" s="7" t="s">
        <v>24126</v>
      </c>
      <c r="C418" s="7" t="s">
        <v>23686</v>
      </c>
      <c r="D418" s="7" t="s">
        <v>22831</v>
      </c>
      <c r="E418" s="39" t="n">
        <v>45870</v>
      </c>
      <c r="F418" s="39" t="n">
        <v>45870</v>
      </c>
      <c r="G418" s="41" t="n">
        <v>98.36</v>
      </c>
      <c r="H418" s="39" t="n">
        <v>45870</v>
      </c>
      <c r="I418" s="7" t="s">
        <v>14651</v>
      </c>
      <c r="J418" s="7" t="s">
        <v>22796</v>
      </c>
    </row>
    <row r="419" customFormat="false" ht="15" hidden="false" customHeight="false" outlineLevel="0" collapsed="false">
      <c r="B419" s="7" t="s">
        <v>24127</v>
      </c>
      <c r="C419" s="7" t="s">
        <v>23687</v>
      </c>
      <c r="D419" s="7" t="s">
        <v>132</v>
      </c>
      <c r="E419" s="39" t="n">
        <v>45876</v>
      </c>
      <c r="F419" s="39" t="n">
        <v>45876</v>
      </c>
      <c r="G419" s="41" t="n">
        <v>221.22</v>
      </c>
      <c r="H419" s="39" t="n">
        <v>45876</v>
      </c>
      <c r="I419" s="7" t="s">
        <v>14651</v>
      </c>
      <c r="J419" s="7" t="s">
        <v>22813</v>
      </c>
    </row>
    <row r="420" customFormat="false" ht="15" hidden="false" customHeight="false" outlineLevel="0" collapsed="false">
      <c r="B420" s="7" t="s">
        <v>24128</v>
      </c>
      <c r="C420" s="7" t="s">
        <v>23687</v>
      </c>
      <c r="D420" s="7" t="s">
        <v>132</v>
      </c>
      <c r="E420" s="39" t="n">
        <v>45890</v>
      </c>
      <c r="F420" s="39" t="n">
        <v>45890</v>
      </c>
      <c r="G420" s="41" t="n">
        <v>221.21</v>
      </c>
      <c r="H420" s="39" t="n">
        <v>45890</v>
      </c>
      <c r="I420" s="7" t="s">
        <v>14651</v>
      </c>
      <c r="J420" s="7" t="s">
        <v>22813</v>
      </c>
    </row>
    <row r="421" customFormat="false" ht="15" hidden="false" customHeight="false" outlineLevel="0" collapsed="false">
      <c r="B421" s="7" t="s">
        <v>24129</v>
      </c>
      <c r="C421" s="7" t="s">
        <v>23689</v>
      </c>
      <c r="D421" s="7" t="s">
        <v>22837</v>
      </c>
      <c r="E421" s="39" t="n">
        <v>45870</v>
      </c>
      <c r="F421" s="39" t="n">
        <v>45900</v>
      </c>
      <c r="G421" s="41" t="n">
        <v>395.01</v>
      </c>
      <c r="H421" s="39" t="n">
        <v>45914</v>
      </c>
      <c r="I421" s="7" t="s">
        <v>14651</v>
      </c>
      <c r="J421" s="7" t="s">
        <v>22796</v>
      </c>
    </row>
    <row r="422" customFormat="false" ht="15" hidden="false" customHeight="false" outlineLevel="0" collapsed="false">
      <c r="B422" s="7" t="s">
        <v>24130</v>
      </c>
      <c r="C422" s="7" t="s">
        <v>23691</v>
      </c>
      <c r="D422" s="7" t="s">
        <v>22839</v>
      </c>
      <c r="E422" s="39" t="n">
        <v>45870</v>
      </c>
      <c r="F422" s="39" t="n">
        <v>45900</v>
      </c>
      <c r="G422" s="41" t="n">
        <v>154.52</v>
      </c>
      <c r="H422" s="39" t="n">
        <v>45898</v>
      </c>
      <c r="I422" s="7" t="s">
        <v>14651</v>
      </c>
      <c r="J422" s="7" t="s">
        <v>22796</v>
      </c>
    </row>
    <row r="423" customFormat="false" ht="15" hidden="false" customHeight="false" outlineLevel="0" collapsed="false">
      <c r="B423" s="7" t="s">
        <v>24131</v>
      </c>
      <c r="C423" s="7" t="s">
        <v>23692</v>
      </c>
      <c r="D423" s="7" t="s">
        <v>22841</v>
      </c>
      <c r="E423" s="39" t="n">
        <v>45875</v>
      </c>
      <c r="F423" s="39" t="n">
        <v>45890</v>
      </c>
      <c r="G423" s="41" t="n">
        <v>106.29</v>
      </c>
      <c r="H423" s="39" t="n">
        <v>45895</v>
      </c>
      <c r="I423" s="7" t="s">
        <v>14651</v>
      </c>
      <c r="J423" s="7" t="s">
        <v>22796</v>
      </c>
    </row>
    <row r="424" customFormat="false" ht="15" hidden="false" customHeight="false" outlineLevel="0" collapsed="false">
      <c r="B424" s="7" t="s">
        <v>24132</v>
      </c>
      <c r="C424" s="7" t="s">
        <v>23692</v>
      </c>
      <c r="D424" s="7" t="s">
        <v>22841</v>
      </c>
      <c r="E424" s="39" t="n">
        <v>45886</v>
      </c>
      <c r="F424" s="39" t="n">
        <v>45901</v>
      </c>
      <c r="G424" s="41" t="n">
        <v>66.82</v>
      </c>
      <c r="H424" s="39" t="n">
        <v>45901</v>
      </c>
      <c r="I424" s="7" t="s">
        <v>14651</v>
      </c>
      <c r="J424" s="7" t="s">
        <v>22796</v>
      </c>
    </row>
    <row r="425" customFormat="false" ht="15" hidden="false" customHeight="false" outlineLevel="0" collapsed="false">
      <c r="B425" s="7" t="s">
        <v>24133</v>
      </c>
      <c r="C425" s="7" t="s">
        <v>23692</v>
      </c>
      <c r="D425" s="7" t="s">
        <v>22841</v>
      </c>
      <c r="E425" s="39" t="n">
        <v>45895</v>
      </c>
      <c r="F425" s="39" t="n">
        <v>45910</v>
      </c>
      <c r="G425" s="41" t="n">
        <v>36.02</v>
      </c>
      <c r="H425" s="39" t="n">
        <v>45907</v>
      </c>
      <c r="I425" s="7" t="s">
        <v>14651</v>
      </c>
      <c r="J425" s="7" t="s">
        <v>22796</v>
      </c>
    </row>
    <row r="426" customFormat="false" ht="15" hidden="false" customHeight="false" outlineLevel="0" collapsed="false">
      <c r="B426" s="7" t="s">
        <v>24134</v>
      </c>
      <c r="C426" s="7" t="s">
        <v>23692</v>
      </c>
      <c r="D426" s="7" t="s">
        <v>22841</v>
      </c>
      <c r="E426" s="39" t="n">
        <v>45900</v>
      </c>
      <c r="F426" s="39" t="n">
        <v>45915</v>
      </c>
      <c r="G426" s="41" t="n">
        <v>52.95</v>
      </c>
      <c r="H426" s="39" t="n">
        <v>45926</v>
      </c>
      <c r="I426" s="7" t="s">
        <v>14651</v>
      </c>
      <c r="J426" s="7" t="s">
        <v>22796</v>
      </c>
    </row>
    <row r="427" customFormat="false" ht="15" hidden="false" customHeight="false" outlineLevel="0" collapsed="false">
      <c r="B427" s="7" t="s">
        <v>24135</v>
      </c>
      <c r="C427" s="7" t="s">
        <v>23694</v>
      </c>
      <c r="D427" s="7" t="s">
        <v>22845</v>
      </c>
      <c r="E427" s="39" t="n">
        <v>45870</v>
      </c>
      <c r="F427" s="39" t="n">
        <v>45870</v>
      </c>
      <c r="G427" s="41" t="n">
        <v>78.91</v>
      </c>
      <c r="H427" s="39" t="n">
        <v>45870</v>
      </c>
      <c r="I427" s="7" t="s">
        <v>14651</v>
      </c>
      <c r="J427" s="7" t="s">
        <v>22796</v>
      </c>
    </row>
    <row r="428" customFormat="false" ht="15" hidden="false" customHeight="false" outlineLevel="0" collapsed="false">
      <c r="B428" s="7" t="s">
        <v>24136</v>
      </c>
      <c r="C428" s="7" t="s">
        <v>23694</v>
      </c>
      <c r="D428" s="7" t="s">
        <v>22845</v>
      </c>
      <c r="E428" s="39" t="n">
        <v>45871</v>
      </c>
      <c r="F428" s="39" t="n">
        <v>45871</v>
      </c>
      <c r="G428" s="41" t="n">
        <v>265.69</v>
      </c>
      <c r="H428" s="39" t="n">
        <v>45871</v>
      </c>
      <c r="I428" s="7" t="s">
        <v>14651</v>
      </c>
      <c r="J428" s="7" t="s">
        <v>22796</v>
      </c>
    </row>
    <row r="429" customFormat="false" ht="15" hidden="false" customHeight="false" outlineLevel="0" collapsed="false">
      <c r="B429" s="7" t="s">
        <v>24137</v>
      </c>
      <c r="C429" s="7" t="s">
        <v>23695</v>
      </c>
      <c r="D429" s="7" t="s">
        <v>22848</v>
      </c>
      <c r="E429" s="39" t="n">
        <v>45872</v>
      </c>
      <c r="F429" s="39" t="n">
        <v>45902</v>
      </c>
      <c r="G429" s="41" t="n">
        <v>124.36</v>
      </c>
      <c r="H429" s="39" t="n">
        <v>45903</v>
      </c>
      <c r="I429" s="7" t="s">
        <v>14651</v>
      </c>
      <c r="J429" s="7" t="s">
        <v>22796</v>
      </c>
    </row>
    <row r="430" customFormat="false" ht="15" hidden="false" customHeight="false" outlineLevel="0" collapsed="false">
      <c r="B430" s="7" t="s">
        <v>24138</v>
      </c>
      <c r="C430" s="7" t="s">
        <v>23695</v>
      </c>
      <c r="D430" s="7" t="s">
        <v>22848</v>
      </c>
      <c r="E430" s="39" t="n">
        <v>45894</v>
      </c>
      <c r="F430" s="39" t="n">
        <v>45924</v>
      </c>
      <c r="G430" s="41" t="n">
        <v>135.25</v>
      </c>
      <c r="H430" s="39" t="n">
        <v>45926</v>
      </c>
      <c r="I430" s="7" t="s">
        <v>14651</v>
      </c>
      <c r="J430" s="7" t="s">
        <v>22796</v>
      </c>
    </row>
    <row r="431" customFormat="false" ht="15" hidden="false" customHeight="false" outlineLevel="0" collapsed="false">
      <c r="B431" s="7" t="s">
        <v>24139</v>
      </c>
      <c r="C431" s="7" t="s">
        <v>23696</v>
      </c>
      <c r="D431" s="7" t="s">
        <v>136</v>
      </c>
      <c r="E431" s="39" t="n">
        <v>45886</v>
      </c>
      <c r="F431" s="39" t="n">
        <v>45901</v>
      </c>
      <c r="G431" s="41" t="n">
        <v>71.74</v>
      </c>
      <c r="H431" s="39" t="n">
        <v>45893</v>
      </c>
      <c r="I431" s="7" t="s">
        <v>14651</v>
      </c>
      <c r="J431" s="7" t="s">
        <v>22796</v>
      </c>
    </row>
    <row r="432" customFormat="false" ht="15" hidden="false" customHeight="false" outlineLevel="0" collapsed="false">
      <c r="B432" s="7" t="s">
        <v>24140</v>
      </c>
      <c r="C432" s="7" t="s">
        <v>23696</v>
      </c>
      <c r="D432" s="7" t="s">
        <v>136</v>
      </c>
      <c r="E432" s="39" t="n">
        <v>45892</v>
      </c>
      <c r="F432" s="39" t="n">
        <v>45907</v>
      </c>
      <c r="G432" s="41" t="n">
        <v>22.23</v>
      </c>
      <c r="H432" s="39" t="n">
        <v>45895</v>
      </c>
      <c r="I432" s="7" t="s">
        <v>14651</v>
      </c>
      <c r="J432" s="7" t="s">
        <v>22796</v>
      </c>
    </row>
    <row r="433" customFormat="false" ht="15" hidden="false" customHeight="false" outlineLevel="0" collapsed="false">
      <c r="B433" s="7" t="s">
        <v>24141</v>
      </c>
      <c r="C433" s="7" t="s">
        <v>23696</v>
      </c>
      <c r="D433" s="7" t="s">
        <v>136</v>
      </c>
      <c r="E433" s="39" t="n">
        <v>45900</v>
      </c>
      <c r="F433" s="39" t="n">
        <v>45915</v>
      </c>
      <c r="G433" s="41" t="n">
        <v>64.64</v>
      </c>
      <c r="H433" s="39" t="n">
        <v>45926</v>
      </c>
      <c r="I433" s="7" t="s">
        <v>14651</v>
      </c>
      <c r="J433" s="7" t="s">
        <v>22796</v>
      </c>
    </row>
    <row r="434" customFormat="false" ht="15" hidden="false" customHeight="false" outlineLevel="0" collapsed="false">
      <c r="B434" s="7" t="s">
        <v>24142</v>
      </c>
      <c r="C434" s="7" t="s">
        <v>23697</v>
      </c>
      <c r="D434" s="7" t="s">
        <v>22855</v>
      </c>
      <c r="E434" s="39" t="n">
        <v>45870</v>
      </c>
      <c r="F434" s="39" t="n">
        <v>45891</v>
      </c>
      <c r="G434" s="41" t="n">
        <v>174.42</v>
      </c>
      <c r="H434" s="39" t="n">
        <v>45892</v>
      </c>
      <c r="I434" s="7" t="s">
        <v>14651</v>
      </c>
      <c r="J434" s="7" t="s">
        <v>22796</v>
      </c>
    </row>
    <row r="435" customFormat="false" ht="15" hidden="false" customHeight="false" outlineLevel="0" collapsed="false">
      <c r="B435" s="7" t="s">
        <v>24143</v>
      </c>
      <c r="C435" s="7" t="s">
        <v>23698</v>
      </c>
      <c r="D435" s="7" t="s">
        <v>22857</v>
      </c>
      <c r="E435" s="39" t="n">
        <v>45870</v>
      </c>
      <c r="F435" s="39" t="n">
        <v>45891</v>
      </c>
      <c r="G435" s="41" t="n">
        <v>458.04</v>
      </c>
      <c r="H435" s="39" t="n">
        <v>45892</v>
      </c>
      <c r="I435" s="7" t="s">
        <v>14651</v>
      </c>
      <c r="J435" s="7" t="s">
        <v>22796</v>
      </c>
    </row>
    <row r="436" customFormat="false" ht="15" hidden="false" customHeight="false" outlineLevel="0" collapsed="false">
      <c r="B436" s="7" t="s">
        <v>24144</v>
      </c>
      <c r="C436" s="7" t="s">
        <v>23699</v>
      </c>
      <c r="D436" s="7" t="s">
        <v>22859</v>
      </c>
      <c r="E436" s="39" t="n">
        <v>45876</v>
      </c>
      <c r="F436" s="39" t="n">
        <v>45906</v>
      </c>
      <c r="G436" s="41" t="n">
        <v>121.74</v>
      </c>
      <c r="H436" s="39" t="n">
        <v>45907</v>
      </c>
      <c r="I436" s="7" t="s">
        <v>14651</v>
      </c>
      <c r="J436" s="7" t="s">
        <v>22796</v>
      </c>
    </row>
    <row r="437" customFormat="false" ht="15" hidden="false" customHeight="false" outlineLevel="0" collapsed="false">
      <c r="B437" s="7" t="s">
        <v>24145</v>
      </c>
      <c r="C437" s="7" t="s">
        <v>23699</v>
      </c>
      <c r="D437" s="7" t="s">
        <v>22859</v>
      </c>
      <c r="E437" s="39" t="n">
        <v>45888</v>
      </c>
      <c r="F437" s="39" t="n">
        <v>45918</v>
      </c>
      <c r="G437" s="41" t="n">
        <v>91.23</v>
      </c>
      <c r="H437" s="39" t="n">
        <v>45890</v>
      </c>
      <c r="I437" s="7" t="s">
        <v>14651</v>
      </c>
      <c r="J437" s="7" t="s">
        <v>22796</v>
      </c>
    </row>
    <row r="438" customFormat="false" ht="15" hidden="false" customHeight="false" outlineLevel="0" collapsed="false">
      <c r="B438" s="7" t="s">
        <v>24146</v>
      </c>
      <c r="C438" s="7" t="s">
        <v>23699</v>
      </c>
      <c r="D438" s="7" t="s">
        <v>22859</v>
      </c>
      <c r="E438" s="39" t="n">
        <v>45896</v>
      </c>
      <c r="F438" s="39" t="n">
        <v>45926</v>
      </c>
      <c r="G438" s="41" t="n">
        <v>105.11</v>
      </c>
      <c r="H438" s="39" t="n">
        <v>45927</v>
      </c>
      <c r="I438" s="7" t="s">
        <v>14651</v>
      </c>
      <c r="J438" s="7" t="s">
        <v>22796</v>
      </c>
    </row>
    <row r="439" customFormat="false" ht="15" hidden="false" customHeight="false" outlineLevel="0" collapsed="false">
      <c r="B439" s="7" t="s">
        <v>24147</v>
      </c>
      <c r="C439" s="7" t="s">
        <v>23699</v>
      </c>
      <c r="D439" s="7" t="s">
        <v>22859</v>
      </c>
      <c r="E439" s="39" t="n">
        <v>45900</v>
      </c>
      <c r="F439" s="39" t="n">
        <v>45930</v>
      </c>
      <c r="G439" s="41" t="n">
        <v>105.7</v>
      </c>
      <c r="H439" s="39" t="n">
        <v>45931</v>
      </c>
      <c r="I439" s="7" t="s">
        <v>14651</v>
      </c>
      <c r="J439" s="7" t="s">
        <v>22796</v>
      </c>
    </row>
    <row r="440" customFormat="false" ht="15" hidden="false" customHeight="false" outlineLevel="0" collapsed="false">
      <c r="B440" s="7" t="s">
        <v>24148</v>
      </c>
      <c r="C440" s="7" t="s">
        <v>23700</v>
      </c>
      <c r="D440" s="7" t="s">
        <v>22862</v>
      </c>
      <c r="E440" s="39" t="n">
        <v>45870</v>
      </c>
      <c r="F440" s="39" t="n">
        <v>45870</v>
      </c>
      <c r="G440" s="41" t="n">
        <v>70.26</v>
      </c>
      <c r="H440" s="39" t="n">
        <v>45870</v>
      </c>
      <c r="I440" s="7" t="s">
        <v>14651</v>
      </c>
      <c r="J440" s="7" t="s">
        <v>22796</v>
      </c>
    </row>
    <row r="441" customFormat="false" ht="15" hidden="false" customHeight="false" outlineLevel="0" collapsed="false">
      <c r="B441" s="7" t="s">
        <v>24149</v>
      </c>
      <c r="C441" s="7" t="s">
        <v>23700</v>
      </c>
      <c r="D441" s="7" t="s">
        <v>22862</v>
      </c>
      <c r="E441" s="39" t="n">
        <v>45874</v>
      </c>
      <c r="F441" s="39" t="n">
        <v>45874</v>
      </c>
      <c r="G441" s="41" t="n">
        <v>19.23</v>
      </c>
      <c r="H441" s="39" t="n">
        <v>45874</v>
      </c>
      <c r="I441" s="7" t="s">
        <v>14651</v>
      </c>
      <c r="J441" s="7" t="s">
        <v>22796</v>
      </c>
    </row>
    <row r="442" customFormat="false" ht="15" hidden="false" customHeight="false" outlineLevel="0" collapsed="false">
      <c r="B442" s="7" t="s">
        <v>24150</v>
      </c>
      <c r="C442" s="7" t="s">
        <v>23700</v>
      </c>
      <c r="D442" s="7" t="s">
        <v>22862</v>
      </c>
      <c r="E442" s="39" t="n">
        <v>45882</v>
      </c>
      <c r="F442" s="39" t="n">
        <v>45882</v>
      </c>
      <c r="G442" s="41" t="n">
        <v>15.52</v>
      </c>
      <c r="H442" s="39" t="n">
        <v>45882</v>
      </c>
      <c r="I442" s="7" t="s">
        <v>14651</v>
      </c>
      <c r="J442" s="7" t="s">
        <v>22796</v>
      </c>
    </row>
    <row r="443" customFormat="false" ht="15" hidden="false" customHeight="false" outlineLevel="0" collapsed="false">
      <c r="B443" s="7" t="s">
        <v>24151</v>
      </c>
      <c r="C443" s="7" t="s">
        <v>23700</v>
      </c>
      <c r="D443" s="7" t="s">
        <v>22862</v>
      </c>
      <c r="E443" s="39" t="n">
        <v>45888</v>
      </c>
      <c r="F443" s="39" t="n">
        <v>45888</v>
      </c>
      <c r="G443" s="41" t="n">
        <v>46.76</v>
      </c>
      <c r="H443" s="39" t="n">
        <v>45888</v>
      </c>
      <c r="I443" s="7" t="s">
        <v>14651</v>
      </c>
      <c r="J443" s="7" t="s">
        <v>22796</v>
      </c>
    </row>
    <row r="444" customFormat="false" ht="15" hidden="false" customHeight="false" outlineLevel="0" collapsed="false">
      <c r="B444" s="7" t="s">
        <v>24152</v>
      </c>
      <c r="C444" s="7" t="s">
        <v>23702</v>
      </c>
      <c r="D444" s="7" t="s">
        <v>22866</v>
      </c>
      <c r="E444" s="39" t="n">
        <v>45884</v>
      </c>
      <c r="F444" s="39" t="n">
        <v>45899</v>
      </c>
      <c r="G444" s="41" t="n">
        <v>143.94</v>
      </c>
      <c r="H444" s="39" t="n">
        <v>45886</v>
      </c>
      <c r="I444" s="7" t="s">
        <v>14651</v>
      </c>
      <c r="J444" s="7" t="s">
        <v>22796</v>
      </c>
    </row>
    <row r="445" customFormat="false" ht="15" hidden="false" customHeight="false" outlineLevel="0" collapsed="false">
      <c r="B445" s="7" t="s">
        <v>24153</v>
      </c>
      <c r="C445" s="7" t="s">
        <v>23702</v>
      </c>
      <c r="D445" s="7" t="s">
        <v>22866</v>
      </c>
      <c r="E445" s="39" t="n">
        <v>45897</v>
      </c>
      <c r="F445" s="39" t="n">
        <v>45912</v>
      </c>
      <c r="G445" s="41" t="n">
        <v>489.91</v>
      </c>
      <c r="H445" s="39" t="n">
        <v>45924</v>
      </c>
      <c r="I445" s="7" t="s">
        <v>14651</v>
      </c>
      <c r="J445" s="7" t="s">
        <v>22796</v>
      </c>
    </row>
    <row r="446" customFormat="false" ht="15" hidden="false" customHeight="false" outlineLevel="0" collapsed="false">
      <c r="B446" s="7" t="s">
        <v>24154</v>
      </c>
      <c r="C446" s="7" t="s">
        <v>23703</v>
      </c>
      <c r="D446" s="7" t="s">
        <v>22870</v>
      </c>
      <c r="E446" s="39" t="n">
        <v>45870</v>
      </c>
      <c r="F446" s="39" t="n">
        <v>45900</v>
      </c>
      <c r="G446" s="41" t="n">
        <v>120.54</v>
      </c>
      <c r="H446" s="39" t="n">
        <v>45908</v>
      </c>
      <c r="I446" s="7" t="s">
        <v>14651</v>
      </c>
      <c r="J446" s="7" t="s">
        <v>22796</v>
      </c>
    </row>
    <row r="447" customFormat="false" ht="15" hidden="false" customHeight="false" outlineLevel="0" collapsed="false">
      <c r="B447" s="7" t="s">
        <v>24155</v>
      </c>
      <c r="C447" s="7" t="s">
        <v>23703</v>
      </c>
      <c r="D447" s="7" t="s">
        <v>22870</v>
      </c>
      <c r="E447" s="39" t="n">
        <v>45871</v>
      </c>
      <c r="F447" s="39" t="n">
        <v>45901</v>
      </c>
      <c r="G447" s="41" t="n">
        <v>210.48</v>
      </c>
      <c r="H447" s="39" t="n">
        <v>45893</v>
      </c>
      <c r="I447" s="7" t="s">
        <v>14651</v>
      </c>
      <c r="J447" s="7" t="s">
        <v>22796</v>
      </c>
    </row>
    <row r="448" customFormat="false" ht="15" hidden="false" customHeight="false" outlineLevel="0" collapsed="false">
      <c r="B448" s="7" t="s">
        <v>24156</v>
      </c>
      <c r="C448" s="7" t="s">
        <v>23704</v>
      </c>
      <c r="D448" s="7" t="s">
        <v>22874</v>
      </c>
      <c r="E448" s="39" t="n">
        <v>45870</v>
      </c>
      <c r="F448" s="39" t="n">
        <v>45900</v>
      </c>
      <c r="G448" s="41" t="n">
        <v>394.63</v>
      </c>
      <c r="H448" s="39" t="n">
        <v>45902</v>
      </c>
      <c r="I448" s="7" t="s">
        <v>14651</v>
      </c>
      <c r="J448" s="7" t="s">
        <v>22796</v>
      </c>
    </row>
    <row r="449" customFormat="false" ht="15" hidden="false" customHeight="false" outlineLevel="0" collapsed="false">
      <c r="B449" s="7" t="s">
        <v>24157</v>
      </c>
      <c r="C449" s="7" t="s">
        <v>23705</v>
      </c>
      <c r="D449" s="7" t="s">
        <v>22876</v>
      </c>
      <c r="E449" s="39" t="n">
        <v>45879</v>
      </c>
      <c r="F449" s="39" t="n">
        <v>45909</v>
      </c>
      <c r="G449" s="41" t="n">
        <v>110.81</v>
      </c>
      <c r="H449" s="39" t="n">
        <v>45907</v>
      </c>
      <c r="I449" s="7" t="s">
        <v>14651</v>
      </c>
      <c r="J449" s="7" t="s">
        <v>22796</v>
      </c>
    </row>
    <row r="450" customFormat="false" ht="15" hidden="false" customHeight="false" outlineLevel="0" collapsed="false">
      <c r="B450" s="7" t="s">
        <v>24158</v>
      </c>
      <c r="C450" s="7" t="s">
        <v>23705</v>
      </c>
      <c r="D450" s="7" t="s">
        <v>22876</v>
      </c>
      <c r="E450" s="39" t="n">
        <v>45886</v>
      </c>
      <c r="F450" s="39" t="n">
        <v>45916</v>
      </c>
      <c r="G450" s="41" t="n">
        <v>59.08</v>
      </c>
      <c r="H450" s="39" t="n">
        <v>45921</v>
      </c>
      <c r="I450" s="7" t="s">
        <v>14651</v>
      </c>
      <c r="J450" s="7" t="s">
        <v>22796</v>
      </c>
    </row>
    <row r="451" customFormat="false" ht="15" hidden="false" customHeight="false" outlineLevel="0" collapsed="false">
      <c r="B451" s="7" t="s">
        <v>24159</v>
      </c>
      <c r="C451" s="7" t="s">
        <v>23705</v>
      </c>
      <c r="D451" s="7" t="s">
        <v>22876</v>
      </c>
      <c r="E451" s="39" t="n">
        <v>45887</v>
      </c>
      <c r="F451" s="39" t="n">
        <v>45917</v>
      </c>
      <c r="G451" s="41" t="n">
        <v>202.63</v>
      </c>
      <c r="H451" s="39" t="n">
        <v>45898</v>
      </c>
      <c r="I451" s="7" t="s">
        <v>14651</v>
      </c>
      <c r="J451" s="7" t="s">
        <v>22796</v>
      </c>
    </row>
    <row r="452" customFormat="false" ht="15" hidden="false" customHeight="false" outlineLevel="0" collapsed="false">
      <c r="B452" s="7" t="s">
        <v>24160</v>
      </c>
      <c r="C452" s="7" t="s">
        <v>23706</v>
      </c>
      <c r="D452" s="7" t="s">
        <v>142</v>
      </c>
      <c r="E452" s="39" t="n">
        <v>45887</v>
      </c>
      <c r="F452" s="39" t="n">
        <v>45917</v>
      </c>
      <c r="G452" s="41" t="n">
        <v>74.02</v>
      </c>
      <c r="H452" s="39" t="n">
        <v>45926</v>
      </c>
      <c r="I452" s="7" t="s">
        <v>14651</v>
      </c>
      <c r="J452" s="7" t="s">
        <v>22796</v>
      </c>
    </row>
    <row r="453" customFormat="false" ht="15" hidden="false" customHeight="false" outlineLevel="0" collapsed="false">
      <c r="B453" s="7" t="s">
        <v>24161</v>
      </c>
      <c r="C453" s="7" t="s">
        <v>23706</v>
      </c>
      <c r="D453" s="7" t="s">
        <v>142</v>
      </c>
      <c r="E453" s="39" t="n">
        <v>45896</v>
      </c>
      <c r="F453" s="39" t="n">
        <v>45926</v>
      </c>
      <c r="G453" s="41" t="n">
        <v>44.84</v>
      </c>
      <c r="H453" s="39" t="n">
        <v>45899</v>
      </c>
      <c r="I453" s="7" t="s">
        <v>14651</v>
      </c>
      <c r="J453" s="7" t="s">
        <v>22796</v>
      </c>
    </row>
    <row r="454" customFormat="false" ht="15" hidden="false" customHeight="false" outlineLevel="0" collapsed="false">
      <c r="B454" s="7" t="s">
        <v>24162</v>
      </c>
      <c r="C454" s="7" t="s">
        <v>23706</v>
      </c>
      <c r="D454" s="7" t="s">
        <v>142</v>
      </c>
      <c r="E454" s="39" t="n">
        <v>45898</v>
      </c>
      <c r="F454" s="39" t="n">
        <v>45928</v>
      </c>
      <c r="G454" s="41" t="n">
        <v>70.61</v>
      </c>
      <c r="H454" s="39" t="n">
        <v>45926</v>
      </c>
      <c r="I454" s="7" t="s">
        <v>14651</v>
      </c>
      <c r="J454" s="7" t="s">
        <v>22796</v>
      </c>
    </row>
    <row r="455" customFormat="false" ht="15" hidden="false" customHeight="false" outlineLevel="0" collapsed="false">
      <c r="B455" s="7" t="s">
        <v>24163</v>
      </c>
      <c r="C455" s="7" t="s">
        <v>23707</v>
      </c>
      <c r="D455" s="7" t="s">
        <v>22882</v>
      </c>
      <c r="E455" s="39" t="n">
        <v>45873</v>
      </c>
      <c r="F455" s="39" t="n">
        <v>45873</v>
      </c>
      <c r="G455" s="41" t="n">
        <v>14.1</v>
      </c>
      <c r="H455" s="39" t="n">
        <v>45873</v>
      </c>
      <c r="I455" s="7" t="s">
        <v>14651</v>
      </c>
      <c r="J455" s="7" t="s">
        <v>22796</v>
      </c>
    </row>
    <row r="456" customFormat="false" ht="15" hidden="false" customHeight="false" outlineLevel="0" collapsed="false">
      <c r="B456" s="7" t="s">
        <v>24164</v>
      </c>
      <c r="C456" s="7" t="s">
        <v>23707</v>
      </c>
      <c r="D456" s="7" t="s">
        <v>22882</v>
      </c>
      <c r="E456" s="39" t="n">
        <v>45882</v>
      </c>
      <c r="F456" s="39" t="n">
        <v>45882</v>
      </c>
      <c r="G456" s="41" t="n">
        <v>11.02</v>
      </c>
      <c r="H456" s="39" t="n">
        <v>45882</v>
      </c>
      <c r="I456" s="7" t="s">
        <v>14651</v>
      </c>
      <c r="J456" s="7" t="s">
        <v>22796</v>
      </c>
    </row>
    <row r="457" customFormat="false" ht="15" hidden="false" customHeight="false" outlineLevel="0" collapsed="false">
      <c r="B457" s="7" t="s">
        <v>24165</v>
      </c>
      <c r="C457" s="7" t="s">
        <v>23707</v>
      </c>
      <c r="D457" s="7" t="s">
        <v>22882</v>
      </c>
      <c r="E457" s="39" t="n">
        <v>45896</v>
      </c>
      <c r="F457" s="39" t="n">
        <v>45896</v>
      </c>
      <c r="G457" s="41" t="n">
        <v>21.37</v>
      </c>
      <c r="H457" s="39" t="n">
        <v>45896</v>
      </c>
      <c r="I457" s="7" t="s">
        <v>14651</v>
      </c>
      <c r="J457" s="7" t="s">
        <v>22796</v>
      </c>
    </row>
    <row r="458" customFormat="false" ht="15" hidden="false" customHeight="false" outlineLevel="0" collapsed="false">
      <c r="B458" s="7" t="s">
        <v>24166</v>
      </c>
      <c r="C458" s="7" t="s">
        <v>23708</v>
      </c>
      <c r="D458" s="7" t="s">
        <v>143</v>
      </c>
      <c r="E458" s="39" t="n">
        <v>45878</v>
      </c>
      <c r="F458" s="39" t="n">
        <v>45893</v>
      </c>
      <c r="G458" s="41" t="n">
        <v>79.68</v>
      </c>
      <c r="H458" s="39" t="n">
        <v>45906</v>
      </c>
      <c r="I458" s="7" t="s">
        <v>14651</v>
      </c>
      <c r="J458" s="7" t="s">
        <v>22796</v>
      </c>
    </row>
    <row r="459" customFormat="false" ht="15" hidden="false" customHeight="false" outlineLevel="0" collapsed="false">
      <c r="B459" s="7" t="s">
        <v>24167</v>
      </c>
      <c r="C459" s="7" t="s">
        <v>23708</v>
      </c>
      <c r="D459" s="7" t="s">
        <v>143</v>
      </c>
      <c r="E459" s="39" t="n">
        <v>45882</v>
      </c>
      <c r="F459" s="39" t="n">
        <v>45897</v>
      </c>
      <c r="G459" s="41" t="n">
        <v>54.95</v>
      </c>
      <c r="H459" s="39" t="n">
        <v>45895</v>
      </c>
      <c r="I459" s="7" t="s">
        <v>14651</v>
      </c>
      <c r="J459" s="7" t="s">
        <v>22796</v>
      </c>
    </row>
    <row r="460" customFormat="false" ht="15" hidden="false" customHeight="false" outlineLevel="0" collapsed="false">
      <c r="B460" s="7" t="s">
        <v>24168</v>
      </c>
      <c r="C460" s="7" t="s">
        <v>23708</v>
      </c>
      <c r="D460" s="7" t="s">
        <v>143</v>
      </c>
      <c r="E460" s="39" t="n">
        <v>45890</v>
      </c>
      <c r="F460" s="39" t="n">
        <v>45905</v>
      </c>
      <c r="G460" s="41" t="n">
        <v>17.29</v>
      </c>
      <c r="H460" s="39" t="n">
        <v>45900</v>
      </c>
      <c r="I460" s="7" t="s">
        <v>14651</v>
      </c>
      <c r="J460" s="7" t="s">
        <v>22796</v>
      </c>
    </row>
    <row r="461" customFormat="false" ht="15" hidden="false" customHeight="false" outlineLevel="0" collapsed="false">
      <c r="B461" s="7" t="s">
        <v>24169</v>
      </c>
      <c r="C461" s="7" t="s">
        <v>23708</v>
      </c>
      <c r="D461" s="7" t="s">
        <v>143</v>
      </c>
      <c r="E461" s="39" t="n">
        <v>45899</v>
      </c>
      <c r="F461" s="39" t="n">
        <v>45914</v>
      </c>
      <c r="G461" s="41" t="n">
        <v>42.45</v>
      </c>
      <c r="H461" s="39" t="n">
        <v>45905</v>
      </c>
      <c r="I461" s="7" t="s">
        <v>14651</v>
      </c>
      <c r="J461" s="7" t="s">
        <v>22796</v>
      </c>
    </row>
    <row r="462" customFormat="false" ht="15" hidden="false" customHeight="false" outlineLevel="0" collapsed="false">
      <c r="B462" s="7" t="s">
        <v>24170</v>
      </c>
      <c r="C462" s="7" t="s">
        <v>23676</v>
      </c>
      <c r="D462" s="7" t="s">
        <v>124</v>
      </c>
      <c r="E462" s="39" t="n">
        <v>45901</v>
      </c>
      <c r="F462" s="39" t="n">
        <v>45901</v>
      </c>
      <c r="G462" s="41" t="n">
        <v>2101.34</v>
      </c>
      <c r="H462" s="39" t="n">
        <v>45901</v>
      </c>
      <c r="I462" s="7" t="s">
        <v>14651</v>
      </c>
      <c r="J462" s="7" t="s">
        <v>22796</v>
      </c>
    </row>
    <row r="463" customFormat="false" ht="15" hidden="false" customHeight="false" outlineLevel="0" collapsed="false">
      <c r="B463" s="7" t="s">
        <v>24171</v>
      </c>
      <c r="C463" s="7" t="s">
        <v>23678</v>
      </c>
      <c r="D463" s="7" t="s">
        <v>22798</v>
      </c>
      <c r="E463" s="39" t="n">
        <v>45902</v>
      </c>
      <c r="F463" s="39" t="n">
        <v>45923</v>
      </c>
      <c r="G463" s="41" t="n">
        <v>64.28</v>
      </c>
      <c r="H463" s="39" t="n">
        <v>45923</v>
      </c>
      <c r="I463" s="7" t="s">
        <v>14651</v>
      </c>
      <c r="J463" s="7" t="s">
        <v>22796</v>
      </c>
    </row>
    <row r="464" customFormat="false" ht="15" hidden="false" customHeight="false" outlineLevel="0" collapsed="false">
      <c r="B464" s="7" t="s">
        <v>24172</v>
      </c>
      <c r="C464" s="7" t="s">
        <v>23678</v>
      </c>
      <c r="D464" s="7" t="s">
        <v>22798</v>
      </c>
      <c r="E464" s="39" t="n">
        <v>45904</v>
      </c>
      <c r="F464" s="39" t="n">
        <v>45925</v>
      </c>
      <c r="G464" s="41" t="n">
        <v>47.7</v>
      </c>
      <c r="H464" s="39" t="n">
        <v>45937</v>
      </c>
      <c r="I464" s="7" t="s">
        <v>14651</v>
      </c>
      <c r="J464" s="7" t="s">
        <v>22796</v>
      </c>
    </row>
    <row r="465" customFormat="false" ht="15" hidden="false" customHeight="false" outlineLevel="0" collapsed="false">
      <c r="B465" s="7" t="s">
        <v>24173</v>
      </c>
      <c r="C465" s="7" t="s">
        <v>23678</v>
      </c>
      <c r="D465" s="7" t="s">
        <v>22798</v>
      </c>
      <c r="E465" s="39" t="n">
        <v>45915</v>
      </c>
      <c r="F465" s="39" t="n">
        <v>45936</v>
      </c>
      <c r="G465" s="41" t="n">
        <v>109.54</v>
      </c>
      <c r="H465" s="39" t="n">
        <v>45934</v>
      </c>
      <c r="I465" s="7" t="s">
        <v>14651</v>
      </c>
      <c r="J465" s="7" t="s">
        <v>22796</v>
      </c>
    </row>
    <row r="466" customFormat="false" ht="15" hidden="false" customHeight="false" outlineLevel="0" collapsed="false">
      <c r="B466" s="7" t="s">
        <v>24174</v>
      </c>
      <c r="C466" s="7" t="s">
        <v>23680</v>
      </c>
      <c r="D466" s="7" t="s">
        <v>22802</v>
      </c>
      <c r="E466" s="39" t="n">
        <v>45915</v>
      </c>
      <c r="F466" s="39" t="n">
        <v>45936</v>
      </c>
      <c r="G466" s="41" t="n">
        <v>19.05</v>
      </c>
      <c r="H466" s="39" t="n">
        <v>45931</v>
      </c>
      <c r="I466" s="7" t="s">
        <v>14651</v>
      </c>
      <c r="J466" s="7" t="s">
        <v>22796</v>
      </c>
    </row>
    <row r="467" customFormat="false" ht="15" hidden="false" customHeight="false" outlineLevel="0" collapsed="false">
      <c r="B467" s="7" t="s">
        <v>24175</v>
      </c>
      <c r="C467" s="7" t="s">
        <v>23680</v>
      </c>
      <c r="D467" s="7" t="s">
        <v>22802</v>
      </c>
      <c r="E467" s="39" t="n">
        <v>45918</v>
      </c>
      <c r="F467" s="39" t="n">
        <v>45939</v>
      </c>
      <c r="G467" s="41" t="n">
        <v>42.36</v>
      </c>
      <c r="H467" s="39" t="n">
        <v>45939</v>
      </c>
      <c r="I467" s="7" t="s">
        <v>14651</v>
      </c>
      <c r="J467" s="7" t="s">
        <v>22796</v>
      </c>
    </row>
    <row r="468" customFormat="false" ht="15" hidden="false" customHeight="false" outlineLevel="0" collapsed="false">
      <c r="B468" s="7" t="s">
        <v>24176</v>
      </c>
      <c r="C468" s="7" t="s">
        <v>23681</v>
      </c>
      <c r="D468" s="7" t="s">
        <v>22807</v>
      </c>
      <c r="E468" s="39" t="n">
        <v>45907</v>
      </c>
      <c r="F468" s="39" t="n">
        <v>45928</v>
      </c>
      <c r="G468" s="41" t="n">
        <v>23.15</v>
      </c>
      <c r="H468" s="39" t="n">
        <v>45930</v>
      </c>
      <c r="I468" s="7" t="s">
        <v>14651</v>
      </c>
      <c r="J468" s="7" t="s">
        <v>22796</v>
      </c>
    </row>
    <row r="469" customFormat="false" ht="15" hidden="false" customHeight="false" outlineLevel="0" collapsed="false">
      <c r="B469" s="7" t="s">
        <v>24177</v>
      </c>
      <c r="C469" s="7" t="s">
        <v>23681</v>
      </c>
      <c r="D469" s="7" t="s">
        <v>22807</v>
      </c>
      <c r="E469" s="39" t="n">
        <v>45914</v>
      </c>
      <c r="F469" s="39" t="n">
        <v>45935</v>
      </c>
      <c r="G469" s="41" t="n">
        <v>20.2</v>
      </c>
      <c r="H469" s="39" t="n">
        <v>45935</v>
      </c>
      <c r="I469" s="7" t="s">
        <v>14651</v>
      </c>
      <c r="J469" s="7" t="s">
        <v>22796</v>
      </c>
    </row>
    <row r="470" customFormat="false" ht="15" hidden="false" customHeight="false" outlineLevel="0" collapsed="false">
      <c r="B470" s="7" t="s">
        <v>24178</v>
      </c>
      <c r="C470" s="7" t="s">
        <v>23681</v>
      </c>
      <c r="D470" s="7" t="s">
        <v>22807</v>
      </c>
      <c r="E470" s="39" t="n">
        <v>45926</v>
      </c>
      <c r="F470" s="39" t="n">
        <v>45947</v>
      </c>
      <c r="G470" s="41" t="n">
        <v>50.35</v>
      </c>
      <c r="H470" s="39" t="n">
        <v>45946</v>
      </c>
      <c r="I470" s="7" t="s">
        <v>14651</v>
      </c>
      <c r="J470" s="7" t="s">
        <v>22796</v>
      </c>
    </row>
    <row r="471" customFormat="false" ht="15" hidden="false" customHeight="false" outlineLevel="0" collapsed="false">
      <c r="B471" s="7" t="s">
        <v>24179</v>
      </c>
      <c r="C471" s="7" t="s">
        <v>23682</v>
      </c>
      <c r="D471" s="7" t="s">
        <v>22825</v>
      </c>
      <c r="E471" s="39" t="n">
        <v>45901</v>
      </c>
      <c r="F471" s="39" t="n">
        <v>45901</v>
      </c>
      <c r="G471" s="41" t="n">
        <v>673.49</v>
      </c>
      <c r="H471" s="39" t="n">
        <v>45901</v>
      </c>
      <c r="I471" s="7" t="s">
        <v>14651</v>
      </c>
      <c r="J471" s="7" t="s">
        <v>22796</v>
      </c>
    </row>
    <row r="472" customFormat="false" ht="15" hidden="false" customHeight="false" outlineLevel="0" collapsed="false">
      <c r="B472" s="7" t="s">
        <v>24180</v>
      </c>
      <c r="C472" s="7" t="s">
        <v>23684</v>
      </c>
      <c r="D472" s="7" t="s">
        <v>22827</v>
      </c>
      <c r="E472" s="39" t="n">
        <v>45901</v>
      </c>
      <c r="F472" s="39" t="n">
        <v>45901</v>
      </c>
      <c r="G472" s="41" t="n">
        <v>129.07</v>
      </c>
      <c r="H472" s="39" t="n">
        <v>45901</v>
      </c>
      <c r="I472" s="7" t="s">
        <v>14651</v>
      </c>
      <c r="J472" s="7" t="s">
        <v>22796</v>
      </c>
    </row>
    <row r="473" customFormat="false" ht="15" hidden="false" customHeight="false" outlineLevel="0" collapsed="false">
      <c r="B473" s="7" t="s">
        <v>24181</v>
      </c>
      <c r="C473" s="7" t="s">
        <v>23685</v>
      </c>
      <c r="D473" s="7" t="s">
        <v>22829</v>
      </c>
      <c r="E473" s="39" t="n">
        <v>45901</v>
      </c>
      <c r="F473" s="39" t="n">
        <v>45901</v>
      </c>
      <c r="G473" s="41" t="n">
        <v>80.25</v>
      </c>
      <c r="H473" s="39" t="n">
        <v>45901</v>
      </c>
      <c r="I473" s="7" t="s">
        <v>14651</v>
      </c>
      <c r="J473" s="7" t="s">
        <v>22796</v>
      </c>
    </row>
    <row r="474" customFormat="false" ht="15" hidden="false" customHeight="false" outlineLevel="0" collapsed="false">
      <c r="B474" s="7" t="s">
        <v>24182</v>
      </c>
      <c r="C474" s="7" t="s">
        <v>23686</v>
      </c>
      <c r="D474" s="7" t="s">
        <v>22831</v>
      </c>
      <c r="E474" s="39" t="n">
        <v>45901</v>
      </c>
      <c r="F474" s="39" t="n">
        <v>45901</v>
      </c>
      <c r="G474" s="41" t="n">
        <v>91.93</v>
      </c>
      <c r="H474" s="39" t="n">
        <v>45901</v>
      </c>
      <c r="I474" s="7" t="s">
        <v>14651</v>
      </c>
      <c r="J474" s="7" t="s">
        <v>22796</v>
      </c>
    </row>
    <row r="475" customFormat="false" ht="15" hidden="false" customHeight="false" outlineLevel="0" collapsed="false">
      <c r="B475" s="7" t="s">
        <v>24183</v>
      </c>
      <c r="C475" s="7" t="s">
        <v>23687</v>
      </c>
      <c r="D475" s="7" t="s">
        <v>132</v>
      </c>
      <c r="E475" s="39" t="n">
        <v>45904</v>
      </c>
      <c r="F475" s="39" t="n">
        <v>45904</v>
      </c>
      <c r="G475" s="41" t="n">
        <v>201.22</v>
      </c>
      <c r="H475" s="39" t="n">
        <v>45904</v>
      </c>
      <c r="I475" s="7" t="s">
        <v>14651</v>
      </c>
      <c r="J475" s="7" t="s">
        <v>22813</v>
      </c>
    </row>
    <row r="476" customFormat="false" ht="15" hidden="false" customHeight="false" outlineLevel="0" collapsed="false">
      <c r="B476" s="7" t="s">
        <v>24184</v>
      </c>
      <c r="C476" s="7" t="s">
        <v>23687</v>
      </c>
      <c r="D476" s="7" t="s">
        <v>132</v>
      </c>
      <c r="E476" s="39" t="n">
        <v>45918</v>
      </c>
      <c r="F476" s="39" t="n">
        <v>45918</v>
      </c>
      <c r="G476" s="41" t="n">
        <v>201.22</v>
      </c>
      <c r="H476" s="39" t="n">
        <v>45918</v>
      </c>
      <c r="I476" s="7" t="s">
        <v>14651</v>
      </c>
      <c r="J476" s="7" t="s">
        <v>22813</v>
      </c>
    </row>
    <row r="477" customFormat="false" ht="15" hidden="false" customHeight="false" outlineLevel="0" collapsed="false">
      <c r="B477" s="7" t="s">
        <v>24185</v>
      </c>
      <c r="C477" s="7" t="s">
        <v>23689</v>
      </c>
      <c r="D477" s="7" t="s">
        <v>22837</v>
      </c>
      <c r="E477" s="39" t="n">
        <v>45901</v>
      </c>
      <c r="F477" s="39" t="n">
        <v>45931</v>
      </c>
      <c r="G477" s="41" t="n">
        <v>387.78</v>
      </c>
      <c r="H477" s="39" t="n">
        <v>45931</v>
      </c>
      <c r="I477" s="7" t="s">
        <v>14651</v>
      </c>
      <c r="J477" s="7" t="s">
        <v>22796</v>
      </c>
    </row>
    <row r="478" customFormat="false" ht="15" hidden="false" customHeight="false" outlineLevel="0" collapsed="false">
      <c r="B478" s="7" t="s">
        <v>24186</v>
      </c>
      <c r="C478" s="7" t="s">
        <v>23691</v>
      </c>
      <c r="D478" s="7" t="s">
        <v>22839</v>
      </c>
      <c r="E478" s="39" t="n">
        <v>45901</v>
      </c>
      <c r="F478" s="39" t="n">
        <v>45931</v>
      </c>
      <c r="G478" s="41" t="n">
        <v>153.34</v>
      </c>
      <c r="H478" s="39" t="n">
        <v>45915</v>
      </c>
      <c r="I478" s="7" t="s">
        <v>14651</v>
      </c>
      <c r="J478" s="7" t="s">
        <v>22796</v>
      </c>
    </row>
    <row r="479" customFormat="false" ht="15" hidden="false" customHeight="false" outlineLevel="0" collapsed="false">
      <c r="B479" s="7" t="s">
        <v>24187</v>
      </c>
      <c r="C479" s="7" t="s">
        <v>23692</v>
      </c>
      <c r="D479" s="7" t="s">
        <v>22841</v>
      </c>
      <c r="E479" s="39" t="n">
        <v>45903</v>
      </c>
      <c r="F479" s="39" t="n">
        <v>45918</v>
      </c>
      <c r="G479" s="41" t="n">
        <v>119.49</v>
      </c>
      <c r="H479" s="39" t="n">
        <v>45924</v>
      </c>
      <c r="I479" s="7" t="s">
        <v>14651</v>
      </c>
      <c r="J479" s="7" t="s">
        <v>22796</v>
      </c>
    </row>
    <row r="480" customFormat="false" ht="15" hidden="false" customHeight="false" outlineLevel="0" collapsed="false">
      <c r="B480" s="7" t="s">
        <v>24188</v>
      </c>
      <c r="C480" s="7" t="s">
        <v>23692</v>
      </c>
      <c r="D480" s="7" t="s">
        <v>22841</v>
      </c>
      <c r="E480" s="39" t="n">
        <v>45913</v>
      </c>
      <c r="F480" s="39" t="n">
        <v>45928</v>
      </c>
      <c r="G480" s="41" t="n">
        <v>137.12</v>
      </c>
      <c r="H480" s="39" t="n">
        <v>45940</v>
      </c>
      <c r="I480" s="7" t="s">
        <v>14651</v>
      </c>
      <c r="J480" s="7" t="s">
        <v>22796</v>
      </c>
    </row>
    <row r="481" customFormat="false" ht="15" hidden="false" customHeight="false" outlineLevel="0" collapsed="false">
      <c r="B481" s="7" t="s">
        <v>24189</v>
      </c>
      <c r="C481" s="7" t="s">
        <v>23694</v>
      </c>
      <c r="D481" s="7" t="s">
        <v>22845</v>
      </c>
      <c r="E481" s="39" t="n">
        <v>45901</v>
      </c>
      <c r="F481" s="39" t="n">
        <v>45901</v>
      </c>
      <c r="G481" s="41" t="n">
        <v>71.88</v>
      </c>
      <c r="H481" s="39" t="n">
        <v>45901</v>
      </c>
      <c r="I481" s="7" t="s">
        <v>14651</v>
      </c>
      <c r="J481" s="7" t="s">
        <v>22796</v>
      </c>
    </row>
    <row r="482" customFormat="false" ht="15" hidden="false" customHeight="false" outlineLevel="0" collapsed="false">
      <c r="B482" s="7" t="s">
        <v>24190</v>
      </c>
      <c r="C482" s="7" t="s">
        <v>23694</v>
      </c>
      <c r="D482" s="7" t="s">
        <v>22845</v>
      </c>
      <c r="E482" s="39" t="n">
        <v>45920</v>
      </c>
      <c r="F482" s="39" t="n">
        <v>45920</v>
      </c>
      <c r="G482" s="41" t="n">
        <v>257.23</v>
      </c>
      <c r="H482" s="39" t="n">
        <v>45920</v>
      </c>
      <c r="I482" s="7" t="s">
        <v>14651</v>
      </c>
      <c r="J482" s="7" t="s">
        <v>22796</v>
      </c>
    </row>
    <row r="483" customFormat="false" ht="15" hidden="false" customHeight="false" outlineLevel="0" collapsed="false">
      <c r="B483" s="7" t="s">
        <v>24191</v>
      </c>
      <c r="C483" s="7" t="s">
        <v>23695</v>
      </c>
      <c r="D483" s="7" t="s">
        <v>22848</v>
      </c>
      <c r="E483" s="39" t="n">
        <v>45901</v>
      </c>
      <c r="F483" s="39" t="n">
        <v>45931</v>
      </c>
      <c r="G483" s="41" t="n">
        <v>84.6</v>
      </c>
      <c r="H483" s="39" t="n">
        <v>45938</v>
      </c>
      <c r="I483" s="7" t="s">
        <v>14651</v>
      </c>
      <c r="J483" s="7" t="s">
        <v>22796</v>
      </c>
    </row>
    <row r="484" customFormat="false" ht="15" hidden="false" customHeight="false" outlineLevel="0" collapsed="false">
      <c r="B484" s="7" t="s">
        <v>24192</v>
      </c>
      <c r="C484" s="7" t="s">
        <v>23695</v>
      </c>
      <c r="D484" s="7" t="s">
        <v>22848</v>
      </c>
      <c r="E484" s="39" t="n">
        <v>45915</v>
      </c>
      <c r="F484" s="39" t="n">
        <v>45945</v>
      </c>
      <c r="G484" s="41" t="n">
        <v>84.13</v>
      </c>
      <c r="H484" s="39" t="n">
        <v>45944</v>
      </c>
      <c r="I484" s="7" t="s">
        <v>14651</v>
      </c>
      <c r="J484" s="7" t="s">
        <v>22796</v>
      </c>
    </row>
    <row r="485" customFormat="false" ht="15" hidden="false" customHeight="false" outlineLevel="0" collapsed="false">
      <c r="B485" s="7" t="s">
        <v>24193</v>
      </c>
      <c r="C485" s="7" t="s">
        <v>23695</v>
      </c>
      <c r="D485" s="7" t="s">
        <v>22848</v>
      </c>
      <c r="E485" s="39" t="n">
        <v>45916</v>
      </c>
      <c r="F485" s="39" t="n">
        <v>45946</v>
      </c>
      <c r="G485" s="41" t="n">
        <v>90.81</v>
      </c>
      <c r="H485" s="39" t="n">
        <v>45922</v>
      </c>
      <c r="I485" s="7" t="s">
        <v>14651</v>
      </c>
      <c r="J485" s="7" t="s">
        <v>22796</v>
      </c>
    </row>
    <row r="486" customFormat="false" ht="15" hidden="false" customHeight="false" outlineLevel="0" collapsed="false">
      <c r="B486" s="7" t="s">
        <v>24194</v>
      </c>
      <c r="C486" s="7" t="s">
        <v>23696</v>
      </c>
      <c r="D486" s="7" t="s">
        <v>136</v>
      </c>
      <c r="E486" s="39" t="n">
        <v>45909</v>
      </c>
      <c r="F486" s="39" t="n">
        <v>45924</v>
      </c>
      <c r="G486" s="41" t="n">
        <v>60.61</v>
      </c>
      <c r="H486" s="39" t="n">
        <v>45926</v>
      </c>
      <c r="I486" s="7" t="s">
        <v>14651</v>
      </c>
      <c r="J486" s="7" t="s">
        <v>22796</v>
      </c>
    </row>
    <row r="487" customFormat="false" ht="15" hidden="false" customHeight="false" outlineLevel="0" collapsed="false">
      <c r="B487" s="7" t="s">
        <v>24195</v>
      </c>
      <c r="C487" s="7" t="s">
        <v>23696</v>
      </c>
      <c r="D487" s="7" t="s">
        <v>136</v>
      </c>
      <c r="E487" s="39" t="n">
        <v>45911</v>
      </c>
      <c r="F487" s="39" t="n">
        <v>45926</v>
      </c>
      <c r="G487" s="41" t="n">
        <v>80.87</v>
      </c>
      <c r="H487" s="39" t="n">
        <v>45924</v>
      </c>
      <c r="I487" s="7" t="s">
        <v>14651</v>
      </c>
      <c r="J487" s="7" t="s">
        <v>22796</v>
      </c>
    </row>
    <row r="488" customFormat="false" ht="15" hidden="false" customHeight="false" outlineLevel="0" collapsed="false">
      <c r="B488" s="7" t="s">
        <v>24196</v>
      </c>
      <c r="C488" s="7" t="s">
        <v>23697</v>
      </c>
      <c r="D488" s="7" t="s">
        <v>22855</v>
      </c>
      <c r="E488" s="39" t="n">
        <v>45901</v>
      </c>
      <c r="F488" s="39" t="n">
        <v>45922</v>
      </c>
      <c r="G488" s="41" t="n">
        <v>156.91</v>
      </c>
      <c r="H488" s="39" t="n">
        <v>45921</v>
      </c>
      <c r="I488" s="7" t="s">
        <v>14651</v>
      </c>
      <c r="J488" s="7" t="s">
        <v>22796</v>
      </c>
    </row>
    <row r="489" customFormat="false" ht="15" hidden="false" customHeight="false" outlineLevel="0" collapsed="false">
      <c r="B489" s="7" t="s">
        <v>24197</v>
      </c>
      <c r="C489" s="7" t="s">
        <v>23698</v>
      </c>
      <c r="D489" s="7" t="s">
        <v>22857</v>
      </c>
      <c r="E489" s="39" t="n">
        <v>45901</v>
      </c>
      <c r="F489" s="39" t="n">
        <v>45922</v>
      </c>
      <c r="G489" s="41" t="n">
        <v>464.9</v>
      </c>
      <c r="H489" s="39" t="n">
        <v>45920</v>
      </c>
      <c r="I489" s="7" t="s">
        <v>14651</v>
      </c>
      <c r="J489" s="7" t="s">
        <v>22796</v>
      </c>
    </row>
    <row r="490" customFormat="false" ht="15" hidden="false" customHeight="false" outlineLevel="0" collapsed="false">
      <c r="B490" s="7" t="s">
        <v>24198</v>
      </c>
      <c r="C490" s="7" t="s">
        <v>23699</v>
      </c>
      <c r="D490" s="7" t="s">
        <v>22859</v>
      </c>
      <c r="E490" s="39" t="n">
        <v>45910</v>
      </c>
      <c r="F490" s="39" t="n">
        <v>45940</v>
      </c>
      <c r="G490" s="41" t="n">
        <v>101.16</v>
      </c>
      <c r="H490" s="39" t="n">
        <v>45942</v>
      </c>
      <c r="I490" s="7" t="s">
        <v>14651</v>
      </c>
      <c r="J490" s="7" t="s">
        <v>22796</v>
      </c>
    </row>
    <row r="491" customFormat="false" ht="15" hidden="false" customHeight="false" outlineLevel="0" collapsed="false">
      <c r="B491" s="7" t="s">
        <v>24199</v>
      </c>
      <c r="C491" s="7" t="s">
        <v>23699</v>
      </c>
      <c r="D491" s="7" t="s">
        <v>22859</v>
      </c>
      <c r="E491" s="39" t="n">
        <v>45922</v>
      </c>
      <c r="F491" s="39" t="n">
        <v>45952</v>
      </c>
      <c r="G491" s="41" t="n">
        <v>349.57</v>
      </c>
      <c r="H491" s="39" t="n">
        <v>45926</v>
      </c>
      <c r="I491" s="7" t="s">
        <v>14651</v>
      </c>
      <c r="J491" s="7" t="s">
        <v>22796</v>
      </c>
    </row>
    <row r="492" customFormat="false" ht="15" hidden="false" customHeight="false" outlineLevel="0" collapsed="false">
      <c r="B492" s="7" t="s">
        <v>24200</v>
      </c>
      <c r="C492" s="7" t="s">
        <v>23700</v>
      </c>
      <c r="D492" s="7" t="s">
        <v>22862</v>
      </c>
      <c r="E492" s="39" t="n">
        <v>45911</v>
      </c>
      <c r="F492" s="39" t="n">
        <v>45911</v>
      </c>
      <c r="G492" s="41" t="n">
        <v>61.36</v>
      </c>
      <c r="H492" s="39" t="n">
        <v>45911</v>
      </c>
      <c r="I492" s="7" t="s">
        <v>14651</v>
      </c>
      <c r="J492" s="7" t="s">
        <v>22796</v>
      </c>
    </row>
    <row r="493" customFormat="false" ht="15" hidden="false" customHeight="false" outlineLevel="0" collapsed="false">
      <c r="B493" s="7" t="s">
        <v>24201</v>
      </c>
      <c r="C493" s="7" t="s">
        <v>23700</v>
      </c>
      <c r="D493" s="7" t="s">
        <v>22862</v>
      </c>
      <c r="E493" s="39" t="n">
        <v>45912</v>
      </c>
      <c r="F493" s="39" t="n">
        <v>45912</v>
      </c>
      <c r="G493" s="41" t="n">
        <v>33.04</v>
      </c>
      <c r="H493" s="39" t="n">
        <v>45912</v>
      </c>
      <c r="I493" s="7" t="s">
        <v>14651</v>
      </c>
      <c r="J493" s="7" t="s">
        <v>22796</v>
      </c>
    </row>
    <row r="494" customFormat="false" ht="15" hidden="false" customHeight="false" outlineLevel="0" collapsed="false">
      <c r="B494" s="7" t="s">
        <v>24202</v>
      </c>
      <c r="C494" s="7" t="s">
        <v>23700</v>
      </c>
      <c r="D494" s="7" t="s">
        <v>22862</v>
      </c>
      <c r="E494" s="39" t="n">
        <v>45914</v>
      </c>
      <c r="F494" s="39" t="n">
        <v>45914</v>
      </c>
      <c r="G494" s="41" t="n">
        <v>48.38</v>
      </c>
      <c r="H494" s="39" t="n">
        <v>45914</v>
      </c>
      <c r="I494" s="7" t="s">
        <v>14651</v>
      </c>
      <c r="J494" s="7" t="s">
        <v>22796</v>
      </c>
    </row>
    <row r="495" customFormat="false" ht="15" hidden="false" customHeight="false" outlineLevel="0" collapsed="false">
      <c r="B495" s="7" t="s">
        <v>24203</v>
      </c>
      <c r="C495" s="7" t="s">
        <v>23702</v>
      </c>
      <c r="D495" s="7" t="s">
        <v>22866</v>
      </c>
      <c r="E495" s="39" t="n">
        <v>45903</v>
      </c>
      <c r="F495" s="39" t="n">
        <v>45918</v>
      </c>
      <c r="G495" s="41" t="n">
        <v>281.58</v>
      </c>
      <c r="H495" s="39" t="n">
        <v>45905</v>
      </c>
      <c r="I495" s="7" t="s">
        <v>14651</v>
      </c>
      <c r="J495" s="7" t="s">
        <v>22796</v>
      </c>
    </row>
    <row r="496" customFormat="false" ht="15" hidden="false" customHeight="false" outlineLevel="0" collapsed="false">
      <c r="B496" s="7" t="s">
        <v>24204</v>
      </c>
      <c r="C496" s="7" t="s">
        <v>23702</v>
      </c>
      <c r="D496" s="7" t="s">
        <v>22866</v>
      </c>
      <c r="E496" s="39" t="n">
        <v>45911</v>
      </c>
      <c r="F496" s="39" t="n">
        <v>45926</v>
      </c>
      <c r="G496" s="41" t="n">
        <v>130.01</v>
      </c>
      <c r="H496" s="39" t="n">
        <v>45920</v>
      </c>
      <c r="I496" s="7" t="s">
        <v>14651</v>
      </c>
      <c r="J496" s="7" t="s">
        <v>22796</v>
      </c>
    </row>
    <row r="497" customFormat="false" ht="15" hidden="false" customHeight="false" outlineLevel="0" collapsed="false">
      <c r="B497" s="7" t="s">
        <v>24205</v>
      </c>
      <c r="C497" s="7" t="s">
        <v>23702</v>
      </c>
      <c r="D497" s="7" t="s">
        <v>22866</v>
      </c>
      <c r="E497" s="39" t="n">
        <v>45915</v>
      </c>
      <c r="F497" s="39" t="n">
        <v>45930</v>
      </c>
      <c r="G497" s="41" t="n">
        <v>209.76</v>
      </c>
      <c r="H497" s="39" t="n">
        <v>45932</v>
      </c>
      <c r="I497" s="7" t="s">
        <v>14651</v>
      </c>
      <c r="J497" s="7" t="s">
        <v>22796</v>
      </c>
    </row>
    <row r="498" customFormat="false" ht="15" hidden="false" customHeight="false" outlineLevel="0" collapsed="false">
      <c r="B498" s="7" t="s">
        <v>24206</v>
      </c>
      <c r="C498" s="7" t="s">
        <v>23703</v>
      </c>
      <c r="D498" s="7" t="s">
        <v>22870</v>
      </c>
      <c r="E498" s="39" t="n">
        <v>45909</v>
      </c>
      <c r="F498" s="39" t="n">
        <v>45939</v>
      </c>
      <c r="G498" s="41" t="n">
        <v>164.23</v>
      </c>
      <c r="H498" s="39" t="n">
        <v>45938</v>
      </c>
      <c r="I498" s="7" t="s">
        <v>14651</v>
      </c>
      <c r="J498" s="7" t="s">
        <v>22796</v>
      </c>
    </row>
    <row r="499" customFormat="false" ht="15" hidden="false" customHeight="false" outlineLevel="0" collapsed="false">
      <c r="B499" s="7" t="s">
        <v>24207</v>
      </c>
      <c r="C499" s="7" t="s">
        <v>23703</v>
      </c>
      <c r="D499" s="7" t="s">
        <v>22870</v>
      </c>
      <c r="E499" s="39" t="n">
        <v>45924</v>
      </c>
      <c r="F499" s="39" t="n">
        <v>45954</v>
      </c>
      <c r="G499" s="41" t="n">
        <v>35.32</v>
      </c>
      <c r="H499" s="39" t="n">
        <v>45964</v>
      </c>
      <c r="I499" s="7" t="s">
        <v>14651</v>
      </c>
      <c r="J499" s="7" t="s">
        <v>22796</v>
      </c>
    </row>
    <row r="500" customFormat="false" ht="15" hidden="false" customHeight="false" outlineLevel="0" collapsed="false">
      <c r="B500" s="7" t="s">
        <v>24208</v>
      </c>
      <c r="C500" s="7" t="s">
        <v>23703</v>
      </c>
      <c r="D500" s="7" t="s">
        <v>22870</v>
      </c>
      <c r="E500" s="39" t="n">
        <v>45929</v>
      </c>
      <c r="F500" s="39" t="n">
        <v>45959</v>
      </c>
      <c r="G500" s="41" t="n">
        <v>132.79</v>
      </c>
      <c r="H500" s="39" t="n">
        <v>45958</v>
      </c>
      <c r="I500" s="7" t="s">
        <v>14651</v>
      </c>
      <c r="J500" s="7" t="s">
        <v>22796</v>
      </c>
    </row>
    <row r="501" customFormat="false" ht="15" hidden="false" customHeight="false" outlineLevel="0" collapsed="false">
      <c r="B501" s="7" t="s">
        <v>24209</v>
      </c>
      <c r="C501" s="7" t="s">
        <v>23704</v>
      </c>
      <c r="D501" s="7" t="s">
        <v>22874</v>
      </c>
      <c r="E501" s="39" t="n">
        <v>45901</v>
      </c>
      <c r="F501" s="39" t="n">
        <v>45931</v>
      </c>
      <c r="G501" s="41" t="n">
        <v>399.18</v>
      </c>
      <c r="H501" s="39" t="n">
        <v>45932</v>
      </c>
      <c r="I501" s="7" t="s">
        <v>14651</v>
      </c>
      <c r="J501" s="7" t="s">
        <v>22796</v>
      </c>
    </row>
    <row r="502" customFormat="false" ht="15" hidden="false" customHeight="false" outlineLevel="0" collapsed="false">
      <c r="B502" s="7" t="s">
        <v>24210</v>
      </c>
      <c r="C502" s="7" t="s">
        <v>23705</v>
      </c>
      <c r="D502" s="7" t="s">
        <v>22876</v>
      </c>
      <c r="E502" s="39" t="n">
        <v>45906</v>
      </c>
      <c r="F502" s="39" t="n">
        <v>45936</v>
      </c>
      <c r="G502" s="41" t="n">
        <v>126.36</v>
      </c>
      <c r="H502" s="39" t="n">
        <v>45936</v>
      </c>
      <c r="I502" s="7" t="s">
        <v>14651</v>
      </c>
      <c r="J502" s="7" t="s">
        <v>22796</v>
      </c>
    </row>
    <row r="503" customFormat="false" ht="15" hidden="false" customHeight="false" outlineLevel="0" collapsed="false">
      <c r="B503" s="7" t="s">
        <v>24211</v>
      </c>
      <c r="C503" s="7" t="s">
        <v>23705</v>
      </c>
      <c r="D503" s="7" t="s">
        <v>22876</v>
      </c>
      <c r="E503" s="39" t="n">
        <v>45925</v>
      </c>
      <c r="F503" s="39" t="n">
        <v>45955</v>
      </c>
      <c r="G503" s="41" t="n">
        <v>96.14</v>
      </c>
      <c r="H503" s="39" t="n">
        <v>45956</v>
      </c>
      <c r="I503" s="7" t="s">
        <v>14651</v>
      </c>
      <c r="J503" s="7" t="s">
        <v>22796</v>
      </c>
    </row>
    <row r="504" customFormat="false" ht="15" hidden="false" customHeight="false" outlineLevel="0" collapsed="false">
      <c r="B504" s="7" t="s">
        <v>24212</v>
      </c>
      <c r="C504" s="7" t="s">
        <v>23705</v>
      </c>
      <c r="D504" s="7" t="s">
        <v>22876</v>
      </c>
      <c r="E504" s="39" t="n">
        <v>45929</v>
      </c>
      <c r="F504" s="39" t="n">
        <v>45959</v>
      </c>
      <c r="G504" s="41" t="n">
        <v>181.03</v>
      </c>
      <c r="H504" s="39" t="n">
        <v>45957</v>
      </c>
      <c r="I504" s="7" t="s">
        <v>14651</v>
      </c>
      <c r="J504" s="7" t="s">
        <v>22796</v>
      </c>
    </row>
    <row r="505" customFormat="false" ht="15" hidden="false" customHeight="false" outlineLevel="0" collapsed="false">
      <c r="B505" s="7" t="s">
        <v>24213</v>
      </c>
      <c r="C505" s="7" t="s">
        <v>23706</v>
      </c>
      <c r="D505" s="7" t="s">
        <v>142</v>
      </c>
      <c r="E505" s="39" t="n">
        <v>45904</v>
      </c>
      <c r="F505" s="39" t="n">
        <v>45934</v>
      </c>
      <c r="G505" s="41" t="n">
        <v>41.15</v>
      </c>
      <c r="H505" s="39" t="n">
        <v>45932</v>
      </c>
      <c r="I505" s="7" t="s">
        <v>14651</v>
      </c>
      <c r="J505" s="7" t="s">
        <v>22796</v>
      </c>
    </row>
    <row r="506" customFormat="false" ht="15" hidden="false" customHeight="false" outlineLevel="0" collapsed="false">
      <c r="B506" s="7" t="s">
        <v>24214</v>
      </c>
      <c r="C506" s="7" t="s">
        <v>23706</v>
      </c>
      <c r="D506" s="7" t="s">
        <v>142</v>
      </c>
      <c r="E506" s="39" t="n">
        <v>45914</v>
      </c>
      <c r="F506" s="39" t="n">
        <v>45944</v>
      </c>
      <c r="G506" s="41" t="n">
        <v>34.79</v>
      </c>
      <c r="H506" s="39" t="n">
        <v>45931</v>
      </c>
      <c r="I506" s="7" t="s">
        <v>14651</v>
      </c>
      <c r="J506" s="7" t="s">
        <v>22796</v>
      </c>
    </row>
    <row r="507" customFormat="false" ht="15" hidden="false" customHeight="false" outlineLevel="0" collapsed="false">
      <c r="B507" s="7" t="s">
        <v>24215</v>
      </c>
      <c r="C507" s="7" t="s">
        <v>23706</v>
      </c>
      <c r="D507" s="7" t="s">
        <v>142</v>
      </c>
      <c r="E507" s="39" t="n">
        <v>45926</v>
      </c>
      <c r="F507" s="39" t="n">
        <v>45956</v>
      </c>
      <c r="G507" s="41" t="n">
        <v>115.45</v>
      </c>
      <c r="H507" s="39" t="n">
        <v>45969</v>
      </c>
      <c r="I507" s="7" t="s">
        <v>14651</v>
      </c>
      <c r="J507" s="7" t="s">
        <v>22796</v>
      </c>
    </row>
    <row r="508" customFormat="false" ht="15" hidden="false" customHeight="false" outlineLevel="0" collapsed="false">
      <c r="B508" s="7" t="s">
        <v>24216</v>
      </c>
      <c r="C508" s="7" t="s">
        <v>23707</v>
      </c>
      <c r="D508" s="7" t="s">
        <v>22882</v>
      </c>
      <c r="E508" s="39" t="n">
        <v>45904</v>
      </c>
      <c r="F508" s="39" t="n">
        <v>45904</v>
      </c>
      <c r="G508" s="41" t="n">
        <v>19.59</v>
      </c>
      <c r="H508" s="39" t="n">
        <v>45904</v>
      </c>
      <c r="I508" s="7" t="s">
        <v>14651</v>
      </c>
      <c r="J508" s="7" t="s">
        <v>22796</v>
      </c>
    </row>
    <row r="509" customFormat="false" ht="15" hidden="false" customHeight="false" outlineLevel="0" collapsed="false">
      <c r="B509" s="7" t="s">
        <v>24217</v>
      </c>
      <c r="C509" s="7" t="s">
        <v>23707</v>
      </c>
      <c r="D509" s="7" t="s">
        <v>22882</v>
      </c>
      <c r="E509" s="39" t="n">
        <v>45906</v>
      </c>
      <c r="F509" s="39" t="n">
        <v>45906</v>
      </c>
      <c r="G509" s="41" t="n">
        <v>8.99</v>
      </c>
      <c r="H509" s="39" t="n">
        <v>45906</v>
      </c>
      <c r="I509" s="7" t="s">
        <v>14651</v>
      </c>
      <c r="J509" s="7" t="s">
        <v>22796</v>
      </c>
    </row>
    <row r="510" customFormat="false" ht="15" hidden="false" customHeight="false" outlineLevel="0" collapsed="false">
      <c r="B510" s="7" t="s">
        <v>24218</v>
      </c>
      <c r="C510" s="7" t="s">
        <v>23707</v>
      </c>
      <c r="D510" s="7" t="s">
        <v>22882</v>
      </c>
      <c r="E510" s="39" t="n">
        <v>45909</v>
      </c>
      <c r="F510" s="39" t="n">
        <v>45909</v>
      </c>
      <c r="G510" s="41" t="n">
        <v>3.68</v>
      </c>
      <c r="H510" s="39" t="n">
        <v>45909</v>
      </c>
      <c r="I510" s="7" t="s">
        <v>14651</v>
      </c>
      <c r="J510" s="7" t="s">
        <v>22796</v>
      </c>
    </row>
    <row r="511" customFormat="false" ht="15" hidden="false" customHeight="false" outlineLevel="0" collapsed="false">
      <c r="B511" s="7" t="s">
        <v>24219</v>
      </c>
      <c r="C511" s="7" t="s">
        <v>23707</v>
      </c>
      <c r="D511" s="7" t="s">
        <v>22882</v>
      </c>
      <c r="E511" s="39" t="n">
        <v>45926</v>
      </c>
      <c r="F511" s="39" t="n">
        <v>45926</v>
      </c>
      <c r="G511" s="41" t="n">
        <v>14.22</v>
      </c>
      <c r="H511" s="39" t="n">
        <v>45926</v>
      </c>
      <c r="I511" s="7" t="s">
        <v>14651</v>
      </c>
      <c r="J511" s="7" t="s">
        <v>22796</v>
      </c>
    </row>
    <row r="512" customFormat="false" ht="15" hidden="false" customHeight="false" outlineLevel="0" collapsed="false">
      <c r="B512" s="7" t="s">
        <v>24220</v>
      </c>
      <c r="C512" s="7" t="s">
        <v>23708</v>
      </c>
      <c r="D512" s="7" t="s">
        <v>143</v>
      </c>
      <c r="E512" s="39" t="n">
        <v>45912</v>
      </c>
      <c r="F512" s="39" t="n">
        <v>45927</v>
      </c>
      <c r="G512" s="41" t="n">
        <v>64.44</v>
      </c>
      <c r="H512" s="39" t="n">
        <v>45926</v>
      </c>
      <c r="I512" s="7" t="s">
        <v>14651</v>
      </c>
      <c r="J512" s="7" t="s">
        <v>22796</v>
      </c>
    </row>
    <row r="513" customFormat="false" ht="15" hidden="false" customHeight="false" outlineLevel="0" collapsed="false">
      <c r="B513" s="7" t="s">
        <v>24221</v>
      </c>
      <c r="C513" s="7" t="s">
        <v>23708</v>
      </c>
      <c r="D513" s="7" t="s">
        <v>143</v>
      </c>
      <c r="E513" s="39" t="n">
        <v>45915</v>
      </c>
      <c r="F513" s="39" t="n">
        <v>45930</v>
      </c>
      <c r="G513" s="41" t="n">
        <v>133.61</v>
      </c>
      <c r="H513" s="39" t="n">
        <v>45930</v>
      </c>
      <c r="I513" s="7" t="s">
        <v>14651</v>
      </c>
      <c r="J513" s="7" t="s">
        <v>22796</v>
      </c>
    </row>
    <row r="514" customFormat="false" ht="15" hidden="false" customHeight="false" outlineLevel="0" collapsed="false">
      <c r="B514" s="7" t="s">
        <v>24222</v>
      </c>
      <c r="C514" s="7" t="s">
        <v>23676</v>
      </c>
      <c r="D514" s="7" t="s">
        <v>124</v>
      </c>
      <c r="E514" s="39" t="n">
        <v>45931</v>
      </c>
      <c r="F514" s="39" t="n">
        <v>45931</v>
      </c>
      <c r="G514" s="41" t="n">
        <v>2109.47</v>
      </c>
      <c r="H514" s="39" t="n">
        <v>45931</v>
      </c>
      <c r="I514" s="7" t="s">
        <v>14651</v>
      </c>
      <c r="J514" s="7" t="s">
        <v>22796</v>
      </c>
    </row>
    <row r="515" customFormat="false" ht="15" hidden="false" customHeight="false" outlineLevel="0" collapsed="false">
      <c r="B515" s="7" t="s">
        <v>24223</v>
      </c>
      <c r="C515" s="7" t="s">
        <v>23678</v>
      </c>
      <c r="D515" s="7" t="s">
        <v>22798</v>
      </c>
      <c r="E515" s="39" t="n">
        <v>45937</v>
      </c>
      <c r="F515" s="39" t="n">
        <v>45958</v>
      </c>
      <c r="G515" s="41" t="n">
        <v>96.51</v>
      </c>
      <c r="H515" s="39" t="n">
        <v>45956</v>
      </c>
      <c r="I515" s="7" t="s">
        <v>14651</v>
      </c>
      <c r="J515" s="7" t="s">
        <v>22796</v>
      </c>
    </row>
    <row r="516" customFormat="false" ht="15" hidden="false" customHeight="false" outlineLevel="0" collapsed="false">
      <c r="B516" s="7" t="s">
        <v>24224</v>
      </c>
      <c r="C516" s="7" t="s">
        <v>23678</v>
      </c>
      <c r="D516" s="7" t="s">
        <v>22798</v>
      </c>
      <c r="E516" s="39" t="n">
        <v>45945</v>
      </c>
      <c r="F516" s="39" t="n">
        <v>45966</v>
      </c>
      <c r="G516" s="41" t="n">
        <v>39.15</v>
      </c>
      <c r="H516" s="39" t="n">
        <v>45955</v>
      </c>
      <c r="I516" s="7" t="s">
        <v>14651</v>
      </c>
      <c r="J516" s="7" t="s">
        <v>22796</v>
      </c>
    </row>
    <row r="517" customFormat="false" ht="15" hidden="false" customHeight="false" outlineLevel="0" collapsed="false">
      <c r="B517" s="7" t="s">
        <v>24225</v>
      </c>
      <c r="C517" s="7" t="s">
        <v>23678</v>
      </c>
      <c r="D517" s="7" t="s">
        <v>22798</v>
      </c>
      <c r="E517" s="39" t="n">
        <v>45952</v>
      </c>
      <c r="F517" s="39" t="n">
        <v>45973</v>
      </c>
      <c r="G517" s="41" t="n">
        <v>85.48</v>
      </c>
      <c r="H517" s="39" t="n">
        <v>45981</v>
      </c>
      <c r="I517" s="7" t="s">
        <v>14651</v>
      </c>
      <c r="J517" s="7" t="s">
        <v>22796</v>
      </c>
    </row>
    <row r="518" customFormat="false" ht="15" hidden="false" customHeight="false" outlineLevel="0" collapsed="false">
      <c r="B518" s="7" t="s">
        <v>24226</v>
      </c>
      <c r="C518" s="7" t="s">
        <v>23680</v>
      </c>
      <c r="D518" s="7" t="s">
        <v>22802</v>
      </c>
      <c r="E518" s="39" t="n">
        <v>45939</v>
      </c>
      <c r="F518" s="39" t="n">
        <v>45960</v>
      </c>
      <c r="G518" s="41" t="n">
        <v>19.87</v>
      </c>
      <c r="H518" s="39" t="n">
        <v>45952</v>
      </c>
      <c r="I518" s="7" t="s">
        <v>14651</v>
      </c>
      <c r="J518" s="7" t="s">
        <v>22796</v>
      </c>
    </row>
    <row r="519" customFormat="false" ht="15" hidden="false" customHeight="false" outlineLevel="0" collapsed="false">
      <c r="B519" s="7" t="s">
        <v>24227</v>
      </c>
      <c r="C519" s="7" t="s">
        <v>23680</v>
      </c>
      <c r="D519" s="7" t="s">
        <v>22802</v>
      </c>
      <c r="E519" s="39" t="n">
        <v>45944</v>
      </c>
      <c r="F519" s="39" t="n">
        <v>45965</v>
      </c>
      <c r="G519" s="41" t="n">
        <v>13.05</v>
      </c>
      <c r="H519" s="39" t="n">
        <v>45963</v>
      </c>
      <c r="I519" s="7" t="s">
        <v>14651</v>
      </c>
      <c r="J519" s="7" t="s">
        <v>22796</v>
      </c>
    </row>
    <row r="520" customFormat="false" ht="15" hidden="false" customHeight="false" outlineLevel="0" collapsed="false">
      <c r="B520" s="7" t="s">
        <v>24228</v>
      </c>
      <c r="C520" s="7" t="s">
        <v>23680</v>
      </c>
      <c r="D520" s="7" t="s">
        <v>22802</v>
      </c>
      <c r="E520" s="39" t="n">
        <v>45946</v>
      </c>
      <c r="F520" s="39" t="n">
        <v>45967</v>
      </c>
      <c r="G520" s="41" t="n">
        <v>13.7</v>
      </c>
      <c r="H520" s="39" t="n">
        <v>45963</v>
      </c>
      <c r="I520" s="7" t="s">
        <v>14651</v>
      </c>
      <c r="J520" s="7" t="s">
        <v>22796</v>
      </c>
    </row>
    <row r="521" customFormat="false" ht="15" hidden="false" customHeight="false" outlineLevel="0" collapsed="false">
      <c r="B521" s="7" t="s">
        <v>24229</v>
      </c>
      <c r="C521" s="7" t="s">
        <v>23680</v>
      </c>
      <c r="D521" s="7" t="s">
        <v>22802</v>
      </c>
      <c r="E521" s="39" t="n">
        <v>45950</v>
      </c>
      <c r="F521" s="39" t="n">
        <v>45971</v>
      </c>
      <c r="G521" s="41" t="n">
        <v>20.13</v>
      </c>
      <c r="H521" s="39" t="n">
        <v>45972</v>
      </c>
      <c r="I521" s="7" t="s">
        <v>14651</v>
      </c>
      <c r="J521" s="7" t="s">
        <v>22796</v>
      </c>
    </row>
    <row r="522" customFormat="false" ht="15" hidden="false" customHeight="false" outlineLevel="0" collapsed="false">
      <c r="B522" s="7" t="s">
        <v>24230</v>
      </c>
      <c r="C522" s="7" t="s">
        <v>23681</v>
      </c>
      <c r="D522" s="7" t="s">
        <v>22807</v>
      </c>
      <c r="E522" s="39" t="n">
        <v>45931</v>
      </c>
      <c r="F522" s="39" t="n">
        <v>45952</v>
      </c>
      <c r="G522" s="41" t="n">
        <v>28.61</v>
      </c>
      <c r="H522" s="39" t="n">
        <v>45934</v>
      </c>
      <c r="I522" s="7" t="s">
        <v>14651</v>
      </c>
      <c r="J522" s="7" t="s">
        <v>22796</v>
      </c>
    </row>
    <row r="523" customFormat="false" ht="15" hidden="false" customHeight="false" outlineLevel="0" collapsed="false">
      <c r="B523" s="7" t="s">
        <v>24231</v>
      </c>
      <c r="C523" s="7" t="s">
        <v>23681</v>
      </c>
      <c r="D523" s="7" t="s">
        <v>22807</v>
      </c>
      <c r="E523" s="39" t="n">
        <v>45940</v>
      </c>
      <c r="F523" s="39" t="n">
        <v>45961</v>
      </c>
      <c r="G523" s="41" t="n">
        <v>67.07</v>
      </c>
      <c r="H523" s="39" t="n">
        <v>45954</v>
      </c>
      <c r="I523" s="7" t="s">
        <v>14651</v>
      </c>
      <c r="J523" s="7" t="s">
        <v>22796</v>
      </c>
    </row>
    <row r="524" customFormat="false" ht="15" hidden="false" customHeight="false" outlineLevel="0" collapsed="false">
      <c r="B524" s="7" t="s">
        <v>24232</v>
      </c>
      <c r="C524" s="7" t="s">
        <v>23682</v>
      </c>
      <c r="D524" s="7" t="s">
        <v>22825</v>
      </c>
      <c r="E524" s="39" t="n">
        <v>45931</v>
      </c>
      <c r="F524" s="39" t="n">
        <v>45931</v>
      </c>
      <c r="G524" s="41" t="n">
        <v>686.12</v>
      </c>
      <c r="H524" s="39" t="n">
        <v>45931</v>
      </c>
      <c r="I524" s="7" t="s">
        <v>14651</v>
      </c>
      <c r="J524" s="7" t="s">
        <v>22796</v>
      </c>
    </row>
    <row r="525" customFormat="false" ht="15" hidden="false" customHeight="false" outlineLevel="0" collapsed="false">
      <c r="B525" s="7" t="s">
        <v>24233</v>
      </c>
      <c r="C525" s="7" t="s">
        <v>23684</v>
      </c>
      <c r="D525" s="7" t="s">
        <v>22827</v>
      </c>
      <c r="E525" s="39" t="n">
        <v>45931</v>
      </c>
      <c r="F525" s="39" t="n">
        <v>45931</v>
      </c>
      <c r="G525" s="41" t="n">
        <v>121.12</v>
      </c>
      <c r="H525" s="39" t="n">
        <v>45931</v>
      </c>
      <c r="I525" s="7" t="s">
        <v>14651</v>
      </c>
      <c r="J525" s="7" t="s">
        <v>22796</v>
      </c>
    </row>
    <row r="526" customFormat="false" ht="15" hidden="false" customHeight="false" outlineLevel="0" collapsed="false">
      <c r="B526" s="7" t="s">
        <v>24234</v>
      </c>
      <c r="C526" s="7" t="s">
        <v>23685</v>
      </c>
      <c r="D526" s="7" t="s">
        <v>22829</v>
      </c>
      <c r="E526" s="39" t="n">
        <v>45931</v>
      </c>
      <c r="F526" s="39" t="n">
        <v>45931</v>
      </c>
      <c r="G526" s="41" t="n">
        <v>88.77</v>
      </c>
      <c r="H526" s="39" t="n">
        <v>45931</v>
      </c>
      <c r="I526" s="7" t="s">
        <v>14651</v>
      </c>
      <c r="J526" s="7" t="s">
        <v>22796</v>
      </c>
    </row>
    <row r="527" customFormat="false" ht="15" hidden="false" customHeight="false" outlineLevel="0" collapsed="false">
      <c r="B527" s="7" t="s">
        <v>24235</v>
      </c>
      <c r="C527" s="7" t="s">
        <v>23686</v>
      </c>
      <c r="D527" s="7" t="s">
        <v>22831</v>
      </c>
      <c r="E527" s="39" t="n">
        <v>45931</v>
      </c>
      <c r="F527" s="39" t="n">
        <v>45931</v>
      </c>
      <c r="G527" s="41" t="n">
        <v>98.35</v>
      </c>
      <c r="H527" s="39" t="n">
        <v>45931</v>
      </c>
      <c r="I527" s="7" t="s">
        <v>14651</v>
      </c>
      <c r="J527" s="7" t="s">
        <v>22796</v>
      </c>
    </row>
    <row r="528" customFormat="false" ht="15" hidden="false" customHeight="false" outlineLevel="0" collapsed="false">
      <c r="B528" s="7" t="s">
        <v>24236</v>
      </c>
      <c r="C528" s="7" t="s">
        <v>23687</v>
      </c>
      <c r="D528" s="7" t="s">
        <v>132</v>
      </c>
      <c r="E528" s="39" t="n">
        <v>45932</v>
      </c>
      <c r="F528" s="39" t="n">
        <v>45932</v>
      </c>
      <c r="G528" s="41" t="n">
        <v>146.09</v>
      </c>
      <c r="H528" s="39" t="n">
        <v>45932</v>
      </c>
      <c r="I528" s="7" t="s">
        <v>14651</v>
      </c>
      <c r="J528" s="7" t="s">
        <v>22813</v>
      </c>
    </row>
    <row r="529" customFormat="false" ht="15" hidden="false" customHeight="false" outlineLevel="0" collapsed="false">
      <c r="B529" s="7" t="s">
        <v>24237</v>
      </c>
      <c r="C529" s="7" t="s">
        <v>23687</v>
      </c>
      <c r="D529" s="7" t="s">
        <v>132</v>
      </c>
      <c r="E529" s="39" t="n">
        <v>45946</v>
      </c>
      <c r="F529" s="39" t="n">
        <v>45946</v>
      </c>
      <c r="G529" s="41" t="n">
        <v>146.09</v>
      </c>
      <c r="H529" s="39" t="n">
        <v>45946</v>
      </c>
      <c r="I529" s="7" t="s">
        <v>14651</v>
      </c>
      <c r="J529" s="7" t="s">
        <v>22813</v>
      </c>
    </row>
    <row r="530" customFormat="false" ht="15" hidden="false" customHeight="false" outlineLevel="0" collapsed="false">
      <c r="B530" s="7" t="s">
        <v>24238</v>
      </c>
      <c r="C530" s="7" t="s">
        <v>23687</v>
      </c>
      <c r="D530" s="7" t="s">
        <v>132</v>
      </c>
      <c r="E530" s="39" t="n">
        <v>45960</v>
      </c>
      <c r="F530" s="39" t="n">
        <v>45960</v>
      </c>
      <c r="G530" s="41" t="n">
        <v>146.1</v>
      </c>
      <c r="H530" s="39" t="n">
        <v>45960</v>
      </c>
      <c r="I530" s="7" t="s">
        <v>14651</v>
      </c>
      <c r="J530" s="7" t="s">
        <v>22813</v>
      </c>
    </row>
    <row r="531" customFormat="false" ht="15" hidden="false" customHeight="false" outlineLevel="0" collapsed="false">
      <c r="B531" s="7" t="s">
        <v>24239</v>
      </c>
      <c r="C531" s="7" t="s">
        <v>23689</v>
      </c>
      <c r="D531" s="7" t="s">
        <v>22837</v>
      </c>
      <c r="E531" s="39" t="n">
        <v>45931</v>
      </c>
      <c r="F531" s="39" t="n">
        <v>45961</v>
      </c>
      <c r="G531" s="41" t="n">
        <v>404.58</v>
      </c>
      <c r="H531" s="39" t="n">
        <v>45939</v>
      </c>
      <c r="I531" s="7" t="s">
        <v>14651</v>
      </c>
      <c r="J531" s="7" t="s">
        <v>22796</v>
      </c>
    </row>
    <row r="532" customFormat="false" ht="15" hidden="false" customHeight="false" outlineLevel="0" collapsed="false">
      <c r="B532" s="7" t="s">
        <v>24240</v>
      </c>
      <c r="C532" s="7" t="s">
        <v>23691</v>
      </c>
      <c r="D532" s="7" t="s">
        <v>22839</v>
      </c>
      <c r="E532" s="39" t="n">
        <v>45931</v>
      </c>
      <c r="F532" s="39" t="n">
        <v>45961</v>
      </c>
      <c r="G532" s="41" t="n">
        <v>143.69</v>
      </c>
      <c r="H532" s="39" t="n">
        <v>45952</v>
      </c>
      <c r="I532" s="7" t="s">
        <v>14651</v>
      </c>
      <c r="J532" s="7" t="s">
        <v>22796</v>
      </c>
    </row>
    <row r="533" customFormat="false" ht="15" hidden="false" customHeight="false" outlineLevel="0" collapsed="false">
      <c r="B533" s="7" t="s">
        <v>24241</v>
      </c>
      <c r="C533" s="7" t="s">
        <v>23692</v>
      </c>
      <c r="D533" s="7" t="s">
        <v>22841</v>
      </c>
      <c r="E533" s="39" t="n">
        <v>45932</v>
      </c>
      <c r="F533" s="39" t="n">
        <v>45947</v>
      </c>
      <c r="G533" s="41" t="n">
        <v>58.84</v>
      </c>
      <c r="H533" s="39" t="n">
        <v>45947</v>
      </c>
      <c r="I533" s="7" t="s">
        <v>14651</v>
      </c>
      <c r="J533" s="7" t="s">
        <v>22796</v>
      </c>
    </row>
    <row r="534" customFormat="false" ht="15" hidden="false" customHeight="false" outlineLevel="0" collapsed="false">
      <c r="B534" s="7" t="s">
        <v>24242</v>
      </c>
      <c r="C534" s="7" t="s">
        <v>23692</v>
      </c>
      <c r="D534" s="7" t="s">
        <v>22841</v>
      </c>
      <c r="E534" s="39" t="n">
        <v>45946</v>
      </c>
      <c r="F534" s="39" t="n">
        <v>45961</v>
      </c>
      <c r="G534" s="41" t="n">
        <v>82.1</v>
      </c>
      <c r="H534" s="39" t="n">
        <v>45961</v>
      </c>
      <c r="I534" s="7" t="s">
        <v>14651</v>
      </c>
      <c r="J534" s="7" t="s">
        <v>22796</v>
      </c>
    </row>
    <row r="535" customFormat="false" ht="15" hidden="false" customHeight="false" outlineLevel="0" collapsed="false">
      <c r="B535" s="7" t="s">
        <v>24243</v>
      </c>
      <c r="C535" s="7" t="s">
        <v>23692</v>
      </c>
      <c r="D535" s="7" t="s">
        <v>22841</v>
      </c>
      <c r="E535" s="39" t="n">
        <v>45954</v>
      </c>
      <c r="F535" s="39" t="n">
        <v>45969</v>
      </c>
      <c r="G535" s="41" t="n">
        <v>52.38</v>
      </c>
      <c r="H535" s="39" t="n">
        <v>45969</v>
      </c>
      <c r="I535" s="7" t="s">
        <v>14651</v>
      </c>
      <c r="J535" s="7" t="s">
        <v>22796</v>
      </c>
    </row>
    <row r="536" customFormat="false" ht="15" hidden="false" customHeight="false" outlineLevel="0" collapsed="false">
      <c r="B536" s="7" t="s">
        <v>24244</v>
      </c>
      <c r="C536" s="7" t="s">
        <v>23692</v>
      </c>
      <c r="D536" s="7" t="s">
        <v>22841</v>
      </c>
      <c r="E536" s="39" t="n">
        <v>45957</v>
      </c>
      <c r="F536" s="39" t="n">
        <v>45972</v>
      </c>
      <c r="G536" s="41" t="n">
        <v>69.13</v>
      </c>
      <c r="H536" s="39" t="n">
        <v>45974</v>
      </c>
      <c r="I536" s="7" t="s">
        <v>14651</v>
      </c>
      <c r="J536" s="7" t="s">
        <v>22796</v>
      </c>
    </row>
    <row r="537" customFormat="false" ht="15" hidden="false" customHeight="false" outlineLevel="0" collapsed="false">
      <c r="B537" s="7" t="s">
        <v>24245</v>
      </c>
      <c r="C537" s="7" t="s">
        <v>23694</v>
      </c>
      <c r="D537" s="7" t="s">
        <v>22845</v>
      </c>
      <c r="E537" s="39" t="n">
        <v>45940</v>
      </c>
      <c r="F537" s="39" t="n">
        <v>45940</v>
      </c>
      <c r="G537" s="41" t="n">
        <v>96.54</v>
      </c>
      <c r="H537" s="39" t="n">
        <v>45940</v>
      </c>
      <c r="I537" s="7" t="s">
        <v>14651</v>
      </c>
      <c r="J537" s="7" t="s">
        <v>22796</v>
      </c>
    </row>
    <row r="538" customFormat="false" ht="15" hidden="false" customHeight="false" outlineLevel="0" collapsed="false">
      <c r="B538" s="7" t="s">
        <v>24246</v>
      </c>
      <c r="C538" s="7" t="s">
        <v>23694</v>
      </c>
      <c r="D538" s="7" t="s">
        <v>22845</v>
      </c>
      <c r="E538" s="39" t="n">
        <v>45942</v>
      </c>
      <c r="F538" s="39" t="n">
        <v>45942</v>
      </c>
      <c r="G538" s="41" t="n">
        <v>53.22</v>
      </c>
      <c r="H538" s="39" t="n">
        <v>45942</v>
      </c>
      <c r="I538" s="7" t="s">
        <v>14651</v>
      </c>
      <c r="J538" s="7" t="s">
        <v>22796</v>
      </c>
    </row>
    <row r="539" customFormat="false" ht="15" hidden="false" customHeight="false" outlineLevel="0" collapsed="false">
      <c r="B539" s="7" t="s">
        <v>24247</v>
      </c>
      <c r="C539" s="7" t="s">
        <v>23694</v>
      </c>
      <c r="D539" s="7" t="s">
        <v>22845</v>
      </c>
      <c r="E539" s="39" t="n">
        <v>45959</v>
      </c>
      <c r="F539" s="39" t="n">
        <v>45959</v>
      </c>
      <c r="G539" s="41" t="n">
        <v>46.23</v>
      </c>
      <c r="H539" s="39" t="n">
        <v>45959</v>
      </c>
      <c r="I539" s="7" t="s">
        <v>14651</v>
      </c>
      <c r="J539" s="7" t="s">
        <v>22796</v>
      </c>
    </row>
    <row r="540" customFormat="false" ht="15" hidden="false" customHeight="false" outlineLevel="0" collapsed="false">
      <c r="B540" s="7" t="s">
        <v>24248</v>
      </c>
      <c r="C540" s="7" t="s">
        <v>23694</v>
      </c>
      <c r="D540" s="7" t="s">
        <v>22845</v>
      </c>
      <c r="E540" s="39" t="n">
        <v>45961</v>
      </c>
      <c r="F540" s="39" t="n">
        <v>45961</v>
      </c>
      <c r="G540" s="41" t="n">
        <v>163.64</v>
      </c>
      <c r="H540" s="39" t="n">
        <v>45961</v>
      </c>
      <c r="I540" s="7" t="s">
        <v>14651</v>
      </c>
      <c r="J540" s="7" t="s">
        <v>22796</v>
      </c>
    </row>
    <row r="541" customFormat="false" ht="15" hidden="false" customHeight="false" outlineLevel="0" collapsed="false">
      <c r="B541" s="7" t="s">
        <v>24249</v>
      </c>
      <c r="C541" s="7" t="s">
        <v>23695</v>
      </c>
      <c r="D541" s="7" t="s">
        <v>22848</v>
      </c>
      <c r="E541" s="39" t="n">
        <v>45931</v>
      </c>
      <c r="F541" s="39" t="n">
        <v>45961</v>
      </c>
      <c r="G541" s="41" t="n">
        <v>115.94</v>
      </c>
      <c r="H541" s="39" t="n">
        <v>45970</v>
      </c>
      <c r="I541" s="7" t="s">
        <v>14651</v>
      </c>
      <c r="J541" s="7" t="s">
        <v>22796</v>
      </c>
    </row>
    <row r="542" customFormat="false" ht="15" hidden="false" customHeight="false" outlineLevel="0" collapsed="false">
      <c r="B542" s="7" t="s">
        <v>24250</v>
      </c>
      <c r="C542" s="7" t="s">
        <v>23695</v>
      </c>
      <c r="D542" s="7" t="s">
        <v>22848</v>
      </c>
      <c r="E542" s="39" t="n">
        <v>45948</v>
      </c>
      <c r="F542" s="39" t="n">
        <v>45978</v>
      </c>
      <c r="G542" s="41" t="n">
        <v>56.91</v>
      </c>
      <c r="H542" s="39" t="n">
        <v>45984</v>
      </c>
      <c r="I542" s="7" t="s">
        <v>14651</v>
      </c>
      <c r="J542" s="7" t="s">
        <v>22796</v>
      </c>
    </row>
    <row r="543" customFormat="false" ht="15" hidden="false" customHeight="false" outlineLevel="0" collapsed="false">
      <c r="B543" s="7" t="s">
        <v>24251</v>
      </c>
      <c r="C543" s="7" t="s">
        <v>23695</v>
      </c>
      <c r="D543" s="7" t="s">
        <v>22848</v>
      </c>
      <c r="E543" s="39" t="n">
        <v>45960</v>
      </c>
      <c r="F543" s="39" t="n">
        <v>45990</v>
      </c>
      <c r="G543" s="41" t="n">
        <v>64.62</v>
      </c>
      <c r="H543" s="39" t="n">
        <v>46000</v>
      </c>
      <c r="I543" s="7" t="s">
        <v>14651</v>
      </c>
      <c r="J543" s="7" t="s">
        <v>22796</v>
      </c>
    </row>
    <row r="544" customFormat="false" ht="15" hidden="false" customHeight="false" outlineLevel="0" collapsed="false">
      <c r="B544" s="7" t="s">
        <v>24252</v>
      </c>
      <c r="C544" s="7" t="s">
        <v>23696</v>
      </c>
      <c r="D544" s="7" t="s">
        <v>136</v>
      </c>
      <c r="E544" s="39" t="n">
        <v>45932</v>
      </c>
      <c r="F544" s="39" t="n">
        <v>45947</v>
      </c>
      <c r="G544" s="41" t="n">
        <v>36.22</v>
      </c>
      <c r="H544" s="39" t="n">
        <v>45947</v>
      </c>
      <c r="I544" s="7" t="s">
        <v>14651</v>
      </c>
      <c r="J544" s="7" t="s">
        <v>22796</v>
      </c>
    </row>
    <row r="545" customFormat="false" ht="15" hidden="false" customHeight="false" outlineLevel="0" collapsed="false">
      <c r="B545" s="7" t="s">
        <v>24253</v>
      </c>
      <c r="C545" s="7" t="s">
        <v>23696</v>
      </c>
      <c r="D545" s="7" t="s">
        <v>136</v>
      </c>
      <c r="E545" s="39" t="n">
        <v>45950</v>
      </c>
      <c r="F545" s="39" t="n">
        <v>45965</v>
      </c>
      <c r="G545" s="41" t="n">
        <v>27.67</v>
      </c>
      <c r="H545" s="39" t="n">
        <v>45966</v>
      </c>
      <c r="I545" s="7" t="s">
        <v>14651</v>
      </c>
      <c r="J545" s="7" t="s">
        <v>22796</v>
      </c>
    </row>
    <row r="546" customFormat="false" ht="15" hidden="false" customHeight="false" outlineLevel="0" collapsed="false">
      <c r="B546" s="7" t="s">
        <v>24254</v>
      </c>
      <c r="C546" s="7" t="s">
        <v>23696</v>
      </c>
      <c r="D546" s="7" t="s">
        <v>136</v>
      </c>
      <c r="E546" s="39" t="n">
        <v>45952</v>
      </c>
      <c r="F546" s="39" t="n">
        <v>45967</v>
      </c>
      <c r="G546" s="41" t="n">
        <v>26.7</v>
      </c>
      <c r="H546" s="39" t="n">
        <v>45957</v>
      </c>
      <c r="I546" s="7" t="s">
        <v>14651</v>
      </c>
      <c r="J546" s="7" t="s">
        <v>22796</v>
      </c>
    </row>
    <row r="547" customFormat="false" ht="15" hidden="false" customHeight="false" outlineLevel="0" collapsed="false">
      <c r="B547" s="7" t="s">
        <v>24255</v>
      </c>
      <c r="C547" s="7" t="s">
        <v>23696</v>
      </c>
      <c r="D547" s="7" t="s">
        <v>136</v>
      </c>
      <c r="E547" s="39" t="n">
        <v>45957</v>
      </c>
      <c r="F547" s="39" t="n">
        <v>45972</v>
      </c>
      <c r="G547" s="41" t="n">
        <v>68.85</v>
      </c>
      <c r="H547" s="39" t="n">
        <v>45971</v>
      </c>
      <c r="I547" s="7" t="s">
        <v>14651</v>
      </c>
      <c r="J547" s="7" t="s">
        <v>22796</v>
      </c>
    </row>
    <row r="548" customFormat="false" ht="15" hidden="false" customHeight="false" outlineLevel="0" collapsed="false">
      <c r="B548" s="7" t="s">
        <v>24256</v>
      </c>
      <c r="C548" s="7" t="s">
        <v>23697</v>
      </c>
      <c r="D548" s="7" t="s">
        <v>22855</v>
      </c>
      <c r="E548" s="39" t="n">
        <v>45931</v>
      </c>
      <c r="F548" s="39" t="n">
        <v>45952</v>
      </c>
      <c r="G548" s="41" t="n">
        <v>175.5</v>
      </c>
      <c r="H548" s="39" t="n">
        <v>45951</v>
      </c>
      <c r="I548" s="7" t="s">
        <v>14651</v>
      </c>
      <c r="J548" s="7" t="s">
        <v>22796</v>
      </c>
    </row>
    <row r="549" customFormat="false" ht="15" hidden="false" customHeight="false" outlineLevel="0" collapsed="false">
      <c r="B549" s="7" t="s">
        <v>24257</v>
      </c>
      <c r="C549" s="7" t="s">
        <v>23698</v>
      </c>
      <c r="D549" s="7" t="s">
        <v>22857</v>
      </c>
      <c r="E549" s="39" t="n">
        <v>45931</v>
      </c>
      <c r="F549" s="39" t="n">
        <v>45952</v>
      </c>
      <c r="G549" s="41" t="n">
        <v>502.54</v>
      </c>
      <c r="H549" s="39" t="n">
        <v>45947</v>
      </c>
      <c r="I549" s="7" t="s">
        <v>14651</v>
      </c>
      <c r="J549" s="7" t="s">
        <v>22796</v>
      </c>
    </row>
    <row r="550" customFormat="false" ht="15" hidden="false" customHeight="false" outlineLevel="0" collapsed="false">
      <c r="B550" s="7" t="s">
        <v>24258</v>
      </c>
      <c r="C550" s="7" t="s">
        <v>23699</v>
      </c>
      <c r="D550" s="7" t="s">
        <v>22859</v>
      </c>
      <c r="E550" s="39" t="n">
        <v>45942</v>
      </c>
      <c r="F550" s="39" t="n">
        <v>45972</v>
      </c>
      <c r="G550" s="41" t="n">
        <v>115.54</v>
      </c>
      <c r="H550" s="39" t="n">
        <v>45974</v>
      </c>
      <c r="I550" s="7" t="s">
        <v>14651</v>
      </c>
      <c r="J550" s="7" t="s">
        <v>22796</v>
      </c>
    </row>
    <row r="551" customFormat="false" ht="15" hidden="false" customHeight="false" outlineLevel="0" collapsed="false">
      <c r="B551" s="7" t="s">
        <v>24259</v>
      </c>
      <c r="C551" s="7" t="s">
        <v>23699</v>
      </c>
      <c r="D551" s="7" t="s">
        <v>22859</v>
      </c>
      <c r="E551" s="39" t="n">
        <v>45955</v>
      </c>
      <c r="F551" s="39" t="n">
        <v>45985</v>
      </c>
      <c r="G551" s="41" t="n">
        <v>94.72</v>
      </c>
      <c r="H551" s="39" t="n">
        <v>45985</v>
      </c>
      <c r="I551" s="7" t="s">
        <v>14651</v>
      </c>
      <c r="J551" s="7" t="s">
        <v>22796</v>
      </c>
    </row>
    <row r="552" customFormat="false" ht="15" hidden="false" customHeight="false" outlineLevel="0" collapsed="false">
      <c r="B552" s="7" t="s">
        <v>24260</v>
      </c>
      <c r="C552" s="7" t="s">
        <v>23699</v>
      </c>
      <c r="D552" s="7" t="s">
        <v>22859</v>
      </c>
      <c r="E552" s="39" t="n">
        <v>45958</v>
      </c>
      <c r="F552" s="39" t="n">
        <v>45988</v>
      </c>
      <c r="G552" s="41" t="n">
        <v>221.59</v>
      </c>
      <c r="H552" s="39" t="n">
        <v>45989</v>
      </c>
      <c r="I552" s="7" t="s">
        <v>14651</v>
      </c>
      <c r="J552" s="7" t="s">
        <v>22796</v>
      </c>
    </row>
    <row r="553" customFormat="false" ht="15" hidden="false" customHeight="false" outlineLevel="0" collapsed="false">
      <c r="B553" s="7" t="s">
        <v>24261</v>
      </c>
      <c r="C553" s="7" t="s">
        <v>23700</v>
      </c>
      <c r="D553" s="7" t="s">
        <v>22862</v>
      </c>
      <c r="E553" s="39" t="n">
        <v>45935</v>
      </c>
      <c r="F553" s="39" t="n">
        <v>45935</v>
      </c>
      <c r="G553" s="41" t="n">
        <v>38.72</v>
      </c>
      <c r="H553" s="39" t="n">
        <v>45935</v>
      </c>
      <c r="I553" s="7" t="s">
        <v>14651</v>
      </c>
      <c r="J553" s="7" t="s">
        <v>22796</v>
      </c>
    </row>
    <row r="554" customFormat="false" ht="15" hidden="false" customHeight="false" outlineLevel="0" collapsed="false">
      <c r="B554" s="7" t="s">
        <v>24262</v>
      </c>
      <c r="C554" s="7" t="s">
        <v>23700</v>
      </c>
      <c r="D554" s="7" t="s">
        <v>22862</v>
      </c>
      <c r="E554" s="39" t="n">
        <v>45948</v>
      </c>
      <c r="F554" s="39" t="n">
        <v>45948</v>
      </c>
      <c r="G554" s="41" t="n">
        <v>54.28</v>
      </c>
      <c r="H554" s="39" t="n">
        <v>45948</v>
      </c>
      <c r="I554" s="7" t="s">
        <v>14651</v>
      </c>
      <c r="J554" s="7" t="s">
        <v>22796</v>
      </c>
    </row>
    <row r="555" customFormat="false" ht="15" hidden="false" customHeight="false" outlineLevel="0" collapsed="false">
      <c r="B555" s="7" t="s">
        <v>24263</v>
      </c>
      <c r="C555" s="7" t="s">
        <v>23700</v>
      </c>
      <c r="D555" s="7" t="s">
        <v>22862</v>
      </c>
      <c r="E555" s="39" t="n">
        <v>45952</v>
      </c>
      <c r="F555" s="39" t="n">
        <v>45952</v>
      </c>
      <c r="G555" s="41" t="n">
        <v>56.08</v>
      </c>
      <c r="H555" s="39" t="n">
        <v>45952</v>
      </c>
      <c r="I555" s="7" t="s">
        <v>14651</v>
      </c>
      <c r="J555" s="7" t="s">
        <v>22796</v>
      </c>
    </row>
    <row r="556" customFormat="false" ht="15" hidden="false" customHeight="false" outlineLevel="0" collapsed="false">
      <c r="B556" s="7" t="s">
        <v>24264</v>
      </c>
      <c r="C556" s="7" t="s">
        <v>23702</v>
      </c>
      <c r="D556" s="7" t="s">
        <v>22866</v>
      </c>
      <c r="E556" s="39" t="n">
        <v>45941</v>
      </c>
      <c r="F556" s="39" t="n">
        <v>45956</v>
      </c>
      <c r="G556" s="41" t="n">
        <v>285.16</v>
      </c>
      <c r="H556" s="39" t="n">
        <v>45955</v>
      </c>
      <c r="I556" s="7" t="s">
        <v>14651</v>
      </c>
      <c r="J556" s="7" t="s">
        <v>22796</v>
      </c>
    </row>
    <row r="557" customFormat="false" ht="15" hidden="false" customHeight="false" outlineLevel="0" collapsed="false">
      <c r="B557" s="7" t="s">
        <v>24265</v>
      </c>
      <c r="C557" s="7" t="s">
        <v>23702</v>
      </c>
      <c r="D557" s="7" t="s">
        <v>22866</v>
      </c>
      <c r="E557" s="39" t="n">
        <v>45944</v>
      </c>
      <c r="F557" s="39" t="n">
        <v>45959</v>
      </c>
      <c r="G557" s="41" t="n">
        <v>77.81</v>
      </c>
      <c r="H557" s="39" t="n">
        <v>45957</v>
      </c>
      <c r="I557" s="7" t="s">
        <v>14651</v>
      </c>
      <c r="J557" s="7" t="s">
        <v>22796</v>
      </c>
    </row>
    <row r="558" customFormat="false" ht="15" hidden="false" customHeight="false" outlineLevel="0" collapsed="false">
      <c r="B558" s="7" t="s">
        <v>24266</v>
      </c>
      <c r="C558" s="7" t="s">
        <v>23702</v>
      </c>
      <c r="D558" s="7" t="s">
        <v>22866</v>
      </c>
      <c r="E558" s="39" t="n">
        <v>45954</v>
      </c>
      <c r="F558" s="39" t="n">
        <v>45969</v>
      </c>
      <c r="G558" s="41" t="n">
        <v>293.43</v>
      </c>
      <c r="H558" s="39" t="n">
        <v>45974</v>
      </c>
      <c r="I558" s="7" t="s">
        <v>14651</v>
      </c>
      <c r="J558" s="7" t="s">
        <v>22796</v>
      </c>
    </row>
    <row r="559" customFormat="false" ht="15" hidden="false" customHeight="false" outlineLevel="0" collapsed="false">
      <c r="B559" s="7" t="s">
        <v>24267</v>
      </c>
      <c r="C559" s="7" t="s">
        <v>23703</v>
      </c>
      <c r="D559" s="7" t="s">
        <v>22870</v>
      </c>
      <c r="E559" s="39" t="n">
        <v>45945</v>
      </c>
      <c r="F559" s="39" t="n">
        <v>45975</v>
      </c>
      <c r="G559" s="41" t="n">
        <v>178.85</v>
      </c>
      <c r="H559" s="39" t="n">
        <v>45976</v>
      </c>
      <c r="I559" s="7" t="s">
        <v>14651</v>
      </c>
      <c r="J559" s="7" t="s">
        <v>22796</v>
      </c>
    </row>
    <row r="560" customFormat="false" ht="15" hidden="false" customHeight="false" outlineLevel="0" collapsed="false">
      <c r="B560" s="7" t="s">
        <v>24268</v>
      </c>
      <c r="C560" s="7" t="s">
        <v>23703</v>
      </c>
      <c r="D560" s="7" t="s">
        <v>22870</v>
      </c>
      <c r="E560" s="39" t="n">
        <v>45960</v>
      </c>
      <c r="F560" s="39" t="n">
        <v>45990</v>
      </c>
      <c r="G560" s="41" t="n">
        <v>183.15</v>
      </c>
      <c r="H560" s="39" t="n">
        <v>45996</v>
      </c>
      <c r="I560" s="7" t="s">
        <v>14651</v>
      </c>
      <c r="J560" s="7" t="s">
        <v>22796</v>
      </c>
    </row>
    <row r="561" customFormat="false" ht="15" hidden="false" customHeight="false" outlineLevel="0" collapsed="false">
      <c r="B561" s="7" t="s">
        <v>24269</v>
      </c>
      <c r="C561" s="7" t="s">
        <v>23704</v>
      </c>
      <c r="D561" s="7" t="s">
        <v>22874</v>
      </c>
      <c r="E561" s="39" t="n">
        <v>45931</v>
      </c>
      <c r="F561" s="39" t="n">
        <v>45961</v>
      </c>
      <c r="G561" s="41" t="n">
        <v>431.41</v>
      </c>
      <c r="H561" s="39" t="n">
        <v>45948</v>
      </c>
      <c r="I561" s="7" t="s">
        <v>14651</v>
      </c>
      <c r="J561" s="7" t="s">
        <v>22796</v>
      </c>
    </row>
    <row r="562" customFormat="false" ht="15" hidden="false" customHeight="false" outlineLevel="0" collapsed="false">
      <c r="B562" s="7" t="s">
        <v>24270</v>
      </c>
      <c r="C562" s="7" t="s">
        <v>23705</v>
      </c>
      <c r="D562" s="7" t="s">
        <v>22876</v>
      </c>
      <c r="E562" s="39" t="n">
        <v>45933</v>
      </c>
      <c r="F562" s="39" t="n">
        <v>45963</v>
      </c>
      <c r="G562" s="41" t="n">
        <v>99.82</v>
      </c>
      <c r="H562" s="39" t="n">
        <v>45965</v>
      </c>
      <c r="I562" s="7" t="s">
        <v>14651</v>
      </c>
      <c r="J562" s="7" t="s">
        <v>22796</v>
      </c>
    </row>
    <row r="563" customFormat="false" ht="15" hidden="false" customHeight="false" outlineLevel="0" collapsed="false">
      <c r="B563" s="7" t="s">
        <v>24271</v>
      </c>
      <c r="C563" s="7" t="s">
        <v>23705</v>
      </c>
      <c r="D563" s="7" t="s">
        <v>22876</v>
      </c>
      <c r="E563" s="39" t="n">
        <v>45953</v>
      </c>
      <c r="F563" s="39" t="n">
        <v>45983</v>
      </c>
      <c r="G563" s="41" t="n">
        <v>267.96</v>
      </c>
      <c r="H563" s="39" t="n">
        <v>45985</v>
      </c>
      <c r="I563" s="7" t="s">
        <v>14651</v>
      </c>
      <c r="J563" s="7" t="s">
        <v>22796</v>
      </c>
    </row>
    <row r="564" customFormat="false" ht="15" hidden="false" customHeight="false" outlineLevel="0" collapsed="false">
      <c r="B564" s="7" t="s">
        <v>24272</v>
      </c>
      <c r="C564" s="7" t="s">
        <v>23706</v>
      </c>
      <c r="D564" s="7" t="s">
        <v>142</v>
      </c>
      <c r="E564" s="39" t="n">
        <v>45940</v>
      </c>
      <c r="F564" s="39" t="n">
        <v>45970</v>
      </c>
      <c r="G564" s="41" t="n">
        <v>81.89</v>
      </c>
      <c r="H564" s="39" t="n">
        <v>45969</v>
      </c>
      <c r="I564" s="7" t="s">
        <v>14651</v>
      </c>
      <c r="J564" s="7" t="s">
        <v>22796</v>
      </c>
    </row>
    <row r="565" customFormat="false" ht="15" hidden="false" customHeight="false" outlineLevel="0" collapsed="false">
      <c r="B565" s="7" t="s">
        <v>24273</v>
      </c>
      <c r="C565" s="7" t="s">
        <v>23706</v>
      </c>
      <c r="D565" s="7" t="s">
        <v>142</v>
      </c>
      <c r="E565" s="39" t="n">
        <v>45946</v>
      </c>
      <c r="F565" s="39" t="n">
        <v>45976</v>
      </c>
      <c r="G565" s="41" t="n">
        <v>42.44</v>
      </c>
      <c r="H565" s="39" t="n">
        <v>45988</v>
      </c>
      <c r="I565" s="7" t="s">
        <v>14651</v>
      </c>
      <c r="J565" s="7" t="s">
        <v>22796</v>
      </c>
    </row>
    <row r="566" customFormat="false" ht="15" hidden="false" customHeight="false" outlineLevel="0" collapsed="false">
      <c r="B566" s="7" t="s">
        <v>24274</v>
      </c>
      <c r="C566" s="7" t="s">
        <v>23706</v>
      </c>
      <c r="D566" s="7" t="s">
        <v>142</v>
      </c>
      <c r="E566" s="39" t="n">
        <v>45950</v>
      </c>
      <c r="F566" s="39" t="n">
        <v>45980</v>
      </c>
      <c r="G566" s="41" t="n">
        <v>55.53</v>
      </c>
      <c r="H566" s="39" t="n">
        <v>45967</v>
      </c>
      <c r="I566" s="7" t="s">
        <v>14651</v>
      </c>
      <c r="J566" s="7" t="s">
        <v>22796</v>
      </c>
    </row>
    <row r="567" customFormat="false" ht="15" hidden="false" customHeight="false" outlineLevel="0" collapsed="false">
      <c r="B567" s="7" t="s">
        <v>24275</v>
      </c>
      <c r="C567" s="7" t="s">
        <v>23707</v>
      </c>
      <c r="D567" s="7" t="s">
        <v>22882</v>
      </c>
      <c r="E567" s="39" t="n">
        <v>45945</v>
      </c>
      <c r="F567" s="39" t="n">
        <v>45945</v>
      </c>
      <c r="G567" s="41" t="n">
        <v>18.48</v>
      </c>
      <c r="H567" s="39" t="n">
        <v>45945</v>
      </c>
      <c r="I567" s="7" t="s">
        <v>14651</v>
      </c>
      <c r="J567" s="7" t="s">
        <v>22796</v>
      </c>
    </row>
    <row r="568" customFormat="false" ht="15" hidden="false" customHeight="false" outlineLevel="0" collapsed="false">
      <c r="B568" s="7" t="s">
        <v>24276</v>
      </c>
      <c r="C568" s="7" t="s">
        <v>23707</v>
      </c>
      <c r="D568" s="7" t="s">
        <v>22882</v>
      </c>
      <c r="E568" s="39" t="n">
        <v>45948</v>
      </c>
      <c r="F568" s="39" t="n">
        <v>45948</v>
      </c>
      <c r="G568" s="41" t="n">
        <v>7.36</v>
      </c>
      <c r="H568" s="39" t="n">
        <v>45948</v>
      </c>
      <c r="I568" s="7" t="s">
        <v>14651</v>
      </c>
      <c r="J568" s="7" t="s">
        <v>22796</v>
      </c>
    </row>
    <row r="569" customFormat="false" ht="15" hidden="false" customHeight="false" outlineLevel="0" collapsed="false">
      <c r="B569" s="7" t="s">
        <v>24277</v>
      </c>
      <c r="C569" s="7" t="s">
        <v>23707</v>
      </c>
      <c r="D569" s="7" t="s">
        <v>22882</v>
      </c>
      <c r="E569" s="39" t="n">
        <v>45952</v>
      </c>
      <c r="F569" s="39" t="n">
        <v>45952</v>
      </c>
      <c r="G569" s="41" t="n">
        <v>6.65</v>
      </c>
      <c r="H569" s="39" t="n">
        <v>45952</v>
      </c>
      <c r="I569" s="7" t="s">
        <v>14651</v>
      </c>
      <c r="J569" s="7" t="s">
        <v>22796</v>
      </c>
    </row>
    <row r="570" customFormat="false" ht="15" hidden="false" customHeight="false" outlineLevel="0" collapsed="false">
      <c r="B570" s="7" t="s">
        <v>24278</v>
      </c>
      <c r="C570" s="7" t="s">
        <v>23707</v>
      </c>
      <c r="D570" s="7" t="s">
        <v>22882</v>
      </c>
      <c r="E570" s="39" t="n">
        <v>45960</v>
      </c>
      <c r="F570" s="39" t="n">
        <v>45960</v>
      </c>
      <c r="G570" s="41" t="n">
        <v>15.35</v>
      </c>
      <c r="H570" s="39" t="n">
        <v>45960</v>
      </c>
      <c r="I570" s="7" t="s">
        <v>14651</v>
      </c>
      <c r="J570" s="7" t="s">
        <v>22796</v>
      </c>
    </row>
    <row r="571" customFormat="false" ht="15" hidden="false" customHeight="false" outlineLevel="0" collapsed="false">
      <c r="B571" s="7" t="s">
        <v>24279</v>
      </c>
      <c r="C571" s="7" t="s">
        <v>23708</v>
      </c>
      <c r="D571" s="7" t="s">
        <v>143</v>
      </c>
      <c r="E571" s="39" t="n">
        <v>45931</v>
      </c>
      <c r="F571" s="39" t="n">
        <v>45946</v>
      </c>
      <c r="G571" s="41" t="n">
        <v>65.34</v>
      </c>
      <c r="H571" s="39" t="n">
        <v>45943</v>
      </c>
      <c r="I571" s="7" t="s">
        <v>14651</v>
      </c>
      <c r="J571" s="7" t="s">
        <v>22796</v>
      </c>
    </row>
    <row r="572" customFormat="false" ht="15" hidden="false" customHeight="false" outlineLevel="0" collapsed="false">
      <c r="B572" s="7" t="s">
        <v>24280</v>
      </c>
      <c r="C572" s="7" t="s">
        <v>23708</v>
      </c>
      <c r="D572" s="7" t="s">
        <v>143</v>
      </c>
      <c r="E572" s="39" t="n">
        <v>45957</v>
      </c>
      <c r="F572" s="39" t="n">
        <v>45972</v>
      </c>
      <c r="G572" s="41" t="n">
        <v>128.84</v>
      </c>
      <c r="H572" s="39" t="n">
        <v>45966</v>
      </c>
      <c r="I572" s="7" t="s">
        <v>14651</v>
      </c>
      <c r="J572" s="7" t="s">
        <v>22796</v>
      </c>
    </row>
    <row r="573" customFormat="false" ht="15" hidden="false" customHeight="false" outlineLevel="0" collapsed="false">
      <c r="B573" s="7" t="s">
        <v>24281</v>
      </c>
      <c r="C573" s="7" t="s">
        <v>23676</v>
      </c>
      <c r="D573" s="7" t="s">
        <v>124</v>
      </c>
      <c r="E573" s="39" t="n">
        <v>45962</v>
      </c>
      <c r="F573" s="39" t="n">
        <v>45962</v>
      </c>
      <c r="G573" s="41" t="n">
        <v>2219.97</v>
      </c>
      <c r="H573" s="39" t="n">
        <v>45962</v>
      </c>
      <c r="I573" s="7" t="s">
        <v>14651</v>
      </c>
      <c r="J573" s="7" t="s">
        <v>22796</v>
      </c>
    </row>
    <row r="574" customFormat="false" ht="15" hidden="false" customHeight="false" outlineLevel="0" collapsed="false">
      <c r="B574" s="7" t="s">
        <v>24282</v>
      </c>
      <c r="C574" s="7" t="s">
        <v>23678</v>
      </c>
      <c r="D574" s="7" t="s">
        <v>22798</v>
      </c>
      <c r="E574" s="39" t="n">
        <v>45972</v>
      </c>
      <c r="F574" s="39" t="n">
        <v>45993</v>
      </c>
      <c r="G574" s="41" t="n">
        <v>99.41</v>
      </c>
      <c r="H574" s="39" t="n">
        <v>45985</v>
      </c>
      <c r="I574" s="7" t="s">
        <v>14651</v>
      </c>
      <c r="J574" s="7" t="s">
        <v>22796</v>
      </c>
    </row>
    <row r="575" customFormat="false" ht="15" hidden="false" customHeight="false" outlineLevel="0" collapsed="false">
      <c r="B575" s="7" t="s">
        <v>24283</v>
      </c>
      <c r="C575" s="7" t="s">
        <v>23678</v>
      </c>
      <c r="D575" s="7" t="s">
        <v>22798</v>
      </c>
      <c r="E575" s="39" t="n">
        <v>45975</v>
      </c>
      <c r="F575" s="39" t="n">
        <v>45996</v>
      </c>
      <c r="G575" s="41" t="n">
        <v>34.83</v>
      </c>
      <c r="H575" s="39" t="n">
        <v>45998</v>
      </c>
      <c r="I575" s="7" t="s">
        <v>14651</v>
      </c>
      <c r="J575" s="7" t="s">
        <v>22796</v>
      </c>
    </row>
    <row r="576" customFormat="false" ht="15" hidden="false" customHeight="false" outlineLevel="0" collapsed="false">
      <c r="B576" s="7" t="s">
        <v>24284</v>
      </c>
      <c r="C576" s="7" t="s">
        <v>23678</v>
      </c>
      <c r="D576" s="7" t="s">
        <v>22798</v>
      </c>
      <c r="E576" s="39" t="n">
        <v>45979</v>
      </c>
      <c r="F576" s="39" t="n">
        <v>46000</v>
      </c>
      <c r="G576" s="41" t="n">
        <v>26.13</v>
      </c>
      <c r="H576" s="39" t="n">
        <v>46002</v>
      </c>
      <c r="I576" s="7" t="s">
        <v>14651</v>
      </c>
      <c r="J576" s="7" t="s">
        <v>22796</v>
      </c>
    </row>
    <row r="577" customFormat="false" ht="15" hidden="false" customHeight="false" outlineLevel="0" collapsed="false">
      <c r="B577" s="7" t="s">
        <v>24285</v>
      </c>
      <c r="C577" s="7" t="s">
        <v>23678</v>
      </c>
      <c r="D577" s="7" t="s">
        <v>22798</v>
      </c>
      <c r="E577" s="39" t="n">
        <v>45987</v>
      </c>
      <c r="F577" s="39" t="n">
        <v>46008</v>
      </c>
      <c r="G577" s="41" t="n">
        <v>53.23</v>
      </c>
      <c r="H577" s="39" t="n">
        <v>46007</v>
      </c>
      <c r="I577" s="7" t="s">
        <v>14651</v>
      </c>
      <c r="J577" s="7" t="s">
        <v>22796</v>
      </c>
    </row>
    <row r="578" customFormat="false" ht="15" hidden="false" customHeight="false" outlineLevel="0" collapsed="false">
      <c r="B578" s="7" t="s">
        <v>24286</v>
      </c>
      <c r="C578" s="7" t="s">
        <v>23680</v>
      </c>
      <c r="D578" s="7" t="s">
        <v>22802</v>
      </c>
      <c r="E578" s="39" t="n">
        <v>45982</v>
      </c>
      <c r="F578" s="39" t="n">
        <v>46003</v>
      </c>
      <c r="G578" s="41" t="n">
        <v>16.06</v>
      </c>
      <c r="H578" s="39" t="n">
        <v>46015</v>
      </c>
      <c r="I578" s="7" t="s">
        <v>14651</v>
      </c>
      <c r="J578" s="7" t="s">
        <v>22796</v>
      </c>
    </row>
    <row r="579" customFormat="false" ht="15" hidden="false" customHeight="false" outlineLevel="0" collapsed="false">
      <c r="B579" s="7" t="s">
        <v>24287</v>
      </c>
      <c r="C579" s="7" t="s">
        <v>23680</v>
      </c>
      <c r="D579" s="7" t="s">
        <v>22802</v>
      </c>
      <c r="E579" s="39" t="n">
        <v>45985</v>
      </c>
      <c r="F579" s="39" t="n">
        <v>46006</v>
      </c>
      <c r="G579" s="41" t="n">
        <v>53.44</v>
      </c>
      <c r="H579" s="39" t="n">
        <v>46008</v>
      </c>
      <c r="I579" s="7" t="s">
        <v>14651</v>
      </c>
      <c r="J579" s="7" t="s">
        <v>22796</v>
      </c>
    </row>
    <row r="580" customFormat="false" ht="15" hidden="false" customHeight="false" outlineLevel="0" collapsed="false">
      <c r="B580" s="7" t="s">
        <v>24288</v>
      </c>
      <c r="C580" s="7" t="s">
        <v>23681</v>
      </c>
      <c r="D580" s="7" t="s">
        <v>22807</v>
      </c>
      <c r="E580" s="39" t="n">
        <v>45963</v>
      </c>
      <c r="F580" s="39" t="n">
        <v>45984</v>
      </c>
      <c r="G580" s="41" t="n">
        <v>42.8</v>
      </c>
      <c r="H580" s="39" t="n">
        <v>45998</v>
      </c>
      <c r="I580" s="7" t="s">
        <v>14651</v>
      </c>
      <c r="J580" s="7" t="s">
        <v>22796</v>
      </c>
    </row>
    <row r="581" customFormat="false" ht="15" hidden="false" customHeight="false" outlineLevel="0" collapsed="false">
      <c r="B581" s="7" t="s">
        <v>24289</v>
      </c>
      <c r="C581" s="7" t="s">
        <v>23681</v>
      </c>
      <c r="D581" s="7" t="s">
        <v>22807</v>
      </c>
      <c r="E581" s="39" t="n">
        <v>45974</v>
      </c>
      <c r="F581" s="39" t="n">
        <v>45995</v>
      </c>
      <c r="G581" s="41" t="n">
        <v>17.6</v>
      </c>
      <c r="H581" s="39" t="n">
        <v>45993</v>
      </c>
      <c r="I581" s="7" t="s">
        <v>14651</v>
      </c>
      <c r="J581" s="7" t="s">
        <v>22796</v>
      </c>
    </row>
    <row r="582" customFormat="false" ht="15" hidden="false" customHeight="false" outlineLevel="0" collapsed="false">
      <c r="B582" s="7" t="s">
        <v>24290</v>
      </c>
      <c r="C582" s="7" t="s">
        <v>23681</v>
      </c>
      <c r="D582" s="7" t="s">
        <v>22807</v>
      </c>
      <c r="E582" s="39" t="n">
        <v>45984</v>
      </c>
      <c r="F582" s="39" t="n">
        <v>46005</v>
      </c>
      <c r="G582" s="41" t="n">
        <v>11.25</v>
      </c>
      <c r="H582" s="39" t="n">
        <v>46004</v>
      </c>
      <c r="I582" s="7" t="s">
        <v>14651</v>
      </c>
      <c r="J582" s="7" t="s">
        <v>22796</v>
      </c>
    </row>
    <row r="583" customFormat="false" ht="15" hidden="false" customHeight="false" outlineLevel="0" collapsed="false">
      <c r="B583" s="7" t="s">
        <v>24291</v>
      </c>
      <c r="C583" s="7" t="s">
        <v>23681</v>
      </c>
      <c r="D583" s="7" t="s">
        <v>22807</v>
      </c>
      <c r="E583" s="39" t="n">
        <v>45985</v>
      </c>
      <c r="F583" s="39" t="n">
        <v>46006</v>
      </c>
      <c r="G583" s="41" t="n">
        <v>28.5</v>
      </c>
      <c r="H583" s="39" t="n">
        <v>46002</v>
      </c>
      <c r="I583" s="7" t="s">
        <v>14651</v>
      </c>
      <c r="J583" s="7" t="s">
        <v>22796</v>
      </c>
    </row>
    <row r="584" customFormat="false" ht="15" hidden="false" customHeight="false" outlineLevel="0" collapsed="false">
      <c r="B584" s="7" t="s">
        <v>24292</v>
      </c>
      <c r="C584" s="7" t="s">
        <v>23682</v>
      </c>
      <c r="D584" s="7" t="s">
        <v>22825</v>
      </c>
      <c r="E584" s="39" t="n">
        <v>45962</v>
      </c>
      <c r="F584" s="39" t="n">
        <v>45962</v>
      </c>
      <c r="G584" s="41" t="n">
        <v>627.48</v>
      </c>
      <c r="H584" s="39" t="n">
        <v>45962</v>
      </c>
      <c r="I584" s="7" t="s">
        <v>14651</v>
      </c>
      <c r="J584" s="7" t="s">
        <v>22796</v>
      </c>
    </row>
    <row r="585" customFormat="false" ht="15" hidden="false" customHeight="false" outlineLevel="0" collapsed="false">
      <c r="B585" s="7" t="s">
        <v>24293</v>
      </c>
      <c r="C585" s="7" t="s">
        <v>23684</v>
      </c>
      <c r="D585" s="7" t="s">
        <v>22827</v>
      </c>
      <c r="E585" s="39" t="n">
        <v>45962</v>
      </c>
      <c r="F585" s="39" t="n">
        <v>45962</v>
      </c>
      <c r="G585" s="41" t="n">
        <v>125.71</v>
      </c>
      <c r="H585" s="39" t="n">
        <v>45962</v>
      </c>
      <c r="I585" s="7" t="s">
        <v>14651</v>
      </c>
      <c r="J585" s="7" t="s">
        <v>22796</v>
      </c>
    </row>
    <row r="586" customFormat="false" ht="15" hidden="false" customHeight="false" outlineLevel="0" collapsed="false">
      <c r="B586" s="7" t="s">
        <v>24294</v>
      </c>
      <c r="C586" s="7" t="s">
        <v>23685</v>
      </c>
      <c r="D586" s="7" t="s">
        <v>22829</v>
      </c>
      <c r="E586" s="39" t="n">
        <v>45962</v>
      </c>
      <c r="F586" s="39" t="n">
        <v>45962</v>
      </c>
      <c r="G586" s="41" t="n">
        <v>83.27</v>
      </c>
      <c r="H586" s="39" t="n">
        <v>45962</v>
      </c>
      <c r="I586" s="7" t="s">
        <v>14651</v>
      </c>
      <c r="J586" s="7" t="s">
        <v>22796</v>
      </c>
    </row>
    <row r="587" customFormat="false" ht="15" hidden="false" customHeight="false" outlineLevel="0" collapsed="false">
      <c r="B587" s="7" t="s">
        <v>24295</v>
      </c>
      <c r="C587" s="7" t="s">
        <v>23686</v>
      </c>
      <c r="D587" s="7" t="s">
        <v>22831</v>
      </c>
      <c r="E587" s="39" t="n">
        <v>45962</v>
      </c>
      <c r="F587" s="39" t="n">
        <v>45962</v>
      </c>
      <c r="G587" s="41" t="n">
        <v>96.82</v>
      </c>
      <c r="H587" s="39" t="n">
        <v>45962</v>
      </c>
      <c r="I587" s="7" t="s">
        <v>14651</v>
      </c>
      <c r="J587" s="7" t="s">
        <v>22796</v>
      </c>
    </row>
    <row r="588" customFormat="false" ht="15" hidden="false" customHeight="false" outlineLevel="0" collapsed="false">
      <c r="B588" s="7" t="s">
        <v>24296</v>
      </c>
      <c r="C588" s="7" t="s">
        <v>23687</v>
      </c>
      <c r="D588" s="7" t="s">
        <v>132</v>
      </c>
      <c r="E588" s="39" t="n">
        <v>45974</v>
      </c>
      <c r="F588" s="39" t="n">
        <v>45974</v>
      </c>
      <c r="G588" s="41" t="n">
        <v>204.91</v>
      </c>
      <c r="H588" s="39" t="n">
        <v>45974</v>
      </c>
      <c r="I588" s="7" t="s">
        <v>14651</v>
      </c>
      <c r="J588" s="7" t="s">
        <v>22813</v>
      </c>
    </row>
    <row r="589" customFormat="false" ht="15" hidden="false" customHeight="false" outlineLevel="0" collapsed="false">
      <c r="B589" s="7" t="s">
        <v>24297</v>
      </c>
      <c r="C589" s="7" t="s">
        <v>23687</v>
      </c>
      <c r="D589" s="7" t="s">
        <v>132</v>
      </c>
      <c r="E589" s="39" t="n">
        <v>45988</v>
      </c>
      <c r="F589" s="39" t="n">
        <v>45988</v>
      </c>
      <c r="G589" s="41" t="n">
        <v>204.9</v>
      </c>
      <c r="H589" s="39" t="n">
        <v>45988</v>
      </c>
      <c r="I589" s="7" t="s">
        <v>14651</v>
      </c>
      <c r="J589" s="7" t="s">
        <v>22813</v>
      </c>
    </row>
    <row r="590" customFormat="false" ht="15" hidden="false" customHeight="false" outlineLevel="0" collapsed="false">
      <c r="B590" s="7" t="s">
        <v>24298</v>
      </c>
      <c r="C590" s="7" t="s">
        <v>23689</v>
      </c>
      <c r="D590" s="7" t="s">
        <v>22837</v>
      </c>
      <c r="E590" s="39" t="n">
        <v>45962</v>
      </c>
      <c r="F590" s="39" t="n">
        <v>45992</v>
      </c>
      <c r="G590" s="41" t="n">
        <v>377.86</v>
      </c>
      <c r="H590" s="39" t="n">
        <v>45965</v>
      </c>
      <c r="I590" s="7" t="s">
        <v>14651</v>
      </c>
      <c r="J590" s="7" t="s">
        <v>22796</v>
      </c>
    </row>
    <row r="591" customFormat="false" ht="15" hidden="false" customHeight="false" outlineLevel="0" collapsed="false">
      <c r="B591" s="7" t="s">
        <v>24299</v>
      </c>
      <c r="C591" s="7" t="s">
        <v>23691</v>
      </c>
      <c r="D591" s="7" t="s">
        <v>22839</v>
      </c>
      <c r="E591" s="39" t="n">
        <v>45962</v>
      </c>
      <c r="F591" s="39" t="n">
        <v>45992</v>
      </c>
      <c r="G591" s="41" t="n">
        <v>149.19</v>
      </c>
      <c r="H591" s="39" t="n">
        <v>45993</v>
      </c>
      <c r="I591" s="7" t="s">
        <v>14651</v>
      </c>
      <c r="J591" s="7" t="s">
        <v>22796</v>
      </c>
    </row>
    <row r="592" customFormat="false" ht="15" hidden="false" customHeight="false" outlineLevel="0" collapsed="false">
      <c r="B592" s="7" t="s">
        <v>24300</v>
      </c>
      <c r="C592" s="7" t="s">
        <v>23692</v>
      </c>
      <c r="D592" s="7" t="s">
        <v>22841</v>
      </c>
      <c r="E592" s="39" t="n">
        <v>45974</v>
      </c>
      <c r="F592" s="39" t="n">
        <v>45989</v>
      </c>
      <c r="G592" s="41" t="n">
        <v>79.32</v>
      </c>
      <c r="H592" s="39" t="n">
        <v>45988</v>
      </c>
      <c r="I592" s="7" t="s">
        <v>14651</v>
      </c>
      <c r="J592" s="7" t="s">
        <v>22796</v>
      </c>
    </row>
    <row r="593" customFormat="false" ht="15" hidden="false" customHeight="false" outlineLevel="0" collapsed="false">
      <c r="B593" s="7" t="s">
        <v>24301</v>
      </c>
      <c r="C593" s="7" t="s">
        <v>23692</v>
      </c>
      <c r="D593" s="7" t="s">
        <v>22841</v>
      </c>
      <c r="E593" s="39" t="n">
        <v>45980</v>
      </c>
      <c r="F593" s="39" t="n">
        <v>45995</v>
      </c>
      <c r="G593" s="41" t="n">
        <v>54.21</v>
      </c>
      <c r="H593" s="39" t="n">
        <v>45994</v>
      </c>
      <c r="I593" s="7" t="s">
        <v>14651</v>
      </c>
      <c r="J593" s="7" t="s">
        <v>22796</v>
      </c>
    </row>
    <row r="594" customFormat="false" ht="15" hidden="false" customHeight="false" outlineLevel="0" collapsed="false">
      <c r="B594" s="7" t="s">
        <v>24302</v>
      </c>
      <c r="C594" s="7" t="s">
        <v>23692</v>
      </c>
      <c r="D594" s="7" t="s">
        <v>22841</v>
      </c>
      <c r="E594" s="39" t="n">
        <v>45989</v>
      </c>
      <c r="F594" s="39" t="n">
        <v>46004</v>
      </c>
      <c r="G594" s="41" t="n">
        <v>116.89</v>
      </c>
      <c r="H594" s="39" t="n">
        <v>45994</v>
      </c>
      <c r="I594" s="7" t="s">
        <v>14651</v>
      </c>
      <c r="J594" s="7" t="s">
        <v>22796</v>
      </c>
    </row>
    <row r="595" customFormat="false" ht="15" hidden="false" customHeight="false" outlineLevel="0" collapsed="false">
      <c r="B595" s="7" t="s">
        <v>24303</v>
      </c>
      <c r="C595" s="7" t="s">
        <v>23694</v>
      </c>
      <c r="D595" s="7" t="s">
        <v>22845</v>
      </c>
      <c r="E595" s="39" t="n">
        <v>45967</v>
      </c>
      <c r="F595" s="39" t="n">
        <v>45967</v>
      </c>
      <c r="G595" s="41" t="n">
        <v>122.23</v>
      </c>
      <c r="H595" s="39" t="n">
        <v>45967</v>
      </c>
      <c r="I595" s="7" t="s">
        <v>14651</v>
      </c>
      <c r="J595" s="7" t="s">
        <v>22796</v>
      </c>
    </row>
    <row r="596" customFormat="false" ht="15" hidden="false" customHeight="false" outlineLevel="0" collapsed="false">
      <c r="B596" s="7" t="s">
        <v>24304</v>
      </c>
      <c r="C596" s="7" t="s">
        <v>23694</v>
      </c>
      <c r="D596" s="7" t="s">
        <v>22845</v>
      </c>
      <c r="E596" s="39" t="n">
        <v>45985</v>
      </c>
      <c r="F596" s="39" t="n">
        <v>45985</v>
      </c>
      <c r="G596" s="41" t="n">
        <v>218.77</v>
      </c>
      <c r="H596" s="39" t="n">
        <v>45985</v>
      </c>
      <c r="I596" s="7" t="s">
        <v>14651</v>
      </c>
      <c r="J596" s="7" t="s">
        <v>22796</v>
      </c>
    </row>
    <row r="597" customFormat="false" ht="15" hidden="false" customHeight="false" outlineLevel="0" collapsed="false">
      <c r="B597" s="7" t="s">
        <v>24305</v>
      </c>
      <c r="C597" s="7" t="s">
        <v>23695</v>
      </c>
      <c r="D597" s="7" t="s">
        <v>22848</v>
      </c>
      <c r="E597" s="39" t="n">
        <v>45968</v>
      </c>
      <c r="F597" s="39" t="n">
        <v>45998</v>
      </c>
      <c r="G597" s="41" t="n">
        <v>54.46</v>
      </c>
      <c r="H597" s="39" t="n">
        <v>45977</v>
      </c>
      <c r="I597" s="7" t="s">
        <v>14651</v>
      </c>
      <c r="J597" s="7" t="s">
        <v>22796</v>
      </c>
    </row>
    <row r="598" customFormat="false" ht="15" hidden="false" customHeight="false" outlineLevel="0" collapsed="false">
      <c r="B598" s="7" t="s">
        <v>24306</v>
      </c>
      <c r="C598" s="7" t="s">
        <v>23695</v>
      </c>
      <c r="D598" s="7" t="s">
        <v>22848</v>
      </c>
      <c r="E598" s="39" t="n">
        <v>45987</v>
      </c>
      <c r="F598" s="39" t="n">
        <v>46017</v>
      </c>
      <c r="G598" s="41" t="n">
        <v>187.7</v>
      </c>
      <c r="H598" s="39" t="n">
        <v>46019</v>
      </c>
      <c r="I598" s="7" t="s">
        <v>14651</v>
      </c>
      <c r="J598" s="7" t="s">
        <v>22796</v>
      </c>
    </row>
    <row r="599" customFormat="false" ht="15" hidden="false" customHeight="false" outlineLevel="0" collapsed="false">
      <c r="B599" s="7" t="s">
        <v>24307</v>
      </c>
      <c r="C599" s="7" t="s">
        <v>23696</v>
      </c>
      <c r="D599" s="7" t="s">
        <v>136</v>
      </c>
      <c r="E599" s="39" t="n">
        <v>45970</v>
      </c>
      <c r="F599" s="39" t="n">
        <v>45985</v>
      </c>
      <c r="G599" s="41" t="n">
        <v>45.19</v>
      </c>
      <c r="H599" s="39" t="n">
        <v>45977</v>
      </c>
      <c r="I599" s="7" t="s">
        <v>14651</v>
      </c>
      <c r="J599" s="7" t="s">
        <v>22796</v>
      </c>
    </row>
    <row r="600" customFormat="false" ht="15" hidden="false" customHeight="false" outlineLevel="0" collapsed="false">
      <c r="B600" s="7" t="s">
        <v>24308</v>
      </c>
      <c r="C600" s="7" t="s">
        <v>23696</v>
      </c>
      <c r="D600" s="7" t="s">
        <v>136</v>
      </c>
      <c r="E600" s="39" t="n">
        <v>45972</v>
      </c>
      <c r="F600" s="39" t="n">
        <v>45987</v>
      </c>
      <c r="G600" s="41" t="n">
        <v>25.51</v>
      </c>
      <c r="H600" s="39" t="n">
        <v>45993</v>
      </c>
      <c r="I600" s="7" t="s">
        <v>14651</v>
      </c>
      <c r="J600" s="7" t="s">
        <v>22796</v>
      </c>
    </row>
    <row r="601" customFormat="false" ht="15" hidden="false" customHeight="false" outlineLevel="0" collapsed="false">
      <c r="B601" s="7" t="s">
        <v>24309</v>
      </c>
      <c r="C601" s="7" t="s">
        <v>23696</v>
      </c>
      <c r="D601" s="7" t="s">
        <v>136</v>
      </c>
      <c r="E601" s="39" t="n">
        <v>45978</v>
      </c>
      <c r="F601" s="39" t="n">
        <v>45993</v>
      </c>
      <c r="G601" s="41" t="n">
        <v>70.79</v>
      </c>
      <c r="H601" s="39" t="n">
        <v>46002</v>
      </c>
      <c r="I601" s="7" t="s">
        <v>14651</v>
      </c>
      <c r="J601" s="7" t="s">
        <v>22796</v>
      </c>
    </row>
    <row r="602" customFormat="false" ht="15" hidden="false" customHeight="false" outlineLevel="0" collapsed="false">
      <c r="B602" s="7" t="s">
        <v>24310</v>
      </c>
      <c r="C602" s="7" t="s">
        <v>23697</v>
      </c>
      <c r="D602" s="7" t="s">
        <v>22855</v>
      </c>
      <c r="E602" s="39" t="n">
        <v>45962</v>
      </c>
      <c r="F602" s="39" t="n">
        <v>45983</v>
      </c>
      <c r="G602" s="41" t="n">
        <v>176.73</v>
      </c>
      <c r="H602" s="39" t="n">
        <v>45983</v>
      </c>
      <c r="I602" s="7" t="s">
        <v>14651</v>
      </c>
      <c r="J602" s="7" t="s">
        <v>22796</v>
      </c>
    </row>
    <row r="603" customFormat="false" ht="15" hidden="false" customHeight="false" outlineLevel="0" collapsed="false">
      <c r="B603" s="7" t="s">
        <v>24311</v>
      </c>
      <c r="C603" s="7" t="s">
        <v>23698</v>
      </c>
      <c r="D603" s="7" t="s">
        <v>22857</v>
      </c>
      <c r="E603" s="39" t="n">
        <v>45962</v>
      </c>
      <c r="F603" s="39" t="n">
        <v>45983</v>
      </c>
      <c r="G603" s="41" t="n">
        <v>514.19</v>
      </c>
      <c r="H603" s="39" t="n">
        <v>45988</v>
      </c>
      <c r="I603" s="7" t="s">
        <v>14651</v>
      </c>
      <c r="J603" s="7" t="s">
        <v>22796</v>
      </c>
    </row>
    <row r="604" customFormat="false" ht="15" hidden="false" customHeight="false" outlineLevel="0" collapsed="false">
      <c r="B604" s="7" t="s">
        <v>24312</v>
      </c>
      <c r="C604" s="7" t="s">
        <v>23699</v>
      </c>
      <c r="D604" s="7" t="s">
        <v>22859</v>
      </c>
      <c r="E604" s="39" t="n">
        <v>45972</v>
      </c>
      <c r="F604" s="39" t="n">
        <v>46002</v>
      </c>
      <c r="G604" s="41" t="n">
        <v>164.83</v>
      </c>
      <c r="H604" s="39" t="n">
        <v>45975</v>
      </c>
      <c r="I604" s="7" t="s">
        <v>14651</v>
      </c>
      <c r="J604" s="7" t="s">
        <v>22796</v>
      </c>
    </row>
    <row r="605" customFormat="false" ht="15" hidden="false" customHeight="false" outlineLevel="0" collapsed="false">
      <c r="B605" s="7" t="s">
        <v>24313</v>
      </c>
      <c r="C605" s="7" t="s">
        <v>23699</v>
      </c>
      <c r="D605" s="7" t="s">
        <v>22859</v>
      </c>
      <c r="E605" s="39" t="n">
        <v>45974</v>
      </c>
      <c r="F605" s="39" t="n">
        <v>46004</v>
      </c>
      <c r="G605" s="41" t="n">
        <v>108.04</v>
      </c>
      <c r="H605" s="39" t="n">
        <v>46003</v>
      </c>
      <c r="I605" s="7" t="s">
        <v>14651</v>
      </c>
      <c r="J605" s="7" t="s">
        <v>22796</v>
      </c>
    </row>
    <row r="606" customFormat="false" ht="15" hidden="false" customHeight="false" outlineLevel="0" collapsed="false">
      <c r="B606" s="7" t="s">
        <v>24314</v>
      </c>
      <c r="C606" s="7" t="s">
        <v>23699</v>
      </c>
      <c r="D606" s="7" t="s">
        <v>22859</v>
      </c>
      <c r="E606" s="39" t="n">
        <v>45986</v>
      </c>
      <c r="F606" s="39" t="n">
        <v>46016</v>
      </c>
      <c r="G606" s="41" t="n">
        <v>181.31</v>
      </c>
      <c r="H606" s="39" t="n">
        <v>46005</v>
      </c>
      <c r="I606" s="7" t="s">
        <v>14651</v>
      </c>
      <c r="J606" s="7" t="s">
        <v>22796</v>
      </c>
    </row>
    <row r="607" customFormat="false" ht="15" hidden="false" customHeight="false" outlineLevel="0" collapsed="false">
      <c r="B607" s="7" t="s">
        <v>24315</v>
      </c>
      <c r="C607" s="7" t="s">
        <v>23700</v>
      </c>
      <c r="D607" s="7" t="s">
        <v>22862</v>
      </c>
      <c r="E607" s="39" t="n">
        <v>45978</v>
      </c>
      <c r="F607" s="39" t="n">
        <v>45978</v>
      </c>
      <c r="G607" s="41" t="n">
        <v>47.79</v>
      </c>
      <c r="H607" s="39" t="n">
        <v>45978</v>
      </c>
      <c r="I607" s="7" t="s">
        <v>14651</v>
      </c>
      <c r="J607" s="7" t="s">
        <v>22796</v>
      </c>
    </row>
    <row r="608" customFormat="false" ht="15" hidden="false" customHeight="false" outlineLevel="0" collapsed="false">
      <c r="B608" s="7" t="s">
        <v>24316</v>
      </c>
      <c r="C608" s="7" t="s">
        <v>23700</v>
      </c>
      <c r="D608" s="7" t="s">
        <v>22862</v>
      </c>
      <c r="E608" s="39" t="n">
        <v>45980</v>
      </c>
      <c r="F608" s="39" t="n">
        <v>45980</v>
      </c>
      <c r="G608" s="41" t="n">
        <v>47.47</v>
      </c>
      <c r="H608" s="39" t="n">
        <v>45980</v>
      </c>
      <c r="I608" s="7" t="s">
        <v>14651</v>
      </c>
      <c r="J608" s="7" t="s">
        <v>22796</v>
      </c>
    </row>
    <row r="609" customFormat="false" ht="15" hidden="false" customHeight="false" outlineLevel="0" collapsed="false">
      <c r="B609" s="7" t="s">
        <v>24317</v>
      </c>
      <c r="C609" s="7" t="s">
        <v>23700</v>
      </c>
      <c r="D609" s="7" t="s">
        <v>22862</v>
      </c>
      <c r="E609" s="39" t="n">
        <v>45985</v>
      </c>
      <c r="F609" s="39" t="n">
        <v>45985</v>
      </c>
      <c r="G609" s="41" t="n">
        <v>59.83</v>
      </c>
      <c r="H609" s="39" t="n">
        <v>45985</v>
      </c>
      <c r="I609" s="7" t="s">
        <v>14651</v>
      </c>
      <c r="J609" s="7" t="s">
        <v>22796</v>
      </c>
    </row>
    <row r="610" customFormat="false" ht="15" hidden="false" customHeight="false" outlineLevel="0" collapsed="false">
      <c r="B610" s="7" t="s">
        <v>24318</v>
      </c>
      <c r="C610" s="7" t="s">
        <v>23702</v>
      </c>
      <c r="D610" s="7" t="s">
        <v>22866</v>
      </c>
      <c r="E610" s="39" t="n">
        <v>45980</v>
      </c>
      <c r="F610" s="39" t="n">
        <v>45995</v>
      </c>
      <c r="G610" s="41" t="n">
        <v>170.78</v>
      </c>
      <c r="H610" s="39" t="n">
        <v>45993</v>
      </c>
      <c r="I610" s="7" t="s">
        <v>14651</v>
      </c>
      <c r="J610" s="7" t="s">
        <v>22796</v>
      </c>
    </row>
    <row r="611" customFormat="false" ht="15" hidden="false" customHeight="false" outlineLevel="0" collapsed="false">
      <c r="B611" s="7" t="s">
        <v>24319</v>
      </c>
      <c r="C611" s="7" t="s">
        <v>23702</v>
      </c>
      <c r="D611" s="7" t="s">
        <v>22866</v>
      </c>
      <c r="E611" s="39" t="n">
        <v>45983</v>
      </c>
      <c r="F611" s="39" t="n">
        <v>45998</v>
      </c>
      <c r="G611" s="41" t="n">
        <v>443.5</v>
      </c>
      <c r="H611" s="39" t="n">
        <v>46000</v>
      </c>
      <c r="I611" s="7" t="s">
        <v>14651</v>
      </c>
      <c r="J611" s="7" t="s">
        <v>22796</v>
      </c>
    </row>
    <row r="612" customFormat="false" ht="15" hidden="false" customHeight="false" outlineLevel="0" collapsed="false">
      <c r="B612" s="7" t="s">
        <v>24320</v>
      </c>
      <c r="C612" s="7" t="s">
        <v>23703</v>
      </c>
      <c r="D612" s="7" t="s">
        <v>22870</v>
      </c>
      <c r="E612" s="39" t="n">
        <v>45965</v>
      </c>
      <c r="F612" s="39" t="n">
        <v>45995</v>
      </c>
      <c r="G612" s="41" t="n">
        <v>112.13</v>
      </c>
      <c r="H612" s="39" t="n">
        <v>45976</v>
      </c>
      <c r="I612" s="7" t="s">
        <v>14651</v>
      </c>
      <c r="J612" s="7" t="s">
        <v>22796</v>
      </c>
    </row>
    <row r="613" customFormat="false" ht="15" hidden="false" customHeight="false" outlineLevel="0" collapsed="false">
      <c r="B613" s="7" t="s">
        <v>24321</v>
      </c>
      <c r="C613" s="7" t="s">
        <v>23703</v>
      </c>
      <c r="D613" s="7" t="s">
        <v>22870</v>
      </c>
      <c r="E613" s="39" t="n">
        <v>45971</v>
      </c>
      <c r="F613" s="39" t="n">
        <v>46001</v>
      </c>
      <c r="G613" s="41" t="n">
        <v>92.66</v>
      </c>
      <c r="H613" s="39" t="n">
        <v>46002</v>
      </c>
      <c r="I613" s="7" t="s">
        <v>14651</v>
      </c>
      <c r="J613" s="7" t="s">
        <v>22796</v>
      </c>
    </row>
    <row r="614" customFormat="false" ht="15" hidden="false" customHeight="false" outlineLevel="0" collapsed="false">
      <c r="B614" s="7" t="s">
        <v>24322</v>
      </c>
      <c r="C614" s="7" t="s">
        <v>23703</v>
      </c>
      <c r="D614" s="7" t="s">
        <v>22870</v>
      </c>
      <c r="E614" s="39" t="n">
        <v>45979</v>
      </c>
      <c r="F614" s="39" t="n">
        <v>46009</v>
      </c>
      <c r="G614" s="41" t="n">
        <v>153.15</v>
      </c>
      <c r="H614" s="39" t="n">
        <v>46009</v>
      </c>
      <c r="I614" s="7" t="s">
        <v>14651</v>
      </c>
      <c r="J614" s="7" t="s">
        <v>22796</v>
      </c>
    </row>
    <row r="615" customFormat="false" ht="15" hidden="false" customHeight="false" outlineLevel="0" collapsed="false">
      <c r="B615" s="7" t="s">
        <v>24323</v>
      </c>
      <c r="C615" s="7" t="s">
        <v>23704</v>
      </c>
      <c r="D615" s="7" t="s">
        <v>22874</v>
      </c>
      <c r="E615" s="39" t="n">
        <v>45962</v>
      </c>
      <c r="F615" s="39" t="n">
        <v>45992</v>
      </c>
      <c r="G615" s="41" t="n">
        <v>404.34</v>
      </c>
      <c r="H615" s="39" t="n">
        <v>45993</v>
      </c>
      <c r="I615" s="7" t="s">
        <v>14651</v>
      </c>
      <c r="J615" s="7" t="s">
        <v>22796</v>
      </c>
    </row>
    <row r="616" customFormat="false" ht="15" hidden="false" customHeight="false" outlineLevel="0" collapsed="false">
      <c r="B616" s="7" t="s">
        <v>24324</v>
      </c>
      <c r="C616" s="7" t="s">
        <v>23705</v>
      </c>
      <c r="D616" s="7" t="s">
        <v>22876</v>
      </c>
      <c r="E616" s="39" t="n">
        <v>45963</v>
      </c>
      <c r="F616" s="39" t="n">
        <v>45993</v>
      </c>
      <c r="G616" s="41" t="n">
        <v>114.5</v>
      </c>
      <c r="H616" s="39" t="n">
        <v>45984</v>
      </c>
      <c r="I616" s="7" t="s">
        <v>14651</v>
      </c>
      <c r="J616" s="7" t="s">
        <v>22796</v>
      </c>
    </row>
    <row r="617" customFormat="false" ht="15" hidden="false" customHeight="false" outlineLevel="0" collapsed="false">
      <c r="B617" s="7" t="s">
        <v>24325</v>
      </c>
      <c r="C617" s="7" t="s">
        <v>23705</v>
      </c>
      <c r="D617" s="7" t="s">
        <v>22876</v>
      </c>
      <c r="E617" s="39" t="n">
        <v>45968</v>
      </c>
      <c r="F617" s="39" t="n">
        <v>45998</v>
      </c>
      <c r="G617" s="41" t="n">
        <v>91.92</v>
      </c>
      <c r="H617" s="39" t="n">
        <v>45996</v>
      </c>
      <c r="I617" s="7" t="s">
        <v>14651</v>
      </c>
      <c r="J617" s="7" t="s">
        <v>22796</v>
      </c>
    </row>
    <row r="618" customFormat="false" ht="15" hidden="false" customHeight="false" outlineLevel="0" collapsed="false">
      <c r="B618" s="7" t="s">
        <v>24326</v>
      </c>
      <c r="C618" s="7" t="s">
        <v>23705</v>
      </c>
      <c r="D618" s="7" t="s">
        <v>22876</v>
      </c>
      <c r="E618" s="39" t="n">
        <v>45972</v>
      </c>
      <c r="F618" s="39" t="n">
        <v>46002</v>
      </c>
      <c r="G618" s="41" t="n">
        <v>79.82</v>
      </c>
      <c r="H618" s="39" t="n">
        <v>45988</v>
      </c>
      <c r="I618" s="7" t="s">
        <v>14651</v>
      </c>
      <c r="J618" s="7" t="s">
        <v>22796</v>
      </c>
    </row>
    <row r="619" customFormat="false" ht="15" hidden="false" customHeight="false" outlineLevel="0" collapsed="false">
      <c r="B619" s="7" t="s">
        <v>24327</v>
      </c>
      <c r="C619" s="7" t="s">
        <v>23705</v>
      </c>
      <c r="D619" s="7" t="s">
        <v>22876</v>
      </c>
      <c r="E619" s="39" t="n">
        <v>45982</v>
      </c>
      <c r="F619" s="39" t="n">
        <v>46012</v>
      </c>
      <c r="G619" s="41" t="n">
        <v>82.31</v>
      </c>
      <c r="H619" s="39" t="n">
        <v>46010</v>
      </c>
      <c r="I619" s="7" t="s">
        <v>14651</v>
      </c>
      <c r="J619" s="7" t="s">
        <v>22796</v>
      </c>
    </row>
    <row r="620" customFormat="false" ht="15" hidden="false" customHeight="false" outlineLevel="0" collapsed="false">
      <c r="B620" s="7" t="s">
        <v>24328</v>
      </c>
      <c r="C620" s="7" t="s">
        <v>23706</v>
      </c>
      <c r="D620" s="7" t="s">
        <v>142</v>
      </c>
      <c r="E620" s="39" t="n">
        <v>45971</v>
      </c>
      <c r="F620" s="39" t="n">
        <v>46001</v>
      </c>
      <c r="G620" s="41" t="n">
        <v>72.07</v>
      </c>
      <c r="H620" s="39" t="n">
        <v>46002</v>
      </c>
      <c r="I620" s="7" t="s">
        <v>14651</v>
      </c>
      <c r="J620" s="7" t="s">
        <v>22796</v>
      </c>
    </row>
    <row r="621" customFormat="false" ht="15" hidden="false" customHeight="false" outlineLevel="0" collapsed="false">
      <c r="B621" s="7" t="s">
        <v>24329</v>
      </c>
      <c r="C621" s="7" t="s">
        <v>23706</v>
      </c>
      <c r="D621" s="7" t="s">
        <v>142</v>
      </c>
      <c r="E621" s="39" t="n">
        <v>45976</v>
      </c>
      <c r="F621" s="39" t="n">
        <v>46006</v>
      </c>
      <c r="G621" s="41" t="n">
        <v>30.28</v>
      </c>
      <c r="H621" s="39" t="n">
        <v>45987</v>
      </c>
      <c r="I621" s="7" t="s">
        <v>14651</v>
      </c>
      <c r="J621" s="7" t="s">
        <v>22796</v>
      </c>
    </row>
    <row r="622" customFormat="false" ht="15" hidden="false" customHeight="false" outlineLevel="0" collapsed="false">
      <c r="B622" s="7" t="s">
        <v>24330</v>
      </c>
      <c r="C622" s="7" t="s">
        <v>23706</v>
      </c>
      <c r="D622" s="7" t="s">
        <v>142</v>
      </c>
      <c r="E622" s="39" t="n">
        <v>45981</v>
      </c>
      <c r="F622" s="39" t="n">
        <v>46011</v>
      </c>
      <c r="G622" s="41" t="n">
        <v>75.71</v>
      </c>
      <c r="H622" s="39" t="n">
        <v>46007</v>
      </c>
      <c r="I622" s="7" t="s">
        <v>14651</v>
      </c>
      <c r="J622" s="7" t="s">
        <v>22796</v>
      </c>
    </row>
    <row r="623" customFormat="false" ht="15" hidden="false" customHeight="false" outlineLevel="0" collapsed="false">
      <c r="B623" s="7" t="s">
        <v>24331</v>
      </c>
      <c r="C623" s="7" t="s">
        <v>23707</v>
      </c>
      <c r="D623" s="7" t="s">
        <v>22882</v>
      </c>
      <c r="E623" s="39" t="n">
        <v>45968</v>
      </c>
      <c r="F623" s="39" t="n">
        <v>45968</v>
      </c>
      <c r="G623" s="41" t="n">
        <v>14.81</v>
      </c>
      <c r="H623" s="39" t="n">
        <v>45968</v>
      </c>
      <c r="I623" s="7" t="s">
        <v>14651</v>
      </c>
      <c r="J623" s="7" t="s">
        <v>22796</v>
      </c>
    </row>
    <row r="624" customFormat="false" ht="15" hidden="false" customHeight="false" outlineLevel="0" collapsed="false">
      <c r="B624" s="7" t="s">
        <v>24332</v>
      </c>
      <c r="C624" s="7" t="s">
        <v>23707</v>
      </c>
      <c r="D624" s="7" t="s">
        <v>22882</v>
      </c>
      <c r="E624" s="39" t="n">
        <v>45990</v>
      </c>
      <c r="F624" s="39" t="n">
        <v>45990</v>
      </c>
      <c r="G624" s="41" t="n">
        <v>32.24</v>
      </c>
      <c r="H624" s="39" t="n">
        <v>45990</v>
      </c>
      <c r="I624" s="7" t="s">
        <v>14651</v>
      </c>
      <c r="J624" s="7" t="s">
        <v>22796</v>
      </c>
    </row>
    <row r="625" customFormat="false" ht="15" hidden="false" customHeight="false" outlineLevel="0" collapsed="false">
      <c r="B625" s="7" t="s">
        <v>24333</v>
      </c>
      <c r="C625" s="7" t="s">
        <v>23708</v>
      </c>
      <c r="D625" s="7" t="s">
        <v>143</v>
      </c>
      <c r="E625" s="39" t="n">
        <v>45982</v>
      </c>
      <c r="F625" s="39" t="n">
        <v>45997</v>
      </c>
      <c r="G625" s="41" t="n">
        <v>62.95</v>
      </c>
      <c r="H625" s="39" t="n">
        <v>45997</v>
      </c>
      <c r="I625" s="7" t="s">
        <v>14651</v>
      </c>
      <c r="J625" s="7" t="s">
        <v>22796</v>
      </c>
    </row>
    <row r="626" customFormat="false" ht="15" hidden="false" customHeight="false" outlineLevel="0" collapsed="false">
      <c r="B626" s="7" t="s">
        <v>24334</v>
      </c>
      <c r="C626" s="7" t="s">
        <v>23708</v>
      </c>
      <c r="D626" s="7" t="s">
        <v>143</v>
      </c>
      <c r="E626" s="39" t="n">
        <v>45989</v>
      </c>
      <c r="F626" s="39" t="n">
        <v>46004</v>
      </c>
      <c r="G626" s="41" t="n">
        <v>138.36</v>
      </c>
      <c r="H626" s="39" t="n">
        <v>45999</v>
      </c>
      <c r="I626" s="7" t="s">
        <v>14651</v>
      </c>
      <c r="J626" s="7" t="s">
        <v>22796</v>
      </c>
    </row>
    <row r="627" customFormat="false" ht="15" hidden="false" customHeight="false" outlineLevel="0" collapsed="false">
      <c r="B627" s="7" t="s">
        <v>24335</v>
      </c>
      <c r="C627" s="7" t="s">
        <v>23676</v>
      </c>
      <c r="D627" s="7" t="s">
        <v>124</v>
      </c>
      <c r="E627" s="39" t="n">
        <v>45992</v>
      </c>
      <c r="F627" s="39" t="n">
        <v>45992</v>
      </c>
      <c r="G627" s="41" t="n">
        <v>2247.68</v>
      </c>
      <c r="H627" s="39" t="n">
        <v>45992</v>
      </c>
      <c r="I627" s="7" t="s">
        <v>14651</v>
      </c>
      <c r="J627" s="7" t="s">
        <v>22796</v>
      </c>
    </row>
    <row r="628" customFormat="false" ht="15" hidden="false" customHeight="false" outlineLevel="0" collapsed="false">
      <c r="B628" s="7" t="s">
        <v>24336</v>
      </c>
      <c r="C628" s="7" t="s">
        <v>23678</v>
      </c>
      <c r="D628" s="7" t="s">
        <v>22798</v>
      </c>
      <c r="E628" s="39" t="n">
        <v>46008</v>
      </c>
      <c r="F628" s="39" t="n">
        <v>46029</v>
      </c>
      <c r="G628" s="41" t="n">
        <v>75.78</v>
      </c>
      <c r="H628" s="39" t="n">
        <v>46016</v>
      </c>
      <c r="I628" s="7" t="s">
        <v>14651</v>
      </c>
      <c r="J628" s="7" t="s">
        <v>22796</v>
      </c>
    </row>
    <row r="629" customFormat="false" ht="15" hidden="false" customHeight="false" outlineLevel="0" collapsed="false">
      <c r="B629" s="7" t="s">
        <v>24337</v>
      </c>
      <c r="C629" s="7" t="s">
        <v>23678</v>
      </c>
      <c r="D629" s="7" t="s">
        <v>22798</v>
      </c>
      <c r="E629" s="39" t="n">
        <v>46015</v>
      </c>
      <c r="F629" s="39" t="n">
        <v>46036</v>
      </c>
      <c r="G629" s="41" t="n">
        <v>127.21</v>
      </c>
      <c r="H629" s="6" t="s">
        <v>182</v>
      </c>
      <c r="I629" s="7" t="s">
        <v>19787</v>
      </c>
      <c r="J629" s="7" t="s">
        <v>22796</v>
      </c>
    </row>
    <row r="630" customFormat="false" ht="15" hidden="false" customHeight="false" outlineLevel="0" collapsed="false">
      <c r="B630" s="7" t="s">
        <v>24338</v>
      </c>
      <c r="C630" s="7" t="s">
        <v>23680</v>
      </c>
      <c r="D630" s="7" t="s">
        <v>22802</v>
      </c>
      <c r="E630" s="39" t="n">
        <v>45996</v>
      </c>
      <c r="F630" s="39" t="n">
        <v>46017</v>
      </c>
      <c r="G630" s="41" t="n">
        <v>25.96</v>
      </c>
      <c r="H630" s="39" t="n">
        <v>46017</v>
      </c>
      <c r="I630" s="7" t="s">
        <v>14651</v>
      </c>
      <c r="J630" s="7" t="s">
        <v>22796</v>
      </c>
    </row>
    <row r="631" customFormat="false" ht="15" hidden="false" customHeight="false" outlineLevel="0" collapsed="false">
      <c r="B631" s="7" t="s">
        <v>24339</v>
      </c>
      <c r="C631" s="7" t="s">
        <v>23680</v>
      </c>
      <c r="D631" s="7" t="s">
        <v>22802</v>
      </c>
      <c r="E631" s="39" t="n">
        <v>46014</v>
      </c>
      <c r="F631" s="39" t="n">
        <v>46035</v>
      </c>
      <c r="G631" s="41" t="n">
        <v>17.67</v>
      </c>
      <c r="H631" s="6" t="s">
        <v>182</v>
      </c>
      <c r="I631" s="7" t="s">
        <v>19787</v>
      </c>
      <c r="J631" s="7" t="s">
        <v>22796</v>
      </c>
    </row>
    <row r="632" customFormat="false" ht="15" hidden="false" customHeight="false" outlineLevel="0" collapsed="false">
      <c r="B632" s="7" t="s">
        <v>24340</v>
      </c>
      <c r="C632" s="7" t="s">
        <v>23680</v>
      </c>
      <c r="D632" s="7" t="s">
        <v>22802</v>
      </c>
      <c r="E632" s="39" t="n">
        <v>46018</v>
      </c>
      <c r="F632" s="39" t="n">
        <v>46039</v>
      </c>
      <c r="G632" s="41" t="n">
        <v>21.63</v>
      </c>
      <c r="H632" s="6" t="s">
        <v>182</v>
      </c>
      <c r="I632" s="7" t="s">
        <v>19787</v>
      </c>
      <c r="J632" s="7" t="s">
        <v>22796</v>
      </c>
    </row>
    <row r="633" customFormat="false" ht="15" hidden="false" customHeight="false" outlineLevel="0" collapsed="false">
      <c r="B633" s="7" t="s">
        <v>24341</v>
      </c>
      <c r="C633" s="7" t="s">
        <v>23681</v>
      </c>
      <c r="D633" s="7" t="s">
        <v>22807</v>
      </c>
      <c r="E633" s="39" t="n">
        <v>45995</v>
      </c>
      <c r="F633" s="39" t="n">
        <v>46016</v>
      </c>
      <c r="G633" s="41" t="n">
        <v>28.76</v>
      </c>
      <c r="H633" s="39" t="n">
        <v>46022</v>
      </c>
      <c r="I633" s="7" t="s">
        <v>14651</v>
      </c>
      <c r="J633" s="7" t="s">
        <v>22796</v>
      </c>
    </row>
    <row r="634" customFormat="false" ht="15" hidden="false" customHeight="false" outlineLevel="0" collapsed="false">
      <c r="B634" s="7" t="s">
        <v>24342</v>
      </c>
      <c r="C634" s="7" t="s">
        <v>23681</v>
      </c>
      <c r="D634" s="7" t="s">
        <v>22807</v>
      </c>
      <c r="E634" s="39" t="n">
        <v>46000</v>
      </c>
      <c r="F634" s="39" t="n">
        <v>46021</v>
      </c>
      <c r="G634" s="41" t="n">
        <v>24.93</v>
      </c>
      <c r="H634" s="39" t="n">
        <v>46022</v>
      </c>
      <c r="I634" s="7" t="s">
        <v>14651</v>
      </c>
      <c r="J634" s="7" t="s">
        <v>22796</v>
      </c>
    </row>
    <row r="635" customFormat="false" ht="15" hidden="false" customHeight="false" outlineLevel="0" collapsed="false">
      <c r="B635" s="7" t="s">
        <v>24343</v>
      </c>
      <c r="C635" s="7" t="s">
        <v>23681</v>
      </c>
      <c r="D635" s="7" t="s">
        <v>22807</v>
      </c>
      <c r="E635" s="39" t="n">
        <v>46013</v>
      </c>
      <c r="F635" s="39" t="n">
        <v>46034</v>
      </c>
      <c r="G635" s="41" t="n">
        <v>11.43</v>
      </c>
      <c r="H635" s="6" t="s">
        <v>182</v>
      </c>
      <c r="I635" s="7" t="s">
        <v>19787</v>
      </c>
      <c r="J635" s="7" t="s">
        <v>22796</v>
      </c>
    </row>
    <row r="636" customFormat="false" ht="15" hidden="false" customHeight="false" outlineLevel="0" collapsed="false">
      <c r="B636" s="7" t="s">
        <v>24344</v>
      </c>
      <c r="C636" s="7" t="s">
        <v>23681</v>
      </c>
      <c r="D636" s="7" t="s">
        <v>22807</v>
      </c>
      <c r="E636" s="39" t="n">
        <v>46019</v>
      </c>
      <c r="F636" s="39" t="n">
        <v>46040</v>
      </c>
      <c r="G636" s="41" t="n">
        <v>24.93</v>
      </c>
      <c r="H636" s="6" t="s">
        <v>182</v>
      </c>
      <c r="I636" s="7" t="s">
        <v>19787</v>
      </c>
      <c r="J636" s="7" t="s">
        <v>22796</v>
      </c>
    </row>
    <row r="637" customFormat="false" ht="15" hidden="false" customHeight="false" outlineLevel="0" collapsed="false">
      <c r="B637" s="7" t="s">
        <v>24345</v>
      </c>
      <c r="C637" s="7" t="s">
        <v>23682</v>
      </c>
      <c r="D637" s="7" t="s">
        <v>22825</v>
      </c>
      <c r="E637" s="39" t="n">
        <v>45992</v>
      </c>
      <c r="F637" s="39" t="n">
        <v>45992</v>
      </c>
      <c r="G637" s="41" t="n">
        <v>643.26</v>
      </c>
      <c r="H637" s="39" t="n">
        <v>45992</v>
      </c>
      <c r="I637" s="7" t="s">
        <v>14651</v>
      </c>
      <c r="J637" s="7" t="s">
        <v>22796</v>
      </c>
    </row>
    <row r="638" customFormat="false" ht="15" hidden="false" customHeight="false" outlineLevel="0" collapsed="false">
      <c r="B638" s="7" t="s">
        <v>24346</v>
      </c>
      <c r="C638" s="7" t="s">
        <v>23684</v>
      </c>
      <c r="D638" s="7" t="s">
        <v>22827</v>
      </c>
      <c r="E638" s="39" t="n">
        <v>45992</v>
      </c>
      <c r="F638" s="39" t="n">
        <v>45992</v>
      </c>
      <c r="G638" s="41" t="n">
        <v>126.09</v>
      </c>
      <c r="H638" s="39" t="n">
        <v>45992</v>
      </c>
      <c r="I638" s="7" t="s">
        <v>14651</v>
      </c>
      <c r="J638" s="7" t="s">
        <v>22796</v>
      </c>
    </row>
    <row r="639" customFormat="false" ht="15" hidden="false" customHeight="false" outlineLevel="0" collapsed="false">
      <c r="B639" s="7" t="s">
        <v>24347</v>
      </c>
      <c r="C639" s="7" t="s">
        <v>23685</v>
      </c>
      <c r="D639" s="7" t="s">
        <v>22829</v>
      </c>
      <c r="E639" s="39" t="n">
        <v>45992</v>
      </c>
      <c r="F639" s="39" t="n">
        <v>45992</v>
      </c>
      <c r="G639" s="41" t="n">
        <v>90.5</v>
      </c>
      <c r="H639" s="39" t="n">
        <v>45992</v>
      </c>
      <c r="I639" s="7" t="s">
        <v>14651</v>
      </c>
      <c r="J639" s="7" t="s">
        <v>22796</v>
      </c>
    </row>
    <row r="640" customFormat="false" ht="15" hidden="false" customHeight="false" outlineLevel="0" collapsed="false">
      <c r="B640" s="7" t="s">
        <v>24348</v>
      </c>
      <c r="C640" s="7" t="s">
        <v>23686</v>
      </c>
      <c r="D640" s="7" t="s">
        <v>22831</v>
      </c>
      <c r="E640" s="39" t="n">
        <v>45992</v>
      </c>
      <c r="F640" s="39" t="n">
        <v>45992</v>
      </c>
      <c r="G640" s="41" t="n">
        <v>91.75</v>
      </c>
      <c r="H640" s="39" t="n">
        <v>45992</v>
      </c>
      <c r="I640" s="7" t="s">
        <v>14651</v>
      </c>
      <c r="J640" s="7" t="s">
        <v>22796</v>
      </c>
    </row>
    <row r="641" customFormat="false" ht="15" hidden="false" customHeight="false" outlineLevel="0" collapsed="false">
      <c r="B641" s="7" t="s">
        <v>24349</v>
      </c>
      <c r="C641" s="7" t="s">
        <v>23687</v>
      </c>
      <c r="D641" s="7" t="s">
        <v>132</v>
      </c>
      <c r="E641" s="39" t="n">
        <v>46002</v>
      </c>
      <c r="F641" s="39" t="n">
        <v>46002</v>
      </c>
      <c r="G641" s="41" t="n">
        <v>198.78</v>
      </c>
      <c r="H641" s="39" t="n">
        <v>46002</v>
      </c>
      <c r="I641" s="7" t="s">
        <v>14651</v>
      </c>
      <c r="J641" s="7" t="s">
        <v>22813</v>
      </c>
    </row>
    <row r="642" customFormat="false" ht="15" hidden="false" customHeight="false" outlineLevel="0" collapsed="false">
      <c r="B642" s="7" t="s">
        <v>24350</v>
      </c>
      <c r="C642" s="7" t="s">
        <v>23687</v>
      </c>
      <c r="D642" s="7" t="s">
        <v>132</v>
      </c>
      <c r="E642" s="39" t="n">
        <v>46016</v>
      </c>
      <c r="F642" s="39" t="n">
        <v>46016</v>
      </c>
      <c r="G642" s="41" t="n">
        <v>198.78</v>
      </c>
      <c r="H642" s="39" t="n">
        <v>46016</v>
      </c>
      <c r="I642" s="7" t="s">
        <v>14651</v>
      </c>
      <c r="J642" s="7" t="s">
        <v>22813</v>
      </c>
    </row>
    <row r="643" customFormat="false" ht="15" hidden="false" customHeight="false" outlineLevel="0" collapsed="false">
      <c r="B643" s="7" t="s">
        <v>24351</v>
      </c>
      <c r="C643" s="7" t="s">
        <v>23689</v>
      </c>
      <c r="D643" s="7" t="s">
        <v>22837</v>
      </c>
      <c r="E643" s="39" t="n">
        <v>45992</v>
      </c>
      <c r="F643" s="39" t="n">
        <v>46022</v>
      </c>
      <c r="G643" s="41" t="n">
        <v>406.78</v>
      </c>
      <c r="H643" s="6" t="s">
        <v>182</v>
      </c>
      <c r="I643" s="7" t="s">
        <v>19787</v>
      </c>
      <c r="J643" s="7" t="s">
        <v>22796</v>
      </c>
    </row>
    <row r="644" customFormat="false" ht="15" hidden="false" customHeight="false" outlineLevel="0" collapsed="false">
      <c r="B644" s="7" t="s">
        <v>24352</v>
      </c>
      <c r="C644" s="7" t="s">
        <v>23691</v>
      </c>
      <c r="D644" s="7" t="s">
        <v>22839</v>
      </c>
      <c r="E644" s="39" t="n">
        <v>45992</v>
      </c>
      <c r="F644" s="39" t="n">
        <v>46022</v>
      </c>
      <c r="G644" s="41" t="n">
        <v>146.36</v>
      </c>
      <c r="H644" s="6" t="s">
        <v>182</v>
      </c>
      <c r="I644" s="7" t="s">
        <v>19787</v>
      </c>
      <c r="J644" s="7" t="s">
        <v>22796</v>
      </c>
    </row>
    <row r="645" customFormat="false" ht="15" hidden="false" customHeight="false" outlineLevel="0" collapsed="false">
      <c r="B645" s="7" t="s">
        <v>24353</v>
      </c>
      <c r="C645" s="7" t="s">
        <v>23692</v>
      </c>
      <c r="D645" s="7" t="s">
        <v>22841</v>
      </c>
      <c r="E645" s="39" t="n">
        <v>45996</v>
      </c>
      <c r="F645" s="39" t="n">
        <v>46011</v>
      </c>
      <c r="G645" s="41" t="n">
        <v>130.44</v>
      </c>
      <c r="H645" s="39" t="n">
        <v>46009</v>
      </c>
      <c r="I645" s="7" t="s">
        <v>14651</v>
      </c>
      <c r="J645" s="7" t="s">
        <v>22796</v>
      </c>
    </row>
    <row r="646" customFormat="false" ht="15" hidden="false" customHeight="false" outlineLevel="0" collapsed="false">
      <c r="B646" s="7" t="s">
        <v>24354</v>
      </c>
      <c r="C646" s="7" t="s">
        <v>23692</v>
      </c>
      <c r="D646" s="7" t="s">
        <v>22841</v>
      </c>
      <c r="E646" s="39" t="n">
        <v>46002</v>
      </c>
      <c r="F646" s="39" t="n">
        <v>46017</v>
      </c>
      <c r="G646" s="41" t="n">
        <v>66.58</v>
      </c>
      <c r="H646" s="39" t="n">
        <v>46015</v>
      </c>
      <c r="I646" s="7" t="s">
        <v>14651</v>
      </c>
      <c r="J646" s="7" t="s">
        <v>22796</v>
      </c>
    </row>
    <row r="647" customFormat="false" ht="15" hidden="false" customHeight="false" outlineLevel="0" collapsed="false">
      <c r="B647" s="7" t="s">
        <v>24355</v>
      </c>
      <c r="C647" s="7" t="s">
        <v>23692</v>
      </c>
      <c r="D647" s="7" t="s">
        <v>22841</v>
      </c>
      <c r="E647" s="39" t="n">
        <v>46005</v>
      </c>
      <c r="F647" s="39" t="n">
        <v>46020</v>
      </c>
      <c r="G647" s="41" t="n">
        <v>19.14</v>
      </c>
      <c r="H647" s="39" t="n">
        <v>46022</v>
      </c>
      <c r="I647" s="7" t="s">
        <v>14651</v>
      </c>
      <c r="J647" s="7" t="s">
        <v>22796</v>
      </c>
    </row>
    <row r="648" customFormat="false" ht="15" hidden="false" customHeight="false" outlineLevel="0" collapsed="false">
      <c r="B648" s="7" t="s">
        <v>24356</v>
      </c>
      <c r="C648" s="7" t="s">
        <v>23692</v>
      </c>
      <c r="D648" s="7" t="s">
        <v>22841</v>
      </c>
      <c r="E648" s="39" t="n">
        <v>46008</v>
      </c>
      <c r="F648" s="39" t="n">
        <v>46023</v>
      </c>
      <c r="G648" s="41" t="n">
        <v>49.18</v>
      </c>
      <c r="H648" s="6" t="s">
        <v>182</v>
      </c>
      <c r="I648" s="7" t="s">
        <v>19787</v>
      </c>
      <c r="J648" s="7" t="s">
        <v>22796</v>
      </c>
    </row>
    <row r="649" customFormat="false" ht="15" hidden="false" customHeight="false" outlineLevel="0" collapsed="false">
      <c r="B649" s="7" t="s">
        <v>24357</v>
      </c>
      <c r="C649" s="7" t="s">
        <v>23694</v>
      </c>
      <c r="D649" s="7" t="s">
        <v>22845</v>
      </c>
      <c r="E649" s="39" t="n">
        <v>45993</v>
      </c>
      <c r="F649" s="39" t="n">
        <v>45993</v>
      </c>
      <c r="G649" s="41" t="n">
        <v>71.88</v>
      </c>
      <c r="H649" s="39" t="n">
        <v>45993</v>
      </c>
      <c r="I649" s="7" t="s">
        <v>14651</v>
      </c>
      <c r="J649" s="7" t="s">
        <v>22796</v>
      </c>
    </row>
    <row r="650" customFormat="false" ht="15" hidden="false" customHeight="false" outlineLevel="0" collapsed="false">
      <c r="B650" s="7" t="s">
        <v>24358</v>
      </c>
      <c r="C650" s="7" t="s">
        <v>23694</v>
      </c>
      <c r="D650" s="7" t="s">
        <v>22845</v>
      </c>
      <c r="E650" s="39" t="n">
        <v>45995</v>
      </c>
      <c r="F650" s="39" t="n">
        <v>45995</v>
      </c>
      <c r="G650" s="41" t="n">
        <v>125.41</v>
      </c>
      <c r="H650" s="39" t="n">
        <v>45995</v>
      </c>
      <c r="I650" s="7" t="s">
        <v>14651</v>
      </c>
      <c r="J650" s="7" t="s">
        <v>22796</v>
      </c>
    </row>
    <row r="651" customFormat="false" ht="15" hidden="false" customHeight="false" outlineLevel="0" collapsed="false">
      <c r="B651" s="7" t="s">
        <v>24359</v>
      </c>
      <c r="C651" s="7" t="s">
        <v>23694</v>
      </c>
      <c r="D651" s="7" t="s">
        <v>22845</v>
      </c>
      <c r="E651" s="39" t="n">
        <v>46011</v>
      </c>
      <c r="F651" s="39" t="n">
        <v>46011</v>
      </c>
      <c r="G651" s="41" t="n">
        <v>137.51</v>
      </c>
      <c r="H651" s="39" t="n">
        <v>46011</v>
      </c>
      <c r="I651" s="7" t="s">
        <v>14651</v>
      </c>
      <c r="J651" s="7" t="s">
        <v>22796</v>
      </c>
    </row>
    <row r="652" customFormat="false" ht="15" hidden="false" customHeight="false" outlineLevel="0" collapsed="false">
      <c r="B652" s="7" t="s">
        <v>24360</v>
      </c>
      <c r="C652" s="7" t="s">
        <v>23695</v>
      </c>
      <c r="D652" s="7" t="s">
        <v>22848</v>
      </c>
      <c r="E652" s="39" t="n">
        <v>45999</v>
      </c>
      <c r="F652" s="39" t="n">
        <v>46029</v>
      </c>
      <c r="G652" s="41" t="n">
        <v>104.82</v>
      </c>
      <c r="H652" s="6" t="s">
        <v>182</v>
      </c>
      <c r="I652" s="7" t="s">
        <v>19787</v>
      </c>
      <c r="J652" s="7" t="s">
        <v>22796</v>
      </c>
    </row>
    <row r="653" customFormat="false" ht="15" hidden="false" customHeight="false" outlineLevel="0" collapsed="false">
      <c r="B653" s="7" t="s">
        <v>24361</v>
      </c>
      <c r="C653" s="7" t="s">
        <v>23695</v>
      </c>
      <c r="D653" s="7" t="s">
        <v>22848</v>
      </c>
      <c r="E653" s="39" t="n">
        <v>46014</v>
      </c>
      <c r="F653" s="39" t="n">
        <v>46044</v>
      </c>
      <c r="G653" s="41" t="n">
        <v>40.55</v>
      </c>
      <c r="H653" s="6" t="s">
        <v>182</v>
      </c>
      <c r="I653" s="7" t="s">
        <v>19787</v>
      </c>
      <c r="J653" s="7" t="s">
        <v>22796</v>
      </c>
    </row>
    <row r="654" customFormat="false" ht="15" hidden="false" customHeight="false" outlineLevel="0" collapsed="false">
      <c r="B654" s="7" t="s">
        <v>24362</v>
      </c>
      <c r="C654" s="7" t="s">
        <v>23695</v>
      </c>
      <c r="D654" s="7" t="s">
        <v>22848</v>
      </c>
      <c r="E654" s="39" t="n">
        <v>46016</v>
      </c>
      <c r="F654" s="39" t="n">
        <v>46046</v>
      </c>
      <c r="G654" s="41" t="n">
        <v>121.09</v>
      </c>
      <c r="H654" s="6" t="s">
        <v>182</v>
      </c>
      <c r="I654" s="7" t="s">
        <v>19787</v>
      </c>
      <c r="J654" s="7" t="s">
        <v>22796</v>
      </c>
    </row>
    <row r="655" customFormat="false" ht="15" hidden="false" customHeight="false" outlineLevel="0" collapsed="false">
      <c r="B655" s="7" t="s">
        <v>24363</v>
      </c>
      <c r="C655" s="7" t="s">
        <v>23696</v>
      </c>
      <c r="D655" s="7" t="s">
        <v>136</v>
      </c>
      <c r="E655" s="39" t="n">
        <v>45999</v>
      </c>
      <c r="F655" s="39" t="n">
        <v>46014</v>
      </c>
      <c r="G655" s="41" t="n">
        <v>35.74</v>
      </c>
      <c r="H655" s="39" t="n">
        <v>46016</v>
      </c>
      <c r="I655" s="7" t="s">
        <v>14651</v>
      </c>
      <c r="J655" s="7" t="s">
        <v>22796</v>
      </c>
    </row>
    <row r="656" customFormat="false" ht="15" hidden="false" customHeight="false" outlineLevel="0" collapsed="false">
      <c r="B656" s="7" t="s">
        <v>24364</v>
      </c>
      <c r="C656" s="7" t="s">
        <v>23696</v>
      </c>
      <c r="D656" s="7" t="s">
        <v>136</v>
      </c>
      <c r="E656" s="39" t="n">
        <v>46017</v>
      </c>
      <c r="F656" s="39" t="n">
        <v>46032</v>
      </c>
      <c r="G656" s="41" t="n">
        <v>105.65</v>
      </c>
      <c r="H656" s="6" t="s">
        <v>182</v>
      </c>
      <c r="I656" s="7" t="s">
        <v>19787</v>
      </c>
      <c r="J656" s="7" t="s">
        <v>22796</v>
      </c>
    </row>
    <row r="657" customFormat="false" ht="15" hidden="false" customHeight="false" outlineLevel="0" collapsed="false">
      <c r="B657" s="7" t="s">
        <v>24365</v>
      </c>
      <c r="C657" s="7" t="s">
        <v>23697</v>
      </c>
      <c r="D657" s="7" t="s">
        <v>22855</v>
      </c>
      <c r="E657" s="39" t="n">
        <v>45992</v>
      </c>
      <c r="F657" s="39" t="n">
        <v>46013</v>
      </c>
      <c r="G657" s="41" t="n">
        <v>157.22</v>
      </c>
      <c r="H657" s="6" t="s">
        <v>182</v>
      </c>
      <c r="I657" s="7" t="s">
        <v>19787</v>
      </c>
      <c r="J657" s="7" t="s">
        <v>22796</v>
      </c>
    </row>
    <row r="658" customFormat="false" ht="15" hidden="false" customHeight="false" outlineLevel="0" collapsed="false">
      <c r="B658" s="7" t="s">
        <v>24366</v>
      </c>
      <c r="C658" s="7" t="s">
        <v>23698</v>
      </c>
      <c r="D658" s="7" t="s">
        <v>22857</v>
      </c>
      <c r="E658" s="39" t="n">
        <v>45992</v>
      </c>
      <c r="F658" s="39" t="n">
        <v>46013</v>
      </c>
      <c r="G658" s="41" t="n">
        <v>483.36</v>
      </c>
      <c r="H658" s="39" t="n">
        <v>46015</v>
      </c>
      <c r="I658" s="7" t="s">
        <v>14651</v>
      </c>
      <c r="J658" s="7" t="s">
        <v>22796</v>
      </c>
    </row>
    <row r="659" customFormat="false" ht="15" hidden="false" customHeight="false" outlineLevel="0" collapsed="false">
      <c r="B659" s="7" t="s">
        <v>24367</v>
      </c>
      <c r="C659" s="7" t="s">
        <v>23699</v>
      </c>
      <c r="D659" s="7" t="s">
        <v>22859</v>
      </c>
      <c r="E659" s="39" t="n">
        <v>46003</v>
      </c>
      <c r="F659" s="39" t="n">
        <v>46033</v>
      </c>
      <c r="G659" s="41" t="n">
        <v>148.64</v>
      </c>
      <c r="H659" s="6" t="s">
        <v>182</v>
      </c>
      <c r="I659" s="7" t="s">
        <v>19787</v>
      </c>
      <c r="J659" s="7" t="s">
        <v>22796</v>
      </c>
    </row>
    <row r="660" customFormat="false" ht="15" hidden="false" customHeight="false" outlineLevel="0" collapsed="false">
      <c r="B660" s="7" t="s">
        <v>24368</v>
      </c>
      <c r="C660" s="7" t="s">
        <v>23699</v>
      </c>
      <c r="D660" s="7" t="s">
        <v>22859</v>
      </c>
      <c r="E660" s="39" t="n">
        <v>46007</v>
      </c>
      <c r="F660" s="39" t="n">
        <v>46037</v>
      </c>
      <c r="G660" s="41" t="n">
        <v>159.12</v>
      </c>
      <c r="H660" s="6" t="s">
        <v>182</v>
      </c>
      <c r="I660" s="7" t="s">
        <v>19787</v>
      </c>
      <c r="J660" s="7" t="s">
        <v>22796</v>
      </c>
    </row>
    <row r="661" customFormat="false" ht="15" hidden="false" customHeight="false" outlineLevel="0" collapsed="false">
      <c r="B661" s="7" t="s">
        <v>24369</v>
      </c>
      <c r="C661" s="7" t="s">
        <v>23699</v>
      </c>
      <c r="D661" s="7" t="s">
        <v>22859</v>
      </c>
      <c r="E661" s="39" t="n">
        <v>46012</v>
      </c>
      <c r="F661" s="39" t="n">
        <v>46042</v>
      </c>
      <c r="G661" s="41" t="n">
        <v>40.31</v>
      </c>
      <c r="H661" s="6" t="s">
        <v>182</v>
      </c>
      <c r="I661" s="7" t="s">
        <v>19787</v>
      </c>
      <c r="J661" s="7" t="s">
        <v>22796</v>
      </c>
    </row>
    <row r="662" customFormat="false" ht="15" hidden="false" customHeight="false" outlineLevel="0" collapsed="false">
      <c r="B662" s="7" t="s">
        <v>24370</v>
      </c>
      <c r="C662" s="7" t="s">
        <v>23699</v>
      </c>
      <c r="D662" s="7" t="s">
        <v>22859</v>
      </c>
      <c r="E662" s="39" t="n">
        <v>46015</v>
      </c>
      <c r="F662" s="39" t="n">
        <v>46045</v>
      </c>
      <c r="G662" s="41" t="n">
        <v>130.38</v>
      </c>
      <c r="H662" s="6" t="s">
        <v>182</v>
      </c>
      <c r="I662" s="7" t="s">
        <v>19787</v>
      </c>
      <c r="J662" s="7" t="s">
        <v>22796</v>
      </c>
    </row>
    <row r="663" customFormat="false" ht="15" hidden="false" customHeight="false" outlineLevel="0" collapsed="false">
      <c r="B663" s="7" t="s">
        <v>24371</v>
      </c>
      <c r="C663" s="7" t="s">
        <v>23700</v>
      </c>
      <c r="D663" s="7" t="s">
        <v>22862</v>
      </c>
      <c r="E663" s="39" t="n">
        <v>45992</v>
      </c>
      <c r="F663" s="39" t="n">
        <v>45992</v>
      </c>
      <c r="G663" s="41" t="n">
        <v>54.97</v>
      </c>
      <c r="H663" s="39" t="n">
        <v>45992</v>
      </c>
      <c r="I663" s="7" t="s">
        <v>14651</v>
      </c>
      <c r="J663" s="7" t="s">
        <v>22796</v>
      </c>
    </row>
    <row r="664" customFormat="false" ht="15" hidden="false" customHeight="false" outlineLevel="0" collapsed="false">
      <c r="B664" s="7" t="s">
        <v>24372</v>
      </c>
      <c r="C664" s="7" t="s">
        <v>23700</v>
      </c>
      <c r="D664" s="7" t="s">
        <v>22862</v>
      </c>
      <c r="E664" s="39" t="n">
        <v>45996</v>
      </c>
      <c r="F664" s="39" t="n">
        <v>45996</v>
      </c>
      <c r="G664" s="41" t="n">
        <v>41.13</v>
      </c>
      <c r="H664" s="39" t="n">
        <v>45996</v>
      </c>
      <c r="I664" s="7" t="s">
        <v>14651</v>
      </c>
      <c r="J664" s="7" t="s">
        <v>22796</v>
      </c>
    </row>
    <row r="665" customFormat="false" ht="15" hidden="false" customHeight="false" outlineLevel="0" collapsed="false">
      <c r="B665" s="7" t="s">
        <v>24373</v>
      </c>
      <c r="C665" s="7" t="s">
        <v>23700</v>
      </c>
      <c r="D665" s="7" t="s">
        <v>22862</v>
      </c>
      <c r="E665" s="39" t="n">
        <v>46001</v>
      </c>
      <c r="F665" s="39" t="n">
        <v>46001</v>
      </c>
      <c r="G665" s="41" t="n">
        <v>20.76</v>
      </c>
      <c r="H665" s="39" t="n">
        <v>46001</v>
      </c>
      <c r="I665" s="7" t="s">
        <v>14651</v>
      </c>
      <c r="J665" s="7" t="s">
        <v>22796</v>
      </c>
    </row>
    <row r="666" customFormat="false" ht="15" hidden="false" customHeight="false" outlineLevel="0" collapsed="false">
      <c r="B666" s="7" t="s">
        <v>24374</v>
      </c>
      <c r="C666" s="7" t="s">
        <v>23700</v>
      </c>
      <c r="D666" s="7" t="s">
        <v>22862</v>
      </c>
      <c r="E666" s="39" t="n">
        <v>46019</v>
      </c>
      <c r="F666" s="39" t="n">
        <v>46019</v>
      </c>
      <c r="G666" s="41" t="n">
        <v>36.76</v>
      </c>
      <c r="H666" s="39" t="n">
        <v>46019</v>
      </c>
      <c r="I666" s="7" t="s">
        <v>14651</v>
      </c>
      <c r="J666" s="7" t="s">
        <v>22796</v>
      </c>
    </row>
    <row r="667" customFormat="false" ht="15" hidden="false" customHeight="false" outlineLevel="0" collapsed="false">
      <c r="B667" s="7" t="s">
        <v>24375</v>
      </c>
      <c r="C667" s="7" t="s">
        <v>23702</v>
      </c>
      <c r="D667" s="7" t="s">
        <v>22866</v>
      </c>
      <c r="E667" s="39" t="n">
        <v>45997</v>
      </c>
      <c r="F667" s="39" t="n">
        <v>46012</v>
      </c>
      <c r="G667" s="41" t="n">
        <v>192.55</v>
      </c>
      <c r="H667" s="39" t="n">
        <v>46011</v>
      </c>
      <c r="I667" s="7" t="s">
        <v>14651</v>
      </c>
      <c r="J667" s="7" t="s">
        <v>22796</v>
      </c>
    </row>
    <row r="668" customFormat="false" ht="15" hidden="false" customHeight="false" outlineLevel="0" collapsed="false">
      <c r="B668" s="7" t="s">
        <v>24376</v>
      </c>
      <c r="C668" s="7" t="s">
        <v>23702</v>
      </c>
      <c r="D668" s="7" t="s">
        <v>22866</v>
      </c>
      <c r="E668" s="39" t="n">
        <v>46004</v>
      </c>
      <c r="F668" s="39" t="n">
        <v>46019</v>
      </c>
      <c r="G668" s="41" t="n">
        <v>204.7</v>
      </c>
      <c r="H668" s="39" t="n">
        <v>46009</v>
      </c>
      <c r="I668" s="7" t="s">
        <v>14651</v>
      </c>
      <c r="J668" s="7" t="s">
        <v>22796</v>
      </c>
    </row>
    <row r="669" customFormat="false" ht="15" hidden="false" customHeight="false" outlineLevel="0" collapsed="false">
      <c r="B669" s="7" t="s">
        <v>24377</v>
      </c>
      <c r="C669" s="7" t="s">
        <v>23702</v>
      </c>
      <c r="D669" s="7" t="s">
        <v>22866</v>
      </c>
      <c r="E669" s="39" t="n">
        <v>46008</v>
      </c>
      <c r="F669" s="39" t="n">
        <v>46023</v>
      </c>
      <c r="G669" s="41" t="n">
        <v>73.45</v>
      </c>
      <c r="H669" s="39" t="n">
        <v>46016</v>
      </c>
      <c r="I669" s="7" t="s">
        <v>14651</v>
      </c>
      <c r="J669" s="7" t="s">
        <v>22796</v>
      </c>
    </row>
    <row r="670" customFormat="false" ht="15" hidden="false" customHeight="false" outlineLevel="0" collapsed="false">
      <c r="B670" s="7" t="s">
        <v>24378</v>
      </c>
      <c r="C670" s="7" t="s">
        <v>23702</v>
      </c>
      <c r="D670" s="7" t="s">
        <v>22866</v>
      </c>
      <c r="E670" s="39" t="n">
        <v>46010</v>
      </c>
      <c r="F670" s="39" t="n">
        <v>46025</v>
      </c>
      <c r="G670" s="41" t="n">
        <v>170.89</v>
      </c>
      <c r="H670" s="6" t="s">
        <v>182</v>
      </c>
      <c r="I670" s="7" t="s">
        <v>19787</v>
      </c>
      <c r="J670" s="7" t="s">
        <v>22796</v>
      </c>
    </row>
    <row r="671" customFormat="false" ht="15" hidden="false" customHeight="false" outlineLevel="0" collapsed="false">
      <c r="B671" s="7" t="s">
        <v>24379</v>
      </c>
      <c r="C671" s="7" t="s">
        <v>23703</v>
      </c>
      <c r="D671" s="7" t="s">
        <v>22870</v>
      </c>
      <c r="E671" s="39" t="n">
        <v>46013</v>
      </c>
      <c r="F671" s="39" t="n">
        <v>46043</v>
      </c>
      <c r="G671" s="41" t="n">
        <v>167.69</v>
      </c>
      <c r="H671" s="39" t="n">
        <v>46016</v>
      </c>
      <c r="I671" s="7" t="s">
        <v>14651</v>
      </c>
      <c r="J671" s="7" t="s">
        <v>22796</v>
      </c>
    </row>
    <row r="672" customFormat="false" ht="15" hidden="false" customHeight="false" outlineLevel="0" collapsed="false">
      <c r="B672" s="7" t="s">
        <v>24380</v>
      </c>
      <c r="C672" s="7" t="s">
        <v>23703</v>
      </c>
      <c r="D672" s="7" t="s">
        <v>22870</v>
      </c>
      <c r="E672" s="39" t="n">
        <v>46021</v>
      </c>
      <c r="F672" s="39" t="n">
        <v>46051</v>
      </c>
      <c r="G672" s="41" t="n">
        <v>187.8</v>
      </c>
      <c r="H672" s="6" t="s">
        <v>182</v>
      </c>
      <c r="I672" s="7" t="s">
        <v>19787</v>
      </c>
      <c r="J672" s="7" t="s">
        <v>22796</v>
      </c>
    </row>
    <row r="673" customFormat="false" ht="15" hidden="false" customHeight="false" outlineLevel="0" collapsed="false">
      <c r="B673" s="7" t="s">
        <v>24381</v>
      </c>
      <c r="C673" s="7" t="s">
        <v>23704</v>
      </c>
      <c r="D673" s="7" t="s">
        <v>22874</v>
      </c>
      <c r="E673" s="39" t="n">
        <v>45992</v>
      </c>
      <c r="F673" s="39" t="n">
        <v>46022</v>
      </c>
      <c r="G673" s="41" t="n">
        <v>421.68</v>
      </c>
      <c r="H673" s="6" t="s">
        <v>182</v>
      </c>
      <c r="I673" s="7" t="s">
        <v>19787</v>
      </c>
      <c r="J673" s="7" t="s">
        <v>22796</v>
      </c>
    </row>
    <row r="674" customFormat="false" ht="15" hidden="false" customHeight="false" outlineLevel="0" collapsed="false">
      <c r="B674" s="7" t="s">
        <v>24382</v>
      </c>
      <c r="C674" s="7" t="s">
        <v>23705</v>
      </c>
      <c r="D674" s="7" t="s">
        <v>22876</v>
      </c>
      <c r="E674" s="39" t="n">
        <v>46004</v>
      </c>
      <c r="F674" s="39" t="n">
        <v>46034</v>
      </c>
      <c r="G674" s="41" t="n">
        <v>160.69</v>
      </c>
      <c r="H674" s="6" t="s">
        <v>182</v>
      </c>
      <c r="I674" s="7" t="s">
        <v>19787</v>
      </c>
      <c r="J674" s="7" t="s">
        <v>22796</v>
      </c>
    </row>
    <row r="675" customFormat="false" ht="15" hidden="false" customHeight="false" outlineLevel="0" collapsed="false">
      <c r="B675" s="7" t="s">
        <v>24383</v>
      </c>
      <c r="C675" s="7" t="s">
        <v>23705</v>
      </c>
      <c r="D675" s="7" t="s">
        <v>22876</v>
      </c>
      <c r="E675" s="39" t="n">
        <v>46007</v>
      </c>
      <c r="F675" s="39" t="n">
        <v>46037</v>
      </c>
      <c r="G675" s="41" t="n">
        <v>70.51</v>
      </c>
      <c r="H675" s="39" t="n">
        <v>46018</v>
      </c>
      <c r="I675" s="7" t="s">
        <v>14651</v>
      </c>
      <c r="J675" s="7" t="s">
        <v>22796</v>
      </c>
    </row>
    <row r="676" customFormat="false" ht="15" hidden="false" customHeight="false" outlineLevel="0" collapsed="false">
      <c r="B676" s="7" t="s">
        <v>24384</v>
      </c>
      <c r="C676" s="7" t="s">
        <v>23705</v>
      </c>
      <c r="D676" s="7" t="s">
        <v>22876</v>
      </c>
      <c r="E676" s="39" t="n">
        <v>46013</v>
      </c>
      <c r="F676" s="39" t="n">
        <v>46043</v>
      </c>
      <c r="G676" s="41" t="n">
        <v>148.07</v>
      </c>
      <c r="H676" s="6" t="s">
        <v>182</v>
      </c>
      <c r="I676" s="7" t="s">
        <v>19787</v>
      </c>
      <c r="J676" s="7" t="s">
        <v>22796</v>
      </c>
    </row>
    <row r="677" customFormat="false" ht="15" hidden="false" customHeight="false" outlineLevel="0" collapsed="false">
      <c r="B677" s="7" t="s">
        <v>24385</v>
      </c>
      <c r="C677" s="7" t="s">
        <v>23706</v>
      </c>
      <c r="D677" s="7" t="s">
        <v>142</v>
      </c>
      <c r="E677" s="39" t="n">
        <v>45994</v>
      </c>
      <c r="F677" s="39" t="n">
        <v>46024</v>
      </c>
      <c r="G677" s="41" t="n">
        <v>94.79</v>
      </c>
      <c r="H677" s="6" t="s">
        <v>182</v>
      </c>
      <c r="I677" s="7" t="s">
        <v>19787</v>
      </c>
      <c r="J677" s="7" t="s">
        <v>22796</v>
      </c>
    </row>
    <row r="678" customFormat="false" ht="15" hidden="false" customHeight="false" outlineLevel="0" collapsed="false">
      <c r="B678" s="7" t="s">
        <v>24386</v>
      </c>
      <c r="C678" s="7" t="s">
        <v>23706</v>
      </c>
      <c r="D678" s="7" t="s">
        <v>142</v>
      </c>
      <c r="E678" s="39" t="n">
        <v>46002</v>
      </c>
      <c r="F678" s="39" t="n">
        <v>46032</v>
      </c>
      <c r="G678" s="41" t="n">
        <v>34.88</v>
      </c>
      <c r="H678" s="6" t="s">
        <v>182</v>
      </c>
      <c r="I678" s="7" t="s">
        <v>19787</v>
      </c>
      <c r="J678" s="7" t="s">
        <v>22796</v>
      </c>
    </row>
    <row r="679" customFormat="false" ht="15" hidden="false" customHeight="false" outlineLevel="0" collapsed="false">
      <c r="B679" s="7" t="s">
        <v>24387</v>
      </c>
      <c r="C679" s="7" t="s">
        <v>23706</v>
      </c>
      <c r="D679" s="7" t="s">
        <v>142</v>
      </c>
      <c r="E679" s="39" t="n">
        <v>46005</v>
      </c>
      <c r="F679" s="39" t="n">
        <v>46035</v>
      </c>
      <c r="G679" s="41" t="n">
        <v>24.02</v>
      </c>
      <c r="H679" s="6" t="s">
        <v>182</v>
      </c>
      <c r="I679" s="7" t="s">
        <v>19787</v>
      </c>
      <c r="J679" s="7" t="s">
        <v>22796</v>
      </c>
    </row>
    <row r="680" customFormat="false" ht="15" hidden="false" customHeight="false" outlineLevel="0" collapsed="false">
      <c r="B680" s="7" t="s">
        <v>24388</v>
      </c>
      <c r="C680" s="7" t="s">
        <v>23706</v>
      </c>
      <c r="D680" s="7" t="s">
        <v>142</v>
      </c>
      <c r="E680" s="39" t="n">
        <v>46021</v>
      </c>
      <c r="F680" s="39" t="n">
        <v>46051</v>
      </c>
      <c r="G680" s="41" t="n">
        <v>36.57</v>
      </c>
      <c r="H680" s="6" t="s">
        <v>182</v>
      </c>
      <c r="I680" s="7" t="s">
        <v>19787</v>
      </c>
      <c r="J680" s="7" t="s">
        <v>22796</v>
      </c>
    </row>
    <row r="681" customFormat="false" ht="15" hidden="false" customHeight="false" outlineLevel="0" collapsed="false">
      <c r="B681" s="7" t="s">
        <v>24389</v>
      </c>
      <c r="C681" s="7" t="s">
        <v>23707</v>
      </c>
      <c r="D681" s="7" t="s">
        <v>22882</v>
      </c>
      <c r="E681" s="39" t="n">
        <v>46006</v>
      </c>
      <c r="F681" s="39" t="n">
        <v>46006</v>
      </c>
      <c r="G681" s="41" t="n">
        <v>13.08</v>
      </c>
      <c r="H681" s="39" t="n">
        <v>46006</v>
      </c>
      <c r="I681" s="7" t="s">
        <v>14651</v>
      </c>
      <c r="J681" s="7" t="s">
        <v>22796</v>
      </c>
    </row>
    <row r="682" customFormat="false" ht="15" hidden="false" customHeight="false" outlineLevel="0" collapsed="false">
      <c r="B682" s="7" t="s">
        <v>24390</v>
      </c>
      <c r="C682" s="7" t="s">
        <v>23707</v>
      </c>
      <c r="D682" s="7" t="s">
        <v>22882</v>
      </c>
      <c r="E682" s="39" t="n">
        <v>46009</v>
      </c>
      <c r="F682" s="39" t="n">
        <v>46009</v>
      </c>
      <c r="G682" s="41" t="n">
        <v>15.04</v>
      </c>
      <c r="H682" s="39" t="n">
        <v>46009</v>
      </c>
      <c r="I682" s="7" t="s">
        <v>14651</v>
      </c>
      <c r="J682" s="7" t="s">
        <v>22796</v>
      </c>
    </row>
    <row r="683" customFormat="false" ht="15" hidden="false" customHeight="false" outlineLevel="0" collapsed="false">
      <c r="B683" s="7" t="s">
        <v>24391</v>
      </c>
      <c r="C683" s="7" t="s">
        <v>23707</v>
      </c>
      <c r="D683" s="7" t="s">
        <v>22882</v>
      </c>
      <c r="E683" s="39" t="n">
        <v>46010</v>
      </c>
      <c r="F683" s="39" t="n">
        <v>46010</v>
      </c>
      <c r="G683" s="41" t="n">
        <v>5.4</v>
      </c>
      <c r="H683" s="39" t="n">
        <v>46010</v>
      </c>
      <c r="I683" s="7" t="s">
        <v>14651</v>
      </c>
      <c r="J683" s="7" t="s">
        <v>22796</v>
      </c>
    </row>
    <row r="684" customFormat="false" ht="15" hidden="false" customHeight="false" outlineLevel="0" collapsed="false">
      <c r="B684" s="7" t="s">
        <v>24392</v>
      </c>
      <c r="C684" s="7" t="s">
        <v>23707</v>
      </c>
      <c r="D684" s="7" t="s">
        <v>22882</v>
      </c>
      <c r="E684" s="39" t="n">
        <v>46022</v>
      </c>
      <c r="F684" s="39" t="n">
        <v>46022</v>
      </c>
      <c r="G684" s="41" t="n">
        <v>13.88</v>
      </c>
      <c r="H684" s="39" t="n">
        <v>46022</v>
      </c>
      <c r="I684" s="7" t="s">
        <v>14651</v>
      </c>
      <c r="J684" s="7" t="s">
        <v>22796</v>
      </c>
    </row>
    <row r="685" customFormat="false" ht="15" hidden="false" customHeight="false" outlineLevel="0" collapsed="false">
      <c r="B685" s="7" t="s">
        <v>24393</v>
      </c>
      <c r="C685" s="7" t="s">
        <v>23708</v>
      </c>
      <c r="D685" s="7" t="s">
        <v>143</v>
      </c>
      <c r="E685" s="39" t="n">
        <v>46000</v>
      </c>
      <c r="F685" s="39" t="n">
        <v>46015</v>
      </c>
      <c r="G685" s="41" t="n">
        <v>65.34</v>
      </c>
      <c r="H685" s="6" t="s">
        <v>182</v>
      </c>
      <c r="I685" s="7" t="s">
        <v>19787</v>
      </c>
      <c r="J685" s="7" t="s">
        <v>22796</v>
      </c>
    </row>
    <row r="686" customFormat="false" ht="15" hidden="false" customHeight="false" outlineLevel="0" collapsed="false">
      <c r="B686" s="7" t="s">
        <v>24394</v>
      </c>
      <c r="C686" s="7" t="s">
        <v>23708</v>
      </c>
      <c r="D686" s="7" t="s">
        <v>143</v>
      </c>
      <c r="E686" s="39" t="n">
        <v>46022</v>
      </c>
      <c r="F686" s="39" t="n">
        <v>46037</v>
      </c>
      <c r="G686" s="41" t="n">
        <v>139.44</v>
      </c>
      <c r="H686" s="6" t="s">
        <v>182</v>
      </c>
      <c r="I686" s="7" t="s">
        <v>19787</v>
      </c>
      <c r="J686" s="7" t="s">
        <v>22796</v>
      </c>
    </row>
    <row r="688" customFormat="false" ht="15" hidden="false" customHeight="false" outlineLevel="0" collapsed="false">
      <c r="B688" s="36" t="s">
        <v>24395</v>
      </c>
      <c r="G688" s="37" t="n">
        <f aca="false">SUMIF(I6:I686,"Open",G6:G686)</f>
        <v>3297.14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8" min="3" style="0" width="14"/>
  </cols>
  <sheetData>
    <row r="2" customFormat="false" ht="17.35" hidden="false" customHeight="false" outlineLevel="0" collapsed="false">
      <c r="B2" s="1" t="s">
        <v>24396</v>
      </c>
    </row>
    <row r="3" customFormat="false" ht="15" hidden="false" customHeight="false" outlineLevel="0" collapsed="false">
      <c r="B3" s="2" t="s">
        <v>24397</v>
      </c>
    </row>
    <row r="5" customFormat="false" ht="15" hidden="false" customHeight="false" outlineLevel="0" collapsed="false">
      <c r="B5" s="11" t="s">
        <v>23674</v>
      </c>
      <c r="C5" s="11" t="s">
        <v>22779</v>
      </c>
      <c r="D5" s="11" t="s">
        <v>22780</v>
      </c>
      <c r="E5" s="11" t="s">
        <v>22781</v>
      </c>
      <c r="F5" s="11" t="s">
        <v>22782</v>
      </c>
      <c r="G5" s="11" t="s">
        <v>22783</v>
      </c>
      <c r="H5" s="11" t="s">
        <v>22784</v>
      </c>
    </row>
    <row r="6" customFormat="false" ht="15" hidden="false" customHeight="false" outlineLevel="0" collapsed="false">
      <c r="B6" s="13" t="s">
        <v>23706</v>
      </c>
      <c r="C6" s="34" t="n">
        <f aca="false">SUMIFS('Bills Register'!$G$6:$G$686,'Bills Register'!$C$6:$C$686,"CareLearn Training Institute",'Bills Register'!$I$6:$I$686,"Open",'Bills Register'!$F$6:$F$686,"&gt;="&amp;DATE(2025,12,31))</f>
        <v>190.26</v>
      </c>
      <c r="D6" s="34" t="n">
        <f aca="false">SUMIFS('Bills Register'!$G$6:$G$686,'Bills Register'!$C$6:$C$686,"CareLearn Training Institute",'Bills Register'!$I$6:$I$686,"Open",'Bills Register'!$F$6:$F$686,"&lt;="&amp;(DATE(2025,12,31)-1),'Bills Register'!$F$6:$F$686,"&gt;="&amp;(DATE(2025,12,31)-30))</f>
        <v>0</v>
      </c>
      <c r="E6" s="34" t="n">
        <f aca="false">SUMIFS('Bills Register'!$G$6:$G$686,'Bills Register'!$C$6:$C$686,"CareLearn Training Institute",'Bills Register'!$I$6:$I$686,"Open",'Bills Register'!$F$6:$F$686,"&lt;="&amp;(DATE(2025,12,31)-31),'Bills Register'!$F$6:$F$686,"&gt;="&amp;(DATE(2025,12,31)-60))</f>
        <v>0</v>
      </c>
      <c r="F6" s="34" t="n">
        <f aca="false">SUMIFS('Bills Register'!$G$6:$G$686,'Bills Register'!$C$6:$C$686,"CareLearn Training Institute",'Bills Register'!$I$6:$I$686,"Open",'Bills Register'!$F$6:$F$686,"&lt;="&amp;(DATE(2025,12,31)-61),'Bills Register'!$F$6:$F$686,"&gt;="&amp;(DATE(2025,12,31)-90))</f>
        <v>0</v>
      </c>
      <c r="G6" s="34" t="n">
        <f aca="false">SUMIFS('Bills Register'!$G$6:$G$686,'Bills Register'!$C$6:$C$686,"CareLearn Training Institute",'Bills Register'!$I$6:$I$686,"Open",'Bills Register'!$F$6:$F$686,"&lt;="&amp;(DATE(2025,12,31)-91))</f>
        <v>0</v>
      </c>
      <c r="H6" s="35" t="n">
        <f aca="false">SUM(C6:G6)</f>
        <v>190.26</v>
      </c>
    </row>
    <row r="7" customFormat="false" ht="15" hidden="false" customHeight="false" outlineLevel="0" collapsed="false">
      <c r="B7" s="13" t="s">
        <v>23680</v>
      </c>
      <c r="C7" s="34" t="n">
        <f aca="false">SUMIFS('Bills Register'!$G$6:$G$686,'Bills Register'!$C$6:$C$686,"City Water and Sewer Dept",'Bills Register'!$I$6:$I$686,"Open",'Bills Register'!$F$6:$F$686,"&gt;="&amp;DATE(2025,12,31))</f>
        <v>39.3</v>
      </c>
      <c r="D7" s="34" t="n">
        <f aca="false">SUMIFS('Bills Register'!$G$6:$G$686,'Bills Register'!$C$6:$C$686,"City Water and Sewer Dept",'Bills Register'!$I$6:$I$686,"Open",'Bills Register'!$F$6:$F$686,"&lt;="&amp;(DATE(2025,12,31)-1),'Bills Register'!$F$6:$F$686,"&gt;="&amp;(DATE(2025,12,31)-30))</f>
        <v>0</v>
      </c>
      <c r="E7" s="34" t="n">
        <f aca="false">SUMIFS('Bills Register'!$G$6:$G$686,'Bills Register'!$C$6:$C$686,"City Water and Sewer Dept",'Bills Register'!$I$6:$I$686,"Open",'Bills Register'!$F$6:$F$686,"&lt;="&amp;(DATE(2025,12,31)-31),'Bills Register'!$F$6:$F$686,"&gt;="&amp;(DATE(2025,12,31)-60))</f>
        <v>0</v>
      </c>
      <c r="F7" s="34" t="n">
        <f aca="false">SUMIFS('Bills Register'!$G$6:$G$686,'Bills Register'!$C$6:$C$686,"City Water and Sewer Dept",'Bills Register'!$I$6:$I$686,"Open",'Bills Register'!$F$6:$F$686,"&lt;="&amp;(DATE(2025,12,31)-61),'Bills Register'!$F$6:$F$686,"&gt;="&amp;(DATE(2025,12,31)-90))</f>
        <v>0</v>
      </c>
      <c r="G7" s="34" t="n">
        <f aca="false">SUMIFS('Bills Register'!$G$6:$G$686,'Bills Register'!$C$6:$C$686,"City Water and Sewer Dept",'Bills Register'!$I$6:$I$686,"Open",'Bills Register'!$F$6:$F$686,"&lt;="&amp;(DATE(2025,12,31)-91))</f>
        <v>0</v>
      </c>
      <c r="H7" s="35" t="n">
        <f aca="false">SUM(C7:G7)</f>
        <v>39.3</v>
      </c>
    </row>
    <row r="8" customFormat="false" ht="15" hidden="false" customHeight="false" outlineLevel="0" collapsed="false">
      <c r="B8" s="13" t="s">
        <v>23697</v>
      </c>
      <c r="C8" s="34" t="n">
        <f aca="false">SUMIFS('Bills Register'!$G$6:$G$686,'Bills Register'!$C$6:$C$686,"Comcast Business",'Bills Register'!$I$6:$I$686,"Open",'Bills Register'!$F$6:$F$686,"&gt;="&amp;DATE(2025,12,31))</f>
        <v>0</v>
      </c>
      <c r="D8" s="34" t="n">
        <f aca="false">SUMIFS('Bills Register'!$G$6:$G$686,'Bills Register'!$C$6:$C$686,"Comcast Business",'Bills Register'!$I$6:$I$686,"Open",'Bills Register'!$F$6:$F$686,"&lt;="&amp;(DATE(2025,12,31)-1),'Bills Register'!$F$6:$F$686,"&gt;="&amp;(DATE(2025,12,31)-30))</f>
        <v>157.22</v>
      </c>
      <c r="E8" s="34" t="n">
        <f aca="false">SUMIFS('Bills Register'!$G$6:$G$686,'Bills Register'!$C$6:$C$686,"Comcast Business",'Bills Register'!$I$6:$I$686,"Open",'Bills Register'!$F$6:$F$686,"&lt;="&amp;(DATE(2025,12,31)-31),'Bills Register'!$F$6:$F$686,"&gt;="&amp;(DATE(2025,12,31)-60))</f>
        <v>0</v>
      </c>
      <c r="F8" s="34" t="n">
        <f aca="false">SUMIFS('Bills Register'!$G$6:$G$686,'Bills Register'!$C$6:$C$686,"Comcast Business",'Bills Register'!$I$6:$I$686,"Open",'Bills Register'!$F$6:$F$686,"&lt;="&amp;(DATE(2025,12,31)-61),'Bills Register'!$F$6:$F$686,"&gt;="&amp;(DATE(2025,12,31)-90))</f>
        <v>0</v>
      </c>
      <c r="G8" s="34" t="n">
        <f aca="false">SUMIFS('Bills Register'!$G$6:$G$686,'Bills Register'!$C$6:$C$686,"Comcast Business",'Bills Register'!$I$6:$I$686,"Open",'Bills Register'!$F$6:$F$686,"&lt;="&amp;(DATE(2025,12,31)-91))</f>
        <v>0</v>
      </c>
      <c r="H8" s="35" t="n">
        <f aca="false">SUM(C8:G8)</f>
        <v>157.22</v>
      </c>
    </row>
    <row r="9" customFormat="false" ht="15" hidden="false" customHeight="false" outlineLevel="0" collapsed="false">
      <c r="B9" s="13" t="s">
        <v>23702</v>
      </c>
      <c r="C9" s="34" t="n">
        <f aca="false">SUMIFS('Bills Register'!$G$6:$G$686,'Bills Register'!$C$6:$C$686,"Fleet Fuel Card Services",'Bills Register'!$I$6:$I$686,"Open",'Bills Register'!$F$6:$F$686,"&gt;="&amp;DATE(2025,12,31))</f>
        <v>170.89</v>
      </c>
      <c r="D9" s="34" t="n">
        <f aca="false">SUMIFS('Bills Register'!$G$6:$G$686,'Bills Register'!$C$6:$C$686,"Fleet Fuel Card Services",'Bills Register'!$I$6:$I$686,"Open",'Bills Register'!$F$6:$F$686,"&lt;="&amp;(DATE(2025,12,31)-1),'Bills Register'!$F$6:$F$686,"&gt;="&amp;(DATE(2025,12,31)-30))</f>
        <v>0</v>
      </c>
      <c r="E9" s="34" t="n">
        <f aca="false">SUMIFS('Bills Register'!$G$6:$G$686,'Bills Register'!$C$6:$C$686,"Fleet Fuel Card Services",'Bills Register'!$I$6:$I$686,"Open",'Bills Register'!$F$6:$F$686,"&lt;="&amp;(DATE(2025,12,31)-31),'Bills Register'!$F$6:$F$686,"&gt;="&amp;(DATE(2025,12,31)-60))</f>
        <v>0</v>
      </c>
      <c r="F9" s="34" t="n">
        <f aca="false">SUMIFS('Bills Register'!$G$6:$G$686,'Bills Register'!$C$6:$C$686,"Fleet Fuel Card Services",'Bills Register'!$I$6:$I$686,"Open",'Bills Register'!$F$6:$F$686,"&lt;="&amp;(DATE(2025,12,31)-61),'Bills Register'!$F$6:$F$686,"&gt;="&amp;(DATE(2025,12,31)-90))</f>
        <v>0</v>
      </c>
      <c r="G9" s="34" t="n">
        <f aca="false">SUMIFS('Bills Register'!$G$6:$G$686,'Bills Register'!$C$6:$C$686,"Fleet Fuel Card Services",'Bills Register'!$I$6:$I$686,"Open",'Bills Register'!$F$6:$F$686,"&lt;="&amp;(DATE(2025,12,31)-91))</f>
        <v>0</v>
      </c>
      <c r="H9" s="35" t="n">
        <f aca="false">SUM(C9:G9)</f>
        <v>170.89</v>
      </c>
    </row>
    <row r="10" customFormat="false" ht="15" hidden="false" customHeight="false" outlineLevel="0" collapsed="false">
      <c r="B10" s="13" t="s">
        <v>23689</v>
      </c>
      <c r="C10" s="34" t="n">
        <f aca="false">SUMIFS('Bills Register'!$G$6:$G$686,'Bills Register'!$C$6:$C$686,"Hartford Professional Liability",'Bills Register'!$I$6:$I$686,"Open",'Bills Register'!$F$6:$F$686,"&gt;="&amp;DATE(2025,12,31))</f>
        <v>406.78</v>
      </c>
      <c r="D10" s="34" t="n">
        <f aca="false">SUMIFS('Bills Register'!$G$6:$G$686,'Bills Register'!$C$6:$C$686,"Hartford Professional Liability",'Bills Register'!$I$6:$I$686,"Open",'Bills Register'!$F$6:$F$686,"&lt;="&amp;(DATE(2025,12,31)-1),'Bills Register'!$F$6:$F$686,"&gt;="&amp;(DATE(2025,12,31)-30))</f>
        <v>0</v>
      </c>
      <c r="E10" s="34" t="n">
        <f aca="false">SUMIFS('Bills Register'!$G$6:$G$686,'Bills Register'!$C$6:$C$686,"Hartford Professional Liability",'Bills Register'!$I$6:$I$686,"Open",'Bills Register'!$F$6:$F$686,"&lt;="&amp;(DATE(2025,12,31)-31),'Bills Register'!$F$6:$F$686,"&gt;="&amp;(DATE(2025,12,31)-60))</f>
        <v>0</v>
      </c>
      <c r="F10" s="34" t="n">
        <f aca="false">SUMIFS('Bills Register'!$G$6:$G$686,'Bills Register'!$C$6:$C$686,"Hartford Professional Liability",'Bills Register'!$I$6:$I$686,"Open",'Bills Register'!$F$6:$F$686,"&lt;="&amp;(DATE(2025,12,31)-61),'Bills Register'!$F$6:$F$686,"&gt;="&amp;(DATE(2025,12,31)-90))</f>
        <v>0</v>
      </c>
      <c r="G10" s="34" t="n">
        <f aca="false">SUMIFS('Bills Register'!$G$6:$G$686,'Bills Register'!$C$6:$C$686,"Hartford Professional Liability",'Bills Register'!$I$6:$I$686,"Open",'Bills Register'!$F$6:$F$686,"&lt;="&amp;(DATE(2025,12,31)-91))</f>
        <v>0</v>
      </c>
      <c r="H10" s="35" t="n">
        <f aca="false">SUM(C10:G10)</f>
        <v>406.78</v>
      </c>
    </row>
    <row r="11" customFormat="false" ht="15" hidden="false" customHeight="false" outlineLevel="0" collapsed="false">
      <c r="B11" s="13" t="s">
        <v>23695</v>
      </c>
      <c r="C11" s="34" t="n">
        <f aca="false">SUMIFS('Bills Register'!$G$6:$G$686,'Bills Register'!$C$6:$C$686,"Local Chamber of Commerce",'Bills Register'!$I$6:$I$686,"Open",'Bills Register'!$F$6:$F$686,"&gt;="&amp;DATE(2025,12,31))</f>
        <v>266.46</v>
      </c>
      <c r="D11" s="34" t="n">
        <f aca="false">SUMIFS('Bills Register'!$G$6:$G$686,'Bills Register'!$C$6:$C$686,"Local Chamber of Commerce",'Bills Register'!$I$6:$I$686,"Open",'Bills Register'!$F$6:$F$686,"&lt;="&amp;(DATE(2025,12,31)-1),'Bills Register'!$F$6:$F$686,"&gt;="&amp;(DATE(2025,12,31)-30))</f>
        <v>0</v>
      </c>
      <c r="E11" s="34" t="n">
        <f aca="false">SUMIFS('Bills Register'!$G$6:$G$686,'Bills Register'!$C$6:$C$686,"Local Chamber of Commerce",'Bills Register'!$I$6:$I$686,"Open",'Bills Register'!$F$6:$F$686,"&lt;="&amp;(DATE(2025,12,31)-31),'Bills Register'!$F$6:$F$686,"&gt;="&amp;(DATE(2025,12,31)-60))</f>
        <v>0</v>
      </c>
      <c r="F11" s="34" t="n">
        <f aca="false">SUMIFS('Bills Register'!$G$6:$G$686,'Bills Register'!$C$6:$C$686,"Local Chamber of Commerce",'Bills Register'!$I$6:$I$686,"Open",'Bills Register'!$F$6:$F$686,"&lt;="&amp;(DATE(2025,12,31)-61),'Bills Register'!$F$6:$F$686,"&gt;="&amp;(DATE(2025,12,31)-90))</f>
        <v>0</v>
      </c>
      <c r="G11" s="34" t="n">
        <f aca="false">SUMIFS('Bills Register'!$G$6:$G$686,'Bills Register'!$C$6:$C$686,"Local Chamber of Commerce",'Bills Register'!$I$6:$I$686,"Open",'Bills Register'!$F$6:$F$686,"&lt;="&amp;(DATE(2025,12,31)-91))</f>
        <v>0</v>
      </c>
      <c r="H11" s="35" t="n">
        <f aca="false">SUM(C11:G11)</f>
        <v>266.46</v>
      </c>
    </row>
    <row r="12" customFormat="false" ht="15" hidden="false" customHeight="false" outlineLevel="0" collapsed="false">
      <c r="B12" s="13" t="s">
        <v>23705</v>
      </c>
      <c r="C12" s="34" t="n">
        <f aca="false">SUMIFS('Bills Register'!$G$6:$G$686,'Bills Register'!$C$6:$C$686,"MedSupply Direct",'Bills Register'!$I$6:$I$686,"Open",'Bills Register'!$F$6:$F$686,"&gt;="&amp;DATE(2025,12,31))</f>
        <v>308.76</v>
      </c>
      <c r="D12" s="34" t="n">
        <f aca="false">SUMIFS('Bills Register'!$G$6:$G$686,'Bills Register'!$C$6:$C$686,"MedSupply Direct",'Bills Register'!$I$6:$I$686,"Open",'Bills Register'!$F$6:$F$686,"&lt;="&amp;(DATE(2025,12,31)-1),'Bills Register'!$F$6:$F$686,"&gt;="&amp;(DATE(2025,12,31)-30))</f>
        <v>0</v>
      </c>
      <c r="E12" s="34" t="n">
        <f aca="false">SUMIFS('Bills Register'!$G$6:$G$686,'Bills Register'!$C$6:$C$686,"MedSupply Direct",'Bills Register'!$I$6:$I$686,"Open",'Bills Register'!$F$6:$F$686,"&lt;="&amp;(DATE(2025,12,31)-31),'Bills Register'!$F$6:$F$686,"&gt;="&amp;(DATE(2025,12,31)-60))</f>
        <v>0</v>
      </c>
      <c r="F12" s="34" t="n">
        <f aca="false">SUMIFS('Bills Register'!$G$6:$G$686,'Bills Register'!$C$6:$C$686,"MedSupply Direct",'Bills Register'!$I$6:$I$686,"Open",'Bills Register'!$F$6:$F$686,"&lt;="&amp;(DATE(2025,12,31)-61),'Bills Register'!$F$6:$F$686,"&gt;="&amp;(DATE(2025,12,31)-90))</f>
        <v>0</v>
      </c>
      <c r="G12" s="34" t="n">
        <f aca="false">SUMIFS('Bills Register'!$G$6:$G$686,'Bills Register'!$C$6:$C$686,"MedSupply Direct",'Bills Register'!$I$6:$I$686,"Open",'Bills Register'!$F$6:$F$686,"&lt;="&amp;(DATE(2025,12,31)-91))</f>
        <v>0</v>
      </c>
      <c r="H12" s="35" t="n">
        <f aca="false">SUM(C12:G12)</f>
        <v>308.76</v>
      </c>
    </row>
    <row r="13" customFormat="false" ht="15" hidden="false" customHeight="false" outlineLevel="0" collapsed="false">
      <c r="B13" s="13" t="s">
        <v>23678</v>
      </c>
      <c r="C13" s="34" t="n">
        <f aca="false">SUMIFS('Bills Register'!$G$6:$G$686,'Bills Register'!$C$6:$C$686,"Metro Electric Co-op",'Bills Register'!$I$6:$I$686,"Open",'Bills Register'!$F$6:$F$686,"&gt;="&amp;DATE(2025,12,31))</f>
        <v>127.21</v>
      </c>
      <c r="D13" s="34" t="n">
        <f aca="false">SUMIFS('Bills Register'!$G$6:$G$686,'Bills Register'!$C$6:$C$686,"Metro Electric Co-op",'Bills Register'!$I$6:$I$686,"Open",'Bills Register'!$F$6:$F$686,"&lt;="&amp;(DATE(2025,12,31)-1),'Bills Register'!$F$6:$F$686,"&gt;="&amp;(DATE(2025,12,31)-30))</f>
        <v>0</v>
      </c>
      <c r="E13" s="34" t="n">
        <f aca="false">SUMIFS('Bills Register'!$G$6:$G$686,'Bills Register'!$C$6:$C$686,"Metro Electric Co-op",'Bills Register'!$I$6:$I$686,"Open",'Bills Register'!$F$6:$F$686,"&lt;="&amp;(DATE(2025,12,31)-31),'Bills Register'!$F$6:$F$686,"&gt;="&amp;(DATE(2025,12,31)-60))</f>
        <v>0</v>
      </c>
      <c r="F13" s="34" t="n">
        <f aca="false">SUMIFS('Bills Register'!$G$6:$G$686,'Bills Register'!$C$6:$C$686,"Metro Electric Co-op",'Bills Register'!$I$6:$I$686,"Open",'Bills Register'!$F$6:$F$686,"&lt;="&amp;(DATE(2025,12,31)-61),'Bills Register'!$F$6:$F$686,"&gt;="&amp;(DATE(2025,12,31)-90))</f>
        <v>0</v>
      </c>
      <c r="G13" s="34" t="n">
        <f aca="false">SUMIFS('Bills Register'!$G$6:$G$686,'Bills Register'!$C$6:$C$686,"Metro Electric Co-op",'Bills Register'!$I$6:$I$686,"Open",'Bills Register'!$F$6:$F$686,"&lt;="&amp;(DATE(2025,12,31)-91))</f>
        <v>0</v>
      </c>
      <c r="H13" s="35" t="n">
        <f aca="false">SUM(C13:G13)</f>
        <v>127.21</v>
      </c>
    </row>
    <row r="14" customFormat="false" ht="15" hidden="false" customHeight="false" outlineLevel="0" collapsed="false">
      <c r="B14" s="13" t="s">
        <v>23696</v>
      </c>
      <c r="C14" s="34" t="n">
        <f aca="false">SUMIFS('Bills Register'!$G$6:$G$686,'Bills Register'!$C$6:$C$686,"Office Depot Business",'Bills Register'!$I$6:$I$686,"Open",'Bills Register'!$F$6:$F$686,"&gt;="&amp;DATE(2025,12,31))</f>
        <v>105.65</v>
      </c>
      <c r="D14" s="34" t="n">
        <f aca="false">SUMIFS('Bills Register'!$G$6:$G$686,'Bills Register'!$C$6:$C$686,"Office Depot Business",'Bills Register'!$I$6:$I$686,"Open",'Bills Register'!$F$6:$F$686,"&lt;="&amp;(DATE(2025,12,31)-1),'Bills Register'!$F$6:$F$686,"&gt;="&amp;(DATE(2025,12,31)-30))</f>
        <v>0</v>
      </c>
      <c r="E14" s="34" t="n">
        <f aca="false">SUMIFS('Bills Register'!$G$6:$G$686,'Bills Register'!$C$6:$C$686,"Office Depot Business",'Bills Register'!$I$6:$I$686,"Open",'Bills Register'!$F$6:$F$686,"&lt;="&amp;(DATE(2025,12,31)-31),'Bills Register'!$F$6:$F$686,"&gt;="&amp;(DATE(2025,12,31)-60))</f>
        <v>0</v>
      </c>
      <c r="F14" s="34" t="n">
        <f aca="false">SUMIFS('Bills Register'!$G$6:$G$686,'Bills Register'!$C$6:$C$686,"Office Depot Business",'Bills Register'!$I$6:$I$686,"Open",'Bills Register'!$F$6:$F$686,"&lt;="&amp;(DATE(2025,12,31)-61),'Bills Register'!$F$6:$F$686,"&gt;="&amp;(DATE(2025,12,31)-90))</f>
        <v>0</v>
      </c>
      <c r="G14" s="34" t="n">
        <f aca="false">SUMIFS('Bills Register'!$G$6:$G$686,'Bills Register'!$C$6:$C$686,"Office Depot Business",'Bills Register'!$I$6:$I$686,"Open",'Bills Register'!$F$6:$F$686,"&lt;="&amp;(DATE(2025,12,31)-91))</f>
        <v>0</v>
      </c>
      <c r="H14" s="35" t="n">
        <f aca="false">SUM(C14:G14)</f>
        <v>105.65</v>
      </c>
    </row>
    <row r="15" customFormat="false" ht="15" hidden="false" customHeight="false" outlineLevel="0" collapsed="false">
      <c r="B15" s="13" t="s">
        <v>23704</v>
      </c>
      <c r="C15" s="34" t="n">
        <f aca="false">SUMIFS('Bills Register'!$G$6:$G$686,'Bills Register'!$C$6:$C$686,"Progressive Commercial",'Bills Register'!$I$6:$I$686,"Open",'Bills Register'!$F$6:$F$686,"&gt;="&amp;DATE(2025,12,31))</f>
        <v>421.68</v>
      </c>
      <c r="D15" s="34" t="n">
        <f aca="false">SUMIFS('Bills Register'!$G$6:$G$686,'Bills Register'!$C$6:$C$686,"Progressive Commercial",'Bills Register'!$I$6:$I$686,"Open",'Bills Register'!$F$6:$F$686,"&lt;="&amp;(DATE(2025,12,31)-1),'Bills Register'!$F$6:$F$686,"&gt;="&amp;(DATE(2025,12,31)-30))</f>
        <v>0</v>
      </c>
      <c r="E15" s="34" t="n">
        <f aca="false">SUMIFS('Bills Register'!$G$6:$G$686,'Bills Register'!$C$6:$C$686,"Progressive Commercial",'Bills Register'!$I$6:$I$686,"Open",'Bills Register'!$F$6:$F$686,"&lt;="&amp;(DATE(2025,12,31)-31),'Bills Register'!$F$6:$F$686,"&gt;="&amp;(DATE(2025,12,31)-60))</f>
        <v>0</v>
      </c>
      <c r="F15" s="34" t="n">
        <f aca="false">SUMIFS('Bills Register'!$G$6:$G$686,'Bills Register'!$C$6:$C$686,"Progressive Commercial",'Bills Register'!$I$6:$I$686,"Open",'Bills Register'!$F$6:$F$686,"&lt;="&amp;(DATE(2025,12,31)-61),'Bills Register'!$F$6:$F$686,"&gt;="&amp;(DATE(2025,12,31)-90))</f>
        <v>0</v>
      </c>
      <c r="G15" s="34" t="n">
        <f aca="false">SUMIFS('Bills Register'!$G$6:$G$686,'Bills Register'!$C$6:$C$686,"Progressive Commercial",'Bills Register'!$I$6:$I$686,"Open",'Bills Register'!$F$6:$F$686,"&lt;="&amp;(DATE(2025,12,31)-91))</f>
        <v>0</v>
      </c>
      <c r="H15" s="35" t="n">
        <f aca="false">SUM(C15:G15)</f>
        <v>421.68</v>
      </c>
    </row>
    <row r="16" customFormat="false" ht="15" hidden="false" customHeight="false" outlineLevel="0" collapsed="false">
      <c r="B16" s="13" t="s">
        <v>23681</v>
      </c>
      <c r="C16" s="34" t="n">
        <f aca="false">SUMIFS('Bills Register'!$G$6:$G$686,'Bills Register'!$C$6:$C$686,"Regional Gas Company",'Bills Register'!$I$6:$I$686,"Open",'Bills Register'!$F$6:$F$686,"&gt;="&amp;DATE(2025,12,31))</f>
        <v>36.36</v>
      </c>
      <c r="D16" s="34" t="n">
        <f aca="false">SUMIFS('Bills Register'!$G$6:$G$686,'Bills Register'!$C$6:$C$686,"Regional Gas Company",'Bills Register'!$I$6:$I$686,"Open",'Bills Register'!$F$6:$F$686,"&lt;="&amp;(DATE(2025,12,31)-1),'Bills Register'!$F$6:$F$686,"&gt;="&amp;(DATE(2025,12,31)-30))</f>
        <v>0</v>
      </c>
      <c r="E16" s="34" t="n">
        <f aca="false">SUMIFS('Bills Register'!$G$6:$G$686,'Bills Register'!$C$6:$C$686,"Regional Gas Company",'Bills Register'!$I$6:$I$686,"Open",'Bills Register'!$F$6:$F$686,"&lt;="&amp;(DATE(2025,12,31)-31),'Bills Register'!$F$6:$F$686,"&gt;="&amp;(DATE(2025,12,31)-60))</f>
        <v>0</v>
      </c>
      <c r="F16" s="34" t="n">
        <f aca="false">SUMIFS('Bills Register'!$G$6:$G$686,'Bills Register'!$C$6:$C$686,"Regional Gas Company",'Bills Register'!$I$6:$I$686,"Open",'Bills Register'!$F$6:$F$686,"&lt;="&amp;(DATE(2025,12,31)-61),'Bills Register'!$F$6:$F$686,"&gt;="&amp;(DATE(2025,12,31)-90))</f>
        <v>0</v>
      </c>
      <c r="G16" s="34" t="n">
        <f aca="false">SUMIFS('Bills Register'!$G$6:$G$686,'Bills Register'!$C$6:$C$686,"Regional Gas Company",'Bills Register'!$I$6:$I$686,"Open",'Bills Register'!$F$6:$F$686,"&lt;="&amp;(DATE(2025,12,31)-91))</f>
        <v>0</v>
      </c>
      <c r="H16" s="35" t="n">
        <f aca="false">SUM(C16:G16)</f>
        <v>36.36</v>
      </c>
    </row>
    <row r="17" customFormat="false" ht="15" hidden="false" customHeight="false" outlineLevel="0" collapsed="false">
      <c r="B17" s="13" t="s">
        <v>23703</v>
      </c>
      <c r="C17" s="34" t="n">
        <f aca="false">SUMIFS('Bills Register'!$G$6:$G$686,'Bills Register'!$C$6:$C$686,"Reliable Auto Service Center",'Bills Register'!$I$6:$I$686,"Open",'Bills Register'!$F$6:$F$686,"&gt;="&amp;DATE(2025,12,31))</f>
        <v>187.8</v>
      </c>
      <c r="D17" s="34" t="n">
        <f aca="false">SUMIFS('Bills Register'!$G$6:$G$686,'Bills Register'!$C$6:$C$686,"Reliable Auto Service Center",'Bills Register'!$I$6:$I$686,"Open",'Bills Register'!$F$6:$F$686,"&lt;="&amp;(DATE(2025,12,31)-1),'Bills Register'!$F$6:$F$686,"&gt;="&amp;(DATE(2025,12,31)-30))</f>
        <v>0</v>
      </c>
      <c r="E17" s="34" t="n">
        <f aca="false">SUMIFS('Bills Register'!$G$6:$G$686,'Bills Register'!$C$6:$C$686,"Reliable Auto Service Center",'Bills Register'!$I$6:$I$686,"Open",'Bills Register'!$F$6:$F$686,"&lt;="&amp;(DATE(2025,12,31)-31),'Bills Register'!$F$6:$F$686,"&gt;="&amp;(DATE(2025,12,31)-60))</f>
        <v>0</v>
      </c>
      <c r="F17" s="34" t="n">
        <f aca="false">SUMIFS('Bills Register'!$G$6:$G$686,'Bills Register'!$C$6:$C$686,"Reliable Auto Service Center",'Bills Register'!$I$6:$I$686,"Open",'Bills Register'!$F$6:$F$686,"&lt;="&amp;(DATE(2025,12,31)-61),'Bills Register'!$F$6:$F$686,"&gt;="&amp;(DATE(2025,12,31)-90))</f>
        <v>0</v>
      </c>
      <c r="G17" s="34" t="n">
        <f aca="false">SUMIFS('Bills Register'!$G$6:$G$686,'Bills Register'!$C$6:$C$686,"Reliable Auto Service Center",'Bills Register'!$I$6:$I$686,"Open",'Bills Register'!$F$6:$F$686,"&lt;="&amp;(DATE(2025,12,31)-91))</f>
        <v>0</v>
      </c>
      <c r="H17" s="35" t="n">
        <f aca="false">SUM(C17:G17)</f>
        <v>187.8</v>
      </c>
    </row>
    <row r="18" customFormat="false" ht="15" hidden="false" customHeight="false" outlineLevel="0" collapsed="false">
      <c r="B18" s="13" t="s">
        <v>23692</v>
      </c>
      <c r="C18" s="34" t="n">
        <f aca="false">SUMIFS('Bills Register'!$G$6:$G$686,'Bills Register'!$C$6:$C$686,"SafeHire Screening Services",'Bills Register'!$I$6:$I$686,"Open",'Bills Register'!$F$6:$F$686,"&gt;="&amp;DATE(2025,12,31))</f>
        <v>49.18</v>
      </c>
      <c r="D18" s="34" t="n">
        <f aca="false">SUMIFS('Bills Register'!$G$6:$G$686,'Bills Register'!$C$6:$C$686,"SafeHire Screening Services",'Bills Register'!$I$6:$I$686,"Open",'Bills Register'!$F$6:$F$686,"&lt;="&amp;(DATE(2025,12,31)-1),'Bills Register'!$F$6:$F$686,"&gt;="&amp;(DATE(2025,12,31)-30))</f>
        <v>0</v>
      </c>
      <c r="E18" s="34" t="n">
        <f aca="false">SUMIFS('Bills Register'!$G$6:$G$686,'Bills Register'!$C$6:$C$686,"SafeHire Screening Services",'Bills Register'!$I$6:$I$686,"Open",'Bills Register'!$F$6:$F$686,"&lt;="&amp;(DATE(2025,12,31)-31),'Bills Register'!$F$6:$F$686,"&gt;="&amp;(DATE(2025,12,31)-60))</f>
        <v>0</v>
      </c>
      <c r="F18" s="34" t="n">
        <f aca="false">SUMIFS('Bills Register'!$G$6:$G$686,'Bills Register'!$C$6:$C$686,"SafeHire Screening Services",'Bills Register'!$I$6:$I$686,"Open",'Bills Register'!$F$6:$F$686,"&lt;="&amp;(DATE(2025,12,31)-61),'Bills Register'!$F$6:$F$686,"&gt;="&amp;(DATE(2025,12,31)-90))</f>
        <v>0</v>
      </c>
      <c r="G18" s="34" t="n">
        <f aca="false">SUMIFS('Bills Register'!$G$6:$G$686,'Bills Register'!$C$6:$C$686,"SafeHire Screening Services",'Bills Register'!$I$6:$I$686,"Open",'Bills Register'!$F$6:$F$686,"&lt;="&amp;(DATE(2025,12,31)-91))</f>
        <v>0</v>
      </c>
      <c r="H18" s="35" t="n">
        <f aca="false">SUM(C18:G18)</f>
        <v>49.18</v>
      </c>
    </row>
    <row r="19" customFormat="false" ht="15" hidden="false" customHeight="false" outlineLevel="0" collapsed="false">
      <c r="B19" s="13" t="s">
        <v>23691</v>
      </c>
      <c r="C19" s="34" t="n">
        <f aca="false">SUMIFS('Bills Register'!$G$6:$G$686,'Bills Register'!$C$6:$C$686,"Surety Bond Partners",'Bills Register'!$I$6:$I$686,"Open",'Bills Register'!$F$6:$F$686,"&gt;="&amp;DATE(2025,12,31))</f>
        <v>146.36</v>
      </c>
      <c r="D19" s="34" t="n">
        <f aca="false">SUMIFS('Bills Register'!$G$6:$G$686,'Bills Register'!$C$6:$C$686,"Surety Bond Partners",'Bills Register'!$I$6:$I$686,"Open",'Bills Register'!$F$6:$F$686,"&lt;="&amp;(DATE(2025,12,31)-1),'Bills Register'!$F$6:$F$686,"&gt;="&amp;(DATE(2025,12,31)-30))</f>
        <v>0</v>
      </c>
      <c r="E19" s="34" t="n">
        <f aca="false">SUMIFS('Bills Register'!$G$6:$G$686,'Bills Register'!$C$6:$C$686,"Surety Bond Partners",'Bills Register'!$I$6:$I$686,"Open",'Bills Register'!$F$6:$F$686,"&lt;="&amp;(DATE(2025,12,31)-31),'Bills Register'!$F$6:$F$686,"&gt;="&amp;(DATE(2025,12,31)-60))</f>
        <v>0</v>
      </c>
      <c r="F19" s="34" t="n">
        <f aca="false">SUMIFS('Bills Register'!$G$6:$G$686,'Bills Register'!$C$6:$C$686,"Surety Bond Partners",'Bills Register'!$I$6:$I$686,"Open",'Bills Register'!$F$6:$F$686,"&lt;="&amp;(DATE(2025,12,31)-61),'Bills Register'!$F$6:$F$686,"&gt;="&amp;(DATE(2025,12,31)-90))</f>
        <v>0</v>
      </c>
      <c r="G19" s="34" t="n">
        <f aca="false">SUMIFS('Bills Register'!$G$6:$G$686,'Bills Register'!$C$6:$C$686,"Surety Bond Partners",'Bills Register'!$I$6:$I$686,"Open",'Bills Register'!$F$6:$F$686,"&lt;="&amp;(DATE(2025,12,31)-91))</f>
        <v>0</v>
      </c>
      <c r="H19" s="35" t="n">
        <f aca="false">SUM(C19:G19)</f>
        <v>146.36</v>
      </c>
    </row>
    <row r="20" customFormat="false" ht="15" hidden="false" customHeight="false" outlineLevel="0" collapsed="false">
      <c r="B20" s="13" t="s">
        <v>23708</v>
      </c>
      <c r="C20" s="34" t="n">
        <f aca="false">SUMIFS('Bills Register'!$G$6:$G$686,'Bills Register'!$C$6:$C$686,"Various Vendors",'Bills Register'!$I$6:$I$686,"Open",'Bills Register'!$F$6:$F$686,"&gt;="&amp;DATE(2025,12,31))</f>
        <v>139.44</v>
      </c>
      <c r="D20" s="34" t="n">
        <f aca="false">SUMIFS('Bills Register'!$G$6:$G$686,'Bills Register'!$C$6:$C$686,"Various Vendors",'Bills Register'!$I$6:$I$686,"Open",'Bills Register'!$F$6:$F$686,"&lt;="&amp;(DATE(2025,12,31)-1),'Bills Register'!$F$6:$F$686,"&gt;="&amp;(DATE(2025,12,31)-30))</f>
        <v>65.34</v>
      </c>
      <c r="E20" s="34" t="n">
        <f aca="false">SUMIFS('Bills Register'!$G$6:$G$686,'Bills Register'!$C$6:$C$686,"Various Vendors",'Bills Register'!$I$6:$I$686,"Open",'Bills Register'!$F$6:$F$686,"&lt;="&amp;(DATE(2025,12,31)-31),'Bills Register'!$F$6:$F$686,"&gt;="&amp;(DATE(2025,12,31)-60))</f>
        <v>0</v>
      </c>
      <c r="F20" s="34" t="n">
        <f aca="false">SUMIFS('Bills Register'!$G$6:$G$686,'Bills Register'!$C$6:$C$686,"Various Vendors",'Bills Register'!$I$6:$I$686,"Open",'Bills Register'!$F$6:$F$686,"&lt;="&amp;(DATE(2025,12,31)-61),'Bills Register'!$F$6:$F$686,"&gt;="&amp;(DATE(2025,12,31)-90))</f>
        <v>0</v>
      </c>
      <c r="G20" s="34" t="n">
        <f aca="false">SUMIFS('Bills Register'!$G$6:$G$686,'Bills Register'!$C$6:$C$686,"Various Vendors",'Bills Register'!$I$6:$I$686,"Open",'Bills Register'!$F$6:$F$686,"&lt;="&amp;(DATE(2025,12,31)-91))</f>
        <v>0</v>
      </c>
      <c r="H20" s="35" t="n">
        <f aca="false">SUM(C20:G20)</f>
        <v>204.78</v>
      </c>
    </row>
    <row r="21" customFormat="false" ht="15" hidden="false" customHeight="false" outlineLevel="0" collapsed="false">
      <c r="B21" s="13" t="s">
        <v>23699</v>
      </c>
      <c r="C21" s="34" t="n">
        <f aca="false">SUMIFS('Bills Register'!$G$6:$G$686,'Bills Register'!$C$6:$C$686,"Whitman and Associates, CPA",'Bills Register'!$I$6:$I$686,"Open",'Bills Register'!$F$6:$F$686,"&gt;="&amp;DATE(2025,12,31))</f>
        <v>478.45</v>
      </c>
      <c r="D21" s="34" t="n">
        <f aca="false">SUMIFS('Bills Register'!$G$6:$G$686,'Bills Register'!$C$6:$C$686,"Whitman and Associates, CPA",'Bills Register'!$I$6:$I$686,"Open",'Bills Register'!$F$6:$F$686,"&lt;="&amp;(DATE(2025,12,31)-1),'Bills Register'!$F$6:$F$686,"&gt;="&amp;(DATE(2025,12,31)-30))</f>
        <v>0</v>
      </c>
      <c r="E21" s="34" t="n">
        <f aca="false">SUMIFS('Bills Register'!$G$6:$G$686,'Bills Register'!$C$6:$C$686,"Whitman and Associates, CPA",'Bills Register'!$I$6:$I$686,"Open",'Bills Register'!$F$6:$F$686,"&lt;="&amp;(DATE(2025,12,31)-31),'Bills Register'!$F$6:$F$686,"&gt;="&amp;(DATE(2025,12,31)-60))</f>
        <v>0</v>
      </c>
      <c r="F21" s="34" t="n">
        <f aca="false">SUMIFS('Bills Register'!$G$6:$G$686,'Bills Register'!$C$6:$C$686,"Whitman and Associates, CPA",'Bills Register'!$I$6:$I$686,"Open",'Bills Register'!$F$6:$F$686,"&lt;="&amp;(DATE(2025,12,31)-61),'Bills Register'!$F$6:$F$686,"&gt;="&amp;(DATE(2025,12,31)-90))</f>
        <v>0</v>
      </c>
      <c r="G21" s="34" t="n">
        <f aca="false">SUMIFS('Bills Register'!$G$6:$G$686,'Bills Register'!$C$6:$C$686,"Whitman and Associates, CPA",'Bills Register'!$I$6:$I$686,"Open",'Bills Register'!$F$6:$F$686,"&lt;="&amp;(DATE(2025,12,31)-91))</f>
        <v>0</v>
      </c>
      <c r="H21" s="35" t="n">
        <f aca="false">SUM(C21:G21)</f>
        <v>478.45</v>
      </c>
    </row>
    <row r="22" customFormat="false" ht="15" hidden="false" customHeight="false" outlineLevel="0" collapsed="false">
      <c r="B22" s="46" t="s">
        <v>22785</v>
      </c>
      <c r="C22" s="47" t="n">
        <f aca="false">SUM(C6:C21)</f>
        <v>3074.58</v>
      </c>
      <c r="D22" s="47" t="n">
        <f aca="false">SUM(D6:D21)</f>
        <v>222.56</v>
      </c>
      <c r="E22" s="47" t="n">
        <f aca="false">SUM(E6:E21)</f>
        <v>0</v>
      </c>
      <c r="F22" s="47" t="n">
        <f aca="false">SUM(F6:F21)</f>
        <v>0</v>
      </c>
      <c r="G22" s="47" t="n">
        <f aca="false">SUM(G6:G21)</f>
        <v>0</v>
      </c>
      <c r="H22" s="47" t="n">
        <f aca="false">SUM(H6:H21)</f>
        <v>3297.14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B2:O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15" min="3" style="0" width="12"/>
  </cols>
  <sheetData>
    <row r="2" customFormat="false" ht="17.35" hidden="false" customHeight="false" outlineLevel="0" collapsed="false">
      <c r="B2" s="1" t="s">
        <v>24398</v>
      </c>
    </row>
    <row r="3" customFormat="false" ht="15" hidden="false" customHeight="false" outlineLevel="0" collapsed="false">
      <c r="B3" s="2" t="s">
        <v>24399</v>
      </c>
    </row>
    <row r="5" customFormat="false" ht="15" hidden="false" customHeight="false" outlineLevel="0" collapsed="false">
      <c r="B5" s="53"/>
      <c r="C5" s="11" t="s">
        <v>469</v>
      </c>
      <c r="D5" s="11" t="s">
        <v>470</v>
      </c>
      <c r="E5" s="11" t="s">
        <v>471</v>
      </c>
      <c r="F5" s="11" t="s">
        <v>472</v>
      </c>
      <c r="G5" s="11" t="s">
        <v>473</v>
      </c>
      <c r="H5" s="11" t="s">
        <v>474</v>
      </c>
      <c r="I5" s="11" t="s">
        <v>475</v>
      </c>
      <c r="J5" s="11" t="s">
        <v>476</v>
      </c>
      <c r="K5" s="11" t="s">
        <v>477</v>
      </c>
      <c r="L5" s="11" t="s">
        <v>478</v>
      </c>
      <c r="M5" s="11" t="s">
        <v>479</v>
      </c>
      <c r="N5" s="11" t="s">
        <v>480</v>
      </c>
      <c r="O5" s="11" t="s">
        <v>14624</v>
      </c>
    </row>
    <row r="6" customFormat="false" ht="15" hidden="false" customHeight="false" outlineLevel="0" collapsed="false">
      <c r="B6" s="12" t="s">
        <v>24400</v>
      </c>
      <c r="C6" s="54"/>
      <c r="D6" s="54"/>
      <c r="E6" s="54"/>
      <c r="F6" s="54"/>
      <c r="G6" s="54"/>
      <c r="H6" s="54"/>
      <c r="I6" s="54"/>
      <c r="J6" s="54"/>
      <c r="K6" s="54"/>
      <c r="L6" s="54"/>
      <c r="M6" s="54"/>
      <c r="N6" s="54"/>
      <c r="O6" s="54"/>
    </row>
    <row r="7" customFormat="false" ht="15" hidden="false" customHeight="false" outlineLevel="0" collapsed="false">
      <c r="B7" s="13" t="s">
        <v>24401</v>
      </c>
      <c r="C7" s="55" t="n">
        <f aca="false">'Revenue by Payer'!C6</f>
        <v>25017.06</v>
      </c>
      <c r="D7" s="55" t="n">
        <f aca="false">'Revenue by Payer'!D6</f>
        <v>21519.8285</v>
      </c>
      <c r="E7" s="55" t="n">
        <f aca="false">'Revenue by Payer'!E6</f>
        <v>23212.198</v>
      </c>
      <c r="F7" s="55" t="n">
        <f aca="false">'Revenue by Payer'!F6</f>
        <v>24571.0385</v>
      </c>
      <c r="G7" s="55" t="n">
        <f aca="false">'Revenue by Payer'!G6</f>
        <v>26282.541</v>
      </c>
      <c r="H7" s="55" t="n">
        <f aca="false">'Revenue by Payer'!H6</f>
        <v>26254.716</v>
      </c>
      <c r="I7" s="55" t="n">
        <f aca="false">'Revenue by Payer'!I6</f>
        <v>28362.6585</v>
      </c>
      <c r="J7" s="55" t="n">
        <f aca="false">'Revenue by Payer'!J6</f>
        <v>31689.76</v>
      </c>
      <c r="K7" s="55" t="n">
        <f aca="false">'Revenue by Payer'!K6</f>
        <v>32711.547</v>
      </c>
      <c r="L7" s="55" t="n">
        <f aca="false">'Revenue by Payer'!L6</f>
        <v>37470.9735</v>
      </c>
      <c r="M7" s="55" t="n">
        <f aca="false">'Revenue by Payer'!M6</f>
        <v>34034.374</v>
      </c>
      <c r="N7" s="55" t="n">
        <f aca="false">'Revenue by Payer'!N6</f>
        <v>36215.589</v>
      </c>
      <c r="O7" s="35" t="n">
        <f aca="false">SUM(C7:N7)</f>
        <v>347342.284</v>
      </c>
    </row>
    <row r="8" customFormat="false" ht="15" hidden="false" customHeight="false" outlineLevel="0" collapsed="false">
      <c r="B8" s="13" t="s">
        <v>24402</v>
      </c>
      <c r="C8" s="55" t="n">
        <f aca="false">'Revenue by Payer'!C7</f>
        <v>35328.38</v>
      </c>
      <c r="D8" s="55" t="n">
        <f aca="false">'Revenue by Payer'!D7</f>
        <v>30413.68</v>
      </c>
      <c r="E8" s="55" t="n">
        <f aca="false">'Revenue by Payer'!E7</f>
        <v>34039.78</v>
      </c>
      <c r="F8" s="55" t="n">
        <f aca="false">'Revenue by Payer'!F7</f>
        <v>34412.42</v>
      </c>
      <c r="G8" s="55" t="n">
        <f aca="false">'Revenue by Payer'!G7</f>
        <v>35663.96</v>
      </c>
      <c r="H8" s="55" t="n">
        <f aca="false">'Revenue by Payer'!H7</f>
        <v>34950.64</v>
      </c>
      <c r="I8" s="55" t="n">
        <f aca="false">'Revenue by Payer'!I7</f>
        <v>36579.92</v>
      </c>
      <c r="J8" s="55" t="n">
        <f aca="false">'Revenue by Payer'!J7</f>
        <v>36759.1</v>
      </c>
      <c r="K8" s="55" t="n">
        <f aca="false">'Revenue by Payer'!K7</f>
        <v>36789.36</v>
      </c>
      <c r="L8" s="55" t="n">
        <f aca="false">'Revenue by Payer'!L7</f>
        <v>38184.72</v>
      </c>
      <c r="M8" s="55" t="n">
        <f aca="false">'Revenue by Payer'!M7</f>
        <v>34995.86</v>
      </c>
      <c r="N8" s="55" t="n">
        <f aca="false">'Revenue by Payer'!N7</f>
        <v>38631.14</v>
      </c>
      <c r="O8" s="35" t="n">
        <f aca="false">SUM(C8:N8)</f>
        <v>426748.96</v>
      </c>
    </row>
    <row r="9" customFormat="false" ht="15" hidden="false" customHeight="false" outlineLevel="0" collapsed="false">
      <c r="B9" s="13" t="s">
        <v>24403</v>
      </c>
      <c r="C9" s="55" t="n">
        <f aca="false">'Revenue by Payer'!C8</f>
        <v>11347.875</v>
      </c>
      <c r="D9" s="55" t="n">
        <f aca="false">'Revenue by Payer'!D8</f>
        <v>9729.72</v>
      </c>
      <c r="E9" s="55" t="n">
        <f aca="false">'Revenue by Payer'!E8</f>
        <v>10317.615</v>
      </c>
      <c r="F9" s="55" t="n">
        <f aca="false">'Revenue by Payer'!F8</f>
        <v>13051.665</v>
      </c>
      <c r="G9" s="55" t="n">
        <f aca="false">'Revenue by Payer'!G8</f>
        <v>12436.71</v>
      </c>
      <c r="H9" s="55" t="n">
        <f aca="false">'Revenue by Payer'!H8</f>
        <v>11561.22</v>
      </c>
      <c r="I9" s="55" t="n">
        <f aca="false">'Revenue by Payer'!I8</f>
        <v>12212.64</v>
      </c>
      <c r="J9" s="55" t="n">
        <f aca="false">'Revenue by Payer'!J8</f>
        <v>13058.1</v>
      </c>
      <c r="K9" s="55" t="n">
        <f aca="false">'Revenue by Payer'!K8</f>
        <v>12439.35</v>
      </c>
      <c r="L9" s="55" t="n">
        <f aca="false">'Revenue by Payer'!L8</f>
        <v>13411.53</v>
      </c>
      <c r="M9" s="55" t="n">
        <f aca="false">'Revenue by Payer'!M8</f>
        <v>11347.215</v>
      </c>
      <c r="N9" s="55" t="n">
        <f aca="false">'Revenue by Payer'!N8</f>
        <v>14140.83</v>
      </c>
      <c r="O9" s="35" t="n">
        <f aca="false">SUM(C9:N9)</f>
        <v>145054.47</v>
      </c>
    </row>
    <row r="10" customFormat="false" ht="15" hidden="false" customHeight="false" outlineLevel="0" collapsed="false">
      <c r="B10" s="13" t="s">
        <v>24404</v>
      </c>
      <c r="C10" s="55" t="n">
        <f aca="false">'Revenue by Payer'!C9</f>
        <v>4425.3</v>
      </c>
      <c r="D10" s="55" t="n">
        <f aca="false">'Revenue by Payer'!D9</f>
        <v>4236.435</v>
      </c>
      <c r="E10" s="55" t="n">
        <f aca="false">'Revenue by Payer'!E9</f>
        <v>4891.455</v>
      </c>
      <c r="F10" s="55" t="n">
        <f aca="false">'Revenue by Payer'!F9</f>
        <v>5301.99</v>
      </c>
      <c r="G10" s="55" t="n">
        <f aca="false">'Revenue by Payer'!G9</f>
        <v>5038.74</v>
      </c>
      <c r="H10" s="55" t="n">
        <f aca="false">'Revenue by Payer'!H9</f>
        <v>4664.925</v>
      </c>
      <c r="I10" s="55" t="n">
        <f aca="false">'Revenue by Payer'!I9</f>
        <v>5655.15</v>
      </c>
      <c r="J10" s="55" t="n">
        <f aca="false">'Revenue by Payer'!J9</f>
        <v>7852.005</v>
      </c>
      <c r="K10" s="55" t="n">
        <f aca="false">'Revenue by Payer'!K9</f>
        <v>8065.98</v>
      </c>
      <c r="L10" s="55" t="n">
        <f aca="false">'Revenue by Payer'!L9</f>
        <v>8589.105</v>
      </c>
      <c r="M10" s="55" t="n">
        <f aca="false">'Revenue by Payer'!M9</f>
        <v>7525.71</v>
      </c>
      <c r="N10" s="55" t="n">
        <f aca="false">'Revenue by Payer'!N9</f>
        <v>8691.165</v>
      </c>
      <c r="O10" s="35" t="n">
        <f aca="false">SUM(C10:N10)</f>
        <v>74937.96</v>
      </c>
    </row>
    <row r="11" customFormat="false" ht="15" hidden="false" customHeight="false" outlineLevel="0" collapsed="false">
      <c r="B11" s="46" t="s">
        <v>24405</v>
      </c>
      <c r="C11" s="47" t="n">
        <f aca="false">SUM(C7:C10)</f>
        <v>76118.615</v>
      </c>
      <c r="D11" s="47" t="n">
        <f aca="false">SUM(D7:D10)</f>
        <v>65899.6635</v>
      </c>
      <c r="E11" s="47" t="n">
        <f aca="false">SUM(E7:E10)</f>
        <v>72461.048</v>
      </c>
      <c r="F11" s="47" t="n">
        <f aca="false">SUM(F7:F10)</f>
        <v>77337.1135</v>
      </c>
      <c r="G11" s="47" t="n">
        <f aca="false">SUM(G7:G10)</f>
        <v>79421.951</v>
      </c>
      <c r="H11" s="47" t="n">
        <f aca="false">SUM(H7:H10)</f>
        <v>77431.501</v>
      </c>
      <c r="I11" s="47" t="n">
        <f aca="false">SUM(I7:I10)</f>
        <v>82810.3685</v>
      </c>
      <c r="J11" s="47" t="n">
        <f aca="false">SUM(J7:J10)</f>
        <v>89358.965</v>
      </c>
      <c r="K11" s="47" t="n">
        <f aca="false">SUM(K7:K10)</f>
        <v>90006.237</v>
      </c>
      <c r="L11" s="47" t="n">
        <f aca="false">SUM(L7:L10)</f>
        <v>97656.3285</v>
      </c>
      <c r="M11" s="47" t="n">
        <f aca="false">SUM(M7:M10)</f>
        <v>87903.159</v>
      </c>
      <c r="N11" s="47" t="n">
        <f aca="false">SUM(N7:N10)</f>
        <v>97678.724</v>
      </c>
      <c r="O11" s="47" t="n">
        <f aca="false">SUM(C11:N11)</f>
        <v>994083.674</v>
      </c>
    </row>
    <row r="12" customFormat="false" ht="15" hidden="false" customHeight="false" outlineLevel="0" collapsed="false">
      <c r="B12" s="48"/>
      <c r="C12" s="48"/>
      <c r="D12" s="48"/>
      <c r="E12" s="48"/>
      <c r="F12" s="48"/>
      <c r="G12" s="48"/>
      <c r="H12" s="48"/>
      <c r="I12" s="48"/>
      <c r="J12" s="48"/>
      <c r="K12" s="48"/>
      <c r="L12" s="48"/>
      <c r="M12" s="48"/>
      <c r="N12" s="48"/>
      <c r="O12" s="48"/>
    </row>
    <row r="13" customFormat="false" ht="15" hidden="false" customHeight="false" outlineLevel="0" collapsed="false">
      <c r="B13" s="12" t="s">
        <v>24406</v>
      </c>
      <c r="C13" s="54"/>
      <c r="D13" s="54"/>
      <c r="E13" s="54"/>
      <c r="F13" s="54"/>
      <c r="G13" s="54"/>
      <c r="H13" s="54"/>
      <c r="I13" s="54"/>
      <c r="J13" s="54"/>
      <c r="K13" s="54"/>
      <c r="L13" s="54"/>
      <c r="M13" s="54"/>
      <c r="N13" s="54"/>
      <c r="O13" s="54"/>
    </row>
    <row r="14" customFormat="false" ht="15" hidden="false" customHeight="false" outlineLevel="0" collapsed="false">
      <c r="B14" s="13" t="s">
        <v>24407</v>
      </c>
      <c r="C14" s="55" t="n">
        <f aca="false">'Payroll Summary'!C6</f>
        <v>32619.6937</v>
      </c>
      <c r="D14" s="55" t="n">
        <f aca="false">'Payroll Summary'!D6</f>
        <v>28107.4751</v>
      </c>
      <c r="E14" s="55" t="n">
        <f aca="false">'Payroll Summary'!E6</f>
        <v>30891.1001</v>
      </c>
      <c r="F14" s="55" t="n">
        <f aca="false">'Payroll Summary'!F6</f>
        <v>31877.5661</v>
      </c>
      <c r="G14" s="55" t="n">
        <f aca="false">'Payroll Summary'!G6</f>
        <v>33491.01893</v>
      </c>
      <c r="H14" s="55" t="n">
        <f aca="false">'Payroll Summary'!H6</f>
        <v>33038.07338</v>
      </c>
      <c r="I14" s="55" t="n">
        <f aca="false">'Payroll Summary'!I6</f>
        <v>34800.11749</v>
      </c>
      <c r="J14" s="55" t="n">
        <f aca="false">'Payroll Summary'!J6</f>
        <v>36518.63159</v>
      </c>
      <c r="K14" s="55" t="n">
        <f aca="false">'Payroll Summary'!K6</f>
        <v>36743.12053</v>
      </c>
      <c r="L14" s="55" t="n">
        <f aca="false">'Payroll Summary'!L6</f>
        <v>40819.4972</v>
      </c>
      <c r="M14" s="55" t="n">
        <f aca="false">'Payroll Summary'!M6</f>
        <v>37196.33281</v>
      </c>
      <c r="N14" s="55" t="n">
        <f aca="false">'Payroll Summary'!N6</f>
        <v>40241.36578</v>
      </c>
      <c r="O14" s="35" t="n">
        <f aca="false">SUM(C14:N14)</f>
        <v>416343.99271</v>
      </c>
    </row>
    <row r="15" customFormat="false" ht="15" hidden="false" customHeight="false" outlineLevel="0" collapsed="false">
      <c r="B15" s="13" t="s">
        <v>24408</v>
      </c>
      <c r="C15" s="55" t="n">
        <f aca="false">'Payroll Summary'!C7</f>
        <v>0</v>
      </c>
      <c r="D15" s="55" t="n">
        <f aca="false">'Payroll Summary'!D7</f>
        <v>0</v>
      </c>
      <c r="E15" s="55" t="n">
        <f aca="false">'Payroll Summary'!E7</f>
        <v>0</v>
      </c>
      <c r="F15" s="55" t="n">
        <f aca="false">'Payroll Summary'!F7</f>
        <v>0</v>
      </c>
      <c r="G15" s="55" t="n">
        <f aca="false">'Payroll Summary'!G7</f>
        <v>36.240855</v>
      </c>
      <c r="H15" s="55" t="n">
        <f aca="false">'Payroll Summary'!H7</f>
        <v>140.17293</v>
      </c>
      <c r="I15" s="55" t="n">
        <f aca="false">'Payroll Summary'!I7</f>
        <v>505.920615</v>
      </c>
      <c r="J15" s="55" t="n">
        <f aca="false">'Payroll Summary'!J7</f>
        <v>1027.671765</v>
      </c>
      <c r="K15" s="55" t="n">
        <f aca="false">'Payroll Summary'!K7</f>
        <v>1573.310505</v>
      </c>
      <c r="L15" s="55" t="n">
        <f aca="false">'Payroll Summary'!L7</f>
        <v>734.2698</v>
      </c>
      <c r="M15" s="55" t="n">
        <f aca="false">'Payroll Summary'!M7</f>
        <v>879.388785</v>
      </c>
      <c r="N15" s="55" t="n">
        <f aca="false">'Payroll Summary'!N7</f>
        <v>1062.93018</v>
      </c>
      <c r="O15" s="35" t="n">
        <f aca="false">SUM(C15:N15)</f>
        <v>5959.905435</v>
      </c>
    </row>
    <row r="16" customFormat="false" ht="15" hidden="false" customHeight="false" outlineLevel="0" collapsed="false">
      <c r="B16" s="13" t="s">
        <v>24409</v>
      </c>
      <c r="C16" s="55" t="n">
        <f aca="false">'Payroll Summary'!C8</f>
        <v>3883.9833</v>
      </c>
      <c r="D16" s="55" t="n">
        <f aca="false">'Payroll Summary'!D8</f>
        <v>3341.089</v>
      </c>
      <c r="E16" s="55" t="n">
        <f aca="false">'Payroll Summary'!E8</f>
        <v>3648.6726</v>
      </c>
      <c r="F16" s="55" t="n">
        <f aca="false">'Payroll Summary'!F8</f>
        <v>3732.3958</v>
      </c>
      <c r="G16" s="55" t="n">
        <f aca="false">'Payroll Summary'!G8</f>
        <v>3998.3724</v>
      </c>
      <c r="H16" s="55" t="n">
        <f aca="false">'Payroll Summary'!H8</f>
        <v>3872.2717</v>
      </c>
      <c r="I16" s="55" t="n">
        <f aca="false">'Payroll Summary'!I8</f>
        <v>4171.0515</v>
      </c>
      <c r="J16" s="55" t="n">
        <f aca="false">'Payroll Summary'!J8</f>
        <v>4414.7104</v>
      </c>
      <c r="K16" s="55" t="n">
        <f aca="false">'Payroll Summary'!K8</f>
        <v>4562.365</v>
      </c>
      <c r="L16" s="55" t="n">
        <f aca="false">'Payroll Summary'!L8</f>
        <v>4933.4646</v>
      </c>
      <c r="M16" s="55" t="n">
        <f aca="false">'Payroll Summary'!M8</f>
        <v>4502.1722</v>
      </c>
      <c r="N16" s="55" t="n">
        <f aca="false">'Payroll Summary'!N8</f>
        <v>4834.4855</v>
      </c>
      <c r="O16" s="35" t="n">
        <f aca="false">SUM(C16:N16)</f>
        <v>49895.034</v>
      </c>
    </row>
    <row r="17" customFormat="false" ht="15" hidden="false" customHeight="false" outlineLevel="0" collapsed="false">
      <c r="B17" s="13" t="s">
        <v>24410</v>
      </c>
      <c r="C17" s="55" t="n">
        <f aca="false">'Payroll Summary'!C9</f>
        <v>7029.21</v>
      </c>
      <c r="D17" s="55" t="n">
        <f aca="false">'Payroll Summary'!D9</f>
        <v>6264.43</v>
      </c>
      <c r="E17" s="55" t="n">
        <f aca="false">'Payroll Summary'!E9</f>
        <v>6667.57</v>
      </c>
      <c r="F17" s="55" t="n">
        <f aca="false">'Payroll Summary'!F9</f>
        <v>7998.63</v>
      </c>
      <c r="G17" s="55" t="n">
        <f aca="false">'Payroll Summary'!G9</f>
        <v>7517.88</v>
      </c>
      <c r="H17" s="55" t="n">
        <f aca="false">'Payroll Summary'!H9</f>
        <v>6958.45</v>
      </c>
      <c r="I17" s="55" t="n">
        <f aca="false">'Payroll Summary'!I9</f>
        <v>7887.95</v>
      </c>
      <c r="J17" s="55" t="n">
        <f aca="false">'Payroll Summary'!J9</f>
        <v>9050.45</v>
      </c>
      <c r="K17" s="55" t="n">
        <f aca="false">'Payroll Summary'!K9</f>
        <v>8731.54</v>
      </c>
      <c r="L17" s="55" t="n">
        <f aca="false">'Payroll Summary'!L9</f>
        <v>9218.36</v>
      </c>
      <c r="M17" s="55" t="n">
        <f aca="false">'Payroll Summary'!M9</f>
        <v>7880.77</v>
      </c>
      <c r="N17" s="55" t="n">
        <f aca="false">'Payroll Summary'!N9</f>
        <v>9517.01</v>
      </c>
      <c r="O17" s="35" t="n">
        <f aca="false">SUM(C17:N17)</f>
        <v>94722.25</v>
      </c>
    </row>
    <row r="18" customFormat="false" ht="15" hidden="false" customHeight="false" outlineLevel="0" collapsed="false">
      <c r="B18" s="13" t="s">
        <v>24411</v>
      </c>
      <c r="C18" s="55" t="n">
        <f aca="false">'Payroll Summary'!C11</f>
        <v>6312.268615</v>
      </c>
      <c r="D18" s="55" t="n">
        <f aca="false">'Payroll Summary'!D11</f>
        <v>5468.3841445</v>
      </c>
      <c r="E18" s="55" t="n">
        <f aca="false">'Payroll Summary'!E11</f>
        <v>5975.0646915</v>
      </c>
      <c r="F18" s="55" t="n">
        <f aca="false">'Payroll Summary'!F11</f>
        <v>6323.2458255</v>
      </c>
      <c r="G18" s="55" t="n">
        <f aca="false">'Payroll Summary'!G11</f>
        <v>6531.309266825</v>
      </c>
      <c r="H18" s="55" t="n">
        <f aca="false">'Payroll Summary'!H11</f>
        <v>6381.30036145</v>
      </c>
      <c r="I18" s="55" t="n">
        <f aca="false">'Payroll Summary'!I11</f>
        <v>6867.930742725</v>
      </c>
      <c r="J18" s="55" t="n">
        <f aca="false">'Payroll Summary'!J11</f>
        <v>7396.662244475</v>
      </c>
      <c r="K18" s="55" t="n">
        <f aca="false">'Payroll Summary'!K11</f>
        <v>7483.498725075</v>
      </c>
      <c r="L18" s="55" t="n">
        <f aca="false">'Payroll Summary'!L11</f>
        <v>8077.310782</v>
      </c>
      <c r="M18" s="55" t="n">
        <f aca="false">'Payroll Summary'!M11</f>
        <v>7316.506250275</v>
      </c>
      <c r="N18" s="55" t="n">
        <f aca="false">'Payroll Summary'!N11</f>
        <v>8070.0897617</v>
      </c>
      <c r="O18" s="35" t="n">
        <f aca="false">SUM(C18:N18)</f>
        <v>82203.571411025</v>
      </c>
    </row>
    <row r="19" customFormat="false" ht="15" hidden="false" customHeight="false" outlineLevel="0" collapsed="false">
      <c r="B19" s="46" t="s">
        <v>24412</v>
      </c>
      <c r="C19" s="47" t="n">
        <f aca="false">SUM(C14:C18)</f>
        <v>49845.155615</v>
      </c>
      <c r="D19" s="47" t="n">
        <f aca="false">SUM(D14:D18)</f>
        <v>43181.3782445</v>
      </c>
      <c r="E19" s="47" t="n">
        <f aca="false">SUM(E14:E18)</f>
        <v>47182.4073915</v>
      </c>
      <c r="F19" s="47" t="n">
        <f aca="false">SUM(F14:F18)</f>
        <v>49931.8377255</v>
      </c>
      <c r="G19" s="47" t="n">
        <f aca="false">SUM(G14:G18)</f>
        <v>51574.821451825</v>
      </c>
      <c r="H19" s="47" t="n">
        <f aca="false">SUM(H14:H18)</f>
        <v>50390.26837145</v>
      </c>
      <c r="I19" s="47" t="n">
        <f aca="false">SUM(I14:I18)</f>
        <v>54232.970347725</v>
      </c>
      <c r="J19" s="47" t="n">
        <f aca="false">SUM(J14:J18)</f>
        <v>58408.125999475</v>
      </c>
      <c r="K19" s="47" t="n">
        <f aca="false">SUM(K14:K18)</f>
        <v>59093.834760075</v>
      </c>
      <c r="L19" s="47" t="n">
        <f aca="false">SUM(L14:L18)</f>
        <v>63782.902382</v>
      </c>
      <c r="M19" s="47" t="n">
        <f aca="false">SUM(M14:M18)</f>
        <v>57775.170045275</v>
      </c>
      <c r="N19" s="47" t="n">
        <f aca="false">SUM(N14:N18)</f>
        <v>63725.8812217</v>
      </c>
      <c r="O19" s="47" t="n">
        <f aca="false">SUM(C19:N19)</f>
        <v>649124.753556025</v>
      </c>
    </row>
    <row r="20" customFormat="false" ht="15" hidden="false" customHeight="false" outlineLevel="0" collapsed="false">
      <c r="B20" s="56" t="s">
        <v>24413</v>
      </c>
      <c r="C20" s="57" t="n">
        <f aca="false">C11-C19</f>
        <v>26273.459385</v>
      </c>
      <c r="D20" s="57" t="n">
        <f aca="false">D11-D19</f>
        <v>22718.2852555</v>
      </c>
      <c r="E20" s="57" t="n">
        <f aca="false">E11-E19</f>
        <v>25278.6406085</v>
      </c>
      <c r="F20" s="57" t="n">
        <f aca="false">F11-F19</f>
        <v>27405.2757745</v>
      </c>
      <c r="G20" s="57" t="n">
        <f aca="false">G11-G19</f>
        <v>27847.129548175</v>
      </c>
      <c r="H20" s="57" t="n">
        <f aca="false">H11-H19</f>
        <v>27041.23262855</v>
      </c>
      <c r="I20" s="57" t="n">
        <f aca="false">I11-I19</f>
        <v>28577.398152275</v>
      </c>
      <c r="J20" s="57" t="n">
        <f aca="false">J11-J19</f>
        <v>30950.839000525</v>
      </c>
      <c r="K20" s="57" t="n">
        <f aca="false">K11-K19</f>
        <v>30912.402239925</v>
      </c>
      <c r="L20" s="57" t="n">
        <f aca="false">L11-L19</f>
        <v>33873.426118</v>
      </c>
      <c r="M20" s="57" t="n">
        <f aca="false">M11-M19</f>
        <v>30127.988954725</v>
      </c>
      <c r="N20" s="57" t="n">
        <f aca="false">N11-N19</f>
        <v>33952.8427783</v>
      </c>
      <c r="O20" s="57" t="n">
        <f aca="false">SUM(C20:N20)</f>
        <v>344958.920443975</v>
      </c>
    </row>
    <row r="21" customFormat="false" ht="15" hidden="false" customHeight="false" outlineLevel="0" collapsed="false">
      <c r="B21" s="58" t="s">
        <v>24414</v>
      </c>
      <c r="C21" s="59" t="n">
        <f aca="false">IFERROR(C20/C11,0)</f>
        <v>0.345164706228562</v>
      </c>
      <c r="D21" s="59" t="n">
        <f aca="false">IFERROR(D20/D11,0)</f>
        <v>0.344740535063582</v>
      </c>
      <c r="E21" s="59" t="n">
        <f aca="false">IFERROR(E20/E11,0)</f>
        <v>0.348858335701962</v>
      </c>
      <c r="F21" s="59" t="n">
        <f aca="false">IFERROR(F20/F11,0)</f>
        <v>0.354361244352623</v>
      </c>
      <c r="G21" s="59" t="n">
        <f aca="false">IFERROR(G20/G11,0)</f>
        <v>0.350622582265387</v>
      </c>
      <c r="H21" s="59" t="n">
        <f aca="false">IFERROR(H20/H11,0)</f>
        <v>0.349227798497023</v>
      </c>
      <c r="I21" s="59" t="n">
        <f aca="false">IFERROR(I20/I11,0)</f>
        <v>0.345094444933849</v>
      </c>
      <c r="J21" s="59" t="n">
        <f aca="false">IFERROR(J20/J11,0)</f>
        <v>0.346365235995348</v>
      </c>
      <c r="K21" s="59" t="n">
        <f aca="false">IFERROR(K20/K11,0)</f>
        <v>0.343447335098844</v>
      </c>
      <c r="L21" s="59" t="n">
        <f aca="false">IFERROR(L20/L11,0)</f>
        <v>0.34686360462548</v>
      </c>
      <c r="M21" s="59" t="n">
        <f aca="false">IFERROR(M20/M11,0)</f>
        <v>0.342740685288967</v>
      </c>
      <c r="N21" s="59" t="n">
        <f aca="false">IFERROR(N20/N11,0)</f>
        <v>0.347597116218471</v>
      </c>
      <c r="O21" s="59" t="n">
        <f aca="false">IFERROR(O20/O11,0)</f>
        <v>0.347011956303363</v>
      </c>
    </row>
    <row r="22" customFormat="false" ht="15" hidden="false" customHeight="false" outlineLevel="0" collapsed="false">
      <c r="B22" s="48"/>
      <c r="C22" s="48"/>
      <c r="D22" s="48"/>
      <c r="E22" s="48"/>
      <c r="F22" s="48"/>
      <c r="G22" s="48"/>
      <c r="H22" s="48"/>
      <c r="I22" s="48"/>
      <c r="J22" s="48"/>
      <c r="K22" s="48"/>
      <c r="L22" s="48"/>
      <c r="M22" s="48"/>
      <c r="N22" s="48"/>
      <c r="O22" s="48"/>
    </row>
    <row r="23" customFormat="false" ht="15" hidden="false" customHeight="false" outlineLevel="0" collapsed="false">
      <c r="B23" s="12" t="s">
        <v>24415</v>
      </c>
      <c r="C23" s="54"/>
      <c r="D23" s="54"/>
      <c r="E23" s="54"/>
      <c r="F23" s="54"/>
      <c r="G23" s="54"/>
      <c r="H23" s="54"/>
      <c r="I23" s="54"/>
      <c r="J23" s="54"/>
      <c r="K23" s="54"/>
      <c r="L23" s="54"/>
      <c r="M23" s="54"/>
      <c r="N23" s="54"/>
      <c r="O23" s="54"/>
    </row>
    <row r="24" customFormat="false" ht="15" hidden="false" customHeight="false" outlineLevel="0" collapsed="false">
      <c r="B24" s="13" t="s">
        <v>24416</v>
      </c>
      <c r="C24" s="55" t="n">
        <f aca="false">'Overhead (Opex)'!C40</f>
        <v>23294.89</v>
      </c>
      <c r="D24" s="55" t="n">
        <f aca="false">'Overhead (Opex)'!D40</f>
        <v>23174.95</v>
      </c>
      <c r="E24" s="55" t="n">
        <f aca="false">'Overhead (Opex)'!E40</f>
        <v>23563.89</v>
      </c>
      <c r="F24" s="55" t="n">
        <f aca="false">'Overhead (Opex)'!F40</f>
        <v>23695.45</v>
      </c>
      <c r="G24" s="55" t="n">
        <f aca="false">'Overhead (Opex)'!G40</f>
        <v>23694.57</v>
      </c>
      <c r="H24" s="55" t="n">
        <f aca="false">'Overhead (Opex)'!H40</f>
        <v>23489.55</v>
      </c>
      <c r="I24" s="55" t="n">
        <f aca="false">'Overhead (Opex)'!I40</f>
        <v>23843.11</v>
      </c>
      <c r="J24" s="55" t="n">
        <f aca="false">'Overhead (Opex)'!J40</f>
        <v>23931.82</v>
      </c>
      <c r="K24" s="55" t="n">
        <f aca="false">'Overhead (Opex)'!K40</f>
        <v>24203.95</v>
      </c>
      <c r="L24" s="55" t="n">
        <f aca="false">'Overhead (Opex)'!L40</f>
        <v>24474.17</v>
      </c>
      <c r="M24" s="55" t="n">
        <f aca="false">'Overhead (Opex)'!M40</f>
        <v>24553.65</v>
      </c>
      <c r="N24" s="55" t="n">
        <f aca="false">'Overhead (Opex)'!N40</f>
        <v>24796.65</v>
      </c>
      <c r="O24" s="35" t="n">
        <f aca="false">SUM(C24:N24)</f>
        <v>286716.65</v>
      </c>
    </row>
    <row r="25" customFormat="false" ht="15" hidden="false" customHeight="false" outlineLevel="0" collapsed="false">
      <c r="B25" s="48"/>
      <c r="C25" s="48"/>
      <c r="D25" s="48"/>
      <c r="E25" s="48"/>
      <c r="F25" s="48"/>
      <c r="G25" s="48"/>
      <c r="H25" s="48"/>
      <c r="I25" s="48"/>
      <c r="J25" s="48"/>
      <c r="K25" s="48"/>
      <c r="L25" s="48"/>
      <c r="M25" s="48"/>
      <c r="N25" s="48"/>
      <c r="O25" s="48"/>
    </row>
    <row r="26" customFormat="false" ht="15" hidden="false" customHeight="false" outlineLevel="0" collapsed="false">
      <c r="B26" s="45" t="s">
        <v>24417</v>
      </c>
      <c r="C26" s="60" t="n">
        <f aca="false">C20-C24</f>
        <v>2978.569385</v>
      </c>
      <c r="D26" s="60" t="n">
        <f aca="false">D20-D24</f>
        <v>-456.664744500005</v>
      </c>
      <c r="E26" s="60" t="n">
        <f aca="false">E20-E24</f>
        <v>1714.75060849999</v>
      </c>
      <c r="F26" s="60" t="n">
        <f aca="false">F20-F24</f>
        <v>3709.8257745</v>
      </c>
      <c r="G26" s="60" t="n">
        <f aca="false">G20-G24</f>
        <v>4152.55954817501</v>
      </c>
      <c r="H26" s="60" t="n">
        <f aca="false">H20-H24</f>
        <v>3551.68262855</v>
      </c>
      <c r="I26" s="60" t="n">
        <f aca="false">I20-I24</f>
        <v>4734.288152275</v>
      </c>
      <c r="J26" s="60" t="n">
        <f aca="false">J20-J24</f>
        <v>7019.019000525</v>
      </c>
      <c r="K26" s="60" t="n">
        <f aca="false">K20-K24</f>
        <v>6708.45223992499</v>
      </c>
      <c r="L26" s="60" t="n">
        <f aca="false">L20-L24</f>
        <v>9399.25611800001</v>
      </c>
      <c r="M26" s="60" t="n">
        <f aca="false">M20-M24</f>
        <v>5574.338954725</v>
      </c>
      <c r="N26" s="60" t="n">
        <f aca="false">N20-N24</f>
        <v>9156.19277829999</v>
      </c>
      <c r="O26" s="60" t="n">
        <f aca="false">SUM(C26:N26)</f>
        <v>58242.270443975</v>
      </c>
    </row>
    <row r="27" customFormat="false" ht="15" hidden="false" customHeight="false" outlineLevel="0" collapsed="false">
      <c r="B27" s="58" t="s">
        <v>24418</v>
      </c>
      <c r="C27" s="59" t="n">
        <f aca="false">IFERROR(C26/C11,0)</f>
        <v>0.0391306303326723</v>
      </c>
      <c r="D27" s="59" t="n">
        <f aca="false">IFERROR(D26/D11,0)</f>
        <v>-0.00692969766833491</v>
      </c>
      <c r="E27" s="59" t="n">
        <f aca="false">IFERROR(E26/E11,0)</f>
        <v>0.0236644467038344</v>
      </c>
      <c r="F27" s="59" t="n">
        <f aca="false">IFERROR(F26/F11,0)</f>
        <v>0.0479695401936614</v>
      </c>
      <c r="G27" s="59" t="n">
        <f aca="false">IFERROR(G26/G11,0)</f>
        <v>0.0522847839405885</v>
      </c>
      <c r="H27" s="59" t="n">
        <f aca="false">IFERROR(H26/H11,0)</f>
        <v>0.0458687043733015</v>
      </c>
      <c r="I27" s="59" t="n">
        <f aca="false">IFERROR(I26/I11,0)</f>
        <v>0.057170234090614</v>
      </c>
      <c r="J27" s="59" t="n">
        <f aca="false">IFERROR(J26/J11,0)</f>
        <v>0.0785485709299005</v>
      </c>
      <c r="K27" s="59" t="n">
        <f aca="false">IFERROR(K26/K11,0)</f>
        <v>0.074533193071109</v>
      </c>
      <c r="L27" s="59" t="n">
        <f aca="false">IFERROR(L26/L11,0)</f>
        <v>0.0962483052800823</v>
      </c>
      <c r="M27" s="59" t="n">
        <f aca="false">IFERROR(M26/M11,0)</f>
        <v>0.0634145463955966</v>
      </c>
      <c r="N27" s="59" t="n">
        <f aca="false">IFERROR(N26/N11,0)</f>
        <v>0.0937378418078023</v>
      </c>
      <c r="O27" s="59" t="n">
        <f aca="false">IFERROR(O26/O11,0)</f>
        <v>0.058588901485143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B2: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8"/>
  </cols>
  <sheetData>
    <row r="2" customFormat="false" ht="17.35" hidden="false" customHeight="false" outlineLevel="0" collapsed="false">
      <c r="B2" s="1" t="s">
        <v>35</v>
      </c>
    </row>
    <row r="3" customFormat="false" ht="15" hidden="false" customHeight="false" outlineLevel="0" collapsed="false">
      <c r="B3" s="2" t="s">
        <v>24419</v>
      </c>
    </row>
    <row r="5" customFormat="false" ht="15" hidden="false" customHeight="false" outlineLevel="0" collapsed="false">
      <c r="B5" s="61" t="s">
        <v>278</v>
      </c>
      <c r="C5" s="62" t="n">
        <v>45658</v>
      </c>
    </row>
    <row r="6" customFormat="false" ht="15" hidden="false" customHeight="false" outlineLevel="0" collapsed="false">
      <c r="B6" s="61" t="s">
        <v>24420</v>
      </c>
      <c r="C6" s="62" t="n">
        <v>46022</v>
      </c>
    </row>
    <row r="7" customFormat="false" ht="15" hidden="false" customHeight="false" outlineLevel="0" collapsed="false">
      <c r="B7" s="63" t="s">
        <v>24421</v>
      </c>
      <c r="C7" s="48"/>
    </row>
    <row r="8" customFormat="false" ht="15" hidden="false" customHeight="false" outlineLevel="0" collapsed="false">
      <c r="B8" s="61" t="s">
        <v>24422</v>
      </c>
      <c r="C8" s="30" t="n">
        <f aca="false">C6-C5+1</f>
        <v>365</v>
      </c>
    </row>
    <row r="9" customFormat="false" ht="15" hidden="false" customHeight="false" outlineLevel="0" collapsed="false">
      <c r="B9" s="48"/>
      <c r="C9" s="48"/>
    </row>
    <row r="10" customFormat="false" ht="15" hidden="false" customHeight="false" outlineLevel="0" collapsed="false">
      <c r="B10" s="12" t="s">
        <v>24423</v>
      </c>
      <c r="C10" s="54"/>
      <c r="D10" s="64"/>
    </row>
    <row r="11" customFormat="false" ht="15" hidden="false" customHeight="false" outlineLevel="0" collapsed="false">
      <c r="B11" s="13" t="s">
        <v>24401</v>
      </c>
      <c r="C11" s="34" t="n">
        <f aca="false">SUMIFS('Daily Visit Register'!$L$6:$L$8129,'Daily Visit Register'!$C$6:$C$8129,"&gt;="&amp;'Custom Date-Range P&amp;L'!$C$5,'Daily Visit Register'!$C$6:$C$8129,"&lt;="&amp;'Custom Date-Range P&amp;L'!$C$6,'Daily Visit Register'!$E$6:$E$8129,"Medicaid Waiver")</f>
        <v>347342.284</v>
      </c>
    </row>
    <row r="12" customFormat="false" ht="15" hidden="false" customHeight="false" outlineLevel="0" collapsed="false">
      <c r="B12" s="13" t="s">
        <v>24402</v>
      </c>
      <c r="C12" s="34" t="n">
        <f aca="false">SUMIFS('Daily Visit Register'!$L$6:$L$8129,'Daily Visit Register'!$C$6:$C$8129,"&gt;="&amp;'Custom Date-Range P&amp;L'!$C$5,'Daily Visit Register'!$C$6:$C$8129,"&lt;="&amp;'Custom Date-Range P&amp;L'!$C$6,'Daily Visit Register'!$E$6:$E$8129,"Private Pay")</f>
        <v>426748.96</v>
      </c>
    </row>
    <row r="13" customFormat="false" ht="15" hidden="false" customHeight="false" outlineLevel="0" collapsed="false">
      <c r="B13" s="13" t="s">
        <v>24403</v>
      </c>
      <c r="C13" s="34" t="n">
        <f aca="false">SUMIFS('Daily Visit Register'!$L$6:$L$8129,'Daily Visit Register'!$C$6:$C$8129,"&gt;="&amp;'Custom Date-Range P&amp;L'!$C$5,'Daily Visit Register'!$C$6:$C$8129,"&lt;="&amp;'Custom Date-Range P&amp;L'!$C$6,'Daily Visit Register'!$E$6:$E$8129,"Medicare (Skilled)")</f>
        <v>145054.47</v>
      </c>
    </row>
    <row r="14" customFormat="false" ht="15" hidden="false" customHeight="false" outlineLevel="0" collapsed="false">
      <c r="B14" s="13" t="s">
        <v>24404</v>
      </c>
      <c r="C14" s="34" t="n">
        <f aca="false">SUMIFS('Daily Visit Register'!$L$6:$L$8129,'Daily Visit Register'!$C$6:$C$8129,"&gt;="&amp;'Custom Date-Range P&amp;L'!$C$5,'Daily Visit Register'!$C$6:$C$8129,"&lt;="&amp;'Custom Date-Range P&amp;L'!$C$6,'Daily Visit Register'!$E$6:$E$8129,"Private Insurance")</f>
        <v>74937.96</v>
      </c>
    </row>
    <row r="15" customFormat="false" ht="15" hidden="false" customHeight="false" outlineLevel="0" collapsed="false">
      <c r="B15" s="46" t="s">
        <v>24405</v>
      </c>
      <c r="C15" s="47" t="n">
        <f aca="false">SUM(C11:C14)</f>
        <v>994083.674</v>
      </c>
    </row>
    <row r="16" customFormat="false" ht="15" hidden="false" customHeight="false" outlineLevel="0" collapsed="false">
      <c r="B16" s="48"/>
      <c r="C16" s="48"/>
    </row>
    <row r="17" customFormat="false" ht="15" hidden="false" customHeight="false" outlineLevel="0" collapsed="false">
      <c r="B17" s="12" t="s">
        <v>24406</v>
      </c>
      <c r="C17" s="54"/>
      <c r="D17" s="64"/>
    </row>
    <row r="18" customFormat="false" ht="15" hidden="false" customHeight="false" outlineLevel="0" collapsed="false">
      <c r="B18" s="13" t="s">
        <v>24424</v>
      </c>
      <c r="C18" s="34" t="n">
        <f aca="false">SUMIFS('Daily Payroll Register'!$I$6:$I$5978,'Daily Payroll Register'!$C$6:$C$5978,"&gt;="&amp;'Custom Date-Range P&amp;L'!$C$5,'Daily Payroll Register'!$C$6:$C$5978,"&lt;="&amp;'Custom Date-Range P&amp;L'!$C$6)</f>
        <v>416343.99271</v>
      </c>
    </row>
    <row r="19" customFormat="false" ht="15" hidden="false" customHeight="false" outlineLevel="0" collapsed="false">
      <c r="B19" s="13" t="s">
        <v>24425</v>
      </c>
      <c r="C19" s="34" t="n">
        <f aca="false">SUMIFS('Daily Payroll Register'!$J$6:$J$5978,'Daily Payroll Register'!$C$6:$C$5978,"&gt;="&amp;'Custom Date-Range P&amp;L'!$C$5,'Daily Payroll Register'!$C$6:$C$5978,"&lt;="&amp;'Custom Date-Range P&amp;L'!$C$6)</f>
        <v>5959.905435</v>
      </c>
    </row>
    <row r="20" customFormat="false" ht="15" hidden="false" customHeight="false" outlineLevel="0" collapsed="false">
      <c r="B20" s="13" t="s">
        <v>24409</v>
      </c>
      <c r="C20" s="34" t="n">
        <f aca="false">SUMIFS('Daily Payroll Register'!$L$6:$L$5978,'Daily Payroll Register'!$C$6:$C$5978,"&gt;="&amp;'Custom Date-Range P&amp;L'!$C$5,'Daily Payroll Register'!$C$6:$C$5978,"&lt;="&amp;'Custom Date-Range P&amp;L'!$C$6)</f>
        <v>49895.034</v>
      </c>
    </row>
    <row r="21" customFormat="false" ht="15" hidden="false" customHeight="false" outlineLevel="0" collapsed="false">
      <c r="B21" s="13" t="s">
        <v>24426</v>
      </c>
      <c r="C21" s="34" t="n">
        <f aca="false">SUMIFS('Daily Payroll Register'!$N$6:$N$5978,'Daily Payroll Register'!$C$6:$C$5978,"&gt;="&amp;'Custom Date-Range P&amp;L'!$C$5,'Daily Payroll Register'!$C$6:$C$5978,"&lt;="&amp;'Custom Date-Range P&amp;L'!$C$6)</f>
        <v>94722.25</v>
      </c>
    </row>
    <row r="22" customFormat="false" ht="15" hidden="false" customHeight="false" outlineLevel="0" collapsed="false">
      <c r="B22" s="13" t="s">
        <v>24427</v>
      </c>
      <c r="C22" s="34" t="n">
        <f aca="false">SUM(C18:C21)</f>
        <v>566921.182145</v>
      </c>
    </row>
    <row r="23" customFormat="false" ht="15" hidden="false" customHeight="false" outlineLevel="0" collapsed="false">
      <c r="B23" s="13" t="s">
        <v>24411</v>
      </c>
      <c r="C23" s="34" t="n">
        <f aca="false">C22*'Chart of Accounts'!$E$67</f>
        <v>82203.571411025</v>
      </c>
    </row>
    <row r="24" customFormat="false" ht="15" hidden="false" customHeight="false" outlineLevel="0" collapsed="false">
      <c r="B24" s="46" t="s">
        <v>24412</v>
      </c>
      <c r="C24" s="47" t="n">
        <f aca="false">C22+C23</f>
        <v>649124.753556025</v>
      </c>
    </row>
    <row r="25" customFormat="false" ht="15" hidden="false" customHeight="false" outlineLevel="0" collapsed="false">
      <c r="B25" s="56" t="s">
        <v>24413</v>
      </c>
      <c r="C25" s="57" t="n">
        <f aca="false">C15-C24</f>
        <v>344958.920443975</v>
      </c>
    </row>
    <row r="26" customFormat="false" ht="15" hidden="false" customHeight="false" outlineLevel="0" collapsed="false">
      <c r="B26" s="58" t="s">
        <v>24414</v>
      </c>
      <c r="C26" s="59" t="n">
        <f aca="false">IFERROR(C25/C15,0)</f>
        <v>0.347011956303363</v>
      </c>
    </row>
    <row r="27" customFormat="false" ht="15" hidden="false" customHeight="false" outlineLevel="0" collapsed="false">
      <c r="B27" s="48"/>
      <c r="C27" s="48"/>
    </row>
    <row r="28" customFormat="false" ht="15" hidden="false" customHeight="false" outlineLevel="0" collapsed="false">
      <c r="B28" s="12" t="s">
        <v>24428</v>
      </c>
      <c r="C28" s="54"/>
      <c r="D28" s="64"/>
    </row>
    <row r="29" customFormat="false" ht="23.85" hidden="false" customHeight="false" outlineLevel="0" collapsed="false">
      <c r="B29" s="65" t="s">
        <v>24429</v>
      </c>
      <c r="C29" s="34" t="n">
        <f aca="false">SUMIFS('Daily Overhead Register'!$E$6:$E$838,'Daily Overhead Register'!$C$6:$C$838,"&gt;="&amp;'Custom Date-Range P&amp;L'!$C$5,'Daily Overhead Register'!$C$6:$C$838,"&lt;="&amp;'Custom Date-Range P&amp;L'!$C$6)</f>
        <v>286716.65</v>
      </c>
    </row>
    <row r="30" customFormat="false" ht="15" hidden="false" customHeight="false" outlineLevel="0" collapsed="false">
      <c r="B30" s="48"/>
      <c r="C30" s="48"/>
    </row>
    <row r="31" customFormat="false" ht="15" hidden="false" customHeight="false" outlineLevel="0" collapsed="false">
      <c r="B31" s="45" t="s">
        <v>24430</v>
      </c>
      <c r="C31" s="60" t="n">
        <f aca="false">C25-C29</f>
        <v>58242.270443975</v>
      </c>
    </row>
    <row r="32" customFormat="false" ht="15" hidden="false" customHeight="false" outlineLevel="0" collapsed="false">
      <c r="B32" s="58" t="s">
        <v>24418</v>
      </c>
      <c r="C32" s="59" t="n">
        <f aca="false">IFERROR(C31/C15,0)</f>
        <v>0.058588901485143</v>
      </c>
    </row>
    <row r="34" customFormat="false" ht="15" hidden="false" customHeight="false" outlineLevel="0" collapsed="false">
      <c r="B34" s="3" t="s">
        <v>24431</v>
      </c>
    </row>
    <row r="35" customFormat="false" ht="54.75" hidden="false" customHeight="true" outlineLevel="0" collapsed="false">
      <c r="B35" s="66" t="s">
        <v>24432</v>
      </c>
      <c r="C35" s="66"/>
      <c r="D35" s="66"/>
      <c r="E35" s="66"/>
      <c r="F35" s="66"/>
    </row>
  </sheetData>
  <mergeCells count="1">
    <mergeCell ref="B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B2:N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14" min="3" style="0" width="12"/>
  </cols>
  <sheetData>
    <row r="2" customFormat="false" ht="17.35" hidden="false" customHeight="false" outlineLevel="0" collapsed="false">
      <c r="B2" s="1" t="s">
        <v>24433</v>
      </c>
    </row>
    <row r="3" customFormat="false" ht="15" hidden="false" customHeight="false" outlineLevel="0" collapsed="false">
      <c r="B3" s="2" t="s">
        <v>24434</v>
      </c>
    </row>
    <row r="5" customFormat="false" ht="15" hidden="false" customHeight="false" outlineLevel="0" collapsed="false">
      <c r="B5" s="45"/>
      <c r="C5" s="11" t="s">
        <v>469</v>
      </c>
      <c r="D5" s="11" t="s">
        <v>470</v>
      </c>
      <c r="E5" s="11" t="s">
        <v>471</v>
      </c>
      <c r="F5" s="11" t="s">
        <v>472</v>
      </c>
      <c r="G5" s="11" t="s">
        <v>473</v>
      </c>
      <c r="H5" s="11" t="s">
        <v>474</v>
      </c>
      <c r="I5" s="11" t="s">
        <v>475</v>
      </c>
      <c r="J5" s="11" t="s">
        <v>476</v>
      </c>
      <c r="K5" s="11" t="s">
        <v>477</v>
      </c>
      <c r="L5" s="11" t="s">
        <v>478</v>
      </c>
      <c r="M5" s="11" t="s">
        <v>479</v>
      </c>
      <c r="N5" s="11" t="s">
        <v>480</v>
      </c>
    </row>
    <row r="6" customFormat="false" ht="15" hidden="false" customHeight="false" outlineLevel="0" collapsed="false">
      <c r="B6" s="12" t="s">
        <v>24435</v>
      </c>
      <c r="C6" s="54"/>
      <c r="D6" s="54"/>
      <c r="E6" s="54"/>
      <c r="F6" s="54"/>
      <c r="G6" s="54"/>
      <c r="H6" s="54"/>
      <c r="I6" s="54"/>
      <c r="J6" s="54"/>
      <c r="K6" s="54"/>
      <c r="L6" s="54"/>
      <c r="M6" s="54"/>
      <c r="N6" s="54"/>
    </row>
    <row r="7" customFormat="false" ht="15" hidden="false" customHeight="false" outlineLevel="0" collapsed="false">
      <c r="B7" s="13" t="s">
        <v>24436</v>
      </c>
      <c r="C7" s="55" t="n">
        <f aca="false">'Cash Flow'!C19</f>
        <v>13000.144385</v>
      </c>
      <c r="D7" s="55" t="n">
        <f aca="false">'Cash Flow'!D19</f>
        <v>13142.0161405</v>
      </c>
      <c r="E7" s="55" t="n">
        <f aca="false">'Cash Flow'!E19</f>
        <v>13467.058749</v>
      </c>
      <c r="F7" s="55" t="n">
        <f aca="false">'Cash Flow'!F19</f>
        <v>14491.7810235</v>
      </c>
      <c r="G7" s="55" t="n">
        <f aca="false">'Cash Flow'!G19</f>
        <v>15057.089571675</v>
      </c>
      <c r="H7" s="55" t="n">
        <f aca="false">'Cash Flow'!H19</f>
        <v>21436.991200225</v>
      </c>
      <c r="I7" s="55" t="n">
        <f aca="false">'Cash Flow'!I19</f>
        <v>23037.7008525</v>
      </c>
      <c r="J7" s="55" t="n">
        <f aca="false">'Cash Flow'!J19</f>
        <v>15500.994853025</v>
      </c>
      <c r="K7" s="55" t="n">
        <f aca="false">'Cash Flow'!K19</f>
        <v>16018.59009295</v>
      </c>
      <c r="L7" s="55" t="n">
        <f aca="false">'Cash Flow'!L19</f>
        <v>16555.17771095</v>
      </c>
      <c r="M7" s="55" t="n">
        <f aca="false">'Cash Flow'!M19</f>
        <v>26527.887665675</v>
      </c>
      <c r="N7" s="55" t="n">
        <f aca="false">'Cash Flow'!N19</f>
        <v>27877.796443975</v>
      </c>
    </row>
    <row r="8" customFormat="false" ht="15" hidden="false" customHeight="false" outlineLevel="0" collapsed="false">
      <c r="B8" s="13" t="s">
        <v>24437</v>
      </c>
      <c r="C8" s="55" t="n">
        <f aca="false">'AR Aging'!C17</f>
        <v>54330.955</v>
      </c>
      <c r="D8" s="55" t="n">
        <f aca="false">'AR Aging'!D17</f>
        <v>77687.9885</v>
      </c>
      <c r="E8" s="55" t="n">
        <f aca="false">'AR Aging'!E17</f>
        <v>87420.3365</v>
      </c>
      <c r="F8" s="55" t="n">
        <f aca="false">'AR Aging'!F17</f>
        <v>90957.94</v>
      </c>
      <c r="G8" s="55" t="n">
        <f aca="false">'AR Aging'!G17</f>
        <v>94386.171</v>
      </c>
      <c r="H8" s="55" t="n">
        <f aca="false">'AR Aging'!H17</f>
        <v>94164.802</v>
      </c>
      <c r="I8" s="55" t="n">
        <f aca="false">'AR Aging'!I17</f>
        <v>99640.4205</v>
      </c>
      <c r="J8" s="55" t="n">
        <f aca="false">'AR Aging'!J17</f>
        <v>104630.4955</v>
      </c>
      <c r="K8" s="55" t="n">
        <f aca="false">'AR Aging'!K17</f>
        <v>115760.2125</v>
      </c>
      <c r="L8" s="55" t="n">
        <f aca="false">'AR Aging'!L17</f>
        <v>122606.741</v>
      </c>
      <c r="M8" s="55" t="n">
        <f aca="false">'AR Aging'!M17</f>
        <v>121934.34</v>
      </c>
      <c r="N8" s="55" t="n">
        <f aca="false">'AR Aging'!N17</f>
        <v>123536.374</v>
      </c>
    </row>
    <row r="9" customFormat="false" ht="15" hidden="false" customHeight="false" outlineLevel="0" collapsed="false">
      <c r="B9" s="13" t="s">
        <v>24438</v>
      </c>
      <c r="C9" s="34" t="n">
        <f aca="false">SUMIFS('Fixed Asset Register'!$F$6:$F$17,'Fixed Asset Register'!$E$6:$E$17,"&lt;"&amp;DATE(2025,2,1))</f>
        <v>72900</v>
      </c>
      <c r="D9" s="34" t="n">
        <f aca="false">SUMIFS('Fixed Asset Register'!$F$6:$F$17,'Fixed Asset Register'!$E$6:$E$17,"&lt;"&amp;DATE(2025,3,1))</f>
        <v>75700</v>
      </c>
      <c r="E9" s="34" t="n">
        <f aca="false">SUMIFS('Fixed Asset Register'!$F$6:$F$17,'Fixed Asset Register'!$E$6:$E$17,"&lt;"&amp;DATE(2025,4,1))</f>
        <v>79300</v>
      </c>
      <c r="F9" s="34" t="n">
        <f aca="false">SUMIFS('Fixed Asset Register'!$F$6:$F$17,'Fixed Asset Register'!$E$6:$E$17,"&lt;"&amp;DATE(2025,5,1))</f>
        <v>81150</v>
      </c>
      <c r="G9" s="34" t="n">
        <f aca="false">SUMIFS('Fixed Asset Register'!$F$6:$F$17,'Fixed Asset Register'!$E$6:$E$17,"&lt;"&amp;DATE(2025,6,1))</f>
        <v>83550</v>
      </c>
      <c r="H9" s="34" t="n">
        <f aca="false">SUMIFS('Fixed Asset Register'!$F$6:$F$17,'Fixed Asset Register'!$E$6:$E$17,"&lt;"&amp;DATE(2025,7,1))</f>
        <v>83550</v>
      </c>
      <c r="I9" s="34" t="n">
        <f aca="false">SUMIFS('Fixed Asset Register'!$F$6:$F$17,'Fixed Asset Register'!$E$6:$E$17,"&lt;"&amp;DATE(2025,8,1))</f>
        <v>83550</v>
      </c>
      <c r="J9" s="34" t="n">
        <f aca="false">SUMIFS('Fixed Asset Register'!$F$6:$F$17,'Fixed Asset Register'!$E$6:$E$17,"&lt;"&amp;DATE(2025,9,1))</f>
        <v>110050</v>
      </c>
      <c r="K9" s="34" t="n">
        <f aca="false">SUMIFS('Fixed Asset Register'!$F$6:$F$17,'Fixed Asset Register'!$E$6:$E$17,"&lt;"&amp;DATE(2025,10,1))</f>
        <v>110050</v>
      </c>
      <c r="L9" s="34" t="n">
        <f aca="false">SUMIFS('Fixed Asset Register'!$F$6:$F$17,'Fixed Asset Register'!$E$6:$E$17,"&lt;"&amp;DATE(2025,11,1))</f>
        <v>131050</v>
      </c>
      <c r="M9" s="34" t="n">
        <f aca="false">SUMIFS('Fixed Asset Register'!$F$6:$F$17,'Fixed Asset Register'!$E$6:$E$17,"&lt;"&amp;DATE(2025,12,1))</f>
        <v>131050</v>
      </c>
      <c r="N9" s="34" t="n">
        <f aca="false">SUMIFS('Fixed Asset Register'!$F$6:$F$17,'Fixed Asset Register'!$E$6:$E$17,"&lt;"&amp;DATE(2026,1,1))</f>
        <v>131050</v>
      </c>
    </row>
    <row r="10" customFormat="false" ht="15" hidden="false" customHeight="false" outlineLevel="0" collapsed="false">
      <c r="B10" s="13" t="s">
        <v>24439</v>
      </c>
      <c r="C10" s="34" t="n">
        <f aca="false">-SUM('Fixed Asset Register'!C23:C23)</f>
        <v>-1123.42</v>
      </c>
      <c r="D10" s="34" t="n">
        <f aca="false">-SUM('Fixed Asset Register'!C23:D23)</f>
        <v>-2324.62</v>
      </c>
      <c r="E10" s="34" t="n">
        <f aca="false">-SUM('Fixed Asset Register'!C23:E23)</f>
        <v>-3625.82</v>
      </c>
      <c r="F10" s="34" t="n">
        <f aca="false">-SUM('Fixed Asset Register'!C23:F23)</f>
        <v>-4957.85</v>
      </c>
      <c r="G10" s="34" t="n">
        <f aca="false">-SUM('Fixed Asset Register'!C23:G23)</f>
        <v>-6339.88</v>
      </c>
      <c r="H10" s="34" t="n">
        <f aca="false">-SUM('Fixed Asset Register'!C23:H23)</f>
        <v>-7721.91</v>
      </c>
      <c r="I10" s="34" t="n">
        <f aca="false">-SUM('Fixed Asset Register'!C23:I23)</f>
        <v>-9103.94</v>
      </c>
      <c r="J10" s="34" t="n">
        <f aca="false">-SUM('Fixed Asset Register'!C23:J23)</f>
        <v>-10869.3</v>
      </c>
      <c r="K10" s="34" t="n">
        <f aca="false">-SUM('Fixed Asset Register'!C23:K23)</f>
        <v>-12634.66</v>
      </c>
      <c r="L10" s="34" t="n">
        <f aca="false">-SUM('Fixed Asset Register'!C23:L23)</f>
        <v>-14700.02</v>
      </c>
      <c r="M10" s="34" t="n">
        <f aca="false">-SUM('Fixed Asset Register'!C23:M23)</f>
        <v>-16765.38</v>
      </c>
      <c r="N10" s="34" t="n">
        <f aca="false">-SUM('Fixed Asset Register'!C23:N23)</f>
        <v>-18830.74</v>
      </c>
    </row>
    <row r="11" customFormat="false" ht="15" hidden="false" customHeight="false" outlineLevel="0" collapsed="false">
      <c r="B11" s="61" t="s">
        <v>24440</v>
      </c>
      <c r="C11" s="35" t="n">
        <f aca="false">C9+C10</f>
        <v>71776.58</v>
      </c>
      <c r="D11" s="35" t="n">
        <f aca="false">D9+D10</f>
        <v>73375.38</v>
      </c>
      <c r="E11" s="35" t="n">
        <f aca="false">E9+E10</f>
        <v>75674.18</v>
      </c>
      <c r="F11" s="35" t="n">
        <f aca="false">F9+F10</f>
        <v>76192.15</v>
      </c>
      <c r="G11" s="35" t="n">
        <f aca="false">G9+G10</f>
        <v>77210.12</v>
      </c>
      <c r="H11" s="35" t="n">
        <f aca="false">H9+H10</f>
        <v>75828.09</v>
      </c>
      <c r="I11" s="35" t="n">
        <f aca="false">I9+I10</f>
        <v>74446.06</v>
      </c>
      <c r="J11" s="35" t="n">
        <f aca="false">J9+J10</f>
        <v>99180.7</v>
      </c>
      <c r="K11" s="35" t="n">
        <f aca="false">K9+K10</f>
        <v>97415.34</v>
      </c>
      <c r="L11" s="35" t="n">
        <f aca="false">L9+L10</f>
        <v>116349.98</v>
      </c>
      <c r="M11" s="35" t="n">
        <f aca="false">M9+M10</f>
        <v>114284.62</v>
      </c>
      <c r="N11" s="35" t="n">
        <f aca="false">N9+N10</f>
        <v>112219.26</v>
      </c>
    </row>
    <row r="12" customFormat="false" ht="15" hidden="false" customHeight="false" outlineLevel="0" collapsed="false">
      <c r="B12" s="13" t="s">
        <v>24441</v>
      </c>
      <c r="C12" s="32" t="n">
        <v>14850</v>
      </c>
      <c r="D12" s="32" t="n">
        <v>13900</v>
      </c>
      <c r="E12" s="32" t="n">
        <v>12950</v>
      </c>
      <c r="F12" s="32" t="n">
        <v>12000</v>
      </c>
      <c r="G12" s="32" t="n">
        <v>11050</v>
      </c>
      <c r="H12" s="32" t="n">
        <v>10100</v>
      </c>
      <c r="I12" s="32" t="n">
        <v>9150</v>
      </c>
      <c r="J12" s="32" t="n">
        <v>8200</v>
      </c>
      <c r="K12" s="32" t="n">
        <v>7250</v>
      </c>
      <c r="L12" s="32" t="n">
        <v>6300</v>
      </c>
      <c r="M12" s="32" t="n">
        <v>5350</v>
      </c>
      <c r="N12" s="32" t="n">
        <v>4400</v>
      </c>
    </row>
    <row r="13" customFormat="false" ht="15" hidden="false" customHeight="false" outlineLevel="0" collapsed="false">
      <c r="B13" s="46" t="s">
        <v>24442</v>
      </c>
      <c r="C13" s="47" t="n">
        <f aca="false">C7+C8+C11+C12</f>
        <v>153957.679385</v>
      </c>
      <c r="D13" s="47" t="n">
        <f aca="false">D7+D8+D11+D12</f>
        <v>178105.3846405</v>
      </c>
      <c r="E13" s="47" t="n">
        <f aca="false">E7+E8+E11+E12</f>
        <v>189511.575249</v>
      </c>
      <c r="F13" s="47" t="n">
        <f aca="false">F7+F8+F11+F12</f>
        <v>193641.8710235</v>
      </c>
      <c r="G13" s="47" t="n">
        <f aca="false">G7+G8+G11+G12</f>
        <v>197703.380571675</v>
      </c>
      <c r="H13" s="47" t="n">
        <f aca="false">H7+H8+H11+H12</f>
        <v>201529.883200225</v>
      </c>
      <c r="I13" s="47" t="n">
        <f aca="false">I7+I8+I11+I12</f>
        <v>206274.1813525</v>
      </c>
      <c r="J13" s="47" t="n">
        <f aca="false">J7+J8+J11+J12</f>
        <v>227512.190353025</v>
      </c>
      <c r="K13" s="47" t="n">
        <f aca="false">K7+K8+K11+K12</f>
        <v>236444.14259295</v>
      </c>
      <c r="L13" s="47" t="n">
        <f aca="false">L7+L8+L11+L12</f>
        <v>261811.89871095</v>
      </c>
      <c r="M13" s="47" t="n">
        <f aca="false">M7+M8+M11+M12</f>
        <v>268096.847665675</v>
      </c>
      <c r="N13" s="47" t="n">
        <f aca="false">N7+N8+N11+N12</f>
        <v>268033.430443975</v>
      </c>
    </row>
    <row r="14" customFormat="false" ht="15" hidden="false" customHeight="false" outlineLevel="0" collapsed="false">
      <c r="B14" s="48"/>
      <c r="C14" s="48"/>
      <c r="D14" s="48"/>
      <c r="E14" s="48"/>
      <c r="F14" s="48"/>
      <c r="G14" s="48"/>
      <c r="H14" s="48"/>
      <c r="I14" s="48"/>
      <c r="J14" s="48"/>
      <c r="K14" s="48"/>
      <c r="L14" s="48"/>
      <c r="M14" s="48"/>
      <c r="N14" s="48"/>
    </row>
    <row r="15" customFormat="false" ht="15" hidden="false" customHeight="false" outlineLevel="0" collapsed="false">
      <c r="B15" s="12" t="s">
        <v>24443</v>
      </c>
      <c r="C15" s="54"/>
      <c r="D15" s="54"/>
      <c r="E15" s="54"/>
      <c r="F15" s="54"/>
      <c r="G15" s="54"/>
      <c r="H15" s="54"/>
      <c r="I15" s="54"/>
      <c r="J15" s="54"/>
      <c r="K15" s="54"/>
      <c r="L15" s="54"/>
      <c r="M15" s="54"/>
      <c r="N15" s="54"/>
    </row>
    <row r="16" customFormat="false" ht="15" hidden="false" customHeight="false" outlineLevel="0" collapsed="false">
      <c r="B16" s="13" t="s">
        <v>24444</v>
      </c>
      <c r="C16" s="55" t="n">
        <f aca="false">'Line of Credit'!C10</f>
        <v>18409.06</v>
      </c>
      <c r="D16" s="55" t="n">
        <f aca="false">'Line of Credit'!D10</f>
        <v>42156.3</v>
      </c>
      <c r="E16" s="55" t="n">
        <f aca="false">'Line of Credit'!E10</f>
        <v>52766.36</v>
      </c>
      <c r="F16" s="55" t="n">
        <f aca="false">'Line of Credit'!F10</f>
        <v>52766.36</v>
      </c>
      <c r="G16" s="55" t="n">
        <f aca="false">'Line of Credit'!G10</f>
        <v>52766.36</v>
      </c>
      <c r="H16" s="55" t="n">
        <f aca="false">'Line of Credit'!H10</f>
        <v>52766.36</v>
      </c>
      <c r="I16" s="55" t="n">
        <f aca="false">'Line of Credit'!I10</f>
        <v>52766.36</v>
      </c>
      <c r="J16" s="55" t="n">
        <f aca="false">'Line of Credit'!J10</f>
        <v>67155.23</v>
      </c>
      <c r="K16" s="55" t="n">
        <f aca="false">'Line of Credit'!K10</f>
        <v>69605.77</v>
      </c>
      <c r="L16" s="55" t="n">
        <f aca="false">'Line of Credit'!L10</f>
        <v>85797.77</v>
      </c>
      <c r="M16" s="55" t="n">
        <f aca="false">'Line of Credit'!M10</f>
        <v>85797.77</v>
      </c>
      <c r="N16" s="55" t="n">
        <f aca="false">'Line of Credit'!N10</f>
        <v>76494.02</v>
      </c>
    </row>
    <row r="17" customFormat="false" ht="15" hidden="false" customHeight="false" outlineLevel="0" collapsed="false">
      <c r="B17" s="13" t="s">
        <v>24445</v>
      </c>
      <c r="C17" s="32" t="n">
        <v>2570.05</v>
      </c>
      <c r="D17" s="32" t="n">
        <v>3427.18</v>
      </c>
      <c r="E17" s="32" t="n">
        <v>2508.56</v>
      </c>
      <c r="F17" s="32" t="n">
        <v>2929.03</v>
      </c>
      <c r="G17" s="32" t="n">
        <v>2837.98</v>
      </c>
      <c r="H17" s="32" t="n">
        <v>3112.8</v>
      </c>
      <c r="I17" s="32" t="n">
        <v>3122.81</v>
      </c>
      <c r="J17" s="32" t="n">
        <v>2952.93</v>
      </c>
      <c r="K17" s="32" t="n">
        <v>2725.89</v>
      </c>
      <c r="L17" s="32" t="n">
        <v>2502.39</v>
      </c>
      <c r="M17" s="32" t="n">
        <v>3213</v>
      </c>
      <c r="N17" s="32" t="n">
        <v>3297.14</v>
      </c>
    </row>
    <row r="18" customFormat="false" ht="15" hidden="false" customHeight="false" outlineLevel="0" collapsed="false">
      <c r="B18" s="46" t="s">
        <v>24446</v>
      </c>
      <c r="C18" s="47" t="n">
        <f aca="false">C16+C17</f>
        <v>20979.11</v>
      </c>
      <c r="D18" s="47" t="n">
        <f aca="false">D16+D17</f>
        <v>45583.48</v>
      </c>
      <c r="E18" s="47" t="n">
        <f aca="false">E16+E17</f>
        <v>55274.92</v>
      </c>
      <c r="F18" s="47" t="n">
        <f aca="false">F16+F17</f>
        <v>55695.39</v>
      </c>
      <c r="G18" s="47" t="n">
        <f aca="false">G16+G17</f>
        <v>55604.34</v>
      </c>
      <c r="H18" s="47" t="n">
        <f aca="false">H16+H17</f>
        <v>55879.16</v>
      </c>
      <c r="I18" s="47" t="n">
        <f aca="false">I16+I17</f>
        <v>55889.17</v>
      </c>
      <c r="J18" s="47" t="n">
        <f aca="false">J16+J17</f>
        <v>70108.16</v>
      </c>
      <c r="K18" s="47" t="n">
        <f aca="false">K16+K17</f>
        <v>72331.66</v>
      </c>
      <c r="L18" s="47" t="n">
        <f aca="false">L16+L17</f>
        <v>88300.16</v>
      </c>
      <c r="M18" s="47" t="n">
        <f aca="false">M16+M17</f>
        <v>89010.77</v>
      </c>
      <c r="N18" s="47" t="n">
        <f aca="false">N16+N17</f>
        <v>79791.16</v>
      </c>
    </row>
    <row r="19" customFormat="false" ht="15" hidden="false" customHeight="false" outlineLevel="0" collapsed="false">
      <c r="B19" s="48"/>
      <c r="C19" s="48"/>
      <c r="D19" s="48"/>
      <c r="E19" s="48"/>
      <c r="F19" s="48"/>
      <c r="G19" s="48"/>
      <c r="H19" s="48"/>
      <c r="I19" s="48"/>
      <c r="J19" s="48"/>
      <c r="K19" s="48"/>
      <c r="L19" s="48"/>
      <c r="M19" s="48"/>
      <c r="N19" s="48"/>
    </row>
    <row r="20" customFormat="false" ht="15" hidden="false" customHeight="false" outlineLevel="0" collapsed="false">
      <c r="B20" s="12" t="s">
        <v>24447</v>
      </c>
      <c r="C20" s="54"/>
      <c r="D20" s="54"/>
      <c r="E20" s="54"/>
      <c r="F20" s="54"/>
      <c r="G20" s="54"/>
      <c r="H20" s="54"/>
      <c r="I20" s="54"/>
      <c r="J20" s="54"/>
      <c r="K20" s="54"/>
      <c r="L20" s="54"/>
      <c r="M20" s="54"/>
      <c r="N20" s="54"/>
    </row>
    <row r="21" customFormat="false" ht="15" hidden="false" customHeight="false" outlineLevel="0" collapsed="false">
      <c r="B21" s="13" t="s">
        <v>24448</v>
      </c>
      <c r="C21" s="55" t="n">
        <f aca="false">'Chart of Accounts'!$E$70</f>
        <v>130000</v>
      </c>
      <c r="D21" s="55" t="n">
        <f aca="false">'Chart of Accounts'!$E$70</f>
        <v>130000</v>
      </c>
      <c r="E21" s="55" t="n">
        <f aca="false">'Chart of Accounts'!$E$70</f>
        <v>130000</v>
      </c>
      <c r="F21" s="55" t="n">
        <f aca="false">'Chart of Accounts'!$E$70</f>
        <v>130000</v>
      </c>
      <c r="G21" s="55" t="n">
        <f aca="false">'Chart of Accounts'!$E$70</f>
        <v>130000</v>
      </c>
      <c r="H21" s="55" t="n">
        <f aca="false">'Chart of Accounts'!$E$70</f>
        <v>130000</v>
      </c>
      <c r="I21" s="55" t="n">
        <f aca="false">'Chart of Accounts'!$E$70</f>
        <v>130000</v>
      </c>
      <c r="J21" s="55" t="n">
        <f aca="false">'Chart of Accounts'!$E$70</f>
        <v>130000</v>
      </c>
      <c r="K21" s="55" t="n">
        <f aca="false">'Chart of Accounts'!$E$70</f>
        <v>130000</v>
      </c>
      <c r="L21" s="55" t="n">
        <f aca="false">'Chart of Accounts'!$E$70</f>
        <v>130000</v>
      </c>
      <c r="M21" s="55" t="n">
        <f aca="false">'Chart of Accounts'!$E$70</f>
        <v>130000</v>
      </c>
      <c r="N21" s="55" t="n">
        <f aca="false">'Chart of Accounts'!$E$70</f>
        <v>130000</v>
      </c>
    </row>
    <row r="22" customFormat="false" ht="15" hidden="false" customHeight="false" outlineLevel="0" collapsed="false">
      <c r="B22" s="13" t="s">
        <v>24449</v>
      </c>
      <c r="C22" s="55" t="n">
        <f aca="false">SUM('Monthly P&amp;L'!C26:C26)</f>
        <v>2978.569385</v>
      </c>
      <c r="D22" s="55" t="n">
        <f aca="false">SUM('Monthly P&amp;L'!C26:D26)</f>
        <v>2521.9046405</v>
      </c>
      <c r="E22" s="55" t="n">
        <f aca="false">SUM('Monthly P&amp;L'!C26:E26)</f>
        <v>4236.65524899999</v>
      </c>
      <c r="F22" s="55" t="n">
        <f aca="false">SUM('Monthly P&amp;L'!C26:F26)</f>
        <v>7946.48102349999</v>
      </c>
      <c r="G22" s="55" t="n">
        <f aca="false">SUM('Monthly P&amp;L'!C26:G26)</f>
        <v>12099.040571675</v>
      </c>
      <c r="H22" s="55" t="n">
        <f aca="false">SUM('Monthly P&amp;L'!C26:H26)</f>
        <v>15650.723200225</v>
      </c>
      <c r="I22" s="55" t="n">
        <f aca="false">SUM('Monthly P&amp;L'!C26:I26)</f>
        <v>20385.0113525</v>
      </c>
      <c r="J22" s="55" t="n">
        <f aca="false">SUM('Monthly P&amp;L'!C26:J26)</f>
        <v>27404.030353025</v>
      </c>
      <c r="K22" s="55" t="n">
        <f aca="false">SUM('Monthly P&amp;L'!C26:K26)</f>
        <v>34112.48259295</v>
      </c>
      <c r="L22" s="55" t="n">
        <f aca="false">SUM('Monthly P&amp;L'!C26:L26)</f>
        <v>43511.73871095</v>
      </c>
      <c r="M22" s="55" t="n">
        <f aca="false">SUM('Monthly P&amp;L'!C26:M26)</f>
        <v>49086.077665675</v>
      </c>
      <c r="N22" s="55" t="n">
        <f aca="false">SUM('Monthly P&amp;L'!C26:N26)</f>
        <v>58242.270443975</v>
      </c>
    </row>
    <row r="23" customFormat="false" ht="15" hidden="false" customHeight="false" outlineLevel="0" collapsed="false">
      <c r="B23" s="46" t="s">
        <v>24450</v>
      </c>
      <c r="C23" s="47" t="n">
        <f aca="false">C21+C22</f>
        <v>132978.569385</v>
      </c>
      <c r="D23" s="47" t="n">
        <f aca="false">D21+D22</f>
        <v>132521.9046405</v>
      </c>
      <c r="E23" s="47" t="n">
        <f aca="false">E21+E22</f>
        <v>134236.655249</v>
      </c>
      <c r="F23" s="47" t="n">
        <f aca="false">F21+F22</f>
        <v>137946.4810235</v>
      </c>
      <c r="G23" s="47" t="n">
        <f aca="false">G21+G22</f>
        <v>142099.040571675</v>
      </c>
      <c r="H23" s="47" t="n">
        <f aca="false">H21+H22</f>
        <v>145650.723200225</v>
      </c>
      <c r="I23" s="47" t="n">
        <f aca="false">I21+I22</f>
        <v>150385.0113525</v>
      </c>
      <c r="J23" s="47" t="n">
        <f aca="false">J21+J22</f>
        <v>157404.030353025</v>
      </c>
      <c r="K23" s="47" t="n">
        <f aca="false">K21+K22</f>
        <v>164112.48259295</v>
      </c>
      <c r="L23" s="47" t="n">
        <f aca="false">L21+L22</f>
        <v>173511.73871095</v>
      </c>
      <c r="M23" s="47" t="n">
        <f aca="false">M21+M22</f>
        <v>179086.077665675</v>
      </c>
      <c r="N23" s="47" t="n">
        <f aca="false">N21+N22</f>
        <v>188242.270443975</v>
      </c>
    </row>
    <row r="24" customFormat="false" ht="15" hidden="false" customHeight="false" outlineLevel="0" collapsed="false">
      <c r="B24" s="48"/>
      <c r="C24" s="48"/>
      <c r="D24" s="48"/>
      <c r="E24" s="48"/>
      <c r="F24" s="48"/>
      <c r="G24" s="48"/>
      <c r="H24" s="48"/>
      <c r="I24" s="48"/>
      <c r="J24" s="48"/>
      <c r="K24" s="48"/>
      <c r="L24" s="48"/>
      <c r="M24" s="48"/>
      <c r="N24" s="48"/>
    </row>
    <row r="25" customFormat="false" ht="15" hidden="false" customHeight="false" outlineLevel="0" collapsed="false">
      <c r="B25" s="45" t="s">
        <v>24451</v>
      </c>
      <c r="C25" s="60" t="n">
        <f aca="false">C18+C23</f>
        <v>153957.679385</v>
      </c>
      <c r="D25" s="60" t="n">
        <f aca="false">D18+D23</f>
        <v>178105.3846405</v>
      </c>
      <c r="E25" s="60" t="n">
        <f aca="false">E18+E23</f>
        <v>189511.575249</v>
      </c>
      <c r="F25" s="60" t="n">
        <f aca="false">F18+F23</f>
        <v>193641.8710235</v>
      </c>
      <c r="G25" s="60" t="n">
        <f aca="false">G18+G23</f>
        <v>197703.380571675</v>
      </c>
      <c r="H25" s="60" t="n">
        <f aca="false">H18+H23</f>
        <v>201529.883200225</v>
      </c>
      <c r="I25" s="60" t="n">
        <f aca="false">I18+I23</f>
        <v>206274.1813525</v>
      </c>
      <c r="J25" s="60" t="n">
        <f aca="false">J18+J23</f>
        <v>227512.190353025</v>
      </c>
      <c r="K25" s="60" t="n">
        <f aca="false">K18+K23</f>
        <v>236444.14259295</v>
      </c>
      <c r="L25" s="60" t="n">
        <f aca="false">L18+L23</f>
        <v>261811.89871095</v>
      </c>
      <c r="M25" s="60" t="n">
        <f aca="false">M18+M23</f>
        <v>268096.847665675</v>
      </c>
      <c r="N25" s="60" t="n">
        <f aca="false">N18+N23</f>
        <v>268033.430443975</v>
      </c>
    </row>
    <row r="26" customFormat="false" ht="15" hidden="false" customHeight="false" outlineLevel="0" collapsed="false">
      <c r="B26" s="58" t="s">
        <v>24452</v>
      </c>
      <c r="C26" s="67" t="n">
        <f aca="false">C13-C25</f>
        <v>0</v>
      </c>
      <c r="D26" s="67" t="n">
        <f aca="false">D13-D25</f>
        <v>0</v>
      </c>
      <c r="E26" s="67" t="n">
        <f aca="false">E13-E25</f>
        <v>0</v>
      </c>
      <c r="F26" s="67" t="n">
        <f aca="false">F13-F25</f>
        <v>0</v>
      </c>
      <c r="G26" s="67" t="n">
        <f aca="false">G13-G25</f>
        <v>0</v>
      </c>
      <c r="H26" s="67" t="n">
        <f aca="false">H13-H25</f>
        <v>0</v>
      </c>
      <c r="I26" s="67" t="n">
        <f aca="false">I13-I25</f>
        <v>0</v>
      </c>
      <c r="J26" s="67" t="n">
        <f aca="false">J13-J25</f>
        <v>0</v>
      </c>
      <c r="K26" s="67" t="n">
        <f aca="false">K13-K25</f>
        <v>0</v>
      </c>
      <c r="L26" s="67" t="n">
        <f aca="false">L13-L25</f>
        <v>0</v>
      </c>
      <c r="M26" s="67" t="n">
        <f aca="false">M13-M25</f>
        <v>0</v>
      </c>
      <c r="N26" s="67" t="n">
        <f aca="false">N13-N25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B2: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3" min="3" style="0" width="16"/>
  </cols>
  <sheetData>
    <row r="2" customFormat="false" ht="17.35" hidden="false" customHeight="false" outlineLevel="0" collapsed="false">
      <c r="B2" s="1" t="s">
        <v>39</v>
      </c>
    </row>
    <row r="3" customFormat="false" ht="15" hidden="false" customHeight="false" outlineLevel="0" collapsed="false">
      <c r="B3" s="2" t="s">
        <v>24453</v>
      </c>
    </row>
    <row r="5" customFormat="false" ht="15" hidden="false" customHeight="false" outlineLevel="0" collapsed="false">
      <c r="B5" s="13" t="s">
        <v>24454</v>
      </c>
      <c r="C5" s="32" t="n">
        <v>0</v>
      </c>
    </row>
    <row r="6" customFormat="false" ht="15" hidden="false" customHeight="false" outlineLevel="0" collapsed="false">
      <c r="B6" s="13" t="s">
        <v>24455</v>
      </c>
      <c r="C6" s="55" t="n">
        <f aca="false">'Chart of Accounts'!$E$70</f>
        <v>130000</v>
      </c>
    </row>
    <row r="7" customFormat="false" ht="15" hidden="false" customHeight="false" outlineLevel="0" collapsed="false">
      <c r="B7" s="13" t="s">
        <v>24456</v>
      </c>
      <c r="C7" s="55" t="n">
        <f aca="false">'Monthly P&amp;L'!O26</f>
        <v>58242.270443975</v>
      </c>
    </row>
    <row r="8" customFormat="false" ht="15" hidden="false" customHeight="false" outlineLevel="0" collapsed="false">
      <c r="B8" s="13" t="s">
        <v>24457</v>
      </c>
      <c r="C8" s="32" t="n">
        <v>0</v>
      </c>
    </row>
    <row r="9" customFormat="false" ht="15" hidden="false" customHeight="false" outlineLevel="0" collapsed="false">
      <c r="B9" s="48"/>
      <c r="C9" s="48"/>
    </row>
    <row r="10" customFormat="false" ht="15" hidden="false" customHeight="false" outlineLevel="0" collapsed="false">
      <c r="B10" s="46" t="s">
        <v>24458</v>
      </c>
      <c r="C10" s="47" t="n">
        <f aca="false">C5+C6+C7-C8</f>
        <v>188242.270443975</v>
      </c>
    </row>
    <row r="12" customFormat="false" ht="15" hidden="false" customHeight="false" outlineLevel="0" collapsed="false">
      <c r="B12" s="50" t="s">
        <v>24459</v>
      </c>
      <c r="C12" s="51" t="n">
        <f aca="false">'Balance Sheet'!N23</f>
        <v>188242.270443975</v>
      </c>
    </row>
    <row r="13" customFormat="false" ht="15" hidden="false" customHeight="false" outlineLevel="0" collapsed="false">
      <c r="B13" s="50" t="s">
        <v>24460</v>
      </c>
      <c r="C13" s="68" t="n">
        <f aca="false">C10-C12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D"/>
    <pageSetUpPr fitToPage="false"/>
  </sheetPr>
  <dimension ref="B2: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15" min="3" style="0" width="12"/>
  </cols>
  <sheetData>
    <row r="2" customFormat="false" ht="17.35" hidden="false" customHeight="false" outlineLevel="0" collapsed="false">
      <c r="B2" s="1" t="s">
        <v>24461</v>
      </c>
    </row>
    <row r="3" customFormat="false" ht="15" hidden="false" customHeight="false" outlineLevel="0" collapsed="false">
      <c r="B3" s="2" t="s">
        <v>24462</v>
      </c>
    </row>
    <row r="5" customFormat="false" ht="15" hidden="false" customHeight="false" outlineLevel="0" collapsed="false">
      <c r="B5" s="53"/>
      <c r="C5" s="11" t="s">
        <v>469</v>
      </c>
      <c r="D5" s="11" t="s">
        <v>470</v>
      </c>
      <c r="E5" s="11" t="s">
        <v>471</v>
      </c>
      <c r="F5" s="11" t="s">
        <v>472</v>
      </c>
      <c r="G5" s="11" t="s">
        <v>473</v>
      </c>
      <c r="H5" s="11" t="s">
        <v>474</v>
      </c>
      <c r="I5" s="11" t="s">
        <v>475</v>
      </c>
      <c r="J5" s="11" t="s">
        <v>476</v>
      </c>
      <c r="K5" s="11" t="s">
        <v>477</v>
      </c>
      <c r="L5" s="11" t="s">
        <v>478</v>
      </c>
      <c r="M5" s="11" t="s">
        <v>479</v>
      </c>
      <c r="N5" s="11" t="s">
        <v>480</v>
      </c>
      <c r="O5" s="11" t="s">
        <v>14624</v>
      </c>
    </row>
    <row r="6" customFormat="false" ht="15" hidden="false" customHeight="false" outlineLevel="0" collapsed="false">
      <c r="B6" s="12" t="s">
        <v>24463</v>
      </c>
      <c r="C6" s="54"/>
      <c r="D6" s="54"/>
      <c r="E6" s="54"/>
      <c r="F6" s="54"/>
      <c r="G6" s="54"/>
      <c r="H6" s="54"/>
      <c r="I6" s="54"/>
      <c r="J6" s="54"/>
      <c r="K6" s="54"/>
      <c r="L6" s="54"/>
      <c r="M6" s="54"/>
      <c r="N6" s="54"/>
      <c r="O6" s="54"/>
    </row>
    <row r="7" customFormat="false" ht="15" hidden="false" customHeight="false" outlineLevel="0" collapsed="false">
      <c r="B7" s="13" t="s">
        <v>24464</v>
      </c>
      <c r="C7" s="55" t="n">
        <f aca="false">'AR Aging'!C10</f>
        <v>21787.66</v>
      </c>
      <c r="D7" s="55" t="n">
        <f aca="false">'AR Aging'!D10</f>
        <v>42542.63</v>
      </c>
      <c r="E7" s="55" t="n">
        <f aca="false">'AR Aging'!E10</f>
        <v>62728.7</v>
      </c>
      <c r="F7" s="55" t="n">
        <f aca="false">'AR Aging'!F10</f>
        <v>73799.51</v>
      </c>
      <c r="G7" s="55" t="n">
        <f aca="false">'AR Aging'!G10</f>
        <v>75993.72</v>
      </c>
      <c r="H7" s="55" t="n">
        <f aca="false">'AR Aging'!H10</f>
        <v>77652.87</v>
      </c>
      <c r="I7" s="55" t="n">
        <f aca="false">'AR Aging'!I10</f>
        <v>77334.75</v>
      </c>
      <c r="J7" s="55" t="n">
        <f aca="false">'AR Aging'!J10</f>
        <v>84368.89</v>
      </c>
      <c r="K7" s="55" t="n">
        <f aca="false">'AR Aging'!K10</f>
        <v>78876.52</v>
      </c>
      <c r="L7" s="55" t="n">
        <f aca="false">'AR Aging'!L10</f>
        <v>90809.8</v>
      </c>
      <c r="M7" s="55" t="n">
        <f aca="false">'AR Aging'!M10</f>
        <v>88575.56</v>
      </c>
      <c r="N7" s="55" t="n">
        <f aca="false">'AR Aging'!N10</f>
        <v>96076.69</v>
      </c>
      <c r="O7" s="35" t="n">
        <f aca="false">SUM(C7:N7)</f>
        <v>870547.3</v>
      </c>
    </row>
    <row r="8" customFormat="false" ht="15" hidden="false" customHeight="false" outlineLevel="0" collapsed="false">
      <c r="B8" s="13" t="s">
        <v>24465</v>
      </c>
      <c r="C8" s="55" t="n">
        <f aca="false">'Line of Credit'!C7</f>
        <v>18409.06</v>
      </c>
      <c r="D8" s="55" t="n">
        <f aca="false">'Line of Credit'!D7</f>
        <v>23747.24</v>
      </c>
      <c r="E8" s="55" t="n">
        <f aca="false">'Line of Credit'!E7</f>
        <v>10610.06</v>
      </c>
      <c r="F8" s="55" t="n">
        <f aca="false">'Line of Credit'!F7</f>
        <v>0</v>
      </c>
      <c r="G8" s="55" t="n">
        <f aca="false">'Line of Credit'!G7</f>
        <v>0</v>
      </c>
      <c r="H8" s="55" t="n">
        <f aca="false">'Line of Credit'!H7</f>
        <v>0</v>
      </c>
      <c r="I8" s="55" t="n">
        <f aca="false">'Line of Credit'!I7</f>
        <v>0</v>
      </c>
      <c r="J8" s="55" t="n">
        <f aca="false">'Line of Credit'!J7</f>
        <v>14388.87</v>
      </c>
      <c r="K8" s="55" t="n">
        <f aca="false">'Line of Credit'!K7</f>
        <v>2450.54</v>
      </c>
      <c r="L8" s="55" t="n">
        <f aca="false">'Line of Credit'!L7</f>
        <v>16192</v>
      </c>
      <c r="M8" s="55" t="n">
        <f aca="false">'Line of Credit'!M7</f>
        <v>0</v>
      </c>
      <c r="N8" s="55" t="n">
        <f aca="false">'Line of Credit'!N7</f>
        <v>0</v>
      </c>
      <c r="O8" s="35" t="n">
        <f aca="false">SUM(C8:N8)</f>
        <v>85797.77</v>
      </c>
    </row>
    <row r="9" customFormat="false" ht="15" hidden="false" customHeight="false" outlineLevel="0" collapsed="false">
      <c r="B9" s="46" t="s">
        <v>24466</v>
      </c>
      <c r="C9" s="47" t="n">
        <f aca="false">SUM(C7:C8)</f>
        <v>40196.72</v>
      </c>
      <c r="D9" s="47" t="n">
        <f aca="false">SUM(D7:D8)</f>
        <v>66289.87</v>
      </c>
      <c r="E9" s="47" t="n">
        <f aca="false">SUM(E7:E8)</f>
        <v>73338.76</v>
      </c>
      <c r="F9" s="47" t="n">
        <f aca="false">SUM(F7:F8)</f>
        <v>73799.51</v>
      </c>
      <c r="G9" s="47" t="n">
        <f aca="false">SUM(G7:G8)</f>
        <v>75993.72</v>
      </c>
      <c r="H9" s="47" t="n">
        <f aca="false">SUM(H7:H8)</f>
        <v>77652.87</v>
      </c>
      <c r="I9" s="47" t="n">
        <f aca="false">SUM(I7:I8)</f>
        <v>77334.75</v>
      </c>
      <c r="J9" s="47" t="n">
        <f aca="false">SUM(J7:J8)</f>
        <v>98757.76</v>
      </c>
      <c r="K9" s="47" t="n">
        <f aca="false">SUM(K7:K8)</f>
        <v>81327.06</v>
      </c>
      <c r="L9" s="47" t="n">
        <f aca="false">SUM(L7:L8)</f>
        <v>107001.8</v>
      </c>
      <c r="M9" s="47" t="n">
        <f aca="false">SUM(M7:M8)</f>
        <v>88575.56</v>
      </c>
      <c r="N9" s="47" t="n">
        <f aca="false">SUM(N7:N8)</f>
        <v>96076.69</v>
      </c>
      <c r="O9" s="47" t="n">
        <f aca="false">SUM(C9:N9)</f>
        <v>956345.07</v>
      </c>
    </row>
    <row r="10" customFormat="false" ht="15" hidden="false" customHeight="false" outlineLevel="0" collapsed="false">
      <c r="B10" s="48"/>
      <c r="C10" s="48"/>
      <c r="D10" s="48"/>
      <c r="E10" s="48"/>
      <c r="F10" s="48"/>
      <c r="G10" s="48"/>
      <c r="H10" s="48"/>
      <c r="I10" s="48"/>
      <c r="J10" s="48"/>
      <c r="K10" s="48"/>
      <c r="L10" s="48"/>
      <c r="M10" s="48"/>
      <c r="N10" s="48"/>
      <c r="O10" s="48"/>
    </row>
    <row r="11" customFormat="false" ht="15" hidden="false" customHeight="false" outlineLevel="0" collapsed="false">
      <c r="B11" s="12" t="s">
        <v>24467</v>
      </c>
      <c r="C11" s="54"/>
      <c r="D11" s="54"/>
      <c r="E11" s="54"/>
      <c r="F11" s="54"/>
      <c r="G11" s="54"/>
      <c r="H11" s="54"/>
      <c r="I11" s="54"/>
      <c r="J11" s="54"/>
      <c r="K11" s="54"/>
      <c r="L11" s="54"/>
      <c r="M11" s="54"/>
      <c r="N11" s="54"/>
      <c r="O11" s="54"/>
    </row>
    <row r="12" customFormat="false" ht="15" hidden="false" customHeight="false" outlineLevel="0" collapsed="false">
      <c r="B12" s="13" t="s">
        <v>24468</v>
      </c>
      <c r="C12" s="55" t="n">
        <f aca="false">'Payroll Summary'!C12</f>
        <v>49845.155615</v>
      </c>
      <c r="D12" s="55" t="n">
        <f aca="false">'Payroll Summary'!D12</f>
        <v>43181.3782445</v>
      </c>
      <c r="E12" s="55" t="n">
        <f aca="false">'Payroll Summary'!E12</f>
        <v>47182.4073915</v>
      </c>
      <c r="F12" s="55" t="n">
        <f aca="false">'Payroll Summary'!F12</f>
        <v>49931.8377255</v>
      </c>
      <c r="G12" s="55" t="n">
        <f aca="false">'Payroll Summary'!G12</f>
        <v>51574.821451825</v>
      </c>
      <c r="H12" s="55" t="n">
        <f aca="false">'Payroll Summary'!H12</f>
        <v>50390.26837145</v>
      </c>
      <c r="I12" s="55" t="n">
        <f aca="false">'Payroll Summary'!I12</f>
        <v>54232.970347725</v>
      </c>
      <c r="J12" s="55" t="n">
        <f aca="false">'Payroll Summary'!J12</f>
        <v>58408.125999475</v>
      </c>
      <c r="K12" s="55" t="n">
        <f aca="false">'Payroll Summary'!K12</f>
        <v>59093.834760075</v>
      </c>
      <c r="L12" s="55" t="n">
        <f aca="false">'Payroll Summary'!L12</f>
        <v>63782.902382</v>
      </c>
      <c r="M12" s="55" t="n">
        <f aca="false">'Payroll Summary'!M12</f>
        <v>57775.170045275</v>
      </c>
      <c r="N12" s="55" t="n">
        <f aca="false">'Payroll Summary'!N12</f>
        <v>63725.8812217</v>
      </c>
      <c r="O12" s="35" t="n">
        <f aca="false">SUM(C12:N12)</f>
        <v>649124.753556025</v>
      </c>
    </row>
    <row r="13" customFormat="false" ht="15" hidden="false" customHeight="false" outlineLevel="0" collapsed="false">
      <c r="B13" s="13" t="s">
        <v>24469</v>
      </c>
      <c r="C13" s="32" t="n">
        <v>18651.42</v>
      </c>
      <c r="D13" s="32" t="n">
        <v>20166.62</v>
      </c>
      <c r="E13" s="32" t="n">
        <v>22231.31</v>
      </c>
      <c r="F13" s="32" t="n">
        <v>20992.95</v>
      </c>
      <c r="G13" s="32" t="n">
        <v>21453.59</v>
      </c>
      <c r="H13" s="32" t="n">
        <v>20882.7</v>
      </c>
      <c r="I13" s="32" t="n">
        <v>21501.07</v>
      </c>
      <c r="J13" s="32" t="n">
        <v>21386.34</v>
      </c>
      <c r="K13" s="32" t="n">
        <v>21715.63</v>
      </c>
      <c r="L13" s="32" t="n">
        <v>21682.31</v>
      </c>
      <c r="M13" s="32" t="n">
        <v>20827.68</v>
      </c>
      <c r="N13" s="32" t="n">
        <v>21697.15</v>
      </c>
      <c r="O13" s="35" t="n">
        <f aca="false">SUM(C13:N13)</f>
        <v>253188.77</v>
      </c>
    </row>
    <row r="14" customFormat="false" ht="15" hidden="false" customHeight="false" outlineLevel="0" collapsed="false">
      <c r="B14" s="13" t="s">
        <v>24470</v>
      </c>
      <c r="C14" s="32" t="n">
        <v>0</v>
      </c>
      <c r="D14" s="32" t="n">
        <v>2800</v>
      </c>
      <c r="E14" s="32" t="n">
        <v>3600</v>
      </c>
      <c r="F14" s="32" t="n">
        <v>1850</v>
      </c>
      <c r="G14" s="32" t="n">
        <v>2400</v>
      </c>
      <c r="H14" s="32" t="n">
        <v>0</v>
      </c>
      <c r="I14" s="32" t="n">
        <v>0</v>
      </c>
      <c r="J14" s="32" t="n">
        <v>26500</v>
      </c>
      <c r="K14" s="32" t="n">
        <v>0</v>
      </c>
      <c r="L14" s="32" t="n">
        <v>21000</v>
      </c>
      <c r="M14" s="32" t="n">
        <v>0</v>
      </c>
      <c r="N14" s="32" t="n">
        <v>0</v>
      </c>
      <c r="O14" s="35" t="n">
        <f aca="false">SUM(C14:N14)</f>
        <v>58150</v>
      </c>
    </row>
    <row r="15" customFormat="false" ht="15" hidden="false" customHeight="false" outlineLevel="0" collapsed="false">
      <c r="B15" s="13" t="s">
        <v>24471</v>
      </c>
      <c r="C15" s="55" t="n">
        <f aca="false">-'Line of Credit'!C8</f>
        <v>-0</v>
      </c>
      <c r="D15" s="55" t="n">
        <f aca="false">-'Line of Credit'!D8</f>
        <v>-0</v>
      </c>
      <c r="E15" s="55" t="n">
        <f aca="false">-'Line of Credit'!E8</f>
        <v>-0</v>
      </c>
      <c r="F15" s="55" t="n">
        <f aca="false">-'Line of Credit'!F8</f>
        <v>-0</v>
      </c>
      <c r="G15" s="55" t="n">
        <f aca="false">-'Line of Credit'!G8</f>
        <v>-0</v>
      </c>
      <c r="H15" s="55" t="n">
        <f aca="false">-'Line of Credit'!H8</f>
        <v>-0</v>
      </c>
      <c r="I15" s="55" t="n">
        <f aca="false">-'Line of Credit'!I8</f>
        <v>-0</v>
      </c>
      <c r="J15" s="55" t="n">
        <f aca="false">-'Line of Credit'!J8</f>
        <v>-0</v>
      </c>
      <c r="K15" s="55" t="n">
        <f aca="false">-'Line of Credit'!K8</f>
        <v>-0</v>
      </c>
      <c r="L15" s="55" t="n">
        <f aca="false">-'Line of Credit'!L8</f>
        <v>-0</v>
      </c>
      <c r="M15" s="55" t="n">
        <f aca="false">-'Line of Credit'!M8</f>
        <v>-0</v>
      </c>
      <c r="N15" s="55" t="n">
        <f aca="false">-'Line of Credit'!N8</f>
        <v>9303.75</v>
      </c>
      <c r="O15" s="35" t="n">
        <f aca="false">SUM(C15:N15)</f>
        <v>9303.75</v>
      </c>
    </row>
    <row r="16" customFormat="false" ht="15" hidden="false" customHeight="false" outlineLevel="0" collapsed="false">
      <c r="B16" s="46" t="s">
        <v>24472</v>
      </c>
      <c r="C16" s="47" t="n">
        <f aca="false">SUM(C12:C15)</f>
        <v>68496.575615</v>
      </c>
      <c r="D16" s="47" t="n">
        <f aca="false">SUM(D12:D15)</f>
        <v>66147.9982445</v>
      </c>
      <c r="E16" s="47" t="n">
        <f aca="false">SUM(E12:E15)</f>
        <v>73013.7173915</v>
      </c>
      <c r="F16" s="47" t="n">
        <f aca="false">SUM(F12:F15)</f>
        <v>72774.7877255</v>
      </c>
      <c r="G16" s="47" t="n">
        <f aca="false">SUM(G12:G15)</f>
        <v>75428.411451825</v>
      </c>
      <c r="H16" s="47" t="n">
        <f aca="false">SUM(H12:H15)</f>
        <v>71272.96837145</v>
      </c>
      <c r="I16" s="47" t="n">
        <f aca="false">SUM(I12:I15)</f>
        <v>75734.040347725</v>
      </c>
      <c r="J16" s="47" t="n">
        <f aca="false">SUM(J12:J15)</f>
        <v>106294.465999475</v>
      </c>
      <c r="K16" s="47" t="n">
        <f aca="false">SUM(K12:K15)</f>
        <v>80809.464760075</v>
      </c>
      <c r="L16" s="47" t="n">
        <f aca="false">SUM(L12:L15)</f>
        <v>106465.212382</v>
      </c>
      <c r="M16" s="47" t="n">
        <f aca="false">SUM(M12:M15)</f>
        <v>78602.850045275</v>
      </c>
      <c r="N16" s="47" t="n">
        <f aca="false">SUM(N12:N15)</f>
        <v>94726.7812217</v>
      </c>
      <c r="O16" s="47" t="n">
        <f aca="false">SUM(C16:N16)</f>
        <v>969767.273556025</v>
      </c>
    </row>
    <row r="17" customFormat="false" ht="15" hidden="false" customHeight="false" outlineLevel="0" collapsed="false">
      <c r="B17" s="48"/>
      <c r="C17" s="48"/>
      <c r="D17" s="48"/>
      <c r="E17" s="48"/>
      <c r="F17" s="48"/>
      <c r="G17" s="48"/>
      <c r="H17" s="48"/>
      <c r="I17" s="48"/>
      <c r="J17" s="48"/>
      <c r="K17" s="48"/>
      <c r="L17" s="48"/>
      <c r="M17" s="48"/>
      <c r="N17" s="48"/>
      <c r="O17" s="48"/>
    </row>
    <row r="18" customFormat="false" ht="15" hidden="false" customHeight="false" outlineLevel="0" collapsed="false">
      <c r="B18" s="45" t="s">
        <v>24473</v>
      </c>
      <c r="C18" s="60" t="n">
        <f aca="false">C9-C16</f>
        <v>-28299.855615</v>
      </c>
      <c r="D18" s="60" t="n">
        <f aca="false">D9-D16</f>
        <v>141.871755500004</v>
      </c>
      <c r="E18" s="60" t="n">
        <f aca="false">E9-E16</f>
        <v>325.042608499993</v>
      </c>
      <c r="F18" s="60" t="n">
        <f aca="false">F9-F16</f>
        <v>1024.72227449999</v>
      </c>
      <c r="G18" s="60" t="n">
        <f aca="false">G9-G16</f>
        <v>565.308548175017</v>
      </c>
      <c r="H18" s="60" t="n">
        <f aca="false">H9-H16</f>
        <v>6379.90162855</v>
      </c>
      <c r="I18" s="60" t="n">
        <f aca="false">I9-I16</f>
        <v>1600.70965227502</v>
      </c>
      <c r="J18" s="60" t="n">
        <f aca="false">J9-J16</f>
        <v>-7536.70599947502</v>
      </c>
      <c r="K18" s="60" t="n">
        <f aca="false">K9-K16</f>
        <v>517.595239924995</v>
      </c>
      <c r="L18" s="60" t="n">
        <f aca="false">L9-L16</f>
        <v>536.587618000005</v>
      </c>
      <c r="M18" s="60" t="n">
        <f aca="false">M9-M16</f>
        <v>9972.709954725</v>
      </c>
      <c r="N18" s="60" t="n">
        <f aca="false">N9-N16</f>
        <v>1349.9087783</v>
      </c>
      <c r="O18" s="60" t="n">
        <f aca="false">SUM(C18:N18)</f>
        <v>-13422.203556025</v>
      </c>
    </row>
    <row r="19" customFormat="false" ht="15" hidden="false" customHeight="false" outlineLevel="0" collapsed="false">
      <c r="B19" s="61" t="s">
        <v>24474</v>
      </c>
      <c r="C19" s="35" t="n">
        <f aca="false">33300+8000+C18</f>
        <v>13000.144385</v>
      </c>
      <c r="D19" s="35" t="n">
        <f aca="false">C19+D18</f>
        <v>13142.0161405</v>
      </c>
      <c r="E19" s="35" t="n">
        <f aca="false">D19+E18</f>
        <v>13467.058749</v>
      </c>
      <c r="F19" s="35" t="n">
        <f aca="false">E19+F18</f>
        <v>14491.7810235</v>
      </c>
      <c r="G19" s="35" t="n">
        <f aca="false">F19+G18</f>
        <v>15057.089571675</v>
      </c>
      <c r="H19" s="35" t="n">
        <f aca="false">G19+H18</f>
        <v>21436.991200225</v>
      </c>
      <c r="I19" s="35" t="n">
        <f aca="false">H19+I18</f>
        <v>23037.7008525</v>
      </c>
      <c r="J19" s="35" t="n">
        <f aca="false">I19+J18</f>
        <v>15500.994853025</v>
      </c>
      <c r="K19" s="35" t="n">
        <f aca="false">J19+K18</f>
        <v>16018.59009295</v>
      </c>
      <c r="L19" s="35" t="n">
        <f aca="false">K19+L18</f>
        <v>16555.17771095</v>
      </c>
      <c r="M19" s="35" t="n">
        <f aca="false">L19+M18</f>
        <v>26527.887665675</v>
      </c>
      <c r="N19" s="35" t="n">
        <f aca="false">M19+N18</f>
        <v>27877.796443975</v>
      </c>
      <c r="O19" s="48"/>
    </row>
    <row r="20" customFormat="false" ht="15" hidden="false" customHeight="false" outlineLevel="0" collapsed="false">
      <c r="B20" s="48"/>
      <c r="C20" s="48"/>
      <c r="D20" s="48"/>
      <c r="E20" s="48"/>
      <c r="F20" s="48"/>
      <c r="G20" s="48"/>
      <c r="H20" s="48"/>
      <c r="I20" s="48"/>
      <c r="J20" s="48"/>
      <c r="K20" s="48"/>
      <c r="L20" s="48"/>
      <c r="M20" s="48"/>
      <c r="N20" s="48"/>
      <c r="O20" s="48"/>
    </row>
    <row r="21" customFormat="false" ht="15" hidden="false" customHeight="false" outlineLevel="0" collapsed="false">
      <c r="B21" s="12" t="s">
        <v>24475</v>
      </c>
      <c r="C21" s="54"/>
      <c r="D21" s="54"/>
      <c r="E21" s="54"/>
      <c r="F21" s="54"/>
      <c r="G21" s="54"/>
      <c r="H21" s="54"/>
      <c r="I21" s="54"/>
      <c r="J21" s="54"/>
      <c r="K21" s="54"/>
      <c r="L21" s="54"/>
      <c r="M21" s="54"/>
      <c r="N21" s="54"/>
      <c r="O21" s="54"/>
    </row>
    <row r="22" customFormat="false" ht="15" hidden="false" customHeight="false" outlineLevel="0" collapsed="false">
      <c r="B22" s="13" t="s">
        <v>24476</v>
      </c>
      <c r="C22" s="32" t="n">
        <v>8000</v>
      </c>
      <c r="D22" s="32" t="n">
        <v>8000</v>
      </c>
      <c r="E22" s="32" t="n">
        <v>8000</v>
      </c>
      <c r="F22" s="32" t="n">
        <v>8000</v>
      </c>
      <c r="G22" s="32" t="n">
        <v>8000</v>
      </c>
      <c r="H22" s="32" t="n">
        <v>8000</v>
      </c>
      <c r="I22" s="32" t="n">
        <v>8000</v>
      </c>
      <c r="J22" s="32" t="n">
        <v>8000</v>
      </c>
      <c r="K22" s="32" t="n">
        <v>8000</v>
      </c>
      <c r="L22" s="32" t="n">
        <v>8000</v>
      </c>
      <c r="M22" s="32" t="n">
        <v>8000</v>
      </c>
      <c r="N22" s="32" t="n">
        <v>8000</v>
      </c>
      <c r="O22" s="48"/>
    </row>
    <row r="23" customFormat="false" ht="15" hidden="false" customHeight="false" outlineLevel="0" collapsed="false">
      <c r="B23" s="13" t="s">
        <v>24477</v>
      </c>
      <c r="C23" s="34" t="n">
        <f aca="false">C19-C22</f>
        <v>5000.14438499999</v>
      </c>
      <c r="D23" s="34" t="n">
        <f aca="false">D19-D22</f>
        <v>5142.0161405</v>
      </c>
      <c r="E23" s="34" t="n">
        <f aca="false">E19-E22</f>
        <v>5467.05874899999</v>
      </c>
      <c r="F23" s="34" t="n">
        <f aca="false">F19-F22</f>
        <v>6491.78102349998</v>
      </c>
      <c r="G23" s="34" t="n">
        <f aca="false">G19-G22</f>
        <v>7057.089571675</v>
      </c>
      <c r="H23" s="34" t="n">
        <f aca="false">H19-H22</f>
        <v>13436.991200225</v>
      </c>
      <c r="I23" s="34" t="n">
        <f aca="false">I19-I22</f>
        <v>15037.7008525</v>
      </c>
      <c r="J23" s="34" t="n">
        <f aca="false">J19-J22</f>
        <v>7500.994853025</v>
      </c>
      <c r="K23" s="34" t="n">
        <f aca="false">K19-K22</f>
        <v>8018.59009294999</v>
      </c>
      <c r="L23" s="34" t="n">
        <f aca="false">L19-L22</f>
        <v>8555.17771095</v>
      </c>
      <c r="M23" s="34" t="n">
        <f aca="false">M19-M22</f>
        <v>18527.887665675</v>
      </c>
      <c r="N23" s="34" t="n">
        <f aca="false">N19-N22</f>
        <v>19877.796443975</v>
      </c>
      <c r="O23" s="48"/>
    </row>
    <row r="24" customFormat="false" ht="15" hidden="false" customHeight="false" outlineLevel="0" collapsed="false">
      <c r="B24" s="58" t="s">
        <v>24478</v>
      </c>
      <c r="C24" s="67" t="n">
        <f aca="false">C23+C22-C19</f>
        <v>0</v>
      </c>
      <c r="D24" s="67" t="n">
        <f aca="false">D23+D22-D19</f>
        <v>0</v>
      </c>
      <c r="E24" s="67" t="n">
        <f aca="false">E23+E22-E19</f>
        <v>0</v>
      </c>
      <c r="F24" s="67" t="n">
        <f aca="false">F23+F22-F19</f>
        <v>0</v>
      </c>
      <c r="G24" s="67" t="n">
        <f aca="false">G23+G22-G19</f>
        <v>0</v>
      </c>
      <c r="H24" s="67" t="n">
        <f aca="false">H23+H22-H19</f>
        <v>0</v>
      </c>
      <c r="I24" s="67" t="n">
        <f aca="false">I23+I22-I19</f>
        <v>0</v>
      </c>
      <c r="J24" s="67" t="n">
        <f aca="false">J23+J22-J19</f>
        <v>0</v>
      </c>
      <c r="K24" s="67" t="n">
        <f aca="false">K23+K22-K19</f>
        <v>0</v>
      </c>
      <c r="L24" s="67" t="n">
        <f aca="false">L23+L22-L19</f>
        <v>0</v>
      </c>
      <c r="M24" s="67" t="n">
        <f aca="false">M23+M22-M19</f>
        <v>0</v>
      </c>
      <c r="N24" s="67" t="n">
        <f aca="false">N23+N22-N19</f>
        <v>0</v>
      </c>
      <c r="O24" s="4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A2B"/>
    <pageSetUpPr fitToPage="false"/>
  </sheetPr>
  <dimension ref="B2: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6"/>
  </cols>
  <sheetData>
    <row r="2" customFormat="false" ht="17.35" hidden="false" customHeight="false" outlineLevel="0" collapsed="false">
      <c r="B2" s="1" t="s">
        <v>24479</v>
      </c>
    </row>
    <row r="3" customFormat="false" ht="15" hidden="false" customHeight="false" outlineLevel="0" collapsed="false">
      <c r="B3" s="2" t="s">
        <v>24480</v>
      </c>
    </row>
    <row r="5" customFormat="false" ht="15" hidden="false" customHeight="false" outlineLevel="0" collapsed="false">
      <c r="B5" s="12" t="s">
        <v>24481</v>
      </c>
      <c r="C5" s="54"/>
      <c r="D5" s="54"/>
      <c r="E5" s="64"/>
    </row>
    <row r="6" customFormat="false" ht="15" hidden="false" customHeight="false" outlineLevel="0" collapsed="false">
      <c r="B6" s="61" t="s">
        <v>24482</v>
      </c>
      <c r="C6" s="55" t="n">
        <f aca="false">'Cash Flow'!N23</f>
        <v>19877.796443975</v>
      </c>
      <c r="D6" s="48"/>
    </row>
    <row r="7" customFormat="false" ht="15" hidden="false" customHeight="false" outlineLevel="0" collapsed="false">
      <c r="B7" s="48"/>
      <c r="C7" s="48"/>
      <c r="D7" s="48"/>
    </row>
    <row r="8" customFormat="false" ht="15" hidden="false" customHeight="false" outlineLevel="0" collapsed="false">
      <c r="B8" s="13" t="s">
        <v>24483</v>
      </c>
      <c r="C8" s="58" t="s">
        <v>24484</v>
      </c>
      <c r="D8" s="32" t="n">
        <v>3140</v>
      </c>
    </row>
    <row r="9" customFormat="false" ht="15" hidden="false" customHeight="false" outlineLevel="0" collapsed="false">
      <c r="B9" s="13" t="s">
        <v>24485</v>
      </c>
      <c r="C9" s="58" t="s">
        <v>24486</v>
      </c>
      <c r="D9" s="32" t="n">
        <v>2450</v>
      </c>
    </row>
    <row r="10" customFormat="false" ht="15" hidden="false" customHeight="false" outlineLevel="0" collapsed="false">
      <c r="B10" s="13" t="s">
        <v>24487</v>
      </c>
      <c r="C10" s="48"/>
      <c r="D10" s="32" t="n">
        <v>35</v>
      </c>
    </row>
    <row r="11" customFormat="false" ht="15" hidden="false" customHeight="false" outlineLevel="0" collapsed="false">
      <c r="B11" s="13" t="s">
        <v>24488</v>
      </c>
      <c r="C11" s="48"/>
      <c r="D11" s="32" t="n">
        <v>12.5</v>
      </c>
    </row>
    <row r="12" customFormat="false" ht="15" hidden="false" customHeight="false" outlineLevel="0" collapsed="false">
      <c r="B12" s="48"/>
      <c r="C12" s="48"/>
      <c r="D12" s="48"/>
    </row>
    <row r="13" customFormat="false" ht="15" hidden="false" customHeight="false" outlineLevel="0" collapsed="false">
      <c r="B13" s="46" t="s">
        <v>24489</v>
      </c>
      <c r="C13" s="47" t="n">
        <f aca="false">C6+D8-D9-D10+D11</f>
        <v>20545.296443975</v>
      </c>
      <c r="D13" s="48"/>
    </row>
    <row r="14" customFormat="false" ht="15" hidden="false" customHeight="false" outlineLevel="0" collapsed="false">
      <c r="B14" s="48"/>
      <c r="C14" s="48"/>
      <c r="D14" s="48"/>
    </row>
    <row r="15" customFormat="false" ht="15" hidden="false" customHeight="false" outlineLevel="0" collapsed="false">
      <c r="B15" s="61" t="s">
        <v>24490</v>
      </c>
      <c r="C15" s="34" t="n">
        <f aca="false">C13</f>
        <v>20545.296443975</v>
      </c>
      <c r="D15" s="48"/>
    </row>
    <row r="16" customFormat="false" ht="15" hidden="false" customHeight="false" outlineLevel="0" collapsed="false">
      <c r="B16" s="48"/>
      <c r="C16" s="48"/>
      <c r="D16" s="48"/>
    </row>
    <row r="17" customFormat="false" ht="15" hidden="false" customHeight="false" outlineLevel="0" collapsed="false">
      <c r="B17" s="58" t="s">
        <v>24491</v>
      </c>
      <c r="C17" s="67" t="n">
        <f aca="false">C13-C15</f>
        <v>0</v>
      </c>
      <c r="D17" s="48"/>
    </row>
    <row r="18" customFormat="false" ht="15" hidden="false" customHeight="false" outlineLevel="0" collapsed="false">
      <c r="B18" s="48"/>
      <c r="C18" s="48"/>
      <c r="D18" s="48"/>
    </row>
    <row r="19" customFormat="false" ht="15" hidden="false" customHeight="false" outlineLevel="0" collapsed="false">
      <c r="B19" s="48"/>
      <c r="C19" s="48"/>
      <c r="D19" s="48"/>
    </row>
    <row r="20" customFormat="false" ht="15" hidden="false" customHeight="false" outlineLevel="0" collapsed="false">
      <c r="B20" s="12" t="s">
        <v>24492</v>
      </c>
      <c r="C20" s="54"/>
      <c r="D20" s="54"/>
      <c r="E20" s="64"/>
    </row>
    <row r="21" customFormat="false" ht="15" hidden="false" customHeight="false" outlineLevel="0" collapsed="false">
      <c r="B21" s="61" t="s">
        <v>24482</v>
      </c>
      <c r="C21" s="55" t="n">
        <f aca="false">'Cash Flow'!N22</f>
        <v>8000</v>
      </c>
      <c r="D21" s="48"/>
    </row>
    <row r="22" customFormat="false" ht="15" hidden="false" customHeight="false" outlineLevel="0" collapsed="false">
      <c r="B22" s="48"/>
      <c r="C22" s="48"/>
      <c r="D22" s="48"/>
    </row>
    <row r="23" customFormat="false" ht="15" hidden="false" customHeight="false" outlineLevel="0" collapsed="false">
      <c r="B23" s="13" t="s">
        <v>24493</v>
      </c>
      <c r="C23" s="58" t="s">
        <v>24494</v>
      </c>
      <c r="D23" s="32" t="n">
        <v>0</v>
      </c>
    </row>
    <row r="24" customFormat="false" ht="15" hidden="false" customHeight="false" outlineLevel="0" collapsed="false">
      <c r="B24" s="13" t="s">
        <v>24487</v>
      </c>
      <c r="C24" s="48"/>
      <c r="D24" s="32" t="n">
        <v>15</v>
      </c>
    </row>
    <row r="25" customFormat="false" ht="15" hidden="false" customHeight="false" outlineLevel="0" collapsed="false">
      <c r="B25" s="48"/>
      <c r="C25" s="48"/>
      <c r="D25" s="48"/>
    </row>
    <row r="26" customFormat="false" ht="15" hidden="false" customHeight="false" outlineLevel="0" collapsed="false">
      <c r="B26" s="46" t="s">
        <v>24489</v>
      </c>
      <c r="C26" s="47" t="n">
        <f aca="false">C21-D23-D24</f>
        <v>7985</v>
      </c>
      <c r="D26" s="48"/>
    </row>
    <row r="27" customFormat="false" ht="15" hidden="false" customHeight="false" outlineLevel="0" collapsed="false">
      <c r="B27" s="48"/>
      <c r="C27" s="48"/>
      <c r="D27" s="48"/>
    </row>
    <row r="28" customFormat="false" ht="15" hidden="false" customHeight="false" outlineLevel="0" collapsed="false">
      <c r="B28" s="61" t="s">
        <v>24490</v>
      </c>
      <c r="C28" s="34" t="n">
        <f aca="false">C26</f>
        <v>7985</v>
      </c>
      <c r="D28" s="48"/>
    </row>
    <row r="29" customFormat="false" ht="15" hidden="false" customHeight="false" outlineLevel="0" collapsed="false">
      <c r="B29" s="48"/>
      <c r="C29" s="48"/>
      <c r="D29" s="48"/>
    </row>
    <row r="30" customFormat="false" ht="15" hidden="false" customHeight="false" outlineLevel="0" collapsed="false">
      <c r="B30" s="58" t="s">
        <v>24491</v>
      </c>
      <c r="C30" s="67" t="n">
        <f aca="false">C26-C28</f>
        <v>0</v>
      </c>
      <c r="D30" s="48"/>
    </row>
    <row r="33" customFormat="false" ht="54.75" hidden="false" customHeight="true" outlineLevel="0" collapsed="false">
      <c r="B33" s="66" t="s">
        <v>24495</v>
      </c>
      <c r="C33" s="66"/>
      <c r="D33" s="66"/>
      <c r="E33" s="66"/>
      <c r="F33" s="66"/>
    </row>
  </sheetData>
  <mergeCells count="1">
    <mergeCell ref="B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A2B"/>
    <pageSetUpPr fitToPage="false"/>
  </sheetPr>
  <dimension ref="B2: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s>
  <sheetData>
    <row r="2" customFormat="false" ht="17.35" hidden="false" customHeight="false" outlineLevel="0" collapsed="false">
      <c r="B2" s="1" t="s">
        <v>24496</v>
      </c>
    </row>
    <row r="3" customFormat="false" ht="15" hidden="false" customHeight="false" outlineLevel="0" collapsed="false">
      <c r="B3" s="2" t="s">
        <v>24497</v>
      </c>
    </row>
    <row r="5" customFormat="false" ht="46.25" hidden="false" customHeight="false" outlineLevel="0" collapsed="false">
      <c r="B5" s="11" t="s">
        <v>24498</v>
      </c>
      <c r="C5" s="11" t="s">
        <v>24499</v>
      </c>
      <c r="D5" s="11" t="s">
        <v>24500</v>
      </c>
      <c r="E5" s="11" t="s">
        <v>24501</v>
      </c>
    </row>
    <row r="6" customFormat="false" ht="15" hidden="false" customHeight="false" outlineLevel="0" collapsed="false">
      <c r="B6" s="13" t="s">
        <v>14625</v>
      </c>
      <c r="C6" s="55" t="n">
        <f aca="false">'Payroll Summary'!O6</f>
        <v>416343.99271</v>
      </c>
      <c r="D6" s="55" t="n">
        <f aca="false">'Monthly P&amp;L'!O14</f>
        <v>416343.99271</v>
      </c>
      <c r="E6" s="33" t="n">
        <f aca="false">C6-D6</f>
        <v>0</v>
      </c>
    </row>
    <row r="7" customFormat="false" ht="15" hidden="false" customHeight="false" outlineLevel="0" collapsed="false">
      <c r="B7" s="13" t="s">
        <v>14626</v>
      </c>
      <c r="C7" s="55" t="n">
        <f aca="false">'Payroll Summary'!O7</f>
        <v>5959.905435</v>
      </c>
      <c r="D7" s="55" t="n">
        <f aca="false">'Monthly P&amp;L'!O15</f>
        <v>5959.905435</v>
      </c>
      <c r="E7" s="33" t="n">
        <f aca="false">C7-D7</f>
        <v>0</v>
      </c>
    </row>
    <row r="8" customFormat="false" ht="15" hidden="false" customHeight="false" outlineLevel="0" collapsed="false">
      <c r="B8" s="13" t="s">
        <v>119</v>
      </c>
      <c r="C8" s="55" t="n">
        <f aca="false">'Payroll Summary'!O8</f>
        <v>49895.034</v>
      </c>
      <c r="D8" s="55" t="n">
        <f aca="false">'Monthly P&amp;L'!O16</f>
        <v>49895.034</v>
      </c>
      <c r="E8" s="33" t="n">
        <f aca="false">C8-D8</f>
        <v>0</v>
      </c>
    </row>
    <row r="9" customFormat="false" ht="15" hidden="false" customHeight="false" outlineLevel="0" collapsed="false">
      <c r="B9" s="13" t="s">
        <v>14627</v>
      </c>
      <c r="C9" s="55" t="n">
        <f aca="false">'Payroll Summary'!O9</f>
        <v>94722.25</v>
      </c>
      <c r="D9" s="55" t="n">
        <f aca="false">'Monthly P&amp;L'!O17</f>
        <v>94722.25</v>
      </c>
      <c r="E9" s="33" t="n">
        <f aca="false">C9-D9</f>
        <v>0</v>
      </c>
    </row>
    <row r="10" customFormat="false" ht="15" hidden="false" customHeight="false" outlineLevel="0" collapsed="false">
      <c r="B10" s="13" t="s">
        <v>24502</v>
      </c>
      <c r="C10" s="55" t="n">
        <f aca="false">'Payroll Summary'!O11</f>
        <v>82203.571411025</v>
      </c>
      <c r="D10" s="55" t="n">
        <f aca="false">'Monthly P&amp;L'!O18</f>
        <v>82203.571411025</v>
      </c>
      <c r="E10" s="33" t="n">
        <f aca="false">C10-D10</f>
        <v>0</v>
      </c>
    </row>
    <row r="11" customFormat="false" ht="15" hidden="false" customHeight="false" outlineLevel="0" collapsed="false">
      <c r="B11" s="46" t="s">
        <v>22785</v>
      </c>
      <c r="C11" s="47" t="n">
        <f aca="false">SUM(C6:C10)</f>
        <v>649124.753556025</v>
      </c>
      <c r="D11" s="47" t="n">
        <f aca="false">SUM(D6:D10)</f>
        <v>649124.753556025</v>
      </c>
      <c r="E11" s="69" t="n">
        <f aca="false">SUM(E6:E10)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A2B"/>
    <pageSetUpPr fitToPage="false"/>
  </sheetPr>
  <dimension ref="B2: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4" min="3" style="0" width="20"/>
    <col collapsed="false" customWidth="true" hidden="false" outlineLevel="0" max="8" min="5" style="0" width="13"/>
    <col collapsed="false" customWidth="true" hidden="false" outlineLevel="0" max="9" min="9" style="0" width="20"/>
  </cols>
  <sheetData>
    <row r="2" customFormat="false" ht="17.35" hidden="false" customHeight="false" outlineLevel="0" collapsed="false">
      <c r="B2" s="1" t="s">
        <v>24503</v>
      </c>
    </row>
    <row r="3" customFormat="false" ht="15" hidden="false" customHeight="false" outlineLevel="0" collapsed="false">
      <c r="B3" s="2" t="s">
        <v>24504</v>
      </c>
    </row>
    <row r="5" customFormat="false" ht="23.85" hidden="false" customHeight="false" outlineLevel="0" collapsed="false">
      <c r="B5" s="11" t="s">
        <v>495</v>
      </c>
      <c r="C5" s="11" t="s">
        <v>416</v>
      </c>
      <c r="D5" s="11" t="s">
        <v>149</v>
      </c>
      <c r="E5" s="11" t="s">
        <v>24505</v>
      </c>
      <c r="F5" s="11" t="s">
        <v>24506</v>
      </c>
      <c r="G5" s="11" t="s">
        <v>24507</v>
      </c>
      <c r="H5" s="11" t="s">
        <v>24508</v>
      </c>
      <c r="I5" s="11" t="s">
        <v>24509</v>
      </c>
      <c r="J5" s="11" t="s">
        <v>24510</v>
      </c>
    </row>
    <row r="6" customFormat="false" ht="15" hidden="false" customHeight="false" outlineLevel="0" collapsed="false">
      <c r="B6" s="13" t="s">
        <v>1660</v>
      </c>
      <c r="C6" s="13" t="s">
        <v>322</v>
      </c>
      <c r="D6" s="13" t="s">
        <v>154</v>
      </c>
      <c r="E6" s="25" t="n">
        <v>4.01</v>
      </c>
      <c r="F6" s="33" t="n">
        <f aca="false">E6*26.5</f>
        <v>106.265</v>
      </c>
      <c r="G6" s="23" t="n">
        <v>3.18</v>
      </c>
      <c r="H6" s="33" t="n">
        <f aca="false">F6-G6</f>
        <v>103.085</v>
      </c>
      <c r="I6" s="33" t="n">
        <f aca="false">H6-F6</f>
        <v>-3.18000000000001</v>
      </c>
      <c r="J6" s="63" t="s">
        <v>24511</v>
      </c>
    </row>
    <row r="7" customFormat="false" ht="15" hidden="false" customHeight="false" outlineLevel="0" collapsed="false">
      <c r="B7" s="13" t="s">
        <v>1676</v>
      </c>
      <c r="C7" s="13" t="s">
        <v>312</v>
      </c>
      <c r="D7" s="13" t="s">
        <v>154</v>
      </c>
      <c r="E7" s="25" t="n">
        <v>3.01</v>
      </c>
      <c r="F7" s="33" t="n">
        <f aca="false">E7*26.5</f>
        <v>79.765</v>
      </c>
      <c r="G7" s="23" t="n">
        <v>2.38</v>
      </c>
      <c r="H7" s="33" t="n">
        <f aca="false">F7-G7</f>
        <v>77.385</v>
      </c>
      <c r="I7" s="33" t="n">
        <f aca="false">H7-F7</f>
        <v>-2.38</v>
      </c>
      <c r="J7" s="63" t="s">
        <v>24511</v>
      </c>
    </row>
    <row r="8" customFormat="false" ht="15" hidden="false" customHeight="false" outlineLevel="0" collapsed="false">
      <c r="B8" s="13" t="s">
        <v>1705</v>
      </c>
      <c r="C8" s="13" t="s">
        <v>320</v>
      </c>
      <c r="D8" s="13" t="s">
        <v>157</v>
      </c>
      <c r="E8" s="25" t="n">
        <v>1.03</v>
      </c>
      <c r="F8" s="33" t="n">
        <f aca="false">E8*165</f>
        <v>169.95</v>
      </c>
      <c r="G8" s="23" t="n">
        <v>8.58</v>
      </c>
      <c r="H8" s="33" t="n">
        <f aca="false">F8-G8</f>
        <v>161.37</v>
      </c>
      <c r="I8" s="33" t="n">
        <f aca="false">H8-F8</f>
        <v>-8.58000000000001</v>
      </c>
      <c r="J8" s="63" t="s">
        <v>24511</v>
      </c>
    </row>
    <row r="9" customFormat="false" ht="15" hidden="false" customHeight="false" outlineLevel="0" collapsed="false">
      <c r="B9" s="13" t="s">
        <v>1707</v>
      </c>
      <c r="C9" s="13" t="s">
        <v>324</v>
      </c>
      <c r="D9" s="13" t="s">
        <v>159</v>
      </c>
      <c r="E9" s="25" t="n">
        <v>0.98</v>
      </c>
      <c r="F9" s="33" t="n">
        <f aca="false">E9*135</f>
        <v>132.3</v>
      </c>
      <c r="G9" s="23" t="n">
        <v>9.32</v>
      </c>
      <c r="H9" s="33" t="n">
        <f aca="false">F9-G9</f>
        <v>122.98</v>
      </c>
      <c r="I9" s="33" t="n">
        <f aca="false">H9-F9</f>
        <v>-9.31999999999999</v>
      </c>
      <c r="J9" s="63" t="s">
        <v>24511</v>
      </c>
    </row>
    <row r="10" customFormat="false" ht="15" hidden="false" customHeight="false" outlineLevel="0" collapsed="false">
      <c r="B10" s="13" t="s">
        <v>1730</v>
      </c>
      <c r="C10" s="13" t="s">
        <v>354</v>
      </c>
      <c r="D10" s="13" t="s">
        <v>154</v>
      </c>
      <c r="E10" s="25" t="n">
        <v>3.52</v>
      </c>
      <c r="F10" s="33" t="n">
        <f aca="false">E10*26.5</f>
        <v>93.28</v>
      </c>
      <c r="G10" s="23" t="n">
        <v>2.81</v>
      </c>
      <c r="H10" s="33" t="n">
        <f aca="false">F10-G10</f>
        <v>90.47</v>
      </c>
      <c r="I10" s="33" t="n">
        <f aca="false">H10-F10</f>
        <v>-2.81</v>
      </c>
      <c r="J10" s="63" t="s">
        <v>24511</v>
      </c>
    </row>
    <row r="11" customFormat="false" ht="15" hidden="false" customHeight="false" outlineLevel="0" collapsed="false">
      <c r="B11" s="13" t="s">
        <v>1731</v>
      </c>
      <c r="C11" s="13" t="s">
        <v>356</v>
      </c>
      <c r="D11" s="13" t="s">
        <v>154</v>
      </c>
      <c r="E11" s="25" t="n">
        <v>3.64</v>
      </c>
      <c r="F11" s="33" t="n">
        <f aca="false">E11*26.5</f>
        <v>96.46</v>
      </c>
      <c r="G11" s="23" t="n">
        <v>2.89</v>
      </c>
      <c r="H11" s="33" t="n">
        <f aca="false">F11-G11</f>
        <v>93.57</v>
      </c>
      <c r="I11" s="33" t="n">
        <f aca="false">H11-F11</f>
        <v>-2.89</v>
      </c>
      <c r="J11" s="63" t="s">
        <v>24511</v>
      </c>
    </row>
    <row r="12" customFormat="false" ht="15" hidden="false" customHeight="false" outlineLevel="0" collapsed="false">
      <c r="B12" s="13" t="s">
        <v>1736</v>
      </c>
      <c r="C12" s="13" t="s">
        <v>390</v>
      </c>
      <c r="D12" s="13" t="s">
        <v>154</v>
      </c>
      <c r="E12" s="25" t="n">
        <v>3.92</v>
      </c>
      <c r="F12" s="33" t="n">
        <f aca="false">E12*26.5</f>
        <v>103.88</v>
      </c>
      <c r="G12" s="23" t="n">
        <v>3.13</v>
      </c>
      <c r="H12" s="33" t="n">
        <f aca="false">F12-G12</f>
        <v>100.75</v>
      </c>
      <c r="I12" s="33" t="n">
        <f aca="false">H12-F12</f>
        <v>-3.13</v>
      </c>
      <c r="J12" s="63" t="s">
        <v>24511</v>
      </c>
    </row>
    <row r="13" customFormat="false" ht="15" hidden="false" customHeight="false" outlineLevel="0" collapsed="false">
      <c r="B13" s="13" t="s">
        <v>1740</v>
      </c>
      <c r="C13" s="13" t="s">
        <v>400</v>
      </c>
      <c r="D13" s="13" t="s">
        <v>154</v>
      </c>
      <c r="E13" s="25" t="n">
        <v>3.35</v>
      </c>
      <c r="F13" s="33" t="n">
        <f aca="false">E13*26.5</f>
        <v>88.775</v>
      </c>
      <c r="G13" s="23" t="n">
        <v>2.65</v>
      </c>
      <c r="H13" s="33" t="n">
        <f aca="false">F13-G13</f>
        <v>86.125</v>
      </c>
      <c r="I13" s="33" t="n">
        <f aca="false">H13-F13</f>
        <v>-2.65000000000001</v>
      </c>
      <c r="J13" s="63" t="s">
        <v>24511</v>
      </c>
    </row>
    <row r="14" customFormat="false" ht="15" hidden="false" customHeight="false" outlineLevel="0" collapsed="false">
      <c r="B14" s="13" t="s">
        <v>1750</v>
      </c>
      <c r="C14" s="13" t="s">
        <v>326</v>
      </c>
      <c r="D14" s="13" t="s">
        <v>154</v>
      </c>
      <c r="E14" s="25" t="n">
        <v>3.14</v>
      </c>
      <c r="F14" s="33" t="n">
        <f aca="false">E14*26.5</f>
        <v>83.21</v>
      </c>
      <c r="G14" s="23" t="n">
        <v>2.49</v>
      </c>
      <c r="H14" s="33" t="n">
        <f aca="false">F14-G14</f>
        <v>80.72</v>
      </c>
      <c r="I14" s="33" t="n">
        <f aca="false">H14-F14</f>
        <v>-2.49</v>
      </c>
      <c r="J14" s="63" t="s">
        <v>24511</v>
      </c>
    </row>
    <row r="15" customFormat="false" ht="15" hidden="false" customHeight="false" outlineLevel="0" collapsed="false">
      <c r="B15" s="13" t="s">
        <v>1773</v>
      </c>
      <c r="C15" s="13" t="s">
        <v>324</v>
      </c>
      <c r="D15" s="13" t="s">
        <v>159</v>
      </c>
      <c r="E15" s="25" t="n">
        <v>0.94</v>
      </c>
      <c r="F15" s="33" t="n">
        <f aca="false">E15*135</f>
        <v>126.9</v>
      </c>
      <c r="G15" s="23" t="n">
        <v>8.91</v>
      </c>
      <c r="H15" s="33" t="n">
        <f aca="false">F15-G15</f>
        <v>117.99</v>
      </c>
      <c r="I15" s="33" t="n">
        <f aca="false">H15-F15</f>
        <v>-8.91</v>
      </c>
      <c r="J15" s="63" t="s">
        <v>24511</v>
      </c>
    </row>
    <row r="16" customFormat="false" ht="15" hidden="false" customHeight="false" outlineLevel="0" collapsed="false">
      <c r="B16" s="13" t="s">
        <v>1774</v>
      </c>
      <c r="C16" s="13" t="s">
        <v>328</v>
      </c>
      <c r="D16" s="13" t="s">
        <v>157</v>
      </c>
      <c r="E16" s="25" t="n">
        <v>1.09</v>
      </c>
      <c r="F16" s="33" t="n">
        <f aca="false">E16*165</f>
        <v>179.85</v>
      </c>
      <c r="G16" s="23" t="n">
        <v>9.07</v>
      </c>
      <c r="H16" s="33" t="n">
        <f aca="false">F16-G16</f>
        <v>170.78</v>
      </c>
      <c r="I16" s="33" t="n">
        <f aca="false">H16-F16</f>
        <v>-9.06999999999999</v>
      </c>
      <c r="J16" s="63" t="s">
        <v>24511</v>
      </c>
    </row>
    <row r="17" customFormat="false" ht="15" hidden="false" customHeight="false" outlineLevel="0" collapsed="false">
      <c r="B17" s="13" t="s">
        <v>1776</v>
      </c>
      <c r="C17" s="13" t="s">
        <v>336</v>
      </c>
      <c r="D17" s="13" t="s">
        <v>154</v>
      </c>
      <c r="E17" s="25" t="n">
        <v>3.68</v>
      </c>
      <c r="F17" s="33" t="n">
        <f aca="false">E17*26.5</f>
        <v>97.52</v>
      </c>
      <c r="G17" s="23" t="n">
        <v>2.92</v>
      </c>
      <c r="H17" s="33" t="n">
        <f aca="false">F17-G17</f>
        <v>94.6</v>
      </c>
      <c r="I17" s="33" t="n">
        <f aca="false">H17-F17</f>
        <v>-2.92</v>
      </c>
      <c r="J17" s="63" t="s">
        <v>24511</v>
      </c>
    </row>
    <row r="18" customFormat="false" ht="15" hidden="false" customHeight="false" outlineLevel="0" collapsed="false">
      <c r="B18" s="13" t="s">
        <v>1778</v>
      </c>
      <c r="C18" s="13" t="s">
        <v>354</v>
      </c>
      <c r="D18" s="13" t="s">
        <v>154</v>
      </c>
      <c r="E18" s="25" t="n">
        <v>3.49</v>
      </c>
      <c r="F18" s="33" t="n">
        <f aca="false">E18*26.5</f>
        <v>92.485</v>
      </c>
      <c r="G18" s="23" t="n">
        <v>2.78</v>
      </c>
      <c r="H18" s="33" t="n">
        <f aca="false">F18-G18</f>
        <v>89.705</v>
      </c>
      <c r="I18" s="33" t="n">
        <f aca="false">H18-F18</f>
        <v>-2.78</v>
      </c>
      <c r="J18" s="63" t="s">
        <v>24511</v>
      </c>
    </row>
    <row r="19" customFormat="false" ht="15" hidden="false" customHeight="false" outlineLevel="0" collapsed="false">
      <c r="B19" s="13" t="s">
        <v>1779</v>
      </c>
      <c r="C19" s="13" t="s">
        <v>356</v>
      </c>
      <c r="D19" s="13" t="s">
        <v>154</v>
      </c>
      <c r="E19" s="25" t="n">
        <v>3.35</v>
      </c>
      <c r="F19" s="33" t="n">
        <f aca="false">E19*26.5</f>
        <v>88.775</v>
      </c>
      <c r="G19" s="23" t="n">
        <v>2.65</v>
      </c>
      <c r="H19" s="33" t="n">
        <f aca="false">F19-G19</f>
        <v>86.125</v>
      </c>
      <c r="I19" s="33" t="n">
        <f aca="false">H19-F19</f>
        <v>-2.65000000000001</v>
      </c>
      <c r="J19" s="63" t="s">
        <v>24511</v>
      </c>
    </row>
    <row r="20" customFormat="false" ht="15" hidden="false" customHeight="false" outlineLevel="0" collapsed="false">
      <c r="B20" s="13" t="s">
        <v>1786</v>
      </c>
      <c r="C20" s="13" t="s">
        <v>390</v>
      </c>
      <c r="D20" s="13" t="s">
        <v>154</v>
      </c>
      <c r="E20" s="25" t="n">
        <v>3.99</v>
      </c>
      <c r="F20" s="33" t="n">
        <f aca="false">E20*26.5</f>
        <v>105.735</v>
      </c>
      <c r="G20" s="23" t="n">
        <v>3.18</v>
      </c>
      <c r="H20" s="33" t="n">
        <f aca="false">F20-G20</f>
        <v>102.555</v>
      </c>
      <c r="I20" s="33" t="n">
        <f aca="false">H20-F20</f>
        <v>-3.18000000000001</v>
      </c>
      <c r="J20" s="63" t="s">
        <v>24511</v>
      </c>
    </row>
    <row r="21" customFormat="false" ht="15" hidden="false" customHeight="false" outlineLevel="0" collapsed="false">
      <c r="B21" s="13" t="s">
        <v>1802</v>
      </c>
      <c r="C21" s="13" t="s">
        <v>322</v>
      </c>
      <c r="D21" s="13" t="s">
        <v>154</v>
      </c>
      <c r="E21" s="25" t="n">
        <v>3.72</v>
      </c>
      <c r="F21" s="33" t="n">
        <f aca="false">E21*26.5</f>
        <v>98.58</v>
      </c>
      <c r="G21" s="23" t="n">
        <v>2.97</v>
      </c>
      <c r="H21" s="33" t="n">
        <f aca="false">F21-G21</f>
        <v>95.61</v>
      </c>
      <c r="I21" s="33" t="n">
        <f aca="false">H21-F21</f>
        <v>-2.97</v>
      </c>
      <c r="J21" s="63" t="s">
        <v>24511</v>
      </c>
    </row>
    <row r="22" customFormat="false" ht="15" hidden="false" customHeight="false" outlineLevel="0" collapsed="false">
      <c r="B22" s="13" t="s">
        <v>1815</v>
      </c>
      <c r="C22" s="13" t="s">
        <v>322</v>
      </c>
      <c r="D22" s="13" t="s">
        <v>154</v>
      </c>
      <c r="E22" s="25" t="n">
        <v>3.86</v>
      </c>
      <c r="F22" s="33" t="n">
        <f aca="false">E22*26.5</f>
        <v>102.29</v>
      </c>
      <c r="G22" s="23" t="n">
        <v>3.07</v>
      </c>
      <c r="H22" s="33" t="n">
        <f aca="false">F22-G22</f>
        <v>99.22</v>
      </c>
      <c r="I22" s="33" t="n">
        <f aca="false">H22-F22</f>
        <v>-3.06999999999999</v>
      </c>
      <c r="J22" s="63" t="s">
        <v>24511</v>
      </c>
    </row>
    <row r="23" customFormat="false" ht="15" hidden="false" customHeight="false" outlineLevel="0" collapsed="false">
      <c r="B23" s="13" t="s">
        <v>1823</v>
      </c>
      <c r="C23" s="13" t="s">
        <v>344</v>
      </c>
      <c r="D23" s="13" t="s">
        <v>154</v>
      </c>
      <c r="E23" s="25" t="n">
        <v>3.67</v>
      </c>
      <c r="F23" s="33" t="n">
        <f aca="false">E23*26.5</f>
        <v>97.255</v>
      </c>
      <c r="G23" s="23" t="n">
        <v>2.92</v>
      </c>
      <c r="H23" s="33" t="n">
        <f aca="false">F23-G23</f>
        <v>94.335</v>
      </c>
      <c r="I23" s="33" t="n">
        <f aca="false">H23-F23</f>
        <v>-2.92</v>
      </c>
      <c r="J23" s="63" t="s">
        <v>24511</v>
      </c>
    </row>
    <row r="24" customFormat="false" ht="15" hidden="false" customHeight="false" outlineLevel="0" collapsed="false">
      <c r="B24" s="13" t="s">
        <v>1826</v>
      </c>
      <c r="C24" s="13" t="s">
        <v>358</v>
      </c>
      <c r="D24" s="13" t="s">
        <v>154</v>
      </c>
      <c r="E24" s="25" t="n">
        <v>3.47</v>
      </c>
      <c r="F24" s="33" t="n">
        <f aca="false">E24*26.5</f>
        <v>91.955</v>
      </c>
      <c r="G24" s="23" t="n">
        <v>2.76</v>
      </c>
      <c r="H24" s="33" t="n">
        <f aca="false">F24-G24</f>
        <v>89.195</v>
      </c>
      <c r="I24" s="33" t="n">
        <f aca="false">H24-F24</f>
        <v>-2.76000000000001</v>
      </c>
      <c r="J24" s="63" t="s">
        <v>24511</v>
      </c>
    </row>
    <row r="25" customFormat="false" ht="15" hidden="false" customHeight="false" outlineLevel="0" collapsed="false">
      <c r="B25" s="13" t="s">
        <v>1843</v>
      </c>
      <c r="C25" s="13" t="s">
        <v>322</v>
      </c>
      <c r="D25" s="13" t="s">
        <v>154</v>
      </c>
      <c r="E25" s="25" t="n">
        <v>3.74</v>
      </c>
      <c r="F25" s="33" t="n">
        <f aca="false">E25*26.5</f>
        <v>99.11</v>
      </c>
      <c r="G25" s="23" t="n">
        <v>2.97</v>
      </c>
      <c r="H25" s="33" t="n">
        <f aca="false">F25-G25</f>
        <v>96.14</v>
      </c>
      <c r="I25" s="33" t="n">
        <f aca="false">H25-F25</f>
        <v>-2.97</v>
      </c>
      <c r="J25" s="63" t="s">
        <v>24511</v>
      </c>
    </row>
    <row r="26" customFormat="false" ht="15" hidden="false" customHeight="false" outlineLevel="0" collapsed="false">
      <c r="B26" s="13" t="s">
        <v>1943</v>
      </c>
      <c r="C26" s="13" t="s">
        <v>281</v>
      </c>
      <c r="D26" s="13" t="s">
        <v>157</v>
      </c>
      <c r="E26" s="25" t="n">
        <v>1.02</v>
      </c>
      <c r="F26" s="33" t="n">
        <f aca="false">E26*165</f>
        <v>168.3</v>
      </c>
      <c r="G26" s="23" t="n">
        <v>8.41</v>
      </c>
      <c r="H26" s="33" t="n">
        <f aca="false">F26-G26</f>
        <v>159.89</v>
      </c>
      <c r="I26" s="33" t="n">
        <f aca="false">H26-F26</f>
        <v>-8.41</v>
      </c>
      <c r="J26" s="63" t="s">
        <v>24511</v>
      </c>
    </row>
    <row r="27" customFormat="false" ht="15" hidden="false" customHeight="false" outlineLevel="0" collapsed="false">
      <c r="B27" s="13" t="s">
        <v>1956</v>
      </c>
      <c r="C27" s="13" t="s">
        <v>336</v>
      </c>
      <c r="D27" s="13" t="s">
        <v>154</v>
      </c>
      <c r="E27" s="25" t="n">
        <v>4.16</v>
      </c>
      <c r="F27" s="33" t="n">
        <f aca="false">E27*26.5</f>
        <v>110.24</v>
      </c>
      <c r="G27" s="23" t="n">
        <v>3.31</v>
      </c>
      <c r="H27" s="33" t="n">
        <f aca="false">F27-G27</f>
        <v>106.93</v>
      </c>
      <c r="I27" s="33" t="n">
        <f aca="false">H27-F27</f>
        <v>-3.31</v>
      </c>
      <c r="J27" s="63" t="s">
        <v>24511</v>
      </c>
    </row>
    <row r="28" customFormat="false" ht="15" hidden="false" customHeight="false" outlineLevel="0" collapsed="false">
      <c r="B28" s="13" t="s">
        <v>1968</v>
      </c>
      <c r="C28" s="13" t="s">
        <v>378</v>
      </c>
      <c r="D28" s="13" t="s">
        <v>154</v>
      </c>
      <c r="E28" s="25" t="n">
        <v>4.32</v>
      </c>
      <c r="F28" s="33" t="n">
        <f aca="false">E28*26.5</f>
        <v>114.48</v>
      </c>
      <c r="G28" s="23" t="n">
        <v>3.45</v>
      </c>
      <c r="H28" s="33" t="n">
        <f aca="false">F28-G28</f>
        <v>111.03</v>
      </c>
      <c r="I28" s="33" t="n">
        <f aca="false">H28-F28</f>
        <v>-3.45</v>
      </c>
      <c r="J28" s="63" t="s">
        <v>24511</v>
      </c>
    </row>
    <row r="29" customFormat="false" ht="15" hidden="false" customHeight="false" outlineLevel="0" collapsed="false">
      <c r="B29" s="13" t="s">
        <v>1970</v>
      </c>
      <c r="C29" s="13" t="s">
        <v>390</v>
      </c>
      <c r="D29" s="13" t="s">
        <v>154</v>
      </c>
      <c r="E29" s="25" t="n">
        <v>3.73</v>
      </c>
      <c r="F29" s="33" t="n">
        <f aca="false">E29*26.5</f>
        <v>98.845</v>
      </c>
      <c r="G29" s="23" t="n">
        <v>2.97</v>
      </c>
      <c r="H29" s="33" t="n">
        <f aca="false">F29-G29</f>
        <v>95.875</v>
      </c>
      <c r="I29" s="33" t="n">
        <f aca="false">H29-F29</f>
        <v>-2.97</v>
      </c>
      <c r="J29" s="63" t="s">
        <v>24511</v>
      </c>
    </row>
    <row r="30" customFormat="false" ht="15" hidden="false" customHeight="false" outlineLevel="0" collapsed="false">
      <c r="B30" s="13" t="s">
        <v>1976</v>
      </c>
      <c r="C30" s="13" t="s">
        <v>412</v>
      </c>
      <c r="D30" s="13" t="s">
        <v>154</v>
      </c>
      <c r="E30" s="25" t="n">
        <v>4.33</v>
      </c>
      <c r="F30" s="33" t="n">
        <f aca="false">E30*26.5</f>
        <v>114.745</v>
      </c>
      <c r="G30" s="23" t="n">
        <v>3.45</v>
      </c>
      <c r="H30" s="33" t="n">
        <f aca="false">F30-G30</f>
        <v>111.295</v>
      </c>
      <c r="I30" s="33" t="n">
        <f aca="false">H30-F30</f>
        <v>-3.45</v>
      </c>
      <c r="J30" s="63" t="s">
        <v>24511</v>
      </c>
    </row>
    <row r="31" customFormat="false" ht="15" hidden="false" customHeight="false" outlineLevel="0" collapsed="false">
      <c r="B31" s="13" t="s">
        <v>1659</v>
      </c>
      <c r="C31" s="13" t="s">
        <v>289</v>
      </c>
      <c r="D31" s="13" t="s">
        <v>156</v>
      </c>
      <c r="E31" s="25" t="n">
        <v>3.7</v>
      </c>
      <c r="F31" s="33" t="n">
        <f aca="false">E31*34</f>
        <v>125.8</v>
      </c>
      <c r="G31" s="23" t="n">
        <v>0</v>
      </c>
      <c r="H31" s="33" t="n">
        <f aca="false">F31-G31</f>
        <v>125.8</v>
      </c>
      <c r="I31" s="33" t="n">
        <f aca="false">H31-F31</f>
        <v>0</v>
      </c>
      <c r="J31" s="63" t="s">
        <v>24512</v>
      </c>
    </row>
    <row r="32" customFormat="false" ht="15" hidden="false" customHeight="false" outlineLevel="0" collapsed="false">
      <c r="B32" s="13" t="s">
        <v>1661</v>
      </c>
      <c r="C32" s="13" t="s">
        <v>360</v>
      </c>
      <c r="D32" s="13" t="s">
        <v>156</v>
      </c>
      <c r="E32" s="25" t="n">
        <v>3.73</v>
      </c>
      <c r="F32" s="33" t="n">
        <f aca="false">E32*34</f>
        <v>126.82</v>
      </c>
      <c r="G32" s="23" t="n">
        <v>0</v>
      </c>
      <c r="H32" s="33" t="n">
        <f aca="false">F32-G32</f>
        <v>126.82</v>
      </c>
      <c r="I32" s="33" t="n">
        <f aca="false">H32-F32</f>
        <v>0</v>
      </c>
      <c r="J32" s="63" t="s">
        <v>24512</v>
      </c>
    </row>
    <row r="33" customFormat="false" ht="15" hidden="false" customHeight="false" outlineLevel="0" collapsed="false">
      <c r="B33" s="13" t="s">
        <v>1662</v>
      </c>
      <c r="C33" s="13" t="s">
        <v>392</v>
      </c>
      <c r="D33" s="13" t="s">
        <v>156</v>
      </c>
      <c r="E33" s="25" t="n">
        <v>3.92</v>
      </c>
      <c r="F33" s="33" t="n">
        <f aca="false">E33*34</f>
        <v>133.28</v>
      </c>
      <c r="G33" s="23" t="n">
        <v>0</v>
      </c>
      <c r="H33" s="33" t="n">
        <f aca="false">F33-G33</f>
        <v>133.28</v>
      </c>
      <c r="I33" s="33" t="n">
        <f aca="false">H33-F33</f>
        <v>0</v>
      </c>
      <c r="J33" s="63" t="s">
        <v>24512</v>
      </c>
    </row>
    <row r="34" customFormat="false" ht="15" hidden="false" customHeight="false" outlineLevel="0" collapsed="false">
      <c r="B34" s="13" t="s">
        <v>1663</v>
      </c>
      <c r="C34" s="13" t="s">
        <v>396</v>
      </c>
      <c r="D34" s="13" t="s">
        <v>156</v>
      </c>
      <c r="E34" s="25" t="n">
        <v>4.3</v>
      </c>
      <c r="F34" s="33" t="n">
        <f aca="false">E34*34</f>
        <v>146.2</v>
      </c>
      <c r="G34" s="23" t="n">
        <v>0</v>
      </c>
      <c r="H34" s="33" t="n">
        <f aca="false">F34-G34</f>
        <v>146.2</v>
      </c>
      <c r="I34" s="33" t="n">
        <f aca="false">H34-F34</f>
        <v>0</v>
      </c>
      <c r="J34" s="63" t="s">
        <v>24512</v>
      </c>
    </row>
    <row r="35" customFormat="false" ht="15" hidden="false" customHeight="false" outlineLevel="0" collapsed="false">
      <c r="B35" s="13" t="s">
        <v>1664</v>
      </c>
      <c r="C35" s="13" t="s">
        <v>402</v>
      </c>
      <c r="D35" s="13" t="s">
        <v>156</v>
      </c>
      <c r="E35" s="25" t="n">
        <v>4.36</v>
      </c>
      <c r="F35" s="33" t="n">
        <f aca="false">E35*34</f>
        <v>148.24</v>
      </c>
      <c r="G35" s="23" t="n">
        <v>0</v>
      </c>
      <c r="H35" s="33" t="n">
        <f aca="false">F35-G35</f>
        <v>148.24</v>
      </c>
      <c r="I35" s="33" t="n">
        <f aca="false">H35-F35</f>
        <v>0</v>
      </c>
      <c r="J35" s="63" t="s">
        <v>24512</v>
      </c>
    </row>
    <row r="36" customFormat="false" ht="15" hidden="false" customHeight="false" outlineLevel="0" collapsed="false">
      <c r="B36" s="13" t="s">
        <v>1665</v>
      </c>
      <c r="C36" s="13" t="s">
        <v>289</v>
      </c>
      <c r="D36" s="13" t="s">
        <v>156</v>
      </c>
      <c r="E36" s="25" t="n">
        <v>3.98</v>
      </c>
      <c r="F36" s="33" t="n">
        <f aca="false">E36*34</f>
        <v>135.32</v>
      </c>
      <c r="G36" s="23" t="n">
        <v>0</v>
      </c>
      <c r="H36" s="33" t="n">
        <f aca="false">F36-G36</f>
        <v>135.32</v>
      </c>
      <c r="I36" s="33" t="n">
        <f aca="false">H36-F36</f>
        <v>0</v>
      </c>
      <c r="J36" s="63" t="s">
        <v>24512</v>
      </c>
    </row>
    <row r="37" customFormat="false" ht="15" hidden="false" customHeight="false" outlineLevel="0" collapsed="false">
      <c r="B37" s="13" t="s">
        <v>1666</v>
      </c>
      <c r="C37" s="13" t="s">
        <v>322</v>
      </c>
      <c r="D37" s="13" t="s">
        <v>154</v>
      </c>
      <c r="E37" s="25" t="n">
        <v>3.93</v>
      </c>
      <c r="F37" s="33" t="n">
        <f aca="false">E37*26.5</f>
        <v>104.145</v>
      </c>
      <c r="G37" s="23" t="n">
        <v>0</v>
      </c>
      <c r="H37" s="33" t="n">
        <f aca="false">F37-G37</f>
        <v>104.145</v>
      </c>
      <c r="I37" s="33" t="n">
        <f aca="false">H37-F37</f>
        <v>0</v>
      </c>
      <c r="J37" s="63" t="s">
        <v>24512</v>
      </c>
    </row>
    <row r="38" customFormat="false" ht="15" hidden="false" customHeight="false" outlineLevel="0" collapsed="false">
      <c r="B38" s="13" t="s">
        <v>1667</v>
      </c>
      <c r="C38" s="13" t="s">
        <v>360</v>
      </c>
      <c r="D38" s="13" t="s">
        <v>156</v>
      </c>
      <c r="E38" s="25" t="n">
        <v>4.21</v>
      </c>
      <c r="F38" s="33" t="n">
        <f aca="false">E38*34</f>
        <v>143.14</v>
      </c>
      <c r="G38" s="23" t="n">
        <v>0</v>
      </c>
      <c r="H38" s="33" t="n">
        <f aca="false">F38-G38</f>
        <v>143.14</v>
      </c>
      <c r="I38" s="33" t="n">
        <f aca="false">H38-F38</f>
        <v>0</v>
      </c>
      <c r="J38" s="63" t="s">
        <v>24512</v>
      </c>
    </row>
    <row r="39" customFormat="false" ht="15" hidden="false" customHeight="false" outlineLevel="0" collapsed="false">
      <c r="B39" s="13" t="s">
        <v>1668</v>
      </c>
      <c r="C39" s="13" t="s">
        <v>392</v>
      </c>
      <c r="D39" s="13" t="s">
        <v>156</v>
      </c>
      <c r="E39" s="25" t="n">
        <v>3.73</v>
      </c>
      <c r="F39" s="33" t="n">
        <f aca="false">E39*34</f>
        <v>126.82</v>
      </c>
      <c r="G39" s="23" t="n">
        <v>0</v>
      </c>
      <c r="H39" s="33" t="n">
        <f aca="false">F39-G39</f>
        <v>126.82</v>
      </c>
      <c r="I39" s="33" t="n">
        <f aca="false">H39-F39</f>
        <v>0</v>
      </c>
      <c r="J39" s="63" t="s">
        <v>24512</v>
      </c>
    </row>
    <row r="40" customFormat="false" ht="15" hidden="false" customHeight="false" outlineLevel="0" collapsed="false">
      <c r="B40" s="13" t="s">
        <v>1669</v>
      </c>
      <c r="C40" s="13" t="s">
        <v>396</v>
      </c>
      <c r="D40" s="13" t="s">
        <v>156</v>
      </c>
      <c r="E40" s="25" t="n">
        <v>4.08</v>
      </c>
      <c r="F40" s="33" t="n">
        <f aca="false">E40*34</f>
        <v>138.72</v>
      </c>
      <c r="G40" s="23" t="n">
        <v>0</v>
      </c>
      <c r="H40" s="33" t="n">
        <f aca="false">F40-G40</f>
        <v>138.72</v>
      </c>
      <c r="I40" s="33" t="n">
        <f aca="false">H40-F40</f>
        <v>0</v>
      </c>
      <c r="J40" s="63" t="s">
        <v>24512</v>
      </c>
    </row>
    <row r="41" customFormat="false" ht="15" hidden="false" customHeight="false" outlineLevel="0" collapsed="false">
      <c r="B41" s="13" t="s">
        <v>1670</v>
      </c>
      <c r="C41" s="13" t="s">
        <v>281</v>
      </c>
      <c r="D41" s="13" t="s">
        <v>157</v>
      </c>
      <c r="E41" s="25" t="n">
        <v>1.07</v>
      </c>
      <c r="F41" s="33" t="n">
        <f aca="false">E41*165</f>
        <v>176.55</v>
      </c>
      <c r="G41" s="23" t="n">
        <v>0</v>
      </c>
      <c r="H41" s="33" t="n">
        <f aca="false">F41-G41</f>
        <v>176.55</v>
      </c>
      <c r="I41" s="33" t="n">
        <f aca="false">H41-F41</f>
        <v>0</v>
      </c>
      <c r="J41" s="63" t="s">
        <v>24512</v>
      </c>
    </row>
    <row r="42" customFormat="false" ht="15" hidden="false" customHeight="false" outlineLevel="0" collapsed="false">
      <c r="B42" s="13" t="s">
        <v>1671</v>
      </c>
      <c r="C42" s="13" t="s">
        <v>289</v>
      </c>
      <c r="D42" s="13" t="s">
        <v>156</v>
      </c>
      <c r="E42" s="25" t="n">
        <v>3.72</v>
      </c>
      <c r="F42" s="33" t="n">
        <f aca="false">E42*34</f>
        <v>126.48</v>
      </c>
      <c r="G42" s="23" t="n">
        <v>0</v>
      </c>
      <c r="H42" s="33" t="n">
        <f aca="false">F42-G42</f>
        <v>126.48</v>
      </c>
      <c r="I42" s="33" t="n">
        <f aca="false">H42-F42</f>
        <v>0</v>
      </c>
      <c r="J42" s="63" t="s">
        <v>24512</v>
      </c>
    </row>
    <row r="43" customFormat="false" ht="15" hidden="false" customHeight="false" outlineLevel="0" collapsed="false">
      <c r="B43" s="13" t="s">
        <v>1672</v>
      </c>
      <c r="C43" s="13" t="s">
        <v>292</v>
      </c>
      <c r="D43" s="13" t="s">
        <v>154</v>
      </c>
      <c r="E43" s="25" t="n">
        <v>4.77</v>
      </c>
      <c r="F43" s="33" t="n">
        <f aca="false">E43*26.5</f>
        <v>126.405</v>
      </c>
      <c r="G43" s="23" t="n">
        <v>0</v>
      </c>
      <c r="H43" s="33" t="n">
        <f aca="false">F43-G43</f>
        <v>126.405</v>
      </c>
      <c r="I43" s="33" t="n">
        <f aca="false">H43-F43</f>
        <v>0</v>
      </c>
      <c r="J43" s="63" t="s">
        <v>24512</v>
      </c>
    </row>
    <row r="44" customFormat="false" ht="15" hidden="false" customHeight="false" outlineLevel="0" collapsed="false">
      <c r="B44" s="13" t="s">
        <v>1673</v>
      </c>
      <c r="C44" s="13" t="s">
        <v>298</v>
      </c>
      <c r="D44" s="13" t="s">
        <v>156</v>
      </c>
      <c r="E44" s="25" t="n">
        <v>3</v>
      </c>
      <c r="F44" s="33" t="n">
        <f aca="false">E44*34</f>
        <v>102</v>
      </c>
      <c r="G44" s="23" t="n">
        <v>0</v>
      </c>
      <c r="H44" s="33" t="n">
        <f aca="false">F44-G44</f>
        <v>102</v>
      </c>
      <c r="I44" s="33" t="n">
        <f aca="false">H44-F44</f>
        <v>0</v>
      </c>
      <c r="J44" s="63" t="s">
        <v>24512</v>
      </c>
    </row>
    <row r="45" customFormat="false" ht="15" hidden="false" customHeight="false" outlineLevel="0" collapsed="false">
      <c r="B45" s="13" t="s">
        <v>1674</v>
      </c>
      <c r="C45" s="13" t="s">
        <v>306</v>
      </c>
      <c r="D45" s="13" t="s">
        <v>154</v>
      </c>
      <c r="E45" s="25" t="n">
        <v>3.7</v>
      </c>
      <c r="F45" s="33" t="n">
        <f aca="false">E45*26.5</f>
        <v>98.05</v>
      </c>
      <c r="G45" s="23" t="n">
        <v>0</v>
      </c>
      <c r="H45" s="33" t="n">
        <f aca="false">F45-G45</f>
        <v>98.05</v>
      </c>
      <c r="I45" s="33" t="n">
        <f aca="false">H45-F45</f>
        <v>0</v>
      </c>
      <c r="J45" s="63" t="s">
        <v>24512</v>
      </c>
    </row>
    <row r="47" customFormat="false" ht="15" hidden="false" customHeight="false" outlineLevel="0" collapsed="false">
      <c r="B47" s="36" t="s">
        <v>24513</v>
      </c>
      <c r="F47" s="37" t="n">
        <f aca="false">SUM(F6:F45)</f>
        <v>4698.92</v>
      </c>
      <c r="G47" s="37" t="n">
        <f aca="false">SUM(G6:G45)</f>
        <v>103.22</v>
      </c>
      <c r="H47" s="37" t="n">
        <f aca="false">SUM(H6:H45)</f>
        <v>4595.7</v>
      </c>
      <c r="I47" s="37" t="n">
        <f aca="false">SUM(I6:I45)</f>
        <v>-103.22</v>
      </c>
    </row>
    <row r="49" customFormat="false" ht="54.75" hidden="false" customHeight="true" outlineLevel="0" collapsed="false">
      <c r="B49" s="66" t="s">
        <v>24514</v>
      </c>
      <c r="C49" s="66"/>
      <c r="D49" s="66"/>
      <c r="E49" s="66"/>
      <c r="F49" s="66"/>
      <c r="G49" s="66"/>
      <c r="H49" s="66"/>
      <c r="I49" s="66"/>
    </row>
  </sheetData>
  <mergeCells count="1">
    <mergeCell ref="B49:I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false"/>
  </sheetPr>
  <dimension ref="B2:O1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15" min="3" style="0" width="12"/>
  </cols>
  <sheetData>
    <row r="2" customFormat="false" ht="17.35" hidden="false" customHeight="false" outlineLevel="0" collapsed="false">
      <c r="B2" s="1" t="s">
        <v>49</v>
      </c>
    </row>
    <row r="3" customFormat="false" ht="15" hidden="false" customHeight="false" outlineLevel="0" collapsed="false">
      <c r="B3" s="2" t="s">
        <v>24515</v>
      </c>
    </row>
    <row r="5" customFormat="false" ht="15" hidden="false" customHeight="false" outlineLevel="0" collapsed="false">
      <c r="B5" s="53"/>
      <c r="C5" s="11" t="s">
        <v>469</v>
      </c>
      <c r="D5" s="11" t="s">
        <v>470</v>
      </c>
      <c r="E5" s="11" t="s">
        <v>471</v>
      </c>
      <c r="F5" s="11" t="s">
        <v>472</v>
      </c>
      <c r="G5" s="11" t="s">
        <v>473</v>
      </c>
      <c r="H5" s="11" t="s">
        <v>474</v>
      </c>
      <c r="I5" s="11" t="s">
        <v>475</v>
      </c>
      <c r="J5" s="11" t="s">
        <v>476</v>
      </c>
      <c r="K5" s="11" t="s">
        <v>477</v>
      </c>
      <c r="L5" s="11" t="s">
        <v>478</v>
      </c>
      <c r="M5" s="11" t="s">
        <v>479</v>
      </c>
      <c r="N5" s="11" t="s">
        <v>480</v>
      </c>
      <c r="O5" s="11" t="s">
        <v>24516</v>
      </c>
    </row>
    <row r="6" customFormat="false" ht="15" hidden="false" customHeight="false" outlineLevel="0" collapsed="false">
      <c r="B6" s="12" t="s">
        <v>24517</v>
      </c>
      <c r="C6" s="54"/>
      <c r="D6" s="54"/>
      <c r="E6" s="54"/>
      <c r="F6" s="54"/>
      <c r="G6" s="54"/>
      <c r="H6" s="54"/>
      <c r="I6" s="54"/>
      <c r="J6" s="54"/>
      <c r="K6" s="54"/>
      <c r="L6" s="54"/>
      <c r="M6" s="54"/>
      <c r="N6" s="54"/>
      <c r="O6" s="54"/>
    </row>
    <row r="7" customFormat="false" ht="15" hidden="false" customHeight="false" outlineLevel="0" collapsed="false">
      <c r="B7" s="13" t="s">
        <v>24518</v>
      </c>
      <c r="C7" s="55" t="n">
        <f aca="false">'Monthly P&amp;L'!C11</f>
        <v>76118.615</v>
      </c>
      <c r="D7" s="55" t="n">
        <f aca="false">'Monthly P&amp;L'!D11</f>
        <v>65899.6635</v>
      </c>
      <c r="E7" s="55" t="n">
        <f aca="false">'Monthly P&amp;L'!E11</f>
        <v>72461.048</v>
      </c>
      <c r="F7" s="55" t="n">
        <f aca="false">'Monthly P&amp;L'!F11</f>
        <v>77337.1135</v>
      </c>
      <c r="G7" s="55" t="n">
        <f aca="false">'Monthly P&amp;L'!G11</f>
        <v>79421.951</v>
      </c>
      <c r="H7" s="55" t="n">
        <f aca="false">'Monthly P&amp;L'!H11</f>
        <v>77431.501</v>
      </c>
      <c r="I7" s="55" t="n">
        <f aca="false">'Monthly P&amp;L'!I11</f>
        <v>82810.3685</v>
      </c>
      <c r="J7" s="55" t="n">
        <f aca="false">'Monthly P&amp;L'!J11</f>
        <v>89358.965</v>
      </c>
      <c r="K7" s="55" t="n">
        <f aca="false">'Monthly P&amp;L'!K11</f>
        <v>90006.237</v>
      </c>
      <c r="L7" s="55" t="n">
        <f aca="false">'Monthly P&amp;L'!L11</f>
        <v>97656.3285</v>
      </c>
      <c r="M7" s="55" t="n">
        <f aca="false">'Monthly P&amp;L'!M11</f>
        <v>87903.159</v>
      </c>
      <c r="N7" s="55" t="n">
        <f aca="false">'Monthly P&amp;L'!N11</f>
        <v>97678.724</v>
      </c>
      <c r="O7" s="35" t="n">
        <f aca="false">SUM(C7:N7)</f>
        <v>994083.674</v>
      </c>
    </row>
    <row r="8" customFormat="false" ht="15" hidden="false" customHeight="false" outlineLevel="0" collapsed="false">
      <c r="B8" s="13" t="s">
        <v>24519</v>
      </c>
      <c r="C8" s="55" t="n">
        <f aca="false">'Monthly P&amp;L'!C26</f>
        <v>2978.569385</v>
      </c>
      <c r="D8" s="55" t="n">
        <f aca="false">'Monthly P&amp;L'!D26</f>
        <v>-456.664744500005</v>
      </c>
      <c r="E8" s="55" t="n">
        <f aca="false">'Monthly P&amp;L'!E26</f>
        <v>1714.75060849999</v>
      </c>
      <c r="F8" s="55" t="n">
        <f aca="false">'Monthly P&amp;L'!F26</f>
        <v>3709.8257745</v>
      </c>
      <c r="G8" s="55" t="n">
        <f aca="false">'Monthly P&amp;L'!G26</f>
        <v>4152.55954817501</v>
      </c>
      <c r="H8" s="55" t="n">
        <f aca="false">'Monthly P&amp;L'!H26</f>
        <v>3551.68262855</v>
      </c>
      <c r="I8" s="55" t="n">
        <f aca="false">'Monthly P&amp;L'!I26</f>
        <v>4734.288152275</v>
      </c>
      <c r="J8" s="55" t="n">
        <f aca="false">'Monthly P&amp;L'!J26</f>
        <v>7019.019000525</v>
      </c>
      <c r="K8" s="55" t="n">
        <f aca="false">'Monthly P&amp;L'!K26</f>
        <v>6708.45223992499</v>
      </c>
      <c r="L8" s="55" t="n">
        <f aca="false">'Monthly P&amp;L'!L26</f>
        <v>9399.25611800001</v>
      </c>
      <c r="M8" s="55" t="n">
        <f aca="false">'Monthly P&amp;L'!M26</f>
        <v>5574.338954725</v>
      </c>
      <c r="N8" s="55" t="n">
        <f aca="false">'Monthly P&amp;L'!N26</f>
        <v>9156.19277829999</v>
      </c>
      <c r="O8" s="35" t="n">
        <f aca="false">SUM(C8:N8)</f>
        <v>58242.270443975</v>
      </c>
    </row>
    <row r="9" customFormat="false" ht="15" hidden="false" customHeight="false" outlineLevel="0" collapsed="false">
      <c r="B9" s="13" t="s">
        <v>24418</v>
      </c>
      <c r="C9" s="70" t="n">
        <f aca="false">IFERROR(C8/C7,0)</f>
        <v>0.0391306303326723</v>
      </c>
      <c r="D9" s="70" t="n">
        <f aca="false">IFERROR(D8/D7,0)</f>
        <v>-0.00692969766833491</v>
      </c>
      <c r="E9" s="70" t="n">
        <f aca="false">IFERROR(E8/E7,0)</f>
        <v>0.0236644467038344</v>
      </c>
      <c r="F9" s="70" t="n">
        <f aca="false">IFERROR(F8/F7,0)</f>
        <v>0.0479695401936614</v>
      </c>
      <c r="G9" s="70" t="n">
        <f aca="false">IFERROR(G8/G7,0)</f>
        <v>0.0522847839405885</v>
      </c>
      <c r="H9" s="70" t="n">
        <f aca="false">IFERROR(H8/H7,0)</f>
        <v>0.0458687043733015</v>
      </c>
      <c r="I9" s="70" t="n">
        <f aca="false">IFERROR(I8/I7,0)</f>
        <v>0.057170234090614</v>
      </c>
      <c r="J9" s="70" t="n">
        <f aca="false">IFERROR(J8/J7,0)</f>
        <v>0.0785485709299005</v>
      </c>
      <c r="K9" s="70" t="n">
        <f aca="false">IFERROR(K8/K7,0)</f>
        <v>0.074533193071109</v>
      </c>
      <c r="L9" s="70" t="n">
        <f aca="false">IFERROR(L8/L7,0)</f>
        <v>0.0962483052800823</v>
      </c>
      <c r="M9" s="70" t="n">
        <f aca="false">IFERROR(M8/M7,0)</f>
        <v>0.0634145463955966</v>
      </c>
      <c r="N9" s="70" t="n">
        <f aca="false">IFERROR(N8/N7,0)</f>
        <v>0.0937378418078023</v>
      </c>
      <c r="O9" s="71" t="n">
        <f aca="false">IFERROR(O8/O7,0)</f>
        <v>0.058588901485143</v>
      </c>
    </row>
    <row r="10" customFormat="false" ht="15" hidden="false" customHeight="false" outlineLevel="0" collapsed="false">
      <c r="B10" s="48"/>
      <c r="C10" s="48"/>
      <c r="D10" s="48"/>
      <c r="E10" s="48"/>
      <c r="F10" s="48"/>
      <c r="G10" s="48"/>
      <c r="H10" s="48"/>
      <c r="I10" s="48"/>
      <c r="J10" s="48"/>
      <c r="K10" s="48"/>
      <c r="L10" s="48"/>
      <c r="M10" s="48"/>
      <c r="N10" s="48"/>
      <c r="O10" s="48"/>
    </row>
    <row r="11" customFormat="false" ht="15" hidden="false" customHeight="false" outlineLevel="0" collapsed="false">
      <c r="B11" s="12" t="s">
        <v>24520</v>
      </c>
      <c r="C11" s="54"/>
      <c r="D11" s="54"/>
      <c r="E11" s="54"/>
      <c r="F11" s="54"/>
      <c r="G11" s="54"/>
      <c r="H11" s="54"/>
      <c r="I11" s="54"/>
      <c r="J11" s="54"/>
      <c r="K11" s="54"/>
      <c r="L11" s="54"/>
      <c r="M11" s="54"/>
      <c r="N11" s="54"/>
      <c r="O11" s="54"/>
    </row>
    <row r="12" customFormat="false" ht="15" hidden="false" customHeight="false" outlineLevel="0" collapsed="false">
      <c r="B12" s="13" t="s">
        <v>24521</v>
      </c>
      <c r="C12" s="72" t="n">
        <f aca="false">SUMIFS('Daily Visit Register'!$J$6:$J$8129,'Daily Visit Register'!$C$6:$C$8129,"&gt;="&amp;DATE(2025,1,1),'Daily Visit Register'!$C$6:$C$8129,"&lt;"&amp;DATE(2025,2,1),'Daily Visit Register'!$G$6:$G$8129,"Hours")</f>
        <v>1983.11</v>
      </c>
      <c r="D12" s="72" t="n">
        <f aca="false">SUMIFS('Daily Visit Register'!$J$6:$J$8129,'Daily Visit Register'!$C$6:$C$8129,"&gt;="&amp;DATE(2025,2,1),'Daily Visit Register'!$C$6:$C$8129,"&lt;"&amp;DATE(2025,3,1),'Daily Visit Register'!$G$6:$G$8129,"Hours")</f>
        <v>1706.589</v>
      </c>
      <c r="E12" s="72" t="n">
        <f aca="false">SUMIFS('Daily Visit Register'!$J$6:$J$8129,'Daily Visit Register'!$C$6:$C$8129,"&gt;="&amp;DATE(2025,3,1),'Daily Visit Register'!$C$6:$C$8129,"&lt;"&amp;DATE(2025,4,1),'Daily Visit Register'!$G$6:$G$8129,"Hours")</f>
        <v>1877.102</v>
      </c>
      <c r="F12" s="72" t="n">
        <f aca="false">SUMIFS('Daily Visit Register'!$J$6:$J$8129,'Daily Visit Register'!$C$6:$C$8129,"&gt;="&amp;DATE(2025,4,1),'Daily Visit Register'!$C$6:$C$8129,"&lt;"&amp;DATE(2025,5,1),'Daily Visit Register'!$G$6:$G$8129,"Hours")</f>
        <v>1939.339</v>
      </c>
      <c r="G12" s="72" t="n">
        <f aca="false">SUMIFS('Daily Visit Register'!$J$6:$J$8129,'Daily Visit Register'!$C$6:$C$8129,"&gt;="&amp;DATE(2025,5,1),'Daily Visit Register'!$C$6:$C$8129,"&lt;"&amp;DATE(2025,6,1),'Daily Visit Register'!$G$6:$G$8129,"Hours")</f>
        <v>2040.734</v>
      </c>
      <c r="H12" s="72" t="n">
        <f aca="false">SUMIFS('Daily Visit Register'!$J$6:$J$8129,'Daily Visit Register'!$C$6:$C$8129,"&gt;="&amp;DATE(2025,6,1),'Daily Visit Register'!$C$6:$C$8129,"&lt;"&amp;DATE(2025,7,1),'Daily Visit Register'!$G$6:$G$8129,"Hours")</f>
        <v>2018.704</v>
      </c>
      <c r="I12" s="72" t="n">
        <f aca="false">SUMIFS('Daily Visit Register'!$J$6:$J$8129,'Daily Visit Register'!$C$6:$C$8129,"&gt;="&amp;DATE(2025,7,1),'Daily Visit Register'!$C$6:$C$8129,"&lt;"&amp;DATE(2025,8,1),'Daily Visit Register'!$G$6:$G$8129,"Hours")</f>
        <v>2146.169</v>
      </c>
      <c r="J12" s="72" t="n">
        <f aca="false">SUMIFS('Daily Visit Register'!$J$6:$J$8129,'Daily Visit Register'!$C$6:$C$8129,"&gt;="&amp;DATE(2025,8,1),'Daily Visit Register'!$C$6:$C$8129,"&lt;"&amp;DATE(2025,9,1),'Daily Visit Register'!$G$6:$G$8129,"Hours")</f>
        <v>2276.99</v>
      </c>
      <c r="K12" s="72" t="n">
        <f aca="false">SUMIFS('Daily Visit Register'!$J$6:$J$8129,'Daily Visit Register'!$C$6:$C$8129,"&gt;="&amp;DATE(2025,9,1),'Daily Visit Register'!$C$6:$C$8129,"&lt;"&amp;DATE(2025,10,1),'Daily Visit Register'!$G$6:$G$8129,"Hours")</f>
        <v>2316.438</v>
      </c>
      <c r="L12" s="72" t="n">
        <f aca="false">SUMIFS('Daily Visit Register'!$J$6:$J$8129,'Daily Visit Register'!$C$6:$C$8129,"&gt;="&amp;DATE(2025,10,1),'Daily Visit Register'!$C$6:$C$8129,"&lt;"&amp;DATE(2025,11,1),'Daily Visit Register'!$G$6:$G$8129,"Hours")</f>
        <v>2537.079</v>
      </c>
      <c r="M12" s="72" t="n">
        <f aca="false">SUMIFS('Daily Visit Register'!$J$6:$J$8129,'Daily Visit Register'!$C$6:$C$8129,"&gt;="&amp;DATE(2025,11,1),'Daily Visit Register'!$C$6:$C$8129,"&lt;"&amp;DATE(2025,12,1),'Daily Visit Register'!$G$6:$G$8129,"Hours")</f>
        <v>2313.606</v>
      </c>
      <c r="N12" s="72" t="n">
        <f aca="false">SUMIFS('Daily Visit Register'!$J$6:$J$8129,'Daily Visit Register'!$C$6:$C$8129,"&gt;="&amp;DATE(2025,12,1),'Daily Visit Register'!$C$6:$C$8129,"&lt;"&amp;DATE(2026,1,1),'Daily Visit Register'!$G$6:$G$8129,"Hours")</f>
        <v>2502.836</v>
      </c>
      <c r="O12" s="73" t="n">
        <f aca="false">SUM(C12:N12)</f>
        <v>25658.696</v>
      </c>
    </row>
    <row r="13" customFormat="false" ht="15" hidden="false" customHeight="false" outlineLevel="0" collapsed="false">
      <c r="B13" s="13" t="s">
        <v>24522</v>
      </c>
      <c r="C13" s="72" t="n">
        <f aca="false">SUMIFS('Daily Payroll Register'!$F$6:$F$5978,'Daily Payroll Register'!$C$6:$C$5978,"&gt;="&amp;DATE(2025,1,1),'Daily Payroll Register'!$C$6:$C$5978,"&lt;"&amp;DATE(2025,2,1))+SUMIFS('Daily Payroll Register'!$G$6:$G$5978,'Daily Payroll Register'!$C$6:$C$5978,"&gt;="&amp;DATE(2025,1,1),'Daily Payroll Register'!$C$6:$C$5978,"&lt;"&amp;DATE(2025,2,1))</f>
        <v>1987.18</v>
      </c>
      <c r="D13" s="72" t="n">
        <f aca="false">SUMIFS('Daily Payroll Register'!$F$6:$F$5978,'Daily Payroll Register'!$C$6:$C$5978,"&gt;="&amp;DATE(2025,2,1),'Daily Payroll Register'!$C$6:$C$5978,"&lt;"&amp;DATE(2025,3,1))+SUMIFS('Daily Payroll Register'!$G$6:$G$5978,'Daily Payroll Register'!$C$6:$C$5978,"&gt;="&amp;DATE(2025,2,1),'Daily Payroll Register'!$C$6:$C$5978,"&lt;"&amp;DATE(2025,3,1))</f>
        <v>1710.47</v>
      </c>
      <c r="E13" s="72" t="n">
        <f aca="false">SUMIFS('Daily Payroll Register'!$F$6:$F$5978,'Daily Payroll Register'!$C$6:$C$5978,"&gt;="&amp;DATE(2025,3,1),'Daily Payroll Register'!$C$6:$C$5978,"&lt;"&amp;DATE(2025,4,1))+SUMIFS('Daily Payroll Register'!$G$6:$G$5978,'Daily Payroll Register'!$C$6:$C$5978,"&gt;="&amp;DATE(2025,3,1),'Daily Payroll Register'!$C$6:$C$5978,"&lt;"&amp;DATE(2025,4,1))</f>
        <v>1881.28</v>
      </c>
      <c r="F13" s="72" t="n">
        <f aca="false">SUMIFS('Daily Payroll Register'!$F$6:$F$5978,'Daily Payroll Register'!$C$6:$C$5978,"&gt;="&amp;DATE(2025,4,1),'Daily Payroll Register'!$C$6:$C$5978,"&lt;"&amp;DATE(2025,5,1))+SUMIFS('Daily Payroll Register'!$G$6:$G$5978,'Daily Payroll Register'!$C$6:$C$5978,"&gt;="&amp;DATE(2025,4,1),'Daily Payroll Register'!$C$6:$C$5978,"&lt;"&amp;DATE(2025,5,1))</f>
        <v>1943.98</v>
      </c>
      <c r="G13" s="72" t="n">
        <f aca="false">SUMIFS('Daily Payroll Register'!$F$6:$F$5978,'Daily Payroll Register'!$C$6:$C$5978,"&gt;="&amp;DATE(2025,5,1),'Daily Payroll Register'!$C$6:$C$5978,"&lt;"&amp;DATE(2025,6,1))+SUMIFS('Daily Payroll Register'!$G$6:$G$5978,'Daily Payroll Register'!$C$6:$C$5978,"&gt;="&amp;DATE(2025,5,1),'Daily Payroll Register'!$C$6:$C$5978,"&lt;"&amp;DATE(2025,6,1))</f>
        <v>2044.92</v>
      </c>
      <c r="H13" s="72" t="n">
        <f aca="false">SUMIFS('Daily Payroll Register'!$F$6:$F$5978,'Daily Payroll Register'!$C$6:$C$5978,"&gt;="&amp;DATE(2025,6,1),'Daily Payroll Register'!$C$6:$C$5978,"&lt;"&amp;DATE(2025,7,1))+SUMIFS('Daily Payroll Register'!$G$6:$G$5978,'Daily Payroll Register'!$C$6:$C$5978,"&gt;="&amp;DATE(2025,6,1),'Daily Payroll Register'!$C$6:$C$5978,"&lt;"&amp;DATE(2025,7,1))</f>
        <v>2023.65</v>
      </c>
      <c r="I13" s="72" t="n">
        <f aca="false">SUMIFS('Daily Payroll Register'!$F$6:$F$5978,'Daily Payroll Register'!$C$6:$C$5978,"&gt;="&amp;DATE(2025,7,1),'Daily Payroll Register'!$C$6:$C$5978,"&lt;"&amp;DATE(2025,8,1))+SUMIFS('Daily Payroll Register'!$G$6:$G$5978,'Daily Payroll Register'!$C$6:$C$5978,"&gt;="&amp;DATE(2025,7,1),'Daily Payroll Register'!$C$6:$C$5978,"&lt;"&amp;DATE(2025,8,1))</f>
        <v>2151.15</v>
      </c>
      <c r="J13" s="72" t="n">
        <f aca="false">SUMIFS('Daily Payroll Register'!$F$6:$F$5978,'Daily Payroll Register'!$C$6:$C$5978,"&gt;="&amp;DATE(2025,8,1),'Daily Payroll Register'!$C$6:$C$5978,"&lt;"&amp;DATE(2025,9,1))+SUMIFS('Daily Payroll Register'!$G$6:$G$5978,'Daily Payroll Register'!$C$6:$C$5978,"&gt;="&amp;DATE(2025,8,1),'Daily Payroll Register'!$C$6:$C$5978,"&lt;"&amp;DATE(2025,9,1))</f>
        <v>2282.91</v>
      </c>
      <c r="K13" s="72" t="n">
        <f aca="false">SUMIFS('Daily Payroll Register'!$F$6:$F$5978,'Daily Payroll Register'!$C$6:$C$5978,"&gt;="&amp;DATE(2025,9,1),'Daily Payroll Register'!$C$6:$C$5978,"&lt;"&amp;DATE(2025,10,1))+SUMIFS('Daily Payroll Register'!$G$6:$G$5978,'Daily Payroll Register'!$C$6:$C$5978,"&gt;="&amp;DATE(2025,9,1),'Daily Payroll Register'!$C$6:$C$5978,"&lt;"&amp;DATE(2025,10,1))</f>
        <v>2323.28</v>
      </c>
      <c r="L13" s="72" t="n">
        <f aca="false">SUMIFS('Daily Payroll Register'!$F$6:$F$5978,'Daily Payroll Register'!$C$6:$C$5978,"&gt;="&amp;DATE(2025,10,1),'Daily Payroll Register'!$C$6:$C$5978,"&lt;"&amp;DATE(2025,11,1))+SUMIFS('Daily Payroll Register'!$G$6:$G$5978,'Daily Payroll Register'!$C$6:$C$5978,"&gt;="&amp;DATE(2025,10,1),'Daily Payroll Register'!$C$6:$C$5978,"&lt;"&amp;DATE(2025,11,1))</f>
        <v>2542.68</v>
      </c>
      <c r="M13" s="72" t="n">
        <f aca="false">SUMIFS('Daily Payroll Register'!$F$6:$F$5978,'Daily Payroll Register'!$C$6:$C$5978,"&gt;="&amp;DATE(2025,11,1),'Daily Payroll Register'!$C$6:$C$5978,"&lt;"&amp;DATE(2025,12,1))+SUMIFS('Daily Payroll Register'!$G$6:$G$5978,'Daily Payroll Register'!$C$6:$C$5978,"&gt;="&amp;DATE(2025,11,1),'Daily Payroll Register'!$C$6:$C$5978,"&lt;"&amp;DATE(2025,12,1))</f>
        <v>2319.23</v>
      </c>
      <c r="N13" s="72" t="n">
        <f aca="false">SUMIFS('Daily Payroll Register'!$F$6:$F$5978,'Daily Payroll Register'!$C$6:$C$5978,"&gt;="&amp;DATE(2025,12,1),'Daily Payroll Register'!$C$6:$C$5978,"&lt;"&amp;DATE(2026,1,1))+SUMIFS('Daily Payroll Register'!$G$6:$G$5978,'Daily Payroll Register'!$C$6:$C$5978,"&gt;="&amp;DATE(2025,12,1),'Daily Payroll Register'!$C$6:$C$5978,"&lt;"&amp;DATE(2026,1,1))</f>
        <v>2509</v>
      </c>
      <c r="O13" s="73" t="n">
        <f aca="false">SUM(C13:N13)</f>
        <v>25719.73</v>
      </c>
    </row>
    <row r="14" customFormat="false" ht="15" hidden="false" customHeight="false" outlineLevel="0" collapsed="false">
      <c r="B14" s="13" t="s">
        <v>24523</v>
      </c>
      <c r="C14" s="70" t="n">
        <f aca="false">IFERROR(C12/C13,0)</f>
        <v>0.997951871496291</v>
      </c>
      <c r="D14" s="70" t="n">
        <f aca="false">IFERROR(D12/D13,0)</f>
        <v>0.997731032990932</v>
      </c>
      <c r="E14" s="70" t="n">
        <f aca="false">IFERROR(E12/E13,0)</f>
        <v>0.997779171627828</v>
      </c>
      <c r="F14" s="70" t="n">
        <f aca="false">IFERROR(F12/F13,0)</f>
        <v>0.997612629759565</v>
      </c>
      <c r="G14" s="70" t="n">
        <f aca="false">IFERROR(G12/G13,0)</f>
        <v>0.997952976155546</v>
      </c>
      <c r="H14" s="70" t="n">
        <f aca="false">IFERROR(H12/H13,0)</f>
        <v>0.997555901465174</v>
      </c>
      <c r="I14" s="70" t="n">
        <f aca="false">IFERROR(I12/I13,0)</f>
        <v>0.997684494340237</v>
      </c>
      <c r="J14" s="70" t="n">
        <f aca="false">IFERROR(J12/J13,0)</f>
        <v>0.997406818490435</v>
      </c>
      <c r="K14" s="70" t="n">
        <f aca="false">IFERROR(K12/K13,0)</f>
        <v>0.997055025653387</v>
      </c>
      <c r="L14" s="70" t="n">
        <f aca="false">IFERROR(L12/L13,0)</f>
        <v>0.997797206097504</v>
      </c>
      <c r="M14" s="70" t="n">
        <f aca="false">IFERROR(M12/M13,0)</f>
        <v>0.997575057238825</v>
      </c>
      <c r="N14" s="70" t="n">
        <f aca="false">IFERROR(N12/N13,0)</f>
        <v>0.997543244320446</v>
      </c>
      <c r="O14" s="71" t="n">
        <f aca="false">IFERROR(SUM(C12:N12)/SUM(C13:N13),0)</f>
        <v>0.997626957981285</v>
      </c>
    </row>
    <row r="15" customFormat="false" ht="15" hidden="false" customHeight="false" outlineLevel="0" collapsed="false">
      <c r="B15" s="13" t="s">
        <v>24524</v>
      </c>
      <c r="C15" s="70" t="n">
        <f aca="false">IFERROR('Payroll Summary'!C7/'Payroll Summary'!C10,0)</f>
        <v>0</v>
      </c>
      <c r="D15" s="70" t="n">
        <f aca="false">IFERROR('Payroll Summary'!D7/'Payroll Summary'!D10,0)</f>
        <v>0</v>
      </c>
      <c r="E15" s="70" t="n">
        <f aca="false">IFERROR('Payroll Summary'!E7/'Payroll Summary'!E10,0)</f>
        <v>0</v>
      </c>
      <c r="F15" s="70" t="n">
        <f aca="false">IFERROR('Payroll Summary'!F7/'Payroll Summary'!F10,0)</f>
        <v>0</v>
      </c>
      <c r="G15" s="70" t="n">
        <f aca="false">IFERROR('Payroll Summary'!G7/'Payroll Summary'!G10,0)</f>
        <v>0.00080457436025756</v>
      </c>
      <c r="H15" s="70" t="n">
        <f aca="false">IFERROR('Payroll Summary'!H7/'Payroll Summary'!H10,0)</f>
        <v>0.00318509922723362</v>
      </c>
      <c r="I15" s="70" t="n">
        <f aca="false">IFERROR('Payroll Summary'!I7/'Payroll Summary'!I10,0)</f>
        <v>0.0106813088138238</v>
      </c>
      <c r="J15" s="70" t="n">
        <f aca="false">IFERROR('Payroll Summary'!J7/'Payroll Summary'!J10,0)</f>
        <v>0.0201458983795436</v>
      </c>
      <c r="K15" s="70" t="n">
        <f aca="false">IFERROR('Payroll Summary'!K7/'Payroll Summary'!K10,0)</f>
        <v>0.0304844073081223</v>
      </c>
      <c r="L15" s="70" t="n">
        <f aca="false">IFERROR('Payroll Summary'!L7/'Payroll Summary'!L10,0)</f>
        <v>0.013181258450184</v>
      </c>
      <c r="M15" s="70" t="n">
        <f aca="false">IFERROR('Payroll Summary'!M7/'Payroll Summary'!M10,0)</f>
        <v>0.0174279047216296</v>
      </c>
      <c r="N15" s="70" t="n">
        <f aca="false">IFERROR('Payroll Summary'!N7/'Payroll Summary'!N10,0)</f>
        <v>0.0190982852299195</v>
      </c>
      <c r="O15" s="71" t="n">
        <f aca="false">IFERROR('Payroll Summary'!O7/'Payroll Summary'!O10,0)</f>
        <v>0.0105127584269301</v>
      </c>
    </row>
    <row r="16" customFormat="false" ht="15" hidden="false" customHeight="false" outlineLevel="0" collapsed="false">
      <c r="B16" s="13" t="s">
        <v>24525</v>
      </c>
      <c r="C16" s="74" t="n">
        <f aca="false">'Caregiver Roster'!C50</f>
        <v>0.133333333333333</v>
      </c>
      <c r="D16" s="74"/>
      <c r="E16" s="74"/>
      <c r="F16" s="74"/>
      <c r="G16" s="74"/>
      <c r="H16" s="74"/>
      <c r="I16" s="74"/>
      <c r="J16" s="74"/>
      <c r="K16" s="74"/>
      <c r="L16" s="74"/>
      <c r="M16" s="74"/>
      <c r="N16" s="74"/>
      <c r="O16" s="48"/>
    </row>
    <row r="17" customFormat="false" ht="15" hidden="false" customHeight="false" outlineLevel="0" collapsed="false">
      <c r="B17" s="13" t="s">
        <v>24526</v>
      </c>
      <c r="C17" s="74" t="n">
        <f aca="false">'Missed Visits Log'!G214/('Monthly P&amp;L'!O11+'Missed Visits Log'!G214)</f>
        <v>0.0251109783403542</v>
      </c>
      <c r="D17" s="74"/>
      <c r="E17" s="74"/>
      <c r="F17" s="74"/>
      <c r="G17" s="74"/>
      <c r="H17" s="74"/>
      <c r="I17" s="74"/>
      <c r="J17" s="74"/>
      <c r="K17" s="74"/>
      <c r="L17" s="74"/>
      <c r="M17" s="74"/>
      <c r="N17" s="74"/>
      <c r="O17" s="48"/>
    </row>
    <row r="18" customFormat="false" ht="15" hidden="false" customHeight="false" outlineLevel="0" collapsed="false">
      <c r="B18" s="48"/>
      <c r="C18" s="48"/>
      <c r="D18" s="48"/>
      <c r="E18" s="48"/>
      <c r="F18" s="48"/>
      <c r="G18" s="48"/>
      <c r="H18" s="48"/>
      <c r="I18" s="48"/>
      <c r="J18" s="48"/>
      <c r="K18" s="48"/>
      <c r="L18" s="48"/>
      <c r="M18" s="48"/>
      <c r="N18" s="48"/>
      <c r="O18" s="48"/>
    </row>
    <row r="19" customFormat="false" ht="15" hidden="false" customHeight="false" outlineLevel="0" collapsed="false">
      <c r="B19" s="12" t="s">
        <v>24527</v>
      </c>
      <c r="C19" s="54"/>
      <c r="D19" s="54"/>
      <c r="E19" s="54"/>
      <c r="F19" s="54"/>
      <c r="G19" s="54"/>
      <c r="H19" s="54"/>
      <c r="I19" s="54"/>
      <c r="J19" s="54"/>
      <c r="K19" s="54"/>
      <c r="L19" s="54"/>
      <c r="M19" s="54"/>
      <c r="N19" s="54"/>
      <c r="O19" s="54"/>
    </row>
    <row r="20" customFormat="false" ht="15" hidden="false" customHeight="false" outlineLevel="0" collapsed="false">
      <c r="B20" s="13" t="s">
        <v>24528</v>
      </c>
      <c r="C20" s="75" t="n">
        <v>43</v>
      </c>
      <c r="D20" s="75" t="n">
        <v>44</v>
      </c>
      <c r="E20" s="75" t="n">
        <v>45</v>
      </c>
      <c r="F20" s="75" t="n">
        <v>48</v>
      </c>
      <c r="G20" s="75" t="n">
        <v>48</v>
      </c>
      <c r="H20" s="75" t="n">
        <v>47</v>
      </c>
      <c r="I20" s="75" t="n">
        <v>51</v>
      </c>
      <c r="J20" s="75" t="n">
        <v>52</v>
      </c>
      <c r="K20" s="75" t="n">
        <v>54</v>
      </c>
      <c r="L20" s="75" t="n">
        <v>58</v>
      </c>
      <c r="M20" s="75" t="n">
        <v>57</v>
      </c>
      <c r="N20" s="75" t="n">
        <v>59</v>
      </c>
      <c r="O20" s="76" t="n">
        <f aca="false">N20</f>
        <v>59</v>
      </c>
    </row>
    <row r="21" customFormat="false" ht="15" hidden="false" customHeight="false" outlineLevel="0" collapsed="false">
      <c r="B21" s="13" t="s">
        <v>24529</v>
      </c>
      <c r="C21" s="34" t="n">
        <f aca="false">IFERROR(C7/C20,0)</f>
        <v>1770.20034883721</v>
      </c>
      <c r="D21" s="34" t="n">
        <f aca="false">IFERROR(D7/D20,0)</f>
        <v>1497.719625</v>
      </c>
      <c r="E21" s="34" t="n">
        <f aca="false">IFERROR(E7/E20,0)</f>
        <v>1610.24551111111</v>
      </c>
      <c r="F21" s="34" t="n">
        <f aca="false">IFERROR(F7/F20,0)</f>
        <v>1611.18986458333</v>
      </c>
      <c r="G21" s="34" t="n">
        <f aca="false">IFERROR(G7/G20,0)</f>
        <v>1654.62397916667</v>
      </c>
      <c r="H21" s="34" t="n">
        <f aca="false">IFERROR(H7/H20,0)</f>
        <v>1647.47874468085</v>
      </c>
      <c r="I21" s="34" t="n">
        <f aca="false">IFERROR(I7/I20,0)</f>
        <v>1623.73271568627</v>
      </c>
      <c r="J21" s="34" t="n">
        <f aca="false">IFERROR(J7/J20,0)</f>
        <v>1718.44163461538</v>
      </c>
      <c r="K21" s="34" t="n">
        <f aca="false">IFERROR(K7/K20,0)</f>
        <v>1666.78216666667</v>
      </c>
      <c r="L21" s="34" t="n">
        <f aca="false">IFERROR(L7/L20,0)</f>
        <v>1683.72980172414</v>
      </c>
      <c r="M21" s="34" t="n">
        <f aca="false">IFERROR(M7/M20,0)</f>
        <v>1542.16068421053</v>
      </c>
      <c r="N21" s="34" t="n">
        <f aca="false">IFERROR(N7/N20,0)</f>
        <v>1655.57159322034</v>
      </c>
      <c r="O21" s="35" t="n">
        <f aca="false">IFERROR(AVERAGE(C21:N21),0)</f>
        <v>1640.15638912521</v>
      </c>
    </row>
    <row r="22" customFormat="false" ht="15" hidden="false" customHeight="false" outlineLevel="0" collapsed="false">
      <c r="B22" s="13" t="s">
        <v>24530</v>
      </c>
      <c r="C22" s="70" t="n">
        <f aca="false">AVERAGE('Client Roster'!E6:E70)/AVERAGE('Client Roster'!F6:F70)</f>
        <v>0.869158878504673</v>
      </c>
      <c r="D22" s="70"/>
      <c r="E22" s="70"/>
      <c r="F22" s="70"/>
      <c r="G22" s="70"/>
      <c r="H22" s="70"/>
      <c r="I22" s="70"/>
      <c r="J22" s="70"/>
      <c r="K22" s="70"/>
      <c r="L22" s="70"/>
      <c r="M22" s="70"/>
      <c r="N22" s="70"/>
      <c r="O22" s="48"/>
    </row>
    <row r="23" customFormat="false" ht="15" hidden="false" customHeight="false" outlineLevel="0" collapsed="false">
      <c r="B23" s="13" t="s">
        <v>24531</v>
      </c>
      <c r="C23" s="77" t="n">
        <f aca="false">'Client Authorizations'!C72</f>
        <v>52</v>
      </c>
      <c r="D23" s="77"/>
      <c r="E23" s="77"/>
      <c r="F23" s="77"/>
      <c r="G23" s="77"/>
      <c r="H23" s="77"/>
      <c r="I23" s="77"/>
      <c r="J23" s="77"/>
      <c r="K23" s="77"/>
      <c r="L23" s="77"/>
      <c r="M23" s="77"/>
      <c r="N23" s="77"/>
      <c r="O23" s="48"/>
    </row>
    <row r="24" customFormat="false" ht="15" hidden="false" customHeight="false" outlineLevel="0" collapsed="false">
      <c r="B24" s="48"/>
      <c r="C24" s="48"/>
      <c r="D24" s="48"/>
      <c r="E24" s="48"/>
      <c r="F24" s="48"/>
      <c r="G24" s="48"/>
      <c r="H24" s="48"/>
      <c r="I24" s="48"/>
      <c r="J24" s="48"/>
      <c r="K24" s="48"/>
      <c r="L24" s="48"/>
      <c r="M24" s="48"/>
      <c r="N24" s="48"/>
      <c r="O24" s="48"/>
    </row>
    <row r="25" customFormat="false" ht="15" hidden="false" customHeight="false" outlineLevel="0" collapsed="false">
      <c r="B25" s="12" t="s">
        <v>24532</v>
      </c>
      <c r="C25" s="54"/>
      <c r="D25" s="54"/>
      <c r="E25" s="54"/>
      <c r="F25" s="54"/>
      <c r="G25" s="54"/>
      <c r="H25" s="54"/>
      <c r="I25" s="54"/>
      <c r="J25" s="54"/>
      <c r="K25" s="54"/>
      <c r="L25" s="54"/>
      <c r="M25" s="54"/>
      <c r="N25" s="54"/>
      <c r="O25" s="54"/>
    </row>
    <row r="26" customFormat="false" ht="15" hidden="false" customHeight="false" outlineLevel="0" collapsed="false">
      <c r="B26" s="13" t="s">
        <v>24533</v>
      </c>
      <c r="C26" s="55" t="n">
        <f aca="false">'AR Aging'!C17</f>
        <v>54330.955</v>
      </c>
      <c r="D26" s="55" t="n">
        <f aca="false">'AR Aging'!D17</f>
        <v>77687.9885</v>
      </c>
      <c r="E26" s="55" t="n">
        <f aca="false">'AR Aging'!E17</f>
        <v>87420.3365</v>
      </c>
      <c r="F26" s="55" t="n">
        <f aca="false">'AR Aging'!F17</f>
        <v>90957.94</v>
      </c>
      <c r="G26" s="55" t="n">
        <f aca="false">'AR Aging'!G17</f>
        <v>94386.171</v>
      </c>
      <c r="H26" s="55" t="n">
        <f aca="false">'AR Aging'!H17</f>
        <v>94164.802</v>
      </c>
      <c r="I26" s="55" t="n">
        <f aca="false">'AR Aging'!I17</f>
        <v>99640.4205</v>
      </c>
      <c r="J26" s="55" t="n">
        <f aca="false">'AR Aging'!J17</f>
        <v>104630.4955</v>
      </c>
      <c r="K26" s="55" t="n">
        <f aca="false">'AR Aging'!K17</f>
        <v>115760.2125</v>
      </c>
      <c r="L26" s="55" t="n">
        <f aca="false">'AR Aging'!L17</f>
        <v>122606.741</v>
      </c>
      <c r="M26" s="55" t="n">
        <f aca="false">'AR Aging'!M17</f>
        <v>121934.34</v>
      </c>
      <c r="N26" s="55" t="n">
        <f aca="false">'AR Aging'!N17</f>
        <v>123536.374</v>
      </c>
      <c r="O26" s="35" t="n">
        <f aca="false">N26</f>
        <v>123536.374</v>
      </c>
    </row>
    <row r="27" customFormat="false" ht="15" hidden="false" customHeight="false" outlineLevel="0" collapsed="false">
      <c r="B27" s="13" t="s">
        <v>24534</v>
      </c>
      <c r="C27" s="29" t="n">
        <f aca="false">IFERROR(C26/(C7/30),0)</f>
        <v>21.4130098136967</v>
      </c>
      <c r="D27" s="29" t="n">
        <f aca="false">IFERROR(D26/(D7/30),0)</f>
        <v>35.3664879487587</v>
      </c>
      <c r="E27" s="29" t="n">
        <f aca="false">IFERROR(E26/(E7/30),0)</f>
        <v>36.1933779235431</v>
      </c>
      <c r="F27" s="29" t="n">
        <f aca="false">IFERROR(F26/(F7/30),0)</f>
        <v>35.2836830404848</v>
      </c>
      <c r="G27" s="29" t="n">
        <f aca="false">IFERROR(G26/(G7/30),0)</f>
        <v>35.6524247307901</v>
      </c>
      <c r="H27" s="29" t="n">
        <f aca="false">IFERROR(H26/(H7/30),0)</f>
        <v>36.4831370116408</v>
      </c>
      <c r="I27" s="29" t="n">
        <f aca="false">IFERROR(I26/(I7/30),0)</f>
        <v>36.0970814300869</v>
      </c>
      <c r="J27" s="29" t="n">
        <f aca="false">IFERROR(J26/(J7/30),0)</f>
        <v>35.1270279932182</v>
      </c>
      <c r="K27" s="29" t="n">
        <f aca="false">IFERROR(K26/(K7/30),0)</f>
        <v>38.5840636243908</v>
      </c>
      <c r="L27" s="29" t="n">
        <f aca="false">IFERROR(L26/(L7/30),0)</f>
        <v>37.6647605587589</v>
      </c>
      <c r="M27" s="29" t="n">
        <f aca="false">IFERROR(M26/(M7/30),0)</f>
        <v>41.6143201406448</v>
      </c>
      <c r="N27" s="29" t="n">
        <f aca="false">IFERROR(N26/(N7/30),0)</f>
        <v>37.9416424399647</v>
      </c>
      <c r="O27" s="78" t="n">
        <f aca="false">N27</f>
        <v>37.9416424399647</v>
      </c>
    </row>
    <row r="28" customFormat="false" ht="15" hidden="false" customHeight="false" outlineLevel="0" collapsed="false">
      <c r="B28" s="13" t="s">
        <v>24535</v>
      </c>
      <c r="C28" s="70" t="n">
        <f aca="false">IFERROR(SUMPRODUCT(('Daily Visit Register'!$C$6:$C$8129&gt;=DATE(2025,1,1))*('Daily Visit Register'!$C$6:$C$8129&lt;DATE(2025,2,1))*'Daily Visit Register'!$I$6:$I$8129*'Daily Visit Register'!$K$6:$K$8129)/SUMPRODUCT(('Daily Visit Register'!$C$6:$C$8129&gt;=DATE(2025,1,1))*('Daily Visit Register'!$C$6:$C$8129&lt;DATE(2025,2,1))*'Daily Visit Register'!$H$6:$H$8129*'Daily Visit Register'!$K$6:$K$8129),0)</f>
        <v>0.00281893491604865</v>
      </c>
      <c r="D28" s="70" t="n">
        <f aca="false">IFERROR(SUMPRODUCT(('Daily Visit Register'!$C$6:$C$8129&gt;=DATE(2025,2,1))*('Daily Visit Register'!$C$6:$C$8129&lt;DATE(2025,3,1))*'Daily Visit Register'!$I$6:$I$8129*'Daily Visit Register'!$K$6:$K$8129)/SUMPRODUCT(('Daily Visit Register'!$C$6:$C$8129&gt;=DATE(2025,2,1))*('Daily Visit Register'!$C$6:$C$8129&lt;DATE(2025,3,1))*'Daily Visit Register'!$H$6:$H$8129*'Daily Visit Register'!$K$6:$K$8129),0)</f>
        <v>0.00339575349147865</v>
      </c>
      <c r="E28" s="70" t="n">
        <f aca="false">IFERROR(SUMPRODUCT(('Daily Visit Register'!$C$6:$C$8129&gt;=DATE(2025,3,1))*('Daily Visit Register'!$C$6:$C$8129&lt;DATE(2025,4,1))*'Daily Visit Register'!$I$6:$I$8129*'Daily Visit Register'!$K$6:$K$8129)/SUMPRODUCT(('Daily Visit Register'!$C$6:$C$8129&gt;=DATE(2025,3,1))*('Daily Visit Register'!$C$6:$C$8129&lt;DATE(2025,4,1))*'Daily Visit Register'!$H$6:$H$8129*'Daily Visit Register'!$K$6:$K$8129),0)</f>
        <v>0.00357937549147365</v>
      </c>
      <c r="F28" s="70" t="n">
        <f aca="false">IFERROR(SUMPRODUCT(('Daily Visit Register'!$C$6:$C$8129&gt;=DATE(2025,4,1))*('Daily Visit Register'!$C$6:$C$8129&lt;DATE(2025,5,1))*'Daily Visit Register'!$I$6:$I$8129*'Daily Visit Register'!$K$6:$K$8129)/SUMPRODUCT(('Daily Visit Register'!$C$6:$C$8129&gt;=DATE(2025,4,1))*('Daily Visit Register'!$C$6:$C$8129&lt;DATE(2025,5,1))*'Daily Visit Register'!$H$6:$H$8129*'Daily Visit Register'!$K$6:$K$8129),0)</f>
        <v>0.00347946700010676</v>
      </c>
      <c r="G28" s="70" t="n">
        <f aca="false">IFERROR(SUMPRODUCT(('Daily Visit Register'!$C$6:$C$8129&gt;=DATE(2025,5,1))*('Daily Visit Register'!$C$6:$C$8129&lt;DATE(2025,6,1))*'Daily Visit Register'!$I$6:$I$8129*'Daily Visit Register'!$K$6:$K$8129)/SUMPRODUCT(('Daily Visit Register'!$C$6:$C$8129&gt;=DATE(2025,5,1))*('Daily Visit Register'!$C$6:$C$8129&lt;DATE(2025,6,1))*'Daily Visit Register'!$H$6:$H$8129*'Daily Visit Register'!$K$6:$K$8129),0)</f>
        <v>0.00305877202000411</v>
      </c>
      <c r="H28" s="70" t="n">
        <f aca="false">IFERROR(SUMPRODUCT(('Daily Visit Register'!$C$6:$C$8129&gt;=DATE(2025,6,1))*('Daily Visit Register'!$C$6:$C$8129&lt;DATE(2025,7,1))*'Daily Visit Register'!$I$6:$I$8129*'Daily Visit Register'!$K$6:$K$8129)/SUMPRODUCT(('Daily Visit Register'!$C$6:$C$8129&gt;=DATE(2025,6,1))*('Daily Visit Register'!$C$6:$C$8129&lt;DATE(2025,7,1))*'Daily Visit Register'!$H$6:$H$8129*'Daily Visit Register'!$K$6:$K$8129),0)</f>
        <v>0.00257850935201385</v>
      </c>
      <c r="I28" s="70" t="n">
        <f aca="false">IFERROR(SUMPRODUCT(('Daily Visit Register'!$C$6:$C$8129&gt;=DATE(2025,7,1))*('Daily Visit Register'!$C$6:$C$8129&lt;DATE(2025,8,1))*'Daily Visit Register'!$I$6:$I$8129*'Daily Visit Register'!$K$6:$K$8129)/SUMPRODUCT(('Daily Visit Register'!$C$6:$C$8129&gt;=DATE(2025,7,1))*('Daily Visit Register'!$C$6:$C$8129&lt;DATE(2025,8,1))*'Daily Visit Register'!$H$6:$H$8129*'Daily Visit Register'!$K$6:$K$8129),0)</f>
        <v>0.00395010029916847</v>
      </c>
      <c r="J28" s="70" t="n">
        <f aca="false">IFERROR(SUMPRODUCT(('Daily Visit Register'!$C$6:$C$8129&gt;=DATE(2025,8,1))*('Daily Visit Register'!$C$6:$C$8129&lt;DATE(2025,9,1))*'Daily Visit Register'!$I$6:$I$8129*'Daily Visit Register'!$K$6:$K$8129)/SUMPRODUCT(('Daily Visit Register'!$C$6:$C$8129&gt;=DATE(2025,8,1))*('Daily Visit Register'!$C$6:$C$8129&lt;DATE(2025,9,1))*'Daily Visit Register'!$H$6:$H$8129*'Daily Visit Register'!$K$6:$K$8129),0)</f>
        <v>0.00382127481585084</v>
      </c>
      <c r="K28" s="70" t="n">
        <f aca="false">IFERROR(SUMPRODUCT(('Daily Visit Register'!$C$6:$C$8129&gt;=DATE(2025,9,1))*('Daily Visit Register'!$C$6:$C$8129&lt;DATE(2025,10,1))*'Daily Visit Register'!$I$6:$I$8129*'Daily Visit Register'!$K$6:$K$8129)/SUMPRODUCT(('Daily Visit Register'!$C$6:$C$8129&gt;=DATE(2025,9,1))*('Daily Visit Register'!$C$6:$C$8129&lt;DATE(2025,10,1))*'Daily Visit Register'!$H$6:$H$8129*'Daily Visit Register'!$K$6:$K$8129),0)</f>
        <v>0.00417644903307808</v>
      </c>
      <c r="L28" s="70" t="n">
        <f aca="false">IFERROR(SUMPRODUCT(('Daily Visit Register'!$C$6:$C$8129&gt;=DATE(2025,10,1))*('Daily Visit Register'!$C$6:$C$8129&lt;DATE(2025,11,1))*'Daily Visit Register'!$I$6:$I$8129*'Daily Visit Register'!$K$6:$K$8129)/SUMPRODUCT(('Daily Visit Register'!$C$6:$C$8129&gt;=DATE(2025,10,1))*('Daily Visit Register'!$C$6:$C$8129&lt;DATE(2025,11,1))*'Daily Visit Register'!$H$6:$H$8129*'Daily Visit Register'!$K$6:$K$8129),0)</f>
        <v>0.00328482865111688</v>
      </c>
      <c r="M28" s="70" t="n">
        <f aca="false">IFERROR(SUMPRODUCT(('Daily Visit Register'!$C$6:$C$8129&gt;=DATE(2025,11,1))*('Daily Visit Register'!$C$6:$C$8129&lt;DATE(2025,12,1))*'Daily Visit Register'!$I$6:$I$8129*'Daily Visit Register'!$K$6:$K$8129)/SUMPRODUCT(('Daily Visit Register'!$C$6:$C$8129&gt;=DATE(2025,11,1))*('Daily Visit Register'!$C$6:$C$8129&lt;DATE(2025,12,1))*'Daily Visit Register'!$H$6:$H$8129*'Daily Visit Register'!$K$6:$K$8129),0)</f>
        <v>0.00292827965824468</v>
      </c>
      <c r="N28" s="70" t="n">
        <f aca="false">IFERROR(SUMPRODUCT(('Daily Visit Register'!$C$6:$C$8129&gt;=DATE(2025,12,1))*('Daily Visit Register'!$C$6:$C$8129&lt;DATE(2026,1,1))*'Daily Visit Register'!$I$6:$I$8129*'Daily Visit Register'!$K$6:$K$8129)/SUMPRODUCT(('Daily Visit Register'!$C$6:$C$8129&gt;=DATE(2025,12,1))*('Daily Visit Register'!$C$6:$C$8129&lt;DATE(2026,1,1))*'Daily Visit Register'!$H$6:$H$8129*'Daily Visit Register'!$K$6:$K$8129),0)</f>
        <v>0.00346263509937575</v>
      </c>
      <c r="O28" s="48"/>
    </row>
    <row r="29" customFormat="false" ht="15" hidden="false" customHeight="false" outlineLevel="0" collapsed="false">
      <c r="B29" s="13" t="s">
        <v>24536</v>
      </c>
      <c r="C29" s="32" t="n">
        <v>2570.05</v>
      </c>
      <c r="D29" s="32" t="n">
        <v>3427.18</v>
      </c>
      <c r="E29" s="32" t="n">
        <v>2508.56</v>
      </c>
      <c r="F29" s="32" t="n">
        <v>2929.03</v>
      </c>
      <c r="G29" s="32" t="n">
        <v>2837.98</v>
      </c>
      <c r="H29" s="32" t="n">
        <v>3112.8</v>
      </c>
      <c r="I29" s="32" t="n">
        <v>3122.81</v>
      </c>
      <c r="J29" s="32" t="n">
        <v>2952.93</v>
      </c>
      <c r="K29" s="32" t="n">
        <v>2725.89</v>
      </c>
      <c r="L29" s="32" t="n">
        <v>2502.39</v>
      </c>
      <c r="M29" s="32" t="n">
        <v>3213</v>
      </c>
      <c r="N29" s="32" t="n">
        <v>3297.14</v>
      </c>
      <c r="O29" s="35" t="n">
        <f aca="false">N29</f>
        <v>3297.14</v>
      </c>
    </row>
    <row r="30" customFormat="false" ht="15" hidden="false" customHeight="false" outlineLevel="0" collapsed="false">
      <c r="B30" s="13" t="s">
        <v>24537</v>
      </c>
      <c r="C30" s="29" t="n">
        <f aca="false">IFERROR(C29/('Overhead (Opex)'!C40/30),0)</f>
        <v>3.30980313708285</v>
      </c>
      <c r="D30" s="29" t="n">
        <f aca="false">IFERROR(D29/('Overhead (Opex)'!D40/30),0)</f>
        <v>4.43648853611335</v>
      </c>
      <c r="E30" s="29" t="n">
        <f aca="false">IFERROR(E29/('Overhead (Opex)'!E40/30),0)</f>
        <v>3.19373414151908</v>
      </c>
      <c r="F30" s="29" t="n">
        <f aca="false">IFERROR(F29/('Overhead (Opex)'!F40/30),0)</f>
        <v>3.7083448510157</v>
      </c>
      <c r="G30" s="29" t="n">
        <f aca="false">IFERROR(G29/('Overhead (Opex)'!G40/30),0)</f>
        <v>3.59320299967461</v>
      </c>
      <c r="H30" s="29" t="n">
        <f aca="false">IFERROR(H29/('Overhead (Opex)'!H40/30),0)</f>
        <v>3.97555508726221</v>
      </c>
      <c r="I30" s="29" t="n">
        <f aca="false">IFERROR(I29/('Overhead (Opex)'!I40/30),0)</f>
        <v>3.92919799472468</v>
      </c>
      <c r="J30" s="29" t="n">
        <f aca="false">IFERROR(J29/('Overhead (Opex)'!J40/30),0)</f>
        <v>3.70167835124951</v>
      </c>
      <c r="K30" s="29" t="n">
        <f aca="false">IFERROR(K29/('Overhead (Opex)'!K40/30),0)</f>
        <v>3.37865100531112</v>
      </c>
      <c r="L30" s="29" t="n">
        <f aca="false">IFERROR(L29/('Overhead (Opex)'!L40/30),0)</f>
        <v>3.06738492051007</v>
      </c>
      <c r="M30" s="29" t="n">
        <f aca="false">IFERROR(M29/('Overhead (Opex)'!M40/30),0)</f>
        <v>3.9256892559762</v>
      </c>
      <c r="N30" s="29" t="n">
        <f aca="false">IFERROR(N29/('Overhead (Opex)'!N40/30),0)</f>
        <v>3.98901464512343</v>
      </c>
      <c r="O30" s="78" t="n">
        <f aca="false">N30</f>
        <v>3.98901464512343</v>
      </c>
    </row>
    <row r="31" customFormat="false" ht="15" hidden="false" customHeight="false" outlineLevel="0" collapsed="false">
      <c r="B31" s="13" t="s">
        <v>24538</v>
      </c>
      <c r="C31" s="74" t="n">
        <f aca="false">'Line of Credit'!C11</f>
        <v>0.105194628571429</v>
      </c>
      <c r="D31" s="74" t="n">
        <f aca="false">'Line of Credit'!D11</f>
        <v>0.240893142857143</v>
      </c>
      <c r="E31" s="74" t="n">
        <f aca="false">'Line of Credit'!E11</f>
        <v>0.301522057142857</v>
      </c>
      <c r="F31" s="74" t="n">
        <f aca="false">'Line of Credit'!F11</f>
        <v>0.301522057142857</v>
      </c>
      <c r="G31" s="74" t="n">
        <f aca="false">'Line of Credit'!G11</f>
        <v>0.301522057142857</v>
      </c>
      <c r="H31" s="74" t="n">
        <f aca="false">'Line of Credit'!H11</f>
        <v>0.301522057142857</v>
      </c>
      <c r="I31" s="74" t="n">
        <f aca="false">'Line of Credit'!I11</f>
        <v>0.301522057142857</v>
      </c>
      <c r="J31" s="74" t="n">
        <f aca="false">'Line of Credit'!J11</f>
        <v>0.383744171428571</v>
      </c>
      <c r="K31" s="74" t="n">
        <f aca="false">'Line of Credit'!K11</f>
        <v>0.397747257142857</v>
      </c>
      <c r="L31" s="74" t="n">
        <f aca="false">'Line of Credit'!L11</f>
        <v>0.490272971428571</v>
      </c>
      <c r="M31" s="74" t="n">
        <f aca="false">'Line of Credit'!M11</f>
        <v>0.490272971428571</v>
      </c>
      <c r="N31" s="74" t="n">
        <f aca="false">'Line of Credit'!N11</f>
        <v>0.437108685714286</v>
      </c>
      <c r="O31" s="71" t="n">
        <f aca="false">N31</f>
        <v>0.437108685714286</v>
      </c>
    </row>
    <row r="32" customFormat="false" ht="15" hidden="false" customHeight="false" outlineLevel="0" collapsed="false">
      <c r="B32" s="13" t="s">
        <v>24539</v>
      </c>
      <c r="C32" s="55" t="n">
        <f aca="false">'Balance Sheet'!C7+'Balance Sheet'!C8-'Balance Sheet'!C18</f>
        <v>46351.989385</v>
      </c>
      <c r="D32" s="55" t="n">
        <f aca="false">'Balance Sheet'!D7+'Balance Sheet'!D8-'Balance Sheet'!D18</f>
        <v>45246.5246405</v>
      </c>
      <c r="E32" s="55" t="n">
        <f aca="false">'Balance Sheet'!E7+'Balance Sheet'!E8-'Balance Sheet'!E18</f>
        <v>45612.475249</v>
      </c>
      <c r="F32" s="55" t="n">
        <f aca="false">'Balance Sheet'!F7+'Balance Sheet'!F8-'Balance Sheet'!F18</f>
        <v>49754.3310235</v>
      </c>
      <c r="G32" s="55" t="n">
        <f aca="false">'Balance Sheet'!G7+'Balance Sheet'!G8-'Balance Sheet'!G18</f>
        <v>53838.920571675</v>
      </c>
      <c r="H32" s="55" t="n">
        <f aca="false">'Balance Sheet'!H7+'Balance Sheet'!H8-'Balance Sheet'!H18</f>
        <v>59722.633200225</v>
      </c>
      <c r="I32" s="55" t="n">
        <f aca="false">'Balance Sheet'!I7+'Balance Sheet'!I8-'Balance Sheet'!I18</f>
        <v>66788.9513525</v>
      </c>
      <c r="J32" s="55" t="n">
        <f aca="false">'Balance Sheet'!J7+'Balance Sheet'!J8-'Balance Sheet'!J18</f>
        <v>50023.330353025</v>
      </c>
      <c r="K32" s="55" t="n">
        <f aca="false">'Balance Sheet'!K7+'Balance Sheet'!K8-'Balance Sheet'!K18</f>
        <v>59447.14259295</v>
      </c>
      <c r="L32" s="55" t="n">
        <f aca="false">'Balance Sheet'!L7+'Balance Sheet'!L8-'Balance Sheet'!L18</f>
        <v>50861.75871095</v>
      </c>
      <c r="M32" s="55" t="n">
        <f aca="false">'Balance Sheet'!M7+'Balance Sheet'!M8-'Balance Sheet'!M18</f>
        <v>59451.457665675</v>
      </c>
      <c r="N32" s="55" t="n">
        <f aca="false">'Balance Sheet'!N7+'Balance Sheet'!N8-'Balance Sheet'!N18</f>
        <v>71623.010443975</v>
      </c>
      <c r="O32" s="35" t="n">
        <f aca="false">N32</f>
        <v>71623.010443975</v>
      </c>
    </row>
    <row r="33" customFormat="false" ht="15" hidden="false" customHeight="false" outlineLevel="0" collapsed="false">
      <c r="B33" s="13" t="s">
        <v>24540</v>
      </c>
      <c r="C33" s="79" t="n">
        <f aca="false">IFERROR(('Balance Sheet'!C7+'Balance Sheet'!C8)/'Balance Sheet'!C18,0)</f>
        <v>3.20943545198057</v>
      </c>
      <c r="D33" s="79" t="n">
        <f aca="false">IFERROR(('Balance Sheet'!D7+'Balance Sheet'!D8)/'Balance Sheet'!D18,0)</f>
        <v>1.99260795008411</v>
      </c>
      <c r="E33" s="79" t="n">
        <f aca="false">IFERROR(('Balance Sheet'!E7+'Balance Sheet'!E8)/'Balance Sheet'!E18,0)</f>
        <v>1.82519296724446</v>
      </c>
      <c r="F33" s="79" t="n">
        <f aca="false">IFERROR(('Balance Sheet'!F7+'Balance Sheet'!F8)/'Balance Sheet'!F18,0)</f>
        <v>1.89332943038014</v>
      </c>
      <c r="G33" s="79" t="n">
        <f aca="false">IFERROR(('Balance Sheet'!G7+'Balance Sheet'!G8)/'Balance Sheet'!G18,0)</f>
        <v>1.9682503303101</v>
      </c>
      <c r="H33" s="79" t="n">
        <f aca="false">IFERROR(('Balance Sheet'!H7+'Balance Sheet'!H8)/'Balance Sheet'!H18,0)</f>
        <v>2.06878187145664</v>
      </c>
      <c r="I33" s="79" t="n">
        <f aca="false">IFERROR(('Balance Sheet'!I7+'Balance Sheet'!I8)/'Balance Sheet'!I18,0)</f>
        <v>2.19502492795116</v>
      </c>
      <c r="J33" s="79" t="n">
        <f aca="false">IFERROR(('Balance Sheet'!J7+'Balance Sheet'!J8)/'Balance Sheet'!J18,0)</f>
        <v>1.71351652008875</v>
      </c>
      <c r="K33" s="79" t="n">
        <f aca="false">IFERROR(('Balance Sheet'!K7+'Balance Sheet'!K8)/'Balance Sheet'!K18,0)</f>
        <v>1.82186891041834</v>
      </c>
      <c r="L33" s="79" t="n">
        <f aca="false">IFERROR(('Balance Sheet'!L7+'Balance Sheet'!L8)/'Balance Sheet'!L18,0)</f>
        <v>1.57600981369626</v>
      </c>
      <c r="M33" s="79" t="n">
        <f aca="false">IFERROR(('Balance Sheet'!M7+'Balance Sheet'!M8)/'Balance Sheet'!M18,0)</f>
        <v>1.66791308136841</v>
      </c>
      <c r="N33" s="79" t="n">
        <f aca="false">IFERROR(('Balance Sheet'!N7+'Balance Sheet'!N8)/'Balance Sheet'!N18,0)</f>
        <v>1.89763089600371</v>
      </c>
      <c r="O33" s="80" t="n">
        <f aca="false">N33</f>
        <v>1.89763089600371</v>
      </c>
    </row>
    <row r="34" customFormat="false" ht="15" hidden="false" customHeight="false" outlineLevel="0" collapsed="false">
      <c r="B34" s="13" t="s">
        <v>24541</v>
      </c>
      <c r="C34" s="29" t="n">
        <f aca="false">IFERROR(('Balance Sheet'!C7+'Chart of Accounts'!$E$71-'Balance Sheet'!C16)/(('Payroll Summary'!C12+'Overhead (Opex)'!C40)/30),0)</f>
        <v>69.5615170700219</v>
      </c>
      <c r="D34" s="29" t="n">
        <f aca="false">IFERROR(('Balance Sheet'!D7+'Chart of Accounts'!$E$71-'Balance Sheet'!D16)/(('Payroll Summary'!D12+'Overhead (Opex)'!D40)/30),0)</f>
        <v>66.0008110767944</v>
      </c>
      <c r="E34" s="29" t="n">
        <f aca="false">IFERROR(('Balance Sheet'!E7+'Chart of Accounts'!$E$71-'Balance Sheet'!E16)/(('Payroll Summary'!E12+'Overhead (Opex)'!E40)/30),0)</f>
        <v>57.5439438185937</v>
      </c>
      <c r="F34" s="29" t="n">
        <f aca="false">IFERROR(('Balance Sheet'!F7+'Chart of Accounts'!$E$71-'Balance Sheet'!F16)/(('Payroll Summary'!F12+'Overhead (Opex)'!F40)/30),0)</f>
        <v>55.7098157139421</v>
      </c>
      <c r="G34" s="29" t="n">
        <f aca="false">IFERROR(('Balance Sheet'!G7+'Chart of Accounts'!$E$71-'Balance Sheet'!G16)/(('Payroll Summary'!G12+'Overhead (Opex)'!G40)/30),0)</f>
        <v>54.7197447422752</v>
      </c>
      <c r="H34" s="29" t="n">
        <f aca="false">IFERROR(('Balance Sheet'!H7+'Chart of Accounts'!$E$71-'Balance Sheet'!H16)/(('Payroll Summary'!H12+'Overhead (Opex)'!H40)/30),0)</f>
        <v>58.3395984318276</v>
      </c>
      <c r="I34" s="29" t="n">
        <f aca="false">IFERROR(('Balance Sheet'!I7+'Chart of Accounts'!$E$71-'Balance Sheet'!I16)/(('Payroll Summary'!I12+'Overhead (Opex)'!I40)/30),0)</f>
        <v>55.8191472492636</v>
      </c>
      <c r="J34" s="29" t="n">
        <f aca="false">IFERROR(('Balance Sheet'!J7+'Chart of Accounts'!$E$71-'Balance Sheet'!J16)/(('Payroll Summary'!J12+'Overhead (Opex)'!J40)/30),0)</f>
        <v>44.9401915519151</v>
      </c>
      <c r="K34" s="29" t="n">
        <f aca="false">IFERROR(('Balance Sheet'!K7+'Chart of Accounts'!$E$71-'Balance Sheet'!K16)/(('Payroll Summary'!K12+'Overhead (Opex)'!K40)/30),0)</f>
        <v>43.7272685375699</v>
      </c>
      <c r="L34" s="29" t="n">
        <f aca="false">IFERROR(('Balance Sheet'!L7+'Chart of Accounts'!$E$71-'Balance Sheet'!L16)/(('Payroll Summary'!L12+'Overhead (Opex)'!L40)/30),0)</f>
        <v>35.9486457651362</v>
      </c>
      <c r="M34" s="29" t="n">
        <f aca="false">IFERROR(('Balance Sheet'!M7+'Chart of Accounts'!$E$71-'Balance Sheet'!M16)/(('Payroll Summary'!M12+'Overhead (Opex)'!M40)/30),0)</f>
        <v>42.1711804937925</v>
      </c>
      <c r="N34" s="29" t="n">
        <f aca="false">IFERROR(('Balance Sheet'!N7+'Chart of Accounts'!$E$71-'Balance Sheet'!N16)/(('Payroll Summary'!N12+'Overhead (Opex)'!N40)/30),0)</f>
        <v>42.8310537553835</v>
      </c>
      <c r="O34" s="78" t="n">
        <f aca="false">N34</f>
        <v>42.8310537553835</v>
      </c>
    </row>
    <row r="35" customFormat="false" ht="15" hidden="false" customHeight="false" outlineLevel="0" collapsed="false">
      <c r="B35" s="48"/>
      <c r="C35" s="48"/>
      <c r="D35" s="48"/>
      <c r="E35" s="48"/>
      <c r="F35" s="48"/>
      <c r="G35" s="48"/>
      <c r="H35" s="48"/>
      <c r="I35" s="48"/>
      <c r="J35" s="48"/>
      <c r="K35" s="48"/>
      <c r="L35" s="48"/>
      <c r="M35" s="48"/>
      <c r="N35" s="48"/>
      <c r="O35" s="48"/>
    </row>
    <row r="36" customFormat="false" ht="15" hidden="false" customHeight="false" outlineLevel="0" collapsed="false">
      <c r="B36" s="12" t="s">
        <v>24542</v>
      </c>
      <c r="C36" s="54"/>
      <c r="D36" s="54"/>
      <c r="E36" s="54"/>
      <c r="F36" s="54"/>
      <c r="G36" s="54"/>
      <c r="H36" s="54"/>
      <c r="I36" s="54"/>
      <c r="J36" s="54"/>
      <c r="K36" s="54"/>
      <c r="L36" s="54"/>
      <c r="M36" s="54"/>
      <c r="N36" s="54"/>
      <c r="O36" s="54"/>
    </row>
    <row r="37" customFormat="false" ht="15" hidden="false" customHeight="false" outlineLevel="0" collapsed="false">
      <c r="B37" s="13" t="s">
        <v>24543</v>
      </c>
      <c r="C37" s="13" t="s">
        <v>182</v>
      </c>
      <c r="D37" s="70" t="n">
        <f aca="false">IFERROR(D7/C7-1,0)</f>
        <v>-0.134250360440741</v>
      </c>
      <c r="E37" s="70" t="n">
        <f aca="false">IFERROR(E7/D7-1,0)</f>
        <v>0.0995662823073444</v>
      </c>
      <c r="F37" s="70" t="n">
        <f aca="false">IFERROR(F7/E7-1,0)</f>
        <v>0.0672922298888088</v>
      </c>
      <c r="G37" s="70" t="n">
        <f aca="false">IFERROR(G7/F7-1,0)</f>
        <v>0.0269577878672702</v>
      </c>
      <c r="H37" s="70" t="n">
        <f aca="false">IFERROR(H7/G7-1,0)</f>
        <v>-0.025061711213818</v>
      </c>
      <c r="I37" s="70" t="n">
        <f aca="false">IFERROR(I7/H7-1,0)</f>
        <v>0.0694661401436605</v>
      </c>
      <c r="J37" s="70" t="n">
        <f aca="false">IFERROR(J7/I7-1,0)</f>
        <v>0.0790794271130433</v>
      </c>
      <c r="K37" s="70" t="n">
        <f aca="false">IFERROR(K7/J7-1,0)</f>
        <v>0.00724350377155769</v>
      </c>
      <c r="L37" s="70" t="n">
        <f aca="false">IFERROR(L7/K7-1,0)</f>
        <v>0.0849951265044</v>
      </c>
      <c r="M37" s="70" t="n">
        <f aca="false">IFERROR(M7/L7-1,0)</f>
        <v>-0.0998723753985898</v>
      </c>
      <c r="N37" s="70" t="n">
        <f aca="false">IFERROR(N7/M7-1,0)</f>
        <v>0.111208346903665</v>
      </c>
      <c r="O37" s="48"/>
    </row>
    <row r="38" customFormat="false" ht="15" hidden="false" customHeight="false" outlineLevel="0" collapsed="false">
      <c r="B38" s="13" t="s">
        <v>24544</v>
      </c>
      <c r="C38" s="13" t="s">
        <v>182</v>
      </c>
      <c r="D38" s="70" t="n">
        <f aca="false">IFERROR(D20/C20-1,0)</f>
        <v>0.0232558139534884</v>
      </c>
      <c r="E38" s="70" t="n">
        <f aca="false">IFERROR(E20/D20-1,0)</f>
        <v>0.0227272727272727</v>
      </c>
      <c r="F38" s="70" t="n">
        <f aca="false">IFERROR(F20/E20-1,0)</f>
        <v>0.0666666666666667</v>
      </c>
      <c r="G38" s="70" t="n">
        <f aca="false">IFERROR(G20/F20-1,0)</f>
        <v>0</v>
      </c>
      <c r="H38" s="70" t="n">
        <f aca="false">IFERROR(H20/G20-1,0)</f>
        <v>-0.0208333333333334</v>
      </c>
      <c r="I38" s="70" t="n">
        <f aca="false">IFERROR(I20/H20-1,0)</f>
        <v>0.0851063829787233</v>
      </c>
      <c r="J38" s="70" t="n">
        <f aca="false">IFERROR(J20/I20-1,0)</f>
        <v>0.0196078431372548</v>
      </c>
      <c r="K38" s="70" t="n">
        <f aca="false">IFERROR(K20/J20-1,0)</f>
        <v>0.0384615384615386</v>
      </c>
      <c r="L38" s="70" t="n">
        <f aca="false">IFERROR(L20/K20-1,0)</f>
        <v>0.0740740740740742</v>
      </c>
      <c r="M38" s="70" t="n">
        <f aca="false">IFERROR(M20/L20-1,0)</f>
        <v>-0.0172413793103449</v>
      </c>
      <c r="N38" s="70" t="n">
        <f aca="false">IFERROR(N20/M20-1,0)</f>
        <v>0.0350877192982457</v>
      </c>
      <c r="O38" s="48"/>
    </row>
    <row r="39" customFormat="false" ht="15" hidden="false" customHeight="false" outlineLevel="0" collapsed="false">
      <c r="B39" s="13" t="s">
        <v>24545</v>
      </c>
      <c r="C39" s="33" t="n">
        <f aca="false">IFERROR('Payroll Summary'!C12/C13,0)</f>
        <v>25.0833621589388</v>
      </c>
      <c r="D39" s="33" t="n">
        <f aca="false">IFERROR('Payroll Summary'!D12/D13,0)</f>
        <v>25.2453292045461</v>
      </c>
      <c r="E39" s="33" t="n">
        <f aca="false">IFERROR('Payroll Summary'!E12/E13,0)</f>
        <v>25.0799494979482</v>
      </c>
      <c r="F39" s="33" t="n">
        <f aca="false">IFERROR('Payroll Summary'!F12/F13,0)</f>
        <v>25.6853659633844</v>
      </c>
      <c r="G39" s="33" t="n">
        <f aca="false">IFERROR('Payroll Summary'!G12/G13,0)</f>
        <v>25.220948228696</v>
      </c>
      <c r="H39" s="33" t="n">
        <f aca="false">IFERROR('Payroll Summary'!H12/H13,0)</f>
        <v>24.9006836021298</v>
      </c>
      <c r="I39" s="33" t="n">
        <f aca="false">IFERROR('Payroll Summary'!I12/I13,0)</f>
        <v>25.2111523360644</v>
      </c>
      <c r="J39" s="33" t="n">
        <f aca="false">IFERROR('Payroll Summary'!J12/J13,0)</f>
        <v>25.5849446537424</v>
      </c>
      <c r="K39" s="33" t="n">
        <f aca="false">IFERROR('Payroll Summary'!K12/K13,0)</f>
        <v>25.4355199373623</v>
      </c>
      <c r="L39" s="33" t="n">
        <f aca="false">IFERROR('Payroll Summary'!L12/L13,0)</f>
        <v>25.084911346296</v>
      </c>
      <c r="M39" s="33" t="n">
        <f aca="false">IFERROR('Payroll Summary'!M12/M13,0)</f>
        <v>24.9113585307516</v>
      </c>
      <c r="N39" s="33" t="n">
        <f aca="false">IFERROR('Payroll Summary'!N12/N13,0)</f>
        <v>25.3989163896772</v>
      </c>
      <c r="O39" s="81" t="n">
        <f aca="false">IFERROR('Payroll Summary'!O12/O13,0)</f>
        <v>25.2383968865935</v>
      </c>
    </row>
    <row r="40" customFormat="false" ht="15" hidden="false" customHeight="false" outlineLevel="0" collapsed="false">
      <c r="B40" s="48"/>
      <c r="C40" s="48"/>
      <c r="D40" s="48"/>
      <c r="E40" s="48"/>
      <c r="F40" s="48"/>
      <c r="G40" s="48"/>
      <c r="H40" s="48"/>
      <c r="I40" s="48"/>
      <c r="J40" s="48"/>
      <c r="K40" s="48"/>
      <c r="L40" s="48"/>
      <c r="M40" s="48"/>
      <c r="N40" s="48"/>
      <c r="O40" s="48"/>
    </row>
    <row r="42" customFormat="false" ht="15" hidden="false" customHeight="false" outlineLevel="0" collapsed="false">
      <c r="B42" s="49" t="s">
        <v>24546</v>
      </c>
      <c r="C42" s="64"/>
      <c r="D42" s="64"/>
      <c r="E42" s="64"/>
      <c r="F42" s="64"/>
      <c r="G42" s="64"/>
    </row>
    <row r="43" customFormat="false" ht="23.85" hidden="false" customHeight="false" outlineLevel="0" collapsed="false">
      <c r="B43" s="11" t="s">
        <v>24547</v>
      </c>
      <c r="C43" s="11" t="s">
        <v>170</v>
      </c>
      <c r="D43" s="11" t="s">
        <v>24548</v>
      </c>
      <c r="E43" s="11" t="s">
        <v>24549</v>
      </c>
      <c r="F43" s="11" t="s">
        <v>24550</v>
      </c>
      <c r="G43" s="11" t="s">
        <v>24551</v>
      </c>
      <c r="H43" s="48"/>
    </row>
    <row r="44" customFormat="false" ht="15" hidden="false" customHeight="false" outlineLevel="0" collapsed="false">
      <c r="B44" s="13" t="s">
        <v>178</v>
      </c>
      <c r="C44" s="13" t="s">
        <v>179</v>
      </c>
      <c r="D44" s="34" t="n">
        <f aca="false">SUMIFS('Daily Visit Register'!$L$6:$L$8129,'Daily Visit Register'!$F$6:$F$8129,"CG-001")</f>
        <v>37664.423</v>
      </c>
      <c r="E44" s="34" t="n">
        <f aca="false">SUMIFS('Daily Payroll Register'!$O$6:$O$5978,'Daily Payroll Register'!$D$6:$D$5978,"CG-001")*(1+'Chart of Accounts'!$E$67)</f>
        <v>26632.9585181</v>
      </c>
      <c r="F44" s="35" t="n">
        <f aca="false">D44-E44</f>
        <v>11031.4644819</v>
      </c>
      <c r="G44" s="70" t="n">
        <f aca="false">IFERROR(F44/D44,0)</f>
        <v>0.292888184743996</v>
      </c>
      <c r="H44" s="48"/>
    </row>
    <row r="45" customFormat="false" ht="15" hidden="false" customHeight="false" outlineLevel="0" collapsed="false">
      <c r="B45" s="13" t="s">
        <v>185</v>
      </c>
      <c r="C45" s="13" t="s">
        <v>186</v>
      </c>
      <c r="D45" s="34" t="n">
        <f aca="false">SUMIFS('Daily Visit Register'!$L$6:$L$8129,'Daily Visit Register'!$F$6:$F$8129,"CG-002")</f>
        <v>46604.9075</v>
      </c>
      <c r="E45" s="34" t="n">
        <f aca="false">SUMIFS('Daily Payroll Register'!$O$6:$O$5978,'Daily Payroll Register'!$D$6:$D$5978,"CG-002")*(1+'Chart of Accounts'!$E$67)</f>
        <v>30536.024007</v>
      </c>
      <c r="F45" s="35" t="n">
        <f aca="false">D45-E45</f>
        <v>16068.883493</v>
      </c>
      <c r="G45" s="70" t="n">
        <f aca="false">IFERROR(F45/D45,0)</f>
        <v>0.344789515846588</v>
      </c>
      <c r="H45" s="48"/>
    </row>
    <row r="46" customFormat="false" ht="15" hidden="false" customHeight="false" outlineLevel="0" collapsed="false">
      <c r="B46" s="13" t="s">
        <v>188</v>
      </c>
      <c r="C46" s="13" t="s">
        <v>189</v>
      </c>
      <c r="D46" s="34" t="n">
        <f aca="false">SUMIFS('Daily Visit Register'!$L$6:$L$8129,'Daily Visit Register'!$F$6:$F$8129,"CG-003")</f>
        <v>16661.265</v>
      </c>
      <c r="E46" s="34" t="n">
        <f aca="false">SUMIFS('Daily Payroll Register'!$O$6:$O$5978,'Daily Payroll Register'!$D$6:$D$5978,"CG-003")*(1+'Chart of Accounts'!$E$67)</f>
        <v>7840.3188</v>
      </c>
      <c r="F46" s="35" t="n">
        <f aca="false">D46-E46</f>
        <v>8820.9462</v>
      </c>
      <c r="G46" s="70" t="n">
        <f aca="false">IFERROR(F46/D46,0)</f>
        <v>0.529428359731389</v>
      </c>
      <c r="H46" s="48"/>
    </row>
    <row r="47" customFormat="false" ht="15" hidden="false" customHeight="false" outlineLevel="0" collapsed="false">
      <c r="B47" s="13" t="s">
        <v>192</v>
      </c>
      <c r="C47" s="13" t="s">
        <v>186</v>
      </c>
      <c r="D47" s="34" t="n">
        <f aca="false">SUMIFS('Daily Visit Register'!$L$6:$L$8129,'Daily Visit Register'!$F$6:$F$8129,"CG-004")</f>
        <v>20214.02</v>
      </c>
      <c r="E47" s="34" t="n">
        <f aca="false">SUMIFS('Daily Payroll Register'!$O$6:$O$5978,'Daily Payroll Register'!$D$6:$D$5978,"CG-004")*(1+'Chart of Accounts'!$E$67)</f>
        <v>12243.736442</v>
      </c>
      <c r="F47" s="35" t="n">
        <f aca="false">D47-E47</f>
        <v>7970.283558</v>
      </c>
      <c r="G47" s="70" t="n">
        <f aca="false">IFERROR(F47/D47,0)</f>
        <v>0.394294828935561</v>
      </c>
      <c r="H47" s="48"/>
    </row>
    <row r="48" customFormat="false" ht="15" hidden="false" customHeight="false" outlineLevel="0" collapsed="false">
      <c r="B48" s="13" t="s">
        <v>195</v>
      </c>
      <c r="C48" s="13" t="s">
        <v>186</v>
      </c>
      <c r="D48" s="34" t="n">
        <f aca="false">SUMIFS('Daily Visit Register'!$L$6:$L$8129,'Daily Visit Register'!$F$6:$F$8129,"CG-005")</f>
        <v>40861.4345</v>
      </c>
      <c r="E48" s="34" t="n">
        <f aca="false">SUMIFS('Daily Payroll Register'!$O$6:$O$5978,'Daily Payroll Register'!$D$6:$D$5978,"CG-005")*(1+'Chart of Accounts'!$E$67)</f>
        <v>31442.7688575</v>
      </c>
      <c r="F48" s="35" t="n">
        <f aca="false">D48-E48</f>
        <v>9418.6656425</v>
      </c>
      <c r="G48" s="70" t="n">
        <f aca="false">IFERROR(F48/D48,0)</f>
        <v>0.230502569421541</v>
      </c>
      <c r="H48" s="48"/>
    </row>
    <row r="49" customFormat="false" ht="15" hidden="false" customHeight="false" outlineLevel="0" collapsed="false">
      <c r="B49" s="13" t="s">
        <v>197</v>
      </c>
      <c r="C49" s="13" t="s">
        <v>179</v>
      </c>
      <c r="D49" s="34" t="n">
        <f aca="false">SUMIFS('Daily Visit Register'!$L$6:$L$8129,'Daily Visit Register'!$F$6:$F$8129,"CG-006")</f>
        <v>37849.671</v>
      </c>
      <c r="E49" s="34" t="n">
        <f aca="false">SUMIFS('Daily Payroll Register'!$O$6:$O$5978,'Daily Payroll Register'!$D$6:$D$5978,"CG-006")*(1+'Chart of Accounts'!$E$67)</f>
        <v>26578.56949525</v>
      </c>
      <c r="F49" s="35" t="n">
        <f aca="false">D49-E49</f>
        <v>11271.10150475</v>
      </c>
      <c r="G49" s="70" t="n">
        <f aca="false">IFERROR(F49/D49,0)</f>
        <v>0.297785983522816</v>
      </c>
      <c r="H49" s="48"/>
    </row>
    <row r="50" customFormat="false" ht="15" hidden="false" customHeight="false" outlineLevel="0" collapsed="false">
      <c r="B50" s="13" t="s">
        <v>199</v>
      </c>
      <c r="C50" s="13" t="s">
        <v>200</v>
      </c>
      <c r="D50" s="34" t="n">
        <f aca="false">SUMIFS('Daily Visit Register'!$L$6:$L$8129,'Daily Visit Register'!$F$6:$F$8129,"CG-007")</f>
        <v>6321.765</v>
      </c>
      <c r="E50" s="34" t="n">
        <f aca="false">SUMIFS('Daily Payroll Register'!$O$6:$O$5978,'Daily Payroll Register'!$D$6:$D$5978,"CG-007")*(1+'Chart of Accounts'!$E$67)</f>
        <v>2202.522</v>
      </c>
      <c r="F50" s="35" t="n">
        <f aca="false">D50-E50</f>
        <v>4119.243</v>
      </c>
      <c r="G50" s="70" t="n">
        <f aca="false">IFERROR(F50/D50,0)</f>
        <v>0.651596982804644</v>
      </c>
      <c r="H50" s="48"/>
    </row>
    <row r="51" customFormat="false" ht="15" hidden="false" customHeight="false" outlineLevel="0" collapsed="false">
      <c r="B51" s="13" t="s">
        <v>202</v>
      </c>
      <c r="C51" s="13" t="s">
        <v>179</v>
      </c>
      <c r="D51" s="34" t="n">
        <f aca="false">SUMIFS('Daily Visit Register'!$L$6:$L$8129,'Daily Visit Register'!$F$6:$F$8129,"CG-008")</f>
        <v>35663.8095</v>
      </c>
      <c r="E51" s="34" t="n">
        <f aca="false">SUMIFS('Daily Payroll Register'!$O$6:$O$5978,'Daily Payroll Register'!$D$6:$D$5978,"CG-008")*(1+'Chart of Accounts'!$E$67)</f>
        <v>24188.001111</v>
      </c>
      <c r="F51" s="35" t="n">
        <f aca="false">D51-E51</f>
        <v>11475.808389</v>
      </c>
      <c r="G51" s="70" t="n">
        <f aca="false">IFERROR(F51/D51,0)</f>
        <v>0.321777413851428</v>
      </c>
      <c r="H51" s="48"/>
    </row>
    <row r="52" customFormat="false" ht="15" hidden="false" customHeight="false" outlineLevel="0" collapsed="false">
      <c r="B52" s="13" t="s">
        <v>204</v>
      </c>
      <c r="C52" s="13" t="s">
        <v>200</v>
      </c>
      <c r="D52" s="34" t="n">
        <f aca="false">SUMIFS('Daily Visit Register'!$L$6:$L$8129,'Daily Visit Register'!$F$6:$F$8129,"CG-009")</f>
        <v>21368.175</v>
      </c>
      <c r="E52" s="34" t="n">
        <f aca="false">SUMIFS('Daily Payroll Register'!$O$6:$O$5978,'Daily Payroll Register'!$D$6:$D$5978,"CG-009")*(1+'Chart of Accounts'!$E$67)</f>
        <v>8319.81045</v>
      </c>
      <c r="F52" s="35" t="n">
        <f aca="false">D52-E52</f>
        <v>13048.36455</v>
      </c>
      <c r="G52" s="70" t="n">
        <f aca="false">IFERROR(F52/D52,0)</f>
        <v>0.61064478131614</v>
      </c>
      <c r="H52" s="48"/>
    </row>
    <row r="53" customFormat="false" ht="15" hidden="false" customHeight="false" outlineLevel="0" collapsed="false">
      <c r="B53" s="13" t="s">
        <v>206</v>
      </c>
      <c r="C53" s="13" t="s">
        <v>186</v>
      </c>
      <c r="D53" s="34" t="n">
        <f aca="false">SUMIFS('Daily Visit Register'!$L$6:$L$8129,'Daily Visit Register'!$F$6:$F$8129,"CG-010")</f>
        <v>21856.8905</v>
      </c>
      <c r="E53" s="34" t="n">
        <f aca="false">SUMIFS('Daily Payroll Register'!$O$6:$O$5978,'Daily Payroll Register'!$D$6:$D$5978,"CG-010")*(1+'Chart of Accounts'!$E$67)</f>
        <v>16827.7078745</v>
      </c>
      <c r="F53" s="35" t="n">
        <f aca="false">D53-E53</f>
        <v>5029.1826255</v>
      </c>
      <c r="G53" s="70" t="n">
        <f aca="false">IFERROR(F53/D53,0)</f>
        <v>0.230095979366324</v>
      </c>
      <c r="H53" s="48"/>
    </row>
    <row r="54" customFormat="false" ht="15" hidden="false" customHeight="false" outlineLevel="0" collapsed="false">
      <c r="B54" s="13" t="s">
        <v>208</v>
      </c>
      <c r="C54" s="13" t="s">
        <v>186</v>
      </c>
      <c r="D54" s="34" t="n">
        <f aca="false">SUMIFS('Daily Visit Register'!$L$6:$L$8129,'Daily Visit Register'!$F$6:$F$8129,"CG-011")</f>
        <v>17811.3725</v>
      </c>
      <c r="E54" s="34" t="n">
        <f aca="false">SUMIFS('Daily Payroll Register'!$O$6:$O$5978,'Daily Payroll Register'!$D$6:$D$5978,"CG-011")*(1+'Chart of Accounts'!$E$67)</f>
        <v>12876.1253235</v>
      </c>
      <c r="F54" s="35" t="n">
        <f aca="false">D54-E54</f>
        <v>4935.2471765</v>
      </c>
      <c r="G54" s="70" t="n">
        <f aca="false">IFERROR(F54/D54,0)</f>
        <v>0.277084047088454</v>
      </c>
      <c r="H54" s="48"/>
    </row>
    <row r="55" customFormat="false" ht="15" hidden="false" customHeight="false" outlineLevel="0" collapsed="false">
      <c r="B55" s="13" t="s">
        <v>210</v>
      </c>
      <c r="C55" s="13" t="s">
        <v>211</v>
      </c>
      <c r="D55" s="34" t="n">
        <f aca="false">SUMIFS('Daily Visit Register'!$L$6:$L$8129,'Daily Visit Register'!$F$6:$F$8129,"CG-012")</f>
        <v>33186.78</v>
      </c>
      <c r="E55" s="34" t="n">
        <f aca="false">SUMIFS('Daily Payroll Register'!$O$6:$O$5978,'Daily Payroll Register'!$D$6:$D$5978,"CG-012")*(1+'Chart of Accounts'!$E$67)</f>
        <v>16934.0691</v>
      </c>
      <c r="F55" s="35" t="n">
        <f aca="false">D55-E55</f>
        <v>16252.7109</v>
      </c>
      <c r="G55" s="70" t="n">
        <f aca="false">IFERROR(F55/D55,0)</f>
        <v>0.489734493674891</v>
      </c>
      <c r="H55" s="48"/>
    </row>
    <row r="56" customFormat="false" ht="15" hidden="false" customHeight="false" outlineLevel="0" collapsed="false">
      <c r="B56" s="13" t="s">
        <v>213</v>
      </c>
      <c r="C56" s="13" t="s">
        <v>179</v>
      </c>
      <c r="D56" s="34" t="n">
        <f aca="false">SUMIFS('Daily Visit Register'!$L$6:$L$8129,'Daily Visit Register'!$F$6:$F$8129,"CG-013")</f>
        <v>27582.524</v>
      </c>
      <c r="E56" s="34" t="n">
        <f aca="false">SUMIFS('Daily Payroll Register'!$O$6:$O$5978,'Daily Payroll Register'!$D$6:$D$5978,"CG-013")*(1+'Chart of Accounts'!$E$67)</f>
        <v>18110.69943875</v>
      </c>
      <c r="F56" s="35" t="n">
        <f aca="false">D56-E56</f>
        <v>9471.82456125</v>
      </c>
      <c r="G56" s="70" t="n">
        <f aca="false">IFERROR(F56/D56,0)</f>
        <v>0.343399485893677</v>
      </c>
      <c r="H56" s="48"/>
    </row>
    <row r="57" customFormat="false" ht="15" hidden="false" customHeight="false" outlineLevel="0" collapsed="false">
      <c r="B57" s="13" t="s">
        <v>215</v>
      </c>
      <c r="C57" s="13" t="s">
        <v>186</v>
      </c>
      <c r="D57" s="34" t="n">
        <f aca="false">SUMIFS('Daily Visit Register'!$L$6:$L$8129,'Daily Visit Register'!$F$6:$F$8129,"CG-014")</f>
        <v>34339.1795</v>
      </c>
      <c r="E57" s="34" t="n">
        <f aca="false">SUMIFS('Daily Payroll Register'!$O$6:$O$5978,'Daily Payroll Register'!$D$6:$D$5978,"CG-014")*(1+'Chart of Accounts'!$E$67)</f>
        <v>25739.008189575</v>
      </c>
      <c r="F57" s="35" t="n">
        <f aca="false">D57-E57</f>
        <v>8600.171310425</v>
      </c>
      <c r="G57" s="70" t="n">
        <f aca="false">IFERROR(F57/D57,0)</f>
        <v>0.250447781095789</v>
      </c>
      <c r="H57" s="48"/>
    </row>
    <row r="58" customFormat="false" ht="15" hidden="false" customHeight="false" outlineLevel="0" collapsed="false">
      <c r="B58" s="13" t="s">
        <v>217</v>
      </c>
      <c r="C58" s="13" t="s">
        <v>200</v>
      </c>
      <c r="D58" s="34" t="n">
        <f aca="false">SUMIFS('Daily Visit Register'!$L$6:$L$8129,'Daily Visit Register'!$F$6:$F$8129,"CG-015")</f>
        <v>9216.315</v>
      </c>
      <c r="E58" s="34" t="n">
        <f aca="false">SUMIFS('Daily Payroll Register'!$O$6:$O$5978,'Daily Payroll Register'!$D$6:$D$5978,"CG-015")*(1+'Chart of Accounts'!$E$67)</f>
        <v>4881.71895</v>
      </c>
      <c r="F58" s="35" t="n">
        <f aca="false">D58-E58</f>
        <v>4334.59605</v>
      </c>
      <c r="G58" s="70" t="n">
        <f aca="false">IFERROR(F58/D58,0)</f>
        <v>0.470317697474533</v>
      </c>
      <c r="H58" s="48"/>
    </row>
    <row r="59" customFormat="false" ht="15" hidden="false" customHeight="false" outlineLevel="0" collapsed="false">
      <c r="B59" s="13" t="s">
        <v>219</v>
      </c>
      <c r="C59" s="13" t="s">
        <v>186</v>
      </c>
      <c r="D59" s="34" t="n">
        <f aca="false">SUMIFS('Daily Visit Register'!$L$6:$L$8129,'Daily Visit Register'!$F$6:$F$8129,"CG-016")</f>
        <v>40949.4725</v>
      </c>
      <c r="E59" s="34" t="n">
        <f aca="false">SUMIFS('Daily Payroll Register'!$O$6:$O$5978,'Daily Payroll Register'!$D$6:$D$5978,"CG-016")*(1+'Chart of Accounts'!$E$67)</f>
        <v>31784.969855</v>
      </c>
      <c r="F59" s="35" t="n">
        <f aca="false">D59-E59</f>
        <v>9164.50264499999</v>
      </c>
      <c r="G59" s="70" t="n">
        <f aca="false">IFERROR(F59/D59,0)</f>
        <v>0.223800261285417</v>
      </c>
      <c r="H59" s="48"/>
    </row>
    <row r="60" customFormat="false" ht="15" hidden="false" customHeight="false" outlineLevel="0" collapsed="false">
      <c r="B60" s="13" t="s">
        <v>221</v>
      </c>
      <c r="C60" s="13" t="s">
        <v>186</v>
      </c>
      <c r="D60" s="34" t="n">
        <f aca="false">SUMIFS('Daily Visit Register'!$L$6:$L$8129,'Daily Visit Register'!$F$6:$F$8129,"CG-017")</f>
        <v>38164.281</v>
      </c>
      <c r="E60" s="34" t="n">
        <f aca="false">SUMIFS('Daily Payroll Register'!$O$6:$O$5978,'Daily Payroll Register'!$D$6:$D$5978,"CG-017")*(1+'Chart of Accounts'!$E$67)</f>
        <v>23798.0000275</v>
      </c>
      <c r="F60" s="35" t="n">
        <f aca="false">D60-E60</f>
        <v>14366.2809725</v>
      </c>
      <c r="G60" s="70" t="n">
        <f aca="false">IFERROR(F60/D60,0)</f>
        <v>0.37643263795537</v>
      </c>
      <c r="H60" s="48"/>
    </row>
    <row r="61" customFormat="false" ht="15" hidden="false" customHeight="false" outlineLevel="0" collapsed="false">
      <c r="B61" s="13" t="s">
        <v>223</v>
      </c>
      <c r="C61" s="13" t="s">
        <v>186</v>
      </c>
      <c r="D61" s="34" t="n">
        <f aca="false">SUMIFS('Daily Visit Register'!$L$6:$L$8129,'Daily Visit Register'!$F$6:$F$8129,"CG-018")</f>
        <v>61878.185</v>
      </c>
      <c r="E61" s="34" t="n">
        <f aca="false">SUMIFS('Daily Payroll Register'!$O$6:$O$5978,'Daily Payroll Register'!$D$6:$D$5978,"CG-018")*(1+'Chart of Accounts'!$E$67)</f>
        <v>41484.9428782</v>
      </c>
      <c r="F61" s="35" t="n">
        <f aca="false">D61-E61</f>
        <v>20393.2421218</v>
      </c>
      <c r="G61" s="70" t="n">
        <f aca="false">IFERROR(F61/D61,0)</f>
        <v>0.329570786890404</v>
      </c>
      <c r="H61" s="48"/>
    </row>
    <row r="62" customFormat="false" ht="15" hidden="false" customHeight="false" outlineLevel="0" collapsed="false">
      <c r="B62" s="13" t="s">
        <v>225</v>
      </c>
      <c r="C62" s="13" t="s">
        <v>179</v>
      </c>
      <c r="D62" s="34" t="n">
        <f aca="false">SUMIFS('Daily Visit Register'!$L$6:$L$8129,'Daily Visit Register'!$F$6:$F$8129,"CG-019")</f>
        <v>40386.669</v>
      </c>
      <c r="E62" s="34" t="n">
        <f aca="false">SUMIFS('Daily Payroll Register'!$O$6:$O$5978,'Daily Payroll Register'!$D$6:$D$5978,"CG-019")*(1+'Chart of Accounts'!$E$67)</f>
        <v>23068.16666525</v>
      </c>
      <c r="F62" s="35" t="n">
        <f aca="false">D62-E62</f>
        <v>17318.50233475</v>
      </c>
      <c r="G62" s="70" t="n">
        <f aca="false">IFERROR(F62/D62,0)</f>
        <v>0.428817299459631</v>
      </c>
      <c r="H62" s="48"/>
    </row>
    <row r="63" customFormat="false" ht="15" hidden="false" customHeight="false" outlineLevel="0" collapsed="false">
      <c r="B63" s="13" t="s">
        <v>227</v>
      </c>
      <c r="C63" s="13" t="s">
        <v>186</v>
      </c>
      <c r="D63" s="34" t="n">
        <f aca="false">SUMIFS('Daily Visit Register'!$L$6:$L$8129,'Daily Visit Register'!$F$6:$F$8129,"CG-020")</f>
        <v>339.24</v>
      </c>
      <c r="E63" s="34" t="n">
        <f aca="false">SUMIFS('Daily Payroll Register'!$O$6:$O$5978,'Daily Payroll Register'!$D$6:$D$5978,"CG-020")*(1+'Chart of Accounts'!$E$67)</f>
        <v>223.8041045</v>
      </c>
      <c r="F63" s="35" t="n">
        <f aca="false">D63-E63</f>
        <v>115.4358955</v>
      </c>
      <c r="G63" s="70" t="n">
        <f aca="false">IFERROR(F63/D63,0)</f>
        <v>0.340277961030539</v>
      </c>
      <c r="H63" s="48"/>
    </row>
    <row r="64" customFormat="false" ht="15" hidden="false" customHeight="false" outlineLevel="0" collapsed="false">
      <c r="B64" s="13" t="s">
        <v>229</v>
      </c>
      <c r="C64" s="13" t="s">
        <v>200</v>
      </c>
      <c r="D64" s="34" t="n">
        <f aca="false">SUMIFS('Daily Visit Register'!$L$6:$L$8129,'Daily Visit Register'!$F$6:$F$8129,"CG-021")</f>
        <v>20814.105</v>
      </c>
      <c r="E64" s="34" t="n">
        <f aca="false">SUMIFS('Daily Payroll Register'!$O$6:$O$5978,'Daily Payroll Register'!$D$6:$D$5978,"CG-021")*(1+'Chart of Accounts'!$E$67)</f>
        <v>7426.34405</v>
      </c>
      <c r="F64" s="35" t="n">
        <f aca="false">D64-E64</f>
        <v>13387.76095</v>
      </c>
      <c r="G64" s="70" t="n">
        <f aca="false">IFERROR(F64/D64,0)</f>
        <v>0.643206179175132</v>
      </c>
      <c r="H64" s="48"/>
    </row>
    <row r="65" customFormat="false" ht="15" hidden="false" customHeight="false" outlineLevel="0" collapsed="false">
      <c r="B65" s="13" t="s">
        <v>231</v>
      </c>
      <c r="C65" s="13" t="s">
        <v>200</v>
      </c>
      <c r="D65" s="34" t="n">
        <f aca="false">SUMIFS('Daily Visit Register'!$L$6:$L$8129,'Daily Visit Register'!$F$6:$F$8129,"CG-022")</f>
        <v>8074.47</v>
      </c>
      <c r="E65" s="34" t="n">
        <f aca="false">SUMIFS('Daily Payroll Register'!$O$6:$O$5978,'Daily Payroll Register'!$D$6:$D$5978,"CG-022")*(1+'Chart of Accounts'!$E$67)</f>
        <v>2792.655</v>
      </c>
      <c r="F65" s="35" t="n">
        <f aca="false">D65-E65</f>
        <v>5281.815</v>
      </c>
      <c r="G65" s="70" t="n">
        <f aca="false">IFERROR(F65/D65,0)</f>
        <v>0.654137670955493</v>
      </c>
      <c r="H65" s="48"/>
    </row>
    <row r="66" customFormat="false" ht="15" hidden="false" customHeight="false" outlineLevel="0" collapsed="false">
      <c r="B66" s="13" t="s">
        <v>233</v>
      </c>
      <c r="C66" s="13" t="s">
        <v>186</v>
      </c>
      <c r="D66" s="34" t="n">
        <f aca="false">SUMIFS('Daily Visit Register'!$L$6:$L$8129,'Daily Visit Register'!$F$6:$F$8129,"CG-023")</f>
        <v>28118.611</v>
      </c>
      <c r="E66" s="34" t="n">
        <f aca="false">SUMIFS('Daily Payroll Register'!$O$6:$O$5978,'Daily Payroll Register'!$D$6:$D$5978,"CG-023")*(1+'Chart of Accounts'!$E$67)</f>
        <v>21595.722485</v>
      </c>
      <c r="F66" s="35" t="n">
        <f aca="false">D66-E66</f>
        <v>6522.888515</v>
      </c>
      <c r="G66" s="70" t="n">
        <f aca="false">IFERROR(F66/D66,0)</f>
        <v>0.231977622045413</v>
      </c>
      <c r="H66" s="48"/>
    </row>
    <row r="67" customFormat="false" ht="15" hidden="false" customHeight="false" outlineLevel="0" collapsed="false">
      <c r="B67" s="13" t="s">
        <v>235</v>
      </c>
      <c r="C67" s="13" t="s">
        <v>211</v>
      </c>
      <c r="D67" s="34" t="n">
        <f aca="false">SUMIFS('Daily Visit Register'!$L$6:$L$8129,'Daily Visit Register'!$F$6:$F$8129,"CG-024")</f>
        <v>34153.68</v>
      </c>
      <c r="E67" s="34" t="n">
        <f aca="false">SUMIFS('Daily Payroll Register'!$O$6:$O$5978,'Daily Payroll Register'!$D$6:$D$5978,"CG-024")*(1+'Chart of Accounts'!$E$67)</f>
        <v>21322.4648</v>
      </c>
      <c r="F67" s="35" t="n">
        <f aca="false">D67-E67</f>
        <v>12831.2152</v>
      </c>
      <c r="G67" s="70" t="n">
        <f aca="false">IFERROR(F67/D67,0)</f>
        <v>0.375690561017144</v>
      </c>
      <c r="H67" s="48"/>
    </row>
    <row r="68" customFormat="false" ht="15" hidden="false" customHeight="false" outlineLevel="0" collapsed="false">
      <c r="B68" s="13" t="s">
        <v>237</v>
      </c>
      <c r="C68" s="13" t="s">
        <v>179</v>
      </c>
      <c r="D68" s="34" t="n">
        <f aca="false">SUMIFS('Daily Visit Register'!$L$6:$L$8129,'Daily Visit Register'!$F$6:$F$8129,"CG-025")</f>
        <v>5607.5775</v>
      </c>
      <c r="E68" s="34" t="n">
        <f aca="false">SUMIFS('Daily Payroll Register'!$O$6:$O$5978,'Daily Payroll Register'!$D$6:$D$5978,"CG-025")*(1+'Chart of Accounts'!$E$67)</f>
        <v>3968.6280515</v>
      </c>
      <c r="F68" s="35" t="n">
        <f aca="false">D68-E68</f>
        <v>1638.9494485</v>
      </c>
      <c r="G68" s="70" t="n">
        <f aca="false">IFERROR(F68/D68,0)</f>
        <v>0.29227406103616</v>
      </c>
      <c r="H68" s="48"/>
    </row>
    <row r="69" customFormat="false" ht="15" hidden="false" customHeight="false" outlineLevel="0" collapsed="false">
      <c r="B69" s="13" t="s">
        <v>239</v>
      </c>
      <c r="C69" s="13" t="s">
        <v>186</v>
      </c>
      <c r="D69" s="34" t="n">
        <f aca="false">SUMIFS('Daily Visit Register'!$L$6:$L$8129,'Daily Visit Register'!$F$6:$F$8129,"CG-026")</f>
        <v>27365.2155</v>
      </c>
      <c r="E69" s="34" t="n">
        <f aca="false">SUMIFS('Daily Payroll Register'!$O$6:$O$5978,'Daily Payroll Register'!$D$6:$D$5978,"CG-026")*(1+'Chart of Accounts'!$E$67)</f>
        <v>17917.46065125</v>
      </c>
      <c r="F69" s="35" t="n">
        <f aca="false">D69-E69</f>
        <v>9447.75484875</v>
      </c>
      <c r="G69" s="70" t="n">
        <f aca="false">IFERROR(F69/D69,0)</f>
        <v>0.345246864536842</v>
      </c>
      <c r="H69" s="48"/>
    </row>
    <row r="70" customFormat="false" ht="15" hidden="false" customHeight="false" outlineLevel="0" collapsed="false">
      <c r="B70" s="13" t="s">
        <v>241</v>
      </c>
      <c r="C70" s="13" t="s">
        <v>186</v>
      </c>
      <c r="D70" s="34" t="n">
        <f aca="false">SUMIFS('Daily Visit Register'!$L$6:$L$8129,'Daily Visit Register'!$F$6:$F$8129,"CG-027")</f>
        <v>5934.7205</v>
      </c>
      <c r="E70" s="34" t="n">
        <f aca="false">SUMIFS('Daily Payroll Register'!$O$6:$O$5978,'Daily Payroll Register'!$D$6:$D$5978,"CG-027")*(1+'Chart of Accounts'!$E$67)</f>
        <v>4402.771862</v>
      </c>
      <c r="F70" s="35" t="n">
        <f aca="false">D70-E70</f>
        <v>1531.948638</v>
      </c>
      <c r="G70" s="70" t="n">
        <f aca="false">IFERROR(F70/D70,0)</f>
        <v>0.258133241152637</v>
      </c>
      <c r="H70" s="48"/>
    </row>
    <row r="71" customFormat="false" ht="15" hidden="false" customHeight="false" outlineLevel="0" collapsed="false">
      <c r="B71" s="13" t="s">
        <v>243</v>
      </c>
      <c r="C71" s="13" t="s">
        <v>186</v>
      </c>
      <c r="D71" s="34" t="n">
        <f aca="false">SUMIFS('Daily Visit Register'!$L$6:$L$8129,'Daily Visit Register'!$F$6:$F$8129,"CG-028")</f>
        <v>66115.062</v>
      </c>
      <c r="E71" s="34" t="n">
        <f aca="false">SUMIFS('Daily Payroll Register'!$O$6:$O$5978,'Daily Payroll Register'!$D$6:$D$5978,"CG-028")*(1+'Chart of Accounts'!$E$67)</f>
        <v>47793.20623315</v>
      </c>
      <c r="F71" s="35" t="n">
        <f aca="false">D71-E71</f>
        <v>18321.85576685</v>
      </c>
      <c r="G71" s="70" t="n">
        <f aca="false">IFERROR(F71/D71,0)</f>
        <v>0.277120753011621</v>
      </c>
      <c r="H71" s="48"/>
    </row>
    <row r="72" customFormat="false" ht="15" hidden="false" customHeight="false" outlineLevel="0" collapsed="false">
      <c r="B72" s="13" t="s">
        <v>245</v>
      </c>
      <c r="C72" s="13" t="s">
        <v>179</v>
      </c>
      <c r="D72" s="34" t="n">
        <f aca="false">SUMIFS('Daily Visit Register'!$L$6:$L$8129,'Daily Visit Register'!$F$6:$F$8129,"CG-029")</f>
        <v>12939.8515</v>
      </c>
      <c r="E72" s="34" t="n">
        <f aca="false">SUMIFS('Daily Payroll Register'!$O$6:$O$5978,'Daily Payroll Register'!$D$6:$D$5978,"CG-029")*(1+'Chart of Accounts'!$E$67)</f>
        <v>9721.380218</v>
      </c>
      <c r="F72" s="35" t="n">
        <f aca="false">D72-E72</f>
        <v>3218.471282</v>
      </c>
      <c r="G72" s="70" t="n">
        <f aca="false">IFERROR(F72/D72,0)</f>
        <v>0.248725519145255</v>
      </c>
      <c r="H72" s="48"/>
    </row>
    <row r="73" customFormat="false" ht="15" hidden="false" customHeight="false" outlineLevel="0" collapsed="false">
      <c r="B73" s="13" t="s">
        <v>247</v>
      </c>
      <c r="C73" s="13" t="s">
        <v>179</v>
      </c>
      <c r="D73" s="34" t="n">
        <f aca="false">SUMIFS('Daily Visit Register'!$L$6:$L$8129,'Daily Visit Register'!$F$6:$F$8129,"CG-030")</f>
        <v>45417.562</v>
      </c>
      <c r="E73" s="34" t="n">
        <f aca="false">SUMIFS('Daily Payroll Register'!$O$6:$O$5978,'Daily Payroll Register'!$D$6:$D$5978,"CG-030")*(1+'Chart of Accounts'!$E$67)</f>
        <v>33315.8816855</v>
      </c>
      <c r="F73" s="35" t="n">
        <f aca="false">D73-E73</f>
        <v>12101.6803145</v>
      </c>
      <c r="G73" s="70" t="n">
        <f aca="false">IFERROR(F73/D73,0)</f>
        <v>0.266453763293151</v>
      </c>
      <c r="H73" s="48"/>
    </row>
    <row r="74" customFormat="false" ht="15" hidden="false" customHeight="false" outlineLevel="0" collapsed="false">
      <c r="B74" s="13" t="s">
        <v>249</v>
      </c>
      <c r="C74" s="13" t="s">
        <v>186</v>
      </c>
      <c r="D74" s="34" t="n">
        <f aca="false">SUMIFS('Daily Visit Register'!$L$6:$L$8129,'Daily Visit Register'!$F$6:$F$8129,"CG-031")</f>
        <v>240.39</v>
      </c>
      <c r="E74" s="34" t="n">
        <f aca="false">SUMIFS('Daily Payroll Register'!$O$6:$O$5978,'Daily Payroll Register'!$D$6:$D$5978,"CG-031")*(1+'Chart of Accounts'!$E$67)</f>
        <v>167.2106475</v>
      </c>
      <c r="F74" s="35" t="n">
        <f aca="false">D74-E74</f>
        <v>73.1793525</v>
      </c>
      <c r="G74" s="70" t="n">
        <f aca="false">IFERROR(F74/D74,0)</f>
        <v>0.304419287407962</v>
      </c>
      <c r="H74" s="48"/>
    </row>
    <row r="75" customFormat="false" ht="15" hidden="false" customHeight="false" outlineLevel="0" collapsed="false">
      <c r="B75" s="13" t="s">
        <v>251</v>
      </c>
      <c r="C75" s="13" t="s">
        <v>186</v>
      </c>
      <c r="D75" s="34" t="n">
        <f aca="false">SUMIFS('Daily Visit Register'!$L$6:$L$8129,'Daily Visit Register'!$F$6:$F$8129,"CG-032")</f>
        <v>1755.4065</v>
      </c>
      <c r="E75" s="34" t="n">
        <f aca="false">SUMIFS('Daily Payroll Register'!$O$6:$O$5978,'Daily Payroll Register'!$D$6:$D$5978,"CG-032")*(1+'Chart of Accounts'!$E$67)</f>
        <v>1158.5681355</v>
      </c>
      <c r="F75" s="35" t="n">
        <f aca="false">D75-E75</f>
        <v>596.8383645</v>
      </c>
      <c r="G75" s="70" t="n">
        <f aca="false">IFERROR(F75/D75,0)</f>
        <v>0.340000088013802</v>
      </c>
      <c r="H75" s="48"/>
    </row>
    <row r="76" customFormat="false" ht="15" hidden="false" customHeight="false" outlineLevel="0" collapsed="false">
      <c r="B76" s="13" t="s">
        <v>253</v>
      </c>
      <c r="C76" s="13" t="s">
        <v>200</v>
      </c>
      <c r="D76" s="34" t="n">
        <f aca="false">SUMIFS('Daily Visit Register'!$L$6:$L$8129,'Daily Visit Register'!$F$6:$F$8129,"CG-033")</f>
        <v>20552.535</v>
      </c>
      <c r="E76" s="34" t="n">
        <f aca="false">SUMIFS('Daily Payroll Register'!$O$6:$O$5978,'Daily Payroll Register'!$D$6:$D$5978,"CG-033")*(1+'Chart of Accounts'!$E$67)</f>
        <v>10080.1449</v>
      </c>
      <c r="F76" s="35" t="n">
        <f aca="false">D76-E76</f>
        <v>10472.3901</v>
      </c>
      <c r="G76" s="70" t="n">
        <f aca="false">IFERROR(F76/D76,0)</f>
        <v>0.509542501691397</v>
      </c>
      <c r="H76" s="48"/>
    </row>
    <row r="77" customFormat="false" ht="15" hidden="false" customHeight="false" outlineLevel="0" collapsed="false">
      <c r="B77" s="13" t="s">
        <v>255</v>
      </c>
      <c r="C77" s="13" t="s">
        <v>186</v>
      </c>
      <c r="D77" s="34" t="n">
        <f aca="false">SUMIFS('Daily Visit Register'!$L$6:$L$8129,'Daily Visit Register'!$F$6:$F$8129,"CG-034")</f>
        <v>65786.078</v>
      </c>
      <c r="E77" s="34" t="n">
        <f aca="false">SUMIFS('Daily Payroll Register'!$O$6:$O$5978,'Daily Payroll Register'!$D$6:$D$5978,"CG-034")*(1+'Chart of Accounts'!$E$67)</f>
        <v>45710.2921125</v>
      </c>
      <c r="F77" s="35" t="n">
        <f aca="false">D77-E77</f>
        <v>20075.7858875</v>
      </c>
      <c r="G77" s="70" t="n">
        <f aca="false">IFERROR(F77/D77,0)</f>
        <v>0.305167696537556</v>
      </c>
      <c r="H77" s="48"/>
    </row>
    <row r="78" customFormat="false" ht="15" hidden="false" customHeight="false" outlineLevel="0" collapsed="false">
      <c r="B78" s="13" t="s">
        <v>257</v>
      </c>
      <c r="C78" s="13" t="s">
        <v>179</v>
      </c>
      <c r="D78" s="34" t="n">
        <f aca="false">SUMIFS('Daily Visit Register'!$L$6:$L$8129,'Daily Visit Register'!$F$6:$F$8129,"CG-035")</f>
        <v>2964.558</v>
      </c>
      <c r="E78" s="34" t="n">
        <f aca="false">SUMIFS('Daily Payroll Register'!$O$6:$O$5978,'Daily Payroll Register'!$D$6:$D$5978,"CG-035")*(1+'Chart of Accounts'!$E$67)</f>
        <v>1877.6029455</v>
      </c>
      <c r="F78" s="35" t="n">
        <f aca="false">D78-E78</f>
        <v>1086.9550545</v>
      </c>
      <c r="G78" s="70" t="n">
        <f aca="false">IFERROR(F78/D78,0)</f>
        <v>0.366649954057232</v>
      </c>
      <c r="H78" s="48"/>
    </row>
    <row r="79" customFormat="false" ht="15" hidden="false" customHeight="false" outlineLevel="0" collapsed="false">
      <c r="B79" s="13" t="s">
        <v>259</v>
      </c>
      <c r="C79" s="13" t="s">
        <v>200</v>
      </c>
      <c r="D79" s="34" t="n">
        <f aca="false">SUMIFS('Daily Visit Register'!$L$6:$L$8129,'Daily Visit Register'!$F$6:$F$8129,"CG-036")</f>
        <v>7199.46</v>
      </c>
      <c r="E79" s="34" t="n">
        <f aca="false">SUMIFS('Daily Payroll Register'!$O$6:$O$5978,'Daily Payroll Register'!$D$6:$D$5978,"CG-036")*(1+'Chart of Accounts'!$E$67)</f>
        <v>3668.2594</v>
      </c>
      <c r="F79" s="35" t="n">
        <f aca="false">D79-E79</f>
        <v>3531.2006</v>
      </c>
      <c r="G79" s="70" t="n">
        <f aca="false">IFERROR(F79/D79,0)</f>
        <v>0.490481313876319</v>
      </c>
      <c r="H79" s="48"/>
    </row>
    <row r="80" customFormat="false" ht="15" hidden="false" customHeight="false" outlineLevel="0" collapsed="false">
      <c r="B80" s="13" t="s">
        <v>261</v>
      </c>
      <c r="C80" s="13" t="s">
        <v>189</v>
      </c>
      <c r="D80" s="34" t="n">
        <f aca="false">SUMIFS('Daily Visit Register'!$L$6:$L$8129,'Daily Visit Register'!$F$6:$F$8129,"CG-037")</f>
        <v>13846.005</v>
      </c>
      <c r="E80" s="34" t="n">
        <f aca="false">SUMIFS('Daily Payroll Register'!$O$6:$O$5978,'Daily Payroll Register'!$D$6:$D$5978,"CG-037")*(1+'Chart of Accounts'!$E$67)</f>
        <v>9502.584</v>
      </c>
      <c r="F80" s="35" t="n">
        <f aca="false">D80-E80</f>
        <v>4343.421</v>
      </c>
      <c r="G80" s="70" t="n">
        <f aca="false">IFERROR(F80/D80,0)</f>
        <v>0.313694888886722</v>
      </c>
      <c r="H80" s="48"/>
    </row>
    <row r="81" customFormat="false" ht="15" hidden="false" customHeight="false" outlineLevel="0" collapsed="false">
      <c r="B81" s="13" t="s">
        <v>263</v>
      </c>
      <c r="C81" s="13" t="s">
        <v>179</v>
      </c>
      <c r="D81" s="34" t="n">
        <f aca="false">SUMIFS('Daily Visit Register'!$L$6:$L$8129,'Daily Visit Register'!$F$6:$F$8129,"CG-038")</f>
        <v>9680.132</v>
      </c>
      <c r="E81" s="34" t="n">
        <f aca="false">SUMIFS('Daily Payroll Register'!$O$6:$O$5978,'Daily Payroll Register'!$D$6:$D$5978,"CG-038")*(1+'Chart of Accounts'!$E$67)</f>
        <v>7503.569491</v>
      </c>
      <c r="F81" s="35" t="n">
        <f aca="false">D81-E81</f>
        <v>2176.562509</v>
      </c>
      <c r="G81" s="70" t="n">
        <f aca="false">IFERROR(F81/D81,0)</f>
        <v>0.224848432748644</v>
      </c>
      <c r="H81" s="48"/>
    </row>
    <row r="82" customFormat="false" ht="15" hidden="false" customHeight="false" outlineLevel="0" collapsed="false">
      <c r="B82" s="13" t="s">
        <v>265</v>
      </c>
      <c r="C82" s="13" t="s">
        <v>200</v>
      </c>
      <c r="D82" s="34" t="n">
        <f aca="false">SUMIFS('Daily Visit Register'!$L$6:$L$8129,'Daily Visit Register'!$F$6:$F$8129,"CG-039")</f>
        <v>19498.74</v>
      </c>
      <c r="E82" s="34" t="n">
        <f aca="false">SUMIFS('Daily Payroll Register'!$O$6:$O$5978,'Daily Payroll Register'!$D$6:$D$5978,"CG-039")*(1+'Chart of Accounts'!$E$67)</f>
        <v>7632.57</v>
      </c>
      <c r="F82" s="35" t="n">
        <f aca="false">D82-E82</f>
        <v>11866.17</v>
      </c>
      <c r="G82" s="70" t="n">
        <f aca="false">IFERROR(F82/D82,0)</f>
        <v>0.608560860855625</v>
      </c>
      <c r="H82" s="48"/>
    </row>
    <row r="83" customFormat="false" ht="15" hidden="false" customHeight="false" outlineLevel="0" collapsed="false">
      <c r="B83" s="13" t="s">
        <v>267</v>
      </c>
      <c r="C83" s="13" t="s">
        <v>189</v>
      </c>
      <c r="D83" s="34" t="n">
        <f aca="false">SUMIFS('Daily Visit Register'!$L$6:$L$8129,'Daily Visit Register'!$F$6:$F$8129,"CG-040")</f>
        <v>9099.135</v>
      </c>
      <c r="E83" s="34" t="n">
        <f aca="false">SUMIFS('Daily Payroll Register'!$O$6:$O$5978,'Daily Payroll Register'!$D$6:$D$5978,"CG-040")*(1+'Chart of Accounts'!$E$67)</f>
        <v>5853.5148</v>
      </c>
      <c r="F83" s="35" t="n">
        <f aca="false">D83-E83</f>
        <v>3245.6202</v>
      </c>
      <c r="G83" s="70" t="n">
        <f aca="false">IFERROR(F83/D83,0)</f>
        <v>0.356695466107493</v>
      </c>
      <c r="H83" s="48"/>
    </row>
    <row r="85" customFormat="false" ht="19.4" hidden="false" customHeight="true" outlineLevel="0" collapsed="false">
      <c r="B85" s="82" t="s">
        <v>24552</v>
      </c>
      <c r="C85" s="82"/>
      <c r="D85" s="82"/>
      <c r="E85" s="82"/>
      <c r="F85" s="82"/>
      <c r="G85" s="82"/>
      <c r="H85" s="82"/>
    </row>
    <row r="87" customFormat="false" ht="15" hidden="false" customHeight="false" outlineLevel="0" collapsed="false">
      <c r="B87" s="49" t="s">
        <v>24553</v>
      </c>
      <c r="C87" s="64"/>
      <c r="D87" s="64"/>
      <c r="E87" s="64"/>
      <c r="F87" s="64"/>
      <c r="G87" s="64"/>
    </row>
    <row r="88" customFormat="false" ht="23.85" hidden="false" customHeight="false" outlineLevel="0" collapsed="false">
      <c r="B88" s="11" t="s">
        <v>416</v>
      </c>
      <c r="C88" s="11" t="s">
        <v>149</v>
      </c>
      <c r="D88" s="11" t="s">
        <v>24554</v>
      </c>
      <c r="E88" s="11" t="s">
        <v>500</v>
      </c>
      <c r="F88" s="11" t="s">
        <v>24550</v>
      </c>
      <c r="G88" s="11" t="s">
        <v>24551</v>
      </c>
      <c r="H88" s="48"/>
    </row>
    <row r="89" customFormat="false" ht="15" hidden="false" customHeight="false" outlineLevel="0" collapsed="false">
      <c r="B89" s="13" t="s">
        <v>281</v>
      </c>
      <c r="C89" s="13" t="s">
        <v>157</v>
      </c>
      <c r="D89" s="34" t="n">
        <f aca="false">SUMIFS('Daily Visit Register'!$L$6:$L$8129,'Daily Visit Register'!$D$6:$D$8129,"CL-001")</f>
        <v>16129.905</v>
      </c>
      <c r="E89" s="34" t="n">
        <f aca="false">SUMIFS('Daily Visit Register'!$M$6:$M$8129,'Daily Visit Register'!$D$6:$D$8129,"CL-001")</f>
        <v>7499.302992</v>
      </c>
      <c r="F89" s="35" t="n">
        <f aca="false">D89-E89</f>
        <v>8630.602008</v>
      </c>
      <c r="G89" s="70" t="n">
        <f aca="false">IFERROR(F89/D89,0)</f>
        <v>0.535068371946394</v>
      </c>
      <c r="H89" s="48"/>
    </row>
    <row r="90" customFormat="false" ht="15" hidden="false" customHeight="false" outlineLevel="0" collapsed="false">
      <c r="B90" s="13" t="s">
        <v>285</v>
      </c>
      <c r="C90" s="13" t="s">
        <v>157</v>
      </c>
      <c r="D90" s="34" t="n">
        <f aca="false">SUMIFS('Daily Visit Register'!$L$6:$L$8129,'Daily Visit Register'!$D$6:$D$8129,"CL-002")</f>
        <v>663.3</v>
      </c>
      <c r="E90" s="34" t="n">
        <f aca="false">SUMIFS('Daily Visit Register'!$M$6:$M$8129,'Daily Visit Register'!$D$6:$D$8129,"CL-002")</f>
        <v>283.584669</v>
      </c>
      <c r="F90" s="35" t="n">
        <f aca="false">D90-E90</f>
        <v>379.715331</v>
      </c>
      <c r="G90" s="70" t="n">
        <f aca="false">IFERROR(F90/D90,0)</f>
        <v>0.572463939393939</v>
      </c>
      <c r="H90" s="48"/>
    </row>
    <row r="91" customFormat="false" ht="15" hidden="false" customHeight="false" outlineLevel="0" collapsed="false">
      <c r="B91" s="13" t="s">
        <v>287</v>
      </c>
      <c r="C91" s="13" t="s">
        <v>157</v>
      </c>
      <c r="D91" s="34" t="n">
        <f aca="false">SUMIFS('Daily Visit Register'!$L$6:$L$8129,'Daily Visit Register'!$D$6:$D$8129,"CL-003")</f>
        <v>3953.4</v>
      </c>
      <c r="E91" s="34" t="n">
        <f aca="false">SUMIFS('Daily Visit Register'!$M$6:$M$8129,'Daily Visit Register'!$D$6:$D$8129,"CL-003")</f>
        <v>1401.064594</v>
      </c>
      <c r="F91" s="35" t="n">
        <f aca="false">D91-E91</f>
        <v>2552.335406</v>
      </c>
      <c r="G91" s="70" t="n">
        <f aca="false">IFERROR(F91/D91,0)</f>
        <v>0.645605151515152</v>
      </c>
      <c r="H91" s="48"/>
    </row>
    <row r="92" customFormat="false" ht="15" hidden="false" customHeight="false" outlineLevel="0" collapsed="false">
      <c r="B92" s="13" t="s">
        <v>289</v>
      </c>
      <c r="C92" s="13" t="s">
        <v>156</v>
      </c>
      <c r="D92" s="34" t="n">
        <f aca="false">SUMIFS('Daily Visit Register'!$L$6:$L$8129,'Daily Visit Register'!$D$6:$D$8129,"CL-004")</f>
        <v>47988.28</v>
      </c>
      <c r="E92" s="34" t="n">
        <f aca="false">SUMIFS('Daily Visit Register'!$M$6:$M$8129,'Daily Visit Register'!$D$6:$D$8129,"CL-004")</f>
        <v>26129.154648</v>
      </c>
      <c r="F92" s="35" t="n">
        <f aca="false">D92-E92</f>
        <v>21859.125352</v>
      </c>
      <c r="G92" s="70" t="n">
        <f aca="false">IFERROR(F92/D92,0)</f>
        <v>0.455509665109898</v>
      </c>
      <c r="H92" s="48"/>
    </row>
    <row r="93" customFormat="false" ht="15" hidden="false" customHeight="false" outlineLevel="0" collapsed="false">
      <c r="B93" s="13" t="s">
        <v>292</v>
      </c>
      <c r="C93" s="13" t="s">
        <v>154</v>
      </c>
      <c r="D93" s="34" t="n">
        <f aca="false">SUMIFS('Daily Visit Register'!$L$6:$L$8129,'Daily Visit Register'!$D$6:$D$8129,"CL-005")</f>
        <v>19143.4675</v>
      </c>
      <c r="E93" s="34" t="n">
        <f aca="false">SUMIFS('Daily Visit Register'!$M$6:$M$8129,'Daily Visit Register'!$D$6:$D$8129,"CL-005")</f>
        <v>13293.908</v>
      </c>
      <c r="F93" s="35" t="n">
        <f aca="false">D93-E93</f>
        <v>5849.5595</v>
      </c>
      <c r="G93" s="70" t="n">
        <f aca="false">IFERROR(F93/D93,0)</f>
        <v>0.30556426102011</v>
      </c>
      <c r="H93" s="48"/>
    </row>
    <row r="94" customFormat="false" ht="15" hidden="false" customHeight="false" outlineLevel="0" collapsed="false">
      <c r="B94" s="13" t="s">
        <v>294</v>
      </c>
      <c r="C94" s="13" t="s">
        <v>157</v>
      </c>
      <c r="D94" s="34" t="n">
        <f aca="false">SUMIFS('Daily Visit Register'!$L$6:$L$8129,'Daily Visit Register'!$D$6:$D$8129,"CL-006")</f>
        <v>5514.465</v>
      </c>
      <c r="E94" s="34" t="n">
        <f aca="false">SUMIFS('Daily Visit Register'!$M$6:$M$8129,'Daily Visit Register'!$D$6:$D$8129,"CL-006")</f>
        <v>1853.9728935</v>
      </c>
      <c r="F94" s="35" t="n">
        <f aca="false">D94-E94</f>
        <v>3660.4921065</v>
      </c>
      <c r="G94" s="70" t="n">
        <f aca="false">IFERROR(F94/D94,0)</f>
        <v>0.663798230018687</v>
      </c>
      <c r="H94" s="48"/>
    </row>
    <row r="95" customFormat="false" ht="15" hidden="false" customHeight="false" outlineLevel="0" collapsed="false">
      <c r="B95" s="13" t="s">
        <v>296</v>
      </c>
      <c r="C95" s="13" t="s">
        <v>154</v>
      </c>
      <c r="D95" s="34" t="n">
        <f aca="false">SUMIFS('Daily Visit Register'!$L$6:$L$8129,'Daily Visit Register'!$D$6:$D$8129,"CL-007")</f>
        <v>6639.9195</v>
      </c>
      <c r="E95" s="34" t="n">
        <f aca="false">SUMIFS('Daily Visit Register'!$M$6:$M$8129,'Daily Visit Register'!$D$6:$D$8129,"CL-007")</f>
        <v>4519.4481635</v>
      </c>
      <c r="F95" s="35" t="n">
        <f aca="false">D95-E95</f>
        <v>2120.4713365</v>
      </c>
      <c r="G95" s="70" t="n">
        <f aca="false">IFERROR(F95/D95,0)</f>
        <v>0.319351964508003</v>
      </c>
      <c r="H95" s="48"/>
    </row>
    <row r="96" customFormat="false" ht="15" hidden="false" customHeight="false" outlineLevel="0" collapsed="false">
      <c r="B96" s="13" t="s">
        <v>298</v>
      </c>
      <c r="C96" s="13" t="s">
        <v>156</v>
      </c>
      <c r="D96" s="34" t="n">
        <f aca="false">SUMIFS('Daily Visit Register'!$L$6:$L$8129,'Daily Visit Register'!$D$6:$D$8129,"CL-008")</f>
        <v>10477.44</v>
      </c>
      <c r="E96" s="34" t="n">
        <f aca="false">SUMIFS('Daily Visit Register'!$M$6:$M$8129,'Daily Visit Register'!$D$6:$D$8129,"CL-008")</f>
        <v>5359.688208</v>
      </c>
      <c r="F96" s="35" t="n">
        <f aca="false">D96-E96</f>
        <v>5117.751792</v>
      </c>
      <c r="G96" s="70" t="n">
        <f aca="false">IFERROR(F96/D96,0)</f>
        <v>0.488454411764706</v>
      </c>
      <c r="H96" s="48"/>
    </row>
    <row r="97" customFormat="false" ht="15" hidden="false" customHeight="false" outlineLevel="0" collapsed="false">
      <c r="B97" s="13" t="s">
        <v>300</v>
      </c>
      <c r="C97" s="13" t="s">
        <v>154</v>
      </c>
      <c r="D97" s="34" t="n">
        <f aca="false">SUMIFS('Daily Visit Register'!$L$6:$L$8129,'Daily Visit Register'!$D$6:$D$8129,"CL-009")</f>
        <v>1325.636</v>
      </c>
      <c r="E97" s="34" t="n">
        <f aca="false">SUMIFS('Daily Visit Register'!$M$6:$M$8129,'Daily Visit Register'!$D$6:$D$8129,"CL-009")</f>
        <v>942.042338</v>
      </c>
      <c r="F97" s="35" t="n">
        <f aca="false">D97-E97</f>
        <v>383.593662</v>
      </c>
      <c r="G97" s="70" t="n">
        <f aca="false">IFERROR(F97/D97,0)</f>
        <v>0.289365755003636</v>
      </c>
      <c r="H97" s="48"/>
    </row>
    <row r="98" customFormat="false" ht="15" hidden="false" customHeight="false" outlineLevel="0" collapsed="false">
      <c r="B98" s="13" t="s">
        <v>302</v>
      </c>
      <c r="C98" s="13" t="s">
        <v>157</v>
      </c>
      <c r="D98" s="34" t="n">
        <f aca="false">SUMIFS('Daily Visit Register'!$L$6:$L$8129,'Daily Visit Register'!$D$6:$D$8129,"CL-010")</f>
        <v>16796.01</v>
      </c>
      <c r="E98" s="34" t="n">
        <f aca="false">SUMIFS('Daily Visit Register'!$M$6:$M$8129,'Daily Visit Register'!$D$6:$D$8129,"CL-010")</f>
        <v>8618.68293</v>
      </c>
      <c r="F98" s="35" t="n">
        <f aca="false">D98-E98</f>
        <v>8177.32707</v>
      </c>
      <c r="G98" s="70" t="n">
        <f aca="false">IFERROR(F98/D98,0)</f>
        <v>0.486861288484587</v>
      </c>
      <c r="H98" s="48"/>
    </row>
    <row r="99" customFormat="false" ht="15" hidden="false" customHeight="false" outlineLevel="0" collapsed="false">
      <c r="B99" s="13" t="s">
        <v>304</v>
      </c>
      <c r="C99" s="13" t="s">
        <v>154</v>
      </c>
      <c r="D99" s="34" t="n">
        <f aca="false">SUMIFS('Daily Visit Register'!$L$6:$L$8129,'Daily Visit Register'!$D$6:$D$8129,"CL-011")</f>
        <v>2512.2</v>
      </c>
      <c r="E99" s="34" t="n">
        <f aca="false">SUMIFS('Daily Visit Register'!$M$6:$M$8129,'Daily Visit Register'!$D$6:$D$8129,"CL-011")</f>
        <v>1845.406576</v>
      </c>
      <c r="F99" s="35" t="n">
        <f aca="false">D99-E99</f>
        <v>666.793424</v>
      </c>
      <c r="G99" s="70" t="n">
        <f aca="false">IFERROR(F99/D99,0)</f>
        <v>0.265422109704641</v>
      </c>
      <c r="H99" s="48"/>
    </row>
    <row r="100" customFormat="false" ht="15" hidden="false" customHeight="false" outlineLevel="0" collapsed="false">
      <c r="B100" s="13" t="s">
        <v>306</v>
      </c>
      <c r="C100" s="13" t="s">
        <v>154</v>
      </c>
      <c r="D100" s="34" t="n">
        <f aca="false">SUMIFS('Daily Visit Register'!$L$6:$L$8129,'Daily Visit Register'!$D$6:$D$8129,"CL-012")</f>
        <v>16349.864</v>
      </c>
      <c r="E100" s="34" t="n">
        <f aca="false">SUMIFS('Daily Visit Register'!$M$6:$M$8129,'Daily Visit Register'!$D$6:$D$8129,"CL-012")</f>
        <v>11615.275254</v>
      </c>
      <c r="F100" s="35" t="n">
        <f aca="false">D100-E100</f>
        <v>4734.588746</v>
      </c>
      <c r="G100" s="70" t="n">
        <f aca="false">IFERROR(F100/D100,0)</f>
        <v>0.289579702069693</v>
      </c>
      <c r="H100" s="48"/>
    </row>
    <row r="101" customFormat="false" ht="15" hidden="false" customHeight="false" outlineLevel="0" collapsed="false">
      <c r="B101" s="13" t="s">
        <v>308</v>
      </c>
      <c r="C101" s="13" t="s">
        <v>157</v>
      </c>
      <c r="D101" s="34" t="n">
        <f aca="false">SUMIFS('Daily Visit Register'!$L$6:$L$8129,'Daily Visit Register'!$D$6:$D$8129,"CL-013")</f>
        <v>19363.74</v>
      </c>
      <c r="E101" s="34" t="n">
        <f aca="false">SUMIFS('Daily Visit Register'!$M$6:$M$8129,'Daily Visit Register'!$D$6:$D$8129,"CL-013")</f>
        <v>7524.441925</v>
      </c>
      <c r="F101" s="35" t="n">
        <f aca="false">D101-E101</f>
        <v>11839.298075</v>
      </c>
      <c r="G101" s="70" t="n">
        <f aca="false">IFERROR(F101/D101,0)</f>
        <v>0.61141587704648</v>
      </c>
      <c r="H101" s="48"/>
    </row>
    <row r="102" customFormat="false" ht="15" hidden="false" customHeight="false" outlineLevel="0" collapsed="false">
      <c r="B102" s="13" t="s">
        <v>310</v>
      </c>
      <c r="C102" s="13" t="s">
        <v>159</v>
      </c>
      <c r="D102" s="34" t="n">
        <f aca="false">SUMIFS('Daily Visit Register'!$L$6:$L$8129,'Daily Visit Register'!$D$6:$D$8129,"CL-014")</f>
        <v>20552.535</v>
      </c>
      <c r="E102" s="34" t="n">
        <f aca="false">SUMIFS('Daily Visit Register'!$M$6:$M$8129,'Daily Visit Register'!$D$6:$D$8129,"CL-014")</f>
        <v>10122.310212</v>
      </c>
      <c r="F102" s="35" t="n">
        <f aca="false">D102-E102</f>
        <v>10430.224788</v>
      </c>
      <c r="G102" s="70" t="n">
        <f aca="false">IFERROR(F102/D102,0)</f>
        <v>0.507490914770368</v>
      </c>
      <c r="H102" s="48"/>
    </row>
    <row r="103" customFormat="false" ht="15" hidden="false" customHeight="false" outlineLevel="0" collapsed="false">
      <c r="B103" s="13" t="s">
        <v>312</v>
      </c>
      <c r="C103" s="13" t="s">
        <v>154</v>
      </c>
      <c r="D103" s="34" t="n">
        <f aca="false">SUMIFS('Daily Visit Register'!$L$6:$L$8129,'Daily Visit Register'!$D$6:$D$8129,"CL-015")</f>
        <v>8090.4765</v>
      </c>
      <c r="E103" s="34" t="n">
        <f aca="false">SUMIFS('Daily Visit Register'!$M$6:$M$8129,'Daily Visit Register'!$D$6:$D$8129,"CL-015")</f>
        <v>5294.43649</v>
      </c>
      <c r="F103" s="35" t="n">
        <f aca="false">D103-E103</f>
        <v>2796.04001</v>
      </c>
      <c r="G103" s="70" t="n">
        <f aca="false">IFERROR(F103/D103,0)</f>
        <v>0.34559645652515</v>
      </c>
      <c r="H103" s="48"/>
    </row>
    <row r="104" customFormat="false" ht="15" hidden="false" customHeight="false" outlineLevel="0" collapsed="false">
      <c r="B104" s="13" t="s">
        <v>314</v>
      </c>
      <c r="C104" s="13" t="s">
        <v>156</v>
      </c>
      <c r="D104" s="34" t="n">
        <f aca="false">SUMIFS('Daily Visit Register'!$L$6:$L$8129,'Daily Visit Register'!$D$6:$D$8129,"CL-016")</f>
        <v>34263.5</v>
      </c>
      <c r="E104" s="34" t="n">
        <f aca="false">SUMIFS('Daily Visit Register'!$M$6:$M$8129,'Daily Visit Register'!$D$6:$D$8129,"CL-016")</f>
        <v>20008.170825</v>
      </c>
      <c r="F104" s="35" t="n">
        <f aca="false">D104-E104</f>
        <v>14255.329175</v>
      </c>
      <c r="G104" s="70" t="n">
        <f aca="false">IFERROR(F104/D104,0)</f>
        <v>0.41605</v>
      </c>
      <c r="H104" s="48"/>
    </row>
    <row r="105" customFormat="false" ht="15" hidden="false" customHeight="false" outlineLevel="0" collapsed="false">
      <c r="B105" s="13" t="s">
        <v>316</v>
      </c>
      <c r="C105" s="13" t="s">
        <v>159</v>
      </c>
      <c r="D105" s="34" t="n">
        <f aca="false">SUMIFS('Daily Visit Register'!$L$6:$L$8129,'Daily Visit Register'!$D$6:$D$8129,"CL-017")</f>
        <v>8434.8</v>
      </c>
      <c r="E105" s="34" t="n">
        <f aca="false">SUMIFS('Daily Visit Register'!$M$6:$M$8129,'Daily Visit Register'!$D$6:$D$8129,"CL-017")</f>
        <v>4475.616533</v>
      </c>
      <c r="F105" s="35" t="n">
        <f aca="false">D105-E105</f>
        <v>3959.183467</v>
      </c>
      <c r="G105" s="70" t="n">
        <f aca="false">IFERROR(F105/D105,0)</f>
        <v>0.469386762815953</v>
      </c>
      <c r="H105" s="48"/>
    </row>
    <row r="106" customFormat="false" ht="15" hidden="false" customHeight="false" outlineLevel="0" collapsed="false">
      <c r="B106" s="13" t="s">
        <v>318</v>
      </c>
      <c r="C106" s="13" t="s">
        <v>156</v>
      </c>
      <c r="D106" s="34" t="n">
        <f aca="false">SUMIFS('Daily Visit Register'!$L$6:$L$8129,'Daily Visit Register'!$D$6:$D$8129,"CL-018")</f>
        <v>10439.02</v>
      </c>
      <c r="E106" s="34" t="n">
        <f aca="false">SUMIFS('Daily Visit Register'!$M$6:$M$8129,'Daily Visit Register'!$D$6:$D$8129,"CL-018")</f>
        <v>5804.691084</v>
      </c>
      <c r="F106" s="35" t="n">
        <f aca="false">D106-E106</f>
        <v>4634.328916</v>
      </c>
      <c r="G106" s="70" t="n">
        <f aca="false">IFERROR(F106/D106,0)</f>
        <v>0.443942909966644</v>
      </c>
      <c r="H106" s="48"/>
    </row>
    <row r="107" customFormat="false" ht="15" hidden="false" customHeight="false" outlineLevel="0" collapsed="false">
      <c r="B107" s="13" t="s">
        <v>320</v>
      </c>
      <c r="C107" s="13" t="s">
        <v>157</v>
      </c>
      <c r="D107" s="34" t="n">
        <f aca="false">SUMIFS('Daily Visit Register'!$L$6:$L$8129,'Daily Visit Register'!$D$6:$D$8129,"CL-019")</f>
        <v>16664.175</v>
      </c>
      <c r="E107" s="34" t="n">
        <f aca="false">SUMIFS('Daily Visit Register'!$M$6:$M$8129,'Daily Visit Register'!$D$6:$D$8129,"CL-019")</f>
        <v>10418.2793155</v>
      </c>
      <c r="F107" s="35" t="n">
        <f aca="false">D107-E107</f>
        <v>6245.8956845</v>
      </c>
      <c r="G107" s="70" t="n">
        <f aca="false">IFERROR(F107/D107,0)</f>
        <v>0.374809775131382</v>
      </c>
      <c r="H107" s="48"/>
    </row>
    <row r="108" customFormat="false" ht="15" hidden="false" customHeight="false" outlineLevel="0" collapsed="false">
      <c r="B108" s="13" t="s">
        <v>322</v>
      </c>
      <c r="C108" s="13" t="s">
        <v>154</v>
      </c>
      <c r="D108" s="34" t="n">
        <f aca="false">SUMIFS('Daily Visit Register'!$L$6:$L$8129,'Daily Visit Register'!$D$6:$D$8129,"CL-020")</f>
        <v>37182.415</v>
      </c>
      <c r="E108" s="34" t="n">
        <f aca="false">SUMIFS('Daily Visit Register'!$M$6:$M$8129,'Daily Visit Register'!$D$6:$D$8129,"CL-020")</f>
        <v>26122.9300845</v>
      </c>
      <c r="F108" s="35" t="n">
        <f aca="false">D108-E108</f>
        <v>11059.4849155</v>
      </c>
      <c r="G108" s="70" t="n">
        <f aca="false">IFERROR(F108/D108,0)</f>
        <v>0.297438585296302</v>
      </c>
      <c r="H108" s="48"/>
    </row>
    <row r="109" customFormat="false" ht="15" hidden="false" customHeight="false" outlineLevel="0" collapsed="false">
      <c r="B109" s="13" t="s">
        <v>324</v>
      </c>
      <c r="C109" s="13" t="s">
        <v>159</v>
      </c>
      <c r="D109" s="34" t="n">
        <f aca="false">SUMIFS('Daily Visit Register'!$L$6:$L$8129,'Daily Visit Register'!$D$6:$D$8129,"CL-021")</f>
        <v>13482.045</v>
      </c>
      <c r="E109" s="34" t="n">
        <f aca="false">SUMIFS('Daily Visit Register'!$M$6:$M$8129,'Daily Visit Register'!$D$6:$D$8129,"CL-021")</f>
        <v>8249.3889425</v>
      </c>
      <c r="F109" s="35" t="n">
        <f aca="false">D109-E109</f>
        <v>5232.6560575</v>
      </c>
      <c r="G109" s="70" t="n">
        <f aca="false">IFERROR(F109/D109,0)</f>
        <v>0.388120352476201</v>
      </c>
      <c r="H109" s="48"/>
    </row>
    <row r="110" customFormat="false" ht="15" hidden="false" customHeight="false" outlineLevel="0" collapsed="false">
      <c r="B110" s="13" t="s">
        <v>326</v>
      </c>
      <c r="C110" s="13" t="s">
        <v>154</v>
      </c>
      <c r="D110" s="34" t="n">
        <f aca="false">SUMIFS('Daily Visit Register'!$L$6:$L$8129,'Daily Visit Register'!$D$6:$D$8129,"CL-022")</f>
        <v>8011.162</v>
      </c>
      <c r="E110" s="34" t="n">
        <f aca="false">SUMIFS('Daily Visit Register'!$M$6:$M$8129,'Daily Visit Register'!$D$6:$D$8129,"CL-022")</f>
        <v>5724.872905</v>
      </c>
      <c r="F110" s="35" t="n">
        <f aca="false">D110-E110</f>
        <v>2286.289095</v>
      </c>
      <c r="G110" s="70" t="n">
        <f aca="false">IFERROR(F110/D110,0)</f>
        <v>0.285387949338685</v>
      </c>
      <c r="H110" s="48"/>
    </row>
    <row r="111" customFormat="false" ht="15" hidden="false" customHeight="false" outlineLevel="0" collapsed="false">
      <c r="B111" s="13" t="s">
        <v>328</v>
      </c>
      <c r="C111" s="13" t="s">
        <v>157</v>
      </c>
      <c r="D111" s="34" t="n">
        <f aca="false">SUMIFS('Daily Visit Register'!$L$6:$L$8129,'Daily Visit Register'!$D$6:$D$8129,"CL-023")</f>
        <v>16733.805</v>
      </c>
      <c r="E111" s="34" t="n">
        <f aca="false">SUMIFS('Daily Visit Register'!$M$6:$M$8129,'Daily Visit Register'!$D$6:$D$8129,"CL-023")</f>
        <v>5979.668839</v>
      </c>
      <c r="F111" s="35" t="n">
        <f aca="false">D111-E111</f>
        <v>10754.136161</v>
      </c>
      <c r="G111" s="70" t="n">
        <f aca="false">IFERROR(F111/D111,0)</f>
        <v>0.642659345020454</v>
      </c>
      <c r="H111" s="48"/>
    </row>
    <row r="112" customFormat="false" ht="15" hidden="false" customHeight="false" outlineLevel="0" collapsed="false">
      <c r="B112" s="13" t="s">
        <v>330</v>
      </c>
      <c r="C112" s="13" t="s">
        <v>156</v>
      </c>
      <c r="D112" s="34" t="n">
        <f aca="false">SUMIFS('Daily Visit Register'!$L$6:$L$8129,'Daily Visit Register'!$D$6:$D$8129,"CL-024")</f>
        <v>34106.76</v>
      </c>
      <c r="E112" s="34" t="n">
        <f aca="false">SUMIFS('Daily Visit Register'!$M$6:$M$8129,'Daily Visit Register'!$D$6:$D$8129,"CL-024")</f>
        <v>18871.420779</v>
      </c>
      <c r="F112" s="35" t="n">
        <f aca="false">D112-E112</f>
        <v>15235.339221</v>
      </c>
      <c r="G112" s="70" t="n">
        <f aca="false">IFERROR(F112/D112,0)</f>
        <v>0.446695588235294</v>
      </c>
      <c r="H112" s="48"/>
    </row>
    <row r="113" customFormat="false" ht="15" hidden="false" customHeight="false" outlineLevel="0" collapsed="false">
      <c r="B113" s="13" t="s">
        <v>332</v>
      </c>
      <c r="C113" s="13" t="s">
        <v>156</v>
      </c>
      <c r="D113" s="34" t="n">
        <f aca="false">SUMIFS('Daily Visit Register'!$L$6:$L$8129,'Daily Visit Register'!$D$6:$D$8129,"CL-025")</f>
        <v>12173.02</v>
      </c>
      <c r="E113" s="34" t="n">
        <f aca="false">SUMIFS('Daily Visit Register'!$M$6:$M$8129,'Daily Visit Register'!$D$6:$D$8129,"CL-025")</f>
        <v>6120.4691455</v>
      </c>
      <c r="F113" s="35" t="n">
        <f aca="false">D113-E113</f>
        <v>6052.5508545</v>
      </c>
      <c r="G113" s="70" t="n">
        <f aca="false">IFERROR(F113/D113,0)</f>
        <v>0.497210294117647</v>
      </c>
      <c r="H113" s="48"/>
    </row>
    <row r="114" customFormat="false" ht="15" hidden="false" customHeight="false" outlineLevel="0" collapsed="false">
      <c r="B114" s="13" t="s">
        <v>334</v>
      </c>
      <c r="C114" s="13" t="s">
        <v>154</v>
      </c>
      <c r="D114" s="34" t="n">
        <f aca="false">SUMIFS('Daily Visit Register'!$L$6:$L$8129,'Daily Visit Register'!$D$6:$D$8129,"CL-026")</f>
        <v>3587.7025</v>
      </c>
      <c r="E114" s="34" t="n">
        <f aca="false">SUMIFS('Daily Visit Register'!$M$6:$M$8129,'Daily Visit Register'!$D$6:$D$8129,"CL-026")</f>
        <v>2406.427264</v>
      </c>
      <c r="F114" s="35" t="n">
        <f aca="false">D114-E114</f>
        <v>1181.275236</v>
      </c>
      <c r="G114" s="70" t="n">
        <f aca="false">IFERROR(F114/D114,0)</f>
        <v>0.329256741884256</v>
      </c>
      <c r="H114" s="48"/>
    </row>
    <row r="115" customFormat="false" ht="15" hidden="false" customHeight="false" outlineLevel="0" collapsed="false">
      <c r="B115" s="13" t="s">
        <v>336</v>
      </c>
      <c r="C115" s="13" t="s">
        <v>154</v>
      </c>
      <c r="D115" s="34" t="n">
        <f aca="false">SUMIFS('Daily Visit Register'!$L$6:$L$8129,'Daily Visit Register'!$D$6:$D$8129,"CL-027")</f>
        <v>16006.424</v>
      </c>
      <c r="E115" s="34" t="n">
        <f aca="false">SUMIFS('Daily Visit Register'!$M$6:$M$8129,'Daily Visit Register'!$D$6:$D$8129,"CL-027")</f>
        <v>10115.083888</v>
      </c>
      <c r="F115" s="35" t="n">
        <f aca="false">D115-E115</f>
        <v>5891.340112</v>
      </c>
      <c r="G115" s="70" t="n">
        <f aca="false">IFERROR(F115/D115,0)</f>
        <v>0.368060980516323</v>
      </c>
      <c r="H115" s="48"/>
    </row>
    <row r="116" customFormat="false" ht="15" hidden="false" customHeight="false" outlineLevel="0" collapsed="false">
      <c r="B116" s="13" t="s">
        <v>338</v>
      </c>
      <c r="C116" s="13" t="s">
        <v>154</v>
      </c>
      <c r="D116" s="34" t="n">
        <f aca="false">SUMIFS('Daily Visit Register'!$L$6:$L$8129,'Daily Visit Register'!$D$6:$D$8129,"CL-028")</f>
        <v>5087.9735</v>
      </c>
      <c r="E116" s="34" t="n">
        <f aca="false">SUMIFS('Daily Visit Register'!$M$6:$M$8129,'Daily Visit Register'!$D$6:$D$8129,"CL-028")</f>
        <v>3569.8096665</v>
      </c>
      <c r="F116" s="35" t="n">
        <f aca="false">D116-E116</f>
        <v>1518.1638335</v>
      </c>
      <c r="G116" s="70" t="n">
        <f aca="false">IFERROR(F116/D116,0)</f>
        <v>0.298382810661258</v>
      </c>
      <c r="H116" s="48"/>
    </row>
    <row r="117" customFormat="false" ht="15" hidden="false" customHeight="false" outlineLevel="0" collapsed="false">
      <c r="B117" s="13" t="s">
        <v>340</v>
      </c>
      <c r="C117" s="13" t="s">
        <v>154</v>
      </c>
      <c r="D117" s="34" t="n">
        <f aca="false">SUMIFS('Daily Visit Register'!$L$6:$L$8129,'Daily Visit Register'!$D$6:$D$8129,"CL-029")</f>
        <v>13578.3615</v>
      </c>
      <c r="E117" s="34" t="n">
        <f aca="false">SUMIFS('Daily Visit Register'!$M$6:$M$8129,'Daily Visit Register'!$D$6:$D$8129,"CL-029")</f>
        <v>10586.006816</v>
      </c>
      <c r="F117" s="35" t="n">
        <f aca="false">D117-E117</f>
        <v>2992.354684</v>
      </c>
      <c r="G117" s="70" t="n">
        <f aca="false">IFERROR(F117/D117,0)</f>
        <v>0.220376713641038</v>
      </c>
      <c r="H117" s="48"/>
    </row>
    <row r="118" customFormat="false" ht="15" hidden="false" customHeight="false" outlineLevel="0" collapsed="false">
      <c r="B118" s="13" t="s">
        <v>342</v>
      </c>
      <c r="C118" s="13" t="s">
        <v>156</v>
      </c>
      <c r="D118" s="34" t="n">
        <f aca="false">SUMIFS('Daily Visit Register'!$L$6:$L$8129,'Daily Visit Register'!$D$6:$D$8129,"CL-030")</f>
        <v>10467.24</v>
      </c>
      <c r="E118" s="34" t="n">
        <f aca="false">SUMIFS('Daily Visit Register'!$M$6:$M$8129,'Daily Visit Register'!$D$6:$D$8129,"CL-030")</f>
        <v>6288.594648</v>
      </c>
      <c r="F118" s="35" t="n">
        <f aca="false">D118-E118</f>
        <v>4178.645352</v>
      </c>
      <c r="G118" s="70" t="n">
        <f aca="false">IFERROR(F118/D118,0)</f>
        <v>0.399211764705882</v>
      </c>
      <c r="H118" s="48"/>
    </row>
    <row r="119" customFormat="false" ht="15" hidden="false" customHeight="false" outlineLevel="0" collapsed="false">
      <c r="B119" s="13" t="s">
        <v>344</v>
      </c>
      <c r="C119" s="13" t="s">
        <v>154</v>
      </c>
      <c r="D119" s="34" t="n">
        <f aca="false">SUMIFS('Daily Visit Register'!$L$6:$L$8129,'Daily Visit Register'!$D$6:$D$8129,"CL-031")</f>
        <v>10670.4105</v>
      </c>
      <c r="E119" s="34" t="n">
        <f aca="false">SUMIFS('Daily Visit Register'!$M$6:$M$8129,'Daily Visit Register'!$D$6:$D$8129,"CL-031")</f>
        <v>7483.911902</v>
      </c>
      <c r="F119" s="35" t="n">
        <f aca="false">D119-E119</f>
        <v>3186.498598</v>
      </c>
      <c r="G119" s="70" t="n">
        <f aca="false">IFERROR(F119/D119,0)</f>
        <v>0.298629429298901</v>
      </c>
      <c r="H119" s="48"/>
    </row>
    <row r="120" customFormat="false" ht="15" hidden="false" customHeight="false" outlineLevel="0" collapsed="false">
      <c r="B120" s="13" t="s">
        <v>346</v>
      </c>
      <c r="C120" s="13" t="s">
        <v>159</v>
      </c>
      <c r="D120" s="34" t="n">
        <f aca="false">SUMIFS('Daily Visit Register'!$L$6:$L$8129,'Daily Visit Register'!$D$6:$D$8129,"CL-032")</f>
        <v>378.135</v>
      </c>
      <c r="E120" s="34" t="n">
        <f aca="false">SUMIFS('Daily Visit Register'!$M$6:$M$8129,'Daily Visit Register'!$D$6:$D$8129,"CL-032")</f>
        <v>160.298397</v>
      </c>
      <c r="F120" s="35" t="n">
        <f aca="false">D120-E120</f>
        <v>217.836603</v>
      </c>
      <c r="G120" s="70" t="n">
        <f aca="false">IFERROR(F120/D120,0)</f>
        <v>0.576081566107343</v>
      </c>
      <c r="H120" s="48"/>
    </row>
    <row r="121" customFormat="false" ht="15" hidden="false" customHeight="false" outlineLevel="0" collapsed="false">
      <c r="B121" s="13" t="s">
        <v>348</v>
      </c>
      <c r="C121" s="13" t="s">
        <v>154</v>
      </c>
      <c r="D121" s="34" t="n">
        <f aca="false">SUMIFS('Daily Visit Register'!$L$6:$L$8129,'Daily Visit Register'!$D$6:$D$8129,"CL-033")</f>
        <v>7005.434</v>
      </c>
      <c r="E121" s="34" t="n">
        <f aca="false">SUMIFS('Daily Visit Register'!$M$6:$M$8129,'Daily Visit Register'!$D$6:$D$8129,"CL-033")</f>
        <v>4828.7048775</v>
      </c>
      <c r="F121" s="35" t="n">
        <f aca="false">D121-E121</f>
        <v>2176.7291225</v>
      </c>
      <c r="G121" s="70" t="n">
        <f aca="false">IFERROR(F121/D121,0)</f>
        <v>0.310720095642897</v>
      </c>
      <c r="H121" s="48"/>
    </row>
    <row r="122" customFormat="false" ht="15" hidden="false" customHeight="false" outlineLevel="0" collapsed="false">
      <c r="B122" s="13" t="s">
        <v>350</v>
      </c>
      <c r="C122" s="13" t="s">
        <v>154</v>
      </c>
      <c r="D122" s="34" t="n">
        <f aca="false">SUMIFS('Daily Visit Register'!$L$6:$L$8129,'Daily Visit Register'!$D$6:$D$8129,"CL-034")</f>
        <v>8489.8315</v>
      </c>
      <c r="E122" s="34" t="n">
        <f aca="false">SUMIFS('Daily Visit Register'!$M$6:$M$8129,'Daily Visit Register'!$D$6:$D$8129,"CL-034")</f>
        <v>6043.3920965</v>
      </c>
      <c r="F122" s="35" t="n">
        <f aca="false">D122-E122</f>
        <v>2446.4394035</v>
      </c>
      <c r="G122" s="70" t="n">
        <f aca="false">IFERROR(F122/D122,0)</f>
        <v>0.288161125871579</v>
      </c>
      <c r="H122" s="48"/>
    </row>
    <row r="123" customFormat="false" ht="15" hidden="false" customHeight="false" outlineLevel="0" collapsed="false">
      <c r="B123" s="13" t="s">
        <v>352</v>
      </c>
      <c r="C123" s="13" t="s">
        <v>154</v>
      </c>
      <c r="D123" s="34" t="n">
        <f aca="false">SUMIFS('Daily Visit Register'!$L$6:$L$8129,'Daily Visit Register'!$D$6:$D$8129,"CL-035")</f>
        <v>5849.716</v>
      </c>
      <c r="E123" s="34" t="n">
        <f aca="false">SUMIFS('Daily Visit Register'!$M$6:$M$8129,'Daily Visit Register'!$D$6:$D$8129,"CL-035")</f>
        <v>3856.624037</v>
      </c>
      <c r="F123" s="35" t="n">
        <f aca="false">D123-E123</f>
        <v>1993.091963</v>
      </c>
      <c r="G123" s="70" t="n">
        <f aca="false">IFERROR(F123/D123,0)</f>
        <v>0.340716021598314</v>
      </c>
      <c r="H123" s="48"/>
    </row>
    <row r="124" customFormat="false" ht="15" hidden="false" customHeight="false" outlineLevel="0" collapsed="false">
      <c r="B124" s="13" t="s">
        <v>354</v>
      </c>
      <c r="C124" s="13" t="s">
        <v>154</v>
      </c>
      <c r="D124" s="34" t="n">
        <f aca="false">SUMIFS('Daily Visit Register'!$L$6:$L$8129,'Daily Visit Register'!$D$6:$D$8129,"CL-036")</f>
        <v>13416.4995</v>
      </c>
      <c r="E124" s="34" t="n">
        <f aca="false">SUMIFS('Daily Visit Register'!$M$6:$M$8129,'Daily Visit Register'!$D$6:$D$8129,"CL-036")</f>
        <v>9961.462215</v>
      </c>
      <c r="F124" s="35" t="n">
        <f aca="false">D124-E124</f>
        <v>3455.037285</v>
      </c>
      <c r="G124" s="70" t="n">
        <f aca="false">IFERROR(F124/D124,0)</f>
        <v>0.257521515578635</v>
      </c>
      <c r="H124" s="48"/>
    </row>
    <row r="125" customFormat="false" ht="15" hidden="false" customHeight="false" outlineLevel="0" collapsed="false">
      <c r="B125" s="13" t="s">
        <v>356</v>
      </c>
      <c r="C125" s="13" t="s">
        <v>154</v>
      </c>
      <c r="D125" s="34" t="n">
        <f aca="false">SUMIFS('Daily Visit Register'!$L$6:$L$8129,'Daily Visit Register'!$D$6:$D$8129,"CL-037")</f>
        <v>13654.9995</v>
      </c>
      <c r="E125" s="34" t="n">
        <f aca="false">SUMIFS('Daily Visit Register'!$M$6:$M$8129,'Daily Visit Register'!$D$6:$D$8129,"CL-037")</f>
        <v>9016.993622</v>
      </c>
      <c r="F125" s="35" t="n">
        <f aca="false">D125-E125</f>
        <v>4638.005878</v>
      </c>
      <c r="G125" s="70" t="n">
        <f aca="false">IFERROR(F125/D125,0)</f>
        <v>0.339656246636992</v>
      </c>
      <c r="H125" s="48"/>
    </row>
    <row r="126" customFormat="false" ht="15" hidden="false" customHeight="false" outlineLevel="0" collapsed="false">
      <c r="B126" s="13" t="s">
        <v>358</v>
      </c>
      <c r="C126" s="13" t="s">
        <v>154</v>
      </c>
      <c r="D126" s="34" t="n">
        <f aca="false">SUMIFS('Daily Visit Register'!$L$6:$L$8129,'Daily Visit Register'!$D$6:$D$8129,"CL-038")</f>
        <v>13873.6245</v>
      </c>
      <c r="E126" s="34" t="n">
        <f aca="false">SUMIFS('Daily Visit Register'!$M$6:$M$8129,'Daily Visit Register'!$D$6:$D$8129,"CL-038")</f>
        <v>9962.3987105</v>
      </c>
      <c r="F126" s="35" t="n">
        <f aca="false">D126-E126</f>
        <v>3911.2257895</v>
      </c>
      <c r="G126" s="70" t="n">
        <f aca="false">IFERROR(F126/D126,0)</f>
        <v>0.281918094979434</v>
      </c>
      <c r="H126" s="48"/>
    </row>
    <row r="127" customFormat="false" ht="15" hidden="false" customHeight="false" outlineLevel="0" collapsed="false">
      <c r="B127" s="13" t="s">
        <v>360</v>
      </c>
      <c r="C127" s="13" t="s">
        <v>156</v>
      </c>
      <c r="D127" s="34" t="n">
        <f aca="false">SUMIFS('Daily Visit Register'!$L$6:$L$8129,'Daily Visit Register'!$D$6:$D$8129,"CL-039")</f>
        <v>48043.7</v>
      </c>
      <c r="E127" s="34" t="n">
        <f aca="false">SUMIFS('Daily Visit Register'!$M$6:$M$8129,'Daily Visit Register'!$D$6:$D$8129,"CL-039")</f>
        <v>26631.522482</v>
      </c>
      <c r="F127" s="35" t="n">
        <f aca="false">D127-E127</f>
        <v>21412.177518</v>
      </c>
      <c r="G127" s="70" t="n">
        <f aca="false">IFERROR(F127/D127,0)</f>
        <v>0.445681275963342</v>
      </c>
      <c r="H127" s="48"/>
    </row>
    <row r="128" customFormat="false" ht="15" hidden="false" customHeight="false" outlineLevel="0" collapsed="false">
      <c r="B128" s="13" t="s">
        <v>362</v>
      </c>
      <c r="C128" s="13" t="s">
        <v>157</v>
      </c>
      <c r="D128" s="34" t="n">
        <f aca="false">SUMIFS('Daily Visit Register'!$L$6:$L$8129,'Daily Visit Register'!$D$6:$D$8129,"CL-040")</f>
        <v>16390.77</v>
      </c>
      <c r="E128" s="34" t="n">
        <f aca="false">SUMIFS('Daily Visit Register'!$M$6:$M$8129,'Daily Visit Register'!$D$6:$D$8129,"CL-040")</f>
        <v>8409.745162</v>
      </c>
      <c r="F128" s="35" t="n">
        <f aca="false">D128-E128</f>
        <v>7981.024838</v>
      </c>
      <c r="G128" s="70" t="n">
        <f aca="false">IFERROR(F128/D128,0)</f>
        <v>0.48692189799503</v>
      </c>
      <c r="H128" s="48"/>
    </row>
    <row r="129" customFormat="false" ht="15" hidden="false" customHeight="false" outlineLevel="0" collapsed="false">
      <c r="B129" s="13" t="s">
        <v>364</v>
      </c>
      <c r="C129" s="13" t="s">
        <v>156</v>
      </c>
      <c r="D129" s="34" t="n">
        <f aca="false">SUMIFS('Daily Visit Register'!$L$6:$L$8129,'Daily Visit Register'!$D$6:$D$8129,"CL-041")</f>
        <v>13984.2</v>
      </c>
      <c r="E129" s="34" t="n">
        <f aca="false">SUMIFS('Daily Visit Register'!$M$6:$M$8129,'Daily Visit Register'!$D$6:$D$8129,"CL-041")</f>
        <v>7761.06648</v>
      </c>
      <c r="F129" s="35" t="n">
        <f aca="false">D129-E129</f>
        <v>6223.13352</v>
      </c>
      <c r="G129" s="70" t="n">
        <f aca="false">IFERROR(F129/D129,0)</f>
        <v>0.445011764705882</v>
      </c>
      <c r="H129" s="48"/>
    </row>
    <row r="130" customFormat="false" ht="15" hidden="false" customHeight="false" outlineLevel="0" collapsed="false">
      <c r="B130" s="13" t="s">
        <v>366</v>
      </c>
      <c r="C130" s="13" t="s">
        <v>154</v>
      </c>
      <c r="D130" s="34" t="n">
        <f aca="false">SUMIFS('Daily Visit Register'!$L$6:$L$8129,'Daily Visit Register'!$D$6:$D$8129,"CL-042")</f>
        <v>18726.066</v>
      </c>
      <c r="E130" s="34" t="n">
        <f aca="false">SUMIFS('Daily Visit Register'!$M$6:$M$8129,'Daily Visit Register'!$D$6:$D$8129,"CL-042")</f>
        <v>12998.2232</v>
      </c>
      <c r="F130" s="35" t="n">
        <f aca="false">D130-E130</f>
        <v>5727.8428</v>
      </c>
      <c r="G130" s="70" t="n">
        <f aca="false">IFERROR(F130/D130,0)</f>
        <v>0.305875393155188</v>
      </c>
      <c r="H130" s="48"/>
    </row>
    <row r="131" customFormat="false" ht="15" hidden="false" customHeight="false" outlineLevel="0" collapsed="false">
      <c r="B131" s="13" t="s">
        <v>368</v>
      </c>
      <c r="C131" s="13" t="s">
        <v>156</v>
      </c>
      <c r="D131" s="34" t="n">
        <f aca="false">SUMIFS('Daily Visit Register'!$L$6:$L$8129,'Daily Visit Register'!$D$6:$D$8129,"CL-043")</f>
        <v>1118.94</v>
      </c>
      <c r="E131" s="34" t="n">
        <f aca="false">SUMIFS('Daily Visit Register'!$M$6:$M$8129,'Daily Visit Register'!$D$6:$D$8129,"CL-043")</f>
        <v>588.9688785</v>
      </c>
      <c r="F131" s="35" t="n">
        <f aca="false">D131-E131</f>
        <v>529.9711215</v>
      </c>
      <c r="G131" s="70" t="n">
        <f aca="false">IFERROR(F131/D131,0)</f>
        <v>0.473636764705882</v>
      </c>
      <c r="H131" s="48"/>
    </row>
    <row r="132" customFormat="false" ht="15" hidden="false" customHeight="false" outlineLevel="0" collapsed="false">
      <c r="B132" s="13" t="s">
        <v>370</v>
      </c>
      <c r="C132" s="13" t="s">
        <v>159</v>
      </c>
      <c r="D132" s="34" t="n">
        <f aca="false">SUMIFS('Daily Visit Register'!$L$6:$L$8129,'Daily Visit Register'!$D$6:$D$8129,"CL-044")</f>
        <v>6146.82</v>
      </c>
      <c r="E132" s="34" t="n">
        <f aca="false">SUMIFS('Daily Visit Register'!$M$6:$M$8129,'Daily Visit Register'!$D$6:$D$8129,"CL-044")</f>
        <v>3222.424796</v>
      </c>
      <c r="F132" s="35" t="n">
        <f aca="false">D132-E132</f>
        <v>2924.395204</v>
      </c>
      <c r="G132" s="70" t="n">
        <f aca="false">IFERROR(F132/D132,0)</f>
        <v>0.475757416680495</v>
      </c>
      <c r="H132" s="48"/>
    </row>
    <row r="133" customFormat="false" ht="15" hidden="false" customHeight="false" outlineLevel="0" collapsed="false">
      <c r="B133" s="13" t="s">
        <v>372</v>
      </c>
      <c r="C133" s="13" t="s">
        <v>154</v>
      </c>
      <c r="D133" s="34" t="n">
        <f aca="false">SUMIFS('Daily Visit Register'!$L$6:$L$8129,'Daily Visit Register'!$D$6:$D$8129,"CL-045")</f>
        <v>18705.078</v>
      </c>
      <c r="E133" s="34" t="n">
        <f aca="false">SUMIFS('Daily Visit Register'!$M$6:$M$8129,'Daily Visit Register'!$D$6:$D$8129,"CL-045")</f>
        <v>13113.926595</v>
      </c>
      <c r="F133" s="35" t="n">
        <f aca="false">D133-E133</f>
        <v>5591.151405</v>
      </c>
      <c r="G133" s="70" t="n">
        <f aca="false">IFERROR(F133/D133,0)</f>
        <v>0.298910884252929</v>
      </c>
      <c r="H133" s="48"/>
    </row>
    <row r="134" customFormat="false" ht="15" hidden="false" customHeight="false" outlineLevel="0" collapsed="false">
      <c r="B134" s="13" t="s">
        <v>374</v>
      </c>
      <c r="C134" s="13" t="s">
        <v>154</v>
      </c>
      <c r="D134" s="34" t="n">
        <f aca="false">SUMIFS('Daily Visit Register'!$L$6:$L$8129,'Daily Visit Register'!$D$6:$D$8129,"CL-046")</f>
        <v>183.91</v>
      </c>
      <c r="E134" s="34" t="n">
        <f aca="false">SUMIFS('Daily Visit Register'!$M$6:$M$8129,'Daily Visit Register'!$D$6:$D$8129,"CL-046")</f>
        <v>134.769248</v>
      </c>
      <c r="F134" s="35" t="n">
        <f aca="false">D134-E134</f>
        <v>49.140752</v>
      </c>
      <c r="G134" s="70" t="n">
        <f aca="false">IFERROR(F134/D134,0)</f>
        <v>0.2672</v>
      </c>
      <c r="H134" s="48"/>
    </row>
    <row r="135" customFormat="false" ht="15" hidden="false" customHeight="false" outlineLevel="0" collapsed="false">
      <c r="B135" s="13" t="s">
        <v>376</v>
      </c>
      <c r="C135" s="13" t="s">
        <v>156</v>
      </c>
      <c r="D135" s="34" t="n">
        <f aca="false">SUMIFS('Daily Visit Register'!$L$6:$L$8129,'Daily Visit Register'!$D$6:$D$8129,"CL-047")</f>
        <v>10520.62</v>
      </c>
      <c r="E135" s="34" t="n">
        <f aca="false">SUMIFS('Daily Visit Register'!$M$6:$M$8129,'Daily Visit Register'!$D$6:$D$8129,"CL-047")</f>
        <v>5332.1751175</v>
      </c>
      <c r="F135" s="35" t="n">
        <f aca="false">D135-E135</f>
        <v>5188.4448825</v>
      </c>
      <c r="G135" s="70" t="n">
        <f aca="false">IFERROR(F135/D135,0)</f>
        <v>0.493169117647059</v>
      </c>
      <c r="H135" s="48"/>
    </row>
    <row r="136" customFormat="false" ht="15" hidden="false" customHeight="false" outlineLevel="0" collapsed="false">
      <c r="B136" s="13" t="s">
        <v>378</v>
      </c>
      <c r="C136" s="13" t="s">
        <v>154</v>
      </c>
      <c r="D136" s="34" t="n">
        <f aca="false">SUMIFS('Daily Visit Register'!$L$6:$L$8129,'Daily Visit Register'!$D$6:$D$8129,"CL-048")</f>
        <v>10774.1845</v>
      </c>
      <c r="E136" s="34" t="n">
        <f aca="false">SUMIFS('Daily Visit Register'!$M$6:$M$8129,'Daily Visit Register'!$D$6:$D$8129,"CL-048")</f>
        <v>7315.9116625</v>
      </c>
      <c r="F136" s="35" t="n">
        <f aca="false">D136-E136</f>
        <v>3458.2728375</v>
      </c>
      <c r="G136" s="70" t="n">
        <f aca="false">IFERROR(F136/D136,0)</f>
        <v>0.320977688612999</v>
      </c>
      <c r="H136" s="48"/>
    </row>
    <row r="137" customFormat="false" ht="15" hidden="false" customHeight="false" outlineLevel="0" collapsed="false">
      <c r="B137" s="13" t="s">
        <v>380</v>
      </c>
      <c r="C137" s="13" t="s">
        <v>156</v>
      </c>
      <c r="D137" s="34" t="n">
        <f aca="false">SUMIFS('Daily Visit Register'!$L$6:$L$8129,'Daily Visit Register'!$D$6:$D$8129,"CL-049")</f>
        <v>24356.92</v>
      </c>
      <c r="E137" s="34" t="n">
        <f aca="false">SUMIFS('Daily Visit Register'!$M$6:$M$8129,'Daily Visit Register'!$D$6:$D$8129,"CL-049")</f>
        <v>12246.408643</v>
      </c>
      <c r="F137" s="35" t="n">
        <f aca="false">D137-E137</f>
        <v>12110.511357</v>
      </c>
      <c r="G137" s="70" t="n">
        <f aca="false">IFERROR(F137/D137,0)</f>
        <v>0.497210294117647</v>
      </c>
      <c r="H137" s="48"/>
    </row>
    <row r="138" customFormat="false" ht="15" hidden="false" customHeight="false" outlineLevel="0" collapsed="false">
      <c r="B138" s="13" t="s">
        <v>382</v>
      </c>
      <c r="C138" s="13" t="s">
        <v>157</v>
      </c>
      <c r="D138" s="34" t="n">
        <f aca="false">SUMIFS('Daily Visit Register'!$L$6:$L$8129,'Daily Visit Register'!$D$6:$D$8129,"CL-050")</f>
        <v>16816.8</v>
      </c>
      <c r="E138" s="34" t="n">
        <f aca="false">SUMIFS('Daily Visit Register'!$M$6:$M$8129,'Daily Visit Register'!$D$6:$D$8129,"CL-050")</f>
        <v>10521.816284</v>
      </c>
      <c r="F138" s="35" t="n">
        <f aca="false">D138-E138</f>
        <v>6294.983716</v>
      </c>
      <c r="G138" s="70" t="n">
        <f aca="false">IFERROR(F138/D138,0)</f>
        <v>0.374327084582085</v>
      </c>
      <c r="H138" s="48"/>
    </row>
    <row r="139" customFormat="false" ht="15" hidden="false" customHeight="false" outlineLevel="0" collapsed="false">
      <c r="B139" s="13" t="s">
        <v>384</v>
      </c>
      <c r="C139" s="13" t="s">
        <v>157</v>
      </c>
      <c r="D139" s="34" t="n">
        <f aca="false">SUMIFS('Daily Visit Register'!$L$6:$L$8129,'Daily Visit Register'!$D$6:$D$8129,"CL-051")</f>
        <v>7413.78</v>
      </c>
      <c r="E139" s="34" t="n">
        <f aca="false">SUMIFS('Daily Visit Register'!$M$6:$M$8129,'Daily Visit Register'!$D$6:$D$8129,"CL-051")</f>
        <v>2535.172209</v>
      </c>
      <c r="F139" s="35" t="n">
        <f aca="false">D139-E139</f>
        <v>4878.607791</v>
      </c>
      <c r="G139" s="70" t="n">
        <f aca="false">IFERROR(F139/D139,0)</f>
        <v>0.658045934867234</v>
      </c>
      <c r="H139" s="48"/>
    </row>
    <row r="140" customFormat="false" ht="15" hidden="false" customHeight="false" outlineLevel="0" collapsed="false">
      <c r="B140" s="13" t="s">
        <v>386</v>
      </c>
      <c r="C140" s="13" t="s">
        <v>156</v>
      </c>
      <c r="D140" s="34" t="n">
        <f aca="false">SUMIFS('Daily Visit Register'!$L$6:$L$8129,'Daily Visit Register'!$D$6:$D$8129,"CL-052")</f>
        <v>15003.86</v>
      </c>
      <c r="E140" s="34" t="n">
        <f aca="false">SUMIFS('Daily Visit Register'!$M$6:$M$8129,'Daily Visit Register'!$D$6:$D$8129,"CL-052")</f>
        <v>8008.6412425</v>
      </c>
      <c r="F140" s="35" t="n">
        <f aca="false">D140-E140</f>
        <v>6995.2187575</v>
      </c>
      <c r="G140" s="70" t="n">
        <f aca="false">IFERROR(F140/D140,0)</f>
        <v>0.466227941176471</v>
      </c>
      <c r="H140" s="48"/>
    </row>
    <row r="141" customFormat="false" ht="15" hidden="false" customHeight="false" outlineLevel="0" collapsed="false">
      <c r="B141" s="13" t="s">
        <v>388</v>
      </c>
      <c r="C141" s="13" t="s">
        <v>154</v>
      </c>
      <c r="D141" s="34" t="n">
        <f aca="false">SUMIFS('Daily Visit Register'!$L$6:$L$8129,'Daily Visit Register'!$D$6:$D$8129,"CL-053")</f>
        <v>16038.489</v>
      </c>
      <c r="E141" s="34" t="n">
        <f aca="false">SUMIFS('Daily Visit Register'!$M$6:$M$8129,'Daily Visit Register'!$D$6:$D$8129,"CL-053")</f>
        <v>10475.14013</v>
      </c>
      <c r="F141" s="35" t="n">
        <f aca="false">D141-E141</f>
        <v>5563.34887</v>
      </c>
      <c r="G141" s="70" t="n">
        <f aca="false">IFERROR(F141/D141,0)</f>
        <v>0.346874875183067</v>
      </c>
      <c r="H141" s="48"/>
    </row>
    <row r="142" customFormat="false" ht="15" hidden="false" customHeight="false" outlineLevel="0" collapsed="false">
      <c r="B142" s="13" t="s">
        <v>390</v>
      </c>
      <c r="C142" s="13" t="s">
        <v>154</v>
      </c>
      <c r="D142" s="34" t="n">
        <f aca="false">SUMIFS('Daily Visit Register'!$L$6:$L$8129,'Daily Visit Register'!$D$6:$D$8129,"CL-054")</f>
        <v>27068.849</v>
      </c>
      <c r="E142" s="34" t="n">
        <f aca="false">SUMIFS('Daily Visit Register'!$M$6:$M$8129,'Daily Visit Register'!$D$6:$D$8129,"CL-054")</f>
        <v>19386.438344</v>
      </c>
      <c r="F142" s="35" t="n">
        <f aca="false">D142-E142</f>
        <v>7682.410656</v>
      </c>
      <c r="G142" s="70" t="n">
        <f aca="false">IFERROR(F142/D142,0)</f>
        <v>0.283810022952952</v>
      </c>
      <c r="H142" s="48"/>
    </row>
    <row r="143" customFormat="false" ht="15" hidden="false" customHeight="false" outlineLevel="0" collapsed="false">
      <c r="B143" s="13" t="s">
        <v>392</v>
      </c>
      <c r="C143" s="13" t="s">
        <v>156</v>
      </c>
      <c r="D143" s="34" t="n">
        <f aca="false">SUMIFS('Daily Visit Register'!$L$6:$L$8129,'Daily Visit Register'!$D$6:$D$8129,"CL-055")</f>
        <v>47715.6</v>
      </c>
      <c r="E143" s="34" t="n">
        <f aca="false">SUMIFS('Daily Visit Register'!$M$6:$M$8129,'Daily Visit Register'!$D$6:$D$8129,"CL-055")</f>
        <v>28666.97112</v>
      </c>
      <c r="F143" s="35" t="n">
        <f aca="false">D143-E143</f>
        <v>19048.62888</v>
      </c>
      <c r="G143" s="70" t="n">
        <f aca="false">IFERROR(F143/D143,0)</f>
        <v>0.399211764705882</v>
      </c>
      <c r="H143" s="48"/>
    </row>
    <row r="144" customFormat="false" ht="15" hidden="false" customHeight="false" outlineLevel="0" collapsed="false">
      <c r="B144" s="13" t="s">
        <v>394</v>
      </c>
      <c r="C144" s="13" t="s">
        <v>157</v>
      </c>
      <c r="D144" s="34" t="n">
        <f aca="false">SUMIFS('Daily Visit Register'!$L$6:$L$8129,'Daily Visit Register'!$D$6:$D$8129,"CL-056")</f>
        <v>8614.32</v>
      </c>
      <c r="E144" s="34" t="n">
        <f aca="false">SUMIFS('Daily Visit Register'!$M$6:$M$8129,'Daily Visit Register'!$D$6:$D$8129,"CL-056")</f>
        <v>2975.3226895</v>
      </c>
      <c r="F144" s="35" t="n">
        <f aca="false">D144-E144</f>
        <v>5638.9973105</v>
      </c>
      <c r="G144" s="70" t="n">
        <f aca="false">IFERROR(F144/D144,0)</f>
        <v>0.654607364307339</v>
      </c>
      <c r="H144" s="48"/>
    </row>
    <row r="145" customFormat="false" ht="15" hidden="false" customHeight="false" outlineLevel="0" collapsed="false">
      <c r="B145" s="13" t="s">
        <v>396</v>
      </c>
      <c r="C145" s="13" t="s">
        <v>156</v>
      </c>
      <c r="D145" s="34" t="n">
        <f aca="false">SUMIFS('Daily Visit Register'!$L$6:$L$8129,'Daily Visit Register'!$D$6:$D$8129,"CL-057")</f>
        <v>48824.68</v>
      </c>
      <c r="E145" s="34" t="n">
        <f aca="false">SUMIFS('Daily Visit Register'!$M$6:$M$8129,'Daily Visit Register'!$D$6:$D$8129,"CL-057")</f>
        <v>29579.929771</v>
      </c>
      <c r="F145" s="35" t="n">
        <f aca="false">D145-E145</f>
        <v>19244.750229</v>
      </c>
      <c r="G145" s="70" t="n">
        <f aca="false">IFERROR(F145/D145,0)</f>
        <v>0.394160294117647</v>
      </c>
      <c r="H145" s="48"/>
    </row>
    <row r="146" customFormat="false" ht="15" hidden="false" customHeight="false" outlineLevel="0" collapsed="false">
      <c r="B146" s="13" t="s">
        <v>398</v>
      </c>
      <c r="C146" s="13" t="s">
        <v>159</v>
      </c>
      <c r="D146" s="34" t="n">
        <f aca="false">SUMIFS('Daily Visit Register'!$L$6:$L$8129,'Daily Visit Register'!$D$6:$D$8129,"CL-058")</f>
        <v>12358.17</v>
      </c>
      <c r="E146" s="34" t="n">
        <f aca="false">SUMIFS('Daily Visit Register'!$M$6:$M$8129,'Daily Visit Register'!$D$6:$D$8129,"CL-058")</f>
        <v>5228.463193</v>
      </c>
      <c r="F146" s="35" t="n">
        <f aca="false">D146-E146</f>
        <v>7129.706807</v>
      </c>
      <c r="G146" s="70" t="n">
        <f aca="false">IFERROR(F146/D146,0)</f>
        <v>0.576922538450272</v>
      </c>
      <c r="H146" s="48"/>
    </row>
    <row r="147" customFormat="false" ht="15" hidden="false" customHeight="false" outlineLevel="0" collapsed="false">
      <c r="B147" s="13" t="s">
        <v>400</v>
      </c>
      <c r="C147" s="13" t="s">
        <v>154</v>
      </c>
      <c r="D147" s="34" t="n">
        <f aca="false">SUMIFS('Daily Visit Register'!$L$6:$L$8129,'Daily Visit Register'!$D$6:$D$8129,"CL-059")</f>
        <v>13533.709</v>
      </c>
      <c r="E147" s="34" t="n">
        <f aca="false">SUMIFS('Daily Visit Register'!$M$6:$M$8129,'Daily Visit Register'!$D$6:$D$8129,"CL-059")</f>
        <v>9436.191175</v>
      </c>
      <c r="F147" s="35" t="n">
        <f aca="false">D147-E147</f>
        <v>4097.517825</v>
      </c>
      <c r="G147" s="70" t="n">
        <f aca="false">IFERROR(F147/D147,0)</f>
        <v>0.302763848771981</v>
      </c>
      <c r="H147" s="48"/>
    </row>
    <row r="148" customFormat="false" ht="15" hidden="false" customHeight="false" outlineLevel="0" collapsed="false">
      <c r="B148" s="13" t="s">
        <v>402</v>
      </c>
      <c r="C148" s="13" t="s">
        <v>156</v>
      </c>
      <c r="D148" s="34" t="n">
        <f aca="false">SUMIFS('Daily Visit Register'!$L$6:$L$8129,'Daily Visit Register'!$D$6:$D$8129,"CL-060")</f>
        <v>48499.64</v>
      </c>
      <c r="E148" s="34" t="n">
        <f aca="false">SUMIFS('Daily Visit Register'!$M$6:$M$8129,'Daily Visit Register'!$D$6:$D$8129,"CL-060")</f>
        <v>27929.37357</v>
      </c>
      <c r="F148" s="35" t="n">
        <f aca="false">D148-E148</f>
        <v>20570.26643</v>
      </c>
      <c r="G148" s="70" t="n">
        <f aca="false">IFERROR(F148/D148,0)</f>
        <v>0.424132352941176</v>
      </c>
      <c r="H148" s="48"/>
    </row>
    <row r="149" customFormat="false" ht="15" hidden="false" customHeight="false" outlineLevel="0" collapsed="false">
      <c r="B149" s="13" t="s">
        <v>404</v>
      </c>
      <c r="C149" s="13" t="s">
        <v>156</v>
      </c>
      <c r="D149" s="34" t="n">
        <f aca="false">SUMIFS('Daily Visit Register'!$L$6:$L$8129,'Daily Visit Register'!$D$6:$D$8129,"CL-061")</f>
        <v>8051.2</v>
      </c>
      <c r="E149" s="34" t="n">
        <f aca="false">SUMIFS('Daily Visit Register'!$M$6:$M$8129,'Daily Visit Register'!$D$6:$D$8129,"CL-061")</f>
        <v>4701.49824</v>
      </c>
      <c r="F149" s="35" t="n">
        <f aca="false">D149-E149</f>
        <v>3349.70176</v>
      </c>
      <c r="G149" s="70" t="n">
        <f aca="false">IFERROR(F149/D149,0)</f>
        <v>0.41605</v>
      </c>
      <c r="H149" s="48"/>
    </row>
    <row r="150" customFormat="false" ht="15" hidden="false" customHeight="false" outlineLevel="0" collapsed="false">
      <c r="B150" s="13" t="s">
        <v>406</v>
      </c>
      <c r="C150" s="13" t="s">
        <v>156</v>
      </c>
      <c r="D150" s="34" t="n">
        <f aca="false">SUMIFS('Daily Visit Register'!$L$6:$L$8129,'Daily Visit Register'!$D$6:$D$8129,"CL-062")</f>
        <v>714.34</v>
      </c>
      <c r="E150" s="34" t="n">
        <f aca="false">SUMIFS('Daily Visit Register'!$M$6:$M$8129,'Daily Visit Register'!$D$6:$D$8129,"CL-062")</f>
        <v>407.997392</v>
      </c>
      <c r="F150" s="35" t="n">
        <f aca="false">D150-E150</f>
        <v>306.342608</v>
      </c>
      <c r="G150" s="70" t="n">
        <f aca="false">IFERROR(F150/D150,0)</f>
        <v>0.428847058823529</v>
      </c>
      <c r="H150" s="48"/>
    </row>
    <row r="151" customFormat="false" ht="15" hidden="false" customHeight="false" outlineLevel="0" collapsed="false">
      <c r="B151" s="13" t="s">
        <v>408</v>
      </c>
      <c r="C151" s="13" t="s">
        <v>159</v>
      </c>
      <c r="D151" s="34" t="n">
        <f aca="false">SUMIFS('Daily Visit Register'!$L$6:$L$8129,'Daily Visit Register'!$D$6:$D$8129,"CL-063")</f>
        <v>13585.455</v>
      </c>
      <c r="E151" s="34" t="n">
        <f aca="false">SUMIFS('Daily Visit Register'!$M$6:$M$8129,'Daily Visit Register'!$D$6:$D$8129,"CL-063")</f>
        <v>9296.08554</v>
      </c>
      <c r="F151" s="35" t="n">
        <f aca="false">D151-E151</f>
        <v>4289.36946</v>
      </c>
      <c r="G151" s="70" t="n">
        <f aca="false">IFERROR(F151/D151,0)</f>
        <v>0.315732484484325</v>
      </c>
      <c r="H151" s="48"/>
    </row>
    <row r="152" customFormat="false" ht="15" hidden="false" customHeight="false" outlineLevel="0" collapsed="false">
      <c r="B152" s="13" t="s">
        <v>410</v>
      </c>
      <c r="C152" s="13" t="s">
        <v>154</v>
      </c>
      <c r="D152" s="34" t="n">
        <f aca="false">SUMIFS('Daily Visit Register'!$L$6:$L$8129,'Daily Visit Register'!$D$6:$D$8129,"CL-064")</f>
        <v>13350.6205</v>
      </c>
      <c r="E152" s="34" t="n">
        <f aca="false">SUMIFS('Daily Visit Register'!$M$6:$M$8129,'Daily Visit Register'!$D$6:$D$8129,"CL-064")</f>
        <v>9086.4430245</v>
      </c>
      <c r="F152" s="35" t="n">
        <f aca="false">D152-E152</f>
        <v>4264.1774755</v>
      </c>
      <c r="G152" s="70" t="n">
        <f aca="false">IFERROR(F152/D152,0)</f>
        <v>0.319399197625309</v>
      </c>
      <c r="H152" s="48"/>
    </row>
    <row r="153" customFormat="false" ht="15" hidden="false" customHeight="false" outlineLevel="0" collapsed="false">
      <c r="B153" s="13" t="s">
        <v>412</v>
      </c>
      <c r="C153" s="13" t="s">
        <v>154</v>
      </c>
      <c r="D153" s="34" t="n">
        <f aca="false">SUMIFS('Daily Visit Register'!$L$6:$L$8129,'Daily Visit Register'!$D$6:$D$8129,"CL-065")</f>
        <v>18485.2605</v>
      </c>
      <c r="E153" s="34" t="n">
        <f aca="false">SUMIFS('Daily Visit Register'!$M$6:$M$8129,'Daily Visit Register'!$D$6:$D$8129,"CL-065")</f>
        <v>11690.345576</v>
      </c>
      <c r="F153" s="35" t="n">
        <f aca="false">D153-E153</f>
        <v>6794.914924</v>
      </c>
      <c r="G153" s="70" t="n">
        <f aca="false">IFERROR(F153/D153,0)</f>
        <v>0.367585564942404</v>
      </c>
      <c r="H153" s="48"/>
    </row>
  </sheetData>
  <mergeCells count="5">
    <mergeCell ref="C16:N16"/>
    <mergeCell ref="C17:N17"/>
    <mergeCell ref="C22:N22"/>
    <mergeCell ref="C23:N23"/>
    <mergeCell ref="B85:H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2026-09-21T21:11:50Z</dcterms:created>
  <dc:creator>openpyxl</dc:creator>
  <dc:description/>
  <dc:language>en-US</dc:language>
  <cp:lastModifiedBy/>
  <dcterms:modified xsi:type="dcterms:W3CDTF">2026-09-21T21:11:53Z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